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i86\Downloads\"/>
    </mc:Choice>
  </mc:AlternateContent>
  <xr:revisionPtr revIDLastSave="0" documentId="8_{5BC17C36-3F23-4965-8786-A806873A7C37}" xr6:coauthVersionLast="47" xr6:coauthVersionMax="47" xr10:uidLastSave="{00000000-0000-0000-0000-000000000000}"/>
  <bookViews>
    <workbookView xWindow="6012" yWindow="1656" windowWidth="23040" windowHeight="12204" activeTab="1" xr2:uid="{00000000-000D-0000-FFFF-FFFF00000000}"/>
  </bookViews>
  <sheets>
    <sheet name="はじめに" sheetId="1" r:id="rId1"/>
    <sheet name="ダッシュボード" sheetId="2" r:id="rId2"/>
    <sheet name="戦略解説" sheetId="3" r:id="rId3"/>
    <sheet name="エントリーシグナル" sheetId="4" r:id="rId4"/>
    <sheet name="シグナル検証" sheetId="17" r:id="rId5"/>
    <sheet name="トレード台帳" sheetId="5" r:id="rId6"/>
    <sheet name="ポートフォリオ" sheetId="6" r:id="rId7"/>
    <sheet name="分析データ" sheetId="7" r:id="rId8"/>
    <sheet name="履歴データ" sheetId="8" r:id="rId9"/>
    <sheet name="イールドカーブ" sheetId="9" r:id="rId10"/>
    <sheet name="ASW" sheetId="10" r:id="rId11"/>
    <sheet name="ASWデータ" sheetId="11" r:id="rId12"/>
    <sheet name="ファンディング" sheetId="12" r:id="rId13"/>
    <sheet name="損益" sheetId="13" r:id="rId14"/>
    <sheet name="銘柄マスター" sheetId="14" r:id="rId15"/>
    <sheet name="リスク" sheetId="15" r:id="rId16"/>
  </sheets>
  <definedNames>
    <definedName name="DATE_X">分析データ!$A$2:INDEX(分析データ!$A:$A,COUNT(分析データ!$A:$A)+1)</definedName>
    <definedName name="DD_Y">分析データ!$AH$2:INDEX(分析データ!$AH:$AH,COUNT(分析データ!$A:$A)+1)</definedName>
    <definedName name="EBAND_L">分析データ!$AK$2:INDEX(分析データ!$AK:$AK,COUNT(分析データ!$A:$A)+1)</definedName>
    <definedName name="EBAND_U">分析データ!$AJ$2:INDEX(分析データ!$AJ:$AJ,COUNT(分析データ!$A:$A)+1)</definedName>
    <definedName name="ESPR_Y">分析データ!$B$2:INDEX(分析データ!$B:$B,COUNT(分析データ!$A:$A)+1)</definedName>
    <definedName name="NAV_Y">分析データ!$AE$2:INDEX(分析データ!$AE:$AE,COUNT(分析データ!$A:$A)+1)</definedName>
  </definedNames>
  <calcPr calcId="191029"/>
</workbook>
</file>

<file path=xl/calcChain.xml><?xml version="1.0" encoding="utf-8"?>
<calcChain xmlns="http://schemas.openxmlformats.org/spreadsheetml/2006/main">
  <c r="A2" i="2" l="1"/>
  <c r="A2" i="1"/>
  <c r="BX2" i="17"/>
  <c r="BY2" i="17" s="1"/>
  <c r="BX3" i="17"/>
  <c r="BY3" i="17" s="1"/>
  <c r="BZ3" i="17" s="1"/>
  <c r="BX4" i="17"/>
  <c r="BY4" i="17" s="1"/>
  <c r="BZ4" i="17" s="1"/>
  <c r="BX5" i="17"/>
  <c r="BY5" i="17" s="1"/>
  <c r="BZ5" i="17" s="1"/>
  <c r="BX6" i="17"/>
  <c r="BY6" i="17" s="1"/>
  <c r="BZ6" i="17" s="1"/>
  <c r="BX7" i="17"/>
  <c r="BY7" i="17" s="1"/>
  <c r="BZ7" i="17" s="1"/>
  <c r="BX8" i="17"/>
  <c r="BY8" i="17" s="1"/>
  <c r="BZ8" i="17" s="1"/>
  <c r="BX9" i="17"/>
  <c r="BY9" i="17" s="1"/>
  <c r="BZ9" i="17" s="1"/>
  <c r="BX10" i="17"/>
  <c r="BY10" i="17" s="1"/>
  <c r="BZ10" i="17" s="1"/>
  <c r="BX11" i="17"/>
  <c r="BY11" i="17" s="1"/>
  <c r="BZ11" i="17" s="1"/>
  <c r="BX12" i="17"/>
  <c r="BY12" i="17" s="1"/>
  <c r="BZ12" i="17" s="1"/>
  <c r="BX13" i="17"/>
  <c r="BY13" i="17" s="1"/>
  <c r="BZ13" i="17" s="1"/>
  <c r="BX14" i="17"/>
  <c r="BY14" i="17" s="1"/>
  <c r="BZ14" i="17" s="1"/>
  <c r="BX15" i="17"/>
  <c r="BY15" i="17" s="1"/>
  <c r="BZ15" i="17" s="1"/>
  <c r="BX16" i="17"/>
  <c r="BY16" i="17" s="1"/>
  <c r="BZ16" i="17" s="1"/>
  <c r="BX17" i="17"/>
  <c r="BY17" i="17" s="1"/>
  <c r="BZ17" i="17" s="1"/>
  <c r="BX18" i="17"/>
  <c r="BY18" i="17" s="1"/>
  <c r="BZ18" i="17" s="1"/>
  <c r="BX19" i="17"/>
  <c r="BY19" i="17" s="1"/>
  <c r="BZ19" i="17" s="1"/>
  <c r="BX20" i="17"/>
  <c r="BY20" i="17" s="1"/>
  <c r="BZ20" i="17" s="1"/>
  <c r="BX21" i="17"/>
  <c r="BY21" i="17" s="1"/>
  <c r="BZ21" i="17" s="1"/>
  <c r="BX22" i="17"/>
  <c r="BY22" i="17" s="1"/>
  <c r="BZ22" i="17" s="1"/>
  <c r="BX23" i="17"/>
  <c r="BY23" i="17" s="1"/>
  <c r="BZ23" i="17" s="1"/>
  <c r="BX24" i="17"/>
  <c r="BY24" i="17" s="1"/>
  <c r="BZ24" i="17" s="1"/>
  <c r="BX25" i="17"/>
  <c r="BY25" i="17" s="1"/>
  <c r="BZ25" i="17" s="1"/>
  <c r="BX26" i="17"/>
  <c r="BY26" i="17" s="1"/>
  <c r="BZ26" i="17" s="1"/>
  <c r="BX27" i="17"/>
  <c r="BY27" i="17" s="1"/>
  <c r="BZ27" i="17" s="1"/>
  <c r="BX28" i="17"/>
  <c r="BY28" i="17" s="1"/>
  <c r="BZ28" i="17" s="1"/>
  <c r="BX29" i="17"/>
  <c r="BY29" i="17" s="1"/>
  <c r="BZ29" i="17" s="1"/>
  <c r="BX30" i="17"/>
  <c r="BY30" i="17" s="1"/>
  <c r="BZ30" i="17" s="1"/>
  <c r="BX31" i="17"/>
  <c r="BY31" i="17" s="1"/>
  <c r="BZ31" i="17" s="1"/>
  <c r="BX32" i="17"/>
  <c r="BY32" i="17" s="1"/>
  <c r="BZ32" i="17" s="1"/>
  <c r="BX33" i="17"/>
  <c r="BY33" i="17" s="1"/>
  <c r="BZ33" i="17" s="1"/>
  <c r="BX34" i="17"/>
  <c r="BY34" i="17" s="1"/>
  <c r="BZ34" i="17" s="1"/>
  <c r="BX35" i="17"/>
  <c r="BY35" i="17" s="1"/>
  <c r="BZ35" i="17" s="1"/>
  <c r="BX36" i="17"/>
  <c r="BY36" i="17" s="1"/>
  <c r="BZ36" i="17" s="1"/>
  <c r="BX37" i="17"/>
  <c r="BY37" i="17" s="1"/>
  <c r="BZ37" i="17" s="1"/>
  <c r="BX38" i="17"/>
  <c r="BY38" i="17" s="1"/>
  <c r="BZ38" i="17" s="1"/>
  <c r="BX39" i="17"/>
  <c r="BY39" i="17" s="1"/>
  <c r="BZ39" i="17" s="1"/>
  <c r="BX40" i="17"/>
  <c r="BY40" i="17" s="1"/>
  <c r="BZ40" i="17" s="1"/>
  <c r="BX41" i="17"/>
  <c r="BY41" i="17" s="1"/>
  <c r="BZ41" i="17" s="1"/>
  <c r="BX42" i="17"/>
  <c r="BY42" i="17" s="1"/>
  <c r="BZ42" i="17" s="1"/>
  <c r="BX43" i="17"/>
  <c r="BY43" i="17" s="1"/>
  <c r="BZ43" i="17" s="1"/>
  <c r="BX44" i="17"/>
  <c r="BY44" i="17" s="1"/>
  <c r="BZ44" i="17" s="1"/>
  <c r="BX45" i="17"/>
  <c r="BY45" i="17" s="1"/>
  <c r="BZ45" i="17" s="1"/>
  <c r="BX46" i="17"/>
  <c r="BY46" i="17" s="1"/>
  <c r="BZ46" i="17" s="1"/>
  <c r="BX47" i="17"/>
  <c r="BY47" i="17" s="1"/>
  <c r="BZ47" i="17" s="1"/>
  <c r="BX48" i="17"/>
  <c r="BY48" i="17" s="1"/>
  <c r="BZ48" i="17" s="1"/>
  <c r="BX49" i="17"/>
  <c r="BY49" i="17" s="1"/>
  <c r="BZ49" i="17" s="1"/>
  <c r="BX50" i="17"/>
  <c r="BY50" i="17" s="1"/>
  <c r="BZ50" i="17" s="1"/>
  <c r="BX51" i="17"/>
  <c r="BY51" i="17" s="1"/>
  <c r="BZ51" i="17" s="1"/>
  <c r="BX52" i="17"/>
  <c r="BY52" i="17" s="1"/>
  <c r="BZ52" i="17" s="1"/>
  <c r="BX53" i="17"/>
  <c r="BY53" i="17" s="1"/>
  <c r="BZ53" i="17" s="1"/>
  <c r="BX54" i="17"/>
  <c r="BY54" i="17" s="1"/>
  <c r="BZ54" i="17" s="1"/>
  <c r="BX55" i="17"/>
  <c r="BY55" i="17" s="1"/>
  <c r="BZ55" i="17" s="1"/>
  <c r="BX56" i="17"/>
  <c r="BY56" i="17" s="1"/>
  <c r="BZ56" i="17" s="1"/>
  <c r="BX57" i="17"/>
  <c r="BY57" i="17" s="1"/>
  <c r="BZ57" i="17" s="1"/>
  <c r="BX58" i="17"/>
  <c r="BY58" i="17" s="1"/>
  <c r="BZ58" i="17" s="1"/>
  <c r="BX59" i="17"/>
  <c r="BY59" i="17" s="1"/>
  <c r="BZ59" i="17" s="1"/>
  <c r="BX60" i="17"/>
  <c r="BY60" i="17" s="1"/>
  <c r="BZ60" i="17" s="1"/>
  <c r="BX61" i="17"/>
  <c r="BY61" i="17" s="1"/>
  <c r="BZ61" i="17" s="1"/>
  <c r="BX62" i="17"/>
  <c r="BY62" i="17" s="1"/>
  <c r="BZ62" i="17" s="1"/>
  <c r="BX63" i="17"/>
  <c r="BY63" i="17" s="1"/>
  <c r="BZ63" i="17" s="1"/>
  <c r="BX64" i="17"/>
  <c r="BY64" i="17" s="1"/>
  <c r="BZ64" i="17" s="1"/>
  <c r="BX65" i="17"/>
  <c r="BY65" i="17" s="1"/>
  <c r="BZ65" i="17" s="1"/>
  <c r="BX66" i="17"/>
  <c r="BY66" i="17" s="1"/>
  <c r="BZ66" i="17" s="1"/>
  <c r="BX67" i="17"/>
  <c r="BY67" i="17" s="1"/>
  <c r="BZ67" i="17" s="1"/>
  <c r="BX68" i="17"/>
  <c r="BY68" i="17" s="1"/>
  <c r="BZ68" i="17" s="1"/>
  <c r="BX69" i="17"/>
  <c r="BY69" i="17" s="1"/>
  <c r="BZ69" i="17" s="1"/>
  <c r="BX70" i="17"/>
  <c r="BY70" i="17" s="1"/>
  <c r="BZ70" i="17" s="1"/>
  <c r="BX71" i="17"/>
  <c r="BY71" i="17" s="1"/>
  <c r="BZ71" i="17" s="1"/>
  <c r="BX72" i="17"/>
  <c r="BY72" i="17" s="1"/>
  <c r="BZ72" i="17" s="1"/>
  <c r="BX73" i="17"/>
  <c r="BY73" i="17" s="1"/>
  <c r="BZ73" i="17" s="1"/>
  <c r="BX74" i="17"/>
  <c r="BY74" i="17" s="1"/>
  <c r="BZ74" i="17" s="1"/>
  <c r="BX75" i="17"/>
  <c r="BY75" i="17" s="1"/>
  <c r="BZ75" i="17" s="1"/>
  <c r="BX76" i="17"/>
  <c r="BY76" i="17" s="1"/>
  <c r="BZ76" i="17" s="1"/>
  <c r="BX77" i="17"/>
  <c r="BY77" i="17" s="1"/>
  <c r="BZ77" i="17" s="1"/>
  <c r="BX78" i="17"/>
  <c r="BY78" i="17" s="1"/>
  <c r="BZ78" i="17" s="1"/>
  <c r="BX79" i="17"/>
  <c r="BY79" i="17" s="1"/>
  <c r="BZ79" i="17" s="1"/>
  <c r="BX80" i="17"/>
  <c r="BY80" i="17" s="1"/>
  <c r="BZ80" i="17" s="1"/>
  <c r="BX81" i="17"/>
  <c r="BY81" i="17" s="1"/>
  <c r="BZ81" i="17" s="1"/>
  <c r="BX82" i="17"/>
  <c r="BY82" i="17" s="1"/>
  <c r="BZ82" i="17" s="1"/>
  <c r="BX83" i="17"/>
  <c r="BY83" i="17" s="1"/>
  <c r="BZ83" i="17" s="1"/>
  <c r="BX84" i="17"/>
  <c r="BY84" i="17" s="1"/>
  <c r="BZ84" i="17" s="1"/>
  <c r="BX85" i="17"/>
  <c r="BY85" i="17" s="1"/>
  <c r="BZ85" i="17" s="1"/>
  <c r="BX86" i="17"/>
  <c r="BY86" i="17" s="1"/>
  <c r="BZ86" i="17" s="1"/>
  <c r="BX87" i="17"/>
  <c r="BY87" i="17" s="1"/>
  <c r="BZ87" i="17" s="1"/>
  <c r="BX88" i="17"/>
  <c r="BY88" i="17" s="1"/>
  <c r="BZ88" i="17" s="1"/>
  <c r="BX89" i="17"/>
  <c r="BY89" i="17" s="1"/>
  <c r="BZ89" i="17" s="1"/>
  <c r="BX90" i="17"/>
  <c r="BY90" i="17" s="1"/>
  <c r="BZ90" i="17" s="1"/>
  <c r="BX91" i="17"/>
  <c r="BY91" i="17" s="1"/>
  <c r="BZ91" i="17" s="1"/>
  <c r="BX92" i="17"/>
  <c r="BY92" i="17" s="1"/>
  <c r="BZ92" i="17" s="1"/>
  <c r="BX93" i="17"/>
  <c r="BY93" i="17" s="1"/>
  <c r="BZ93" i="17" s="1"/>
  <c r="BX94" i="17"/>
  <c r="BY94" i="17" s="1"/>
  <c r="BZ94" i="17" s="1"/>
  <c r="BX95" i="17"/>
  <c r="BY95" i="17" s="1"/>
  <c r="BZ95" i="17" s="1"/>
  <c r="BX96" i="17"/>
  <c r="BY96" i="17" s="1"/>
  <c r="BZ96" i="17" s="1"/>
  <c r="BX97" i="17"/>
  <c r="BY97" i="17" s="1"/>
  <c r="BZ97" i="17" s="1"/>
  <c r="BX98" i="17"/>
  <c r="BY98" i="17" s="1"/>
  <c r="BZ98" i="17" s="1"/>
  <c r="BX99" i="17"/>
  <c r="BY99" i="17" s="1"/>
  <c r="BZ99" i="17" s="1"/>
  <c r="BX100" i="17"/>
  <c r="BY100" i="17" s="1"/>
  <c r="BZ100" i="17" s="1"/>
  <c r="BX101" i="17"/>
  <c r="BY101" i="17" s="1"/>
  <c r="BZ101" i="17" s="1"/>
  <c r="BX102" i="17"/>
  <c r="BY102" i="17" s="1"/>
  <c r="BZ102" i="17" s="1"/>
  <c r="BX103" i="17"/>
  <c r="BY103" i="17" s="1"/>
  <c r="BZ103" i="17" s="1"/>
  <c r="BX104" i="17"/>
  <c r="BY104" i="17" s="1"/>
  <c r="BZ104" i="17" s="1"/>
  <c r="BX105" i="17"/>
  <c r="BY105" i="17" s="1"/>
  <c r="BZ105" i="17" s="1"/>
  <c r="BX106" i="17"/>
  <c r="BY106" i="17" s="1"/>
  <c r="BZ106" i="17" s="1"/>
  <c r="BX107" i="17"/>
  <c r="BY107" i="17" s="1"/>
  <c r="BZ107" i="17" s="1"/>
  <c r="BX108" i="17"/>
  <c r="BY108" i="17" s="1"/>
  <c r="BZ108" i="17" s="1"/>
  <c r="BX109" i="17"/>
  <c r="BY109" i="17" s="1"/>
  <c r="BZ109" i="17" s="1"/>
  <c r="BX110" i="17"/>
  <c r="BY110" i="17" s="1"/>
  <c r="BZ110" i="17" s="1"/>
  <c r="BX111" i="17"/>
  <c r="BY111" i="17" s="1"/>
  <c r="BZ111" i="17" s="1"/>
  <c r="BX112" i="17"/>
  <c r="BY112" i="17" s="1"/>
  <c r="BZ112" i="17" s="1"/>
  <c r="BX113" i="17"/>
  <c r="BY113" i="17" s="1"/>
  <c r="BZ113" i="17" s="1"/>
  <c r="BX114" i="17"/>
  <c r="BY114" i="17" s="1"/>
  <c r="BZ114" i="17" s="1"/>
  <c r="BX115" i="17"/>
  <c r="BY115" i="17" s="1"/>
  <c r="BZ115" i="17" s="1"/>
  <c r="BX116" i="17"/>
  <c r="BY116" i="17" s="1"/>
  <c r="BZ116" i="17" s="1"/>
  <c r="BX117" i="17"/>
  <c r="BY117" i="17" s="1"/>
  <c r="BZ117" i="17" s="1"/>
  <c r="BX118" i="17"/>
  <c r="BY118" i="17" s="1"/>
  <c r="BZ118" i="17" s="1"/>
  <c r="BX119" i="17"/>
  <c r="BY119" i="17" s="1"/>
  <c r="BZ119" i="17" s="1"/>
  <c r="BX120" i="17"/>
  <c r="BY120" i="17" s="1"/>
  <c r="BZ120" i="17" s="1"/>
  <c r="BX121" i="17"/>
  <c r="BY121" i="17" s="1"/>
  <c r="BZ121" i="17" s="1"/>
  <c r="BX122" i="17"/>
  <c r="BY122" i="17" s="1"/>
  <c r="BZ122" i="17" s="1"/>
  <c r="BX123" i="17"/>
  <c r="BY123" i="17" s="1"/>
  <c r="BZ123" i="17" s="1"/>
  <c r="BX124" i="17"/>
  <c r="BY124" i="17" s="1"/>
  <c r="BZ124" i="17" s="1"/>
  <c r="BX125" i="17"/>
  <c r="BY125" i="17" s="1"/>
  <c r="BZ125" i="17" s="1"/>
  <c r="BX126" i="17"/>
  <c r="BY126" i="17" s="1"/>
  <c r="BZ126" i="17" s="1"/>
  <c r="BX127" i="17"/>
  <c r="BY127" i="17" s="1"/>
  <c r="BZ127" i="17" s="1"/>
  <c r="BX128" i="17"/>
  <c r="BY128" i="17" s="1"/>
  <c r="BZ128" i="17" s="1"/>
  <c r="BX129" i="17"/>
  <c r="BY129" i="17" s="1"/>
  <c r="BZ129" i="17" s="1"/>
  <c r="BX130" i="17"/>
  <c r="BY130" i="17" s="1"/>
  <c r="BZ130" i="17" s="1"/>
  <c r="BX131" i="17"/>
  <c r="BY131" i="17" s="1"/>
  <c r="BZ131" i="17" s="1"/>
  <c r="BX132" i="17"/>
  <c r="BY132" i="17" s="1"/>
  <c r="BZ132" i="17" s="1"/>
  <c r="BX133" i="17"/>
  <c r="BY133" i="17" s="1"/>
  <c r="BZ133" i="17" s="1"/>
  <c r="BX134" i="17"/>
  <c r="BY134" i="17" s="1"/>
  <c r="BZ134" i="17" s="1"/>
  <c r="BX135" i="17"/>
  <c r="BY135" i="17" s="1"/>
  <c r="BZ135" i="17" s="1"/>
  <c r="BX136" i="17"/>
  <c r="BY136" i="17" s="1"/>
  <c r="BZ136" i="17" s="1"/>
  <c r="BX137" i="17"/>
  <c r="BY137" i="17" s="1"/>
  <c r="BZ137" i="17" s="1"/>
  <c r="BX138" i="17"/>
  <c r="BY138" i="17" s="1"/>
  <c r="BZ138" i="17" s="1"/>
  <c r="BX139" i="17"/>
  <c r="BY139" i="17" s="1"/>
  <c r="BZ139" i="17" s="1"/>
  <c r="BX140" i="17"/>
  <c r="BY140" i="17" s="1"/>
  <c r="BZ140" i="17" s="1"/>
  <c r="BX141" i="17"/>
  <c r="BY141" i="17" s="1"/>
  <c r="BZ141" i="17" s="1"/>
  <c r="BX142" i="17"/>
  <c r="BY142" i="17" s="1"/>
  <c r="BZ142" i="17" s="1"/>
  <c r="BX143" i="17"/>
  <c r="BY143" i="17" s="1"/>
  <c r="BZ143" i="17" s="1"/>
  <c r="BX144" i="17"/>
  <c r="BY144" i="17" s="1"/>
  <c r="BZ144" i="17" s="1"/>
  <c r="BX145" i="17"/>
  <c r="BY145" i="17" s="1"/>
  <c r="BZ145" i="17" s="1"/>
  <c r="BX146" i="17"/>
  <c r="BY146" i="17" s="1"/>
  <c r="BZ146" i="17" s="1"/>
  <c r="BX147" i="17"/>
  <c r="BY147" i="17" s="1"/>
  <c r="BZ147" i="17" s="1"/>
  <c r="BX148" i="17"/>
  <c r="BY148" i="17" s="1"/>
  <c r="BZ148" i="17" s="1"/>
  <c r="BX149" i="17"/>
  <c r="BY149" i="17" s="1"/>
  <c r="BZ149" i="17" s="1"/>
  <c r="BX150" i="17"/>
  <c r="BY150" i="17" s="1"/>
  <c r="BZ150" i="17" s="1"/>
  <c r="BX151" i="17"/>
  <c r="BY151" i="17" s="1"/>
  <c r="BZ151" i="17" s="1"/>
  <c r="BX152" i="17"/>
  <c r="BY152" i="17" s="1"/>
  <c r="BZ152" i="17" s="1"/>
  <c r="BX153" i="17"/>
  <c r="BY153" i="17" s="1"/>
  <c r="BZ153" i="17" s="1"/>
  <c r="BX154" i="17"/>
  <c r="BY154" i="17" s="1"/>
  <c r="BZ154" i="17" s="1"/>
  <c r="BX155" i="17"/>
  <c r="BY155" i="17" s="1"/>
  <c r="BZ155" i="17" s="1"/>
  <c r="BX156" i="17"/>
  <c r="BY156" i="17" s="1"/>
  <c r="BZ156" i="17" s="1"/>
  <c r="BX157" i="17"/>
  <c r="BY157" i="17" s="1"/>
  <c r="BZ157" i="17" s="1"/>
  <c r="BX158" i="17"/>
  <c r="BY158" i="17" s="1"/>
  <c r="BZ158" i="17" s="1"/>
  <c r="BX159" i="17"/>
  <c r="BY159" i="17" s="1"/>
  <c r="BZ159" i="17" s="1"/>
  <c r="BX160" i="17"/>
  <c r="BY160" i="17" s="1"/>
  <c r="BZ160" i="17" s="1"/>
  <c r="BX161" i="17"/>
  <c r="BY161" i="17" s="1"/>
  <c r="BZ161" i="17" s="1"/>
  <c r="BX162" i="17"/>
  <c r="BY162" i="17" s="1"/>
  <c r="BZ162" i="17" s="1"/>
  <c r="BX163" i="17"/>
  <c r="BY163" i="17" s="1"/>
  <c r="BZ163" i="17" s="1"/>
  <c r="BX164" i="17"/>
  <c r="BY164" i="17" s="1"/>
  <c r="BZ164" i="17" s="1"/>
  <c r="BX165" i="17"/>
  <c r="BY165" i="17" s="1"/>
  <c r="BZ165" i="17" s="1"/>
  <c r="BX166" i="17"/>
  <c r="BY166" i="17" s="1"/>
  <c r="BZ166" i="17" s="1"/>
  <c r="BX167" i="17"/>
  <c r="BY167" i="17" s="1"/>
  <c r="BZ167" i="17" s="1"/>
  <c r="BX168" i="17"/>
  <c r="BY168" i="17" s="1"/>
  <c r="BZ168" i="17" s="1"/>
  <c r="BX169" i="17"/>
  <c r="BY169" i="17" s="1"/>
  <c r="BZ169" i="17" s="1"/>
  <c r="BX170" i="17"/>
  <c r="BY170" i="17" s="1"/>
  <c r="BZ170" i="17" s="1"/>
  <c r="BX171" i="17"/>
  <c r="BY171" i="17" s="1"/>
  <c r="BZ171" i="17" s="1"/>
  <c r="BX172" i="17"/>
  <c r="BY172" i="17" s="1"/>
  <c r="BZ172" i="17" s="1"/>
  <c r="BX173" i="17"/>
  <c r="BY173" i="17" s="1"/>
  <c r="BZ173" i="17" s="1"/>
  <c r="BX174" i="17"/>
  <c r="BY174" i="17" s="1"/>
  <c r="BZ174" i="17" s="1"/>
  <c r="BX175" i="17"/>
  <c r="BY175" i="17" s="1"/>
  <c r="BZ175" i="17" s="1"/>
  <c r="BX176" i="17"/>
  <c r="BY176" i="17" s="1"/>
  <c r="BZ176" i="17" s="1"/>
  <c r="BX177" i="17"/>
  <c r="BY177" i="17" s="1"/>
  <c r="BZ177" i="17" s="1"/>
  <c r="BX178" i="17"/>
  <c r="BY178" i="17" s="1"/>
  <c r="BZ178" i="17" s="1"/>
  <c r="BX179" i="17"/>
  <c r="BY179" i="17" s="1"/>
  <c r="BZ179" i="17" s="1"/>
  <c r="BX180" i="17"/>
  <c r="BY180" i="17" s="1"/>
  <c r="BZ180" i="17" s="1"/>
  <c r="BX181" i="17"/>
  <c r="BY181" i="17" s="1"/>
  <c r="BZ181" i="17" s="1"/>
  <c r="BX182" i="17"/>
  <c r="BY182" i="17" s="1"/>
  <c r="BZ182" i="17" s="1"/>
  <c r="BX183" i="17"/>
  <c r="BY183" i="17" s="1"/>
  <c r="BZ183" i="17" s="1"/>
  <c r="BX184" i="17"/>
  <c r="BY184" i="17" s="1"/>
  <c r="BZ184" i="17" s="1"/>
  <c r="BX185" i="17"/>
  <c r="BY185" i="17" s="1"/>
  <c r="BZ185" i="17" s="1"/>
  <c r="BX186" i="17"/>
  <c r="BY186" i="17" s="1"/>
  <c r="BZ186" i="17" s="1"/>
  <c r="BX187" i="17"/>
  <c r="BY187" i="17" s="1"/>
  <c r="BZ187" i="17" s="1"/>
  <c r="BX188" i="17"/>
  <c r="BY188" i="17" s="1"/>
  <c r="BZ188" i="17" s="1"/>
  <c r="BX189" i="17"/>
  <c r="BY189" i="17" s="1"/>
  <c r="BZ189" i="17" s="1"/>
  <c r="BX190" i="17"/>
  <c r="BY190" i="17" s="1"/>
  <c r="BZ190" i="17" s="1"/>
  <c r="BX191" i="17"/>
  <c r="BY191" i="17" s="1"/>
  <c r="BZ191" i="17" s="1"/>
  <c r="BX192" i="17"/>
  <c r="BY192" i="17" s="1"/>
  <c r="BZ192" i="17" s="1"/>
  <c r="BX193" i="17"/>
  <c r="BY193" i="17" s="1"/>
  <c r="BZ193" i="17" s="1"/>
  <c r="BX194" i="17"/>
  <c r="BY194" i="17" s="1"/>
  <c r="BZ194" i="17" s="1"/>
  <c r="BX195" i="17"/>
  <c r="BY195" i="17" s="1"/>
  <c r="BZ195" i="17" s="1"/>
  <c r="BX196" i="17"/>
  <c r="BY196" i="17" s="1"/>
  <c r="BZ196" i="17" s="1"/>
  <c r="BX197" i="17"/>
  <c r="BY197" i="17" s="1"/>
  <c r="BZ197" i="17" s="1"/>
  <c r="BX198" i="17"/>
  <c r="BY198" i="17" s="1"/>
  <c r="BZ198" i="17" s="1"/>
  <c r="BX199" i="17"/>
  <c r="BY199" i="17" s="1"/>
  <c r="BZ199" i="17" s="1"/>
  <c r="BX200" i="17"/>
  <c r="BY200" i="17" s="1"/>
  <c r="BZ200" i="17" s="1"/>
  <c r="BX201" i="17"/>
  <c r="BY201" i="17" s="1"/>
  <c r="BZ201" i="17" s="1"/>
  <c r="BX202" i="17"/>
  <c r="BY202" i="17" s="1"/>
  <c r="BZ202" i="17" s="1"/>
  <c r="BX203" i="17"/>
  <c r="BY203" i="17" s="1"/>
  <c r="BZ203" i="17" s="1"/>
  <c r="BX204" i="17"/>
  <c r="BY204" i="17" s="1"/>
  <c r="BZ204" i="17" s="1"/>
  <c r="BX205" i="17"/>
  <c r="BY205" i="17" s="1"/>
  <c r="BZ205" i="17" s="1"/>
  <c r="BX206" i="17"/>
  <c r="BY206" i="17" s="1"/>
  <c r="BZ206" i="17" s="1"/>
  <c r="BX207" i="17"/>
  <c r="BY207" i="17" s="1"/>
  <c r="BZ207" i="17" s="1"/>
  <c r="BX208" i="17"/>
  <c r="BY208" i="17" s="1"/>
  <c r="BZ208" i="17" s="1"/>
  <c r="BX209" i="17"/>
  <c r="BY209" i="17" s="1"/>
  <c r="BZ209" i="17" s="1"/>
  <c r="BX210" i="17"/>
  <c r="BY210" i="17" s="1"/>
  <c r="BZ210" i="17" s="1"/>
  <c r="BX211" i="17"/>
  <c r="BY211" i="17" s="1"/>
  <c r="BZ211" i="17" s="1"/>
  <c r="BX212" i="17"/>
  <c r="BY212" i="17" s="1"/>
  <c r="BZ212" i="17" s="1"/>
  <c r="BX213" i="17"/>
  <c r="BY213" i="17" s="1"/>
  <c r="BZ213" i="17" s="1"/>
  <c r="BX214" i="17"/>
  <c r="BY214" i="17" s="1"/>
  <c r="BZ214" i="17" s="1"/>
  <c r="BX215" i="17"/>
  <c r="BY215" i="17" s="1"/>
  <c r="BZ215" i="17" s="1"/>
  <c r="BX216" i="17"/>
  <c r="BY216" i="17" s="1"/>
  <c r="BZ216" i="17" s="1"/>
  <c r="BX217" i="17"/>
  <c r="BY217" i="17" s="1"/>
  <c r="BZ217" i="17" s="1"/>
  <c r="BX218" i="17"/>
  <c r="BY218" i="17" s="1"/>
  <c r="BZ218" i="17" s="1"/>
  <c r="BX219" i="17"/>
  <c r="BY219" i="17" s="1"/>
  <c r="BZ219" i="17" s="1"/>
  <c r="BX220" i="17"/>
  <c r="BY220" i="17" s="1"/>
  <c r="BZ220" i="17" s="1"/>
  <c r="BX221" i="17"/>
  <c r="BY221" i="17" s="1"/>
  <c r="BZ221" i="17" s="1"/>
  <c r="BX222" i="17"/>
  <c r="BY222" i="17" s="1"/>
  <c r="BZ222" i="17" s="1"/>
  <c r="BX223" i="17"/>
  <c r="BY223" i="17" s="1"/>
  <c r="BZ223" i="17" s="1"/>
  <c r="BX224" i="17"/>
  <c r="BY224" i="17" s="1"/>
  <c r="BZ224" i="17" s="1"/>
  <c r="BX225" i="17"/>
  <c r="BY225" i="17" s="1"/>
  <c r="BZ225" i="17" s="1"/>
  <c r="BX226" i="17"/>
  <c r="BY226" i="17" s="1"/>
  <c r="BZ226" i="17" s="1"/>
  <c r="BX227" i="17"/>
  <c r="BY227" i="17" s="1"/>
  <c r="BZ227" i="17" s="1"/>
  <c r="BX228" i="17"/>
  <c r="BY228" i="17" s="1"/>
  <c r="BZ228" i="17" s="1"/>
  <c r="BX229" i="17"/>
  <c r="BY229" i="17" s="1"/>
  <c r="BZ229" i="17" s="1"/>
  <c r="BX230" i="17"/>
  <c r="BY230" i="17" s="1"/>
  <c r="BZ230" i="17" s="1"/>
  <c r="BX231" i="17"/>
  <c r="BY231" i="17" s="1"/>
  <c r="BZ231" i="17" s="1"/>
  <c r="BX232" i="17"/>
  <c r="BY232" i="17" s="1"/>
  <c r="BZ232" i="17" s="1"/>
  <c r="BX233" i="17"/>
  <c r="BY233" i="17" s="1"/>
  <c r="BZ233" i="17" s="1"/>
  <c r="BX234" i="17"/>
  <c r="BY234" i="17" s="1"/>
  <c r="BZ234" i="17" s="1"/>
  <c r="BX235" i="17"/>
  <c r="BY235" i="17" s="1"/>
  <c r="BZ235" i="17" s="1"/>
  <c r="BX236" i="17"/>
  <c r="BY236" i="17" s="1"/>
  <c r="BZ236" i="17" s="1"/>
  <c r="BX237" i="17"/>
  <c r="BY237" i="17" s="1"/>
  <c r="BZ237" i="17" s="1"/>
  <c r="BX238" i="17"/>
  <c r="BY238" i="17" s="1"/>
  <c r="BZ238" i="17" s="1"/>
  <c r="BX239" i="17"/>
  <c r="BY239" i="17" s="1"/>
  <c r="BZ239" i="17" s="1"/>
  <c r="BX240" i="17"/>
  <c r="BY240" i="17" s="1"/>
  <c r="BZ240" i="17" s="1"/>
  <c r="BX241" i="17"/>
  <c r="BY241" i="17" s="1"/>
  <c r="BZ241" i="17" s="1"/>
  <c r="BX242" i="17"/>
  <c r="BY242" i="17" s="1"/>
  <c r="BZ242" i="17" s="1"/>
  <c r="BX243" i="17"/>
  <c r="BY243" i="17" s="1"/>
  <c r="BZ243" i="17" s="1"/>
  <c r="BX244" i="17"/>
  <c r="BY244" i="17" s="1"/>
  <c r="BZ244" i="17" s="1"/>
  <c r="BX245" i="17"/>
  <c r="BY245" i="17" s="1"/>
  <c r="BZ245" i="17" s="1"/>
  <c r="BX246" i="17"/>
  <c r="BY246" i="17" s="1"/>
  <c r="BZ246" i="17" s="1"/>
  <c r="BX247" i="17"/>
  <c r="BY247" i="17" s="1"/>
  <c r="BZ247" i="17" s="1"/>
  <c r="BX248" i="17"/>
  <c r="BY248" i="17" s="1"/>
  <c r="BZ248" i="17" s="1"/>
  <c r="BX249" i="17"/>
  <c r="BY249" i="17" s="1"/>
  <c r="BZ249" i="17" s="1"/>
  <c r="BX250" i="17"/>
  <c r="BY250" i="17" s="1"/>
  <c r="BZ250" i="17" s="1"/>
  <c r="BX251" i="17"/>
  <c r="BY251" i="17" s="1"/>
  <c r="BZ251" i="17" s="1"/>
  <c r="BX252" i="17"/>
  <c r="BY252" i="17" s="1"/>
  <c r="BZ252" i="17" s="1"/>
  <c r="BR2" i="17"/>
  <c r="BS2" i="17" s="1"/>
  <c r="BR3" i="17"/>
  <c r="BS3" i="17" s="1"/>
  <c r="BT3" i="17" s="1"/>
  <c r="BR4" i="17"/>
  <c r="BS4" i="17" s="1"/>
  <c r="BT4" i="17" s="1"/>
  <c r="BR5" i="17"/>
  <c r="BS5" i="17" s="1"/>
  <c r="BT5" i="17" s="1"/>
  <c r="BR6" i="17"/>
  <c r="BS6" i="17" s="1"/>
  <c r="BT6" i="17" s="1"/>
  <c r="BR7" i="17"/>
  <c r="BS7" i="17" s="1"/>
  <c r="BT7" i="17" s="1"/>
  <c r="BR8" i="17"/>
  <c r="BS8" i="17" s="1"/>
  <c r="BT8" i="17" s="1"/>
  <c r="BR9" i="17"/>
  <c r="BS9" i="17" s="1"/>
  <c r="BT9" i="17" s="1"/>
  <c r="BR10" i="17"/>
  <c r="BS10" i="17" s="1"/>
  <c r="BT10" i="17" s="1"/>
  <c r="BR11" i="17"/>
  <c r="BS11" i="17" s="1"/>
  <c r="BT11" i="17" s="1"/>
  <c r="BR12" i="17"/>
  <c r="BS12" i="17" s="1"/>
  <c r="BT12" i="17" s="1"/>
  <c r="BR13" i="17"/>
  <c r="BS13" i="17" s="1"/>
  <c r="BT13" i="17" s="1"/>
  <c r="BR14" i="17"/>
  <c r="BS14" i="17" s="1"/>
  <c r="BT14" i="17" s="1"/>
  <c r="BR15" i="17"/>
  <c r="BS15" i="17" s="1"/>
  <c r="BT15" i="17" s="1"/>
  <c r="BR16" i="17"/>
  <c r="BS16" i="17" s="1"/>
  <c r="BT16" i="17" s="1"/>
  <c r="BR17" i="17"/>
  <c r="BS17" i="17" s="1"/>
  <c r="BT17" i="17" s="1"/>
  <c r="BR18" i="17"/>
  <c r="BS18" i="17" s="1"/>
  <c r="BT18" i="17" s="1"/>
  <c r="BR19" i="17"/>
  <c r="BS19" i="17" s="1"/>
  <c r="BT19" i="17" s="1"/>
  <c r="BR20" i="17"/>
  <c r="BS20" i="17" s="1"/>
  <c r="BT20" i="17" s="1"/>
  <c r="BR21" i="17"/>
  <c r="BS21" i="17" s="1"/>
  <c r="BT21" i="17" s="1"/>
  <c r="BR22" i="17"/>
  <c r="BS22" i="17" s="1"/>
  <c r="BT22" i="17" s="1"/>
  <c r="BR23" i="17"/>
  <c r="BS23" i="17" s="1"/>
  <c r="BT23" i="17" s="1"/>
  <c r="BR24" i="17"/>
  <c r="BS24" i="17" s="1"/>
  <c r="BT24" i="17" s="1"/>
  <c r="BR25" i="17"/>
  <c r="BS25" i="17" s="1"/>
  <c r="BT25" i="17" s="1"/>
  <c r="BR26" i="17"/>
  <c r="BS26" i="17" s="1"/>
  <c r="BT26" i="17" s="1"/>
  <c r="BR27" i="17"/>
  <c r="BS27" i="17" s="1"/>
  <c r="BT27" i="17" s="1"/>
  <c r="BR28" i="17"/>
  <c r="BS28" i="17" s="1"/>
  <c r="BT28" i="17" s="1"/>
  <c r="BR29" i="17"/>
  <c r="BS29" i="17" s="1"/>
  <c r="BT29" i="17" s="1"/>
  <c r="BR30" i="17"/>
  <c r="BS30" i="17" s="1"/>
  <c r="BT30" i="17" s="1"/>
  <c r="BR31" i="17"/>
  <c r="BS31" i="17" s="1"/>
  <c r="BT31" i="17" s="1"/>
  <c r="BR32" i="17"/>
  <c r="BS32" i="17" s="1"/>
  <c r="BT32" i="17" s="1"/>
  <c r="BR33" i="17"/>
  <c r="BS33" i="17" s="1"/>
  <c r="BT33" i="17" s="1"/>
  <c r="BR34" i="17"/>
  <c r="BS34" i="17" s="1"/>
  <c r="BT34" i="17" s="1"/>
  <c r="BR35" i="17"/>
  <c r="BS35" i="17" s="1"/>
  <c r="BT35" i="17" s="1"/>
  <c r="BR36" i="17"/>
  <c r="BS36" i="17" s="1"/>
  <c r="BT36" i="17" s="1"/>
  <c r="BR37" i="17"/>
  <c r="BS37" i="17" s="1"/>
  <c r="BT37" i="17" s="1"/>
  <c r="BR38" i="17"/>
  <c r="BS38" i="17" s="1"/>
  <c r="BT38" i="17" s="1"/>
  <c r="BR39" i="17"/>
  <c r="BS39" i="17" s="1"/>
  <c r="BT39" i="17" s="1"/>
  <c r="BR40" i="17"/>
  <c r="BS40" i="17" s="1"/>
  <c r="BT40" i="17" s="1"/>
  <c r="BR41" i="17"/>
  <c r="BS41" i="17" s="1"/>
  <c r="BT41" i="17" s="1"/>
  <c r="BR42" i="17"/>
  <c r="BS42" i="17" s="1"/>
  <c r="BT42" i="17" s="1"/>
  <c r="BR43" i="17"/>
  <c r="BS43" i="17" s="1"/>
  <c r="BT43" i="17" s="1"/>
  <c r="BR44" i="17"/>
  <c r="BS44" i="17" s="1"/>
  <c r="BT44" i="17" s="1"/>
  <c r="BR45" i="17"/>
  <c r="BS45" i="17" s="1"/>
  <c r="BT45" i="17" s="1"/>
  <c r="BR46" i="17"/>
  <c r="BS46" i="17" s="1"/>
  <c r="BT46" i="17" s="1"/>
  <c r="BR47" i="17"/>
  <c r="BS47" i="17" s="1"/>
  <c r="BT47" i="17" s="1"/>
  <c r="BR48" i="17"/>
  <c r="BS48" i="17" s="1"/>
  <c r="BT48" i="17" s="1"/>
  <c r="BR49" i="17"/>
  <c r="BS49" i="17" s="1"/>
  <c r="BT49" i="17" s="1"/>
  <c r="BR50" i="17"/>
  <c r="BS50" i="17" s="1"/>
  <c r="BT50" i="17" s="1"/>
  <c r="BR51" i="17"/>
  <c r="BS51" i="17" s="1"/>
  <c r="BT51" i="17" s="1"/>
  <c r="BR52" i="17"/>
  <c r="BS52" i="17" s="1"/>
  <c r="BT52" i="17" s="1"/>
  <c r="BR53" i="17"/>
  <c r="BS53" i="17" s="1"/>
  <c r="BT53" i="17" s="1"/>
  <c r="BR54" i="17"/>
  <c r="BS54" i="17" s="1"/>
  <c r="BT54" i="17" s="1"/>
  <c r="BR55" i="17"/>
  <c r="BS55" i="17" s="1"/>
  <c r="BT55" i="17" s="1"/>
  <c r="BR56" i="17"/>
  <c r="BS56" i="17" s="1"/>
  <c r="BT56" i="17" s="1"/>
  <c r="BR57" i="17"/>
  <c r="BS57" i="17" s="1"/>
  <c r="BT57" i="17" s="1"/>
  <c r="BR58" i="17"/>
  <c r="BS58" i="17" s="1"/>
  <c r="BT58" i="17" s="1"/>
  <c r="BR59" i="17"/>
  <c r="BS59" i="17" s="1"/>
  <c r="BT59" i="17" s="1"/>
  <c r="BR60" i="17"/>
  <c r="BS60" i="17" s="1"/>
  <c r="BT60" i="17" s="1"/>
  <c r="BR61" i="17"/>
  <c r="BS61" i="17" s="1"/>
  <c r="BT61" i="17" s="1"/>
  <c r="BR62" i="17"/>
  <c r="BS62" i="17" s="1"/>
  <c r="BT62" i="17" s="1"/>
  <c r="BR63" i="17"/>
  <c r="BS63" i="17" s="1"/>
  <c r="BT63" i="17" s="1"/>
  <c r="BR64" i="17"/>
  <c r="BS64" i="17" s="1"/>
  <c r="BT64" i="17" s="1"/>
  <c r="BR65" i="17"/>
  <c r="BS65" i="17" s="1"/>
  <c r="BT65" i="17" s="1"/>
  <c r="BR66" i="17"/>
  <c r="BS66" i="17" s="1"/>
  <c r="BT66" i="17" s="1"/>
  <c r="BR67" i="17"/>
  <c r="BS67" i="17" s="1"/>
  <c r="BT67" i="17" s="1"/>
  <c r="BR68" i="17"/>
  <c r="BS68" i="17" s="1"/>
  <c r="BT68" i="17" s="1"/>
  <c r="BR69" i="17"/>
  <c r="BS69" i="17" s="1"/>
  <c r="BT69" i="17" s="1"/>
  <c r="BR70" i="17"/>
  <c r="BS70" i="17" s="1"/>
  <c r="BT70" i="17" s="1"/>
  <c r="BR71" i="17"/>
  <c r="BS71" i="17" s="1"/>
  <c r="BT71" i="17" s="1"/>
  <c r="BR72" i="17"/>
  <c r="BS72" i="17" s="1"/>
  <c r="BT72" i="17" s="1"/>
  <c r="BR73" i="17"/>
  <c r="BS73" i="17" s="1"/>
  <c r="BT73" i="17" s="1"/>
  <c r="BR74" i="17"/>
  <c r="BS74" i="17" s="1"/>
  <c r="BT74" i="17" s="1"/>
  <c r="BR75" i="17"/>
  <c r="BS75" i="17" s="1"/>
  <c r="BT75" i="17" s="1"/>
  <c r="BR76" i="17"/>
  <c r="BS76" i="17" s="1"/>
  <c r="BT76" i="17" s="1"/>
  <c r="BR77" i="17"/>
  <c r="BS77" i="17" s="1"/>
  <c r="BT77" i="17" s="1"/>
  <c r="BR78" i="17"/>
  <c r="BS78" i="17" s="1"/>
  <c r="BT78" i="17" s="1"/>
  <c r="BR79" i="17"/>
  <c r="BS79" i="17" s="1"/>
  <c r="BT79" i="17" s="1"/>
  <c r="BR80" i="17"/>
  <c r="BS80" i="17" s="1"/>
  <c r="BT80" i="17" s="1"/>
  <c r="BR81" i="17"/>
  <c r="BS81" i="17" s="1"/>
  <c r="BT81" i="17" s="1"/>
  <c r="BR82" i="17"/>
  <c r="BS82" i="17" s="1"/>
  <c r="BT82" i="17" s="1"/>
  <c r="BR83" i="17"/>
  <c r="BS83" i="17" s="1"/>
  <c r="BT83" i="17" s="1"/>
  <c r="BR84" i="17"/>
  <c r="BS84" i="17" s="1"/>
  <c r="BT84" i="17" s="1"/>
  <c r="BR85" i="17"/>
  <c r="BS85" i="17" s="1"/>
  <c r="BT85" i="17" s="1"/>
  <c r="BR86" i="17"/>
  <c r="BS86" i="17" s="1"/>
  <c r="BT86" i="17" s="1"/>
  <c r="BR87" i="17"/>
  <c r="BS87" i="17" s="1"/>
  <c r="BT87" i="17" s="1"/>
  <c r="BR88" i="17"/>
  <c r="BS88" i="17" s="1"/>
  <c r="BT88" i="17" s="1"/>
  <c r="BR89" i="17"/>
  <c r="BS89" i="17" s="1"/>
  <c r="BT89" i="17" s="1"/>
  <c r="BR90" i="17"/>
  <c r="BS90" i="17" s="1"/>
  <c r="BT90" i="17" s="1"/>
  <c r="BR91" i="17"/>
  <c r="BS91" i="17" s="1"/>
  <c r="BT91" i="17" s="1"/>
  <c r="BR92" i="17"/>
  <c r="BS92" i="17" s="1"/>
  <c r="BT92" i="17" s="1"/>
  <c r="BR93" i="17"/>
  <c r="BS93" i="17" s="1"/>
  <c r="BT93" i="17" s="1"/>
  <c r="BR94" i="17"/>
  <c r="BS94" i="17" s="1"/>
  <c r="BT94" i="17" s="1"/>
  <c r="BR95" i="17"/>
  <c r="BS95" i="17" s="1"/>
  <c r="BT95" i="17" s="1"/>
  <c r="BR96" i="17"/>
  <c r="BS96" i="17" s="1"/>
  <c r="BT96" i="17" s="1"/>
  <c r="BR97" i="17"/>
  <c r="BS97" i="17" s="1"/>
  <c r="BT97" i="17" s="1"/>
  <c r="BR98" i="17"/>
  <c r="BS98" i="17" s="1"/>
  <c r="BT98" i="17" s="1"/>
  <c r="BR99" i="17"/>
  <c r="BS99" i="17" s="1"/>
  <c r="BT99" i="17" s="1"/>
  <c r="BR100" i="17"/>
  <c r="BS100" i="17" s="1"/>
  <c r="BT100" i="17" s="1"/>
  <c r="BR101" i="17"/>
  <c r="BS101" i="17" s="1"/>
  <c r="BT101" i="17" s="1"/>
  <c r="BR102" i="17"/>
  <c r="BS102" i="17" s="1"/>
  <c r="BT102" i="17" s="1"/>
  <c r="BR103" i="17"/>
  <c r="BS103" i="17" s="1"/>
  <c r="BT103" i="17" s="1"/>
  <c r="BR104" i="17"/>
  <c r="BS104" i="17" s="1"/>
  <c r="BT104" i="17" s="1"/>
  <c r="BR105" i="17"/>
  <c r="BS105" i="17" s="1"/>
  <c r="BT105" i="17" s="1"/>
  <c r="BR106" i="17"/>
  <c r="BS106" i="17" s="1"/>
  <c r="BT106" i="17" s="1"/>
  <c r="BR107" i="17"/>
  <c r="BS107" i="17" s="1"/>
  <c r="BT107" i="17" s="1"/>
  <c r="BR108" i="17"/>
  <c r="BS108" i="17" s="1"/>
  <c r="BT108" i="17" s="1"/>
  <c r="BR109" i="17"/>
  <c r="BS109" i="17" s="1"/>
  <c r="BT109" i="17" s="1"/>
  <c r="BR110" i="17"/>
  <c r="BS110" i="17" s="1"/>
  <c r="BT110" i="17" s="1"/>
  <c r="BR111" i="17"/>
  <c r="BS111" i="17" s="1"/>
  <c r="BT111" i="17" s="1"/>
  <c r="BR112" i="17"/>
  <c r="BS112" i="17" s="1"/>
  <c r="BT112" i="17" s="1"/>
  <c r="BR113" i="17"/>
  <c r="BS113" i="17" s="1"/>
  <c r="BT113" i="17" s="1"/>
  <c r="BR114" i="17"/>
  <c r="BS114" i="17" s="1"/>
  <c r="BT114" i="17" s="1"/>
  <c r="BR115" i="17"/>
  <c r="BS115" i="17" s="1"/>
  <c r="BT115" i="17" s="1"/>
  <c r="BR116" i="17"/>
  <c r="BS116" i="17" s="1"/>
  <c r="BT116" i="17" s="1"/>
  <c r="BR117" i="17"/>
  <c r="BS117" i="17" s="1"/>
  <c r="BT117" i="17" s="1"/>
  <c r="BR118" i="17"/>
  <c r="BS118" i="17" s="1"/>
  <c r="BT118" i="17" s="1"/>
  <c r="BR119" i="17"/>
  <c r="BS119" i="17" s="1"/>
  <c r="BT119" i="17" s="1"/>
  <c r="BR120" i="17"/>
  <c r="BS120" i="17" s="1"/>
  <c r="BT120" i="17" s="1"/>
  <c r="BR121" i="17"/>
  <c r="BS121" i="17" s="1"/>
  <c r="BT121" i="17" s="1"/>
  <c r="BR122" i="17"/>
  <c r="BS122" i="17" s="1"/>
  <c r="BT122" i="17" s="1"/>
  <c r="BR123" i="17"/>
  <c r="BS123" i="17" s="1"/>
  <c r="BT123" i="17" s="1"/>
  <c r="BR124" i="17"/>
  <c r="BS124" i="17" s="1"/>
  <c r="BT124" i="17" s="1"/>
  <c r="BR125" i="17"/>
  <c r="BS125" i="17" s="1"/>
  <c r="BT125" i="17" s="1"/>
  <c r="BR126" i="17"/>
  <c r="BS126" i="17" s="1"/>
  <c r="BT126" i="17" s="1"/>
  <c r="BR127" i="17"/>
  <c r="BS127" i="17" s="1"/>
  <c r="BT127" i="17" s="1"/>
  <c r="BR128" i="17"/>
  <c r="BS128" i="17" s="1"/>
  <c r="BT128" i="17" s="1"/>
  <c r="BR129" i="17"/>
  <c r="BS129" i="17" s="1"/>
  <c r="BT129" i="17" s="1"/>
  <c r="BR130" i="17"/>
  <c r="BS130" i="17" s="1"/>
  <c r="BT130" i="17" s="1"/>
  <c r="BR131" i="17"/>
  <c r="BS131" i="17" s="1"/>
  <c r="BT131" i="17" s="1"/>
  <c r="BR132" i="17"/>
  <c r="BS132" i="17" s="1"/>
  <c r="BT132" i="17" s="1"/>
  <c r="BR133" i="17"/>
  <c r="BS133" i="17" s="1"/>
  <c r="BT133" i="17" s="1"/>
  <c r="BR134" i="17"/>
  <c r="BS134" i="17" s="1"/>
  <c r="BT134" i="17" s="1"/>
  <c r="BR135" i="17"/>
  <c r="BS135" i="17" s="1"/>
  <c r="BT135" i="17" s="1"/>
  <c r="BR136" i="17"/>
  <c r="BS136" i="17" s="1"/>
  <c r="BT136" i="17" s="1"/>
  <c r="BR137" i="17"/>
  <c r="BS137" i="17" s="1"/>
  <c r="BT137" i="17" s="1"/>
  <c r="BR138" i="17"/>
  <c r="BS138" i="17" s="1"/>
  <c r="BT138" i="17" s="1"/>
  <c r="BR139" i="17"/>
  <c r="BS139" i="17" s="1"/>
  <c r="BT139" i="17" s="1"/>
  <c r="BR140" i="17"/>
  <c r="BS140" i="17" s="1"/>
  <c r="BT140" i="17" s="1"/>
  <c r="BR141" i="17"/>
  <c r="BS141" i="17" s="1"/>
  <c r="BT141" i="17" s="1"/>
  <c r="BR142" i="17"/>
  <c r="BS142" i="17" s="1"/>
  <c r="BT142" i="17" s="1"/>
  <c r="BR143" i="17"/>
  <c r="BS143" i="17" s="1"/>
  <c r="BT143" i="17" s="1"/>
  <c r="BR144" i="17"/>
  <c r="BS144" i="17" s="1"/>
  <c r="BT144" i="17" s="1"/>
  <c r="BR145" i="17"/>
  <c r="BS145" i="17" s="1"/>
  <c r="BT145" i="17" s="1"/>
  <c r="BR146" i="17"/>
  <c r="BS146" i="17" s="1"/>
  <c r="BT146" i="17" s="1"/>
  <c r="BR147" i="17"/>
  <c r="BS147" i="17" s="1"/>
  <c r="BT147" i="17" s="1"/>
  <c r="BR148" i="17"/>
  <c r="BS148" i="17" s="1"/>
  <c r="BT148" i="17" s="1"/>
  <c r="BR149" i="17"/>
  <c r="BS149" i="17" s="1"/>
  <c r="BT149" i="17" s="1"/>
  <c r="BR150" i="17"/>
  <c r="BS150" i="17" s="1"/>
  <c r="BT150" i="17" s="1"/>
  <c r="BR151" i="17"/>
  <c r="BS151" i="17" s="1"/>
  <c r="BT151" i="17" s="1"/>
  <c r="BR152" i="17"/>
  <c r="BS152" i="17" s="1"/>
  <c r="BT152" i="17" s="1"/>
  <c r="BR153" i="17"/>
  <c r="BS153" i="17" s="1"/>
  <c r="BT153" i="17" s="1"/>
  <c r="BR154" i="17"/>
  <c r="BS154" i="17" s="1"/>
  <c r="BT154" i="17" s="1"/>
  <c r="BR155" i="17"/>
  <c r="BS155" i="17" s="1"/>
  <c r="BT155" i="17" s="1"/>
  <c r="BR156" i="17"/>
  <c r="BS156" i="17" s="1"/>
  <c r="BT156" i="17" s="1"/>
  <c r="BR157" i="17"/>
  <c r="BS157" i="17" s="1"/>
  <c r="BT157" i="17" s="1"/>
  <c r="BR158" i="17"/>
  <c r="BS158" i="17" s="1"/>
  <c r="BT158" i="17" s="1"/>
  <c r="BR159" i="17"/>
  <c r="BS159" i="17" s="1"/>
  <c r="BT159" i="17" s="1"/>
  <c r="BR160" i="17"/>
  <c r="BS160" i="17" s="1"/>
  <c r="BT160" i="17" s="1"/>
  <c r="BR161" i="17"/>
  <c r="BS161" i="17" s="1"/>
  <c r="BT161" i="17" s="1"/>
  <c r="BR162" i="17"/>
  <c r="BS162" i="17" s="1"/>
  <c r="BT162" i="17" s="1"/>
  <c r="BR163" i="17"/>
  <c r="BS163" i="17" s="1"/>
  <c r="BT163" i="17" s="1"/>
  <c r="BR164" i="17"/>
  <c r="BS164" i="17" s="1"/>
  <c r="BT164" i="17" s="1"/>
  <c r="BR165" i="17"/>
  <c r="BS165" i="17" s="1"/>
  <c r="BT165" i="17" s="1"/>
  <c r="BR166" i="17"/>
  <c r="BS166" i="17" s="1"/>
  <c r="BT166" i="17" s="1"/>
  <c r="BR167" i="17"/>
  <c r="BS167" i="17" s="1"/>
  <c r="BT167" i="17" s="1"/>
  <c r="BR168" i="17"/>
  <c r="BS168" i="17" s="1"/>
  <c r="BT168" i="17" s="1"/>
  <c r="BR169" i="17"/>
  <c r="BS169" i="17" s="1"/>
  <c r="BT169" i="17" s="1"/>
  <c r="BR170" i="17"/>
  <c r="BS170" i="17" s="1"/>
  <c r="BT170" i="17" s="1"/>
  <c r="BR171" i="17"/>
  <c r="BS171" i="17" s="1"/>
  <c r="BT171" i="17" s="1"/>
  <c r="BR172" i="17"/>
  <c r="BS172" i="17" s="1"/>
  <c r="BT172" i="17" s="1"/>
  <c r="BR173" i="17"/>
  <c r="BS173" i="17" s="1"/>
  <c r="BT173" i="17" s="1"/>
  <c r="BR174" i="17"/>
  <c r="BS174" i="17" s="1"/>
  <c r="BT174" i="17" s="1"/>
  <c r="BR175" i="17"/>
  <c r="BS175" i="17" s="1"/>
  <c r="BT175" i="17" s="1"/>
  <c r="BR176" i="17"/>
  <c r="BS176" i="17" s="1"/>
  <c r="BT176" i="17" s="1"/>
  <c r="BR177" i="17"/>
  <c r="BS177" i="17" s="1"/>
  <c r="BT177" i="17" s="1"/>
  <c r="BR178" i="17"/>
  <c r="BS178" i="17" s="1"/>
  <c r="BT178" i="17" s="1"/>
  <c r="BR179" i="17"/>
  <c r="BS179" i="17" s="1"/>
  <c r="BT179" i="17" s="1"/>
  <c r="BR180" i="17"/>
  <c r="BS180" i="17" s="1"/>
  <c r="BT180" i="17" s="1"/>
  <c r="BR181" i="17"/>
  <c r="BS181" i="17" s="1"/>
  <c r="BT181" i="17" s="1"/>
  <c r="BR182" i="17"/>
  <c r="BS182" i="17" s="1"/>
  <c r="BT182" i="17" s="1"/>
  <c r="BR183" i="17"/>
  <c r="BS183" i="17" s="1"/>
  <c r="BT183" i="17" s="1"/>
  <c r="BR184" i="17"/>
  <c r="BS184" i="17" s="1"/>
  <c r="BT184" i="17" s="1"/>
  <c r="BR185" i="17"/>
  <c r="BS185" i="17" s="1"/>
  <c r="BT185" i="17" s="1"/>
  <c r="BR186" i="17"/>
  <c r="BS186" i="17" s="1"/>
  <c r="BT186" i="17" s="1"/>
  <c r="BR187" i="17"/>
  <c r="BS187" i="17" s="1"/>
  <c r="BT187" i="17" s="1"/>
  <c r="BR188" i="17"/>
  <c r="BS188" i="17" s="1"/>
  <c r="BT188" i="17" s="1"/>
  <c r="BR189" i="17"/>
  <c r="BS189" i="17" s="1"/>
  <c r="BT189" i="17" s="1"/>
  <c r="BR190" i="17"/>
  <c r="BS190" i="17" s="1"/>
  <c r="BT190" i="17" s="1"/>
  <c r="BR191" i="17"/>
  <c r="BS191" i="17" s="1"/>
  <c r="BT191" i="17" s="1"/>
  <c r="BR192" i="17"/>
  <c r="BS192" i="17" s="1"/>
  <c r="BT192" i="17" s="1"/>
  <c r="BR193" i="17"/>
  <c r="BS193" i="17" s="1"/>
  <c r="BT193" i="17" s="1"/>
  <c r="BR194" i="17"/>
  <c r="BS194" i="17" s="1"/>
  <c r="BT194" i="17" s="1"/>
  <c r="BR195" i="17"/>
  <c r="BS195" i="17" s="1"/>
  <c r="BT195" i="17" s="1"/>
  <c r="BR196" i="17"/>
  <c r="BS196" i="17" s="1"/>
  <c r="BT196" i="17" s="1"/>
  <c r="BR197" i="17"/>
  <c r="BS197" i="17" s="1"/>
  <c r="BT197" i="17" s="1"/>
  <c r="BR198" i="17"/>
  <c r="BS198" i="17" s="1"/>
  <c r="BT198" i="17" s="1"/>
  <c r="BR199" i="17"/>
  <c r="BS199" i="17" s="1"/>
  <c r="BT199" i="17" s="1"/>
  <c r="BR200" i="17"/>
  <c r="BS200" i="17" s="1"/>
  <c r="BT200" i="17" s="1"/>
  <c r="BR201" i="17"/>
  <c r="BS201" i="17" s="1"/>
  <c r="BT201" i="17" s="1"/>
  <c r="BR202" i="17"/>
  <c r="BS202" i="17" s="1"/>
  <c r="BT202" i="17" s="1"/>
  <c r="BR203" i="17"/>
  <c r="BS203" i="17" s="1"/>
  <c r="BT203" i="17" s="1"/>
  <c r="BR204" i="17"/>
  <c r="BS204" i="17" s="1"/>
  <c r="BT204" i="17" s="1"/>
  <c r="BR205" i="17"/>
  <c r="BS205" i="17" s="1"/>
  <c r="BT205" i="17" s="1"/>
  <c r="BR206" i="17"/>
  <c r="BS206" i="17" s="1"/>
  <c r="BT206" i="17" s="1"/>
  <c r="BR207" i="17"/>
  <c r="BS207" i="17" s="1"/>
  <c r="BT207" i="17" s="1"/>
  <c r="BR208" i="17"/>
  <c r="BS208" i="17" s="1"/>
  <c r="BT208" i="17" s="1"/>
  <c r="BR209" i="17"/>
  <c r="BS209" i="17" s="1"/>
  <c r="BT209" i="17" s="1"/>
  <c r="BR210" i="17"/>
  <c r="BS210" i="17" s="1"/>
  <c r="BT210" i="17" s="1"/>
  <c r="BR211" i="17"/>
  <c r="BS211" i="17" s="1"/>
  <c r="BT211" i="17" s="1"/>
  <c r="BR212" i="17"/>
  <c r="BS212" i="17" s="1"/>
  <c r="BT212" i="17" s="1"/>
  <c r="BR213" i="17"/>
  <c r="BS213" i="17" s="1"/>
  <c r="BT213" i="17" s="1"/>
  <c r="BR214" i="17"/>
  <c r="BS214" i="17" s="1"/>
  <c r="BT214" i="17" s="1"/>
  <c r="BR215" i="17"/>
  <c r="BS215" i="17" s="1"/>
  <c r="BT215" i="17" s="1"/>
  <c r="BR216" i="17"/>
  <c r="BS216" i="17" s="1"/>
  <c r="BT216" i="17" s="1"/>
  <c r="BR217" i="17"/>
  <c r="BS217" i="17" s="1"/>
  <c r="BT217" i="17" s="1"/>
  <c r="BR218" i="17"/>
  <c r="BS218" i="17" s="1"/>
  <c r="BT218" i="17" s="1"/>
  <c r="BR219" i="17"/>
  <c r="BS219" i="17" s="1"/>
  <c r="BT219" i="17" s="1"/>
  <c r="BR220" i="17"/>
  <c r="BS220" i="17" s="1"/>
  <c r="BT220" i="17" s="1"/>
  <c r="BR221" i="17"/>
  <c r="BS221" i="17" s="1"/>
  <c r="BT221" i="17" s="1"/>
  <c r="BR222" i="17"/>
  <c r="BS222" i="17" s="1"/>
  <c r="BT222" i="17" s="1"/>
  <c r="BR223" i="17"/>
  <c r="BS223" i="17" s="1"/>
  <c r="BT223" i="17" s="1"/>
  <c r="BR224" i="17"/>
  <c r="BS224" i="17" s="1"/>
  <c r="BT224" i="17" s="1"/>
  <c r="BR225" i="17"/>
  <c r="BS225" i="17" s="1"/>
  <c r="BT225" i="17" s="1"/>
  <c r="BR226" i="17"/>
  <c r="BS226" i="17" s="1"/>
  <c r="BT226" i="17" s="1"/>
  <c r="BR227" i="17"/>
  <c r="BS227" i="17" s="1"/>
  <c r="BT227" i="17" s="1"/>
  <c r="BR228" i="17"/>
  <c r="BS228" i="17" s="1"/>
  <c r="BT228" i="17" s="1"/>
  <c r="BR229" i="17"/>
  <c r="BS229" i="17" s="1"/>
  <c r="BT229" i="17" s="1"/>
  <c r="BR230" i="17"/>
  <c r="BS230" i="17" s="1"/>
  <c r="BT230" i="17" s="1"/>
  <c r="BR231" i="17"/>
  <c r="BS231" i="17" s="1"/>
  <c r="BT231" i="17" s="1"/>
  <c r="BR232" i="17"/>
  <c r="BS232" i="17" s="1"/>
  <c r="BT232" i="17" s="1"/>
  <c r="BR233" i="17"/>
  <c r="BS233" i="17" s="1"/>
  <c r="BT233" i="17" s="1"/>
  <c r="BR234" i="17"/>
  <c r="BS234" i="17" s="1"/>
  <c r="BT234" i="17" s="1"/>
  <c r="BR235" i="17"/>
  <c r="BS235" i="17" s="1"/>
  <c r="BT235" i="17" s="1"/>
  <c r="BR236" i="17"/>
  <c r="BS236" i="17" s="1"/>
  <c r="BT236" i="17" s="1"/>
  <c r="BR237" i="17"/>
  <c r="BS237" i="17" s="1"/>
  <c r="BT237" i="17" s="1"/>
  <c r="BR238" i="17"/>
  <c r="BS238" i="17" s="1"/>
  <c r="BT238" i="17" s="1"/>
  <c r="BR239" i="17"/>
  <c r="BS239" i="17" s="1"/>
  <c r="BT239" i="17" s="1"/>
  <c r="BR240" i="17"/>
  <c r="BS240" i="17" s="1"/>
  <c r="BT240" i="17" s="1"/>
  <c r="BR241" i="17"/>
  <c r="BS241" i="17" s="1"/>
  <c r="BT241" i="17" s="1"/>
  <c r="BR242" i="17"/>
  <c r="BS242" i="17" s="1"/>
  <c r="BT242" i="17" s="1"/>
  <c r="BR243" i="17"/>
  <c r="BS243" i="17" s="1"/>
  <c r="BT243" i="17" s="1"/>
  <c r="BR244" i="17"/>
  <c r="BS244" i="17" s="1"/>
  <c r="BT244" i="17" s="1"/>
  <c r="BR245" i="17"/>
  <c r="BS245" i="17" s="1"/>
  <c r="BT245" i="17" s="1"/>
  <c r="BR246" i="17"/>
  <c r="BS246" i="17" s="1"/>
  <c r="BT246" i="17" s="1"/>
  <c r="BR247" i="17"/>
  <c r="BS247" i="17" s="1"/>
  <c r="BT247" i="17" s="1"/>
  <c r="BR248" i="17"/>
  <c r="BS248" i="17" s="1"/>
  <c r="BT248" i="17" s="1"/>
  <c r="BR249" i="17"/>
  <c r="BS249" i="17" s="1"/>
  <c r="BT249" i="17" s="1"/>
  <c r="BR250" i="17"/>
  <c r="BS250" i="17" s="1"/>
  <c r="BT250" i="17" s="1"/>
  <c r="BR251" i="17"/>
  <c r="BS251" i="17" s="1"/>
  <c r="BT251" i="17" s="1"/>
  <c r="BR252" i="17"/>
  <c r="BS252" i="17" s="1"/>
  <c r="BT252" i="17" s="1"/>
  <c r="BL2" i="17"/>
  <c r="BM2" i="17" s="1"/>
  <c r="BL3" i="17"/>
  <c r="BM3" i="17" s="1"/>
  <c r="BN3" i="17" s="1"/>
  <c r="BL4" i="17"/>
  <c r="BM4" i="17" s="1"/>
  <c r="BN4" i="17" s="1"/>
  <c r="BL5" i="17"/>
  <c r="BM5" i="17" s="1"/>
  <c r="BN5" i="17" s="1"/>
  <c r="BL6" i="17"/>
  <c r="BM6" i="17" s="1"/>
  <c r="BN6" i="17" s="1"/>
  <c r="BL7" i="17"/>
  <c r="BM7" i="17" s="1"/>
  <c r="BN7" i="17" s="1"/>
  <c r="BL8" i="17"/>
  <c r="BM8" i="17" s="1"/>
  <c r="BN8" i="17" s="1"/>
  <c r="BL9" i="17"/>
  <c r="BM9" i="17" s="1"/>
  <c r="BN9" i="17" s="1"/>
  <c r="BL10" i="17"/>
  <c r="BM10" i="17" s="1"/>
  <c r="BN10" i="17" s="1"/>
  <c r="BL11" i="17"/>
  <c r="BM11" i="17" s="1"/>
  <c r="BN11" i="17" s="1"/>
  <c r="BL12" i="17"/>
  <c r="BM12" i="17" s="1"/>
  <c r="BN12" i="17" s="1"/>
  <c r="BL13" i="17"/>
  <c r="BM13" i="17" s="1"/>
  <c r="BN13" i="17" s="1"/>
  <c r="BL14" i="17"/>
  <c r="BM14" i="17" s="1"/>
  <c r="BN14" i="17" s="1"/>
  <c r="BL15" i="17"/>
  <c r="BM15" i="17" s="1"/>
  <c r="BN15" i="17" s="1"/>
  <c r="BL16" i="17"/>
  <c r="BM16" i="17" s="1"/>
  <c r="BN16" i="17" s="1"/>
  <c r="BL17" i="17"/>
  <c r="BM17" i="17" s="1"/>
  <c r="BN17" i="17" s="1"/>
  <c r="BL18" i="17"/>
  <c r="BM18" i="17" s="1"/>
  <c r="BN18" i="17" s="1"/>
  <c r="BL19" i="17"/>
  <c r="BM19" i="17" s="1"/>
  <c r="BN19" i="17" s="1"/>
  <c r="BL20" i="17"/>
  <c r="BM20" i="17" s="1"/>
  <c r="BN20" i="17" s="1"/>
  <c r="BL21" i="17"/>
  <c r="BM21" i="17" s="1"/>
  <c r="BN21" i="17" s="1"/>
  <c r="BL22" i="17"/>
  <c r="BM22" i="17" s="1"/>
  <c r="BN22" i="17" s="1"/>
  <c r="BL23" i="17"/>
  <c r="BM23" i="17" s="1"/>
  <c r="BN23" i="17" s="1"/>
  <c r="BL24" i="17"/>
  <c r="BM24" i="17" s="1"/>
  <c r="BN24" i="17" s="1"/>
  <c r="BL25" i="17"/>
  <c r="BM25" i="17" s="1"/>
  <c r="BN25" i="17" s="1"/>
  <c r="BL26" i="17"/>
  <c r="BM26" i="17" s="1"/>
  <c r="BN26" i="17" s="1"/>
  <c r="BL27" i="17"/>
  <c r="BM27" i="17" s="1"/>
  <c r="BN27" i="17" s="1"/>
  <c r="BL28" i="17"/>
  <c r="BM28" i="17" s="1"/>
  <c r="BN28" i="17" s="1"/>
  <c r="BL29" i="17"/>
  <c r="BM29" i="17" s="1"/>
  <c r="BN29" i="17" s="1"/>
  <c r="BL30" i="17"/>
  <c r="BM30" i="17" s="1"/>
  <c r="BN30" i="17" s="1"/>
  <c r="BL31" i="17"/>
  <c r="BM31" i="17" s="1"/>
  <c r="BN31" i="17" s="1"/>
  <c r="BL32" i="17"/>
  <c r="BM32" i="17" s="1"/>
  <c r="BN32" i="17" s="1"/>
  <c r="BL33" i="17"/>
  <c r="BM33" i="17" s="1"/>
  <c r="BN33" i="17" s="1"/>
  <c r="BL34" i="17"/>
  <c r="BM34" i="17" s="1"/>
  <c r="BN34" i="17" s="1"/>
  <c r="BL35" i="17"/>
  <c r="BM35" i="17" s="1"/>
  <c r="BN35" i="17" s="1"/>
  <c r="BL36" i="17"/>
  <c r="BM36" i="17" s="1"/>
  <c r="BN36" i="17" s="1"/>
  <c r="BL37" i="17"/>
  <c r="BM37" i="17" s="1"/>
  <c r="BN37" i="17" s="1"/>
  <c r="BL38" i="17"/>
  <c r="BM38" i="17" s="1"/>
  <c r="BN38" i="17" s="1"/>
  <c r="BL39" i="17"/>
  <c r="BM39" i="17" s="1"/>
  <c r="BN39" i="17" s="1"/>
  <c r="BL40" i="17"/>
  <c r="BM40" i="17" s="1"/>
  <c r="BN40" i="17" s="1"/>
  <c r="BL41" i="17"/>
  <c r="BM41" i="17" s="1"/>
  <c r="BN41" i="17" s="1"/>
  <c r="BL42" i="17"/>
  <c r="BM42" i="17" s="1"/>
  <c r="BN42" i="17" s="1"/>
  <c r="BL43" i="17"/>
  <c r="BM43" i="17" s="1"/>
  <c r="BN43" i="17" s="1"/>
  <c r="BL44" i="17"/>
  <c r="BM44" i="17" s="1"/>
  <c r="BN44" i="17" s="1"/>
  <c r="BL45" i="17"/>
  <c r="BM45" i="17" s="1"/>
  <c r="BN45" i="17" s="1"/>
  <c r="BL46" i="17"/>
  <c r="BM46" i="17" s="1"/>
  <c r="BN46" i="17" s="1"/>
  <c r="BL47" i="17"/>
  <c r="BM47" i="17" s="1"/>
  <c r="BN47" i="17" s="1"/>
  <c r="BL48" i="17"/>
  <c r="BM48" i="17" s="1"/>
  <c r="BN48" i="17" s="1"/>
  <c r="BL49" i="17"/>
  <c r="BM49" i="17" s="1"/>
  <c r="BN49" i="17" s="1"/>
  <c r="BL50" i="17"/>
  <c r="BM50" i="17" s="1"/>
  <c r="BN50" i="17" s="1"/>
  <c r="BL51" i="17"/>
  <c r="BM51" i="17" s="1"/>
  <c r="BN51" i="17" s="1"/>
  <c r="BL52" i="17"/>
  <c r="BM52" i="17" s="1"/>
  <c r="BN52" i="17" s="1"/>
  <c r="BL53" i="17"/>
  <c r="BM53" i="17" s="1"/>
  <c r="BN53" i="17" s="1"/>
  <c r="BL54" i="17"/>
  <c r="BM54" i="17" s="1"/>
  <c r="BN54" i="17" s="1"/>
  <c r="BL55" i="17"/>
  <c r="BM55" i="17" s="1"/>
  <c r="BN55" i="17" s="1"/>
  <c r="BL56" i="17"/>
  <c r="BM56" i="17" s="1"/>
  <c r="BN56" i="17" s="1"/>
  <c r="BL57" i="17"/>
  <c r="BM57" i="17" s="1"/>
  <c r="BN57" i="17" s="1"/>
  <c r="BL58" i="17"/>
  <c r="BM58" i="17" s="1"/>
  <c r="BN58" i="17" s="1"/>
  <c r="BL59" i="17"/>
  <c r="BM59" i="17" s="1"/>
  <c r="BN59" i="17" s="1"/>
  <c r="BL60" i="17"/>
  <c r="BM60" i="17" s="1"/>
  <c r="BN60" i="17" s="1"/>
  <c r="BL61" i="17"/>
  <c r="BM61" i="17" s="1"/>
  <c r="BN61" i="17" s="1"/>
  <c r="BL62" i="17"/>
  <c r="BM62" i="17" s="1"/>
  <c r="BN62" i="17" s="1"/>
  <c r="BL63" i="17"/>
  <c r="BM63" i="17" s="1"/>
  <c r="BN63" i="17" s="1"/>
  <c r="BL64" i="17"/>
  <c r="BM64" i="17" s="1"/>
  <c r="BN64" i="17" s="1"/>
  <c r="BL65" i="17"/>
  <c r="BM65" i="17" s="1"/>
  <c r="BN65" i="17" s="1"/>
  <c r="BL66" i="17"/>
  <c r="BM66" i="17" s="1"/>
  <c r="BN66" i="17" s="1"/>
  <c r="BL67" i="17"/>
  <c r="BM67" i="17" s="1"/>
  <c r="BN67" i="17" s="1"/>
  <c r="BL68" i="17"/>
  <c r="BM68" i="17" s="1"/>
  <c r="BN68" i="17" s="1"/>
  <c r="BL69" i="17"/>
  <c r="BM69" i="17" s="1"/>
  <c r="BN69" i="17" s="1"/>
  <c r="BL70" i="17"/>
  <c r="BM70" i="17" s="1"/>
  <c r="BN70" i="17" s="1"/>
  <c r="BL71" i="17"/>
  <c r="BM71" i="17" s="1"/>
  <c r="BN71" i="17" s="1"/>
  <c r="BL72" i="17"/>
  <c r="BM72" i="17" s="1"/>
  <c r="BN72" i="17" s="1"/>
  <c r="BL73" i="17"/>
  <c r="BM73" i="17" s="1"/>
  <c r="BN73" i="17" s="1"/>
  <c r="BL74" i="17"/>
  <c r="BM74" i="17" s="1"/>
  <c r="BN74" i="17" s="1"/>
  <c r="BL75" i="17"/>
  <c r="BM75" i="17" s="1"/>
  <c r="BN75" i="17" s="1"/>
  <c r="BL76" i="17"/>
  <c r="BM76" i="17" s="1"/>
  <c r="BN76" i="17" s="1"/>
  <c r="BL77" i="17"/>
  <c r="BM77" i="17" s="1"/>
  <c r="BN77" i="17" s="1"/>
  <c r="BL78" i="17"/>
  <c r="BM78" i="17" s="1"/>
  <c r="BN78" i="17" s="1"/>
  <c r="BL79" i="17"/>
  <c r="BM79" i="17" s="1"/>
  <c r="BN79" i="17" s="1"/>
  <c r="BL80" i="17"/>
  <c r="BM80" i="17" s="1"/>
  <c r="BN80" i="17" s="1"/>
  <c r="BL81" i="17"/>
  <c r="BM81" i="17" s="1"/>
  <c r="BN81" i="17" s="1"/>
  <c r="BL82" i="17"/>
  <c r="BM82" i="17" s="1"/>
  <c r="BN82" i="17" s="1"/>
  <c r="BL83" i="17"/>
  <c r="BM83" i="17" s="1"/>
  <c r="BN83" i="17" s="1"/>
  <c r="BL84" i="17"/>
  <c r="BM84" i="17" s="1"/>
  <c r="BN84" i="17" s="1"/>
  <c r="BL85" i="17"/>
  <c r="BM85" i="17" s="1"/>
  <c r="BN85" i="17" s="1"/>
  <c r="BL86" i="17"/>
  <c r="BM86" i="17" s="1"/>
  <c r="BN86" i="17" s="1"/>
  <c r="BL87" i="17"/>
  <c r="BM87" i="17" s="1"/>
  <c r="BN87" i="17" s="1"/>
  <c r="BL88" i="17"/>
  <c r="BM88" i="17" s="1"/>
  <c r="BN88" i="17" s="1"/>
  <c r="BL89" i="17"/>
  <c r="BM89" i="17" s="1"/>
  <c r="BN89" i="17" s="1"/>
  <c r="BL90" i="17"/>
  <c r="BM90" i="17" s="1"/>
  <c r="BN90" i="17" s="1"/>
  <c r="BL91" i="17"/>
  <c r="BM91" i="17" s="1"/>
  <c r="BN91" i="17" s="1"/>
  <c r="BL92" i="17"/>
  <c r="BM92" i="17" s="1"/>
  <c r="BN92" i="17" s="1"/>
  <c r="BL93" i="17"/>
  <c r="BM93" i="17" s="1"/>
  <c r="BN93" i="17" s="1"/>
  <c r="BL94" i="17"/>
  <c r="BM94" i="17" s="1"/>
  <c r="BN94" i="17" s="1"/>
  <c r="BL95" i="17"/>
  <c r="BM95" i="17" s="1"/>
  <c r="BN95" i="17" s="1"/>
  <c r="BL96" i="17"/>
  <c r="BM96" i="17" s="1"/>
  <c r="BN96" i="17" s="1"/>
  <c r="BL97" i="17"/>
  <c r="BM97" i="17" s="1"/>
  <c r="BN97" i="17" s="1"/>
  <c r="BL98" i="17"/>
  <c r="BM98" i="17" s="1"/>
  <c r="BN98" i="17" s="1"/>
  <c r="BL99" i="17"/>
  <c r="BM99" i="17" s="1"/>
  <c r="BN99" i="17" s="1"/>
  <c r="BL100" i="17"/>
  <c r="BM100" i="17" s="1"/>
  <c r="BN100" i="17" s="1"/>
  <c r="BL101" i="17"/>
  <c r="BM101" i="17" s="1"/>
  <c r="BN101" i="17" s="1"/>
  <c r="BL102" i="17"/>
  <c r="BM102" i="17" s="1"/>
  <c r="BN102" i="17" s="1"/>
  <c r="BL103" i="17"/>
  <c r="BM103" i="17" s="1"/>
  <c r="BN103" i="17" s="1"/>
  <c r="BL104" i="17"/>
  <c r="BM104" i="17" s="1"/>
  <c r="BN104" i="17" s="1"/>
  <c r="BL105" i="17"/>
  <c r="BM105" i="17" s="1"/>
  <c r="BN105" i="17" s="1"/>
  <c r="BL106" i="17"/>
  <c r="BM106" i="17" s="1"/>
  <c r="BN106" i="17" s="1"/>
  <c r="BL107" i="17"/>
  <c r="BM107" i="17" s="1"/>
  <c r="BN107" i="17" s="1"/>
  <c r="BL108" i="17"/>
  <c r="BM108" i="17" s="1"/>
  <c r="BN108" i="17" s="1"/>
  <c r="BL109" i="17"/>
  <c r="BM109" i="17" s="1"/>
  <c r="BN109" i="17" s="1"/>
  <c r="BL110" i="17"/>
  <c r="BM110" i="17" s="1"/>
  <c r="BN110" i="17" s="1"/>
  <c r="BL111" i="17"/>
  <c r="BM111" i="17" s="1"/>
  <c r="BN111" i="17" s="1"/>
  <c r="BL112" i="17"/>
  <c r="BM112" i="17" s="1"/>
  <c r="BN112" i="17" s="1"/>
  <c r="BL113" i="17"/>
  <c r="BM113" i="17" s="1"/>
  <c r="BN113" i="17" s="1"/>
  <c r="BL114" i="17"/>
  <c r="BM114" i="17" s="1"/>
  <c r="BN114" i="17" s="1"/>
  <c r="BL115" i="17"/>
  <c r="BM115" i="17" s="1"/>
  <c r="BN115" i="17" s="1"/>
  <c r="BL116" i="17"/>
  <c r="BM116" i="17" s="1"/>
  <c r="BN116" i="17" s="1"/>
  <c r="BL117" i="17"/>
  <c r="BM117" i="17" s="1"/>
  <c r="BN117" i="17" s="1"/>
  <c r="BL118" i="17"/>
  <c r="BM118" i="17" s="1"/>
  <c r="BN118" i="17" s="1"/>
  <c r="BL119" i="17"/>
  <c r="BM119" i="17" s="1"/>
  <c r="BN119" i="17" s="1"/>
  <c r="BL120" i="17"/>
  <c r="BM120" i="17" s="1"/>
  <c r="BN120" i="17" s="1"/>
  <c r="BL121" i="17"/>
  <c r="BM121" i="17" s="1"/>
  <c r="BN121" i="17" s="1"/>
  <c r="BL122" i="17"/>
  <c r="BM122" i="17" s="1"/>
  <c r="BN122" i="17" s="1"/>
  <c r="BL123" i="17"/>
  <c r="BM123" i="17" s="1"/>
  <c r="BN123" i="17" s="1"/>
  <c r="BL124" i="17"/>
  <c r="BM124" i="17" s="1"/>
  <c r="BN124" i="17" s="1"/>
  <c r="BL125" i="17"/>
  <c r="BM125" i="17" s="1"/>
  <c r="BN125" i="17" s="1"/>
  <c r="BL126" i="17"/>
  <c r="BM126" i="17" s="1"/>
  <c r="BN126" i="17" s="1"/>
  <c r="BL127" i="17"/>
  <c r="BM127" i="17" s="1"/>
  <c r="BN127" i="17" s="1"/>
  <c r="BL128" i="17"/>
  <c r="BM128" i="17" s="1"/>
  <c r="BN128" i="17" s="1"/>
  <c r="BL129" i="17"/>
  <c r="BM129" i="17" s="1"/>
  <c r="BN129" i="17" s="1"/>
  <c r="BL130" i="17"/>
  <c r="BM130" i="17" s="1"/>
  <c r="BN130" i="17" s="1"/>
  <c r="BL131" i="17"/>
  <c r="BM131" i="17" s="1"/>
  <c r="BN131" i="17" s="1"/>
  <c r="BL132" i="17"/>
  <c r="BM132" i="17" s="1"/>
  <c r="BN132" i="17" s="1"/>
  <c r="BL133" i="17"/>
  <c r="BM133" i="17" s="1"/>
  <c r="BN133" i="17" s="1"/>
  <c r="BL134" i="17"/>
  <c r="BM134" i="17" s="1"/>
  <c r="BN134" i="17" s="1"/>
  <c r="BL135" i="17"/>
  <c r="BM135" i="17" s="1"/>
  <c r="BN135" i="17" s="1"/>
  <c r="BL136" i="17"/>
  <c r="BM136" i="17" s="1"/>
  <c r="BN136" i="17" s="1"/>
  <c r="BL137" i="17"/>
  <c r="BM137" i="17" s="1"/>
  <c r="BN137" i="17" s="1"/>
  <c r="BL138" i="17"/>
  <c r="BM138" i="17" s="1"/>
  <c r="BN138" i="17" s="1"/>
  <c r="BL139" i="17"/>
  <c r="BM139" i="17" s="1"/>
  <c r="BN139" i="17" s="1"/>
  <c r="BL140" i="17"/>
  <c r="BM140" i="17" s="1"/>
  <c r="BN140" i="17" s="1"/>
  <c r="BL141" i="17"/>
  <c r="BM141" i="17" s="1"/>
  <c r="BN141" i="17" s="1"/>
  <c r="BL142" i="17"/>
  <c r="BM142" i="17" s="1"/>
  <c r="BN142" i="17" s="1"/>
  <c r="BL143" i="17"/>
  <c r="BM143" i="17" s="1"/>
  <c r="BN143" i="17" s="1"/>
  <c r="BL144" i="17"/>
  <c r="BM144" i="17" s="1"/>
  <c r="BN144" i="17" s="1"/>
  <c r="BL145" i="17"/>
  <c r="BM145" i="17" s="1"/>
  <c r="BN145" i="17" s="1"/>
  <c r="BL146" i="17"/>
  <c r="BM146" i="17" s="1"/>
  <c r="BN146" i="17" s="1"/>
  <c r="BL147" i="17"/>
  <c r="BM147" i="17" s="1"/>
  <c r="BN147" i="17" s="1"/>
  <c r="BL148" i="17"/>
  <c r="BM148" i="17" s="1"/>
  <c r="BN148" i="17" s="1"/>
  <c r="BL149" i="17"/>
  <c r="BM149" i="17" s="1"/>
  <c r="BN149" i="17" s="1"/>
  <c r="BL150" i="17"/>
  <c r="BM150" i="17" s="1"/>
  <c r="BN150" i="17" s="1"/>
  <c r="BL151" i="17"/>
  <c r="BM151" i="17" s="1"/>
  <c r="BN151" i="17" s="1"/>
  <c r="BL152" i="17"/>
  <c r="BM152" i="17" s="1"/>
  <c r="BN152" i="17" s="1"/>
  <c r="BL153" i="17"/>
  <c r="BM153" i="17" s="1"/>
  <c r="BN153" i="17" s="1"/>
  <c r="BL154" i="17"/>
  <c r="BM154" i="17" s="1"/>
  <c r="BN154" i="17" s="1"/>
  <c r="BL155" i="17"/>
  <c r="BM155" i="17" s="1"/>
  <c r="BN155" i="17" s="1"/>
  <c r="BL156" i="17"/>
  <c r="BM156" i="17" s="1"/>
  <c r="BN156" i="17" s="1"/>
  <c r="BL157" i="17"/>
  <c r="BM157" i="17" s="1"/>
  <c r="BN157" i="17" s="1"/>
  <c r="BL158" i="17"/>
  <c r="BM158" i="17" s="1"/>
  <c r="BN158" i="17" s="1"/>
  <c r="BL159" i="17"/>
  <c r="BM159" i="17" s="1"/>
  <c r="BN159" i="17" s="1"/>
  <c r="BL160" i="17"/>
  <c r="BM160" i="17" s="1"/>
  <c r="BN160" i="17" s="1"/>
  <c r="BL161" i="17"/>
  <c r="BM161" i="17" s="1"/>
  <c r="BN161" i="17" s="1"/>
  <c r="BL162" i="17"/>
  <c r="BM162" i="17" s="1"/>
  <c r="BN162" i="17" s="1"/>
  <c r="BL163" i="17"/>
  <c r="BM163" i="17" s="1"/>
  <c r="BN163" i="17" s="1"/>
  <c r="BL164" i="17"/>
  <c r="BM164" i="17" s="1"/>
  <c r="BN164" i="17" s="1"/>
  <c r="BL165" i="17"/>
  <c r="BM165" i="17" s="1"/>
  <c r="BN165" i="17" s="1"/>
  <c r="BL166" i="17"/>
  <c r="BM166" i="17" s="1"/>
  <c r="BN166" i="17" s="1"/>
  <c r="BL167" i="17"/>
  <c r="BM167" i="17" s="1"/>
  <c r="BN167" i="17" s="1"/>
  <c r="BL168" i="17"/>
  <c r="BM168" i="17" s="1"/>
  <c r="BN168" i="17" s="1"/>
  <c r="BL169" i="17"/>
  <c r="BM169" i="17" s="1"/>
  <c r="BN169" i="17" s="1"/>
  <c r="BL170" i="17"/>
  <c r="BM170" i="17" s="1"/>
  <c r="BN170" i="17" s="1"/>
  <c r="BL171" i="17"/>
  <c r="BM171" i="17" s="1"/>
  <c r="BN171" i="17" s="1"/>
  <c r="BL172" i="17"/>
  <c r="BM172" i="17" s="1"/>
  <c r="BN172" i="17" s="1"/>
  <c r="BL173" i="17"/>
  <c r="BM173" i="17" s="1"/>
  <c r="BN173" i="17" s="1"/>
  <c r="BL174" i="17"/>
  <c r="BM174" i="17" s="1"/>
  <c r="BN174" i="17" s="1"/>
  <c r="BL175" i="17"/>
  <c r="BM175" i="17" s="1"/>
  <c r="BN175" i="17" s="1"/>
  <c r="BL176" i="17"/>
  <c r="BM176" i="17" s="1"/>
  <c r="BN176" i="17" s="1"/>
  <c r="BL177" i="17"/>
  <c r="BM177" i="17" s="1"/>
  <c r="BN177" i="17" s="1"/>
  <c r="BL178" i="17"/>
  <c r="BM178" i="17" s="1"/>
  <c r="BN178" i="17" s="1"/>
  <c r="BL179" i="17"/>
  <c r="BM179" i="17" s="1"/>
  <c r="BN179" i="17" s="1"/>
  <c r="BL180" i="17"/>
  <c r="BM180" i="17" s="1"/>
  <c r="BN180" i="17" s="1"/>
  <c r="BL181" i="17"/>
  <c r="BM181" i="17" s="1"/>
  <c r="BN181" i="17" s="1"/>
  <c r="BL182" i="17"/>
  <c r="BM182" i="17" s="1"/>
  <c r="BN182" i="17" s="1"/>
  <c r="BL183" i="17"/>
  <c r="BM183" i="17" s="1"/>
  <c r="BN183" i="17" s="1"/>
  <c r="BL184" i="17"/>
  <c r="BM184" i="17" s="1"/>
  <c r="BN184" i="17" s="1"/>
  <c r="BL185" i="17"/>
  <c r="BM185" i="17" s="1"/>
  <c r="BN185" i="17" s="1"/>
  <c r="BL186" i="17"/>
  <c r="BM186" i="17" s="1"/>
  <c r="BN186" i="17" s="1"/>
  <c r="BL187" i="17"/>
  <c r="BM187" i="17" s="1"/>
  <c r="BN187" i="17" s="1"/>
  <c r="BL188" i="17"/>
  <c r="BM188" i="17" s="1"/>
  <c r="BN188" i="17" s="1"/>
  <c r="BL189" i="17"/>
  <c r="BM189" i="17" s="1"/>
  <c r="BN189" i="17" s="1"/>
  <c r="BL190" i="17"/>
  <c r="BM190" i="17" s="1"/>
  <c r="BN190" i="17" s="1"/>
  <c r="BL191" i="17"/>
  <c r="BM191" i="17" s="1"/>
  <c r="BN191" i="17" s="1"/>
  <c r="BL192" i="17"/>
  <c r="BM192" i="17" s="1"/>
  <c r="BN192" i="17" s="1"/>
  <c r="BL193" i="17"/>
  <c r="BM193" i="17" s="1"/>
  <c r="BN193" i="17" s="1"/>
  <c r="BL194" i="17"/>
  <c r="BM194" i="17" s="1"/>
  <c r="BN194" i="17" s="1"/>
  <c r="BL195" i="17"/>
  <c r="BM195" i="17" s="1"/>
  <c r="BN195" i="17" s="1"/>
  <c r="BL196" i="17"/>
  <c r="BM196" i="17" s="1"/>
  <c r="BN196" i="17" s="1"/>
  <c r="BL197" i="17"/>
  <c r="BM197" i="17" s="1"/>
  <c r="BN197" i="17" s="1"/>
  <c r="BL198" i="17"/>
  <c r="BM198" i="17" s="1"/>
  <c r="BN198" i="17" s="1"/>
  <c r="BL199" i="17"/>
  <c r="BM199" i="17" s="1"/>
  <c r="BN199" i="17" s="1"/>
  <c r="BL200" i="17"/>
  <c r="BM200" i="17" s="1"/>
  <c r="BN200" i="17" s="1"/>
  <c r="BL201" i="17"/>
  <c r="BM201" i="17" s="1"/>
  <c r="BN201" i="17" s="1"/>
  <c r="BL202" i="17"/>
  <c r="BM202" i="17" s="1"/>
  <c r="BN202" i="17" s="1"/>
  <c r="BL203" i="17"/>
  <c r="BM203" i="17" s="1"/>
  <c r="BN203" i="17" s="1"/>
  <c r="BL204" i="17"/>
  <c r="BM204" i="17" s="1"/>
  <c r="BN204" i="17" s="1"/>
  <c r="BL205" i="17"/>
  <c r="BM205" i="17" s="1"/>
  <c r="BN205" i="17" s="1"/>
  <c r="BL206" i="17"/>
  <c r="BM206" i="17" s="1"/>
  <c r="BN206" i="17" s="1"/>
  <c r="BL207" i="17"/>
  <c r="BM207" i="17" s="1"/>
  <c r="BN207" i="17" s="1"/>
  <c r="BL208" i="17"/>
  <c r="BM208" i="17" s="1"/>
  <c r="BN208" i="17" s="1"/>
  <c r="BL209" i="17"/>
  <c r="BM209" i="17" s="1"/>
  <c r="BN209" i="17" s="1"/>
  <c r="BL210" i="17"/>
  <c r="BM210" i="17" s="1"/>
  <c r="BN210" i="17" s="1"/>
  <c r="BL211" i="17"/>
  <c r="BM211" i="17" s="1"/>
  <c r="BN211" i="17" s="1"/>
  <c r="BL212" i="17"/>
  <c r="BM212" i="17" s="1"/>
  <c r="BN212" i="17" s="1"/>
  <c r="BL213" i="17"/>
  <c r="BM213" i="17" s="1"/>
  <c r="BN213" i="17" s="1"/>
  <c r="BL214" i="17"/>
  <c r="BM214" i="17" s="1"/>
  <c r="BN214" i="17" s="1"/>
  <c r="BL215" i="17"/>
  <c r="BM215" i="17" s="1"/>
  <c r="BN215" i="17" s="1"/>
  <c r="BL216" i="17"/>
  <c r="BM216" i="17" s="1"/>
  <c r="BN216" i="17" s="1"/>
  <c r="BL217" i="17"/>
  <c r="BM217" i="17" s="1"/>
  <c r="BN217" i="17" s="1"/>
  <c r="BL218" i="17"/>
  <c r="BM218" i="17" s="1"/>
  <c r="BN218" i="17" s="1"/>
  <c r="BL219" i="17"/>
  <c r="BM219" i="17" s="1"/>
  <c r="BN219" i="17" s="1"/>
  <c r="BL220" i="17"/>
  <c r="BM220" i="17" s="1"/>
  <c r="BN220" i="17" s="1"/>
  <c r="BL221" i="17"/>
  <c r="BM221" i="17" s="1"/>
  <c r="BN221" i="17" s="1"/>
  <c r="BL222" i="17"/>
  <c r="BM222" i="17" s="1"/>
  <c r="BN222" i="17" s="1"/>
  <c r="BL223" i="17"/>
  <c r="BM223" i="17" s="1"/>
  <c r="BN223" i="17" s="1"/>
  <c r="BL224" i="17"/>
  <c r="BM224" i="17" s="1"/>
  <c r="BN224" i="17" s="1"/>
  <c r="BL225" i="17"/>
  <c r="BM225" i="17" s="1"/>
  <c r="BN225" i="17" s="1"/>
  <c r="BL226" i="17"/>
  <c r="BM226" i="17" s="1"/>
  <c r="BN226" i="17" s="1"/>
  <c r="BL227" i="17"/>
  <c r="BM227" i="17" s="1"/>
  <c r="BN227" i="17" s="1"/>
  <c r="BL228" i="17"/>
  <c r="BM228" i="17" s="1"/>
  <c r="BN228" i="17" s="1"/>
  <c r="BL229" i="17"/>
  <c r="BM229" i="17" s="1"/>
  <c r="BN229" i="17" s="1"/>
  <c r="BL230" i="17"/>
  <c r="BM230" i="17" s="1"/>
  <c r="BN230" i="17" s="1"/>
  <c r="BL231" i="17"/>
  <c r="BM231" i="17" s="1"/>
  <c r="BN231" i="17" s="1"/>
  <c r="BL232" i="17"/>
  <c r="BM232" i="17" s="1"/>
  <c r="BN232" i="17" s="1"/>
  <c r="BL233" i="17"/>
  <c r="BM233" i="17" s="1"/>
  <c r="BN233" i="17" s="1"/>
  <c r="BL234" i="17"/>
  <c r="BM234" i="17" s="1"/>
  <c r="BN234" i="17" s="1"/>
  <c r="BL235" i="17"/>
  <c r="BM235" i="17" s="1"/>
  <c r="BN235" i="17" s="1"/>
  <c r="BL236" i="17"/>
  <c r="BM236" i="17" s="1"/>
  <c r="BN236" i="17" s="1"/>
  <c r="BL237" i="17"/>
  <c r="BM237" i="17" s="1"/>
  <c r="BN237" i="17" s="1"/>
  <c r="BL238" i="17"/>
  <c r="BM238" i="17" s="1"/>
  <c r="BN238" i="17" s="1"/>
  <c r="BL239" i="17"/>
  <c r="BM239" i="17" s="1"/>
  <c r="BN239" i="17" s="1"/>
  <c r="BL240" i="17"/>
  <c r="BM240" i="17" s="1"/>
  <c r="BN240" i="17" s="1"/>
  <c r="BL241" i="17"/>
  <c r="BM241" i="17" s="1"/>
  <c r="BN241" i="17" s="1"/>
  <c r="BL242" i="17"/>
  <c r="BM242" i="17" s="1"/>
  <c r="BN242" i="17" s="1"/>
  <c r="BL243" i="17"/>
  <c r="BM243" i="17" s="1"/>
  <c r="BN243" i="17" s="1"/>
  <c r="BL244" i="17"/>
  <c r="BM244" i="17" s="1"/>
  <c r="BN244" i="17" s="1"/>
  <c r="BL245" i="17"/>
  <c r="BM245" i="17" s="1"/>
  <c r="BN245" i="17" s="1"/>
  <c r="BL246" i="17"/>
  <c r="BM246" i="17" s="1"/>
  <c r="BN246" i="17" s="1"/>
  <c r="BL247" i="17"/>
  <c r="BM247" i="17" s="1"/>
  <c r="BN247" i="17" s="1"/>
  <c r="BL248" i="17"/>
  <c r="BM248" i="17" s="1"/>
  <c r="BN248" i="17" s="1"/>
  <c r="BL249" i="17"/>
  <c r="BM249" i="17" s="1"/>
  <c r="BN249" i="17" s="1"/>
  <c r="BL250" i="17"/>
  <c r="BM250" i="17" s="1"/>
  <c r="BN250" i="17" s="1"/>
  <c r="BL251" i="17"/>
  <c r="BM251" i="17" s="1"/>
  <c r="BN251" i="17" s="1"/>
  <c r="BL252" i="17"/>
  <c r="BM252" i="17" s="1"/>
  <c r="BN252" i="17" s="1"/>
  <c r="BF2" i="17"/>
  <c r="BG2" i="17" s="1"/>
  <c r="BF3" i="17"/>
  <c r="BG3" i="17" s="1"/>
  <c r="BH3" i="17" s="1"/>
  <c r="BF4" i="17"/>
  <c r="BG4" i="17" s="1"/>
  <c r="BH4" i="17" s="1"/>
  <c r="BF5" i="17"/>
  <c r="BG5" i="17" s="1"/>
  <c r="BH5" i="17" s="1"/>
  <c r="BF6" i="17"/>
  <c r="BG6" i="17" s="1"/>
  <c r="BH6" i="17" s="1"/>
  <c r="BF7" i="17"/>
  <c r="BG7" i="17" s="1"/>
  <c r="BH7" i="17" s="1"/>
  <c r="BF8" i="17"/>
  <c r="BG8" i="17" s="1"/>
  <c r="BH8" i="17" s="1"/>
  <c r="BF9" i="17"/>
  <c r="BG9" i="17" s="1"/>
  <c r="BH9" i="17" s="1"/>
  <c r="BF10" i="17"/>
  <c r="BG10" i="17" s="1"/>
  <c r="BH10" i="17" s="1"/>
  <c r="BF11" i="17"/>
  <c r="BG11" i="17" s="1"/>
  <c r="BH11" i="17" s="1"/>
  <c r="BF12" i="17"/>
  <c r="BG12" i="17" s="1"/>
  <c r="BH12" i="17" s="1"/>
  <c r="BF13" i="17"/>
  <c r="BG13" i="17" s="1"/>
  <c r="BH13" i="17" s="1"/>
  <c r="BF14" i="17"/>
  <c r="BG14" i="17" s="1"/>
  <c r="BH14" i="17" s="1"/>
  <c r="BF15" i="17"/>
  <c r="BG15" i="17" s="1"/>
  <c r="BH15" i="17" s="1"/>
  <c r="BF16" i="17"/>
  <c r="BG16" i="17" s="1"/>
  <c r="BH16" i="17" s="1"/>
  <c r="BF17" i="17"/>
  <c r="BG17" i="17" s="1"/>
  <c r="BH17" i="17" s="1"/>
  <c r="BF18" i="17"/>
  <c r="BG18" i="17" s="1"/>
  <c r="BH18" i="17" s="1"/>
  <c r="BF19" i="17"/>
  <c r="BG19" i="17" s="1"/>
  <c r="BH19" i="17" s="1"/>
  <c r="BF20" i="17"/>
  <c r="BG20" i="17" s="1"/>
  <c r="BH20" i="17" s="1"/>
  <c r="BF21" i="17"/>
  <c r="BG21" i="17" s="1"/>
  <c r="BH21" i="17" s="1"/>
  <c r="BF22" i="17"/>
  <c r="BG22" i="17" s="1"/>
  <c r="BH22" i="17" s="1"/>
  <c r="BF23" i="17"/>
  <c r="BG23" i="17" s="1"/>
  <c r="BH23" i="17" s="1"/>
  <c r="BF24" i="17"/>
  <c r="BG24" i="17" s="1"/>
  <c r="BH24" i="17" s="1"/>
  <c r="BF25" i="17"/>
  <c r="BG25" i="17" s="1"/>
  <c r="BH25" i="17" s="1"/>
  <c r="BF26" i="17"/>
  <c r="BG26" i="17" s="1"/>
  <c r="BH26" i="17" s="1"/>
  <c r="BF27" i="17"/>
  <c r="BG27" i="17" s="1"/>
  <c r="BH27" i="17" s="1"/>
  <c r="BF28" i="17"/>
  <c r="BG28" i="17" s="1"/>
  <c r="BH28" i="17" s="1"/>
  <c r="BF29" i="17"/>
  <c r="BG29" i="17" s="1"/>
  <c r="BH29" i="17" s="1"/>
  <c r="BF30" i="17"/>
  <c r="BG30" i="17" s="1"/>
  <c r="BH30" i="17" s="1"/>
  <c r="BF31" i="17"/>
  <c r="BG31" i="17" s="1"/>
  <c r="BH31" i="17" s="1"/>
  <c r="BF32" i="17"/>
  <c r="BG32" i="17" s="1"/>
  <c r="BH32" i="17" s="1"/>
  <c r="BF33" i="17"/>
  <c r="BG33" i="17" s="1"/>
  <c r="BH33" i="17" s="1"/>
  <c r="BF34" i="17"/>
  <c r="BG34" i="17" s="1"/>
  <c r="BH34" i="17" s="1"/>
  <c r="BF35" i="17"/>
  <c r="BG35" i="17" s="1"/>
  <c r="BH35" i="17" s="1"/>
  <c r="BF36" i="17"/>
  <c r="BG36" i="17" s="1"/>
  <c r="BH36" i="17" s="1"/>
  <c r="BF37" i="17"/>
  <c r="BG37" i="17" s="1"/>
  <c r="BH37" i="17" s="1"/>
  <c r="BF38" i="17"/>
  <c r="BG38" i="17" s="1"/>
  <c r="BH38" i="17" s="1"/>
  <c r="BF39" i="17"/>
  <c r="BG39" i="17" s="1"/>
  <c r="BH39" i="17" s="1"/>
  <c r="BF40" i="17"/>
  <c r="BG40" i="17" s="1"/>
  <c r="BH40" i="17" s="1"/>
  <c r="BF41" i="17"/>
  <c r="BG41" i="17" s="1"/>
  <c r="BH41" i="17" s="1"/>
  <c r="BF42" i="17"/>
  <c r="BG42" i="17" s="1"/>
  <c r="BH42" i="17" s="1"/>
  <c r="BF43" i="17"/>
  <c r="BG43" i="17" s="1"/>
  <c r="BH43" i="17" s="1"/>
  <c r="BF44" i="17"/>
  <c r="BG44" i="17" s="1"/>
  <c r="BH44" i="17" s="1"/>
  <c r="BF45" i="17"/>
  <c r="BG45" i="17" s="1"/>
  <c r="BH45" i="17" s="1"/>
  <c r="BF46" i="17"/>
  <c r="BG46" i="17" s="1"/>
  <c r="BH46" i="17" s="1"/>
  <c r="BF47" i="17"/>
  <c r="BG47" i="17" s="1"/>
  <c r="BH47" i="17" s="1"/>
  <c r="BF48" i="17"/>
  <c r="BG48" i="17" s="1"/>
  <c r="BH48" i="17" s="1"/>
  <c r="BF49" i="17"/>
  <c r="BG49" i="17" s="1"/>
  <c r="BH49" i="17" s="1"/>
  <c r="BF50" i="17"/>
  <c r="BG50" i="17" s="1"/>
  <c r="BH50" i="17" s="1"/>
  <c r="BF51" i="17"/>
  <c r="BG51" i="17" s="1"/>
  <c r="BH51" i="17" s="1"/>
  <c r="BF52" i="17"/>
  <c r="BG52" i="17" s="1"/>
  <c r="BH52" i="17" s="1"/>
  <c r="BF53" i="17"/>
  <c r="BG53" i="17" s="1"/>
  <c r="BH53" i="17" s="1"/>
  <c r="BF54" i="17"/>
  <c r="BG54" i="17" s="1"/>
  <c r="BH54" i="17" s="1"/>
  <c r="BF55" i="17"/>
  <c r="BG55" i="17" s="1"/>
  <c r="BH55" i="17" s="1"/>
  <c r="BF56" i="17"/>
  <c r="BG56" i="17" s="1"/>
  <c r="BH56" i="17" s="1"/>
  <c r="BF57" i="17"/>
  <c r="BG57" i="17" s="1"/>
  <c r="BH57" i="17" s="1"/>
  <c r="BF58" i="17"/>
  <c r="BG58" i="17" s="1"/>
  <c r="BH58" i="17" s="1"/>
  <c r="BF59" i="17"/>
  <c r="BG59" i="17" s="1"/>
  <c r="BH59" i="17" s="1"/>
  <c r="BF60" i="17"/>
  <c r="BG60" i="17" s="1"/>
  <c r="BH60" i="17" s="1"/>
  <c r="BF61" i="17"/>
  <c r="BG61" i="17" s="1"/>
  <c r="BH61" i="17" s="1"/>
  <c r="BF62" i="17"/>
  <c r="BG62" i="17" s="1"/>
  <c r="BH62" i="17" s="1"/>
  <c r="BF63" i="17"/>
  <c r="BG63" i="17" s="1"/>
  <c r="BH63" i="17" s="1"/>
  <c r="BF64" i="17"/>
  <c r="BG64" i="17" s="1"/>
  <c r="BH64" i="17" s="1"/>
  <c r="BF65" i="17"/>
  <c r="BG65" i="17" s="1"/>
  <c r="BH65" i="17" s="1"/>
  <c r="BF66" i="17"/>
  <c r="BG66" i="17" s="1"/>
  <c r="BH66" i="17" s="1"/>
  <c r="BF67" i="17"/>
  <c r="BG67" i="17" s="1"/>
  <c r="BH67" i="17" s="1"/>
  <c r="BF68" i="17"/>
  <c r="BG68" i="17" s="1"/>
  <c r="BH68" i="17" s="1"/>
  <c r="BF69" i="17"/>
  <c r="BG69" i="17" s="1"/>
  <c r="BH69" i="17" s="1"/>
  <c r="BF70" i="17"/>
  <c r="BG70" i="17" s="1"/>
  <c r="BH70" i="17" s="1"/>
  <c r="BF71" i="17"/>
  <c r="BG71" i="17" s="1"/>
  <c r="BH71" i="17" s="1"/>
  <c r="BF72" i="17"/>
  <c r="BG72" i="17" s="1"/>
  <c r="BH72" i="17" s="1"/>
  <c r="BF73" i="17"/>
  <c r="BG73" i="17" s="1"/>
  <c r="BH73" i="17" s="1"/>
  <c r="BF74" i="17"/>
  <c r="BG74" i="17" s="1"/>
  <c r="BH74" i="17" s="1"/>
  <c r="BF75" i="17"/>
  <c r="BG75" i="17" s="1"/>
  <c r="BH75" i="17" s="1"/>
  <c r="BF76" i="17"/>
  <c r="BG76" i="17" s="1"/>
  <c r="BH76" i="17" s="1"/>
  <c r="BF77" i="17"/>
  <c r="BG77" i="17" s="1"/>
  <c r="BH77" i="17" s="1"/>
  <c r="BF78" i="17"/>
  <c r="BG78" i="17" s="1"/>
  <c r="BH78" i="17" s="1"/>
  <c r="BF79" i="17"/>
  <c r="BG79" i="17" s="1"/>
  <c r="BH79" i="17" s="1"/>
  <c r="BF80" i="17"/>
  <c r="BG80" i="17" s="1"/>
  <c r="BH80" i="17" s="1"/>
  <c r="BF81" i="17"/>
  <c r="BG81" i="17" s="1"/>
  <c r="BH81" i="17" s="1"/>
  <c r="BF82" i="17"/>
  <c r="BG82" i="17" s="1"/>
  <c r="BH82" i="17" s="1"/>
  <c r="BF83" i="17"/>
  <c r="BG83" i="17" s="1"/>
  <c r="BH83" i="17" s="1"/>
  <c r="BF84" i="17"/>
  <c r="BG84" i="17" s="1"/>
  <c r="BH84" i="17" s="1"/>
  <c r="BF85" i="17"/>
  <c r="BG85" i="17" s="1"/>
  <c r="BH85" i="17" s="1"/>
  <c r="BF86" i="17"/>
  <c r="BG86" i="17" s="1"/>
  <c r="BH86" i="17" s="1"/>
  <c r="BF87" i="17"/>
  <c r="BG87" i="17" s="1"/>
  <c r="BH87" i="17" s="1"/>
  <c r="BF88" i="17"/>
  <c r="BG88" i="17" s="1"/>
  <c r="BH88" i="17" s="1"/>
  <c r="BF89" i="17"/>
  <c r="BG89" i="17" s="1"/>
  <c r="BH89" i="17" s="1"/>
  <c r="BF90" i="17"/>
  <c r="BG90" i="17" s="1"/>
  <c r="BH90" i="17" s="1"/>
  <c r="BF91" i="17"/>
  <c r="BG91" i="17" s="1"/>
  <c r="BH91" i="17" s="1"/>
  <c r="BF92" i="17"/>
  <c r="BG92" i="17" s="1"/>
  <c r="BH92" i="17" s="1"/>
  <c r="BF93" i="17"/>
  <c r="BG93" i="17" s="1"/>
  <c r="BH93" i="17" s="1"/>
  <c r="BF94" i="17"/>
  <c r="BG94" i="17" s="1"/>
  <c r="BH94" i="17" s="1"/>
  <c r="BF95" i="17"/>
  <c r="BG95" i="17" s="1"/>
  <c r="BH95" i="17" s="1"/>
  <c r="BF96" i="17"/>
  <c r="BG96" i="17" s="1"/>
  <c r="BH96" i="17" s="1"/>
  <c r="BF97" i="17"/>
  <c r="BG97" i="17" s="1"/>
  <c r="BH97" i="17" s="1"/>
  <c r="BF98" i="17"/>
  <c r="BG98" i="17" s="1"/>
  <c r="BH98" i="17" s="1"/>
  <c r="BF99" i="17"/>
  <c r="BG99" i="17" s="1"/>
  <c r="BH99" i="17" s="1"/>
  <c r="BF100" i="17"/>
  <c r="BG100" i="17" s="1"/>
  <c r="BH100" i="17" s="1"/>
  <c r="BF101" i="17"/>
  <c r="BG101" i="17" s="1"/>
  <c r="BH101" i="17" s="1"/>
  <c r="BF102" i="17"/>
  <c r="BG102" i="17" s="1"/>
  <c r="BH102" i="17" s="1"/>
  <c r="BF103" i="17"/>
  <c r="BG103" i="17" s="1"/>
  <c r="BH103" i="17" s="1"/>
  <c r="BF104" i="17"/>
  <c r="BG104" i="17" s="1"/>
  <c r="BH104" i="17" s="1"/>
  <c r="BF105" i="17"/>
  <c r="BG105" i="17" s="1"/>
  <c r="BH105" i="17" s="1"/>
  <c r="BF106" i="17"/>
  <c r="BG106" i="17" s="1"/>
  <c r="BH106" i="17" s="1"/>
  <c r="BF107" i="17"/>
  <c r="BG107" i="17" s="1"/>
  <c r="BH107" i="17" s="1"/>
  <c r="BF108" i="17"/>
  <c r="BG108" i="17" s="1"/>
  <c r="BH108" i="17" s="1"/>
  <c r="BF109" i="17"/>
  <c r="BG109" i="17" s="1"/>
  <c r="BH109" i="17" s="1"/>
  <c r="BF110" i="17"/>
  <c r="BG110" i="17" s="1"/>
  <c r="BH110" i="17" s="1"/>
  <c r="BF111" i="17"/>
  <c r="BG111" i="17" s="1"/>
  <c r="BH111" i="17" s="1"/>
  <c r="BF112" i="17"/>
  <c r="BG112" i="17" s="1"/>
  <c r="BH112" i="17" s="1"/>
  <c r="BF113" i="17"/>
  <c r="BG113" i="17" s="1"/>
  <c r="BH113" i="17" s="1"/>
  <c r="BF114" i="17"/>
  <c r="BG114" i="17" s="1"/>
  <c r="BH114" i="17" s="1"/>
  <c r="BF115" i="17"/>
  <c r="BG115" i="17" s="1"/>
  <c r="BH115" i="17" s="1"/>
  <c r="BF116" i="17"/>
  <c r="BG116" i="17" s="1"/>
  <c r="BH116" i="17" s="1"/>
  <c r="BF117" i="17"/>
  <c r="BG117" i="17" s="1"/>
  <c r="BH117" i="17" s="1"/>
  <c r="BF118" i="17"/>
  <c r="BG118" i="17" s="1"/>
  <c r="BH118" i="17" s="1"/>
  <c r="BF119" i="17"/>
  <c r="BG119" i="17" s="1"/>
  <c r="BH119" i="17" s="1"/>
  <c r="BF120" i="17"/>
  <c r="BG120" i="17" s="1"/>
  <c r="BH120" i="17" s="1"/>
  <c r="BF121" i="17"/>
  <c r="BG121" i="17" s="1"/>
  <c r="BH121" i="17" s="1"/>
  <c r="BF122" i="17"/>
  <c r="BG122" i="17" s="1"/>
  <c r="BH122" i="17" s="1"/>
  <c r="BF123" i="17"/>
  <c r="BG123" i="17" s="1"/>
  <c r="BH123" i="17" s="1"/>
  <c r="BF124" i="17"/>
  <c r="BG124" i="17" s="1"/>
  <c r="BH124" i="17" s="1"/>
  <c r="BF125" i="17"/>
  <c r="BG125" i="17" s="1"/>
  <c r="BH125" i="17" s="1"/>
  <c r="BF126" i="17"/>
  <c r="BG126" i="17" s="1"/>
  <c r="BH126" i="17" s="1"/>
  <c r="BF127" i="17"/>
  <c r="BG127" i="17" s="1"/>
  <c r="BH127" i="17" s="1"/>
  <c r="BF128" i="17"/>
  <c r="BG128" i="17" s="1"/>
  <c r="BH128" i="17" s="1"/>
  <c r="BF129" i="17"/>
  <c r="BG129" i="17" s="1"/>
  <c r="BH129" i="17" s="1"/>
  <c r="BF130" i="17"/>
  <c r="BG130" i="17" s="1"/>
  <c r="BH130" i="17" s="1"/>
  <c r="BF131" i="17"/>
  <c r="BG131" i="17" s="1"/>
  <c r="BH131" i="17" s="1"/>
  <c r="BF132" i="17"/>
  <c r="BG132" i="17" s="1"/>
  <c r="BH132" i="17" s="1"/>
  <c r="BF133" i="17"/>
  <c r="BG133" i="17" s="1"/>
  <c r="BH133" i="17" s="1"/>
  <c r="BF134" i="17"/>
  <c r="BG134" i="17" s="1"/>
  <c r="BH134" i="17" s="1"/>
  <c r="BF135" i="17"/>
  <c r="BG135" i="17" s="1"/>
  <c r="BH135" i="17" s="1"/>
  <c r="BF136" i="17"/>
  <c r="BG136" i="17" s="1"/>
  <c r="BH136" i="17" s="1"/>
  <c r="BF137" i="17"/>
  <c r="BG137" i="17" s="1"/>
  <c r="BH137" i="17" s="1"/>
  <c r="BF138" i="17"/>
  <c r="BG138" i="17" s="1"/>
  <c r="BH138" i="17" s="1"/>
  <c r="BF139" i="17"/>
  <c r="BG139" i="17" s="1"/>
  <c r="BH139" i="17" s="1"/>
  <c r="BF140" i="17"/>
  <c r="BG140" i="17" s="1"/>
  <c r="BH140" i="17" s="1"/>
  <c r="BF141" i="17"/>
  <c r="BG141" i="17" s="1"/>
  <c r="BH141" i="17" s="1"/>
  <c r="BF142" i="17"/>
  <c r="BG142" i="17" s="1"/>
  <c r="BH142" i="17" s="1"/>
  <c r="BF143" i="17"/>
  <c r="BG143" i="17" s="1"/>
  <c r="BH143" i="17" s="1"/>
  <c r="BF144" i="17"/>
  <c r="BG144" i="17" s="1"/>
  <c r="BH144" i="17" s="1"/>
  <c r="BF145" i="17"/>
  <c r="BG145" i="17" s="1"/>
  <c r="BH145" i="17" s="1"/>
  <c r="BF146" i="17"/>
  <c r="BG146" i="17" s="1"/>
  <c r="BH146" i="17" s="1"/>
  <c r="BF147" i="17"/>
  <c r="BG147" i="17" s="1"/>
  <c r="BH147" i="17" s="1"/>
  <c r="BF148" i="17"/>
  <c r="BG148" i="17" s="1"/>
  <c r="BH148" i="17" s="1"/>
  <c r="BF149" i="17"/>
  <c r="BG149" i="17" s="1"/>
  <c r="BH149" i="17" s="1"/>
  <c r="BF150" i="17"/>
  <c r="BG150" i="17" s="1"/>
  <c r="BH150" i="17" s="1"/>
  <c r="BF151" i="17"/>
  <c r="BG151" i="17" s="1"/>
  <c r="BH151" i="17" s="1"/>
  <c r="BF152" i="17"/>
  <c r="BG152" i="17" s="1"/>
  <c r="BH152" i="17" s="1"/>
  <c r="BF153" i="17"/>
  <c r="BG153" i="17" s="1"/>
  <c r="BH153" i="17" s="1"/>
  <c r="BF154" i="17"/>
  <c r="BG154" i="17" s="1"/>
  <c r="BH154" i="17" s="1"/>
  <c r="BF155" i="17"/>
  <c r="BG155" i="17" s="1"/>
  <c r="BH155" i="17" s="1"/>
  <c r="BF156" i="17"/>
  <c r="BG156" i="17" s="1"/>
  <c r="BH156" i="17" s="1"/>
  <c r="BF157" i="17"/>
  <c r="BG157" i="17" s="1"/>
  <c r="BH157" i="17" s="1"/>
  <c r="BF158" i="17"/>
  <c r="BG158" i="17" s="1"/>
  <c r="BH158" i="17" s="1"/>
  <c r="BF159" i="17"/>
  <c r="BG159" i="17" s="1"/>
  <c r="BH159" i="17" s="1"/>
  <c r="BF160" i="17"/>
  <c r="BG160" i="17" s="1"/>
  <c r="BH160" i="17" s="1"/>
  <c r="BF161" i="17"/>
  <c r="BG161" i="17" s="1"/>
  <c r="BH161" i="17" s="1"/>
  <c r="BF162" i="17"/>
  <c r="BG162" i="17" s="1"/>
  <c r="BH162" i="17" s="1"/>
  <c r="BF163" i="17"/>
  <c r="BG163" i="17" s="1"/>
  <c r="BH163" i="17" s="1"/>
  <c r="BF164" i="17"/>
  <c r="BG164" i="17" s="1"/>
  <c r="BH164" i="17" s="1"/>
  <c r="BF165" i="17"/>
  <c r="BG165" i="17" s="1"/>
  <c r="BH165" i="17" s="1"/>
  <c r="BF166" i="17"/>
  <c r="BG166" i="17" s="1"/>
  <c r="BH166" i="17" s="1"/>
  <c r="BF167" i="17"/>
  <c r="BG167" i="17" s="1"/>
  <c r="BH167" i="17" s="1"/>
  <c r="BF168" i="17"/>
  <c r="BG168" i="17" s="1"/>
  <c r="BH168" i="17" s="1"/>
  <c r="BF169" i="17"/>
  <c r="BG169" i="17" s="1"/>
  <c r="BH169" i="17" s="1"/>
  <c r="BF170" i="17"/>
  <c r="BG170" i="17" s="1"/>
  <c r="BH170" i="17" s="1"/>
  <c r="BF171" i="17"/>
  <c r="BG171" i="17" s="1"/>
  <c r="BH171" i="17" s="1"/>
  <c r="BF172" i="17"/>
  <c r="BG172" i="17" s="1"/>
  <c r="BH172" i="17" s="1"/>
  <c r="BF173" i="17"/>
  <c r="BG173" i="17" s="1"/>
  <c r="BH173" i="17" s="1"/>
  <c r="BF174" i="17"/>
  <c r="BG174" i="17" s="1"/>
  <c r="BH174" i="17" s="1"/>
  <c r="BF175" i="17"/>
  <c r="BG175" i="17" s="1"/>
  <c r="BH175" i="17" s="1"/>
  <c r="BF176" i="17"/>
  <c r="BG176" i="17" s="1"/>
  <c r="BH176" i="17" s="1"/>
  <c r="BF177" i="17"/>
  <c r="BG177" i="17" s="1"/>
  <c r="BH177" i="17" s="1"/>
  <c r="BF178" i="17"/>
  <c r="BG178" i="17" s="1"/>
  <c r="BH178" i="17" s="1"/>
  <c r="BF179" i="17"/>
  <c r="BG179" i="17" s="1"/>
  <c r="BH179" i="17" s="1"/>
  <c r="BF180" i="17"/>
  <c r="BG180" i="17" s="1"/>
  <c r="BH180" i="17" s="1"/>
  <c r="BF181" i="17"/>
  <c r="BG181" i="17" s="1"/>
  <c r="BH181" i="17" s="1"/>
  <c r="BF182" i="17"/>
  <c r="BG182" i="17" s="1"/>
  <c r="BH182" i="17" s="1"/>
  <c r="BF183" i="17"/>
  <c r="BG183" i="17" s="1"/>
  <c r="BH183" i="17" s="1"/>
  <c r="BF184" i="17"/>
  <c r="BG184" i="17" s="1"/>
  <c r="BH184" i="17" s="1"/>
  <c r="BF185" i="17"/>
  <c r="BG185" i="17" s="1"/>
  <c r="BH185" i="17" s="1"/>
  <c r="BF186" i="17"/>
  <c r="BG186" i="17" s="1"/>
  <c r="BH186" i="17" s="1"/>
  <c r="BF187" i="17"/>
  <c r="BG187" i="17" s="1"/>
  <c r="BH187" i="17" s="1"/>
  <c r="BF188" i="17"/>
  <c r="BG188" i="17" s="1"/>
  <c r="BH188" i="17" s="1"/>
  <c r="BF189" i="17"/>
  <c r="BG189" i="17" s="1"/>
  <c r="BH189" i="17" s="1"/>
  <c r="BF190" i="17"/>
  <c r="BG190" i="17" s="1"/>
  <c r="BH190" i="17" s="1"/>
  <c r="BF191" i="17"/>
  <c r="BG191" i="17" s="1"/>
  <c r="BH191" i="17" s="1"/>
  <c r="BF192" i="17"/>
  <c r="BG192" i="17" s="1"/>
  <c r="BH192" i="17" s="1"/>
  <c r="BF193" i="17"/>
  <c r="BG193" i="17" s="1"/>
  <c r="BH193" i="17" s="1"/>
  <c r="BF194" i="17"/>
  <c r="BG194" i="17" s="1"/>
  <c r="BH194" i="17" s="1"/>
  <c r="BF195" i="17"/>
  <c r="BG195" i="17" s="1"/>
  <c r="BH195" i="17" s="1"/>
  <c r="BF196" i="17"/>
  <c r="BG196" i="17" s="1"/>
  <c r="BH196" i="17" s="1"/>
  <c r="BF197" i="17"/>
  <c r="BG197" i="17" s="1"/>
  <c r="BH197" i="17" s="1"/>
  <c r="BF198" i="17"/>
  <c r="BG198" i="17" s="1"/>
  <c r="BH198" i="17" s="1"/>
  <c r="BF199" i="17"/>
  <c r="BG199" i="17" s="1"/>
  <c r="BH199" i="17" s="1"/>
  <c r="BF200" i="17"/>
  <c r="BG200" i="17" s="1"/>
  <c r="BH200" i="17" s="1"/>
  <c r="BF201" i="17"/>
  <c r="BG201" i="17" s="1"/>
  <c r="BH201" i="17" s="1"/>
  <c r="BF202" i="17"/>
  <c r="BG202" i="17" s="1"/>
  <c r="BH202" i="17" s="1"/>
  <c r="BF203" i="17"/>
  <c r="BG203" i="17" s="1"/>
  <c r="BH203" i="17" s="1"/>
  <c r="BF204" i="17"/>
  <c r="BG204" i="17" s="1"/>
  <c r="BH204" i="17" s="1"/>
  <c r="BF205" i="17"/>
  <c r="BG205" i="17" s="1"/>
  <c r="BH205" i="17" s="1"/>
  <c r="BF206" i="17"/>
  <c r="BG206" i="17" s="1"/>
  <c r="BH206" i="17" s="1"/>
  <c r="BF207" i="17"/>
  <c r="BG207" i="17" s="1"/>
  <c r="BH207" i="17" s="1"/>
  <c r="BF208" i="17"/>
  <c r="BG208" i="17" s="1"/>
  <c r="BH208" i="17" s="1"/>
  <c r="BF209" i="17"/>
  <c r="BG209" i="17" s="1"/>
  <c r="BH209" i="17" s="1"/>
  <c r="BF210" i="17"/>
  <c r="BG210" i="17" s="1"/>
  <c r="BH210" i="17" s="1"/>
  <c r="BF211" i="17"/>
  <c r="BG211" i="17" s="1"/>
  <c r="BH211" i="17" s="1"/>
  <c r="BF212" i="17"/>
  <c r="BG212" i="17" s="1"/>
  <c r="BH212" i="17" s="1"/>
  <c r="BF213" i="17"/>
  <c r="BG213" i="17" s="1"/>
  <c r="BH213" i="17" s="1"/>
  <c r="BF214" i="17"/>
  <c r="BG214" i="17" s="1"/>
  <c r="BH214" i="17" s="1"/>
  <c r="BF215" i="17"/>
  <c r="BG215" i="17" s="1"/>
  <c r="BH215" i="17" s="1"/>
  <c r="BF216" i="17"/>
  <c r="BG216" i="17" s="1"/>
  <c r="BH216" i="17" s="1"/>
  <c r="BF217" i="17"/>
  <c r="BG217" i="17" s="1"/>
  <c r="BH217" i="17" s="1"/>
  <c r="BF218" i="17"/>
  <c r="BG218" i="17" s="1"/>
  <c r="BH218" i="17" s="1"/>
  <c r="BF219" i="17"/>
  <c r="BG219" i="17" s="1"/>
  <c r="BH219" i="17" s="1"/>
  <c r="BF220" i="17"/>
  <c r="BG220" i="17" s="1"/>
  <c r="BH220" i="17" s="1"/>
  <c r="BF221" i="17"/>
  <c r="BG221" i="17" s="1"/>
  <c r="BH221" i="17" s="1"/>
  <c r="BF222" i="17"/>
  <c r="BG222" i="17" s="1"/>
  <c r="BH222" i="17" s="1"/>
  <c r="BF223" i="17"/>
  <c r="BG223" i="17" s="1"/>
  <c r="BH223" i="17" s="1"/>
  <c r="BF224" i="17"/>
  <c r="BG224" i="17" s="1"/>
  <c r="BH224" i="17" s="1"/>
  <c r="BF225" i="17"/>
  <c r="BG225" i="17" s="1"/>
  <c r="BH225" i="17" s="1"/>
  <c r="BF226" i="17"/>
  <c r="BG226" i="17" s="1"/>
  <c r="BH226" i="17" s="1"/>
  <c r="BF227" i="17"/>
  <c r="BG227" i="17" s="1"/>
  <c r="BH227" i="17" s="1"/>
  <c r="BF228" i="17"/>
  <c r="BG228" i="17" s="1"/>
  <c r="BH228" i="17" s="1"/>
  <c r="BF229" i="17"/>
  <c r="BG229" i="17" s="1"/>
  <c r="BH229" i="17" s="1"/>
  <c r="BF230" i="17"/>
  <c r="BG230" i="17" s="1"/>
  <c r="BH230" i="17" s="1"/>
  <c r="BF231" i="17"/>
  <c r="BG231" i="17" s="1"/>
  <c r="BH231" i="17" s="1"/>
  <c r="BF232" i="17"/>
  <c r="BG232" i="17" s="1"/>
  <c r="BH232" i="17" s="1"/>
  <c r="BF233" i="17"/>
  <c r="BG233" i="17" s="1"/>
  <c r="BH233" i="17" s="1"/>
  <c r="BF234" i="17"/>
  <c r="BG234" i="17" s="1"/>
  <c r="BH234" i="17" s="1"/>
  <c r="BF235" i="17"/>
  <c r="BG235" i="17" s="1"/>
  <c r="BH235" i="17" s="1"/>
  <c r="BF236" i="17"/>
  <c r="BG236" i="17" s="1"/>
  <c r="BH236" i="17" s="1"/>
  <c r="BF237" i="17"/>
  <c r="BG237" i="17" s="1"/>
  <c r="BH237" i="17" s="1"/>
  <c r="BF238" i="17"/>
  <c r="BG238" i="17" s="1"/>
  <c r="BH238" i="17" s="1"/>
  <c r="BF239" i="17"/>
  <c r="BG239" i="17" s="1"/>
  <c r="BH239" i="17" s="1"/>
  <c r="BF240" i="17"/>
  <c r="BG240" i="17" s="1"/>
  <c r="BH240" i="17" s="1"/>
  <c r="BF241" i="17"/>
  <c r="BG241" i="17" s="1"/>
  <c r="BH241" i="17" s="1"/>
  <c r="BF242" i="17"/>
  <c r="BG242" i="17" s="1"/>
  <c r="BH242" i="17" s="1"/>
  <c r="BF243" i="17"/>
  <c r="BG243" i="17" s="1"/>
  <c r="BH243" i="17" s="1"/>
  <c r="BF244" i="17"/>
  <c r="BG244" i="17" s="1"/>
  <c r="BH244" i="17" s="1"/>
  <c r="BF245" i="17"/>
  <c r="BG245" i="17" s="1"/>
  <c r="BH245" i="17" s="1"/>
  <c r="BF246" i="17"/>
  <c r="BG246" i="17" s="1"/>
  <c r="BH246" i="17" s="1"/>
  <c r="BF247" i="17"/>
  <c r="BG247" i="17" s="1"/>
  <c r="BH247" i="17" s="1"/>
  <c r="BF248" i="17"/>
  <c r="BG248" i="17" s="1"/>
  <c r="BH248" i="17" s="1"/>
  <c r="BF249" i="17"/>
  <c r="BG249" i="17" s="1"/>
  <c r="BH249" i="17" s="1"/>
  <c r="BF250" i="17"/>
  <c r="BG250" i="17" s="1"/>
  <c r="BH250" i="17" s="1"/>
  <c r="BF251" i="17"/>
  <c r="BG251" i="17" s="1"/>
  <c r="BH251" i="17" s="1"/>
  <c r="BF252" i="17"/>
  <c r="BG252" i="17" s="1"/>
  <c r="BH252" i="17" s="1"/>
  <c r="AZ2" i="17"/>
  <c r="BA2" i="17" s="1"/>
  <c r="AZ3" i="17"/>
  <c r="BA3" i="17" s="1"/>
  <c r="BB3" i="17" s="1"/>
  <c r="AZ4" i="17"/>
  <c r="BA4" i="17" s="1"/>
  <c r="BB4" i="17" s="1"/>
  <c r="AZ5" i="17"/>
  <c r="BA5" i="17" s="1"/>
  <c r="BB5" i="17" s="1"/>
  <c r="AZ6" i="17"/>
  <c r="BA6" i="17" s="1"/>
  <c r="BB6" i="17" s="1"/>
  <c r="AZ7" i="17"/>
  <c r="BA7" i="17" s="1"/>
  <c r="BB7" i="17" s="1"/>
  <c r="AZ8" i="17"/>
  <c r="BA8" i="17" s="1"/>
  <c r="BB8" i="17" s="1"/>
  <c r="AZ9" i="17"/>
  <c r="BA9" i="17" s="1"/>
  <c r="BB9" i="17" s="1"/>
  <c r="AZ10" i="17"/>
  <c r="BA10" i="17" s="1"/>
  <c r="BB10" i="17" s="1"/>
  <c r="AZ11" i="17"/>
  <c r="BA11" i="17" s="1"/>
  <c r="BB11" i="17" s="1"/>
  <c r="AZ12" i="17"/>
  <c r="BA12" i="17" s="1"/>
  <c r="BB12" i="17" s="1"/>
  <c r="AZ13" i="17"/>
  <c r="BA13" i="17" s="1"/>
  <c r="BB13" i="17" s="1"/>
  <c r="AZ14" i="17"/>
  <c r="BA14" i="17" s="1"/>
  <c r="BB14" i="17" s="1"/>
  <c r="AZ15" i="17"/>
  <c r="BA15" i="17" s="1"/>
  <c r="BB15" i="17" s="1"/>
  <c r="AZ16" i="17"/>
  <c r="BA16" i="17" s="1"/>
  <c r="BB16" i="17" s="1"/>
  <c r="AZ17" i="17"/>
  <c r="BA17" i="17" s="1"/>
  <c r="BB17" i="17" s="1"/>
  <c r="AZ18" i="17"/>
  <c r="BA18" i="17" s="1"/>
  <c r="BB18" i="17" s="1"/>
  <c r="AZ19" i="17"/>
  <c r="BA19" i="17" s="1"/>
  <c r="BB19" i="17" s="1"/>
  <c r="AZ20" i="17"/>
  <c r="BA20" i="17" s="1"/>
  <c r="BB20" i="17" s="1"/>
  <c r="AZ21" i="17"/>
  <c r="BA21" i="17" s="1"/>
  <c r="BB21" i="17" s="1"/>
  <c r="AZ22" i="17"/>
  <c r="BA22" i="17" s="1"/>
  <c r="BB22" i="17" s="1"/>
  <c r="AZ23" i="17"/>
  <c r="BA23" i="17" s="1"/>
  <c r="BB23" i="17" s="1"/>
  <c r="AZ24" i="17"/>
  <c r="BA24" i="17" s="1"/>
  <c r="BB24" i="17" s="1"/>
  <c r="AZ25" i="17"/>
  <c r="BA25" i="17" s="1"/>
  <c r="BB25" i="17" s="1"/>
  <c r="AZ26" i="17"/>
  <c r="BA26" i="17" s="1"/>
  <c r="BB26" i="17" s="1"/>
  <c r="AZ27" i="17"/>
  <c r="BA27" i="17" s="1"/>
  <c r="BB27" i="17" s="1"/>
  <c r="AZ28" i="17"/>
  <c r="BA28" i="17" s="1"/>
  <c r="BB28" i="17" s="1"/>
  <c r="AZ29" i="17"/>
  <c r="BA29" i="17" s="1"/>
  <c r="BB29" i="17" s="1"/>
  <c r="AZ30" i="17"/>
  <c r="BA30" i="17" s="1"/>
  <c r="BB30" i="17" s="1"/>
  <c r="AZ31" i="17"/>
  <c r="BA31" i="17" s="1"/>
  <c r="BB31" i="17" s="1"/>
  <c r="AZ32" i="17"/>
  <c r="BA32" i="17" s="1"/>
  <c r="BB32" i="17" s="1"/>
  <c r="AZ33" i="17"/>
  <c r="BA33" i="17" s="1"/>
  <c r="BB33" i="17" s="1"/>
  <c r="AZ34" i="17"/>
  <c r="BA34" i="17" s="1"/>
  <c r="BB34" i="17" s="1"/>
  <c r="AZ35" i="17"/>
  <c r="BA35" i="17" s="1"/>
  <c r="BB35" i="17" s="1"/>
  <c r="AZ36" i="17"/>
  <c r="BA36" i="17" s="1"/>
  <c r="BB36" i="17" s="1"/>
  <c r="AZ37" i="17"/>
  <c r="BA37" i="17" s="1"/>
  <c r="BB37" i="17" s="1"/>
  <c r="AZ38" i="17"/>
  <c r="BA38" i="17" s="1"/>
  <c r="BB38" i="17" s="1"/>
  <c r="AZ39" i="17"/>
  <c r="BA39" i="17" s="1"/>
  <c r="BB39" i="17" s="1"/>
  <c r="AZ40" i="17"/>
  <c r="BA40" i="17" s="1"/>
  <c r="BB40" i="17" s="1"/>
  <c r="AZ41" i="17"/>
  <c r="BA41" i="17" s="1"/>
  <c r="BB41" i="17" s="1"/>
  <c r="AZ42" i="17"/>
  <c r="BA42" i="17" s="1"/>
  <c r="BB42" i="17" s="1"/>
  <c r="AZ43" i="17"/>
  <c r="BA43" i="17" s="1"/>
  <c r="BB43" i="17" s="1"/>
  <c r="AZ44" i="17"/>
  <c r="BA44" i="17" s="1"/>
  <c r="BB44" i="17" s="1"/>
  <c r="AZ45" i="17"/>
  <c r="BA45" i="17" s="1"/>
  <c r="BB45" i="17" s="1"/>
  <c r="AZ46" i="17"/>
  <c r="BA46" i="17" s="1"/>
  <c r="BB46" i="17" s="1"/>
  <c r="AZ47" i="17"/>
  <c r="BA47" i="17" s="1"/>
  <c r="BB47" i="17" s="1"/>
  <c r="AZ48" i="17"/>
  <c r="BA48" i="17" s="1"/>
  <c r="BB48" i="17" s="1"/>
  <c r="AZ49" i="17"/>
  <c r="BA49" i="17" s="1"/>
  <c r="BB49" i="17" s="1"/>
  <c r="AZ50" i="17"/>
  <c r="BA50" i="17" s="1"/>
  <c r="BB50" i="17" s="1"/>
  <c r="AZ51" i="17"/>
  <c r="BA51" i="17" s="1"/>
  <c r="BB51" i="17" s="1"/>
  <c r="AZ52" i="17"/>
  <c r="BA52" i="17" s="1"/>
  <c r="BB52" i="17" s="1"/>
  <c r="AZ53" i="17"/>
  <c r="BA53" i="17" s="1"/>
  <c r="BB53" i="17" s="1"/>
  <c r="AZ54" i="17"/>
  <c r="BA54" i="17" s="1"/>
  <c r="BB54" i="17" s="1"/>
  <c r="AZ55" i="17"/>
  <c r="BA55" i="17" s="1"/>
  <c r="BB55" i="17" s="1"/>
  <c r="AZ56" i="17"/>
  <c r="BA56" i="17" s="1"/>
  <c r="BB56" i="17" s="1"/>
  <c r="AZ57" i="17"/>
  <c r="BA57" i="17" s="1"/>
  <c r="BB57" i="17" s="1"/>
  <c r="AZ58" i="17"/>
  <c r="BA58" i="17" s="1"/>
  <c r="BB58" i="17" s="1"/>
  <c r="AZ59" i="17"/>
  <c r="BA59" i="17" s="1"/>
  <c r="BB59" i="17" s="1"/>
  <c r="AZ60" i="17"/>
  <c r="BA60" i="17" s="1"/>
  <c r="BB60" i="17" s="1"/>
  <c r="AZ61" i="17"/>
  <c r="BA61" i="17" s="1"/>
  <c r="BB61" i="17" s="1"/>
  <c r="AZ62" i="17"/>
  <c r="BA62" i="17" s="1"/>
  <c r="BB62" i="17" s="1"/>
  <c r="AZ63" i="17"/>
  <c r="BA63" i="17" s="1"/>
  <c r="BB63" i="17" s="1"/>
  <c r="AZ64" i="17"/>
  <c r="BA64" i="17" s="1"/>
  <c r="BB64" i="17" s="1"/>
  <c r="AZ65" i="17"/>
  <c r="BA65" i="17" s="1"/>
  <c r="BB65" i="17" s="1"/>
  <c r="AZ66" i="17"/>
  <c r="BA66" i="17" s="1"/>
  <c r="BB66" i="17" s="1"/>
  <c r="AZ67" i="17"/>
  <c r="BA67" i="17" s="1"/>
  <c r="BB67" i="17" s="1"/>
  <c r="AZ68" i="17"/>
  <c r="BA68" i="17" s="1"/>
  <c r="BB68" i="17" s="1"/>
  <c r="AZ69" i="17"/>
  <c r="BA69" i="17" s="1"/>
  <c r="BB69" i="17" s="1"/>
  <c r="AZ70" i="17"/>
  <c r="BA70" i="17" s="1"/>
  <c r="BB70" i="17" s="1"/>
  <c r="AZ71" i="17"/>
  <c r="BA71" i="17" s="1"/>
  <c r="BB71" i="17" s="1"/>
  <c r="AZ72" i="17"/>
  <c r="BA72" i="17" s="1"/>
  <c r="BB72" i="17" s="1"/>
  <c r="AZ73" i="17"/>
  <c r="BA73" i="17" s="1"/>
  <c r="BB73" i="17" s="1"/>
  <c r="AZ74" i="17"/>
  <c r="BA74" i="17" s="1"/>
  <c r="BB74" i="17" s="1"/>
  <c r="AZ75" i="17"/>
  <c r="BA75" i="17" s="1"/>
  <c r="BB75" i="17" s="1"/>
  <c r="AZ76" i="17"/>
  <c r="BA76" i="17" s="1"/>
  <c r="BB76" i="17" s="1"/>
  <c r="AZ77" i="17"/>
  <c r="BA77" i="17" s="1"/>
  <c r="BB77" i="17" s="1"/>
  <c r="AZ78" i="17"/>
  <c r="BA78" i="17" s="1"/>
  <c r="BB78" i="17" s="1"/>
  <c r="AZ79" i="17"/>
  <c r="BA79" i="17" s="1"/>
  <c r="BB79" i="17" s="1"/>
  <c r="AZ80" i="17"/>
  <c r="BA80" i="17" s="1"/>
  <c r="BB80" i="17" s="1"/>
  <c r="AZ81" i="17"/>
  <c r="BA81" i="17" s="1"/>
  <c r="BB81" i="17" s="1"/>
  <c r="AZ82" i="17"/>
  <c r="BA82" i="17" s="1"/>
  <c r="BB82" i="17" s="1"/>
  <c r="AZ83" i="17"/>
  <c r="BA83" i="17" s="1"/>
  <c r="BB83" i="17" s="1"/>
  <c r="AZ84" i="17"/>
  <c r="BA84" i="17" s="1"/>
  <c r="BB84" i="17" s="1"/>
  <c r="AZ85" i="17"/>
  <c r="BA85" i="17" s="1"/>
  <c r="BB85" i="17" s="1"/>
  <c r="AZ86" i="17"/>
  <c r="BA86" i="17" s="1"/>
  <c r="BB86" i="17" s="1"/>
  <c r="AZ87" i="17"/>
  <c r="BA87" i="17" s="1"/>
  <c r="BB87" i="17" s="1"/>
  <c r="AZ88" i="17"/>
  <c r="BA88" i="17" s="1"/>
  <c r="BB88" i="17" s="1"/>
  <c r="AZ89" i="17"/>
  <c r="BA89" i="17" s="1"/>
  <c r="BB89" i="17" s="1"/>
  <c r="AZ90" i="17"/>
  <c r="BA90" i="17" s="1"/>
  <c r="BB90" i="17" s="1"/>
  <c r="AZ91" i="17"/>
  <c r="BA91" i="17" s="1"/>
  <c r="BB91" i="17" s="1"/>
  <c r="AZ92" i="17"/>
  <c r="BA92" i="17" s="1"/>
  <c r="BB92" i="17" s="1"/>
  <c r="AZ93" i="17"/>
  <c r="BA93" i="17" s="1"/>
  <c r="BB93" i="17" s="1"/>
  <c r="AZ94" i="17"/>
  <c r="BA94" i="17" s="1"/>
  <c r="BB94" i="17" s="1"/>
  <c r="AZ95" i="17"/>
  <c r="BA95" i="17" s="1"/>
  <c r="BB95" i="17" s="1"/>
  <c r="AZ96" i="17"/>
  <c r="BA96" i="17" s="1"/>
  <c r="BB96" i="17" s="1"/>
  <c r="AZ97" i="17"/>
  <c r="BA97" i="17" s="1"/>
  <c r="BB97" i="17" s="1"/>
  <c r="AZ98" i="17"/>
  <c r="BA98" i="17" s="1"/>
  <c r="BB98" i="17" s="1"/>
  <c r="AZ99" i="17"/>
  <c r="BA99" i="17" s="1"/>
  <c r="BB99" i="17" s="1"/>
  <c r="AZ100" i="17"/>
  <c r="BA100" i="17" s="1"/>
  <c r="BB100" i="17" s="1"/>
  <c r="AZ101" i="17"/>
  <c r="BA101" i="17" s="1"/>
  <c r="BB101" i="17" s="1"/>
  <c r="AZ102" i="17"/>
  <c r="BA102" i="17" s="1"/>
  <c r="BB102" i="17" s="1"/>
  <c r="AZ103" i="17"/>
  <c r="BA103" i="17" s="1"/>
  <c r="BB103" i="17" s="1"/>
  <c r="AZ104" i="17"/>
  <c r="BA104" i="17" s="1"/>
  <c r="BB104" i="17" s="1"/>
  <c r="AZ105" i="17"/>
  <c r="BA105" i="17" s="1"/>
  <c r="BB105" i="17" s="1"/>
  <c r="AZ106" i="17"/>
  <c r="BA106" i="17" s="1"/>
  <c r="BB106" i="17" s="1"/>
  <c r="AZ107" i="17"/>
  <c r="BA107" i="17" s="1"/>
  <c r="BB107" i="17" s="1"/>
  <c r="AZ108" i="17"/>
  <c r="BA108" i="17" s="1"/>
  <c r="BB108" i="17" s="1"/>
  <c r="AZ109" i="17"/>
  <c r="BA109" i="17" s="1"/>
  <c r="BB109" i="17" s="1"/>
  <c r="AZ110" i="17"/>
  <c r="BA110" i="17" s="1"/>
  <c r="BB110" i="17" s="1"/>
  <c r="AZ111" i="17"/>
  <c r="BA111" i="17" s="1"/>
  <c r="BB111" i="17" s="1"/>
  <c r="AZ112" i="17"/>
  <c r="BA112" i="17" s="1"/>
  <c r="BB112" i="17" s="1"/>
  <c r="AZ113" i="17"/>
  <c r="BA113" i="17" s="1"/>
  <c r="BB113" i="17" s="1"/>
  <c r="AZ114" i="17"/>
  <c r="BA114" i="17" s="1"/>
  <c r="BB114" i="17" s="1"/>
  <c r="AZ115" i="17"/>
  <c r="BA115" i="17" s="1"/>
  <c r="BB115" i="17" s="1"/>
  <c r="AZ116" i="17"/>
  <c r="BA116" i="17" s="1"/>
  <c r="BB116" i="17" s="1"/>
  <c r="AZ117" i="17"/>
  <c r="BA117" i="17" s="1"/>
  <c r="BB117" i="17" s="1"/>
  <c r="AZ118" i="17"/>
  <c r="BA118" i="17" s="1"/>
  <c r="BB118" i="17" s="1"/>
  <c r="AZ119" i="17"/>
  <c r="BA119" i="17" s="1"/>
  <c r="BB119" i="17" s="1"/>
  <c r="AZ120" i="17"/>
  <c r="BA120" i="17" s="1"/>
  <c r="BB120" i="17" s="1"/>
  <c r="AZ121" i="17"/>
  <c r="BA121" i="17" s="1"/>
  <c r="BB121" i="17" s="1"/>
  <c r="AZ122" i="17"/>
  <c r="BA122" i="17" s="1"/>
  <c r="BB122" i="17" s="1"/>
  <c r="AZ123" i="17"/>
  <c r="BA123" i="17" s="1"/>
  <c r="BB123" i="17" s="1"/>
  <c r="AZ124" i="17"/>
  <c r="BA124" i="17" s="1"/>
  <c r="BB124" i="17" s="1"/>
  <c r="AZ125" i="17"/>
  <c r="BA125" i="17" s="1"/>
  <c r="BB125" i="17" s="1"/>
  <c r="AZ126" i="17"/>
  <c r="BA126" i="17" s="1"/>
  <c r="BB126" i="17" s="1"/>
  <c r="AZ127" i="17"/>
  <c r="BA127" i="17" s="1"/>
  <c r="BB127" i="17" s="1"/>
  <c r="AZ128" i="17"/>
  <c r="BA128" i="17" s="1"/>
  <c r="BB128" i="17" s="1"/>
  <c r="AZ129" i="17"/>
  <c r="BA129" i="17" s="1"/>
  <c r="BB129" i="17" s="1"/>
  <c r="AZ130" i="17"/>
  <c r="BA130" i="17" s="1"/>
  <c r="BB130" i="17" s="1"/>
  <c r="AZ131" i="17"/>
  <c r="BA131" i="17" s="1"/>
  <c r="BB131" i="17" s="1"/>
  <c r="AZ132" i="17"/>
  <c r="BA132" i="17" s="1"/>
  <c r="BB132" i="17" s="1"/>
  <c r="AZ133" i="17"/>
  <c r="BA133" i="17" s="1"/>
  <c r="BB133" i="17" s="1"/>
  <c r="AZ134" i="17"/>
  <c r="BA134" i="17" s="1"/>
  <c r="BB134" i="17" s="1"/>
  <c r="AZ135" i="17"/>
  <c r="BA135" i="17" s="1"/>
  <c r="BB135" i="17" s="1"/>
  <c r="AZ136" i="17"/>
  <c r="BA136" i="17" s="1"/>
  <c r="BB136" i="17" s="1"/>
  <c r="AZ137" i="17"/>
  <c r="BA137" i="17" s="1"/>
  <c r="BB137" i="17" s="1"/>
  <c r="AZ138" i="17"/>
  <c r="BA138" i="17" s="1"/>
  <c r="BB138" i="17" s="1"/>
  <c r="AZ139" i="17"/>
  <c r="BA139" i="17" s="1"/>
  <c r="BB139" i="17" s="1"/>
  <c r="AZ140" i="17"/>
  <c r="BA140" i="17" s="1"/>
  <c r="BB140" i="17" s="1"/>
  <c r="AZ141" i="17"/>
  <c r="BA141" i="17" s="1"/>
  <c r="BB141" i="17" s="1"/>
  <c r="AZ142" i="17"/>
  <c r="BA142" i="17" s="1"/>
  <c r="BB142" i="17" s="1"/>
  <c r="AZ143" i="17"/>
  <c r="BA143" i="17" s="1"/>
  <c r="BB143" i="17" s="1"/>
  <c r="AZ144" i="17"/>
  <c r="BA144" i="17" s="1"/>
  <c r="BB144" i="17" s="1"/>
  <c r="AZ145" i="17"/>
  <c r="BA145" i="17" s="1"/>
  <c r="BB145" i="17" s="1"/>
  <c r="AZ146" i="17"/>
  <c r="BA146" i="17" s="1"/>
  <c r="BB146" i="17" s="1"/>
  <c r="AZ147" i="17"/>
  <c r="BA147" i="17" s="1"/>
  <c r="BB147" i="17" s="1"/>
  <c r="AZ148" i="17"/>
  <c r="BA148" i="17" s="1"/>
  <c r="BB148" i="17" s="1"/>
  <c r="AZ149" i="17"/>
  <c r="BA149" i="17" s="1"/>
  <c r="BB149" i="17" s="1"/>
  <c r="AZ150" i="17"/>
  <c r="BA150" i="17" s="1"/>
  <c r="BB150" i="17" s="1"/>
  <c r="AZ151" i="17"/>
  <c r="BA151" i="17" s="1"/>
  <c r="BB151" i="17" s="1"/>
  <c r="AZ152" i="17"/>
  <c r="BA152" i="17" s="1"/>
  <c r="BB152" i="17" s="1"/>
  <c r="AZ153" i="17"/>
  <c r="BA153" i="17" s="1"/>
  <c r="BB153" i="17" s="1"/>
  <c r="AZ154" i="17"/>
  <c r="BA154" i="17" s="1"/>
  <c r="BB154" i="17" s="1"/>
  <c r="AZ155" i="17"/>
  <c r="BA155" i="17" s="1"/>
  <c r="BB155" i="17" s="1"/>
  <c r="AZ156" i="17"/>
  <c r="BA156" i="17" s="1"/>
  <c r="BB156" i="17" s="1"/>
  <c r="AZ157" i="17"/>
  <c r="BA157" i="17" s="1"/>
  <c r="BB157" i="17" s="1"/>
  <c r="AZ158" i="17"/>
  <c r="BA158" i="17" s="1"/>
  <c r="BB158" i="17" s="1"/>
  <c r="AZ159" i="17"/>
  <c r="BA159" i="17" s="1"/>
  <c r="BB159" i="17" s="1"/>
  <c r="AZ160" i="17"/>
  <c r="BA160" i="17" s="1"/>
  <c r="BB160" i="17" s="1"/>
  <c r="AZ161" i="17"/>
  <c r="BA161" i="17" s="1"/>
  <c r="BB161" i="17" s="1"/>
  <c r="AZ162" i="17"/>
  <c r="BA162" i="17" s="1"/>
  <c r="BB162" i="17" s="1"/>
  <c r="AZ163" i="17"/>
  <c r="BA163" i="17" s="1"/>
  <c r="BB163" i="17" s="1"/>
  <c r="AZ164" i="17"/>
  <c r="BA164" i="17" s="1"/>
  <c r="BB164" i="17" s="1"/>
  <c r="AZ165" i="17"/>
  <c r="BA165" i="17" s="1"/>
  <c r="BB165" i="17" s="1"/>
  <c r="AZ166" i="17"/>
  <c r="BA166" i="17" s="1"/>
  <c r="BB166" i="17" s="1"/>
  <c r="AZ167" i="17"/>
  <c r="BA167" i="17" s="1"/>
  <c r="BB167" i="17" s="1"/>
  <c r="AZ168" i="17"/>
  <c r="BA168" i="17" s="1"/>
  <c r="BB168" i="17" s="1"/>
  <c r="AZ169" i="17"/>
  <c r="BA169" i="17" s="1"/>
  <c r="BB169" i="17" s="1"/>
  <c r="AZ170" i="17"/>
  <c r="BA170" i="17" s="1"/>
  <c r="BB170" i="17" s="1"/>
  <c r="AZ171" i="17"/>
  <c r="BA171" i="17" s="1"/>
  <c r="BB171" i="17" s="1"/>
  <c r="AZ172" i="17"/>
  <c r="BA172" i="17" s="1"/>
  <c r="BB172" i="17" s="1"/>
  <c r="AZ173" i="17"/>
  <c r="BA173" i="17" s="1"/>
  <c r="BB173" i="17" s="1"/>
  <c r="AZ174" i="17"/>
  <c r="BA174" i="17" s="1"/>
  <c r="BB174" i="17" s="1"/>
  <c r="AZ175" i="17"/>
  <c r="BA175" i="17" s="1"/>
  <c r="BB175" i="17" s="1"/>
  <c r="AZ176" i="17"/>
  <c r="BA176" i="17" s="1"/>
  <c r="BB176" i="17" s="1"/>
  <c r="AZ177" i="17"/>
  <c r="BA177" i="17" s="1"/>
  <c r="BB177" i="17" s="1"/>
  <c r="AZ178" i="17"/>
  <c r="BA178" i="17" s="1"/>
  <c r="BB178" i="17" s="1"/>
  <c r="AZ179" i="17"/>
  <c r="BA179" i="17" s="1"/>
  <c r="BB179" i="17" s="1"/>
  <c r="AZ180" i="17"/>
  <c r="BA180" i="17" s="1"/>
  <c r="BB180" i="17" s="1"/>
  <c r="AZ181" i="17"/>
  <c r="BA181" i="17" s="1"/>
  <c r="BB181" i="17" s="1"/>
  <c r="AZ182" i="17"/>
  <c r="BA182" i="17" s="1"/>
  <c r="BB182" i="17" s="1"/>
  <c r="AZ183" i="17"/>
  <c r="BA183" i="17" s="1"/>
  <c r="BB183" i="17" s="1"/>
  <c r="AZ184" i="17"/>
  <c r="BA184" i="17" s="1"/>
  <c r="BB184" i="17" s="1"/>
  <c r="AZ185" i="17"/>
  <c r="BA185" i="17" s="1"/>
  <c r="BB185" i="17" s="1"/>
  <c r="AZ186" i="17"/>
  <c r="BA186" i="17" s="1"/>
  <c r="BB186" i="17" s="1"/>
  <c r="AZ187" i="17"/>
  <c r="BA187" i="17" s="1"/>
  <c r="BB187" i="17" s="1"/>
  <c r="AZ188" i="17"/>
  <c r="BA188" i="17" s="1"/>
  <c r="BB188" i="17" s="1"/>
  <c r="AZ189" i="17"/>
  <c r="BA189" i="17" s="1"/>
  <c r="BB189" i="17" s="1"/>
  <c r="AZ190" i="17"/>
  <c r="BA190" i="17" s="1"/>
  <c r="BB190" i="17" s="1"/>
  <c r="AZ191" i="17"/>
  <c r="BA191" i="17" s="1"/>
  <c r="BB191" i="17" s="1"/>
  <c r="AZ192" i="17"/>
  <c r="BA192" i="17" s="1"/>
  <c r="BB192" i="17" s="1"/>
  <c r="AZ193" i="17"/>
  <c r="BA193" i="17" s="1"/>
  <c r="BB193" i="17" s="1"/>
  <c r="AZ194" i="17"/>
  <c r="BA194" i="17" s="1"/>
  <c r="BB194" i="17" s="1"/>
  <c r="AZ195" i="17"/>
  <c r="BA195" i="17" s="1"/>
  <c r="BB195" i="17" s="1"/>
  <c r="AZ196" i="17"/>
  <c r="BA196" i="17" s="1"/>
  <c r="BB196" i="17" s="1"/>
  <c r="AZ197" i="17"/>
  <c r="BA197" i="17" s="1"/>
  <c r="BB197" i="17" s="1"/>
  <c r="AZ198" i="17"/>
  <c r="BA198" i="17" s="1"/>
  <c r="BB198" i="17" s="1"/>
  <c r="AZ199" i="17"/>
  <c r="BA199" i="17" s="1"/>
  <c r="BB199" i="17" s="1"/>
  <c r="AZ200" i="17"/>
  <c r="BA200" i="17" s="1"/>
  <c r="BB200" i="17" s="1"/>
  <c r="AZ201" i="17"/>
  <c r="BA201" i="17" s="1"/>
  <c r="BB201" i="17" s="1"/>
  <c r="AZ202" i="17"/>
  <c r="BA202" i="17" s="1"/>
  <c r="BB202" i="17" s="1"/>
  <c r="AZ203" i="17"/>
  <c r="BA203" i="17" s="1"/>
  <c r="BB203" i="17" s="1"/>
  <c r="AZ204" i="17"/>
  <c r="BA204" i="17" s="1"/>
  <c r="BB204" i="17" s="1"/>
  <c r="AZ205" i="17"/>
  <c r="BA205" i="17" s="1"/>
  <c r="BB205" i="17" s="1"/>
  <c r="AZ206" i="17"/>
  <c r="BA206" i="17" s="1"/>
  <c r="BB206" i="17" s="1"/>
  <c r="AZ207" i="17"/>
  <c r="BA207" i="17" s="1"/>
  <c r="BB207" i="17" s="1"/>
  <c r="AZ208" i="17"/>
  <c r="BA208" i="17" s="1"/>
  <c r="BB208" i="17" s="1"/>
  <c r="AZ209" i="17"/>
  <c r="BA209" i="17" s="1"/>
  <c r="BB209" i="17" s="1"/>
  <c r="AZ210" i="17"/>
  <c r="BA210" i="17" s="1"/>
  <c r="BB210" i="17" s="1"/>
  <c r="AZ211" i="17"/>
  <c r="BA211" i="17" s="1"/>
  <c r="BB211" i="17" s="1"/>
  <c r="AZ212" i="17"/>
  <c r="BA212" i="17" s="1"/>
  <c r="BB212" i="17" s="1"/>
  <c r="AZ213" i="17"/>
  <c r="BA213" i="17" s="1"/>
  <c r="BB213" i="17" s="1"/>
  <c r="AZ214" i="17"/>
  <c r="BA214" i="17" s="1"/>
  <c r="BB214" i="17" s="1"/>
  <c r="AZ215" i="17"/>
  <c r="BA215" i="17" s="1"/>
  <c r="BB215" i="17" s="1"/>
  <c r="AZ216" i="17"/>
  <c r="BA216" i="17" s="1"/>
  <c r="BB216" i="17" s="1"/>
  <c r="AZ217" i="17"/>
  <c r="BA217" i="17" s="1"/>
  <c r="BB217" i="17" s="1"/>
  <c r="AZ218" i="17"/>
  <c r="BA218" i="17" s="1"/>
  <c r="BB218" i="17" s="1"/>
  <c r="AZ219" i="17"/>
  <c r="BA219" i="17" s="1"/>
  <c r="BB219" i="17" s="1"/>
  <c r="AZ220" i="17"/>
  <c r="BA220" i="17" s="1"/>
  <c r="BB220" i="17" s="1"/>
  <c r="AZ221" i="17"/>
  <c r="BA221" i="17" s="1"/>
  <c r="BB221" i="17" s="1"/>
  <c r="AZ222" i="17"/>
  <c r="BA222" i="17" s="1"/>
  <c r="BB222" i="17" s="1"/>
  <c r="AZ223" i="17"/>
  <c r="BA223" i="17" s="1"/>
  <c r="BB223" i="17" s="1"/>
  <c r="AZ224" i="17"/>
  <c r="BA224" i="17" s="1"/>
  <c r="BB224" i="17" s="1"/>
  <c r="AZ225" i="17"/>
  <c r="BA225" i="17" s="1"/>
  <c r="BB225" i="17" s="1"/>
  <c r="AZ226" i="17"/>
  <c r="BA226" i="17" s="1"/>
  <c r="BB226" i="17" s="1"/>
  <c r="AZ227" i="17"/>
  <c r="BA227" i="17" s="1"/>
  <c r="BB227" i="17" s="1"/>
  <c r="AZ228" i="17"/>
  <c r="BA228" i="17" s="1"/>
  <c r="BB228" i="17" s="1"/>
  <c r="AZ229" i="17"/>
  <c r="BA229" i="17" s="1"/>
  <c r="BB229" i="17" s="1"/>
  <c r="AZ230" i="17"/>
  <c r="BA230" i="17" s="1"/>
  <c r="BB230" i="17" s="1"/>
  <c r="AZ231" i="17"/>
  <c r="BA231" i="17" s="1"/>
  <c r="BB231" i="17" s="1"/>
  <c r="AZ232" i="17"/>
  <c r="BA232" i="17" s="1"/>
  <c r="BB232" i="17" s="1"/>
  <c r="AZ233" i="17"/>
  <c r="BA233" i="17" s="1"/>
  <c r="BB233" i="17" s="1"/>
  <c r="AZ234" i="17"/>
  <c r="BA234" i="17" s="1"/>
  <c r="BB234" i="17" s="1"/>
  <c r="AZ235" i="17"/>
  <c r="BA235" i="17" s="1"/>
  <c r="BB235" i="17" s="1"/>
  <c r="AZ236" i="17"/>
  <c r="BA236" i="17" s="1"/>
  <c r="BB236" i="17" s="1"/>
  <c r="AZ237" i="17"/>
  <c r="BA237" i="17" s="1"/>
  <c r="BB237" i="17" s="1"/>
  <c r="AZ238" i="17"/>
  <c r="BA238" i="17" s="1"/>
  <c r="BB238" i="17" s="1"/>
  <c r="AZ239" i="17"/>
  <c r="BA239" i="17" s="1"/>
  <c r="BB239" i="17" s="1"/>
  <c r="AZ240" i="17"/>
  <c r="BA240" i="17" s="1"/>
  <c r="BB240" i="17" s="1"/>
  <c r="AZ241" i="17"/>
  <c r="BA241" i="17" s="1"/>
  <c r="BB241" i="17" s="1"/>
  <c r="AZ242" i="17"/>
  <c r="BA242" i="17" s="1"/>
  <c r="BB242" i="17" s="1"/>
  <c r="AZ243" i="17"/>
  <c r="BA243" i="17" s="1"/>
  <c r="BB243" i="17" s="1"/>
  <c r="AZ244" i="17"/>
  <c r="BA244" i="17" s="1"/>
  <c r="BB244" i="17" s="1"/>
  <c r="AZ245" i="17"/>
  <c r="BA245" i="17" s="1"/>
  <c r="BB245" i="17" s="1"/>
  <c r="AZ246" i="17"/>
  <c r="BA246" i="17" s="1"/>
  <c r="BB246" i="17" s="1"/>
  <c r="AZ247" i="17"/>
  <c r="BA247" i="17" s="1"/>
  <c r="BB247" i="17" s="1"/>
  <c r="AZ248" i="17"/>
  <c r="BA248" i="17" s="1"/>
  <c r="BB248" i="17" s="1"/>
  <c r="AZ249" i="17"/>
  <c r="BA249" i="17" s="1"/>
  <c r="BB249" i="17" s="1"/>
  <c r="AZ250" i="17"/>
  <c r="BA250" i="17" s="1"/>
  <c r="BB250" i="17" s="1"/>
  <c r="AZ251" i="17"/>
  <c r="BA251" i="17" s="1"/>
  <c r="BB251" i="17" s="1"/>
  <c r="AZ252" i="17"/>
  <c r="BA252" i="17" s="1"/>
  <c r="BB252" i="17" s="1"/>
  <c r="AT2" i="17"/>
  <c r="AU2" i="17" s="1"/>
  <c r="AT3" i="17"/>
  <c r="AU3" i="17" s="1"/>
  <c r="AV3" i="17" s="1"/>
  <c r="AT4" i="17"/>
  <c r="AU4" i="17" s="1"/>
  <c r="AV4" i="17" s="1"/>
  <c r="AT5" i="17"/>
  <c r="AU5" i="17" s="1"/>
  <c r="AV5" i="17" s="1"/>
  <c r="AT6" i="17"/>
  <c r="AU6" i="17" s="1"/>
  <c r="AV6" i="17" s="1"/>
  <c r="AT7" i="17"/>
  <c r="AU7" i="17" s="1"/>
  <c r="AV7" i="17" s="1"/>
  <c r="AT8" i="17"/>
  <c r="AU8" i="17" s="1"/>
  <c r="AV8" i="17" s="1"/>
  <c r="AT9" i="17"/>
  <c r="AU9" i="17" s="1"/>
  <c r="AV9" i="17" s="1"/>
  <c r="AT10" i="17"/>
  <c r="AU10" i="17" s="1"/>
  <c r="AV10" i="17" s="1"/>
  <c r="AT11" i="17"/>
  <c r="AU11" i="17" s="1"/>
  <c r="AV11" i="17" s="1"/>
  <c r="AT12" i="17"/>
  <c r="AU12" i="17" s="1"/>
  <c r="AV12" i="17" s="1"/>
  <c r="AT13" i="17"/>
  <c r="AU13" i="17" s="1"/>
  <c r="AV13" i="17" s="1"/>
  <c r="AT14" i="17"/>
  <c r="AU14" i="17" s="1"/>
  <c r="AV14" i="17" s="1"/>
  <c r="AT15" i="17"/>
  <c r="AU15" i="17" s="1"/>
  <c r="AV15" i="17" s="1"/>
  <c r="AT16" i="17"/>
  <c r="AU16" i="17" s="1"/>
  <c r="AV16" i="17" s="1"/>
  <c r="AT17" i="17"/>
  <c r="AU17" i="17" s="1"/>
  <c r="AV17" i="17" s="1"/>
  <c r="AT18" i="17"/>
  <c r="AU18" i="17" s="1"/>
  <c r="AV18" i="17" s="1"/>
  <c r="AT19" i="17"/>
  <c r="AU19" i="17" s="1"/>
  <c r="AV19" i="17" s="1"/>
  <c r="AT20" i="17"/>
  <c r="AU20" i="17" s="1"/>
  <c r="AV20" i="17" s="1"/>
  <c r="AT21" i="17"/>
  <c r="AU21" i="17" s="1"/>
  <c r="AV21" i="17" s="1"/>
  <c r="AT22" i="17"/>
  <c r="AU22" i="17" s="1"/>
  <c r="AV22" i="17" s="1"/>
  <c r="AT23" i="17"/>
  <c r="AU23" i="17" s="1"/>
  <c r="AV23" i="17" s="1"/>
  <c r="AT24" i="17"/>
  <c r="AU24" i="17" s="1"/>
  <c r="AV24" i="17" s="1"/>
  <c r="AT25" i="17"/>
  <c r="AU25" i="17" s="1"/>
  <c r="AV25" i="17" s="1"/>
  <c r="AT26" i="17"/>
  <c r="AU26" i="17" s="1"/>
  <c r="AV26" i="17" s="1"/>
  <c r="AT27" i="17"/>
  <c r="AU27" i="17" s="1"/>
  <c r="AV27" i="17" s="1"/>
  <c r="AT28" i="17"/>
  <c r="AU28" i="17" s="1"/>
  <c r="AV28" i="17" s="1"/>
  <c r="AT29" i="17"/>
  <c r="AU29" i="17" s="1"/>
  <c r="AV29" i="17" s="1"/>
  <c r="AT30" i="17"/>
  <c r="AU30" i="17" s="1"/>
  <c r="AV30" i="17" s="1"/>
  <c r="AT31" i="17"/>
  <c r="AU31" i="17" s="1"/>
  <c r="AV31" i="17" s="1"/>
  <c r="AT32" i="17"/>
  <c r="AU32" i="17" s="1"/>
  <c r="AV32" i="17" s="1"/>
  <c r="AT33" i="17"/>
  <c r="AU33" i="17" s="1"/>
  <c r="AV33" i="17" s="1"/>
  <c r="AT34" i="17"/>
  <c r="AU34" i="17" s="1"/>
  <c r="AV34" i="17" s="1"/>
  <c r="AT35" i="17"/>
  <c r="AU35" i="17" s="1"/>
  <c r="AV35" i="17" s="1"/>
  <c r="AT36" i="17"/>
  <c r="AU36" i="17" s="1"/>
  <c r="AV36" i="17" s="1"/>
  <c r="AT37" i="17"/>
  <c r="AU37" i="17" s="1"/>
  <c r="AV37" i="17" s="1"/>
  <c r="AT38" i="17"/>
  <c r="AU38" i="17" s="1"/>
  <c r="AV38" i="17" s="1"/>
  <c r="AT39" i="17"/>
  <c r="AU39" i="17" s="1"/>
  <c r="AV39" i="17" s="1"/>
  <c r="AT40" i="17"/>
  <c r="AU40" i="17" s="1"/>
  <c r="AV40" i="17" s="1"/>
  <c r="AT41" i="17"/>
  <c r="AU41" i="17" s="1"/>
  <c r="AV41" i="17" s="1"/>
  <c r="AT42" i="17"/>
  <c r="AU42" i="17" s="1"/>
  <c r="AV42" i="17" s="1"/>
  <c r="AT43" i="17"/>
  <c r="AU43" i="17" s="1"/>
  <c r="AV43" i="17" s="1"/>
  <c r="AT44" i="17"/>
  <c r="AU44" i="17" s="1"/>
  <c r="AV44" i="17" s="1"/>
  <c r="AT45" i="17"/>
  <c r="AU45" i="17" s="1"/>
  <c r="AV45" i="17" s="1"/>
  <c r="AT46" i="17"/>
  <c r="AU46" i="17" s="1"/>
  <c r="AV46" i="17" s="1"/>
  <c r="AT47" i="17"/>
  <c r="AU47" i="17" s="1"/>
  <c r="AV47" i="17" s="1"/>
  <c r="AT48" i="17"/>
  <c r="AU48" i="17" s="1"/>
  <c r="AV48" i="17" s="1"/>
  <c r="AT49" i="17"/>
  <c r="AU49" i="17" s="1"/>
  <c r="AV49" i="17" s="1"/>
  <c r="AT50" i="17"/>
  <c r="AU50" i="17" s="1"/>
  <c r="AV50" i="17" s="1"/>
  <c r="AT51" i="17"/>
  <c r="AU51" i="17" s="1"/>
  <c r="AV51" i="17" s="1"/>
  <c r="AT52" i="17"/>
  <c r="AU52" i="17" s="1"/>
  <c r="AV52" i="17" s="1"/>
  <c r="AT53" i="17"/>
  <c r="AU53" i="17" s="1"/>
  <c r="AV53" i="17" s="1"/>
  <c r="AT54" i="17"/>
  <c r="AU54" i="17" s="1"/>
  <c r="AV54" i="17" s="1"/>
  <c r="AT55" i="17"/>
  <c r="AU55" i="17" s="1"/>
  <c r="AV55" i="17" s="1"/>
  <c r="AT56" i="17"/>
  <c r="AU56" i="17" s="1"/>
  <c r="AV56" i="17" s="1"/>
  <c r="AT57" i="17"/>
  <c r="AU57" i="17" s="1"/>
  <c r="AV57" i="17" s="1"/>
  <c r="AT58" i="17"/>
  <c r="AU58" i="17" s="1"/>
  <c r="AV58" i="17" s="1"/>
  <c r="AT59" i="17"/>
  <c r="AU59" i="17" s="1"/>
  <c r="AV59" i="17" s="1"/>
  <c r="AT60" i="17"/>
  <c r="AU60" i="17" s="1"/>
  <c r="AV60" i="17" s="1"/>
  <c r="AT61" i="17"/>
  <c r="AU61" i="17" s="1"/>
  <c r="AV61" i="17" s="1"/>
  <c r="AT62" i="17"/>
  <c r="AU62" i="17" s="1"/>
  <c r="AV62" i="17" s="1"/>
  <c r="AT63" i="17"/>
  <c r="AU63" i="17" s="1"/>
  <c r="AV63" i="17" s="1"/>
  <c r="AT64" i="17"/>
  <c r="AU64" i="17" s="1"/>
  <c r="AV64" i="17" s="1"/>
  <c r="AT65" i="17"/>
  <c r="AU65" i="17" s="1"/>
  <c r="AV65" i="17" s="1"/>
  <c r="AT66" i="17"/>
  <c r="AU66" i="17" s="1"/>
  <c r="AV66" i="17" s="1"/>
  <c r="AT67" i="17"/>
  <c r="AU67" i="17" s="1"/>
  <c r="AV67" i="17" s="1"/>
  <c r="AT68" i="17"/>
  <c r="AU68" i="17" s="1"/>
  <c r="AV68" i="17" s="1"/>
  <c r="AT69" i="17"/>
  <c r="AU69" i="17" s="1"/>
  <c r="AV69" i="17" s="1"/>
  <c r="AT70" i="17"/>
  <c r="AU70" i="17" s="1"/>
  <c r="AV70" i="17" s="1"/>
  <c r="AT71" i="17"/>
  <c r="AU71" i="17" s="1"/>
  <c r="AV71" i="17" s="1"/>
  <c r="AT72" i="17"/>
  <c r="AU72" i="17" s="1"/>
  <c r="AV72" i="17" s="1"/>
  <c r="AT73" i="17"/>
  <c r="AU73" i="17" s="1"/>
  <c r="AV73" i="17" s="1"/>
  <c r="AT74" i="17"/>
  <c r="AU74" i="17" s="1"/>
  <c r="AV74" i="17" s="1"/>
  <c r="AT75" i="17"/>
  <c r="AU75" i="17" s="1"/>
  <c r="AV75" i="17" s="1"/>
  <c r="AT76" i="17"/>
  <c r="AU76" i="17" s="1"/>
  <c r="AV76" i="17" s="1"/>
  <c r="AT77" i="17"/>
  <c r="AU77" i="17" s="1"/>
  <c r="AV77" i="17" s="1"/>
  <c r="AT78" i="17"/>
  <c r="AU78" i="17" s="1"/>
  <c r="AV78" i="17" s="1"/>
  <c r="AT79" i="17"/>
  <c r="AU79" i="17" s="1"/>
  <c r="AV79" i="17" s="1"/>
  <c r="AT80" i="17"/>
  <c r="AU80" i="17" s="1"/>
  <c r="AV80" i="17" s="1"/>
  <c r="AT81" i="17"/>
  <c r="AU81" i="17" s="1"/>
  <c r="AV81" i="17" s="1"/>
  <c r="AT82" i="17"/>
  <c r="AU82" i="17" s="1"/>
  <c r="AV82" i="17" s="1"/>
  <c r="AT83" i="17"/>
  <c r="AU83" i="17" s="1"/>
  <c r="AV83" i="17" s="1"/>
  <c r="AT84" i="17"/>
  <c r="AU84" i="17" s="1"/>
  <c r="AV84" i="17" s="1"/>
  <c r="AT85" i="17"/>
  <c r="AU85" i="17" s="1"/>
  <c r="AV85" i="17" s="1"/>
  <c r="AT86" i="17"/>
  <c r="AU86" i="17" s="1"/>
  <c r="AV86" i="17" s="1"/>
  <c r="AT87" i="17"/>
  <c r="AU87" i="17" s="1"/>
  <c r="AV87" i="17" s="1"/>
  <c r="AT88" i="17"/>
  <c r="AU88" i="17" s="1"/>
  <c r="AV88" i="17" s="1"/>
  <c r="AT89" i="17"/>
  <c r="AU89" i="17" s="1"/>
  <c r="AV89" i="17" s="1"/>
  <c r="AT90" i="17"/>
  <c r="AU90" i="17" s="1"/>
  <c r="AV90" i="17" s="1"/>
  <c r="AT91" i="17"/>
  <c r="AU91" i="17" s="1"/>
  <c r="AV91" i="17" s="1"/>
  <c r="AT92" i="17"/>
  <c r="AU92" i="17" s="1"/>
  <c r="AV92" i="17" s="1"/>
  <c r="AT93" i="17"/>
  <c r="AU93" i="17" s="1"/>
  <c r="AV93" i="17" s="1"/>
  <c r="AT94" i="17"/>
  <c r="AU94" i="17" s="1"/>
  <c r="AV94" i="17" s="1"/>
  <c r="AT95" i="17"/>
  <c r="AU95" i="17" s="1"/>
  <c r="AV95" i="17" s="1"/>
  <c r="AT96" i="17"/>
  <c r="AU96" i="17" s="1"/>
  <c r="AV96" i="17" s="1"/>
  <c r="AT97" i="17"/>
  <c r="AU97" i="17" s="1"/>
  <c r="AV97" i="17" s="1"/>
  <c r="AT98" i="17"/>
  <c r="AU98" i="17" s="1"/>
  <c r="AV98" i="17" s="1"/>
  <c r="AT99" i="17"/>
  <c r="AU99" i="17" s="1"/>
  <c r="AV99" i="17" s="1"/>
  <c r="AT100" i="17"/>
  <c r="AU100" i="17" s="1"/>
  <c r="AV100" i="17" s="1"/>
  <c r="AT101" i="17"/>
  <c r="AU101" i="17" s="1"/>
  <c r="AV101" i="17" s="1"/>
  <c r="AT102" i="17"/>
  <c r="AU102" i="17" s="1"/>
  <c r="AV102" i="17" s="1"/>
  <c r="AT103" i="17"/>
  <c r="AU103" i="17" s="1"/>
  <c r="AV103" i="17" s="1"/>
  <c r="AT104" i="17"/>
  <c r="AU104" i="17" s="1"/>
  <c r="AV104" i="17" s="1"/>
  <c r="AT105" i="17"/>
  <c r="AU105" i="17" s="1"/>
  <c r="AV105" i="17" s="1"/>
  <c r="AT106" i="17"/>
  <c r="AU106" i="17" s="1"/>
  <c r="AV106" i="17" s="1"/>
  <c r="AT107" i="17"/>
  <c r="AU107" i="17" s="1"/>
  <c r="AV107" i="17" s="1"/>
  <c r="AT108" i="17"/>
  <c r="AU108" i="17" s="1"/>
  <c r="AV108" i="17" s="1"/>
  <c r="AT109" i="17"/>
  <c r="AU109" i="17" s="1"/>
  <c r="AV109" i="17" s="1"/>
  <c r="AT110" i="17"/>
  <c r="AU110" i="17" s="1"/>
  <c r="AV110" i="17" s="1"/>
  <c r="AT111" i="17"/>
  <c r="AU111" i="17" s="1"/>
  <c r="AV111" i="17" s="1"/>
  <c r="AT112" i="17"/>
  <c r="AU112" i="17" s="1"/>
  <c r="AV112" i="17" s="1"/>
  <c r="AT113" i="17"/>
  <c r="AU113" i="17" s="1"/>
  <c r="AV113" i="17" s="1"/>
  <c r="AT114" i="17"/>
  <c r="AU114" i="17" s="1"/>
  <c r="AV114" i="17" s="1"/>
  <c r="AT115" i="17"/>
  <c r="AU115" i="17" s="1"/>
  <c r="AV115" i="17" s="1"/>
  <c r="AT116" i="17"/>
  <c r="AU116" i="17" s="1"/>
  <c r="AV116" i="17" s="1"/>
  <c r="AT117" i="17"/>
  <c r="AU117" i="17" s="1"/>
  <c r="AV117" i="17" s="1"/>
  <c r="AT118" i="17"/>
  <c r="AU118" i="17" s="1"/>
  <c r="AV118" i="17" s="1"/>
  <c r="AT119" i="17"/>
  <c r="AU119" i="17" s="1"/>
  <c r="AV119" i="17" s="1"/>
  <c r="AT120" i="17"/>
  <c r="AU120" i="17" s="1"/>
  <c r="AV120" i="17" s="1"/>
  <c r="AT121" i="17"/>
  <c r="AU121" i="17" s="1"/>
  <c r="AV121" i="17" s="1"/>
  <c r="AT122" i="17"/>
  <c r="AU122" i="17" s="1"/>
  <c r="AV122" i="17" s="1"/>
  <c r="AT123" i="17"/>
  <c r="AU123" i="17" s="1"/>
  <c r="AV123" i="17" s="1"/>
  <c r="AT124" i="17"/>
  <c r="AU124" i="17" s="1"/>
  <c r="AV124" i="17" s="1"/>
  <c r="AT125" i="17"/>
  <c r="AU125" i="17" s="1"/>
  <c r="AV125" i="17" s="1"/>
  <c r="AT126" i="17"/>
  <c r="AU126" i="17" s="1"/>
  <c r="AV126" i="17" s="1"/>
  <c r="AT127" i="17"/>
  <c r="AU127" i="17" s="1"/>
  <c r="AV127" i="17" s="1"/>
  <c r="AT128" i="17"/>
  <c r="AU128" i="17" s="1"/>
  <c r="AV128" i="17" s="1"/>
  <c r="AT129" i="17"/>
  <c r="AU129" i="17" s="1"/>
  <c r="AV129" i="17" s="1"/>
  <c r="AT130" i="17"/>
  <c r="AU130" i="17" s="1"/>
  <c r="AV130" i="17" s="1"/>
  <c r="AT131" i="17"/>
  <c r="AU131" i="17" s="1"/>
  <c r="AV131" i="17" s="1"/>
  <c r="AT132" i="17"/>
  <c r="AU132" i="17" s="1"/>
  <c r="AV132" i="17" s="1"/>
  <c r="AT133" i="17"/>
  <c r="AU133" i="17" s="1"/>
  <c r="AV133" i="17" s="1"/>
  <c r="AT134" i="17"/>
  <c r="AU134" i="17" s="1"/>
  <c r="AV134" i="17" s="1"/>
  <c r="AT135" i="17"/>
  <c r="AU135" i="17" s="1"/>
  <c r="AV135" i="17" s="1"/>
  <c r="AT136" i="17"/>
  <c r="AU136" i="17" s="1"/>
  <c r="AV136" i="17" s="1"/>
  <c r="AT137" i="17"/>
  <c r="AU137" i="17" s="1"/>
  <c r="AV137" i="17" s="1"/>
  <c r="AT138" i="17"/>
  <c r="AU138" i="17" s="1"/>
  <c r="AV138" i="17" s="1"/>
  <c r="AT139" i="17"/>
  <c r="AU139" i="17" s="1"/>
  <c r="AV139" i="17" s="1"/>
  <c r="AT140" i="17"/>
  <c r="AU140" i="17" s="1"/>
  <c r="AV140" i="17" s="1"/>
  <c r="AT141" i="17"/>
  <c r="AU141" i="17" s="1"/>
  <c r="AV141" i="17" s="1"/>
  <c r="AT142" i="17"/>
  <c r="AU142" i="17" s="1"/>
  <c r="AV142" i="17" s="1"/>
  <c r="AT143" i="17"/>
  <c r="AU143" i="17" s="1"/>
  <c r="AV143" i="17" s="1"/>
  <c r="AT144" i="17"/>
  <c r="AU144" i="17" s="1"/>
  <c r="AV144" i="17" s="1"/>
  <c r="AT145" i="17"/>
  <c r="AU145" i="17" s="1"/>
  <c r="AV145" i="17" s="1"/>
  <c r="AT146" i="17"/>
  <c r="AU146" i="17" s="1"/>
  <c r="AV146" i="17" s="1"/>
  <c r="AT147" i="17"/>
  <c r="AU147" i="17" s="1"/>
  <c r="AV147" i="17" s="1"/>
  <c r="AT148" i="17"/>
  <c r="AU148" i="17" s="1"/>
  <c r="AV148" i="17" s="1"/>
  <c r="AT149" i="17"/>
  <c r="AU149" i="17" s="1"/>
  <c r="AV149" i="17" s="1"/>
  <c r="AT150" i="17"/>
  <c r="AU150" i="17" s="1"/>
  <c r="AV150" i="17" s="1"/>
  <c r="AT151" i="17"/>
  <c r="AU151" i="17" s="1"/>
  <c r="AV151" i="17" s="1"/>
  <c r="AT152" i="17"/>
  <c r="AU152" i="17" s="1"/>
  <c r="AV152" i="17" s="1"/>
  <c r="AT153" i="17"/>
  <c r="AU153" i="17" s="1"/>
  <c r="AV153" i="17" s="1"/>
  <c r="AT154" i="17"/>
  <c r="AU154" i="17" s="1"/>
  <c r="AV154" i="17" s="1"/>
  <c r="AT155" i="17"/>
  <c r="AU155" i="17" s="1"/>
  <c r="AV155" i="17" s="1"/>
  <c r="AT156" i="17"/>
  <c r="AU156" i="17" s="1"/>
  <c r="AV156" i="17" s="1"/>
  <c r="AT157" i="17"/>
  <c r="AU157" i="17" s="1"/>
  <c r="AV157" i="17" s="1"/>
  <c r="AT158" i="17"/>
  <c r="AU158" i="17" s="1"/>
  <c r="AV158" i="17" s="1"/>
  <c r="AT159" i="17"/>
  <c r="AU159" i="17" s="1"/>
  <c r="AV159" i="17" s="1"/>
  <c r="AT160" i="17"/>
  <c r="AU160" i="17" s="1"/>
  <c r="AV160" i="17" s="1"/>
  <c r="AT161" i="17"/>
  <c r="AU161" i="17" s="1"/>
  <c r="AV161" i="17" s="1"/>
  <c r="AT162" i="17"/>
  <c r="AU162" i="17" s="1"/>
  <c r="AV162" i="17" s="1"/>
  <c r="AT163" i="17"/>
  <c r="AU163" i="17" s="1"/>
  <c r="AV163" i="17" s="1"/>
  <c r="AT164" i="17"/>
  <c r="AU164" i="17" s="1"/>
  <c r="AV164" i="17" s="1"/>
  <c r="AT165" i="17"/>
  <c r="AU165" i="17" s="1"/>
  <c r="AV165" i="17" s="1"/>
  <c r="AT166" i="17"/>
  <c r="AU166" i="17" s="1"/>
  <c r="AV166" i="17" s="1"/>
  <c r="AT167" i="17"/>
  <c r="AU167" i="17" s="1"/>
  <c r="AV167" i="17" s="1"/>
  <c r="AT168" i="17"/>
  <c r="AU168" i="17" s="1"/>
  <c r="AV168" i="17" s="1"/>
  <c r="AT169" i="17"/>
  <c r="AU169" i="17" s="1"/>
  <c r="AV169" i="17" s="1"/>
  <c r="AT170" i="17"/>
  <c r="AU170" i="17" s="1"/>
  <c r="AV170" i="17" s="1"/>
  <c r="AT171" i="17"/>
  <c r="AU171" i="17" s="1"/>
  <c r="AV171" i="17" s="1"/>
  <c r="AT172" i="17"/>
  <c r="AU172" i="17" s="1"/>
  <c r="AV172" i="17" s="1"/>
  <c r="AT173" i="17"/>
  <c r="AU173" i="17" s="1"/>
  <c r="AV173" i="17" s="1"/>
  <c r="AT174" i="17"/>
  <c r="AU174" i="17" s="1"/>
  <c r="AV174" i="17" s="1"/>
  <c r="AT175" i="17"/>
  <c r="AU175" i="17" s="1"/>
  <c r="AV175" i="17" s="1"/>
  <c r="AT176" i="17"/>
  <c r="AU176" i="17" s="1"/>
  <c r="AV176" i="17" s="1"/>
  <c r="AT177" i="17"/>
  <c r="AU177" i="17" s="1"/>
  <c r="AV177" i="17" s="1"/>
  <c r="AT178" i="17"/>
  <c r="AU178" i="17" s="1"/>
  <c r="AV178" i="17" s="1"/>
  <c r="AT179" i="17"/>
  <c r="AU179" i="17" s="1"/>
  <c r="AV179" i="17" s="1"/>
  <c r="AT180" i="17"/>
  <c r="AU180" i="17" s="1"/>
  <c r="AV180" i="17" s="1"/>
  <c r="AT181" i="17"/>
  <c r="AU181" i="17" s="1"/>
  <c r="AV181" i="17" s="1"/>
  <c r="AT182" i="17"/>
  <c r="AU182" i="17" s="1"/>
  <c r="AV182" i="17" s="1"/>
  <c r="AT183" i="17"/>
  <c r="AU183" i="17" s="1"/>
  <c r="AV183" i="17" s="1"/>
  <c r="AT184" i="17"/>
  <c r="AU184" i="17" s="1"/>
  <c r="AV184" i="17" s="1"/>
  <c r="AT185" i="17"/>
  <c r="AU185" i="17" s="1"/>
  <c r="AV185" i="17" s="1"/>
  <c r="AT186" i="17"/>
  <c r="AU186" i="17" s="1"/>
  <c r="AV186" i="17" s="1"/>
  <c r="AT187" i="17"/>
  <c r="AU187" i="17" s="1"/>
  <c r="AV187" i="17" s="1"/>
  <c r="AT188" i="17"/>
  <c r="AU188" i="17" s="1"/>
  <c r="AV188" i="17" s="1"/>
  <c r="AT189" i="17"/>
  <c r="AU189" i="17" s="1"/>
  <c r="AV189" i="17" s="1"/>
  <c r="AT190" i="17"/>
  <c r="AU190" i="17" s="1"/>
  <c r="AV190" i="17" s="1"/>
  <c r="AT191" i="17"/>
  <c r="AU191" i="17" s="1"/>
  <c r="AV191" i="17" s="1"/>
  <c r="AT192" i="17"/>
  <c r="AU192" i="17" s="1"/>
  <c r="AV192" i="17" s="1"/>
  <c r="AT193" i="17"/>
  <c r="AU193" i="17" s="1"/>
  <c r="AV193" i="17" s="1"/>
  <c r="AT194" i="17"/>
  <c r="AU194" i="17" s="1"/>
  <c r="AV194" i="17" s="1"/>
  <c r="AT195" i="17"/>
  <c r="AU195" i="17" s="1"/>
  <c r="AV195" i="17" s="1"/>
  <c r="AT196" i="17"/>
  <c r="AU196" i="17" s="1"/>
  <c r="AV196" i="17" s="1"/>
  <c r="AT197" i="17"/>
  <c r="AU197" i="17" s="1"/>
  <c r="AV197" i="17" s="1"/>
  <c r="AT198" i="17"/>
  <c r="AU198" i="17" s="1"/>
  <c r="AV198" i="17" s="1"/>
  <c r="AT199" i="17"/>
  <c r="AU199" i="17" s="1"/>
  <c r="AV199" i="17" s="1"/>
  <c r="AT200" i="17"/>
  <c r="AU200" i="17" s="1"/>
  <c r="AV200" i="17" s="1"/>
  <c r="AT201" i="17"/>
  <c r="AU201" i="17" s="1"/>
  <c r="AV201" i="17" s="1"/>
  <c r="AT202" i="17"/>
  <c r="AU202" i="17" s="1"/>
  <c r="AV202" i="17" s="1"/>
  <c r="AT203" i="17"/>
  <c r="AU203" i="17" s="1"/>
  <c r="AV203" i="17" s="1"/>
  <c r="AT204" i="17"/>
  <c r="AU204" i="17" s="1"/>
  <c r="AV204" i="17" s="1"/>
  <c r="AT205" i="17"/>
  <c r="AU205" i="17" s="1"/>
  <c r="AV205" i="17" s="1"/>
  <c r="AT206" i="17"/>
  <c r="AU206" i="17" s="1"/>
  <c r="AV206" i="17" s="1"/>
  <c r="AT207" i="17"/>
  <c r="AU207" i="17" s="1"/>
  <c r="AV207" i="17" s="1"/>
  <c r="AT208" i="17"/>
  <c r="AU208" i="17" s="1"/>
  <c r="AV208" i="17" s="1"/>
  <c r="AT209" i="17"/>
  <c r="AU209" i="17" s="1"/>
  <c r="AV209" i="17" s="1"/>
  <c r="AT210" i="17"/>
  <c r="AU210" i="17" s="1"/>
  <c r="AV210" i="17" s="1"/>
  <c r="AT211" i="17"/>
  <c r="AU211" i="17" s="1"/>
  <c r="AV211" i="17" s="1"/>
  <c r="AT212" i="17"/>
  <c r="AU212" i="17" s="1"/>
  <c r="AV212" i="17" s="1"/>
  <c r="AT213" i="17"/>
  <c r="AU213" i="17" s="1"/>
  <c r="AV213" i="17" s="1"/>
  <c r="AT214" i="17"/>
  <c r="AU214" i="17" s="1"/>
  <c r="AV214" i="17" s="1"/>
  <c r="AT215" i="17"/>
  <c r="AU215" i="17" s="1"/>
  <c r="AV215" i="17" s="1"/>
  <c r="AT216" i="17"/>
  <c r="AU216" i="17" s="1"/>
  <c r="AV216" i="17" s="1"/>
  <c r="AT217" i="17"/>
  <c r="AU217" i="17" s="1"/>
  <c r="AV217" i="17" s="1"/>
  <c r="AT218" i="17"/>
  <c r="AU218" i="17" s="1"/>
  <c r="AV218" i="17" s="1"/>
  <c r="AT219" i="17"/>
  <c r="AU219" i="17" s="1"/>
  <c r="AV219" i="17" s="1"/>
  <c r="AT220" i="17"/>
  <c r="AU220" i="17" s="1"/>
  <c r="AV220" i="17" s="1"/>
  <c r="AT221" i="17"/>
  <c r="AU221" i="17" s="1"/>
  <c r="AV221" i="17" s="1"/>
  <c r="AT222" i="17"/>
  <c r="AU222" i="17" s="1"/>
  <c r="AV222" i="17" s="1"/>
  <c r="AT223" i="17"/>
  <c r="AU223" i="17" s="1"/>
  <c r="AV223" i="17" s="1"/>
  <c r="AT224" i="17"/>
  <c r="AU224" i="17" s="1"/>
  <c r="AV224" i="17" s="1"/>
  <c r="AT225" i="17"/>
  <c r="AU225" i="17" s="1"/>
  <c r="AV225" i="17" s="1"/>
  <c r="AT226" i="17"/>
  <c r="AU226" i="17" s="1"/>
  <c r="AV226" i="17" s="1"/>
  <c r="AT227" i="17"/>
  <c r="AU227" i="17" s="1"/>
  <c r="AV227" i="17" s="1"/>
  <c r="AT228" i="17"/>
  <c r="AU228" i="17" s="1"/>
  <c r="AV228" i="17" s="1"/>
  <c r="AT229" i="17"/>
  <c r="AU229" i="17" s="1"/>
  <c r="AV229" i="17" s="1"/>
  <c r="AT230" i="17"/>
  <c r="AU230" i="17" s="1"/>
  <c r="AV230" i="17" s="1"/>
  <c r="AT231" i="17"/>
  <c r="AU231" i="17" s="1"/>
  <c r="AV231" i="17" s="1"/>
  <c r="AT232" i="17"/>
  <c r="AU232" i="17" s="1"/>
  <c r="AV232" i="17" s="1"/>
  <c r="AT233" i="17"/>
  <c r="AU233" i="17" s="1"/>
  <c r="AV233" i="17" s="1"/>
  <c r="AT234" i="17"/>
  <c r="AU234" i="17" s="1"/>
  <c r="AV234" i="17" s="1"/>
  <c r="AT235" i="17"/>
  <c r="AU235" i="17" s="1"/>
  <c r="AV235" i="17" s="1"/>
  <c r="AT236" i="17"/>
  <c r="AU236" i="17" s="1"/>
  <c r="AV236" i="17" s="1"/>
  <c r="AT237" i="17"/>
  <c r="AU237" i="17" s="1"/>
  <c r="AV237" i="17" s="1"/>
  <c r="AT238" i="17"/>
  <c r="AU238" i="17" s="1"/>
  <c r="AV238" i="17" s="1"/>
  <c r="AT239" i="17"/>
  <c r="AU239" i="17" s="1"/>
  <c r="AV239" i="17" s="1"/>
  <c r="AT240" i="17"/>
  <c r="AU240" i="17" s="1"/>
  <c r="AV240" i="17" s="1"/>
  <c r="AT241" i="17"/>
  <c r="AU241" i="17" s="1"/>
  <c r="AV241" i="17" s="1"/>
  <c r="AT242" i="17"/>
  <c r="AU242" i="17" s="1"/>
  <c r="AV242" i="17" s="1"/>
  <c r="AT243" i="17"/>
  <c r="AU243" i="17" s="1"/>
  <c r="AV243" i="17" s="1"/>
  <c r="AT244" i="17"/>
  <c r="AU244" i="17" s="1"/>
  <c r="AV244" i="17" s="1"/>
  <c r="AT245" i="17"/>
  <c r="AU245" i="17" s="1"/>
  <c r="AV245" i="17" s="1"/>
  <c r="AT246" i="17"/>
  <c r="AU246" i="17" s="1"/>
  <c r="AV246" i="17" s="1"/>
  <c r="AT247" i="17"/>
  <c r="AU247" i="17" s="1"/>
  <c r="AV247" i="17" s="1"/>
  <c r="AT248" i="17"/>
  <c r="AU248" i="17" s="1"/>
  <c r="AV248" i="17" s="1"/>
  <c r="AT249" i="17"/>
  <c r="AU249" i="17" s="1"/>
  <c r="AV249" i="17" s="1"/>
  <c r="AT250" i="17"/>
  <c r="AU250" i="17" s="1"/>
  <c r="AV250" i="17" s="1"/>
  <c r="AT251" i="17"/>
  <c r="AU251" i="17" s="1"/>
  <c r="AV251" i="17" s="1"/>
  <c r="AT252" i="17"/>
  <c r="AU252" i="17" s="1"/>
  <c r="AV252" i="17" s="1"/>
  <c r="C20" i="10"/>
  <c r="A909" i="7"/>
  <c r="CH909" i="17" s="1"/>
  <c r="C60" i="15"/>
  <c r="C58" i="15"/>
  <c r="C57" i="15"/>
  <c r="E52" i="15"/>
  <c r="F52" i="15" s="1"/>
  <c r="E51" i="15"/>
  <c r="F51" i="15" s="1"/>
  <c r="E50" i="15"/>
  <c r="F50" i="15" s="1"/>
  <c r="E49" i="15"/>
  <c r="F49" i="15" s="1"/>
  <c r="E48" i="15"/>
  <c r="F48" i="15" s="1"/>
  <c r="K33" i="15"/>
  <c r="J33" i="15"/>
  <c r="I33" i="15"/>
  <c r="H33" i="15"/>
  <c r="G33" i="15"/>
  <c r="F33" i="15"/>
  <c r="E33" i="15"/>
  <c r="D33" i="15"/>
  <c r="K32" i="15"/>
  <c r="J32" i="15"/>
  <c r="I32" i="15"/>
  <c r="H32" i="15"/>
  <c r="G32" i="15"/>
  <c r="F32" i="15"/>
  <c r="E32" i="15"/>
  <c r="D32" i="15"/>
  <c r="K31" i="15"/>
  <c r="J31" i="15"/>
  <c r="I31" i="15"/>
  <c r="H31" i="15"/>
  <c r="G31" i="15"/>
  <c r="F31" i="15"/>
  <c r="E31" i="15"/>
  <c r="D31" i="15"/>
  <c r="K30" i="15"/>
  <c r="J30" i="15"/>
  <c r="I30" i="15"/>
  <c r="H30" i="15"/>
  <c r="G30" i="15"/>
  <c r="F30" i="15"/>
  <c r="E30" i="15"/>
  <c r="D30" i="15"/>
  <c r="K29" i="15"/>
  <c r="J29" i="15"/>
  <c r="I29" i="15"/>
  <c r="H29" i="15"/>
  <c r="G29" i="15"/>
  <c r="F29" i="15"/>
  <c r="E29" i="15"/>
  <c r="D29" i="15"/>
  <c r="K28" i="15"/>
  <c r="J28" i="15"/>
  <c r="I28" i="15"/>
  <c r="H28" i="15"/>
  <c r="G28" i="15"/>
  <c r="F28" i="15"/>
  <c r="E28" i="15"/>
  <c r="D28" i="15"/>
  <c r="K27" i="15"/>
  <c r="J27" i="15"/>
  <c r="I27" i="15"/>
  <c r="H27" i="15"/>
  <c r="G27" i="15"/>
  <c r="F27" i="15"/>
  <c r="E27" i="15"/>
  <c r="D27" i="15"/>
  <c r="K26" i="15"/>
  <c r="J26" i="15"/>
  <c r="I26" i="15"/>
  <c r="H26" i="15"/>
  <c r="G26" i="15"/>
  <c r="F26" i="15"/>
  <c r="E26" i="15"/>
  <c r="D26" i="15"/>
  <c r="F20" i="15"/>
  <c r="F19" i="15"/>
  <c r="F18" i="15"/>
  <c r="F17" i="15"/>
  <c r="F16" i="15"/>
  <c r="F15" i="15"/>
  <c r="F14" i="15"/>
  <c r="F13" i="15"/>
  <c r="C12" i="13"/>
  <c r="C7" i="12"/>
  <c r="C6" i="12"/>
  <c r="C5" i="12"/>
  <c r="C4" i="12"/>
  <c r="D19" i="10"/>
  <c r="C16" i="10"/>
  <c r="C17" i="10" s="1"/>
  <c r="C13" i="10"/>
  <c r="C14" i="10" s="1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D8" i="9"/>
  <c r="C8" i="9"/>
  <c r="D7" i="9"/>
  <c r="C7" i="9"/>
  <c r="E7" i="9" s="1"/>
  <c r="D6" i="9"/>
  <c r="C6" i="9"/>
  <c r="C5" i="9"/>
  <c r="D4" i="9"/>
  <c r="C4" i="9"/>
  <c r="AD1307" i="7"/>
  <c r="AC1307" i="7"/>
  <c r="AB1307" i="7"/>
  <c r="AA1307" i="7"/>
  <c r="Z1307" i="7"/>
  <c r="Y1307" i="7"/>
  <c r="X1307" i="7"/>
  <c r="W1307" i="7"/>
  <c r="V1307" i="7"/>
  <c r="U1307" i="7"/>
  <c r="T1307" i="7"/>
  <c r="S1307" i="7"/>
  <c r="R1307" i="7"/>
  <c r="Q1307" i="7"/>
  <c r="P1307" i="7"/>
  <c r="O1307" i="7"/>
  <c r="N1307" i="7"/>
  <c r="M1307" i="7"/>
  <c r="L1307" i="7"/>
  <c r="K1307" i="7"/>
  <c r="J1307" i="7"/>
  <c r="I1307" i="7"/>
  <c r="H1307" i="7"/>
  <c r="G1307" i="7"/>
  <c r="F1307" i="7"/>
  <c r="E1307" i="7"/>
  <c r="D1307" i="7"/>
  <c r="C1307" i="7"/>
  <c r="B1307" i="7"/>
  <c r="A1307" i="7"/>
  <c r="CH1307" i="17" s="1"/>
  <c r="AD1306" i="7"/>
  <c r="AC1306" i="7"/>
  <c r="AB1306" i="7"/>
  <c r="AA1306" i="7"/>
  <c r="Z1306" i="7"/>
  <c r="Y1306" i="7"/>
  <c r="X1306" i="7"/>
  <c r="W1306" i="7"/>
  <c r="V1306" i="7"/>
  <c r="U1306" i="7"/>
  <c r="T1306" i="7"/>
  <c r="S1306" i="7"/>
  <c r="R1306" i="7"/>
  <c r="Q1306" i="7"/>
  <c r="P1306" i="7"/>
  <c r="O1306" i="7"/>
  <c r="N1306" i="7"/>
  <c r="M1306" i="7"/>
  <c r="L1306" i="7"/>
  <c r="K1306" i="7"/>
  <c r="J1306" i="7"/>
  <c r="I1306" i="7"/>
  <c r="H1306" i="7"/>
  <c r="G1306" i="7"/>
  <c r="F1306" i="7"/>
  <c r="E1306" i="7"/>
  <c r="D1306" i="7"/>
  <c r="C1306" i="7"/>
  <c r="B1306" i="7"/>
  <c r="A1306" i="7"/>
  <c r="CH1306" i="17" s="1"/>
  <c r="AD1305" i="7"/>
  <c r="AC1305" i="7"/>
  <c r="AB1305" i="7"/>
  <c r="AA1305" i="7"/>
  <c r="Z1305" i="7"/>
  <c r="Y1305" i="7"/>
  <c r="X1305" i="7"/>
  <c r="W1305" i="7"/>
  <c r="V1305" i="7"/>
  <c r="U1305" i="7"/>
  <c r="T1305" i="7"/>
  <c r="S1305" i="7"/>
  <c r="R1305" i="7"/>
  <c r="Q1305" i="7"/>
  <c r="P1305" i="7"/>
  <c r="O1305" i="7"/>
  <c r="N1305" i="7"/>
  <c r="M1305" i="7"/>
  <c r="L1305" i="7"/>
  <c r="K1305" i="7"/>
  <c r="J1305" i="7"/>
  <c r="I1305" i="7"/>
  <c r="H1305" i="7"/>
  <c r="G1305" i="7"/>
  <c r="F1305" i="7"/>
  <c r="E1305" i="7"/>
  <c r="D1305" i="7"/>
  <c r="C1305" i="7"/>
  <c r="B1305" i="7"/>
  <c r="A1305" i="7"/>
  <c r="CH1305" i="17" s="1"/>
  <c r="AD1304" i="7"/>
  <c r="AC1304" i="7"/>
  <c r="AB1304" i="7"/>
  <c r="AA1304" i="7"/>
  <c r="Z1304" i="7"/>
  <c r="Y1304" i="7"/>
  <c r="X1304" i="7"/>
  <c r="W1304" i="7"/>
  <c r="V1304" i="7"/>
  <c r="U1304" i="7"/>
  <c r="T1304" i="7"/>
  <c r="S1304" i="7"/>
  <c r="R1304" i="7"/>
  <c r="Q1304" i="7"/>
  <c r="P1304" i="7"/>
  <c r="O1304" i="7"/>
  <c r="N1304" i="7"/>
  <c r="M1304" i="7"/>
  <c r="L1304" i="7"/>
  <c r="K1304" i="7"/>
  <c r="J1304" i="7"/>
  <c r="I1304" i="7"/>
  <c r="H1304" i="7"/>
  <c r="G1304" i="7"/>
  <c r="F1304" i="7"/>
  <c r="E1304" i="7"/>
  <c r="D1304" i="7"/>
  <c r="C1304" i="7"/>
  <c r="B1304" i="7"/>
  <c r="A1304" i="7"/>
  <c r="CH1304" i="17" s="1"/>
  <c r="AD1303" i="7"/>
  <c r="AC1303" i="7"/>
  <c r="AB1303" i="7"/>
  <c r="AA1303" i="7"/>
  <c r="Z1303" i="7"/>
  <c r="Y1303" i="7"/>
  <c r="X1303" i="7"/>
  <c r="W1303" i="7"/>
  <c r="V1303" i="7"/>
  <c r="U1303" i="7"/>
  <c r="T1303" i="7"/>
  <c r="S1303" i="7"/>
  <c r="R1303" i="7"/>
  <c r="Q1303" i="7"/>
  <c r="P1303" i="7"/>
  <c r="O1303" i="7"/>
  <c r="N1303" i="7"/>
  <c r="M1303" i="7"/>
  <c r="L1303" i="7"/>
  <c r="K1303" i="7"/>
  <c r="J1303" i="7"/>
  <c r="I1303" i="7"/>
  <c r="H1303" i="7"/>
  <c r="G1303" i="7"/>
  <c r="F1303" i="7"/>
  <c r="E1303" i="7"/>
  <c r="D1303" i="7"/>
  <c r="C1303" i="7"/>
  <c r="B1303" i="7"/>
  <c r="A1303" i="7"/>
  <c r="CH1303" i="17" s="1"/>
  <c r="AD1302" i="7"/>
  <c r="AC1302" i="7"/>
  <c r="AB1302" i="7"/>
  <c r="AA1302" i="7"/>
  <c r="Z1302" i="7"/>
  <c r="Y1302" i="7"/>
  <c r="X1302" i="7"/>
  <c r="W1302" i="7"/>
  <c r="V1302" i="7"/>
  <c r="U1302" i="7"/>
  <c r="T1302" i="7"/>
  <c r="S1302" i="7"/>
  <c r="R1302" i="7"/>
  <c r="Q1302" i="7"/>
  <c r="P1302" i="7"/>
  <c r="O1302" i="7"/>
  <c r="N1302" i="7"/>
  <c r="M1302" i="7"/>
  <c r="L1302" i="7"/>
  <c r="K1302" i="7"/>
  <c r="J1302" i="7"/>
  <c r="I1302" i="7"/>
  <c r="H1302" i="7"/>
  <c r="G1302" i="7"/>
  <c r="F1302" i="7"/>
  <c r="E1302" i="7"/>
  <c r="D1302" i="7"/>
  <c r="C1302" i="7"/>
  <c r="B1302" i="7"/>
  <c r="A1302" i="7"/>
  <c r="CH1302" i="17" s="1"/>
  <c r="AD1301" i="7"/>
  <c r="AC1301" i="7"/>
  <c r="AB1301" i="7"/>
  <c r="AA1301" i="7"/>
  <c r="Z1301" i="7"/>
  <c r="Y1301" i="7"/>
  <c r="X1301" i="7"/>
  <c r="W1301" i="7"/>
  <c r="V1301" i="7"/>
  <c r="U1301" i="7"/>
  <c r="T1301" i="7"/>
  <c r="S1301" i="7"/>
  <c r="R1301" i="7"/>
  <c r="Q1301" i="7"/>
  <c r="P1301" i="7"/>
  <c r="O1301" i="7"/>
  <c r="N1301" i="7"/>
  <c r="M1301" i="7"/>
  <c r="L1301" i="7"/>
  <c r="K1301" i="7"/>
  <c r="J1301" i="7"/>
  <c r="I1301" i="7"/>
  <c r="H1301" i="7"/>
  <c r="G1301" i="7"/>
  <c r="F1301" i="7"/>
  <c r="E1301" i="7"/>
  <c r="D1301" i="7"/>
  <c r="C1301" i="7"/>
  <c r="B1301" i="7"/>
  <c r="A1301" i="7"/>
  <c r="CH1301" i="17" s="1"/>
  <c r="AD1300" i="7"/>
  <c r="AC1300" i="7"/>
  <c r="AB1300" i="7"/>
  <c r="AA1300" i="7"/>
  <c r="Z1300" i="7"/>
  <c r="Y1300" i="7"/>
  <c r="X1300" i="7"/>
  <c r="W1300" i="7"/>
  <c r="V1300" i="7"/>
  <c r="U1300" i="7"/>
  <c r="T1300" i="7"/>
  <c r="S1300" i="7"/>
  <c r="R1300" i="7"/>
  <c r="Q1300" i="7"/>
  <c r="P1300" i="7"/>
  <c r="O1300" i="7"/>
  <c r="N1300" i="7"/>
  <c r="M1300" i="7"/>
  <c r="L1300" i="7"/>
  <c r="K1300" i="7"/>
  <c r="J1300" i="7"/>
  <c r="I1300" i="7"/>
  <c r="H1300" i="7"/>
  <c r="G1300" i="7"/>
  <c r="F1300" i="7"/>
  <c r="E1300" i="7"/>
  <c r="D1300" i="7"/>
  <c r="C1300" i="7"/>
  <c r="B1300" i="7"/>
  <c r="A1300" i="7"/>
  <c r="CH1300" i="17" s="1"/>
  <c r="AD1299" i="7"/>
  <c r="AC1299" i="7"/>
  <c r="AB1299" i="7"/>
  <c r="AA1299" i="7"/>
  <c r="Z1299" i="7"/>
  <c r="Y1299" i="7"/>
  <c r="X1299" i="7"/>
  <c r="W1299" i="7"/>
  <c r="V1299" i="7"/>
  <c r="U1299" i="7"/>
  <c r="T1299" i="7"/>
  <c r="S1299" i="7"/>
  <c r="R1299" i="7"/>
  <c r="Q1299" i="7"/>
  <c r="P1299" i="7"/>
  <c r="O1299" i="7"/>
  <c r="N1299" i="7"/>
  <c r="M1299" i="7"/>
  <c r="L1299" i="7"/>
  <c r="K1299" i="7"/>
  <c r="J1299" i="7"/>
  <c r="I1299" i="7"/>
  <c r="H1299" i="7"/>
  <c r="G1299" i="7"/>
  <c r="F1299" i="7"/>
  <c r="E1299" i="7"/>
  <c r="D1299" i="7"/>
  <c r="C1299" i="7"/>
  <c r="B1299" i="7"/>
  <c r="A1299" i="7"/>
  <c r="CH1299" i="17" s="1"/>
  <c r="AD1298" i="7"/>
  <c r="AC1298" i="7"/>
  <c r="AB1298" i="7"/>
  <c r="AA1298" i="7"/>
  <c r="Z1298" i="7"/>
  <c r="Y1298" i="7"/>
  <c r="X1298" i="7"/>
  <c r="W1298" i="7"/>
  <c r="V1298" i="7"/>
  <c r="U1298" i="7"/>
  <c r="T1298" i="7"/>
  <c r="S1298" i="7"/>
  <c r="R1298" i="7"/>
  <c r="Q1298" i="7"/>
  <c r="P1298" i="7"/>
  <c r="O1298" i="7"/>
  <c r="N1298" i="7"/>
  <c r="M1298" i="7"/>
  <c r="L1298" i="7"/>
  <c r="K1298" i="7"/>
  <c r="J1298" i="7"/>
  <c r="I1298" i="7"/>
  <c r="H1298" i="7"/>
  <c r="G1298" i="7"/>
  <c r="F1298" i="7"/>
  <c r="E1298" i="7"/>
  <c r="D1298" i="7"/>
  <c r="C1298" i="7"/>
  <c r="B1298" i="7"/>
  <c r="A1298" i="7"/>
  <c r="CH1298" i="17" s="1"/>
  <c r="AD1297" i="7"/>
  <c r="AC1297" i="7"/>
  <c r="AB1297" i="7"/>
  <c r="AA1297" i="7"/>
  <c r="Z1297" i="7"/>
  <c r="Y1297" i="7"/>
  <c r="X1297" i="7"/>
  <c r="W1297" i="7"/>
  <c r="V1297" i="7"/>
  <c r="U1297" i="7"/>
  <c r="T1297" i="7"/>
  <c r="S1297" i="7"/>
  <c r="R1297" i="7"/>
  <c r="Q1297" i="7"/>
  <c r="P1297" i="7"/>
  <c r="O1297" i="7"/>
  <c r="N1297" i="7"/>
  <c r="M1297" i="7"/>
  <c r="L1297" i="7"/>
  <c r="K1297" i="7"/>
  <c r="J1297" i="7"/>
  <c r="I1297" i="7"/>
  <c r="H1297" i="7"/>
  <c r="G1297" i="7"/>
  <c r="F1297" i="7"/>
  <c r="E1297" i="7"/>
  <c r="D1297" i="7"/>
  <c r="C1297" i="7"/>
  <c r="B1297" i="7"/>
  <c r="A1297" i="7"/>
  <c r="CH1297" i="17" s="1"/>
  <c r="AD1296" i="7"/>
  <c r="AC1296" i="7"/>
  <c r="AB1296" i="7"/>
  <c r="AA1296" i="7"/>
  <c r="Z1296" i="7"/>
  <c r="Y1296" i="7"/>
  <c r="X1296" i="7"/>
  <c r="W1296" i="7"/>
  <c r="V1296" i="7"/>
  <c r="U1296" i="7"/>
  <c r="T1296" i="7"/>
  <c r="S1296" i="7"/>
  <c r="R1296" i="7"/>
  <c r="Q1296" i="7"/>
  <c r="P1296" i="7"/>
  <c r="O1296" i="7"/>
  <c r="N1296" i="7"/>
  <c r="M1296" i="7"/>
  <c r="L1296" i="7"/>
  <c r="K1296" i="7"/>
  <c r="J1296" i="7"/>
  <c r="I1296" i="7"/>
  <c r="H1296" i="7"/>
  <c r="G1296" i="7"/>
  <c r="F1296" i="7"/>
  <c r="E1296" i="7"/>
  <c r="D1296" i="7"/>
  <c r="C1296" i="7"/>
  <c r="B1296" i="7"/>
  <c r="A1296" i="7"/>
  <c r="CH1296" i="17" s="1"/>
  <c r="AD1295" i="7"/>
  <c r="AC1295" i="7"/>
  <c r="AB1295" i="7"/>
  <c r="AA1295" i="7"/>
  <c r="Z1295" i="7"/>
  <c r="Y1295" i="7"/>
  <c r="X1295" i="7"/>
  <c r="W1295" i="7"/>
  <c r="V1295" i="7"/>
  <c r="U1295" i="7"/>
  <c r="T1295" i="7"/>
  <c r="S1295" i="7"/>
  <c r="R1295" i="7"/>
  <c r="Q1295" i="7"/>
  <c r="P1295" i="7"/>
  <c r="O1295" i="7"/>
  <c r="N1295" i="7"/>
  <c r="M1295" i="7"/>
  <c r="L1295" i="7"/>
  <c r="K1295" i="7"/>
  <c r="J1295" i="7"/>
  <c r="I1295" i="7"/>
  <c r="H1295" i="7"/>
  <c r="G1295" i="7"/>
  <c r="F1295" i="7"/>
  <c r="E1295" i="7"/>
  <c r="D1295" i="7"/>
  <c r="C1295" i="7"/>
  <c r="B1295" i="7"/>
  <c r="A1295" i="7"/>
  <c r="CH1295" i="17" s="1"/>
  <c r="AD1294" i="7"/>
  <c r="AC1294" i="7"/>
  <c r="AB1294" i="7"/>
  <c r="AA1294" i="7"/>
  <c r="Z1294" i="7"/>
  <c r="Y1294" i="7"/>
  <c r="X1294" i="7"/>
  <c r="W1294" i="7"/>
  <c r="V1294" i="7"/>
  <c r="U1294" i="7"/>
  <c r="T1294" i="7"/>
  <c r="S1294" i="7"/>
  <c r="R1294" i="7"/>
  <c r="Q1294" i="7"/>
  <c r="P1294" i="7"/>
  <c r="O1294" i="7"/>
  <c r="N1294" i="7"/>
  <c r="M1294" i="7"/>
  <c r="L1294" i="7"/>
  <c r="K1294" i="7"/>
  <c r="J1294" i="7"/>
  <c r="I1294" i="7"/>
  <c r="H1294" i="7"/>
  <c r="G1294" i="7"/>
  <c r="F1294" i="7"/>
  <c r="E1294" i="7"/>
  <c r="D1294" i="7"/>
  <c r="C1294" i="7"/>
  <c r="B1294" i="7"/>
  <c r="A1294" i="7"/>
  <c r="CH1294" i="17" s="1"/>
  <c r="AD1293" i="7"/>
  <c r="AC1293" i="7"/>
  <c r="AB1293" i="7"/>
  <c r="AA1293" i="7"/>
  <c r="Z1293" i="7"/>
  <c r="Y1293" i="7"/>
  <c r="X1293" i="7"/>
  <c r="W1293" i="7"/>
  <c r="V1293" i="7"/>
  <c r="U1293" i="7"/>
  <c r="T1293" i="7"/>
  <c r="S1293" i="7"/>
  <c r="R1293" i="7"/>
  <c r="Q1293" i="7"/>
  <c r="P1293" i="7"/>
  <c r="O1293" i="7"/>
  <c r="N1293" i="7"/>
  <c r="M1293" i="7"/>
  <c r="L1293" i="7"/>
  <c r="K1293" i="7"/>
  <c r="J1293" i="7"/>
  <c r="I1293" i="7"/>
  <c r="H1293" i="7"/>
  <c r="G1293" i="7"/>
  <c r="F1293" i="7"/>
  <c r="E1293" i="7"/>
  <c r="D1293" i="7"/>
  <c r="C1293" i="7"/>
  <c r="B1293" i="7"/>
  <c r="A1293" i="7"/>
  <c r="CH1293" i="17" s="1"/>
  <c r="AD1292" i="7"/>
  <c r="AC1292" i="7"/>
  <c r="AB1292" i="7"/>
  <c r="AA1292" i="7"/>
  <c r="Z1292" i="7"/>
  <c r="Y1292" i="7"/>
  <c r="X1292" i="7"/>
  <c r="W1292" i="7"/>
  <c r="V1292" i="7"/>
  <c r="U1292" i="7"/>
  <c r="T1292" i="7"/>
  <c r="S1292" i="7"/>
  <c r="R1292" i="7"/>
  <c r="Q1292" i="7"/>
  <c r="P1292" i="7"/>
  <c r="O1292" i="7"/>
  <c r="N1292" i="7"/>
  <c r="M1292" i="7"/>
  <c r="L1292" i="7"/>
  <c r="K1292" i="7"/>
  <c r="J1292" i="7"/>
  <c r="I1292" i="7"/>
  <c r="H1292" i="7"/>
  <c r="G1292" i="7"/>
  <c r="F1292" i="7"/>
  <c r="E1292" i="7"/>
  <c r="D1292" i="7"/>
  <c r="C1292" i="7"/>
  <c r="B1292" i="7"/>
  <c r="A1292" i="7"/>
  <c r="CH1292" i="17" s="1"/>
  <c r="AD1291" i="7"/>
  <c r="AC1291" i="7"/>
  <c r="AB1291" i="7"/>
  <c r="AA1291" i="7"/>
  <c r="Z1291" i="7"/>
  <c r="Y1291" i="7"/>
  <c r="X1291" i="7"/>
  <c r="W1291" i="7"/>
  <c r="V1291" i="7"/>
  <c r="U1291" i="7"/>
  <c r="T1291" i="7"/>
  <c r="S1291" i="7"/>
  <c r="R1291" i="7"/>
  <c r="Q1291" i="7"/>
  <c r="P1291" i="7"/>
  <c r="O1291" i="7"/>
  <c r="N1291" i="7"/>
  <c r="M1291" i="7"/>
  <c r="L1291" i="7"/>
  <c r="K1291" i="7"/>
  <c r="J1291" i="7"/>
  <c r="I1291" i="7"/>
  <c r="H1291" i="7"/>
  <c r="G1291" i="7"/>
  <c r="F1291" i="7"/>
  <c r="E1291" i="7"/>
  <c r="D1291" i="7"/>
  <c r="C1291" i="7"/>
  <c r="B1291" i="7"/>
  <c r="A1291" i="7"/>
  <c r="CH1291" i="17" s="1"/>
  <c r="AD1290" i="7"/>
  <c r="AC1290" i="7"/>
  <c r="AB1290" i="7"/>
  <c r="AA1290" i="7"/>
  <c r="Z1290" i="7"/>
  <c r="Y1290" i="7"/>
  <c r="X1290" i="7"/>
  <c r="W1290" i="7"/>
  <c r="V1290" i="7"/>
  <c r="U1290" i="7"/>
  <c r="T1290" i="7"/>
  <c r="S1290" i="7"/>
  <c r="R1290" i="7"/>
  <c r="Q1290" i="7"/>
  <c r="P1290" i="7"/>
  <c r="O1290" i="7"/>
  <c r="N1290" i="7"/>
  <c r="M1290" i="7"/>
  <c r="L1290" i="7"/>
  <c r="K1290" i="7"/>
  <c r="J1290" i="7"/>
  <c r="I1290" i="7"/>
  <c r="H1290" i="7"/>
  <c r="G1290" i="7"/>
  <c r="F1290" i="7"/>
  <c r="E1290" i="7"/>
  <c r="D1290" i="7"/>
  <c r="C1290" i="7"/>
  <c r="B1290" i="7"/>
  <c r="A1290" i="7"/>
  <c r="CH1290" i="17" s="1"/>
  <c r="AD1289" i="7"/>
  <c r="AC1289" i="7"/>
  <c r="AB1289" i="7"/>
  <c r="AA1289" i="7"/>
  <c r="Z1289" i="7"/>
  <c r="Y1289" i="7"/>
  <c r="X1289" i="7"/>
  <c r="W1289" i="7"/>
  <c r="V1289" i="7"/>
  <c r="U1289" i="7"/>
  <c r="T1289" i="7"/>
  <c r="S1289" i="7"/>
  <c r="R1289" i="7"/>
  <c r="Q1289" i="7"/>
  <c r="P1289" i="7"/>
  <c r="O1289" i="7"/>
  <c r="N1289" i="7"/>
  <c r="M1289" i="7"/>
  <c r="L1289" i="7"/>
  <c r="K1289" i="7"/>
  <c r="J1289" i="7"/>
  <c r="I1289" i="7"/>
  <c r="H1289" i="7"/>
  <c r="G1289" i="7"/>
  <c r="F1289" i="7"/>
  <c r="E1289" i="7"/>
  <c r="D1289" i="7"/>
  <c r="C1289" i="7"/>
  <c r="B1289" i="7"/>
  <c r="A1289" i="7"/>
  <c r="CH1289" i="17" s="1"/>
  <c r="AD1288" i="7"/>
  <c r="AC1288" i="7"/>
  <c r="AB1288" i="7"/>
  <c r="AA1288" i="7"/>
  <c r="Z1288" i="7"/>
  <c r="Y1288" i="7"/>
  <c r="X1288" i="7"/>
  <c r="W1288" i="7"/>
  <c r="V1288" i="7"/>
  <c r="U1288" i="7"/>
  <c r="T1288" i="7"/>
  <c r="S1288" i="7"/>
  <c r="R1288" i="7"/>
  <c r="Q1288" i="7"/>
  <c r="P1288" i="7"/>
  <c r="O1288" i="7"/>
  <c r="N1288" i="7"/>
  <c r="M1288" i="7"/>
  <c r="L1288" i="7"/>
  <c r="K1288" i="7"/>
  <c r="J1288" i="7"/>
  <c r="I1288" i="7"/>
  <c r="H1288" i="7"/>
  <c r="G1288" i="7"/>
  <c r="F1288" i="7"/>
  <c r="E1288" i="7"/>
  <c r="D1288" i="7"/>
  <c r="C1288" i="7"/>
  <c r="B1288" i="7"/>
  <c r="A1288" i="7"/>
  <c r="CH1288" i="17" s="1"/>
  <c r="AD1287" i="7"/>
  <c r="AC1287" i="7"/>
  <c r="AB1287" i="7"/>
  <c r="AA1287" i="7"/>
  <c r="Z1287" i="7"/>
  <c r="Y1287" i="7"/>
  <c r="X1287" i="7"/>
  <c r="W1287" i="7"/>
  <c r="V1287" i="7"/>
  <c r="U1287" i="7"/>
  <c r="T1287" i="7"/>
  <c r="S1287" i="7"/>
  <c r="R1287" i="7"/>
  <c r="Q1287" i="7"/>
  <c r="P1287" i="7"/>
  <c r="O1287" i="7"/>
  <c r="N1287" i="7"/>
  <c r="M1287" i="7"/>
  <c r="L1287" i="7"/>
  <c r="K1287" i="7"/>
  <c r="J1287" i="7"/>
  <c r="I1287" i="7"/>
  <c r="H1287" i="7"/>
  <c r="G1287" i="7"/>
  <c r="F1287" i="7"/>
  <c r="E1287" i="7"/>
  <c r="D1287" i="7"/>
  <c r="C1287" i="7"/>
  <c r="B1287" i="7"/>
  <c r="A1287" i="7"/>
  <c r="CH1287" i="17" s="1"/>
  <c r="AD1286" i="7"/>
  <c r="AC1286" i="7"/>
  <c r="AB1286" i="7"/>
  <c r="AA1286" i="7"/>
  <c r="Z1286" i="7"/>
  <c r="Y1286" i="7"/>
  <c r="X1286" i="7"/>
  <c r="W1286" i="7"/>
  <c r="V1286" i="7"/>
  <c r="U1286" i="7"/>
  <c r="T1286" i="7"/>
  <c r="S1286" i="7"/>
  <c r="R1286" i="7"/>
  <c r="Q1286" i="7"/>
  <c r="P1286" i="7"/>
  <c r="O1286" i="7"/>
  <c r="N1286" i="7"/>
  <c r="M1286" i="7"/>
  <c r="L1286" i="7"/>
  <c r="K1286" i="7"/>
  <c r="J1286" i="7"/>
  <c r="I1286" i="7"/>
  <c r="H1286" i="7"/>
  <c r="G1286" i="7"/>
  <c r="F1286" i="7"/>
  <c r="E1286" i="7"/>
  <c r="D1286" i="7"/>
  <c r="C1286" i="7"/>
  <c r="B1286" i="7"/>
  <c r="A1286" i="7"/>
  <c r="CH1286" i="17" s="1"/>
  <c r="AD1285" i="7"/>
  <c r="AC1285" i="7"/>
  <c r="AB1285" i="7"/>
  <c r="AA1285" i="7"/>
  <c r="Z1285" i="7"/>
  <c r="Y1285" i="7"/>
  <c r="X1285" i="7"/>
  <c r="W1285" i="7"/>
  <c r="V1285" i="7"/>
  <c r="U1285" i="7"/>
  <c r="T1285" i="7"/>
  <c r="S1285" i="7"/>
  <c r="R1285" i="7"/>
  <c r="Q1285" i="7"/>
  <c r="P1285" i="7"/>
  <c r="O1285" i="7"/>
  <c r="N1285" i="7"/>
  <c r="M1285" i="7"/>
  <c r="L1285" i="7"/>
  <c r="K1285" i="7"/>
  <c r="J1285" i="7"/>
  <c r="I1285" i="7"/>
  <c r="H1285" i="7"/>
  <c r="G1285" i="7"/>
  <c r="F1285" i="7"/>
  <c r="E1285" i="7"/>
  <c r="D1285" i="7"/>
  <c r="C1285" i="7"/>
  <c r="B1285" i="7"/>
  <c r="A1285" i="7"/>
  <c r="CH1285" i="17" s="1"/>
  <c r="AD1284" i="7"/>
  <c r="AC1284" i="7"/>
  <c r="AB1284" i="7"/>
  <c r="AA1284" i="7"/>
  <c r="Z1284" i="7"/>
  <c r="Y1284" i="7"/>
  <c r="X1284" i="7"/>
  <c r="W1284" i="7"/>
  <c r="V1284" i="7"/>
  <c r="U1284" i="7"/>
  <c r="T1284" i="7"/>
  <c r="S1284" i="7"/>
  <c r="R1284" i="7"/>
  <c r="Q1284" i="7"/>
  <c r="P1284" i="7"/>
  <c r="O1284" i="7"/>
  <c r="N1284" i="7"/>
  <c r="M1284" i="7"/>
  <c r="L1284" i="7"/>
  <c r="K1284" i="7"/>
  <c r="J1284" i="7"/>
  <c r="I1284" i="7"/>
  <c r="H1284" i="7"/>
  <c r="G1284" i="7"/>
  <c r="F1284" i="7"/>
  <c r="E1284" i="7"/>
  <c r="D1284" i="7"/>
  <c r="C1284" i="7"/>
  <c r="B1284" i="7"/>
  <c r="A1284" i="7"/>
  <c r="CH1284" i="17" s="1"/>
  <c r="AD1283" i="7"/>
  <c r="AC1283" i="7"/>
  <c r="AB1283" i="7"/>
  <c r="AA1283" i="7"/>
  <c r="Z1283" i="7"/>
  <c r="Y1283" i="7"/>
  <c r="X1283" i="7"/>
  <c r="W1283" i="7"/>
  <c r="V1283" i="7"/>
  <c r="U1283" i="7"/>
  <c r="T1283" i="7"/>
  <c r="S1283" i="7"/>
  <c r="R1283" i="7"/>
  <c r="Q1283" i="7"/>
  <c r="P1283" i="7"/>
  <c r="O1283" i="7"/>
  <c r="N1283" i="7"/>
  <c r="M1283" i="7"/>
  <c r="L1283" i="7"/>
  <c r="K1283" i="7"/>
  <c r="J1283" i="7"/>
  <c r="I1283" i="7"/>
  <c r="H1283" i="7"/>
  <c r="G1283" i="7"/>
  <c r="F1283" i="7"/>
  <c r="E1283" i="7"/>
  <c r="D1283" i="7"/>
  <c r="C1283" i="7"/>
  <c r="B1283" i="7"/>
  <c r="A1283" i="7"/>
  <c r="CH1283" i="17" s="1"/>
  <c r="AD1282" i="7"/>
  <c r="AC1282" i="7"/>
  <c r="AB1282" i="7"/>
  <c r="AA1282" i="7"/>
  <c r="Z1282" i="7"/>
  <c r="Y1282" i="7"/>
  <c r="X1282" i="7"/>
  <c r="W1282" i="7"/>
  <c r="V1282" i="7"/>
  <c r="U1282" i="7"/>
  <c r="T1282" i="7"/>
  <c r="S1282" i="7"/>
  <c r="R1282" i="7"/>
  <c r="Q1282" i="7"/>
  <c r="P1282" i="7"/>
  <c r="O1282" i="7"/>
  <c r="N1282" i="7"/>
  <c r="M1282" i="7"/>
  <c r="L1282" i="7"/>
  <c r="K1282" i="7"/>
  <c r="J1282" i="7"/>
  <c r="I1282" i="7"/>
  <c r="H1282" i="7"/>
  <c r="G1282" i="7"/>
  <c r="F1282" i="7"/>
  <c r="E1282" i="7"/>
  <c r="D1282" i="7"/>
  <c r="C1282" i="7"/>
  <c r="B1282" i="7"/>
  <c r="A1282" i="7"/>
  <c r="CH1282" i="17" s="1"/>
  <c r="AD1281" i="7"/>
  <c r="AC1281" i="7"/>
  <c r="AB1281" i="7"/>
  <c r="AA1281" i="7"/>
  <c r="Z1281" i="7"/>
  <c r="Y1281" i="7"/>
  <c r="X1281" i="7"/>
  <c r="W1281" i="7"/>
  <c r="V1281" i="7"/>
  <c r="U1281" i="7"/>
  <c r="T1281" i="7"/>
  <c r="S1281" i="7"/>
  <c r="R1281" i="7"/>
  <c r="Q1281" i="7"/>
  <c r="P1281" i="7"/>
  <c r="O1281" i="7"/>
  <c r="N1281" i="7"/>
  <c r="M1281" i="7"/>
  <c r="L1281" i="7"/>
  <c r="K1281" i="7"/>
  <c r="J1281" i="7"/>
  <c r="I1281" i="7"/>
  <c r="H1281" i="7"/>
  <c r="G1281" i="7"/>
  <c r="F1281" i="7"/>
  <c r="E1281" i="7"/>
  <c r="D1281" i="7"/>
  <c r="C1281" i="7"/>
  <c r="B1281" i="7"/>
  <c r="A1281" i="7"/>
  <c r="CH1281" i="17" s="1"/>
  <c r="AD1280" i="7"/>
  <c r="AC1280" i="7"/>
  <c r="AB1280" i="7"/>
  <c r="AA1280" i="7"/>
  <c r="Z1280" i="7"/>
  <c r="Y1280" i="7"/>
  <c r="X1280" i="7"/>
  <c r="W1280" i="7"/>
  <c r="V1280" i="7"/>
  <c r="U1280" i="7"/>
  <c r="T1280" i="7"/>
  <c r="S1280" i="7"/>
  <c r="R1280" i="7"/>
  <c r="Q1280" i="7"/>
  <c r="P1280" i="7"/>
  <c r="O1280" i="7"/>
  <c r="N1280" i="7"/>
  <c r="M1280" i="7"/>
  <c r="L1280" i="7"/>
  <c r="K1280" i="7"/>
  <c r="J1280" i="7"/>
  <c r="I1280" i="7"/>
  <c r="H1280" i="7"/>
  <c r="G1280" i="7"/>
  <c r="F1280" i="7"/>
  <c r="E1280" i="7"/>
  <c r="D1280" i="7"/>
  <c r="C1280" i="7"/>
  <c r="B1280" i="7"/>
  <c r="A1280" i="7"/>
  <c r="CH1280" i="17" s="1"/>
  <c r="AD1279" i="7"/>
  <c r="AC1279" i="7"/>
  <c r="AB1279" i="7"/>
  <c r="AA1279" i="7"/>
  <c r="Z1279" i="7"/>
  <c r="Y1279" i="7"/>
  <c r="X1279" i="7"/>
  <c r="W1279" i="7"/>
  <c r="V1279" i="7"/>
  <c r="U1279" i="7"/>
  <c r="T1279" i="7"/>
  <c r="S1279" i="7"/>
  <c r="R1279" i="7"/>
  <c r="Q1279" i="7"/>
  <c r="P1279" i="7"/>
  <c r="O1279" i="7"/>
  <c r="N1279" i="7"/>
  <c r="M1279" i="7"/>
  <c r="L1279" i="7"/>
  <c r="K1279" i="7"/>
  <c r="J1279" i="7"/>
  <c r="I1279" i="7"/>
  <c r="H1279" i="7"/>
  <c r="G1279" i="7"/>
  <c r="F1279" i="7"/>
  <c r="E1279" i="7"/>
  <c r="D1279" i="7"/>
  <c r="C1279" i="7"/>
  <c r="B1279" i="7"/>
  <c r="A1279" i="7"/>
  <c r="CH1279" i="17" s="1"/>
  <c r="AD1278" i="7"/>
  <c r="AC1278" i="7"/>
  <c r="AB1278" i="7"/>
  <c r="AA1278" i="7"/>
  <c r="Z1278" i="7"/>
  <c r="Y1278" i="7"/>
  <c r="X1278" i="7"/>
  <c r="W1278" i="7"/>
  <c r="V1278" i="7"/>
  <c r="U1278" i="7"/>
  <c r="T1278" i="7"/>
  <c r="S1278" i="7"/>
  <c r="R1278" i="7"/>
  <c r="Q1278" i="7"/>
  <c r="P1278" i="7"/>
  <c r="O1278" i="7"/>
  <c r="N1278" i="7"/>
  <c r="M1278" i="7"/>
  <c r="L1278" i="7"/>
  <c r="K1278" i="7"/>
  <c r="J1278" i="7"/>
  <c r="I1278" i="7"/>
  <c r="H1278" i="7"/>
  <c r="G1278" i="7"/>
  <c r="F1278" i="7"/>
  <c r="E1278" i="7"/>
  <c r="D1278" i="7"/>
  <c r="C1278" i="7"/>
  <c r="B1278" i="7"/>
  <c r="A1278" i="7"/>
  <c r="CH1278" i="17" s="1"/>
  <c r="AD1277" i="7"/>
  <c r="AC1277" i="7"/>
  <c r="AB1277" i="7"/>
  <c r="AA1277" i="7"/>
  <c r="Z1277" i="7"/>
  <c r="Y1277" i="7"/>
  <c r="X1277" i="7"/>
  <c r="W1277" i="7"/>
  <c r="V1277" i="7"/>
  <c r="U1277" i="7"/>
  <c r="T1277" i="7"/>
  <c r="S1277" i="7"/>
  <c r="R1277" i="7"/>
  <c r="Q1277" i="7"/>
  <c r="P1277" i="7"/>
  <c r="O1277" i="7"/>
  <c r="N1277" i="7"/>
  <c r="M1277" i="7"/>
  <c r="L1277" i="7"/>
  <c r="K1277" i="7"/>
  <c r="J1277" i="7"/>
  <c r="I1277" i="7"/>
  <c r="H1277" i="7"/>
  <c r="G1277" i="7"/>
  <c r="F1277" i="7"/>
  <c r="E1277" i="7"/>
  <c r="D1277" i="7"/>
  <c r="C1277" i="7"/>
  <c r="B1277" i="7"/>
  <c r="A1277" i="7"/>
  <c r="CH1277" i="17" s="1"/>
  <c r="AD1276" i="7"/>
  <c r="AC1276" i="7"/>
  <c r="AB1276" i="7"/>
  <c r="AA1276" i="7"/>
  <c r="Z1276" i="7"/>
  <c r="Y1276" i="7"/>
  <c r="X1276" i="7"/>
  <c r="W1276" i="7"/>
  <c r="V1276" i="7"/>
  <c r="U1276" i="7"/>
  <c r="T1276" i="7"/>
  <c r="S1276" i="7"/>
  <c r="R1276" i="7"/>
  <c r="Q1276" i="7"/>
  <c r="P1276" i="7"/>
  <c r="O1276" i="7"/>
  <c r="N1276" i="7"/>
  <c r="M1276" i="7"/>
  <c r="L1276" i="7"/>
  <c r="K1276" i="7"/>
  <c r="J1276" i="7"/>
  <c r="I1276" i="7"/>
  <c r="H1276" i="7"/>
  <c r="G1276" i="7"/>
  <c r="F1276" i="7"/>
  <c r="E1276" i="7"/>
  <c r="D1276" i="7"/>
  <c r="C1276" i="7"/>
  <c r="B1276" i="7"/>
  <c r="A1276" i="7"/>
  <c r="CH1276" i="17" s="1"/>
  <c r="AD1275" i="7"/>
  <c r="AC1275" i="7"/>
  <c r="AB1275" i="7"/>
  <c r="AA1275" i="7"/>
  <c r="Z1275" i="7"/>
  <c r="Y1275" i="7"/>
  <c r="X1275" i="7"/>
  <c r="W1275" i="7"/>
  <c r="V1275" i="7"/>
  <c r="U1275" i="7"/>
  <c r="T1275" i="7"/>
  <c r="S1275" i="7"/>
  <c r="R1275" i="7"/>
  <c r="Q1275" i="7"/>
  <c r="P1275" i="7"/>
  <c r="O1275" i="7"/>
  <c r="N1275" i="7"/>
  <c r="M1275" i="7"/>
  <c r="L1275" i="7"/>
  <c r="K1275" i="7"/>
  <c r="J1275" i="7"/>
  <c r="I1275" i="7"/>
  <c r="H1275" i="7"/>
  <c r="G1275" i="7"/>
  <c r="F1275" i="7"/>
  <c r="E1275" i="7"/>
  <c r="D1275" i="7"/>
  <c r="C1275" i="7"/>
  <c r="B1275" i="7"/>
  <c r="A1275" i="7"/>
  <c r="CH1275" i="17" s="1"/>
  <c r="AD1274" i="7"/>
  <c r="AC1274" i="7"/>
  <c r="AB1274" i="7"/>
  <c r="AA1274" i="7"/>
  <c r="Z1274" i="7"/>
  <c r="Y1274" i="7"/>
  <c r="X1274" i="7"/>
  <c r="W1274" i="7"/>
  <c r="V1274" i="7"/>
  <c r="U1274" i="7"/>
  <c r="T1274" i="7"/>
  <c r="S1274" i="7"/>
  <c r="R1274" i="7"/>
  <c r="Q1274" i="7"/>
  <c r="P1274" i="7"/>
  <c r="O1274" i="7"/>
  <c r="N1274" i="7"/>
  <c r="M1274" i="7"/>
  <c r="L1274" i="7"/>
  <c r="K1274" i="7"/>
  <c r="J1274" i="7"/>
  <c r="I1274" i="7"/>
  <c r="H1274" i="7"/>
  <c r="G1274" i="7"/>
  <c r="F1274" i="7"/>
  <c r="E1274" i="7"/>
  <c r="D1274" i="7"/>
  <c r="C1274" i="7"/>
  <c r="B1274" i="7"/>
  <c r="A1274" i="7"/>
  <c r="CH1274" i="17" s="1"/>
  <c r="AD1273" i="7"/>
  <c r="AC1273" i="7"/>
  <c r="AB1273" i="7"/>
  <c r="AA1273" i="7"/>
  <c r="Z1273" i="7"/>
  <c r="Y1273" i="7"/>
  <c r="X1273" i="7"/>
  <c r="W1273" i="7"/>
  <c r="V1273" i="7"/>
  <c r="U1273" i="7"/>
  <c r="T1273" i="7"/>
  <c r="S1273" i="7"/>
  <c r="R1273" i="7"/>
  <c r="Q1273" i="7"/>
  <c r="P1273" i="7"/>
  <c r="O1273" i="7"/>
  <c r="N1273" i="7"/>
  <c r="M1273" i="7"/>
  <c r="L1273" i="7"/>
  <c r="K1273" i="7"/>
  <c r="J1273" i="7"/>
  <c r="I1273" i="7"/>
  <c r="H1273" i="7"/>
  <c r="G1273" i="7"/>
  <c r="F1273" i="7"/>
  <c r="E1273" i="7"/>
  <c r="D1273" i="7"/>
  <c r="C1273" i="7"/>
  <c r="B1273" i="7"/>
  <c r="A1273" i="7"/>
  <c r="CH1273" i="17" s="1"/>
  <c r="AD1272" i="7"/>
  <c r="AC1272" i="7"/>
  <c r="AB1272" i="7"/>
  <c r="AA1272" i="7"/>
  <c r="Z1272" i="7"/>
  <c r="Y1272" i="7"/>
  <c r="X1272" i="7"/>
  <c r="W1272" i="7"/>
  <c r="V1272" i="7"/>
  <c r="U1272" i="7"/>
  <c r="T1272" i="7"/>
  <c r="S1272" i="7"/>
  <c r="R1272" i="7"/>
  <c r="Q1272" i="7"/>
  <c r="P1272" i="7"/>
  <c r="O1272" i="7"/>
  <c r="N1272" i="7"/>
  <c r="M1272" i="7"/>
  <c r="L1272" i="7"/>
  <c r="K1272" i="7"/>
  <c r="J1272" i="7"/>
  <c r="I1272" i="7"/>
  <c r="H1272" i="7"/>
  <c r="G1272" i="7"/>
  <c r="F1272" i="7"/>
  <c r="E1272" i="7"/>
  <c r="D1272" i="7"/>
  <c r="C1272" i="7"/>
  <c r="B1272" i="7"/>
  <c r="A1272" i="7"/>
  <c r="CH1272" i="17" s="1"/>
  <c r="AD1271" i="7"/>
  <c r="AC1271" i="7"/>
  <c r="AB1271" i="7"/>
  <c r="AA1271" i="7"/>
  <c r="Z1271" i="7"/>
  <c r="Y1271" i="7"/>
  <c r="X1271" i="7"/>
  <c r="W1271" i="7"/>
  <c r="V1271" i="7"/>
  <c r="U1271" i="7"/>
  <c r="T1271" i="7"/>
  <c r="S1271" i="7"/>
  <c r="R1271" i="7"/>
  <c r="Q1271" i="7"/>
  <c r="P1271" i="7"/>
  <c r="O1271" i="7"/>
  <c r="N1271" i="7"/>
  <c r="M1271" i="7"/>
  <c r="L1271" i="7"/>
  <c r="K1271" i="7"/>
  <c r="J1271" i="7"/>
  <c r="I1271" i="7"/>
  <c r="H1271" i="7"/>
  <c r="G1271" i="7"/>
  <c r="F1271" i="7"/>
  <c r="E1271" i="7"/>
  <c r="D1271" i="7"/>
  <c r="C1271" i="7"/>
  <c r="B1271" i="7"/>
  <c r="A1271" i="7"/>
  <c r="CH1271" i="17" s="1"/>
  <c r="AD1270" i="7"/>
  <c r="AC1270" i="7"/>
  <c r="AB1270" i="7"/>
  <c r="AA1270" i="7"/>
  <c r="Z1270" i="7"/>
  <c r="Y1270" i="7"/>
  <c r="X1270" i="7"/>
  <c r="W1270" i="7"/>
  <c r="V1270" i="7"/>
  <c r="U1270" i="7"/>
  <c r="T1270" i="7"/>
  <c r="S1270" i="7"/>
  <c r="R1270" i="7"/>
  <c r="Q1270" i="7"/>
  <c r="P1270" i="7"/>
  <c r="O1270" i="7"/>
  <c r="N1270" i="7"/>
  <c r="M1270" i="7"/>
  <c r="L1270" i="7"/>
  <c r="K1270" i="7"/>
  <c r="J1270" i="7"/>
  <c r="I1270" i="7"/>
  <c r="H1270" i="7"/>
  <c r="G1270" i="7"/>
  <c r="F1270" i="7"/>
  <c r="E1270" i="7"/>
  <c r="D1270" i="7"/>
  <c r="C1270" i="7"/>
  <c r="B1270" i="7"/>
  <c r="A1270" i="7"/>
  <c r="CH1270" i="17" s="1"/>
  <c r="AD1269" i="7"/>
  <c r="AC1269" i="7"/>
  <c r="AB1269" i="7"/>
  <c r="AA1269" i="7"/>
  <c r="Z1269" i="7"/>
  <c r="Y1269" i="7"/>
  <c r="X1269" i="7"/>
  <c r="W1269" i="7"/>
  <c r="V1269" i="7"/>
  <c r="U1269" i="7"/>
  <c r="T1269" i="7"/>
  <c r="S1269" i="7"/>
  <c r="R1269" i="7"/>
  <c r="Q1269" i="7"/>
  <c r="P1269" i="7"/>
  <c r="O1269" i="7"/>
  <c r="N1269" i="7"/>
  <c r="M1269" i="7"/>
  <c r="L1269" i="7"/>
  <c r="K1269" i="7"/>
  <c r="J1269" i="7"/>
  <c r="I1269" i="7"/>
  <c r="H1269" i="7"/>
  <c r="G1269" i="7"/>
  <c r="F1269" i="7"/>
  <c r="E1269" i="7"/>
  <c r="D1269" i="7"/>
  <c r="C1269" i="7"/>
  <c r="B1269" i="7"/>
  <c r="A1269" i="7"/>
  <c r="CH1269" i="17" s="1"/>
  <c r="AD1268" i="7"/>
  <c r="AC1268" i="7"/>
  <c r="AB1268" i="7"/>
  <c r="AA1268" i="7"/>
  <c r="Z1268" i="7"/>
  <c r="Y1268" i="7"/>
  <c r="X1268" i="7"/>
  <c r="W1268" i="7"/>
  <c r="V1268" i="7"/>
  <c r="U1268" i="7"/>
  <c r="T1268" i="7"/>
  <c r="S1268" i="7"/>
  <c r="R1268" i="7"/>
  <c r="Q1268" i="7"/>
  <c r="P1268" i="7"/>
  <c r="O1268" i="7"/>
  <c r="N1268" i="7"/>
  <c r="M1268" i="7"/>
  <c r="L1268" i="7"/>
  <c r="K1268" i="7"/>
  <c r="J1268" i="7"/>
  <c r="I1268" i="7"/>
  <c r="H1268" i="7"/>
  <c r="G1268" i="7"/>
  <c r="F1268" i="7"/>
  <c r="E1268" i="7"/>
  <c r="D1268" i="7"/>
  <c r="C1268" i="7"/>
  <c r="B1268" i="7"/>
  <c r="A1268" i="7"/>
  <c r="CH1268" i="17" s="1"/>
  <c r="AD1267" i="7"/>
  <c r="AC1267" i="7"/>
  <c r="AB1267" i="7"/>
  <c r="AA1267" i="7"/>
  <c r="Z1267" i="7"/>
  <c r="Y1267" i="7"/>
  <c r="X1267" i="7"/>
  <c r="W1267" i="7"/>
  <c r="V1267" i="7"/>
  <c r="U1267" i="7"/>
  <c r="T1267" i="7"/>
  <c r="S1267" i="7"/>
  <c r="R1267" i="7"/>
  <c r="Q1267" i="7"/>
  <c r="P1267" i="7"/>
  <c r="O1267" i="7"/>
  <c r="N1267" i="7"/>
  <c r="M1267" i="7"/>
  <c r="L1267" i="7"/>
  <c r="K1267" i="7"/>
  <c r="J1267" i="7"/>
  <c r="I1267" i="7"/>
  <c r="H1267" i="7"/>
  <c r="G1267" i="7"/>
  <c r="F1267" i="7"/>
  <c r="E1267" i="7"/>
  <c r="D1267" i="7"/>
  <c r="C1267" i="7"/>
  <c r="B1267" i="7"/>
  <c r="AT1267" i="17" s="1"/>
  <c r="AU1267" i="17" s="1"/>
  <c r="AV1267" i="17" s="1"/>
  <c r="A1267" i="7"/>
  <c r="CH1267" i="17" s="1"/>
  <c r="AD1266" i="7"/>
  <c r="AC1266" i="7"/>
  <c r="AB1266" i="7"/>
  <c r="AA1266" i="7"/>
  <c r="Z1266" i="7"/>
  <c r="Y1266" i="7"/>
  <c r="X1266" i="7"/>
  <c r="W1266" i="7"/>
  <c r="V1266" i="7"/>
  <c r="U1266" i="7"/>
  <c r="T1266" i="7"/>
  <c r="S1266" i="7"/>
  <c r="R1266" i="7"/>
  <c r="Q1266" i="7"/>
  <c r="P1266" i="7"/>
  <c r="O1266" i="7"/>
  <c r="N1266" i="7"/>
  <c r="M1266" i="7"/>
  <c r="L1266" i="7"/>
  <c r="K1266" i="7"/>
  <c r="J1266" i="7"/>
  <c r="I1266" i="7"/>
  <c r="H1266" i="7"/>
  <c r="G1266" i="7"/>
  <c r="F1266" i="7"/>
  <c r="E1266" i="7"/>
  <c r="D1266" i="7"/>
  <c r="C1266" i="7"/>
  <c r="B1266" i="7"/>
  <c r="A1266" i="7"/>
  <c r="CH1266" i="17" s="1"/>
  <c r="AD1265" i="7"/>
  <c r="AC1265" i="7"/>
  <c r="AB1265" i="7"/>
  <c r="AA1265" i="7"/>
  <c r="Z1265" i="7"/>
  <c r="Y1265" i="7"/>
  <c r="X1265" i="7"/>
  <c r="W1265" i="7"/>
  <c r="V1265" i="7"/>
  <c r="U1265" i="7"/>
  <c r="T1265" i="7"/>
  <c r="S1265" i="7"/>
  <c r="R1265" i="7"/>
  <c r="Q1265" i="7"/>
  <c r="P1265" i="7"/>
  <c r="O1265" i="7"/>
  <c r="N1265" i="7"/>
  <c r="M1265" i="7"/>
  <c r="L1265" i="7"/>
  <c r="K1265" i="7"/>
  <c r="J1265" i="7"/>
  <c r="I1265" i="7"/>
  <c r="H1265" i="7"/>
  <c r="G1265" i="7"/>
  <c r="F1265" i="7"/>
  <c r="E1265" i="7"/>
  <c r="D1265" i="7"/>
  <c r="C1265" i="7"/>
  <c r="AZ1265" i="17" s="1"/>
  <c r="BA1265" i="17" s="1"/>
  <c r="BB1265" i="17" s="1"/>
  <c r="B1265" i="7"/>
  <c r="A1265" i="7"/>
  <c r="CH1265" i="17" s="1"/>
  <c r="AD1264" i="7"/>
  <c r="AC1264" i="7"/>
  <c r="AB1264" i="7"/>
  <c r="AA1264" i="7"/>
  <c r="Z1264" i="7"/>
  <c r="Y1264" i="7"/>
  <c r="X1264" i="7"/>
  <c r="W1264" i="7"/>
  <c r="V1264" i="7"/>
  <c r="U1264" i="7"/>
  <c r="T1264" i="7"/>
  <c r="S1264" i="7"/>
  <c r="R1264" i="7"/>
  <c r="Q1264" i="7"/>
  <c r="P1264" i="7"/>
  <c r="O1264" i="7"/>
  <c r="N1264" i="7"/>
  <c r="M1264" i="7"/>
  <c r="L1264" i="7"/>
  <c r="K1264" i="7"/>
  <c r="J1264" i="7"/>
  <c r="I1264" i="7"/>
  <c r="H1264" i="7"/>
  <c r="G1264" i="7"/>
  <c r="F1264" i="7"/>
  <c r="E1264" i="7"/>
  <c r="D1264" i="7"/>
  <c r="C1264" i="7"/>
  <c r="B1264" i="7"/>
  <c r="A1264" i="7"/>
  <c r="CH1264" i="17" s="1"/>
  <c r="AD1263" i="7"/>
  <c r="AC1263" i="7"/>
  <c r="AB1263" i="7"/>
  <c r="AA1263" i="7"/>
  <c r="Z1263" i="7"/>
  <c r="Y1263" i="7"/>
  <c r="X1263" i="7"/>
  <c r="W1263" i="7"/>
  <c r="V1263" i="7"/>
  <c r="U1263" i="7"/>
  <c r="T1263" i="7"/>
  <c r="S1263" i="7"/>
  <c r="R1263" i="7"/>
  <c r="Q1263" i="7"/>
  <c r="P1263" i="7"/>
  <c r="O1263" i="7"/>
  <c r="N1263" i="7"/>
  <c r="M1263" i="7"/>
  <c r="L1263" i="7"/>
  <c r="K1263" i="7"/>
  <c r="J1263" i="7"/>
  <c r="I1263" i="7"/>
  <c r="H1263" i="7"/>
  <c r="G1263" i="7"/>
  <c r="F1263" i="7"/>
  <c r="E1263" i="7"/>
  <c r="D1263" i="7"/>
  <c r="C1263" i="7"/>
  <c r="B1263" i="7"/>
  <c r="A1263" i="7"/>
  <c r="CH1263" i="17" s="1"/>
  <c r="AD1262" i="7"/>
  <c r="AC1262" i="7"/>
  <c r="AB1262" i="7"/>
  <c r="AA1262" i="7"/>
  <c r="Z1262" i="7"/>
  <c r="Y1262" i="7"/>
  <c r="X1262" i="7"/>
  <c r="W1262" i="7"/>
  <c r="V1262" i="7"/>
  <c r="U1262" i="7"/>
  <c r="T1262" i="7"/>
  <c r="S1262" i="7"/>
  <c r="R1262" i="7"/>
  <c r="Q1262" i="7"/>
  <c r="P1262" i="7"/>
  <c r="O1262" i="7"/>
  <c r="N1262" i="7"/>
  <c r="M1262" i="7"/>
  <c r="L1262" i="7"/>
  <c r="K1262" i="7"/>
  <c r="J1262" i="7"/>
  <c r="I1262" i="7"/>
  <c r="H1262" i="7"/>
  <c r="G1262" i="7"/>
  <c r="F1262" i="7"/>
  <c r="E1262" i="7"/>
  <c r="D1262" i="7"/>
  <c r="C1262" i="7"/>
  <c r="B1262" i="7"/>
  <c r="A1262" i="7"/>
  <c r="CH1262" i="17" s="1"/>
  <c r="AD1261" i="7"/>
  <c r="AC1261" i="7"/>
  <c r="AB1261" i="7"/>
  <c r="AA1261" i="7"/>
  <c r="Z1261" i="7"/>
  <c r="Y1261" i="7"/>
  <c r="X1261" i="7"/>
  <c r="W1261" i="7"/>
  <c r="V1261" i="7"/>
  <c r="U1261" i="7"/>
  <c r="T1261" i="7"/>
  <c r="S1261" i="7"/>
  <c r="R1261" i="7"/>
  <c r="Q1261" i="7"/>
  <c r="P1261" i="7"/>
  <c r="O1261" i="7"/>
  <c r="N1261" i="7"/>
  <c r="M1261" i="7"/>
  <c r="L1261" i="7"/>
  <c r="K1261" i="7"/>
  <c r="J1261" i="7"/>
  <c r="I1261" i="7"/>
  <c r="H1261" i="7"/>
  <c r="G1261" i="7"/>
  <c r="F1261" i="7"/>
  <c r="E1261" i="7"/>
  <c r="D1261" i="7"/>
  <c r="C1261" i="7"/>
  <c r="B1261" i="7"/>
  <c r="A1261" i="7"/>
  <c r="CH1261" i="17" s="1"/>
  <c r="AD1260" i="7"/>
  <c r="AC1260" i="7"/>
  <c r="AB1260" i="7"/>
  <c r="AA1260" i="7"/>
  <c r="Z1260" i="7"/>
  <c r="Y1260" i="7"/>
  <c r="X1260" i="7"/>
  <c r="W1260" i="7"/>
  <c r="V1260" i="7"/>
  <c r="U1260" i="7"/>
  <c r="T1260" i="7"/>
  <c r="S1260" i="7"/>
  <c r="R1260" i="7"/>
  <c r="Q1260" i="7"/>
  <c r="P1260" i="7"/>
  <c r="O1260" i="7"/>
  <c r="N1260" i="7"/>
  <c r="M1260" i="7"/>
  <c r="L1260" i="7"/>
  <c r="K1260" i="7"/>
  <c r="J1260" i="7"/>
  <c r="I1260" i="7"/>
  <c r="H1260" i="7"/>
  <c r="G1260" i="7"/>
  <c r="F1260" i="7"/>
  <c r="E1260" i="7"/>
  <c r="D1260" i="7"/>
  <c r="C1260" i="7"/>
  <c r="B1260" i="7"/>
  <c r="A1260" i="7"/>
  <c r="CH1260" i="17" s="1"/>
  <c r="AD1259" i="7"/>
  <c r="AC1259" i="7"/>
  <c r="AB1259" i="7"/>
  <c r="AA1259" i="7"/>
  <c r="Z1259" i="7"/>
  <c r="Y1259" i="7"/>
  <c r="X1259" i="7"/>
  <c r="W1259" i="7"/>
  <c r="V1259" i="7"/>
  <c r="U1259" i="7"/>
  <c r="T1259" i="7"/>
  <c r="S1259" i="7"/>
  <c r="R1259" i="7"/>
  <c r="Q1259" i="7"/>
  <c r="P1259" i="7"/>
  <c r="O1259" i="7"/>
  <c r="N1259" i="7"/>
  <c r="M1259" i="7"/>
  <c r="L1259" i="7"/>
  <c r="K1259" i="7"/>
  <c r="J1259" i="7"/>
  <c r="I1259" i="7"/>
  <c r="H1259" i="7"/>
  <c r="G1259" i="7"/>
  <c r="F1259" i="7"/>
  <c r="E1259" i="7"/>
  <c r="D1259" i="7"/>
  <c r="C1259" i="7"/>
  <c r="B1259" i="7"/>
  <c r="A1259" i="7"/>
  <c r="CH1259" i="17" s="1"/>
  <c r="AD1258" i="7"/>
  <c r="AC1258" i="7"/>
  <c r="AB1258" i="7"/>
  <c r="AA1258" i="7"/>
  <c r="Z1258" i="7"/>
  <c r="Y1258" i="7"/>
  <c r="X1258" i="7"/>
  <c r="W1258" i="7"/>
  <c r="V1258" i="7"/>
  <c r="U1258" i="7"/>
  <c r="T1258" i="7"/>
  <c r="S1258" i="7"/>
  <c r="R1258" i="7"/>
  <c r="Q1258" i="7"/>
  <c r="P1258" i="7"/>
  <c r="O1258" i="7"/>
  <c r="N1258" i="7"/>
  <c r="M1258" i="7"/>
  <c r="L1258" i="7"/>
  <c r="K1258" i="7"/>
  <c r="J1258" i="7"/>
  <c r="I1258" i="7"/>
  <c r="H1258" i="7"/>
  <c r="G1258" i="7"/>
  <c r="F1258" i="7"/>
  <c r="E1258" i="7"/>
  <c r="D1258" i="7"/>
  <c r="C1258" i="7"/>
  <c r="B1258" i="7"/>
  <c r="A1258" i="7"/>
  <c r="CH1258" i="17" s="1"/>
  <c r="AD1257" i="7"/>
  <c r="AC1257" i="7"/>
  <c r="AB1257" i="7"/>
  <c r="AA1257" i="7"/>
  <c r="Z1257" i="7"/>
  <c r="Y1257" i="7"/>
  <c r="X1257" i="7"/>
  <c r="W1257" i="7"/>
  <c r="V1257" i="7"/>
  <c r="U1257" i="7"/>
  <c r="T1257" i="7"/>
  <c r="S1257" i="7"/>
  <c r="R1257" i="7"/>
  <c r="Q1257" i="7"/>
  <c r="P1257" i="7"/>
  <c r="O1257" i="7"/>
  <c r="N1257" i="7"/>
  <c r="M1257" i="7"/>
  <c r="L1257" i="7"/>
  <c r="K1257" i="7"/>
  <c r="J1257" i="7"/>
  <c r="I1257" i="7"/>
  <c r="H1257" i="7"/>
  <c r="G1257" i="7"/>
  <c r="F1257" i="7"/>
  <c r="E1257" i="7"/>
  <c r="D1257" i="7"/>
  <c r="C1257" i="7"/>
  <c r="B1257" i="7"/>
  <c r="A1257" i="7"/>
  <c r="CH1257" i="17" s="1"/>
  <c r="AD1256" i="7"/>
  <c r="AC1256" i="7"/>
  <c r="AB1256" i="7"/>
  <c r="AA1256" i="7"/>
  <c r="Z1256" i="7"/>
  <c r="Y1256" i="7"/>
  <c r="X1256" i="7"/>
  <c r="W1256" i="7"/>
  <c r="V1256" i="7"/>
  <c r="U1256" i="7"/>
  <c r="T1256" i="7"/>
  <c r="S1256" i="7"/>
  <c r="R1256" i="7"/>
  <c r="Q1256" i="7"/>
  <c r="P1256" i="7"/>
  <c r="O1256" i="7"/>
  <c r="N1256" i="7"/>
  <c r="M1256" i="7"/>
  <c r="L1256" i="7"/>
  <c r="K1256" i="7"/>
  <c r="J1256" i="7"/>
  <c r="I1256" i="7"/>
  <c r="H1256" i="7"/>
  <c r="G1256" i="7"/>
  <c r="F1256" i="7"/>
  <c r="E1256" i="7"/>
  <c r="D1256" i="7"/>
  <c r="C1256" i="7"/>
  <c r="B1256" i="7"/>
  <c r="A1256" i="7"/>
  <c r="CH1256" i="17" s="1"/>
  <c r="AD1255" i="7"/>
  <c r="AC1255" i="7"/>
  <c r="AB1255" i="7"/>
  <c r="AA1255" i="7"/>
  <c r="Z1255" i="7"/>
  <c r="Y1255" i="7"/>
  <c r="X1255" i="7"/>
  <c r="W1255" i="7"/>
  <c r="V1255" i="7"/>
  <c r="U1255" i="7"/>
  <c r="T1255" i="7"/>
  <c r="S1255" i="7"/>
  <c r="R1255" i="7"/>
  <c r="Q1255" i="7"/>
  <c r="P1255" i="7"/>
  <c r="O1255" i="7"/>
  <c r="N1255" i="7"/>
  <c r="M1255" i="7"/>
  <c r="L1255" i="7"/>
  <c r="K1255" i="7"/>
  <c r="J1255" i="7"/>
  <c r="I1255" i="7"/>
  <c r="H1255" i="7"/>
  <c r="G1255" i="7"/>
  <c r="F1255" i="7"/>
  <c r="E1255" i="7"/>
  <c r="D1255" i="7"/>
  <c r="C1255" i="7"/>
  <c r="B1255" i="7"/>
  <c r="A1255" i="7"/>
  <c r="CH1255" i="17" s="1"/>
  <c r="AD1254" i="7"/>
  <c r="AC1254" i="7"/>
  <c r="AB1254" i="7"/>
  <c r="AA1254" i="7"/>
  <c r="Z1254" i="7"/>
  <c r="Y1254" i="7"/>
  <c r="X1254" i="7"/>
  <c r="W1254" i="7"/>
  <c r="V1254" i="7"/>
  <c r="U1254" i="7"/>
  <c r="T1254" i="7"/>
  <c r="S1254" i="7"/>
  <c r="R1254" i="7"/>
  <c r="Q1254" i="7"/>
  <c r="P1254" i="7"/>
  <c r="O1254" i="7"/>
  <c r="N1254" i="7"/>
  <c r="M1254" i="7"/>
  <c r="L1254" i="7"/>
  <c r="K1254" i="7"/>
  <c r="J1254" i="7"/>
  <c r="I1254" i="7"/>
  <c r="H1254" i="7"/>
  <c r="G1254" i="7"/>
  <c r="F1254" i="7"/>
  <c r="E1254" i="7"/>
  <c r="D1254" i="7"/>
  <c r="C1254" i="7"/>
  <c r="B1254" i="7"/>
  <c r="A1254" i="7"/>
  <c r="CH1254" i="17" s="1"/>
  <c r="AD1253" i="7"/>
  <c r="AC1253" i="7"/>
  <c r="AB1253" i="7"/>
  <c r="AA1253" i="7"/>
  <c r="Z1253" i="7"/>
  <c r="Y1253" i="7"/>
  <c r="X1253" i="7"/>
  <c r="W1253" i="7"/>
  <c r="V1253" i="7"/>
  <c r="U1253" i="7"/>
  <c r="T1253" i="7"/>
  <c r="S1253" i="7"/>
  <c r="R1253" i="7"/>
  <c r="Q1253" i="7"/>
  <c r="P1253" i="7"/>
  <c r="O1253" i="7"/>
  <c r="N1253" i="7"/>
  <c r="M1253" i="7"/>
  <c r="L1253" i="7"/>
  <c r="K1253" i="7"/>
  <c r="J1253" i="7"/>
  <c r="I1253" i="7"/>
  <c r="H1253" i="7"/>
  <c r="G1253" i="7"/>
  <c r="F1253" i="7"/>
  <c r="E1253" i="7"/>
  <c r="D1253" i="7"/>
  <c r="C1253" i="7"/>
  <c r="B1253" i="7"/>
  <c r="A1253" i="7"/>
  <c r="CH1253" i="17" s="1"/>
  <c r="AD1252" i="7"/>
  <c r="AC1252" i="7"/>
  <c r="AB1252" i="7"/>
  <c r="AA1252" i="7"/>
  <c r="Z1252" i="7"/>
  <c r="Y1252" i="7"/>
  <c r="X1252" i="7"/>
  <c r="W1252" i="7"/>
  <c r="V1252" i="7"/>
  <c r="U1252" i="7"/>
  <c r="T1252" i="7"/>
  <c r="S1252" i="7"/>
  <c r="R1252" i="7"/>
  <c r="Q1252" i="7"/>
  <c r="P1252" i="7"/>
  <c r="O1252" i="7"/>
  <c r="N1252" i="7"/>
  <c r="M1252" i="7"/>
  <c r="L1252" i="7"/>
  <c r="K1252" i="7"/>
  <c r="J1252" i="7"/>
  <c r="I1252" i="7"/>
  <c r="H1252" i="7"/>
  <c r="G1252" i="7"/>
  <c r="F1252" i="7"/>
  <c r="E1252" i="7"/>
  <c r="D1252" i="7"/>
  <c r="C1252" i="7"/>
  <c r="B1252" i="7"/>
  <c r="A1252" i="7"/>
  <c r="CH1252" i="17" s="1"/>
  <c r="AD1251" i="7"/>
  <c r="AC1251" i="7"/>
  <c r="AB1251" i="7"/>
  <c r="AA1251" i="7"/>
  <c r="Z1251" i="7"/>
  <c r="Y1251" i="7"/>
  <c r="X1251" i="7"/>
  <c r="W1251" i="7"/>
  <c r="V1251" i="7"/>
  <c r="U1251" i="7"/>
  <c r="T1251" i="7"/>
  <c r="S1251" i="7"/>
  <c r="R1251" i="7"/>
  <c r="Q1251" i="7"/>
  <c r="P1251" i="7"/>
  <c r="O1251" i="7"/>
  <c r="N1251" i="7"/>
  <c r="M1251" i="7"/>
  <c r="L1251" i="7"/>
  <c r="K1251" i="7"/>
  <c r="J1251" i="7"/>
  <c r="I1251" i="7"/>
  <c r="H1251" i="7"/>
  <c r="G1251" i="7"/>
  <c r="F1251" i="7"/>
  <c r="E1251" i="7"/>
  <c r="D1251" i="7"/>
  <c r="C1251" i="7"/>
  <c r="B1251" i="7"/>
  <c r="A1251" i="7"/>
  <c r="CH1251" i="17" s="1"/>
  <c r="AD1250" i="7"/>
  <c r="AC1250" i="7"/>
  <c r="AB1250" i="7"/>
  <c r="AA1250" i="7"/>
  <c r="Z1250" i="7"/>
  <c r="Y1250" i="7"/>
  <c r="X1250" i="7"/>
  <c r="W1250" i="7"/>
  <c r="V1250" i="7"/>
  <c r="U1250" i="7"/>
  <c r="T1250" i="7"/>
  <c r="S1250" i="7"/>
  <c r="R1250" i="7"/>
  <c r="Q1250" i="7"/>
  <c r="P1250" i="7"/>
  <c r="O1250" i="7"/>
  <c r="N1250" i="7"/>
  <c r="M1250" i="7"/>
  <c r="L1250" i="7"/>
  <c r="K1250" i="7"/>
  <c r="J1250" i="7"/>
  <c r="I1250" i="7"/>
  <c r="H1250" i="7"/>
  <c r="G1250" i="7"/>
  <c r="F1250" i="7"/>
  <c r="E1250" i="7"/>
  <c r="D1250" i="7"/>
  <c r="C1250" i="7"/>
  <c r="B1250" i="7"/>
  <c r="A1250" i="7"/>
  <c r="CH1250" i="17" s="1"/>
  <c r="AD1249" i="7"/>
  <c r="AC1249" i="7"/>
  <c r="AB1249" i="7"/>
  <c r="AA1249" i="7"/>
  <c r="Z1249" i="7"/>
  <c r="Y1249" i="7"/>
  <c r="X1249" i="7"/>
  <c r="W1249" i="7"/>
  <c r="V1249" i="7"/>
  <c r="U1249" i="7"/>
  <c r="T1249" i="7"/>
  <c r="S1249" i="7"/>
  <c r="R1249" i="7"/>
  <c r="Q1249" i="7"/>
  <c r="P1249" i="7"/>
  <c r="O1249" i="7"/>
  <c r="N1249" i="7"/>
  <c r="M1249" i="7"/>
  <c r="L1249" i="7"/>
  <c r="K1249" i="7"/>
  <c r="J1249" i="7"/>
  <c r="I1249" i="7"/>
  <c r="H1249" i="7"/>
  <c r="G1249" i="7"/>
  <c r="F1249" i="7"/>
  <c r="E1249" i="7"/>
  <c r="D1249" i="7"/>
  <c r="C1249" i="7"/>
  <c r="B1249" i="7"/>
  <c r="A1249" i="7"/>
  <c r="CH1249" i="17" s="1"/>
  <c r="AD1248" i="7"/>
  <c r="AC1248" i="7"/>
  <c r="AB1248" i="7"/>
  <c r="AA1248" i="7"/>
  <c r="Z1248" i="7"/>
  <c r="Y1248" i="7"/>
  <c r="X1248" i="7"/>
  <c r="W1248" i="7"/>
  <c r="V1248" i="7"/>
  <c r="U1248" i="7"/>
  <c r="T1248" i="7"/>
  <c r="S1248" i="7"/>
  <c r="R1248" i="7"/>
  <c r="Q1248" i="7"/>
  <c r="P1248" i="7"/>
  <c r="O1248" i="7"/>
  <c r="N1248" i="7"/>
  <c r="M1248" i="7"/>
  <c r="L1248" i="7"/>
  <c r="K1248" i="7"/>
  <c r="J1248" i="7"/>
  <c r="I1248" i="7"/>
  <c r="H1248" i="7"/>
  <c r="G1248" i="7"/>
  <c r="F1248" i="7"/>
  <c r="E1248" i="7"/>
  <c r="D1248" i="7"/>
  <c r="C1248" i="7"/>
  <c r="B1248" i="7"/>
  <c r="A1248" i="7"/>
  <c r="CH1248" i="17" s="1"/>
  <c r="AD1247" i="7"/>
  <c r="AC1247" i="7"/>
  <c r="AB1247" i="7"/>
  <c r="AA1247" i="7"/>
  <c r="Z1247" i="7"/>
  <c r="Y1247" i="7"/>
  <c r="X1247" i="7"/>
  <c r="W1247" i="7"/>
  <c r="V1247" i="7"/>
  <c r="U1247" i="7"/>
  <c r="T1247" i="7"/>
  <c r="S1247" i="7"/>
  <c r="R1247" i="7"/>
  <c r="Q1247" i="7"/>
  <c r="P1247" i="7"/>
  <c r="O1247" i="7"/>
  <c r="N1247" i="7"/>
  <c r="M1247" i="7"/>
  <c r="L1247" i="7"/>
  <c r="K1247" i="7"/>
  <c r="J1247" i="7"/>
  <c r="I1247" i="7"/>
  <c r="H1247" i="7"/>
  <c r="G1247" i="7"/>
  <c r="F1247" i="7"/>
  <c r="E1247" i="7"/>
  <c r="D1247" i="7"/>
  <c r="C1247" i="7"/>
  <c r="B1247" i="7"/>
  <c r="A1247" i="7"/>
  <c r="CH1247" i="17" s="1"/>
  <c r="AD1246" i="7"/>
  <c r="AC1246" i="7"/>
  <c r="AB1246" i="7"/>
  <c r="AA1246" i="7"/>
  <c r="Z1246" i="7"/>
  <c r="Y1246" i="7"/>
  <c r="X1246" i="7"/>
  <c r="W1246" i="7"/>
  <c r="V1246" i="7"/>
  <c r="U1246" i="7"/>
  <c r="T1246" i="7"/>
  <c r="S1246" i="7"/>
  <c r="R1246" i="7"/>
  <c r="Q1246" i="7"/>
  <c r="P1246" i="7"/>
  <c r="O1246" i="7"/>
  <c r="N1246" i="7"/>
  <c r="M1246" i="7"/>
  <c r="L1246" i="7"/>
  <c r="K1246" i="7"/>
  <c r="J1246" i="7"/>
  <c r="I1246" i="7"/>
  <c r="H1246" i="7"/>
  <c r="G1246" i="7"/>
  <c r="F1246" i="7"/>
  <c r="E1246" i="7"/>
  <c r="D1246" i="7"/>
  <c r="C1246" i="7"/>
  <c r="B1246" i="7"/>
  <c r="A1246" i="7"/>
  <c r="CH1246" i="17" s="1"/>
  <c r="AD1245" i="7"/>
  <c r="AC1245" i="7"/>
  <c r="AB1245" i="7"/>
  <c r="AA1245" i="7"/>
  <c r="Z1245" i="7"/>
  <c r="Y1245" i="7"/>
  <c r="X1245" i="7"/>
  <c r="W1245" i="7"/>
  <c r="V1245" i="7"/>
  <c r="U1245" i="7"/>
  <c r="T1245" i="7"/>
  <c r="S1245" i="7"/>
  <c r="R1245" i="7"/>
  <c r="Q1245" i="7"/>
  <c r="P1245" i="7"/>
  <c r="O1245" i="7"/>
  <c r="N1245" i="7"/>
  <c r="M1245" i="7"/>
  <c r="L1245" i="7"/>
  <c r="K1245" i="7"/>
  <c r="J1245" i="7"/>
  <c r="I1245" i="7"/>
  <c r="H1245" i="7"/>
  <c r="G1245" i="7"/>
  <c r="F1245" i="7"/>
  <c r="E1245" i="7"/>
  <c r="D1245" i="7"/>
  <c r="C1245" i="7"/>
  <c r="B1245" i="7"/>
  <c r="A1245" i="7"/>
  <c r="CH1245" i="17" s="1"/>
  <c r="AD1244" i="7"/>
  <c r="AC1244" i="7"/>
  <c r="AB1244" i="7"/>
  <c r="AA1244" i="7"/>
  <c r="Z1244" i="7"/>
  <c r="Y1244" i="7"/>
  <c r="X1244" i="7"/>
  <c r="W1244" i="7"/>
  <c r="V1244" i="7"/>
  <c r="U1244" i="7"/>
  <c r="T1244" i="7"/>
  <c r="S1244" i="7"/>
  <c r="R1244" i="7"/>
  <c r="Q1244" i="7"/>
  <c r="P1244" i="7"/>
  <c r="O1244" i="7"/>
  <c r="N1244" i="7"/>
  <c r="M1244" i="7"/>
  <c r="L1244" i="7"/>
  <c r="K1244" i="7"/>
  <c r="J1244" i="7"/>
  <c r="I1244" i="7"/>
  <c r="H1244" i="7"/>
  <c r="G1244" i="7"/>
  <c r="F1244" i="7"/>
  <c r="E1244" i="7"/>
  <c r="D1244" i="7"/>
  <c r="C1244" i="7"/>
  <c r="B1244" i="7"/>
  <c r="A1244" i="7"/>
  <c r="CH1244" i="17" s="1"/>
  <c r="AD1243" i="7"/>
  <c r="AC1243" i="7"/>
  <c r="AB1243" i="7"/>
  <c r="AA1243" i="7"/>
  <c r="Z1243" i="7"/>
  <c r="Y1243" i="7"/>
  <c r="X1243" i="7"/>
  <c r="W1243" i="7"/>
  <c r="V1243" i="7"/>
  <c r="U1243" i="7"/>
  <c r="T1243" i="7"/>
  <c r="S1243" i="7"/>
  <c r="R1243" i="7"/>
  <c r="Q1243" i="7"/>
  <c r="P1243" i="7"/>
  <c r="O1243" i="7"/>
  <c r="N1243" i="7"/>
  <c r="M1243" i="7"/>
  <c r="L1243" i="7"/>
  <c r="K1243" i="7"/>
  <c r="J1243" i="7"/>
  <c r="I1243" i="7"/>
  <c r="H1243" i="7"/>
  <c r="G1243" i="7"/>
  <c r="F1243" i="7"/>
  <c r="E1243" i="7"/>
  <c r="D1243" i="7"/>
  <c r="C1243" i="7"/>
  <c r="B1243" i="7"/>
  <c r="AT1243" i="17" s="1"/>
  <c r="AU1243" i="17" s="1"/>
  <c r="AV1243" i="17" s="1"/>
  <c r="A1243" i="7"/>
  <c r="CH1243" i="17" s="1"/>
  <c r="AD1242" i="7"/>
  <c r="AC1242" i="7"/>
  <c r="AB1242" i="7"/>
  <c r="AA1242" i="7"/>
  <c r="Z1242" i="7"/>
  <c r="Y1242" i="7"/>
  <c r="X1242" i="7"/>
  <c r="W1242" i="7"/>
  <c r="V1242" i="7"/>
  <c r="U1242" i="7"/>
  <c r="T1242" i="7"/>
  <c r="S1242" i="7"/>
  <c r="R1242" i="7"/>
  <c r="Q1242" i="7"/>
  <c r="P1242" i="7"/>
  <c r="O1242" i="7"/>
  <c r="N1242" i="7"/>
  <c r="M1242" i="7"/>
  <c r="L1242" i="7"/>
  <c r="K1242" i="7"/>
  <c r="J1242" i="7"/>
  <c r="I1242" i="7"/>
  <c r="H1242" i="7"/>
  <c r="G1242" i="7"/>
  <c r="F1242" i="7"/>
  <c r="E1242" i="7"/>
  <c r="D1242" i="7"/>
  <c r="C1242" i="7"/>
  <c r="B1242" i="7"/>
  <c r="A1242" i="7"/>
  <c r="CH1242" i="17" s="1"/>
  <c r="AD1241" i="7"/>
  <c r="AC1241" i="7"/>
  <c r="AB1241" i="7"/>
  <c r="AA1241" i="7"/>
  <c r="Z1241" i="7"/>
  <c r="Y1241" i="7"/>
  <c r="X1241" i="7"/>
  <c r="W1241" i="7"/>
  <c r="V1241" i="7"/>
  <c r="U1241" i="7"/>
  <c r="T1241" i="7"/>
  <c r="S1241" i="7"/>
  <c r="R1241" i="7"/>
  <c r="Q1241" i="7"/>
  <c r="P1241" i="7"/>
  <c r="O1241" i="7"/>
  <c r="N1241" i="7"/>
  <c r="M1241" i="7"/>
  <c r="L1241" i="7"/>
  <c r="K1241" i="7"/>
  <c r="J1241" i="7"/>
  <c r="I1241" i="7"/>
  <c r="H1241" i="7"/>
  <c r="G1241" i="7"/>
  <c r="F1241" i="7"/>
  <c r="E1241" i="7"/>
  <c r="D1241" i="7"/>
  <c r="C1241" i="7"/>
  <c r="B1241" i="7"/>
  <c r="A1241" i="7"/>
  <c r="CH1241" i="17" s="1"/>
  <c r="AD1240" i="7"/>
  <c r="AC1240" i="7"/>
  <c r="AB1240" i="7"/>
  <c r="AA1240" i="7"/>
  <c r="Z1240" i="7"/>
  <c r="Y1240" i="7"/>
  <c r="X1240" i="7"/>
  <c r="W1240" i="7"/>
  <c r="V1240" i="7"/>
  <c r="U1240" i="7"/>
  <c r="T1240" i="7"/>
  <c r="S1240" i="7"/>
  <c r="R1240" i="7"/>
  <c r="Q1240" i="7"/>
  <c r="P1240" i="7"/>
  <c r="O1240" i="7"/>
  <c r="N1240" i="7"/>
  <c r="M1240" i="7"/>
  <c r="L1240" i="7"/>
  <c r="K1240" i="7"/>
  <c r="J1240" i="7"/>
  <c r="I1240" i="7"/>
  <c r="H1240" i="7"/>
  <c r="G1240" i="7"/>
  <c r="F1240" i="7"/>
  <c r="E1240" i="7"/>
  <c r="D1240" i="7"/>
  <c r="C1240" i="7"/>
  <c r="B1240" i="7"/>
  <c r="A1240" i="7"/>
  <c r="CH1240" i="17" s="1"/>
  <c r="AD1239" i="7"/>
  <c r="AC1239" i="7"/>
  <c r="AB1239" i="7"/>
  <c r="AA1239" i="7"/>
  <c r="Z1239" i="7"/>
  <c r="Y1239" i="7"/>
  <c r="X1239" i="7"/>
  <c r="W1239" i="7"/>
  <c r="V1239" i="7"/>
  <c r="U1239" i="7"/>
  <c r="T1239" i="7"/>
  <c r="S1239" i="7"/>
  <c r="R1239" i="7"/>
  <c r="Q1239" i="7"/>
  <c r="P1239" i="7"/>
  <c r="O1239" i="7"/>
  <c r="N1239" i="7"/>
  <c r="M1239" i="7"/>
  <c r="L1239" i="7"/>
  <c r="K1239" i="7"/>
  <c r="J1239" i="7"/>
  <c r="I1239" i="7"/>
  <c r="H1239" i="7"/>
  <c r="G1239" i="7"/>
  <c r="F1239" i="7"/>
  <c r="E1239" i="7"/>
  <c r="D1239" i="7"/>
  <c r="C1239" i="7"/>
  <c r="B1239" i="7"/>
  <c r="A1239" i="7"/>
  <c r="CH1239" i="17" s="1"/>
  <c r="AD1238" i="7"/>
  <c r="AC1238" i="7"/>
  <c r="AB1238" i="7"/>
  <c r="AA1238" i="7"/>
  <c r="Z1238" i="7"/>
  <c r="Y1238" i="7"/>
  <c r="X1238" i="7"/>
  <c r="W1238" i="7"/>
  <c r="V1238" i="7"/>
  <c r="U1238" i="7"/>
  <c r="T1238" i="7"/>
  <c r="S1238" i="7"/>
  <c r="R1238" i="7"/>
  <c r="Q1238" i="7"/>
  <c r="P1238" i="7"/>
  <c r="O1238" i="7"/>
  <c r="N1238" i="7"/>
  <c r="M1238" i="7"/>
  <c r="L1238" i="7"/>
  <c r="K1238" i="7"/>
  <c r="J1238" i="7"/>
  <c r="I1238" i="7"/>
  <c r="H1238" i="7"/>
  <c r="G1238" i="7"/>
  <c r="F1238" i="7"/>
  <c r="E1238" i="7"/>
  <c r="D1238" i="7"/>
  <c r="C1238" i="7"/>
  <c r="B1238" i="7"/>
  <c r="A1238" i="7"/>
  <c r="CH1238" i="17" s="1"/>
  <c r="AD1237" i="7"/>
  <c r="AC1237" i="7"/>
  <c r="AB1237" i="7"/>
  <c r="AA1237" i="7"/>
  <c r="Z1237" i="7"/>
  <c r="Y1237" i="7"/>
  <c r="X1237" i="7"/>
  <c r="W1237" i="7"/>
  <c r="V1237" i="7"/>
  <c r="U1237" i="7"/>
  <c r="T1237" i="7"/>
  <c r="S1237" i="7"/>
  <c r="R1237" i="7"/>
  <c r="Q1237" i="7"/>
  <c r="P1237" i="7"/>
  <c r="O1237" i="7"/>
  <c r="N1237" i="7"/>
  <c r="M1237" i="7"/>
  <c r="L1237" i="7"/>
  <c r="K1237" i="7"/>
  <c r="J1237" i="7"/>
  <c r="I1237" i="7"/>
  <c r="H1237" i="7"/>
  <c r="G1237" i="7"/>
  <c r="F1237" i="7"/>
  <c r="E1237" i="7"/>
  <c r="D1237" i="7"/>
  <c r="C1237" i="7"/>
  <c r="B1237" i="7"/>
  <c r="A1237" i="7"/>
  <c r="CH1237" i="17" s="1"/>
  <c r="AD1236" i="7"/>
  <c r="AC1236" i="7"/>
  <c r="AB1236" i="7"/>
  <c r="AA1236" i="7"/>
  <c r="Z1236" i="7"/>
  <c r="Y1236" i="7"/>
  <c r="X1236" i="7"/>
  <c r="W1236" i="7"/>
  <c r="V1236" i="7"/>
  <c r="U1236" i="7"/>
  <c r="T1236" i="7"/>
  <c r="S1236" i="7"/>
  <c r="R1236" i="7"/>
  <c r="Q1236" i="7"/>
  <c r="P1236" i="7"/>
  <c r="O1236" i="7"/>
  <c r="N1236" i="7"/>
  <c r="M1236" i="7"/>
  <c r="L1236" i="7"/>
  <c r="K1236" i="7"/>
  <c r="J1236" i="7"/>
  <c r="I1236" i="7"/>
  <c r="H1236" i="7"/>
  <c r="G1236" i="7"/>
  <c r="F1236" i="7"/>
  <c r="E1236" i="7"/>
  <c r="D1236" i="7"/>
  <c r="C1236" i="7"/>
  <c r="B1236" i="7"/>
  <c r="A1236" i="7"/>
  <c r="CH1236" i="17" s="1"/>
  <c r="AD1235" i="7"/>
  <c r="AC1235" i="7"/>
  <c r="AB1235" i="7"/>
  <c r="AA1235" i="7"/>
  <c r="Z1235" i="7"/>
  <c r="Y1235" i="7"/>
  <c r="X1235" i="7"/>
  <c r="W1235" i="7"/>
  <c r="V1235" i="7"/>
  <c r="U1235" i="7"/>
  <c r="T1235" i="7"/>
  <c r="S1235" i="7"/>
  <c r="R1235" i="7"/>
  <c r="Q1235" i="7"/>
  <c r="P1235" i="7"/>
  <c r="O1235" i="7"/>
  <c r="N1235" i="7"/>
  <c r="M1235" i="7"/>
  <c r="L1235" i="7"/>
  <c r="K1235" i="7"/>
  <c r="J1235" i="7"/>
  <c r="I1235" i="7"/>
  <c r="H1235" i="7"/>
  <c r="G1235" i="7"/>
  <c r="F1235" i="7"/>
  <c r="E1235" i="7"/>
  <c r="D1235" i="7"/>
  <c r="C1235" i="7"/>
  <c r="B1235" i="7"/>
  <c r="A1235" i="7"/>
  <c r="CH1235" i="17" s="1"/>
  <c r="AD1234" i="7"/>
  <c r="AC1234" i="7"/>
  <c r="AB1234" i="7"/>
  <c r="AA1234" i="7"/>
  <c r="Z1234" i="7"/>
  <c r="Y1234" i="7"/>
  <c r="X1234" i="7"/>
  <c r="W1234" i="7"/>
  <c r="V1234" i="7"/>
  <c r="U1234" i="7"/>
  <c r="T1234" i="7"/>
  <c r="S1234" i="7"/>
  <c r="R1234" i="7"/>
  <c r="Q1234" i="7"/>
  <c r="P1234" i="7"/>
  <c r="O1234" i="7"/>
  <c r="N1234" i="7"/>
  <c r="M1234" i="7"/>
  <c r="L1234" i="7"/>
  <c r="K1234" i="7"/>
  <c r="J1234" i="7"/>
  <c r="I1234" i="7"/>
  <c r="H1234" i="7"/>
  <c r="G1234" i="7"/>
  <c r="F1234" i="7"/>
  <c r="E1234" i="7"/>
  <c r="D1234" i="7"/>
  <c r="C1234" i="7"/>
  <c r="B1234" i="7"/>
  <c r="A1234" i="7"/>
  <c r="CH1234" i="17" s="1"/>
  <c r="AD1233" i="7"/>
  <c r="AC1233" i="7"/>
  <c r="AB1233" i="7"/>
  <c r="AA1233" i="7"/>
  <c r="Z1233" i="7"/>
  <c r="Y1233" i="7"/>
  <c r="X1233" i="7"/>
  <c r="W1233" i="7"/>
  <c r="V1233" i="7"/>
  <c r="U1233" i="7"/>
  <c r="T1233" i="7"/>
  <c r="S1233" i="7"/>
  <c r="R1233" i="7"/>
  <c r="Q1233" i="7"/>
  <c r="P1233" i="7"/>
  <c r="O1233" i="7"/>
  <c r="N1233" i="7"/>
  <c r="M1233" i="7"/>
  <c r="L1233" i="7"/>
  <c r="K1233" i="7"/>
  <c r="J1233" i="7"/>
  <c r="I1233" i="7"/>
  <c r="H1233" i="7"/>
  <c r="G1233" i="7"/>
  <c r="F1233" i="7"/>
  <c r="E1233" i="7"/>
  <c r="D1233" i="7"/>
  <c r="C1233" i="7"/>
  <c r="B1233" i="7"/>
  <c r="A1233" i="7"/>
  <c r="CH1233" i="17" s="1"/>
  <c r="AD1232" i="7"/>
  <c r="AC1232" i="7"/>
  <c r="AB1232" i="7"/>
  <c r="AA1232" i="7"/>
  <c r="Z1232" i="7"/>
  <c r="Y1232" i="7"/>
  <c r="X1232" i="7"/>
  <c r="W1232" i="7"/>
  <c r="V1232" i="7"/>
  <c r="U1232" i="7"/>
  <c r="T1232" i="7"/>
  <c r="S1232" i="7"/>
  <c r="R1232" i="7"/>
  <c r="Q1232" i="7"/>
  <c r="P1232" i="7"/>
  <c r="O1232" i="7"/>
  <c r="N1232" i="7"/>
  <c r="M1232" i="7"/>
  <c r="L1232" i="7"/>
  <c r="K1232" i="7"/>
  <c r="J1232" i="7"/>
  <c r="I1232" i="7"/>
  <c r="H1232" i="7"/>
  <c r="G1232" i="7"/>
  <c r="F1232" i="7"/>
  <c r="E1232" i="7"/>
  <c r="D1232" i="7"/>
  <c r="C1232" i="7"/>
  <c r="B1232" i="7"/>
  <c r="A1232" i="7"/>
  <c r="CH1232" i="17" s="1"/>
  <c r="AD1231" i="7"/>
  <c r="AC1231" i="7"/>
  <c r="AB1231" i="7"/>
  <c r="AA1231" i="7"/>
  <c r="Z1231" i="7"/>
  <c r="Y1231" i="7"/>
  <c r="X1231" i="7"/>
  <c r="W1231" i="7"/>
  <c r="V1231" i="7"/>
  <c r="U1231" i="7"/>
  <c r="T1231" i="7"/>
  <c r="S1231" i="7"/>
  <c r="R1231" i="7"/>
  <c r="Q1231" i="7"/>
  <c r="P1231" i="7"/>
  <c r="O1231" i="7"/>
  <c r="N1231" i="7"/>
  <c r="M1231" i="7"/>
  <c r="L1231" i="7"/>
  <c r="K1231" i="7"/>
  <c r="J1231" i="7"/>
  <c r="I1231" i="7"/>
  <c r="H1231" i="7"/>
  <c r="G1231" i="7"/>
  <c r="F1231" i="7"/>
  <c r="E1231" i="7"/>
  <c r="D1231" i="7"/>
  <c r="C1231" i="7"/>
  <c r="B1231" i="7"/>
  <c r="A1231" i="7"/>
  <c r="CH1231" i="17" s="1"/>
  <c r="AD1230" i="7"/>
  <c r="AC1230" i="7"/>
  <c r="AB1230" i="7"/>
  <c r="AA1230" i="7"/>
  <c r="Z1230" i="7"/>
  <c r="Y1230" i="7"/>
  <c r="X1230" i="7"/>
  <c r="W1230" i="7"/>
  <c r="V1230" i="7"/>
  <c r="U1230" i="7"/>
  <c r="T1230" i="7"/>
  <c r="S1230" i="7"/>
  <c r="R1230" i="7"/>
  <c r="Q1230" i="7"/>
  <c r="P1230" i="7"/>
  <c r="O1230" i="7"/>
  <c r="N1230" i="7"/>
  <c r="M1230" i="7"/>
  <c r="L1230" i="7"/>
  <c r="K1230" i="7"/>
  <c r="J1230" i="7"/>
  <c r="I1230" i="7"/>
  <c r="H1230" i="7"/>
  <c r="G1230" i="7"/>
  <c r="F1230" i="7"/>
  <c r="E1230" i="7"/>
  <c r="D1230" i="7"/>
  <c r="C1230" i="7"/>
  <c r="B1230" i="7"/>
  <c r="A1230" i="7"/>
  <c r="CH1230" i="17" s="1"/>
  <c r="AD1229" i="7"/>
  <c r="AC1229" i="7"/>
  <c r="AB1229" i="7"/>
  <c r="AA1229" i="7"/>
  <c r="Z1229" i="7"/>
  <c r="Y1229" i="7"/>
  <c r="X1229" i="7"/>
  <c r="W1229" i="7"/>
  <c r="V1229" i="7"/>
  <c r="U1229" i="7"/>
  <c r="T1229" i="7"/>
  <c r="S1229" i="7"/>
  <c r="R1229" i="7"/>
  <c r="Q1229" i="7"/>
  <c r="P1229" i="7"/>
  <c r="O1229" i="7"/>
  <c r="N1229" i="7"/>
  <c r="M1229" i="7"/>
  <c r="L1229" i="7"/>
  <c r="K1229" i="7"/>
  <c r="J1229" i="7"/>
  <c r="I1229" i="7"/>
  <c r="H1229" i="7"/>
  <c r="G1229" i="7"/>
  <c r="F1229" i="7"/>
  <c r="E1229" i="7"/>
  <c r="D1229" i="7"/>
  <c r="C1229" i="7"/>
  <c r="B1229" i="7"/>
  <c r="A1229" i="7"/>
  <c r="CH1229" i="17" s="1"/>
  <c r="AD1228" i="7"/>
  <c r="AC1228" i="7"/>
  <c r="AB1228" i="7"/>
  <c r="AA1228" i="7"/>
  <c r="Z1228" i="7"/>
  <c r="Y1228" i="7"/>
  <c r="X1228" i="7"/>
  <c r="W1228" i="7"/>
  <c r="V1228" i="7"/>
  <c r="U1228" i="7"/>
  <c r="T1228" i="7"/>
  <c r="S1228" i="7"/>
  <c r="R1228" i="7"/>
  <c r="Q1228" i="7"/>
  <c r="P1228" i="7"/>
  <c r="O1228" i="7"/>
  <c r="N1228" i="7"/>
  <c r="M1228" i="7"/>
  <c r="L1228" i="7"/>
  <c r="K1228" i="7"/>
  <c r="J1228" i="7"/>
  <c r="I1228" i="7"/>
  <c r="H1228" i="7"/>
  <c r="G1228" i="7"/>
  <c r="F1228" i="7"/>
  <c r="E1228" i="7"/>
  <c r="D1228" i="7"/>
  <c r="C1228" i="7"/>
  <c r="B1228" i="7"/>
  <c r="A1228" i="7"/>
  <c r="CH1228" i="17" s="1"/>
  <c r="AD1227" i="7"/>
  <c r="AC1227" i="7"/>
  <c r="AB1227" i="7"/>
  <c r="AA1227" i="7"/>
  <c r="Z1227" i="7"/>
  <c r="Y1227" i="7"/>
  <c r="X1227" i="7"/>
  <c r="W1227" i="7"/>
  <c r="V1227" i="7"/>
  <c r="U1227" i="7"/>
  <c r="T1227" i="7"/>
  <c r="S1227" i="7"/>
  <c r="R1227" i="7"/>
  <c r="Q1227" i="7"/>
  <c r="P1227" i="7"/>
  <c r="O1227" i="7"/>
  <c r="N1227" i="7"/>
  <c r="M1227" i="7"/>
  <c r="L1227" i="7"/>
  <c r="K1227" i="7"/>
  <c r="J1227" i="7"/>
  <c r="I1227" i="7"/>
  <c r="H1227" i="7"/>
  <c r="G1227" i="7"/>
  <c r="F1227" i="7"/>
  <c r="E1227" i="7"/>
  <c r="D1227" i="7"/>
  <c r="C1227" i="7"/>
  <c r="B1227" i="7"/>
  <c r="A1227" i="7"/>
  <c r="CH1227" i="17" s="1"/>
  <c r="AD1226" i="7"/>
  <c r="AC1226" i="7"/>
  <c r="AB1226" i="7"/>
  <c r="AA1226" i="7"/>
  <c r="Z1226" i="7"/>
  <c r="Y1226" i="7"/>
  <c r="X1226" i="7"/>
  <c r="W1226" i="7"/>
  <c r="V1226" i="7"/>
  <c r="U1226" i="7"/>
  <c r="T1226" i="7"/>
  <c r="S1226" i="7"/>
  <c r="R1226" i="7"/>
  <c r="Q1226" i="7"/>
  <c r="P1226" i="7"/>
  <c r="O1226" i="7"/>
  <c r="N1226" i="7"/>
  <c r="M1226" i="7"/>
  <c r="L1226" i="7"/>
  <c r="K1226" i="7"/>
  <c r="J1226" i="7"/>
  <c r="I1226" i="7"/>
  <c r="H1226" i="7"/>
  <c r="G1226" i="7"/>
  <c r="F1226" i="7"/>
  <c r="E1226" i="7"/>
  <c r="D1226" i="7"/>
  <c r="C1226" i="7"/>
  <c r="B1226" i="7"/>
  <c r="A1226" i="7"/>
  <c r="CH1226" i="17" s="1"/>
  <c r="AD1225" i="7"/>
  <c r="AC1225" i="7"/>
  <c r="AB1225" i="7"/>
  <c r="AA1225" i="7"/>
  <c r="Z1225" i="7"/>
  <c r="Y1225" i="7"/>
  <c r="X1225" i="7"/>
  <c r="W1225" i="7"/>
  <c r="V1225" i="7"/>
  <c r="U1225" i="7"/>
  <c r="T1225" i="7"/>
  <c r="S1225" i="7"/>
  <c r="R1225" i="7"/>
  <c r="Q1225" i="7"/>
  <c r="P1225" i="7"/>
  <c r="O1225" i="7"/>
  <c r="N1225" i="7"/>
  <c r="M1225" i="7"/>
  <c r="L1225" i="7"/>
  <c r="K1225" i="7"/>
  <c r="J1225" i="7"/>
  <c r="I1225" i="7"/>
  <c r="H1225" i="7"/>
  <c r="G1225" i="7"/>
  <c r="F1225" i="7"/>
  <c r="E1225" i="7"/>
  <c r="D1225" i="7"/>
  <c r="C1225" i="7"/>
  <c r="B1225" i="7"/>
  <c r="A1225" i="7"/>
  <c r="CH1225" i="17" s="1"/>
  <c r="AD1224" i="7"/>
  <c r="AC1224" i="7"/>
  <c r="AB1224" i="7"/>
  <c r="AA1224" i="7"/>
  <c r="Z1224" i="7"/>
  <c r="Y1224" i="7"/>
  <c r="X1224" i="7"/>
  <c r="W1224" i="7"/>
  <c r="V1224" i="7"/>
  <c r="U1224" i="7"/>
  <c r="T1224" i="7"/>
  <c r="S1224" i="7"/>
  <c r="R1224" i="7"/>
  <c r="Q1224" i="7"/>
  <c r="P1224" i="7"/>
  <c r="O1224" i="7"/>
  <c r="N1224" i="7"/>
  <c r="M1224" i="7"/>
  <c r="L1224" i="7"/>
  <c r="K1224" i="7"/>
  <c r="J1224" i="7"/>
  <c r="I1224" i="7"/>
  <c r="H1224" i="7"/>
  <c r="G1224" i="7"/>
  <c r="F1224" i="7"/>
  <c r="E1224" i="7"/>
  <c r="D1224" i="7"/>
  <c r="C1224" i="7"/>
  <c r="B1224" i="7"/>
  <c r="A1224" i="7"/>
  <c r="CH1224" i="17" s="1"/>
  <c r="AD1223" i="7"/>
  <c r="AC1223" i="7"/>
  <c r="AB1223" i="7"/>
  <c r="AA1223" i="7"/>
  <c r="Z1223" i="7"/>
  <c r="Y1223" i="7"/>
  <c r="X1223" i="7"/>
  <c r="W1223" i="7"/>
  <c r="V1223" i="7"/>
  <c r="U1223" i="7"/>
  <c r="T1223" i="7"/>
  <c r="S1223" i="7"/>
  <c r="R1223" i="7"/>
  <c r="Q1223" i="7"/>
  <c r="P1223" i="7"/>
  <c r="O1223" i="7"/>
  <c r="N1223" i="7"/>
  <c r="M1223" i="7"/>
  <c r="L1223" i="7"/>
  <c r="K1223" i="7"/>
  <c r="J1223" i="7"/>
  <c r="I1223" i="7"/>
  <c r="H1223" i="7"/>
  <c r="G1223" i="7"/>
  <c r="F1223" i="7"/>
  <c r="E1223" i="7"/>
  <c r="D1223" i="7"/>
  <c r="C1223" i="7"/>
  <c r="B1223" i="7"/>
  <c r="A1223" i="7"/>
  <c r="CH1223" i="17" s="1"/>
  <c r="AD1222" i="7"/>
  <c r="AC1222" i="7"/>
  <c r="AB1222" i="7"/>
  <c r="AA1222" i="7"/>
  <c r="Z1222" i="7"/>
  <c r="Y1222" i="7"/>
  <c r="X1222" i="7"/>
  <c r="W1222" i="7"/>
  <c r="V1222" i="7"/>
  <c r="U1222" i="7"/>
  <c r="T1222" i="7"/>
  <c r="S1222" i="7"/>
  <c r="R1222" i="7"/>
  <c r="Q1222" i="7"/>
  <c r="P1222" i="7"/>
  <c r="O1222" i="7"/>
  <c r="N1222" i="7"/>
  <c r="M1222" i="7"/>
  <c r="L1222" i="7"/>
  <c r="K1222" i="7"/>
  <c r="J1222" i="7"/>
  <c r="I1222" i="7"/>
  <c r="H1222" i="7"/>
  <c r="G1222" i="7"/>
  <c r="F1222" i="7"/>
  <c r="E1222" i="7"/>
  <c r="D1222" i="7"/>
  <c r="C1222" i="7"/>
  <c r="B1222" i="7"/>
  <c r="A1222" i="7"/>
  <c r="CH1222" i="17" s="1"/>
  <c r="AD1221" i="7"/>
  <c r="AC1221" i="7"/>
  <c r="AB1221" i="7"/>
  <c r="AA1221" i="7"/>
  <c r="Z1221" i="7"/>
  <c r="Y1221" i="7"/>
  <c r="X1221" i="7"/>
  <c r="W1221" i="7"/>
  <c r="V1221" i="7"/>
  <c r="U1221" i="7"/>
  <c r="T1221" i="7"/>
  <c r="S1221" i="7"/>
  <c r="R1221" i="7"/>
  <c r="Q1221" i="7"/>
  <c r="P1221" i="7"/>
  <c r="O1221" i="7"/>
  <c r="N1221" i="7"/>
  <c r="M1221" i="7"/>
  <c r="L1221" i="7"/>
  <c r="K1221" i="7"/>
  <c r="J1221" i="7"/>
  <c r="I1221" i="7"/>
  <c r="H1221" i="7"/>
  <c r="G1221" i="7"/>
  <c r="F1221" i="7"/>
  <c r="E1221" i="7"/>
  <c r="D1221" i="7"/>
  <c r="C1221" i="7"/>
  <c r="B1221" i="7"/>
  <c r="A1221" i="7"/>
  <c r="CH1221" i="17" s="1"/>
  <c r="AD1220" i="7"/>
  <c r="AC1220" i="7"/>
  <c r="AB1220" i="7"/>
  <c r="AA1220" i="7"/>
  <c r="Z1220" i="7"/>
  <c r="Y1220" i="7"/>
  <c r="X1220" i="7"/>
  <c r="W1220" i="7"/>
  <c r="V1220" i="7"/>
  <c r="U1220" i="7"/>
  <c r="T1220" i="7"/>
  <c r="S1220" i="7"/>
  <c r="R1220" i="7"/>
  <c r="Q1220" i="7"/>
  <c r="P1220" i="7"/>
  <c r="O1220" i="7"/>
  <c r="N1220" i="7"/>
  <c r="M1220" i="7"/>
  <c r="L1220" i="7"/>
  <c r="K1220" i="7"/>
  <c r="J1220" i="7"/>
  <c r="I1220" i="7"/>
  <c r="H1220" i="7"/>
  <c r="G1220" i="7"/>
  <c r="F1220" i="7"/>
  <c r="E1220" i="7"/>
  <c r="D1220" i="7"/>
  <c r="C1220" i="7"/>
  <c r="B1220" i="7"/>
  <c r="A1220" i="7"/>
  <c r="CH1220" i="17" s="1"/>
  <c r="AD1219" i="7"/>
  <c r="AC1219" i="7"/>
  <c r="AB1219" i="7"/>
  <c r="AA1219" i="7"/>
  <c r="Z1219" i="7"/>
  <c r="Y1219" i="7"/>
  <c r="X1219" i="7"/>
  <c r="W1219" i="7"/>
  <c r="V1219" i="7"/>
  <c r="U1219" i="7"/>
  <c r="T1219" i="7"/>
  <c r="S1219" i="7"/>
  <c r="R1219" i="7"/>
  <c r="Q1219" i="7"/>
  <c r="P1219" i="7"/>
  <c r="O1219" i="7"/>
  <c r="N1219" i="7"/>
  <c r="M1219" i="7"/>
  <c r="L1219" i="7"/>
  <c r="K1219" i="7"/>
  <c r="J1219" i="7"/>
  <c r="I1219" i="7"/>
  <c r="H1219" i="7"/>
  <c r="G1219" i="7"/>
  <c r="F1219" i="7"/>
  <c r="E1219" i="7"/>
  <c r="D1219" i="7"/>
  <c r="C1219" i="7"/>
  <c r="B1219" i="7"/>
  <c r="A1219" i="7"/>
  <c r="CH1219" i="17" s="1"/>
  <c r="AD1218" i="7"/>
  <c r="AC1218" i="7"/>
  <c r="AB1218" i="7"/>
  <c r="AA1218" i="7"/>
  <c r="Z1218" i="7"/>
  <c r="Y1218" i="7"/>
  <c r="X1218" i="7"/>
  <c r="W1218" i="7"/>
  <c r="V1218" i="7"/>
  <c r="U1218" i="7"/>
  <c r="T1218" i="7"/>
  <c r="S1218" i="7"/>
  <c r="R1218" i="7"/>
  <c r="Q1218" i="7"/>
  <c r="P1218" i="7"/>
  <c r="O1218" i="7"/>
  <c r="N1218" i="7"/>
  <c r="M1218" i="7"/>
  <c r="L1218" i="7"/>
  <c r="K1218" i="7"/>
  <c r="J1218" i="7"/>
  <c r="I1218" i="7"/>
  <c r="H1218" i="7"/>
  <c r="G1218" i="7"/>
  <c r="F1218" i="7"/>
  <c r="E1218" i="7"/>
  <c r="D1218" i="7"/>
  <c r="C1218" i="7"/>
  <c r="B1218" i="7"/>
  <c r="A1218" i="7"/>
  <c r="CH1218" i="17" s="1"/>
  <c r="AD1217" i="7"/>
  <c r="AC1217" i="7"/>
  <c r="AB1217" i="7"/>
  <c r="AA1217" i="7"/>
  <c r="Z1217" i="7"/>
  <c r="Y1217" i="7"/>
  <c r="X1217" i="7"/>
  <c r="W1217" i="7"/>
  <c r="V1217" i="7"/>
  <c r="U1217" i="7"/>
  <c r="T1217" i="7"/>
  <c r="S1217" i="7"/>
  <c r="R1217" i="7"/>
  <c r="Q1217" i="7"/>
  <c r="P1217" i="7"/>
  <c r="O1217" i="7"/>
  <c r="N1217" i="7"/>
  <c r="M1217" i="7"/>
  <c r="L1217" i="7"/>
  <c r="K1217" i="7"/>
  <c r="J1217" i="7"/>
  <c r="I1217" i="7"/>
  <c r="H1217" i="7"/>
  <c r="G1217" i="7"/>
  <c r="F1217" i="7"/>
  <c r="E1217" i="7"/>
  <c r="D1217" i="7"/>
  <c r="C1217" i="7"/>
  <c r="B1217" i="7"/>
  <c r="A1217" i="7"/>
  <c r="CH1217" i="17" s="1"/>
  <c r="AD1216" i="7"/>
  <c r="AC1216" i="7"/>
  <c r="AB1216" i="7"/>
  <c r="AA1216" i="7"/>
  <c r="Z1216" i="7"/>
  <c r="Y1216" i="7"/>
  <c r="X1216" i="7"/>
  <c r="W1216" i="7"/>
  <c r="V1216" i="7"/>
  <c r="U1216" i="7"/>
  <c r="T1216" i="7"/>
  <c r="S1216" i="7"/>
  <c r="R1216" i="7"/>
  <c r="Q1216" i="7"/>
  <c r="P1216" i="7"/>
  <c r="O1216" i="7"/>
  <c r="N1216" i="7"/>
  <c r="M1216" i="7"/>
  <c r="L1216" i="7"/>
  <c r="K1216" i="7"/>
  <c r="J1216" i="7"/>
  <c r="I1216" i="7"/>
  <c r="H1216" i="7"/>
  <c r="G1216" i="7"/>
  <c r="F1216" i="7"/>
  <c r="E1216" i="7"/>
  <c r="D1216" i="7"/>
  <c r="C1216" i="7"/>
  <c r="B1216" i="7"/>
  <c r="A1216" i="7"/>
  <c r="CH1216" i="17" s="1"/>
  <c r="AD1215" i="7"/>
  <c r="AC1215" i="7"/>
  <c r="AB1215" i="7"/>
  <c r="AA1215" i="7"/>
  <c r="Z1215" i="7"/>
  <c r="Y1215" i="7"/>
  <c r="X1215" i="7"/>
  <c r="W1215" i="7"/>
  <c r="V1215" i="7"/>
  <c r="U1215" i="7"/>
  <c r="T1215" i="7"/>
  <c r="S1215" i="7"/>
  <c r="R1215" i="7"/>
  <c r="Q1215" i="7"/>
  <c r="P1215" i="7"/>
  <c r="O1215" i="7"/>
  <c r="N1215" i="7"/>
  <c r="M1215" i="7"/>
  <c r="L1215" i="7"/>
  <c r="K1215" i="7"/>
  <c r="J1215" i="7"/>
  <c r="I1215" i="7"/>
  <c r="H1215" i="7"/>
  <c r="G1215" i="7"/>
  <c r="F1215" i="7"/>
  <c r="E1215" i="7"/>
  <c r="D1215" i="7"/>
  <c r="C1215" i="7"/>
  <c r="B1215" i="7"/>
  <c r="A1215" i="7"/>
  <c r="CH1215" i="17" s="1"/>
  <c r="AD1214" i="7"/>
  <c r="AC1214" i="7"/>
  <c r="AB1214" i="7"/>
  <c r="AA1214" i="7"/>
  <c r="Z1214" i="7"/>
  <c r="Y1214" i="7"/>
  <c r="X1214" i="7"/>
  <c r="W1214" i="7"/>
  <c r="V1214" i="7"/>
  <c r="U1214" i="7"/>
  <c r="T1214" i="7"/>
  <c r="S1214" i="7"/>
  <c r="R1214" i="7"/>
  <c r="Q1214" i="7"/>
  <c r="P1214" i="7"/>
  <c r="O1214" i="7"/>
  <c r="N1214" i="7"/>
  <c r="M1214" i="7"/>
  <c r="L1214" i="7"/>
  <c r="K1214" i="7"/>
  <c r="J1214" i="7"/>
  <c r="I1214" i="7"/>
  <c r="H1214" i="7"/>
  <c r="G1214" i="7"/>
  <c r="F1214" i="7"/>
  <c r="E1214" i="7"/>
  <c r="D1214" i="7"/>
  <c r="C1214" i="7"/>
  <c r="B1214" i="7"/>
  <c r="A1214" i="7"/>
  <c r="CH1214" i="17" s="1"/>
  <c r="AD1213" i="7"/>
  <c r="AC1213" i="7"/>
  <c r="AB1213" i="7"/>
  <c r="AA1213" i="7"/>
  <c r="Z1213" i="7"/>
  <c r="Y1213" i="7"/>
  <c r="X1213" i="7"/>
  <c r="W1213" i="7"/>
  <c r="V1213" i="7"/>
  <c r="U1213" i="7"/>
  <c r="T1213" i="7"/>
  <c r="S1213" i="7"/>
  <c r="R1213" i="7"/>
  <c r="Q1213" i="7"/>
  <c r="P1213" i="7"/>
  <c r="O1213" i="7"/>
  <c r="N1213" i="7"/>
  <c r="M1213" i="7"/>
  <c r="L1213" i="7"/>
  <c r="K1213" i="7"/>
  <c r="J1213" i="7"/>
  <c r="I1213" i="7"/>
  <c r="H1213" i="7"/>
  <c r="G1213" i="7"/>
  <c r="F1213" i="7"/>
  <c r="E1213" i="7"/>
  <c r="D1213" i="7"/>
  <c r="C1213" i="7"/>
  <c r="B1213" i="7"/>
  <c r="A1213" i="7"/>
  <c r="CH1213" i="17" s="1"/>
  <c r="AD1212" i="7"/>
  <c r="AC1212" i="7"/>
  <c r="AB1212" i="7"/>
  <c r="AA1212" i="7"/>
  <c r="Z1212" i="7"/>
  <c r="Y1212" i="7"/>
  <c r="X1212" i="7"/>
  <c r="W1212" i="7"/>
  <c r="V1212" i="7"/>
  <c r="U1212" i="7"/>
  <c r="T1212" i="7"/>
  <c r="S1212" i="7"/>
  <c r="R1212" i="7"/>
  <c r="Q1212" i="7"/>
  <c r="P1212" i="7"/>
  <c r="O1212" i="7"/>
  <c r="N1212" i="7"/>
  <c r="M1212" i="7"/>
  <c r="L1212" i="7"/>
  <c r="K1212" i="7"/>
  <c r="J1212" i="7"/>
  <c r="I1212" i="7"/>
  <c r="H1212" i="7"/>
  <c r="G1212" i="7"/>
  <c r="F1212" i="7"/>
  <c r="E1212" i="7"/>
  <c r="D1212" i="7"/>
  <c r="C1212" i="7"/>
  <c r="B1212" i="7"/>
  <c r="A1212" i="7"/>
  <c r="CH1212" i="17" s="1"/>
  <c r="AD1211" i="7"/>
  <c r="AC1211" i="7"/>
  <c r="AB1211" i="7"/>
  <c r="AA1211" i="7"/>
  <c r="Z1211" i="7"/>
  <c r="Y1211" i="7"/>
  <c r="X1211" i="7"/>
  <c r="W1211" i="7"/>
  <c r="V1211" i="7"/>
  <c r="U1211" i="7"/>
  <c r="T1211" i="7"/>
  <c r="S1211" i="7"/>
  <c r="R1211" i="7"/>
  <c r="Q1211" i="7"/>
  <c r="P1211" i="7"/>
  <c r="O1211" i="7"/>
  <c r="N1211" i="7"/>
  <c r="M1211" i="7"/>
  <c r="L1211" i="7"/>
  <c r="K1211" i="7"/>
  <c r="J1211" i="7"/>
  <c r="I1211" i="7"/>
  <c r="H1211" i="7"/>
  <c r="G1211" i="7"/>
  <c r="F1211" i="7"/>
  <c r="E1211" i="7"/>
  <c r="D1211" i="7"/>
  <c r="C1211" i="7"/>
  <c r="B1211" i="7"/>
  <c r="A1211" i="7"/>
  <c r="CH1211" i="17" s="1"/>
  <c r="AD1210" i="7"/>
  <c r="AC1210" i="7"/>
  <c r="AB1210" i="7"/>
  <c r="AA1210" i="7"/>
  <c r="Z1210" i="7"/>
  <c r="Y1210" i="7"/>
  <c r="X1210" i="7"/>
  <c r="W1210" i="7"/>
  <c r="V1210" i="7"/>
  <c r="U1210" i="7"/>
  <c r="T1210" i="7"/>
  <c r="S1210" i="7"/>
  <c r="R1210" i="7"/>
  <c r="Q1210" i="7"/>
  <c r="P1210" i="7"/>
  <c r="O1210" i="7"/>
  <c r="N1210" i="7"/>
  <c r="M1210" i="7"/>
  <c r="L1210" i="7"/>
  <c r="K1210" i="7"/>
  <c r="J1210" i="7"/>
  <c r="I1210" i="7"/>
  <c r="H1210" i="7"/>
  <c r="G1210" i="7"/>
  <c r="F1210" i="7"/>
  <c r="E1210" i="7"/>
  <c r="D1210" i="7"/>
  <c r="C1210" i="7"/>
  <c r="B1210" i="7"/>
  <c r="A1210" i="7"/>
  <c r="CH1210" i="17" s="1"/>
  <c r="AD1209" i="7"/>
  <c r="AC1209" i="7"/>
  <c r="AB1209" i="7"/>
  <c r="AA1209" i="7"/>
  <c r="Z1209" i="7"/>
  <c r="Y1209" i="7"/>
  <c r="X1209" i="7"/>
  <c r="W1209" i="7"/>
  <c r="V1209" i="7"/>
  <c r="U1209" i="7"/>
  <c r="T1209" i="7"/>
  <c r="S1209" i="7"/>
  <c r="R1209" i="7"/>
  <c r="Q1209" i="7"/>
  <c r="P1209" i="7"/>
  <c r="O1209" i="7"/>
  <c r="N1209" i="7"/>
  <c r="M1209" i="7"/>
  <c r="L1209" i="7"/>
  <c r="K1209" i="7"/>
  <c r="J1209" i="7"/>
  <c r="I1209" i="7"/>
  <c r="H1209" i="7"/>
  <c r="G1209" i="7"/>
  <c r="F1209" i="7"/>
  <c r="E1209" i="7"/>
  <c r="D1209" i="7"/>
  <c r="C1209" i="7"/>
  <c r="B1209" i="7"/>
  <c r="A1209" i="7"/>
  <c r="CH1209" i="17" s="1"/>
  <c r="AD1208" i="7"/>
  <c r="AC1208" i="7"/>
  <c r="AB1208" i="7"/>
  <c r="AA1208" i="7"/>
  <c r="Z1208" i="7"/>
  <c r="Y1208" i="7"/>
  <c r="X1208" i="7"/>
  <c r="W1208" i="7"/>
  <c r="V1208" i="7"/>
  <c r="U1208" i="7"/>
  <c r="T1208" i="7"/>
  <c r="S1208" i="7"/>
  <c r="R1208" i="7"/>
  <c r="Q1208" i="7"/>
  <c r="P1208" i="7"/>
  <c r="O1208" i="7"/>
  <c r="N1208" i="7"/>
  <c r="M1208" i="7"/>
  <c r="L1208" i="7"/>
  <c r="K1208" i="7"/>
  <c r="J1208" i="7"/>
  <c r="I1208" i="7"/>
  <c r="H1208" i="7"/>
  <c r="G1208" i="7"/>
  <c r="F1208" i="7"/>
  <c r="E1208" i="7"/>
  <c r="D1208" i="7"/>
  <c r="C1208" i="7"/>
  <c r="B1208" i="7"/>
  <c r="A1208" i="7"/>
  <c r="CH1208" i="17" s="1"/>
  <c r="AD1207" i="7"/>
  <c r="AC1207" i="7"/>
  <c r="AB1207" i="7"/>
  <c r="AA1207" i="7"/>
  <c r="Z1207" i="7"/>
  <c r="Y1207" i="7"/>
  <c r="X1207" i="7"/>
  <c r="W1207" i="7"/>
  <c r="V1207" i="7"/>
  <c r="U1207" i="7"/>
  <c r="T1207" i="7"/>
  <c r="S1207" i="7"/>
  <c r="R1207" i="7"/>
  <c r="Q1207" i="7"/>
  <c r="P1207" i="7"/>
  <c r="O1207" i="7"/>
  <c r="N1207" i="7"/>
  <c r="M1207" i="7"/>
  <c r="L1207" i="7"/>
  <c r="K1207" i="7"/>
  <c r="J1207" i="7"/>
  <c r="I1207" i="7"/>
  <c r="H1207" i="7"/>
  <c r="G1207" i="7"/>
  <c r="F1207" i="7"/>
  <c r="E1207" i="7"/>
  <c r="D1207" i="7"/>
  <c r="C1207" i="7"/>
  <c r="B1207" i="7"/>
  <c r="A1207" i="7"/>
  <c r="CH1207" i="17" s="1"/>
  <c r="AD1206" i="7"/>
  <c r="AC1206" i="7"/>
  <c r="AB1206" i="7"/>
  <c r="AA1206" i="7"/>
  <c r="Z1206" i="7"/>
  <c r="Y1206" i="7"/>
  <c r="X1206" i="7"/>
  <c r="W1206" i="7"/>
  <c r="V1206" i="7"/>
  <c r="U1206" i="7"/>
  <c r="T1206" i="7"/>
  <c r="S1206" i="7"/>
  <c r="R1206" i="7"/>
  <c r="Q1206" i="7"/>
  <c r="P1206" i="7"/>
  <c r="O1206" i="7"/>
  <c r="N1206" i="7"/>
  <c r="M1206" i="7"/>
  <c r="L1206" i="7"/>
  <c r="K1206" i="7"/>
  <c r="J1206" i="7"/>
  <c r="I1206" i="7"/>
  <c r="H1206" i="7"/>
  <c r="G1206" i="7"/>
  <c r="F1206" i="7"/>
  <c r="E1206" i="7"/>
  <c r="D1206" i="7"/>
  <c r="C1206" i="7"/>
  <c r="B1206" i="7"/>
  <c r="A1206" i="7"/>
  <c r="CH1206" i="17" s="1"/>
  <c r="AD1205" i="7"/>
  <c r="AC1205" i="7"/>
  <c r="AB1205" i="7"/>
  <c r="AA1205" i="7"/>
  <c r="Z1205" i="7"/>
  <c r="Y1205" i="7"/>
  <c r="X1205" i="7"/>
  <c r="W1205" i="7"/>
  <c r="V1205" i="7"/>
  <c r="U1205" i="7"/>
  <c r="T1205" i="7"/>
  <c r="S1205" i="7"/>
  <c r="R1205" i="7"/>
  <c r="Q1205" i="7"/>
  <c r="P1205" i="7"/>
  <c r="O1205" i="7"/>
  <c r="N1205" i="7"/>
  <c r="M1205" i="7"/>
  <c r="L1205" i="7"/>
  <c r="K1205" i="7"/>
  <c r="J1205" i="7"/>
  <c r="I1205" i="7"/>
  <c r="H1205" i="7"/>
  <c r="G1205" i="7"/>
  <c r="F1205" i="7"/>
  <c r="E1205" i="7"/>
  <c r="D1205" i="7"/>
  <c r="C1205" i="7"/>
  <c r="B1205" i="7"/>
  <c r="A1205" i="7"/>
  <c r="CH1205" i="17" s="1"/>
  <c r="AD1204" i="7"/>
  <c r="AC1204" i="7"/>
  <c r="AB1204" i="7"/>
  <c r="AA1204" i="7"/>
  <c r="Z1204" i="7"/>
  <c r="Y1204" i="7"/>
  <c r="X1204" i="7"/>
  <c r="W1204" i="7"/>
  <c r="V1204" i="7"/>
  <c r="U1204" i="7"/>
  <c r="T1204" i="7"/>
  <c r="S1204" i="7"/>
  <c r="R1204" i="7"/>
  <c r="Q1204" i="7"/>
  <c r="P1204" i="7"/>
  <c r="O1204" i="7"/>
  <c r="N1204" i="7"/>
  <c r="M1204" i="7"/>
  <c r="L1204" i="7"/>
  <c r="K1204" i="7"/>
  <c r="J1204" i="7"/>
  <c r="I1204" i="7"/>
  <c r="H1204" i="7"/>
  <c r="G1204" i="7"/>
  <c r="F1204" i="7"/>
  <c r="E1204" i="7"/>
  <c r="D1204" i="7"/>
  <c r="C1204" i="7"/>
  <c r="B1204" i="7"/>
  <c r="A1204" i="7"/>
  <c r="CH1204" i="17" s="1"/>
  <c r="AD1203" i="7"/>
  <c r="AC1203" i="7"/>
  <c r="AB1203" i="7"/>
  <c r="AA1203" i="7"/>
  <c r="Z1203" i="7"/>
  <c r="Y1203" i="7"/>
  <c r="X1203" i="7"/>
  <c r="W1203" i="7"/>
  <c r="V1203" i="7"/>
  <c r="U1203" i="7"/>
  <c r="T1203" i="7"/>
  <c r="S1203" i="7"/>
  <c r="R1203" i="7"/>
  <c r="Q1203" i="7"/>
  <c r="P1203" i="7"/>
  <c r="O1203" i="7"/>
  <c r="N1203" i="7"/>
  <c r="M1203" i="7"/>
  <c r="L1203" i="7"/>
  <c r="K1203" i="7"/>
  <c r="J1203" i="7"/>
  <c r="I1203" i="7"/>
  <c r="H1203" i="7"/>
  <c r="G1203" i="7"/>
  <c r="F1203" i="7"/>
  <c r="E1203" i="7"/>
  <c r="D1203" i="7"/>
  <c r="C1203" i="7"/>
  <c r="B1203" i="7"/>
  <c r="A1203" i="7"/>
  <c r="CH1203" i="17" s="1"/>
  <c r="AD1202" i="7"/>
  <c r="AC1202" i="7"/>
  <c r="AB1202" i="7"/>
  <c r="AA1202" i="7"/>
  <c r="Z1202" i="7"/>
  <c r="Y1202" i="7"/>
  <c r="X1202" i="7"/>
  <c r="W1202" i="7"/>
  <c r="V1202" i="7"/>
  <c r="U1202" i="7"/>
  <c r="T1202" i="7"/>
  <c r="S1202" i="7"/>
  <c r="R1202" i="7"/>
  <c r="Q1202" i="7"/>
  <c r="P1202" i="7"/>
  <c r="O1202" i="7"/>
  <c r="N1202" i="7"/>
  <c r="M1202" i="7"/>
  <c r="L1202" i="7"/>
  <c r="K1202" i="7"/>
  <c r="J1202" i="7"/>
  <c r="I1202" i="7"/>
  <c r="H1202" i="7"/>
  <c r="G1202" i="7"/>
  <c r="F1202" i="7"/>
  <c r="E1202" i="7"/>
  <c r="D1202" i="7"/>
  <c r="C1202" i="7"/>
  <c r="B1202" i="7"/>
  <c r="A1202" i="7"/>
  <c r="CH1202" i="17" s="1"/>
  <c r="AD1201" i="7"/>
  <c r="AC1201" i="7"/>
  <c r="AB1201" i="7"/>
  <c r="AA1201" i="7"/>
  <c r="Z1201" i="7"/>
  <c r="Y1201" i="7"/>
  <c r="X1201" i="7"/>
  <c r="W1201" i="7"/>
  <c r="V1201" i="7"/>
  <c r="U1201" i="7"/>
  <c r="T1201" i="7"/>
  <c r="S1201" i="7"/>
  <c r="R1201" i="7"/>
  <c r="Q1201" i="7"/>
  <c r="P1201" i="7"/>
  <c r="O1201" i="7"/>
  <c r="N1201" i="7"/>
  <c r="M1201" i="7"/>
  <c r="L1201" i="7"/>
  <c r="K1201" i="7"/>
  <c r="J1201" i="7"/>
  <c r="I1201" i="7"/>
  <c r="H1201" i="7"/>
  <c r="G1201" i="7"/>
  <c r="F1201" i="7"/>
  <c r="E1201" i="7"/>
  <c r="D1201" i="7"/>
  <c r="C1201" i="7"/>
  <c r="B1201" i="7"/>
  <c r="A1201" i="7"/>
  <c r="CH1201" i="17" s="1"/>
  <c r="AD1200" i="7"/>
  <c r="AC1200" i="7"/>
  <c r="AB1200" i="7"/>
  <c r="AA1200" i="7"/>
  <c r="Z1200" i="7"/>
  <c r="Y1200" i="7"/>
  <c r="X1200" i="7"/>
  <c r="W1200" i="7"/>
  <c r="V1200" i="7"/>
  <c r="U1200" i="7"/>
  <c r="T1200" i="7"/>
  <c r="S1200" i="7"/>
  <c r="R1200" i="7"/>
  <c r="Q1200" i="7"/>
  <c r="P1200" i="7"/>
  <c r="O1200" i="7"/>
  <c r="N1200" i="7"/>
  <c r="M1200" i="7"/>
  <c r="L1200" i="7"/>
  <c r="K1200" i="7"/>
  <c r="J1200" i="7"/>
  <c r="I1200" i="7"/>
  <c r="H1200" i="7"/>
  <c r="G1200" i="7"/>
  <c r="F1200" i="7"/>
  <c r="E1200" i="7"/>
  <c r="D1200" i="7"/>
  <c r="C1200" i="7"/>
  <c r="B1200" i="7"/>
  <c r="A1200" i="7"/>
  <c r="CH1200" i="17" s="1"/>
  <c r="AD1199" i="7"/>
  <c r="AC1199" i="7"/>
  <c r="AB1199" i="7"/>
  <c r="AA1199" i="7"/>
  <c r="Z1199" i="7"/>
  <c r="Y1199" i="7"/>
  <c r="X1199" i="7"/>
  <c r="W1199" i="7"/>
  <c r="V1199" i="7"/>
  <c r="U1199" i="7"/>
  <c r="T1199" i="7"/>
  <c r="S1199" i="7"/>
  <c r="R1199" i="7"/>
  <c r="Q1199" i="7"/>
  <c r="P1199" i="7"/>
  <c r="O1199" i="7"/>
  <c r="N1199" i="7"/>
  <c r="M1199" i="7"/>
  <c r="L1199" i="7"/>
  <c r="K1199" i="7"/>
  <c r="J1199" i="7"/>
  <c r="I1199" i="7"/>
  <c r="H1199" i="7"/>
  <c r="G1199" i="7"/>
  <c r="F1199" i="7"/>
  <c r="E1199" i="7"/>
  <c r="D1199" i="7"/>
  <c r="C1199" i="7"/>
  <c r="B1199" i="7"/>
  <c r="A1199" i="7"/>
  <c r="CH1199" i="17" s="1"/>
  <c r="AD1198" i="7"/>
  <c r="AC1198" i="7"/>
  <c r="AB1198" i="7"/>
  <c r="AA1198" i="7"/>
  <c r="Z1198" i="7"/>
  <c r="Y1198" i="7"/>
  <c r="X1198" i="7"/>
  <c r="W1198" i="7"/>
  <c r="V1198" i="7"/>
  <c r="U1198" i="7"/>
  <c r="T1198" i="7"/>
  <c r="S1198" i="7"/>
  <c r="R1198" i="7"/>
  <c r="Q1198" i="7"/>
  <c r="P1198" i="7"/>
  <c r="O1198" i="7"/>
  <c r="N1198" i="7"/>
  <c r="M1198" i="7"/>
  <c r="L1198" i="7"/>
  <c r="K1198" i="7"/>
  <c r="J1198" i="7"/>
  <c r="I1198" i="7"/>
  <c r="H1198" i="7"/>
  <c r="G1198" i="7"/>
  <c r="F1198" i="7"/>
  <c r="E1198" i="7"/>
  <c r="D1198" i="7"/>
  <c r="C1198" i="7"/>
  <c r="B1198" i="7"/>
  <c r="A1198" i="7"/>
  <c r="CH1198" i="17" s="1"/>
  <c r="AD1197" i="7"/>
  <c r="AC1197" i="7"/>
  <c r="AB1197" i="7"/>
  <c r="AA1197" i="7"/>
  <c r="Z1197" i="7"/>
  <c r="Y1197" i="7"/>
  <c r="X1197" i="7"/>
  <c r="W1197" i="7"/>
  <c r="V1197" i="7"/>
  <c r="U1197" i="7"/>
  <c r="T1197" i="7"/>
  <c r="S1197" i="7"/>
  <c r="R1197" i="7"/>
  <c r="Q1197" i="7"/>
  <c r="P1197" i="7"/>
  <c r="O1197" i="7"/>
  <c r="N1197" i="7"/>
  <c r="M1197" i="7"/>
  <c r="L1197" i="7"/>
  <c r="K1197" i="7"/>
  <c r="J1197" i="7"/>
  <c r="I1197" i="7"/>
  <c r="H1197" i="7"/>
  <c r="G1197" i="7"/>
  <c r="F1197" i="7"/>
  <c r="E1197" i="7"/>
  <c r="D1197" i="7"/>
  <c r="C1197" i="7"/>
  <c r="B1197" i="7"/>
  <c r="A1197" i="7"/>
  <c r="CH1197" i="17" s="1"/>
  <c r="AD1196" i="7"/>
  <c r="AC1196" i="7"/>
  <c r="AB1196" i="7"/>
  <c r="AA1196" i="7"/>
  <c r="Z1196" i="7"/>
  <c r="Y1196" i="7"/>
  <c r="X1196" i="7"/>
  <c r="W1196" i="7"/>
  <c r="V1196" i="7"/>
  <c r="U1196" i="7"/>
  <c r="T1196" i="7"/>
  <c r="S1196" i="7"/>
  <c r="R1196" i="7"/>
  <c r="Q1196" i="7"/>
  <c r="P1196" i="7"/>
  <c r="O1196" i="7"/>
  <c r="N1196" i="7"/>
  <c r="M1196" i="7"/>
  <c r="L1196" i="7"/>
  <c r="K1196" i="7"/>
  <c r="J1196" i="7"/>
  <c r="I1196" i="7"/>
  <c r="H1196" i="7"/>
  <c r="G1196" i="7"/>
  <c r="F1196" i="7"/>
  <c r="E1196" i="7"/>
  <c r="D1196" i="7"/>
  <c r="C1196" i="7"/>
  <c r="B1196" i="7"/>
  <c r="A1196" i="7"/>
  <c r="CH1196" i="17" s="1"/>
  <c r="AD1195" i="7"/>
  <c r="AC1195" i="7"/>
  <c r="AB1195" i="7"/>
  <c r="AA1195" i="7"/>
  <c r="Z1195" i="7"/>
  <c r="Y1195" i="7"/>
  <c r="X1195" i="7"/>
  <c r="W1195" i="7"/>
  <c r="V1195" i="7"/>
  <c r="U1195" i="7"/>
  <c r="T1195" i="7"/>
  <c r="S1195" i="7"/>
  <c r="R1195" i="7"/>
  <c r="Q1195" i="7"/>
  <c r="P1195" i="7"/>
  <c r="O1195" i="7"/>
  <c r="N1195" i="7"/>
  <c r="M1195" i="7"/>
  <c r="L1195" i="7"/>
  <c r="K1195" i="7"/>
  <c r="J1195" i="7"/>
  <c r="I1195" i="7"/>
  <c r="H1195" i="7"/>
  <c r="G1195" i="7"/>
  <c r="F1195" i="7"/>
  <c r="E1195" i="7"/>
  <c r="D1195" i="7"/>
  <c r="C1195" i="7"/>
  <c r="B1195" i="7"/>
  <c r="A1195" i="7"/>
  <c r="CH1195" i="17" s="1"/>
  <c r="AD1194" i="7"/>
  <c r="AC1194" i="7"/>
  <c r="AB1194" i="7"/>
  <c r="AA1194" i="7"/>
  <c r="Z1194" i="7"/>
  <c r="Y1194" i="7"/>
  <c r="X1194" i="7"/>
  <c r="W1194" i="7"/>
  <c r="V1194" i="7"/>
  <c r="U1194" i="7"/>
  <c r="T1194" i="7"/>
  <c r="S1194" i="7"/>
  <c r="R1194" i="7"/>
  <c r="Q1194" i="7"/>
  <c r="P1194" i="7"/>
  <c r="O1194" i="7"/>
  <c r="N1194" i="7"/>
  <c r="M1194" i="7"/>
  <c r="L1194" i="7"/>
  <c r="K1194" i="7"/>
  <c r="J1194" i="7"/>
  <c r="I1194" i="7"/>
  <c r="H1194" i="7"/>
  <c r="G1194" i="7"/>
  <c r="F1194" i="7"/>
  <c r="E1194" i="7"/>
  <c r="D1194" i="7"/>
  <c r="C1194" i="7"/>
  <c r="B1194" i="7"/>
  <c r="A1194" i="7"/>
  <c r="CH1194" i="17" s="1"/>
  <c r="AD1193" i="7"/>
  <c r="AC1193" i="7"/>
  <c r="AB1193" i="7"/>
  <c r="AA1193" i="7"/>
  <c r="Z1193" i="7"/>
  <c r="Y1193" i="7"/>
  <c r="X1193" i="7"/>
  <c r="W1193" i="7"/>
  <c r="V1193" i="7"/>
  <c r="U1193" i="7"/>
  <c r="T1193" i="7"/>
  <c r="S1193" i="7"/>
  <c r="R1193" i="7"/>
  <c r="Q1193" i="7"/>
  <c r="P1193" i="7"/>
  <c r="O1193" i="7"/>
  <c r="N1193" i="7"/>
  <c r="M1193" i="7"/>
  <c r="L1193" i="7"/>
  <c r="K1193" i="7"/>
  <c r="J1193" i="7"/>
  <c r="I1193" i="7"/>
  <c r="H1193" i="7"/>
  <c r="G1193" i="7"/>
  <c r="F1193" i="7"/>
  <c r="E1193" i="7"/>
  <c r="D1193" i="7"/>
  <c r="C1193" i="7"/>
  <c r="B1193" i="7"/>
  <c r="A1193" i="7"/>
  <c r="CH1193" i="17" s="1"/>
  <c r="AD1192" i="7"/>
  <c r="AC1192" i="7"/>
  <c r="AB1192" i="7"/>
  <c r="AA1192" i="7"/>
  <c r="Z1192" i="7"/>
  <c r="Y1192" i="7"/>
  <c r="X1192" i="7"/>
  <c r="W1192" i="7"/>
  <c r="V1192" i="7"/>
  <c r="U1192" i="7"/>
  <c r="T1192" i="7"/>
  <c r="S1192" i="7"/>
  <c r="R1192" i="7"/>
  <c r="Q1192" i="7"/>
  <c r="P1192" i="7"/>
  <c r="O1192" i="7"/>
  <c r="N1192" i="7"/>
  <c r="M1192" i="7"/>
  <c r="L1192" i="7"/>
  <c r="K1192" i="7"/>
  <c r="J1192" i="7"/>
  <c r="I1192" i="7"/>
  <c r="H1192" i="7"/>
  <c r="G1192" i="7"/>
  <c r="F1192" i="7"/>
  <c r="E1192" i="7"/>
  <c r="D1192" i="7"/>
  <c r="C1192" i="7"/>
  <c r="B1192" i="7"/>
  <c r="A1192" i="7"/>
  <c r="CH1192" i="17" s="1"/>
  <c r="AD1191" i="7"/>
  <c r="AC1191" i="7"/>
  <c r="AB1191" i="7"/>
  <c r="AA1191" i="7"/>
  <c r="Z1191" i="7"/>
  <c r="Y1191" i="7"/>
  <c r="X1191" i="7"/>
  <c r="W1191" i="7"/>
  <c r="V1191" i="7"/>
  <c r="U1191" i="7"/>
  <c r="T1191" i="7"/>
  <c r="S1191" i="7"/>
  <c r="R1191" i="7"/>
  <c r="Q1191" i="7"/>
  <c r="P1191" i="7"/>
  <c r="O1191" i="7"/>
  <c r="N1191" i="7"/>
  <c r="M1191" i="7"/>
  <c r="L1191" i="7"/>
  <c r="K1191" i="7"/>
  <c r="J1191" i="7"/>
  <c r="I1191" i="7"/>
  <c r="H1191" i="7"/>
  <c r="G1191" i="7"/>
  <c r="F1191" i="7"/>
  <c r="E1191" i="7"/>
  <c r="D1191" i="7"/>
  <c r="C1191" i="7"/>
  <c r="B1191" i="7"/>
  <c r="A1191" i="7"/>
  <c r="CH1191" i="17" s="1"/>
  <c r="AD1190" i="7"/>
  <c r="AC1190" i="7"/>
  <c r="AB1190" i="7"/>
  <c r="AA1190" i="7"/>
  <c r="Z1190" i="7"/>
  <c r="Y1190" i="7"/>
  <c r="X1190" i="7"/>
  <c r="W1190" i="7"/>
  <c r="V1190" i="7"/>
  <c r="U1190" i="7"/>
  <c r="T1190" i="7"/>
  <c r="S1190" i="7"/>
  <c r="R1190" i="7"/>
  <c r="Q1190" i="7"/>
  <c r="P1190" i="7"/>
  <c r="O1190" i="7"/>
  <c r="N1190" i="7"/>
  <c r="M1190" i="7"/>
  <c r="L1190" i="7"/>
  <c r="K1190" i="7"/>
  <c r="J1190" i="7"/>
  <c r="I1190" i="7"/>
  <c r="H1190" i="7"/>
  <c r="G1190" i="7"/>
  <c r="F1190" i="7"/>
  <c r="E1190" i="7"/>
  <c r="D1190" i="7"/>
  <c r="C1190" i="7"/>
  <c r="B1190" i="7"/>
  <c r="A1190" i="7"/>
  <c r="CH1190" i="17" s="1"/>
  <c r="AD1189" i="7"/>
  <c r="AC1189" i="7"/>
  <c r="AB1189" i="7"/>
  <c r="AA1189" i="7"/>
  <c r="Z1189" i="7"/>
  <c r="Y1189" i="7"/>
  <c r="X1189" i="7"/>
  <c r="W1189" i="7"/>
  <c r="V1189" i="7"/>
  <c r="U1189" i="7"/>
  <c r="T1189" i="7"/>
  <c r="S1189" i="7"/>
  <c r="R1189" i="7"/>
  <c r="Q1189" i="7"/>
  <c r="P1189" i="7"/>
  <c r="O1189" i="7"/>
  <c r="N1189" i="7"/>
  <c r="M1189" i="7"/>
  <c r="L1189" i="7"/>
  <c r="K1189" i="7"/>
  <c r="J1189" i="7"/>
  <c r="I1189" i="7"/>
  <c r="H1189" i="7"/>
  <c r="G1189" i="7"/>
  <c r="F1189" i="7"/>
  <c r="E1189" i="7"/>
  <c r="D1189" i="7"/>
  <c r="C1189" i="7"/>
  <c r="B1189" i="7"/>
  <c r="A1189" i="7"/>
  <c r="CH1189" i="17" s="1"/>
  <c r="AD1188" i="7"/>
  <c r="AC1188" i="7"/>
  <c r="AB1188" i="7"/>
  <c r="AA1188" i="7"/>
  <c r="Z1188" i="7"/>
  <c r="Y1188" i="7"/>
  <c r="X1188" i="7"/>
  <c r="W1188" i="7"/>
  <c r="V1188" i="7"/>
  <c r="U1188" i="7"/>
  <c r="T1188" i="7"/>
  <c r="S1188" i="7"/>
  <c r="R1188" i="7"/>
  <c r="Q1188" i="7"/>
  <c r="P1188" i="7"/>
  <c r="O1188" i="7"/>
  <c r="N1188" i="7"/>
  <c r="M1188" i="7"/>
  <c r="L1188" i="7"/>
  <c r="K1188" i="7"/>
  <c r="J1188" i="7"/>
  <c r="I1188" i="7"/>
  <c r="H1188" i="7"/>
  <c r="G1188" i="7"/>
  <c r="F1188" i="7"/>
  <c r="E1188" i="7"/>
  <c r="D1188" i="7"/>
  <c r="C1188" i="7"/>
  <c r="B1188" i="7"/>
  <c r="A1188" i="7"/>
  <c r="CH1188" i="17" s="1"/>
  <c r="AD1187" i="7"/>
  <c r="AC1187" i="7"/>
  <c r="AB1187" i="7"/>
  <c r="AA1187" i="7"/>
  <c r="Z1187" i="7"/>
  <c r="Y1187" i="7"/>
  <c r="X1187" i="7"/>
  <c r="W1187" i="7"/>
  <c r="V1187" i="7"/>
  <c r="U1187" i="7"/>
  <c r="T1187" i="7"/>
  <c r="S1187" i="7"/>
  <c r="R1187" i="7"/>
  <c r="Q1187" i="7"/>
  <c r="P1187" i="7"/>
  <c r="O1187" i="7"/>
  <c r="N1187" i="7"/>
  <c r="M1187" i="7"/>
  <c r="L1187" i="7"/>
  <c r="K1187" i="7"/>
  <c r="J1187" i="7"/>
  <c r="I1187" i="7"/>
  <c r="H1187" i="7"/>
  <c r="G1187" i="7"/>
  <c r="F1187" i="7"/>
  <c r="E1187" i="7"/>
  <c r="D1187" i="7"/>
  <c r="C1187" i="7"/>
  <c r="B1187" i="7"/>
  <c r="A1187" i="7"/>
  <c r="CH1187" i="17" s="1"/>
  <c r="AD1186" i="7"/>
  <c r="AC1186" i="7"/>
  <c r="AB1186" i="7"/>
  <c r="AA1186" i="7"/>
  <c r="Z1186" i="7"/>
  <c r="Y1186" i="7"/>
  <c r="X1186" i="7"/>
  <c r="W1186" i="7"/>
  <c r="V1186" i="7"/>
  <c r="U1186" i="7"/>
  <c r="T1186" i="7"/>
  <c r="S1186" i="7"/>
  <c r="R1186" i="7"/>
  <c r="Q1186" i="7"/>
  <c r="P1186" i="7"/>
  <c r="O1186" i="7"/>
  <c r="N1186" i="7"/>
  <c r="M1186" i="7"/>
  <c r="L1186" i="7"/>
  <c r="K1186" i="7"/>
  <c r="J1186" i="7"/>
  <c r="I1186" i="7"/>
  <c r="H1186" i="7"/>
  <c r="G1186" i="7"/>
  <c r="F1186" i="7"/>
  <c r="E1186" i="7"/>
  <c r="D1186" i="7"/>
  <c r="C1186" i="7"/>
  <c r="B1186" i="7"/>
  <c r="A1186" i="7"/>
  <c r="CH1186" i="17" s="1"/>
  <c r="AD1185" i="7"/>
  <c r="AC1185" i="7"/>
  <c r="AB1185" i="7"/>
  <c r="AA1185" i="7"/>
  <c r="Z1185" i="7"/>
  <c r="Y1185" i="7"/>
  <c r="X1185" i="7"/>
  <c r="W1185" i="7"/>
  <c r="V1185" i="7"/>
  <c r="U1185" i="7"/>
  <c r="T1185" i="7"/>
  <c r="S1185" i="7"/>
  <c r="R1185" i="7"/>
  <c r="Q1185" i="7"/>
  <c r="P1185" i="7"/>
  <c r="O1185" i="7"/>
  <c r="N1185" i="7"/>
  <c r="M1185" i="7"/>
  <c r="L1185" i="7"/>
  <c r="K1185" i="7"/>
  <c r="J1185" i="7"/>
  <c r="I1185" i="7"/>
  <c r="H1185" i="7"/>
  <c r="G1185" i="7"/>
  <c r="F1185" i="7"/>
  <c r="E1185" i="7"/>
  <c r="D1185" i="7"/>
  <c r="C1185" i="7"/>
  <c r="B1185" i="7"/>
  <c r="A1185" i="7"/>
  <c r="CH1185" i="17" s="1"/>
  <c r="AD1184" i="7"/>
  <c r="AC1184" i="7"/>
  <c r="AB1184" i="7"/>
  <c r="AA1184" i="7"/>
  <c r="Z1184" i="7"/>
  <c r="Y1184" i="7"/>
  <c r="X1184" i="7"/>
  <c r="W1184" i="7"/>
  <c r="V1184" i="7"/>
  <c r="U1184" i="7"/>
  <c r="T1184" i="7"/>
  <c r="S1184" i="7"/>
  <c r="R1184" i="7"/>
  <c r="Q1184" i="7"/>
  <c r="P1184" i="7"/>
  <c r="O1184" i="7"/>
  <c r="N1184" i="7"/>
  <c r="M1184" i="7"/>
  <c r="L1184" i="7"/>
  <c r="K1184" i="7"/>
  <c r="J1184" i="7"/>
  <c r="I1184" i="7"/>
  <c r="H1184" i="7"/>
  <c r="G1184" i="7"/>
  <c r="F1184" i="7"/>
  <c r="E1184" i="7"/>
  <c r="D1184" i="7"/>
  <c r="C1184" i="7"/>
  <c r="B1184" i="7"/>
  <c r="A1184" i="7"/>
  <c r="CH1184" i="17" s="1"/>
  <c r="AD1183" i="7"/>
  <c r="AC1183" i="7"/>
  <c r="AB1183" i="7"/>
  <c r="AA1183" i="7"/>
  <c r="Z1183" i="7"/>
  <c r="Y1183" i="7"/>
  <c r="X1183" i="7"/>
  <c r="W1183" i="7"/>
  <c r="V1183" i="7"/>
  <c r="U1183" i="7"/>
  <c r="T1183" i="7"/>
  <c r="S1183" i="7"/>
  <c r="R1183" i="7"/>
  <c r="Q1183" i="7"/>
  <c r="P1183" i="7"/>
  <c r="O1183" i="7"/>
  <c r="N1183" i="7"/>
  <c r="M1183" i="7"/>
  <c r="L1183" i="7"/>
  <c r="K1183" i="7"/>
  <c r="J1183" i="7"/>
  <c r="I1183" i="7"/>
  <c r="H1183" i="7"/>
  <c r="G1183" i="7"/>
  <c r="F1183" i="7"/>
  <c r="E1183" i="7"/>
  <c r="D1183" i="7"/>
  <c r="C1183" i="7"/>
  <c r="B1183" i="7"/>
  <c r="A1183" i="7"/>
  <c r="CH1183" i="17" s="1"/>
  <c r="AD1182" i="7"/>
  <c r="AC1182" i="7"/>
  <c r="AB1182" i="7"/>
  <c r="AA1182" i="7"/>
  <c r="Z1182" i="7"/>
  <c r="Y1182" i="7"/>
  <c r="X1182" i="7"/>
  <c r="W1182" i="7"/>
  <c r="V1182" i="7"/>
  <c r="U1182" i="7"/>
  <c r="T1182" i="7"/>
  <c r="S1182" i="7"/>
  <c r="R1182" i="7"/>
  <c r="Q1182" i="7"/>
  <c r="P1182" i="7"/>
  <c r="O1182" i="7"/>
  <c r="N1182" i="7"/>
  <c r="M1182" i="7"/>
  <c r="L1182" i="7"/>
  <c r="K1182" i="7"/>
  <c r="J1182" i="7"/>
  <c r="I1182" i="7"/>
  <c r="H1182" i="7"/>
  <c r="G1182" i="7"/>
  <c r="F1182" i="7"/>
  <c r="E1182" i="7"/>
  <c r="D1182" i="7"/>
  <c r="C1182" i="7"/>
  <c r="B1182" i="7"/>
  <c r="A1182" i="7"/>
  <c r="CH1182" i="17" s="1"/>
  <c r="AD1181" i="7"/>
  <c r="AC1181" i="7"/>
  <c r="AB1181" i="7"/>
  <c r="AA1181" i="7"/>
  <c r="Z1181" i="7"/>
  <c r="Y1181" i="7"/>
  <c r="X1181" i="7"/>
  <c r="W1181" i="7"/>
  <c r="V1181" i="7"/>
  <c r="U1181" i="7"/>
  <c r="T1181" i="7"/>
  <c r="S1181" i="7"/>
  <c r="R1181" i="7"/>
  <c r="Q1181" i="7"/>
  <c r="P1181" i="7"/>
  <c r="O1181" i="7"/>
  <c r="N1181" i="7"/>
  <c r="M1181" i="7"/>
  <c r="L1181" i="7"/>
  <c r="K1181" i="7"/>
  <c r="J1181" i="7"/>
  <c r="I1181" i="7"/>
  <c r="H1181" i="7"/>
  <c r="G1181" i="7"/>
  <c r="F1181" i="7"/>
  <c r="E1181" i="7"/>
  <c r="D1181" i="7"/>
  <c r="C1181" i="7"/>
  <c r="B1181" i="7"/>
  <c r="A1181" i="7"/>
  <c r="CH1181" i="17" s="1"/>
  <c r="AD1180" i="7"/>
  <c r="AC1180" i="7"/>
  <c r="AB1180" i="7"/>
  <c r="AA1180" i="7"/>
  <c r="Z1180" i="7"/>
  <c r="Y1180" i="7"/>
  <c r="X1180" i="7"/>
  <c r="W1180" i="7"/>
  <c r="V1180" i="7"/>
  <c r="U1180" i="7"/>
  <c r="T1180" i="7"/>
  <c r="S1180" i="7"/>
  <c r="R1180" i="7"/>
  <c r="Q1180" i="7"/>
  <c r="P1180" i="7"/>
  <c r="O1180" i="7"/>
  <c r="N1180" i="7"/>
  <c r="M1180" i="7"/>
  <c r="L1180" i="7"/>
  <c r="K1180" i="7"/>
  <c r="J1180" i="7"/>
  <c r="I1180" i="7"/>
  <c r="H1180" i="7"/>
  <c r="G1180" i="7"/>
  <c r="F1180" i="7"/>
  <c r="E1180" i="7"/>
  <c r="D1180" i="7"/>
  <c r="C1180" i="7"/>
  <c r="B1180" i="7"/>
  <c r="A1180" i="7"/>
  <c r="CH1180" i="17" s="1"/>
  <c r="AD1179" i="7"/>
  <c r="AC1179" i="7"/>
  <c r="AB1179" i="7"/>
  <c r="AA1179" i="7"/>
  <c r="Z1179" i="7"/>
  <c r="Y1179" i="7"/>
  <c r="X1179" i="7"/>
  <c r="W1179" i="7"/>
  <c r="V1179" i="7"/>
  <c r="U1179" i="7"/>
  <c r="T1179" i="7"/>
  <c r="S1179" i="7"/>
  <c r="R1179" i="7"/>
  <c r="Q1179" i="7"/>
  <c r="P1179" i="7"/>
  <c r="O1179" i="7"/>
  <c r="N1179" i="7"/>
  <c r="M1179" i="7"/>
  <c r="L1179" i="7"/>
  <c r="K1179" i="7"/>
  <c r="J1179" i="7"/>
  <c r="I1179" i="7"/>
  <c r="H1179" i="7"/>
  <c r="G1179" i="7"/>
  <c r="F1179" i="7"/>
  <c r="E1179" i="7"/>
  <c r="D1179" i="7"/>
  <c r="C1179" i="7"/>
  <c r="B1179" i="7"/>
  <c r="A1179" i="7"/>
  <c r="CH1179" i="17" s="1"/>
  <c r="AD1178" i="7"/>
  <c r="AC1178" i="7"/>
  <c r="AB1178" i="7"/>
  <c r="AA1178" i="7"/>
  <c r="Z1178" i="7"/>
  <c r="Y1178" i="7"/>
  <c r="X1178" i="7"/>
  <c r="W1178" i="7"/>
  <c r="V1178" i="7"/>
  <c r="U1178" i="7"/>
  <c r="T1178" i="7"/>
  <c r="S1178" i="7"/>
  <c r="R1178" i="7"/>
  <c r="Q1178" i="7"/>
  <c r="P1178" i="7"/>
  <c r="O1178" i="7"/>
  <c r="N1178" i="7"/>
  <c r="M1178" i="7"/>
  <c r="L1178" i="7"/>
  <c r="K1178" i="7"/>
  <c r="J1178" i="7"/>
  <c r="I1178" i="7"/>
  <c r="H1178" i="7"/>
  <c r="G1178" i="7"/>
  <c r="F1178" i="7"/>
  <c r="E1178" i="7"/>
  <c r="D1178" i="7"/>
  <c r="C1178" i="7"/>
  <c r="B1178" i="7"/>
  <c r="A1178" i="7"/>
  <c r="CH1178" i="17" s="1"/>
  <c r="AD1177" i="7"/>
  <c r="AC1177" i="7"/>
  <c r="AB1177" i="7"/>
  <c r="AA1177" i="7"/>
  <c r="Z1177" i="7"/>
  <c r="Y1177" i="7"/>
  <c r="X1177" i="7"/>
  <c r="W1177" i="7"/>
  <c r="V1177" i="7"/>
  <c r="U1177" i="7"/>
  <c r="T1177" i="7"/>
  <c r="S1177" i="7"/>
  <c r="R1177" i="7"/>
  <c r="Q1177" i="7"/>
  <c r="P1177" i="7"/>
  <c r="O1177" i="7"/>
  <c r="N1177" i="7"/>
  <c r="M1177" i="7"/>
  <c r="L1177" i="7"/>
  <c r="K1177" i="7"/>
  <c r="J1177" i="7"/>
  <c r="I1177" i="7"/>
  <c r="H1177" i="7"/>
  <c r="G1177" i="7"/>
  <c r="F1177" i="7"/>
  <c r="E1177" i="7"/>
  <c r="D1177" i="7"/>
  <c r="C1177" i="7"/>
  <c r="B1177" i="7"/>
  <c r="A1177" i="7"/>
  <c r="CH1177" i="17" s="1"/>
  <c r="AD1176" i="7"/>
  <c r="AC1176" i="7"/>
  <c r="AB1176" i="7"/>
  <c r="AA1176" i="7"/>
  <c r="Z1176" i="7"/>
  <c r="Y1176" i="7"/>
  <c r="X1176" i="7"/>
  <c r="W1176" i="7"/>
  <c r="V1176" i="7"/>
  <c r="U1176" i="7"/>
  <c r="T1176" i="7"/>
  <c r="S1176" i="7"/>
  <c r="R1176" i="7"/>
  <c r="Q1176" i="7"/>
  <c r="P1176" i="7"/>
  <c r="O1176" i="7"/>
  <c r="N1176" i="7"/>
  <c r="M1176" i="7"/>
  <c r="L1176" i="7"/>
  <c r="K1176" i="7"/>
  <c r="J1176" i="7"/>
  <c r="I1176" i="7"/>
  <c r="H1176" i="7"/>
  <c r="G1176" i="7"/>
  <c r="F1176" i="7"/>
  <c r="E1176" i="7"/>
  <c r="D1176" i="7"/>
  <c r="C1176" i="7"/>
  <c r="B1176" i="7"/>
  <c r="A1176" i="7"/>
  <c r="CH1176" i="17" s="1"/>
  <c r="AD1175" i="7"/>
  <c r="AC1175" i="7"/>
  <c r="AB1175" i="7"/>
  <c r="AA1175" i="7"/>
  <c r="Z1175" i="7"/>
  <c r="Y1175" i="7"/>
  <c r="X1175" i="7"/>
  <c r="W1175" i="7"/>
  <c r="V1175" i="7"/>
  <c r="U1175" i="7"/>
  <c r="T1175" i="7"/>
  <c r="S1175" i="7"/>
  <c r="R1175" i="7"/>
  <c r="Q1175" i="7"/>
  <c r="P1175" i="7"/>
  <c r="O1175" i="7"/>
  <c r="N1175" i="7"/>
  <c r="M1175" i="7"/>
  <c r="L1175" i="7"/>
  <c r="K1175" i="7"/>
  <c r="J1175" i="7"/>
  <c r="I1175" i="7"/>
  <c r="H1175" i="7"/>
  <c r="G1175" i="7"/>
  <c r="F1175" i="7"/>
  <c r="E1175" i="7"/>
  <c r="D1175" i="7"/>
  <c r="C1175" i="7"/>
  <c r="B1175" i="7"/>
  <c r="A1175" i="7"/>
  <c r="CH1175" i="17" s="1"/>
  <c r="AD1174" i="7"/>
  <c r="AC1174" i="7"/>
  <c r="AB1174" i="7"/>
  <c r="AA1174" i="7"/>
  <c r="Z1174" i="7"/>
  <c r="Y1174" i="7"/>
  <c r="X1174" i="7"/>
  <c r="W1174" i="7"/>
  <c r="V1174" i="7"/>
  <c r="U1174" i="7"/>
  <c r="T1174" i="7"/>
  <c r="S1174" i="7"/>
  <c r="R1174" i="7"/>
  <c r="Q1174" i="7"/>
  <c r="P1174" i="7"/>
  <c r="O1174" i="7"/>
  <c r="N1174" i="7"/>
  <c r="M1174" i="7"/>
  <c r="L1174" i="7"/>
  <c r="K1174" i="7"/>
  <c r="J1174" i="7"/>
  <c r="I1174" i="7"/>
  <c r="H1174" i="7"/>
  <c r="G1174" i="7"/>
  <c r="F1174" i="7"/>
  <c r="E1174" i="7"/>
  <c r="D1174" i="7"/>
  <c r="C1174" i="7"/>
  <c r="B1174" i="7"/>
  <c r="A1174" i="7"/>
  <c r="CH1174" i="17" s="1"/>
  <c r="AD1173" i="7"/>
  <c r="AC1173" i="7"/>
  <c r="AB1173" i="7"/>
  <c r="AA1173" i="7"/>
  <c r="Z1173" i="7"/>
  <c r="Y1173" i="7"/>
  <c r="X1173" i="7"/>
  <c r="W1173" i="7"/>
  <c r="V1173" i="7"/>
  <c r="U1173" i="7"/>
  <c r="T1173" i="7"/>
  <c r="S1173" i="7"/>
  <c r="R1173" i="7"/>
  <c r="Q1173" i="7"/>
  <c r="P1173" i="7"/>
  <c r="O1173" i="7"/>
  <c r="N1173" i="7"/>
  <c r="M1173" i="7"/>
  <c r="L1173" i="7"/>
  <c r="K1173" i="7"/>
  <c r="J1173" i="7"/>
  <c r="I1173" i="7"/>
  <c r="H1173" i="7"/>
  <c r="G1173" i="7"/>
  <c r="F1173" i="7"/>
  <c r="E1173" i="7"/>
  <c r="D1173" i="7"/>
  <c r="C1173" i="7"/>
  <c r="B1173" i="7"/>
  <c r="A1173" i="7"/>
  <c r="CH1173" i="17" s="1"/>
  <c r="AD1172" i="7"/>
  <c r="AC1172" i="7"/>
  <c r="AB1172" i="7"/>
  <c r="AA1172" i="7"/>
  <c r="Z1172" i="7"/>
  <c r="Y1172" i="7"/>
  <c r="X1172" i="7"/>
  <c r="W1172" i="7"/>
  <c r="V1172" i="7"/>
  <c r="U1172" i="7"/>
  <c r="T1172" i="7"/>
  <c r="S1172" i="7"/>
  <c r="R1172" i="7"/>
  <c r="Q1172" i="7"/>
  <c r="P1172" i="7"/>
  <c r="O1172" i="7"/>
  <c r="N1172" i="7"/>
  <c r="M1172" i="7"/>
  <c r="L1172" i="7"/>
  <c r="K1172" i="7"/>
  <c r="J1172" i="7"/>
  <c r="I1172" i="7"/>
  <c r="H1172" i="7"/>
  <c r="G1172" i="7"/>
  <c r="F1172" i="7"/>
  <c r="E1172" i="7"/>
  <c r="D1172" i="7"/>
  <c r="C1172" i="7"/>
  <c r="B1172" i="7"/>
  <c r="A1172" i="7"/>
  <c r="CH1172" i="17" s="1"/>
  <c r="AD1171" i="7"/>
  <c r="AC1171" i="7"/>
  <c r="AB1171" i="7"/>
  <c r="AA1171" i="7"/>
  <c r="Z1171" i="7"/>
  <c r="Y1171" i="7"/>
  <c r="X1171" i="7"/>
  <c r="W1171" i="7"/>
  <c r="V1171" i="7"/>
  <c r="U1171" i="7"/>
  <c r="T1171" i="7"/>
  <c r="S1171" i="7"/>
  <c r="R1171" i="7"/>
  <c r="Q1171" i="7"/>
  <c r="P1171" i="7"/>
  <c r="O1171" i="7"/>
  <c r="N1171" i="7"/>
  <c r="M1171" i="7"/>
  <c r="L1171" i="7"/>
  <c r="K1171" i="7"/>
  <c r="J1171" i="7"/>
  <c r="I1171" i="7"/>
  <c r="H1171" i="7"/>
  <c r="G1171" i="7"/>
  <c r="F1171" i="7"/>
  <c r="E1171" i="7"/>
  <c r="D1171" i="7"/>
  <c r="C1171" i="7"/>
  <c r="B1171" i="7"/>
  <c r="A1171" i="7"/>
  <c r="CH1171" i="17" s="1"/>
  <c r="AD1170" i="7"/>
  <c r="AC1170" i="7"/>
  <c r="AB1170" i="7"/>
  <c r="AA1170" i="7"/>
  <c r="Z1170" i="7"/>
  <c r="Y1170" i="7"/>
  <c r="X1170" i="7"/>
  <c r="W1170" i="7"/>
  <c r="V1170" i="7"/>
  <c r="U1170" i="7"/>
  <c r="T1170" i="7"/>
  <c r="S1170" i="7"/>
  <c r="R1170" i="7"/>
  <c r="Q1170" i="7"/>
  <c r="P1170" i="7"/>
  <c r="O1170" i="7"/>
  <c r="N1170" i="7"/>
  <c r="M1170" i="7"/>
  <c r="L1170" i="7"/>
  <c r="K1170" i="7"/>
  <c r="J1170" i="7"/>
  <c r="I1170" i="7"/>
  <c r="H1170" i="7"/>
  <c r="G1170" i="7"/>
  <c r="F1170" i="7"/>
  <c r="E1170" i="7"/>
  <c r="D1170" i="7"/>
  <c r="C1170" i="7"/>
  <c r="B1170" i="7"/>
  <c r="A1170" i="7"/>
  <c r="CH1170" i="17" s="1"/>
  <c r="AD1169" i="7"/>
  <c r="AC1169" i="7"/>
  <c r="AB1169" i="7"/>
  <c r="AA1169" i="7"/>
  <c r="Z1169" i="7"/>
  <c r="Y1169" i="7"/>
  <c r="X1169" i="7"/>
  <c r="W1169" i="7"/>
  <c r="V1169" i="7"/>
  <c r="U1169" i="7"/>
  <c r="T1169" i="7"/>
  <c r="S1169" i="7"/>
  <c r="R1169" i="7"/>
  <c r="Q1169" i="7"/>
  <c r="P1169" i="7"/>
  <c r="O1169" i="7"/>
  <c r="N1169" i="7"/>
  <c r="M1169" i="7"/>
  <c r="L1169" i="7"/>
  <c r="K1169" i="7"/>
  <c r="J1169" i="7"/>
  <c r="I1169" i="7"/>
  <c r="H1169" i="7"/>
  <c r="G1169" i="7"/>
  <c r="F1169" i="7"/>
  <c r="E1169" i="7"/>
  <c r="D1169" i="7"/>
  <c r="C1169" i="7"/>
  <c r="B1169" i="7"/>
  <c r="A1169" i="7"/>
  <c r="CH1169" i="17" s="1"/>
  <c r="AD1168" i="7"/>
  <c r="AC1168" i="7"/>
  <c r="AB1168" i="7"/>
  <c r="AA1168" i="7"/>
  <c r="Z1168" i="7"/>
  <c r="Y1168" i="7"/>
  <c r="X1168" i="7"/>
  <c r="W1168" i="7"/>
  <c r="V1168" i="7"/>
  <c r="U1168" i="7"/>
  <c r="T1168" i="7"/>
  <c r="S1168" i="7"/>
  <c r="R1168" i="7"/>
  <c r="Q1168" i="7"/>
  <c r="P1168" i="7"/>
  <c r="O1168" i="7"/>
  <c r="N1168" i="7"/>
  <c r="M1168" i="7"/>
  <c r="L1168" i="7"/>
  <c r="K1168" i="7"/>
  <c r="J1168" i="7"/>
  <c r="I1168" i="7"/>
  <c r="H1168" i="7"/>
  <c r="G1168" i="7"/>
  <c r="F1168" i="7"/>
  <c r="E1168" i="7"/>
  <c r="D1168" i="7"/>
  <c r="C1168" i="7"/>
  <c r="B1168" i="7"/>
  <c r="A1168" i="7"/>
  <c r="CH1168" i="17" s="1"/>
  <c r="AD1167" i="7"/>
  <c r="AC1167" i="7"/>
  <c r="AB1167" i="7"/>
  <c r="AA1167" i="7"/>
  <c r="Z1167" i="7"/>
  <c r="Y1167" i="7"/>
  <c r="X1167" i="7"/>
  <c r="W1167" i="7"/>
  <c r="V1167" i="7"/>
  <c r="U1167" i="7"/>
  <c r="T1167" i="7"/>
  <c r="S1167" i="7"/>
  <c r="R1167" i="7"/>
  <c r="Q1167" i="7"/>
  <c r="P1167" i="7"/>
  <c r="O1167" i="7"/>
  <c r="N1167" i="7"/>
  <c r="M1167" i="7"/>
  <c r="L1167" i="7"/>
  <c r="K1167" i="7"/>
  <c r="J1167" i="7"/>
  <c r="I1167" i="7"/>
  <c r="H1167" i="7"/>
  <c r="G1167" i="7"/>
  <c r="F1167" i="7"/>
  <c r="E1167" i="7"/>
  <c r="D1167" i="7"/>
  <c r="C1167" i="7"/>
  <c r="B1167" i="7"/>
  <c r="A1167" i="7"/>
  <c r="CH1167" i="17" s="1"/>
  <c r="AD1166" i="7"/>
  <c r="AC1166" i="7"/>
  <c r="AB1166" i="7"/>
  <c r="AA1166" i="7"/>
  <c r="Z1166" i="7"/>
  <c r="Y1166" i="7"/>
  <c r="X1166" i="7"/>
  <c r="W1166" i="7"/>
  <c r="V1166" i="7"/>
  <c r="U1166" i="7"/>
  <c r="T1166" i="7"/>
  <c r="S1166" i="7"/>
  <c r="R1166" i="7"/>
  <c r="Q1166" i="7"/>
  <c r="P1166" i="7"/>
  <c r="O1166" i="7"/>
  <c r="N1166" i="7"/>
  <c r="M1166" i="7"/>
  <c r="L1166" i="7"/>
  <c r="K1166" i="7"/>
  <c r="J1166" i="7"/>
  <c r="I1166" i="7"/>
  <c r="H1166" i="7"/>
  <c r="G1166" i="7"/>
  <c r="F1166" i="7"/>
  <c r="E1166" i="7"/>
  <c r="D1166" i="7"/>
  <c r="C1166" i="7"/>
  <c r="B1166" i="7"/>
  <c r="A1166" i="7"/>
  <c r="CH1166" i="17" s="1"/>
  <c r="AD1165" i="7"/>
  <c r="AC1165" i="7"/>
  <c r="AB1165" i="7"/>
  <c r="AA1165" i="7"/>
  <c r="Z1165" i="7"/>
  <c r="Y1165" i="7"/>
  <c r="X1165" i="7"/>
  <c r="W1165" i="7"/>
  <c r="V1165" i="7"/>
  <c r="U1165" i="7"/>
  <c r="T1165" i="7"/>
  <c r="S1165" i="7"/>
  <c r="R1165" i="7"/>
  <c r="Q1165" i="7"/>
  <c r="P1165" i="7"/>
  <c r="O1165" i="7"/>
  <c r="N1165" i="7"/>
  <c r="M1165" i="7"/>
  <c r="L1165" i="7"/>
  <c r="K1165" i="7"/>
  <c r="J1165" i="7"/>
  <c r="I1165" i="7"/>
  <c r="H1165" i="7"/>
  <c r="G1165" i="7"/>
  <c r="F1165" i="7"/>
  <c r="E1165" i="7"/>
  <c r="D1165" i="7"/>
  <c r="C1165" i="7"/>
  <c r="B1165" i="7"/>
  <c r="A1165" i="7"/>
  <c r="CH1165" i="17" s="1"/>
  <c r="AD1164" i="7"/>
  <c r="AC1164" i="7"/>
  <c r="AB1164" i="7"/>
  <c r="AA1164" i="7"/>
  <c r="Z1164" i="7"/>
  <c r="Y1164" i="7"/>
  <c r="X1164" i="7"/>
  <c r="W1164" i="7"/>
  <c r="V1164" i="7"/>
  <c r="U1164" i="7"/>
  <c r="T1164" i="7"/>
  <c r="S1164" i="7"/>
  <c r="R1164" i="7"/>
  <c r="Q1164" i="7"/>
  <c r="P1164" i="7"/>
  <c r="O1164" i="7"/>
  <c r="N1164" i="7"/>
  <c r="M1164" i="7"/>
  <c r="L1164" i="7"/>
  <c r="K1164" i="7"/>
  <c r="J1164" i="7"/>
  <c r="I1164" i="7"/>
  <c r="H1164" i="7"/>
  <c r="G1164" i="7"/>
  <c r="F1164" i="7"/>
  <c r="E1164" i="7"/>
  <c r="D1164" i="7"/>
  <c r="C1164" i="7"/>
  <c r="B1164" i="7"/>
  <c r="A1164" i="7"/>
  <c r="CH1164" i="17" s="1"/>
  <c r="AD1163" i="7"/>
  <c r="AC1163" i="7"/>
  <c r="AB1163" i="7"/>
  <c r="AA1163" i="7"/>
  <c r="Z1163" i="7"/>
  <c r="Y1163" i="7"/>
  <c r="X1163" i="7"/>
  <c r="W1163" i="7"/>
  <c r="V1163" i="7"/>
  <c r="U1163" i="7"/>
  <c r="T1163" i="7"/>
  <c r="S1163" i="7"/>
  <c r="R1163" i="7"/>
  <c r="Q1163" i="7"/>
  <c r="P1163" i="7"/>
  <c r="O1163" i="7"/>
  <c r="N1163" i="7"/>
  <c r="M1163" i="7"/>
  <c r="L1163" i="7"/>
  <c r="K1163" i="7"/>
  <c r="J1163" i="7"/>
  <c r="I1163" i="7"/>
  <c r="H1163" i="7"/>
  <c r="G1163" i="7"/>
  <c r="F1163" i="7"/>
  <c r="E1163" i="7"/>
  <c r="D1163" i="7"/>
  <c r="C1163" i="7"/>
  <c r="B1163" i="7"/>
  <c r="A1163" i="7"/>
  <c r="CH1163" i="17" s="1"/>
  <c r="AD1162" i="7"/>
  <c r="AC1162" i="7"/>
  <c r="AB1162" i="7"/>
  <c r="AA1162" i="7"/>
  <c r="Z1162" i="7"/>
  <c r="Y1162" i="7"/>
  <c r="X1162" i="7"/>
  <c r="W1162" i="7"/>
  <c r="V1162" i="7"/>
  <c r="U1162" i="7"/>
  <c r="T1162" i="7"/>
  <c r="S1162" i="7"/>
  <c r="R1162" i="7"/>
  <c r="Q1162" i="7"/>
  <c r="P1162" i="7"/>
  <c r="O1162" i="7"/>
  <c r="N1162" i="7"/>
  <c r="M1162" i="7"/>
  <c r="L1162" i="7"/>
  <c r="K1162" i="7"/>
  <c r="J1162" i="7"/>
  <c r="I1162" i="7"/>
  <c r="H1162" i="7"/>
  <c r="G1162" i="7"/>
  <c r="F1162" i="7"/>
  <c r="E1162" i="7"/>
  <c r="D1162" i="7"/>
  <c r="C1162" i="7"/>
  <c r="B1162" i="7"/>
  <c r="A1162" i="7"/>
  <c r="CH1162" i="17" s="1"/>
  <c r="AD1161" i="7"/>
  <c r="AC1161" i="7"/>
  <c r="AB1161" i="7"/>
  <c r="AA1161" i="7"/>
  <c r="Z1161" i="7"/>
  <c r="Y1161" i="7"/>
  <c r="X1161" i="7"/>
  <c r="W1161" i="7"/>
  <c r="V1161" i="7"/>
  <c r="U1161" i="7"/>
  <c r="T1161" i="7"/>
  <c r="S1161" i="7"/>
  <c r="R1161" i="7"/>
  <c r="Q1161" i="7"/>
  <c r="P1161" i="7"/>
  <c r="O1161" i="7"/>
  <c r="N1161" i="7"/>
  <c r="M1161" i="7"/>
  <c r="L1161" i="7"/>
  <c r="K1161" i="7"/>
  <c r="J1161" i="7"/>
  <c r="I1161" i="7"/>
  <c r="H1161" i="7"/>
  <c r="G1161" i="7"/>
  <c r="F1161" i="7"/>
  <c r="E1161" i="7"/>
  <c r="D1161" i="7"/>
  <c r="C1161" i="7"/>
  <c r="B1161" i="7"/>
  <c r="A1161" i="7"/>
  <c r="CH1161" i="17" s="1"/>
  <c r="AD1160" i="7"/>
  <c r="AC1160" i="7"/>
  <c r="AB1160" i="7"/>
  <c r="AA1160" i="7"/>
  <c r="Z1160" i="7"/>
  <c r="Y1160" i="7"/>
  <c r="X1160" i="7"/>
  <c r="W1160" i="7"/>
  <c r="V1160" i="7"/>
  <c r="U1160" i="7"/>
  <c r="T1160" i="7"/>
  <c r="S1160" i="7"/>
  <c r="R1160" i="7"/>
  <c r="Q1160" i="7"/>
  <c r="P1160" i="7"/>
  <c r="O1160" i="7"/>
  <c r="N1160" i="7"/>
  <c r="M1160" i="7"/>
  <c r="L1160" i="7"/>
  <c r="K1160" i="7"/>
  <c r="J1160" i="7"/>
  <c r="I1160" i="7"/>
  <c r="H1160" i="7"/>
  <c r="G1160" i="7"/>
  <c r="F1160" i="7"/>
  <c r="E1160" i="7"/>
  <c r="D1160" i="7"/>
  <c r="C1160" i="7"/>
  <c r="B1160" i="7"/>
  <c r="A1160" i="7"/>
  <c r="CH1160" i="17" s="1"/>
  <c r="AD1159" i="7"/>
  <c r="AC1159" i="7"/>
  <c r="AB1159" i="7"/>
  <c r="AA1159" i="7"/>
  <c r="Z1159" i="7"/>
  <c r="Y1159" i="7"/>
  <c r="X1159" i="7"/>
  <c r="W1159" i="7"/>
  <c r="V1159" i="7"/>
  <c r="U1159" i="7"/>
  <c r="T1159" i="7"/>
  <c r="S1159" i="7"/>
  <c r="R1159" i="7"/>
  <c r="Q1159" i="7"/>
  <c r="P1159" i="7"/>
  <c r="O1159" i="7"/>
  <c r="N1159" i="7"/>
  <c r="M1159" i="7"/>
  <c r="L1159" i="7"/>
  <c r="K1159" i="7"/>
  <c r="J1159" i="7"/>
  <c r="I1159" i="7"/>
  <c r="H1159" i="7"/>
  <c r="G1159" i="7"/>
  <c r="F1159" i="7"/>
  <c r="E1159" i="7"/>
  <c r="D1159" i="7"/>
  <c r="C1159" i="7"/>
  <c r="B1159" i="7"/>
  <c r="A1159" i="7"/>
  <c r="CH1159" i="17" s="1"/>
  <c r="AD1158" i="7"/>
  <c r="AC1158" i="7"/>
  <c r="AB1158" i="7"/>
  <c r="AA1158" i="7"/>
  <c r="Z1158" i="7"/>
  <c r="Y1158" i="7"/>
  <c r="X1158" i="7"/>
  <c r="W1158" i="7"/>
  <c r="V1158" i="7"/>
  <c r="U1158" i="7"/>
  <c r="T1158" i="7"/>
  <c r="S1158" i="7"/>
  <c r="R1158" i="7"/>
  <c r="Q1158" i="7"/>
  <c r="P1158" i="7"/>
  <c r="O1158" i="7"/>
  <c r="N1158" i="7"/>
  <c r="M1158" i="7"/>
  <c r="L1158" i="7"/>
  <c r="K1158" i="7"/>
  <c r="J1158" i="7"/>
  <c r="I1158" i="7"/>
  <c r="H1158" i="7"/>
  <c r="G1158" i="7"/>
  <c r="F1158" i="7"/>
  <c r="E1158" i="7"/>
  <c r="D1158" i="7"/>
  <c r="C1158" i="7"/>
  <c r="B1158" i="7"/>
  <c r="A1158" i="7"/>
  <c r="CH1158" i="17" s="1"/>
  <c r="AD1157" i="7"/>
  <c r="AC1157" i="7"/>
  <c r="AB1157" i="7"/>
  <c r="AA1157" i="7"/>
  <c r="Z1157" i="7"/>
  <c r="Y1157" i="7"/>
  <c r="X1157" i="7"/>
  <c r="W1157" i="7"/>
  <c r="V1157" i="7"/>
  <c r="U1157" i="7"/>
  <c r="T1157" i="7"/>
  <c r="S1157" i="7"/>
  <c r="R1157" i="7"/>
  <c r="Q1157" i="7"/>
  <c r="P1157" i="7"/>
  <c r="O1157" i="7"/>
  <c r="N1157" i="7"/>
  <c r="M1157" i="7"/>
  <c r="L1157" i="7"/>
  <c r="K1157" i="7"/>
  <c r="J1157" i="7"/>
  <c r="I1157" i="7"/>
  <c r="H1157" i="7"/>
  <c r="G1157" i="7"/>
  <c r="F1157" i="7"/>
  <c r="E1157" i="7"/>
  <c r="D1157" i="7"/>
  <c r="C1157" i="7"/>
  <c r="B1157" i="7"/>
  <c r="A1157" i="7"/>
  <c r="CH1157" i="17" s="1"/>
  <c r="AD1156" i="7"/>
  <c r="AC1156" i="7"/>
  <c r="AB1156" i="7"/>
  <c r="AA1156" i="7"/>
  <c r="Z1156" i="7"/>
  <c r="Y1156" i="7"/>
  <c r="X1156" i="7"/>
  <c r="W1156" i="7"/>
  <c r="V1156" i="7"/>
  <c r="U1156" i="7"/>
  <c r="T1156" i="7"/>
  <c r="S1156" i="7"/>
  <c r="R1156" i="7"/>
  <c r="Q1156" i="7"/>
  <c r="P1156" i="7"/>
  <c r="O1156" i="7"/>
  <c r="N1156" i="7"/>
  <c r="M1156" i="7"/>
  <c r="L1156" i="7"/>
  <c r="K1156" i="7"/>
  <c r="J1156" i="7"/>
  <c r="I1156" i="7"/>
  <c r="H1156" i="7"/>
  <c r="G1156" i="7"/>
  <c r="F1156" i="7"/>
  <c r="E1156" i="7"/>
  <c r="D1156" i="7"/>
  <c r="C1156" i="7"/>
  <c r="B1156" i="7"/>
  <c r="A1156" i="7"/>
  <c r="CH1156" i="17" s="1"/>
  <c r="AD1155" i="7"/>
  <c r="AC1155" i="7"/>
  <c r="AB1155" i="7"/>
  <c r="AA1155" i="7"/>
  <c r="Z1155" i="7"/>
  <c r="Y1155" i="7"/>
  <c r="X1155" i="7"/>
  <c r="W1155" i="7"/>
  <c r="V1155" i="7"/>
  <c r="U1155" i="7"/>
  <c r="T1155" i="7"/>
  <c r="S1155" i="7"/>
  <c r="R1155" i="7"/>
  <c r="Q1155" i="7"/>
  <c r="P1155" i="7"/>
  <c r="O1155" i="7"/>
  <c r="N1155" i="7"/>
  <c r="M1155" i="7"/>
  <c r="L1155" i="7"/>
  <c r="K1155" i="7"/>
  <c r="J1155" i="7"/>
  <c r="I1155" i="7"/>
  <c r="H1155" i="7"/>
  <c r="G1155" i="7"/>
  <c r="F1155" i="7"/>
  <c r="E1155" i="7"/>
  <c r="D1155" i="7"/>
  <c r="C1155" i="7"/>
  <c r="B1155" i="7"/>
  <c r="A1155" i="7"/>
  <c r="CH1155" i="17" s="1"/>
  <c r="AD1154" i="7"/>
  <c r="AC1154" i="7"/>
  <c r="AB1154" i="7"/>
  <c r="AA1154" i="7"/>
  <c r="Z1154" i="7"/>
  <c r="Y1154" i="7"/>
  <c r="X1154" i="7"/>
  <c r="W1154" i="7"/>
  <c r="V1154" i="7"/>
  <c r="U1154" i="7"/>
  <c r="T1154" i="7"/>
  <c r="S1154" i="7"/>
  <c r="R1154" i="7"/>
  <c r="Q1154" i="7"/>
  <c r="P1154" i="7"/>
  <c r="O1154" i="7"/>
  <c r="N1154" i="7"/>
  <c r="M1154" i="7"/>
  <c r="L1154" i="7"/>
  <c r="K1154" i="7"/>
  <c r="J1154" i="7"/>
  <c r="I1154" i="7"/>
  <c r="H1154" i="7"/>
  <c r="G1154" i="7"/>
  <c r="F1154" i="7"/>
  <c r="E1154" i="7"/>
  <c r="D1154" i="7"/>
  <c r="C1154" i="7"/>
  <c r="B1154" i="7"/>
  <c r="A1154" i="7"/>
  <c r="CH1154" i="17" s="1"/>
  <c r="AD1153" i="7"/>
  <c r="AC1153" i="7"/>
  <c r="AB1153" i="7"/>
  <c r="AA1153" i="7"/>
  <c r="Z1153" i="7"/>
  <c r="Y1153" i="7"/>
  <c r="X1153" i="7"/>
  <c r="W1153" i="7"/>
  <c r="V1153" i="7"/>
  <c r="U1153" i="7"/>
  <c r="T1153" i="7"/>
  <c r="S1153" i="7"/>
  <c r="R1153" i="7"/>
  <c r="Q1153" i="7"/>
  <c r="P1153" i="7"/>
  <c r="O1153" i="7"/>
  <c r="N1153" i="7"/>
  <c r="M1153" i="7"/>
  <c r="L1153" i="7"/>
  <c r="K1153" i="7"/>
  <c r="J1153" i="7"/>
  <c r="I1153" i="7"/>
  <c r="H1153" i="7"/>
  <c r="G1153" i="7"/>
  <c r="F1153" i="7"/>
  <c r="E1153" i="7"/>
  <c r="D1153" i="7"/>
  <c r="C1153" i="7"/>
  <c r="B1153" i="7"/>
  <c r="A1153" i="7"/>
  <c r="CH1153" i="17" s="1"/>
  <c r="AD1152" i="7"/>
  <c r="AC1152" i="7"/>
  <c r="AB1152" i="7"/>
  <c r="AA1152" i="7"/>
  <c r="Z1152" i="7"/>
  <c r="Y1152" i="7"/>
  <c r="X1152" i="7"/>
  <c r="W1152" i="7"/>
  <c r="V1152" i="7"/>
  <c r="U1152" i="7"/>
  <c r="T1152" i="7"/>
  <c r="S1152" i="7"/>
  <c r="R1152" i="7"/>
  <c r="Q1152" i="7"/>
  <c r="P1152" i="7"/>
  <c r="O1152" i="7"/>
  <c r="N1152" i="7"/>
  <c r="M1152" i="7"/>
  <c r="L1152" i="7"/>
  <c r="K1152" i="7"/>
  <c r="J1152" i="7"/>
  <c r="I1152" i="7"/>
  <c r="H1152" i="7"/>
  <c r="G1152" i="7"/>
  <c r="F1152" i="7"/>
  <c r="E1152" i="7"/>
  <c r="D1152" i="7"/>
  <c r="C1152" i="7"/>
  <c r="B1152" i="7"/>
  <c r="A1152" i="7"/>
  <c r="CH1152" i="17" s="1"/>
  <c r="AD1151" i="7"/>
  <c r="AC1151" i="7"/>
  <c r="AB1151" i="7"/>
  <c r="AA1151" i="7"/>
  <c r="Z1151" i="7"/>
  <c r="Y1151" i="7"/>
  <c r="X1151" i="7"/>
  <c r="W1151" i="7"/>
  <c r="V1151" i="7"/>
  <c r="U1151" i="7"/>
  <c r="T1151" i="7"/>
  <c r="S1151" i="7"/>
  <c r="R1151" i="7"/>
  <c r="Q1151" i="7"/>
  <c r="P1151" i="7"/>
  <c r="O1151" i="7"/>
  <c r="N1151" i="7"/>
  <c r="M1151" i="7"/>
  <c r="L1151" i="7"/>
  <c r="K1151" i="7"/>
  <c r="J1151" i="7"/>
  <c r="I1151" i="7"/>
  <c r="H1151" i="7"/>
  <c r="G1151" i="7"/>
  <c r="F1151" i="7"/>
  <c r="E1151" i="7"/>
  <c r="D1151" i="7"/>
  <c r="C1151" i="7"/>
  <c r="B1151" i="7"/>
  <c r="A1151" i="7"/>
  <c r="CH1151" i="17" s="1"/>
  <c r="AD1150" i="7"/>
  <c r="AC1150" i="7"/>
  <c r="AB1150" i="7"/>
  <c r="AA1150" i="7"/>
  <c r="Z1150" i="7"/>
  <c r="Y1150" i="7"/>
  <c r="X1150" i="7"/>
  <c r="W1150" i="7"/>
  <c r="V1150" i="7"/>
  <c r="U1150" i="7"/>
  <c r="T1150" i="7"/>
  <c r="S1150" i="7"/>
  <c r="R1150" i="7"/>
  <c r="Q1150" i="7"/>
  <c r="P1150" i="7"/>
  <c r="O1150" i="7"/>
  <c r="N1150" i="7"/>
  <c r="M1150" i="7"/>
  <c r="L1150" i="7"/>
  <c r="K1150" i="7"/>
  <c r="J1150" i="7"/>
  <c r="I1150" i="7"/>
  <c r="H1150" i="7"/>
  <c r="G1150" i="7"/>
  <c r="F1150" i="7"/>
  <c r="E1150" i="7"/>
  <c r="D1150" i="7"/>
  <c r="C1150" i="7"/>
  <c r="B1150" i="7"/>
  <c r="A1150" i="7"/>
  <c r="CH1150" i="17" s="1"/>
  <c r="AD1149" i="7"/>
  <c r="AC1149" i="7"/>
  <c r="AB1149" i="7"/>
  <c r="AA1149" i="7"/>
  <c r="Z1149" i="7"/>
  <c r="Y1149" i="7"/>
  <c r="X1149" i="7"/>
  <c r="W1149" i="7"/>
  <c r="V1149" i="7"/>
  <c r="U1149" i="7"/>
  <c r="T1149" i="7"/>
  <c r="S1149" i="7"/>
  <c r="R1149" i="7"/>
  <c r="Q1149" i="7"/>
  <c r="P1149" i="7"/>
  <c r="O1149" i="7"/>
  <c r="N1149" i="7"/>
  <c r="M1149" i="7"/>
  <c r="L1149" i="7"/>
  <c r="K1149" i="7"/>
  <c r="J1149" i="7"/>
  <c r="I1149" i="7"/>
  <c r="H1149" i="7"/>
  <c r="G1149" i="7"/>
  <c r="F1149" i="7"/>
  <c r="E1149" i="7"/>
  <c r="D1149" i="7"/>
  <c r="C1149" i="7"/>
  <c r="B1149" i="7"/>
  <c r="A1149" i="7"/>
  <c r="CH1149" i="17" s="1"/>
  <c r="AD1148" i="7"/>
  <c r="AC1148" i="7"/>
  <c r="AB1148" i="7"/>
  <c r="AA1148" i="7"/>
  <c r="Z1148" i="7"/>
  <c r="Y1148" i="7"/>
  <c r="X1148" i="7"/>
  <c r="W1148" i="7"/>
  <c r="V1148" i="7"/>
  <c r="U1148" i="7"/>
  <c r="T1148" i="7"/>
  <c r="S1148" i="7"/>
  <c r="R1148" i="7"/>
  <c r="Q1148" i="7"/>
  <c r="P1148" i="7"/>
  <c r="O1148" i="7"/>
  <c r="N1148" i="7"/>
  <c r="M1148" i="7"/>
  <c r="L1148" i="7"/>
  <c r="K1148" i="7"/>
  <c r="J1148" i="7"/>
  <c r="I1148" i="7"/>
  <c r="H1148" i="7"/>
  <c r="G1148" i="7"/>
  <c r="F1148" i="7"/>
  <c r="E1148" i="7"/>
  <c r="D1148" i="7"/>
  <c r="C1148" i="7"/>
  <c r="B1148" i="7"/>
  <c r="A1148" i="7"/>
  <c r="CH1148" i="17" s="1"/>
  <c r="AD1147" i="7"/>
  <c r="AC1147" i="7"/>
  <c r="AB1147" i="7"/>
  <c r="AA1147" i="7"/>
  <c r="Z1147" i="7"/>
  <c r="Y1147" i="7"/>
  <c r="X1147" i="7"/>
  <c r="W1147" i="7"/>
  <c r="V1147" i="7"/>
  <c r="U1147" i="7"/>
  <c r="T1147" i="7"/>
  <c r="S1147" i="7"/>
  <c r="R1147" i="7"/>
  <c r="Q1147" i="7"/>
  <c r="P1147" i="7"/>
  <c r="O1147" i="7"/>
  <c r="N1147" i="7"/>
  <c r="M1147" i="7"/>
  <c r="L1147" i="7"/>
  <c r="K1147" i="7"/>
  <c r="J1147" i="7"/>
  <c r="I1147" i="7"/>
  <c r="H1147" i="7"/>
  <c r="G1147" i="7"/>
  <c r="F1147" i="7"/>
  <c r="E1147" i="7"/>
  <c r="D1147" i="7"/>
  <c r="C1147" i="7"/>
  <c r="B1147" i="7"/>
  <c r="A1147" i="7"/>
  <c r="CH1147" i="17" s="1"/>
  <c r="AD1146" i="7"/>
  <c r="AC1146" i="7"/>
  <c r="AB1146" i="7"/>
  <c r="AA1146" i="7"/>
  <c r="Z1146" i="7"/>
  <c r="Y1146" i="7"/>
  <c r="X1146" i="7"/>
  <c r="W1146" i="7"/>
  <c r="V1146" i="7"/>
  <c r="U1146" i="7"/>
  <c r="T1146" i="7"/>
  <c r="S1146" i="7"/>
  <c r="R1146" i="7"/>
  <c r="Q1146" i="7"/>
  <c r="P1146" i="7"/>
  <c r="O1146" i="7"/>
  <c r="N1146" i="7"/>
  <c r="M1146" i="7"/>
  <c r="L1146" i="7"/>
  <c r="K1146" i="7"/>
  <c r="J1146" i="7"/>
  <c r="I1146" i="7"/>
  <c r="H1146" i="7"/>
  <c r="G1146" i="7"/>
  <c r="F1146" i="7"/>
  <c r="E1146" i="7"/>
  <c r="D1146" i="7"/>
  <c r="C1146" i="7"/>
  <c r="B1146" i="7"/>
  <c r="A1146" i="7"/>
  <c r="CH1146" i="17" s="1"/>
  <c r="AD1145" i="7"/>
  <c r="AC1145" i="7"/>
  <c r="AB1145" i="7"/>
  <c r="AA1145" i="7"/>
  <c r="Z1145" i="7"/>
  <c r="Y1145" i="7"/>
  <c r="X1145" i="7"/>
  <c r="W1145" i="7"/>
  <c r="V1145" i="7"/>
  <c r="U1145" i="7"/>
  <c r="T1145" i="7"/>
  <c r="S1145" i="7"/>
  <c r="R1145" i="7"/>
  <c r="Q1145" i="7"/>
  <c r="P1145" i="7"/>
  <c r="O1145" i="7"/>
  <c r="N1145" i="7"/>
  <c r="M1145" i="7"/>
  <c r="L1145" i="7"/>
  <c r="K1145" i="7"/>
  <c r="J1145" i="7"/>
  <c r="I1145" i="7"/>
  <c r="H1145" i="7"/>
  <c r="G1145" i="7"/>
  <c r="F1145" i="7"/>
  <c r="E1145" i="7"/>
  <c r="D1145" i="7"/>
  <c r="C1145" i="7"/>
  <c r="B1145" i="7"/>
  <c r="A1145" i="7"/>
  <c r="CH1145" i="17" s="1"/>
  <c r="AD1144" i="7"/>
  <c r="AC1144" i="7"/>
  <c r="AB1144" i="7"/>
  <c r="AA1144" i="7"/>
  <c r="Z1144" i="7"/>
  <c r="Y1144" i="7"/>
  <c r="X1144" i="7"/>
  <c r="W1144" i="7"/>
  <c r="V1144" i="7"/>
  <c r="U1144" i="7"/>
  <c r="T1144" i="7"/>
  <c r="S1144" i="7"/>
  <c r="R1144" i="7"/>
  <c r="Q1144" i="7"/>
  <c r="P1144" i="7"/>
  <c r="O1144" i="7"/>
  <c r="N1144" i="7"/>
  <c r="M1144" i="7"/>
  <c r="L1144" i="7"/>
  <c r="K1144" i="7"/>
  <c r="J1144" i="7"/>
  <c r="I1144" i="7"/>
  <c r="H1144" i="7"/>
  <c r="G1144" i="7"/>
  <c r="F1144" i="7"/>
  <c r="E1144" i="7"/>
  <c r="D1144" i="7"/>
  <c r="C1144" i="7"/>
  <c r="B1144" i="7"/>
  <c r="A1144" i="7"/>
  <c r="CH1144" i="17" s="1"/>
  <c r="AD1143" i="7"/>
  <c r="AC1143" i="7"/>
  <c r="AB1143" i="7"/>
  <c r="AA1143" i="7"/>
  <c r="Z1143" i="7"/>
  <c r="Y1143" i="7"/>
  <c r="X1143" i="7"/>
  <c r="W1143" i="7"/>
  <c r="V1143" i="7"/>
  <c r="U1143" i="7"/>
  <c r="T1143" i="7"/>
  <c r="S1143" i="7"/>
  <c r="R1143" i="7"/>
  <c r="Q1143" i="7"/>
  <c r="P1143" i="7"/>
  <c r="O1143" i="7"/>
  <c r="N1143" i="7"/>
  <c r="M1143" i="7"/>
  <c r="L1143" i="7"/>
  <c r="K1143" i="7"/>
  <c r="J1143" i="7"/>
  <c r="I1143" i="7"/>
  <c r="H1143" i="7"/>
  <c r="G1143" i="7"/>
  <c r="F1143" i="7"/>
  <c r="E1143" i="7"/>
  <c r="D1143" i="7"/>
  <c r="C1143" i="7"/>
  <c r="B1143" i="7"/>
  <c r="A1143" i="7"/>
  <c r="CH1143" i="17" s="1"/>
  <c r="AD1142" i="7"/>
  <c r="AC1142" i="7"/>
  <c r="AB1142" i="7"/>
  <c r="AA1142" i="7"/>
  <c r="Z1142" i="7"/>
  <c r="Y1142" i="7"/>
  <c r="X1142" i="7"/>
  <c r="W1142" i="7"/>
  <c r="V1142" i="7"/>
  <c r="U1142" i="7"/>
  <c r="T1142" i="7"/>
  <c r="S1142" i="7"/>
  <c r="R1142" i="7"/>
  <c r="Q1142" i="7"/>
  <c r="P1142" i="7"/>
  <c r="O1142" i="7"/>
  <c r="N1142" i="7"/>
  <c r="M1142" i="7"/>
  <c r="L1142" i="7"/>
  <c r="K1142" i="7"/>
  <c r="J1142" i="7"/>
  <c r="I1142" i="7"/>
  <c r="H1142" i="7"/>
  <c r="G1142" i="7"/>
  <c r="F1142" i="7"/>
  <c r="E1142" i="7"/>
  <c r="D1142" i="7"/>
  <c r="C1142" i="7"/>
  <c r="B1142" i="7"/>
  <c r="A1142" i="7"/>
  <c r="CH1142" i="17" s="1"/>
  <c r="AD1141" i="7"/>
  <c r="AC1141" i="7"/>
  <c r="AB1141" i="7"/>
  <c r="AA1141" i="7"/>
  <c r="Z1141" i="7"/>
  <c r="Y1141" i="7"/>
  <c r="X1141" i="7"/>
  <c r="W1141" i="7"/>
  <c r="V1141" i="7"/>
  <c r="U1141" i="7"/>
  <c r="T1141" i="7"/>
  <c r="S1141" i="7"/>
  <c r="R1141" i="7"/>
  <c r="Q1141" i="7"/>
  <c r="P1141" i="7"/>
  <c r="O1141" i="7"/>
  <c r="N1141" i="7"/>
  <c r="M1141" i="7"/>
  <c r="L1141" i="7"/>
  <c r="K1141" i="7"/>
  <c r="J1141" i="7"/>
  <c r="I1141" i="7"/>
  <c r="H1141" i="7"/>
  <c r="G1141" i="7"/>
  <c r="F1141" i="7"/>
  <c r="E1141" i="7"/>
  <c r="D1141" i="7"/>
  <c r="C1141" i="7"/>
  <c r="B1141" i="7"/>
  <c r="A1141" i="7"/>
  <c r="CH1141" i="17" s="1"/>
  <c r="AD1140" i="7"/>
  <c r="AC1140" i="7"/>
  <c r="AB1140" i="7"/>
  <c r="AA1140" i="7"/>
  <c r="Z1140" i="7"/>
  <c r="Y1140" i="7"/>
  <c r="X1140" i="7"/>
  <c r="W1140" i="7"/>
  <c r="V1140" i="7"/>
  <c r="U1140" i="7"/>
  <c r="T1140" i="7"/>
  <c r="S1140" i="7"/>
  <c r="R1140" i="7"/>
  <c r="Q1140" i="7"/>
  <c r="P1140" i="7"/>
  <c r="O1140" i="7"/>
  <c r="N1140" i="7"/>
  <c r="M1140" i="7"/>
  <c r="L1140" i="7"/>
  <c r="K1140" i="7"/>
  <c r="J1140" i="7"/>
  <c r="I1140" i="7"/>
  <c r="H1140" i="7"/>
  <c r="G1140" i="7"/>
  <c r="F1140" i="7"/>
  <c r="E1140" i="7"/>
  <c r="D1140" i="7"/>
  <c r="C1140" i="7"/>
  <c r="B1140" i="7"/>
  <c r="A1140" i="7"/>
  <c r="CH1140" i="17" s="1"/>
  <c r="AD1139" i="7"/>
  <c r="AC1139" i="7"/>
  <c r="AB1139" i="7"/>
  <c r="AA1139" i="7"/>
  <c r="Z1139" i="7"/>
  <c r="Y1139" i="7"/>
  <c r="X1139" i="7"/>
  <c r="W1139" i="7"/>
  <c r="V1139" i="7"/>
  <c r="U1139" i="7"/>
  <c r="T1139" i="7"/>
  <c r="S1139" i="7"/>
  <c r="R1139" i="7"/>
  <c r="Q1139" i="7"/>
  <c r="P1139" i="7"/>
  <c r="O1139" i="7"/>
  <c r="N1139" i="7"/>
  <c r="M1139" i="7"/>
  <c r="L1139" i="7"/>
  <c r="K1139" i="7"/>
  <c r="J1139" i="7"/>
  <c r="I1139" i="7"/>
  <c r="H1139" i="7"/>
  <c r="G1139" i="7"/>
  <c r="F1139" i="7"/>
  <c r="E1139" i="7"/>
  <c r="D1139" i="7"/>
  <c r="C1139" i="7"/>
  <c r="B1139" i="7"/>
  <c r="A1139" i="7"/>
  <c r="CH1139" i="17" s="1"/>
  <c r="AD1138" i="7"/>
  <c r="AC1138" i="7"/>
  <c r="AB1138" i="7"/>
  <c r="AA1138" i="7"/>
  <c r="Z1138" i="7"/>
  <c r="Y1138" i="7"/>
  <c r="X1138" i="7"/>
  <c r="W1138" i="7"/>
  <c r="V1138" i="7"/>
  <c r="U1138" i="7"/>
  <c r="T1138" i="7"/>
  <c r="S1138" i="7"/>
  <c r="R1138" i="7"/>
  <c r="Q1138" i="7"/>
  <c r="P1138" i="7"/>
  <c r="O1138" i="7"/>
  <c r="N1138" i="7"/>
  <c r="M1138" i="7"/>
  <c r="L1138" i="7"/>
  <c r="K1138" i="7"/>
  <c r="J1138" i="7"/>
  <c r="I1138" i="7"/>
  <c r="H1138" i="7"/>
  <c r="G1138" i="7"/>
  <c r="F1138" i="7"/>
  <c r="E1138" i="7"/>
  <c r="D1138" i="7"/>
  <c r="C1138" i="7"/>
  <c r="B1138" i="7"/>
  <c r="A1138" i="7"/>
  <c r="CH1138" i="17" s="1"/>
  <c r="AD1137" i="7"/>
  <c r="AC1137" i="7"/>
  <c r="AB1137" i="7"/>
  <c r="AA1137" i="7"/>
  <c r="Z1137" i="7"/>
  <c r="Y1137" i="7"/>
  <c r="X1137" i="7"/>
  <c r="W1137" i="7"/>
  <c r="V1137" i="7"/>
  <c r="U1137" i="7"/>
  <c r="T1137" i="7"/>
  <c r="S1137" i="7"/>
  <c r="R1137" i="7"/>
  <c r="Q1137" i="7"/>
  <c r="P1137" i="7"/>
  <c r="O1137" i="7"/>
  <c r="N1137" i="7"/>
  <c r="M1137" i="7"/>
  <c r="L1137" i="7"/>
  <c r="K1137" i="7"/>
  <c r="J1137" i="7"/>
  <c r="I1137" i="7"/>
  <c r="H1137" i="7"/>
  <c r="G1137" i="7"/>
  <c r="F1137" i="7"/>
  <c r="E1137" i="7"/>
  <c r="D1137" i="7"/>
  <c r="C1137" i="7"/>
  <c r="B1137" i="7"/>
  <c r="A1137" i="7"/>
  <c r="CH1137" i="17" s="1"/>
  <c r="AD1136" i="7"/>
  <c r="AC1136" i="7"/>
  <c r="O1138" i="15" s="1"/>
  <c r="AB1136" i="7"/>
  <c r="AA1136" i="7"/>
  <c r="Z1136" i="7"/>
  <c r="Y1136" i="7"/>
  <c r="X1136" i="7"/>
  <c r="W1136" i="7"/>
  <c r="V1136" i="7"/>
  <c r="U1136" i="7"/>
  <c r="T1136" i="7"/>
  <c r="S1136" i="7"/>
  <c r="R1136" i="7"/>
  <c r="Q1136" i="7"/>
  <c r="P1136" i="7"/>
  <c r="O1136" i="7"/>
  <c r="N1136" i="7"/>
  <c r="M1136" i="7"/>
  <c r="L1136" i="7"/>
  <c r="K1136" i="7"/>
  <c r="J1136" i="7"/>
  <c r="I1136" i="7"/>
  <c r="H1136" i="7"/>
  <c r="G1136" i="7"/>
  <c r="F1136" i="7"/>
  <c r="E1136" i="7"/>
  <c r="D1136" i="7"/>
  <c r="C1136" i="7"/>
  <c r="B1136" i="7"/>
  <c r="A1136" i="7"/>
  <c r="CH1136" i="17" s="1"/>
  <c r="AD1135" i="7"/>
  <c r="AC1135" i="7"/>
  <c r="AB1135" i="7"/>
  <c r="AA1135" i="7"/>
  <c r="Z1135" i="7"/>
  <c r="Y1135" i="7"/>
  <c r="X1135" i="7"/>
  <c r="W1135" i="7"/>
  <c r="V1135" i="7"/>
  <c r="U1135" i="7"/>
  <c r="T1135" i="7"/>
  <c r="S1135" i="7"/>
  <c r="R1135" i="7"/>
  <c r="Q1135" i="7"/>
  <c r="P1135" i="7"/>
  <c r="O1135" i="7"/>
  <c r="N1135" i="7"/>
  <c r="M1135" i="7"/>
  <c r="L1135" i="7"/>
  <c r="K1135" i="7"/>
  <c r="J1135" i="7"/>
  <c r="I1135" i="7"/>
  <c r="H1135" i="7"/>
  <c r="G1135" i="7"/>
  <c r="F1135" i="7"/>
  <c r="E1135" i="7"/>
  <c r="D1135" i="7"/>
  <c r="C1135" i="7"/>
  <c r="B1135" i="7"/>
  <c r="A1135" i="7"/>
  <c r="CH1135" i="17" s="1"/>
  <c r="AD1134" i="7"/>
  <c r="AC1134" i="7"/>
  <c r="AB1134" i="7"/>
  <c r="AA1134" i="7"/>
  <c r="Z1134" i="7"/>
  <c r="Y1134" i="7"/>
  <c r="X1134" i="7"/>
  <c r="W1134" i="7"/>
  <c r="V1134" i="7"/>
  <c r="U1134" i="7"/>
  <c r="T1134" i="7"/>
  <c r="S1134" i="7"/>
  <c r="R1134" i="7"/>
  <c r="Q1134" i="7"/>
  <c r="P1134" i="7"/>
  <c r="O1134" i="7"/>
  <c r="N1134" i="7"/>
  <c r="M1134" i="7"/>
  <c r="L1134" i="7"/>
  <c r="K1134" i="7"/>
  <c r="J1134" i="7"/>
  <c r="I1134" i="7"/>
  <c r="H1134" i="7"/>
  <c r="G1134" i="7"/>
  <c r="F1134" i="7"/>
  <c r="E1134" i="7"/>
  <c r="D1134" i="7"/>
  <c r="C1134" i="7"/>
  <c r="B1134" i="7"/>
  <c r="A1134" i="7"/>
  <c r="CH1134" i="17" s="1"/>
  <c r="AD1133" i="7"/>
  <c r="AC1133" i="7"/>
  <c r="AB1133" i="7"/>
  <c r="AA1133" i="7"/>
  <c r="Z1133" i="7"/>
  <c r="Y1133" i="7"/>
  <c r="X1133" i="7"/>
  <c r="W1133" i="7"/>
  <c r="V1133" i="7"/>
  <c r="U1133" i="7"/>
  <c r="T1133" i="7"/>
  <c r="S1133" i="7"/>
  <c r="R1133" i="7"/>
  <c r="Q1133" i="7"/>
  <c r="P1133" i="7"/>
  <c r="O1133" i="7"/>
  <c r="N1133" i="7"/>
  <c r="M1133" i="7"/>
  <c r="L1133" i="7"/>
  <c r="K1133" i="7"/>
  <c r="J1133" i="7"/>
  <c r="I1133" i="7"/>
  <c r="H1133" i="7"/>
  <c r="G1133" i="7"/>
  <c r="F1133" i="7"/>
  <c r="E1133" i="7"/>
  <c r="D1133" i="7"/>
  <c r="C1133" i="7"/>
  <c r="B1133" i="7"/>
  <c r="A1133" i="7"/>
  <c r="CH1133" i="17" s="1"/>
  <c r="AD1132" i="7"/>
  <c r="AC1132" i="7"/>
  <c r="AB1132" i="7"/>
  <c r="AA1132" i="7"/>
  <c r="Z1132" i="7"/>
  <c r="Y1132" i="7"/>
  <c r="X1132" i="7"/>
  <c r="W1132" i="7"/>
  <c r="V1132" i="7"/>
  <c r="U1132" i="7"/>
  <c r="T1132" i="7"/>
  <c r="S1132" i="7"/>
  <c r="R1132" i="7"/>
  <c r="Q1132" i="7"/>
  <c r="P1132" i="7"/>
  <c r="O1132" i="7"/>
  <c r="N1132" i="7"/>
  <c r="M1132" i="7"/>
  <c r="L1132" i="7"/>
  <c r="K1132" i="7"/>
  <c r="J1132" i="7"/>
  <c r="I1132" i="7"/>
  <c r="H1132" i="7"/>
  <c r="G1132" i="7"/>
  <c r="F1132" i="7"/>
  <c r="E1132" i="7"/>
  <c r="D1132" i="7"/>
  <c r="C1132" i="7"/>
  <c r="B1132" i="7"/>
  <c r="A1132" i="7"/>
  <c r="CH1132" i="17" s="1"/>
  <c r="AD1131" i="7"/>
  <c r="AC1131" i="7"/>
  <c r="AB1131" i="7"/>
  <c r="AA1131" i="7"/>
  <c r="Z1131" i="7"/>
  <c r="Y1131" i="7"/>
  <c r="X1131" i="7"/>
  <c r="W1131" i="7"/>
  <c r="V1131" i="7"/>
  <c r="U1131" i="7"/>
  <c r="T1131" i="7"/>
  <c r="S1131" i="7"/>
  <c r="R1131" i="7"/>
  <c r="Q1131" i="7"/>
  <c r="P1131" i="7"/>
  <c r="O1131" i="7"/>
  <c r="N1131" i="7"/>
  <c r="M1131" i="7"/>
  <c r="L1131" i="7"/>
  <c r="K1131" i="7"/>
  <c r="J1131" i="7"/>
  <c r="I1131" i="7"/>
  <c r="H1131" i="7"/>
  <c r="G1131" i="7"/>
  <c r="F1131" i="7"/>
  <c r="E1131" i="7"/>
  <c r="D1131" i="7"/>
  <c r="C1131" i="7"/>
  <c r="B1131" i="7"/>
  <c r="A1131" i="7"/>
  <c r="CH1131" i="17" s="1"/>
  <c r="AD1130" i="7"/>
  <c r="AC1130" i="7"/>
  <c r="AB1130" i="7"/>
  <c r="AA1130" i="7"/>
  <c r="Z1130" i="7"/>
  <c r="Y1130" i="7"/>
  <c r="X1130" i="7"/>
  <c r="W1130" i="7"/>
  <c r="V1130" i="7"/>
  <c r="U1130" i="7"/>
  <c r="T1130" i="7"/>
  <c r="S1130" i="7"/>
  <c r="R1130" i="7"/>
  <c r="Q1130" i="7"/>
  <c r="P1130" i="7"/>
  <c r="O1130" i="7"/>
  <c r="N1130" i="7"/>
  <c r="M1130" i="7"/>
  <c r="L1130" i="7"/>
  <c r="K1130" i="7"/>
  <c r="J1130" i="7"/>
  <c r="I1130" i="7"/>
  <c r="H1130" i="7"/>
  <c r="G1130" i="7"/>
  <c r="F1130" i="7"/>
  <c r="E1130" i="7"/>
  <c r="D1130" i="7"/>
  <c r="C1130" i="7"/>
  <c r="B1130" i="7"/>
  <c r="A1130" i="7"/>
  <c r="CH1130" i="17" s="1"/>
  <c r="AD1129" i="7"/>
  <c r="AC1129" i="7"/>
  <c r="AB1129" i="7"/>
  <c r="AA1129" i="7"/>
  <c r="Z1129" i="7"/>
  <c r="Y1129" i="7"/>
  <c r="X1129" i="7"/>
  <c r="W1129" i="7"/>
  <c r="V1129" i="7"/>
  <c r="U1129" i="7"/>
  <c r="T1129" i="7"/>
  <c r="S1129" i="7"/>
  <c r="R1129" i="7"/>
  <c r="Q1129" i="7"/>
  <c r="P1129" i="7"/>
  <c r="O1129" i="7"/>
  <c r="N1129" i="7"/>
  <c r="M1129" i="7"/>
  <c r="L1129" i="7"/>
  <c r="K1129" i="7"/>
  <c r="J1129" i="7"/>
  <c r="I1129" i="7"/>
  <c r="H1129" i="7"/>
  <c r="G1129" i="7"/>
  <c r="F1129" i="7"/>
  <c r="E1129" i="7"/>
  <c r="D1129" i="7"/>
  <c r="C1129" i="7"/>
  <c r="B1129" i="7"/>
  <c r="A1129" i="7"/>
  <c r="CH1129" i="17" s="1"/>
  <c r="AD1128" i="7"/>
  <c r="AC1128" i="7"/>
  <c r="AB1128" i="7"/>
  <c r="AA1128" i="7"/>
  <c r="Z1128" i="7"/>
  <c r="Y1128" i="7"/>
  <c r="X1128" i="7"/>
  <c r="W1128" i="7"/>
  <c r="V1128" i="7"/>
  <c r="U1128" i="7"/>
  <c r="T1128" i="7"/>
  <c r="S1128" i="7"/>
  <c r="R1128" i="7"/>
  <c r="Q1128" i="7"/>
  <c r="P1128" i="7"/>
  <c r="O1128" i="7"/>
  <c r="N1128" i="7"/>
  <c r="M1128" i="7"/>
  <c r="L1128" i="7"/>
  <c r="K1128" i="7"/>
  <c r="J1128" i="7"/>
  <c r="I1128" i="7"/>
  <c r="H1128" i="7"/>
  <c r="G1128" i="7"/>
  <c r="F1128" i="7"/>
  <c r="E1128" i="7"/>
  <c r="D1128" i="7"/>
  <c r="C1128" i="7"/>
  <c r="B1128" i="7"/>
  <c r="A1128" i="7"/>
  <c r="CH1128" i="17" s="1"/>
  <c r="AD1127" i="7"/>
  <c r="AC1127" i="7"/>
  <c r="AB1127" i="7"/>
  <c r="AA1127" i="7"/>
  <c r="Z1127" i="7"/>
  <c r="Y1127" i="7"/>
  <c r="X1127" i="7"/>
  <c r="W1127" i="7"/>
  <c r="V1127" i="7"/>
  <c r="U1127" i="7"/>
  <c r="T1127" i="7"/>
  <c r="S1127" i="7"/>
  <c r="R1127" i="7"/>
  <c r="Q1127" i="7"/>
  <c r="P1127" i="7"/>
  <c r="O1127" i="7"/>
  <c r="N1127" i="7"/>
  <c r="M1127" i="7"/>
  <c r="L1127" i="7"/>
  <c r="K1127" i="7"/>
  <c r="J1127" i="7"/>
  <c r="I1127" i="7"/>
  <c r="H1127" i="7"/>
  <c r="G1127" i="7"/>
  <c r="F1127" i="7"/>
  <c r="E1127" i="7"/>
  <c r="D1127" i="7"/>
  <c r="C1127" i="7"/>
  <c r="B1127" i="7"/>
  <c r="A1127" i="7"/>
  <c r="CH1127" i="17" s="1"/>
  <c r="AD1126" i="7"/>
  <c r="AC1126" i="7"/>
  <c r="AB1126" i="7"/>
  <c r="AA1126" i="7"/>
  <c r="Z1126" i="7"/>
  <c r="Y1126" i="7"/>
  <c r="X1126" i="7"/>
  <c r="W1126" i="7"/>
  <c r="V1126" i="7"/>
  <c r="U1126" i="7"/>
  <c r="T1126" i="7"/>
  <c r="S1126" i="7"/>
  <c r="R1126" i="7"/>
  <c r="Q1126" i="7"/>
  <c r="P1126" i="7"/>
  <c r="O1126" i="7"/>
  <c r="N1126" i="7"/>
  <c r="M1126" i="7"/>
  <c r="L1126" i="7"/>
  <c r="K1126" i="7"/>
  <c r="J1126" i="7"/>
  <c r="I1126" i="7"/>
  <c r="H1126" i="7"/>
  <c r="G1126" i="7"/>
  <c r="F1126" i="7"/>
  <c r="E1126" i="7"/>
  <c r="D1126" i="7"/>
  <c r="C1126" i="7"/>
  <c r="B1126" i="7"/>
  <c r="A1126" i="7"/>
  <c r="CH1126" i="17" s="1"/>
  <c r="AD1125" i="7"/>
  <c r="AC1125" i="7"/>
  <c r="AB1125" i="7"/>
  <c r="AA1125" i="7"/>
  <c r="Z1125" i="7"/>
  <c r="Y1125" i="7"/>
  <c r="X1125" i="7"/>
  <c r="W1125" i="7"/>
  <c r="V1125" i="7"/>
  <c r="U1125" i="7"/>
  <c r="T1125" i="7"/>
  <c r="S1125" i="7"/>
  <c r="R1125" i="7"/>
  <c r="Q1125" i="7"/>
  <c r="P1125" i="7"/>
  <c r="O1125" i="7"/>
  <c r="N1125" i="7"/>
  <c r="M1125" i="7"/>
  <c r="L1125" i="7"/>
  <c r="K1125" i="7"/>
  <c r="J1125" i="7"/>
  <c r="I1125" i="7"/>
  <c r="H1125" i="7"/>
  <c r="G1125" i="7"/>
  <c r="F1125" i="7"/>
  <c r="E1125" i="7"/>
  <c r="D1125" i="7"/>
  <c r="C1125" i="7"/>
  <c r="B1125" i="7"/>
  <c r="A1125" i="7"/>
  <c r="CH1125" i="17" s="1"/>
  <c r="AD1124" i="7"/>
  <c r="AC1124" i="7"/>
  <c r="AB1124" i="7"/>
  <c r="AA1124" i="7"/>
  <c r="Z1124" i="7"/>
  <c r="Y1124" i="7"/>
  <c r="X1124" i="7"/>
  <c r="W1124" i="7"/>
  <c r="V1124" i="7"/>
  <c r="U1124" i="7"/>
  <c r="T1124" i="7"/>
  <c r="S1124" i="7"/>
  <c r="R1124" i="7"/>
  <c r="Q1124" i="7"/>
  <c r="P1124" i="7"/>
  <c r="O1124" i="7"/>
  <c r="N1124" i="7"/>
  <c r="M1124" i="7"/>
  <c r="L1124" i="7"/>
  <c r="K1124" i="7"/>
  <c r="J1124" i="7"/>
  <c r="I1124" i="7"/>
  <c r="H1124" i="7"/>
  <c r="G1124" i="7"/>
  <c r="F1124" i="7"/>
  <c r="E1124" i="7"/>
  <c r="D1124" i="7"/>
  <c r="C1124" i="7"/>
  <c r="B1124" i="7"/>
  <c r="A1124" i="7"/>
  <c r="CH1124" i="17" s="1"/>
  <c r="AD1123" i="7"/>
  <c r="AC1123" i="7"/>
  <c r="AB1123" i="7"/>
  <c r="AA1123" i="7"/>
  <c r="Z1123" i="7"/>
  <c r="Y1123" i="7"/>
  <c r="X1123" i="7"/>
  <c r="W1123" i="7"/>
  <c r="V1123" i="7"/>
  <c r="U1123" i="7"/>
  <c r="T1123" i="7"/>
  <c r="S1123" i="7"/>
  <c r="R1123" i="7"/>
  <c r="Q1123" i="7"/>
  <c r="P1123" i="7"/>
  <c r="O1123" i="7"/>
  <c r="N1123" i="7"/>
  <c r="M1123" i="7"/>
  <c r="L1123" i="7"/>
  <c r="K1123" i="7"/>
  <c r="J1123" i="7"/>
  <c r="I1123" i="7"/>
  <c r="H1123" i="7"/>
  <c r="G1123" i="7"/>
  <c r="F1123" i="7"/>
  <c r="E1123" i="7"/>
  <c r="D1123" i="7"/>
  <c r="C1123" i="7"/>
  <c r="B1123" i="7"/>
  <c r="A1123" i="7"/>
  <c r="CH1123" i="17" s="1"/>
  <c r="AD1122" i="7"/>
  <c r="AC1122" i="7"/>
  <c r="AB1122" i="7"/>
  <c r="AA1122" i="7"/>
  <c r="Z1122" i="7"/>
  <c r="Y1122" i="7"/>
  <c r="X1122" i="7"/>
  <c r="W1122" i="7"/>
  <c r="V1122" i="7"/>
  <c r="U1122" i="7"/>
  <c r="T1122" i="7"/>
  <c r="S1122" i="7"/>
  <c r="R1122" i="7"/>
  <c r="Q1122" i="7"/>
  <c r="P1122" i="7"/>
  <c r="O1122" i="7"/>
  <c r="N1122" i="7"/>
  <c r="M1122" i="7"/>
  <c r="L1122" i="7"/>
  <c r="K1122" i="7"/>
  <c r="J1122" i="7"/>
  <c r="I1122" i="7"/>
  <c r="H1122" i="7"/>
  <c r="G1122" i="7"/>
  <c r="F1122" i="7"/>
  <c r="E1122" i="7"/>
  <c r="D1122" i="7"/>
  <c r="C1122" i="7"/>
  <c r="B1122" i="7"/>
  <c r="A1122" i="7"/>
  <c r="CH1122" i="17" s="1"/>
  <c r="AD1121" i="7"/>
  <c r="AC1121" i="7"/>
  <c r="AB1121" i="7"/>
  <c r="AA1121" i="7"/>
  <c r="Z1121" i="7"/>
  <c r="Y1121" i="7"/>
  <c r="X1121" i="7"/>
  <c r="W1121" i="7"/>
  <c r="V1121" i="7"/>
  <c r="U1121" i="7"/>
  <c r="T1121" i="7"/>
  <c r="S1121" i="7"/>
  <c r="R1121" i="7"/>
  <c r="Q1121" i="7"/>
  <c r="P1121" i="7"/>
  <c r="O1121" i="7"/>
  <c r="N1121" i="7"/>
  <c r="M1121" i="7"/>
  <c r="L1121" i="7"/>
  <c r="K1121" i="7"/>
  <c r="J1121" i="7"/>
  <c r="I1121" i="7"/>
  <c r="H1121" i="7"/>
  <c r="G1121" i="7"/>
  <c r="F1121" i="7"/>
  <c r="E1121" i="7"/>
  <c r="D1121" i="7"/>
  <c r="C1121" i="7"/>
  <c r="B1121" i="7"/>
  <c r="A1121" i="7"/>
  <c r="CH1121" i="17" s="1"/>
  <c r="AD1120" i="7"/>
  <c r="AC1120" i="7"/>
  <c r="AB1120" i="7"/>
  <c r="AA1120" i="7"/>
  <c r="Z1120" i="7"/>
  <c r="Y1120" i="7"/>
  <c r="X1120" i="7"/>
  <c r="W1120" i="7"/>
  <c r="V1120" i="7"/>
  <c r="U1120" i="7"/>
  <c r="T1120" i="7"/>
  <c r="S1120" i="7"/>
  <c r="R1120" i="7"/>
  <c r="Q1120" i="7"/>
  <c r="P1120" i="7"/>
  <c r="O1120" i="7"/>
  <c r="N1120" i="7"/>
  <c r="M1120" i="7"/>
  <c r="L1120" i="7"/>
  <c r="K1120" i="7"/>
  <c r="J1120" i="7"/>
  <c r="I1120" i="7"/>
  <c r="H1120" i="7"/>
  <c r="G1120" i="7"/>
  <c r="F1120" i="7"/>
  <c r="E1120" i="7"/>
  <c r="D1120" i="7"/>
  <c r="C1120" i="7"/>
  <c r="B1120" i="7"/>
  <c r="A1120" i="7"/>
  <c r="CH1120" i="17" s="1"/>
  <c r="AD1119" i="7"/>
  <c r="AC1119" i="7"/>
  <c r="AB1119" i="7"/>
  <c r="AA1119" i="7"/>
  <c r="Z1119" i="7"/>
  <c r="Y1119" i="7"/>
  <c r="X1119" i="7"/>
  <c r="W1119" i="7"/>
  <c r="V1119" i="7"/>
  <c r="U1119" i="7"/>
  <c r="T1119" i="7"/>
  <c r="S1119" i="7"/>
  <c r="R1119" i="7"/>
  <c r="Q1119" i="7"/>
  <c r="P1119" i="7"/>
  <c r="O1119" i="7"/>
  <c r="N1119" i="7"/>
  <c r="M1119" i="7"/>
  <c r="L1119" i="7"/>
  <c r="K1119" i="7"/>
  <c r="J1119" i="7"/>
  <c r="I1119" i="7"/>
  <c r="H1119" i="7"/>
  <c r="G1119" i="7"/>
  <c r="F1119" i="7"/>
  <c r="E1119" i="7"/>
  <c r="D1119" i="7"/>
  <c r="C1119" i="7"/>
  <c r="B1119" i="7"/>
  <c r="A1119" i="7"/>
  <c r="CH1119" i="17" s="1"/>
  <c r="AD1118" i="7"/>
  <c r="AC1118" i="7"/>
  <c r="AB1118" i="7"/>
  <c r="AA1118" i="7"/>
  <c r="Z1118" i="7"/>
  <c r="Y1118" i="7"/>
  <c r="X1118" i="7"/>
  <c r="W1118" i="7"/>
  <c r="V1118" i="7"/>
  <c r="U1118" i="7"/>
  <c r="T1118" i="7"/>
  <c r="S1118" i="7"/>
  <c r="R1118" i="7"/>
  <c r="Q1118" i="7"/>
  <c r="P1118" i="7"/>
  <c r="O1118" i="7"/>
  <c r="N1118" i="7"/>
  <c r="M1118" i="7"/>
  <c r="L1118" i="7"/>
  <c r="K1118" i="7"/>
  <c r="J1118" i="7"/>
  <c r="I1118" i="7"/>
  <c r="H1118" i="7"/>
  <c r="G1118" i="7"/>
  <c r="F1118" i="7"/>
  <c r="E1118" i="7"/>
  <c r="D1118" i="7"/>
  <c r="C1118" i="7"/>
  <c r="B1118" i="7"/>
  <c r="A1118" i="7"/>
  <c r="CH1118" i="17" s="1"/>
  <c r="AD1117" i="7"/>
  <c r="AC1117" i="7"/>
  <c r="AB1117" i="7"/>
  <c r="AA1117" i="7"/>
  <c r="Z1117" i="7"/>
  <c r="Y1117" i="7"/>
  <c r="X1117" i="7"/>
  <c r="W1117" i="7"/>
  <c r="V1117" i="7"/>
  <c r="U1117" i="7"/>
  <c r="T1117" i="7"/>
  <c r="S1117" i="7"/>
  <c r="R1117" i="7"/>
  <c r="Q1117" i="7"/>
  <c r="P1117" i="7"/>
  <c r="O1117" i="7"/>
  <c r="N1117" i="7"/>
  <c r="M1117" i="7"/>
  <c r="L1117" i="7"/>
  <c r="K1117" i="7"/>
  <c r="J1117" i="7"/>
  <c r="I1117" i="7"/>
  <c r="H1117" i="7"/>
  <c r="G1117" i="7"/>
  <c r="F1117" i="7"/>
  <c r="E1117" i="7"/>
  <c r="D1117" i="7"/>
  <c r="C1117" i="7"/>
  <c r="B1117" i="7"/>
  <c r="A1117" i="7"/>
  <c r="CH1117" i="17" s="1"/>
  <c r="AD1116" i="7"/>
  <c r="AC1116" i="7"/>
  <c r="AB1116" i="7"/>
  <c r="AA1116" i="7"/>
  <c r="Z1116" i="7"/>
  <c r="Y1116" i="7"/>
  <c r="X1116" i="7"/>
  <c r="W1116" i="7"/>
  <c r="V1116" i="7"/>
  <c r="U1116" i="7"/>
  <c r="T1116" i="7"/>
  <c r="S1116" i="7"/>
  <c r="R1116" i="7"/>
  <c r="Q1116" i="7"/>
  <c r="P1116" i="7"/>
  <c r="O1116" i="7"/>
  <c r="N1116" i="7"/>
  <c r="M1116" i="7"/>
  <c r="L1116" i="7"/>
  <c r="K1116" i="7"/>
  <c r="J1116" i="7"/>
  <c r="I1116" i="7"/>
  <c r="H1116" i="7"/>
  <c r="G1116" i="7"/>
  <c r="F1116" i="7"/>
  <c r="E1116" i="7"/>
  <c r="D1116" i="7"/>
  <c r="C1116" i="7"/>
  <c r="B1116" i="7"/>
  <c r="A1116" i="7"/>
  <c r="CH1116" i="17" s="1"/>
  <c r="AD1115" i="7"/>
  <c r="AC1115" i="7"/>
  <c r="AB1115" i="7"/>
  <c r="AA1115" i="7"/>
  <c r="Z1115" i="7"/>
  <c r="Y1115" i="7"/>
  <c r="X1115" i="7"/>
  <c r="W1115" i="7"/>
  <c r="V1115" i="7"/>
  <c r="U1115" i="7"/>
  <c r="T1115" i="7"/>
  <c r="S1115" i="7"/>
  <c r="R1115" i="7"/>
  <c r="Q1115" i="7"/>
  <c r="P1115" i="7"/>
  <c r="O1115" i="7"/>
  <c r="N1115" i="7"/>
  <c r="M1115" i="7"/>
  <c r="L1115" i="7"/>
  <c r="K1115" i="7"/>
  <c r="J1115" i="7"/>
  <c r="I1115" i="7"/>
  <c r="H1115" i="7"/>
  <c r="G1115" i="7"/>
  <c r="F1115" i="7"/>
  <c r="E1115" i="7"/>
  <c r="D1115" i="7"/>
  <c r="C1115" i="7"/>
  <c r="B1115" i="7"/>
  <c r="A1115" i="7"/>
  <c r="CH1115" i="17" s="1"/>
  <c r="AD1114" i="7"/>
  <c r="AC1114" i="7"/>
  <c r="AB1114" i="7"/>
  <c r="AA1114" i="7"/>
  <c r="Z1114" i="7"/>
  <c r="Y1114" i="7"/>
  <c r="X1114" i="7"/>
  <c r="W1114" i="7"/>
  <c r="V1114" i="7"/>
  <c r="U1114" i="7"/>
  <c r="T1114" i="7"/>
  <c r="S1114" i="7"/>
  <c r="R1114" i="7"/>
  <c r="Q1114" i="7"/>
  <c r="P1114" i="7"/>
  <c r="O1114" i="7"/>
  <c r="N1114" i="7"/>
  <c r="M1114" i="7"/>
  <c r="L1114" i="7"/>
  <c r="K1114" i="7"/>
  <c r="J1114" i="7"/>
  <c r="I1114" i="7"/>
  <c r="H1114" i="7"/>
  <c r="G1114" i="7"/>
  <c r="F1114" i="7"/>
  <c r="E1114" i="7"/>
  <c r="D1114" i="7"/>
  <c r="C1114" i="7"/>
  <c r="B1114" i="7"/>
  <c r="A1114" i="7"/>
  <c r="CH1114" i="17" s="1"/>
  <c r="AD1113" i="7"/>
  <c r="AC1113" i="7"/>
  <c r="AB1113" i="7"/>
  <c r="AA1113" i="7"/>
  <c r="Z1113" i="7"/>
  <c r="Y1113" i="7"/>
  <c r="X1113" i="7"/>
  <c r="W1113" i="7"/>
  <c r="V1113" i="7"/>
  <c r="U1113" i="7"/>
  <c r="T1113" i="7"/>
  <c r="S1113" i="7"/>
  <c r="R1113" i="7"/>
  <c r="Q1113" i="7"/>
  <c r="P1113" i="7"/>
  <c r="O1113" i="7"/>
  <c r="N1113" i="7"/>
  <c r="M1113" i="7"/>
  <c r="L1113" i="7"/>
  <c r="K1113" i="7"/>
  <c r="J1113" i="7"/>
  <c r="I1113" i="7"/>
  <c r="H1113" i="7"/>
  <c r="G1113" i="7"/>
  <c r="F1113" i="7"/>
  <c r="E1113" i="7"/>
  <c r="D1113" i="7"/>
  <c r="C1113" i="7"/>
  <c r="B1113" i="7"/>
  <c r="A1113" i="7"/>
  <c r="CH1113" i="17" s="1"/>
  <c r="AD1112" i="7"/>
  <c r="AC1112" i="7"/>
  <c r="AB1112" i="7"/>
  <c r="AA1112" i="7"/>
  <c r="Z1112" i="7"/>
  <c r="Y1112" i="7"/>
  <c r="X1112" i="7"/>
  <c r="W1112" i="7"/>
  <c r="V1112" i="7"/>
  <c r="U1112" i="7"/>
  <c r="T1112" i="7"/>
  <c r="S1112" i="7"/>
  <c r="R1112" i="7"/>
  <c r="Q1112" i="7"/>
  <c r="P1112" i="7"/>
  <c r="O1112" i="7"/>
  <c r="N1112" i="7"/>
  <c r="M1112" i="7"/>
  <c r="L1112" i="7"/>
  <c r="K1112" i="7"/>
  <c r="J1112" i="7"/>
  <c r="I1112" i="7"/>
  <c r="H1112" i="7"/>
  <c r="G1112" i="7"/>
  <c r="F1112" i="7"/>
  <c r="E1112" i="7"/>
  <c r="D1112" i="7"/>
  <c r="C1112" i="7"/>
  <c r="B1112" i="7"/>
  <c r="A1112" i="7"/>
  <c r="CH1112" i="17" s="1"/>
  <c r="AD1111" i="7"/>
  <c r="AC1111" i="7"/>
  <c r="AB1111" i="7"/>
  <c r="AA1111" i="7"/>
  <c r="Z1111" i="7"/>
  <c r="Y1111" i="7"/>
  <c r="X1111" i="7"/>
  <c r="W1111" i="7"/>
  <c r="V1111" i="7"/>
  <c r="U1111" i="7"/>
  <c r="T1111" i="7"/>
  <c r="S1111" i="7"/>
  <c r="R1111" i="7"/>
  <c r="Q1111" i="7"/>
  <c r="P1111" i="7"/>
  <c r="O1111" i="7"/>
  <c r="N1111" i="7"/>
  <c r="M1111" i="7"/>
  <c r="L1111" i="7"/>
  <c r="K1111" i="7"/>
  <c r="J1111" i="7"/>
  <c r="I1111" i="7"/>
  <c r="H1111" i="7"/>
  <c r="G1111" i="7"/>
  <c r="F1111" i="7"/>
  <c r="E1111" i="7"/>
  <c r="D1111" i="7"/>
  <c r="C1111" i="7"/>
  <c r="B1111" i="7"/>
  <c r="A1111" i="7"/>
  <c r="CH1111" i="17" s="1"/>
  <c r="AD1110" i="7"/>
  <c r="AC1110" i="7"/>
  <c r="AB1110" i="7"/>
  <c r="AA1110" i="7"/>
  <c r="Z1110" i="7"/>
  <c r="Y1110" i="7"/>
  <c r="X1110" i="7"/>
  <c r="W1110" i="7"/>
  <c r="V1110" i="7"/>
  <c r="U1110" i="7"/>
  <c r="T1110" i="7"/>
  <c r="S1110" i="7"/>
  <c r="R1110" i="7"/>
  <c r="Q1110" i="7"/>
  <c r="P1110" i="7"/>
  <c r="O1110" i="7"/>
  <c r="N1110" i="7"/>
  <c r="M1110" i="7"/>
  <c r="L1110" i="7"/>
  <c r="K1110" i="7"/>
  <c r="J1110" i="7"/>
  <c r="I1110" i="7"/>
  <c r="H1110" i="7"/>
  <c r="G1110" i="7"/>
  <c r="F1110" i="7"/>
  <c r="E1110" i="7"/>
  <c r="D1110" i="7"/>
  <c r="C1110" i="7"/>
  <c r="B1110" i="7"/>
  <c r="A1110" i="7"/>
  <c r="CH1110" i="17" s="1"/>
  <c r="AD1109" i="7"/>
  <c r="AC1109" i="7"/>
  <c r="AB1109" i="7"/>
  <c r="AA1109" i="7"/>
  <c r="Z1109" i="7"/>
  <c r="Y1109" i="7"/>
  <c r="X1109" i="7"/>
  <c r="W1109" i="7"/>
  <c r="V1109" i="7"/>
  <c r="U1109" i="7"/>
  <c r="T1109" i="7"/>
  <c r="S1109" i="7"/>
  <c r="R1109" i="7"/>
  <c r="Q1109" i="7"/>
  <c r="P1109" i="7"/>
  <c r="O1109" i="7"/>
  <c r="N1109" i="7"/>
  <c r="M1109" i="7"/>
  <c r="L1109" i="7"/>
  <c r="K1109" i="7"/>
  <c r="J1109" i="7"/>
  <c r="I1109" i="7"/>
  <c r="H1109" i="7"/>
  <c r="G1109" i="7"/>
  <c r="F1109" i="7"/>
  <c r="E1109" i="7"/>
  <c r="D1109" i="7"/>
  <c r="C1109" i="7"/>
  <c r="B1109" i="7"/>
  <c r="A1109" i="7"/>
  <c r="CH1109" i="17" s="1"/>
  <c r="AD1108" i="7"/>
  <c r="AC1108" i="7"/>
  <c r="AB1108" i="7"/>
  <c r="AA1108" i="7"/>
  <c r="Z1108" i="7"/>
  <c r="Y1108" i="7"/>
  <c r="X1108" i="7"/>
  <c r="W1108" i="7"/>
  <c r="V1108" i="7"/>
  <c r="U1108" i="7"/>
  <c r="T1108" i="7"/>
  <c r="S1108" i="7"/>
  <c r="R1108" i="7"/>
  <c r="Q1108" i="7"/>
  <c r="P1108" i="7"/>
  <c r="O1108" i="7"/>
  <c r="N1108" i="7"/>
  <c r="M1108" i="7"/>
  <c r="L1108" i="7"/>
  <c r="K1108" i="7"/>
  <c r="J1108" i="7"/>
  <c r="I1108" i="7"/>
  <c r="H1108" i="7"/>
  <c r="G1108" i="7"/>
  <c r="F1108" i="7"/>
  <c r="E1108" i="7"/>
  <c r="D1108" i="7"/>
  <c r="C1108" i="7"/>
  <c r="B1108" i="7"/>
  <c r="A1108" i="7"/>
  <c r="CH1108" i="17" s="1"/>
  <c r="AD1107" i="7"/>
  <c r="AC1107" i="7"/>
  <c r="AB1107" i="7"/>
  <c r="AA1107" i="7"/>
  <c r="Z1107" i="7"/>
  <c r="Y1107" i="7"/>
  <c r="X1107" i="7"/>
  <c r="W1107" i="7"/>
  <c r="V1107" i="7"/>
  <c r="U1107" i="7"/>
  <c r="T1107" i="7"/>
  <c r="S1107" i="7"/>
  <c r="R1107" i="7"/>
  <c r="Q1107" i="7"/>
  <c r="P1107" i="7"/>
  <c r="O1107" i="7"/>
  <c r="N1107" i="7"/>
  <c r="M1107" i="7"/>
  <c r="L1107" i="7"/>
  <c r="K1107" i="7"/>
  <c r="J1107" i="7"/>
  <c r="I1107" i="7"/>
  <c r="H1107" i="7"/>
  <c r="G1107" i="7"/>
  <c r="F1107" i="7"/>
  <c r="E1107" i="7"/>
  <c r="D1107" i="7"/>
  <c r="C1107" i="7"/>
  <c r="B1107" i="7"/>
  <c r="A1107" i="7"/>
  <c r="CH1107" i="17" s="1"/>
  <c r="AD1106" i="7"/>
  <c r="AC1106" i="7"/>
  <c r="AB1106" i="7"/>
  <c r="AA1106" i="7"/>
  <c r="Z1106" i="7"/>
  <c r="Y1106" i="7"/>
  <c r="X1106" i="7"/>
  <c r="W1106" i="7"/>
  <c r="V1106" i="7"/>
  <c r="U1106" i="7"/>
  <c r="T1106" i="7"/>
  <c r="S1106" i="7"/>
  <c r="R1106" i="7"/>
  <c r="Q1106" i="7"/>
  <c r="P1106" i="7"/>
  <c r="O1106" i="7"/>
  <c r="N1106" i="7"/>
  <c r="M1106" i="7"/>
  <c r="L1106" i="7"/>
  <c r="K1106" i="7"/>
  <c r="J1106" i="7"/>
  <c r="I1106" i="7"/>
  <c r="H1106" i="7"/>
  <c r="G1106" i="7"/>
  <c r="F1106" i="7"/>
  <c r="E1106" i="7"/>
  <c r="D1106" i="7"/>
  <c r="C1106" i="7"/>
  <c r="B1106" i="7"/>
  <c r="A1106" i="7"/>
  <c r="CH1106" i="17" s="1"/>
  <c r="AD1105" i="7"/>
  <c r="AC1105" i="7"/>
  <c r="AB1105" i="7"/>
  <c r="AA1105" i="7"/>
  <c r="Z1105" i="7"/>
  <c r="Y1105" i="7"/>
  <c r="X1105" i="7"/>
  <c r="W1105" i="7"/>
  <c r="V1105" i="7"/>
  <c r="U1105" i="7"/>
  <c r="T1105" i="7"/>
  <c r="S1105" i="7"/>
  <c r="R1105" i="7"/>
  <c r="Q1105" i="7"/>
  <c r="P1105" i="7"/>
  <c r="O1105" i="7"/>
  <c r="N1105" i="7"/>
  <c r="M1105" i="7"/>
  <c r="L1105" i="7"/>
  <c r="K1105" i="7"/>
  <c r="J1105" i="7"/>
  <c r="I1105" i="7"/>
  <c r="H1105" i="7"/>
  <c r="G1105" i="7"/>
  <c r="F1105" i="7"/>
  <c r="E1105" i="7"/>
  <c r="D1105" i="7"/>
  <c r="C1105" i="7"/>
  <c r="B1105" i="7"/>
  <c r="A1105" i="7"/>
  <c r="CH1105" i="17" s="1"/>
  <c r="AD1104" i="7"/>
  <c r="AC1104" i="7"/>
  <c r="AB1104" i="7"/>
  <c r="AA1104" i="7"/>
  <c r="Z1104" i="7"/>
  <c r="Y1104" i="7"/>
  <c r="X1104" i="7"/>
  <c r="W1104" i="7"/>
  <c r="V1104" i="7"/>
  <c r="U1104" i="7"/>
  <c r="T1104" i="7"/>
  <c r="S1104" i="7"/>
  <c r="R1104" i="7"/>
  <c r="Q1104" i="7"/>
  <c r="P1104" i="7"/>
  <c r="O1104" i="7"/>
  <c r="N1104" i="7"/>
  <c r="M1104" i="7"/>
  <c r="L1104" i="7"/>
  <c r="K1104" i="7"/>
  <c r="J1104" i="7"/>
  <c r="I1104" i="7"/>
  <c r="H1104" i="7"/>
  <c r="G1104" i="7"/>
  <c r="F1104" i="7"/>
  <c r="E1104" i="7"/>
  <c r="D1104" i="7"/>
  <c r="C1104" i="7"/>
  <c r="B1104" i="7"/>
  <c r="A1104" i="7"/>
  <c r="CH1104" i="17" s="1"/>
  <c r="AD1103" i="7"/>
  <c r="AC1103" i="7"/>
  <c r="AB1103" i="7"/>
  <c r="AA1103" i="7"/>
  <c r="Z1103" i="7"/>
  <c r="Y1103" i="7"/>
  <c r="X1103" i="7"/>
  <c r="W1103" i="7"/>
  <c r="V1103" i="7"/>
  <c r="U1103" i="7"/>
  <c r="T1103" i="7"/>
  <c r="S1103" i="7"/>
  <c r="R1103" i="7"/>
  <c r="Q1103" i="7"/>
  <c r="P1103" i="7"/>
  <c r="O1103" i="7"/>
  <c r="N1103" i="7"/>
  <c r="M1103" i="7"/>
  <c r="L1103" i="7"/>
  <c r="K1103" i="7"/>
  <c r="J1103" i="7"/>
  <c r="I1103" i="7"/>
  <c r="H1103" i="7"/>
  <c r="G1103" i="7"/>
  <c r="F1103" i="7"/>
  <c r="E1103" i="7"/>
  <c r="D1103" i="7"/>
  <c r="C1103" i="7"/>
  <c r="B1103" i="7"/>
  <c r="A1103" i="7"/>
  <c r="CH1103" i="17" s="1"/>
  <c r="AD1102" i="7"/>
  <c r="AC1102" i="7"/>
  <c r="AB1102" i="7"/>
  <c r="AA1102" i="7"/>
  <c r="Z1102" i="7"/>
  <c r="Y1102" i="7"/>
  <c r="X1102" i="7"/>
  <c r="W1102" i="7"/>
  <c r="V1102" i="7"/>
  <c r="U1102" i="7"/>
  <c r="T1102" i="7"/>
  <c r="S1102" i="7"/>
  <c r="R1102" i="7"/>
  <c r="Q1102" i="7"/>
  <c r="P1102" i="7"/>
  <c r="O1102" i="7"/>
  <c r="N1102" i="7"/>
  <c r="M1102" i="7"/>
  <c r="L1102" i="7"/>
  <c r="K1102" i="7"/>
  <c r="J1102" i="7"/>
  <c r="I1102" i="7"/>
  <c r="H1102" i="7"/>
  <c r="G1102" i="7"/>
  <c r="F1102" i="7"/>
  <c r="E1102" i="7"/>
  <c r="D1102" i="7"/>
  <c r="C1102" i="7"/>
  <c r="B1102" i="7"/>
  <c r="A1102" i="7"/>
  <c r="CH1102" i="17" s="1"/>
  <c r="AD1101" i="7"/>
  <c r="AC1101" i="7"/>
  <c r="AB1101" i="7"/>
  <c r="AA1101" i="7"/>
  <c r="Z1101" i="7"/>
  <c r="Y1101" i="7"/>
  <c r="X1101" i="7"/>
  <c r="W1101" i="7"/>
  <c r="V1101" i="7"/>
  <c r="U1101" i="7"/>
  <c r="T1101" i="7"/>
  <c r="S1101" i="7"/>
  <c r="R1101" i="7"/>
  <c r="Q1101" i="7"/>
  <c r="P1101" i="7"/>
  <c r="O1101" i="7"/>
  <c r="N1101" i="7"/>
  <c r="M1101" i="7"/>
  <c r="L1101" i="7"/>
  <c r="K1101" i="7"/>
  <c r="J1101" i="7"/>
  <c r="I1101" i="7"/>
  <c r="H1101" i="7"/>
  <c r="G1101" i="7"/>
  <c r="F1101" i="7"/>
  <c r="E1101" i="7"/>
  <c r="D1101" i="7"/>
  <c r="C1101" i="7"/>
  <c r="B1101" i="7"/>
  <c r="A1101" i="7"/>
  <c r="CH1101" i="17" s="1"/>
  <c r="AD1100" i="7"/>
  <c r="AC1100" i="7"/>
  <c r="AB1100" i="7"/>
  <c r="AA1100" i="7"/>
  <c r="Z1100" i="7"/>
  <c r="Y1100" i="7"/>
  <c r="X1100" i="7"/>
  <c r="W1100" i="7"/>
  <c r="V1100" i="7"/>
  <c r="U1100" i="7"/>
  <c r="T1100" i="7"/>
  <c r="S1100" i="7"/>
  <c r="R1100" i="7"/>
  <c r="Q1100" i="7"/>
  <c r="P1100" i="7"/>
  <c r="O1100" i="7"/>
  <c r="N1100" i="7"/>
  <c r="M1100" i="7"/>
  <c r="L1100" i="7"/>
  <c r="K1100" i="7"/>
  <c r="J1100" i="7"/>
  <c r="I1100" i="7"/>
  <c r="H1100" i="7"/>
  <c r="G1100" i="7"/>
  <c r="F1100" i="7"/>
  <c r="E1100" i="7"/>
  <c r="D1100" i="7"/>
  <c r="C1100" i="7"/>
  <c r="B1100" i="7"/>
  <c r="A1100" i="7"/>
  <c r="CH1100" i="17" s="1"/>
  <c r="AD1099" i="7"/>
  <c r="AC1099" i="7"/>
  <c r="AB1099" i="7"/>
  <c r="AA1099" i="7"/>
  <c r="Z1099" i="7"/>
  <c r="Y1099" i="7"/>
  <c r="X1099" i="7"/>
  <c r="W1099" i="7"/>
  <c r="V1099" i="7"/>
  <c r="U1099" i="7"/>
  <c r="T1099" i="7"/>
  <c r="S1099" i="7"/>
  <c r="R1099" i="7"/>
  <c r="Q1099" i="7"/>
  <c r="P1099" i="7"/>
  <c r="O1099" i="7"/>
  <c r="N1099" i="7"/>
  <c r="M1099" i="7"/>
  <c r="L1099" i="7"/>
  <c r="K1099" i="7"/>
  <c r="J1099" i="7"/>
  <c r="I1099" i="7"/>
  <c r="H1099" i="7"/>
  <c r="G1099" i="7"/>
  <c r="F1099" i="7"/>
  <c r="E1099" i="7"/>
  <c r="D1099" i="7"/>
  <c r="C1099" i="7"/>
  <c r="B1099" i="7"/>
  <c r="A1099" i="7"/>
  <c r="CH1099" i="17" s="1"/>
  <c r="AD1098" i="7"/>
  <c r="AC1098" i="7"/>
  <c r="AB1098" i="7"/>
  <c r="AA1098" i="7"/>
  <c r="Z1098" i="7"/>
  <c r="Y1098" i="7"/>
  <c r="X1098" i="7"/>
  <c r="W1098" i="7"/>
  <c r="V1098" i="7"/>
  <c r="U1098" i="7"/>
  <c r="T1098" i="7"/>
  <c r="S1098" i="7"/>
  <c r="R1098" i="7"/>
  <c r="Q1098" i="7"/>
  <c r="P1098" i="7"/>
  <c r="O1098" i="7"/>
  <c r="N1098" i="7"/>
  <c r="M1098" i="7"/>
  <c r="L1098" i="7"/>
  <c r="K1098" i="7"/>
  <c r="J1098" i="7"/>
  <c r="I1098" i="7"/>
  <c r="H1098" i="7"/>
  <c r="G1098" i="7"/>
  <c r="F1098" i="7"/>
  <c r="E1098" i="7"/>
  <c r="D1098" i="7"/>
  <c r="C1098" i="7"/>
  <c r="B1098" i="7"/>
  <c r="A1098" i="7"/>
  <c r="CH1098" i="17" s="1"/>
  <c r="AD1097" i="7"/>
  <c r="AC1097" i="7"/>
  <c r="AB1097" i="7"/>
  <c r="AA1097" i="7"/>
  <c r="Z1097" i="7"/>
  <c r="Y1097" i="7"/>
  <c r="X1097" i="7"/>
  <c r="W1097" i="7"/>
  <c r="V1097" i="7"/>
  <c r="U1097" i="7"/>
  <c r="T1097" i="7"/>
  <c r="S1097" i="7"/>
  <c r="R1097" i="7"/>
  <c r="Q1097" i="7"/>
  <c r="P1097" i="7"/>
  <c r="O1097" i="7"/>
  <c r="N1097" i="7"/>
  <c r="M1097" i="7"/>
  <c r="L1097" i="7"/>
  <c r="K1097" i="7"/>
  <c r="J1097" i="7"/>
  <c r="I1097" i="7"/>
  <c r="H1097" i="7"/>
  <c r="G1097" i="7"/>
  <c r="F1097" i="7"/>
  <c r="E1097" i="7"/>
  <c r="D1097" i="7"/>
  <c r="C1097" i="7"/>
  <c r="B1097" i="7"/>
  <c r="A1097" i="7"/>
  <c r="CH1097" i="17" s="1"/>
  <c r="AD1096" i="7"/>
  <c r="AC1096" i="7"/>
  <c r="AB1096" i="7"/>
  <c r="AA1096" i="7"/>
  <c r="Z1096" i="7"/>
  <c r="Y1096" i="7"/>
  <c r="X1096" i="7"/>
  <c r="W1096" i="7"/>
  <c r="V1096" i="7"/>
  <c r="U1096" i="7"/>
  <c r="T1096" i="7"/>
  <c r="S1096" i="7"/>
  <c r="R1096" i="7"/>
  <c r="Q1096" i="7"/>
  <c r="P1096" i="7"/>
  <c r="O1096" i="7"/>
  <c r="N1096" i="7"/>
  <c r="M1096" i="7"/>
  <c r="L1096" i="7"/>
  <c r="K1096" i="7"/>
  <c r="J1096" i="7"/>
  <c r="I1096" i="7"/>
  <c r="H1096" i="7"/>
  <c r="G1096" i="7"/>
  <c r="F1096" i="7"/>
  <c r="E1096" i="7"/>
  <c r="D1096" i="7"/>
  <c r="C1096" i="7"/>
  <c r="B1096" i="7"/>
  <c r="A1096" i="7"/>
  <c r="CH1096" i="17" s="1"/>
  <c r="AD1095" i="7"/>
  <c r="AC1095" i="7"/>
  <c r="AB1095" i="7"/>
  <c r="AA1095" i="7"/>
  <c r="Z1095" i="7"/>
  <c r="Y1095" i="7"/>
  <c r="X1095" i="7"/>
  <c r="W1095" i="7"/>
  <c r="V1095" i="7"/>
  <c r="U1095" i="7"/>
  <c r="T1095" i="7"/>
  <c r="S1095" i="7"/>
  <c r="R1095" i="7"/>
  <c r="Q1095" i="7"/>
  <c r="P1095" i="7"/>
  <c r="O1095" i="7"/>
  <c r="N1095" i="7"/>
  <c r="M1095" i="7"/>
  <c r="L1095" i="7"/>
  <c r="K1095" i="7"/>
  <c r="J1095" i="7"/>
  <c r="I1095" i="7"/>
  <c r="H1095" i="7"/>
  <c r="G1095" i="7"/>
  <c r="F1095" i="7"/>
  <c r="E1095" i="7"/>
  <c r="D1095" i="7"/>
  <c r="C1095" i="7"/>
  <c r="B1095" i="7"/>
  <c r="A1095" i="7"/>
  <c r="CH1095" i="17" s="1"/>
  <c r="AD1094" i="7"/>
  <c r="AC1094" i="7"/>
  <c r="AB1094" i="7"/>
  <c r="AA1094" i="7"/>
  <c r="Z1094" i="7"/>
  <c r="Y1094" i="7"/>
  <c r="X1094" i="7"/>
  <c r="W1094" i="7"/>
  <c r="V1094" i="7"/>
  <c r="U1094" i="7"/>
  <c r="T1094" i="7"/>
  <c r="S1094" i="7"/>
  <c r="R1094" i="7"/>
  <c r="Q1094" i="7"/>
  <c r="P1094" i="7"/>
  <c r="O1094" i="7"/>
  <c r="N1094" i="7"/>
  <c r="M1094" i="7"/>
  <c r="L1094" i="7"/>
  <c r="K1094" i="7"/>
  <c r="J1094" i="7"/>
  <c r="I1094" i="7"/>
  <c r="H1094" i="7"/>
  <c r="G1094" i="7"/>
  <c r="F1094" i="7"/>
  <c r="E1094" i="7"/>
  <c r="D1094" i="7"/>
  <c r="C1094" i="7"/>
  <c r="B1094" i="7"/>
  <c r="A1094" i="7"/>
  <c r="CH1094" i="17" s="1"/>
  <c r="AD1093" i="7"/>
  <c r="AC1093" i="7"/>
  <c r="AB1093" i="7"/>
  <c r="AA1093" i="7"/>
  <c r="Z1093" i="7"/>
  <c r="Y1093" i="7"/>
  <c r="X1093" i="7"/>
  <c r="W1093" i="7"/>
  <c r="V1093" i="7"/>
  <c r="U1093" i="7"/>
  <c r="T1093" i="7"/>
  <c r="S1093" i="7"/>
  <c r="R1093" i="7"/>
  <c r="Q1093" i="7"/>
  <c r="P1093" i="7"/>
  <c r="O1093" i="7"/>
  <c r="N1093" i="7"/>
  <c r="M1093" i="7"/>
  <c r="L1093" i="7"/>
  <c r="K1093" i="7"/>
  <c r="J1093" i="7"/>
  <c r="I1093" i="7"/>
  <c r="H1093" i="7"/>
  <c r="G1093" i="7"/>
  <c r="F1093" i="7"/>
  <c r="E1093" i="7"/>
  <c r="D1093" i="7"/>
  <c r="C1093" i="7"/>
  <c r="B1093" i="7"/>
  <c r="A1093" i="7"/>
  <c r="CH1093" i="17" s="1"/>
  <c r="AD1092" i="7"/>
  <c r="AC1092" i="7"/>
  <c r="AB1092" i="7"/>
  <c r="AA1092" i="7"/>
  <c r="Z1092" i="7"/>
  <c r="Y1092" i="7"/>
  <c r="X1092" i="7"/>
  <c r="W1092" i="7"/>
  <c r="V1092" i="7"/>
  <c r="U1092" i="7"/>
  <c r="T1092" i="7"/>
  <c r="S1092" i="7"/>
  <c r="R1092" i="7"/>
  <c r="Q1092" i="7"/>
  <c r="P1092" i="7"/>
  <c r="O1092" i="7"/>
  <c r="N1092" i="7"/>
  <c r="M1092" i="7"/>
  <c r="L1092" i="7"/>
  <c r="K1092" i="7"/>
  <c r="J1092" i="7"/>
  <c r="I1092" i="7"/>
  <c r="H1092" i="7"/>
  <c r="G1092" i="7"/>
  <c r="F1092" i="7"/>
  <c r="E1092" i="7"/>
  <c r="D1092" i="7"/>
  <c r="C1092" i="7"/>
  <c r="B1092" i="7"/>
  <c r="A1092" i="7"/>
  <c r="CH1092" i="17" s="1"/>
  <c r="AD1091" i="7"/>
  <c r="AC1091" i="7"/>
  <c r="AB1091" i="7"/>
  <c r="AA1091" i="7"/>
  <c r="Z1091" i="7"/>
  <c r="Y1091" i="7"/>
  <c r="X1091" i="7"/>
  <c r="W1091" i="7"/>
  <c r="V1091" i="7"/>
  <c r="U1091" i="7"/>
  <c r="T1091" i="7"/>
  <c r="S1091" i="7"/>
  <c r="R1091" i="7"/>
  <c r="Q1091" i="7"/>
  <c r="P1091" i="7"/>
  <c r="O1091" i="7"/>
  <c r="N1091" i="7"/>
  <c r="M1091" i="7"/>
  <c r="L1091" i="7"/>
  <c r="K1091" i="7"/>
  <c r="J1091" i="7"/>
  <c r="I1091" i="7"/>
  <c r="H1091" i="7"/>
  <c r="G1091" i="7"/>
  <c r="F1091" i="7"/>
  <c r="E1091" i="7"/>
  <c r="D1091" i="7"/>
  <c r="C1091" i="7"/>
  <c r="B1091" i="7"/>
  <c r="A1091" i="7"/>
  <c r="CH1091" i="17" s="1"/>
  <c r="AD1090" i="7"/>
  <c r="AC1090" i="7"/>
  <c r="AB1090" i="7"/>
  <c r="AA1090" i="7"/>
  <c r="Z1090" i="7"/>
  <c r="Y1090" i="7"/>
  <c r="X1090" i="7"/>
  <c r="W1090" i="7"/>
  <c r="V1090" i="7"/>
  <c r="U1090" i="7"/>
  <c r="T1090" i="7"/>
  <c r="S1090" i="7"/>
  <c r="R1090" i="7"/>
  <c r="Q1090" i="7"/>
  <c r="P1090" i="7"/>
  <c r="O1090" i="7"/>
  <c r="N1090" i="7"/>
  <c r="M1090" i="7"/>
  <c r="L1090" i="7"/>
  <c r="K1090" i="7"/>
  <c r="J1090" i="7"/>
  <c r="I1090" i="7"/>
  <c r="H1090" i="7"/>
  <c r="G1090" i="7"/>
  <c r="F1090" i="7"/>
  <c r="E1090" i="7"/>
  <c r="D1090" i="7"/>
  <c r="C1090" i="7"/>
  <c r="B1090" i="7"/>
  <c r="A1090" i="7"/>
  <c r="CH1090" i="17" s="1"/>
  <c r="AD1089" i="7"/>
  <c r="AC1089" i="7"/>
  <c r="AB1089" i="7"/>
  <c r="AA1089" i="7"/>
  <c r="Z1089" i="7"/>
  <c r="Y1089" i="7"/>
  <c r="X1089" i="7"/>
  <c r="W1089" i="7"/>
  <c r="V1089" i="7"/>
  <c r="U1089" i="7"/>
  <c r="T1089" i="7"/>
  <c r="S1089" i="7"/>
  <c r="R1089" i="7"/>
  <c r="Q1089" i="7"/>
  <c r="P1089" i="7"/>
  <c r="O1089" i="7"/>
  <c r="N1089" i="7"/>
  <c r="M1089" i="7"/>
  <c r="L1089" i="7"/>
  <c r="K1089" i="7"/>
  <c r="J1089" i="7"/>
  <c r="I1089" i="7"/>
  <c r="H1089" i="7"/>
  <c r="G1089" i="7"/>
  <c r="F1089" i="7"/>
  <c r="E1089" i="7"/>
  <c r="D1089" i="7"/>
  <c r="C1089" i="7"/>
  <c r="B1089" i="7"/>
  <c r="A1089" i="7"/>
  <c r="CH1089" i="17" s="1"/>
  <c r="AD1088" i="7"/>
  <c r="AC1088" i="7"/>
  <c r="AB1088" i="7"/>
  <c r="AA1088" i="7"/>
  <c r="Z1088" i="7"/>
  <c r="Y1088" i="7"/>
  <c r="X1088" i="7"/>
  <c r="W1088" i="7"/>
  <c r="V1088" i="7"/>
  <c r="U1088" i="7"/>
  <c r="T1088" i="7"/>
  <c r="S1088" i="7"/>
  <c r="R1088" i="7"/>
  <c r="Q1088" i="7"/>
  <c r="P1088" i="7"/>
  <c r="O1088" i="7"/>
  <c r="N1088" i="7"/>
  <c r="M1088" i="7"/>
  <c r="L1088" i="7"/>
  <c r="K1088" i="7"/>
  <c r="J1088" i="7"/>
  <c r="I1088" i="7"/>
  <c r="H1088" i="7"/>
  <c r="G1088" i="7"/>
  <c r="F1088" i="7"/>
  <c r="E1088" i="7"/>
  <c r="D1088" i="7"/>
  <c r="C1088" i="7"/>
  <c r="B1088" i="7"/>
  <c r="A1088" i="7"/>
  <c r="CH1088" i="17" s="1"/>
  <c r="AD1087" i="7"/>
  <c r="AC1087" i="7"/>
  <c r="AB1087" i="7"/>
  <c r="AA1087" i="7"/>
  <c r="Z1087" i="7"/>
  <c r="Y1087" i="7"/>
  <c r="X1087" i="7"/>
  <c r="W1087" i="7"/>
  <c r="V1087" i="7"/>
  <c r="U1087" i="7"/>
  <c r="T1087" i="7"/>
  <c r="S1087" i="7"/>
  <c r="R1087" i="7"/>
  <c r="Q1087" i="7"/>
  <c r="P1087" i="7"/>
  <c r="O1087" i="7"/>
  <c r="N1087" i="7"/>
  <c r="M1087" i="7"/>
  <c r="L1087" i="7"/>
  <c r="K1087" i="7"/>
  <c r="J1087" i="7"/>
  <c r="I1087" i="7"/>
  <c r="H1087" i="7"/>
  <c r="G1087" i="7"/>
  <c r="F1087" i="7"/>
  <c r="E1087" i="7"/>
  <c r="D1087" i="7"/>
  <c r="C1087" i="7"/>
  <c r="B1087" i="7"/>
  <c r="A1087" i="7"/>
  <c r="CH1087" i="17" s="1"/>
  <c r="AD1086" i="7"/>
  <c r="AC1086" i="7"/>
  <c r="AB1086" i="7"/>
  <c r="AA1086" i="7"/>
  <c r="Z1086" i="7"/>
  <c r="Y1086" i="7"/>
  <c r="X1086" i="7"/>
  <c r="W1086" i="7"/>
  <c r="V1086" i="7"/>
  <c r="U1086" i="7"/>
  <c r="T1086" i="7"/>
  <c r="S1086" i="7"/>
  <c r="R1086" i="7"/>
  <c r="Q1086" i="7"/>
  <c r="P1086" i="7"/>
  <c r="O1086" i="7"/>
  <c r="N1086" i="7"/>
  <c r="M1086" i="7"/>
  <c r="L1086" i="7"/>
  <c r="K1086" i="7"/>
  <c r="J1086" i="7"/>
  <c r="I1086" i="7"/>
  <c r="H1086" i="7"/>
  <c r="G1086" i="7"/>
  <c r="F1086" i="7"/>
  <c r="E1086" i="7"/>
  <c r="D1086" i="7"/>
  <c r="C1086" i="7"/>
  <c r="B1086" i="7"/>
  <c r="A1086" i="7"/>
  <c r="CH1086" i="17" s="1"/>
  <c r="AD1085" i="7"/>
  <c r="AC1085" i="7"/>
  <c r="AB1085" i="7"/>
  <c r="AA1085" i="7"/>
  <c r="Z1085" i="7"/>
  <c r="Y1085" i="7"/>
  <c r="X1085" i="7"/>
  <c r="W1085" i="7"/>
  <c r="V1085" i="7"/>
  <c r="U1085" i="7"/>
  <c r="T1085" i="7"/>
  <c r="S1085" i="7"/>
  <c r="R1085" i="7"/>
  <c r="Q1085" i="7"/>
  <c r="P1085" i="7"/>
  <c r="O1085" i="7"/>
  <c r="N1085" i="7"/>
  <c r="M1085" i="7"/>
  <c r="L1085" i="7"/>
  <c r="K1085" i="7"/>
  <c r="J1085" i="7"/>
  <c r="I1085" i="7"/>
  <c r="H1085" i="7"/>
  <c r="G1085" i="7"/>
  <c r="F1085" i="7"/>
  <c r="E1085" i="7"/>
  <c r="D1085" i="7"/>
  <c r="C1085" i="7"/>
  <c r="B1085" i="7"/>
  <c r="A1085" i="7"/>
  <c r="CH1085" i="17" s="1"/>
  <c r="AD1084" i="7"/>
  <c r="AC1084" i="7"/>
  <c r="AB1084" i="7"/>
  <c r="AA1084" i="7"/>
  <c r="Z1084" i="7"/>
  <c r="Y1084" i="7"/>
  <c r="X1084" i="7"/>
  <c r="W1084" i="7"/>
  <c r="V1084" i="7"/>
  <c r="U1084" i="7"/>
  <c r="T1084" i="7"/>
  <c r="S1084" i="7"/>
  <c r="R1084" i="7"/>
  <c r="Q1084" i="7"/>
  <c r="P1084" i="7"/>
  <c r="O1084" i="7"/>
  <c r="N1084" i="7"/>
  <c r="M1084" i="7"/>
  <c r="L1084" i="7"/>
  <c r="K1084" i="7"/>
  <c r="J1084" i="7"/>
  <c r="I1084" i="7"/>
  <c r="H1084" i="7"/>
  <c r="G1084" i="7"/>
  <c r="F1084" i="7"/>
  <c r="E1084" i="7"/>
  <c r="D1084" i="7"/>
  <c r="C1084" i="7"/>
  <c r="B1084" i="7"/>
  <c r="A1084" i="7"/>
  <c r="CH1084" i="17" s="1"/>
  <c r="AD1083" i="7"/>
  <c r="AC1083" i="7"/>
  <c r="AB1083" i="7"/>
  <c r="AA1083" i="7"/>
  <c r="Z1083" i="7"/>
  <c r="Y1083" i="7"/>
  <c r="X1083" i="7"/>
  <c r="W1083" i="7"/>
  <c r="V1083" i="7"/>
  <c r="U1083" i="7"/>
  <c r="T1083" i="7"/>
  <c r="S1083" i="7"/>
  <c r="R1083" i="7"/>
  <c r="Q1083" i="7"/>
  <c r="P1083" i="7"/>
  <c r="O1083" i="7"/>
  <c r="N1083" i="7"/>
  <c r="M1083" i="7"/>
  <c r="L1083" i="7"/>
  <c r="K1083" i="7"/>
  <c r="J1083" i="7"/>
  <c r="I1083" i="7"/>
  <c r="H1083" i="7"/>
  <c r="G1083" i="7"/>
  <c r="F1083" i="7"/>
  <c r="E1083" i="7"/>
  <c r="D1083" i="7"/>
  <c r="C1083" i="7"/>
  <c r="B1083" i="7"/>
  <c r="A1083" i="7"/>
  <c r="CH1083" i="17" s="1"/>
  <c r="AD1082" i="7"/>
  <c r="AC1082" i="7"/>
  <c r="AB1082" i="7"/>
  <c r="AA1082" i="7"/>
  <c r="Z1082" i="7"/>
  <c r="Y1082" i="7"/>
  <c r="X1082" i="7"/>
  <c r="W1082" i="7"/>
  <c r="V1082" i="7"/>
  <c r="U1082" i="7"/>
  <c r="T1082" i="7"/>
  <c r="S1082" i="7"/>
  <c r="R1082" i="7"/>
  <c r="Q1082" i="7"/>
  <c r="P1082" i="7"/>
  <c r="O1082" i="7"/>
  <c r="N1082" i="7"/>
  <c r="M1082" i="7"/>
  <c r="L1082" i="7"/>
  <c r="K1082" i="7"/>
  <c r="J1082" i="7"/>
  <c r="I1082" i="7"/>
  <c r="H1082" i="7"/>
  <c r="G1082" i="7"/>
  <c r="F1082" i="7"/>
  <c r="E1082" i="7"/>
  <c r="D1082" i="7"/>
  <c r="C1082" i="7"/>
  <c r="B1082" i="7"/>
  <c r="A1082" i="7"/>
  <c r="CH1082" i="17" s="1"/>
  <c r="AD1081" i="7"/>
  <c r="AC1081" i="7"/>
  <c r="AB1081" i="7"/>
  <c r="AA1081" i="7"/>
  <c r="Z1081" i="7"/>
  <c r="Y1081" i="7"/>
  <c r="X1081" i="7"/>
  <c r="W1081" i="7"/>
  <c r="V1081" i="7"/>
  <c r="U1081" i="7"/>
  <c r="T1081" i="7"/>
  <c r="S1081" i="7"/>
  <c r="R1081" i="7"/>
  <c r="Q1081" i="7"/>
  <c r="P1081" i="7"/>
  <c r="O1081" i="7"/>
  <c r="N1081" i="7"/>
  <c r="M1081" i="7"/>
  <c r="L1081" i="7"/>
  <c r="K1081" i="7"/>
  <c r="J1081" i="7"/>
  <c r="I1081" i="7"/>
  <c r="H1081" i="7"/>
  <c r="G1081" i="7"/>
  <c r="F1081" i="7"/>
  <c r="E1081" i="7"/>
  <c r="D1081" i="7"/>
  <c r="C1081" i="7"/>
  <c r="B1081" i="7"/>
  <c r="A1081" i="7"/>
  <c r="CH1081" i="17" s="1"/>
  <c r="AD1080" i="7"/>
  <c r="AC1080" i="7"/>
  <c r="AB1080" i="7"/>
  <c r="AA1080" i="7"/>
  <c r="Z1080" i="7"/>
  <c r="Y1080" i="7"/>
  <c r="X1080" i="7"/>
  <c r="W1080" i="7"/>
  <c r="V1080" i="7"/>
  <c r="U1080" i="7"/>
  <c r="T1080" i="7"/>
  <c r="S1080" i="7"/>
  <c r="R1080" i="7"/>
  <c r="Q1080" i="7"/>
  <c r="P1080" i="7"/>
  <c r="O1080" i="7"/>
  <c r="N1080" i="7"/>
  <c r="M1080" i="7"/>
  <c r="L1080" i="7"/>
  <c r="K1080" i="7"/>
  <c r="J1080" i="7"/>
  <c r="I1080" i="7"/>
  <c r="H1080" i="7"/>
  <c r="G1080" i="7"/>
  <c r="F1080" i="7"/>
  <c r="E1080" i="7"/>
  <c r="D1080" i="7"/>
  <c r="C1080" i="7"/>
  <c r="B1080" i="7"/>
  <c r="A1080" i="7"/>
  <c r="CH1080" i="17" s="1"/>
  <c r="AD1079" i="7"/>
  <c r="AC1079" i="7"/>
  <c r="AB1079" i="7"/>
  <c r="AA1079" i="7"/>
  <c r="Z1079" i="7"/>
  <c r="Y1079" i="7"/>
  <c r="X1079" i="7"/>
  <c r="W1079" i="7"/>
  <c r="V1079" i="7"/>
  <c r="U1079" i="7"/>
  <c r="T1079" i="7"/>
  <c r="S1079" i="7"/>
  <c r="R1079" i="7"/>
  <c r="Q1079" i="7"/>
  <c r="P1079" i="7"/>
  <c r="O1079" i="7"/>
  <c r="N1079" i="7"/>
  <c r="M1079" i="7"/>
  <c r="L1079" i="7"/>
  <c r="K1079" i="7"/>
  <c r="J1079" i="7"/>
  <c r="I1079" i="7"/>
  <c r="H1079" i="7"/>
  <c r="G1079" i="7"/>
  <c r="F1079" i="7"/>
  <c r="E1079" i="7"/>
  <c r="D1079" i="7"/>
  <c r="C1079" i="7"/>
  <c r="B1079" i="7"/>
  <c r="A1079" i="7"/>
  <c r="CH1079" i="17" s="1"/>
  <c r="AD1078" i="7"/>
  <c r="AC1078" i="7"/>
  <c r="AB1078" i="7"/>
  <c r="AA1078" i="7"/>
  <c r="Z1078" i="7"/>
  <c r="Y1078" i="7"/>
  <c r="X1078" i="7"/>
  <c r="W1078" i="7"/>
  <c r="V1078" i="7"/>
  <c r="U1078" i="7"/>
  <c r="T1078" i="7"/>
  <c r="S1078" i="7"/>
  <c r="R1078" i="7"/>
  <c r="Q1078" i="7"/>
  <c r="P1078" i="7"/>
  <c r="O1078" i="7"/>
  <c r="N1078" i="7"/>
  <c r="M1078" i="7"/>
  <c r="L1078" i="7"/>
  <c r="K1078" i="7"/>
  <c r="J1078" i="7"/>
  <c r="I1078" i="7"/>
  <c r="H1078" i="7"/>
  <c r="G1078" i="7"/>
  <c r="F1078" i="7"/>
  <c r="E1078" i="7"/>
  <c r="D1078" i="7"/>
  <c r="C1078" i="7"/>
  <c r="B1078" i="7"/>
  <c r="A1078" i="7"/>
  <c r="CH1078" i="17" s="1"/>
  <c r="AD1077" i="7"/>
  <c r="AC1077" i="7"/>
  <c r="AB1077" i="7"/>
  <c r="AA1077" i="7"/>
  <c r="Z1077" i="7"/>
  <c r="Y1077" i="7"/>
  <c r="X1077" i="7"/>
  <c r="W1077" i="7"/>
  <c r="V1077" i="7"/>
  <c r="U1077" i="7"/>
  <c r="T1077" i="7"/>
  <c r="S1077" i="7"/>
  <c r="R1077" i="7"/>
  <c r="Q1077" i="7"/>
  <c r="P1077" i="7"/>
  <c r="O1077" i="7"/>
  <c r="N1077" i="7"/>
  <c r="M1077" i="7"/>
  <c r="L1077" i="7"/>
  <c r="K1077" i="7"/>
  <c r="J1077" i="7"/>
  <c r="I1077" i="7"/>
  <c r="H1077" i="7"/>
  <c r="G1077" i="7"/>
  <c r="F1077" i="7"/>
  <c r="E1077" i="7"/>
  <c r="D1077" i="7"/>
  <c r="C1077" i="7"/>
  <c r="B1077" i="7"/>
  <c r="A1077" i="7"/>
  <c r="CH1077" i="17" s="1"/>
  <c r="AD1076" i="7"/>
  <c r="AC1076" i="7"/>
  <c r="AB1076" i="7"/>
  <c r="AA1076" i="7"/>
  <c r="Z1076" i="7"/>
  <c r="Y1076" i="7"/>
  <c r="X1076" i="7"/>
  <c r="W1076" i="7"/>
  <c r="V1076" i="7"/>
  <c r="U1076" i="7"/>
  <c r="T1076" i="7"/>
  <c r="S1076" i="7"/>
  <c r="R1076" i="7"/>
  <c r="Q1076" i="7"/>
  <c r="P1076" i="7"/>
  <c r="O1076" i="7"/>
  <c r="N1076" i="7"/>
  <c r="M1076" i="7"/>
  <c r="L1076" i="7"/>
  <c r="K1076" i="7"/>
  <c r="J1076" i="7"/>
  <c r="I1076" i="7"/>
  <c r="H1076" i="7"/>
  <c r="G1076" i="7"/>
  <c r="F1076" i="7"/>
  <c r="E1076" i="7"/>
  <c r="D1076" i="7"/>
  <c r="C1076" i="7"/>
  <c r="B1076" i="7"/>
  <c r="A1076" i="7"/>
  <c r="CH1076" i="17" s="1"/>
  <c r="AD1075" i="7"/>
  <c r="AC1075" i="7"/>
  <c r="AB1075" i="7"/>
  <c r="AA1075" i="7"/>
  <c r="Z1075" i="7"/>
  <c r="Y1075" i="7"/>
  <c r="X1075" i="7"/>
  <c r="W1075" i="7"/>
  <c r="V1075" i="7"/>
  <c r="U1075" i="7"/>
  <c r="T1075" i="7"/>
  <c r="S1075" i="7"/>
  <c r="R1075" i="7"/>
  <c r="Q1075" i="7"/>
  <c r="P1075" i="7"/>
  <c r="O1075" i="7"/>
  <c r="N1075" i="7"/>
  <c r="M1075" i="7"/>
  <c r="L1075" i="7"/>
  <c r="K1075" i="7"/>
  <c r="J1075" i="7"/>
  <c r="I1075" i="7"/>
  <c r="H1075" i="7"/>
  <c r="G1075" i="7"/>
  <c r="F1075" i="7"/>
  <c r="E1075" i="7"/>
  <c r="D1075" i="7"/>
  <c r="C1075" i="7"/>
  <c r="B1075" i="7"/>
  <c r="A1075" i="7"/>
  <c r="CH1075" i="17" s="1"/>
  <c r="AD1074" i="7"/>
  <c r="AC1074" i="7"/>
  <c r="AB1074" i="7"/>
  <c r="AA1074" i="7"/>
  <c r="Z1074" i="7"/>
  <c r="Y1074" i="7"/>
  <c r="X1074" i="7"/>
  <c r="W1074" i="7"/>
  <c r="V1074" i="7"/>
  <c r="U1074" i="7"/>
  <c r="T1074" i="7"/>
  <c r="S1074" i="7"/>
  <c r="R1074" i="7"/>
  <c r="Q1074" i="7"/>
  <c r="P1074" i="7"/>
  <c r="O1074" i="7"/>
  <c r="N1074" i="7"/>
  <c r="M1074" i="7"/>
  <c r="L1074" i="7"/>
  <c r="K1074" i="7"/>
  <c r="J1074" i="7"/>
  <c r="I1074" i="7"/>
  <c r="H1074" i="7"/>
  <c r="G1074" i="7"/>
  <c r="F1074" i="7"/>
  <c r="E1074" i="7"/>
  <c r="D1074" i="7"/>
  <c r="C1074" i="7"/>
  <c r="B1074" i="7"/>
  <c r="A1074" i="7"/>
  <c r="CH1074" i="17" s="1"/>
  <c r="AD1073" i="7"/>
  <c r="AC1073" i="7"/>
  <c r="AB1073" i="7"/>
  <c r="AA1073" i="7"/>
  <c r="Z1073" i="7"/>
  <c r="Y1073" i="7"/>
  <c r="X1073" i="7"/>
  <c r="W1073" i="7"/>
  <c r="V1073" i="7"/>
  <c r="U1073" i="7"/>
  <c r="T1073" i="7"/>
  <c r="S1073" i="7"/>
  <c r="R1073" i="7"/>
  <c r="Q1073" i="7"/>
  <c r="P1073" i="7"/>
  <c r="O1073" i="7"/>
  <c r="N1073" i="7"/>
  <c r="M1073" i="7"/>
  <c r="L1073" i="7"/>
  <c r="K1073" i="7"/>
  <c r="J1073" i="7"/>
  <c r="I1073" i="7"/>
  <c r="H1073" i="7"/>
  <c r="G1073" i="7"/>
  <c r="F1073" i="7"/>
  <c r="E1073" i="7"/>
  <c r="D1073" i="7"/>
  <c r="C1073" i="7"/>
  <c r="B1073" i="7"/>
  <c r="A1073" i="7"/>
  <c r="CH1073" i="17" s="1"/>
  <c r="AD1072" i="7"/>
  <c r="AC1072" i="7"/>
  <c r="AB1072" i="7"/>
  <c r="AA1072" i="7"/>
  <c r="Z1072" i="7"/>
  <c r="Y1072" i="7"/>
  <c r="X1072" i="7"/>
  <c r="W1072" i="7"/>
  <c r="V1072" i="7"/>
  <c r="U1072" i="7"/>
  <c r="T1072" i="7"/>
  <c r="S1072" i="7"/>
  <c r="R1072" i="7"/>
  <c r="Q1072" i="7"/>
  <c r="P1072" i="7"/>
  <c r="O1072" i="7"/>
  <c r="N1072" i="7"/>
  <c r="M1072" i="7"/>
  <c r="L1072" i="7"/>
  <c r="K1072" i="7"/>
  <c r="J1072" i="7"/>
  <c r="I1072" i="7"/>
  <c r="H1072" i="7"/>
  <c r="G1072" i="7"/>
  <c r="F1072" i="7"/>
  <c r="E1072" i="7"/>
  <c r="D1072" i="7"/>
  <c r="C1072" i="7"/>
  <c r="B1072" i="7"/>
  <c r="A1072" i="7"/>
  <c r="CH1072" i="17" s="1"/>
  <c r="AD1071" i="7"/>
  <c r="AC1071" i="7"/>
  <c r="AB1071" i="7"/>
  <c r="AA1071" i="7"/>
  <c r="Z1071" i="7"/>
  <c r="Y1071" i="7"/>
  <c r="X1071" i="7"/>
  <c r="W1071" i="7"/>
  <c r="V1071" i="7"/>
  <c r="U1071" i="7"/>
  <c r="T1071" i="7"/>
  <c r="S1071" i="7"/>
  <c r="R1071" i="7"/>
  <c r="Q1071" i="7"/>
  <c r="P1071" i="7"/>
  <c r="O1071" i="7"/>
  <c r="N1071" i="7"/>
  <c r="M1071" i="7"/>
  <c r="L1071" i="7"/>
  <c r="K1071" i="7"/>
  <c r="J1071" i="7"/>
  <c r="I1071" i="7"/>
  <c r="H1071" i="7"/>
  <c r="G1071" i="7"/>
  <c r="F1071" i="7"/>
  <c r="E1071" i="7"/>
  <c r="D1071" i="7"/>
  <c r="C1071" i="7"/>
  <c r="B1071" i="7"/>
  <c r="A1071" i="7"/>
  <c r="CH1071" i="17" s="1"/>
  <c r="AD1070" i="7"/>
  <c r="AC1070" i="7"/>
  <c r="AB1070" i="7"/>
  <c r="AA1070" i="7"/>
  <c r="Z1070" i="7"/>
  <c r="Y1070" i="7"/>
  <c r="X1070" i="7"/>
  <c r="W1070" i="7"/>
  <c r="V1070" i="7"/>
  <c r="U1070" i="7"/>
  <c r="T1070" i="7"/>
  <c r="S1070" i="7"/>
  <c r="R1070" i="7"/>
  <c r="Q1070" i="7"/>
  <c r="P1070" i="7"/>
  <c r="O1070" i="7"/>
  <c r="N1070" i="7"/>
  <c r="M1070" i="7"/>
  <c r="L1070" i="7"/>
  <c r="K1070" i="7"/>
  <c r="J1070" i="7"/>
  <c r="I1070" i="7"/>
  <c r="H1070" i="7"/>
  <c r="G1070" i="7"/>
  <c r="F1070" i="7"/>
  <c r="E1070" i="7"/>
  <c r="D1070" i="7"/>
  <c r="C1070" i="7"/>
  <c r="B1070" i="7"/>
  <c r="A1070" i="7"/>
  <c r="CH1070" i="17" s="1"/>
  <c r="AD1069" i="7"/>
  <c r="AC1069" i="7"/>
  <c r="AB1069" i="7"/>
  <c r="AA1069" i="7"/>
  <c r="Z1069" i="7"/>
  <c r="Y1069" i="7"/>
  <c r="X1069" i="7"/>
  <c r="W1069" i="7"/>
  <c r="V1069" i="7"/>
  <c r="U1069" i="7"/>
  <c r="T1069" i="7"/>
  <c r="S1069" i="7"/>
  <c r="R1069" i="7"/>
  <c r="Q1069" i="7"/>
  <c r="P1069" i="7"/>
  <c r="O1069" i="7"/>
  <c r="N1069" i="7"/>
  <c r="M1069" i="7"/>
  <c r="L1069" i="7"/>
  <c r="K1069" i="7"/>
  <c r="J1069" i="7"/>
  <c r="I1069" i="7"/>
  <c r="H1069" i="7"/>
  <c r="G1069" i="7"/>
  <c r="F1069" i="7"/>
  <c r="E1069" i="7"/>
  <c r="D1069" i="7"/>
  <c r="C1069" i="7"/>
  <c r="B1069" i="7"/>
  <c r="A1069" i="7"/>
  <c r="CH1069" i="17" s="1"/>
  <c r="AD1068" i="7"/>
  <c r="AC1068" i="7"/>
  <c r="AB1068" i="7"/>
  <c r="AA1068" i="7"/>
  <c r="Z1068" i="7"/>
  <c r="Y1068" i="7"/>
  <c r="X1068" i="7"/>
  <c r="W1068" i="7"/>
  <c r="V1068" i="7"/>
  <c r="U1068" i="7"/>
  <c r="T1068" i="7"/>
  <c r="S1068" i="7"/>
  <c r="R1068" i="7"/>
  <c r="Q1068" i="7"/>
  <c r="P1068" i="7"/>
  <c r="O1068" i="7"/>
  <c r="N1068" i="7"/>
  <c r="M1068" i="7"/>
  <c r="L1068" i="7"/>
  <c r="K1068" i="7"/>
  <c r="J1068" i="7"/>
  <c r="I1068" i="7"/>
  <c r="H1068" i="7"/>
  <c r="G1068" i="7"/>
  <c r="F1068" i="7"/>
  <c r="E1068" i="7"/>
  <c r="D1068" i="7"/>
  <c r="C1068" i="7"/>
  <c r="B1068" i="7"/>
  <c r="A1068" i="7"/>
  <c r="CH1068" i="17" s="1"/>
  <c r="AD1067" i="7"/>
  <c r="AC1067" i="7"/>
  <c r="AB1067" i="7"/>
  <c r="AA1067" i="7"/>
  <c r="Z1067" i="7"/>
  <c r="Y1067" i="7"/>
  <c r="X1067" i="7"/>
  <c r="W1067" i="7"/>
  <c r="V1067" i="7"/>
  <c r="U1067" i="7"/>
  <c r="T1067" i="7"/>
  <c r="S1067" i="7"/>
  <c r="R1067" i="7"/>
  <c r="Q1067" i="7"/>
  <c r="P1067" i="7"/>
  <c r="O1067" i="7"/>
  <c r="N1067" i="7"/>
  <c r="M1067" i="7"/>
  <c r="L1067" i="7"/>
  <c r="K1067" i="7"/>
  <c r="J1067" i="7"/>
  <c r="I1067" i="7"/>
  <c r="H1067" i="7"/>
  <c r="G1067" i="7"/>
  <c r="F1067" i="7"/>
  <c r="E1067" i="7"/>
  <c r="D1067" i="7"/>
  <c r="C1067" i="7"/>
  <c r="B1067" i="7"/>
  <c r="A1067" i="7"/>
  <c r="CH1067" i="17" s="1"/>
  <c r="AD1066" i="7"/>
  <c r="AC1066" i="7"/>
  <c r="AB1066" i="7"/>
  <c r="AA1066" i="7"/>
  <c r="Z1066" i="7"/>
  <c r="Y1066" i="7"/>
  <c r="X1066" i="7"/>
  <c r="W1066" i="7"/>
  <c r="V1066" i="7"/>
  <c r="U1066" i="7"/>
  <c r="T1066" i="7"/>
  <c r="S1066" i="7"/>
  <c r="R1066" i="7"/>
  <c r="Q1066" i="7"/>
  <c r="P1066" i="7"/>
  <c r="O1066" i="7"/>
  <c r="N1066" i="7"/>
  <c r="M1066" i="7"/>
  <c r="L1066" i="7"/>
  <c r="K1066" i="7"/>
  <c r="J1066" i="7"/>
  <c r="I1066" i="7"/>
  <c r="H1066" i="7"/>
  <c r="G1066" i="7"/>
  <c r="F1066" i="7"/>
  <c r="E1066" i="7"/>
  <c r="D1066" i="7"/>
  <c r="C1066" i="7"/>
  <c r="B1066" i="7"/>
  <c r="A1066" i="7"/>
  <c r="CH1066" i="17" s="1"/>
  <c r="AD1065" i="7"/>
  <c r="AC1065" i="7"/>
  <c r="AB1065" i="7"/>
  <c r="AA1065" i="7"/>
  <c r="Z1065" i="7"/>
  <c r="Y1065" i="7"/>
  <c r="X1065" i="7"/>
  <c r="W1065" i="7"/>
  <c r="V1065" i="7"/>
  <c r="U1065" i="7"/>
  <c r="T1065" i="7"/>
  <c r="S1065" i="7"/>
  <c r="R1065" i="7"/>
  <c r="Q1065" i="7"/>
  <c r="P1065" i="7"/>
  <c r="O1065" i="7"/>
  <c r="N1065" i="7"/>
  <c r="M1065" i="7"/>
  <c r="L1065" i="7"/>
  <c r="K1065" i="7"/>
  <c r="J1065" i="7"/>
  <c r="I1065" i="7"/>
  <c r="H1065" i="7"/>
  <c r="G1065" i="7"/>
  <c r="F1065" i="7"/>
  <c r="E1065" i="7"/>
  <c r="D1065" i="7"/>
  <c r="C1065" i="7"/>
  <c r="B1065" i="7"/>
  <c r="A1065" i="7"/>
  <c r="CH1065" i="17" s="1"/>
  <c r="AD1064" i="7"/>
  <c r="AC1064" i="7"/>
  <c r="AB1064" i="7"/>
  <c r="AA1064" i="7"/>
  <c r="Z1064" i="7"/>
  <c r="Y1064" i="7"/>
  <c r="X1064" i="7"/>
  <c r="W1064" i="7"/>
  <c r="V1064" i="7"/>
  <c r="U1064" i="7"/>
  <c r="T1064" i="7"/>
  <c r="S1064" i="7"/>
  <c r="R1064" i="7"/>
  <c r="Q1064" i="7"/>
  <c r="P1064" i="7"/>
  <c r="O1064" i="7"/>
  <c r="N1064" i="7"/>
  <c r="M1064" i="7"/>
  <c r="L1064" i="7"/>
  <c r="K1064" i="7"/>
  <c r="J1064" i="7"/>
  <c r="I1064" i="7"/>
  <c r="H1064" i="7"/>
  <c r="G1064" i="7"/>
  <c r="F1064" i="7"/>
  <c r="E1064" i="7"/>
  <c r="D1064" i="7"/>
  <c r="C1064" i="7"/>
  <c r="B1064" i="7"/>
  <c r="A1064" i="7"/>
  <c r="CH1064" i="17" s="1"/>
  <c r="AD1063" i="7"/>
  <c r="AC1063" i="7"/>
  <c r="AB1063" i="7"/>
  <c r="AA1063" i="7"/>
  <c r="Z1063" i="7"/>
  <c r="Y1063" i="7"/>
  <c r="X1063" i="7"/>
  <c r="W1063" i="7"/>
  <c r="V1063" i="7"/>
  <c r="U1063" i="7"/>
  <c r="T1063" i="7"/>
  <c r="S1063" i="7"/>
  <c r="R1063" i="7"/>
  <c r="Q1063" i="7"/>
  <c r="P1063" i="7"/>
  <c r="O1063" i="7"/>
  <c r="N1063" i="7"/>
  <c r="M1063" i="7"/>
  <c r="L1063" i="7"/>
  <c r="K1063" i="7"/>
  <c r="J1063" i="7"/>
  <c r="I1063" i="7"/>
  <c r="H1063" i="7"/>
  <c r="G1063" i="7"/>
  <c r="F1063" i="7"/>
  <c r="E1063" i="7"/>
  <c r="D1063" i="7"/>
  <c r="C1063" i="7"/>
  <c r="B1063" i="7"/>
  <c r="A1063" i="7"/>
  <c r="CH1063" i="17" s="1"/>
  <c r="AD1062" i="7"/>
  <c r="AC1062" i="7"/>
  <c r="AB1062" i="7"/>
  <c r="AA1062" i="7"/>
  <c r="Z1062" i="7"/>
  <c r="Y1062" i="7"/>
  <c r="X1062" i="7"/>
  <c r="W1062" i="7"/>
  <c r="V1062" i="7"/>
  <c r="U1062" i="7"/>
  <c r="T1062" i="7"/>
  <c r="S1062" i="7"/>
  <c r="R1062" i="7"/>
  <c r="Q1062" i="7"/>
  <c r="P1062" i="7"/>
  <c r="O1062" i="7"/>
  <c r="N1062" i="7"/>
  <c r="M1062" i="7"/>
  <c r="L1062" i="7"/>
  <c r="K1062" i="7"/>
  <c r="J1062" i="7"/>
  <c r="I1062" i="7"/>
  <c r="H1062" i="7"/>
  <c r="G1062" i="7"/>
  <c r="F1062" i="7"/>
  <c r="E1062" i="7"/>
  <c r="D1062" i="7"/>
  <c r="C1062" i="7"/>
  <c r="B1062" i="7"/>
  <c r="A1062" i="7"/>
  <c r="CH1062" i="17" s="1"/>
  <c r="AD1061" i="7"/>
  <c r="AC1061" i="7"/>
  <c r="AB1061" i="7"/>
  <c r="AA1061" i="7"/>
  <c r="Z1061" i="7"/>
  <c r="Y1061" i="7"/>
  <c r="X1061" i="7"/>
  <c r="W1061" i="7"/>
  <c r="V1061" i="7"/>
  <c r="U1061" i="7"/>
  <c r="T1061" i="7"/>
  <c r="S1061" i="7"/>
  <c r="R1061" i="7"/>
  <c r="Q1061" i="7"/>
  <c r="P1061" i="7"/>
  <c r="O1061" i="7"/>
  <c r="N1061" i="7"/>
  <c r="M1061" i="7"/>
  <c r="L1061" i="7"/>
  <c r="K1061" i="7"/>
  <c r="J1061" i="7"/>
  <c r="I1061" i="7"/>
  <c r="H1061" i="7"/>
  <c r="G1061" i="7"/>
  <c r="F1061" i="7"/>
  <c r="E1061" i="7"/>
  <c r="D1061" i="7"/>
  <c r="C1061" i="7"/>
  <c r="B1061" i="7"/>
  <c r="A1061" i="7"/>
  <c r="CH1061" i="17" s="1"/>
  <c r="AD1060" i="7"/>
  <c r="AC1060" i="7"/>
  <c r="AB1060" i="7"/>
  <c r="AA1060" i="7"/>
  <c r="Z1060" i="7"/>
  <c r="Y1060" i="7"/>
  <c r="X1060" i="7"/>
  <c r="W1060" i="7"/>
  <c r="V1060" i="7"/>
  <c r="U1060" i="7"/>
  <c r="T1060" i="7"/>
  <c r="S1060" i="7"/>
  <c r="R1060" i="7"/>
  <c r="Q1060" i="7"/>
  <c r="P1060" i="7"/>
  <c r="O1060" i="7"/>
  <c r="N1060" i="7"/>
  <c r="M1060" i="7"/>
  <c r="L1060" i="7"/>
  <c r="K1060" i="7"/>
  <c r="J1060" i="7"/>
  <c r="I1060" i="7"/>
  <c r="H1060" i="7"/>
  <c r="G1060" i="7"/>
  <c r="F1060" i="7"/>
  <c r="E1060" i="7"/>
  <c r="D1060" i="7"/>
  <c r="C1060" i="7"/>
  <c r="B1060" i="7"/>
  <c r="A1060" i="7"/>
  <c r="CH1060" i="17" s="1"/>
  <c r="AD1059" i="7"/>
  <c r="AC1059" i="7"/>
  <c r="AB1059" i="7"/>
  <c r="AA1059" i="7"/>
  <c r="Z1059" i="7"/>
  <c r="Y1059" i="7"/>
  <c r="X1059" i="7"/>
  <c r="W1059" i="7"/>
  <c r="V1059" i="7"/>
  <c r="U1059" i="7"/>
  <c r="T1059" i="7"/>
  <c r="S1059" i="7"/>
  <c r="R1059" i="7"/>
  <c r="Q1059" i="7"/>
  <c r="P1059" i="7"/>
  <c r="O1059" i="7"/>
  <c r="N1059" i="7"/>
  <c r="M1059" i="7"/>
  <c r="L1059" i="7"/>
  <c r="K1059" i="7"/>
  <c r="J1059" i="7"/>
  <c r="I1059" i="7"/>
  <c r="H1059" i="7"/>
  <c r="G1059" i="7"/>
  <c r="F1059" i="7"/>
  <c r="E1059" i="7"/>
  <c r="D1059" i="7"/>
  <c r="C1059" i="7"/>
  <c r="B1059" i="7"/>
  <c r="A1059" i="7"/>
  <c r="CH1059" i="17" s="1"/>
  <c r="AD1058" i="7"/>
  <c r="AC1058" i="7"/>
  <c r="AB1058" i="7"/>
  <c r="AA1058" i="7"/>
  <c r="Z1058" i="7"/>
  <c r="Y1058" i="7"/>
  <c r="X1058" i="7"/>
  <c r="W1058" i="7"/>
  <c r="V1058" i="7"/>
  <c r="U1058" i="7"/>
  <c r="T1058" i="7"/>
  <c r="S1058" i="7"/>
  <c r="R1058" i="7"/>
  <c r="Q1058" i="7"/>
  <c r="P1058" i="7"/>
  <c r="O1058" i="7"/>
  <c r="N1058" i="7"/>
  <c r="M1058" i="7"/>
  <c r="L1058" i="7"/>
  <c r="K1058" i="7"/>
  <c r="J1058" i="7"/>
  <c r="I1058" i="7"/>
  <c r="H1058" i="7"/>
  <c r="G1058" i="7"/>
  <c r="F1058" i="7"/>
  <c r="E1058" i="7"/>
  <c r="D1058" i="7"/>
  <c r="C1058" i="7"/>
  <c r="B1058" i="7"/>
  <c r="A1058" i="7"/>
  <c r="CH1058" i="17" s="1"/>
  <c r="AD1057" i="7"/>
  <c r="AC1057" i="7"/>
  <c r="AB1057" i="7"/>
  <c r="AA1057" i="7"/>
  <c r="Z1057" i="7"/>
  <c r="Y1057" i="7"/>
  <c r="X1057" i="7"/>
  <c r="W1057" i="7"/>
  <c r="V1057" i="7"/>
  <c r="U1057" i="7"/>
  <c r="T1057" i="7"/>
  <c r="S1057" i="7"/>
  <c r="R1057" i="7"/>
  <c r="Q1057" i="7"/>
  <c r="P1057" i="7"/>
  <c r="O1057" i="7"/>
  <c r="N1057" i="7"/>
  <c r="M1057" i="7"/>
  <c r="L1057" i="7"/>
  <c r="K1057" i="7"/>
  <c r="J1057" i="7"/>
  <c r="I1057" i="7"/>
  <c r="H1057" i="7"/>
  <c r="G1057" i="7"/>
  <c r="F1057" i="7"/>
  <c r="E1057" i="7"/>
  <c r="D1057" i="7"/>
  <c r="C1057" i="7"/>
  <c r="B1057" i="7"/>
  <c r="A1057" i="7"/>
  <c r="CH1057" i="17" s="1"/>
  <c r="AD1056" i="7"/>
  <c r="AC1056" i="7"/>
  <c r="AB1056" i="7"/>
  <c r="AA1056" i="7"/>
  <c r="Z1056" i="7"/>
  <c r="Y1056" i="7"/>
  <c r="X1056" i="7"/>
  <c r="W1056" i="7"/>
  <c r="V1056" i="7"/>
  <c r="U1056" i="7"/>
  <c r="T1056" i="7"/>
  <c r="S1056" i="7"/>
  <c r="R1056" i="7"/>
  <c r="Q1056" i="7"/>
  <c r="P1056" i="7"/>
  <c r="O1056" i="7"/>
  <c r="N1056" i="7"/>
  <c r="M1056" i="7"/>
  <c r="L1056" i="7"/>
  <c r="K1056" i="7"/>
  <c r="J1056" i="7"/>
  <c r="I1056" i="7"/>
  <c r="H1056" i="7"/>
  <c r="G1056" i="7"/>
  <c r="F1056" i="7"/>
  <c r="E1056" i="7"/>
  <c r="D1056" i="7"/>
  <c r="C1056" i="7"/>
  <c r="B1056" i="7"/>
  <c r="A1056" i="7"/>
  <c r="CH1056" i="17" s="1"/>
  <c r="AD1055" i="7"/>
  <c r="AC1055" i="7"/>
  <c r="AB1055" i="7"/>
  <c r="AA1055" i="7"/>
  <c r="Z1055" i="7"/>
  <c r="Y1055" i="7"/>
  <c r="X1055" i="7"/>
  <c r="W1055" i="7"/>
  <c r="V1055" i="7"/>
  <c r="U1055" i="7"/>
  <c r="T1055" i="7"/>
  <c r="S1055" i="7"/>
  <c r="R1055" i="7"/>
  <c r="Q1055" i="7"/>
  <c r="P1055" i="7"/>
  <c r="O1055" i="7"/>
  <c r="N1055" i="7"/>
  <c r="M1055" i="7"/>
  <c r="L1055" i="7"/>
  <c r="K1055" i="7"/>
  <c r="J1055" i="7"/>
  <c r="I1055" i="7"/>
  <c r="H1055" i="7"/>
  <c r="G1055" i="7"/>
  <c r="F1055" i="7"/>
  <c r="E1055" i="7"/>
  <c r="D1055" i="7"/>
  <c r="C1055" i="7"/>
  <c r="B1055" i="7"/>
  <c r="A1055" i="7"/>
  <c r="CH1055" i="17" s="1"/>
  <c r="AD1054" i="7"/>
  <c r="AC1054" i="7"/>
  <c r="AB1054" i="7"/>
  <c r="AA1054" i="7"/>
  <c r="Z1054" i="7"/>
  <c r="Y1054" i="7"/>
  <c r="X1054" i="7"/>
  <c r="W1054" i="7"/>
  <c r="V1054" i="7"/>
  <c r="U1054" i="7"/>
  <c r="T1054" i="7"/>
  <c r="S1054" i="7"/>
  <c r="R1054" i="7"/>
  <c r="Q1054" i="7"/>
  <c r="P1054" i="7"/>
  <c r="O1054" i="7"/>
  <c r="N1054" i="7"/>
  <c r="M1054" i="7"/>
  <c r="L1054" i="7"/>
  <c r="K1054" i="7"/>
  <c r="J1054" i="7"/>
  <c r="I1054" i="7"/>
  <c r="H1054" i="7"/>
  <c r="G1054" i="7"/>
  <c r="F1054" i="7"/>
  <c r="E1054" i="7"/>
  <c r="D1054" i="7"/>
  <c r="C1054" i="7"/>
  <c r="B1054" i="7"/>
  <c r="A1054" i="7"/>
  <c r="CH1054" i="17" s="1"/>
  <c r="AD1053" i="7"/>
  <c r="AC1053" i="7"/>
  <c r="AB1053" i="7"/>
  <c r="AA1053" i="7"/>
  <c r="Z1053" i="7"/>
  <c r="Y1053" i="7"/>
  <c r="X1053" i="7"/>
  <c r="W1053" i="7"/>
  <c r="V1053" i="7"/>
  <c r="U1053" i="7"/>
  <c r="T1053" i="7"/>
  <c r="S1053" i="7"/>
  <c r="R1053" i="7"/>
  <c r="Q1053" i="7"/>
  <c r="P1053" i="7"/>
  <c r="O1053" i="7"/>
  <c r="N1053" i="7"/>
  <c r="M1053" i="7"/>
  <c r="L1053" i="7"/>
  <c r="K1053" i="7"/>
  <c r="J1053" i="7"/>
  <c r="I1053" i="7"/>
  <c r="H1053" i="7"/>
  <c r="G1053" i="7"/>
  <c r="F1053" i="7"/>
  <c r="E1053" i="7"/>
  <c r="D1053" i="7"/>
  <c r="C1053" i="7"/>
  <c r="B1053" i="7"/>
  <c r="A1053" i="7"/>
  <c r="CH1053" i="17" s="1"/>
  <c r="AD1052" i="7"/>
  <c r="AC1052" i="7"/>
  <c r="AB1052" i="7"/>
  <c r="AA1052" i="7"/>
  <c r="Z1052" i="7"/>
  <c r="Y1052" i="7"/>
  <c r="X1052" i="7"/>
  <c r="W1052" i="7"/>
  <c r="V1052" i="7"/>
  <c r="U1052" i="7"/>
  <c r="T1052" i="7"/>
  <c r="S1052" i="7"/>
  <c r="R1052" i="7"/>
  <c r="Q1052" i="7"/>
  <c r="P1052" i="7"/>
  <c r="O1052" i="7"/>
  <c r="N1052" i="7"/>
  <c r="M1052" i="7"/>
  <c r="L1052" i="7"/>
  <c r="K1052" i="7"/>
  <c r="J1052" i="7"/>
  <c r="I1052" i="7"/>
  <c r="H1052" i="7"/>
  <c r="G1052" i="7"/>
  <c r="F1052" i="7"/>
  <c r="E1052" i="7"/>
  <c r="D1052" i="7"/>
  <c r="C1052" i="7"/>
  <c r="B1052" i="7"/>
  <c r="A1052" i="7"/>
  <c r="CH1052" i="17" s="1"/>
  <c r="AD1051" i="7"/>
  <c r="AC1051" i="7"/>
  <c r="AB1051" i="7"/>
  <c r="AA1051" i="7"/>
  <c r="Z1051" i="7"/>
  <c r="Y1051" i="7"/>
  <c r="X1051" i="7"/>
  <c r="W1051" i="7"/>
  <c r="V1051" i="7"/>
  <c r="U1051" i="7"/>
  <c r="T1051" i="7"/>
  <c r="S1051" i="7"/>
  <c r="R1051" i="7"/>
  <c r="Q1051" i="7"/>
  <c r="P1051" i="7"/>
  <c r="O1051" i="7"/>
  <c r="N1051" i="7"/>
  <c r="M1051" i="7"/>
  <c r="L1051" i="7"/>
  <c r="K1051" i="7"/>
  <c r="J1051" i="7"/>
  <c r="I1051" i="7"/>
  <c r="H1051" i="7"/>
  <c r="G1051" i="7"/>
  <c r="F1051" i="7"/>
  <c r="E1051" i="7"/>
  <c r="D1051" i="7"/>
  <c r="C1051" i="7"/>
  <c r="B1051" i="7"/>
  <c r="A1051" i="7"/>
  <c r="CH1051" i="17" s="1"/>
  <c r="AD1050" i="7"/>
  <c r="AC1050" i="7"/>
  <c r="AB1050" i="7"/>
  <c r="AA1050" i="7"/>
  <c r="Z1050" i="7"/>
  <c r="Y1050" i="7"/>
  <c r="X1050" i="7"/>
  <c r="W1050" i="7"/>
  <c r="V1050" i="7"/>
  <c r="U1050" i="7"/>
  <c r="T1050" i="7"/>
  <c r="S1050" i="7"/>
  <c r="R1050" i="7"/>
  <c r="Q1050" i="7"/>
  <c r="P1050" i="7"/>
  <c r="O1050" i="7"/>
  <c r="N1050" i="7"/>
  <c r="M1050" i="7"/>
  <c r="L1050" i="7"/>
  <c r="K1050" i="7"/>
  <c r="J1050" i="7"/>
  <c r="I1050" i="7"/>
  <c r="H1050" i="7"/>
  <c r="G1050" i="7"/>
  <c r="F1050" i="7"/>
  <c r="E1050" i="7"/>
  <c r="D1050" i="7"/>
  <c r="C1050" i="7"/>
  <c r="AZ1301" i="17" s="1"/>
  <c r="BA1301" i="17" s="1"/>
  <c r="BB1301" i="17" s="1"/>
  <c r="B1050" i="7"/>
  <c r="A1050" i="7"/>
  <c r="CH1050" i="17" s="1"/>
  <c r="AD1049" i="7"/>
  <c r="AC1049" i="7"/>
  <c r="AB1049" i="7"/>
  <c r="AA1049" i="7"/>
  <c r="Z1049" i="7"/>
  <c r="Y1049" i="7"/>
  <c r="X1049" i="7"/>
  <c r="W1049" i="7"/>
  <c r="V1049" i="7"/>
  <c r="U1049" i="7"/>
  <c r="T1049" i="7"/>
  <c r="S1049" i="7"/>
  <c r="R1049" i="7"/>
  <c r="Q1049" i="7"/>
  <c r="P1049" i="7"/>
  <c r="O1049" i="7"/>
  <c r="N1049" i="7"/>
  <c r="M1049" i="7"/>
  <c r="L1049" i="7"/>
  <c r="K1049" i="7"/>
  <c r="J1049" i="7"/>
  <c r="I1049" i="7"/>
  <c r="H1049" i="7"/>
  <c r="G1049" i="7"/>
  <c r="F1049" i="7"/>
  <c r="E1049" i="7"/>
  <c r="D1049" i="7"/>
  <c r="C1049" i="7"/>
  <c r="B1049" i="7"/>
  <c r="A1049" i="7"/>
  <c r="CH1049" i="17" s="1"/>
  <c r="AD1048" i="7"/>
  <c r="AC1048" i="7"/>
  <c r="AB1048" i="7"/>
  <c r="AA1048" i="7"/>
  <c r="Z1048" i="7"/>
  <c r="Y1048" i="7"/>
  <c r="X1048" i="7"/>
  <c r="W1048" i="7"/>
  <c r="V1048" i="7"/>
  <c r="U1048" i="7"/>
  <c r="T1048" i="7"/>
  <c r="S1048" i="7"/>
  <c r="R1048" i="7"/>
  <c r="Q1048" i="7"/>
  <c r="P1048" i="7"/>
  <c r="O1048" i="7"/>
  <c r="N1048" i="7"/>
  <c r="M1048" i="7"/>
  <c r="L1048" i="7"/>
  <c r="K1048" i="7"/>
  <c r="J1048" i="7"/>
  <c r="I1048" i="7"/>
  <c r="H1048" i="7"/>
  <c r="G1048" i="7"/>
  <c r="F1048" i="7"/>
  <c r="E1048" i="7"/>
  <c r="D1048" i="7"/>
  <c r="C1048" i="7"/>
  <c r="B1048" i="7"/>
  <c r="A1048" i="7"/>
  <c r="CH1048" i="17" s="1"/>
  <c r="AD1047" i="7"/>
  <c r="AC1047" i="7"/>
  <c r="AB1047" i="7"/>
  <c r="AA1047" i="7"/>
  <c r="Z1047" i="7"/>
  <c r="Y1047" i="7"/>
  <c r="X1047" i="7"/>
  <c r="W1047" i="7"/>
  <c r="V1047" i="7"/>
  <c r="U1047" i="7"/>
  <c r="T1047" i="7"/>
  <c r="S1047" i="7"/>
  <c r="R1047" i="7"/>
  <c r="Q1047" i="7"/>
  <c r="P1047" i="7"/>
  <c r="O1047" i="7"/>
  <c r="N1047" i="7"/>
  <c r="M1047" i="7"/>
  <c r="L1047" i="7"/>
  <c r="K1047" i="7"/>
  <c r="J1047" i="7"/>
  <c r="I1047" i="7"/>
  <c r="H1047" i="7"/>
  <c r="G1047" i="7"/>
  <c r="F1047" i="7"/>
  <c r="E1047" i="7"/>
  <c r="D1047" i="7"/>
  <c r="C1047" i="7"/>
  <c r="B1047" i="7"/>
  <c r="A1047" i="7"/>
  <c r="CH1047" i="17" s="1"/>
  <c r="AD1046" i="7"/>
  <c r="AC1046" i="7"/>
  <c r="AB1046" i="7"/>
  <c r="AA1046" i="7"/>
  <c r="Z1046" i="7"/>
  <c r="Y1046" i="7"/>
  <c r="X1046" i="7"/>
  <c r="W1046" i="7"/>
  <c r="V1046" i="7"/>
  <c r="U1046" i="7"/>
  <c r="T1046" i="7"/>
  <c r="S1046" i="7"/>
  <c r="R1046" i="7"/>
  <c r="Q1046" i="7"/>
  <c r="P1046" i="7"/>
  <c r="O1046" i="7"/>
  <c r="N1046" i="7"/>
  <c r="M1046" i="7"/>
  <c r="L1046" i="7"/>
  <c r="K1046" i="7"/>
  <c r="J1046" i="7"/>
  <c r="I1046" i="7"/>
  <c r="H1046" i="7"/>
  <c r="G1046" i="7"/>
  <c r="F1046" i="7"/>
  <c r="E1046" i="7"/>
  <c r="D1046" i="7"/>
  <c r="C1046" i="7"/>
  <c r="B1046" i="7"/>
  <c r="A1046" i="7"/>
  <c r="CH1046" i="17" s="1"/>
  <c r="AD1045" i="7"/>
  <c r="AC1045" i="7"/>
  <c r="AB1045" i="7"/>
  <c r="AA1045" i="7"/>
  <c r="Z1045" i="7"/>
  <c r="Y1045" i="7"/>
  <c r="X1045" i="7"/>
  <c r="W1045" i="7"/>
  <c r="V1045" i="7"/>
  <c r="U1045" i="7"/>
  <c r="T1045" i="7"/>
  <c r="S1045" i="7"/>
  <c r="R1045" i="7"/>
  <c r="Q1045" i="7"/>
  <c r="P1045" i="7"/>
  <c r="O1045" i="7"/>
  <c r="N1045" i="7"/>
  <c r="M1045" i="7"/>
  <c r="L1045" i="7"/>
  <c r="K1045" i="7"/>
  <c r="J1045" i="7"/>
  <c r="I1045" i="7"/>
  <c r="H1045" i="7"/>
  <c r="G1045" i="7"/>
  <c r="F1045" i="7"/>
  <c r="E1045" i="7"/>
  <c r="D1045" i="7"/>
  <c r="C1045" i="7"/>
  <c r="B1045" i="7"/>
  <c r="A1045" i="7"/>
  <c r="CH1045" i="17" s="1"/>
  <c r="AD1044" i="7"/>
  <c r="AC1044" i="7"/>
  <c r="AB1044" i="7"/>
  <c r="AA1044" i="7"/>
  <c r="Z1044" i="7"/>
  <c r="Y1044" i="7"/>
  <c r="X1044" i="7"/>
  <c r="W1044" i="7"/>
  <c r="V1044" i="7"/>
  <c r="U1044" i="7"/>
  <c r="T1044" i="7"/>
  <c r="S1044" i="7"/>
  <c r="R1044" i="7"/>
  <c r="Q1044" i="7"/>
  <c r="P1044" i="7"/>
  <c r="O1044" i="7"/>
  <c r="N1044" i="7"/>
  <c r="M1044" i="7"/>
  <c r="L1044" i="7"/>
  <c r="K1044" i="7"/>
  <c r="J1044" i="7"/>
  <c r="I1044" i="7"/>
  <c r="H1044" i="7"/>
  <c r="G1044" i="7"/>
  <c r="F1044" i="7"/>
  <c r="E1044" i="7"/>
  <c r="D1044" i="7"/>
  <c r="C1044" i="7"/>
  <c r="B1044" i="7"/>
  <c r="A1044" i="7"/>
  <c r="CH1044" i="17" s="1"/>
  <c r="AD1043" i="7"/>
  <c r="AC1043" i="7"/>
  <c r="AB1043" i="7"/>
  <c r="AA1043" i="7"/>
  <c r="Z1043" i="7"/>
  <c r="Y1043" i="7"/>
  <c r="X1043" i="7"/>
  <c r="W1043" i="7"/>
  <c r="V1043" i="7"/>
  <c r="U1043" i="7"/>
  <c r="T1043" i="7"/>
  <c r="S1043" i="7"/>
  <c r="R1043" i="7"/>
  <c r="Q1043" i="7"/>
  <c r="P1043" i="7"/>
  <c r="O1043" i="7"/>
  <c r="N1043" i="7"/>
  <c r="M1043" i="7"/>
  <c r="L1043" i="7"/>
  <c r="K1043" i="7"/>
  <c r="J1043" i="7"/>
  <c r="I1043" i="7"/>
  <c r="H1043" i="7"/>
  <c r="G1043" i="7"/>
  <c r="F1043" i="7"/>
  <c r="E1043" i="7"/>
  <c r="D1043" i="7"/>
  <c r="C1043" i="7"/>
  <c r="B1043" i="7"/>
  <c r="A1043" i="7"/>
  <c r="CH1043" i="17" s="1"/>
  <c r="AD1042" i="7"/>
  <c r="AC1042" i="7"/>
  <c r="AB1042" i="7"/>
  <c r="AA1042" i="7"/>
  <c r="Z1042" i="7"/>
  <c r="Y1042" i="7"/>
  <c r="X1042" i="7"/>
  <c r="W1042" i="7"/>
  <c r="V1042" i="7"/>
  <c r="U1042" i="7"/>
  <c r="T1042" i="7"/>
  <c r="S1042" i="7"/>
  <c r="R1042" i="7"/>
  <c r="Q1042" i="7"/>
  <c r="P1042" i="7"/>
  <c r="O1042" i="7"/>
  <c r="N1042" i="7"/>
  <c r="M1042" i="7"/>
  <c r="L1042" i="7"/>
  <c r="K1042" i="7"/>
  <c r="J1042" i="7"/>
  <c r="I1042" i="7"/>
  <c r="H1042" i="7"/>
  <c r="G1042" i="7"/>
  <c r="F1042" i="7"/>
  <c r="E1042" i="7"/>
  <c r="D1042" i="7"/>
  <c r="C1042" i="7"/>
  <c r="B1042" i="7"/>
  <c r="A1042" i="7"/>
  <c r="CH1042" i="17" s="1"/>
  <c r="AD1041" i="7"/>
  <c r="AC1041" i="7"/>
  <c r="AB1041" i="7"/>
  <c r="AA1041" i="7"/>
  <c r="Z1041" i="7"/>
  <c r="Y1041" i="7"/>
  <c r="X1041" i="7"/>
  <c r="W1041" i="7"/>
  <c r="V1041" i="7"/>
  <c r="U1041" i="7"/>
  <c r="T1041" i="7"/>
  <c r="S1041" i="7"/>
  <c r="R1041" i="7"/>
  <c r="Q1041" i="7"/>
  <c r="P1041" i="7"/>
  <c r="O1041" i="7"/>
  <c r="N1041" i="7"/>
  <c r="M1041" i="7"/>
  <c r="L1041" i="7"/>
  <c r="K1041" i="7"/>
  <c r="J1041" i="7"/>
  <c r="I1041" i="7"/>
  <c r="H1041" i="7"/>
  <c r="G1041" i="7"/>
  <c r="F1041" i="7"/>
  <c r="E1041" i="7"/>
  <c r="D1041" i="7"/>
  <c r="C1041" i="7"/>
  <c r="B1041" i="7"/>
  <c r="A1041" i="7"/>
  <c r="CH1041" i="17" s="1"/>
  <c r="AD1040" i="7"/>
  <c r="AC1040" i="7"/>
  <c r="AB1040" i="7"/>
  <c r="AA1040" i="7"/>
  <c r="Z1040" i="7"/>
  <c r="Y1040" i="7"/>
  <c r="X1040" i="7"/>
  <c r="W1040" i="7"/>
  <c r="V1040" i="7"/>
  <c r="U1040" i="7"/>
  <c r="T1040" i="7"/>
  <c r="S1040" i="7"/>
  <c r="R1040" i="7"/>
  <c r="Q1040" i="7"/>
  <c r="P1040" i="7"/>
  <c r="O1040" i="7"/>
  <c r="N1040" i="7"/>
  <c r="M1040" i="7"/>
  <c r="L1040" i="7"/>
  <c r="K1040" i="7"/>
  <c r="J1040" i="7"/>
  <c r="I1040" i="7"/>
  <c r="H1040" i="7"/>
  <c r="G1040" i="7"/>
  <c r="F1040" i="7"/>
  <c r="E1040" i="7"/>
  <c r="D1040" i="7"/>
  <c r="C1040" i="7"/>
  <c r="B1040" i="7"/>
  <c r="A1040" i="7"/>
  <c r="CH1040" i="17" s="1"/>
  <c r="AD1039" i="7"/>
  <c r="AC1039" i="7"/>
  <c r="AB1039" i="7"/>
  <c r="AA1039" i="7"/>
  <c r="Z1039" i="7"/>
  <c r="Y1039" i="7"/>
  <c r="X1039" i="7"/>
  <c r="W1039" i="7"/>
  <c r="V1039" i="7"/>
  <c r="U1039" i="7"/>
  <c r="T1039" i="7"/>
  <c r="S1039" i="7"/>
  <c r="R1039" i="7"/>
  <c r="Q1039" i="7"/>
  <c r="P1039" i="7"/>
  <c r="O1039" i="7"/>
  <c r="N1039" i="7"/>
  <c r="M1039" i="7"/>
  <c r="L1039" i="7"/>
  <c r="K1039" i="7"/>
  <c r="J1039" i="7"/>
  <c r="I1039" i="7"/>
  <c r="H1039" i="7"/>
  <c r="G1039" i="7"/>
  <c r="F1039" i="7"/>
  <c r="E1039" i="7"/>
  <c r="D1039" i="7"/>
  <c r="C1039" i="7"/>
  <c r="B1039" i="7"/>
  <c r="A1039" i="7"/>
  <c r="CH1039" i="17" s="1"/>
  <c r="AD1038" i="7"/>
  <c r="AC1038" i="7"/>
  <c r="AB1038" i="7"/>
  <c r="AA1038" i="7"/>
  <c r="Z1038" i="7"/>
  <c r="Y1038" i="7"/>
  <c r="X1038" i="7"/>
  <c r="W1038" i="7"/>
  <c r="V1038" i="7"/>
  <c r="U1038" i="7"/>
  <c r="T1038" i="7"/>
  <c r="S1038" i="7"/>
  <c r="R1038" i="7"/>
  <c r="Q1038" i="7"/>
  <c r="P1038" i="7"/>
  <c r="O1038" i="7"/>
  <c r="N1038" i="7"/>
  <c r="M1038" i="7"/>
  <c r="L1038" i="7"/>
  <c r="K1038" i="7"/>
  <c r="J1038" i="7"/>
  <c r="I1038" i="7"/>
  <c r="H1038" i="7"/>
  <c r="G1038" i="7"/>
  <c r="F1038" i="7"/>
  <c r="E1038" i="7"/>
  <c r="D1038" i="7"/>
  <c r="C1038" i="7"/>
  <c r="AZ1289" i="17" s="1"/>
  <c r="BA1289" i="17" s="1"/>
  <c r="BB1289" i="17" s="1"/>
  <c r="B1038" i="7"/>
  <c r="A1038" i="7"/>
  <c r="CH1038" i="17" s="1"/>
  <c r="AD1037" i="7"/>
  <c r="AC1037" i="7"/>
  <c r="AB1037" i="7"/>
  <c r="AA1037" i="7"/>
  <c r="Z1037" i="7"/>
  <c r="Y1037" i="7"/>
  <c r="X1037" i="7"/>
  <c r="W1037" i="7"/>
  <c r="V1037" i="7"/>
  <c r="U1037" i="7"/>
  <c r="T1037" i="7"/>
  <c r="S1037" i="7"/>
  <c r="R1037" i="7"/>
  <c r="Q1037" i="7"/>
  <c r="P1037" i="7"/>
  <c r="O1037" i="7"/>
  <c r="N1037" i="7"/>
  <c r="M1037" i="7"/>
  <c r="L1037" i="7"/>
  <c r="K1037" i="7"/>
  <c r="J1037" i="7"/>
  <c r="I1037" i="7"/>
  <c r="H1037" i="7"/>
  <c r="G1037" i="7"/>
  <c r="F1037" i="7"/>
  <c r="E1037" i="7"/>
  <c r="D1037" i="7"/>
  <c r="C1037" i="7"/>
  <c r="B1037" i="7"/>
  <c r="A1037" i="7"/>
  <c r="CH1037" i="17" s="1"/>
  <c r="AD1036" i="7"/>
  <c r="AC1036" i="7"/>
  <c r="AB1036" i="7"/>
  <c r="AA1036" i="7"/>
  <c r="Z1036" i="7"/>
  <c r="Y1036" i="7"/>
  <c r="X1036" i="7"/>
  <c r="W1036" i="7"/>
  <c r="V1036" i="7"/>
  <c r="U1036" i="7"/>
  <c r="T1036" i="7"/>
  <c r="S1036" i="7"/>
  <c r="R1036" i="7"/>
  <c r="Q1036" i="7"/>
  <c r="P1036" i="7"/>
  <c r="O1036" i="7"/>
  <c r="N1036" i="7"/>
  <c r="M1036" i="7"/>
  <c r="L1036" i="7"/>
  <c r="K1036" i="7"/>
  <c r="J1036" i="7"/>
  <c r="I1036" i="7"/>
  <c r="H1036" i="7"/>
  <c r="G1036" i="7"/>
  <c r="F1036" i="7"/>
  <c r="E1036" i="7"/>
  <c r="D1036" i="7"/>
  <c r="C1036" i="7"/>
  <c r="B1036" i="7"/>
  <c r="A1036" i="7"/>
  <c r="CH1036" i="17" s="1"/>
  <c r="AD1035" i="7"/>
  <c r="AC1035" i="7"/>
  <c r="AB1035" i="7"/>
  <c r="AA1035" i="7"/>
  <c r="Z1035" i="7"/>
  <c r="Y1035" i="7"/>
  <c r="X1035" i="7"/>
  <c r="W1035" i="7"/>
  <c r="V1035" i="7"/>
  <c r="U1035" i="7"/>
  <c r="T1035" i="7"/>
  <c r="S1035" i="7"/>
  <c r="R1035" i="7"/>
  <c r="Q1035" i="7"/>
  <c r="P1035" i="7"/>
  <c r="O1035" i="7"/>
  <c r="N1035" i="7"/>
  <c r="M1035" i="7"/>
  <c r="L1035" i="7"/>
  <c r="K1035" i="7"/>
  <c r="J1035" i="7"/>
  <c r="I1035" i="7"/>
  <c r="H1035" i="7"/>
  <c r="G1035" i="7"/>
  <c r="F1035" i="7"/>
  <c r="E1035" i="7"/>
  <c r="D1035" i="7"/>
  <c r="C1035" i="7"/>
  <c r="B1035" i="7"/>
  <c r="A1035" i="7"/>
  <c r="CH1035" i="17" s="1"/>
  <c r="AD1034" i="7"/>
  <c r="AC1034" i="7"/>
  <c r="AB1034" i="7"/>
  <c r="AA1034" i="7"/>
  <c r="Z1034" i="7"/>
  <c r="Y1034" i="7"/>
  <c r="X1034" i="7"/>
  <c r="W1034" i="7"/>
  <c r="V1034" i="7"/>
  <c r="U1034" i="7"/>
  <c r="T1034" i="7"/>
  <c r="S1034" i="7"/>
  <c r="R1034" i="7"/>
  <c r="Q1034" i="7"/>
  <c r="P1034" i="7"/>
  <c r="O1034" i="7"/>
  <c r="N1034" i="7"/>
  <c r="M1034" i="7"/>
  <c r="L1034" i="7"/>
  <c r="K1034" i="7"/>
  <c r="J1034" i="7"/>
  <c r="I1034" i="7"/>
  <c r="H1034" i="7"/>
  <c r="G1034" i="7"/>
  <c r="F1034" i="7"/>
  <c r="E1034" i="7"/>
  <c r="D1034" i="7"/>
  <c r="C1034" i="7"/>
  <c r="B1034" i="7"/>
  <c r="A1034" i="7"/>
  <c r="CH1034" i="17" s="1"/>
  <c r="AD1033" i="7"/>
  <c r="AC1033" i="7"/>
  <c r="AB1033" i="7"/>
  <c r="AA1033" i="7"/>
  <c r="Z1033" i="7"/>
  <c r="Y1033" i="7"/>
  <c r="X1033" i="7"/>
  <c r="W1033" i="7"/>
  <c r="V1033" i="7"/>
  <c r="U1033" i="7"/>
  <c r="T1033" i="7"/>
  <c r="S1033" i="7"/>
  <c r="R1033" i="7"/>
  <c r="Q1033" i="7"/>
  <c r="P1033" i="7"/>
  <c r="O1033" i="7"/>
  <c r="N1033" i="7"/>
  <c r="M1033" i="7"/>
  <c r="L1033" i="7"/>
  <c r="K1033" i="7"/>
  <c r="J1033" i="7"/>
  <c r="I1033" i="7"/>
  <c r="H1033" i="7"/>
  <c r="G1033" i="7"/>
  <c r="F1033" i="7"/>
  <c r="E1033" i="7"/>
  <c r="D1033" i="7"/>
  <c r="C1033" i="7"/>
  <c r="B1033" i="7"/>
  <c r="A1033" i="7"/>
  <c r="CH1033" i="17" s="1"/>
  <c r="AD1032" i="7"/>
  <c r="AC1032" i="7"/>
  <c r="AB1032" i="7"/>
  <c r="AA1032" i="7"/>
  <c r="Z1032" i="7"/>
  <c r="Y1032" i="7"/>
  <c r="X1032" i="7"/>
  <c r="W1032" i="7"/>
  <c r="V1032" i="7"/>
  <c r="U1032" i="7"/>
  <c r="T1032" i="7"/>
  <c r="S1032" i="7"/>
  <c r="R1032" i="7"/>
  <c r="Q1032" i="7"/>
  <c r="P1032" i="7"/>
  <c r="O1032" i="7"/>
  <c r="N1032" i="7"/>
  <c r="M1032" i="7"/>
  <c r="L1032" i="7"/>
  <c r="K1032" i="7"/>
  <c r="J1032" i="7"/>
  <c r="I1032" i="7"/>
  <c r="H1032" i="7"/>
  <c r="G1032" i="7"/>
  <c r="F1032" i="7"/>
  <c r="E1032" i="7"/>
  <c r="D1032" i="7"/>
  <c r="C1032" i="7"/>
  <c r="B1032" i="7"/>
  <c r="A1032" i="7"/>
  <c r="CH1032" i="17" s="1"/>
  <c r="AD1031" i="7"/>
  <c r="AC1031" i="7"/>
  <c r="AB1031" i="7"/>
  <c r="AA1031" i="7"/>
  <c r="Z1031" i="7"/>
  <c r="Y1031" i="7"/>
  <c r="X1031" i="7"/>
  <c r="W1031" i="7"/>
  <c r="V1031" i="7"/>
  <c r="U1031" i="7"/>
  <c r="T1031" i="7"/>
  <c r="S1031" i="7"/>
  <c r="R1031" i="7"/>
  <c r="Q1031" i="7"/>
  <c r="P1031" i="7"/>
  <c r="O1031" i="7"/>
  <c r="N1031" i="7"/>
  <c r="M1031" i="7"/>
  <c r="L1031" i="7"/>
  <c r="K1031" i="7"/>
  <c r="J1031" i="7"/>
  <c r="I1031" i="7"/>
  <c r="H1031" i="7"/>
  <c r="G1031" i="7"/>
  <c r="F1031" i="7"/>
  <c r="E1031" i="7"/>
  <c r="D1031" i="7"/>
  <c r="C1031" i="7"/>
  <c r="B1031" i="7"/>
  <c r="A1031" i="7"/>
  <c r="CH1031" i="17" s="1"/>
  <c r="AD1030" i="7"/>
  <c r="AC1030" i="7"/>
  <c r="AB1030" i="7"/>
  <c r="AA1030" i="7"/>
  <c r="Z1030" i="7"/>
  <c r="Y1030" i="7"/>
  <c r="X1030" i="7"/>
  <c r="W1030" i="7"/>
  <c r="V1030" i="7"/>
  <c r="U1030" i="7"/>
  <c r="T1030" i="7"/>
  <c r="S1030" i="7"/>
  <c r="R1030" i="7"/>
  <c r="Q1030" i="7"/>
  <c r="P1030" i="7"/>
  <c r="O1030" i="7"/>
  <c r="N1030" i="7"/>
  <c r="M1030" i="7"/>
  <c r="L1030" i="7"/>
  <c r="K1030" i="7"/>
  <c r="J1030" i="7"/>
  <c r="I1030" i="7"/>
  <c r="H1030" i="7"/>
  <c r="G1030" i="7"/>
  <c r="F1030" i="7"/>
  <c r="E1030" i="7"/>
  <c r="D1030" i="7"/>
  <c r="C1030" i="7"/>
  <c r="B1030" i="7"/>
  <c r="A1030" i="7"/>
  <c r="CH1030" i="17" s="1"/>
  <c r="AD1029" i="7"/>
  <c r="AC1029" i="7"/>
  <c r="AB1029" i="7"/>
  <c r="AA1029" i="7"/>
  <c r="Z1029" i="7"/>
  <c r="Y1029" i="7"/>
  <c r="X1029" i="7"/>
  <c r="W1029" i="7"/>
  <c r="V1029" i="7"/>
  <c r="U1029" i="7"/>
  <c r="T1029" i="7"/>
  <c r="S1029" i="7"/>
  <c r="R1029" i="7"/>
  <c r="Q1029" i="7"/>
  <c r="P1029" i="7"/>
  <c r="O1029" i="7"/>
  <c r="N1029" i="7"/>
  <c r="M1029" i="7"/>
  <c r="L1029" i="7"/>
  <c r="K1029" i="7"/>
  <c r="J1029" i="7"/>
  <c r="I1029" i="7"/>
  <c r="H1029" i="7"/>
  <c r="G1029" i="7"/>
  <c r="F1029" i="7"/>
  <c r="E1029" i="7"/>
  <c r="D1029" i="7"/>
  <c r="C1029" i="7"/>
  <c r="B1029" i="7"/>
  <c r="A1029" i="7"/>
  <c r="CH1029" i="17" s="1"/>
  <c r="AD1028" i="7"/>
  <c r="AC1028" i="7"/>
  <c r="AB1028" i="7"/>
  <c r="AA1028" i="7"/>
  <c r="Z1028" i="7"/>
  <c r="Y1028" i="7"/>
  <c r="X1028" i="7"/>
  <c r="W1028" i="7"/>
  <c r="V1028" i="7"/>
  <c r="U1028" i="7"/>
  <c r="T1028" i="7"/>
  <c r="S1028" i="7"/>
  <c r="R1028" i="7"/>
  <c r="Q1028" i="7"/>
  <c r="P1028" i="7"/>
  <c r="O1028" i="7"/>
  <c r="N1028" i="7"/>
  <c r="M1028" i="7"/>
  <c r="L1028" i="7"/>
  <c r="K1028" i="7"/>
  <c r="J1028" i="7"/>
  <c r="I1028" i="7"/>
  <c r="H1028" i="7"/>
  <c r="G1028" i="7"/>
  <c r="F1028" i="7"/>
  <c r="E1028" i="7"/>
  <c r="D1028" i="7"/>
  <c r="C1028" i="7"/>
  <c r="B1028" i="7"/>
  <c r="A1028" i="7"/>
  <c r="CH1028" i="17" s="1"/>
  <c r="AD1027" i="7"/>
  <c r="AC1027" i="7"/>
  <c r="AB1027" i="7"/>
  <c r="AA1027" i="7"/>
  <c r="Z1027" i="7"/>
  <c r="Y1027" i="7"/>
  <c r="X1027" i="7"/>
  <c r="W1027" i="7"/>
  <c r="V1027" i="7"/>
  <c r="U1027" i="7"/>
  <c r="T1027" i="7"/>
  <c r="S1027" i="7"/>
  <c r="R1027" i="7"/>
  <c r="Q1027" i="7"/>
  <c r="P1027" i="7"/>
  <c r="O1027" i="7"/>
  <c r="N1027" i="7"/>
  <c r="M1027" i="7"/>
  <c r="L1027" i="7"/>
  <c r="K1027" i="7"/>
  <c r="J1027" i="7"/>
  <c r="I1027" i="7"/>
  <c r="H1027" i="7"/>
  <c r="G1027" i="7"/>
  <c r="F1027" i="7"/>
  <c r="E1027" i="7"/>
  <c r="D1027" i="7"/>
  <c r="C1027" i="7"/>
  <c r="B1027" i="7"/>
  <c r="A1027" i="7"/>
  <c r="CH1027" i="17" s="1"/>
  <c r="AD1026" i="7"/>
  <c r="AC1026" i="7"/>
  <c r="AB1026" i="7"/>
  <c r="AA1026" i="7"/>
  <c r="Z1026" i="7"/>
  <c r="Y1026" i="7"/>
  <c r="X1026" i="7"/>
  <c r="W1026" i="7"/>
  <c r="V1026" i="7"/>
  <c r="U1026" i="7"/>
  <c r="T1026" i="7"/>
  <c r="S1026" i="7"/>
  <c r="R1026" i="7"/>
  <c r="Q1026" i="7"/>
  <c r="P1026" i="7"/>
  <c r="O1026" i="7"/>
  <c r="N1026" i="7"/>
  <c r="M1026" i="7"/>
  <c r="L1026" i="7"/>
  <c r="K1026" i="7"/>
  <c r="J1026" i="7"/>
  <c r="I1026" i="7"/>
  <c r="H1026" i="7"/>
  <c r="G1026" i="7"/>
  <c r="F1026" i="7"/>
  <c r="E1026" i="7"/>
  <c r="D1026" i="7"/>
  <c r="C1026" i="7"/>
  <c r="AZ1277" i="17" s="1"/>
  <c r="BA1277" i="17" s="1"/>
  <c r="BB1277" i="17" s="1"/>
  <c r="B1026" i="7"/>
  <c r="A1026" i="7"/>
  <c r="CH1026" i="17" s="1"/>
  <c r="AD1025" i="7"/>
  <c r="AC1025" i="7"/>
  <c r="AB1025" i="7"/>
  <c r="AA1025" i="7"/>
  <c r="Z1025" i="7"/>
  <c r="Y1025" i="7"/>
  <c r="X1025" i="7"/>
  <c r="W1025" i="7"/>
  <c r="V1025" i="7"/>
  <c r="U1025" i="7"/>
  <c r="T1025" i="7"/>
  <c r="S1025" i="7"/>
  <c r="R1025" i="7"/>
  <c r="Q1025" i="7"/>
  <c r="P1025" i="7"/>
  <c r="O1025" i="7"/>
  <c r="N1025" i="7"/>
  <c r="M1025" i="7"/>
  <c r="L1025" i="7"/>
  <c r="K1025" i="7"/>
  <c r="J1025" i="7"/>
  <c r="I1025" i="7"/>
  <c r="H1025" i="7"/>
  <c r="G1025" i="7"/>
  <c r="F1025" i="7"/>
  <c r="E1025" i="7"/>
  <c r="D1025" i="7"/>
  <c r="C1025" i="7"/>
  <c r="B1025" i="7"/>
  <c r="A1025" i="7"/>
  <c r="CH1025" i="17" s="1"/>
  <c r="AD1024" i="7"/>
  <c r="AC1024" i="7"/>
  <c r="AB1024" i="7"/>
  <c r="AA1024" i="7"/>
  <c r="Z1024" i="7"/>
  <c r="Y1024" i="7"/>
  <c r="X1024" i="7"/>
  <c r="W1024" i="7"/>
  <c r="V1024" i="7"/>
  <c r="U1024" i="7"/>
  <c r="T1024" i="7"/>
  <c r="S1024" i="7"/>
  <c r="R1024" i="7"/>
  <c r="Q1024" i="7"/>
  <c r="P1024" i="7"/>
  <c r="O1024" i="7"/>
  <c r="N1024" i="7"/>
  <c r="M1024" i="7"/>
  <c r="L1024" i="7"/>
  <c r="K1024" i="7"/>
  <c r="J1024" i="7"/>
  <c r="I1024" i="7"/>
  <c r="H1024" i="7"/>
  <c r="G1024" i="7"/>
  <c r="F1024" i="7"/>
  <c r="E1024" i="7"/>
  <c r="D1024" i="7"/>
  <c r="C1024" i="7"/>
  <c r="B1024" i="7"/>
  <c r="A1024" i="7"/>
  <c r="CH1024" i="17" s="1"/>
  <c r="AD1023" i="7"/>
  <c r="AC1023" i="7"/>
  <c r="AB1023" i="7"/>
  <c r="AA1023" i="7"/>
  <c r="Z1023" i="7"/>
  <c r="Y1023" i="7"/>
  <c r="X1023" i="7"/>
  <c r="W1023" i="7"/>
  <c r="V1023" i="7"/>
  <c r="U1023" i="7"/>
  <c r="T1023" i="7"/>
  <c r="S1023" i="7"/>
  <c r="R1023" i="7"/>
  <c r="Q1023" i="7"/>
  <c r="P1023" i="7"/>
  <c r="O1023" i="7"/>
  <c r="N1023" i="7"/>
  <c r="M1023" i="7"/>
  <c r="L1023" i="7"/>
  <c r="K1023" i="7"/>
  <c r="J1023" i="7"/>
  <c r="I1023" i="7"/>
  <c r="H1023" i="7"/>
  <c r="G1023" i="7"/>
  <c r="F1023" i="7"/>
  <c r="E1023" i="7"/>
  <c r="D1023" i="7"/>
  <c r="C1023" i="7"/>
  <c r="B1023" i="7"/>
  <c r="A1023" i="7"/>
  <c r="CH1023" i="17" s="1"/>
  <c r="AD1022" i="7"/>
  <c r="AC1022" i="7"/>
  <c r="AB1022" i="7"/>
  <c r="AA1022" i="7"/>
  <c r="Z1022" i="7"/>
  <c r="Y1022" i="7"/>
  <c r="X1022" i="7"/>
  <c r="W1022" i="7"/>
  <c r="V1022" i="7"/>
  <c r="U1022" i="7"/>
  <c r="T1022" i="7"/>
  <c r="S1022" i="7"/>
  <c r="R1022" i="7"/>
  <c r="Q1022" i="7"/>
  <c r="P1022" i="7"/>
  <c r="O1022" i="7"/>
  <c r="N1022" i="7"/>
  <c r="M1022" i="7"/>
  <c r="L1022" i="7"/>
  <c r="K1022" i="7"/>
  <c r="J1022" i="7"/>
  <c r="I1022" i="7"/>
  <c r="H1022" i="7"/>
  <c r="G1022" i="7"/>
  <c r="F1022" i="7"/>
  <c r="E1022" i="7"/>
  <c r="D1022" i="7"/>
  <c r="C1022" i="7"/>
  <c r="B1022" i="7"/>
  <c r="A1022" i="7"/>
  <c r="CH1022" i="17" s="1"/>
  <c r="AD1021" i="7"/>
  <c r="AC1021" i="7"/>
  <c r="AB1021" i="7"/>
  <c r="AA1021" i="7"/>
  <c r="Z1021" i="7"/>
  <c r="Y1021" i="7"/>
  <c r="X1021" i="7"/>
  <c r="W1021" i="7"/>
  <c r="V1021" i="7"/>
  <c r="U1021" i="7"/>
  <c r="T1021" i="7"/>
  <c r="S1021" i="7"/>
  <c r="R1021" i="7"/>
  <c r="Q1021" i="7"/>
  <c r="P1021" i="7"/>
  <c r="O1021" i="7"/>
  <c r="N1021" i="7"/>
  <c r="M1021" i="7"/>
  <c r="L1021" i="7"/>
  <c r="K1021" i="7"/>
  <c r="J1021" i="7"/>
  <c r="I1021" i="7"/>
  <c r="H1021" i="7"/>
  <c r="G1021" i="7"/>
  <c r="F1021" i="7"/>
  <c r="E1021" i="7"/>
  <c r="D1021" i="7"/>
  <c r="C1021" i="7"/>
  <c r="B1021" i="7"/>
  <c r="A1021" i="7"/>
  <c r="CH1021" i="17" s="1"/>
  <c r="AD1020" i="7"/>
  <c r="AC1020" i="7"/>
  <c r="AB1020" i="7"/>
  <c r="AA1020" i="7"/>
  <c r="Z1020" i="7"/>
  <c r="Y1020" i="7"/>
  <c r="X1020" i="7"/>
  <c r="W1020" i="7"/>
  <c r="V1020" i="7"/>
  <c r="U1020" i="7"/>
  <c r="T1020" i="7"/>
  <c r="S1020" i="7"/>
  <c r="R1020" i="7"/>
  <c r="Q1020" i="7"/>
  <c r="P1020" i="7"/>
  <c r="O1020" i="7"/>
  <c r="N1020" i="7"/>
  <c r="M1020" i="7"/>
  <c r="L1020" i="7"/>
  <c r="K1020" i="7"/>
  <c r="J1020" i="7"/>
  <c r="I1020" i="7"/>
  <c r="H1020" i="7"/>
  <c r="G1020" i="7"/>
  <c r="F1020" i="7"/>
  <c r="E1020" i="7"/>
  <c r="D1020" i="7"/>
  <c r="C1020" i="7"/>
  <c r="B1020" i="7"/>
  <c r="A1020" i="7"/>
  <c r="CH1020" i="17" s="1"/>
  <c r="AD1019" i="7"/>
  <c r="AC1019" i="7"/>
  <c r="AB1019" i="7"/>
  <c r="AA1019" i="7"/>
  <c r="Z1019" i="7"/>
  <c r="Y1019" i="7"/>
  <c r="X1019" i="7"/>
  <c r="W1019" i="7"/>
  <c r="V1019" i="7"/>
  <c r="U1019" i="7"/>
  <c r="T1019" i="7"/>
  <c r="S1019" i="7"/>
  <c r="R1019" i="7"/>
  <c r="Q1019" i="7"/>
  <c r="P1019" i="7"/>
  <c r="O1019" i="7"/>
  <c r="N1019" i="7"/>
  <c r="M1019" i="7"/>
  <c r="L1019" i="7"/>
  <c r="K1019" i="7"/>
  <c r="J1019" i="7"/>
  <c r="I1019" i="7"/>
  <c r="H1019" i="7"/>
  <c r="G1019" i="7"/>
  <c r="F1019" i="7"/>
  <c r="E1019" i="7"/>
  <c r="D1019" i="7"/>
  <c r="C1019" i="7"/>
  <c r="B1019" i="7"/>
  <c r="A1019" i="7"/>
  <c r="CH1019" i="17" s="1"/>
  <c r="AD1018" i="7"/>
  <c r="AC1018" i="7"/>
  <c r="AB1018" i="7"/>
  <c r="AA1018" i="7"/>
  <c r="Z1018" i="7"/>
  <c r="Y1018" i="7"/>
  <c r="X1018" i="7"/>
  <c r="W1018" i="7"/>
  <c r="V1018" i="7"/>
  <c r="U1018" i="7"/>
  <c r="T1018" i="7"/>
  <c r="S1018" i="7"/>
  <c r="R1018" i="7"/>
  <c r="Q1018" i="7"/>
  <c r="P1018" i="7"/>
  <c r="O1018" i="7"/>
  <c r="N1018" i="7"/>
  <c r="M1018" i="7"/>
  <c r="L1018" i="7"/>
  <c r="K1018" i="7"/>
  <c r="J1018" i="7"/>
  <c r="I1018" i="7"/>
  <c r="H1018" i="7"/>
  <c r="G1018" i="7"/>
  <c r="F1018" i="7"/>
  <c r="E1018" i="7"/>
  <c r="D1018" i="7"/>
  <c r="C1018" i="7"/>
  <c r="B1018" i="7"/>
  <c r="A1018" i="7"/>
  <c r="CH1018" i="17" s="1"/>
  <c r="AD1017" i="7"/>
  <c r="AC1017" i="7"/>
  <c r="AB1017" i="7"/>
  <c r="AA1017" i="7"/>
  <c r="Z1017" i="7"/>
  <c r="Y1017" i="7"/>
  <c r="X1017" i="7"/>
  <c r="W1017" i="7"/>
  <c r="V1017" i="7"/>
  <c r="U1017" i="7"/>
  <c r="T1017" i="7"/>
  <c r="S1017" i="7"/>
  <c r="R1017" i="7"/>
  <c r="Q1017" i="7"/>
  <c r="P1017" i="7"/>
  <c r="O1017" i="7"/>
  <c r="N1017" i="7"/>
  <c r="M1017" i="7"/>
  <c r="L1017" i="7"/>
  <c r="K1017" i="7"/>
  <c r="J1017" i="7"/>
  <c r="I1017" i="7"/>
  <c r="H1017" i="7"/>
  <c r="G1017" i="7"/>
  <c r="F1017" i="7"/>
  <c r="E1017" i="7"/>
  <c r="D1017" i="7"/>
  <c r="C1017" i="7"/>
  <c r="B1017" i="7"/>
  <c r="A1017" i="7"/>
  <c r="CH1017" i="17" s="1"/>
  <c r="AD1016" i="7"/>
  <c r="AC1016" i="7"/>
  <c r="AB1016" i="7"/>
  <c r="AA1016" i="7"/>
  <c r="Z1016" i="7"/>
  <c r="Y1016" i="7"/>
  <c r="X1016" i="7"/>
  <c r="W1016" i="7"/>
  <c r="V1016" i="7"/>
  <c r="U1016" i="7"/>
  <c r="T1016" i="7"/>
  <c r="S1016" i="7"/>
  <c r="R1016" i="7"/>
  <c r="Q1016" i="7"/>
  <c r="P1016" i="7"/>
  <c r="O1016" i="7"/>
  <c r="N1016" i="7"/>
  <c r="M1016" i="7"/>
  <c r="L1016" i="7"/>
  <c r="K1016" i="7"/>
  <c r="J1016" i="7"/>
  <c r="I1016" i="7"/>
  <c r="H1016" i="7"/>
  <c r="G1016" i="7"/>
  <c r="F1016" i="7"/>
  <c r="E1016" i="7"/>
  <c r="D1016" i="7"/>
  <c r="C1016" i="7"/>
  <c r="B1016" i="7"/>
  <c r="A1016" i="7"/>
  <c r="CH1016" i="17" s="1"/>
  <c r="AD1015" i="7"/>
  <c r="AC1015" i="7"/>
  <c r="AB1015" i="7"/>
  <c r="AA1015" i="7"/>
  <c r="Z1015" i="7"/>
  <c r="Y1015" i="7"/>
  <c r="X1015" i="7"/>
  <c r="W1015" i="7"/>
  <c r="V1015" i="7"/>
  <c r="U1015" i="7"/>
  <c r="T1015" i="7"/>
  <c r="S1015" i="7"/>
  <c r="R1015" i="7"/>
  <c r="Q1015" i="7"/>
  <c r="P1015" i="7"/>
  <c r="O1015" i="7"/>
  <c r="N1015" i="7"/>
  <c r="M1015" i="7"/>
  <c r="L1015" i="7"/>
  <c r="K1015" i="7"/>
  <c r="J1015" i="7"/>
  <c r="I1015" i="7"/>
  <c r="H1015" i="7"/>
  <c r="G1015" i="7"/>
  <c r="F1015" i="7"/>
  <c r="E1015" i="7"/>
  <c r="D1015" i="7"/>
  <c r="C1015" i="7"/>
  <c r="B1015" i="7"/>
  <c r="A1015" i="7"/>
  <c r="CH1015" i="17" s="1"/>
  <c r="AD1014" i="7"/>
  <c r="AC1014" i="7"/>
  <c r="AB1014" i="7"/>
  <c r="AA1014" i="7"/>
  <c r="Z1014" i="7"/>
  <c r="Y1014" i="7"/>
  <c r="X1014" i="7"/>
  <c r="W1014" i="7"/>
  <c r="V1014" i="7"/>
  <c r="U1014" i="7"/>
  <c r="T1014" i="7"/>
  <c r="S1014" i="7"/>
  <c r="R1014" i="7"/>
  <c r="Q1014" i="7"/>
  <c r="P1014" i="7"/>
  <c r="O1014" i="7"/>
  <c r="N1014" i="7"/>
  <c r="M1014" i="7"/>
  <c r="L1014" i="7"/>
  <c r="K1014" i="7"/>
  <c r="J1014" i="7"/>
  <c r="I1014" i="7"/>
  <c r="H1014" i="7"/>
  <c r="G1014" i="7"/>
  <c r="F1014" i="7"/>
  <c r="E1014" i="7"/>
  <c r="D1014" i="7"/>
  <c r="C1014" i="7"/>
  <c r="B1014" i="7"/>
  <c r="A1014" i="7"/>
  <c r="CH1014" i="17" s="1"/>
  <c r="AD1013" i="7"/>
  <c r="AC1013" i="7"/>
  <c r="AB1013" i="7"/>
  <c r="AA1013" i="7"/>
  <c r="Z1013" i="7"/>
  <c r="Y1013" i="7"/>
  <c r="X1013" i="7"/>
  <c r="W1013" i="7"/>
  <c r="V1013" i="7"/>
  <c r="U1013" i="7"/>
  <c r="T1013" i="7"/>
  <c r="S1013" i="7"/>
  <c r="R1013" i="7"/>
  <c r="Q1013" i="7"/>
  <c r="P1013" i="7"/>
  <c r="O1013" i="7"/>
  <c r="N1013" i="7"/>
  <c r="M1013" i="7"/>
  <c r="L1013" i="7"/>
  <c r="K1013" i="7"/>
  <c r="J1013" i="7"/>
  <c r="I1013" i="7"/>
  <c r="H1013" i="7"/>
  <c r="G1013" i="7"/>
  <c r="F1013" i="7"/>
  <c r="E1013" i="7"/>
  <c r="D1013" i="7"/>
  <c r="C1013" i="7"/>
  <c r="B1013" i="7"/>
  <c r="A1013" i="7"/>
  <c r="CH1013" i="17" s="1"/>
  <c r="AD1012" i="7"/>
  <c r="AC1012" i="7"/>
  <c r="AB1012" i="7"/>
  <c r="AA1012" i="7"/>
  <c r="Z1012" i="7"/>
  <c r="Y1012" i="7"/>
  <c r="X1012" i="7"/>
  <c r="W1012" i="7"/>
  <c r="V1012" i="7"/>
  <c r="U1012" i="7"/>
  <c r="T1012" i="7"/>
  <c r="S1012" i="7"/>
  <c r="R1012" i="7"/>
  <c r="Q1012" i="7"/>
  <c r="P1012" i="7"/>
  <c r="O1012" i="7"/>
  <c r="N1012" i="7"/>
  <c r="M1012" i="7"/>
  <c r="L1012" i="7"/>
  <c r="K1012" i="7"/>
  <c r="J1012" i="7"/>
  <c r="I1012" i="7"/>
  <c r="H1012" i="7"/>
  <c r="G1012" i="7"/>
  <c r="F1012" i="7"/>
  <c r="E1012" i="7"/>
  <c r="D1012" i="7"/>
  <c r="C1012" i="7"/>
  <c r="B1012" i="7"/>
  <c r="A1012" i="7"/>
  <c r="CH1012" i="17" s="1"/>
  <c r="AD1011" i="7"/>
  <c r="AC1011" i="7"/>
  <c r="AB1011" i="7"/>
  <c r="AA1011" i="7"/>
  <c r="Z1011" i="7"/>
  <c r="Y1011" i="7"/>
  <c r="X1011" i="7"/>
  <c r="W1011" i="7"/>
  <c r="V1011" i="7"/>
  <c r="U1011" i="7"/>
  <c r="T1011" i="7"/>
  <c r="S1011" i="7"/>
  <c r="R1011" i="7"/>
  <c r="Q1011" i="7"/>
  <c r="P1011" i="7"/>
  <c r="O1011" i="7"/>
  <c r="N1011" i="7"/>
  <c r="M1011" i="7"/>
  <c r="L1011" i="7"/>
  <c r="K1011" i="7"/>
  <c r="J1011" i="7"/>
  <c r="I1011" i="7"/>
  <c r="H1011" i="7"/>
  <c r="G1011" i="7"/>
  <c r="F1011" i="7"/>
  <c r="E1011" i="7"/>
  <c r="D1011" i="7"/>
  <c r="C1011" i="7"/>
  <c r="B1011" i="7"/>
  <c r="A1011" i="7"/>
  <c r="CH1011" i="17" s="1"/>
  <c r="AD1010" i="7"/>
  <c r="AC1010" i="7"/>
  <c r="AB1010" i="7"/>
  <c r="AA1010" i="7"/>
  <c r="Z1010" i="7"/>
  <c r="Y1010" i="7"/>
  <c r="X1010" i="7"/>
  <c r="W1010" i="7"/>
  <c r="V1010" i="7"/>
  <c r="U1010" i="7"/>
  <c r="T1010" i="7"/>
  <c r="S1010" i="7"/>
  <c r="R1010" i="7"/>
  <c r="Q1010" i="7"/>
  <c r="P1010" i="7"/>
  <c r="O1010" i="7"/>
  <c r="N1010" i="7"/>
  <c r="M1010" i="7"/>
  <c r="L1010" i="7"/>
  <c r="K1010" i="7"/>
  <c r="J1010" i="7"/>
  <c r="I1010" i="7"/>
  <c r="H1010" i="7"/>
  <c r="G1010" i="7"/>
  <c r="F1010" i="7"/>
  <c r="E1010" i="7"/>
  <c r="D1010" i="7"/>
  <c r="C1010" i="7"/>
  <c r="B1010" i="7"/>
  <c r="A1010" i="7"/>
  <c r="CH1010" i="17" s="1"/>
  <c r="AD1009" i="7"/>
  <c r="AC1009" i="7"/>
  <c r="AB1009" i="7"/>
  <c r="AA1009" i="7"/>
  <c r="Z1009" i="7"/>
  <c r="Y1009" i="7"/>
  <c r="X1009" i="7"/>
  <c r="W1009" i="7"/>
  <c r="V1009" i="7"/>
  <c r="U1009" i="7"/>
  <c r="T1009" i="7"/>
  <c r="S1009" i="7"/>
  <c r="R1009" i="7"/>
  <c r="Q1009" i="7"/>
  <c r="P1009" i="7"/>
  <c r="O1009" i="7"/>
  <c r="N1009" i="7"/>
  <c r="M1009" i="7"/>
  <c r="L1009" i="7"/>
  <c r="K1009" i="7"/>
  <c r="J1009" i="7"/>
  <c r="I1009" i="7"/>
  <c r="H1009" i="7"/>
  <c r="G1009" i="7"/>
  <c r="F1009" i="7"/>
  <c r="E1009" i="7"/>
  <c r="D1009" i="7"/>
  <c r="C1009" i="7"/>
  <c r="B1009" i="7"/>
  <c r="A1009" i="7"/>
  <c r="CH1009" i="17" s="1"/>
  <c r="AD1008" i="7"/>
  <c r="AC1008" i="7"/>
  <c r="AB1008" i="7"/>
  <c r="AA1008" i="7"/>
  <c r="Z1008" i="7"/>
  <c r="Y1008" i="7"/>
  <c r="X1008" i="7"/>
  <c r="W1008" i="7"/>
  <c r="V1008" i="7"/>
  <c r="U1008" i="7"/>
  <c r="T1008" i="7"/>
  <c r="S1008" i="7"/>
  <c r="R1008" i="7"/>
  <c r="Q1008" i="7"/>
  <c r="P1008" i="7"/>
  <c r="O1008" i="7"/>
  <c r="N1008" i="7"/>
  <c r="M1008" i="7"/>
  <c r="L1008" i="7"/>
  <c r="K1008" i="7"/>
  <c r="J1008" i="7"/>
  <c r="I1008" i="7"/>
  <c r="H1008" i="7"/>
  <c r="G1008" i="7"/>
  <c r="F1008" i="7"/>
  <c r="E1008" i="7"/>
  <c r="D1008" i="7"/>
  <c r="C1008" i="7"/>
  <c r="B1008" i="7"/>
  <c r="A1008" i="7"/>
  <c r="CH1008" i="17" s="1"/>
  <c r="AD1007" i="7"/>
  <c r="AC1007" i="7"/>
  <c r="AB1007" i="7"/>
  <c r="AA1007" i="7"/>
  <c r="Z1007" i="7"/>
  <c r="Y1007" i="7"/>
  <c r="X1007" i="7"/>
  <c r="W1007" i="7"/>
  <c r="V1007" i="7"/>
  <c r="U1007" i="7"/>
  <c r="T1007" i="7"/>
  <c r="S1007" i="7"/>
  <c r="R1007" i="7"/>
  <c r="Q1007" i="7"/>
  <c r="P1007" i="7"/>
  <c r="O1007" i="7"/>
  <c r="N1007" i="7"/>
  <c r="M1007" i="7"/>
  <c r="L1007" i="7"/>
  <c r="K1007" i="7"/>
  <c r="J1007" i="7"/>
  <c r="I1007" i="7"/>
  <c r="H1007" i="7"/>
  <c r="G1007" i="7"/>
  <c r="F1007" i="7"/>
  <c r="E1007" i="7"/>
  <c r="D1007" i="7"/>
  <c r="C1007" i="7"/>
  <c r="B1007" i="7"/>
  <c r="A1007" i="7"/>
  <c r="CH1007" i="17" s="1"/>
  <c r="AD1006" i="7"/>
  <c r="AC1006" i="7"/>
  <c r="AB1006" i="7"/>
  <c r="AA1006" i="7"/>
  <c r="Z1006" i="7"/>
  <c r="Y1006" i="7"/>
  <c r="X1006" i="7"/>
  <c r="W1006" i="7"/>
  <c r="V1006" i="7"/>
  <c r="U1006" i="7"/>
  <c r="T1006" i="7"/>
  <c r="S1006" i="7"/>
  <c r="R1006" i="7"/>
  <c r="Q1006" i="7"/>
  <c r="P1006" i="7"/>
  <c r="O1006" i="7"/>
  <c r="N1006" i="7"/>
  <c r="M1006" i="7"/>
  <c r="L1006" i="7"/>
  <c r="K1006" i="7"/>
  <c r="J1006" i="7"/>
  <c r="I1006" i="7"/>
  <c r="H1006" i="7"/>
  <c r="G1006" i="7"/>
  <c r="F1006" i="7"/>
  <c r="E1006" i="7"/>
  <c r="D1006" i="7"/>
  <c r="C1006" i="7"/>
  <c r="B1006" i="7"/>
  <c r="A1006" i="7"/>
  <c r="CH1006" i="17" s="1"/>
  <c r="AD1005" i="7"/>
  <c r="AC1005" i="7"/>
  <c r="AB1005" i="7"/>
  <c r="AA1005" i="7"/>
  <c r="Z1005" i="7"/>
  <c r="Y1005" i="7"/>
  <c r="X1005" i="7"/>
  <c r="W1005" i="7"/>
  <c r="V1005" i="7"/>
  <c r="U1005" i="7"/>
  <c r="T1005" i="7"/>
  <c r="S1005" i="7"/>
  <c r="R1005" i="7"/>
  <c r="Q1005" i="7"/>
  <c r="P1005" i="7"/>
  <c r="O1005" i="7"/>
  <c r="N1005" i="7"/>
  <c r="M1005" i="7"/>
  <c r="L1005" i="7"/>
  <c r="K1005" i="7"/>
  <c r="J1005" i="7"/>
  <c r="I1005" i="7"/>
  <c r="H1005" i="7"/>
  <c r="G1005" i="7"/>
  <c r="F1005" i="7"/>
  <c r="E1005" i="7"/>
  <c r="D1005" i="7"/>
  <c r="C1005" i="7"/>
  <c r="B1005" i="7"/>
  <c r="A1005" i="7"/>
  <c r="CH1005" i="17" s="1"/>
  <c r="AD1004" i="7"/>
  <c r="AC1004" i="7"/>
  <c r="AB1004" i="7"/>
  <c r="AA1004" i="7"/>
  <c r="Z1004" i="7"/>
  <c r="Y1004" i="7"/>
  <c r="X1004" i="7"/>
  <c r="W1004" i="7"/>
  <c r="V1004" i="7"/>
  <c r="U1004" i="7"/>
  <c r="T1004" i="7"/>
  <c r="S1004" i="7"/>
  <c r="R1004" i="7"/>
  <c r="Q1004" i="7"/>
  <c r="P1004" i="7"/>
  <c r="O1004" i="7"/>
  <c r="N1004" i="7"/>
  <c r="M1004" i="7"/>
  <c r="L1004" i="7"/>
  <c r="K1004" i="7"/>
  <c r="J1004" i="7"/>
  <c r="I1004" i="7"/>
  <c r="H1004" i="7"/>
  <c r="G1004" i="7"/>
  <c r="F1004" i="7"/>
  <c r="E1004" i="7"/>
  <c r="D1004" i="7"/>
  <c r="C1004" i="7"/>
  <c r="B1004" i="7"/>
  <c r="AT1255" i="17" s="1"/>
  <c r="AU1255" i="17" s="1"/>
  <c r="AV1255" i="17" s="1"/>
  <c r="A1004" i="7"/>
  <c r="CH1004" i="17" s="1"/>
  <c r="AD1003" i="7"/>
  <c r="AC1003" i="7"/>
  <c r="AB1003" i="7"/>
  <c r="AA1003" i="7"/>
  <c r="Z1003" i="7"/>
  <c r="Y1003" i="7"/>
  <c r="X1003" i="7"/>
  <c r="W1003" i="7"/>
  <c r="V1003" i="7"/>
  <c r="U1003" i="7"/>
  <c r="T1003" i="7"/>
  <c r="S1003" i="7"/>
  <c r="R1003" i="7"/>
  <c r="Q1003" i="7"/>
  <c r="P1003" i="7"/>
  <c r="O1003" i="7"/>
  <c r="N1003" i="7"/>
  <c r="M1003" i="7"/>
  <c r="L1003" i="7"/>
  <c r="K1003" i="7"/>
  <c r="J1003" i="7"/>
  <c r="I1003" i="7"/>
  <c r="H1003" i="7"/>
  <c r="G1003" i="7"/>
  <c r="F1003" i="7"/>
  <c r="E1003" i="7"/>
  <c r="D1003" i="7"/>
  <c r="C1003" i="7"/>
  <c r="B1003" i="7"/>
  <c r="A1003" i="7"/>
  <c r="CH1003" i="17" s="1"/>
  <c r="AD1002" i="7"/>
  <c r="AC1002" i="7"/>
  <c r="AB1002" i="7"/>
  <c r="AA1002" i="7"/>
  <c r="Z1002" i="7"/>
  <c r="Y1002" i="7"/>
  <c r="X1002" i="7"/>
  <c r="W1002" i="7"/>
  <c r="V1002" i="7"/>
  <c r="U1002" i="7"/>
  <c r="T1002" i="7"/>
  <c r="S1002" i="7"/>
  <c r="R1002" i="7"/>
  <c r="Q1002" i="7"/>
  <c r="P1002" i="7"/>
  <c r="O1002" i="7"/>
  <c r="N1002" i="7"/>
  <c r="M1002" i="7"/>
  <c r="L1002" i="7"/>
  <c r="K1002" i="7"/>
  <c r="J1002" i="7"/>
  <c r="I1002" i="7"/>
  <c r="H1002" i="7"/>
  <c r="G1002" i="7"/>
  <c r="F1002" i="7"/>
  <c r="E1002" i="7"/>
  <c r="D1002" i="7"/>
  <c r="C1002" i="7"/>
  <c r="B1002" i="7"/>
  <c r="A1002" i="7"/>
  <c r="CH1002" i="17" s="1"/>
  <c r="AD1001" i="7"/>
  <c r="AC1001" i="7"/>
  <c r="AB1001" i="7"/>
  <c r="AA1001" i="7"/>
  <c r="Z1001" i="7"/>
  <c r="Y1001" i="7"/>
  <c r="X1001" i="7"/>
  <c r="W1001" i="7"/>
  <c r="V1001" i="7"/>
  <c r="U1001" i="7"/>
  <c r="T1001" i="7"/>
  <c r="S1001" i="7"/>
  <c r="R1001" i="7"/>
  <c r="Q1001" i="7"/>
  <c r="P1001" i="7"/>
  <c r="O1001" i="7"/>
  <c r="N1001" i="7"/>
  <c r="M1001" i="7"/>
  <c r="L1001" i="7"/>
  <c r="K1001" i="7"/>
  <c r="J1001" i="7"/>
  <c r="I1001" i="7"/>
  <c r="H1001" i="7"/>
  <c r="G1001" i="7"/>
  <c r="F1001" i="7"/>
  <c r="E1001" i="7"/>
  <c r="D1001" i="7"/>
  <c r="C1001" i="7"/>
  <c r="B1001" i="7"/>
  <c r="A1001" i="7"/>
  <c r="CH1001" i="17" s="1"/>
  <c r="AD1000" i="7"/>
  <c r="AC1000" i="7"/>
  <c r="AB1000" i="7"/>
  <c r="AA1000" i="7"/>
  <c r="Z1000" i="7"/>
  <c r="Y1000" i="7"/>
  <c r="X1000" i="7"/>
  <c r="W1000" i="7"/>
  <c r="V1000" i="7"/>
  <c r="U1000" i="7"/>
  <c r="T1000" i="7"/>
  <c r="S1000" i="7"/>
  <c r="R1000" i="7"/>
  <c r="Q1000" i="7"/>
  <c r="P1000" i="7"/>
  <c r="O1000" i="7"/>
  <c r="N1000" i="7"/>
  <c r="M1000" i="7"/>
  <c r="L1000" i="7"/>
  <c r="K1000" i="7"/>
  <c r="J1000" i="7"/>
  <c r="I1000" i="7"/>
  <c r="H1000" i="7"/>
  <c r="G1000" i="7"/>
  <c r="F1000" i="7"/>
  <c r="E1000" i="7"/>
  <c r="D1000" i="7"/>
  <c r="C1000" i="7"/>
  <c r="B1000" i="7"/>
  <c r="A1000" i="7"/>
  <c r="CH1000" i="17" s="1"/>
  <c r="AD999" i="7"/>
  <c r="AC999" i="7"/>
  <c r="AB999" i="7"/>
  <c r="AA999" i="7"/>
  <c r="Z999" i="7"/>
  <c r="Y999" i="7"/>
  <c r="X999" i="7"/>
  <c r="W999" i="7"/>
  <c r="V999" i="7"/>
  <c r="U999" i="7"/>
  <c r="T999" i="7"/>
  <c r="S999" i="7"/>
  <c r="R999" i="7"/>
  <c r="Q999" i="7"/>
  <c r="P999" i="7"/>
  <c r="O999" i="7"/>
  <c r="N999" i="7"/>
  <c r="M999" i="7"/>
  <c r="L999" i="7"/>
  <c r="K999" i="7"/>
  <c r="J999" i="7"/>
  <c r="I999" i="7"/>
  <c r="H999" i="7"/>
  <c r="G999" i="7"/>
  <c r="F999" i="7"/>
  <c r="E999" i="7"/>
  <c r="D999" i="7"/>
  <c r="C999" i="7"/>
  <c r="B999" i="7"/>
  <c r="A999" i="7"/>
  <c r="CH999" i="17" s="1"/>
  <c r="AD998" i="7"/>
  <c r="AC998" i="7"/>
  <c r="AB998" i="7"/>
  <c r="AA998" i="7"/>
  <c r="Z998" i="7"/>
  <c r="Y998" i="7"/>
  <c r="X998" i="7"/>
  <c r="W998" i="7"/>
  <c r="V998" i="7"/>
  <c r="U998" i="7"/>
  <c r="T998" i="7"/>
  <c r="S998" i="7"/>
  <c r="R998" i="7"/>
  <c r="Q998" i="7"/>
  <c r="P998" i="7"/>
  <c r="O998" i="7"/>
  <c r="N998" i="7"/>
  <c r="M998" i="7"/>
  <c r="L998" i="7"/>
  <c r="K998" i="7"/>
  <c r="J998" i="7"/>
  <c r="I998" i="7"/>
  <c r="H998" i="7"/>
  <c r="G998" i="7"/>
  <c r="F998" i="7"/>
  <c r="E998" i="7"/>
  <c r="D998" i="7"/>
  <c r="C998" i="7"/>
  <c r="B998" i="7"/>
  <c r="A998" i="7"/>
  <c r="CH998" i="17" s="1"/>
  <c r="AD997" i="7"/>
  <c r="AC997" i="7"/>
  <c r="AB997" i="7"/>
  <c r="AA997" i="7"/>
  <c r="Z997" i="7"/>
  <c r="Y997" i="7"/>
  <c r="X997" i="7"/>
  <c r="W997" i="7"/>
  <c r="V997" i="7"/>
  <c r="U997" i="7"/>
  <c r="T997" i="7"/>
  <c r="S997" i="7"/>
  <c r="R997" i="7"/>
  <c r="Q997" i="7"/>
  <c r="P997" i="7"/>
  <c r="O997" i="7"/>
  <c r="N997" i="7"/>
  <c r="M997" i="7"/>
  <c r="L997" i="7"/>
  <c r="K997" i="7"/>
  <c r="J997" i="7"/>
  <c r="I997" i="7"/>
  <c r="H997" i="7"/>
  <c r="G997" i="7"/>
  <c r="F997" i="7"/>
  <c r="E997" i="7"/>
  <c r="D997" i="7"/>
  <c r="C997" i="7"/>
  <c r="B997" i="7"/>
  <c r="A997" i="7"/>
  <c r="CH997" i="17" s="1"/>
  <c r="AD996" i="7"/>
  <c r="AC996" i="7"/>
  <c r="AB996" i="7"/>
  <c r="AA996" i="7"/>
  <c r="Z996" i="7"/>
  <c r="Y996" i="7"/>
  <c r="X996" i="7"/>
  <c r="W996" i="7"/>
  <c r="V996" i="7"/>
  <c r="U996" i="7"/>
  <c r="T996" i="7"/>
  <c r="S996" i="7"/>
  <c r="R996" i="7"/>
  <c r="Q996" i="7"/>
  <c r="P996" i="7"/>
  <c r="O996" i="7"/>
  <c r="N996" i="7"/>
  <c r="M996" i="7"/>
  <c r="L996" i="7"/>
  <c r="K996" i="7"/>
  <c r="J996" i="7"/>
  <c r="I996" i="7"/>
  <c r="H996" i="7"/>
  <c r="G996" i="7"/>
  <c r="F996" i="7"/>
  <c r="E996" i="7"/>
  <c r="D996" i="7"/>
  <c r="C996" i="7"/>
  <c r="B996" i="7"/>
  <c r="A996" i="7"/>
  <c r="CH996" i="17" s="1"/>
  <c r="AD995" i="7"/>
  <c r="AC995" i="7"/>
  <c r="AB995" i="7"/>
  <c r="AA995" i="7"/>
  <c r="Z995" i="7"/>
  <c r="Y995" i="7"/>
  <c r="X995" i="7"/>
  <c r="W995" i="7"/>
  <c r="V995" i="7"/>
  <c r="U995" i="7"/>
  <c r="T995" i="7"/>
  <c r="S995" i="7"/>
  <c r="R995" i="7"/>
  <c r="Q995" i="7"/>
  <c r="P995" i="7"/>
  <c r="O995" i="7"/>
  <c r="N995" i="7"/>
  <c r="M995" i="7"/>
  <c r="L995" i="7"/>
  <c r="K995" i="7"/>
  <c r="J995" i="7"/>
  <c r="I995" i="7"/>
  <c r="H995" i="7"/>
  <c r="G995" i="7"/>
  <c r="F995" i="7"/>
  <c r="E995" i="7"/>
  <c r="D995" i="7"/>
  <c r="C995" i="7"/>
  <c r="B995" i="7"/>
  <c r="A995" i="7"/>
  <c r="CH995" i="17" s="1"/>
  <c r="AD994" i="7"/>
  <c r="AC994" i="7"/>
  <c r="AB994" i="7"/>
  <c r="AA994" i="7"/>
  <c r="Z994" i="7"/>
  <c r="Y994" i="7"/>
  <c r="X994" i="7"/>
  <c r="W994" i="7"/>
  <c r="V994" i="7"/>
  <c r="U994" i="7"/>
  <c r="T994" i="7"/>
  <c r="S994" i="7"/>
  <c r="R994" i="7"/>
  <c r="Q994" i="7"/>
  <c r="P994" i="7"/>
  <c r="O994" i="7"/>
  <c r="N994" i="7"/>
  <c r="M994" i="7"/>
  <c r="L994" i="7"/>
  <c r="K994" i="7"/>
  <c r="J994" i="7"/>
  <c r="I994" i="7"/>
  <c r="H994" i="7"/>
  <c r="G994" i="7"/>
  <c r="F994" i="7"/>
  <c r="E994" i="7"/>
  <c r="D994" i="7"/>
  <c r="C994" i="7"/>
  <c r="B994" i="7"/>
  <c r="A994" i="7"/>
  <c r="CH994" i="17" s="1"/>
  <c r="AD993" i="7"/>
  <c r="AC993" i="7"/>
  <c r="AB993" i="7"/>
  <c r="AA993" i="7"/>
  <c r="Z993" i="7"/>
  <c r="Y993" i="7"/>
  <c r="X993" i="7"/>
  <c r="W993" i="7"/>
  <c r="V993" i="7"/>
  <c r="U993" i="7"/>
  <c r="T993" i="7"/>
  <c r="S993" i="7"/>
  <c r="R993" i="7"/>
  <c r="Q993" i="7"/>
  <c r="P993" i="7"/>
  <c r="O993" i="7"/>
  <c r="N993" i="7"/>
  <c r="M993" i="7"/>
  <c r="L993" i="7"/>
  <c r="K993" i="7"/>
  <c r="J993" i="7"/>
  <c r="I993" i="7"/>
  <c r="H993" i="7"/>
  <c r="G993" i="7"/>
  <c r="F993" i="7"/>
  <c r="E993" i="7"/>
  <c r="D993" i="7"/>
  <c r="C993" i="7"/>
  <c r="B993" i="7"/>
  <c r="A993" i="7"/>
  <c r="CH993" i="17" s="1"/>
  <c r="AD992" i="7"/>
  <c r="AC992" i="7"/>
  <c r="AB992" i="7"/>
  <c r="AA992" i="7"/>
  <c r="Z992" i="7"/>
  <c r="Y992" i="7"/>
  <c r="X992" i="7"/>
  <c r="W992" i="7"/>
  <c r="V992" i="7"/>
  <c r="U992" i="7"/>
  <c r="T992" i="7"/>
  <c r="S992" i="7"/>
  <c r="R992" i="7"/>
  <c r="Q992" i="7"/>
  <c r="P992" i="7"/>
  <c r="O992" i="7"/>
  <c r="N992" i="7"/>
  <c r="M992" i="7"/>
  <c r="L992" i="7"/>
  <c r="K992" i="7"/>
  <c r="J992" i="7"/>
  <c r="I992" i="7"/>
  <c r="H992" i="7"/>
  <c r="G992" i="7"/>
  <c r="F992" i="7"/>
  <c r="E992" i="7"/>
  <c r="D992" i="7"/>
  <c r="C992" i="7"/>
  <c r="B992" i="7"/>
  <c r="A992" i="7"/>
  <c r="CH992" i="17" s="1"/>
  <c r="AD991" i="7"/>
  <c r="AC991" i="7"/>
  <c r="AB991" i="7"/>
  <c r="AA991" i="7"/>
  <c r="Z991" i="7"/>
  <c r="Y991" i="7"/>
  <c r="X991" i="7"/>
  <c r="W991" i="7"/>
  <c r="V991" i="7"/>
  <c r="U991" i="7"/>
  <c r="T991" i="7"/>
  <c r="S991" i="7"/>
  <c r="R991" i="7"/>
  <c r="Q991" i="7"/>
  <c r="P991" i="7"/>
  <c r="O991" i="7"/>
  <c r="N991" i="7"/>
  <c r="M991" i="7"/>
  <c r="L991" i="7"/>
  <c r="K991" i="7"/>
  <c r="J991" i="7"/>
  <c r="I991" i="7"/>
  <c r="H991" i="7"/>
  <c r="G991" i="7"/>
  <c r="F991" i="7"/>
  <c r="E991" i="7"/>
  <c r="D991" i="7"/>
  <c r="C991" i="7"/>
  <c r="B991" i="7"/>
  <c r="A991" i="7"/>
  <c r="CH991" i="17" s="1"/>
  <c r="AD990" i="7"/>
  <c r="AC990" i="7"/>
  <c r="AB990" i="7"/>
  <c r="AA990" i="7"/>
  <c r="Z990" i="7"/>
  <c r="Y990" i="7"/>
  <c r="X990" i="7"/>
  <c r="W990" i="7"/>
  <c r="V990" i="7"/>
  <c r="U990" i="7"/>
  <c r="T990" i="7"/>
  <c r="S990" i="7"/>
  <c r="R990" i="7"/>
  <c r="Q990" i="7"/>
  <c r="P990" i="7"/>
  <c r="O990" i="7"/>
  <c r="N990" i="7"/>
  <c r="M990" i="7"/>
  <c r="L990" i="7"/>
  <c r="K990" i="7"/>
  <c r="J990" i="7"/>
  <c r="I990" i="7"/>
  <c r="H990" i="7"/>
  <c r="G990" i="7"/>
  <c r="F990" i="7"/>
  <c r="E990" i="7"/>
  <c r="D990" i="7"/>
  <c r="C990" i="7"/>
  <c r="B990" i="7"/>
  <c r="A990" i="7"/>
  <c r="CH990" i="17" s="1"/>
  <c r="AD989" i="7"/>
  <c r="AC989" i="7"/>
  <c r="AB989" i="7"/>
  <c r="AA989" i="7"/>
  <c r="Z989" i="7"/>
  <c r="Y989" i="7"/>
  <c r="X989" i="7"/>
  <c r="W989" i="7"/>
  <c r="V989" i="7"/>
  <c r="U989" i="7"/>
  <c r="T989" i="7"/>
  <c r="S989" i="7"/>
  <c r="R989" i="7"/>
  <c r="Q989" i="7"/>
  <c r="P989" i="7"/>
  <c r="O989" i="7"/>
  <c r="N989" i="7"/>
  <c r="M989" i="7"/>
  <c r="L989" i="7"/>
  <c r="K989" i="7"/>
  <c r="J989" i="7"/>
  <c r="I989" i="7"/>
  <c r="H989" i="7"/>
  <c r="G989" i="7"/>
  <c r="F989" i="7"/>
  <c r="E989" i="7"/>
  <c r="D989" i="7"/>
  <c r="C989" i="7"/>
  <c r="B989" i="7"/>
  <c r="A989" i="7"/>
  <c r="CH989" i="17" s="1"/>
  <c r="AD988" i="7"/>
  <c r="AC988" i="7"/>
  <c r="AB988" i="7"/>
  <c r="AA988" i="7"/>
  <c r="Z988" i="7"/>
  <c r="Y988" i="7"/>
  <c r="X988" i="7"/>
  <c r="W988" i="7"/>
  <c r="V988" i="7"/>
  <c r="U988" i="7"/>
  <c r="T988" i="7"/>
  <c r="S988" i="7"/>
  <c r="R988" i="7"/>
  <c r="Q988" i="7"/>
  <c r="P988" i="7"/>
  <c r="O988" i="7"/>
  <c r="N988" i="7"/>
  <c r="M988" i="7"/>
  <c r="L988" i="7"/>
  <c r="K988" i="7"/>
  <c r="J988" i="7"/>
  <c r="I988" i="7"/>
  <c r="H988" i="7"/>
  <c r="G988" i="7"/>
  <c r="F988" i="7"/>
  <c r="E988" i="7"/>
  <c r="D988" i="7"/>
  <c r="C988" i="7"/>
  <c r="B988" i="7"/>
  <c r="A988" i="7"/>
  <c r="CH988" i="17" s="1"/>
  <c r="AD987" i="7"/>
  <c r="AC987" i="7"/>
  <c r="AB987" i="7"/>
  <c r="AA987" i="7"/>
  <c r="Z987" i="7"/>
  <c r="Y987" i="7"/>
  <c r="X987" i="7"/>
  <c r="W987" i="7"/>
  <c r="V987" i="7"/>
  <c r="U987" i="7"/>
  <c r="T987" i="7"/>
  <c r="S987" i="7"/>
  <c r="R987" i="7"/>
  <c r="Q987" i="7"/>
  <c r="P987" i="7"/>
  <c r="O987" i="7"/>
  <c r="N987" i="7"/>
  <c r="M987" i="7"/>
  <c r="L987" i="7"/>
  <c r="K987" i="7"/>
  <c r="J987" i="7"/>
  <c r="I987" i="7"/>
  <c r="H987" i="7"/>
  <c r="G987" i="7"/>
  <c r="F987" i="7"/>
  <c r="E987" i="7"/>
  <c r="D987" i="7"/>
  <c r="C987" i="7"/>
  <c r="B987" i="7"/>
  <c r="A987" i="7"/>
  <c r="CH987" i="17" s="1"/>
  <c r="AD986" i="7"/>
  <c r="AC986" i="7"/>
  <c r="AB986" i="7"/>
  <c r="AA986" i="7"/>
  <c r="Z986" i="7"/>
  <c r="Y986" i="7"/>
  <c r="X986" i="7"/>
  <c r="W986" i="7"/>
  <c r="V986" i="7"/>
  <c r="U986" i="7"/>
  <c r="T986" i="7"/>
  <c r="S986" i="7"/>
  <c r="R986" i="7"/>
  <c r="Q986" i="7"/>
  <c r="P986" i="7"/>
  <c r="O986" i="7"/>
  <c r="N986" i="7"/>
  <c r="M986" i="7"/>
  <c r="L986" i="7"/>
  <c r="K986" i="7"/>
  <c r="J986" i="7"/>
  <c r="I986" i="7"/>
  <c r="H986" i="7"/>
  <c r="G986" i="7"/>
  <c r="F986" i="7"/>
  <c r="E986" i="7"/>
  <c r="D986" i="7"/>
  <c r="C986" i="7"/>
  <c r="B986" i="7"/>
  <c r="A986" i="7"/>
  <c r="CH986" i="17" s="1"/>
  <c r="AD985" i="7"/>
  <c r="AC985" i="7"/>
  <c r="AB985" i="7"/>
  <c r="AA985" i="7"/>
  <c r="Z985" i="7"/>
  <c r="Y985" i="7"/>
  <c r="X985" i="7"/>
  <c r="W985" i="7"/>
  <c r="V985" i="7"/>
  <c r="U985" i="7"/>
  <c r="T985" i="7"/>
  <c r="S985" i="7"/>
  <c r="R985" i="7"/>
  <c r="Q985" i="7"/>
  <c r="P985" i="7"/>
  <c r="O985" i="7"/>
  <c r="N985" i="7"/>
  <c r="M985" i="7"/>
  <c r="L985" i="7"/>
  <c r="K985" i="7"/>
  <c r="J985" i="7"/>
  <c r="I985" i="7"/>
  <c r="H985" i="7"/>
  <c r="G985" i="7"/>
  <c r="F985" i="7"/>
  <c r="E985" i="7"/>
  <c r="D985" i="7"/>
  <c r="C985" i="7"/>
  <c r="B985" i="7"/>
  <c r="A985" i="7"/>
  <c r="CH985" i="17" s="1"/>
  <c r="AD984" i="7"/>
  <c r="AC984" i="7"/>
  <c r="AB984" i="7"/>
  <c r="AA984" i="7"/>
  <c r="Z984" i="7"/>
  <c r="Y984" i="7"/>
  <c r="X984" i="7"/>
  <c r="W984" i="7"/>
  <c r="V984" i="7"/>
  <c r="U984" i="7"/>
  <c r="T984" i="7"/>
  <c r="S984" i="7"/>
  <c r="R984" i="7"/>
  <c r="Q984" i="7"/>
  <c r="P984" i="7"/>
  <c r="O984" i="7"/>
  <c r="N984" i="7"/>
  <c r="M984" i="7"/>
  <c r="L984" i="7"/>
  <c r="K984" i="7"/>
  <c r="J984" i="7"/>
  <c r="I984" i="7"/>
  <c r="H984" i="7"/>
  <c r="G984" i="7"/>
  <c r="F984" i="7"/>
  <c r="E984" i="7"/>
  <c r="D984" i="7"/>
  <c r="C984" i="7"/>
  <c r="B984" i="7"/>
  <c r="A984" i="7"/>
  <c r="CH984" i="17" s="1"/>
  <c r="AD983" i="7"/>
  <c r="AC983" i="7"/>
  <c r="AB983" i="7"/>
  <c r="AA983" i="7"/>
  <c r="Z983" i="7"/>
  <c r="Y983" i="7"/>
  <c r="X983" i="7"/>
  <c r="W983" i="7"/>
  <c r="V983" i="7"/>
  <c r="U983" i="7"/>
  <c r="T983" i="7"/>
  <c r="S983" i="7"/>
  <c r="R983" i="7"/>
  <c r="Q983" i="7"/>
  <c r="P983" i="7"/>
  <c r="O983" i="7"/>
  <c r="N983" i="7"/>
  <c r="M983" i="7"/>
  <c r="L983" i="7"/>
  <c r="K983" i="7"/>
  <c r="J983" i="7"/>
  <c r="I983" i="7"/>
  <c r="H983" i="7"/>
  <c r="G983" i="7"/>
  <c r="F983" i="7"/>
  <c r="E983" i="7"/>
  <c r="D983" i="7"/>
  <c r="C983" i="7"/>
  <c r="B983" i="7"/>
  <c r="A983" i="7"/>
  <c r="CH983" i="17" s="1"/>
  <c r="AD982" i="7"/>
  <c r="AC982" i="7"/>
  <c r="AB982" i="7"/>
  <c r="AA982" i="7"/>
  <c r="Z982" i="7"/>
  <c r="Y982" i="7"/>
  <c r="X982" i="7"/>
  <c r="W982" i="7"/>
  <c r="V982" i="7"/>
  <c r="U982" i="7"/>
  <c r="T982" i="7"/>
  <c r="S982" i="7"/>
  <c r="R982" i="7"/>
  <c r="Q982" i="7"/>
  <c r="P982" i="7"/>
  <c r="O982" i="7"/>
  <c r="N982" i="7"/>
  <c r="M982" i="7"/>
  <c r="L982" i="7"/>
  <c r="K982" i="7"/>
  <c r="J982" i="7"/>
  <c r="I982" i="7"/>
  <c r="H982" i="7"/>
  <c r="G982" i="7"/>
  <c r="F982" i="7"/>
  <c r="E982" i="7"/>
  <c r="D982" i="7"/>
  <c r="C982" i="7"/>
  <c r="B982" i="7"/>
  <c r="A982" i="7"/>
  <c r="CH982" i="17" s="1"/>
  <c r="AD981" i="7"/>
  <c r="AC981" i="7"/>
  <c r="AB981" i="7"/>
  <c r="AA981" i="7"/>
  <c r="Z981" i="7"/>
  <c r="Y981" i="7"/>
  <c r="X981" i="7"/>
  <c r="W981" i="7"/>
  <c r="V981" i="7"/>
  <c r="U981" i="7"/>
  <c r="T981" i="7"/>
  <c r="S981" i="7"/>
  <c r="R981" i="7"/>
  <c r="Q981" i="7"/>
  <c r="P981" i="7"/>
  <c r="O981" i="7"/>
  <c r="N981" i="7"/>
  <c r="M981" i="7"/>
  <c r="L981" i="7"/>
  <c r="K981" i="7"/>
  <c r="J981" i="7"/>
  <c r="I981" i="7"/>
  <c r="H981" i="7"/>
  <c r="G981" i="7"/>
  <c r="F981" i="7"/>
  <c r="E981" i="7"/>
  <c r="D981" i="7"/>
  <c r="C981" i="7"/>
  <c r="B981" i="7"/>
  <c r="A981" i="7"/>
  <c r="CH981" i="17" s="1"/>
  <c r="AD980" i="7"/>
  <c r="AC980" i="7"/>
  <c r="AB980" i="7"/>
  <c r="AA980" i="7"/>
  <c r="Z980" i="7"/>
  <c r="Y980" i="7"/>
  <c r="X980" i="7"/>
  <c r="W980" i="7"/>
  <c r="V980" i="7"/>
  <c r="U980" i="7"/>
  <c r="T980" i="7"/>
  <c r="S980" i="7"/>
  <c r="R980" i="7"/>
  <c r="Q980" i="7"/>
  <c r="P980" i="7"/>
  <c r="O980" i="7"/>
  <c r="N980" i="7"/>
  <c r="M980" i="7"/>
  <c r="L980" i="7"/>
  <c r="K980" i="7"/>
  <c r="J980" i="7"/>
  <c r="I980" i="7"/>
  <c r="H980" i="7"/>
  <c r="G980" i="7"/>
  <c r="F980" i="7"/>
  <c r="E980" i="7"/>
  <c r="D980" i="7"/>
  <c r="C980" i="7"/>
  <c r="B980" i="7"/>
  <c r="A980" i="7"/>
  <c r="CH980" i="17" s="1"/>
  <c r="AD979" i="7"/>
  <c r="AC979" i="7"/>
  <c r="AB979" i="7"/>
  <c r="AA979" i="7"/>
  <c r="Z979" i="7"/>
  <c r="Y979" i="7"/>
  <c r="X979" i="7"/>
  <c r="W979" i="7"/>
  <c r="V979" i="7"/>
  <c r="U979" i="7"/>
  <c r="T979" i="7"/>
  <c r="S979" i="7"/>
  <c r="R979" i="7"/>
  <c r="Q979" i="7"/>
  <c r="P979" i="7"/>
  <c r="O979" i="7"/>
  <c r="N979" i="7"/>
  <c r="M979" i="7"/>
  <c r="L979" i="7"/>
  <c r="K979" i="7"/>
  <c r="J979" i="7"/>
  <c r="I979" i="7"/>
  <c r="H979" i="7"/>
  <c r="G979" i="7"/>
  <c r="F979" i="7"/>
  <c r="E979" i="7"/>
  <c r="D979" i="7"/>
  <c r="C979" i="7"/>
  <c r="B979" i="7"/>
  <c r="A979" i="7"/>
  <c r="CH979" i="17" s="1"/>
  <c r="AD978" i="7"/>
  <c r="AC978" i="7"/>
  <c r="AB978" i="7"/>
  <c r="AA978" i="7"/>
  <c r="Z978" i="7"/>
  <c r="Y978" i="7"/>
  <c r="X978" i="7"/>
  <c r="W978" i="7"/>
  <c r="V978" i="7"/>
  <c r="U978" i="7"/>
  <c r="T978" i="7"/>
  <c r="S978" i="7"/>
  <c r="R978" i="7"/>
  <c r="Q978" i="7"/>
  <c r="P978" i="7"/>
  <c r="O978" i="7"/>
  <c r="N978" i="7"/>
  <c r="M978" i="7"/>
  <c r="L978" i="7"/>
  <c r="K978" i="7"/>
  <c r="J978" i="7"/>
  <c r="I978" i="7"/>
  <c r="H978" i="7"/>
  <c r="G978" i="7"/>
  <c r="F978" i="7"/>
  <c r="E978" i="7"/>
  <c r="D978" i="7"/>
  <c r="C978" i="7"/>
  <c r="B978" i="7"/>
  <c r="A978" i="7"/>
  <c r="CH978" i="17" s="1"/>
  <c r="AD977" i="7"/>
  <c r="AC977" i="7"/>
  <c r="AB977" i="7"/>
  <c r="AA977" i="7"/>
  <c r="Z977" i="7"/>
  <c r="Y977" i="7"/>
  <c r="X977" i="7"/>
  <c r="W977" i="7"/>
  <c r="V977" i="7"/>
  <c r="U977" i="7"/>
  <c r="T977" i="7"/>
  <c r="S977" i="7"/>
  <c r="R977" i="7"/>
  <c r="Q977" i="7"/>
  <c r="P977" i="7"/>
  <c r="O977" i="7"/>
  <c r="N977" i="7"/>
  <c r="M977" i="7"/>
  <c r="L977" i="7"/>
  <c r="K977" i="7"/>
  <c r="J977" i="7"/>
  <c r="I977" i="7"/>
  <c r="H977" i="7"/>
  <c r="G977" i="7"/>
  <c r="F977" i="7"/>
  <c r="E977" i="7"/>
  <c r="D977" i="7"/>
  <c r="C977" i="7"/>
  <c r="B977" i="7"/>
  <c r="A977" i="7"/>
  <c r="CH977" i="17" s="1"/>
  <c r="AD976" i="7"/>
  <c r="AC976" i="7"/>
  <c r="AB976" i="7"/>
  <c r="AA976" i="7"/>
  <c r="Z976" i="7"/>
  <c r="Y976" i="7"/>
  <c r="X976" i="7"/>
  <c r="W976" i="7"/>
  <c r="V976" i="7"/>
  <c r="U976" i="7"/>
  <c r="T976" i="7"/>
  <c r="S976" i="7"/>
  <c r="R976" i="7"/>
  <c r="Q976" i="7"/>
  <c r="P976" i="7"/>
  <c r="O976" i="7"/>
  <c r="N976" i="7"/>
  <c r="M976" i="7"/>
  <c r="L976" i="7"/>
  <c r="K976" i="7"/>
  <c r="J976" i="7"/>
  <c r="I976" i="7"/>
  <c r="H976" i="7"/>
  <c r="G976" i="7"/>
  <c r="F976" i="7"/>
  <c r="E976" i="7"/>
  <c r="D976" i="7"/>
  <c r="C976" i="7"/>
  <c r="B976" i="7"/>
  <c r="A976" i="7"/>
  <c r="CH976" i="17" s="1"/>
  <c r="AD975" i="7"/>
  <c r="AC975" i="7"/>
  <c r="AB975" i="7"/>
  <c r="AA975" i="7"/>
  <c r="Z975" i="7"/>
  <c r="Y975" i="7"/>
  <c r="X975" i="7"/>
  <c r="W975" i="7"/>
  <c r="V975" i="7"/>
  <c r="U975" i="7"/>
  <c r="T975" i="7"/>
  <c r="S975" i="7"/>
  <c r="R975" i="7"/>
  <c r="Q975" i="7"/>
  <c r="P975" i="7"/>
  <c r="O975" i="7"/>
  <c r="N975" i="7"/>
  <c r="M975" i="7"/>
  <c r="L975" i="7"/>
  <c r="K975" i="7"/>
  <c r="J975" i="7"/>
  <c r="I975" i="7"/>
  <c r="H975" i="7"/>
  <c r="G975" i="7"/>
  <c r="F975" i="7"/>
  <c r="E975" i="7"/>
  <c r="D975" i="7"/>
  <c r="C975" i="7"/>
  <c r="B975" i="7"/>
  <c r="A975" i="7"/>
  <c r="CH975" i="17" s="1"/>
  <c r="AD974" i="7"/>
  <c r="AC974" i="7"/>
  <c r="AB974" i="7"/>
  <c r="AA974" i="7"/>
  <c r="Z974" i="7"/>
  <c r="Y974" i="7"/>
  <c r="X974" i="7"/>
  <c r="W974" i="7"/>
  <c r="V974" i="7"/>
  <c r="U974" i="7"/>
  <c r="T974" i="7"/>
  <c r="S974" i="7"/>
  <c r="R974" i="7"/>
  <c r="Q974" i="7"/>
  <c r="P974" i="7"/>
  <c r="O974" i="7"/>
  <c r="N974" i="7"/>
  <c r="M974" i="7"/>
  <c r="L974" i="7"/>
  <c r="K974" i="7"/>
  <c r="J974" i="7"/>
  <c r="I974" i="7"/>
  <c r="H974" i="7"/>
  <c r="G974" i="7"/>
  <c r="F974" i="7"/>
  <c r="E974" i="7"/>
  <c r="D974" i="7"/>
  <c r="C974" i="7"/>
  <c r="B974" i="7"/>
  <c r="A974" i="7"/>
  <c r="CH974" i="17" s="1"/>
  <c r="AD973" i="7"/>
  <c r="AC973" i="7"/>
  <c r="AB973" i="7"/>
  <c r="AA973" i="7"/>
  <c r="Z973" i="7"/>
  <c r="Y973" i="7"/>
  <c r="X973" i="7"/>
  <c r="W973" i="7"/>
  <c r="V973" i="7"/>
  <c r="U973" i="7"/>
  <c r="T973" i="7"/>
  <c r="S973" i="7"/>
  <c r="R973" i="7"/>
  <c r="Q973" i="7"/>
  <c r="P973" i="7"/>
  <c r="O973" i="7"/>
  <c r="N973" i="7"/>
  <c r="M973" i="7"/>
  <c r="L973" i="7"/>
  <c r="K973" i="7"/>
  <c r="J973" i="7"/>
  <c r="I973" i="7"/>
  <c r="H973" i="7"/>
  <c r="G973" i="7"/>
  <c r="F973" i="7"/>
  <c r="E973" i="7"/>
  <c r="D973" i="7"/>
  <c r="C973" i="7"/>
  <c r="B973" i="7"/>
  <c r="A973" i="7"/>
  <c r="CH973" i="17" s="1"/>
  <c r="AD972" i="7"/>
  <c r="AC972" i="7"/>
  <c r="AB972" i="7"/>
  <c r="AA972" i="7"/>
  <c r="Z972" i="7"/>
  <c r="Y972" i="7"/>
  <c r="X972" i="7"/>
  <c r="W972" i="7"/>
  <c r="V972" i="7"/>
  <c r="U972" i="7"/>
  <c r="T972" i="7"/>
  <c r="S972" i="7"/>
  <c r="R972" i="7"/>
  <c r="Q972" i="7"/>
  <c r="P972" i="7"/>
  <c r="O972" i="7"/>
  <c r="N972" i="7"/>
  <c r="M972" i="7"/>
  <c r="L972" i="7"/>
  <c r="K972" i="7"/>
  <c r="J972" i="7"/>
  <c r="I972" i="7"/>
  <c r="H972" i="7"/>
  <c r="G972" i="7"/>
  <c r="F972" i="7"/>
  <c r="E972" i="7"/>
  <c r="D972" i="7"/>
  <c r="C972" i="7"/>
  <c r="B972" i="7"/>
  <c r="A972" i="7"/>
  <c r="CH972" i="17" s="1"/>
  <c r="AD971" i="7"/>
  <c r="AC971" i="7"/>
  <c r="AB971" i="7"/>
  <c r="AA971" i="7"/>
  <c r="Z971" i="7"/>
  <c r="Y971" i="7"/>
  <c r="X971" i="7"/>
  <c r="W971" i="7"/>
  <c r="V971" i="7"/>
  <c r="U971" i="7"/>
  <c r="T971" i="7"/>
  <c r="S971" i="7"/>
  <c r="R971" i="7"/>
  <c r="Q971" i="7"/>
  <c r="P971" i="7"/>
  <c r="O971" i="7"/>
  <c r="N971" i="7"/>
  <c r="M971" i="7"/>
  <c r="L971" i="7"/>
  <c r="K971" i="7"/>
  <c r="J971" i="7"/>
  <c r="I971" i="7"/>
  <c r="H971" i="7"/>
  <c r="G971" i="7"/>
  <c r="F971" i="7"/>
  <c r="E971" i="7"/>
  <c r="D971" i="7"/>
  <c r="C971" i="7"/>
  <c r="B971" i="7"/>
  <c r="A971" i="7"/>
  <c r="CH971" i="17" s="1"/>
  <c r="AD970" i="7"/>
  <c r="AC970" i="7"/>
  <c r="AB970" i="7"/>
  <c r="AA970" i="7"/>
  <c r="Z970" i="7"/>
  <c r="Y970" i="7"/>
  <c r="X970" i="7"/>
  <c r="W970" i="7"/>
  <c r="V970" i="7"/>
  <c r="U970" i="7"/>
  <c r="T970" i="7"/>
  <c r="S970" i="7"/>
  <c r="R970" i="7"/>
  <c r="Q970" i="7"/>
  <c r="P970" i="7"/>
  <c r="O970" i="7"/>
  <c r="N970" i="7"/>
  <c r="M970" i="7"/>
  <c r="L970" i="7"/>
  <c r="K970" i="7"/>
  <c r="J970" i="7"/>
  <c r="I970" i="7"/>
  <c r="H970" i="7"/>
  <c r="G970" i="7"/>
  <c r="F970" i="7"/>
  <c r="E970" i="7"/>
  <c r="D970" i="7"/>
  <c r="C970" i="7"/>
  <c r="B970" i="7"/>
  <c r="A970" i="7"/>
  <c r="CH970" i="17" s="1"/>
  <c r="AD969" i="7"/>
  <c r="AC969" i="7"/>
  <c r="AB969" i="7"/>
  <c r="AA969" i="7"/>
  <c r="Z969" i="7"/>
  <c r="Y969" i="7"/>
  <c r="X969" i="7"/>
  <c r="W969" i="7"/>
  <c r="V969" i="7"/>
  <c r="U969" i="7"/>
  <c r="T969" i="7"/>
  <c r="S969" i="7"/>
  <c r="R969" i="7"/>
  <c r="Q969" i="7"/>
  <c r="P969" i="7"/>
  <c r="O969" i="7"/>
  <c r="N969" i="7"/>
  <c r="M969" i="7"/>
  <c r="L969" i="7"/>
  <c r="K969" i="7"/>
  <c r="J969" i="7"/>
  <c r="I969" i="7"/>
  <c r="H969" i="7"/>
  <c r="G969" i="7"/>
  <c r="F969" i="7"/>
  <c r="E969" i="7"/>
  <c r="D969" i="7"/>
  <c r="C969" i="7"/>
  <c r="B969" i="7"/>
  <c r="A969" i="7"/>
  <c r="CH969" i="17" s="1"/>
  <c r="AD968" i="7"/>
  <c r="AC968" i="7"/>
  <c r="AB968" i="7"/>
  <c r="AA968" i="7"/>
  <c r="Z968" i="7"/>
  <c r="Y968" i="7"/>
  <c r="X968" i="7"/>
  <c r="W968" i="7"/>
  <c r="V968" i="7"/>
  <c r="U968" i="7"/>
  <c r="T968" i="7"/>
  <c r="S968" i="7"/>
  <c r="R968" i="7"/>
  <c r="Q968" i="7"/>
  <c r="P968" i="7"/>
  <c r="O968" i="7"/>
  <c r="N968" i="7"/>
  <c r="M968" i="7"/>
  <c r="L968" i="7"/>
  <c r="K968" i="7"/>
  <c r="J968" i="7"/>
  <c r="I968" i="7"/>
  <c r="H968" i="7"/>
  <c r="G968" i="7"/>
  <c r="F968" i="7"/>
  <c r="E968" i="7"/>
  <c r="D968" i="7"/>
  <c r="C968" i="7"/>
  <c r="B968" i="7"/>
  <c r="A968" i="7"/>
  <c r="CH968" i="17" s="1"/>
  <c r="AD967" i="7"/>
  <c r="AC967" i="7"/>
  <c r="AB967" i="7"/>
  <c r="AA967" i="7"/>
  <c r="Z967" i="7"/>
  <c r="Y967" i="7"/>
  <c r="X967" i="7"/>
  <c r="W967" i="7"/>
  <c r="V967" i="7"/>
  <c r="U967" i="7"/>
  <c r="T967" i="7"/>
  <c r="S967" i="7"/>
  <c r="R967" i="7"/>
  <c r="Q967" i="7"/>
  <c r="P967" i="7"/>
  <c r="O967" i="7"/>
  <c r="N967" i="7"/>
  <c r="M967" i="7"/>
  <c r="L967" i="7"/>
  <c r="K967" i="7"/>
  <c r="J967" i="7"/>
  <c r="I967" i="7"/>
  <c r="H967" i="7"/>
  <c r="G967" i="7"/>
  <c r="F967" i="7"/>
  <c r="E967" i="7"/>
  <c r="D967" i="7"/>
  <c r="C967" i="7"/>
  <c r="B967" i="7"/>
  <c r="A967" i="7"/>
  <c r="CH967" i="17" s="1"/>
  <c r="AD966" i="7"/>
  <c r="AC966" i="7"/>
  <c r="AB966" i="7"/>
  <c r="AA966" i="7"/>
  <c r="Z966" i="7"/>
  <c r="Y966" i="7"/>
  <c r="X966" i="7"/>
  <c r="W966" i="7"/>
  <c r="V966" i="7"/>
  <c r="U966" i="7"/>
  <c r="T966" i="7"/>
  <c r="S966" i="7"/>
  <c r="R966" i="7"/>
  <c r="Q966" i="7"/>
  <c r="P966" i="7"/>
  <c r="O966" i="7"/>
  <c r="N966" i="7"/>
  <c r="M966" i="7"/>
  <c r="L966" i="7"/>
  <c r="K966" i="7"/>
  <c r="J966" i="7"/>
  <c r="I966" i="7"/>
  <c r="H966" i="7"/>
  <c r="G966" i="7"/>
  <c r="F966" i="7"/>
  <c r="E966" i="7"/>
  <c r="D966" i="7"/>
  <c r="C966" i="7"/>
  <c r="B966" i="7"/>
  <c r="A966" i="7"/>
  <c r="CH966" i="17" s="1"/>
  <c r="AD965" i="7"/>
  <c r="AC965" i="7"/>
  <c r="AB965" i="7"/>
  <c r="AA965" i="7"/>
  <c r="Z965" i="7"/>
  <c r="Y965" i="7"/>
  <c r="X965" i="7"/>
  <c r="W965" i="7"/>
  <c r="V965" i="7"/>
  <c r="U965" i="7"/>
  <c r="T965" i="7"/>
  <c r="S965" i="7"/>
  <c r="R965" i="7"/>
  <c r="Q965" i="7"/>
  <c r="P965" i="7"/>
  <c r="O965" i="7"/>
  <c r="N965" i="7"/>
  <c r="M965" i="7"/>
  <c r="L965" i="7"/>
  <c r="K965" i="7"/>
  <c r="J965" i="7"/>
  <c r="I965" i="7"/>
  <c r="H965" i="7"/>
  <c r="G965" i="7"/>
  <c r="F965" i="7"/>
  <c r="E965" i="7"/>
  <c r="D965" i="7"/>
  <c r="C965" i="7"/>
  <c r="B965" i="7"/>
  <c r="A965" i="7"/>
  <c r="CH965" i="17" s="1"/>
  <c r="AD964" i="7"/>
  <c r="AC964" i="7"/>
  <c r="AB964" i="7"/>
  <c r="AA964" i="7"/>
  <c r="Z964" i="7"/>
  <c r="Y964" i="7"/>
  <c r="X964" i="7"/>
  <c r="W964" i="7"/>
  <c r="V964" i="7"/>
  <c r="U964" i="7"/>
  <c r="T964" i="7"/>
  <c r="S964" i="7"/>
  <c r="R964" i="7"/>
  <c r="Q964" i="7"/>
  <c r="P964" i="7"/>
  <c r="O964" i="7"/>
  <c r="N964" i="7"/>
  <c r="M964" i="7"/>
  <c r="L964" i="7"/>
  <c r="K964" i="7"/>
  <c r="J964" i="7"/>
  <c r="I964" i="7"/>
  <c r="H964" i="7"/>
  <c r="G964" i="7"/>
  <c r="F964" i="7"/>
  <c r="E964" i="7"/>
  <c r="D964" i="7"/>
  <c r="C964" i="7"/>
  <c r="B964" i="7"/>
  <c r="A964" i="7"/>
  <c r="CH964" i="17" s="1"/>
  <c r="AD963" i="7"/>
  <c r="AC963" i="7"/>
  <c r="AB963" i="7"/>
  <c r="AA963" i="7"/>
  <c r="Z963" i="7"/>
  <c r="Y963" i="7"/>
  <c r="X963" i="7"/>
  <c r="W963" i="7"/>
  <c r="V963" i="7"/>
  <c r="U963" i="7"/>
  <c r="T963" i="7"/>
  <c r="S963" i="7"/>
  <c r="R963" i="7"/>
  <c r="Q963" i="7"/>
  <c r="P963" i="7"/>
  <c r="O963" i="7"/>
  <c r="N963" i="7"/>
  <c r="M963" i="7"/>
  <c r="L963" i="7"/>
  <c r="K963" i="7"/>
  <c r="J963" i="7"/>
  <c r="I963" i="7"/>
  <c r="H963" i="7"/>
  <c r="G963" i="7"/>
  <c r="F963" i="7"/>
  <c r="E963" i="7"/>
  <c r="D963" i="7"/>
  <c r="C963" i="7"/>
  <c r="B963" i="7"/>
  <c r="A963" i="7"/>
  <c r="CH963" i="17" s="1"/>
  <c r="AD962" i="7"/>
  <c r="AC962" i="7"/>
  <c r="AB962" i="7"/>
  <c r="AA962" i="7"/>
  <c r="Z962" i="7"/>
  <c r="Y962" i="7"/>
  <c r="X962" i="7"/>
  <c r="W962" i="7"/>
  <c r="V962" i="7"/>
  <c r="U962" i="7"/>
  <c r="T962" i="7"/>
  <c r="S962" i="7"/>
  <c r="R962" i="7"/>
  <c r="Q962" i="7"/>
  <c r="P962" i="7"/>
  <c r="O962" i="7"/>
  <c r="N962" i="7"/>
  <c r="M962" i="7"/>
  <c r="L962" i="7"/>
  <c r="K962" i="7"/>
  <c r="J962" i="7"/>
  <c r="I962" i="7"/>
  <c r="H962" i="7"/>
  <c r="G962" i="7"/>
  <c r="F962" i="7"/>
  <c r="E962" i="7"/>
  <c r="D962" i="7"/>
  <c r="C962" i="7"/>
  <c r="B962" i="7"/>
  <c r="A962" i="7"/>
  <c r="CH962" i="17" s="1"/>
  <c r="AD961" i="7"/>
  <c r="AC961" i="7"/>
  <c r="AB961" i="7"/>
  <c r="AA961" i="7"/>
  <c r="Z961" i="7"/>
  <c r="Y961" i="7"/>
  <c r="X961" i="7"/>
  <c r="W961" i="7"/>
  <c r="V961" i="7"/>
  <c r="U961" i="7"/>
  <c r="T961" i="7"/>
  <c r="S961" i="7"/>
  <c r="R961" i="7"/>
  <c r="Q961" i="7"/>
  <c r="P961" i="7"/>
  <c r="O961" i="7"/>
  <c r="N961" i="7"/>
  <c r="M961" i="7"/>
  <c r="L961" i="7"/>
  <c r="K961" i="7"/>
  <c r="J961" i="7"/>
  <c r="I961" i="7"/>
  <c r="H961" i="7"/>
  <c r="G961" i="7"/>
  <c r="F961" i="7"/>
  <c r="E961" i="7"/>
  <c r="D961" i="7"/>
  <c r="C961" i="7"/>
  <c r="B961" i="7"/>
  <c r="A961" i="7"/>
  <c r="CH961" i="17" s="1"/>
  <c r="AD960" i="7"/>
  <c r="AC960" i="7"/>
  <c r="AB960" i="7"/>
  <c r="AA960" i="7"/>
  <c r="Z960" i="7"/>
  <c r="Y960" i="7"/>
  <c r="X960" i="7"/>
  <c r="W960" i="7"/>
  <c r="V960" i="7"/>
  <c r="U960" i="7"/>
  <c r="T960" i="7"/>
  <c r="S960" i="7"/>
  <c r="R960" i="7"/>
  <c r="Q960" i="7"/>
  <c r="P960" i="7"/>
  <c r="O960" i="7"/>
  <c r="N960" i="7"/>
  <c r="M960" i="7"/>
  <c r="L960" i="7"/>
  <c r="K960" i="7"/>
  <c r="J960" i="7"/>
  <c r="I960" i="7"/>
  <c r="H960" i="7"/>
  <c r="G960" i="7"/>
  <c r="F960" i="7"/>
  <c r="E960" i="7"/>
  <c r="D960" i="7"/>
  <c r="C960" i="7"/>
  <c r="B960" i="7"/>
  <c r="A960" i="7"/>
  <c r="CH960" i="17" s="1"/>
  <c r="AD959" i="7"/>
  <c r="AC959" i="7"/>
  <c r="AB959" i="7"/>
  <c r="AA959" i="7"/>
  <c r="Z959" i="7"/>
  <c r="Y959" i="7"/>
  <c r="X959" i="7"/>
  <c r="W959" i="7"/>
  <c r="V959" i="7"/>
  <c r="U959" i="7"/>
  <c r="T959" i="7"/>
  <c r="S959" i="7"/>
  <c r="R959" i="7"/>
  <c r="Q959" i="7"/>
  <c r="P959" i="7"/>
  <c r="O959" i="7"/>
  <c r="N959" i="7"/>
  <c r="M959" i="7"/>
  <c r="L959" i="7"/>
  <c r="K959" i="7"/>
  <c r="J959" i="7"/>
  <c r="I959" i="7"/>
  <c r="H959" i="7"/>
  <c r="G959" i="7"/>
  <c r="F959" i="7"/>
  <c r="E959" i="7"/>
  <c r="D959" i="7"/>
  <c r="C959" i="7"/>
  <c r="B959" i="7"/>
  <c r="A959" i="7"/>
  <c r="CH959" i="17" s="1"/>
  <c r="AD958" i="7"/>
  <c r="AC958" i="7"/>
  <c r="AB958" i="7"/>
  <c r="AA958" i="7"/>
  <c r="Z958" i="7"/>
  <c r="Y958" i="7"/>
  <c r="X958" i="7"/>
  <c r="W958" i="7"/>
  <c r="V958" i="7"/>
  <c r="U958" i="7"/>
  <c r="T958" i="7"/>
  <c r="S958" i="7"/>
  <c r="R958" i="7"/>
  <c r="Q958" i="7"/>
  <c r="P958" i="7"/>
  <c r="O958" i="7"/>
  <c r="N958" i="7"/>
  <c r="M958" i="7"/>
  <c r="L958" i="7"/>
  <c r="K958" i="7"/>
  <c r="J958" i="7"/>
  <c r="I958" i="7"/>
  <c r="H958" i="7"/>
  <c r="G958" i="7"/>
  <c r="F958" i="7"/>
  <c r="E958" i="7"/>
  <c r="D958" i="7"/>
  <c r="C958" i="7"/>
  <c r="B958" i="7"/>
  <c r="A958" i="7"/>
  <c r="CH958" i="17" s="1"/>
  <c r="AD957" i="7"/>
  <c r="AC957" i="7"/>
  <c r="AB957" i="7"/>
  <c r="AA957" i="7"/>
  <c r="Z957" i="7"/>
  <c r="Y957" i="7"/>
  <c r="X957" i="7"/>
  <c r="W957" i="7"/>
  <c r="V957" i="7"/>
  <c r="U957" i="7"/>
  <c r="T957" i="7"/>
  <c r="S957" i="7"/>
  <c r="R957" i="7"/>
  <c r="Q957" i="7"/>
  <c r="P957" i="7"/>
  <c r="O957" i="7"/>
  <c r="N957" i="7"/>
  <c r="M957" i="7"/>
  <c r="L957" i="7"/>
  <c r="K957" i="7"/>
  <c r="J957" i="7"/>
  <c r="I957" i="7"/>
  <c r="H957" i="7"/>
  <c r="G957" i="7"/>
  <c r="F957" i="7"/>
  <c r="E957" i="7"/>
  <c r="D957" i="7"/>
  <c r="C957" i="7"/>
  <c r="B957" i="7"/>
  <c r="A957" i="7"/>
  <c r="CH957" i="17" s="1"/>
  <c r="AD956" i="7"/>
  <c r="AC956" i="7"/>
  <c r="AB956" i="7"/>
  <c r="AA956" i="7"/>
  <c r="Z956" i="7"/>
  <c r="Y956" i="7"/>
  <c r="X956" i="7"/>
  <c r="W956" i="7"/>
  <c r="V956" i="7"/>
  <c r="U956" i="7"/>
  <c r="T956" i="7"/>
  <c r="S956" i="7"/>
  <c r="R956" i="7"/>
  <c r="Q956" i="7"/>
  <c r="P956" i="7"/>
  <c r="O956" i="7"/>
  <c r="N956" i="7"/>
  <c r="M956" i="7"/>
  <c r="L956" i="7"/>
  <c r="K956" i="7"/>
  <c r="J956" i="7"/>
  <c r="I956" i="7"/>
  <c r="H956" i="7"/>
  <c r="G956" i="7"/>
  <c r="F956" i="7"/>
  <c r="E956" i="7"/>
  <c r="D956" i="7"/>
  <c r="C956" i="7"/>
  <c r="B956" i="7"/>
  <c r="A956" i="7"/>
  <c r="CH956" i="17" s="1"/>
  <c r="AD955" i="7"/>
  <c r="AC955" i="7"/>
  <c r="AB955" i="7"/>
  <c r="AA955" i="7"/>
  <c r="Z955" i="7"/>
  <c r="Y955" i="7"/>
  <c r="X955" i="7"/>
  <c r="W955" i="7"/>
  <c r="V955" i="7"/>
  <c r="U955" i="7"/>
  <c r="T955" i="7"/>
  <c r="S955" i="7"/>
  <c r="R955" i="7"/>
  <c r="Q955" i="7"/>
  <c r="P955" i="7"/>
  <c r="O955" i="7"/>
  <c r="N955" i="7"/>
  <c r="M955" i="7"/>
  <c r="L955" i="7"/>
  <c r="K955" i="7"/>
  <c r="J955" i="7"/>
  <c r="I955" i="7"/>
  <c r="H955" i="7"/>
  <c r="G955" i="7"/>
  <c r="F955" i="7"/>
  <c r="E955" i="7"/>
  <c r="D955" i="7"/>
  <c r="C955" i="7"/>
  <c r="B955" i="7"/>
  <c r="A955" i="7"/>
  <c r="CH955" i="17" s="1"/>
  <c r="AD954" i="7"/>
  <c r="AC954" i="7"/>
  <c r="AB954" i="7"/>
  <c r="AA954" i="7"/>
  <c r="Z954" i="7"/>
  <c r="Y954" i="7"/>
  <c r="X954" i="7"/>
  <c r="W954" i="7"/>
  <c r="V954" i="7"/>
  <c r="U954" i="7"/>
  <c r="T954" i="7"/>
  <c r="S954" i="7"/>
  <c r="R954" i="7"/>
  <c r="Q954" i="7"/>
  <c r="P954" i="7"/>
  <c r="O954" i="7"/>
  <c r="N954" i="7"/>
  <c r="M954" i="7"/>
  <c r="L954" i="7"/>
  <c r="K954" i="7"/>
  <c r="J954" i="7"/>
  <c r="I954" i="7"/>
  <c r="H954" i="7"/>
  <c r="G954" i="7"/>
  <c r="F954" i="7"/>
  <c r="E954" i="7"/>
  <c r="D954" i="7"/>
  <c r="C954" i="7"/>
  <c r="B954" i="7"/>
  <c r="A954" i="7"/>
  <c r="CH954" i="17" s="1"/>
  <c r="AD953" i="7"/>
  <c r="AC953" i="7"/>
  <c r="AB953" i="7"/>
  <c r="AA953" i="7"/>
  <c r="Z953" i="7"/>
  <c r="Y953" i="7"/>
  <c r="X953" i="7"/>
  <c r="W953" i="7"/>
  <c r="V953" i="7"/>
  <c r="U953" i="7"/>
  <c r="T953" i="7"/>
  <c r="S953" i="7"/>
  <c r="R953" i="7"/>
  <c r="Q953" i="7"/>
  <c r="P953" i="7"/>
  <c r="O953" i="7"/>
  <c r="N953" i="7"/>
  <c r="M953" i="7"/>
  <c r="L953" i="7"/>
  <c r="K953" i="7"/>
  <c r="J953" i="7"/>
  <c r="I953" i="7"/>
  <c r="H953" i="7"/>
  <c r="G953" i="7"/>
  <c r="F953" i="7"/>
  <c r="E953" i="7"/>
  <c r="D953" i="7"/>
  <c r="C953" i="7"/>
  <c r="B953" i="7"/>
  <c r="A953" i="7"/>
  <c r="CH953" i="17" s="1"/>
  <c r="AD952" i="7"/>
  <c r="AC952" i="7"/>
  <c r="AB952" i="7"/>
  <c r="AA952" i="7"/>
  <c r="Z952" i="7"/>
  <c r="Y952" i="7"/>
  <c r="X952" i="7"/>
  <c r="W952" i="7"/>
  <c r="V952" i="7"/>
  <c r="U952" i="7"/>
  <c r="T952" i="7"/>
  <c r="S952" i="7"/>
  <c r="R952" i="7"/>
  <c r="Q952" i="7"/>
  <c r="P952" i="7"/>
  <c r="O952" i="7"/>
  <c r="N952" i="7"/>
  <c r="M952" i="7"/>
  <c r="L952" i="7"/>
  <c r="K952" i="7"/>
  <c r="J952" i="7"/>
  <c r="I952" i="7"/>
  <c r="H952" i="7"/>
  <c r="G952" i="7"/>
  <c r="F952" i="7"/>
  <c r="E952" i="7"/>
  <c r="D952" i="7"/>
  <c r="C952" i="7"/>
  <c r="B952" i="7"/>
  <c r="A952" i="7"/>
  <c r="CH952" i="17" s="1"/>
  <c r="AD951" i="7"/>
  <c r="AC951" i="7"/>
  <c r="AB951" i="7"/>
  <c r="AA951" i="7"/>
  <c r="Z951" i="7"/>
  <c r="Y951" i="7"/>
  <c r="X951" i="7"/>
  <c r="W951" i="7"/>
  <c r="V951" i="7"/>
  <c r="U951" i="7"/>
  <c r="T951" i="7"/>
  <c r="S951" i="7"/>
  <c r="R951" i="7"/>
  <c r="Q951" i="7"/>
  <c r="P951" i="7"/>
  <c r="O951" i="7"/>
  <c r="N951" i="7"/>
  <c r="M951" i="7"/>
  <c r="L951" i="7"/>
  <c r="K951" i="7"/>
  <c r="J951" i="7"/>
  <c r="I951" i="7"/>
  <c r="H951" i="7"/>
  <c r="G951" i="7"/>
  <c r="F951" i="7"/>
  <c r="E951" i="7"/>
  <c r="D951" i="7"/>
  <c r="C951" i="7"/>
  <c r="B951" i="7"/>
  <c r="A951" i="7"/>
  <c r="CH951" i="17" s="1"/>
  <c r="AD950" i="7"/>
  <c r="AC950" i="7"/>
  <c r="AB950" i="7"/>
  <c r="AA950" i="7"/>
  <c r="Z950" i="7"/>
  <c r="Y950" i="7"/>
  <c r="X950" i="7"/>
  <c r="W950" i="7"/>
  <c r="V950" i="7"/>
  <c r="U950" i="7"/>
  <c r="T950" i="7"/>
  <c r="S950" i="7"/>
  <c r="R950" i="7"/>
  <c r="Q950" i="7"/>
  <c r="P950" i="7"/>
  <c r="O950" i="7"/>
  <c r="N950" i="7"/>
  <c r="M950" i="7"/>
  <c r="L950" i="7"/>
  <c r="K950" i="7"/>
  <c r="J950" i="7"/>
  <c r="I950" i="7"/>
  <c r="H950" i="7"/>
  <c r="G950" i="7"/>
  <c r="F950" i="7"/>
  <c r="E950" i="7"/>
  <c r="D950" i="7"/>
  <c r="C950" i="7"/>
  <c r="B950" i="7"/>
  <c r="A950" i="7"/>
  <c r="CH950" i="17" s="1"/>
  <c r="AD949" i="7"/>
  <c r="AC949" i="7"/>
  <c r="AB949" i="7"/>
  <c r="AA949" i="7"/>
  <c r="Z949" i="7"/>
  <c r="Y949" i="7"/>
  <c r="X949" i="7"/>
  <c r="W949" i="7"/>
  <c r="V949" i="7"/>
  <c r="U949" i="7"/>
  <c r="T949" i="7"/>
  <c r="S949" i="7"/>
  <c r="R949" i="7"/>
  <c r="Q949" i="7"/>
  <c r="P949" i="7"/>
  <c r="O949" i="7"/>
  <c r="N949" i="7"/>
  <c r="M949" i="7"/>
  <c r="L949" i="7"/>
  <c r="K949" i="7"/>
  <c r="J949" i="7"/>
  <c r="I949" i="7"/>
  <c r="H949" i="7"/>
  <c r="G949" i="7"/>
  <c r="F949" i="7"/>
  <c r="E949" i="7"/>
  <c r="D949" i="7"/>
  <c r="C949" i="7"/>
  <c r="B949" i="7"/>
  <c r="A949" i="7"/>
  <c r="CH949" i="17" s="1"/>
  <c r="AD948" i="7"/>
  <c r="AC948" i="7"/>
  <c r="AB948" i="7"/>
  <c r="AA948" i="7"/>
  <c r="Z948" i="7"/>
  <c r="Y948" i="7"/>
  <c r="X948" i="7"/>
  <c r="W948" i="7"/>
  <c r="V948" i="7"/>
  <c r="U948" i="7"/>
  <c r="T948" i="7"/>
  <c r="S948" i="7"/>
  <c r="R948" i="7"/>
  <c r="Q948" i="7"/>
  <c r="P948" i="7"/>
  <c r="O948" i="7"/>
  <c r="N948" i="7"/>
  <c r="M948" i="7"/>
  <c r="L948" i="7"/>
  <c r="K948" i="7"/>
  <c r="J948" i="7"/>
  <c r="I948" i="7"/>
  <c r="H948" i="7"/>
  <c r="G948" i="7"/>
  <c r="F948" i="7"/>
  <c r="E948" i="7"/>
  <c r="D948" i="7"/>
  <c r="C948" i="7"/>
  <c r="B948" i="7"/>
  <c r="A948" i="7"/>
  <c r="CH948" i="17" s="1"/>
  <c r="AD947" i="7"/>
  <c r="AC947" i="7"/>
  <c r="AB947" i="7"/>
  <c r="AA947" i="7"/>
  <c r="Z947" i="7"/>
  <c r="Y947" i="7"/>
  <c r="X947" i="7"/>
  <c r="W947" i="7"/>
  <c r="V947" i="7"/>
  <c r="U947" i="7"/>
  <c r="T947" i="7"/>
  <c r="S947" i="7"/>
  <c r="R947" i="7"/>
  <c r="Q947" i="7"/>
  <c r="P947" i="7"/>
  <c r="O947" i="7"/>
  <c r="N947" i="7"/>
  <c r="M947" i="7"/>
  <c r="L947" i="7"/>
  <c r="K947" i="7"/>
  <c r="J947" i="7"/>
  <c r="I947" i="7"/>
  <c r="H947" i="7"/>
  <c r="G947" i="7"/>
  <c r="F947" i="7"/>
  <c r="E947" i="7"/>
  <c r="D947" i="7"/>
  <c r="C947" i="7"/>
  <c r="B947" i="7"/>
  <c r="A947" i="7"/>
  <c r="CH947" i="17" s="1"/>
  <c r="AD946" i="7"/>
  <c r="AC946" i="7"/>
  <c r="AB946" i="7"/>
  <c r="AA946" i="7"/>
  <c r="Z946" i="7"/>
  <c r="Y946" i="7"/>
  <c r="X946" i="7"/>
  <c r="W946" i="7"/>
  <c r="V946" i="7"/>
  <c r="U946" i="7"/>
  <c r="T946" i="7"/>
  <c r="S946" i="7"/>
  <c r="R946" i="7"/>
  <c r="Q946" i="7"/>
  <c r="P946" i="7"/>
  <c r="O946" i="7"/>
  <c r="N946" i="7"/>
  <c r="M946" i="7"/>
  <c r="L946" i="7"/>
  <c r="K946" i="7"/>
  <c r="J946" i="7"/>
  <c r="I946" i="7"/>
  <c r="H946" i="7"/>
  <c r="G946" i="7"/>
  <c r="F946" i="7"/>
  <c r="E946" i="7"/>
  <c r="D946" i="7"/>
  <c r="C946" i="7"/>
  <c r="B946" i="7"/>
  <c r="A946" i="7"/>
  <c r="CH946" i="17" s="1"/>
  <c r="AD945" i="7"/>
  <c r="AC945" i="7"/>
  <c r="AB945" i="7"/>
  <c r="AA945" i="7"/>
  <c r="Z945" i="7"/>
  <c r="Y945" i="7"/>
  <c r="X945" i="7"/>
  <c r="W945" i="7"/>
  <c r="V945" i="7"/>
  <c r="U945" i="7"/>
  <c r="T945" i="7"/>
  <c r="S945" i="7"/>
  <c r="R945" i="7"/>
  <c r="Q945" i="7"/>
  <c r="P945" i="7"/>
  <c r="O945" i="7"/>
  <c r="N945" i="7"/>
  <c r="M945" i="7"/>
  <c r="L945" i="7"/>
  <c r="K945" i="7"/>
  <c r="J945" i="7"/>
  <c r="I945" i="7"/>
  <c r="H945" i="7"/>
  <c r="G945" i="7"/>
  <c r="F945" i="7"/>
  <c r="E945" i="7"/>
  <c r="D945" i="7"/>
  <c r="C945" i="7"/>
  <c r="B945" i="7"/>
  <c r="A945" i="7"/>
  <c r="CH945" i="17" s="1"/>
  <c r="AD944" i="7"/>
  <c r="AC944" i="7"/>
  <c r="AB944" i="7"/>
  <c r="AA944" i="7"/>
  <c r="Z944" i="7"/>
  <c r="Y944" i="7"/>
  <c r="X944" i="7"/>
  <c r="W944" i="7"/>
  <c r="V944" i="7"/>
  <c r="U944" i="7"/>
  <c r="T944" i="7"/>
  <c r="S944" i="7"/>
  <c r="R944" i="7"/>
  <c r="Q944" i="7"/>
  <c r="P944" i="7"/>
  <c r="O944" i="7"/>
  <c r="N944" i="7"/>
  <c r="M944" i="7"/>
  <c r="L944" i="7"/>
  <c r="K944" i="7"/>
  <c r="J944" i="7"/>
  <c r="I944" i="7"/>
  <c r="H944" i="7"/>
  <c r="G944" i="7"/>
  <c r="F944" i="7"/>
  <c r="E944" i="7"/>
  <c r="D944" i="7"/>
  <c r="C944" i="7"/>
  <c r="B944" i="7"/>
  <c r="A944" i="7"/>
  <c r="CH944" i="17" s="1"/>
  <c r="AD943" i="7"/>
  <c r="AC943" i="7"/>
  <c r="AB943" i="7"/>
  <c r="AA943" i="7"/>
  <c r="Z943" i="7"/>
  <c r="Y943" i="7"/>
  <c r="X943" i="7"/>
  <c r="W943" i="7"/>
  <c r="V943" i="7"/>
  <c r="U943" i="7"/>
  <c r="T943" i="7"/>
  <c r="S943" i="7"/>
  <c r="R943" i="7"/>
  <c r="Q943" i="7"/>
  <c r="P943" i="7"/>
  <c r="O943" i="7"/>
  <c r="N943" i="7"/>
  <c r="M943" i="7"/>
  <c r="L943" i="7"/>
  <c r="K943" i="7"/>
  <c r="J943" i="7"/>
  <c r="I943" i="7"/>
  <c r="H943" i="7"/>
  <c r="G943" i="7"/>
  <c r="F943" i="7"/>
  <c r="E943" i="7"/>
  <c r="D943" i="7"/>
  <c r="C943" i="7"/>
  <c r="B943" i="7"/>
  <c r="A943" i="7"/>
  <c r="CH943" i="17" s="1"/>
  <c r="AD942" i="7"/>
  <c r="AC942" i="7"/>
  <c r="AB942" i="7"/>
  <c r="AA942" i="7"/>
  <c r="Z942" i="7"/>
  <c r="Y942" i="7"/>
  <c r="X942" i="7"/>
  <c r="W942" i="7"/>
  <c r="V942" i="7"/>
  <c r="U942" i="7"/>
  <c r="T942" i="7"/>
  <c r="S942" i="7"/>
  <c r="R942" i="7"/>
  <c r="Q942" i="7"/>
  <c r="P942" i="7"/>
  <c r="O942" i="7"/>
  <c r="N942" i="7"/>
  <c r="M942" i="7"/>
  <c r="L942" i="7"/>
  <c r="K942" i="7"/>
  <c r="J942" i="7"/>
  <c r="I942" i="7"/>
  <c r="H942" i="7"/>
  <c r="G942" i="7"/>
  <c r="F942" i="7"/>
  <c r="E942" i="7"/>
  <c r="D942" i="7"/>
  <c r="C942" i="7"/>
  <c r="B942" i="7"/>
  <c r="A942" i="7"/>
  <c r="CH942" i="17" s="1"/>
  <c r="AD941" i="7"/>
  <c r="AC941" i="7"/>
  <c r="AB941" i="7"/>
  <c r="AA941" i="7"/>
  <c r="Z941" i="7"/>
  <c r="Y941" i="7"/>
  <c r="X941" i="7"/>
  <c r="W941" i="7"/>
  <c r="V941" i="7"/>
  <c r="U941" i="7"/>
  <c r="T941" i="7"/>
  <c r="S941" i="7"/>
  <c r="R941" i="7"/>
  <c r="Q941" i="7"/>
  <c r="P941" i="7"/>
  <c r="O941" i="7"/>
  <c r="N941" i="7"/>
  <c r="M941" i="7"/>
  <c r="L941" i="7"/>
  <c r="K941" i="7"/>
  <c r="J941" i="7"/>
  <c r="I941" i="7"/>
  <c r="H941" i="7"/>
  <c r="G941" i="7"/>
  <c r="F941" i="7"/>
  <c r="E941" i="7"/>
  <c r="D941" i="7"/>
  <c r="C941" i="7"/>
  <c r="B941" i="7"/>
  <c r="A941" i="7"/>
  <c r="CH941" i="17" s="1"/>
  <c r="AD940" i="7"/>
  <c r="AC940" i="7"/>
  <c r="AB940" i="7"/>
  <c r="AA940" i="7"/>
  <c r="Z940" i="7"/>
  <c r="Y940" i="7"/>
  <c r="X940" i="7"/>
  <c r="W940" i="7"/>
  <c r="V940" i="7"/>
  <c r="U940" i="7"/>
  <c r="T940" i="7"/>
  <c r="S940" i="7"/>
  <c r="R940" i="7"/>
  <c r="Q940" i="7"/>
  <c r="P940" i="7"/>
  <c r="O940" i="7"/>
  <c r="N940" i="7"/>
  <c r="M940" i="7"/>
  <c r="L940" i="7"/>
  <c r="K940" i="7"/>
  <c r="J940" i="7"/>
  <c r="I940" i="7"/>
  <c r="H940" i="7"/>
  <c r="G940" i="7"/>
  <c r="F940" i="7"/>
  <c r="E940" i="7"/>
  <c r="D940" i="7"/>
  <c r="C940" i="7"/>
  <c r="B940" i="7"/>
  <c r="A940" i="7"/>
  <c r="CH940" i="17" s="1"/>
  <c r="AD939" i="7"/>
  <c r="AC939" i="7"/>
  <c r="AB939" i="7"/>
  <c r="AA939" i="7"/>
  <c r="Z939" i="7"/>
  <c r="Y939" i="7"/>
  <c r="X939" i="7"/>
  <c r="W939" i="7"/>
  <c r="V939" i="7"/>
  <c r="U939" i="7"/>
  <c r="T939" i="7"/>
  <c r="S939" i="7"/>
  <c r="R939" i="7"/>
  <c r="Q939" i="7"/>
  <c r="P939" i="7"/>
  <c r="O939" i="7"/>
  <c r="N939" i="7"/>
  <c r="M939" i="7"/>
  <c r="L939" i="7"/>
  <c r="K939" i="7"/>
  <c r="J939" i="7"/>
  <c r="I939" i="7"/>
  <c r="H939" i="7"/>
  <c r="G939" i="7"/>
  <c r="F939" i="7"/>
  <c r="E939" i="7"/>
  <c r="D939" i="7"/>
  <c r="C939" i="7"/>
  <c r="B939" i="7"/>
  <c r="A939" i="7"/>
  <c r="CH939" i="17" s="1"/>
  <c r="AD938" i="7"/>
  <c r="AC938" i="7"/>
  <c r="AB938" i="7"/>
  <c r="AA938" i="7"/>
  <c r="Z938" i="7"/>
  <c r="Y938" i="7"/>
  <c r="X938" i="7"/>
  <c r="W938" i="7"/>
  <c r="V938" i="7"/>
  <c r="U938" i="7"/>
  <c r="T938" i="7"/>
  <c r="S938" i="7"/>
  <c r="R938" i="7"/>
  <c r="Q938" i="7"/>
  <c r="P938" i="7"/>
  <c r="O938" i="7"/>
  <c r="N938" i="7"/>
  <c r="M938" i="7"/>
  <c r="L938" i="7"/>
  <c r="K938" i="7"/>
  <c r="J938" i="7"/>
  <c r="I938" i="7"/>
  <c r="H938" i="7"/>
  <c r="G938" i="7"/>
  <c r="F938" i="7"/>
  <c r="E938" i="7"/>
  <c r="D938" i="7"/>
  <c r="C938" i="7"/>
  <c r="B938" i="7"/>
  <c r="A938" i="7"/>
  <c r="CH938" i="17" s="1"/>
  <c r="AD937" i="7"/>
  <c r="AC937" i="7"/>
  <c r="AB937" i="7"/>
  <c r="AA937" i="7"/>
  <c r="Z937" i="7"/>
  <c r="Y937" i="7"/>
  <c r="X937" i="7"/>
  <c r="W937" i="7"/>
  <c r="V937" i="7"/>
  <c r="U937" i="7"/>
  <c r="T937" i="7"/>
  <c r="S937" i="7"/>
  <c r="R937" i="7"/>
  <c r="Q937" i="7"/>
  <c r="P937" i="7"/>
  <c r="O937" i="7"/>
  <c r="N937" i="7"/>
  <c r="M937" i="7"/>
  <c r="L937" i="7"/>
  <c r="K937" i="7"/>
  <c r="J937" i="7"/>
  <c r="I937" i="7"/>
  <c r="H937" i="7"/>
  <c r="G937" i="7"/>
  <c r="F937" i="7"/>
  <c r="E937" i="7"/>
  <c r="D937" i="7"/>
  <c r="C937" i="7"/>
  <c r="B937" i="7"/>
  <c r="A937" i="7"/>
  <c r="CH937" i="17" s="1"/>
  <c r="AD936" i="7"/>
  <c r="AC936" i="7"/>
  <c r="AB936" i="7"/>
  <c r="AA936" i="7"/>
  <c r="Z936" i="7"/>
  <c r="Y936" i="7"/>
  <c r="X936" i="7"/>
  <c r="W936" i="7"/>
  <c r="V936" i="7"/>
  <c r="U936" i="7"/>
  <c r="T936" i="7"/>
  <c r="S936" i="7"/>
  <c r="R936" i="7"/>
  <c r="Q936" i="7"/>
  <c r="P936" i="7"/>
  <c r="O936" i="7"/>
  <c r="N936" i="7"/>
  <c r="M936" i="7"/>
  <c r="L936" i="7"/>
  <c r="K936" i="7"/>
  <c r="J936" i="7"/>
  <c r="I936" i="7"/>
  <c r="H936" i="7"/>
  <c r="G936" i="7"/>
  <c r="F936" i="7"/>
  <c r="E936" i="7"/>
  <c r="D936" i="7"/>
  <c r="C936" i="7"/>
  <c r="B936" i="7"/>
  <c r="A936" i="7"/>
  <c r="CH936" i="17" s="1"/>
  <c r="AD935" i="7"/>
  <c r="AC935" i="7"/>
  <c r="AB935" i="7"/>
  <c r="AA935" i="7"/>
  <c r="Z935" i="7"/>
  <c r="Y935" i="7"/>
  <c r="X935" i="7"/>
  <c r="W935" i="7"/>
  <c r="V935" i="7"/>
  <c r="U935" i="7"/>
  <c r="T935" i="7"/>
  <c r="S935" i="7"/>
  <c r="R935" i="7"/>
  <c r="Q935" i="7"/>
  <c r="P935" i="7"/>
  <c r="O935" i="7"/>
  <c r="N935" i="7"/>
  <c r="M935" i="7"/>
  <c r="L935" i="7"/>
  <c r="K935" i="7"/>
  <c r="J935" i="7"/>
  <c r="I935" i="7"/>
  <c r="H935" i="7"/>
  <c r="G935" i="7"/>
  <c r="F935" i="7"/>
  <c r="E935" i="7"/>
  <c r="D935" i="7"/>
  <c r="C935" i="7"/>
  <c r="B935" i="7"/>
  <c r="A935" i="7"/>
  <c r="CH935" i="17" s="1"/>
  <c r="AD934" i="7"/>
  <c r="AC934" i="7"/>
  <c r="AB934" i="7"/>
  <c r="AA934" i="7"/>
  <c r="Z934" i="7"/>
  <c r="Y934" i="7"/>
  <c r="X934" i="7"/>
  <c r="W934" i="7"/>
  <c r="V934" i="7"/>
  <c r="U934" i="7"/>
  <c r="T934" i="7"/>
  <c r="S934" i="7"/>
  <c r="R934" i="7"/>
  <c r="Q934" i="7"/>
  <c r="P934" i="7"/>
  <c r="O934" i="7"/>
  <c r="N934" i="7"/>
  <c r="M934" i="7"/>
  <c r="L934" i="7"/>
  <c r="K934" i="7"/>
  <c r="J934" i="7"/>
  <c r="I934" i="7"/>
  <c r="H934" i="7"/>
  <c r="G934" i="7"/>
  <c r="F934" i="7"/>
  <c r="E934" i="7"/>
  <c r="D934" i="7"/>
  <c r="C934" i="7"/>
  <c r="B934" i="7"/>
  <c r="A934" i="7"/>
  <c r="CH934" i="17" s="1"/>
  <c r="AD933" i="7"/>
  <c r="AC933" i="7"/>
  <c r="AB933" i="7"/>
  <c r="AA933" i="7"/>
  <c r="Z933" i="7"/>
  <c r="Y933" i="7"/>
  <c r="X933" i="7"/>
  <c r="W933" i="7"/>
  <c r="V933" i="7"/>
  <c r="U933" i="7"/>
  <c r="T933" i="7"/>
  <c r="S933" i="7"/>
  <c r="R933" i="7"/>
  <c r="Q933" i="7"/>
  <c r="P933" i="7"/>
  <c r="O933" i="7"/>
  <c r="N933" i="7"/>
  <c r="M933" i="7"/>
  <c r="L933" i="7"/>
  <c r="K933" i="7"/>
  <c r="J933" i="7"/>
  <c r="I933" i="7"/>
  <c r="H933" i="7"/>
  <c r="G933" i="7"/>
  <c r="F933" i="7"/>
  <c r="E933" i="7"/>
  <c r="D933" i="7"/>
  <c r="C933" i="7"/>
  <c r="B933" i="7"/>
  <c r="A933" i="7"/>
  <c r="CH933" i="17" s="1"/>
  <c r="AD932" i="7"/>
  <c r="AC932" i="7"/>
  <c r="AB932" i="7"/>
  <c r="AA932" i="7"/>
  <c r="Z932" i="7"/>
  <c r="Y932" i="7"/>
  <c r="X932" i="7"/>
  <c r="W932" i="7"/>
  <c r="V932" i="7"/>
  <c r="U932" i="7"/>
  <c r="T932" i="7"/>
  <c r="S932" i="7"/>
  <c r="R932" i="7"/>
  <c r="Q932" i="7"/>
  <c r="P932" i="7"/>
  <c r="O932" i="7"/>
  <c r="N932" i="7"/>
  <c r="M932" i="7"/>
  <c r="L932" i="7"/>
  <c r="K932" i="7"/>
  <c r="J932" i="7"/>
  <c r="I932" i="7"/>
  <c r="H932" i="7"/>
  <c r="G932" i="7"/>
  <c r="F932" i="7"/>
  <c r="E932" i="7"/>
  <c r="D932" i="7"/>
  <c r="C932" i="7"/>
  <c r="B932" i="7"/>
  <c r="A932" i="7"/>
  <c r="CH932" i="17" s="1"/>
  <c r="AD931" i="7"/>
  <c r="AC931" i="7"/>
  <c r="AB931" i="7"/>
  <c r="AA931" i="7"/>
  <c r="Z931" i="7"/>
  <c r="Y931" i="7"/>
  <c r="X931" i="7"/>
  <c r="W931" i="7"/>
  <c r="V931" i="7"/>
  <c r="U931" i="7"/>
  <c r="T931" i="7"/>
  <c r="S931" i="7"/>
  <c r="R931" i="7"/>
  <c r="Q931" i="7"/>
  <c r="P931" i="7"/>
  <c r="O931" i="7"/>
  <c r="N931" i="7"/>
  <c r="M931" i="7"/>
  <c r="L931" i="7"/>
  <c r="K931" i="7"/>
  <c r="J931" i="7"/>
  <c r="I931" i="7"/>
  <c r="H931" i="7"/>
  <c r="G931" i="7"/>
  <c r="F931" i="7"/>
  <c r="E931" i="7"/>
  <c r="D931" i="7"/>
  <c r="C931" i="7"/>
  <c r="B931" i="7"/>
  <c r="A931" i="7"/>
  <c r="CH931" i="17" s="1"/>
  <c r="AD930" i="7"/>
  <c r="AC930" i="7"/>
  <c r="AB930" i="7"/>
  <c r="AA930" i="7"/>
  <c r="Z930" i="7"/>
  <c r="Y930" i="7"/>
  <c r="X930" i="7"/>
  <c r="W930" i="7"/>
  <c r="V930" i="7"/>
  <c r="U930" i="7"/>
  <c r="T930" i="7"/>
  <c r="S930" i="7"/>
  <c r="R930" i="7"/>
  <c r="Q930" i="7"/>
  <c r="P930" i="7"/>
  <c r="O930" i="7"/>
  <c r="N930" i="7"/>
  <c r="M930" i="7"/>
  <c r="L930" i="7"/>
  <c r="K930" i="7"/>
  <c r="J930" i="7"/>
  <c r="I930" i="7"/>
  <c r="H930" i="7"/>
  <c r="G930" i="7"/>
  <c r="F930" i="7"/>
  <c r="E930" i="7"/>
  <c r="D930" i="7"/>
  <c r="C930" i="7"/>
  <c r="B930" i="7"/>
  <c r="A930" i="7"/>
  <c r="CH930" i="17" s="1"/>
  <c r="AD929" i="7"/>
  <c r="AC929" i="7"/>
  <c r="AB929" i="7"/>
  <c r="AA929" i="7"/>
  <c r="Z929" i="7"/>
  <c r="Y929" i="7"/>
  <c r="X929" i="7"/>
  <c r="W929" i="7"/>
  <c r="V929" i="7"/>
  <c r="U929" i="7"/>
  <c r="T929" i="7"/>
  <c r="S929" i="7"/>
  <c r="R929" i="7"/>
  <c r="Q929" i="7"/>
  <c r="P929" i="7"/>
  <c r="O929" i="7"/>
  <c r="N929" i="7"/>
  <c r="M929" i="7"/>
  <c r="L929" i="7"/>
  <c r="K929" i="7"/>
  <c r="J929" i="7"/>
  <c r="I929" i="7"/>
  <c r="H929" i="7"/>
  <c r="G929" i="7"/>
  <c r="F929" i="7"/>
  <c r="E929" i="7"/>
  <c r="D929" i="7"/>
  <c r="C929" i="7"/>
  <c r="B929" i="7"/>
  <c r="A929" i="7"/>
  <c r="CH929" i="17" s="1"/>
  <c r="AD928" i="7"/>
  <c r="AC928" i="7"/>
  <c r="AB928" i="7"/>
  <c r="AA928" i="7"/>
  <c r="Z928" i="7"/>
  <c r="Y928" i="7"/>
  <c r="X928" i="7"/>
  <c r="W928" i="7"/>
  <c r="V928" i="7"/>
  <c r="U928" i="7"/>
  <c r="T928" i="7"/>
  <c r="S928" i="7"/>
  <c r="R928" i="7"/>
  <c r="Q928" i="7"/>
  <c r="P928" i="7"/>
  <c r="O928" i="7"/>
  <c r="N928" i="7"/>
  <c r="M928" i="7"/>
  <c r="L928" i="7"/>
  <c r="K928" i="7"/>
  <c r="J928" i="7"/>
  <c r="I928" i="7"/>
  <c r="H928" i="7"/>
  <c r="G928" i="7"/>
  <c r="F928" i="7"/>
  <c r="E928" i="7"/>
  <c r="D928" i="7"/>
  <c r="C928" i="7"/>
  <c r="B928" i="7"/>
  <c r="A928" i="7"/>
  <c r="CH928" i="17" s="1"/>
  <c r="AD927" i="7"/>
  <c r="AC927" i="7"/>
  <c r="AB927" i="7"/>
  <c r="AA927" i="7"/>
  <c r="Z927" i="7"/>
  <c r="Y927" i="7"/>
  <c r="X927" i="7"/>
  <c r="W927" i="7"/>
  <c r="V927" i="7"/>
  <c r="U927" i="7"/>
  <c r="T927" i="7"/>
  <c r="S927" i="7"/>
  <c r="R927" i="7"/>
  <c r="Q927" i="7"/>
  <c r="P927" i="7"/>
  <c r="O927" i="7"/>
  <c r="N927" i="7"/>
  <c r="M927" i="7"/>
  <c r="L927" i="7"/>
  <c r="K927" i="7"/>
  <c r="J927" i="7"/>
  <c r="I927" i="7"/>
  <c r="H927" i="7"/>
  <c r="G927" i="7"/>
  <c r="F927" i="7"/>
  <c r="E927" i="7"/>
  <c r="D927" i="7"/>
  <c r="C927" i="7"/>
  <c r="B927" i="7"/>
  <c r="A927" i="7"/>
  <c r="CH927" i="17" s="1"/>
  <c r="AD926" i="7"/>
  <c r="AC926" i="7"/>
  <c r="AB926" i="7"/>
  <c r="AA926" i="7"/>
  <c r="Z926" i="7"/>
  <c r="Y926" i="7"/>
  <c r="X926" i="7"/>
  <c r="W926" i="7"/>
  <c r="V926" i="7"/>
  <c r="U926" i="7"/>
  <c r="T926" i="7"/>
  <c r="S926" i="7"/>
  <c r="R926" i="7"/>
  <c r="Q926" i="7"/>
  <c r="P926" i="7"/>
  <c r="O926" i="7"/>
  <c r="N926" i="7"/>
  <c r="M926" i="7"/>
  <c r="L926" i="7"/>
  <c r="K926" i="7"/>
  <c r="J926" i="7"/>
  <c r="I926" i="7"/>
  <c r="H926" i="7"/>
  <c r="G926" i="7"/>
  <c r="F926" i="7"/>
  <c r="E926" i="7"/>
  <c r="D926" i="7"/>
  <c r="C926" i="7"/>
  <c r="B926" i="7"/>
  <c r="A926" i="7"/>
  <c r="CH926" i="17" s="1"/>
  <c r="AD925" i="7"/>
  <c r="AC925" i="7"/>
  <c r="AB925" i="7"/>
  <c r="AA925" i="7"/>
  <c r="Z925" i="7"/>
  <c r="Y925" i="7"/>
  <c r="X925" i="7"/>
  <c r="W925" i="7"/>
  <c r="V925" i="7"/>
  <c r="U925" i="7"/>
  <c r="T925" i="7"/>
  <c r="S925" i="7"/>
  <c r="R925" i="7"/>
  <c r="Q925" i="7"/>
  <c r="P925" i="7"/>
  <c r="O925" i="7"/>
  <c r="N925" i="7"/>
  <c r="M925" i="7"/>
  <c r="L925" i="7"/>
  <c r="K925" i="7"/>
  <c r="J925" i="7"/>
  <c r="I925" i="7"/>
  <c r="H925" i="7"/>
  <c r="G925" i="7"/>
  <c r="F925" i="7"/>
  <c r="E925" i="7"/>
  <c r="D925" i="7"/>
  <c r="C925" i="7"/>
  <c r="B925" i="7"/>
  <c r="A925" i="7"/>
  <c r="CH925" i="17" s="1"/>
  <c r="AD924" i="7"/>
  <c r="AC924" i="7"/>
  <c r="AB924" i="7"/>
  <c r="AA924" i="7"/>
  <c r="Z924" i="7"/>
  <c r="Y924" i="7"/>
  <c r="X924" i="7"/>
  <c r="W924" i="7"/>
  <c r="V924" i="7"/>
  <c r="U924" i="7"/>
  <c r="T924" i="7"/>
  <c r="S924" i="7"/>
  <c r="R924" i="7"/>
  <c r="Q924" i="7"/>
  <c r="P924" i="7"/>
  <c r="O924" i="7"/>
  <c r="N924" i="7"/>
  <c r="M924" i="7"/>
  <c r="L924" i="7"/>
  <c r="K924" i="7"/>
  <c r="J924" i="7"/>
  <c r="I924" i="7"/>
  <c r="H924" i="7"/>
  <c r="G924" i="7"/>
  <c r="F924" i="7"/>
  <c r="E924" i="7"/>
  <c r="D924" i="7"/>
  <c r="C924" i="7"/>
  <c r="B924" i="7"/>
  <c r="A924" i="7"/>
  <c r="CH924" i="17" s="1"/>
  <c r="AD923" i="7"/>
  <c r="AC923" i="7"/>
  <c r="AB923" i="7"/>
  <c r="AA923" i="7"/>
  <c r="Z923" i="7"/>
  <c r="Y923" i="7"/>
  <c r="X923" i="7"/>
  <c r="W923" i="7"/>
  <c r="V923" i="7"/>
  <c r="U923" i="7"/>
  <c r="T923" i="7"/>
  <c r="S923" i="7"/>
  <c r="R923" i="7"/>
  <c r="Q923" i="7"/>
  <c r="P923" i="7"/>
  <c r="O923" i="7"/>
  <c r="N923" i="7"/>
  <c r="M923" i="7"/>
  <c r="L923" i="7"/>
  <c r="K923" i="7"/>
  <c r="J923" i="7"/>
  <c r="I923" i="7"/>
  <c r="H923" i="7"/>
  <c r="G923" i="7"/>
  <c r="F923" i="7"/>
  <c r="E923" i="7"/>
  <c r="D923" i="7"/>
  <c r="C923" i="7"/>
  <c r="B923" i="7"/>
  <c r="A923" i="7"/>
  <c r="CH923" i="17" s="1"/>
  <c r="AD922" i="7"/>
  <c r="AC922" i="7"/>
  <c r="AB922" i="7"/>
  <c r="AA922" i="7"/>
  <c r="Z922" i="7"/>
  <c r="Y922" i="7"/>
  <c r="X922" i="7"/>
  <c r="W922" i="7"/>
  <c r="V922" i="7"/>
  <c r="U922" i="7"/>
  <c r="T922" i="7"/>
  <c r="S922" i="7"/>
  <c r="R922" i="7"/>
  <c r="Q922" i="7"/>
  <c r="P922" i="7"/>
  <c r="O922" i="7"/>
  <c r="N922" i="7"/>
  <c r="M922" i="7"/>
  <c r="L922" i="7"/>
  <c r="K922" i="7"/>
  <c r="J922" i="7"/>
  <c r="I922" i="7"/>
  <c r="H922" i="7"/>
  <c r="G922" i="7"/>
  <c r="F922" i="7"/>
  <c r="E922" i="7"/>
  <c r="D922" i="7"/>
  <c r="C922" i="7"/>
  <c r="B922" i="7"/>
  <c r="A922" i="7"/>
  <c r="CH922" i="17" s="1"/>
  <c r="AD921" i="7"/>
  <c r="AC921" i="7"/>
  <c r="AB921" i="7"/>
  <c r="AA921" i="7"/>
  <c r="Z921" i="7"/>
  <c r="Y921" i="7"/>
  <c r="X921" i="7"/>
  <c r="W921" i="7"/>
  <c r="V921" i="7"/>
  <c r="U921" i="7"/>
  <c r="T921" i="7"/>
  <c r="S921" i="7"/>
  <c r="R921" i="7"/>
  <c r="Q921" i="7"/>
  <c r="P921" i="7"/>
  <c r="O921" i="7"/>
  <c r="N921" i="7"/>
  <c r="M921" i="7"/>
  <c r="L921" i="7"/>
  <c r="K921" i="7"/>
  <c r="J921" i="7"/>
  <c r="I921" i="7"/>
  <c r="H921" i="7"/>
  <c r="G921" i="7"/>
  <c r="F921" i="7"/>
  <c r="E921" i="7"/>
  <c r="D921" i="7"/>
  <c r="C921" i="7"/>
  <c r="B921" i="7"/>
  <c r="A921" i="7"/>
  <c r="CH921" i="17" s="1"/>
  <c r="AD920" i="7"/>
  <c r="AC920" i="7"/>
  <c r="AB920" i="7"/>
  <c r="AA920" i="7"/>
  <c r="Z920" i="7"/>
  <c r="Y920" i="7"/>
  <c r="X920" i="7"/>
  <c r="W920" i="7"/>
  <c r="V920" i="7"/>
  <c r="U920" i="7"/>
  <c r="T920" i="7"/>
  <c r="S920" i="7"/>
  <c r="R920" i="7"/>
  <c r="Q920" i="7"/>
  <c r="P920" i="7"/>
  <c r="O920" i="7"/>
  <c r="N920" i="7"/>
  <c r="M920" i="7"/>
  <c r="L920" i="7"/>
  <c r="K920" i="7"/>
  <c r="J920" i="7"/>
  <c r="I920" i="7"/>
  <c r="H920" i="7"/>
  <c r="G920" i="7"/>
  <c r="F920" i="7"/>
  <c r="E920" i="7"/>
  <c r="D920" i="7"/>
  <c r="C920" i="7"/>
  <c r="B920" i="7"/>
  <c r="A920" i="7"/>
  <c r="CH920" i="17" s="1"/>
  <c r="AD919" i="7"/>
  <c r="AC919" i="7"/>
  <c r="AB919" i="7"/>
  <c r="AA919" i="7"/>
  <c r="Z919" i="7"/>
  <c r="Y919" i="7"/>
  <c r="X919" i="7"/>
  <c r="W919" i="7"/>
  <c r="V919" i="7"/>
  <c r="U919" i="7"/>
  <c r="T919" i="7"/>
  <c r="S919" i="7"/>
  <c r="R919" i="7"/>
  <c r="Q919" i="7"/>
  <c r="P919" i="7"/>
  <c r="O919" i="7"/>
  <c r="N919" i="7"/>
  <c r="M919" i="7"/>
  <c r="L919" i="7"/>
  <c r="K919" i="7"/>
  <c r="J919" i="7"/>
  <c r="I919" i="7"/>
  <c r="H919" i="7"/>
  <c r="G919" i="7"/>
  <c r="F919" i="7"/>
  <c r="E919" i="7"/>
  <c r="D919" i="7"/>
  <c r="C919" i="7"/>
  <c r="B919" i="7"/>
  <c r="A919" i="7"/>
  <c r="CH919" i="17" s="1"/>
  <c r="AD918" i="7"/>
  <c r="AC918" i="7"/>
  <c r="AB918" i="7"/>
  <c r="AA918" i="7"/>
  <c r="Z918" i="7"/>
  <c r="Y918" i="7"/>
  <c r="X918" i="7"/>
  <c r="W918" i="7"/>
  <c r="V918" i="7"/>
  <c r="U918" i="7"/>
  <c r="T918" i="7"/>
  <c r="S918" i="7"/>
  <c r="R918" i="7"/>
  <c r="Q918" i="7"/>
  <c r="P918" i="7"/>
  <c r="O918" i="7"/>
  <c r="N918" i="7"/>
  <c r="M918" i="7"/>
  <c r="L918" i="7"/>
  <c r="K918" i="7"/>
  <c r="J918" i="7"/>
  <c r="I918" i="7"/>
  <c r="H918" i="7"/>
  <c r="G918" i="7"/>
  <c r="F918" i="7"/>
  <c r="E918" i="7"/>
  <c r="D918" i="7"/>
  <c r="C918" i="7"/>
  <c r="B918" i="7"/>
  <c r="A918" i="7"/>
  <c r="CH918" i="17" s="1"/>
  <c r="AD917" i="7"/>
  <c r="AC917" i="7"/>
  <c r="AB917" i="7"/>
  <c r="AA917" i="7"/>
  <c r="Z917" i="7"/>
  <c r="Y917" i="7"/>
  <c r="X917" i="7"/>
  <c r="W917" i="7"/>
  <c r="V917" i="7"/>
  <c r="U917" i="7"/>
  <c r="T917" i="7"/>
  <c r="S917" i="7"/>
  <c r="R917" i="7"/>
  <c r="Q917" i="7"/>
  <c r="P917" i="7"/>
  <c r="O917" i="7"/>
  <c r="N917" i="7"/>
  <c r="M917" i="7"/>
  <c r="L917" i="7"/>
  <c r="K917" i="7"/>
  <c r="J917" i="7"/>
  <c r="I917" i="7"/>
  <c r="H917" i="7"/>
  <c r="G917" i="7"/>
  <c r="F917" i="7"/>
  <c r="E917" i="7"/>
  <c r="D917" i="7"/>
  <c r="C917" i="7"/>
  <c r="B917" i="7"/>
  <c r="A917" i="7"/>
  <c r="CH917" i="17" s="1"/>
  <c r="AD916" i="7"/>
  <c r="AC916" i="7"/>
  <c r="AB916" i="7"/>
  <c r="AA916" i="7"/>
  <c r="Z916" i="7"/>
  <c r="Y916" i="7"/>
  <c r="X916" i="7"/>
  <c r="W916" i="7"/>
  <c r="V916" i="7"/>
  <c r="U916" i="7"/>
  <c r="T916" i="7"/>
  <c r="S916" i="7"/>
  <c r="R916" i="7"/>
  <c r="Q916" i="7"/>
  <c r="P916" i="7"/>
  <c r="O916" i="7"/>
  <c r="N916" i="7"/>
  <c r="M916" i="7"/>
  <c r="L916" i="7"/>
  <c r="K916" i="7"/>
  <c r="J916" i="7"/>
  <c r="I916" i="7"/>
  <c r="H916" i="7"/>
  <c r="G916" i="7"/>
  <c r="F916" i="7"/>
  <c r="E916" i="7"/>
  <c r="D916" i="7"/>
  <c r="C916" i="7"/>
  <c r="B916" i="7"/>
  <c r="A916" i="7"/>
  <c r="CH916" i="17" s="1"/>
  <c r="AD915" i="7"/>
  <c r="AC915" i="7"/>
  <c r="AB915" i="7"/>
  <c r="AA915" i="7"/>
  <c r="Z915" i="7"/>
  <c r="Y915" i="7"/>
  <c r="X915" i="7"/>
  <c r="W915" i="7"/>
  <c r="V915" i="7"/>
  <c r="U915" i="7"/>
  <c r="T915" i="7"/>
  <c r="S915" i="7"/>
  <c r="R915" i="7"/>
  <c r="Q915" i="7"/>
  <c r="P915" i="7"/>
  <c r="O915" i="7"/>
  <c r="N915" i="7"/>
  <c r="M915" i="7"/>
  <c r="L915" i="7"/>
  <c r="K915" i="7"/>
  <c r="J915" i="7"/>
  <c r="I915" i="7"/>
  <c r="H915" i="7"/>
  <c r="G915" i="7"/>
  <c r="F915" i="7"/>
  <c r="E915" i="7"/>
  <c r="D915" i="7"/>
  <c r="C915" i="7"/>
  <c r="B915" i="7"/>
  <c r="A915" i="7"/>
  <c r="CH915" i="17" s="1"/>
  <c r="AD914" i="7"/>
  <c r="AC914" i="7"/>
  <c r="AB914" i="7"/>
  <c r="AA914" i="7"/>
  <c r="Z914" i="7"/>
  <c r="Y914" i="7"/>
  <c r="X914" i="7"/>
  <c r="W914" i="7"/>
  <c r="V914" i="7"/>
  <c r="U914" i="7"/>
  <c r="T914" i="7"/>
  <c r="S914" i="7"/>
  <c r="R914" i="7"/>
  <c r="Q914" i="7"/>
  <c r="P914" i="7"/>
  <c r="O914" i="7"/>
  <c r="N914" i="7"/>
  <c r="M914" i="7"/>
  <c r="L914" i="7"/>
  <c r="K914" i="7"/>
  <c r="J914" i="7"/>
  <c r="I914" i="7"/>
  <c r="H914" i="7"/>
  <c r="G914" i="7"/>
  <c r="F914" i="7"/>
  <c r="E914" i="7"/>
  <c r="D914" i="7"/>
  <c r="C914" i="7"/>
  <c r="B914" i="7"/>
  <c r="A914" i="7"/>
  <c r="CH914" i="17" s="1"/>
  <c r="AD913" i="7"/>
  <c r="AC913" i="7"/>
  <c r="AB913" i="7"/>
  <c r="AA913" i="7"/>
  <c r="Z913" i="7"/>
  <c r="Y913" i="7"/>
  <c r="X913" i="7"/>
  <c r="W913" i="7"/>
  <c r="V913" i="7"/>
  <c r="U913" i="7"/>
  <c r="T913" i="7"/>
  <c r="S913" i="7"/>
  <c r="R913" i="7"/>
  <c r="Q913" i="7"/>
  <c r="P913" i="7"/>
  <c r="O913" i="7"/>
  <c r="N913" i="7"/>
  <c r="M913" i="7"/>
  <c r="L913" i="7"/>
  <c r="K913" i="7"/>
  <c r="J913" i="7"/>
  <c r="I913" i="7"/>
  <c r="H913" i="7"/>
  <c r="G913" i="7"/>
  <c r="F913" i="7"/>
  <c r="E913" i="7"/>
  <c r="D913" i="7"/>
  <c r="C913" i="7"/>
  <c r="B913" i="7"/>
  <c r="A913" i="7"/>
  <c r="CH913" i="17" s="1"/>
  <c r="AD912" i="7"/>
  <c r="AC912" i="7"/>
  <c r="AB912" i="7"/>
  <c r="AA912" i="7"/>
  <c r="Z912" i="7"/>
  <c r="Y912" i="7"/>
  <c r="X912" i="7"/>
  <c r="W912" i="7"/>
  <c r="V912" i="7"/>
  <c r="U912" i="7"/>
  <c r="T912" i="7"/>
  <c r="S912" i="7"/>
  <c r="R912" i="7"/>
  <c r="Q912" i="7"/>
  <c r="P912" i="7"/>
  <c r="O912" i="7"/>
  <c r="N912" i="7"/>
  <c r="M912" i="7"/>
  <c r="L912" i="7"/>
  <c r="K912" i="7"/>
  <c r="J912" i="7"/>
  <c r="I912" i="7"/>
  <c r="H912" i="7"/>
  <c r="G912" i="7"/>
  <c r="F912" i="7"/>
  <c r="E912" i="7"/>
  <c r="D912" i="7"/>
  <c r="C912" i="7"/>
  <c r="B912" i="7"/>
  <c r="A912" i="7"/>
  <c r="CH912" i="17" s="1"/>
  <c r="AB911" i="7"/>
  <c r="K911" i="7"/>
  <c r="T911" i="7" s="1"/>
  <c r="J911" i="7"/>
  <c r="S911" i="7" s="1"/>
  <c r="I911" i="7"/>
  <c r="H911" i="7"/>
  <c r="G911" i="7"/>
  <c r="F911" i="7"/>
  <c r="E911" i="7"/>
  <c r="D911" i="7"/>
  <c r="M911" i="7" s="1"/>
  <c r="V911" i="7" s="1"/>
  <c r="C911" i="7"/>
  <c r="B911" i="7"/>
  <c r="A911" i="7"/>
  <c r="CH911" i="17" s="1"/>
  <c r="AB910" i="7"/>
  <c r="M910" i="7"/>
  <c r="V910" i="7" s="1"/>
  <c r="K910" i="7"/>
  <c r="T910" i="7" s="1"/>
  <c r="J910" i="7"/>
  <c r="I910" i="7"/>
  <c r="H910" i="7"/>
  <c r="Q911" i="7" s="1"/>
  <c r="X911" i="7" s="1"/>
  <c r="G910" i="7"/>
  <c r="F910" i="7"/>
  <c r="E910" i="7"/>
  <c r="D910" i="7"/>
  <c r="C910" i="7"/>
  <c r="B910" i="7"/>
  <c r="A910" i="7"/>
  <c r="CH910" i="17" s="1"/>
  <c r="AB909" i="7"/>
  <c r="M909" i="7"/>
  <c r="V909" i="7" s="1"/>
  <c r="J909" i="7"/>
  <c r="I909" i="7"/>
  <c r="R909" i="7" s="1"/>
  <c r="H909" i="7"/>
  <c r="G909" i="7"/>
  <c r="F909" i="7"/>
  <c r="E909" i="7"/>
  <c r="D909" i="7"/>
  <c r="C909" i="7"/>
  <c r="B909" i="7"/>
  <c r="AB908" i="7"/>
  <c r="Q908" i="7"/>
  <c r="X908" i="7" s="1"/>
  <c r="J908" i="7"/>
  <c r="I908" i="7"/>
  <c r="H908" i="7"/>
  <c r="Q909" i="7" s="1"/>
  <c r="X909" i="7" s="1"/>
  <c r="G908" i="7"/>
  <c r="F908" i="7"/>
  <c r="E908" i="7"/>
  <c r="D908" i="7"/>
  <c r="C908" i="7"/>
  <c r="B908" i="7"/>
  <c r="A908" i="7"/>
  <c r="CH908" i="17" s="1"/>
  <c r="AB907" i="7"/>
  <c r="J907" i="7"/>
  <c r="I907" i="7"/>
  <c r="R908" i="7" s="1"/>
  <c r="H907" i="7"/>
  <c r="G907" i="7"/>
  <c r="F907" i="7"/>
  <c r="E907" i="7"/>
  <c r="D907" i="7"/>
  <c r="C907" i="7"/>
  <c r="B907" i="7"/>
  <c r="A907" i="7"/>
  <c r="CH907" i="17" s="1"/>
  <c r="AB906" i="7"/>
  <c r="R906" i="7"/>
  <c r="L906" i="7"/>
  <c r="U906" i="7" s="1"/>
  <c r="J906" i="7"/>
  <c r="I906" i="7"/>
  <c r="H906" i="7"/>
  <c r="G906" i="7"/>
  <c r="F906" i="7"/>
  <c r="E906" i="7"/>
  <c r="D906" i="7"/>
  <c r="C906" i="7"/>
  <c r="B906" i="7"/>
  <c r="A906" i="7"/>
  <c r="CH906" i="17" s="1"/>
  <c r="AB905" i="7"/>
  <c r="N905" i="7"/>
  <c r="W905" i="7" s="1"/>
  <c r="J905" i="7"/>
  <c r="I905" i="7"/>
  <c r="H905" i="7"/>
  <c r="G905" i="7"/>
  <c r="F905" i="7"/>
  <c r="E905" i="7"/>
  <c r="D905" i="7"/>
  <c r="C905" i="7"/>
  <c r="B905" i="7"/>
  <c r="A905" i="7"/>
  <c r="CH905" i="17" s="1"/>
  <c r="AB904" i="7"/>
  <c r="L904" i="7"/>
  <c r="U904" i="7" s="1"/>
  <c r="J904" i="7"/>
  <c r="I904" i="7"/>
  <c r="H904" i="7"/>
  <c r="G904" i="7"/>
  <c r="F904" i="7"/>
  <c r="E904" i="7"/>
  <c r="D904" i="7"/>
  <c r="C904" i="7"/>
  <c r="B904" i="7"/>
  <c r="A904" i="7"/>
  <c r="CH904" i="17" s="1"/>
  <c r="AB903" i="7"/>
  <c r="N903" i="7"/>
  <c r="W903" i="7" s="1"/>
  <c r="J903" i="7"/>
  <c r="I903" i="7"/>
  <c r="H903" i="7"/>
  <c r="Q903" i="7" s="1"/>
  <c r="X903" i="7" s="1"/>
  <c r="G903" i="7"/>
  <c r="F903" i="7"/>
  <c r="E903" i="7"/>
  <c r="D903" i="7"/>
  <c r="C903" i="7"/>
  <c r="B903" i="7"/>
  <c r="A903" i="7"/>
  <c r="CH903" i="17" s="1"/>
  <c r="AB902" i="7"/>
  <c r="P902" i="7"/>
  <c r="AA902" i="7" s="1"/>
  <c r="N902" i="7"/>
  <c r="W902" i="7" s="1"/>
  <c r="J902" i="7"/>
  <c r="I902" i="7"/>
  <c r="H902" i="7"/>
  <c r="G902" i="7"/>
  <c r="F902" i="7"/>
  <c r="E902" i="7"/>
  <c r="D902" i="7"/>
  <c r="C902" i="7"/>
  <c r="B902" i="7"/>
  <c r="A902" i="7"/>
  <c r="CH902" i="17" s="1"/>
  <c r="AB901" i="7"/>
  <c r="J901" i="7"/>
  <c r="S901" i="7" s="1"/>
  <c r="I901" i="7"/>
  <c r="R901" i="7" s="1"/>
  <c r="H901" i="7"/>
  <c r="G901" i="7"/>
  <c r="F901" i="7"/>
  <c r="E901" i="7"/>
  <c r="D901" i="7"/>
  <c r="C901" i="7"/>
  <c r="B901" i="7"/>
  <c r="A901" i="7"/>
  <c r="CH901" i="17" s="1"/>
  <c r="AB900" i="7"/>
  <c r="J900" i="7"/>
  <c r="I900" i="7"/>
  <c r="R900" i="7" s="1"/>
  <c r="H900" i="7"/>
  <c r="G900" i="7"/>
  <c r="F900" i="7"/>
  <c r="E900" i="7"/>
  <c r="D900" i="7"/>
  <c r="C900" i="7"/>
  <c r="B900" i="7"/>
  <c r="A900" i="7"/>
  <c r="CH900" i="17" s="1"/>
  <c r="AB899" i="7"/>
  <c r="R899" i="7"/>
  <c r="J899" i="7"/>
  <c r="I899" i="7"/>
  <c r="H899" i="7"/>
  <c r="G899" i="7"/>
  <c r="F899" i="7"/>
  <c r="E899" i="7"/>
  <c r="D899" i="7"/>
  <c r="C899" i="7"/>
  <c r="B899" i="7"/>
  <c r="A899" i="7"/>
  <c r="CH899" i="17" s="1"/>
  <c r="AB898" i="7"/>
  <c r="R898" i="7"/>
  <c r="N898" i="7"/>
  <c r="W898" i="7" s="1"/>
  <c r="J898" i="7"/>
  <c r="S898" i="7" s="1"/>
  <c r="I898" i="7"/>
  <c r="H898" i="7"/>
  <c r="G898" i="7"/>
  <c r="F898" i="7"/>
  <c r="E898" i="7"/>
  <c r="D898" i="7"/>
  <c r="C898" i="7"/>
  <c r="B898" i="7"/>
  <c r="A898" i="7"/>
  <c r="CH898" i="17" s="1"/>
  <c r="AB897" i="7"/>
  <c r="S897" i="7"/>
  <c r="J897" i="7"/>
  <c r="I897" i="7"/>
  <c r="H897" i="7"/>
  <c r="G897" i="7"/>
  <c r="F897" i="7"/>
  <c r="E897" i="7"/>
  <c r="D897" i="7"/>
  <c r="C897" i="7"/>
  <c r="B897" i="7"/>
  <c r="A897" i="7"/>
  <c r="CH897" i="17" s="1"/>
  <c r="AB896" i="7"/>
  <c r="J896" i="7"/>
  <c r="I896" i="7"/>
  <c r="R896" i="7" s="1"/>
  <c r="H896" i="7"/>
  <c r="G896" i="7"/>
  <c r="F896" i="7"/>
  <c r="E896" i="7"/>
  <c r="D896" i="7"/>
  <c r="C896" i="7"/>
  <c r="B896" i="7"/>
  <c r="A896" i="7"/>
  <c r="CH896" i="17" s="1"/>
  <c r="AB895" i="7"/>
  <c r="J895" i="7"/>
  <c r="I895" i="7"/>
  <c r="H895" i="7"/>
  <c r="G895" i="7"/>
  <c r="F895" i="7"/>
  <c r="E895" i="7"/>
  <c r="D895" i="7"/>
  <c r="C895" i="7"/>
  <c r="B895" i="7"/>
  <c r="A895" i="7"/>
  <c r="CH895" i="17" s="1"/>
  <c r="AB894" i="7"/>
  <c r="R894" i="7"/>
  <c r="J894" i="7"/>
  <c r="I894" i="7"/>
  <c r="H894" i="7"/>
  <c r="G894" i="7"/>
  <c r="F894" i="7"/>
  <c r="E894" i="7"/>
  <c r="D894" i="7"/>
  <c r="C894" i="7"/>
  <c r="B894" i="7"/>
  <c r="A894" i="7"/>
  <c r="CH894" i="17" s="1"/>
  <c r="AB893" i="7"/>
  <c r="J893" i="7"/>
  <c r="I893" i="7"/>
  <c r="H893" i="7"/>
  <c r="G893" i="7"/>
  <c r="F893" i="7"/>
  <c r="E893" i="7"/>
  <c r="D893" i="7"/>
  <c r="C893" i="7"/>
  <c r="B893" i="7"/>
  <c r="A893" i="7"/>
  <c r="CH893" i="17" s="1"/>
  <c r="AB892" i="7"/>
  <c r="J892" i="7"/>
  <c r="I892" i="7"/>
  <c r="R892" i="7" s="1"/>
  <c r="H892" i="7"/>
  <c r="G892" i="7"/>
  <c r="F892" i="7"/>
  <c r="E892" i="7"/>
  <c r="D892" i="7"/>
  <c r="C892" i="7"/>
  <c r="B892" i="7"/>
  <c r="A892" i="7"/>
  <c r="CH892" i="17" s="1"/>
  <c r="AB891" i="7"/>
  <c r="R891" i="7"/>
  <c r="K891" i="7"/>
  <c r="T891" i="7" s="1"/>
  <c r="J891" i="7"/>
  <c r="S891" i="7" s="1"/>
  <c r="I891" i="7"/>
  <c r="H891" i="7"/>
  <c r="G891" i="7"/>
  <c r="F891" i="7"/>
  <c r="E891" i="7"/>
  <c r="D891" i="7"/>
  <c r="C891" i="7"/>
  <c r="B891" i="7"/>
  <c r="A891" i="7"/>
  <c r="CH891" i="17" s="1"/>
  <c r="AB890" i="7"/>
  <c r="X890" i="7"/>
  <c r="J890" i="7"/>
  <c r="I890" i="7"/>
  <c r="R890" i="7" s="1"/>
  <c r="H890" i="7"/>
  <c r="Q890" i="7" s="1"/>
  <c r="G890" i="7"/>
  <c r="F890" i="7"/>
  <c r="E890" i="7"/>
  <c r="D890" i="7"/>
  <c r="C890" i="7"/>
  <c r="B890" i="7"/>
  <c r="A890" i="7"/>
  <c r="CH890" i="17" s="1"/>
  <c r="AB889" i="7"/>
  <c r="J889" i="7"/>
  <c r="I889" i="7"/>
  <c r="H889" i="7"/>
  <c r="G889" i="7"/>
  <c r="F889" i="7"/>
  <c r="E889" i="7"/>
  <c r="D889" i="7"/>
  <c r="C889" i="7"/>
  <c r="B889" i="7"/>
  <c r="A889" i="7"/>
  <c r="CH889" i="17" s="1"/>
  <c r="AB888" i="7"/>
  <c r="J888" i="7"/>
  <c r="I888" i="7"/>
  <c r="H888" i="7"/>
  <c r="G888" i="7"/>
  <c r="F888" i="7"/>
  <c r="E888" i="7"/>
  <c r="D888" i="7"/>
  <c r="C888" i="7"/>
  <c r="B888" i="7"/>
  <c r="A888" i="7"/>
  <c r="CH888" i="17" s="1"/>
  <c r="AB887" i="7"/>
  <c r="J887" i="7"/>
  <c r="I887" i="7"/>
  <c r="H887" i="7"/>
  <c r="G887" i="7"/>
  <c r="F887" i="7"/>
  <c r="E887" i="7"/>
  <c r="D887" i="7"/>
  <c r="C887" i="7"/>
  <c r="B887" i="7"/>
  <c r="A887" i="7"/>
  <c r="CH887" i="17" s="1"/>
  <c r="AB886" i="7"/>
  <c r="J886" i="7"/>
  <c r="S886" i="7" s="1"/>
  <c r="I886" i="7"/>
  <c r="R886" i="7" s="1"/>
  <c r="H886" i="7"/>
  <c r="G886" i="7"/>
  <c r="F886" i="7"/>
  <c r="E886" i="7"/>
  <c r="D886" i="7"/>
  <c r="C886" i="7"/>
  <c r="B886" i="7"/>
  <c r="A886" i="7"/>
  <c r="CH886" i="17" s="1"/>
  <c r="AB885" i="7"/>
  <c r="S885" i="7"/>
  <c r="N885" i="7"/>
  <c r="W885" i="7" s="1"/>
  <c r="J885" i="7"/>
  <c r="I885" i="7"/>
  <c r="H885" i="7"/>
  <c r="G885" i="7"/>
  <c r="F885" i="7"/>
  <c r="E885" i="7"/>
  <c r="D885" i="7"/>
  <c r="C885" i="7"/>
  <c r="B885" i="7"/>
  <c r="A885" i="7"/>
  <c r="CH885" i="17" s="1"/>
  <c r="AB884" i="7"/>
  <c r="O884" i="7"/>
  <c r="Z884" i="7" s="1"/>
  <c r="J884" i="7"/>
  <c r="I884" i="7"/>
  <c r="H884" i="7"/>
  <c r="G884" i="7"/>
  <c r="F884" i="7"/>
  <c r="E884" i="7"/>
  <c r="D884" i="7"/>
  <c r="C884" i="7"/>
  <c r="B884" i="7"/>
  <c r="K884" i="7" s="1"/>
  <c r="T884" i="7" s="1"/>
  <c r="A884" i="7"/>
  <c r="CH884" i="17" s="1"/>
  <c r="AB883" i="7"/>
  <c r="J883" i="7"/>
  <c r="I883" i="7"/>
  <c r="H883" i="7"/>
  <c r="G883" i="7"/>
  <c r="F883" i="7"/>
  <c r="E883" i="7"/>
  <c r="D883" i="7"/>
  <c r="C883" i="7"/>
  <c r="B883" i="7"/>
  <c r="A883" i="7"/>
  <c r="CH883" i="17" s="1"/>
  <c r="AB882" i="7"/>
  <c r="J882" i="7"/>
  <c r="I882" i="7"/>
  <c r="H882" i="7"/>
  <c r="Q882" i="7" s="1"/>
  <c r="X882" i="7" s="1"/>
  <c r="G882" i="7"/>
  <c r="F882" i="7"/>
  <c r="E882" i="7"/>
  <c r="D882" i="7"/>
  <c r="C882" i="7"/>
  <c r="B882" i="7"/>
  <c r="A882" i="7"/>
  <c r="CH882" i="17" s="1"/>
  <c r="AB881" i="7"/>
  <c r="J881" i="7"/>
  <c r="I881" i="7"/>
  <c r="H881" i="7"/>
  <c r="G881" i="7"/>
  <c r="F881" i="7"/>
  <c r="E881" i="7"/>
  <c r="D881" i="7"/>
  <c r="C881" i="7"/>
  <c r="B881" i="7"/>
  <c r="A881" i="7"/>
  <c r="CH881" i="17" s="1"/>
  <c r="AB880" i="7"/>
  <c r="J880" i="7"/>
  <c r="I880" i="7"/>
  <c r="H880" i="7"/>
  <c r="Q880" i="7" s="1"/>
  <c r="X880" i="7" s="1"/>
  <c r="G880" i="7"/>
  <c r="F880" i="7"/>
  <c r="E880" i="7"/>
  <c r="D880" i="7"/>
  <c r="C880" i="7"/>
  <c r="L880" i="7" s="1"/>
  <c r="U880" i="7" s="1"/>
  <c r="B880" i="7"/>
  <c r="A880" i="7"/>
  <c r="CH880" i="17" s="1"/>
  <c r="AB879" i="7"/>
  <c r="L879" i="7"/>
  <c r="U879" i="7" s="1"/>
  <c r="J879" i="7"/>
  <c r="S879" i="7" s="1"/>
  <c r="I879" i="7"/>
  <c r="H879" i="7"/>
  <c r="G879" i="7"/>
  <c r="F879" i="7"/>
  <c r="E879" i="7"/>
  <c r="D879" i="7"/>
  <c r="C879" i="7"/>
  <c r="B879" i="7"/>
  <c r="A879" i="7"/>
  <c r="CH879" i="17" s="1"/>
  <c r="AB878" i="7"/>
  <c r="L878" i="7"/>
  <c r="U878" i="7" s="1"/>
  <c r="J878" i="7"/>
  <c r="I878" i="7"/>
  <c r="R878" i="7" s="1"/>
  <c r="H878" i="7"/>
  <c r="G878" i="7"/>
  <c r="F878" i="7"/>
  <c r="E878" i="7"/>
  <c r="D878" i="7"/>
  <c r="C878" i="7"/>
  <c r="B878" i="7"/>
  <c r="A878" i="7"/>
  <c r="CH878" i="17" s="1"/>
  <c r="AB877" i="7"/>
  <c r="S877" i="7"/>
  <c r="J877" i="7"/>
  <c r="I877" i="7"/>
  <c r="R877" i="7" s="1"/>
  <c r="H877" i="7"/>
  <c r="G877" i="7"/>
  <c r="F877" i="7"/>
  <c r="E877" i="7"/>
  <c r="D877" i="7"/>
  <c r="C877" i="7"/>
  <c r="B877" i="7"/>
  <c r="A877" i="7"/>
  <c r="CH877" i="17" s="1"/>
  <c r="AB876" i="7"/>
  <c r="L876" i="7"/>
  <c r="U876" i="7" s="1"/>
  <c r="J876" i="7"/>
  <c r="S876" i="7" s="1"/>
  <c r="I876" i="7"/>
  <c r="H876" i="7"/>
  <c r="G876" i="7"/>
  <c r="F876" i="7"/>
  <c r="E876" i="7"/>
  <c r="D876" i="7"/>
  <c r="C876" i="7"/>
  <c r="B876" i="7"/>
  <c r="A876" i="7"/>
  <c r="CH876" i="17" s="1"/>
  <c r="AB875" i="7"/>
  <c r="Q875" i="7"/>
  <c r="X875" i="7" s="1"/>
  <c r="J875" i="7"/>
  <c r="I875" i="7"/>
  <c r="R875" i="7" s="1"/>
  <c r="H875" i="7"/>
  <c r="G875" i="7"/>
  <c r="F875" i="7"/>
  <c r="E875" i="7"/>
  <c r="D875" i="7"/>
  <c r="M876" i="7" s="1"/>
  <c r="V876" i="7" s="1"/>
  <c r="C875" i="7"/>
  <c r="B875" i="7"/>
  <c r="A875" i="7"/>
  <c r="CH875" i="17" s="1"/>
  <c r="AB874" i="7"/>
  <c r="J874" i="7"/>
  <c r="I874" i="7"/>
  <c r="H874" i="7"/>
  <c r="G874" i="7"/>
  <c r="F874" i="7"/>
  <c r="E874" i="7"/>
  <c r="D874" i="7"/>
  <c r="C874" i="7"/>
  <c r="B874" i="7"/>
  <c r="A874" i="7"/>
  <c r="CH874" i="17" s="1"/>
  <c r="AB873" i="7"/>
  <c r="J873" i="7"/>
  <c r="I873" i="7"/>
  <c r="H873" i="7"/>
  <c r="G873" i="7"/>
  <c r="F873" i="7"/>
  <c r="E873" i="7"/>
  <c r="D873" i="7"/>
  <c r="C873" i="7"/>
  <c r="B873" i="7"/>
  <c r="A873" i="7"/>
  <c r="CH873" i="17" s="1"/>
  <c r="AB872" i="7"/>
  <c r="J872" i="7"/>
  <c r="I872" i="7"/>
  <c r="H872" i="7"/>
  <c r="Q872" i="7" s="1"/>
  <c r="X872" i="7" s="1"/>
  <c r="G872" i="7"/>
  <c r="F872" i="7"/>
  <c r="E872" i="7"/>
  <c r="D872" i="7"/>
  <c r="C872" i="7"/>
  <c r="B872" i="7"/>
  <c r="A872" i="7"/>
  <c r="CH872" i="17" s="1"/>
  <c r="AB871" i="7"/>
  <c r="S871" i="7"/>
  <c r="Q871" i="7"/>
  <c r="X871" i="7" s="1"/>
  <c r="J871" i="7"/>
  <c r="I871" i="7"/>
  <c r="H871" i="7"/>
  <c r="G871" i="7"/>
  <c r="F871" i="7"/>
  <c r="E871" i="7"/>
  <c r="D871" i="7"/>
  <c r="C871" i="7"/>
  <c r="B871" i="7"/>
  <c r="A871" i="7"/>
  <c r="CH871" i="17" s="1"/>
  <c r="AB870" i="7"/>
  <c r="J870" i="7"/>
  <c r="S870" i="7" s="1"/>
  <c r="I870" i="7"/>
  <c r="H870" i="7"/>
  <c r="G870" i="7"/>
  <c r="F870" i="7"/>
  <c r="E870" i="7"/>
  <c r="D870" i="7"/>
  <c r="C870" i="7"/>
  <c r="B870" i="7"/>
  <c r="A870" i="7"/>
  <c r="CH870" i="17" s="1"/>
  <c r="AB869" i="7"/>
  <c r="J869" i="7"/>
  <c r="I869" i="7"/>
  <c r="H869" i="7"/>
  <c r="G869" i="7"/>
  <c r="F869" i="7"/>
  <c r="E869" i="7"/>
  <c r="D869" i="7"/>
  <c r="C869" i="7"/>
  <c r="B869" i="7"/>
  <c r="A869" i="7"/>
  <c r="CH869" i="17" s="1"/>
  <c r="AB868" i="7"/>
  <c r="J868" i="7"/>
  <c r="I868" i="7"/>
  <c r="H868" i="7"/>
  <c r="G868" i="7"/>
  <c r="F868" i="7"/>
  <c r="E868" i="7"/>
  <c r="D868" i="7"/>
  <c r="C868" i="7"/>
  <c r="L868" i="7" s="1"/>
  <c r="U868" i="7" s="1"/>
  <c r="B868" i="7"/>
  <c r="A868" i="7"/>
  <c r="CH868" i="17" s="1"/>
  <c r="AB867" i="7"/>
  <c r="K867" i="7"/>
  <c r="T867" i="7" s="1"/>
  <c r="J867" i="7"/>
  <c r="I867" i="7"/>
  <c r="H867" i="7"/>
  <c r="G867" i="7"/>
  <c r="F867" i="7"/>
  <c r="E867" i="7"/>
  <c r="D867" i="7"/>
  <c r="C867" i="7"/>
  <c r="B867" i="7"/>
  <c r="A867" i="7"/>
  <c r="CH867" i="17" s="1"/>
  <c r="AB866" i="7"/>
  <c r="J866" i="7"/>
  <c r="I866" i="7"/>
  <c r="H866" i="7"/>
  <c r="Q866" i="7" s="1"/>
  <c r="X866" i="7" s="1"/>
  <c r="G866" i="7"/>
  <c r="F866" i="7"/>
  <c r="E866" i="7"/>
  <c r="D866" i="7"/>
  <c r="C866" i="7"/>
  <c r="B866" i="7"/>
  <c r="A866" i="7"/>
  <c r="CH866" i="17" s="1"/>
  <c r="AB865" i="7"/>
  <c r="J865" i="7"/>
  <c r="S865" i="7" s="1"/>
  <c r="I865" i="7"/>
  <c r="H865" i="7"/>
  <c r="G865" i="7"/>
  <c r="F865" i="7"/>
  <c r="E865" i="7"/>
  <c r="D865" i="7"/>
  <c r="C865" i="7"/>
  <c r="B865" i="7"/>
  <c r="A865" i="7"/>
  <c r="CH865" i="17" s="1"/>
  <c r="AB864" i="7"/>
  <c r="J864" i="7"/>
  <c r="I864" i="7"/>
  <c r="H864" i="7"/>
  <c r="G864" i="7"/>
  <c r="F864" i="7"/>
  <c r="E864" i="7"/>
  <c r="D864" i="7"/>
  <c r="C864" i="7"/>
  <c r="B864" i="7"/>
  <c r="A864" i="7"/>
  <c r="CH864" i="17" s="1"/>
  <c r="AB863" i="7"/>
  <c r="J863" i="7"/>
  <c r="I863" i="7"/>
  <c r="R863" i="7" s="1"/>
  <c r="H863" i="7"/>
  <c r="G863" i="7"/>
  <c r="F863" i="7"/>
  <c r="E863" i="7"/>
  <c r="D863" i="7"/>
  <c r="C863" i="7"/>
  <c r="B863" i="7"/>
  <c r="A863" i="7"/>
  <c r="CH863" i="17" s="1"/>
  <c r="AB862" i="7"/>
  <c r="X862" i="7"/>
  <c r="J862" i="7"/>
  <c r="S862" i="7" s="1"/>
  <c r="I862" i="7"/>
  <c r="H862" i="7"/>
  <c r="G862" i="7"/>
  <c r="F862" i="7"/>
  <c r="E862" i="7"/>
  <c r="D862" i="7"/>
  <c r="C862" i="7"/>
  <c r="B862" i="7"/>
  <c r="K863" i="7" s="1"/>
  <c r="T863" i="7" s="1"/>
  <c r="A862" i="7"/>
  <c r="CH862" i="17" s="1"/>
  <c r="AB861" i="7"/>
  <c r="L861" i="7"/>
  <c r="U861" i="7" s="1"/>
  <c r="J861" i="7"/>
  <c r="I861" i="7"/>
  <c r="H861" i="7"/>
  <c r="Q862" i="7" s="1"/>
  <c r="G861" i="7"/>
  <c r="F861" i="7"/>
  <c r="E861" i="7"/>
  <c r="D861" i="7"/>
  <c r="C861" i="7"/>
  <c r="B861" i="7"/>
  <c r="A861" i="7"/>
  <c r="CH861" i="17" s="1"/>
  <c r="AB860" i="7"/>
  <c r="J860" i="7"/>
  <c r="I860" i="7"/>
  <c r="H860" i="7"/>
  <c r="G860" i="7"/>
  <c r="F860" i="7"/>
  <c r="E860" i="7"/>
  <c r="D860" i="7"/>
  <c r="C860" i="7"/>
  <c r="B860" i="7"/>
  <c r="A860" i="7"/>
  <c r="CH860" i="17" s="1"/>
  <c r="AB859" i="7"/>
  <c r="S859" i="7"/>
  <c r="J859" i="7"/>
  <c r="I859" i="7"/>
  <c r="H859" i="7"/>
  <c r="G859" i="7"/>
  <c r="F859" i="7"/>
  <c r="E859" i="7"/>
  <c r="D859" i="7"/>
  <c r="C859" i="7"/>
  <c r="B859" i="7"/>
  <c r="A859" i="7"/>
  <c r="CH859" i="17" s="1"/>
  <c r="AB858" i="7"/>
  <c r="J858" i="7"/>
  <c r="I858" i="7"/>
  <c r="H858" i="7"/>
  <c r="Q858" i="7" s="1"/>
  <c r="X858" i="7" s="1"/>
  <c r="G858" i="7"/>
  <c r="F858" i="7"/>
  <c r="E858" i="7"/>
  <c r="D858" i="7"/>
  <c r="C858" i="7"/>
  <c r="L859" i="7" s="1"/>
  <c r="U859" i="7" s="1"/>
  <c r="B858" i="7"/>
  <c r="A858" i="7"/>
  <c r="CH858" i="17" s="1"/>
  <c r="AB857" i="7"/>
  <c r="J857" i="7"/>
  <c r="S857" i="7" s="1"/>
  <c r="I857" i="7"/>
  <c r="H857" i="7"/>
  <c r="Q857" i="7" s="1"/>
  <c r="X857" i="7" s="1"/>
  <c r="G857" i="7"/>
  <c r="F857" i="7"/>
  <c r="E857" i="7"/>
  <c r="D857" i="7"/>
  <c r="C857" i="7"/>
  <c r="B857" i="7"/>
  <c r="A857" i="7"/>
  <c r="CH857" i="17" s="1"/>
  <c r="AB856" i="7"/>
  <c r="J856" i="7"/>
  <c r="I856" i="7"/>
  <c r="H856" i="7"/>
  <c r="G856" i="7"/>
  <c r="F856" i="7"/>
  <c r="E856" i="7"/>
  <c r="D856" i="7"/>
  <c r="C856" i="7"/>
  <c r="B856" i="7"/>
  <c r="A856" i="7"/>
  <c r="CH856" i="17" s="1"/>
  <c r="AB855" i="7"/>
  <c r="J855" i="7"/>
  <c r="I855" i="7"/>
  <c r="R855" i="7" s="1"/>
  <c r="H855" i="7"/>
  <c r="Q856" i="7" s="1"/>
  <c r="X856" i="7" s="1"/>
  <c r="G855" i="7"/>
  <c r="F855" i="7"/>
  <c r="E855" i="7"/>
  <c r="D855" i="7"/>
  <c r="C855" i="7"/>
  <c r="B855" i="7"/>
  <c r="A855" i="7"/>
  <c r="CH855" i="17" s="1"/>
  <c r="AB854" i="7"/>
  <c r="S854" i="7"/>
  <c r="Y854" i="7" s="1"/>
  <c r="R854" i="7"/>
  <c r="P854" i="7"/>
  <c r="AA854" i="7" s="1"/>
  <c r="J854" i="7"/>
  <c r="I854" i="7"/>
  <c r="H854" i="7"/>
  <c r="Q855" i="7" s="1"/>
  <c r="X855" i="7" s="1"/>
  <c r="G854" i="7"/>
  <c r="F854" i="7"/>
  <c r="E854" i="7"/>
  <c r="D854" i="7"/>
  <c r="C854" i="7"/>
  <c r="B854" i="7"/>
  <c r="A854" i="7"/>
  <c r="CH854" i="17" s="1"/>
  <c r="AB853" i="7"/>
  <c r="O853" i="7"/>
  <c r="Z853" i="7" s="1"/>
  <c r="J853" i="7"/>
  <c r="I853" i="7"/>
  <c r="R853" i="7" s="1"/>
  <c r="H853" i="7"/>
  <c r="Q853" i="7" s="1"/>
  <c r="X853" i="7" s="1"/>
  <c r="G853" i="7"/>
  <c r="F853" i="7"/>
  <c r="E853" i="7"/>
  <c r="D853" i="7"/>
  <c r="C853" i="7"/>
  <c r="B853" i="7"/>
  <c r="A853" i="7"/>
  <c r="CH853" i="17" s="1"/>
  <c r="AB852" i="7"/>
  <c r="J852" i="7"/>
  <c r="S852" i="7" s="1"/>
  <c r="I852" i="7"/>
  <c r="R852" i="7" s="1"/>
  <c r="H852" i="7"/>
  <c r="G852" i="7"/>
  <c r="F852" i="7"/>
  <c r="E852" i="7"/>
  <c r="D852" i="7"/>
  <c r="C852" i="7"/>
  <c r="B852" i="7"/>
  <c r="A852" i="7"/>
  <c r="CH852" i="17" s="1"/>
  <c r="AB851" i="7"/>
  <c r="J851" i="7"/>
  <c r="S851" i="7" s="1"/>
  <c r="I851" i="7"/>
  <c r="R851" i="7" s="1"/>
  <c r="H851" i="7"/>
  <c r="G851" i="7"/>
  <c r="F851" i="7"/>
  <c r="E851" i="7"/>
  <c r="D851" i="7"/>
  <c r="C851" i="7"/>
  <c r="B851" i="7"/>
  <c r="A851" i="7"/>
  <c r="CH851" i="17" s="1"/>
  <c r="AB850" i="7"/>
  <c r="P850" i="7"/>
  <c r="AA850" i="7" s="1"/>
  <c r="J850" i="7"/>
  <c r="I850" i="7"/>
  <c r="R850" i="7" s="1"/>
  <c r="H850" i="7"/>
  <c r="Q850" i="7" s="1"/>
  <c r="X850" i="7" s="1"/>
  <c r="G850" i="7"/>
  <c r="F850" i="7"/>
  <c r="E850" i="7"/>
  <c r="D850" i="7"/>
  <c r="C850" i="7"/>
  <c r="B850" i="7"/>
  <c r="A850" i="7"/>
  <c r="CH850" i="17" s="1"/>
  <c r="AB849" i="7"/>
  <c r="J849" i="7"/>
  <c r="I849" i="7"/>
  <c r="R849" i="7" s="1"/>
  <c r="H849" i="7"/>
  <c r="G849" i="7"/>
  <c r="F849" i="7"/>
  <c r="E849" i="7"/>
  <c r="D849" i="7"/>
  <c r="C849" i="7"/>
  <c r="B849" i="7"/>
  <c r="A849" i="7"/>
  <c r="CH849" i="17" s="1"/>
  <c r="AB848" i="7"/>
  <c r="J848" i="7"/>
  <c r="I848" i="7"/>
  <c r="R848" i="7" s="1"/>
  <c r="H848" i="7"/>
  <c r="G848" i="7"/>
  <c r="F848" i="7"/>
  <c r="E848" i="7"/>
  <c r="D848" i="7"/>
  <c r="C848" i="7"/>
  <c r="B848" i="7"/>
  <c r="K848" i="7" s="1"/>
  <c r="T848" i="7" s="1"/>
  <c r="A848" i="7"/>
  <c r="CH848" i="17" s="1"/>
  <c r="AB847" i="7"/>
  <c r="O847" i="7"/>
  <c r="Z847" i="7" s="1"/>
  <c r="K847" i="7"/>
  <c r="T847" i="7" s="1"/>
  <c r="J847" i="7"/>
  <c r="S847" i="7" s="1"/>
  <c r="Y847" i="7" s="1"/>
  <c r="I847" i="7"/>
  <c r="R847" i="7" s="1"/>
  <c r="H847" i="7"/>
  <c r="G847" i="7"/>
  <c r="F847" i="7"/>
  <c r="E847" i="7"/>
  <c r="D847" i="7"/>
  <c r="C847" i="7"/>
  <c r="B847" i="7"/>
  <c r="A847" i="7"/>
  <c r="CH847" i="17" s="1"/>
  <c r="AB846" i="7"/>
  <c r="J846" i="7"/>
  <c r="I846" i="7"/>
  <c r="H846" i="7"/>
  <c r="G846" i="7"/>
  <c r="F846" i="7"/>
  <c r="E846" i="7"/>
  <c r="D846" i="7"/>
  <c r="C846" i="7"/>
  <c r="B846" i="7"/>
  <c r="A846" i="7"/>
  <c r="CH846" i="17" s="1"/>
  <c r="AB845" i="7"/>
  <c r="P845" i="7"/>
  <c r="AA845" i="7" s="1"/>
  <c r="J845" i="7"/>
  <c r="I845" i="7"/>
  <c r="H845" i="7"/>
  <c r="Q845" i="7" s="1"/>
  <c r="X845" i="7" s="1"/>
  <c r="G845" i="7"/>
  <c r="F845" i="7"/>
  <c r="E845" i="7"/>
  <c r="D845" i="7"/>
  <c r="C845" i="7"/>
  <c r="B845" i="7"/>
  <c r="A845" i="7"/>
  <c r="CH845" i="17" s="1"/>
  <c r="AB844" i="7"/>
  <c r="S844" i="7"/>
  <c r="J844" i="7"/>
  <c r="I844" i="7"/>
  <c r="R844" i="7" s="1"/>
  <c r="H844" i="7"/>
  <c r="G844" i="7"/>
  <c r="F844" i="7"/>
  <c r="E844" i="7"/>
  <c r="D844" i="7"/>
  <c r="C844" i="7"/>
  <c r="B844" i="7"/>
  <c r="A844" i="7"/>
  <c r="CH844" i="17" s="1"/>
  <c r="AB843" i="7"/>
  <c r="J843" i="7"/>
  <c r="I843" i="7"/>
  <c r="R843" i="7" s="1"/>
  <c r="H843" i="7"/>
  <c r="Q843" i="7" s="1"/>
  <c r="X843" i="7" s="1"/>
  <c r="G843" i="7"/>
  <c r="F843" i="7"/>
  <c r="E843" i="7"/>
  <c r="D843" i="7"/>
  <c r="C843" i="7"/>
  <c r="B843" i="7"/>
  <c r="A843" i="7"/>
  <c r="CH843" i="17" s="1"/>
  <c r="AB842" i="7"/>
  <c r="O842" i="7"/>
  <c r="Z842" i="7" s="1"/>
  <c r="J842" i="7"/>
  <c r="S843" i="7" s="1"/>
  <c r="I842" i="7"/>
  <c r="H842" i="7"/>
  <c r="Q842" i="7" s="1"/>
  <c r="X842" i="7" s="1"/>
  <c r="G842" i="7"/>
  <c r="F842" i="7"/>
  <c r="E842" i="7"/>
  <c r="D842" i="7"/>
  <c r="C842" i="7"/>
  <c r="B842" i="7"/>
  <c r="K842" i="7" s="1"/>
  <c r="T842" i="7" s="1"/>
  <c r="A842" i="7"/>
  <c r="CH842" i="17" s="1"/>
  <c r="AB841" i="7"/>
  <c r="S841" i="7"/>
  <c r="K841" i="7"/>
  <c r="T841" i="7" s="1"/>
  <c r="J841" i="7"/>
  <c r="I841" i="7"/>
  <c r="H841" i="7"/>
  <c r="G841" i="7"/>
  <c r="F841" i="7"/>
  <c r="E841" i="7"/>
  <c r="D841" i="7"/>
  <c r="C841" i="7"/>
  <c r="B841" i="7"/>
  <c r="A841" i="7"/>
  <c r="CH841" i="17" s="1"/>
  <c r="AB840" i="7"/>
  <c r="K840" i="7"/>
  <c r="T840" i="7" s="1"/>
  <c r="J840" i="7"/>
  <c r="I840" i="7"/>
  <c r="H840" i="7"/>
  <c r="G840" i="7"/>
  <c r="F840" i="7"/>
  <c r="E840" i="7"/>
  <c r="D840" i="7"/>
  <c r="C840" i="7"/>
  <c r="B840" i="7"/>
  <c r="A840" i="7"/>
  <c r="CH840" i="17" s="1"/>
  <c r="AB839" i="7"/>
  <c r="J839" i="7"/>
  <c r="S839" i="7" s="1"/>
  <c r="Y839" i="7" s="1"/>
  <c r="I839" i="7"/>
  <c r="R839" i="7" s="1"/>
  <c r="H839" i="7"/>
  <c r="G839" i="7"/>
  <c r="F839" i="7"/>
  <c r="E839" i="7"/>
  <c r="D839" i="7"/>
  <c r="C839" i="7"/>
  <c r="B839" i="7"/>
  <c r="A839" i="7"/>
  <c r="CH839" i="17" s="1"/>
  <c r="AB838" i="7"/>
  <c r="S838" i="7"/>
  <c r="K838" i="7"/>
  <c r="T838" i="7" s="1"/>
  <c r="J838" i="7"/>
  <c r="I838" i="7"/>
  <c r="H838" i="7"/>
  <c r="G838" i="7"/>
  <c r="F838" i="7"/>
  <c r="E838" i="7"/>
  <c r="D838" i="7"/>
  <c r="C838" i="7"/>
  <c r="B838" i="7"/>
  <c r="A838" i="7"/>
  <c r="CH838" i="17" s="1"/>
  <c r="AB837" i="7"/>
  <c r="K837" i="7"/>
  <c r="T837" i="7" s="1"/>
  <c r="J837" i="7"/>
  <c r="I837" i="7"/>
  <c r="H837" i="7"/>
  <c r="G837" i="7"/>
  <c r="F837" i="7"/>
  <c r="E837" i="7"/>
  <c r="D837" i="7"/>
  <c r="C837" i="7"/>
  <c r="B837" i="7"/>
  <c r="A837" i="7"/>
  <c r="CH837" i="17" s="1"/>
  <c r="AB836" i="7"/>
  <c r="S836" i="7"/>
  <c r="Y836" i="7" s="1"/>
  <c r="K836" i="7"/>
  <c r="T836" i="7" s="1"/>
  <c r="J836" i="7"/>
  <c r="I836" i="7"/>
  <c r="R836" i="7" s="1"/>
  <c r="H836" i="7"/>
  <c r="Q836" i="7" s="1"/>
  <c r="X836" i="7" s="1"/>
  <c r="G836" i="7"/>
  <c r="F836" i="7"/>
  <c r="E836" i="7"/>
  <c r="D836" i="7"/>
  <c r="C836" i="7"/>
  <c r="B836" i="7"/>
  <c r="A836" i="7"/>
  <c r="CH836" i="17" s="1"/>
  <c r="AB835" i="7"/>
  <c r="K835" i="7"/>
  <c r="T835" i="7" s="1"/>
  <c r="J835" i="7"/>
  <c r="I835" i="7"/>
  <c r="H835" i="7"/>
  <c r="G835" i="7"/>
  <c r="F835" i="7"/>
  <c r="E835" i="7"/>
  <c r="D835" i="7"/>
  <c r="C835" i="7"/>
  <c r="B835" i="7"/>
  <c r="A835" i="7"/>
  <c r="CH835" i="17" s="1"/>
  <c r="AB834" i="7"/>
  <c r="K834" i="7"/>
  <c r="T834" i="7" s="1"/>
  <c r="J834" i="7"/>
  <c r="I834" i="7"/>
  <c r="R835" i="7" s="1"/>
  <c r="H834" i="7"/>
  <c r="Q834" i="7" s="1"/>
  <c r="X834" i="7" s="1"/>
  <c r="G834" i="7"/>
  <c r="F834" i="7"/>
  <c r="E834" i="7"/>
  <c r="D834" i="7"/>
  <c r="C834" i="7"/>
  <c r="B834" i="7"/>
  <c r="A834" i="7"/>
  <c r="CH834" i="17" s="1"/>
  <c r="AB833" i="7"/>
  <c r="J833" i="7"/>
  <c r="I833" i="7"/>
  <c r="H833" i="7"/>
  <c r="G833" i="7"/>
  <c r="F833" i="7"/>
  <c r="E833" i="7"/>
  <c r="D833" i="7"/>
  <c r="C833" i="7"/>
  <c r="B833" i="7"/>
  <c r="A833" i="7"/>
  <c r="CH833" i="17" s="1"/>
  <c r="AB832" i="7"/>
  <c r="L832" i="7"/>
  <c r="U832" i="7" s="1"/>
  <c r="J832" i="7"/>
  <c r="I832" i="7"/>
  <c r="R833" i="7" s="1"/>
  <c r="H832" i="7"/>
  <c r="G832" i="7"/>
  <c r="F832" i="7"/>
  <c r="E832" i="7"/>
  <c r="D832" i="7"/>
  <c r="C832" i="7"/>
  <c r="B832" i="7"/>
  <c r="A832" i="7"/>
  <c r="CH832" i="17" s="1"/>
  <c r="AB831" i="7"/>
  <c r="J831" i="7"/>
  <c r="S831" i="7" s="1"/>
  <c r="I831" i="7"/>
  <c r="H831" i="7"/>
  <c r="G831" i="7"/>
  <c r="F831" i="7"/>
  <c r="E831" i="7"/>
  <c r="D831" i="7"/>
  <c r="C831" i="7"/>
  <c r="B831" i="7"/>
  <c r="K831" i="7" s="1"/>
  <c r="T831" i="7" s="1"/>
  <c r="A831" i="7"/>
  <c r="CH831" i="17" s="1"/>
  <c r="AB830" i="7"/>
  <c r="O830" i="7"/>
  <c r="Z830" i="7" s="1"/>
  <c r="J830" i="7"/>
  <c r="S830" i="7" s="1"/>
  <c r="I830" i="7"/>
  <c r="H830" i="7"/>
  <c r="Q831" i="7" s="1"/>
  <c r="X831" i="7" s="1"/>
  <c r="G830" i="7"/>
  <c r="F830" i="7"/>
  <c r="E830" i="7"/>
  <c r="D830" i="7"/>
  <c r="C830" i="7"/>
  <c r="B830" i="7"/>
  <c r="A830" i="7"/>
  <c r="CH830" i="17" s="1"/>
  <c r="AB829" i="7"/>
  <c r="S829" i="7"/>
  <c r="J829" i="7"/>
  <c r="I829" i="7"/>
  <c r="R829" i="7" s="1"/>
  <c r="H829" i="7"/>
  <c r="Q829" i="7" s="1"/>
  <c r="X829" i="7" s="1"/>
  <c r="G829" i="7"/>
  <c r="F829" i="7"/>
  <c r="E829" i="7"/>
  <c r="D829" i="7"/>
  <c r="C829" i="7"/>
  <c r="B829" i="7"/>
  <c r="A829" i="7"/>
  <c r="CH829" i="17" s="1"/>
  <c r="AB828" i="7"/>
  <c r="J828" i="7"/>
  <c r="I828" i="7"/>
  <c r="H828" i="7"/>
  <c r="Q828" i="7" s="1"/>
  <c r="X828" i="7" s="1"/>
  <c r="G828" i="7"/>
  <c r="F828" i="7"/>
  <c r="E828" i="7"/>
  <c r="D828" i="7"/>
  <c r="C828" i="7"/>
  <c r="B828" i="7"/>
  <c r="A828" i="7"/>
  <c r="CH828" i="17" s="1"/>
  <c r="AB827" i="7"/>
  <c r="J827" i="7"/>
  <c r="I827" i="7"/>
  <c r="H827" i="7"/>
  <c r="Q827" i="7" s="1"/>
  <c r="X827" i="7" s="1"/>
  <c r="G827" i="7"/>
  <c r="F827" i="7"/>
  <c r="E827" i="7"/>
  <c r="D827" i="7"/>
  <c r="C827" i="7"/>
  <c r="B827" i="7"/>
  <c r="A827" i="7"/>
  <c r="CH827" i="17" s="1"/>
  <c r="AB826" i="7"/>
  <c r="R826" i="7"/>
  <c r="J826" i="7"/>
  <c r="I826" i="7"/>
  <c r="H826" i="7"/>
  <c r="Q826" i="7" s="1"/>
  <c r="X826" i="7" s="1"/>
  <c r="G826" i="7"/>
  <c r="F826" i="7"/>
  <c r="E826" i="7"/>
  <c r="D826" i="7"/>
  <c r="C826" i="7"/>
  <c r="B826" i="7"/>
  <c r="A826" i="7"/>
  <c r="CH826" i="17" s="1"/>
  <c r="AB825" i="7"/>
  <c r="J825" i="7"/>
  <c r="I825" i="7"/>
  <c r="H825" i="7"/>
  <c r="G825" i="7"/>
  <c r="F825" i="7"/>
  <c r="E825" i="7"/>
  <c r="D825" i="7"/>
  <c r="C825" i="7"/>
  <c r="B825" i="7"/>
  <c r="A825" i="7"/>
  <c r="CH825" i="17" s="1"/>
  <c r="AB824" i="7"/>
  <c r="J824" i="7"/>
  <c r="I824" i="7"/>
  <c r="H824" i="7"/>
  <c r="Q825" i="7" s="1"/>
  <c r="X825" i="7" s="1"/>
  <c r="G824" i="7"/>
  <c r="F824" i="7"/>
  <c r="E824" i="7"/>
  <c r="D824" i="7"/>
  <c r="C824" i="7"/>
  <c r="B824" i="7"/>
  <c r="A824" i="7"/>
  <c r="CH824" i="17" s="1"/>
  <c r="AB823" i="7"/>
  <c r="J823" i="7"/>
  <c r="S823" i="7" s="1"/>
  <c r="I823" i="7"/>
  <c r="H823" i="7"/>
  <c r="G823" i="7"/>
  <c r="F823" i="7"/>
  <c r="E823" i="7"/>
  <c r="D823" i="7"/>
  <c r="C823" i="7"/>
  <c r="B823" i="7"/>
  <c r="A823" i="7"/>
  <c r="CH823" i="17" s="1"/>
  <c r="AB822" i="7"/>
  <c r="P822" i="7"/>
  <c r="AA822" i="7" s="1"/>
  <c r="J822" i="7"/>
  <c r="S822" i="7" s="1"/>
  <c r="I822" i="7"/>
  <c r="H822" i="7"/>
  <c r="Q822" i="7" s="1"/>
  <c r="X822" i="7" s="1"/>
  <c r="G822" i="7"/>
  <c r="F822" i="7"/>
  <c r="E822" i="7"/>
  <c r="D822" i="7"/>
  <c r="C822" i="7"/>
  <c r="B822" i="7"/>
  <c r="A822" i="7"/>
  <c r="CH822" i="17" s="1"/>
  <c r="AB821" i="7"/>
  <c r="J821" i="7"/>
  <c r="I821" i="7"/>
  <c r="H821" i="7"/>
  <c r="G821" i="7"/>
  <c r="F821" i="7"/>
  <c r="E821" i="7"/>
  <c r="D821" i="7"/>
  <c r="C821" i="7"/>
  <c r="B821" i="7"/>
  <c r="A821" i="7"/>
  <c r="CH821" i="17" s="1"/>
  <c r="AB820" i="7"/>
  <c r="M820" i="7"/>
  <c r="V820" i="7" s="1"/>
  <c r="J820" i="7"/>
  <c r="I820" i="7"/>
  <c r="H820" i="7"/>
  <c r="G820" i="7"/>
  <c r="F820" i="7"/>
  <c r="E820" i="7"/>
  <c r="D820" i="7"/>
  <c r="C820" i="7"/>
  <c r="B820" i="7"/>
  <c r="A820" i="7"/>
  <c r="CH820" i="17" s="1"/>
  <c r="AB819" i="7"/>
  <c r="X819" i="7"/>
  <c r="M819" i="7"/>
  <c r="V819" i="7" s="1"/>
  <c r="J819" i="7"/>
  <c r="S819" i="7" s="1"/>
  <c r="I819" i="7"/>
  <c r="H819" i="7"/>
  <c r="Q819" i="7" s="1"/>
  <c r="G819" i="7"/>
  <c r="F819" i="7"/>
  <c r="E819" i="7"/>
  <c r="D819" i="7"/>
  <c r="C819" i="7"/>
  <c r="B819" i="7"/>
  <c r="A819" i="7"/>
  <c r="CH819" i="17" s="1"/>
  <c r="AB818" i="7"/>
  <c r="J818" i="7"/>
  <c r="I818" i="7"/>
  <c r="R818" i="7" s="1"/>
  <c r="H818" i="7"/>
  <c r="G818" i="7"/>
  <c r="F818" i="7"/>
  <c r="E818" i="7"/>
  <c r="D818" i="7"/>
  <c r="C818" i="7"/>
  <c r="B818" i="7"/>
  <c r="A818" i="7"/>
  <c r="CH818" i="17" s="1"/>
  <c r="AB817" i="7"/>
  <c r="J817" i="7"/>
  <c r="I817" i="7"/>
  <c r="H817" i="7"/>
  <c r="Q818" i="7" s="1"/>
  <c r="X818" i="7" s="1"/>
  <c r="G817" i="7"/>
  <c r="F817" i="7"/>
  <c r="E817" i="7"/>
  <c r="D817" i="7"/>
  <c r="C817" i="7"/>
  <c r="B817" i="7"/>
  <c r="A817" i="7"/>
  <c r="CH817" i="17" s="1"/>
  <c r="AB816" i="7"/>
  <c r="J816" i="7"/>
  <c r="S816" i="7" s="1"/>
  <c r="I816" i="7"/>
  <c r="H816" i="7"/>
  <c r="G816" i="7"/>
  <c r="F816" i="7"/>
  <c r="E816" i="7"/>
  <c r="D816" i="7"/>
  <c r="C816" i="7"/>
  <c r="B816" i="7"/>
  <c r="A816" i="7"/>
  <c r="CH816" i="17" s="1"/>
  <c r="AB815" i="7"/>
  <c r="M815" i="7"/>
  <c r="V815" i="7" s="1"/>
  <c r="J815" i="7"/>
  <c r="I815" i="7"/>
  <c r="R815" i="7" s="1"/>
  <c r="H815" i="7"/>
  <c r="G815" i="7"/>
  <c r="F815" i="7"/>
  <c r="E815" i="7"/>
  <c r="D815" i="7"/>
  <c r="C815" i="7"/>
  <c r="B815" i="7"/>
  <c r="A815" i="7"/>
  <c r="CH815" i="17" s="1"/>
  <c r="AB814" i="7"/>
  <c r="J814" i="7"/>
  <c r="I814" i="7"/>
  <c r="H814" i="7"/>
  <c r="Q814" i="7" s="1"/>
  <c r="X814" i="7" s="1"/>
  <c r="G814" i="7"/>
  <c r="F814" i="7"/>
  <c r="E814" i="7"/>
  <c r="D814" i="7"/>
  <c r="C814" i="7"/>
  <c r="B814" i="7"/>
  <c r="A814" i="7"/>
  <c r="CH814" i="17" s="1"/>
  <c r="AB813" i="7"/>
  <c r="J813" i="7"/>
  <c r="I813" i="7"/>
  <c r="H813" i="7"/>
  <c r="Q813" i="7" s="1"/>
  <c r="X813" i="7" s="1"/>
  <c r="G813" i="7"/>
  <c r="F813" i="7"/>
  <c r="E813" i="7"/>
  <c r="D813" i="7"/>
  <c r="C813" i="7"/>
  <c r="B813" i="7"/>
  <c r="A813" i="7"/>
  <c r="CH813" i="17" s="1"/>
  <c r="AB812" i="7"/>
  <c r="O812" i="7"/>
  <c r="Z812" i="7" s="1"/>
  <c r="J812" i="7"/>
  <c r="S812" i="7" s="1"/>
  <c r="I812" i="7"/>
  <c r="R812" i="7" s="1"/>
  <c r="H812" i="7"/>
  <c r="Q812" i="7" s="1"/>
  <c r="X812" i="7" s="1"/>
  <c r="G812" i="7"/>
  <c r="F812" i="7"/>
  <c r="E812" i="7"/>
  <c r="D812" i="7"/>
  <c r="C812" i="7"/>
  <c r="B812" i="7"/>
  <c r="A812" i="7"/>
  <c r="CH812" i="17" s="1"/>
  <c r="AB811" i="7"/>
  <c r="J811" i="7"/>
  <c r="I811" i="7"/>
  <c r="H811" i="7"/>
  <c r="G811" i="7"/>
  <c r="F811" i="7"/>
  <c r="E811" i="7"/>
  <c r="D811" i="7"/>
  <c r="C811" i="7"/>
  <c r="B811" i="7"/>
  <c r="A811" i="7"/>
  <c r="CH811" i="17" s="1"/>
  <c r="AB810" i="7"/>
  <c r="O810" i="7"/>
  <c r="Z810" i="7" s="1"/>
  <c r="J810" i="7"/>
  <c r="I810" i="7"/>
  <c r="H810" i="7"/>
  <c r="G810" i="7"/>
  <c r="F810" i="7"/>
  <c r="E810" i="7"/>
  <c r="D810" i="7"/>
  <c r="C810" i="7"/>
  <c r="B810" i="7"/>
  <c r="A810" i="7"/>
  <c r="CH810" i="17" s="1"/>
  <c r="AB809" i="7"/>
  <c r="Q809" i="7"/>
  <c r="X809" i="7" s="1"/>
  <c r="J809" i="7"/>
  <c r="I809" i="7"/>
  <c r="H809" i="7"/>
  <c r="G809" i="7"/>
  <c r="F809" i="7"/>
  <c r="E809" i="7"/>
  <c r="D809" i="7"/>
  <c r="C809" i="7"/>
  <c r="B809" i="7"/>
  <c r="A809" i="7"/>
  <c r="CH809" i="17" s="1"/>
  <c r="AB808" i="7"/>
  <c r="J808" i="7"/>
  <c r="I808" i="7"/>
  <c r="R808" i="7" s="1"/>
  <c r="H808" i="7"/>
  <c r="Q808" i="7" s="1"/>
  <c r="X808" i="7" s="1"/>
  <c r="G808" i="7"/>
  <c r="F808" i="7"/>
  <c r="E808" i="7"/>
  <c r="D808" i="7"/>
  <c r="C808" i="7"/>
  <c r="B808" i="7"/>
  <c r="A808" i="7"/>
  <c r="CH808" i="17" s="1"/>
  <c r="AB807" i="7"/>
  <c r="S807" i="7"/>
  <c r="M807" i="7"/>
  <c r="V807" i="7" s="1"/>
  <c r="J807" i="7"/>
  <c r="I807" i="7"/>
  <c r="H807" i="7"/>
  <c r="G807" i="7"/>
  <c r="F807" i="7"/>
  <c r="E807" i="7"/>
  <c r="D807" i="7"/>
  <c r="C807" i="7"/>
  <c r="B807" i="7"/>
  <c r="A807" i="7"/>
  <c r="CH807" i="17" s="1"/>
  <c r="AB806" i="7"/>
  <c r="J806" i="7"/>
  <c r="I806" i="7"/>
  <c r="R806" i="7" s="1"/>
  <c r="H806" i="7"/>
  <c r="G806" i="7"/>
  <c r="F806" i="7"/>
  <c r="E806" i="7"/>
  <c r="D806" i="7"/>
  <c r="C806" i="7"/>
  <c r="B806" i="7"/>
  <c r="A806" i="7"/>
  <c r="CH806" i="17" s="1"/>
  <c r="AB805" i="7"/>
  <c r="S805" i="7"/>
  <c r="P805" i="7"/>
  <c r="AA805" i="7" s="1"/>
  <c r="O805" i="7"/>
  <c r="Z805" i="7" s="1"/>
  <c r="J805" i="7"/>
  <c r="I805" i="7"/>
  <c r="H805" i="7"/>
  <c r="G805" i="7"/>
  <c r="F805" i="7"/>
  <c r="E805" i="7"/>
  <c r="D805" i="7"/>
  <c r="C805" i="7"/>
  <c r="B805" i="7"/>
  <c r="A805" i="7"/>
  <c r="CH805" i="17" s="1"/>
  <c r="AB804" i="7"/>
  <c r="J804" i="7"/>
  <c r="I804" i="7"/>
  <c r="R804" i="7" s="1"/>
  <c r="H804" i="7"/>
  <c r="G804" i="7"/>
  <c r="F804" i="7"/>
  <c r="E804" i="7"/>
  <c r="D804" i="7"/>
  <c r="C804" i="7"/>
  <c r="B804" i="7"/>
  <c r="A804" i="7"/>
  <c r="CH804" i="17" s="1"/>
  <c r="AB803" i="7"/>
  <c r="J803" i="7"/>
  <c r="S803" i="7" s="1"/>
  <c r="I803" i="7"/>
  <c r="H803" i="7"/>
  <c r="Q803" i="7" s="1"/>
  <c r="X803" i="7" s="1"/>
  <c r="G803" i="7"/>
  <c r="F803" i="7"/>
  <c r="E803" i="7"/>
  <c r="D803" i="7"/>
  <c r="C803" i="7"/>
  <c r="B803" i="7"/>
  <c r="K804" i="7" s="1"/>
  <c r="T804" i="7" s="1"/>
  <c r="A803" i="7"/>
  <c r="CH803" i="17" s="1"/>
  <c r="AB802" i="7"/>
  <c r="J802" i="7"/>
  <c r="I802" i="7"/>
  <c r="R802" i="7" s="1"/>
  <c r="H802" i="7"/>
  <c r="G802" i="7"/>
  <c r="F802" i="7"/>
  <c r="E802" i="7"/>
  <c r="D802" i="7"/>
  <c r="C802" i="7"/>
  <c r="B802" i="7"/>
  <c r="A802" i="7"/>
  <c r="CH802" i="17" s="1"/>
  <c r="AB801" i="7"/>
  <c r="J801" i="7"/>
  <c r="I801" i="7"/>
  <c r="H801" i="7"/>
  <c r="Q802" i="7" s="1"/>
  <c r="X802" i="7" s="1"/>
  <c r="G801" i="7"/>
  <c r="F801" i="7"/>
  <c r="E801" i="7"/>
  <c r="D801" i="7"/>
  <c r="C801" i="7"/>
  <c r="B801" i="7"/>
  <c r="A801" i="7"/>
  <c r="CH801" i="17" s="1"/>
  <c r="AB800" i="7"/>
  <c r="J800" i="7"/>
  <c r="I800" i="7"/>
  <c r="R800" i="7" s="1"/>
  <c r="H800" i="7"/>
  <c r="Q800" i="7" s="1"/>
  <c r="X800" i="7" s="1"/>
  <c r="G800" i="7"/>
  <c r="F800" i="7"/>
  <c r="E800" i="7"/>
  <c r="D800" i="7"/>
  <c r="C800" i="7"/>
  <c r="B800" i="7"/>
  <c r="A800" i="7"/>
  <c r="CH800" i="17" s="1"/>
  <c r="AB799" i="7"/>
  <c r="S799" i="7"/>
  <c r="M799" i="7"/>
  <c r="V799" i="7" s="1"/>
  <c r="J799" i="7"/>
  <c r="I799" i="7"/>
  <c r="H799" i="7"/>
  <c r="G799" i="7"/>
  <c r="F799" i="7"/>
  <c r="E799" i="7"/>
  <c r="D799" i="7"/>
  <c r="C799" i="7"/>
  <c r="B799" i="7"/>
  <c r="A799" i="7"/>
  <c r="CH799" i="17" s="1"/>
  <c r="AB798" i="7"/>
  <c r="K798" i="7"/>
  <c r="T798" i="7" s="1"/>
  <c r="J798" i="7"/>
  <c r="I798" i="7"/>
  <c r="H798" i="7"/>
  <c r="G798" i="7"/>
  <c r="F798" i="7"/>
  <c r="E798" i="7"/>
  <c r="D798" i="7"/>
  <c r="C798" i="7"/>
  <c r="B798" i="7"/>
  <c r="A798" i="7"/>
  <c r="CH798" i="17" s="1"/>
  <c r="AB797" i="7"/>
  <c r="O797" i="7"/>
  <c r="Z797" i="7" s="1"/>
  <c r="J797" i="7"/>
  <c r="I797" i="7"/>
  <c r="H797" i="7"/>
  <c r="G797" i="7"/>
  <c r="F797" i="7"/>
  <c r="E797" i="7"/>
  <c r="D797" i="7"/>
  <c r="C797" i="7"/>
  <c r="B797" i="7"/>
  <c r="A797" i="7"/>
  <c r="CH797" i="17" s="1"/>
  <c r="AB796" i="7"/>
  <c r="J796" i="7"/>
  <c r="S796" i="7" s="1"/>
  <c r="I796" i="7"/>
  <c r="H796" i="7"/>
  <c r="G796" i="7"/>
  <c r="F796" i="7"/>
  <c r="E796" i="7"/>
  <c r="D796" i="7"/>
  <c r="C796" i="7"/>
  <c r="B796" i="7"/>
  <c r="A796" i="7"/>
  <c r="CH796" i="17" s="1"/>
  <c r="AB795" i="7"/>
  <c r="O795" i="7"/>
  <c r="Z795" i="7" s="1"/>
  <c r="J795" i="7"/>
  <c r="I795" i="7"/>
  <c r="H795" i="7"/>
  <c r="G795" i="7"/>
  <c r="F795" i="7"/>
  <c r="E795" i="7"/>
  <c r="D795" i="7"/>
  <c r="C795" i="7"/>
  <c r="B795" i="7"/>
  <c r="A795" i="7"/>
  <c r="CH795" i="17" s="1"/>
  <c r="AB794" i="7"/>
  <c r="J794" i="7"/>
  <c r="I794" i="7"/>
  <c r="H794" i="7"/>
  <c r="G794" i="7"/>
  <c r="F794" i="7"/>
  <c r="E794" i="7"/>
  <c r="D794" i="7"/>
  <c r="C794" i="7"/>
  <c r="B794" i="7"/>
  <c r="A794" i="7"/>
  <c r="CH794" i="17" s="1"/>
  <c r="AB793" i="7"/>
  <c r="S793" i="7"/>
  <c r="Q793" i="7"/>
  <c r="X793" i="7" s="1"/>
  <c r="J793" i="7"/>
  <c r="I793" i="7"/>
  <c r="H793" i="7"/>
  <c r="G793" i="7"/>
  <c r="F793" i="7"/>
  <c r="E793" i="7"/>
  <c r="D793" i="7"/>
  <c r="C793" i="7"/>
  <c r="B793" i="7"/>
  <c r="A793" i="7"/>
  <c r="CH793" i="17" s="1"/>
  <c r="AB792" i="7"/>
  <c r="J792" i="7"/>
  <c r="I792" i="7"/>
  <c r="H792" i="7"/>
  <c r="G792" i="7"/>
  <c r="F792" i="7"/>
  <c r="E792" i="7"/>
  <c r="D792" i="7"/>
  <c r="C792" i="7"/>
  <c r="B792" i="7"/>
  <c r="A792" i="7"/>
  <c r="CH792" i="17" s="1"/>
  <c r="AB791" i="7"/>
  <c r="P791" i="7"/>
  <c r="AA791" i="7" s="1"/>
  <c r="J791" i="7"/>
  <c r="I791" i="7"/>
  <c r="H791" i="7"/>
  <c r="G791" i="7"/>
  <c r="F791" i="7"/>
  <c r="E791" i="7"/>
  <c r="D791" i="7"/>
  <c r="C791" i="7"/>
  <c r="B791" i="7"/>
  <c r="A791" i="7"/>
  <c r="CH791" i="17" s="1"/>
  <c r="AB790" i="7"/>
  <c r="J790" i="7"/>
  <c r="I790" i="7"/>
  <c r="H790" i="7"/>
  <c r="G790" i="7"/>
  <c r="F790" i="7"/>
  <c r="E790" i="7"/>
  <c r="D790" i="7"/>
  <c r="C790" i="7"/>
  <c r="B790" i="7"/>
  <c r="A790" i="7"/>
  <c r="CH790" i="17" s="1"/>
  <c r="AB789" i="7"/>
  <c r="J789" i="7"/>
  <c r="S789" i="7" s="1"/>
  <c r="I789" i="7"/>
  <c r="H789" i="7"/>
  <c r="G789" i="7"/>
  <c r="F789" i="7"/>
  <c r="E789" i="7"/>
  <c r="D789" i="7"/>
  <c r="C789" i="7"/>
  <c r="B789" i="7"/>
  <c r="A789" i="7"/>
  <c r="CH789" i="17" s="1"/>
  <c r="AB788" i="7"/>
  <c r="J788" i="7"/>
  <c r="S788" i="7" s="1"/>
  <c r="I788" i="7"/>
  <c r="H788" i="7"/>
  <c r="Q789" i="7" s="1"/>
  <c r="X789" i="7" s="1"/>
  <c r="G788" i="7"/>
  <c r="F788" i="7"/>
  <c r="E788" i="7"/>
  <c r="D788" i="7"/>
  <c r="C788" i="7"/>
  <c r="B788" i="7"/>
  <c r="A788" i="7"/>
  <c r="CH788" i="17" s="1"/>
  <c r="AB787" i="7"/>
  <c r="J787" i="7"/>
  <c r="I787" i="7"/>
  <c r="H787" i="7"/>
  <c r="G787" i="7"/>
  <c r="F787" i="7"/>
  <c r="E787" i="7"/>
  <c r="D787" i="7"/>
  <c r="C787" i="7"/>
  <c r="B787" i="7"/>
  <c r="A787" i="7"/>
  <c r="CH787" i="17" s="1"/>
  <c r="AB786" i="7"/>
  <c r="J786" i="7"/>
  <c r="I786" i="7"/>
  <c r="H786" i="7"/>
  <c r="Q786" i="7" s="1"/>
  <c r="X786" i="7" s="1"/>
  <c r="G786" i="7"/>
  <c r="F786" i="7"/>
  <c r="E786" i="7"/>
  <c r="D786" i="7"/>
  <c r="C786" i="7"/>
  <c r="B786" i="7"/>
  <c r="A786" i="7"/>
  <c r="CH786" i="17" s="1"/>
  <c r="AB785" i="7"/>
  <c r="Q785" i="7"/>
  <c r="X785" i="7" s="1"/>
  <c r="J785" i="7"/>
  <c r="I785" i="7"/>
  <c r="R785" i="7" s="1"/>
  <c r="H785" i="7"/>
  <c r="G785" i="7"/>
  <c r="F785" i="7"/>
  <c r="E785" i="7"/>
  <c r="D785" i="7"/>
  <c r="C785" i="7"/>
  <c r="B785" i="7"/>
  <c r="A785" i="7"/>
  <c r="CH785" i="17" s="1"/>
  <c r="AB784" i="7"/>
  <c r="J784" i="7"/>
  <c r="S784" i="7" s="1"/>
  <c r="I784" i="7"/>
  <c r="H784" i="7"/>
  <c r="G784" i="7"/>
  <c r="F784" i="7"/>
  <c r="E784" i="7"/>
  <c r="D784" i="7"/>
  <c r="C784" i="7"/>
  <c r="B784" i="7"/>
  <c r="A784" i="7"/>
  <c r="CH784" i="17" s="1"/>
  <c r="AB783" i="7"/>
  <c r="J783" i="7"/>
  <c r="S783" i="7" s="1"/>
  <c r="Y783" i="7" s="1"/>
  <c r="I783" i="7"/>
  <c r="R783" i="7" s="1"/>
  <c r="H783" i="7"/>
  <c r="G783" i="7"/>
  <c r="F783" i="7"/>
  <c r="E783" i="7"/>
  <c r="D783" i="7"/>
  <c r="C783" i="7"/>
  <c r="B783" i="7"/>
  <c r="A783" i="7"/>
  <c r="CH783" i="17" s="1"/>
  <c r="AB782" i="7"/>
  <c r="J782" i="7"/>
  <c r="S782" i="7" s="1"/>
  <c r="I782" i="7"/>
  <c r="R782" i="7" s="1"/>
  <c r="H782" i="7"/>
  <c r="G782" i="7"/>
  <c r="F782" i="7"/>
  <c r="E782" i="7"/>
  <c r="D782" i="7"/>
  <c r="C782" i="7"/>
  <c r="B782" i="7"/>
  <c r="A782" i="7"/>
  <c r="CH782" i="17" s="1"/>
  <c r="AB781" i="7"/>
  <c r="P781" i="7"/>
  <c r="AA781" i="7" s="1"/>
  <c r="J781" i="7"/>
  <c r="I781" i="7"/>
  <c r="H781" i="7"/>
  <c r="G781" i="7"/>
  <c r="F781" i="7"/>
  <c r="E781" i="7"/>
  <c r="D781" i="7"/>
  <c r="C781" i="7"/>
  <c r="B781" i="7"/>
  <c r="A781" i="7"/>
  <c r="CH781" i="17" s="1"/>
  <c r="AB780" i="7"/>
  <c r="Q780" i="7"/>
  <c r="X780" i="7" s="1"/>
  <c r="L780" i="7"/>
  <c r="U780" i="7" s="1"/>
  <c r="J780" i="7"/>
  <c r="I780" i="7"/>
  <c r="R781" i="7" s="1"/>
  <c r="H780" i="7"/>
  <c r="G780" i="7"/>
  <c r="F780" i="7"/>
  <c r="E780" i="7"/>
  <c r="D780" i="7"/>
  <c r="C780" i="7"/>
  <c r="B780" i="7"/>
  <c r="A780" i="7"/>
  <c r="CH780" i="17" s="1"/>
  <c r="AB779" i="7"/>
  <c r="J779" i="7"/>
  <c r="S779" i="7" s="1"/>
  <c r="I779" i="7"/>
  <c r="H779" i="7"/>
  <c r="G779" i="7"/>
  <c r="F779" i="7"/>
  <c r="E779" i="7"/>
  <c r="D779" i="7"/>
  <c r="C779" i="7"/>
  <c r="B779" i="7"/>
  <c r="A779" i="7"/>
  <c r="CH779" i="17" s="1"/>
  <c r="AB778" i="7"/>
  <c r="J778" i="7"/>
  <c r="S778" i="7" s="1"/>
  <c r="I778" i="7"/>
  <c r="R778" i="7" s="1"/>
  <c r="H778" i="7"/>
  <c r="G778" i="7"/>
  <c r="F778" i="7"/>
  <c r="E778" i="7"/>
  <c r="D778" i="7"/>
  <c r="C778" i="7"/>
  <c r="B778" i="7"/>
  <c r="A778" i="7"/>
  <c r="CH778" i="17" s="1"/>
  <c r="AB777" i="7"/>
  <c r="J777" i="7"/>
  <c r="I777" i="7"/>
  <c r="H777" i="7"/>
  <c r="G777" i="7"/>
  <c r="F777" i="7"/>
  <c r="E777" i="7"/>
  <c r="D777" i="7"/>
  <c r="C777" i="7"/>
  <c r="B777" i="7"/>
  <c r="A777" i="7"/>
  <c r="CH777" i="17" s="1"/>
  <c r="AB776" i="7"/>
  <c r="J776" i="7"/>
  <c r="S777" i="7" s="1"/>
  <c r="I776" i="7"/>
  <c r="H776" i="7"/>
  <c r="G776" i="7"/>
  <c r="F776" i="7"/>
  <c r="E776" i="7"/>
  <c r="D776" i="7"/>
  <c r="C776" i="7"/>
  <c r="B776" i="7"/>
  <c r="A776" i="7"/>
  <c r="CH776" i="17" s="1"/>
  <c r="AB775" i="7"/>
  <c r="J775" i="7"/>
  <c r="S776" i="7" s="1"/>
  <c r="I775" i="7"/>
  <c r="H775" i="7"/>
  <c r="G775" i="7"/>
  <c r="F775" i="7"/>
  <c r="E775" i="7"/>
  <c r="D775" i="7"/>
  <c r="C775" i="7"/>
  <c r="B775" i="7"/>
  <c r="A775" i="7"/>
  <c r="CH775" i="17" s="1"/>
  <c r="AB774" i="7"/>
  <c r="J774" i="7"/>
  <c r="I774" i="7"/>
  <c r="H774" i="7"/>
  <c r="G774" i="7"/>
  <c r="F774" i="7"/>
  <c r="E774" i="7"/>
  <c r="D774" i="7"/>
  <c r="C774" i="7"/>
  <c r="B774" i="7"/>
  <c r="A774" i="7"/>
  <c r="CH774" i="17" s="1"/>
  <c r="AB773" i="7"/>
  <c r="J773" i="7"/>
  <c r="S773" i="7" s="1"/>
  <c r="I773" i="7"/>
  <c r="H773" i="7"/>
  <c r="G773" i="7"/>
  <c r="F773" i="7"/>
  <c r="E773" i="7"/>
  <c r="D773" i="7"/>
  <c r="C773" i="7"/>
  <c r="L774" i="7" s="1"/>
  <c r="U774" i="7" s="1"/>
  <c r="B773" i="7"/>
  <c r="A773" i="7"/>
  <c r="CH773" i="17" s="1"/>
  <c r="AB772" i="7"/>
  <c r="J772" i="7"/>
  <c r="S772" i="7" s="1"/>
  <c r="I772" i="7"/>
  <c r="H772" i="7"/>
  <c r="G772" i="7"/>
  <c r="F772" i="7"/>
  <c r="E772" i="7"/>
  <c r="D772" i="7"/>
  <c r="C772" i="7"/>
  <c r="B772" i="7"/>
  <c r="A772" i="7"/>
  <c r="CH772" i="17" s="1"/>
  <c r="AB771" i="7"/>
  <c r="J771" i="7"/>
  <c r="I771" i="7"/>
  <c r="H771" i="7"/>
  <c r="G771" i="7"/>
  <c r="F771" i="7"/>
  <c r="E771" i="7"/>
  <c r="D771" i="7"/>
  <c r="C771" i="7"/>
  <c r="B771" i="7"/>
  <c r="A771" i="7"/>
  <c r="CH771" i="17" s="1"/>
  <c r="AB770" i="7"/>
  <c r="J770" i="7"/>
  <c r="S770" i="7" s="1"/>
  <c r="I770" i="7"/>
  <c r="H770" i="7"/>
  <c r="G770" i="7"/>
  <c r="F770" i="7"/>
  <c r="E770" i="7"/>
  <c r="D770" i="7"/>
  <c r="C770" i="7"/>
  <c r="B770" i="7"/>
  <c r="A770" i="7"/>
  <c r="CH770" i="17" s="1"/>
  <c r="AB769" i="7"/>
  <c r="J769" i="7"/>
  <c r="I769" i="7"/>
  <c r="H769" i="7"/>
  <c r="G769" i="7"/>
  <c r="F769" i="7"/>
  <c r="E769" i="7"/>
  <c r="D769" i="7"/>
  <c r="C769" i="7"/>
  <c r="B769" i="7"/>
  <c r="A769" i="7"/>
  <c r="CH769" i="17" s="1"/>
  <c r="AB768" i="7"/>
  <c r="L768" i="7"/>
  <c r="U768" i="7" s="1"/>
  <c r="J768" i="7"/>
  <c r="S768" i="7" s="1"/>
  <c r="I768" i="7"/>
  <c r="H768" i="7"/>
  <c r="G768" i="7"/>
  <c r="F768" i="7"/>
  <c r="E768" i="7"/>
  <c r="D768" i="7"/>
  <c r="C768" i="7"/>
  <c r="B768" i="7"/>
  <c r="A768" i="7"/>
  <c r="CH768" i="17" s="1"/>
  <c r="AB767" i="7"/>
  <c r="J767" i="7"/>
  <c r="I767" i="7"/>
  <c r="H767" i="7"/>
  <c r="G767" i="7"/>
  <c r="F767" i="7"/>
  <c r="E767" i="7"/>
  <c r="D767" i="7"/>
  <c r="C767" i="7"/>
  <c r="B767" i="7"/>
  <c r="A767" i="7"/>
  <c r="CH767" i="17" s="1"/>
  <c r="AB766" i="7"/>
  <c r="J766" i="7"/>
  <c r="I766" i="7"/>
  <c r="H766" i="7"/>
  <c r="G766" i="7"/>
  <c r="F766" i="7"/>
  <c r="E766" i="7"/>
  <c r="D766" i="7"/>
  <c r="C766" i="7"/>
  <c r="L766" i="7" s="1"/>
  <c r="U766" i="7" s="1"/>
  <c r="B766" i="7"/>
  <c r="A766" i="7"/>
  <c r="CH766" i="17" s="1"/>
  <c r="AB765" i="7"/>
  <c r="J765" i="7"/>
  <c r="S765" i="7" s="1"/>
  <c r="I765" i="7"/>
  <c r="H765" i="7"/>
  <c r="G765" i="7"/>
  <c r="F765" i="7"/>
  <c r="E765" i="7"/>
  <c r="D765" i="7"/>
  <c r="C765" i="7"/>
  <c r="B765" i="7"/>
  <c r="A765" i="7"/>
  <c r="CH765" i="17" s="1"/>
  <c r="AB764" i="7"/>
  <c r="J764" i="7"/>
  <c r="I764" i="7"/>
  <c r="H764" i="7"/>
  <c r="G764" i="7"/>
  <c r="F764" i="7"/>
  <c r="E764" i="7"/>
  <c r="D764" i="7"/>
  <c r="C764" i="7"/>
  <c r="B764" i="7"/>
  <c r="A764" i="7"/>
  <c r="CH764" i="17" s="1"/>
  <c r="AB763" i="7"/>
  <c r="J763" i="7"/>
  <c r="I763" i="7"/>
  <c r="H763" i="7"/>
  <c r="Q763" i="7" s="1"/>
  <c r="X763" i="7" s="1"/>
  <c r="G763" i="7"/>
  <c r="F763" i="7"/>
  <c r="E763" i="7"/>
  <c r="D763" i="7"/>
  <c r="C763" i="7"/>
  <c r="B763" i="7"/>
  <c r="A763" i="7"/>
  <c r="CH763" i="17" s="1"/>
  <c r="AB762" i="7"/>
  <c r="J762" i="7"/>
  <c r="I762" i="7"/>
  <c r="H762" i="7"/>
  <c r="G762" i="7"/>
  <c r="F762" i="7"/>
  <c r="E762" i="7"/>
  <c r="D762" i="7"/>
  <c r="C762" i="7"/>
  <c r="B762" i="7"/>
  <c r="A762" i="7"/>
  <c r="CH762" i="17" s="1"/>
  <c r="AB761" i="7"/>
  <c r="J761" i="7"/>
  <c r="I761" i="7"/>
  <c r="R761" i="7" s="1"/>
  <c r="H761" i="7"/>
  <c r="G761" i="7"/>
  <c r="F761" i="7"/>
  <c r="E761" i="7"/>
  <c r="D761" i="7"/>
  <c r="C761" i="7"/>
  <c r="B761" i="7"/>
  <c r="A761" i="7"/>
  <c r="CH761" i="17" s="1"/>
  <c r="AB760" i="7"/>
  <c r="J760" i="7"/>
  <c r="I760" i="7"/>
  <c r="H760" i="7"/>
  <c r="G760" i="7"/>
  <c r="F760" i="7"/>
  <c r="E760" i="7"/>
  <c r="D760" i="7"/>
  <c r="C760" i="7"/>
  <c r="B760" i="7"/>
  <c r="A760" i="7"/>
  <c r="CH760" i="17" s="1"/>
  <c r="AB759" i="7"/>
  <c r="J759" i="7"/>
  <c r="I759" i="7"/>
  <c r="H759" i="7"/>
  <c r="G759" i="7"/>
  <c r="F759" i="7"/>
  <c r="E759" i="7"/>
  <c r="D759" i="7"/>
  <c r="C759" i="7"/>
  <c r="L759" i="7" s="1"/>
  <c r="U759" i="7" s="1"/>
  <c r="B759" i="7"/>
  <c r="A759" i="7"/>
  <c r="CH759" i="17" s="1"/>
  <c r="AB758" i="7"/>
  <c r="J758" i="7"/>
  <c r="I758" i="7"/>
  <c r="H758" i="7"/>
  <c r="G758" i="7"/>
  <c r="F758" i="7"/>
  <c r="O758" i="7" s="1"/>
  <c r="Z758" i="7" s="1"/>
  <c r="E758" i="7"/>
  <c r="D758" i="7"/>
  <c r="C758" i="7"/>
  <c r="B758" i="7"/>
  <c r="A758" i="7"/>
  <c r="CH758" i="17" s="1"/>
  <c r="AB757" i="7"/>
  <c r="J757" i="7"/>
  <c r="I757" i="7"/>
  <c r="H757" i="7"/>
  <c r="G757" i="7"/>
  <c r="F757" i="7"/>
  <c r="E757" i="7"/>
  <c r="D757" i="7"/>
  <c r="C757" i="7"/>
  <c r="B757" i="7"/>
  <c r="A757" i="7"/>
  <c r="CH757" i="17" s="1"/>
  <c r="AB756" i="7"/>
  <c r="J756" i="7"/>
  <c r="I756" i="7"/>
  <c r="H756" i="7"/>
  <c r="G756" i="7"/>
  <c r="F756" i="7"/>
  <c r="E756" i="7"/>
  <c r="D756" i="7"/>
  <c r="C756" i="7"/>
  <c r="B756" i="7"/>
  <c r="A756" i="7"/>
  <c r="CH756" i="17" s="1"/>
  <c r="AB755" i="7"/>
  <c r="J755" i="7"/>
  <c r="I755" i="7"/>
  <c r="H755" i="7"/>
  <c r="G755" i="7"/>
  <c r="F755" i="7"/>
  <c r="E755" i="7"/>
  <c r="D755" i="7"/>
  <c r="C755" i="7"/>
  <c r="B755" i="7"/>
  <c r="A755" i="7"/>
  <c r="CH755" i="17" s="1"/>
  <c r="AB754" i="7"/>
  <c r="J754" i="7"/>
  <c r="S755" i="7" s="1"/>
  <c r="I754" i="7"/>
  <c r="H754" i="7"/>
  <c r="G754" i="7"/>
  <c r="F754" i="7"/>
  <c r="E754" i="7"/>
  <c r="D754" i="7"/>
  <c r="C754" i="7"/>
  <c r="B754" i="7"/>
  <c r="A754" i="7"/>
  <c r="CH754" i="17" s="1"/>
  <c r="AB753" i="7"/>
  <c r="L753" i="7"/>
  <c r="U753" i="7" s="1"/>
  <c r="J753" i="7"/>
  <c r="I753" i="7"/>
  <c r="R754" i="7" s="1"/>
  <c r="H753" i="7"/>
  <c r="G753" i="7"/>
  <c r="F753" i="7"/>
  <c r="E753" i="7"/>
  <c r="D753" i="7"/>
  <c r="C753" i="7"/>
  <c r="B753" i="7"/>
  <c r="A753" i="7"/>
  <c r="CH753" i="17" s="1"/>
  <c r="AB752" i="7"/>
  <c r="J752" i="7"/>
  <c r="I752" i="7"/>
  <c r="H752" i="7"/>
  <c r="G752" i="7"/>
  <c r="F752" i="7"/>
  <c r="E752" i="7"/>
  <c r="D752" i="7"/>
  <c r="C752" i="7"/>
  <c r="B752" i="7"/>
  <c r="A752" i="7"/>
  <c r="CH752" i="17" s="1"/>
  <c r="AB751" i="7"/>
  <c r="J751" i="7"/>
  <c r="S752" i="7" s="1"/>
  <c r="Y752" i="7" s="1"/>
  <c r="I751" i="7"/>
  <c r="R752" i="7" s="1"/>
  <c r="H751" i="7"/>
  <c r="G751" i="7"/>
  <c r="F751" i="7"/>
  <c r="E751" i="7"/>
  <c r="D751" i="7"/>
  <c r="C751" i="7"/>
  <c r="B751" i="7"/>
  <c r="A751" i="7"/>
  <c r="CH751" i="17" s="1"/>
  <c r="AB750" i="7"/>
  <c r="J750" i="7"/>
  <c r="I750" i="7"/>
  <c r="R751" i="7" s="1"/>
  <c r="H750" i="7"/>
  <c r="G750" i="7"/>
  <c r="F750" i="7"/>
  <c r="E750" i="7"/>
  <c r="D750" i="7"/>
  <c r="C750" i="7"/>
  <c r="B750" i="7"/>
  <c r="A750" i="7"/>
  <c r="CH750" i="17" s="1"/>
  <c r="AB749" i="7"/>
  <c r="J749" i="7"/>
  <c r="S749" i="7" s="1"/>
  <c r="I749" i="7"/>
  <c r="H749" i="7"/>
  <c r="G749" i="7"/>
  <c r="F749" i="7"/>
  <c r="E749" i="7"/>
  <c r="D749" i="7"/>
  <c r="C749" i="7"/>
  <c r="B749" i="7"/>
  <c r="A749" i="7"/>
  <c r="CH749" i="17" s="1"/>
  <c r="AB748" i="7"/>
  <c r="J748" i="7"/>
  <c r="I748" i="7"/>
  <c r="R749" i="7" s="1"/>
  <c r="H748" i="7"/>
  <c r="G748" i="7"/>
  <c r="F748" i="7"/>
  <c r="E748" i="7"/>
  <c r="D748" i="7"/>
  <c r="C748" i="7"/>
  <c r="B748" i="7"/>
  <c r="A748" i="7"/>
  <c r="CH748" i="17" s="1"/>
  <c r="AB747" i="7"/>
  <c r="J747" i="7"/>
  <c r="I747" i="7"/>
  <c r="H747" i="7"/>
  <c r="G747" i="7"/>
  <c r="F747" i="7"/>
  <c r="E747" i="7"/>
  <c r="D747" i="7"/>
  <c r="C747" i="7"/>
  <c r="B747" i="7"/>
  <c r="A747" i="7"/>
  <c r="CH747" i="17" s="1"/>
  <c r="AB746" i="7"/>
  <c r="M746" i="7"/>
  <c r="V746" i="7" s="1"/>
  <c r="J746" i="7"/>
  <c r="I746" i="7"/>
  <c r="R747" i="7" s="1"/>
  <c r="H746" i="7"/>
  <c r="G746" i="7"/>
  <c r="F746" i="7"/>
  <c r="E746" i="7"/>
  <c r="D746" i="7"/>
  <c r="C746" i="7"/>
  <c r="B746" i="7"/>
  <c r="A746" i="7"/>
  <c r="CH746" i="17" s="1"/>
  <c r="AB745" i="7"/>
  <c r="J745" i="7"/>
  <c r="I745" i="7"/>
  <c r="R746" i="7" s="1"/>
  <c r="H745" i="7"/>
  <c r="G745" i="7"/>
  <c r="F745" i="7"/>
  <c r="E745" i="7"/>
  <c r="D745" i="7"/>
  <c r="C745" i="7"/>
  <c r="B745" i="7"/>
  <c r="A745" i="7"/>
  <c r="CH745" i="17" s="1"/>
  <c r="AB744" i="7"/>
  <c r="J744" i="7"/>
  <c r="I744" i="7"/>
  <c r="H744" i="7"/>
  <c r="G744" i="7"/>
  <c r="F744" i="7"/>
  <c r="E744" i="7"/>
  <c r="D744" i="7"/>
  <c r="C744" i="7"/>
  <c r="B744" i="7"/>
  <c r="K744" i="7" s="1"/>
  <c r="T744" i="7" s="1"/>
  <c r="A744" i="7"/>
  <c r="CH744" i="17" s="1"/>
  <c r="AB743" i="7"/>
  <c r="J743" i="7"/>
  <c r="I743" i="7"/>
  <c r="H743" i="7"/>
  <c r="G743" i="7"/>
  <c r="F743" i="7"/>
  <c r="E743" i="7"/>
  <c r="D743" i="7"/>
  <c r="C743" i="7"/>
  <c r="B743" i="7"/>
  <c r="A743" i="7"/>
  <c r="CH743" i="17" s="1"/>
  <c r="AB742" i="7"/>
  <c r="J742" i="7"/>
  <c r="I742" i="7"/>
  <c r="R742" i="7" s="1"/>
  <c r="H742" i="7"/>
  <c r="G742" i="7"/>
  <c r="F742" i="7"/>
  <c r="E742" i="7"/>
  <c r="D742" i="7"/>
  <c r="C742" i="7"/>
  <c r="B742" i="7"/>
  <c r="A742" i="7"/>
  <c r="CH742" i="17" s="1"/>
  <c r="AB741" i="7"/>
  <c r="J741" i="7"/>
  <c r="S741" i="7" s="1"/>
  <c r="I741" i="7"/>
  <c r="H741" i="7"/>
  <c r="G741" i="7"/>
  <c r="F741" i="7"/>
  <c r="E741" i="7"/>
  <c r="D741" i="7"/>
  <c r="C741" i="7"/>
  <c r="B741" i="7"/>
  <c r="A741" i="7"/>
  <c r="CH741" i="17" s="1"/>
  <c r="AB740" i="7"/>
  <c r="J740" i="7"/>
  <c r="I740" i="7"/>
  <c r="H740" i="7"/>
  <c r="G740" i="7"/>
  <c r="F740" i="7"/>
  <c r="E740" i="7"/>
  <c r="D740" i="7"/>
  <c r="C740" i="7"/>
  <c r="B740" i="7"/>
  <c r="A740" i="7"/>
  <c r="CH740" i="17" s="1"/>
  <c r="AB739" i="7"/>
  <c r="J739" i="7"/>
  <c r="S739" i="7" s="1"/>
  <c r="I739" i="7"/>
  <c r="H739" i="7"/>
  <c r="G739" i="7"/>
  <c r="F739" i="7"/>
  <c r="E739" i="7"/>
  <c r="D739" i="7"/>
  <c r="C739" i="7"/>
  <c r="B739" i="7"/>
  <c r="A739" i="7"/>
  <c r="CH739" i="17" s="1"/>
  <c r="AB738" i="7"/>
  <c r="K738" i="7"/>
  <c r="T738" i="7" s="1"/>
  <c r="J738" i="7"/>
  <c r="I738" i="7"/>
  <c r="R738" i="7" s="1"/>
  <c r="H738" i="7"/>
  <c r="Q738" i="7" s="1"/>
  <c r="X738" i="7" s="1"/>
  <c r="G738" i="7"/>
  <c r="F738" i="7"/>
  <c r="E738" i="7"/>
  <c r="D738" i="7"/>
  <c r="C738" i="7"/>
  <c r="B738" i="7"/>
  <c r="A738" i="7"/>
  <c r="CH738" i="17" s="1"/>
  <c r="AB737" i="7"/>
  <c r="P737" i="7"/>
  <c r="AA737" i="7" s="1"/>
  <c r="K737" i="7"/>
  <c r="T737" i="7" s="1"/>
  <c r="J737" i="7"/>
  <c r="I737" i="7"/>
  <c r="H737" i="7"/>
  <c r="G737" i="7"/>
  <c r="F737" i="7"/>
  <c r="E737" i="7"/>
  <c r="D737" i="7"/>
  <c r="C737" i="7"/>
  <c r="B737" i="7"/>
  <c r="A737" i="7"/>
  <c r="CH737" i="17" s="1"/>
  <c r="AB736" i="7"/>
  <c r="J736" i="7"/>
  <c r="I736" i="7"/>
  <c r="H736" i="7"/>
  <c r="G736" i="7"/>
  <c r="F736" i="7"/>
  <c r="E736" i="7"/>
  <c r="D736" i="7"/>
  <c r="C736" i="7"/>
  <c r="B736" i="7"/>
  <c r="A736" i="7"/>
  <c r="CH736" i="17" s="1"/>
  <c r="AB735" i="7"/>
  <c r="J735" i="7"/>
  <c r="I735" i="7"/>
  <c r="H735" i="7"/>
  <c r="Q735" i="7" s="1"/>
  <c r="X735" i="7" s="1"/>
  <c r="G735" i="7"/>
  <c r="F735" i="7"/>
  <c r="E735" i="7"/>
  <c r="D735" i="7"/>
  <c r="C735" i="7"/>
  <c r="B735" i="7"/>
  <c r="A735" i="7"/>
  <c r="CH735" i="17" s="1"/>
  <c r="AB734" i="7"/>
  <c r="S734" i="7"/>
  <c r="J734" i="7"/>
  <c r="I734" i="7"/>
  <c r="R734" i="7" s="1"/>
  <c r="H734" i="7"/>
  <c r="G734" i="7"/>
  <c r="F734" i="7"/>
  <c r="E734" i="7"/>
  <c r="D734" i="7"/>
  <c r="C734" i="7"/>
  <c r="B734" i="7"/>
  <c r="A734" i="7"/>
  <c r="CH734" i="17" s="1"/>
  <c r="AB733" i="7"/>
  <c r="J733" i="7"/>
  <c r="I733" i="7"/>
  <c r="R733" i="7" s="1"/>
  <c r="H733" i="7"/>
  <c r="Q733" i="7" s="1"/>
  <c r="X733" i="7" s="1"/>
  <c r="G733" i="7"/>
  <c r="F733" i="7"/>
  <c r="E733" i="7"/>
  <c r="D733" i="7"/>
  <c r="C733" i="7"/>
  <c r="B733" i="7"/>
  <c r="A733" i="7"/>
  <c r="CH733" i="17" s="1"/>
  <c r="AB732" i="7"/>
  <c r="R732" i="7"/>
  <c r="O732" i="7"/>
  <c r="Z732" i="7" s="1"/>
  <c r="J732" i="7"/>
  <c r="I732" i="7"/>
  <c r="H732" i="7"/>
  <c r="G732" i="7"/>
  <c r="F732" i="7"/>
  <c r="E732" i="7"/>
  <c r="D732" i="7"/>
  <c r="C732" i="7"/>
  <c r="B732" i="7"/>
  <c r="K732" i="7" s="1"/>
  <c r="T732" i="7" s="1"/>
  <c r="A732" i="7"/>
  <c r="CH732" i="17" s="1"/>
  <c r="AB731" i="7"/>
  <c r="J731" i="7"/>
  <c r="I731" i="7"/>
  <c r="H731" i="7"/>
  <c r="G731" i="7"/>
  <c r="F731" i="7"/>
  <c r="E731" i="7"/>
  <c r="D731" i="7"/>
  <c r="C731" i="7"/>
  <c r="B731" i="7"/>
  <c r="A731" i="7"/>
  <c r="CH731" i="17" s="1"/>
  <c r="AB730" i="7"/>
  <c r="J730" i="7"/>
  <c r="S730" i="7" s="1"/>
  <c r="I730" i="7"/>
  <c r="H730" i="7"/>
  <c r="Q730" i="7" s="1"/>
  <c r="X730" i="7" s="1"/>
  <c r="G730" i="7"/>
  <c r="F730" i="7"/>
  <c r="E730" i="7"/>
  <c r="D730" i="7"/>
  <c r="C730" i="7"/>
  <c r="B730" i="7"/>
  <c r="A730" i="7"/>
  <c r="CH730" i="17" s="1"/>
  <c r="AB729" i="7"/>
  <c r="R729" i="7"/>
  <c r="P729" i="7"/>
  <c r="AA729" i="7" s="1"/>
  <c r="J729" i="7"/>
  <c r="I729" i="7"/>
  <c r="H729" i="7"/>
  <c r="G729" i="7"/>
  <c r="F729" i="7"/>
  <c r="E729" i="7"/>
  <c r="D729" i="7"/>
  <c r="C729" i="7"/>
  <c r="B729" i="7"/>
  <c r="A729" i="7"/>
  <c r="CH729" i="17" s="1"/>
  <c r="AB728" i="7"/>
  <c r="J728" i="7"/>
  <c r="S728" i="7" s="1"/>
  <c r="I728" i="7"/>
  <c r="H728" i="7"/>
  <c r="G728" i="7"/>
  <c r="F728" i="7"/>
  <c r="E728" i="7"/>
  <c r="D728" i="7"/>
  <c r="C728" i="7"/>
  <c r="B728" i="7"/>
  <c r="A728" i="7"/>
  <c r="CH728" i="17" s="1"/>
  <c r="AB727" i="7"/>
  <c r="J727" i="7"/>
  <c r="I727" i="7"/>
  <c r="H727" i="7"/>
  <c r="Q727" i="7" s="1"/>
  <c r="X727" i="7" s="1"/>
  <c r="G727" i="7"/>
  <c r="F727" i="7"/>
  <c r="E727" i="7"/>
  <c r="D727" i="7"/>
  <c r="C727" i="7"/>
  <c r="B727" i="7"/>
  <c r="A727" i="7"/>
  <c r="CH727" i="17" s="1"/>
  <c r="AB726" i="7"/>
  <c r="S726" i="7"/>
  <c r="J726" i="7"/>
  <c r="I726" i="7"/>
  <c r="H726" i="7"/>
  <c r="G726" i="7"/>
  <c r="F726" i="7"/>
  <c r="E726" i="7"/>
  <c r="D726" i="7"/>
  <c r="C726" i="7"/>
  <c r="B726" i="7"/>
  <c r="A726" i="7"/>
  <c r="CH726" i="17" s="1"/>
  <c r="AB725" i="7"/>
  <c r="J725" i="7"/>
  <c r="I725" i="7"/>
  <c r="H725" i="7"/>
  <c r="G725" i="7"/>
  <c r="F725" i="7"/>
  <c r="E725" i="7"/>
  <c r="D725" i="7"/>
  <c r="C725" i="7"/>
  <c r="B725" i="7"/>
  <c r="A725" i="7"/>
  <c r="CH725" i="17" s="1"/>
  <c r="AB724" i="7"/>
  <c r="J724" i="7"/>
  <c r="I724" i="7"/>
  <c r="R724" i="7" s="1"/>
  <c r="H724" i="7"/>
  <c r="Q724" i="7" s="1"/>
  <c r="X724" i="7" s="1"/>
  <c r="G724" i="7"/>
  <c r="F724" i="7"/>
  <c r="E724" i="7"/>
  <c r="D724" i="7"/>
  <c r="C724" i="7"/>
  <c r="B724" i="7"/>
  <c r="A724" i="7"/>
  <c r="CH724" i="17" s="1"/>
  <c r="AB723" i="7"/>
  <c r="R723" i="7"/>
  <c r="J723" i="7"/>
  <c r="S723" i="7" s="1"/>
  <c r="I723" i="7"/>
  <c r="H723" i="7"/>
  <c r="G723" i="7"/>
  <c r="F723" i="7"/>
  <c r="E723" i="7"/>
  <c r="D723" i="7"/>
  <c r="C723" i="7"/>
  <c r="B723" i="7"/>
  <c r="A723" i="7"/>
  <c r="CH723" i="17" s="1"/>
  <c r="AB722" i="7"/>
  <c r="J722" i="7"/>
  <c r="I722" i="7"/>
  <c r="H722" i="7"/>
  <c r="G722" i="7"/>
  <c r="F722" i="7"/>
  <c r="E722" i="7"/>
  <c r="D722" i="7"/>
  <c r="C722" i="7"/>
  <c r="B722" i="7"/>
  <c r="K722" i="7" s="1"/>
  <c r="T722" i="7" s="1"/>
  <c r="A722" i="7"/>
  <c r="CH722" i="17" s="1"/>
  <c r="AB721" i="7"/>
  <c r="J721" i="7"/>
  <c r="I721" i="7"/>
  <c r="H721" i="7"/>
  <c r="G721" i="7"/>
  <c r="F721" i="7"/>
  <c r="E721" i="7"/>
  <c r="D721" i="7"/>
  <c r="C721" i="7"/>
  <c r="B721" i="7"/>
  <c r="K721" i="7" s="1"/>
  <c r="T721" i="7" s="1"/>
  <c r="A721" i="7"/>
  <c r="CH721" i="17" s="1"/>
  <c r="AB720" i="7"/>
  <c r="S720" i="7"/>
  <c r="Y720" i="7" s="1"/>
  <c r="J720" i="7"/>
  <c r="I720" i="7"/>
  <c r="R720" i="7" s="1"/>
  <c r="H720" i="7"/>
  <c r="G720" i="7"/>
  <c r="F720" i="7"/>
  <c r="E720" i="7"/>
  <c r="D720" i="7"/>
  <c r="C720" i="7"/>
  <c r="B720" i="7"/>
  <c r="A720" i="7"/>
  <c r="CH720" i="17" s="1"/>
  <c r="AB719" i="7"/>
  <c r="J719" i="7"/>
  <c r="I719" i="7"/>
  <c r="H719" i="7"/>
  <c r="G719" i="7"/>
  <c r="F719" i="7"/>
  <c r="E719" i="7"/>
  <c r="D719" i="7"/>
  <c r="C719" i="7"/>
  <c r="B719" i="7"/>
  <c r="A719" i="7"/>
  <c r="CH719" i="17" s="1"/>
  <c r="AB718" i="7"/>
  <c r="J718" i="7"/>
  <c r="I718" i="7"/>
  <c r="H718" i="7"/>
  <c r="G718" i="7"/>
  <c r="F718" i="7"/>
  <c r="E718" i="7"/>
  <c r="D718" i="7"/>
  <c r="C718" i="7"/>
  <c r="B718" i="7"/>
  <c r="A718" i="7"/>
  <c r="CH718" i="17" s="1"/>
  <c r="AB717" i="7"/>
  <c r="J717" i="7"/>
  <c r="S718" i="7" s="1"/>
  <c r="I717" i="7"/>
  <c r="R717" i="7" s="1"/>
  <c r="H717" i="7"/>
  <c r="Q717" i="7" s="1"/>
  <c r="X717" i="7" s="1"/>
  <c r="G717" i="7"/>
  <c r="F717" i="7"/>
  <c r="E717" i="7"/>
  <c r="D717" i="7"/>
  <c r="C717" i="7"/>
  <c r="B717" i="7"/>
  <c r="A717" i="7"/>
  <c r="CH717" i="17" s="1"/>
  <c r="AB716" i="7"/>
  <c r="L716" i="7"/>
  <c r="U716" i="7" s="1"/>
  <c r="K716" i="7"/>
  <c r="T716" i="7" s="1"/>
  <c r="J716" i="7"/>
  <c r="I716" i="7"/>
  <c r="H716" i="7"/>
  <c r="G716" i="7"/>
  <c r="F716" i="7"/>
  <c r="E716" i="7"/>
  <c r="D716" i="7"/>
  <c r="C716" i="7"/>
  <c r="B716" i="7"/>
  <c r="A716" i="7"/>
  <c r="CH716" i="17" s="1"/>
  <c r="AB715" i="7"/>
  <c r="J715" i="7"/>
  <c r="I715" i="7"/>
  <c r="H715" i="7"/>
  <c r="Q715" i="7" s="1"/>
  <c r="X715" i="7" s="1"/>
  <c r="G715" i="7"/>
  <c r="F715" i="7"/>
  <c r="E715" i="7"/>
  <c r="D715" i="7"/>
  <c r="C715" i="7"/>
  <c r="B715" i="7"/>
  <c r="A715" i="7"/>
  <c r="CH715" i="17" s="1"/>
  <c r="AB714" i="7"/>
  <c r="J714" i="7"/>
  <c r="S715" i="7" s="1"/>
  <c r="I714" i="7"/>
  <c r="R714" i="7" s="1"/>
  <c r="H714" i="7"/>
  <c r="G714" i="7"/>
  <c r="F714" i="7"/>
  <c r="E714" i="7"/>
  <c r="D714" i="7"/>
  <c r="C714" i="7"/>
  <c r="L715" i="7" s="1"/>
  <c r="U715" i="7" s="1"/>
  <c r="B714" i="7"/>
  <c r="K714" i="7" s="1"/>
  <c r="T714" i="7" s="1"/>
  <c r="A714" i="7"/>
  <c r="CH714" i="17" s="1"/>
  <c r="AB713" i="7"/>
  <c r="J713" i="7"/>
  <c r="S713" i="7" s="1"/>
  <c r="I713" i="7"/>
  <c r="H713" i="7"/>
  <c r="G713" i="7"/>
  <c r="F713" i="7"/>
  <c r="E713" i="7"/>
  <c r="D713" i="7"/>
  <c r="C713" i="7"/>
  <c r="B713" i="7"/>
  <c r="A713" i="7"/>
  <c r="CH713" i="17" s="1"/>
  <c r="AB712" i="7"/>
  <c r="J712" i="7"/>
  <c r="I712" i="7"/>
  <c r="H712" i="7"/>
  <c r="G712" i="7"/>
  <c r="F712" i="7"/>
  <c r="E712" i="7"/>
  <c r="D712" i="7"/>
  <c r="C712" i="7"/>
  <c r="B712" i="7"/>
  <c r="A712" i="7"/>
  <c r="CH712" i="17" s="1"/>
  <c r="AB711" i="7"/>
  <c r="O711" i="7"/>
  <c r="Z711" i="7" s="1"/>
  <c r="J711" i="7"/>
  <c r="S711" i="7" s="1"/>
  <c r="I711" i="7"/>
  <c r="H711" i="7"/>
  <c r="Q711" i="7" s="1"/>
  <c r="X711" i="7" s="1"/>
  <c r="G711" i="7"/>
  <c r="P711" i="7" s="1"/>
  <c r="AA711" i="7" s="1"/>
  <c r="F711" i="7"/>
  <c r="E711" i="7"/>
  <c r="D711" i="7"/>
  <c r="C711" i="7"/>
  <c r="B711" i="7"/>
  <c r="A711" i="7"/>
  <c r="CH711" i="17" s="1"/>
  <c r="AB710" i="7"/>
  <c r="J710" i="7"/>
  <c r="I710" i="7"/>
  <c r="H710" i="7"/>
  <c r="G710" i="7"/>
  <c r="F710" i="7"/>
  <c r="E710" i="7"/>
  <c r="D710" i="7"/>
  <c r="C710" i="7"/>
  <c r="B710" i="7"/>
  <c r="A710" i="7"/>
  <c r="CH710" i="17" s="1"/>
  <c r="AB709" i="7"/>
  <c r="J709" i="7"/>
  <c r="I709" i="7"/>
  <c r="H709" i="7"/>
  <c r="Q709" i="7" s="1"/>
  <c r="X709" i="7" s="1"/>
  <c r="G709" i="7"/>
  <c r="F709" i="7"/>
  <c r="E709" i="7"/>
  <c r="D709" i="7"/>
  <c r="C709" i="7"/>
  <c r="B709" i="7"/>
  <c r="A709" i="7"/>
  <c r="CH709" i="17" s="1"/>
  <c r="AB708" i="7"/>
  <c r="J708" i="7"/>
  <c r="S708" i="7" s="1"/>
  <c r="I708" i="7"/>
  <c r="H708" i="7"/>
  <c r="G708" i="7"/>
  <c r="F708" i="7"/>
  <c r="O708" i="7" s="1"/>
  <c r="Z708" i="7" s="1"/>
  <c r="E708" i="7"/>
  <c r="D708" i="7"/>
  <c r="C708" i="7"/>
  <c r="B708" i="7"/>
  <c r="A708" i="7"/>
  <c r="CH708" i="17" s="1"/>
  <c r="AB707" i="7"/>
  <c r="J707" i="7"/>
  <c r="I707" i="7"/>
  <c r="H707" i="7"/>
  <c r="G707" i="7"/>
  <c r="F707" i="7"/>
  <c r="E707" i="7"/>
  <c r="N708" i="7" s="1"/>
  <c r="W708" i="7" s="1"/>
  <c r="D707" i="7"/>
  <c r="C707" i="7"/>
  <c r="B707" i="7"/>
  <c r="A707" i="7"/>
  <c r="CH707" i="17" s="1"/>
  <c r="AB706" i="7"/>
  <c r="M706" i="7"/>
  <c r="V706" i="7" s="1"/>
  <c r="J706" i="7"/>
  <c r="S706" i="7" s="1"/>
  <c r="I706" i="7"/>
  <c r="H706" i="7"/>
  <c r="G706" i="7"/>
  <c r="F706" i="7"/>
  <c r="E706" i="7"/>
  <c r="D706" i="7"/>
  <c r="C706" i="7"/>
  <c r="B706" i="7"/>
  <c r="A706" i="7"/>
  <c r="CH706" i="17" s="1"/>
  <c r="AB705" i="7"/>
  <c r="J705" i="7"/>
  <c r="I705" i="7"/>
  <c r="H705" i="7"/>
  <c r="G705" i="7"/>
  <c r="F705" i="7"/>
  <c r="E705" i="7"/>
  <c r="N706" i="7" s="1"/>
  <c r="W706" i="7" s="1"/>
  <c r="D705" i="7"/>
  <c r="C705" i="7"/>
  <c r="B705" i="7"/>
  <c r="A705" i="7"/>
  <c r="CH705" i="17" s="1"/>
  <c r="AB704" i="7"/>
  <c r="J704" i="7"/>
  <c r="I704" i="7"/>
  <c r="H704" i="7"/>
  <c r="Q704" i="7" s="1"/>
  <c r="X704" i="7" s="1"/>
  <c r="G704" i="7"/>
  <c r="F704" i="7"/>
  <c r="E704" i="7"/>
  <c r="D704" i="7"/>
  <c r="C704" i="7"/>
  <c r="B704" i="7"/>
  <c r="A704" i="7"/>
  <c r="CH704" i="17" s="1"/>
  <c r="AB703" i="7"/>
  <c r="J703" i="7"/>
  <c r="I703" i="7"/>
  <c r="H703" i="7"/>
  <c r="G703" i="7"/>
  <c r="F703" i="7"/>
  <c r="E703" i="7"/>
  <c r="D703" i="7"/>
  <c r="C703" i="7"/>
  <c r="B703" i="7"/>
  <c r="A703" i="7"/>
  <c r="CH703" i="17" s="1"/>
  <c r="AB702" i="7"/>
  <c r="J702" i="7"/>
  <c r="I702" i="7"/>
  <c r="H702" i="7"/>
  <c r="G702" i="7"/>
  <c r="F702" i="7"/>
  <c r="E702" i="7"/>
  <c r="D702" i="7"/>
  <c r="C702" i="7"/>
  <c r="B702" i="7"/>
  <c r="A702" i="7"/>
  <c r="CH702" i="17" s="1"/>
  <c r="AB701" i="7"/>
  <c r="J701" i="7"/>
  <c r="I701" i="7"/>
  <c r="H701" i="7"/>
  <c r="G701" i="7"/>
  <c r="F701" i="7"/>
  <c r="E701" i="7"/>
  <c r="D701" i="7"/>
  <c r="C701" i="7"/>
  <c r="B701" i="7"/>
  <c r="A701" i="7"/>
  <c r="CH701" i="17" s="1"/>
  <c r="AB700" i="7"/>
  <c r="J700" i="7"/>
  <c r="I700" i="7"/>
  <c r="H700" i="7"/>
  <c r="G700" i="7"/>
  <c r="F700" i="7"/>
  <c r="E700" i="7"/>
  <c r="D700" i="7"/>
  <c r="C700" i="7"/>
  <c r="B700" i="7"/>
  <c r="A700" i="7"/>
  <c r="CH700" i="17" s="1"/>
  <c r="AB699" i="7"/>
  <c r="J699" i="7"/>
  <c r="I699" i="7"/>
  <c r="H699" i="7"/>
  <c r="G699" i="7"/>
  <c r="F699" i="7"/>
  <c r="E699" i="7"/>
  <c r="D699" i="7"/>
  <c r="C699" i="7"/>
  <c r="B699" i="7"/>
  <c r="A699" i="7"/>
  <c r="CH699" i="17" s="1"/>
  <c r="AB698" i="7"/>
  <c r="J698" i="7"/>
  <c r="I698" i="7"/>
  <c r="H698" i="7"/>
  <c r="G698" i="7"/>
  <c r="F698" i="7"/>
  <c r="E698" i="7"/>
  <c r="D698" i="7"/>
  <c r="C698" i="7"/>
  <c r="B698" i="7"/>
  <c r="A698" i="7"/>
  <c r="CH698" i="17" s="1"/>
  <c r="AB697" i="7"/>
  <c r="J697" i="7"/>
  <c r="I697" i="7"/>
  <c r="H697" i="7"/>
  <c r="G697" i="7"/>
  <c r="F697" i="7"/>
  <c r="E697" i="7"/>
  <c r="D697" i="7"/>
  <c r="C697" i="7"/>
  <c r="B697" i="7"/>
  <c r="A697" i="7"/>
  <c r="CH697" i="17" s="1"/>
  <c r="AB696" i="7"/>
  <c r="J696" i="7"/>
  <c r="I696" i="7"/>
  <c r="H696" i="7"/>
  <c r="G696" i="7"/>
  <c r="F696" i="7"/>
  <c r="E696" i="7"/>
  <c r="D696" i="7"/>
  <c r="C696" i="7"/>
  <c r="B696" i="7"/>
  <c r="A696" i="7"/>
  <c r="CH696" i="17" s="1"/>
  <c r="AB695" i="7"/>
  <c r="N695" i="7"/>
  <c r="W695" i="7" s="1"/>
  <c r="M695" i="7"/>
  <c r="V695" i="7" s="1"/>
  <c r="J695" i="7"/>
  <c r="S695" i="7" s="1"/>
  <c r="I695" i="7"/>
  <c r="H695" i="7"/>
  <c r="G695" i="7"/>
  <c r="F695" i="7"/>
  <c r="E695" i="7"/>
  <c r="D695" i="7"/>
  <c r="C695" i="7"/>
  <c r="B695" i="7"/>
  <c r="A695" i="7"/>
  <c r="CH695" i="17" s="1"/>
  <c r="AB694" i="7"/>
  <c r="J694" i="7"/>
  <c r="I694" i="7"/>
  <c r="H694" i="7"/>
  <c r="G694" i="7"/>
  <c r="F694" i="7"/>
  <c r="E694" i="7"/>
  <c r="D694" i="7"/>
  <c r="C694" i="7"/>
  <c r="B694" i="7"/>
  <c r="A694" i="7"/>
  <c r="CH694" i="17" s="1"/>
  <c r="AB693" i="7"/>
  <c r="J693" i="7"/>
  <c r="I693" i="7"/>
  <c r="H693" i="7"/>
  <c r="Q693" i="7" s="1"/>
  <c r="X693" i="7" s="1"/>
  <c r="G693" i="7"/>
  <c r="F693" i="7"/>
  <c r="E693" i="7"/>
  <c r="D693" i="7"/>
  <c r="C693" i="7"/>
  <c r="B693" i="7"/>
  <c r="A693" i="7"/>
  <c r="CH693" i="17" s="1"/>
  <c r="AB692" i="7"/>
  <c r="O692" i="7"/>
  <c r="Z692" i="7" s="1"/>
  <c r="N692" i="7"/>
  <c r="W692" i="7" s="1"/>
  <c r="J692" i="7"/>
  <c r="S692" i="7" s="1"/>
  <c r="I692" i="7"/>
  <c r="H692" i="7"/>
  <c r="Q692" i="7" s="1"/>
  <c r="X692" i="7" s="1"/>
  <c r="G692" i="7"/>
  <c r="F692" i="7"/>
  <c r="E692" i="7"/>
  <c r="D692" i="7"/>
  <c r="C692" i="7"/>
  <c r="B692" i="7"/>
  <c r="A692" i="7"/>
  <c r="CH692" i="17" s="1"/>
  <c r="AB691" i="7"/>
  <c r="O691" i="7"/>
  <c r="Z691" i="7" s="1"/>
  <c r="J691" i="7"/>
  <c r="I691" i="7"/>
  <c r="R691" i="7" s="1"/>
  <c r="H691" i="7"/>
  <c r="G691" i="7"/>
  <c r="F691" i="7"/>
  <c r="E691" i="7"/>
  <c r="D691" i="7"/>
  <c r="C691" i="7"/>
  <c r="B691" i="7"/>
  <c r="A691" i="7"/>
  <c r="CH691" i="17" s="1"/>
  <c r="AB690" i="7"/>
  <c r="J690" i="7"/>
  <c r="I690" i="7"/>
  <c r="H690" i="7"/>
  <c r="G690" i="7"/>
  <c r="F690" i="7"/>
  <c r="E690" i="7"/>
  <c r="D690" i="7"/>
  <c r="C690" i="7"/>
  <c r="B690" i="7"/>
  <c r="A690" i="7"/>
  <c r="CH690" i="17" s="1"/>
  <c r="AB689" i="7"/>
  <c r="M689" i="7"/>
  <c r="V689" i="7" s="1"/>
  <c r="J689" i="7"/>
  <c r="I689" i="7"/>
  <c r="H689" i="7"/>
  <c r="G689" i="7"/>
  <c r="F689" i="7"/>
  <c r="E689" i="7"/>
  <c r="D689" i="7"/>
  <c r="C689" i="7"/>
  <c r="B689" i="7"/>
  <c r="A689" i="7"/>
  <c r="CH689" i="17" s="1"/>
  <c r="AB688" i="7"/>
  <c r="O688" i="7"/>
  <c r="Z688" i="7" s="1"/>
  <c r="J688" i="7"/>
  <c r="I688" i="7"/>
  <c r="H688" i="7"/>
  <c r="G688" i="7"/>
  <c r="F688" i="7"/>
  <c r="E688" i="7"/>
  <c r="D688" i="7"/>
  <c r="C688" i="7"/>
  <c r="B688" i="7"/>
  <c r="A688" i="7"/>
  <c r="CH688" i="17" s="1"/>
  <c r="AB687" i="7"/>
  <c r="J687" i="7"/>
  <c r="I687" i="7"/>
  <c r="H687" i="7"/>
  <c r="G687" i="7"/>
  <c r="F687" i="7"/>
  <c r="E687" i="7"/>
  <c r="D687" i="7"/>
  <c r="C687" i="7"/>
  <c r="B687" i="7"/>
  <c r="A687" i="7"/>
  <c r="CH687" i="17" s="1"/>
  <c r="AB686" i="7"/>
  <c r="J686" i="7"/>
  <c r="I686" i="7"/>
  <c r="H686" i="7"/>
  <c r="G686" i="7"/>
  <c r="F686" i="7"/>
  <c r="E686" i="7"/>
  <c r="D686" i="7"/>
  <c r="C686" i="7"/>
  <c r="B686" i="7"/>
  <c r="A686" i="7"/>
  <c r="CH686" i="17" s="1"/>
  <c r="AB685" i="7"/>
  <c r="N685" i="7"/>
  <c r="W685" i="7" s="1"/>
  <c r="J685" i="7"/>
  <c r="S686" i="7" s="1"/>
  <c r="I685" i="7"/>
  <c r="H685" i="7"/>
  <c r="G685" i="7"/>
  <c r="F685" i="7"/>
  <c r="E685" i="7"/>
  <c r="D685" i="7"/>
  <c r="C685" i="7"/>
  <c r="B685" i="7"/>
  <c r="A685" i="7"/>
  <c r="CH685" i="17" s="1"/>
  <c r="AB684" i="7"/>
  <c r="J684" i="7"/>
  <c r="I684" i="7"/>
  <c r="H684" i="7"/>
  <c r="Q684" i="7" s="1"/>
  <c r="X684" i="7" s="1"/>
  <c r="G684" i="7"/>
  <c r="F684" i="7"/>
  <c r="E684" i="7"/>
  <c r="D684" i="7"/>
  <c r="C684" i="7"/>
  <c r="B684" i="7"/>
  <c r="A684" i="7"/>
  <c r="CH684" i="17" s="1"/>
  <c r="AB683" i="7"/>
  <c r="J683" i="7"/>
  <c r="I683" i="7"/>
  <c r="H683" i="7"/>
  <c r="G683" i="7"/>
  <c r="F683" i="7"/>
  <c r="E683" i="7"/>
  <c r="D683" i="7"/>
  <c r="C683" i="7"/>
  <c r="B683" i="7"/>
  <c r="A683" i="7"/>
  <c r="CH683" i="17" s="1"/>
  <c r="AB682" i="7"/>
  <c r="J682" i="7"/>
  <c r="I682" i="7"/>
  <c r="H682" i="7"/>
  <c r="G682" i="7"/>
  <c r="F682" i="7"/>
  <c r="E682" i="7"/>
  <c r="D682" i="7"/>
  <c r="C682" i="7"/>
  <c r="L683" i="7" s="1"/>
  <c r="U683" i="7" s="1"/>
  <c r="B682" i="7"/>
  <c r="A682" i="7"/>
  <c r="CH682" i="17" s="1"/>
  <c r="AB681" i="7"/>
  <c r="J681" i="7"/>
  <c r="I681" i="7"/>
  <c r="H681" i="7"/>
  <c r="G681" i="7"/>
  <c r="F681" i="7"/>
  <c r="E681" i="7"/>
  <c r="D681" i="7"/>
  <c r="C681" i="7"/>
  <c r="L681" i="7" s="1"/>
  <c r="U681" i="7" s="1"/>
  <c r="B681" i="7"/>
  <c r="A681" i="7"/>
  <c r="CH681" i="17" s="1"/>
  <c r="AB680" i="7"/>
  <c r="J680" i="7"/>
  <c r="I680" i="7"/>
  <c r="H680" i="7"/>
  <c r="G680" i="7"/>
  <c r="F680" i="7"/>
  <c r="E680" i="7"/>
  <c r="D680" i="7"/>
  <c r="C680" i="7"/>
  <c r="B680" i="7"/>
  <c r="A680" i="7"/>
  <c r="CH680" i="17" s="1"/>
  <c r="AB679" i="7"/>
  <c r="J679" i="7"/>
  <c r="I679" i="7"/>
  <c r="H679" i="7"/>
  <c r="G679" i="7"/>
  <c r="F679" i="7"/>
  <c r="E679" i="7"/>
  <c r="D679" i="7"/>
  <c r="M679" i="7" s="1"/>
  <c r="V679" i="7" s="1"/>
  <c r="C679" i="7"/>
  <c r="L679" i="7" s="1"/>
  <c r="U679" i="7" s="1"/>
  <c r="B679" i="7"/>
  <c r="A679" i="7"/>
  <c r="CH679" i="17" s="1"/>
  <c r="AB678" i="7"/>
  <c r="J678" i="7"/>
  <c r="I678" i="7"/>
  <c r="H678" i="7"/>
  <c r="Q678" i="7" s="1"/>
  <c r="X678" i="7" s="1"/>
  <c r="G678" i="7"/>
  <c r="F678" i="7"/>
  <c r="E678" i="7"/>
  <c r="D678" i="7"/>
  <c r="C678" i="7"/>
  <c r="B678" i="7"/>
  <c r="K678" i="7" s="1"/>
  <c r="T678" i="7" s="1"/>
  <c r="A678" i="7"/>
  <c r="CH678" i="17" s="1"/>
  <c r="AB677" i="7"/>
  <c r="J677" i="7"/>
  <c r="S678" i="7" s="1"/>
  <c r="I677" i="7"/>
  <c r="H677" i="7"/>
  <c r="Q677" i="7" s="1"/>
  <c r="X677" i="7" s="1"/>
  <c r="G677" i="7"/>
  <c r="F677" i="7"/>
  <c r="E677" i="7"/>
  <c r="D677" i="7"/>
  <c r="M677" i="7" s="1"/>
  <c r="V677" i="7" s="1"/>
  <c r="C677" i="7"/>
  <c r="B677" i="7"/>
  <c r="A677" i="7"/>
  <c r="CH677" i="17" s="1"/>
  <c r="AB676" i="7"/>
  <c r="M676" i="7"/>
  <c r="V676" i="7" s="1"/>
  <c r="J676" i="7"/>
  <c r="I676" i="7"/>
  <c r="H676" i="7"/>
  <c r="G676" i="7"/>
  <c r="F676" i="7"/>
  <c r="E676" i="7"/>
  <c r="N676" i="7" s="1"/>
  <c r="W676" i="7" s="1"/>
  <c r="D676" i="7"/>
  <c r="C676" i="7"/>
  <c r="B676" i="7"/>
  <c r="A676" i="7"/>
  <c r="CH676" i="17" s="1"/>
  <c r="AB675" i="7"/>
  <c r="M675" i="7"/>
  <c r="V675" i="7" s="1"/>
  <c r="J675" i="7"/>
  <c r="I675" i="7"/>
  <c r="H675" i="7"/>
  <c r="G675" i="7"/>
  <c r="F675" i="7"/>
  <c r="E675" i="7"/>
  <c r="D675" i="7"/>
  <c r="C675" i="7"/>
  <c r="B675" i="7"/>
  <c r="A675" i="7"/>
  <c r="CH675" i="17" s="1"/>
  <c r="AB674" i="7"/>
  <c r="J674" i="7"/>
  <c r="I674" i="7"/>
  <c r="H674" i="7"/>
  <c r="G674" i="7"/>
  <c r="F674" i="7"/>
  <c r="E674" i="7"/>
  <c r="N675" i="7" s="1"/>
  <c r="W675" i="7" s="1"/>
  <c r="D674" i="7"/>
  <c r="C674" i="7"/>
  <c r="B674" i="7"/>
  <c r="A674" i="7"/>
  <c r="CH674" i="17" s="1"/>
  <c r="AB673" i="7"/>
  <c r="O673" i="7"/>
  <c r="Z673" i="7" s="1"/>
  <c r="J673" i="7"/>
  <c r="I673" i="7"/>
  <c r="H673" i="7"/>
  <c r="Q673" i="7" s="1"/>
  <c r="X673" i="7" s="1"/>
  <c r="G673" i="7"/>
  <c r="F673" i="7"/>
  <c r="E673" i="7"/>
  <c r="D673" i="7"/>
  <c r="C673" i="7"/>
  <c r="B673" i="7"/>
  <c r="A673" i="7"/>
  <c r="CH673" i="17" s="1"/>
  <c r="AB672" i="7"/>
  <c r="O672" i="7"/>
  <c r="Z672" i="7" s="1"/>
  <c r="N672" i="7"/>
  <c r="W672" i="7" s="1"/>
  <c r="J672" i="7"/>
  <c r="I672" i="7"/>
  <c r="H672" i="7"/>
  <c r="G672" i="7"/>
  <c r="F672" i="7"/>
  <c r="E672" i="7"/>
  <c r="D672" i="7"/>
  <c r="C672" i="7"/>
  <c r="B672" i="7"/>
  <c r="A672" i="7"/>
  <c r="CH672" i="17" s="1"/>
  <c r="AB671" i="7"/>
  <c r="J671" i="7"/>
  <c r="S671" i="7" s="1"/>
  <c r="I671" i="7"/>
  <c r="H671" i="7"/>
  <c r="G671" i="7"/>
  <c r="F671" i="7"/>
  <c r="E671" i="7"/>
  <c r="D671" i="7"/>
  <c r="C671" i="7"/>
  <c r="B671" i="7"/>
  <c r="A671" i="7"/>
  <c r="CH671" i="17" s="1"/>
  <c r="AB670" i="7"/>
  <c r="J670" i="7"/>
  <c r="I670" i="7"/>
  <c r="H670" i="7"/>
  <c r="G670" i="7"/>
  <c r="F670" i="7"/>
  <c r="E670" i="7"/>
  <c r="D670" i="7"/>
  <c r="C670" i="7"/>
  <c r="B670" i="7"/>
  <c r="A670" i="7"/>
  <c r="CH670" i="17" s="1"/>
  <c r="AB669" i="7"/>
  <c r="J669" i="7"/>
  <c r="S670" i="7" s="1"/>
  <c r="I669" i="7"/>
  <c r="H669" i="7"/>
  <c r="G669" i="7"/>
  <c r="F669" i="7"/>
  <c r="E669" i="7"/>
  <c r="D669" i="7"/>
  <c r="C669" i="7"/>
  <c r="B669" i="7"/>
  <c r="A669" i="7"/>
  <c r="CH669" i="17" s="1"/>
  <c r="AB668" i="7"/>
  <c r="O668" i="7"/>
  <c r="Z668" i="7" s="1"/>
  <c r="J668" i="7"/>
  <c r="I668" i="7"/>
  <c r="R668" i="7" s="1"/>
  <c r="H668" i="7"/>
  <c r="G668" i="7"/>
  <c r="F668" i="7"/>
  <c r="E668" i="7"/>
  <c r="D668" i="7"/>
  <c r="C668" i="7"/>
  <c r="B668" i="7"/>
  <c r="A668" i="7"/>
  <c r="CH668" i="17" s="1"/>
  <c r="AB667" i="7"/>
  <c r="O667" i="7"/>
  <c r="Z667" i="7" s="1"/>
  <c r="J667" i="7"/>
  <c r="I667" i="7"/>
  <c r="H667" i="7"/>
  <c r="G667" i="7"/>
  <c r="F667" i="7"/>
  <c r="E667" i="7"/>
  <c r="D667" i="7"/>
  <c r="C667" i="7"/>
  <c r="B667" i="7"/>
  <c r="A667" i="7"/>
  <c r="CH667" i="17" s="1"/>
  <c r="AB666" i="7"/>
  <c r="J666" i="7"/>
  <c r="I666" i="7"/>
  <c r="H666" i="7"/>
  <c r="G666" i="7"/>
  <c r="F666" i="7"/>
  <c r="E666" i="7"/>
  <c r="D666" i="7"/>
  <c r="C666" i="7"/>
  <c r="B666" i="7"/>
  <c r="A666" i="7"/>
  <c r="CH666" i="17" s="1"/>
  <c r="AB665" i="7"/>
  <c r="J665" i="7"/>
  <c r="I665" i="7"/>
  <c r="H665" i="7"/>
  <c r="G665" i="7"/>
  <c r="F665" i="7"/>
  <c r="E665" i="7"/>
  <c r="D665" i="7"/>
  <c r="C665" i="7"/>
  <c r="B665" i="7"/>
  <c r="A665" i="7"/>
  <c r="CH665" i="17" s="1"/>
  <c r="AB664" i="7"/>
  <c r="N664" i="7"/>
  <c r="W664" i="7" s="1"/>
  <c r="J664" i="7"/>
  <c r="I664" i="7"/>
  <c r="H664" i="7"/>
  <c r="G664" i="7"/>
  <c r="F664" i="7"/>
  <c r="E664" i="7"/>
  <c r="D664" i="7"/>
  <c r="C664" i="7"/>
  <c r="B664" i="7"/>
  <c r="A664" i="7"/>
  <c r="CH664" i="17" s="1"/>
  <c r="AB663" i="7"/>
  <c r="J663" i="7"/>
  <c r="I663" i="7"/>
  <c r="H663" i="7"/>
  <c r="G663" i="7"/>
  <c r="F663" i="7"/>
  <c r="E663" i="7"/>
  <c r="D663" i="7"/>
  <c r="C663" i="7"/>
  <c r="B663" i="7"/>
  <c r="A663" i="7"/>
  <c r="CH663" i="17" s="1"/>
  <c r="AB662" i="7"/>
  <c r="J662" i="7"/>
  <c r="I662" i="7"/>
  <c r="H662" i="7"/>
  <c r="G662" i="7"/>
  <c r="F662" i="7"/>
  <c r="E662" i="7"/>
  <c r="D662" i="7"/>
  <c r="C662" i="7"/>
  <c r="B662" i="7"/>
  <c r="A662" i="7"/>
  <c r="CH662" i="17" s="1"/>
  <c r="AB661" i="7"/>
  <c r="J661" i="7"/>
  <c r="I661" i="7"/>
  <c r="H661" i="7"/>
  <c r="G661" i="7"/>
  <c r="F661" i="7"/>
  <c r="E661" i="7"/>
  <c r="D661" i="7"/>
  <c r="C661" i="7"/>
  <c r="B661" i="7"/>
  <c r="A661" i="7"/>
  <c r="CH661" i="17" s="1"/>
  <c r="AB660" i="7"/>
  <c r="P660" i="7"/>
  <c r="AA660" i="7" s="1"/>
  <c r="J660" i="7"/>
  <c r="I660" i="7"/>
  <c r="H660" i="7"/>
  <c r="G660" i="7"/>
  <c r="F660" i="7"/>
  <c r="E660" i="7"/>
  <c r="D660" i="7"/>
  <c r="C660" i="7"/>
  <c r="B660" i="7"/>
  <c r="A660" i="7"/>
  <c r="CH660" i="17" s="1"/>
  <c r="AB659" i="7"/>
  <c r="O659" i="7"/>
  <c r="Z659" i="7" s="1"/>
  <c r="K659" i="7"/>
  <c r="T659" i="7" s="1"/>
  <c r="J659" i="7"/>
  <c r="I659" i="7"/>
  <c r="H659" i="7"/>
  <c r="G659" i="7"/>
  <c r="F659" i="7"/>
  <c r="E659" i="7"/>
  <c r="D659" i="7"/>
  <c r="C659" i="7"/>
  <c r="B659" i="7"/>
  <c r="A659" i="7"/>
  <c r="CH659" i="17" s="1"/>
  <c r="AB658" i="7"/>
  <c r="J658" i="7"/>
  <c r="I658" i="7"/>
  <c r="H658" i="7"/>
  <c r="Q658" i="7" s="1"/>
  <c r="X658" i="7" s="1"/>
  <c r="G658" i="7"/>
  <c r="F658" i="7"/>
  <c r="E658" i="7"/>
  <c r="D658" i="7"/>
  <c r="C658" i="7"/>
  <c r="B658" i="7"/>
  <c r="A658" i="7"/>
  <c r="CH658" i="17" s="1"/>
  <c r="AB657" i="7"/>
  <c r="J657" i="7"/>
  <c r="I657" i="7"/>
  <c r="R657" i="7" s="1"/>
  <c r="H657" i="7"/>
  <c r="G657" i="7"/>
  <c r="P658" i="7" s="1"/>
  <c r="AA658" i="7" s="1"/>
  <c r="F657" i="7"/>
  <c r="O657" i="7" s="1"/>
  <c r="Z657" i="7" s="1"/>
  <c r="E657" i="7"/>
  <c r="D657" i="7"/>
  <c r="C657" i="7"/>
  <c r="B657" i="7"/>
  <c r="A657" i="7"/>
  <c r="CH657" i="17" s="1"/>
  <c r="AB656" i="7"/>
  <c r="J656" i="7"/>
  <c r="I656" i="7"/>
  <c r="H656" i="7"/>
  <c r="Q656" i="7" s="1"/>
  <c r="X656" i="7" s="1"/>
  <c r="G656" i="7"/>
  <c r="F656" i="7"/>
  <c r="E656" i="7"/>
  <c r="D656" i="7"/>
  <c r="C656" i="7"/>
  <c r="B656" i="7"/>
  <c r="A656" i="7"/>
  <c r="CH656" i="17" s="1"/>
  <c r="AB655" i="7"/>
  <c r="O655" i="7"/>
  <c r="Z655" i="7" s="1"/>
  <c r="K655" i="7"/>
  <c r="T655" i="7" s="1"/>
  <c r="J655" i="7"/>
  <c r="I655" i="7"/>
  <c r="R655" i="7" s="1"/>
  <c r="H655" i="7"/>
  <c r="G655" i="7"/>
  <c r="F655" i="7"/>
  <c r="E655" i="7"/>
  <c r="D655" i="7"/>
  <c r="C655" i="7"/>
  <c r="B655" i="7"/>
  <c r="A655" i="7"/>
  <c r="CH655" i="17" s="1"/>
  <c r="AB654" i="7"/>
  <c r="J654" i="7"/>
  <c r="I654" i="7"/>
  <c r="H654" i="7"/>
  <c r="Q654" i="7" s="1"/>
  <c r="X654" i="7" s="1"/>
  <c r="G654" i="7"/>
  <c r="F654" i="7"/>
  <c r="E654" i="7"/>
  <c r="D654" i="7"/>
  <c r="C654" i="7"/>
  <c r="B654" i="7"/>
  <c r="A654" i="7"/>
  <c r="CH654" i="17" s="1"/>
  <c r="AB653" i="7"/>
  <c r="J653" i="7"/>
  <c r="I653" i="7"/>
  <c r="H653" i="7"/>
  <c r="G653" i="7"/>
  <c r="F653" i="7"/>
  <c r="E653" i="7"/>
  <c r="D653" i="7"/>
  <c r="C653" i="7"/>
  <c r="B653" i="7"/>
  <c r="K653" i="7" s="1"/>
  <c r="T653" i="7" s="1"/>
  <c r="A653" i="7"/>
  <c r="CH653" i="17" s="1"/>
  <c r="AB652" i="7"/>
  <c r="J652" i="7"/>
  <c r="I652" i="7"/>
  <c r="H652" i="7"/>
  <c r="G652" i="7"/>
  <c r="F652" i="7"/>
  <c r="E652" i="7"/>
  <c r="D652" i="7"/>
  <c r="C652" i="7"/>
  <c r="B652" i="7"/>
  <c r="A652" i="7"/>
  <c r="CH652" i="17" s="1"/>
  <c r="AB651" i="7"/>
  <c r="O651" i="7"/>
  <c r="Z651" i="7" s="1"/>
  <c r="J651" i="7"/>
  <c r="I651" i="7"/>
  <c r="H651" i="7"/>
  <c r="G651" i="7"/>
  <c r="F651" i="7"/>
  <c r="E651" i="7"/>
  <c r="D651" i="7"/>
  <c r="C651" i="7"/>
  <c r="B651" i="7"/>
  <c r="K651" i="7" s="1"/>
  <c r="T651" i="7" s="1"/>
  <c r="A651" i="7"/>
  <c r="CH651" i="17" s="1"/>
  <c r="AB650" i="7"/>
  <c r="J650" i="7"/>
  <c r="I650" i="7"/>
  <c r="H650" i="7"/>
  <c r="Q650" i="7" s="1"/>
  <c r="X650" i="7" s="1"/>
  <c r="G650" i="7"/>
  <c r="F650" i="7"/>
  <c r="E650" i="7"/>
  <c r="D650" i="7"/>
  <c r="C650" i="7"/>
  <c r="B650" i="7"/>
  <c r="A650" i="7"/>
  <c r="CH650" i="17" s="1"/>
  <c r="AB649" i="7"/>
  <c r="K649" i="7"/>
  <c r="T649" i="7" s="1"/>
  <c r="J649" i="7"/>
  <c r="S649" i="7" s="1"/>
  <c r="I649" i="7"/>
  <c r="R649" i="7" s="1"/>
  <c r="H649" i="7"/>
  <c r="G649" i="7"/>
  <c r="P649" i="7" s="1"/>
  <c r="AA649" i="7" s="1"/>
  <c r="F649" i="7"/>
  <c r="O649" i="7" s="1"/>
  <c r="Z649" i="7" s="1"/>
  <c r="E649" i="7"/>
  <c r="D649" i="7"/>
  <c r="C649" i="7"/>
  <c r="B649" i="7"/>
  <c r="A649" i="7"/>
  <c r="CH649" i="17" s="1"/>
  <c r="AB648" i="7"/>
  <c r="P648" i="7"/>
  <c r="AA648" i="7" s="1"/>
  <c r="J648" i="7"/>
  <c r="I648" i="7"/>
  <c r="H648" i="7"/>
  <c r="Q648" i="7" s="1"/>
  <c r="X648" i="7" s="1"/>
  <c r="G648" i="7"/>
  <c r="F648" i="7"/>
  <c r="E648" i="7"/>
  <c r="D648" i="7"/>
  <c r="C648" i="7"/>
  <c r="B648" i="7"/>
  <c r="A648" i="7"/>
  <c r="CH648" i="17" s="1"/>
  <c r="AB647" i="7"/>
  <c r="P647" i="7"/>
  <c r="AA647" i="7" s="1"/>
  <c r="O647" i="7"/>
  <c r="Z647" i="7" s="1"/>
  <c r="J647" i="7"/>
  <c r="I647" i="7"/>
  <c r="H647" i="7"/>
  <c r="G647" i="7"/>
  <c r="F647" i="7"/>
  <c r="E647" i="7"/>
  <c r="D647" i="7"/>
  <c r="C647" i="7"/>
  <c r="B647" i="7"/>
  <c r="A647" i="7"/>
  <c r="CH647" i="17" s="1"/>
  <c r="AB646" i="7"/>
  <c r="J646" i="7"/>
  <c r="I646" i="7"/>
  <c r="H646" i="7"/>
  <c r="G646" i="7"/>
  <c r="F646" i="7"/>
  <c r="E646" i="7"/>
  <c r="D646" i="7"/>
  <c r="C646" i="7"/>
  <c r="B646" i="7"/>
  <c r="A646" i="7"/>
  <c r="CH646" i="17" s="1"/>
  <c r="AB645" i="7"/>
  <c r="O645" i="7"/>
  <c r="Z645" i="7" s="1"/>
  <c r="J645" i="7"/>
  <c r="I645" i="7"/>
  <c r="H645" i="7"/>
  <c r="G645" i="7"/>
  <c r="F645" i="7"/>
  <c r="E645" i="7"/>
  <c r="D645" i="7"/>
  <c r="C645" i="7"/>
  <c r="B645" i="7"/>
  <c r="A645" i="7"/>
  <c r="CH645" i="17" s="1"/>
  <c r="AB644" i="7"/>
  <c r="P644" i="7"/>
  <c r="AA644" i="7" s="1"/>
  <c r="J644" i="7"/>
  <c r="I644" i="7"/>
  <c r="H644" i="7"/>
  <c r="Q644" i="7" s="1"/>
  <c r="X644" i="7" s="1"/>
  <c r="G644" i="7"/>
  <c r="F644" i="7"/>
  <c r="E644" i="7"/>
  <c r="D644" i="7"/>
  <c r="C644" i="7"/>
  <c r="B644" i="7"/>
  <c r="A644" i="7"/>
  <c r="CH644" i="17" s="1"/>
  <c r="AB643" i="7"/>
  <c r="K643" i="7"/>
  <c r="T643" i="7" s="1"/>
  <c r="J643" i="7"/>
  <c r="S643" i="7" s="1"/>
  <c r="I643" i="7"/>
  <c r="R643" i="7" s="1"/>
  <c r="H643" i="7"/>
  <c r="G643" i="7"/>
  <c r="F643" i="7"/>
  <c r="E643" i="7"/>
  <c r="D643" i="7"/>
  <c r="C643" i="7"/>
  <c r="B643" i="7"/>
  <c r="A643" i="7"/>
  <c r="CH643" i="17" s="1"/>
  <c r="AB642" i="7"/>
  <c r="J642" i="7"/>
  <c r="I642" i="7"/>
  <c r="H642" i="7"/>
  <c r="G642" i="7"/>
  <c r="F642" i="7"/>
  <c r="E642" i="7"/>
  <c r="D642" i="7"/>
  <c r="C642" i="7"/>
  <c r="B642" i="7"/>
  <c r="A642" i="7"/>
  <c r="CH642" i="17" s="1"/>
  <c r="AB641" i="7"/>
  <c r="O641" i="7"/>
  <c r="Z641" i="7" s="1"/>
  <c r="J641" i="7"/>
  <c r="I641" i="7"/>
  <c r="H641" i="7"/>
  <c r="G641" i="7"/>
  <c r="F641" i="7"/>
  <c r="E641" i="7"/>
  <c r="D641" i="7"/>
  <c r="C641" i="7"/>
  <c r="B641" i="7"/>
  <c r="K641" i="7" s="1"/>
  <c r="T641" i="7" s="1"/>
  <c r="A641" i="7"/>
  <c r="CH641" i="17" s="1"/>
  <c r="AB640" i="7"/>
  <c r="J640" i="7"/>
  <c r="I640" i="7"/>
  <c r="H640" i="7"/>
  <c r="Q640" i="7" s="1"/>
  <c r="X640" i="7" s="1"/>
  <c r="G640" i="7"/>
  <c r="F640" i="7"/>
  <c r="E640" i="7"/>
  <c r="D640" i="7"/>
  <c r="C640" i="7"/>
  <c r="B640" i="7"/>
  <c r="A640" i="7"/>
  <c r="CH640" i="17" s="1"/>
  <c r="AB639" i="7"/>
  <c r="K639" i="7"/>
  <c r="T639" i="7" s="1"/>
  <c r="J639" i="7"/>
  <c r="I639" i="7"/>
  <c r="H639" i="7"/>
  <c r="G639" i="7"/>
  <c r="P639" i="7" s="1"/>
  <c r="AA639" i="7" s="1"/>
  <c r="F639" i="7"/>
  <c r="O639" i="7" s="1"/>
  <c r="Z639" i="7" s="1"/>
  <c r="E639" i="7"/>
  <c r="D639" i="7"/>
  <c r="C639" i="7"/>
  <c r="B639" i="7"/>
  <c r="A639" i="7"/>
  <c r="CH639" i="17" s="1"/>
  <c r="AB638" i="7"/>
  <c r="P638" i="7"/>
  <c r="AA638" i="7" s="1"/>
  <c r="J638" i="7"/>
  <c r="I638" i="7"/>
  <c r="H638" i="7"/>
  <c r="G638" i="7"/>
  <c r="F638" i="7"/>
  <c r="E638" i="7"/>
  <c r="D638" i="7"/>
  <c r="C638" i="7"/>
  <c r="B638" i="7"/>
  <c r="A638" i="7"/>
  <c r="CH638" i="17" s="1"/>
  <c r="AB637" i="7"/>
  <c r="P637" i="7"/>
  <c r="AA637" i="7" s="1"/>
  <c r="K637" i="7"/>
  <c r="T637" i="7" s="1"/>
  <c r="J637" i="7"/>
  <c r="S637" i="7" s="1"/>
  <c r="I637" i="7"/>
  <c r="H637" i="7"/>
  <c r="G637" i="7"/>
  <c r="F637" i="7"/>
  <c r="E637" i="7"/>
  <c r="D637" i="7"/>
  <c r="C637" i="7"/>
  <c r="B637" i="7"/>
  <c r="A637" i="7"/>
  <c r="CH637" i="17" s="1"/>
  <c r="AB636" i="7"/>
  <c r="P636" i="7"/>
  <c r="AA636" i="7" s="1"/>
  <c r="J636" i="7"/>
  <c r="I636" i="7"/>
  <c r="R636" i="7" s="1"/>
  <c r="H636" i="7"/>
  <c r="G636" i="7"/>
  <c r="F636" i="7"/>
  <c r="E636" i="7"/>
  <c r="D636" i="7"/>
  <c r="C636" i="7"/>
  <c r="B636" i="7"/>
  <c r="A636" i="7"/>
  <c r="CH636" i="17" s="1"/>
  <c r="AB635" i="7"/>
  <c r="N635" i="7"/>
  <c r="W635" i="7" s="1"/>
  <c r="J635" i="7"/>
  <c r="I635" i="7"/>
  <c r="H635" i="7"/>
  <c r="G635" i="7"/>
  <c r="F635" i="7"/>
  <c r="E635" i="7"/>
  <c r="D635" i="7"/>
  <c r="C635" i="7"/>
  <c r="B635" i="7"/>
  <c r="A635" i="7"/>
  <c r="CH635" i="17" s="1"/>
  <c r="AB634" i="7"/>
  <c r="J634" i="7"/>
  <c r="I634" i="7"/>
  <c r="H634" i="7"/>
  <c r="Q634" i="7" s="1"/>
  <c r="X634" i="7" s="1"/>
  <c r="G634" i="7"/>
  <c r="F634" i="7"/>
  <c r="E634" i="7"/>
  <c r="D634" i="7"/>
  <c r="C634" i="7"/>
  <c r="B634" i="7"/>
  <c r="A634" i="7"/>
  <c r="CH634" i="17" s="1"/>
  <c r="AB633" i="7"/>
  <c r="O633" i="7"/>
  <c r="Z633" i="7" s="1"/>
  <c r="J633" i="7"/>
  <c r="I633" i="7"/>
  <c r="H633" i="7"/>
  <c r="G633" i="7"/>
  <c r="F633" i="7"/>
  <c r="E633" i="7"/>
  <c r="D633" i="7"/>
  <c r="C633" i="7"/>
  <c r="B633" i="7"/>
  <c r="A633" i="7"/>
  <c r="CH633" i="17" s="1"/>
  <c r="AB632" i="7"/>
  <c r="J632" i="7"/>
  <c r="I632" i="7"/>
  <c r="R632" i="7" s="1"/>
  <c r="H632" i="7"/>
  <c r="Q632" i="7" s="1"/>
  <c r="X632" i="7" s="1"/>
  <c r="G632" i="7"/>
  <c r="F632" i="7"/>
  <c r="E632" i="7"/>
  <c r="D632" i="7"/>
  <c r="C632" i="7"/>
  <c r="B632" i="7"/>
  <c r="A632" i="7"/>
  <c r="CH632" i="17" s="1"/>
  <c r="AB631" i="7"/>
  <c r="J631" i="7"/>
  <c r="I631" i="7"/>
  <c r="H631" i="7"/>
  <c r="G631" i="7"/>
  <c r="F631" i="7"/>
  <c r="E631" i="7"/>
  <c r="D631" i="7"/>
  <c r="C631" i="7"/>
  <c r="B631" i="7"/>
  <c r="A631" i="7"/>
  <c r="CH631" i="17" s="1"/>
  <c r="AB630" i="7"/>
  <c r="J630" i="7"/>
  <c r="I630" i="7"/>
  <c r="H630" i="7"/>
  <c r="G630" i="7"/>
  <c r="F630" i="7"/>
  <c r="E630" i="7"/>
  <c r="D630" i="7"/>
  <c r="C630" i="7"/>
  <c r="B630" i="7"/>
  <c r="A630" i="7"/>
  <c r="CH630" i="17" s="1"/>
  <c r="AB629" i="7"/>
  <c r="J629" i="7"/>
  <c r="I629" i="7"/>
  <c r="H629" i="7"/>
  <c r="Q629" i="7" s="1"/>
  <c r="X629" i="7" s="1"/>
  <c r="G629" i="7"/>
  <c r="F629" i="7"/>
  <c r="O629" i="7" s="1"/>
  <c r="Z629" i="7" s="1"/>
  <c r="E629" i="7"/>
  <c r="N629" i="7" s="1"/>
  <c r="W629" i="7" s="1"/>
  <c r="D629" i="7"/>
  <c r="C629" i="7"/>
  <c r="B629" i="7"/>
  <c r="A629" i="7"/>
  <c r="CH629" i="17" s="1"/>
  <c r="AB628" i="7"/>
  <c r="K628" i="7"/>
  <c r="T628" i="7" s="1"/>
  <c r="J628" i="7"/>
  <c r="I628" i="7"/>
  <c r="R628" i="7" s="1"/>
  <c r="H628" i="7"/>
  <c r="G628" i="7"/>
  <c r="P629" i="7" s="1"/>
  <c r="AA629" i="7" s="1"/>
  <c r="F628" i="7"/>
  <c r="E628" i="7"/>
  <c r="D628" i="7"/>
  <c r="C628" i="7"/>
  <c r="B628" i="7"/>
  <c r="A628" i="7"/>
  <c r="CH628" i="17" s="1"/>
  <c r="AB627" i="7"/>
  <c r="X627" i="7"/>
  <c r="P627" i="7"/>
  <c r="AA627" i="7" s="1"/>
  <c r="K627" i="7"/>
  <c r="T627" i="7" s="1"/>
  <c r="J627" i="7"/>
  <c r="I627" i="7"/>
  <c r="R627" i="7" s="1"/>
  <c r="H627" i="7"/>
  <c r="Q627" i="7" s="1"/>
  <c r="G627" i="7"/>
  <c r="F627" i="7"/>
  <c r="E627" i="7"/>
  <c r="D627" i="7"/>
  <c r="C627" i="7"/>
  <c r="B627" i="7"/>
  <c r="A627" i="7"/>
  <c r="CH627" i="17" s="1"/>
  <c r="AB626" i="7"/>
  <c r="Z626" i="7"/>
  <c r="O626" i="7"/>
  <c r="J626" i="7"/>
  <c r="I626" i="7"/>
  <c r="H626" i="7"/>
  <c r="G626" i="7"/>
  <c r="F626" i="7"/>
  <c r="E626" i="7"/>
  <c r="D626" i="7"/>
  <c r="C626" i="7"/>
  <c r="B626" i="7"/>
  <c r="K626" i="7" s="1"/>
  <c r="T626" i="7" s="1"/>
  <c r="A626" i="7"/>
  <c r="CH626" i="17" s="1"/>
  <c r="AB625" i="7"/>
  <c r="J625" i="7"/>
  <c r="I625" i="7"/>
  <c r="H625" i="7"/>
  <c r="Q626" i="7" s="1"/>
  <c r="X626" i="7" s="1"/>
  <c r="G625" i="7"/>
  <c r="F625" i="7"/>
  <c r="E625" i="7"/>
  <c r="D625" i="7"/>
  <c r="C625" i="7"/>
  <c r="B625" i="7"/>
  <c r="A625" i="7"/>
  <c r="CH625" i="17" s="1"/>
  <c r="AB624" i="7"/>
  <c r="J624" i="7"/>
  <c r="I624" i="7"/>
  <c r="R624" i="7" s="1"/>
  <c r="H624" i="7"/>
  <c r="Q625" i="7" s="1"/>
  <c r="X625" i="7" s="1"/>
  <c r="G624" i="7"/>
  <c r="F624" i="7"/>
  <c r="E624" i="7"/>
  <c r="D624" i="7"/>
  <c r="C624" i="7"/>
  <c r="B624" i="7"/>
  <c r="A624" i="7"/>
  <c r="CH624" i="17" s="1"/>
  <c r="AB623" i="7"/>
  <c r="J623" i="7"/>
  <c r="I623" i="7"/>
  <c r="H623" i="7"/>
  <c r="G623" i="7"/>
  <c r="F623" i="7"/>
  <c r="E623" i="7"/>
  <c r="D623" i="7"/>
  <c r="C623" i="7"/>
  <c r="B623" i="7"/>
  <c r="A623" i="7"/>
  <c r="CH623" i="17" s="1"/>
  <c r="AB622" i="7"/>
  <c r="K622" i="7"/>
  <c r="T622" i="7" s="1"/>
  <c r="J622" i="7"/>
  <c r="I622" i="7"/>
  <c r="R622" i="7" s="1"/>
  <c r="H622" i="7"/>
  <c r="G622" i="7"/>
  <c r="F622" i="7"/>
  <c r="E622" i="7"/>
  <c r="D622" i="7"/>
  <c r="C622" i="7"/>
  <c r="L622" i="7" s="1"/>
  <c r="U622" i="7" s="1"/>
  <c r="B622" i="7"/>
  <c r="A622" i="7"/>
  <c r="CH622" i="17" s="1"/>
  <c r="AB621" i="7"/>
  <c r="N621" i="7"/>
  <c r="W621" i="7" s="1"/>
  <c r="K621" i="7"/>
  <c r="T621" i="7" s="1"/>
  <c r="J621" i="7"/>
  <c r="I621" i="7"/>
  <c r="H621" i="7"/>
  <c r="Q622" i="7" s="1"/>
  <c r="X622" i="7" s="1"/>
  <c r="G621" i="7"/>
  <c r="F621" i="7"/>
  <c r="E621" i="7"/>
  <c r="D621" i="7"/>
  <c r="C621" i="7"/>
  <c r="L621" i="7" s="1"/>
  <c r="U621" i="7" s="1"/>
  <c r="B621" i="7"/>
  <c r="A621" i="7"/>
  <c r="CH621" i="17" s="1"/>
  <c r="AB620" i="7"/>
  <c r="J620" i="7"/>
  <c r="I620" i="7"/>
  <c r="H620" i="7"/>
  <c r="G620" i="7"/>
  <c r="F620" i="7"/>
  <c r="E620" i="7"/>
  <c r="D620" i="7"/>
  <c r="C620" i="7"/>
  <c r="B620" i="7"/>
  <c r="A620" i="7"/>
  <c r="CH620" i="17" s="1"/>
  <c r="AB619" i="7"/>
  <c r="J619" i="7"/>
  <c r="I619" i="7"/>
  <c r="H619" i="7"/>
  <c r="G619" i="7"/>
  <c r="F619" i="7"/>
  <c r="E619" i="7"/>
  <c r="D619" i="7"/>
  <c r="C619" i="7"/>
  <c r="L619" i="7" s="1"/>
  <c r="U619" i="7" s="1"/>
  <c r="B619" i="7"/>
  <c r="K620" i="7" s="1"/>
  <c r="T620" i="7" s="1"/>
  <c r="A619" i="7"/>
  <c r="CH619" i="17" s="1"/>
  <c r="AB618" i="7"/>
  <c r="K618" i="7"/>
  <c r="T618" i="7" s="1"/>
  <c r="J618" i="7"/>
  <c r="I618" i="7"/>
  <c r="R618" i="7" s="1"/>
  <c r="H618" i="7"/>
  <c r="G618" i="7"/>
  <c r="P619" i="7" s="1"/>
  <c r="AA619" i="7" s="1"/>
  <c r="F618" i="7"/>
  <c r="E618" i="7"/>
  <c r="D618" i="7"/>
  <c r="C618" i="7"/>
  <c r="B618" i="7"/>
  <c r="A618" i="7"/>
  <c r="CH618" i="17" s="1"/>
  <c r="AB617" i="7"/>
  <c r="N617" i="7"/>
  <c r="W617" i="7" s="1"/>
  <c r="L617" i="7"/>
  <c r="U617" i="7" s="1"/>
  <c r="K617" i="7"/>
  <c r="T617" i="7" s="1"/>
  <c r="J617" i="7"/>
  <c r="I617" i="7"/>
  <c r="H617" i="7"/>
  <c r="Q618" i="7" s="1"/>
  <c r="X618" i="7" s="1"/>
  <c r="G617" i="7"/>
  <c r="F617" i="7"/>
  <c r="E617" i="7"/>
  <c r="D617" i="7"/>
  <c r="C617" i="7"/>
  <c r="B617" i="7"/>
  <c r="A617" i="7"/>
  <c r="CH617" i="17" s="1"/>
  <c r="AB616" i="7"/>
  <c r="L616" i="7"/>
  <c r="U616" i="7" s="1"/>
  <c r="J616" i="7"/>
  <c r="I616" i="7"/>
  <c r="H616" i="7"/>
  <c r="G616" i="7"/>
  <c r="F616" i="7"/>
  <c r="E616" i="7"/>
  <c r="D616" i="7"/>
  <c r="C616" i="7"/>
  <c r="B616" i="7"/>
  <c r="A616" i="7"/>
  <c r="CH616" i="17" s="1"/>
  <c r="AB615" i="7"/>
  <c r="J615" i="7"/>
  <c r="I615" i="7"/>
  <c r="H615" i="7"/>
  <c r="G615" i="7"/>
  <c r="P615" i="7" s="1"/>
  <c r="AA615" i="7" s="1"/>
  <c r="F615" i="7"/>
  <c r="E615" i="7"/>
  <c r="D615" i="7"/>
  <c r="C615" i="7"/>
  <c r="B615" i="7"/>
  <c r="A615" i="7"/>
  <c r="CH615" i="17" s="1"/>
  <c r="AB614" i="7"/>
  <c r="O614" i="7"/>
  <c r="Z614" i="7" s="1"/>
  <c r="J614" i="7"/>
  <c r="I614" i="7"/>
  <c r="H614" i="7"/>
  <c r="Q614" i="7" s="1"/>
  <c r="X614" i="7" s="1"/>
  <c r="G614" i="7"/>
  <c r="F614" i="7"/>
  <c r="E614" i="7"/>
  <c r="D614" i="7"/>
  <c r="C614" i="7"/>
  <c r="B614" i="7"/>
  <c r="A614" i="7"/>
  <c r="CH614" i="17" s="1"/>
  <c r="AB613" i="7"/>
  <c r="Q613" i="7"/>
  <c r="X613" i="7" s="1"/>
  <c r="J613" i="7"/>
  <c r="I613" i="7"/>
  <c r="R613" i="7" s="1"/>
  <c r="H613" i="7"/>
  <c r="G613" i="7"/>
  <c r="F613" i="7"/>
  <c r="E613" i="7"/>
  <c r="D613" i="7"/>
  <c r="C613" i="7"/>
  <c r="B613" i="7"/>
  <c r="A613" i="7"/>
  <c r="CH613" i="17" s="1"/>
  <c r="AB612" i="7"/>
  <c r="L612" i="7"/>
  <c r="U612" i="7" s="1"/>
  <c r="J612" i="7"/>
  <c r="S612" i="7" s="1"/>
  <c r="I612" i="7"/>
  <c r="H612" i="7"/>
  <c r="G612" i="7"/>
  <c r="F612" i="7"/>
  <c r="E612" i="7"/>
  <c r="D612" i="7"/>
  <c r="C612" i="7"/>
  <c r="B612" i="7"/>
  <c r="K612" i="7" s="1"/>
  <c r="T612" i="7" s="1"/>
  <c r="A612" i="7"/>
  <c r="CH612" i="17" s="1"/>
  <c r="AB611" i="7"/>
  <c r="J611" i="7"/>
  <c r="I611" i="7"/>
  <c r="H611" i="7"/>
  <c r="Q611" i="7" s="1"/>
  <c r="X611" i="7" s="1"/>
  <c r="G611" i="7"/>
  <c r="F611" i="7"/>
  <c r="E611" i="7"/>
  <c r="D611" i="7"/>
  <c r="C611" i="7"/>
  <c r="B611" i="7"/>
  <c r="K611" i="7" s="1"/>
  <c r="T611" i="7" s="1"/>
  <c r="A611" i="7"/>
  <c r="CH611" i="17" s="1"/>
  <c r="AB610" i="7"/>
  <c r="Q610" i="7"/>
  <c r="X610" i="7" s="1"/>
  <c r="L610" i="7"/>
  <c r="U610" i="7" s="1"/>
  <c r="J610" i="7"/>
  <c r="I610" i="7"/>
  <c r="H610" i="7"/>
  <c r="G610" i="7"/>
  <c r="F610" i="7"/>
  <c r="E610" i="7"/>
  <c r="D610" i="7"/>
  <c r="C610" i="7"/>
  <c r="B610" i="7"/>
  <c r="A610" i="7"/>
  <c r="CH610" i="17" s="1"/>
  <c r="AB609" i="7"/>
  <c r="N609" i="7"/>
  <c r="W609" i="7" s="1"/>
  <c r="J609" i="7"/>
  <c r="I609" i="7"/>
  <c r="H609" i="7"/>
  <c r="G609" i="7"/>
  <c r="F609" i="7"/>
  <c r="E609" i="7"/>
  <c r="N610" i="7" s="1"/>
  <c r="W610" i="7" s="1"/>
  <c r="D609" i="7"/>
  <c r="C609" i="7"/>
  <c r="B609" i="7"/>
  <c r="A609" i="7"/>
  <c r="CH609" i="17" s="1"/>
  <c r="AB608" i="7"/>
  <c r="O608" i="7"/>
  <c r="Z608" i="7" s="1"/>
  <c r="J608" i="7"/>
  <c r="S608" i="7" s="1"/>
  <c r="I608" i="7"/>
  <c r="R608" i="7" s="1"/>
  <c r="H608" i="7"/>
  <c r="G608" i="7"/>
  <c r="F608" i="7"/>
  <c r="E608" i="7"/>
  <c r="D608" i="7"/>
  <c r="C608" i="7"/>
  <c r="B608" i="7"/>
  <c r="A608" i="7"/>
  <c r="CH608" i="17" s="1"/>
  <c r="AB607" i="7"/>
  <c r="P607" i="7"/>
  <c r="AA607" i="7" s="1"/>
  <c r="O607" i="7"/>
  <c r="Z607" i="7" s="1"/>
  <c r="J607" i="7"/>
  <c r="I607" i="7"/>
  <c r="H607" i="7"/>
  <c r="G607" i="7"/>
  <c r="F607" i="7"/>
  <c r="E607" i="7"/>
  <c r="D607" i="7"/>
  <c r="C607" i="7"/>
  <c r="B607" i="7"/>
  <c r="A607" i="7"/>
  <c r="CH607" i="17" s="1"/>
  <c r="AB606" i="7"/>
  <c r="N606" i="7"/>
  <c r="W606" i="7" s="1"/>
  <c r="J606" i="7"/>
  <c r="I606" i="7"/>
  <c r="H606" i="7"/>
  <c r="G606" i="7"/>
  <c r="F606" i="7"/>
  <c r="E606" i="7"/>
  <c r="D606" i="7"/>
  <c r="C606" i="7"/>
  <c r="B606" i="7"/>
  <c r="A606" i="7"/>
  <c r="CH606" i="17" s="1"/>
  <c r="AB605" i="7"/>
  <c r="Q605" i="7"/>
  <c r="X605" i="7" s="1"/>
  <c r="J605" i="7"/>
  <c r="I605" i="7"/>
  <c r="H605" i="7"/>
  <c r="G605" i="7"/>
  <c r="P605" i="7" s="1"/>
  <c r="AA605" i="7" s="1"/>
  <c r="F605" i="7"/>
  <c r="E605" i="7"/>
  <c r="D605" i="7"/>
  <c r="C605" i="7"/>
  <c r="B605" i="7"/>
  <c r="A605" i="7"/>
  <c r="CH605" i="17" s="1"/>
  <c r="AB604" i="7"/>
  <c r="J604" i="7"/>
  <c r="I604" i="7"/>
  <c r="R604" i="7" s="1"/>
  <c r="H604" i="7"/>
  <c r="G604" i="7"/>
  <c r="F604" i="7"/>
  <c r="E604" i="7"/>
  <c r="D604" i="7"/>
  <c r="C604" i="7"/>
  <c r="B604" i="7"/>
  <c r="A604" i="7"/>
  <c r="CH604" i="17" s="1"/>
  <c r="AB603" i="7"/>
  <c r="J603" i="7"/>
  <c r="I603" i="7"/>
  <c r="H603" i="7"/>
  <c r="Q603" i="7" s="1"/>
  <c r="X603" i="7" s="1"/>
  <c r="G603" i="7"/>
  <c r="F603" i="7"/>
  <c r="E603" i="7"/>
  <c r="D603" i="7"/>
  <c r="C603" i="7"/>
  <c r="B603" i="7"/>
  <c r="A603" i="7"/>
  <c r="CH603" i="17" s="1"/>
  <c r="AB602" i="7"/>
  <c r="J602" i="7"/>
  <c r="S602" i="7" s="1"/>
  <c r="I602" i="7"/>
  <c r="H602" i="7"/>
  <c r="G602" i="7"/>
  <c r="F602" i="7"/>
  <c r="E602" i="7"/>
  <c r="D602" i="7"/>
  <c r="C602" i="7"/>
  <c r="B602" i="7"/>
  <c r="A602" i="7"/>
  <c r="CH602" i="17" s="1"/>
  <c r="AB601" i="7"/>
  <c r="J601" i="7"/>
  <c r="I601" i="7"/>
  <c r="H601" i="7"/>
  <c r="G601" i="7"/>
  <c r="F601" i="7"/>
  <c r="E601" i="7"/>
  <c r="D601" i="7"/>
  <c r="C601" i="7"/>
  <c r="B601" i="7"/>
  <c r="A601" i="7"/>
  <c r="CH601" i="17" s="1"/>
  <c r="AB600" i="7"/>
  <c r="N600" i="7"/>
  <c r="W600" i="7" s="1"/>
  <c r="J600" i="7"/>
  <c r="I600" i="7"/>
  <c r="H600" i="7"/>
  <c r="G600" i="7"/>
  <c r="F600" i="7"/>
  <c r="E600" i="7"/>
  <c r="D600" i="7"/>
  <c r="C600" i="7"/>
  <c r="B600" i="7"/>
  <c r="A600" i="7"/>
  <c r="CH600" i="17" s="1"/>
  <c r="AB599" i="7"/>
  <c r="J599" i="7"/>
  <c r="I599" i="7"/>
  <c r="H599" i="7"/>
  <c r="Q600" i="7" s="1"/>
  <c r="X600" i="7" s="1"/>
  <c r="G599" i="7"/>
  <c r="F599" i="7"/>
  <c r="E599" i="7"/>
  <c r="D599" i="7"/>
  <c r="C599" i="7"/>
  <c r="B599" i="7"/>
  <c r="A599" i="7"/>
  <c r="CH599" i="17" s="1"/>
  <c r="AB598" i="7"/>
  <c r="J598" i="7"/>
  <c r="S598" i="7" s="1"/>
  <c r="I598" i="7"/>
  <c r="H598" i="7"/>
  <c r="G598" i="7"/>
  <c r="F598" i="7"/>
  <c r="E598" i="7"/>
  <c r="D598" i="7"/>
  <c r="C598" i="7"/>
  <c r="B598" i="7"/>
  <c r="A598" i="7"/>
  <c r="CH598" i="17" s="1"/>
  <c r="AB597" i="7"/>
  <c r="M597" i="7"/>
  <c r="V597" i="7" s="1"/>
  <c r="L597" i="7"/>
  <c r="U597" i="7" s="1"/>
  <c r="J597" i="7"/>
  <c r="I597" i="7"/>
  <c r="H597" i="7"/>
  <c r="G597" i="7"/>
  <c r="F597" i="7"/>
  <c r="E597" i="7"/>
  <c r="D597" i="7"/>
  <c r="C597" i="7"/>
  <c r="B597" i="7"/>
  <c r="A597" i="7"/>
  <c r="CH597" i="17" s="1"/>
  <c r="AB596" i="7"/>
  <c r="L596" i="7"/>
  <c r="U596" i="7" s="1"/>
  <c r="J596" i="7"/>
  <c r="I596" i="7"/>
  <c r="H596" i="7"/>
  <c r="G596" i="7"/>
  <c r="F596" i="7"/>
  <c r="E596" i="7"/>
  <c r="D596" i="7"/>
  <c r="C596" i="7"/>
  <c r="B596" i="7"/>
  <c r="A596" i="7"/>
  <c r="CH596" i="17" s="1"/>
  <c r="AB595" i="7"/>
  <c r="L595" i="7"/>
  <c r="U595" i="7" s="1"/>
  <c r="J595" i="7"/>
  <c r="I595" i="7"/>
  <c r="H595" i="7"/>
  <c r="G595" i="7"/>
  <c r="F595" i="7"/>
  <c r="E595" i="7"/>
  <c r="D595" i="7"/>
  <c r="C595" i="7"/>
  <c r="B595" i="7"/>
  <c r="A595" i="7"/>
  <c r="CH595" i="17" s="1"/>
  <c r="AB594" i="7"/>
  <c r="L594" i="7"/>
  <c r="U594" i="7" s="1"/>
  <c r="J594" i="7"/>
  <c r="S594" i="7" s="1"/>
  <c r="I594" i="7"/>
  <c r="H594" i="7"/>
  <c r="G594" i="7"/>
  <c r="F594" i="7"/>
  <c r="E594" i="7"/>
  <c r="D594" i="7"/>
  <c r="C594" i="7"/>
  <c r="B594" i="7"/>
  <c r="A594" i="7"/>
  <c r="CH594" i="17" s="1"/>
  <c r="AB593" i="7"/>
  <c r="L593" i="7"/>
  <c r="U593" i="7" s="1"/>
  <c r="J593" i="7"/>
  <c r="I593" i="7"/>
  <c r="H593" i="7"/>
  <c r="G593" i="7"/>
  <c r="F593" i="7"/>
  <c r="E593" i="7"/>
  <c r="N593" i="7" s="1"/>
  <c r="W593" i="7" s="1"/>
  <c r="D593" i="7"/>
  <c r="C593" i="7"/>
  <c r="B593" i="7"/>
  <c r="A593" i="7"/>
  <c r="CH593" i="17" s="1"/>
  <c r="AB592" i="7"/>
  <c r="J592" i="7"/>
  <c r="I592" i="7"/>
  <c r="H592" i="7"/>
  <c r="G592" i="7"/>
  <c r="F592" i="7"/>
  <c r="E592" i="7"/>
  <c r="D592" i="7"/>
  <c r="C592" i="7"/>
  <c r="B592" i="7"/>
  <c r="A592" i="7"/>
  <c r="CH592" i="17" s="1"/>
  <c r="AB591" i="7"/>
  <c r="J591" i="7"/>
  <c r="I591" i="7"/>
  <c r="R591" i="7" s="1"/>
  <c r="H591" i="7"/>
  <c r="G591" i="7"/>
  <c r="F591" i="7"/>
  <c r="E591" i="7"/>
  <c r="N591" i="7" s="1"/>
  <c r="W591" i="7" s="1"/>
  <c r="D591" i="7"/>
  <c r="C591" i="7"/>
  <c r="L592" i="7" s="1"/>
  <c r="U592" i="7" s="1"/>
  <c r="B591" i="7"/>
  <c r="A591" i="7"/>
  <c r="CH591" i="17" s="1"/>
  <c r="AB590" i="7"/>
  <c r="J590" i="7"/>
  <c r="I590" i="7"/>
  <c r="H590" i="7"/>
  <c r="G590" i="7"/>
  <c r="F590" i="7"/>
  <c r="E590" i="7"/>
  <c r="D590" i="7"/>
  <c r="C590" i="7"/>
  <c r="L590" i="7" s="1"/>
  <c r="U590" i="7" s="1"/>
  <c r="B590" i="7"/>
  <c r="A590" i="7"/>
  <c r="CH590" i="17" s="1"/>
  <c r="AB589" i="7"/>
  <c r="J589" i="7"/>
  <c r="I589" i="7"/>
  <c r="R589" i="7" s="1"/>
  <c r="H589" i="7"/>
  <c r="G589" i="7"/>
  <c r="F589" i="7"/>
  <c r="E589" i="7"/>
  <c r="D589" i="7"/>
  <c r="C589" i="7"/>
  <c r="L589" i="7" s="1"/>
  <c r="U589" i="7" s="1"/>
  <c r="B589" i="7"/>
  <c r="A589" i="7"/>
  <c r="CH589" i="17" s="1"/>
  <c r="AB588" i="7"/>
  <c r="K588" i="7"/>
  <c r="T588" i="7" s="1"/>
  <c r="J588" i="7"/>
  <c r="S588" i="7" s="1"/>
  <c r="I588" i="7"/>
  <c r="H588" i="7"/>
  <c r="G588" i="7"/>
  <c r="F588" i="7"/>
  <c r="E588" i="7"/>
  <c r="D588" i="7"/>
  <c r="C588" i="7"/>
  <c r="L588" i="7" s="1"/>
  <c r="U588" i="7" s="1"/>
  <c r="B588" i="7"/>
  <c r="A588" i="7"/>
  <c r="CH588" i="17" s="1"/>
  <c r="AB587" i="7"/>
  <c r="L587" i="7"/>
  <c r="U587" i="7" s="1"/>
  <c r="J587" i="7"/>
  <c r="I587" i="7"/>
  <c r="H587" i="7"/>
  <c r="G587" i="7"/>
  <c r="F587" i="7"/>
  <c r="E587" i="7"/>
  <c r="N587" i="7" s="1"/>
  <c r="W587" i="7" s="1"/>
  <c r="D587" i="7"/>
  <c r="C587" i="7"/>
  <c r="B587" i="7"/>
  <c r="A587" i="7"/>
  <c r="CH587" i="17" s="1"/>
  <c r="AB586" i="7"/>
  <c r="L586" i="7"/>
  <c r="U586" i="7" s="1"/>
  <c r="J586" i="7"/>
  <c r="I586" i="7"/>
  <c r="H586" i="7"/>
  <c r="G586" i="7"/>
  <c r="F586" i="7"/>
  <c r="E586" i="7"/>
  <c r="D586" i="7"/>
  <c r="C586" i="7"/>
  <c r="B586" i="7"/>
  <c r="A586" i="7"/>
  <c r="CH586" i="17" s="1"/>
  <c r="AB585" i="7"/>
  <c r="J585" i="7"/>
  <c r="I585" i="7"/>
  <c r="H585" i="7"/>
  <c r="G585" i="7"/>
  <c r="F585" i="7"/>
  <c r="E585" i="7"/>
  <c r="D585" i="7"/>
  <c r="C585" i="7"/>
  <c r="B585" i="7"/>
  <c r="K586" i="7" s="1"/>
  <c r="T586" i="7" s="1"/>
  <c r="A585" i="7"/>
  <c r="CH585" i="17" s="1"/>
  <c r="AB584" i="7"/>
  <c r="J584" i="7"/>
  <c r="I584" i="7"/>
  <c r="H584" i="7"/>
  <c r="G584" i="7"/>
  <c r="F584" i="7"/>
  <c r="E584" i="7"/>
  <c r="D584" i="7"/>
  <c r="C584" i="7"/>
  <c r="B584" i="7"/>
  <c r="A584" i="7"/>
  <c r="CH584" i="17" s="1"/>
  <c r="AB583" i="7"/>
  <c r="J583" i="7"/>
  <c r="I583" i="7"/>
  <c r="H583" i="7"/>
  <c r="G583" i="7"/>
  <c r="F583" i="7"/>
  <c r="E583" i="7"/>
  <c r="D583" i="7"/>
  <c r="C583" i="7"/>
  <c r="B583" i="7"/>
  <c r="A583" i="7"/>
  <c r="CH583" i="17" s="1"/>
  <c r="AB582" i="7"/>
  <c r="J582" i="7"/>
  <c r="I582" i="7"/>
  <c r="H582" i="7"/>
  <c r="G582" i="7"/>
  <c r="F582" i="7"/>
  <c r="E582" i="7"/>
  <c r="D582" i="7"/>
  <c r="C582" i="7"/>
  <c r="B582" i="7"/>
  <c r="A582" i="7"/>
  <c r="CH582" i="17" s="1"/>
  <c r="AB581" i="7"/>
  <c r="J581" i="7"/>
  <c r="I581" i="7"/>
  <c r="H581" i="7"/>
  <c r="G581" i="7"/>
  <c r="F581" i="7"/>
  <c r="E581" i="7"/>
  <c r="D581" i="7"/>
  <c r="C581" i="7"/>
  <c r="B581" i="7"/>
  <c r="A581" i="7"/>
  <c r="CH581" i="17" s="1"/>
  <c r="AB580" i="7"/>
  <c r="J580" i="7"/>
  <c r="S580" i="7" s="1"/>
  <c r="I580" i="7"/>
  <c r="H580" i="7"/>
  <c r="G580" i="7"/>
  <c r="F580" i="7"/>
  <c r="E580" i="7"/>
  <c r="D580" i="7"/>
  <c r="C580" i="7"/>
  <c r="B580" i="7"/>
  <c r="A580" i="7"/>
  <c r="CH580" i="17" s="1"/>
  <c r="AB579" i="7"/>
  <c r="J579" i="7"/>
  <c r="I579" i="7"/>
  <c r="H579" i="7"/>
  <c r="G579" i="7"/>
  <c r="F579" i="7"/>
  <c r="E579" i="7"/>
  <c r="D579" i="7"/>
  <c r="C579" i="7"/>
  <c r="B579" i="7"/>
  <c r="A579" i="7"/>
  <c r="CH579" i="17" s="1"/>
  <c r="AB578" i="7"/>
  <c r="K578" i="7"/>
  <c r="T578" i="7" s="1"/>
  <c r="J578" i="7"/>
  <c r="I578" i="7"/>
  <c r="H578" i="7"/>
  <c r="G578" i="7"/>
  <c r="F578" i="7"/>
  <c r="E578" i="7"/>
  <c r="D578" i="7"/>
  <c r="C578" i="7"/>
  <c r="B578" i="7"/>
  <c r="A578" i="7"/>
  <c r="CH578" i="17" s="1"/>
  <c r="AB577" i="7"/>
  <c r="J577" i="7"/>
  <c r="I577" i="7"/>
  <c r="H577" i="7"/>
  <c r="G577" i="7"/>
  <c r="F577" i="7"/>
  <c r="E577" i="7"/>
  <c r="D577" i="7"/>
  <c r="C577" i="7"/>
  <c r="B577" i="7"/>
  <c r="A577" i="7"/>
  <c r="CH577" i="17" s="1"/>
  <c r="AB576" i="7"/>
  <c r="K576" i="7"/>
  <c r="T576" i="7" s="1"/>
  <c r="J576" i="7"/>
  <c r="S576" i="7" s="1"/>
  <c r="I576" i="7"/>
  <c r="H576" i="7"/>
  <c r="G576" i="7"/>
  <c r="F576" i="7"/>
  <c r="E576" i="7"/>
  <c r="D576" i="7"/>
  <c r="C576" i="7"/>
  <c r="L576" i="7" s="1"/>
  <c r="U576" i="7" s="1"/>
  <c r="B576" i="7"/>
  <c r="A576" i="7"/>
  <c r="CH576" i="17" s="1"/>
  <c r="AB575" i="7"/>
  <c r="J575" i="7"/>
  <c r="I575" i="7"/>
  <c r="H575" i="7"/>
  <c r="G575" i="7"/>
  <c r="F575" i="7"/>
  <c r="E575" i="7"/>
  <c r="D575" i="7"/>
  <c r="C575" i="7"/>
  <c r="B575" i="7"/>
  <c r="A575" i="7"/>
  <c r="CH575" i="17" s="1"/>
  <c r="AB574" i="7"/>
  <c r="J574" i="7"/>
  <c r="I574" i="7"/>
  <c r="R574" i="7" s="1"/>
  <c r="H574" i="7"/>
  <c r="G574" i="7"/>
  <c r="F574" i="7"/>
  <c r="E574" i="7"/>
  <c r="D574" i="7"/>
  <c r="C574" i="7"/>
  <c r="B574" i="7"/>
  <c r="K574" i="7" s="1"/>
  <c r="T574" i="7" s="1"/>
  <c r="A574" i="7"/>
  <c r="CH574" i="17" s="1"/>
  <c r="AB573" i="7"/>
  <c r="J573" i="7"/>
  <c r="I573" i="7"/>
  <c r="H573" i="7"/>
  <c r="Q573" i="7" s="1"/>
  <c r="X573" i="7" s="1"/>
  <c r="G573" i="7"/>
  <c r="F573" i="7"/>
  <c r="E573" i="7"/>
  <c r="D573" i="7"/>
  <c r="C573" i="7"/>
  <c r="L574" i="7" s="1"/>
  <c r="U574" i="7" s="1"/>
  <c r="B573" i="7"/>
  <c r="A573" i="7"/>
  <c r="CH573" i="17" s="1"/>
  <c r="AB572" i="7"/>
  <c r="J572" i="7"/>
  <c r="S572" i="7" s="1"/>
  <c r="I572" i="7"/>
  <c r="H572" i="7"/>
  <c r="G572" i="7"/>
  <c r="F572" i="7"/>
  <c r="E572" i="7"/>
  <c r="D572" i="7"/>
  <c r="C572" i="7"/>
  <c r="L572" i="7" s="1"/>
  <c r="U572" i="7" s="1"/>
  <c r="B572" i="7"/>
  <c r="K572" i="7" s="1"/>
  <c r="T572" i="7" s="1"/>
  <c r="A572" i="7"/>
  <c r="CH572" i="17" s="1"/>
  <c r="AB571" i="7"/>
  <c r="J571" i="7"/>
  <c r="I571" i="7"/>
  <c r="H571" i="7"/>
  <c r="G571" i="7"/>
  <c r="F571" i="7"/>
  <c r="E571" i="7"/>
  <c r="D571" i="7"/>
  <c r="C571" i="7"/>
  <c r="B571" i="7"/>
  <c r="A571" i="7"/>
  <c r="CH571" i="17" s="1"/>
  <c r="AB570" i="7"/>
  <c r="K570" i="7"/>
  <c r="T570" i="7" s="1"/>
  <c r="J570" i="7"/>
  <c r="S570" i="7" s="1"/>
  <c r="Y570" i="7" s="1"/>
  <c r="I570" i="7"/>
  <c r="R570" i="7" s="1"/>
  <c r="H570" i="7"/>
  <c r="G570" i="7"/>
  <c r="P570" i="7" s="1"/>
  <c r="AA570" i="7" s="1"/>
  <c r="F570" i="7"/>
  <c r="E570" i="7"/>
  <c r="D570" i="7"/>
  <c r="C570" i="7"/>
  <c r="L570" i="7" s="1"/>
  <c r="U570" i="7" s="1"/>
  <c r="B570" i="7"/>
  <c r="A570" i="7"/>
  <c r="CH570" i="17" s="1"/>
  <c r="AB569" i="7"/>
  <c r="J569" i="7"/>
  <c r="I569" i="7"/>
  <c r="H569" i="7"/>
  <c r="G569" i="7"/>
  <c r="F569" i="7"/>
  <c r="E569" i="7"/>
  <c r="D569" i="7"/>
  <c r="C569" i="7"/>
  <c r="B569" i="7"/>
  <c r="A569" i="7"/>
  <c r="CH569" i="17" s="1"/>
  <c r="AB568" i="7"/>
  <c r="P568" i="7"/>
  <c r="AA568" i="7" s="1"/>
  <c r="J568" i="7"/>
  <c r="I568" i="7"/>
  <c r="R568" i="7" s="1"/>
  <c r="H568" i="7"/>
  <c r="G568" i="7"/>
  <c r="F568" i="7"/>
  <c r="E568" i="7"/>
  <c r="D568" i="7"/>
  <c r="C568" i="7"/>
  <c r="B568" i="7"/>
  <c r="A568" i="7"/>
  <c r="CH568" i="17" s="1"/>
  <c r="AB567" i="7"/>
  <c r="J567" i="7"/>
  <c r="I567" i="7"/>
  <c r="H567" i="7"/>
  <c r="Q567" i="7" s="1"/>
  <c r="X567" i="7" s="1"/>
  <c r="G567" i="7"/>
  <c r="F567" i="7"/>
  <c r="E567" i="7"/>
  <c r="D567" i="7"/>
  <c r="C567" i="7"/>
  <c r="L568" i="7" s="1"/>
  <c r="U568" i="7" s="1"/>
  <c r="B567" i="7"/>
  <c r="A567" i="7"/>
  <c r="CH567" i="17" s="1"/>
  <c r="AB566" i="7"/>
  <c r="J566" i="7"/>
  <c r="S566" i="7" s="1"/>
  <c r="I566" i="7"/>
  <c r="H566" i="7"/>
  <c r="G566" i="7"/>
  <c r="F566" i="7"/>
  <c r="E566" i="7"/>
  <c r="D566" i="7"/>
  <c r="C566" i="7"/>
  <c r="B566" i="7"/>
  <c r="A566" i="7"/>
  <c r="CH566" i="17" s="1"/>
  <c r="AB565" i="7"/>
  <c r="J565" i="7"/>
  <c r="I565" i="7"/>
  <c r="H565" i="7"/>
  <c r="G565" i="7"/>
  <c r="F565" i="7"/>
  <c r="E565" i="7"/>
  <c r="D565" i="7"/>
  <c r="C565" i="7"/>
  <c r="B565" i="7"/>
  <c r="A565" i="7"/>
  <c r="CH565" i="17" s="1"/>
  <c r="AB564" i="7"/>
  <c r="P564" i="7"/>
  <c r="AA564" i="7" s="1"/>
  <c r="K564" i="7"/>
  <c r="T564" i="7" s="1"/>
  <c r="J564" i="7"/>
  <c r="I564" i="7"/>
  <c r="H564" i="7"/>
  <c r="G564" i="7"/>
  <c r="F564" i="7"/>
  <c r="E564" i="7"/>
  <c r="D564" i="7"/>
  <c r="C564" i="7"/>
  <c r="B564" i="7"/>
  <c r="A564" i="7"/>
  <c r="CH564" i="17" s="1"/>
  <c r="AB563" i="7"/>
  <c r="J563" i="7"/>
  <c r="I563" i="7"/>
  <c r="H563" i="7"/>
  <c r="G563" i="7"/>
  <c r="F563" i="7"/>
  <c r="E563" i="7"/>
  <c r="D563" i="7"/>
  <c r="C563" i="7"/>
  <c r="B563" i="7"/>
  <c r="A563" i="7"/>
  <c r="CH563" i="17" s="1"/>
  <c r="AB562" i="7"/>
  <c r="L562" i="7"/>
  <c r="U562" i="7" s="1"/>
  <c r="K562" i="7"/>
  <c r="T562" i="7" s="1"/>
  <c r="J562" i="7"/>
  <c r="I562" i="7"/>
  <c r="R562" i="7" s="1"/>
  <c r="H562" i="7"/>
  <c r="G562" i="7"/>
  <c r="F562" i="7"/>
  <c r="E562" i="7"/>
  <c r="D562" i="7"/>
  <c r="C562" i="7"/>
  <c r="B562" i="7"/>
  <c r="A562" i="7"/>
  <c r="CH562" i="17" s="1"/>
  <c r="AB561" i="7"/>
  <c r="J561" i="7"/>
  <c r="I561" i="7"/>
  <c r="H561" i="7"/>
  <c r="G561" i="7"/>
  <c r="F561" i="7"/>
  <c r="E561" i="7"/>
  <c r="D561" i="7"/>
  <c r="C561" i="7"/>
  <c r="B561" i="7"/>
  <c r="A561" i="7"/>
  <c r="CH561" i="17" s="1"/>
  <c r="AB560" i="7"/>
  <c r="K560" i="7"/>
  <c r="T560" i="7" s="1"/>
  <c r="J560" i="7"/>
  <c r="I560" i="7"/>
  <c r="H560" i="7"/>
  <c r="G560" i="7"/>
  <c r="F560" i="7"/>
  <c r="E560" i="7"/>
  <c r="D560" i="7"/>
  <c r="C560" i="7"/>
  <c r="B560" i="7"/>
  <c r="A560" i="7"/>
  <c r="CH560" i="17" s="1"/>
  <c r="AB559" i="7"/>
  <c r="J559" i="7"/>
  <c r="I559" i="7"/>
  <c r="H559" i="7"/>
  <c r="G559" i="7"/>
  <c r="F559" i="7"/>
  <c r="E559" i="7"/>
  <c r="D559" i="7"/>
  <c r="C559" i="7"/>
  <c r="B559" i="7"/>
  <c r="A559" i="7"/>
  <c r="CH559" i="17" s="1"/>
  <c r="AB558" i="7"/>
  <c r="J558" i="7"/>
  <c r="I558" i="7"/>
  <c r="H558" i="7"/>
  <c r="Q558" i="7" s="1"/>
  <c r="X558" i="7" s="1"/>
  <c r="G558" i="7"/>
  <c r="F558" i="7"/>
  <c r="E558" i="7"/>
  <c r="D558" i="7"/>
  <c r="C558" i="7"/>
  <c r="B558" i="7"/>
  <c r="A558" i="7"/>
  <c r="CH558" i="17" s="1"/>
  <c r="AB557" i="7"/>
  <c r="J557" i="7"/>
  <c r="I557" i="7"/>
  <c r="H557" i="7"/>
  <c r="G557" i="7"/>
  <c r="F557" i="7"/>
  <c r="E557" i="7"/>
  <c r="N557" i="7" s="1"/>
  <c r="W557" i="7" s="1"/>
  <c r="D557" i="7"/>
  <c r="C557" i="7"/>
  <c r="L558" i="7" s="1"/>
  <c r="U558" i="7" s="1"/>
  <c r="B557" i="7"/>
  <c r="A557" i="7"/>
  <c r="CH557" i="17" s="1"/>
  <c r="AB556" i="7"/>
  <c r="J556" i="7"/>
  <c r="I556" i="7"/>
  <c r="H556" i="7"/>
  <c r="Q556" i="7" s="1"/>
  <c r="X556" i="7" s="1"/>
  <c r="G556" i="7"/>
  <c r="F556" i="7"/>
  <c r="E556" i="7"/>
  <c r="N556" i="7" s="1"/>
  <c r="W556" i="7" s="1"/>
  <c r="D556" i="7"/>
  <c r="C556" i="7"/>
  <c r="B556" i="7"/>
  <c r="A556" i="7"/>
  <c r="CH556" i="17" s="1"/>
  <c r="AB555" i="7"/>
  <c r="N555" i="7"/>
  <c r="W555" i="7" s="1"/>
  <c r="J555" i="7"/>
  <c r="I555" i="7"/>
  <c r="H555" i="7"/>
  <c r="G555" i="7"/>
  <c r="P555" i="7" s="1"/>
  <c r="AA555" i="7" s="1"/>
  <c r="F555" i="7"/>
  <c r="E555" i="7"/>
  <c r="D555" i="7"/>
  <c r="C555" i="7"/>
  <c r="B555" i="7"/>
  <c r="A555" i="7"/>
  <c r="CH555" i="17" s="1"/>
  <c r="AB554" i="7"/>
  <c r="P554" i="7"/>
  <c r="AA554" i="7" s="1"/>
  <c r="J554" i="7"/>
  <c r="I554" i="7"/>
  <c r="H554" i="7"/>
  <c r="G554" i="7"/>
  <c r="F554" i="7"/>
  <c r="O555" i="7" s="1"/>
  <c r="Z555" i="7" s="1"/>
  <c r="E554" i="7"/>
  <c r="D554" i="7"/>
  <c r="C554" i="7"/>
  <c r="B554" i="7"/>
  <c r="A554" i="7"/>
  <c r="CH554" i="17" s="1"/>
  <c r="AB553" i="7"/>
  <c r="J553" i="7"/>
  <c r="S553" i="7" s="1"/>
  <c r="I553" i="7"/>
  <c r="H553" i="7"/>
  <c r="G553" i="7"/>
  <c r="F553" i="7"/>
  <c r="E553" i="7"/>
  <c r="D553" i="7"/>
  <c r="C553" i="7"/>
  <c r="B553" i="7"/>
  <c r="A553" i="7"/>
  <c r="CH553" i="17" s="1"/>
  <c r="AB552" i="7"/>
  <c r="K552" i="7"/>
  <c r="T552" i="7" s="1"/>
  <c r="J552" i="7"/>
  <c r="I552" i="7"/>
  <c r="H552" i="7"/>
  <c r="G552" i="7"/>
  <c r="F552" i="7"/>
  <c r="E552" i="7"/>
  <c r="D552" i="7"/>
  <c r="C552" i="7"/>
  <c r="B552" i="7"/>
  <c r="A552" i="7"/>
  <c r="CH552" i="17" s="1"/>
  <c r="AB551" i="7"/>
  <c r="J551" i="7"/>
  <c r="S551" i="7" s="1"/>
  <c r="I551" i="7"/>
  <c r="H551" i="7"/>
  <c r="G551" i="7"/>
  <c r="F551" i="7"/>
  <c r="E551" i="7"/>
  <c r="D551" i="7"/>
  <c r="C551" i="7"/>
  <c r="B551" i="7"/>
  <c r="A551" i="7"/>
  <c r="CH551" i="17" s="1"/>
  <c r="AB550" i="7"/>
  <c r="J550" i="7"/>
  <c r="I550" i="7"/>
  <c r="H550" i="7"/>
  <c r="G550" i="7"/>
  <c r="F550" i="7"/>
  <c r="E550" i="7"/>
  <c r="D550" i="7"/>
  <c r="C550" i="7"/>
  <c r="B550" i="7"/>
  <c r="A550" i="7"/>
  <c r="CH550" i="17" s="1"/>
  <c r="AB549" i="7"/>
  <c r="L549" i="7"/>
  <c r="U549" i="7" s="1"/>
  <c r="J549" i="7"/>
  <c r="S549" i="7" s="1"/>
  <c r="I549" i="7"/>
  <c r="R549" i="7" s="1"/>
  <c r="H549" i="7"/>
  <c r="G549" i="7"/>
  <c r="F549" i="7"/>
  <c r="E549" i="7"/>
  <c r="D549" i="7"/>
  <c r="C549" i="7"/>
  <c r="B549" i="7"/>
  <c r="A549" i="7"/>
  <c r="CH549" i="17" s="1"/>
  <c r="AB548" i="7"/>
  <c r="O548" i="7"/>
  <c r="Z548" i="7" s="1"/>
  <c r="N548" i="7"/>
  <c r="W548" i="7" s="1"/>
  <c r="J548" i="7"/>
  <c r="I548" i="7"/>
  <c r="H548" i="7"/>
  <c r="G548" i="7"/>
  <c r="F548" i="7"/>
  <c r="E548" i="7"/>
  <c r="D548" i="7"/>
  <c r="C548" i="7"/>
  <c r="L548" i="7" s="1"/>
  <c r="U548" i="7" s="1"/>
  <c r="B548" i="7"/>
  <c r="A548" i="7"/>
  <c r="CH548" i="17" s="1"/>
  <c r="AB547" i="7"/>
  <c r="J547" i="7"/>
  <c r="I547" i="7"/>
  <c r="H547" i="7"/>
  <c r="G547" i="7"/>
  <c r="F547" i="7"/>
  <c r="E547" i="7"/>
  <c r="D547" i="7"/>
  <c r="C547" i="7"/>
  <c r="L547" i="7" s="1"/>
  <c r="U547" i="7" s="1"/>
  <c r="B547" i="7"/>
  <c r="A547" i="7"/>
  <c r="CH547" i="17" s="1"/>
  <c r="AB546" i="7"/>
  <c r="J546" i="7"/>
  <c r="I546" i="7"/>
  <c r="H546" i="7"/>
  <c r="G546" i="7"/>
  <c r="F546" i="7"/>
  <c r="E546" i="7"/>
  <c r="D546" i="7"/>
  <c r="C546" i="7"/>
  <c r="B546" i="7"/>
  <c r="A546" i="7"/>
  <c r="CH546" i="17" s="1"/>
  <c r="AB545" i="7"/>
  <c r="K545" i="7"/>
  <c r="T545" i="7" s="1"/>
  <c r="J545" i="7"/>
  <c r="I545" i="7"/>
  <c r="H545" i="7"/>
  <c r="G545" i="7"/>
  <c r="P545" i="7" s="1"/>
  <c r="AA545" i="7" s="1"/>
  <c r="F545" i="7"/>
  <c r="E545" i="7"/>
  <c r="D545" i="7"/>
  <c r="C545" i="7"/>
  <c r="L546" i="7" s="1"/>
  <c r="U546" i="7" s="1"/>
  <c r="B545" i="7"/>
  <c r="A545" i="7"/>
  <c r="CH545" i="17" s="1"/>
  <c r="AB544" i="7"/>
  <c r="O544" i="7"/>
  <c r="Z544" i="7" s="1"/>
  <c r="J544" i="7"/>
  <c r="I544" i="7"/>
  <c r="H544" i="7"/>
  <c r="G544" i="7"/>
  <c r="F544" i="7"/>
  <c r="E544" i="7"/>
  <c r="D544" i="7"/>
  <c r="C544" i="7"/>
  <c r="B544" i="7"/>
  <c r="A544" i="7"/>
  <c r="CH544" i="17" s="1"/>
  <c r="AB543" i="7"/>
  <c r="J543" i="7"/>
  <c r="I543" i="7"/>
  <c r="H543" i="7"/>
  <c r="G543" i="7"/>
  <c r="F543" i="7"/>
  <c r="E543" i="7"/>
  <c r="D543" i="7"/>
  <c r="C543" i="7"/>
  <c r="B543" i="7"/>
  <c r="A543" i="7"/>
  <c r="CH543" i="17" s="1"/>
  <c r="AB542" i="7"/>
  <c r="J542" i="7"/>
  <c r="I542" i="7"/>
  <c r="R542" i="7" s="1"/>
  <c r="H542" i="7"/>
  <c r="Q542" i="7" s="1"/>
  <c r="X542" i="7" s="1"/>
  <c r="G542" i="7"/>
  <c r="F542" i="7"/>
  <c r="O542" i="7" s="1"/>
  <c r="Z542" i="7" s="1"/>
  <c r="E542" i="7"/>
  <c r="D542" i="7"/>
  <c r="C542" i="7"/>
  <c r="B542" i="7"/>
  <c r="A542" i="7"/>
  <c r="CH542" i="17" s="1"/>
  <c r="AB541" i="7"/>
  <c r="N541" i="7"/>
  <c r="W541" i="7" s="1"/>
  <c r="J541" i="7"/>
  <c r="S542" i="7" s="1"/>
  <c r="I541" i="7"/>
  <c r="H541" i="7"/>
  <c r="G541" i="7"/>
  <c r="F541" i="7"/>
  <c r="O541" i="7" s="1"/>
  <c r="Z541" i="7" s="1"/>
  <c r="E541" i="7"/>
  <c r="D541" i="7"/>
  <c r="C541" i="7"/>
  <c r="B541" i="7"/>
  <c r="A541" i="7"/>
  <c r="CH541" i="17" s="1"/>
  <c r="AB540" i="7"/>
  <c r="J540" i="7"/>
  <c r="I540" i="7"/>
  <c r="H540" i="7"/>
  <c r="G540" i="7"/>
  <c r="F540" i="7"/>
  <c r="E540" i="7"/>
  <c r="D540" i="7"/>
  <c r="C540" i="7"/>
  <c r="B540" i="7"/>
  <c r="A540" i="7"/>
  <c r="CH540" i="17" s="1"/>
  <c r="AB539" i="7"/>
  <c r="J539" i="7"/>
  <c r="I539" i="7"/>
  <c r="H539" i="7"/>
  <c r="G539" i="7"/>
  <c r="F539" i="7"/>
  <c r="E539" i="7"/>
  <c r="D539" i="7"/>
  <c r="C539" i="7"/>
  <c r="L539" i="7" s="1"/>
  <c r="U539" i="7" s="1"/>
  <c r="B539" i="7"/>
  <c r="A539" i="7"/>
  <c r="CH539" i="17" s="1"/>
  <c r="AB538" i="7"/>
  <c r="J538" i="7"/>
  <c r="S539" i="7" s="1"/>
  <c r="I538" i="7"/>
  <c r="H538" i="7"/>
  <c r="G538" i="7"/>
  <c r="F538" i="7"/>
  <c r="O538" i="7" s="1"/>
  <c r="Z538" i="7" s="1"/>
  <c r="E538" i="7"/>
  <c r="D538" i="7"/>
  <c r="C538" i="7"/>
  <c r="B538" i="7"/>
  <c r="A538" i="7"/>
  <c r="CH538" i="17" s="1"/>
  <c r="AB537" i="7"/>
  <c r="J537" i="7"/>
  <c r="I537" i="7"/>
  <c r="H537" i="7"/>
  <c r="G537" i="7"/>
  <c r="P537" i="7" s="1"/>
  <c r="AA537" i="7" s="1"/>
  <c r="F537" i="7"/>
  <c r="E537" i="7"/>
  <c r="D537" i="7"/>
  <c r="C537" i="7"/>
  <c r="B537" i="7"/>
  <c r="A537" i="7"/>
  <c r="CH537" i="17" s="1"/>
  <c r="AB536" i="7"/>
  <c r="J536" i="7"/>
  <c r="S537" i="7" s="1"/>
  <c r="I536" i="7"/>
  <c r="H536" i="7"/>
  <c r="G536" i="7"/>
  <c r="F536" i="7"/>
  <c r="E536" i="7"/>
  <c r="D536" i="7"/>
  <c r="C536" i="7"/>
  <c r="B536" i="7"/>
  <c r="K536" i="7" s="1"/>
  <c r="T536" i="7" s="1"/>
  <c r="A536" i="7"/>
  <c r="CH536" i="17" s="1"/>
  <c r="AB535" i="7"/>
  <c r="J535" i="7"/>
  <c r="I535" i="7"/>
  <c r="R535" i="7" s="1"/>
  <c r="H535" i="7"/>
  <c r="Q535" i="7" s="1"/>
  <c r="X535" i="7" s="1"/>
  <c r="G535" i="7"/>
  <c r="F535" i="7"/>
  <c r="O535" i="7" s="1"/>
  <c r="Z535" i="7" s="1"/>
  <c r="E535" i="7"/>
  <c r="D535" i="7"/>
  <c r="C535" i="7"/>
  <c r="B535" i="7"/>
  <c r="A535" i="7"/>
  <c r="CH535" i="17" s="1"/>
  <c r="AB534" i="7"/>
  <c r="O534" i="7"/>
  <c r="Z534" i="7" s="1"/>
  <c r="M534" i="7"/>
  <c r="V534" i="7" s="1"/>
  <c r="J534" i="7"/>
  <c r="I534" i="7"/>
  <c r="H534" i="7"/>
  <c r="Q534" i="7" s="1"/>
  <c r="X534" i="7" s="1"/>
  <c r="G534" i="7"/>
  <c r="F534" i="7"/>
  <c r="E534" i="7"/>
  <c r="D534" i="7"/>
  <c r="C534" i="7"/>
  <c r="B534" i="7"/>
  <c r="A534" i="7"/>
  <c r="CH534" i="17" s="1"/>
  <c r="AB533" i="7"/>
  <c r="M533" i="7"/>
  <c r="V533" i="7" s="1"/>
  <c r="J533" i="7"/>
  <c r="S533" i="7" s="1"/>
  <c r="I533" i="7"/>
  <c r="H533" i="7"/>
  <c r="G533" i="7"/>
  <c r="F533" i="7"/>
  <c r="E533" i="7"/>
  <c r="D533" i="7"/>
  <c r="C533" i="7"/>
  <c r="B533" i="7"/>
  <c r="A533" i="7"/>
  <c r="CH533" i="17" s="1"/>
  <c r="AB532" i="7"/>
  <c r="M532" i="7"/>
  <c r="V532" i="7" s="1"/>
  <c r="K532" i="7"/>
  <c r="T532" i="7" s="1"/>
  <c r="J532" i="7"/>
  <c r="I532" i="7"/>
  <c r="H532" i="7"/>
  <c r="G532" i="7"/>
  <c r="F532" i="7"/>
  <c r="E532" i="7"/>
  <c r="D532" i="7"/>
  <c r="C532" i="7"/>
  <c r="B532" i="7"/>
  <c r="A532" i="7"/>
  <c r="CH532" i="17" s="1"/>
  <c r="AB531" i="7"/>
  <c r="K531" i="7"/>
  <c r="T531" i="7" s="1"/>
  <c r="J531" i="7"/>
  <c r="S532" i="7" s="1"/>
  <c r="I531" i="7"/>
  <c r="H531" i="7"/>
  <c r="G531" i="7"/>
  <c r="F531" i="7"/>
  <c r="E531" i="7"/>
  <c r="D531" i="7"/>
  <c r="C531" i="7"/>
  <c r="B531" i="7"/>
  <c r="A531" i="7"/>
  <c r="CH531" i="17" s="1"/>
  <c r="AB530" i="7"/>
  <c r="J530" i="7"/>
  <c r="I530" i="7"/>
  <c r="H530" i="7"/>
  <c r="Q530" i="7" s="1"/>
  <c r="X530" i="7" s="1"/>
  <c r="G530" i="7"/>
  <c r="F530" i="7"/>
  <c r="O530" i="7" s="1"/>
  <c r="Z530" i="7" s="1"/>
  <c r="E530" i="7"/>
  <c r="D530" i="7"/>
  <c r="C530" i="7"/>
  <c r="B530" i="7"/>
  <c r="A530" i="7"/>
  <c r="CH530" i="17" s="1"/>
  <c r="AB529" i="7"/>
  <c r="S529" i="7"/>
  <c r="J529" i="7"/>
  <c r="I529" i="7"/>
  <c r="H529" i="7"/>
  <c r="Q529" i="7" s="1"/>
  <c r="X529" i="7" s="1"/>
  <c r="G529" i="7"/>
  <c r="F529" i="7"/>
  <c r="E529" i="7"/>
  <c r="D529" i="7"/>
  <c r="C529" i="7"/>
  <c r="B529" i="7"/>
  <c r="A529" i="7"/>
  <c r="CH529" i="17" s="1"/>
  <c r="AB528" i="7"/>
  <c r="J528" i="7"/>
  <c r="I528" i="7"/>
  <c r="R528" i="7" s="1"/>
  <c r="H528" i="7"/>
  <c r="G528" i="7"/>
  <c r="F528" i="7"/>
  <c r="E528" i="7"/>
  <c r="D528" i="7"/>
  <c r="C528" i="7"/>
  <c r="B528" i="7"/>
  <c r="A528" i="7"/>
  <c r="CH528" i="17" s="1"/>
  <c r="AB527" i="7"/>
  <c r="J527" i="7"/>
  <c r="I527" i="7"/>
  <c r="H527" i="7"/>
  <c r="G527" i="7"/>
  <c r="F527" i="7"/>
  <c r="E527" i="7"/>
  <c r="D527" i="7"/>
  <c r="C527" i="7"/>
  <c r="B527" i="7"/>
  <c r="A527" i="7"/>
  <c r="CH527" i="17" s="1"/>
  <c r="AB526" i="7"/>
  <c r="S526" i="7"/>
  <c r="J526" i="7"/>
  <c r="I526" i="7"/>
  <c r="H526" i="7"/>
  <c r="G526" i="7"/>
  <c r="F526" i="7"/>
  <c r="E526" i="7"/>
  <c r="D526" i="7"/>
  <c r="C526" i="7"/>
  <c r="B526" i="7"/>
  <c r="A526" i="7"/>
  <c r="CH526" i="17" s="1"/>
  <c r="AB525" i="7"/>
  <c r="J525" i="7"/>
  <c r="I525" i="7"/>
  <c r="H525" i="7"/>
  <c r="Q525" i="7" s="1"/>
  <c r="X525" i="7" s="1"/>
  <c r="G525" i="7"/>
  <c r="F525" i="7"/>
  <c r="E525" i="7"/>
  <c r="D525" i="7"/>
  <c r="C525" i="7"/>
  <c r="B525" i="7"/>
  <c r="A525" i="7"/>
  <c r="CH525" i="17" s="1"/>
  <c r="AB524" i="7"/>
  <c r="J524" i="7"/>
  <c r="S524" i="7" s="1"/>
  <c r="I524" i="7"/>
  <c r="H524" i="7"/>
  <c r="G524" i="7"/>
  <c r="F524" i="7"/>
  <c r="E524" i="7"/>
  <c r="D524" i="7"/>
  <c r="C524" i="7"/>
  <c r="B524" i="7"/>
  <c r="A524" i="7"/>
  <c r="CH524" i="17" s="1"/>
  <c r="AB523" i="7"/>
  <c r="S523" i="7"/>
  <c r="J523" i="7"/>
  <c r="I523" i="7"/>
  <c r="H523" i="7"/>
  <c r="Q524" i="7" s="1"/>
  <c r="X524" i="7" s="1"/>
  <c r="G523" i="7"/>
  <c r="F523" i="7"/>
  <c r="E523" i="7"/>
  <c r="D523" i="7"/>
  <c r="C523" i="7"/>
  <c r="B523" i="7"/>
  <c r="A523" i="7"/>
  <c r="CH523" i="17" s="1"/>
  <c r="AB522" i="7"/>
  <c r="J522" i="7"/>
  <c r="I522" i="7"/>
  <c r="H522" i="7"/>
  <c r="Q522" i="7" s="1"/>
  <c r="X522" i="7" s="1"/>
  <c r="G522" i="7"/>
  <c r="F522" i="7"/>
  <c r="E522" i="7"/>
  <c r="D522" i="7"/>
  <c r="C522" i="7"/>
  <c r="B522" i="7"/>
  <c r="A522" i="7"/>
  <c r="CH522" i="17" s="1"/>
  <c r="AB521" i="7"/>
  <c r="O521" i="7"/>
  <c r="Z521" i="7" s="1"/>
  <c r="K521" i="7"/>
  <c r="T521" i="7" s="1"/>
  <c r="J521" i="7"/>
  <c r="S521" i="7" s="1"/>
  <c r="I521" i="7"/>
  <c r="H521" i="7"/>
  <c r="Q521" i="7" s="1"/>
  <c r="X521" i="7" s="1"/>
  <c r="G521" i="7"/>
  <c r="F521" i="7"/>
  <c r="E521" i="7"/>
  <c r="D521" i="7"/>
  <c r="C521" i="7"/>
  <c r="B521" i="7"/>
  <c r="A521" i="7"/>
  <c r="CH521" i="17" s="1"/>
  <c r="AB520" i="7"/>
  <c r="J520" i="7"/>
  <c r="S520" i="7" s="1"/>
  <c r="I520" i="7"/>
  <c r="H520" i="7"/>
  <c r="G520" i="7"/>
  <c r="F520" i="7"/>
  <c r="E520" i="7"/>
  <c r="D520" i="7"/>
  <c r="C520" i="7"/>
  <c r="B520" i="7"/>
  <c r="A520" i="7"/>
  <c r="CH520" i="17" s="1"/>
  <c r="AB519" i="7"/>
  <c r="K519" i="7"/>
  <c r="T519" i="7" s="1"/>
  <c r="J519" i="7"/>
  <c r="I519" i="7"/>
  <c r="H519" i="7"/>
  <c r="G519" i="7"/>
  <c r="F519" i="7"/>
  <c r="E519" i="7"/>
  <c r="D519" i="7"/>
  <c r="C519" i="7"/>
  <c r="B519" i="7"/>
  <c r="A519" i="7"/>
  <c r="CH519" i="17" s="1"/>
  <c r="AB518" i="7"/>
  <c r="S518" i="7"/>
  <c r="Q518" i="7"/>
  <c r="X518" i="7" s="1"/>
  <c r="J518" i="7"/>
  <c r="S519" i="7" s="1"/>
  <c r="I518" i="7"/>
  <c r="H518" i="7"/>
  <c r="G518" i="7"/>
  <c r="F518" i="7"/>
  <c r="O518" i="7" s="1"/>
  <c r="Z518" i="7" s="1"/>
  <c r="E518" i="7"/>
  <c r="D518" i="7"/>
  <c r="M518" i="7" s="1"/>
  <c r="V518" i="7" s="1"/>
  <c r="C518" i="7"/>
  <c r="B518" i="7"/>
  <c r="K518" i="7" s="1"/>
  <c r="T518" i="7" s="1"/>
  <c r="A518" i="7"/>
  <c r="CH518" i="17" s="1"/>
  <c r="AB517" i="7"/>
  <c r="J517" i="7"/>
  <c r="I517" i="7"/>
  <c r="R517" i="7" s="1"/>
  <c r="H517" i="7"/>
  <c r="G517" i="7"/>
  <c r="F517" i="7"/>
  <c r="E517" i="7"/>
  <c r="D517" i="7"/>
  <c r="C517" i="7"/>
  <c r="B517" i="7"/>
  <c r="A517" i="7"/>
  <c r="CH517" i="17" s="1"/>
  <c r="AB516" i="7"/>
  <c r="J516" i="7"/>
  <c r="I516" i="7"/>
  <c r="H516" i="7"/>
  <c r="G516" i="7"/>
  <c r="F516" i="7"/>
  <c r="O516" i="7" s="1"/>
  <c r="Z516" i="7" s="1"/>
  <c r="E516" i="7"/>
  <c r="D516" i="7"/>
  <c r="C516" i="7"/>
  <c r="B516" i="7"/>
  <c r="A516" i="7"/>
  <c r="CH516" i="17" s="1"/>
  <c r="AB515" i="7"/>
  <c r="S515" i="7"/>
  <c r="Q515" i="7"/>
  <c r="X515" i="7" s="1"/>
  <c r="J515" i="7"/>
  <c r="I515" i="7"/>
  <c r="H515" i="7"/>
  <c r="G515" i="7"/>
  <c r="F515" i="7"/>
  <c r="O515" i="7" s="1"/>
  <c r="Z515" i="7" s="1"/>
  <c r="E515" i="7"/>
  <c r="D515" i="7"/>
  <c r="C515" i="7"/>
  <c r="B515" i="7"/>
  <c r="A515" i="7"/>
  <c r="CH515" i="17" s="1"/>
  <c r="AB514" i="7"/>
  <c r="J514" i="7"/>
  <c r="S514" i="7" s="1"/>
  <c r="I514" i="7"/>
  <c r="H514" i="7"/>
  <c r="G514" i="7"/>
  <c r="F514" i="7"/>
  <c r="E514" i="7"/>
  <c r="D514" i="7"/>
  <c r="C514" i="7"/>
  <c r="B514" i="7"/>
  <c r="A514" i="7"/>
  <c r="CH514" i="17" s="1"/>
  <c r="AB513" i="7"/>
  <c r="J513" i="7"/>
  <c r="S513" i="7" s="1"/>
  <c r="I513" i="7"/>
  <c r="H513" i="7"/>
  <c r="G513" i="7"/>
  <c r="F513" i="7"/>
  <c r="E513" i="7"/>
  <c r="D513" i="7"/>
  <c r="C513" i="7"/>
  <c r="B513" i="7"/>
  <c r="A513" i="7"/>
  <c r="CH513" i="17" s="1"/>
  <c r="AB512" i="7"/>
  <c r="J512" i="7"/>
  <c r="I512" i="7"/>
  <c r="H512" i="7"/>
  <c r="G512" i="7"/>
  <c r="F512" i="7"/>
  <c r="E512" i="7"/>
  <c r="D512" i="7"/>
  <c r="C512" i="7"/>
  <c r="B512" i="7"/>
  <c r="A512" i="7"/>
  <c r="CH512" i="17" s="1"/>
  <c r="AB511" i="7"/>
  <c r="J511" i="7"/>
  <c r="I511" i="7"/>
  <c r="H511" i="7"/>
  <c r="Q511" i="7" s="1"/>
  <c r="X511" i="7" s="1"/>
  <c r="G511" i="7"/>
  <c r="F511" i="7"/>
  <c r="E511" i="7"/>
  <c r="D511" i="7"/>
  <c r="C511" i="7"/>
  <c r="B511" i="7"/>
  <c r="A511" i="7"/>
  <c r="CH511" i="17" s="1"/>
  <c r="AB510" i="7"/>
  <c r="K510" i="7"/>
  <c r="T510" i="7" s="1"/>
  <c r="J510" i="7"/>
  <c r="I510" i="7"/>
  <c r="H510" i="7"/>
  <c r="Q510" i="7" s="1"/>
  <c r="X510" i="7" s="1"/>
  <c r="G510" i="7"/>
  <c r="F510" i="7"/>
  <c r="E510" i="7"/>
  <c r="D510" i="7"/>
  <c r="C510" i="7"/>
  <c r="B510" i="7"/>
  <c r="A510" i="7"/>
  <c r="CH510" i="17" s="1"/>
  <c r="AB509" i="7"/>
  <c r="J509" i="7"/>
  <c r="S509" i="7" s="1"/>
  <c r="I509" i="7"/>
  <c r="H509" i="7"/>
  <c r="G509" i="7"/>
  <c r="F509" i="7"/>
  <c r="E509" i="7"/>
  <c r="D509" i="7"/>
  <c r="C509" i="7"/>
  <c r="B509" i="7"/>
  <c r="A509" i="7"/>
  <c r="CH509" i="17" s="1"/>
  <c r="AB508" i="7"/>
  <c r="J508" i="7"/>
  <c r="I508" i="7"/>
  <c r="H508" i="7"/>
  <c r="G508" i="7"/>
  <c r="F508" i="7"/>
  <c r="E508" i="7"/>
  <c r="D508" i="7"/>
  <c r="C508" i="7"/>
  <c r="B508" i="7"/>
  <c r="A508" i="7"/>
  <c r="CH508" i="17" s="1"/>
  <c r="AB507" i="7"/>
  <c r="S507" i="7"/>
  <c r="J507" i="7"/>
  <c r="I507" i="7"/>
  <c r="H507" i="7"/>
  <c r="G507" i="7"/>
  <c r="F507" i="7"/>
  <c r="E507" i="7"/>
  <c r="D507" i="7"/>
  <c r="C507" i="7"/>
  <c r="B507" i="7"/>
  <c r="A507" i="7"/>
  <c r="CH507" i="17" s="1"/>
  <c r="AB506" i="7"/>
  <c r="J506" i="7"/>
  <c r="S506" i="7" s="1"/>
  <c r="I506" i="7"/>
  <c r="H506" i="7"/>
  <c r="G506" i="7"/>
  <c r="F506" i="7"/>
  <c r="E506" i="7"/>
  <c r="D506" i="7"/>
  <c r="C506" i="7"/>
  <c r="B506" i="7"/>
  <c r="A506" i="7"/>
  <c r="CH506" i="17" s="1"/>
  <c r="AB505" i="7"/>
  <c r="J505" i="7"/>
  <c r="I505" i="7"/>
  <c r="H505" i="7"/>
  <c r="G505" i="7"/>
  <c r="F505" i="7"/>
  <c r="E505" i="7"/>
  <c r="D505" i="7"/>
  <c r="C505" i="7"/>
  <c r="B505" i="7"/>
  <c r="A505" i="7"/>
  <c r="CH505" i="17" s="1"/>
  <c r="AB504" i="7"/>
  <c r="J504" i="7"/>
  <c r="I504" i="7"/>
  <c r="H504" i="7"/>
  <c r="G504" i="7"/>
  <c r="F504" i="7"/>
  <c r="E504" i="7"/>
  <c r="D504" i="7"/>
  <c r="C504" i="7"/>
  <c r="B504" i="7"/>
  <c r="A504" i="7"/>
  <c r="CH504" i="17" s="1"/>
  <c r="AB503" i="7"/>
  <c r="J503" i="7"/>
  <c r="I503" i="7"/>
  <c r="H503" i="7"/>
  <c r="Q504" i="7" s="1"/>
  <c r="X504" i="7" s="1"/>
  <c r="G503" i="7"/>
  <c r="F503" i="7"/>
  <c r="E503" i="7"/>
  <c r="D503" i="7"/>
  <c r="C503" i="7"/>
  <c r="B503" i="7"/>
  <c r="A503" i="7"/>
  <c r="CH503" i="17" s="1"/>
  <c r="AB502" i="7"/>
  <c r="J502" i="7"/>
  <c r="I502" i="7"/>
  <c r="H502" i="7"/>
  <c r="G502" i="7"/>
  <c r="F502" i="7"/>
  <c r="E502" i="7"/>
  <c r="D502" i="7"/>
  <c r="C502" i="7"/>
  <c r="B502" i="7"/>
  <c r="A502" i="7"/>
  <c r="CH502" i="17" s="1"/>
  <c r="AB501" i="7"/>
  <c r="J501" i="7"/>
  <c r="I501" i="7"/>
  <c r="H501" i="7"/>
  <c r="Q501" i="7" s="1"/>
  <c r="X501" i="7" s="1"/>
  <c r="G501" i="7"/>
  <c r="F501" i="7"/>
  <c r="E501" i="7"/>
  <c r="D501" i="7"/>
  <c r="C501" i="7"/>
  <c r="B501" i="7"/>
  <c r="A501" i="7"/>
  <c r="CH501" i="17" s="1"/>
  <c r="AB500" i="7"/>
  <c r="J500" i="7"/>
  <c r="I500" i="7"/>
  <c r="H500" i="7"/>
  <c r="G500" i="7"/>
  <c r="F500" i="7"/>
  <c r="E500" i="7"/>
  <c r="D500" i="7"/>
  <c r="C500" i="7"/>
  <c r="B500" i="7"/>
  <c r="A500" i="7"/>
  <c r="CH500" i="17" s="1"/>
  <c r="AB499" i="7"/>
  <c r="J499" i="7"/>
  <c r="I499" i="7"/>
  <c r="H499" i="7"/>
  <c r="G499" i="7"/>
  <c r="F499" i="7"/>
  <c r="E499" i="7"/>
  <c r="D499" i="7"/>
  <c r="C499" i="7"/>
  <c r="B499" i="7"/>
  <c r="A499" i="7"/>
  <c r="CH499" i="17" s="1"/>
  <c r="AB498" i="7"/>
  <c r="K498" i="7"/>
  <c r="T498" i="7" s="1"/>
  <c r="J498" i="7"/>
  <c r="I498" i="7"/>
  <c r="H498" i="7"/>
  <c r="G498" i="7"/>
  <c r="P498" i="7" s="1"/>
  <c r="AA498" i="7" s="1"/>
  <c r="F498" i="7"/>
  <c r="E498" i="7"/>
  <c r="N498" i="7" s="1"/>
  <c r="W498" i="7" s="1"/>
  <c r="D498" i="7"/>
  <c r="C498" i="7"/>
  <c r="B498" i="7"/>
  <c r="A498" i="7"/>
  <c r="CH498" i="17" s="1"/>
  <c r="AB497" i="7"/>
  <c r="J497" i="7"/>
  <c r="S497" i="7" s="1"/>
  <c r="I497" i="7"/>
  <c r="H497" i="7"/>
  <c r="Q497" i="7" s="1"/>
  <c r="X497" i="7" s="1"/>
  <c r="G497" i="7"/>
  <c r="F497" i="7"/>
  <c r="E497" i="7"/>
  <c r="D497" i="7"/>
  <c r="C497" i="7"/>
  <c r="B497" i="7"/>
  <c r="A497" i="7"/>
  <c r="CH497" i="17" s="1"/>
  <c r="AB496" i="7"/>
  <c r="O496" i="7"/>
  <c r="Z496" i="7" s="1"/>
  <c r="M496" i="7"/>
  <c r="V496" i="7" s="1"/>
  <c r="J496" i="7"/>
  <c r="I496" i="7"/>
  <c r="H496" i="7"/>
  <c r="G496" i="7"/>
  <c r="F496" i="7"/>
  <c r="E496" i="7"/>
  <c r="D496" i="7"/>
  <c r="C496" i="7"/>
  <c r="B496" i="7"/>
  <c r="A496" i="7"/>
  <c r="CH496" i="17" s="1"/>
  <c r="AB495" i="7"/>
  <c r="J495" i="7"/>
  <c r="I495" i="7"/>
  <c r="H495" i="7"/>
  <c r="G495" i="7"/>
  <c r="F495" i="7"/>
  <c r="E495" i="7"/>
  <c r="D495" i="7"/>
  <c r="C495" i="7"/>
  <c r="B495" i="7"/>
  <c r="A495" i="7"/>
  <c r="CH495" i="17" s="1"/>
  <c r="AB494" i="7"/>
  <c r="J494" i="7"/>
  <c r="I494" i="7"/>
  <c r="H494" i="7"/>
  <c r="G494" i="7"/>
  <c r="F494" i="7"/>
  <c r="E494" i="7"/>
  <c r="D494" i="7"/>
  <c r="C494" i="7"/>
  <c r="B494" i="7"/>
  <c r="A494" i="7"/>
  <c r="CH494" i="17" s="1"/>
  <c r="AB493" i="7"/>
  <c r="J493" i="7"/>
  <c r="I493" i="7"/>
  <c r="H493" i="7"/>
  <c r="G493" i="7"/>
  <c r="F493" i="7"/>
  <c r="E493" i="7"/>
  <c r="D493" i="7"/>
  <c r="C493" i="7"/>
  <c r="B493" i="7"/>
  <c r="A493" i="7"/>
  <c r="CH493" i="17" s="1"/>
  <c r="AB492" i="7"/>
  <c r="M492" i="7"/>
  <c r="V492" i="7" s="1"/>
  <c r="J492" i="7"/>
  <c r="I492" i="7"/>
  <c r="H492" i="7"/>
  <c r="G492" i="7"/>
  <c r="F492" i="7"/>
  <c r="E492" i="7"/>
  <c r="D492" i="7"/>
  <c r="C492" i="7"/>
  <c r="B492" i="7"/>
  <c r="A492" i="7"/>
  <c r="CH492" i="17" s="1"/>
  <c r="AB491" i="7"/>
  <c r="J491" i="7"/>
  <c r="I491" i="7"/>
  <c r="H491" i="7"/>
  <c r="Q491" i="7" s="1"/>
  <c r="X491" i="7" s="1"/>
  <c r="G491" i="7"/>
  <c r="F491" i="7"/>
  <c r="E491" i="7"/>
  <c r="D491" i="7"/>
  <c r="C491" i="7"/>
  <c r="B491" i="7"/>
  <c r="A491" i="7"/>
  <c r="CH491" i="17" s="1"/>
  <c r="AB490" i="7"/>
  <c r="J490" i="7"/>
  <c r="I490" i="7"/>
  <c r="H490" i="7"/>
  <c r="G490" i="7"/>
  <c r="F490" i="7"/>
  <c r="E490" i="7"/>
  <c r="D490" i="7"/>
  <c r="C490" i="7"/>
  <c r="B490" i="7"/>
  <c r="A490" i="7"/>
  <c r="CH490" i="17" s="1"/>
  <c r="AB489" i="7"/>
  <c r="J489" i="7"/>
  <c r="I489" i="7"/>
  <c r="R489" i="7" s="1"/>
  <c r="H489" i="7"/>
  <c r="Q489" i="7" s="1"/>
  <c r="X489" i="7" s="1"/>
  <c r="G489" i="7"/>
  <c r="F489" i="7"/>
  <c r="E489" i="7"/>
  <c r="D489" i="7"/>
  <c r="C489" i="7"/>
  <c r="B489" i="7"/>
  <c r="A489" i="7"/>
  <c r="CH489" i="17" s="1"/>
  <c r="AB488" i="7"/>
  <c r="J488" i="7"/>
  <c r="I488" i="7"/>
  <c r="H488" i="7"/>
  <c r="G488" i="7"/>
  <c r="F488" i="7"/>
  <c r="E488" i="7"/>
  <c r="D488" i="7"/>
  <c r="C488" i="7"/>
  <c r="B488" i="7"/>
  <c r="A488" i="7"/>
  <c r="CH488" i="17" s="1"/>
  <c r="AB487" i="7"/>
  <c r="N487" i="7"/>
  <c r="W487" i="7" s="1"/>
  <c r="M487" i="7"/>
  <c r="V487" i="7" s="1"/>
  <c r="K487" i="7"/>
  <c r="T487" i="7" s="1"/>
  <c r="J487" i="7"/>
  <c r="I487" i="7"/>
  <c r="H487" i="7"/>
  <c r="G487" i="7"/>
  <c r="F487" i="7"/>
  <c r="E487" i="7"/>
  <c r="D487" i="7"/>
  <c r="C487" i="7"/>
  <c r="B487" i="7"/>
  <c r="A487" i="7"/>
  <c r="CH487" i="17" s="1"/>
  <c r="AB486" i="7"/>
  <c r="J486" i="7"/>
  <c r="I486" i="7"/>
  <c r="H486" i="7"/>
  <c r="G486" i="7"/>
  <c r="F486" i="7"/>
  <c r="E486" i="7"/>
  <c r="D486" i="7"/>
  <c r="C486" i="7"/>
  <c r="B486" i="7"/>
  <c r="A486" i="7"/>
  <c r="CH486" i="17" s="1"/>
  <c r="AB485" i="7"/>
  <c r="J485" i="7"/>
  <c r="I485" i="7"/>
  <c r="H485" i="7"/>
  <c r="G485" i="7"/>
  <c r="F485" i="7"/>
  <c r="E485" i="7"/>
  <c r="D485" i="7"/>
  <c r="C485" i="7"/>
  <c r="B485" i="7"/>
  <c r="A485" i="7"/>
  <c r="CH485" i="17" s="1"/>
  <c r="AB484" i="7"/>
  <c r="J484" i="7"/>
  <c r="I484" i="7"/>
  <c r="H484" i="7"/>
  <c r="G484" i="7"/>
  <c r="F484" i="7"/>
  <c r="O484" i="7" s="1"/>
  <c r="Z484" i="7" s="1"/>
  <c r="E484" i="7"/>
  <c r="D484" i="7"/>
  <c r="M484" i="7" s="1"/>
  <c r="V484" i="7" s="1"/>
  <c r="C484" i="7"/>
  <c r="B484" i="7"/>
  <c r="A484" i="7"/>
  <c r="CH484" i="17" s="1"/>
  <c r="AB483" i="7"/>
  <c r="M483" i="7"/>
  <c r="V483" i="7" s="1"/>
  <c r="K483" i="7"/>
  <c r="T483" i="7" s="1"/>
  <c r="J483" i="7"/>
  <c r="I483" i="7"/>
  <c r="H483" i="7"/>
  <c r="G483" i="7"/>
  <c r="P484" i="7" s="1"/>
  <c r="AA484" i="7" s="1"/>
  <c r="F483" i="7"/>
  <c r="E483" i="7"/>
  <c r="D483" i="7"/>
  <c r="C483" i="7"/>
  <c r="B483" i="7"/>
  <c r="A483" i="7"/>
  <c r="CH483" i="17" s="1"/>
  <c r="AB482" i="7"/>
  <c r="J482" i="7"/>
  <c r="I482" i="7"/>
  <c r="H482" i="7"/>
  <c r="G482" i="7"/>
  <c r="F482" i="7"/>
  <c r="E482" i="7"/>
  <c r="D482" i="7"/>
  <c r="C482" i="7"/>
  <c r="B482" i="7"/>
  <c r="A482" i="7"/>
  <c r="CH482" i="17" s="1"/>
  <c r="AB481" i="7"/>
  <c r="J481" i="7"/>
  <c r="I481" i="7"/>
  <c r="H481" i="7"/>
  <c r="G481" i="7"/>
  <c r="F481" i="7"/>
  <c r="O481" i="7" s="1"/>
  <c r="Z481" i="7" s="1"/>
  <c r="E481" i="7"/>
  <c r="D481" i="7"/>
  <c r="C481" i="7"/>
  <c r="B481" i="7"/>
  <c r="A481" i="7"/>
  <c r="CH481" i="17" s="1"/>
  <c r="AB480" i="7"/>
  <c r="K480" i="7"/>
  <c r="T480" i="7" s="1"/>
  <c r="J480" i="7"/>
  <c r="I480" i="7"/>
  <c r="H480" i="7"/>
  <c r="G480" i="7"/>
  <c r="F480" i="7"/>
  <c r="E480" i="7"/>
  <c r="D480" i="7"/>
  <c r="C480" i="7"/>
  <c r="B480" i="7"/>
  <c r="A480" i="7"/>
  <c r="CH480" i="17" s="1"/>
  <c r="AB479" i="7"/>
  <c r="K479" i="7"/>
  <c r="T479" i="7" s="1"/>
  <c r="J479" i="7"/>
  <c r="I479" i="7"/>
  <c r="H479" i="7"/>
  <c r="G479" i="7"/>
  <c r="F479" i="7"/>
  <c r="E479" i="7"/>
  <c r="D479" i="7"/>
  <c r="C479" i="7"/>
  <c r="B479" i="7"/>
  <c r="A479" i="7"/>
  <c r="CH479" i="17" s="1"/>
  <c r="AB478" i="7"/>
  <c r="J478" i="7"/>
  <c r="I478" i="7"/>
  <c r="H478" i="7"/>
  <c r="G478" i="7"/>
  <c r="F478" i="7"/>
  <c r="E478" i="7"/>
  <c r="D478" i="7"/>
  <c r="C478" i="7"/>
  <c r="B478" i="7"/>
  <c r="A478" i="7"/>
  <c r="CH478" i="17" s="1"/>
  <c r="AB477" i="7"/>
  <c r="O477" i="7"/>
  <c r="Z477" i="7" s="1"/>
  <c r="N477" i="7"/>
  <c r="W477" i="7" s="1"/>
  <c r="J477" i="7"/>
  <c r="I477" i="7"/>
  <c r="H477" i="7"/>
  <c r="G477" i="7"/>
  <c r="F477" i="7"/>
  <c r="E477" i="7"/>
  <c r="D477" i="7"/>
  <c r="C477" i="7"/>
  <c r="B477" i="7"/>
  <c r="A477" i="7"/>
  <c r="CH477" i="17" s="1"/>
  <c r="AB476" i="7"/>
  <c r="J476" i="7"/>
  <c r="I476" i="7"/>
  <c r="H476" i="7"/>
  <c r="G476" i="7"/>
  <c r="F476" i="7"/>
  <c r="E476" i="7"/>
  <c r="D476" i="7"/>
  <c r="C476" i="7"/>
  <c r="B476" i="7"/>
  <c r="A476" i="7"/>
  <c r="CH476" i="17" s="1"/>
  <c r="AB475" i="7"/>
  <c r="J475" i="7"/>
  <c r="I475" i="7"/>
  <c r="H475" i="7"/>
  <c r="G475" i="7"/>
  <c r="F475" i="7"/>
  <c r="E475" i="7"/>
  <c r="D475" i="7"/>
  <c r="C475" i="7"/>
  <c r="B475" i="7"/>
  <c r="A475" i="7"/>
  <c r="CH475" i="17" s="1"/>
  <c r="AB474" i="7"/>
  <c r="J474" i="7"/>
  <c r="I474" i="7"/>
  <c r="H474" i="7"/>
  <c r="G474" i="7"/>
  <c r="F474" i="7"/>
  <c r="E474" i="7"/>
  <c r="D474" i="7"/>
  <c r="C474" i="7"/>
  <c r="B474" i="7"/>
  <c r="A474" i="7"/>
  <c r="CH474" i="17" s="1"/>
  <c r="AB473" i="7"/>
  <c r="J473" i="7"/>
  <c r="I473" i="7"/>
  <c r="H473" i="7"/>
  <c r="G473" i="7"/>
  <c r="P474" i="7" s="1"/>
  <c r="AA474" i="7" s="1"/>
  <c r="F473" i="7"/>
  <c r="E473" i="7"/>
  <c r="D473" i="7"/>
  <c r="C473" i="7"/>
  <c r="B473" i="7"/>
  <c r="A473" i="7"/>
  <c r="CH473" i="17" s="1"/>
  <c r="AB472" i="7"/>
  <c r="J472" i="7"/>
  <c r="I472" i="7"/>
  <c r="H472" i="7"/>
  <c r="G472" i="7"/>
  <c r="F472" i="7"/>
  <c r="E472" i="7"/>
  <c r="D472" i="7"/>
  <c r="C472" i="7"/>
  <c r="B472" i="7"/>
  <c r="A472" i="7"/>
  <c r="CH472" i="17" s="1"/>
  <c r="AB471" i="7"/>
  <c r="J471" i="7"/>
  <c r="I471" i="7"/>
  <c r="H471" i="7"/>
  <c r="G471" i="7"/>
  <c r="P471" i="7" s="1"/>
  <c r="AA471" i="7" s="1"/>
  <c r="F471" i="7"/>
  <c r="E471" i="7"/>
  <c r="D471" i="7"/>
  <c r="C471" i="7"/>
  <c r="B471" i="7"/>
  <c r="A471" i="7"/>
  <c r="CH471" i="17" s="1"/>
  <c r="AB470" i="7"/>
  <c r="K470" i="7"/>
  <c r="T470" i="7" s="1"/>
  <c r="J470" i="7"/>
  <c r="I470" i="7"/>
  <c r="H470" i="7"/>
  <c r="G470" i="7"/>
  <c r="F470" i="7"/>
  <c r="E470" i="7"/>
  <c r="D470" i="7"/>
  <c r="C470" i="7"/>
  <c r="B470" i="7"/>
  <c r="A470" i="7"/>
  <c r="CH470" i="17" s="1"/>
  <c r="AB469" i="7"/>
  <c r="J469" i="7"/>
  <c r="I469" i="7"/>
  <c r="H469" i="7"/>
  <c r="G469" i="7"/>
  <c r="F469" i="7"/>
  <c r="E469" i="7"/>
  <c r="D469" i="7"/>
  <c r="C469" i="7"/>
  <c r="B469" i="7"/>
  <c r="A469" i="7"/>
  <c r="CH469" i="17" s="1"/>
  <c r="AB468" i="7"/>
  <c r="J468" i="7"/>
  <c r="I468" i="7"/>
  <c r="H468" i="7"/>
  <c r="G468" i="7"/>
  <c r="F468" i="7"/>
  <c r="E468" i="7"/>
  <c r="D468" i="7"/>
  <c r="C468" i="7"/>
  <c r="B468" i="7"/>
  <c r="A468" i="7"/>
  <c r="CH468" i="17" s="1"/>
  <c r="AB467" i="7"/>
  <c r="K467" i="7"/>
  <c r="T467" i="7" s="1"/>
  <c r="J467" i="7"/>
  <c r="I467" i="7"/>
  <c r="H467" i="7"/>
  <c r="G467" i="7"/>
  <c r="F467" i="7"/>
  <c r="E467" i="7"/>
  <c r="D467" i="7"/>
  <c r="C467" i="7"/>
  <c r="B467" i="7"/>
  <c r="A467" i="7"/>
  <c r="CH467" i="17" s="1"/>
  <c r="AB466" i="7"/>
  <c r="J466" i="7"/>
  <c r="I466" i="7"/>
  <c r="H466" i="7"/>
  <c r="G466" i="7"/>
  <c r="F466" i="7"/>
  <c r="E466" i="7"/>
  <c r="D466" i="7"/>
  <c r="C466" i="7"/>
  <c r="B466" i="7"/>
  <c r="A466" i="7"/>
  <c r="CH466" i="17" s="1"/>
  <c r="AB465" i="7"/>
  <c r="J465" i="7"/>
  <c r="I465" i="7"/>
  <c r="H465" i="7"/>
  <c r="G465" i="7"/>
  <c r="F465" i="7"/>
  <c r="E465" i="7"/>
  <c r="D465" i="7"/>
  <c r="C465" i="7"/>
  <c r="B465" i="7"/>
  <c r="A465" i="7"/>
  <c r="CH465" i="17" s="1"/>
  <c r="AB464" i="7"/>
  <c r="K464" i="7"/>
  <c r="T464" i="7" s="1"/>
  <c r="J464" i="7"/>
  <c r="I464" i="7"/>
  <c r="H464" i="7"/>
  <c r="G464" i="7"/>
  <c r="F464" i="7"/>
  <c r="E464" i="7"/>
  <c r="D464" i="7"/>
  <c r="M464" i="7" s="1"/>
  <c r="V464" i="7" s="1"/>
  <c r="C464" i="7"/>
  <c r="B464" i="7"/>
  <c r="A464" i="7"/>
  <c r="CH464" i="17" s="1"/>
  <c r="AB463" i="7"/>
  <c r="J463" i="7"/>
  <c r="S463" i="7" s="1"/>
  <c r="I463" i="7"/>
  <c r="H463" i="7"/>
  <c r="G463" i="7"/>
  <c r="F463" i="7"/>
  <c r="E463" i="7"/>
  <c r="N463" i="7" s="1"/>
  <c r="W463" i="7" s="1"/>
  <c r="D463" i="7"/>
  <c r="C463" i="7"/>
  <c r="B463" i="7"/>
  <c r="A463" i="7"/>
  <c r="CH463" i="17" s="1"/>
  <c r="AB462" i="7"/>
  <c r="N462" i="7"/>
  <c r="W462" i="7" s="1"/>
  <c r="J462" i="7"/>
  <c r="I462" i="7"/>
  <c r="H462" i="7"/>
  <c r="G462" i="7"/>
  <c r="F462" i="7"/>
  <c r="O462" i="7" s="1"/>
  <c r="Z462" i="7" s="1"/>
  <c r="E462" i="7"/>
  <c r="D462" i="7"/>
  <c r="M462" i="7" s="1"/>
  <c r="V462" i="7" s="1"/>
  <c r="C462" i="7"/>
  <c r="B462" i="7"/>
  <c r="A462" i="7"/>
  <c r="CH462" i="17" s="1"/>
  <c r="AB461" i="7"/>
  <c r="J461" i="7"/>
  <c r="I461" i="7"/>
  <c r="H461" i="7"/>
  <c r="G461" i="7"/>
  <c r="P462" i="7" s="1"/>
  <c r="AA462" i="7" s="1"/>
  <c r="F461" i="7"/>
  <c r="E461" i="7"/>
  <c r="D461" i="7"/>
  <c r="C461" i="7"/>
  <c r="B461" i="7"/>
  <c r="A461" i="7"/>
  <c r="CH461" i="17" s="1"/>
  <c r="AB460" i="7"/>
  <c r="J460" i="7"/>
  <c r="I460" i="7"/>
  <c r="H460" i="7"/>
  <c r="Q460" i="7" s="1"/>
  <c r="X460" i="7" s="1"/>
  <c r="G460" i="7"/>
  <c r="F460" i="7"/>
  <c r="E460" i="7"/>
  <c r="D460" i="7"/>
  <c r="C460" i="7"/>
  <c r="B460" i="7"/>
  <c r="A460" i="7"/>
  <c r="CH460" i="17" s="1"/>
  <c r="AB459" i="7"/>
  <c r="O459" i="7"/>
  <c r="Z459" i="7" s="1"/>
  <c r="N459" i="7"/>
  <c r="W459" i="7" s="1"/>
  <c r="M459" i="7"/>
  <c r="V459" i="7" s="1"/>
  <c r="J459" i="7"/>
  <c r="I459" i="7"/>
  <c r="H459" i="7"/>
  <c r="G459" i="7"/>
  <c r="F459" i="7"/>
  <c r="E459" i="7"/>
  <c r="D459" i="7"/>
  <c r="C459" i="7"/>
  <c r="B459" i="7"/>
  <c r="A459" i="7"/>
  <c r="CH459" i="17" s="1"/>
  <c r="AB458" i="7"/>
  <c r="J458" i="7"/>
  <c r="I458" i="7"/>
  <c r="H458" i="7"/>
  <c r="G458" i="7"/>
  <c r="F458" i="7"/>
  <c r="E458" i="7"/>
  <c r="D458" i="7"/>
  <c r="C458" i="7"/>
  <c r="B458" i="7"/>
  <c r="A458" i="7"/>
  <c r="CH458" i="17" s="1"/>
  <c r="AB457" i="7"/>
  <c r="P457" i="7"/>
  <c r="AA457" i="7" s="1"/>
  <c r="J457" i="7"/>
  <c r="I457" i="7"/>
  <c r="H457" i="7"/>
  <c r="G457" i="7"/>
  <c r="F457" i="7"/>
  <c r="E457" i="7"/>
  <c r="D457" i="7"/>
  <c r="C457" i="7"/>
  <c r="B457" i="7"/>
  <c r="A457" i="7"/>
  <c r="CH457" i="17" s="1"/>
  <c r="AB456" i="7"/>
  <c r="M456" i="7"/>
  <c r="V456" i="7" s="1"/>
  <c r="J456" i="7"/>
  <c r="I456" i="7"/>
  <c r="H456" i="7"/>
  <c r="G456" i="7"/>
  <c r="F456" i="7"/>
  <c r="O457" i="7" s="1"/>
  <c r="Z457" i="7" s="1"/>
  <c r="E456" i="7"/>
  <c r="D456" i="7"/>
  <c r="C456" i="7"/>
  <c r="B456" i="7"/>
  <c r="A456" i="7"/>
  <c r="CH456" i="17" s="1"/>
  <c r="AB455" i="7"/>
  <c r="J455" i="7"/>
  <c r="I455" i="7"/>
  <c r="R455" i="7" s="1"/>
  <c r="H455" i="7"/>
  <c r="G455" i="7"/>
  <c r="F455" i="7"/>
  <c r="E455" i="7"/>
  <c r="D455" i="7"/>
  <c r="C455" i="7"/>
  <c r="B455" i="7"/>
  <c r="K456" i="7" s="1"/>
  <c r="T456" i="7" s="1"/>
  <c r="A455" i="7"/>
  <c r="CH455" i="17" s="1"/>
  <c r="AB454" i="7"/>
  <c r="O454" i="7"/>
  <c r="Z454" i="7" s="1"/>
  <c r="M454" i="7"/>
  <c r="V454" i="7" s="1"/>
  <c r="J454" i="7"/>
  <c r="I454" i="7"/>
  <c r="H454" i="7"/>
  <c r="G454" i="7"/>
  <c r="F454" i="7"/>
  <c r="E454" i="7"/>
  <c r="N454" i="7" s="1"/>
  <c r="W454" i="7" s="1"/>
  <c r="D454" i="7"/>
  <c r="M455" i="7" s="1"/>
  <c r="V455" i="7" s="1"/>
  <c r="C454" i="7"/>
  <c r="B454" i="7"/>
  <c r="A454" i="7"/>
  <c r="CH454" i="17" s="1"/>
  <c r="AB453" i="7"/>
  <c r="O453" i="7"/>
  <c r="Z453" i="7" s="1"/>
  <c r="J453" i="7"/>
  <c r="I453" i="7"/>
  <c r="H453" i="7"/>
  <c r="Q453" i="7" s="1"/>
  <c r="X453" i="7" s="1"/>
  <c r="G453" i="7"/>
  <c r="F453" i="7"/>
  <c r="E453" i="7"/>
  <c r="D453" i="7"/>
  <c r="C453" i="7"/>
  <c r="B453" i="7"/>
  <c r="A453" i="7"/>
  <c r="CH453" i="17" s="1"/>
  <c r="AB452" i="7"/>
  <c r="P452" i="7"/>
  <c r="AA452" i="7" s="1"/>
  <c r="J452" i="7"/>
  <c r="I452" i="7"/>
  <c r="H452" i="7"/>
  <c r="G452" i="7"/>
  <c r="F452" i="7"/>
  <c r="O452" i="7" s="1"/>
  <c r="Z452" i="7" s="1"/>
  <c r="E452" i="7"/>
  <c r="D452" i="7"/>
  <c r="C452" i="7"/>
  <c r="B452" i="7"/>
  <c r="A452" i="7"/>
  <c r="CH452" i="17" s="1"/>
  <c r="AB451" i="7"/>
  <c r="J451" i="7"/>
  <c r="I451" i="7"/>
  <c r="H451" i="7"/>
  <c r="G451" i="7"/>
  <c r="F451" i="7"/>
  <c r="E451" i="7"/>
  <c r="D451" i="7"/>
  <c r="C451" i="7"/>
  <c r="B451" i="7"/>
  <c r="A451" i="7"/>
  <c r="CH451" i="17" s="1"/>
  <c r="AB450" i="7"/>
  <c r="J450" i="7"/>
  <c r="I450" i="7"/>
  <c r="H450" i="7"/>
  <c r="G450" i="7"/>
  <c r="F450" i="7"/>
  <c r="E450" i="7"/>
  <c r="D450" i="7"/>
  <c r="C450" i="7"/>
  <c r="B450" i="7"/>
  <c r="A450" i="7"/>
  <c r="CH450" i="17" s="1"/>
  <c r="AB449" i="7"/>
  <c r="L449" i="7"/>
  <c r="U449" i="7" s="1"/>
  <c r="J449" i="7"/>
  <c r="I449" i="7"/>
  <c r="R449" i="7" s="1"/>
  <c r="H449" i="7"/>
  <c r="G449" i="7"/>
  <c r="F449" i="7"/>
  <c r="E449" i="7"/>
  <c r="D449" i="7"/>
  <c r="C449" i="7"/>
  <c r="B449" i="7"/>
  <c r="A449" i="7"/>
  <c r="CH449" i="17" s="1"/>
  <c r="AB448" i="7"/>
  <c r="J448" i="7"/>
  <c r="I448" i="7"/>
  <c r="H448" i="7"/>
  <c r="G448" i="7"/>
  <c r="F448" i="7"/>
  <c r="E448" i="7"/>
  <c r="D448" i="7"/>
  <c r="C448" i="7"/>
  <c r="B448" i="7"/>
  <c r="A448" i="7"/>
  <c r="CH448" i="17" s="1"/>
  <c r="AB447" i="7"/>
  <c r="L447" i="7"/>
  <c r="U447" i="7" s="1"/>
  <c r="J447" i="7"/>
  <c r="I447" i="7"/>
  <c r="H447" i="7"/>
  <c r="G447" i="7"/>
  <c r="F447" i="7"/>
  <c r="E447" i="7"/>
  <c r="D447" i="7"/>
  <c r="C447" i="7"/>
  <c r="B447" i="7"/>
  <c r="A447" i="7"/>
  <c r="CH447" i="17" s="1"/>
  <c r="AB446" i="7"/>
  <c r="J446" i="7"/>
  <c r="I446" i="7"/>
  <c r="H446" i="7"/>
  <c r="G446" i="7"/>
  <c r="F446" i="7"/>
  <c r="E446" i="7"/>
  <c r="D446" i="7"/>
  <c r="C446" i="7"/>
  <c r="B446" i="7"/>
  <c r="A446" i="7"/>
  <c r="CH446" i="17" s="1"/>
  <c r="AB445" i="7"/>
  <c r="J445" i="7"/>
  <c r="I445" i="7"/>
  <c r="H445" i="7"/>
  <c r="G445" i="7"/>
  <c r="F445" i="7"/>
  <c r="E445" i="7"/>
  <c r="D445" i="7"/>
  <c r="C445" i="7"/>
  <c r="B445" i="7"/>
  <c r="A445" i="7"/>
  <c r="CH445" i="17" s="1"/>
  <c r="AB444" i="7"/>
  <c r="J444" i="7"/>
  <c r="I444" i="7"/>
  <c r="H444" i="7"/>
  <c r="G444" i="7"/>
  <c r="F444" i="7"/>
  <c r="E444" i="7"/>
  <c r="D444" i="7"/>
  <c r="C444" i="7"/>
  <c r="B444" i="7"/>
  <c r="A444" i="7"/>
  <c r="CH444" i="17" s="1"/>
  <c r="AB443" i="7"/>
  <c r="L443" i="7"/>
  <c r="U443" i="7" s="1"/>
  <c r="J443" i="7"/>
  <c r="I443" i="7"/>
  <c r="R443" i="7" s="1"/>
  <c r="H443" i="7"/>
  <c r="G443" i="7"/>
  <c r="F443" i="7"/>
  <c r="E443" i="7"/>
  <c r="D443" i="7"/>
  <c r="C443" i="7"/>
  <c r="B443" i="7"/>
  <c r="A443" i="7"/>
  <c r="CH443" i="17" s="1"/>
  <c r="AB442" i="7"/>
  <c r="J442" i="7"/>
  <c r="I442" i="7"/>
  <c r="H442" i="7"/>
  <c r="G442" i="7"/>
  <c r="F442" i="7"/>
  <c r="E442" i="7"/>
  <c r="D442" i="7"/>
  <c r="C442" i="7"/>
  <c r="B442" i="7"/>
  <c r="A442" i="7"/>
  <c r="CH442" i="17" s="1"/>
  <c r="AB441" i="7"/>
  <c r="J441" i="7"/>
  <c r="I441" i="7"/>
  <c r="R441" i="7" s="1"/>
  <c r="H441" i="7"/>
  <c r="G441" i="7"/>
  <c r="F441" i="7"/>
  <c r="E441" i="7"/>
  <c r="D441" i="7"/>
  <c r="C441" i="7"/>
  <c r="B441" i="7"/>
  <c r="A441" i="7"/>
  <c r="CH441" i="17" s="1"/>
  <c r="AB440" i="7"/>
  <c r="M440" i="7"/>
  <c r="V440" i="7" s="1"/>
  <c r="J440" i="7"/>
  <c r="I440" i="7"/>
  <c r="H440" i="7"/>
  <c r="G440" i="7"/>
  <c r="F440" i="7"/>
  <c r="E440" i="7"/>
  <c r="D440" i="7"/>
  <c r="C440" i="7"/>
  <c r="B440" i="7"/>
  <c r="A440" i="7"/>
  <c r="CH440" i="17" s="1"/>
  <c r="AB439" i="7"/>
  <c r="J439" i="7"/>
  <c r="I439" i="7"/>
  <c r="H439" i="7"/>
  <c r="G439" i="7"/>
  <c r="F439" i="7"/>
  <c r="E439" i="7"/>
  <c r="D439" i="7"/>
  <c r="C439" i="7"/>
  <c r="B439" i="7"/>
  <c r="A439" i="7"/>
  <c r="CH439" i="17" s="1"/>
  <c r="AB438" i="7"/>
  <c r="J438" i="7"/>
  <c r="S438" i="7" s="1"/>
  <c r="I438" i="7"/>
  <c r="H438" i="7"/>
  <c r="G438" i="7"/>
  <c r="F438" i="7"/>
  <c r="E438" i="7"/>
  <c r="D438" i="7"/>
  <c r="C438" i="7"/>
  <c r="B438" i="7"/>
  <c r="A438" i="7"/>
  <c r="CH438" i="17" s="1"/>
  <c r="AB437" i="7"/>
  <c r="O437" i="7"/>
  <c r="Z437" i="7" s="1"/>
  <c r="J437" i="7"/>
  <c r="S437" i="7" s="1"/>
  <c r="I437" i="7"/>
  <c r="H437" i="7"/>
  <c r="G437" i="7"/>
  <c r="F437" i="7"/>
  <c r="E437" i="7"/>
  <c r="D437" i="7"/>
  <c r="C437" i="7"/>
  <c r="B437" i="7"/>
  <c r="A437" i="7"/>
  <c r="CH437" i="17" s="1"/>
  <c r="AB436" i="7"/>
  <c r="K436" i="7"/>
  <c r="T436" i="7" s="1"/>
  <c r="J436" i="7"/>
  <c r="I436" i="7"/>
  <c r="H436" i="7"/>
  <c r="G436" i="7"/>
  <c r="F436" i="7"/>
  <c r="E436" i="7"/>
  <c r="D436" i="7"/>
  <c r="C436" i="7"/>
  <c r="B436" i="7"/>
  <c r="A436" i="7"/>
  <c r="CH436" i="17" s="1"/>
  <c r="AB435" i="7"/>
  <c r="K435" i="7"/>
  <c r="T435" i="7" s="1"/>
  <c r="J435" i="7"/>
  <c r="I435" i="7"/>
  <c r="H435" i="7"/>
  <c r="G435" i="7"/>
  <c r="F435" i="7"/>
  <c r="E435" i="7"/>
  <c r="D435" i="7"/>
  <c r="C435" i="7"/>
  <c r="B435" i="7"/>
  <c r="A435" i="7"/>
  <c r="CH435" i="17" s="1"/>
  <c r="AB434" i="7"/>
  <c r="J434" i="7"/>
  <c r="I434" i="7"/>
  <c r="R434" i="7" s="1"/>
  <c r="H434" i="7"/>
  <c r="G434" i="7"/>
  <c r="F434" i="7"/>
  <c r="O435" i="7" s="1"/>
  <c r="Z435" i="7" s="1"/>
  <c r="E434" i="7"/>
  <c r="N435" i="7" s="1"/>
  <c r="W435" i="7" s="1"/>
  <c r="D434" i="7"/>
  <c r="C434" i="7"/>
  <c r="B434" i="7"/>
  <c r="A434" i="7"/>
  <c r="CH434" i="17" s="1"/>
  <c r="AB433" i="7"/>
  <c r="K433" i="7"/>
  <c r="T433" i="7" s="1"/>
  <c r="J433" i="7"/>
  <c r="I433" i="7"/>
  <c r="H433" i="7"/>
  <c r="G433" i="7"/>
  <c r="F433" i="7"/>
  <c r="E433" i="7"/>
  <c r="N433" i="7" s="1"/>
  <c r="W433" i="7" s="1"/>
  <c r="D433" i="7"/>
  <c r="C433" i="7"/>
  <c r="B433" i="7"/>
  <c r="A433" i="7"/>
  <c r="CH433" i="17" s="1"/>
  <c r="AB432" i="7"/>
  <c r="J432" i="7"/>
  <c r="I432" i="7"/>
  <c r="H432" i="7"/>
  <c r="G432" i="7"/>
  <c r="F432" i="7"/>
  <c r="O433" i="7" s="1"/>
  <c r="Z433" i="7" s="1"/>
  <c r="E432" i="7"/>
  <c r="D432" i="7"/>
  <c r="C432" i="7"/>
  <c r="B432" i="7"/>
  <c r="K432" i="7" s="1"/>
  <c r="T432" i="7" s="1"/>
  <c r="A432" i="7"/>
  <c r="CH432" i="17" s="1"/>
  <c r="AB431" i="7"/>
  <c r="J431" i="7"/>
  <c r="I431" i="7"/>
  <c r="H431" i="7"/>
  <c r="G431" i="7"/>
  <c r="F431" i="7"/>
  <c r="E431" i="7"/>
  <c r="D431" i="7"/>
  <c r="C431" i="7"/>
  <c r="B431" i="7"/>
  <c r="A431" i="7"/>
  <c r="CH431" i="17" s="1"/>
  <c r="AB430" i="7"/>
  <c r="J430" i="7"/>
  <c r="I430" i="7"/>
  <c r="H430" i="7"/>
  <c r="G430" i="7"/>
  <c r="F430" i="7"/>
  <c r="E430" i="7"/>
  <c r="D430" i="7"/>
  <c r="C430" i="7"/>
  <c r="B430" i="7"/>
  <c r="A430" i="7"/>
  <c r="CH430" i="17" s="1"/>
  <c r="AB429" i="7"/>
  <c r="J429" i="7"/>
  <c r="I429" i="7"/>
  <c r="H429" i="7"/>
  <c r="G429" i="7"/>
  <c r="F429" i="7"/>
  <c r="E429" i="7"/>
  <c r="D429" i="7"/>
  <c r="C429" i="7"/>
  <c r="B429" i="7"/>
  <c r="A429" i="7"/>
  <c r="CH429" i="17" s="1"/>
  <c r="AB428" i="7"/>
  <c r="J428" i="7"/>
  <c r="S428" i="7" s="1"/>
  <c r="I428" i="7"/>
  <c r="H428" i="7"/>
  <c r="G428" i="7"/>
  <c r="F428" i="7"/>
  <c r="E428" i="7"/>
  <c r="D428" i="7"/>
  <c r="C428" i="7"/>
  <c r="B428" i="7"/>
  <c r="A428" i="7"/>
  <c r="CH428" i="17" s="1"/>
  <c r="AB427" i="7"/>
  <c r="J427" i="7"/>
  <c r="S427" i="7" s="1"/>
  <c r="I427" i="7"/>
  <c r="H427" i="7"/>
  <c r="G427" i="7"/>
  <c r="F427" i="7"/>
  <c r="E427" i="7"/>
  <c r="D427" i="7"/>
  <c r="C427" i="7"/>
  <c r="B427" i="7"/>
  <c r="A427" i="7"/>
  <c r="CH427" i="17" s="1"/>
  <c r="AB426" i="7"/>
  <c r="J426" i="7"/>
  <c r="S426" i="7" s="1"/>
  <c r="I426" i="7"/>
  <c r="H426" i="7"/>
  <c r="G426" i="7"/>
  <c r="F426" i="7"/>
  <c r="E426" i="7"/>
  <c r="D426" i="7"/>
  <c r="C426" i="7"/>
  <c r="B426" i="7"/>
  <c r="A426" i="7"/>
  <c r="CH426" i="17" s="1"/>
  <c r="AB425" i="7"/>
  <c r="J425" i="7"/>
  <c r="S425" i="7" s="1"/>
  <c r="I425" i="7"/>
  <c r="H425" i="7"/>
  <c r="G425" i="7"/>
  <c r="F425" i="7"/>
  <c r="E425" i="7"/>
  <c r="D425" i="7"/>
  <c r="C425" i="7"/>
  <c r="B425" i="7"/>
  <c r="A425" i="7"/>
  <c r="CH425" i="17" s="1"/>
  <c r="AB424" i="7"/>
  <c r="J424" i="7"/>
  <c r="S424" i="7" s="1"/>
  <c r="I424" i="7"/>
  <c r="H424" i="7"/>
  <c r="G424" i="7"/>
  <c r="F424" i="7"/>
  <c r="E424" i="7"/>
  <c r="D424" i="7"/>
  <c r="C424" i="7"/>
  <c r="B424" i="7"/>
  <c r="A424" i="7"/>
  <c r="CH424" i="17" s="1"/>
  <c r="AB423" i="7"/>
  <c r="J423" i="7"/>
  <c r="I423" i="7"/>
  <c r="H423" i="7"/>
  <c r="G423" i="7"/>
  <c r="F423" i="7"/>
  <c r="E423" i="7"/>
  <c r="D423" i="7"/>
  <c r="C423" i="7"/>
  <c r="B423" i="7"/>
  <c r="A423" i="7"/>
  <c r="CH423" i="17" s="1"/>
  <c r="AB422" i="7"/>
  <c r="N422" i="7"/>
  <c r="W422" i="7" s="1"/>
  <c r="J422" i="7"/>
  <c r="I422" i="7"/>
  <c r="H422" i="7"/>
  <c r="G422" i="7"/>
  <c r="F422" i="7"/>
  <c r="E422" i="7"/>
  <c r="D422" i="7"/>
  <c r="C422" i="7"/>
  <c r="B422" i="7"/>
  <c r="A422" i="7"/>
  <c r="CH422" i="17" s="1"/>
  <c r="AB421" i="7"/>
  <c r="J421" i="7"/>
  <c r="I421" i="7"/>
  <c r="H421" i="7"/>
  <c r="G421" i="7"/>
  <c r="F421" i="7"/>
  <c r="E421" i="7"/>
  <c r="D421" i="7"/>
  <c r="C421" i="7"/>
  <c r="B421" i="7"/>
  <c r="K422" i="7" s="1"/>
  <c r="T422" i="7" s="1"/>
  <c r="A421" i="7"/>
  <c r="CH421" i="17" s="1"/>
  <c r="AB420" i="7"/>
  <c r="J420" i="7"/>
  <c r="I420" i="7"/>
  <c r="R420" i="7" s="1"/>
  <c r="H420" i="7"/>
  <c r="G420" i="7"/>
  <c r="F420" i="7"/>
  <c r="E420" i="7"/>
  <c r="D420" i="7"/>
  <c r="C420" i="7"/>
  <c r="B420" i="7"/>
  <c r="A420" i="7"/>
  <c r="CH420" i="17" s="1"/>
  <c r="AB419" i="7"/>
  <c r="J419" i="7"/>
  <c r="S419" i="7" s="1"/>
  <c r="I419" i="7"/>
  <c r="H419" i="7"/>
  <c r="G419" i="7"/>
  <c r="F419" i="7"/>
  <c r="E419" i="7"/>
  <c r="D419" i="7"/>
  <c r="C419" i="7"/>
  <c r="B419" i="7"/>
  <c r="A419" i="7"/>
  <c r="CH419" i="17" s="1"/>
  <c r="AB418" i="7"/>
  <c r="J418" i="7"/>
  <c r="I418" i="7"/>
  <c r="R418" i="7" s="1"/>
  <c r="H418" i="7"/>
  <c r="G418" i="7"/>
  <c r="F418" i="7"/>
  <c r="E418" i="7"/>
  <c r="D418" i="7"/>
  <c r="C418" i="7"/>
  <c r="B418" i="7"/>
  <c r="A418" i="7"/>
  <c r="CH418" i="17" s="1"/>
  <c r="AB417" i="7"/>
  <c r="J417" i="7"/>
  <c r="S417" i="7" s="1"/>
  <c r="I417" i="7"/>
  <c r="H417" i="7"/>
  <c r="G417" i="7"/>
  <c r="F417" i="7"/>
  <c r="E417" i="7"/>
  <c r="D417" i="7"/>
  <c r="C417" i="7"/>
  <c r="B417" i="7"/>
  <c r="A417" i="7"/>
  <c r="CH417" i="17" s="1"/>
  <c r="AB416" i="7"/>
  <c r="J416" i="7"/>
  <c r="I416" i="7"/>
  <c r="R416" i="7" s="1"/>
  <c r="H416" i="7"/>
  <c r="G416" i="7"/>
  <c r="F416" i="7"/>
  <c r="E416" i="7"/>
  <c r="D416" i="7"/>
  <c r="C416" i="7"/>
  <c r="B416" i="7"/>
  <c r="A416" i="7"/>
  <c r="CH416" i="17" s="1"/>
  <c r="AB415" i="7"/>
  <c r="J415" i="7"/>
  <c r="I415" i="7"/>
  <c r="H415" i="7"/>
  <c r="G415" i="7"/>
  <c r="F415" i="7"/>
  <c r="E415" i="7"/>
  <c r="D415" i="7"/>
  <c r="C415" i="7"/>
  <c r="B415" i="7"/>
  <c r="A415" i="7"/>
  <c r="CH415" i="17" s="1"/>
  <c r="AB414" i="7"/>
  <c r="J414" i="7"/>
  <c r="I414" i="7"/>
  <c r="H414" i="7"/>
  <c r="G414" i="7"/>
  <c r="F414" i="7"/>
  <c r="E414" i="7"/>
  <c r="D414" i="7"/>
  <c r="C414" i="7"/>
  <c r="B414" i="7"/>
  <c r="K414" i="7" s="1"/>
  <c r="T414" i="7" s="1"/>
  <c r="A414" i="7"/>
  <c r="CH414" i="17" s="1"/>
  <c r="AB413" i="7"/>
  <c r="K413" i="7"/>
  <c r="T413" i="7" s="1"/>
  <c r="J413" i="7"/>
  <c r="I413" i="7"/>
  <c r="H413" i="7"/>
  <c r="G413" i="7"/>
  <c r="F413" i="7"/>
  <c r="E413" i="7"/>
  <c r="D413" i="7"/>
  <c r="C413" i="7"/>
  <c r="B413" i="7"/>
  <c r="A413" i="7"/>
  <c r="CH413" i="17" s="1"/>
  <c r="AB412" i="7"/>
  <c r="J412" i="7"/>
  <c r="S412" i="7" s="1"/>
  <c r="I412" i="7"/>
  <c r="H412" i="7"/>
  <c r="G412" i="7"/>
  <c r="F412" i="7"/>
  <c r="E412" i="7"/>
  <c r="D412" i="7"/>
  <c r="C412" i="7"/>
  <c r="B412" i="7"/>
  <c r="A412" i="7"/>
  <c r="CH412" i="17" s="1"/>
  <c r="AB411" i="7"/>
  <c r="J411" i="7"/>
  <c r="S411" i="7" s="1"/>
  <c r="I411" i="7"/>
  <c r="R411" i="7" s="1"/>
  <c r="H411" i="7"/>
  <c r="G411" i="7"/>
  <c r="F411" i="7"/>
  <c r="E411" i="7"/>
  <c r="D411" i="7"/>
  <c r="C411" i="7"/>
  <c r="B411" i="7"/>
  <c r="A411" i="7"/>
  <c r="CH411" i="17" s="1"/>
  <c r="AB410" i="7"/>
  <c r="J410" i="7"/>
  <c r="I410" i="7"/>
  <c r="H410" i="7"/>
  <c r="G410" i="7"/>
  <c r="F410" i="7"/>
  <c r="E410" i="7"/>
  <c r="D410" i="7"/>
  <c r="C410" i="7"/>
  <c r="B410" i="7"/>
  <c r="A410" i="7"/>
  <c r="CH410" i="17" s="1"/>
  <c r="AB409" i="7"/>
  <c r="J409" i="7"/>
  <c r="S409" i="7" s="1"/>
  <c r="I409" i="7"/>
  <c r="H409" i="7"/>
  <c r="G409" i="7"/>
  <c r="F409" i="7"/>
  <c r="E409" i="7"/>
  <c r="D409" i="7"/>
  <c r="C409" i="7"/>
  <c r="B409" i="7"/>
  <c r="A409" i="7"/>
  <c r="CH409" i="17" s="1"/>
  <c r="AB408" i="7"/>
  <c r="J408" i="7"/>
  <c r="I408" i="7"/>
  <c r="H408" i="7"/>
  <c r="G408" i="7"/>
  <c r="F408" i="7"/>
  <c r="E408" i="7"/>
  <c r="D408" i="7"/>
  <c r="C408" i="7"/>
  <c r="B408" i="7"/>
  <c r="A408" i="7"/>
  <c r="CH408" i="17" s="1"/>
  <c r="AB407" i="7"/>
  <c r="J407" i="7"/>
  <c r="I407" i="7"/>
  <c r="H407" i="7"/>
  <c r="G407" i="7"/>
  <c r="F407" i="7"/>
  <c r="E407" i="7"/>
  <c r="D407" i="7"/>
  <c r="C407" i="7"/>
  <c r="B407" i="7"/>
  <c r="A407" i="7"/>
  <c r="CH407" i="17" s="1"/>
  <c r="AB406" i="7"/>
  <c r="J406" i="7"/>
  <c r="S406" i="7" s="1"/>
  <c r="I406" i="7"/>
  <c r="R406" i="7" s="1"/>
  <c r="H406" i="7"/>
  <c r="Q406" i="7" s="1"/>
  <c r="X406" i="7" s="1"/>
  <c r="G406" i="7"/>
  <c r="F406" i="7"/>
  <c r="E406" i="7"/>
  <c r="D406" i="7"/>
  <c r="C406" i="7"/>
  <c r="B406" i="7"/>
  <c r="K407" i="7" s="1"/>
  <c r="T407" i="7" s="1"/>
  <c r="A406" i="7"/>
  <c r="CH406" i="17" s="1"/>
  <c r="AB405" i="7"/>
  <c r="O405" i="7"/>
  <c r="Z405" i="7" s="1"/>
  <c r="L405" i="7"/>
  <c r="U405" i="7" s="1"/>
  <c r="J405" i="7"/>
  <c r="S405" i="7" s="1"/>
  <c r="I405" i="7"/>
  <c r="H405" i="7"/>
  <c r="G405" i="7"/>
  <c r="F405" i="7"/>
  <c r="E405" i="7"/>
  <c r="N405" i="7" s="1"/>
  <c r="W405" i="7" s="1"/>
  <c r="D405" i="7"/>
  <c r="C405" i="7"/>
  <c r="B405" i="7"/>
  <c r="A405" i="7"/>
  <c r="CH405" i="17" s="1"/>
  <c r="AB404" i="7"/>
  <c r="J404" i="7"/>
  <c r="I404" i="7"/>
  <c r="H404" i="7"/>
  <c r="G404" i="7"/>
  <c r="F404" i="7"/>
  <c r="E404" i="7"/>
  <c r="D404" i="7"/>
  <c r="C404" i="7"/>
  <c r="B404" i="7"/>
  <c r="A404" i="7"/>
  <c r="CH404" i="17" s="1"/>
  <c r="AB403" i="7"/>
  <c r="J403" i="7"/>
  <c r="S403" i="7" s="1"/>
  <c r="I403" i="7"/>
  <c r="H403" i="7"/>
  <c r="G403" i="7"/>
  <c r="F403" i="7"/>
  <c r="E403" i="7"/>
  <c r="D403" i="7"/>
  <c r="C403" i="7"/>
  <c r="B403" i="7"/>
  <c r="A403" i="7"/>
  <c r="CH403" i="17" s="1"/>
  <c r="AB402" i="7"/>
  <c r="O402" i="7"/>
  <c r="Z402" i="7" s="1"/>
  <c r="N402" i="7"/>
  <c r="W402" i="7" s="1"/>
  <c r="J402" i="7"/>
  <c r="S402" i="7" s="1"/>
  <c r="Y402" i="7" s="1"/>
  <c r="I402" i="7"/>
  <c r="R402" i="7" s="1"/>
  <c r="H402" i="7"/>
  <c r="Q402" i="7" s="1"/>
  <c r="X402" i="7" s="1"/>
  <c r="G402" i="7"/>
  <c r="F402" i="7"/>
  <c r="E402" i="7"/>
  <c r="D402" i="7"/>
  <c r="C402" i="7"/>
  <c r="B402" i="7"/>
  <c r="A402" i="7"/>
  <c r="CH402" i="17" s="1"/>
  <c r="AB401" i="7"/>
  <c r="S401" i="7"/>
  <c r="J401" i="7"/>
  <c r="I401" i="7"/>
  <c r="H401" i="7"/>
  <c r="G401" i="7"/>
  <c r="P401" i="7" s="1"/>
  <c r="AA401" i="7" s="1"/>
  <c r="F401" i="7"/>
  <c r="E401" i="7"/>
  <c r="D401" i="7"/>
  <c r="C401" i="7"/>
  <c r="B401" i="7"/>
  <c r="A401" i="7"/>
  <c r="CH401" i="17" s="1"/>
  <c r="AB400" i="7"/>
  <c r="J400" i="7"/>
  <c r="I400" i="7"/>
  <c r="H400" i="7"/>
  <c r="G400" i="7"/>
  <c r="F400" i="7"/>
  <c r="E400" i="7"/>
  <c r="D400" i="7"/>
  <c r="C400" i="7"/>
  <c r="B400" i="7"/>
  <c r="A400" i="7"/>
  <c r="CH400" i="17" s="1"/>
  <c r="AB399" i="7"/>
  <c r="J399" i="7"/>
  <c r="S399" i="7" s="1"/>
  <c r="I399" i="7"/>
  <c r="R399" i="7" s="1"/>
  <c r="H399" i="7"/>
  <c r="G399" i="7"/>
  <c r="F399" i="7"/>
  <c r="E399" i="7"/>
  <c r="D399" i="7"/>
  <c r="C399" i="7"/>
  <c r="B399" i="7"/>
  <c r="A399" i="7"/>
  <c r="CH399" i="17" s="1"/>
  <c r="AB398" i="7"/>
  <c r="S398" i="7"/>
  <c r="J398" i="7"/>
  <c r="I398" i="7"/>
  <c r="H398" i="7"/>
  <c r="G398" i="7"/>
  <c r="F398" i="7"/>
  <c r="E398" i="7"/>
  <c r="D398" i="7"/>
  <c r="C398" i="7"/>
  <c r="B398" i="7"/>
  <c r="A398" i="7"/>
  <c r="CH398" i="17" s="1"/>
  <c r="AB397" i="7"/>
  <c r="J397" i="7"/>
  <c r="I397" i="7"/>
  <c r="R397" i="7" s="1"/>
  <c r="H397" i="7"/>
  <c r="G397" i="7"/>
  <c r="F397" i="7"/>
  <c r="E397" i="7"/>
  <c r="D397" i="7"/>
  <c r="C397" i="7"/>
  <c r="B397" i="7"/>
  <c r="A397" i="7"/>
  <c r="CH397" i="17" s="1"/>
  <c r="AB396" i="7"/>
  <c r="O396" i="7"/>
  <c r="Z396" i="7" s="1"/>
  <c r="J396" i="7"/>
  <c r="S396" i="7" s="1"/>
  <c r="I396" i="7"/>
  <c r="H396" i="7"/>
  <c r="G396" i="7"/>
  <c r="F396" i="7"/>
  <c r="E396" i="7"/>
  <c r="D396" i="7"/>
  <c r="C396" i="7"/>
  <c r="B396" i="7"/>
  <c r="A396" i="7"/>
  <c r="CH396" i="17" s="1"/>
  <c r="AB395" i="7"/>
  <c r="J395" i="7"/>
  <c r="S395" i="7" s="1"/>
  <c r="I395" i="7"/>
  <c r="H395" i="7"/>
  <c r="G395" i="7"/>
  <c r="F395" i="7"/>
  <c r="E395" i="7"/>
  <c r="D395" i="7"/>
  <c r="C395" i="7"/>
  <c r="B395" i="7"/>
  <c r="A395" i="7"/>
  <c r="CH395" i="17" s="1"/>
  <c r="AB394" i="7"/>
  <c r="J394" i="7"/>
  <c r="S394" i="7" s="1"/>
  <c r="I394" i="7"/>
  <c r="H394" i="7"/>
  <c r="G394" i="7"/>
  <c r="F394" i="7"/>
  <c r="E394" i="7"/>
  <c r="D394" i="7"/>
  <c r="C394" i="7"/>
  <c r="L394" i="7" s="1"/>
  <c r="U394" i="7" s="1"/>
  <c r="B394" i="7"/>
  <c r="A394" i="7"/>
  <c r="CH394" i="17" s="1"/>
  <c r="AB393" i="7"/>
  <c r="J393" i="7"/>
  <c r="I393" i="7"/>
  <c r="H393" i="7"/>
  <c r="G393" i="7"/>
  <c r="F393" i="7"/>
  <c r="E393" i="7"/>
  <c r="D393" i="7"/>
  <c r="C393" i="7"/>
  <c r="B393" i="7"/>
  <c r="A393" i="7"/>
  <c r="CH393" i="17" s="1"/>
  <c r="AB392" i="7"/>
  <c r="L392" i="7"/>
  <c r="U392" i="7" s="1"/>
  <c r="J392" i="7"/>
  <c r="I392" i="7"/>
  <c r="H392" i="7"/>
  <c r="Q392" i="7" s="1"/>
  <c r="X392" i="7" s="1"/>
  <c r="G392" i="7"/>
  <c r="F392" i="7"/>
  <c r="E392" i="7"/>
  <c r="D392" i="7"/>
  <c r="C392" i="7"/>
  <c r="B392" i="7"/>
  <c r="A392" i="7"/>
  <c r="CH392" i="17" s="1"/>
  <c r="AB391" i="7"/>
  <c r="J391" i="7"/>
  <c r="I391" i="7"/>
  <c r="H391" i="7"/>
  <c r="G391" i="7"/>
  <c r="F391" i="7"/>
  <c r="E391" i="7"/>
  <c r="D391" i="7"/>
  <c r="C391" i="7"/>
  <c r="B391" i="7"/>
  <c r="A391" i="7"/>
  <c r="CH391" i="17" s="1"/>
  <c r="AB390" i="7"/>
  <c r="M390" i="7"/>
  <c r="V390" i="7" s="1"/>
  <c r="J390" i="7"/>
  <c r="I390" i="7"/>
  <c r="H390" i="7"/>
  <c r="G390" i="7"/>
  <c r="F390" i="7"/>
  <c r="E390" i="7"/>
  <c r="D390" i="7"/>
  <c r="C390" i="7"/>
  <c r="B390" i="7"/>
  <c r="A390" i="7"/>
  <c r="CH390" i="17" s="1"/>
  <c r="AB389" i="7"/>
  <c r="J389" i="7"/>
  <c r="I389" i="7"/>
  <c r="H389" i="7"/>
  <c r="G389" i="7"/>
  <c r="F389" i="7"/>
  <c r="E389" i="7"/>
  <c r="N389" i="7" s="1"/>
  <c r="W389" i="7" s="1"/>
  <c r="D389" i="7"/>
  <c r="C389" i="7"/>
  <c r="B389" i="7"/>
  <c r="A389" i="7"/>
  <c r="CH389" i="17" s="1"/>
  <c r="AB388" i="7"/>
  <c r="M388" i="7"/>
  <c r="V388" i="7" s="1"/>
  <c r="J388" i="7"/>
  <c r="I388" i="7"/>
  <c r="H388" i="7"/>
  <c r="G388" i="7"/>
  <c r="F388" i="7"/>
  <c r="E388" i="7"/>
  <c r="D388" i="7"/>
  <c r="C388" i="7"/>
  <c r="B388" i="7"/>
  <c r="A388" i="7"/>
  <c r="CH388" i="17" s="1"/>
  <c r="AB387" i="7"/>
  <c r="N387" i="7"/>
  <c r="W387" i="7" s="1"/>
  <c r="J387" i="7"/>
  <c r="I387" i="7"/>
  <c r="H387" i="7"/>
  <c r="G387" i="7"/>
  <c r="F387" i="7"/>
  <c r="E387" i="7"/>
  <c r="D387" i="7"/>
  <c r="C387" i="7"/>
  <c r="L387" i="7" s="1"/>
  <c r="U387" i="7" s="1"/>
  <c r="B387" i="7"/>
  <c r="A387" i="7"/>
  <c r="CH387" i="17" s="1"/>
  <c r="AB386" i="7"/>
  <c r="J386" i="7"/>
  <c r="I386" i="7"/>
  <c r="H386" i="7"/>
  <c r="G386" i="7"/>
  <c r="F386" i="7"/>
  <c r="E386" i="7"/>
  <c r="D386" i="7"/>
  <c r="C386" i="7"/>
  <c r="B386" i="7"/>
  <c r="A386" i="7"/>
  <c r="CH386" i="17" s="1"/>
  <c r="AB385" i="7"/>
  <c r="J385" i="7"/>
  <c r="I385" i="7"/>
  <c r="R385" i="7" s="1"/>
  <c r="H385" i="7"/>
  <c r="G385" i="7"/>
  <c r="F385" i="7"/>
  <c r="E385" i="7"/>
  <c r="D385" i="7"/>
  <c r="C385" i="7"/>
  <c r="L385" i="7" s="1"/>
  <c r="U385" i="7" s="1"/>
  <c r="B385" i="7"/>
  <c r="A385" i="7"/>
  <c r="CH385" i="17" s="1"/>
  <c r="AB384" i="7"/>
  <c r="Q384" i="7"/>
  <c r="X384" i="7" s="1"/>
  <c r="J384" i="7"/>
  <c r="I384" i="7"/>
  <c r="H384" i="7"/>
  <c r="G384" i="7"/>
  <c r="F384" i="7"/>
  <c r="E384" i="7"/>
  <c r="D384" i="7"/>
  <c r="C384" i="7"/>
  <c r="B384" i="7"/>
  <c r="A384" i="7"/>
  <c r="CH384" i="17" s="1"/>
  <c r="AB383" i="7"/>
  <c r="J383" i="7"/>
  <c r="S383" i="7" s="1"/>
  <c r="I383" i="7"/>
  <c r="R383" i="7" s="1"/>
  <c r="H383" i="7"/>
  <c r="G383" i="7"/>
  <c r="F383" i="7"/>
  <c r="E383" i="7"/>
  <c r="D383" i="7"/>
  <c r="C383" i="7"/>
  <c r="B383" i="7"/>
  <c r="A383" i="7"/>
  <c r="CH383" i="17" s="1"/>
  <c r="AB382" i="7"/>
  <c r="Q382" i="7"/>
  <c r="X382" i="7" s="1"/>
  <c r="M382" i="7"/>
  <c r="V382" i="7" s="1"/>
  <c r="J382" i="7"/>
  <c r="I382" i="7"/>
  <c r="H382" i="7"/>
  <c r="G382" i="7"/>
  <c r="F382" i="7"/>
  <c r="E382" i="7"/>
  <c r="N383" i="7" s="1"/>
  <c r="W383" i="7" s="1"/>
  <c r="D382" i="7"/>
  <c r="C382" i="7"/>
  <c r="B382" i="7"/>
  <c r="A382" i="7"/>
  <c r="CH382" i="17" s="1"/>
  <c r="AB381" i="7"/>
  <c r="L381" i="7"/>
  <c r="U381" i="7" s="1"/>
  <c r="J381" i="7"/>
  <c r="I381" i="7"/>
  <c r="H381" i="7"/>
  <c r="G381" i="7"/>
  <c r="F381" i="7"/>
  <c r="E381" i="7"/>
  <c r="D381" i="7"/>
  <c r="C381" i="7"/>
  <c r="B381" i="7"/>
  <c r="A381" i="7"/>
  <c r="CH381" i="17" s="1"/>
  <c r="AB380" i="7"/>
  <c r="Q380" i="7"/>
  <c r="X380" i="7" s="1"/>
  <c r="J380" i="7"/>
  <c r="I380" i="7"/>
  <c r="H380" i="7"/>
  <c r="G380" i="7"/>
  <c r="F380" i="7"/>
  <c r="E380" i="7"/>
  <c r="D380" i="7"/>
  <c r="C380" i="7"/>
  <c r="B380" i="7"/>
  <c r="A380" i="7"/>
  <c r="CH380" i="17" s="1"/>
  <c r="AB379" i="7"/>
  <c r="J379" i="7"/>
  <c r="I379" i="7"/>
  <c r="H379" i="7"/>
  <c r="G379" i="7"/>
  <c r="F379" i="7"/>
  <c r="E379" i="7"/>
  <c r="D379" i="7"/>
  <c r="C379" i="7"/>
  <c r="B379" i="7"/>
  <c r="A379" i="7"/>
  <c r="CH379" i="17" s="1"/>
  <c r="AB378" i="7"/>
  <c r="M378" i="7"/>
  <c r="V378" i="7" s="1"/>
  <c r="J378" i="7"/>
  <c r="S378" i="7" s="1"/>
  <c r="I378" i="7"/>
  <c r="H378" i="7"/>
  <c r="Q378" i="7" s="1"/>
  <c r="X378" i="7" s="1"/>
  <c r="G378" i="7"/>
  <c r="F378" i="7"/>
  <c r="E378" i="7"/>
  <c r="D378" i="7"/>
  <c r="C378" i="7"/>
  <c r="B378" i="7"/>
  <c r="A378" i="7"/>
  <c r="CH378" i="17" s="1"/>
  <c r="AB377" i="7"/>
  <c r="N377" i="7"/>
  <c r="W377" i="7" s="1"/>
  <c r="J377" i="7"/>
  <c r="I377" i="7"/>
  <c r="H377" i="7"/>
  <c r="G377" i="7"/>
  <c r="F377" i="7"/>
  <c r="E377" i="7"/>
  <c r="D377" i="7"/>
  <c r="C377" i="7"/>
  <c r="B377" i="7"/>
  <c r="A377" i="7"/>
  <c r="CH377" i="17" s="1"/>
  <c r="AB376" i="7"/>
  <c r="J376" i="7"/>
  <c r="S376" i="7" s="1"/>
  <c r="I376" i="7"/>
  <c r="R376" i="7" s="1"/>
  <c r="H376" i="7"/>
  <c r="G376" i="7"/>
  <c r="F376" i="7"/>
  <c r="E376" i="7"/>
  <c r="D376" i="7"/>
  <c r="M376" i="7" s="1"/>
  <c r="V376" i="7" s="1"/>
  <c r="C376" i="7"/>
  <c r="B376" i="7"/>
  <c r="A376" i="7"/>
  <c r="CH376" i="17" s="1"/>
  <c r="AB375" i="7"/>
  <c r="J375" i="7"/>
  <c r="I375" i="7"/>
  <c r="H375" i="7"/>
  <c r="G375" i="7"/>
  <c r="F375" i="7"/>
  <c r="E375" i="7"/>
  <c r="D375" i="7"/>
  <c r="C375" i="7"/>
  <c r="B375" i="7"/>
  <c r="A375" i="7"/>
  <c r="CH375" i="17" s="1"/>
  <c r="AB374" i="7"/>
  <c r="J374" i="7"/>
  <c r="I374" i="7"/>
  <c r="H374" i="7"/>
  <c r="Q374" i="7" s="1"/>
  <c r="X374" i="7" s="1"/>
  <c r="G374" i="7"/>
  <c r="F374" i="7"/>
  <c r="E374" i="7"/>
  <c r="N375" i="7" s="1"/>
  <c r="W375" i="7" s="1"/>
  <c r="D374" i="7"/>
  <c r="C374" i="7"/>
  <c r="B374" i="7"/>
  <c r="A374" i="7"/>
  <c r="CH374" i="17" s="1"/>
  <c r="AB373" i="7"/>
  <c r="J373" i="7"/>
  <c r="I373" i="7"/>
  <c r="H373" i="7"/>
  <c r="G373" i="7"/>
  <c r="F373" i="7"/>
  <c r="E373" i="7"/>
  <c r="D373" i="7"/>
  <c r="C373" i="7"/>
  <c r="B373" i="7"/>
  <c r="A373" i="7"/>
  <c r="CH373" i="17" s="1"/>
  <c r="AB372" i="7"/>
  <c r="Q372" i="7"/>
  <c r="X372" i="7" s="1"/>
  <c r="J372" i="7"/>
  <c r="I372" i="7"/>
  <c r="H372" i="7"/>
  <c r="Q373" i="7" s="1"/>
  <c r="X373" i="7" s="1"/>
  <c r="G372" i="7"/>
  <c r="F372" i="7"/>
  <c r="E372" i="7"/>
  <c r="D372" i="7"/>
  <c r="C372" i="7"/>
  <c r="B372" i="7"/>
  <c r="A372" i="7"/>
  <c r="CH372" i="17" s="1"/>
  <c r="AB371" i="7"/>
  <c r="J371" i="7"/>
  <c r="I371" i="7"/>
  <c r="R371" i="7" s="1"/>
  <c r="H371" i="7"/>
  <c r="G371" i="7"/>
  <c r="F371" i="7"/>
  <c r="E371" i="7"/>
  <c r="D371" i="7"/>
  <c r="C371" i="7"/>
  <c r="B371" i="7"/>
  <c r="A371" i="7"/>
  <c r="CH371" i="17" s="1"/>
  <c r="AB370" i="7"/>
  <c r="J370" i="7"/>
  <c r="I370" i="7"/>
  <c r="H370" i="7"/>
  <c r="Q370" i="7" s="1"/>
  <c r="X370" i="7" s="1"/>
  <c r="G370" i="7"/>
  <c r="F370" i="7"/>
  <c r="E370" i="7"/>
  <c r="N371" i="7" s="1"/>
  <c r="W371" i="7" s="1"/>
  <c r="D370" i="7"/>
  <c r="C370" i="7"/>
  <c r="B370" i="7"/>
  <c r="A370" i="7"/>
  <c r="CH370" i="17" s="1"/>
  <c r="AB369" i="7"/>
  <c r="J369" i="7"/>
  <c r="I369" i="7"/>
  <c r="H369" i="7"/>
  <c r="G369" i="7"/>
  <c r="F369" i="7"/>
  <c r="E369" i="7"/>
  <c r="D369" i="7"/>
  <c r="C369" i="7"/>
  <c r="B369" i="7"/>
  <c r="A369" i="7"/>
  <c r="CH369" i="17" s="1"/>
  <c r="AB368" i="7"/>
  <c r="J368" i="7"/>
  <c r="S368" i="7" s="1"/>
  <c r="I368" i="7"/>
  <c r="H368" i="7"/>
  <c r="Q368" i="7" s="1"/>
  <c r="X368" i="7" s="1"/>
  <c r="G368" i="7"/>
  <c r="F368" i="7"/>
  <c r="E368" i="7"/>
  <c r="D368" i="7"/>
  <c r="C368" i="7"/>
  <c r="B368" i="7"/>
  <c r="A368" i="7"/>
  <c r="CH368" i="17" s="1"/>
  <c r="AB367" i="7"/>
  <c r="J367" i="7"/>
  <c r="I367" i="7"/>
  <c r="H367" i="7"/>
  <c r="G367" i="7"/>
  <c r="F367" i="7"/>
  <c r="E367" i="7"/>
  <c r="D367" i="7"/>
  <c r="C367" i="7"/>
  <c r="B367" i="7"/>
  <c r="A367" i="7"/>
  <c r="CH367" i="17" s="1"/>
  <c r="AB366" i="7"/>
  <c r="J366" i="7"/>
  <c r="I366" i="7"/>
  <c r="R366" i="7" s="1"/>
  <c r="H366" i="7"/>
  <c r="G366" i="7"/>
  <c r="F366" i="7"/>
  <c r="E366" i="7"/>
  <c r="D366" i="7"/>
  <c r="M366" i="7" s="1"/>
  <c r="V366" i="7" s="1"/>
  <c r="C366" i="7"/>
  <c r="B366" i="7"/>
  <c r="A366" i="7"/>
  <c r="CH366" i="17" s="1"/>
  <c r="AB365" i="7"/>
  <c r="J365" i="7"/>
  <c r="I365" i="7"/>
  <c r="H365" i="7"/>
  <c r="Q365" i="7" s="1"/>
  <c r="X365" i="7" s="1"/>
  <c r="G365" i="7"/>
  <c r="F365" i="7"/>
  <c r="E365" i="7"/>
  <c r="D365" i="7"/>
  <c r="C365" i="7"/>
  <c r="B365" i="7"/>
  <c r="A365" i="7"/>
  <c r="CH365" i="17" s="1"/>
  <c r="AB364" i="7"/>
  <c r="J364" i="7"/>
  <c r="I364" i="7"/>
  <c r="H364" i="7"/>
  <c r="G364" i="7"/>
  <c r="F364" i="7"/>
  <c r="E364" i="7"/>
  <c r="D364" i="7"/>
  <c r="C364" i="7"/>
  <c r="B364" i="7"/>
  <c r="A364" i="7"/>
  <c r="CH364" i="17" s="1"/>
  <c r="AB363" i="7"/>
  <c r="J363" i="7"/>
  <c r="I363" i="7"/>
  <c r="H363" i="7"/>
  <c r="G363" i="7"/>
  <c r="F363" i="7"/>
  <c r="E363" i="7"/>
  <c r="D363" i="7"/>
  <c r="C363" i="7"/>
  <c r="B363" i="7"/>
  <c r="A363" i="7"/>
  <c r="CH363" i="17" s="1"/>
  <c r="AB362" i="7"/>
  <c r="J362" i="7"/>
  <c r="I362" i="7"/>
  <c r="H362" i="7"/>
  <c r="G362" i="7"/>
  <c r="F362" i="7"/>
  <c r="E362" i="7"/>
  <c r="D362" i="7"/>
  <c r="C362" i="7"/>
  <c r="B362" i="7"/>
  <c r="A362" i="7"/>
  <c r="CH362" i="17" s="1"/>
  <c r="AB361" i="7"/>
  <c r="J361" i="7"/>
  <c r="I361" i="7"/>
  <c r="H361" i="7"/>
  <c r="G361" i="7"/>
  <c r="F361" i="7"/>
  <c r="E361" i="7"/>
  <c r="D361" i="7"/>
  <c r="C361" i="7"/>
  <c r="B361" i="7"/>
  <c r="A361" i="7"/>
  <c r="CH361" i="17" s="1"/>
  <c r="AB360" i="7"/>
  <c r="J360" i="7"/>
  <c r="I360" i="7"/>
  <c r="H360" i="7"/>
  <c r="Q361" i="7" s="1"/>
  <c r="X361" i="7" s="1"/>
  <c r="G360" i="7"/>
  <c r="F360" i="7"/>
  <c r="E360" i="7"/>
  <c r="D360" i="7"/>
  <c r="C360" i="7"/>
  <c r="B360" i="7"/>
  <c r="A360" i="7"/>
  <c r="CH360" i="17" s="1"/>
  <c r="AB359" i="7"/>
  <c r="J359" i="7"/>
  <c r="I359" i="7"/>
  <c r="R359" i="7" s="1"/>
  <c r="H359" i="7"/>
  <c r="G359" i="7"/>
  <c r="F359" i="7"/>
  <c r="E359" i="7"/>
  <c r="D359" i="7"/>
  <c r="C359" i="7"/>
  <c r="B359" i="7"/>
  <c r="A359" i="7"/>
  <c r="CH359" i="17" s="1"/>
  <c r="AB358" i="7"/>
  <c r="J358" i="7"/>
  <c r="I358" i="7"/>
  <c r="H358" i="7"/>
  <c r="Q358" i="7" s="1"/>
  <c r="X358" i="7" s="1"/>
  <c r="G358" i="7"/>
  <c r="F358" i="7"/>
  <c r="E358" i="7"/>
  <c r="D358" i="7"/>
  <c r="C358" i="7"/>
  <c r="B358" i="7"/>
  <c r="A358" i="7"/>
  <c r="CH358" i="17" s="1"/>
  <c r="AB357" i="7"/>
  <c r="J357" i="7"/>
  <c r="I357" i="7"/>
  <c r="H357" i="7"/>
  <c r="G357" i="7"/>
  <c r="F357" i="7"/>
  <c r="E357" i="7"/>
  <c r="D357" i="7"/>
  <c r="C357" i="7"/>
  <c r="B357" i="7"/>
  <c r="A357" i="7"/>
  <c r="CH357" i="17" s="1"/>
  <c r="AB356" i="7"/>
  <c r="J356" i="7"/>
  <c r="I356" i="7"/>
  <c r="H356" i="7"/>
  <c r="Q356" i="7" s="1"/>
  <c r="X356" i="7" s="1"/>
  <c r="G356" i="7"/>
  <c r="F356" i="7"/>
  <c r="E356" i="7"/>
  <c r="D356" i="7"/>
  <c r="C356" i="7"/>
  <c r="B356" i="7"/>
  <c r="A356" i="7"/>
  <c r="CH356" i="17" s="1"/>
  <c r="AB355" i="7"/>
  <c r="J355" i="7"/>
  <c r="I355" i="7"/>
  <c r="H355" i="7"/>
  <c r="G355" i="7"/>
  <c r="F355" i="7"/>
  <c r="E355" i="7"/>
  <c r="D355" i="7"/>
  <c r="C355" i="7"/>
  <c r="B355" i="7"/>
  <c r="A355" i="7"/>
  <c r="CH355" i="17" s="1"/>
  <c r="AB354" i="7"/>
  <c r="J354" i="7"/>
  <c r="S354" i="7" s="1"/>
  <c r="I354" i="7"/>
  <c r="H354" i="7"/>
  <c r="G354" i="7"/>
  <c r="F354" i="7"/>
  <c r="E354" i="7"/>
  <c r="D354" i="7"/>
  <c r="C354" i="7"/>
  <c r="B354" i="7"/>
  <c r="A354" i="7"/>
  <c r="CH354" i="17" s="1"/>
  <c r="AB353" i="7"/>
  <c r="J353" i="7"/>
  <c r="I353" i="7"/>
  <c r="H353" i="7"/>
  <c r="G353" i="7"/>
  <c r="F353" i="7"/>
  <c r="E353" i="7"/>
  <c r="D353" i="7"/>
  <c r="C353" i="7"/>
  <c r="B353" i="7"/>
  <c r="A353" i="7"/>
  <c r="CH353" i="17" s="1"/>
  <c r="AB352" i="7"/>
  <c r="M352" i="7"/>
  <c r="V352" i="7" s="1"/>
  <c r="J352" i="7"/>
  <c r="I352" i="7"/>
  <c r="H352" i="7"/>
  <c r="G352" i="7"/>
  <c r="F352" i="7"/>
  <c r="E352" i="7"/>
  <c r="D352" i="7"/>
  <c r="C352" i="7"/>
  <c r="B352" i="7"/>
  <c r="A352" i="7"/>
  <c r="CH352" i="17" s="1"/>
  <c r="AB351" i="7"/>
  <c r="N351" i="7"/>
  <c r="W351" i="7" s="1"/>
  <c r="L351" i="7"/>
  <c r="U351" i="7" s="1"/>
  <c r="J351" i="7"/>
  <c r="I351" i="7"/>
  <c r="H351" i="7"/>
  <c r="G351" i="7"/>
  <c r="F351" i="7"/>
  <c r="E351" i="7"/>
  <c r="D351" i="7"/>
  <c r="C351" i="7"/>
  <c r="B351" i="7"/>
  <c r="A351" i="7"/>
  <c r="CH351" i="17" s="1"/>
  <c r="AB350" i="7"/>
  <c r="J350" i="7"/>
  <c r="I350" i="7"/>
  <c r="H350" i="7"/>
  <c r="Q350" i="7" s="1"/>
  <c r="X350" i="7" s="1"/>
  <c r="G350" i="7"/>
  <c r="F350" i="7"/>
  <c r="E350" i="7"/>
  <c r="D350" i="7"/>
  <c r="M351" i="7" s="1"/>
  <c r="V351" i="7" s="1"/>
  <c r="C350" i="7"/>
  <c r="B350" i="7"/>
  <c r="A350" i="7"/>
  <c r="CH350" i="17" s="1"/>
  <c r="AB349" i="7"/>
  <c r="M349" i="7"/>
  <c r="V349" i="7" s="1"/>
  <c r="J349" i="7"/>
  <c r="I349" i="7"/>
  <c r="H349" i="7"/>
  <c r="G349" i="7"/>
  <c r="F349" i="7"/>
  <c r="E349" i="7"/>
  <c r="N349" i="7" s="1"/>
  <c r="W349" i="7" s="1"/>
  <c r="D349" i="7"/>
  <c r="C349" i="7"/>
  <c r="B349" i="7"/>
  <c r="A349" i="7"/>
  <c r="CH349" i="17" s="1"/>
  <c r="AB348" i="7"/>
  <c r="N348" i="7"/>
  <c r="W348" i="7" s="1"/>
  <c r="L348" i="7"/>
  <c r="U348" i="7" s="1"/>
  <c r="J348" i="7"/>
  <c r="I348" i="7"/>
  <c r="H348" i="7"/>
  <c r="G348" i="7"/>
  <c r="F348" i="7"/>
  <c r="E348" i="7"/>
  <c r="D348" i="7"/>
  <c r="C348" i="7"/>
  <c r="B348" i="7"/>
  <c r="A348" i="7"/>
  <c r="CH348" i="17" s="1"/>
  <c r="AB347" i="7"/>
  <c r="J347" i="7"/>
  <c r="I347" i="7"/>
  <c r="H347" i="7"/>
  <c r="Q347" i="7" s="1"/>
  <c r="X347" i="7" s="1"/>
  <c r="G347" i="7"/>
  <c r="F347" i="7"/>
  <c r="E347" i="7"/>
  <c r="D347" i="7"/>
  <c r="C347" i="7"/>
  <c r="B347" i="7"/>
  <c r="A347" i="7"/>
  <c r="CH347" i="17" s="1"/>
  <c r="AB346" i="7"/>
  <c r="J346" i="7"/>
  <c r="I346" i="7"/>
  <c r="H346" i="7"/>
  <c r="G346" i="7"/>
  <c r="F346" i="7"/>
  <c r="E346" i="7"/>
  <c r="D346" i="7"/>
  <c r="C346" i="7"/>
  <c r="B346" i="7"/>
  <c r="A346" i="7"/>
  <c r="CH346" i="17" s="1"/>
  <c r="AB345" i="7"/>
  <c r="M345" i="7"/>
  <c r="V345" i="7" s="1"/>
  <c r="J345" i="7"/>
  <c r="I345" i="7"/>
  <c r="H345" i="7"/>
  <c r="G345" i="7"/>
  <c r="F345" i="7"/>
  <c r="E345" i="7"/>
  <c r="D345" i="7"/>
  <c r="C345" i="7"/>
  <c r="B345" i="7"/>
  <c r="A345" i="7"/>
  <c r="CH345" i="17" s="1"/>
  <c r="AB344" i="7"/>
  <c r="J344" i="7"/>
  <c r="I344" i="7"/>
  <c r="H344" i="7"/>
  <c r="Q344" i="7" s="1"/>
  <c r="X344" i="7" s="1"/>
  <c r="G344" i="7"/>
  <c r="F344" i="7"/>
  <c r="E344" i="7"/>
  <c r="D344" i="7"/>
  <c r="C344" i="7"/>
  <c r="B344" i="7"/>
  <c r="A344" i="7"/>
  <c r="CH344" i="17" s="1"/>
  <c r="AB343" i="7"/>
  <c r="K343" i="7"/>
  <c r="T343" i="7" s="1"/>
  <c r="J343" i="7"/>
  <c r="I343" i="7"/>
  <c r="H343" i="7"/>
  <c r="G343" i="7"/>
  <c r="F343" i="7"/>
  <c r="E343" i="7"/>
  <c r="D343" i="7"/>
  <c r="C343" i="7"/>
  <c r="B343" i="7"/>
  <c r="A343" i="7"/>
  <c r="CH343" i="17" s="1"/>
  <c r="AB342" i="7"/>
  <c r="J342" i="7"/>
  <c r="I342" i="7"/>
  <c r="H342" i="7"/>
  <c r="Q342" i="7" s="1"/>
  <c r="X342" i="7" s="1"/>
  <c r="G342" i="7"/>
  <c r="F342" i="7"/>
  <c r="E342" i="7"/>
  <c r="D342" i="7"/>
  <c r="C342" i="7"/>
  <c r="B342" i="7"/>
  <c r="A342" i="7"/>
  <c r="CH342" i="17" s="1"/>
  <c r="AB341" i="7"/>
  <c r="L341" i="7"/>
  <c r="U341" i="7" s="1"/>
  <c r="J341" i="7"/>
  <c r="I341" i="7"/>
  <c r="H341" i="7"/>
  <c r="G341" i="7"/>
  <c r="F341" i="7"/>
  <c r="E341" i="7"/>
  <c r="D341" i="7"/>
  <c r="M341" i="7" s="1"/>
  <c r="V341" i="7" s="1"/>
  <c r="C341" i="7"/>
  <c r="B341" i="7"/>
  <c r="A341" i="7"/>
  <c r="CH341" i="17" s="1"/>
  <c r="AB340" i="7"/>
  <c r="J340" i="7"/>
  <c r="S340" i="7" s="1"/>
  <c r="I340" i="7"/>
  <c r="H340" i="7"/>
  <c r="Q340" i="7" s="1"/>
  <c r="X340" i="7" s="1"/>
  <c r="G340" i="7"/>
  <c r="F340" i="7"/>
  <c r="E340" i="7"/>
  <c r="D340" i="7"/>
  <c r="C340" i="7"/>
  <c r="B340" i="7"/>
  <c r="A340" i="7"/>
  <c r="CH340" i="17" s="1"/>
  <c r="AB339" i="7"/>
  <c r="M339" i="7"/>
  <c r="V339" i="7" s="1"/>
  <c r="J339" i="7"/>
  <c r="I339" i="7"/>
  <c r="H339" i="7"/>
  <c r="G339" i="7"/>
  <c r="F339" i="7"/>
  <c r="E339" i="7"/>
  <c r="N339" i="7" s="1"/>
  <c r="W339" i="7" s="1"/>
  <c r="D339" i="7"/>
  <c r="C339" i="7"/>
  <c r="B339" i="7"/>
  <c r="A339" i="7"/>
  <c r="CH339" i="17" s="1"/>
  <c r="AB338" i="7"/>
  <c r="L338" i="7"/>
  <c r="U338" i="7" s="1"/>
  <c r="J338" i="7"/>
  <c r="I338" i="7"/>
  <c r="H338" i="7"/>
  <c r="G338" i="7"/>
  <c r="F338" i="7"/>
  <c r="E338" i="7"/>
  <c r="D338" i="7"/>
  <c r="C338" i="7"/>
  <c r="B338" i="7"/>
  <c r="A338" i="7"/>
  <c r="CH338" i="17" s="1"/>
  <c r="AB337" i="7"/>
  <c r="J337" i="7"/>
  <c r="I337" i="7"/>
  <c r="R337" i="7" s="1"/>
  <c r="H337" i="7"/>
  <c r="G337" i="7"/>
  <c r="F337" i="7"/>
  <c r="E337" i="7"/>
  <c r="D337" i="7"/>
  <c r="C337" i="7"/>
  <c r="B337" i="7"/>
  <c r="A337" i="7"/>
  <c r="CH337" i="17" s="1"/>
  <c r="AB336" i="7"/>
  <c r="J336" i="7"/>
  <c r="S336" i="7" s="1"/>
  <c r="I336" i="7"/>
  <c r="H336" i="7"/>
  <c r="G336" i="7"/>
  <c r="F336" i="7"/>
  <c r="E336" i="7"/>
  <c r="D336" i="7"/>
  <c r="C336" i="7"/>
  <c r="B336" i="7"/>
  <c r="A336" i="7"/>
  <c r="CH336" i="17" s="1"/>
  <c r="AB335" i="7"/>
  <c r="M335" i="7"/>
  <c r="V335" i="7" s="1"/>
  <c r="J335" i="7"/>
  <c r="S335" i="7" s="1"/>
  <c r="I335" i="7"/>
  <c r="H335" i="7"/>
  <c r="Q335" i="7" s="1"/>
  <c r="X335" i="7" s="1"/>
  <c r="G335" i="7"/>
  <c r="F335" i="7"/>
  <c r="E335" i="7"/>
  <c r="D335" i="7"/>
  <c r="C335" i="7"/>
  <c r="B335" i="7"/>
  <c r="A335" i="7"/>
  <c r="CH335" i="17" s="1"/>
  <c r="AB334" i="7"/>
  <c r="O334" i="7"/>
  <c r="Z334" i="7" s="1"/>
  <c r="J334" i="7"/>
  <c r="I334" i="7"/>
  <c r="H334" i="7"/>
  <c r="G334" i="7"/>
  <c r="P334" i="7" s="1"/>
  <c r="AA334" i="7" s="1"/>
  <c r="F334" i="7"/>
  <c r="E334" i="7"/>
  <c r="D334" i="7"/>
  <c r="C334" i="7"/>
  <c r="B334" i="7"/>
  <c r="A334" i="7"/>
  <c r="CH334" i="17" s="1"/>
  <c r="AB333" i="7"/>
  <c r="P333" i="7"/>
  <c r="AA333" i="7" s="1"/>
  <c r="J333" i="7"/>
  <c r="I333" i="7"/>
  <c r="H333" i="7"/>
  <c r="G333" i="7"/>
  <c r="F333" i="7"/>
  <c r="E333" i="7"/>
  <c r="D333" i="7"/>
  <c r="C333" i="7"/>
  <c r="B333" i="7"/>
  <c r="A333" i="7"/>
  <c r="CH333" i="17" s="1"/>
  <c r="AB332" i="7"/>
  <c r="P332" i="7"/>
  <c r="AA332" i="7" s="1"/>
  <c r="J332" i="7"/>
  <c r="I332" i="7"/>
  <c r="H332" i="7"/>
  <c r="G332" i="7"/>
  <c r="F332" i="7"/>
  <c r="E332" i="7"/>
  <c r="D332" i="7"/>
  <c r="C332" i="7"/>
  <c r="L333" i="7" s="1"/>
  <c r="U333" i="7" s="1"/>
  <c r="B332" i="7"/>
  <c r="A332" i="7"/>
  <c r="CH332" i="17" s="1"/>
  <c r="AB331" i="7"/>
  <c r="P331" i="7"/>
  <c r="AA331" i="7" s="1"/>
  <c r="J331" i="7"/>
  <c r="S331" i="7" s="1"/>
  <c r="I331" i="7"/>
  <c r="R331" i="7" s="1"/>
  <c r="H331" i="7"/>
  <c r="G331" i="7"/>
  <c r="F331" i="7"/>
  <c r="E331" i="7"/>
  <c r="D331" i="7"/>
  <c r="C331" i="7"/>
  <c r="B331" i="7"/>
  <c r="A331" i="7"/>
  <c r="CH331" i="17" s="1"/>
  <c r="AB330" i="7"/>
  <c r="N330" i="7"/>
  <c r="W330" i="7" s="1"/>
  <c r="J330" i="7"/>
  <c r="I330" i="7"/>
  <c r="H330" i="7"/>
  <c r="G330" i="7"/>
  <c r="F330" i="7"/>
  <c r="E330" i="7"/>
  <c r="D330" i="7"/>
  <c r="C330" i="7"/>
  <c r="L331" i="7" s="1"/>
  <c r="U331" i="7" s="1"/>
  <c r="B330" i="7"/>
  <c r="A330" i="7"/>
  <c r="CH330" i="17" s="1"/>
  <c r="AB329" i="7"/>
  <c r="J329" i="7"/>
  <c r="I329" i="7"/>
  <c r="H329" i="7"/>
  <c r="G329" i="7"/>
  <c r="F329" i="7"/>
  <c r="E329" i="7"/>
  <c r="D329" i="7"/>
  <c r="C329" i="7"/>
  <c r="B329" i="7"/>
  <c r="A329" i="7"/>
  <c r="CH329" i="17" s="1"/>
  <c r="AB328" i="7"/>
  <c r="J328" i="7"/>
  <c r="I328" i="7"/>
  <c r="H328" i="7"/>
  <c r="G328" i="7"/>
  <c r="F328" i="7"/>
  <c r="E328" i="7"/>
  <c r="D328" i="7"/>
  <c r="C328" i="7"/>
  <c r="B328" i="7"/>
  <c r="A328" i="7"/>
  <c r="CH328" i="17" s="1"/>
  <c r="AB327" i="7"/>
  <c r="J327" i="7"/>
  <c r="S327" i="7" s="1"/>
  <c r="I327" i="7"/>
  <c r="H327" i="7"/>
  <c r="G327" i="7"/>
  <c r="P327" i="7" s="1"/>
  <c r="AA327" i="7" s="1"/>
  <c r="F327" i="7"/>
  <c r="E327" i="7"/>
  <c r="D327" i="7"/>
  <c r="C327" i="7"/>
  <c r="B327" i="7"/>
  <c r="A327" i="7"/>
  <c r="CH327" i="17" s="1"/>
  <c r="AB326" i="7"/>
  <c r="P326" i="7"/>
  <c r="AA326" i="7" s="1"/>
  <c r="J326" i="7"/>
  <c r="I326" i="7"/>
  <c r="H326" i="7"/>
  <c r="G326" i="7"/>
  <c r="F326" i="7"/>
  <c r="E326" i="7"/>
  <c r="D326" i="7"/>
  <c r="C326" i="7"/>
  <c r="B326" i="7"/>
  <c r="A326" i="7"/>
  <c r="CH326" i="17" s="1"/>
  <c r="AB325" i="7"/>
  <c r="J325" i="7"/>
  <c r="I325" i="7"/>
  <c r="R325" i="7" s="1"/>
  <c r="H325" i="7"/>
  <c r="Q325" i="7" s="1"/>
  <c r="X325" i="7" s="1"/>
  <c r="G325" i="7"/>
  <c r="F325" i="7"/>
  <c r="E325" i="7"/>
  <c r="D325" i="7"/>
  <c r="C325" i="7"/>
  <c r="B325" i="7"/>
  <c r="A325" i="7"/>
  <c r="CH325" i="17" s="1"/>
  <c r="AB324" i="7"/>
  <c r="J324" i="7"/>
  <c r="I324" i="7"/>
  <c r="H324" i="7"/>
  <c r="G324" i="7"/>
  <c r="F324" i="7"/>
  <c r="E324" i="7"/>
  <c r="D324" i="7"/>
  <c r="C324" i="7"/>
  <c r="B324" i="7"/>
  <c r="A324" i="7"/>
  <c r="CH324" i="17" s="1"/>
  <c r="AB323" i="7"/>
  <c r="J323" i="7"/>
  <c r="I323" i="7"/>
  <c r="H323" i="7"/>
  <c r="G323" i="7"/>
  <c r="F323" i="7"/>
  <c r="E323" i="7"/>
  <c r="D323" i="7"/>
  <c r="C323" i="7"/>
  <c r="B323" i="7"/>
  <c r="A323" i="7"/>
  <c r="CH323" i="17" s="1"/>
  <c r="AB322" i="7"/>
  <c r="J322" i="7"/>
  <c r="I322" i="7"/>
  <c r="H322" i="7"/>
  <c r="G322" i="7"/>
  <c r="F322" i="7"/>
  <c r="E322" i="7"/>
  <c r="D322" i="7"/>
  <c r="C322" i="7"/>
  <c r="B322" i="7"/>
  <c r="A322" i="7"/>
  <c r="CH322" i="17" s="1"/>
  <c r="AB321" i="7"/>
  <c r="J321" i="7"/>
  <c r="I321" i="7"/>
  <c r="H321" i="7"/>
  <c r="G321" i="7"/>
  <c r="F321" i="7"/>
  <c r="E321" i="7"/>
  <c r="D321" i="7"/>
  <c r="C321" i="7"/>
  <c r="B321" i="7"/>
  <c r="A321" i="7"/>
  <c r="CH321" i="17" s="1"/>
  <c r="AB320" i="7"/>
  <c r="P320" i="7"/>
  <c r="AA320" i="7" s="1"/>
  <c r="J320" i="7"/>
  <c r="I320" i="7"/>
  <c r="H320" i="7"/>
  <c r="G320" i="7"/>
  <c r="F320" i="7"/>
  <c r="E320" i="7"/>
  <c r="D320" i="7"/>
  <c r="C320" i="7"/>
  <c r="B320" i="7"/>
  <c r="A320" i="7"/>
  <c r="CH320" i="17" s="1"/>
  <c r="AB319" i="7"/>
  <c r="J319" i="7"/>
  <c r="I319" i="7"/>
  <c r="H319" i="7"/>
  <c r="G319" i="7"/>
  <c r="F319" i="7"/>
  <c r="E319" i="7"/>
  <c r="D319" i="7"/>
  <c r="C319" i="7"/>
  <c r="B319" i="7"/>
  <c r="A319" i="7"/>
  <c r="CH319" i="17" s="1"/>
  <c r="AB318" i="7"/>
  <c r="J318" i="7"/>
  <c r="I318" i="7"/>
  <c r="H318" i="7"/>
  <c r="G318" i="7"/>
  <c r="F318" i="7"/>
  <c r="E318" i="7"/>
  <c r="D318" i="7"/>
  <c r="C318" i="7"/>
  <c r="B318" i="7"/>
  <c r="A318" i="7"/>
  <c r="CH318" i="17" s="1"/>
  <c r="AB317" i="7"/>
  <c r="J317" i="7"/>
  <c r="I317" i="7"/>
  <c r="H317" i="7"/>
  <c r="G317" i="7"/>
  <c r="F317" i="7"/>
  <c r="E317" i="7"/>
  <c r="D317" i="7"/>
  <c r="C317" i="7"/>
  <c r="B317" i="7"/>
  <c r="A317" i="7"/>
  <c r="CH317" i="17" s="1"/>
  <c r="AB316" i="7"/>
  <c r="J316" i="7"/>
  <c r="I316" i="7"/>
  <c r="H316" i="7"/>
  <c r="G316" i="7"/>
  <c r="F316" i="7"/>
  <c r="E316" i="7"/>
  <c r="D316" i="7"/>
  <c r="C316" i="7"/>
  <c r="B316" i="7"/>
  <c r="A316" i="7"/>
  <c r="CH316" i="17" s="1"/>
  <c r="AB315" i="7"/>
  <c r="J315" i="7"/>
  <c r="I315" i="7"/>
  <c r="H315" i="7"/>
  <c r="G315" i="7"/>
  <c r="F315" i="7"/>
  <c r="E315" i="7"/>
  <c r="D315" i="7"/>
  <c r="C315" i="7"/>
  <c r="B315" i="7"/>
  <c r="A315" i="7"/>
  <c r="CH315" i="17" s="1"/>
  <c r="AB314" i="7"/>
  <c r="L314" i="7"/>
  <c r="U314" i="7" s="1"/>
  <c r="J314" i="7"/>
  <c r="I314" i="7"/>
  <c r="H314" i="7"/>
  <c r="G314" i="7"/>
  <c r="F314" i="7"/>
  <c r="E314" i="7"/>
  <c r="D314" i="7"/>
  <c r="C314" i="7"/>
  <c r="B314" i="7"/>
  <c r="A314" i="7"/>
  <c r="CH314" i="17" s="1"/>
  <c r="AB313" i="7"/>
  <c r="L313" i="7"/>
  <c r="U313" i="7" s="1"/>
  <c r="J313" i="7"/>
  <c r="I313" i="7"/>
  <c r="H313" i="7"/>
  <c r="G313" i="7"/>
  <c r="F313" i="7"/>
  <c r="E313" i="7"/>
  <c r="D313" i="7"/>
  <c r="C313" i="7"/>
  <c r="B313" i="7"/>
  <c r="A313" i="7"/>
  <c r="CH313" i="17" s="1"/>
  <c r="AB312" i="7"/>
  <c r="J312" i="7"/>
  <c r="I312" i="7"/>
  <c r="H312" i="7"/>
  <c r="G312" i="7"/>
  <c r="F312" i="7"/>
  <c r="E312" i="7"/>
  <c r="D312" i="7"/>
  <c r="C312" i="7"/>
  <c r="B312" i="7"/>
  <c r="A312" i="7"/>
  <c r="CH312" i="17" s="1"/>
  <c r="AB311" i="7"/>
  <c r="J311" i="7"/>
  <c r="I311" i="7"/>
  <c r="H311" i="7"/>
  <c r="G311" i="7"/>
  <c r="F311" i="7"/>
  <c r="E311" i="7"/>
  <c r="D311" i="7"/>
  <c r="C311" i="7"/>
  <c r="B311" i="7"/>
  <c r="A311" i="7"/>
  <c r="CH311" i="17" s="1"/>
  <c r="AB310" i="7"/>
  <c r="J310" i="7"/>
  <c r="I310" i="7"/>
  <c r="H310" i="7"/>
  <c r="G310" i="7"/>
  <c r="F310" i="7"/>
  <c r="E310" i="7"/>
  <c r="D310" i="7"/>
  <c r="C310" i="7"/>
  <c r="B310" i="7"/>
  <c r="A310" i="7"/>
  <c r="CH310" i="17" s="1"/>
  <c r="AB309" i="7"/>
  <c r="J309" i="7"/>
  <c r="I309" i="7"/>
  <c r="H309" i="7"/>
  <c r="G309" i="7"/>
  <c r="F309" i="7"/>
  <c r="E309" i="7"/>
  <c r="D309" i="7"/>
  <c r="C309" i="7"/>
  <c r="B309" i="7"/>
  <c r="A309" i="7"/>
  <c r="CH309" i="17" s="1"/>
  <c r="AB308" i="7"/>
  <c r="L308" i="7"/>
  <c r="U308" i="7" s="1"/>
  <c r="J308" i="7"/>
  <c r="I308" i="7"/>
  <c r="R308" i="7" s="1"/>
  <c r="H308" i="7"/>
  <c r="G308" i="7"/>
  <c r="F308" i="7"/>
  <c r="E308" i="7"/>
  <c r="N308" i="7" s="1"/>
  <c r="W308" i="7" s="1"/>
  <c r="D308" i="7"/>
  <c r="C308" i="7"/>
  <c r="B308" i="7"/>
  <c r="A308" i="7"/>
  <c r="CH308" i="17" s="1"/>
  <c r="AB307" i="7"/>
  <c r="L307" i="7"/>
  <c r="U307" i="7" s="1"/>
  <c r="J307" i="7"/>
  <c r="I307" i="7"/>
  <c r="H307" i="7"/>
  <c r="G307" i="7"/>
  <c r="F307" i="7"/>
  <c r="E307" i="7"/>
  <c r="D307" i="7"/>
  <c r="C307" i="7"/>
  <c r="B307" i="7"/>
  <c r="A307" i="7"/>
  <c r="CH307" i="17" s="1"/>
  <c r="AB306" i="7"/>
  <c r="L306" i="7"/>
  <c r="U306" i="7" s="1"/>
  <c r="J306" i="7"/>
  <c r="I306" i="7"/>
  <c r="H306" i="7"/>
  <c r="G306" i="7"/>
  <c r="F306" i="7"/>
  <c r="E306" i="7"/>
  <c r="N307" i="7" s="1"/>
  <c r="W307" i="7" s="1"/>
  <c r="D306" i="7"/>
  <c r="C306" i="7"/>
  <c r="B306" i="7"/>
  <c r="A306" i="7"/>
  <c r="CH306" i="17" s="1"/>
  <c r="AB305" i="7"/>
  <c r="L305" i="7"/>
  <c r="U305" i="7" s="1"/>
  <c r="J305" i="7"/>
  <c r="I305" i="7"/>
  <c r="H305" i="7"/>
  <c r="G305" i="7"/>
  <c r="F305" i="7"/>
  <c r="E305" i="7"/>
  <c r="D305" i="7"/>
  <c r="C305" i="7"/>
  <c r="B305" i="7"/>
  <c r="A305" i="7"/>
  <c r="CH305" i="17" s="1"/>
  <c r="AB304" i="7"/>
  <c r="J304" i="7"/>
  <c r="I304" i="7"/>
  <c r="H304" i="7"/>
  <c r="G304" i="7"/>
  <c r="F304" i="7"/>
  <c r="E304" i="7"/>
  <c r="D304" i="7"/>
  <c r="C304" i="7"/>
  <c r="B304" i="7"/>
  <c r="A304" i="7"/>
  <c r="CH304" i="17" s="1"/>
  <c r="AB303" i="7"/>
  <c r="J303" i="7"/>
  <c r="I303" i="7"/>
  <c r="H303" i="7"/>
  <c r="Q303" i="7" s="1"/>
  <c r="X303" i="7" s="1"/>
  <c r="G303" i="7"/>
  <c r="F303" i="7"/>
  <c r="E303" i="7"/>
  <c r="D303" i="7"/>
  <c r="C303" i="7"/>
  <c r="B303" i="7"/>
  <c r="A303" i="7"/>
  <c r="CH303" i="17" s="1"/>
  <c r="AB302" i="7"/>
  <c r="P302" i="7"/>
  <c r="AA302" i="7" s="1"/>
  <c r="N302" i="7"/>
  <c r="W302" i="7" s="1"/>
  <c r="L302" i="7"/>
  <c r="U302" i="7" s="1"/>
  <c r="J302" i="7"/>
  <c r="I302" i="7"/>
  <c r="H302" i="7"/>
  <c r="G302" i="7"/>
  <c r="F302" i="7"/>
  <c r="E302" i="7"/>
  <c r="D302" i="7"/>
  <c r="C302" i="7"/>
  <c r="B302" i="7"/>
  <c r="A302" i="7"/>
  <c r="CH302" i="17" s="1"/>
  <c r="AB301" i="7"/>
  <c r="J301" i="7"/>
  <c r="I301" i="7"/>
  <c r="H301" i="7"/>
  <c r="G301" i="7"/>
  <c r="F301" i="7"/>
  <c r="E301" i="7"/>
  <c r="D301" i="7"/>
  <c r="M301" i="7" s="1"/>
  <c r="V301" i="7" s="1"/>
  <c r="C301" i="7"/>
  <c r="B301" i="7"/>
  <c r="A301" i="7"/>
  <c r="CH301" i="17" s="1"/>
  <c r="AB300" i="7"/>
  <c r="M300" i="7"/>
  <c r="V300" i="7" s="1"/>
  <c r="J300" i="7"/>
  <c r="I300" i="7"/>
  <c r="H300" i="7"/>
  <c r="G300" i="7"/>
  <c r="F300" i="7"/>
  <c r="E300" i="7"/>
  <c r="N300" i="7" s="1"/>
  <c r="W300" i="7" s="1"/>
  <c r="D300" i="7"/>
  <c r="C300" i="7"/>
  <c r="B300" i="7"/>
  <c r="A300" i="7"/>
  <c r="CH300" i="17" s="1"/>
  <c r="AB299" i="7"/>
  <c r="J299" i="7"/>
  <c r="I299" i="7"/>
  <c r="H299" i="7"/>
  <c r="G299" i="7"/>
  <c r="F299" i="7"/>
  <c r="E299" i="7"/>
  <c r="D299" i="7"/>
  <c r="C299" i="7"/>
  <c r="B299" i="7"/>
  <c r="A299" i="7"/>
  <c r="CH299" i="17" s="1"/>
  <c r="AB298" i="7"/>
  <c r="J298" i="7"/>
  <c r="S298" i="7" s="1"/>
  <c r="I298" i="7"/>
  <c r="H298" i="7"/>
  <c r="Q298" i="7" s="1"/>
  <c r="X298" i="7" s="1"/>
  <c r="G298" i="7"/>
  <c r="P298" i="7" s="1"/>
  <c r="AA298" i="7" s="1"/>
  <c r="F298" i="7"/>
  <c r="E298" i="7"/>
  <c r="D298" i="7"/>
  <c r="C298" i="7"/>
  <c r="B298" i="7"/>
  <c r="A298" i="7"/>
  <c r="CH298" i="17" s="1"/>
  <c r="AB297" i="7"/>
  <c r="N297" i="7"/>
  <c r="W297" i="7" s="1"/>
  <c r="J297" i="7"/>
  <c r="I297" i="7"/>
  <c r="H297" i="7"/>
  <c r="G297" i="7"/>
  <c r="F297" i="7"/>
  <c r="E297" i="7"/>
  <c r="D297" i="7"/>
  <c r="C297" i="7"/>
  <c r="B297" i="7"/>
  <c r="A297" i="7"/>
  <c r="CH297" i="17" s="1"/>
  <c r="AB296" i="7"/>
  <c r="J296" i="7"/>
  <c r="I296" i="7"/>
  <c r="H296" i="7"/>
  <c r="G296" i="7"/>
  <c r="P297" i="7" s="1"/>
  <c r="AA297" i="7" s="1"/>
  <c r="F296" i="7"/>
  <c r="E296" i="7"/>
  <c r="D296" i="7"/>
  <c r="C296" i="7"/>
  <c r="B296" i="7"/>
  <c r="A296" i="7"/>
  <c r="CH296" i="17" s="1"/>
  <c r="AB295" i="7"/>
  <c r="N295" i="7"/>
  <c r="W295" i="7" s="1"/>
  <c r="J295" i="7"/>
  <c r="I295" i="7"/>
  <c r="H295" i="7"/>
  <c r="G295" i="7"/>
  <c r="F295" i="7"/>
  <c r="E295" i="7"/>
  <c r="D295" i="7"/>
  <c r="C295" i="7"/>
  <c r="B295" i="7"/>
  <c r="A295" i="7"/>
  <c r="CH295" i="17" s="1"/>
  <c r="AB294" i="7"/>
  <c r="J294" i="7"/>
  <c r="I294" i="7"/>
  <c r="H294" i="7"/>
  <c r="G294" i="7"/>
  <c r="F294" i="7"/>
  <c r="E294" i="7"/>
  <c r="D294" i="7"/>
  <c r="C294" i="7"/>
  <c r="B294" i="7"/>
  <c r="K294" i="7" s="1"/>
  <c r="T294" i="7" s="1"/>
  <c r="A294" i="7"/>
  <c r="CH294" i="17" s="1"/>
  <c r="AB293" i="7"/>
  <c r="J293" i="7"/>
  <c r="I293" i="7"/>
  <c r="H293" i="7"/>
  <c r="G293" i="7"/>
  <c r="F293" i="7"/>
  <c r="E293" i="7"/>
  <c r="D293" i="7"/>
  <c r="C293" i="7"/>
  <c r="B293" i="7"/>
  <c r="A293" i="7"/>
  <c r="CH293" i="17" s="1"/>
  <c r="AB292" i="7"/>
  <c r="P292" i="7"/>
  <c r="AA292" i="7" s="1"/>
  <c r="J292" i="7"/>
  <c r="I292" i="7"/>
  <c r="H292" i="7"/>
  <c r="G292" i="7"/>
  <c r="F292" i="7"/>
  <c r="E292" i="7"/>
  <c r="D292" i="7"/>
  <c r="M293" i="7" s="1"/>
  <c r="V293" i="7" s="1"/>
  <c r="C292" i="7"/>
  <c r="B292" i="7"/>
  <c r="A292" i="7"/>
  <c r="CH292" i="17" s="1"/>
  <c r="AB291" i="7"/>
  <c r="J291" i="7"/>
  <c r="I291" i="7"/>
  <c r="H291" i="7"/>
  <c r="G291" i="7"/>
  <c r="F291" i="7"/>
  <c r="E291" i="7"/>
  <c r="D291" i="7"/>
  <c r="C291" i="7"/>
  <c r="B291" i="7"/>
  <c r="A291" i="7"/>
  <c r="CH291" i="17" s="1"/>
  <c r="AB290" i="7"/>
  <c r="J290" i="7"/>
  <c r="I290" i="7"/>
  <c r="H290" i="7"/>
  <c r="G290" i="7"/>
  <c r="P291" i="7" s="1"/>
  <c r="AA291" i="7" s="1"/>
  <c r="F290" i="7"/>
  <c r="E290" i="7"/>
  <c r="D290" i="7"/>
  <c r="C290" i="7"/>
  <c r="B290" i="7"/>
  <c r="A290" i="7"/>
  <c r="CH290" i="17" s="1"/>
  <c r="AB289" i="7"/>
  <c r="J289" i="7"/>
  <c r="I289" i="7"/>
  <c r="H289" i="7"/>
  <c r="G289" i="7"/>
  <c r="F289" i="7"/>
  <c r="E289" i="7"/>
  <c r="D289" i="7"/>
  <c r="C289" i="7"/>
  <c r="B289" i="7"/>
  <c r="A289" i="7"/>
  <c r="CH289" i="17" s="1"/>
  <c r="AB288" i="7"/>
  <c r="J288" i="7"/>
  <c r="I288" i="7"/>
  <c r="H288" i="7"/>
  <c r="G288" i="7"/>
  <c r="F288" i="7"/>
  <c r="E288" i="7"/>
  <c r="D288" i="7"/>
  <c r="C288" i="7"/>
  <c r="B288" i="7"/>
  <c r="A288" i="7"/>
  <c r="CH288" i="17" s="1"/>
  <c r="AB287" i="7"/>
  <c r="J287" i="7"/>
  <c r="I287" i="7"/>
  <c r="H287" i="7"/>
  <c r="G287" i="7"/>
  <c r="F287" i="7"/>
  <c r="E287" i="7"/>
  <c r="D287" i="7"/>
  <c r="C287" i="7"/>
  <c r="B287" i="7"/>
  <c r="A287" i="7"/>
  <c r="CH287" i="17" s="1"/>
  <c r="AB286" i="7"/>
  <c r="J286" i="7"/>
  <c r="I286" i="7"/>
  <c r="H286" i="7"/>
  <c r="G286" i="7"/>
  <c r="F286" i="7"/>
  <c r="E286" i="7"/>
  <c r="D286" i="7"/>
  <c r="C286" i="7"/>
  <c r="B286" i="7"/>
  <c r="A286" i="7"/>
  <c r="CH286" i="17" s="1"/>
  <c r="AB285" i="7"/>
  <c r="J285" i="7"/>
  <c r="I285" i="7"/>
  <c r="H285" i="7"/>
  <c r="G285" i="7"/>
  <c r="F285" i="7"/>
  <c r="E285" i="7"/>
  <c r="D285" i="7"/>
  <c r="C285" i="7"/>
  <c r="B285" i="7"/>
  <c r="A285" i="7"/>
  <c r="CH285" i="17" s="1"/>
  <c r="AB284" i="7"/>
  <c r="J284" i="7"/>
  <c r="I284" i="7"/>
  <c r="H284" i="7"/>
  <c r="G284" i="7"/>
  <c r="F284" i="7"/>
  <c r="E284" i="7"/>
  <c r="D284" i="7"/>
  <c r="C284" i="7"/>
  <c r="B284" i="7"/>
  <c r="A284" i="7"/>
  <c r="CH284" i="17" s="1"/>
  <c r="AB283" i="7"/>
  <c r="J283" i="7"/>
  <c r="I283" i="7"/>
  <c r="H283" i="7"/>
  <c r="G283" i="7"/>
  <c r="F283" i="7"/>
  <c r="E283" i="7"/>
  <c r="D283" i="7"/>
  <c r="C283" i="7"/>
  <c r="B283" i="7"/>
  <c r="A283" i="7"/>
  <c r="CH283" i="17" s="1"/>
  <c r="AB282" i="7"/>
  <c r="J282" i="7"/>
  <c r="I282" i="7"/>
  <c r="H282" i="7"/>
  <c r="G282" i="7"/>
  <c r="F282" i="7"/>
  <c r="E282" i="7"/>
  <c r="D282" i="7"/>
  <c r="C282" i="7"/>
  <c r="B282" i="7"/>
  <c r="A282" i="7"/>
  <c r="CH282" i="17" s="1"/>
  <c r="AB281" i="7"/>
  <c r="J281" i="7"/>
  <c r="I281" i="7"/>
  <c r="R281" i="7" s="1"/>
  <c r="H281" i="7"/>
  <c r="G281" i="7"/>
  <c r="F281" i="7"/>
  <c r="E281" i="7"/>
  <c r="D281" i="7"/>
  <c r="C281" i="7"/>
  <c r="B281" i="7"/>
  <c r="A281" i="7"/>
  <c r="CH281" i="17" s="1"/>
  <c r="AB280" i="7"/>
  <c r="J280" i="7"/>
  <c r="I280" i="7"/>
  <c r="H280" i="7"/>
  <c r="G280" i="7"/>
  <c r="F280" i="7"/>
  <c r="E280" i="7"/>
  <c r="D280" i="7"/>
  <c r="C280" i="7"/>
  <c r="B280" i="7"/>
  <c r="A280" i="7"/>
  <c r="CH280" i="17" s="1"/>
  <c r="AB279" i="7"/>
  <c r="J279" i="7"/>
  <c r="I279" i="7"/>
  <c r="R279" i="7" s="1"/>
  <c r="H279" i="7"/>
  <c r="G279" i="7"/>
  <c r="F279" i="7"/>
  <c r="E279" i="7"/>
  <c r="D279" i="7"/>
  <c r="C279" i="7"/>
  <c r="B279" i="7"/>
  <c r="A279" i="7"/>
  <c r="CH279" i="17" s="1"/>
  <c r="AB278" i="7"/>
  <c r="J278" i="7"/>
  <c r="I278" i="7"/>
  <c r="H278" i="7"/>
  <c r="G278" i="7"/>
  <c r="F278" i="7"/>
  <c r="E278" i="7"/>
  <c r="D278" i="7"/>
  <c r="C278" i="7"/>
  <c r="B278" i="7"/>
  <c r="A278" i="7"/>
  <c r="CH278" i="17" s="1"/>
  <c r="AB277" i="7"/>
  <c r="J277" i="7"/>
  <c r="I277" i="7"/>
  <c r="H277" i="7"/>
  <c r="G277" i="7"/>
  <c r="F277" i="7"/>
  <c r="E277" i="7"/>
  <c r="D277" i="7"/>
  <c r="C277" i="7"/>
  <c r="B277" i="7"/>
  <c r="A277" i="7"/>
  <c r="CH277" i="17" s="1"/>
  <c r="AB276" i="7"/>
  <c r="J276" i="7"/>
  <c r="I276" i="7"/>
  <c r="H276" i="7"/>
  <c r="G276" i="7"/>
  <c r="F276" i="7"/>
  <c r="E276" i="7"/>
  <c r="D276" i="7"/>
  <c r="C276" i="7"/>
  <c r="B276" i="7"/>
  <c r="A276" i="7"/>
  <c r="CH276" i="17" s="1"/>
  <c r="AB275" i="7"/>
  <c r="J275" i="7"/>
  <c r="I275" i="7"/>
  <c r="H275" i="7"/>
  <c r="G275" i="7"/>
  <c r="F275" i="7"/>
  <c r="E275" i="7"/>
  <c r="D275" i="7"/>
  <c r="C275" i="7"/>
  <c r="B275" i="7"/>
  <c r="A275" i="7"/>
  <c r="CH275" i="17" s="1"/>
  <c r="AB274" i="7"/>
  <c r="J274" i="7"/>
  <c r="I274" i="7"/>
  <c r="H274" i="7"/>
  <c r="G274" i="7"/>
  <c r="F274" i="7"/>
  <c r="E274" i="7"/>
  <c r="D274" i="7"/>
  <c r="C274" i="7"/>
  <c r="B274" i="7"/>
  <c r="A274" i="7"/>
  <c r="CH274" i="17" s="1"/>
  <c r="AB273" i="7"/>
  <c r="J273" i="7"/>
  <c r="I273" i="7"/>
  <c r="H273" i="7"/>
  <c r="G273" i="7"/>
  <c r="F273" i="7"/>
  <c r="E273" i="7"/>
  <c r="D273" i="7"/>
  <c r="C273" i="7"/>
  <c r="B273" i="7"/>
  <c r="A273" i="7"/>
  <c r="CH273" i="17" s="1"/>
  <c r="AB272" i="7"/>
  <c r="J272" i="7"/>
  <c r="I272" i="7"/>
  <c r="H272" i="7"/>
  <c r="G272" i="7"/>
  <c r="F272" i="7"/>
  <c r="E272" i="7"/>
  <c r="D272" i="7"/>
  <c r="C272" i="7"/>
  <c r="B272" i="7"/>
  <c r="A272" i="7"/>
  <c r="CH272" i="17" s="1"/>
  <c r="AB271" i="7"/>
  <c r="J271" i="7"/>
  <c r="I271" i="7"/>
  <c r="H271" i="7"/>
  <c r="G271" i="7"/>
  <c r="F271" i="7"/>
  <c r="E271" i="7"/>
  <c r="D271" i="7"/>
  <c r="C271" i="7"/>
  <c r="B271" i="7"/>
  <c r="A271" i="7"/>
  <c r="CH271" i="17" s="1"/>
  <c r="AB270" i="7"/>
  <c r="J270" i="7"/>
  <c r="I270" i="7"/>
  <c r="H270" i="7"/>
  <c r="G270" i="7"/>
  <c r="F270" i="7"/>
  <c r="E270" i="7"/>
  <c r="D270" i="7"/>
  <c r="C270" i="7"/>
  <c r="B270" i="7"/>
  <c r="A270" i="7"/>
  <c r="CH270" i="17" s="1"/>
  <c r="AB269" i="7"/>
  <c r="J269" i="7"/>
  <c r="I269" i="7"/>
  <c r="H269" i="7"/>
  <c r="G269" i="7"/>
  <c r="F269" i="7"/>
  <c r="E269" i="7"/>
  <c r="D269" i="7"/>
  <c r="C269" i="7"/>
  <c r="B269" i="7"/>
  <c r="A269" i="7"/>
  <c r="CH269" i="17" s="1"/>
  <c r="AB268" i="7"/>
  <c r="M268" i="7"/>
  <c r="V268" i="7" s="1"/>
  <c r="J268" i="7"/>
  <c r="I268" i="7"/>
  <c r="H268" i="7"/>
  <c r="G268" i="7"/>
  <c r="F268" i="7"/>
  <c r="E268" i="7"/>
  <c r="D268" i="7"/>
  <c r="C268" i="7"/>
  <c r="B268" i="7"/>
  <c r="A268" i="7"/>
  <c r="CH268" i="17" s="1"/>
  <c r="AB267" i="7"/>
  <c r="J267" i="7"/>
  <c r="S267" i="7" s="1"/>
  <c r="I267" i="7"/>
  <c r="H267" i="7"/>
  <c r="G267" i="7"/>
  <c r="F267" i="7"/>
  <c r="E267" i="7"/>
  <c r="D267" i="7"/>
  <c r="C267" i="7"/>
  <c r="L268" i="7" s="1"/>
  <c r="U268" i="7" s="1"/>
  <c r="B267" i="7"/>
  <c r="A267" i="7"/>
  <c r="CH267" i="17" s="1"/>
  <c r="AB266" i="7"/>
  <c r="O266" i="7"/>
  <c r="Z266" i="7" s="1"/>
  <c r="L266" i="7"/>
  <c r="U266" i="7" s="1"/>
  <c r="J266" i="7"/>
  <c r="I266" i="7"/>
  <c r="H266" i="7"/>
  <c r="G266" i="7"/>
  <c r="F266" i="7"/>
  <c r="E266" i="7"/>
  <c r="D266" i="7"/>
  <c r="C266" i="7"/>
  <c r="L267" i="7" s="1"/>
  <c r="U267" i="7" s="1"/>
  <c r="B266" i="7"/>
  <c r="A266" i="7"/>
  <c r="CH266" i="17" s="1"/>
  <c r="AB265" i="7"/>
  <c r="Z265" i="7"/>
  <c r="O265" i="7"/>
  <c r="J265" i="7"/>
  <c r="I265" i="7"/>
  <c r="R265" i="7" s="1"/>
  <c r="H265" i="7"/>
  <c r="G265" i="7"/>
  <c r="F265" i="7"/>
  <c r="E265" i="7"/>
  <c r="D265" i="7"/>
  <c r="M266" i="7" s="1"/>
  <c r="V266" i="7" s="1"/>
  <c r="C265" i="7"/>
  <c r="B265" i="7"/>
  <c r="A265" i="7"/>
  <c r="CH265" i="17" s="1"/>
  <c r="AB264" i="7"/>
  <c r="M264" i="7"/>
  <c r="V264" i="7" s="1"/>
  <c r="J264" i="7"/>
  <c r="I264" i="7"/>
  <c r="H264" i="7"/>
  <c r="G264" i="7"/>
  <c r="F264" i="7"/>
  <c r="E264" i="7"/>
  <c r="D264" i="7"/>
  <c r="C264" i="7"/>
  <c r="B264" i="7"/>
  <c r="A264" i="7"/>
  <c r="CH264" i="17" s="1"/>
  <c r="AB263" i="7"/>
  <c r="J263" i="7"/>
  <c r="S263" i="7" s="1"/>
  <c r="Y263" i="7" s="1"/>
  <c r="I263" i="7"/>
  <c r="R263" i="7" s="1"/>
  <c r="H263" i="7"/>
  <c r="Q263" i="7" s="1"/>
  <c r="X263" i="7" s="1"/>
  <c r="G263" i="7"/>
  <c r="F263" i="7"/>
  <c r="E263" i="7"/>
  <c r="D263" i="7"/>
  <c r="C263" i="7"/>
  <c r="L264" i="7" s="1"/>
  <c r="U264" i="7" s="1"/>
  <c r="B263" i="7"/>
  <c r="A263" i="7"/>
  <c r="CH263" i="17" s="1"/>
  <c r="AB262" i="7"/>
  <c r="O262" i="7"/>
  <c r="Z262" i="7" s="1"/>
  <c r="J262" i="7"/>
  <c r="I262" i="7"/>
  <c r="H262" i="7"/>
  <c r="G262" i="7"/>
  <c r="F262" i="7"/>
  <c r="E262" i="7"/>
  <c r="D262" i="7"/>
  <c r="C262" i="7"/>
  <c r="B262" i="7"/>
  <c r="A262" i="7"/>
  <c r="CH262" i="17" s="1"/>
  <c r="AB261" i="7"/>
  <c r="J261" i="7"/>
  <c r="I261" i="7"/>
  <c r="H261" i="7"/>
  <c r="G261" i="7"/>
  <c r="F261" i="7"/>
  <c r="E261" i="7"/>
  <c r="D261" i="7"/>
  <c r="M262" i="7" s="1"/>
  <c r="V262" i="7" s="1"/>
  <c r="C261" i="7"/>
  <c r="B261" i="7"/>
  <c r="A261" i="7"/>
  <c r="CH261" i="17" s="1"/>
  <c r="AB260" i="7"/>
  <c r="J260" i="7"/>
  <c r="I260" i="7"/>
  <c r="H260" i="7"/>
  <c r="G260" i="7"/>
  <c r="F260" i="7"/>
  <c r="E260" i="7"/>
  <c r="D260" i="7"/>
  <c r="C260" i="7"/>
  <c r="B260" i="7"/>
  <c r="A260" i="7"/>
  <c r="CH260" i="17" s="1"/>
  <c r="AB259" i="7"/>
  <c r="J259" i="7"/>
  <c r="I259" i="7"/>
  <c r="H259" i="7"/>
  <c r="G259" i="7"/>
  <c r="F259" i="7"/>
  <c r="E259" i="7"/>
  <c r="D259" i="7"/>
  <c r="M259" i="7" s="1"/>
  <c r="V259" i="7" s="1"/>
  <c r="C259" i="7"/>
  <c r="B259" i="7"/>
  <c r="A259" i="7"/>
  <c r="CH259" i="17" s="1"/>
  <c r="AB258" i="7"/>
  <c r="N258" i="7"/>
  <c r="W258" i="7" s="1"/>
  <c r="J258" i="7"/>
  <c r="I258" i="7"/>
  <c r="H258" i="7"/>
  <c r="G258" i="7"/>
  <c r="F258" i="7"/>
  <c r="E258" i="7"/>
  <c r="D258" i="7"/>
  <c r="C258" i="7"/>
  <c r="B258" i="7"/>
  <c r="A258" i="7"/>
  <c r="CH258" i="17" s="1"/>
  <c r="AB257" i="7"/>
  <c r="N257" i="7"/>
  <c r="W257" i="7" s="1"/>
  <c r="J257" i="7"/>
  <c r="I257" i="7"/>
  <c r="H257" i="7"/>
  <c r="G257" i="7"/>
  <c r="F257" i="7"/>
  <c r="E257" i="7"/>
  <c r="D257" i="7"/>
  <c r="C257" i="7"/>
  <c r="B257" i="7"/>
  <c r="A257" i="7"/>
  <c r="CH257" i="17" s="1"/>
  <c r="AB256" i="7"/>
  <c r="O256" i="7"/>
  <c r="Z256" i="7" s="1"/>
  <c r="M256" i="7"/>
  <c r="V256" i="7" s="1"/>
  <c r="J256" i="7"/>
  <c r="S257" i="7" s="1"/>
  <c r="I256" i="7"/>
  <c r="R256" i="7" s="1"/>
  <c r="H256" i="7"/>
  <c r="Q256" i="7" s="1"/>
  <c r="X256" i="7" s="1"/>
  <c r="G256" i="7"/>
  <c r="F256" i="7"/>
  <c r="E256" i="7"/>
  <c r="D256" i="7"/>
  <c r="C256" i="7"/>
  <c r="B256" i="7"/>
  <c r="A256" i="7"/>
  <c r="CH256" i="17" s="1"/>
  <c r="AB255" i="7"/>
  <c r="M255" i="7"/>
  <c r="V255" i="7" s="1"/>
  <c r="J255" i="7"/>
  <c r="I255" i="7"/>
  <c r="H255" i="7"/>
  <c r="G255" i="7"/>
  <c r="F255" i="7"/>
  <c r="E255" i="7"/>
  <c r="N256" i="7" s="1"/>
  <c r="W256" i="7" s="1"/>
  <c r="D255" i="7"/>
  <c r="C255" i="7"/>
  <c r="B255" i="7"/>
  <c r="A255" i="7"/>
  <c r="CH255" i="17" s="1"/>
  <c r="AB254" i="7"/>
  <c r="M254" i="7"/>
  <c r="V254" i="7" s="1"/>
  <c r="J254" i="7"/>
  <c r="I254" i="7"/>
  <c r="H254" i="7"/>
  <c r="G254" i="7"/>
  <c r="F254" i="7"/>
  <c r="O255" i="7" s="1"/>
  <c r="Z255" i="7" s="1"/>
  <c r="E254" i="7"/>
  <c r="D254" i="7"/>
  <c r="C254" i="7"/>
  <c r="B254" i="7"/>
  <c r="A254" i="7"/>
  <c r="CH254" i="17" s="1"/>
  <c r="AB253" i="7"/>
  <c r="J253" i="7"/>
  <c r="I253" i="7"/>
  <c r="H253" i="7"/>
  <c r="G253" i="7"/>
  <c r="F253" i="7"/>
  <c r="E253" i="7"/>
  <c r="N253" i="7" s="1"/>
  <c r="W253" i="7" s="1"/>
  <c r="D253" i="7"/>
  <c r="C253" i="7"/>
  <c r="L254" i="7" s="1"/>
  <c r="U254" i="7" s="1"/>
  <c r="B253" i="7"/>
  <c r="A253" i="7"/>
  <c r="CH253" i="17" s="1"/>
  <c r="AB252" i="7"/>
  <c r="J252" i="7"/>
  <c r="I252" i="7"/>
  <c r="H252" i="7"/>
  <c r="Q252" i="7" s="1"/>
  <c r="X252" i="7" s="1"/>
  <c r="G252" i="7"/>
  <c r="F252" i="7"/>
  <c r="O252" i="7" s="1"/>
  <c r="Z252" i="7" s="1"/>
  <c r="E252" i="7"/>
  <c r="D252" i="7"/>
  <c r="M252" i="7" s="1"/>
  <c r="V252" i="7" s="1"/>
  <c r="C252" i="7"/>
  <c r="L252" i="7" s="1"/>
  <c r="U252" i="7" s="1"/>
  <c r="B252" i="7"/>
  <c r="A252" i="7"/>
  <c r="CH252" i="17" s="1"/>
  <c r="AB251" i="7"/>
  <c r="L251" i="7"/>
  <c r="U251" i="7" s="1"/>
  <c r="J251" i="7"/>
  <c r="I251" i="7"/>
  <c r="H251" i="7"/>
  <c r="G251" i="7"/>
  <c r="F251" i="7"/>
  <c r="E251" i="7"/>
  <c r="N251" i="7" s="1"/>
  <c r="W251" i="7" s="1"/>
  <c r="D251" i="7"/>
  <c r="M251" i="7" s="1"/>
  <c r="V251" i="7" s="1"/>
  <c r="C251" i="7"/>
  <c r="B251" i="7"/>
  <c r="A251" i="7"/>
  <c r="CH251" i="17" s="1"/>
  <c r="AB250" i="7"/>
  <c r="M250" i="7"/>
  <c r="V250" i="7" s="1"/>
  <c r="J250" i="7"/>
  <c r="I250" i="7"/>
  <c r="H250" i="7"/>
  <c r="G250" i="7"/>
  <c r="F250" i="7"/>
  <c r="O250" i="7" s="1"/>
  <c r="Z250" i="7" s="1"/>
  <c r="E250" i="7"/>
  <c r="D250" i="7"/>
  <c r="C250" i="7"/>
  <c r="L250" i="7" s="1"/>
  <c r="U250" i="7" s="1"/>
  <c r="B250" i="7"/>
  <c r="A250" i="7"/>
  <c r="CH250" i="17" s="1"/>
  <c r="AB249" i="7"/>
  <c r="J249" i="7"/>
  <c r="I249" i="7"/>
  <c r="H249" i="7"/>
  <c r="G249" i="7"/>
  <c r="F249" i="7"/>
  <c r="O249" i="7" s="1"/>
  <c r="Z249" i="7" s="1"/>
  <c r="E249" i="7"/>
  <c r="D249" i="7"/>
  <c r="M249" i="7" s="1"/>
  <c r="V249" i="7" s="1"/>
  <c r="C249" i="7"/>
  <c r="B249" i="7"/>
  <c r="A249" i="7"/>
  <c r="CH249" i="17" s="1"/>
  <c r="AB248" i="7"/>
  <c r="J248" i="7"/>
  <c r="I248" i="7"/>
  <c r="H248" i="7"/>
  <c r="G248" i="7"/>
  <c r="F248" i="7"/>
  <c r="E248" i="7"/>
  <c r="D248" i="7"/>
  <c r="C248" i="7"/>
  <c r="L249" i="7" s="1"/>
  <c r="U249" i="7" s="1"/>
  <c r="B248" i="7"/>
  <c r="A248" i="7"/>
  <c r="CH248" i="17" s="1"/>
  <c r="AB247" i="7"/>
  <c r="L247" i="7"/>
  <c r="U247" i="7" s="1"/>
  <c r="J247" i="7"/>
  <c r="I247" i="7"/>
  <c r="H247" i="7"/>
  <c r="G247" i="7"/>
  <c r="F247" i="7"/>
  <c r="E247" i="7"/>
  <c r="D247" i="7"/>
  <c r="C247" i="7"/>
  <c r="B247" i="7"/>
  <c r="A247" i="7"/>
  <c r="CH247" i="17" s="1"/>
  <c r="AB246" i="7"/>
  <c r="J246" i="7"/>
  <c r="I246" i="7"/>
  <c r="R246" i="7" s="1"/>
  <c r="H246" i="7"/>
  <c r="G246" i="7"/>
  <c r="P246" i="7" s="1"/>
  <c r="AA246" i="7" s="1"/>
  <c r="F246" i="7"/>
  <c r="E246" i="7"/>
  <c r="D246" i="7"/>
  <c r="M246" i="7" s="1"/>
  <c r="V246" i="7" s="1"/>
  <c r="C246" i="7"/>
  <c r="L246" i="7" s="1"/>
  <c r="U246" i="7" s="1"/>
  <c r="B246" i="7"/>
  <c r="A246" i="7"/>
  <c r="CH246" i="17" s="1"/>
  <c r="AB245" i="7"/>
  <c r="J245" i="7"/>
  <c r="I245" i="7"/>
  <c r="H245" i="7"/>
  <c r="G245" i="7"/>
  <c r="F245" i="7"/>
  <c r="E245" i="7"/>
  <c r="D245" i="7"/>
  <c r="C245" i="7"/>
  <c r="L245" i="7" s="1"/>
  <c r="U245" i="7" s="1"/>
  <c r="B245" i="7"/>
  <c r="A245" i="7"/>
  <c r="CH245" i="17" s="1"/>
  <c r="AB244" i="7"/>
  <c r="J244" i="7"/>
  <c r="I244" i="7"/>
  <c r="R244" i="7" s="1"/>
  <c r="H244" i="7"/>
  <c r="G244" i="7"/>
  <c r="F244" i="7"/>
  <c r="E244" i="7"/>
  <c r="D244" i="7"/>
  <c r="M244" i="7" s="1"/>
  <c r="V244" i="7" s="1"/>
  <c r="C244" i="7"/>
  <c r="L244" i="7" s="1"/>
  <c r="U244" i="7" s="1"/>
  <c r="B244" i="7"/>
  <c r="A244" i="7"/>
  <c r="CH244" i="17" s="1"/>
  <c r="AB243" i="7"/>
  <c r="L243" i="7"/>
  <c r="U243" i="7" s="1"/>
  <c r="J243" i="7"/>
  <c r="I243" i="7"/>
  <c r="R243" i="7" s="1"/>
  <c r="H243" i="7"/>
  <c r="G243" i="7"/>
  <c r="F243" i="7"/>
  <c r="O243" i="7" s="1"/>
  <c r="Z243" i="7" s="1"/>
  <c r="E243" i="7"/>
  <c r="N243" i="7" s="1"/>
  <c r="W243" i="7" s="1"/>
  <c r="D243" i="7"/>
  <c r="C243" i="7"/>
  <c r="B243" i="7"/>
  <c r="A243" i="7"/>
  <c r="CH243" i="17" s="1"/>
  <c r="AB242" i="7"/>
  <c r="N242" i="7"/>
  <c r="W242" i="7" s="1"/>
  <c r="J242" i="7"/>
  <c r="I242" i="7"/>
  <c r="H242" i="7"/>
  <c r="G242" i="7"/>
  <c r="F242" i="7"/>
  <c r="E242" i="7"/>
  <c r="D242" i="7"/>
  <c r="C242" i="7"/>
  <c r="B242" i="7"/>
  <c r="A242" i="7"/>
  <c r="CH242" i="17" s="1"/>
  <c r="AB241" i="7"/>
  <c r="N241" i="7"/>
  <c r="W241" i="7" s="1"/>
  <c r="J241" i="7"/>
  <c r="S241" i="7" s="1"/>
  <c r="I241" i="7"/>
  <c r="H241" i="7"/>
  <c r="G241" i="7"/>
  <c r="F241" i="7"/>
  <c r="O241" i="7" s="1"/>
  <c r="Z241" i="7" s="1"/>
  <c r="E241" i="7"/>
  <c r="D241" i="7"/>
  <c r="C241" i="7"/>
  <c r="B241" i="7"/>
  <c r="A241" i="7"/>
  <c r="CH241" i="17" s="1"/>
  <c r="AB240" i="7"/>
  <c r="N240" i="7"/>
  <c r="W240" i="7" s="1"/>
  <c r="J240" i="7"/>
  <c r="I240" i="7"/>
  <c r="H240" i="7"/>
  <c r="Q240" i="7" s="1"/>
  <c r="X240" i="7" s="1"/>
  <c r="G240" i="7"/>
  <c r="P240" i="7" s="1"/>
  <c r="AA240" i="7" s="1"/>
  <c r="F240" i="7"/>
  <c r="E240" i="7"/>
  <c r="D240" i="7"/>
  <c r="C240" i="7"/>
  <c r="B240" i="7"/>
  <c r="A240" i="7"/>
  <c r="CH240" i="17" s="1"/>
  <c r="AB239" i="7"/>
  <c r="M239" i="7"/>
  <c r="V239" i="7" s="1"/>
  <c r="J239" i="7"/>
  <c r="I239" i="7"/>
  <c r="H239" i="7"/>
  <c r="G239" i="7"/>
  <c r="F239" i="7"/>
  <c r="E239" i="7"/>
  <c r="D239" i="7"/>
  <c r="C239" i="7"/>
  <c r="B239" i="7"/>
  <c r="A239" i="7"/>
  <c r="CH239" i="17" s="1"/>
  <c r="AB238" i="7"/>
  <c r="J238" i="7"/>
  <c r="I238" i="7"/>
  <c r="R238" i="7" s="1"/>
  <c r="H238" i="7"/>
  <c r="G238" i="7"/>
  <c r="P238" i="7" s="1"/>
  <c r="AA238" i="7" s="1"/>
  <c r="F238" i="7"/>
  <c r="E238" i="7"/>
  <c r="D238" i="7"/>
  <c r="M238" i="7" s="1"/>
  <c r="V238" i="7" s="1"/>
  <c r="C238" i="7"/>
  <c r="L239" i="7" s="1"/>
  <c r="U239" i="7" s="1"/>
  <c r="B238" i="7"/>
  <c r="A238" i="7"/>
  <c r="CH238" i="17" s="1"/>
  <c r="AB237" i="7"/>
  <c r="M237" i="7"/>
  <c r="V237" i="7" s="1"/>
  <c r="J237" i="7"/>
  <c r="S237" i="7" s="1"/>
  <c r="I237" i="7"/>
  <c r="H237" i="7"/>
  <c r="G237" i="7"/>
  <c r="F237" i="7"/>
  <c r="E237" i="7"/>
  <c r="N237" i="7" s="1"/>
  <c r="W237" i="7" s="1"/>
  <c r="D237" i="7"/>
  <c r="C237" i="7"/>
  <c r="B237" i="7"/>
  <c r="K238" i="7" s="1"/>
  <c r="T238" i="7" s="1"/>
  <c r="A237" i="7"/>
  <c r="CH237" i="17" s="1"/>
  <c r="AB236" i="7"/>
  <c r="N236" i="7"/>
  <c r="W236" i="7" s="1"/>
  <c r="J236" i="7"/>
  <c r="I236" i="7"/>
  <c r="H236" i="7"/>
  <c r="G236" i="7"/>
  <c r="F236" i="7"/>
  <c r="O237" i="7" s="1"/>
  <c r="Z237" i="7" s="1"/>
  <c r="E236" i="7"/>
  <c r="D236" i="7"/>
  <c r="M236" i="7" s="1"/>
  <c r="V236" i="7" s="1"/>
  <c r="C236" i="7"/>
  <c r="B236" i="7"/>
  <c r="A236" i="7"/>
  <c r="CH236" i="17" s="1"/>
  <c r="AB235" i="7"/>
  <c r="J235" i="7"/>
  <c r="I235" i="7"/>
  <c r="H235" i="7"/>
  <c r="G235" i="7"/>
  <c r="F235" i="7"/>
  <c r="O235" i="7" s="1"/>
  <c r="Z235" i="7" s="1"/>
  <c r="E235" i="7"/>
  <c r="D235" i="7"/>
  <c r="M235" i="7" s="1"/>
  <c r="V235" i="7" s="1"/>
  <c r="C235" i="7"/>
  <c r="B235" i="7"/>
  <c r="K236" i="7" s="1"/>
  <c r="T236" i="7" s="1"/>
  <c r="A235" i="7"/>
  <c r="CH235" i="17" s="1"/>
  <c r="AB234" i="7"/>
  <c r="J234" i="7"/>
  <c r="S234" i="7" s="1"/>
  <c r="I234" i="7"/>
  <c r="H234" i="7"/>
  <c r="G234" i="7"/>
  <c r="F234" i="7"/>
  <c r="E234" i="7"/>
  <c r="D234" i="7"/>
  <c r="M234" i="7" s="1"/>
  <c r="V234" i="7" s="1"/>
  <c r="C234" i="7"/>
  <c r="B234" i="7"/>
  <c r="A234" i="7"/>
  <c r="CH234" i="17" s="1"/>
  <c r="AB233" i="7"/>
  <c r="M233" i="7"/>
  <c r="V233" i="7" s="1"/>
  <c r="J233" i="7"/>
  <c r="I233" i="7"/>
  <c r="H233" i="7"/>
  <c r="G233" i="7"/>
  <c r="F233" i="7"/>
  <c r="E233" i="7"/>
  <c r="N233" i="7" s="1"/>
  <c r="W233" i="7" s="1"/>
  <c r="D233" i="7"/>
  <c r="C233" i="7"/>
  <c r="B233" i="7"/>
  <c r="A233" i="7"/>
  <c r="CH233" i="17" s="1"/>
  <c r="AB232" i="7"/>
  <c r="N232" i="7"/>
  <c r="W232" i="7" s="1"/>
  <c r="J232" i="7"/>
  <c r="I232" i="7"/>
  <c r="H232" i="7"/>
  <c r="G232" i="7"/>
  <c r="F232" i="7"/>
  <c r="O232" i="7" s="1"/>
  <c r="Z232" i="7" s="1"/>
  <c r="E232" i="7"/>
  <c r="D232" i="7"/>
  <c r="M232" i="7" s="1"/>
  <c r="V232" i="7" s="1"/>
  <c r="C232" i="7"/>
  <c r="B232" i="7"/>
  <c r="A232" i="7"/>
  <c r="CH232" i="17" s="1"/>
  <c r="AB231" i="7"/>
  <c r="N231" i="7"/>
  <c r="W231" i="7" s="1"/>
  <c r="M231" i="7"/>
  <c r="V231" i="7" s="1"/>
  <c r="J231" i="7"/>
  <c r="I231" i="7"/>
  <c r="H231" i="7"/>
  <c r="G231" i="7"/>
  <c r="F231" i="7"/>
  <c r="O231" i="7" s="1"/>
  <c r="Z231" i="7" s="1"/>
  <c r="E231" i="7"/>
  <c r="D231" i="7"/>
  <c r="C231" i="7"/>
  <c r="B231" i="7"/>
  <c r="A231" i="7"/>
  <c r="CH231" i="17" s="1"/>
  <c r="AB230" i="7"/>
  <c r="J230" i="7"/>
  <c r="I230" i="7"/>
  <c r="H230" i="7"/>
  <c r="Q230" i="7" s="1"/>
  <c r="X230" i="7" s="1"/>
  <c r="G230" i="7"/>
  <c r="F230" i="7"/>
  <c r="E230" i="7"/>
  <c r="D230" i="7"/>
  <c r="C230" i="7"/>
  <c r="L230" i="7" s="1"/>
  <c r="U230" i="7" s="1"/>
  <c r="B230" i="7"/>
  <c r="A230" i="7"/>
  <c r="CH230" i="17" s="1"/>
  <c r="AB229" i="7"/>
  <c r="N229" i="7"/>
  <c r="W229" i="7" s="1"/>
  <c r="J229" i="7"/>
  <c r="I229" i="7"/>
  <c r="H229" i="7"/>
  <c r="G229" i="7"/>
  <c r="F229" i="7"/>
  <c r="E229" i="7"/>
  <c r="D229" i="7"/>
  <c r="M230" i="7" s="1"/>
  <c r="V230" i="7" s="1"/>
  <c r="C229" i="7"/>
  <c r="B229" i="7"/>
  <c r="A229" i="7"/>
  <c r="CH229" i="17" s="1"/>
  <c r="AB228" i="7"/>
  <c r="L228" i="7"/>
  <c r="U228" i="7" s="1"/>
  <c r="J228" i="7"/>
  <c r="S229" i="7" s="1"/>
  <c r="I228" i="7"/>
  <c r="R228" i="7" s="1"/>
  <c r="H228" i="7"/>
  <c r="G228" i="7"/>
  <c r="F228" i="7"/>
  <c r="E228" i="7"/>
  <c r="N228" i="7" s="1"/>
  <c r="W228" i="7" s="1"/>
  <c r="D228" i="7"/>
  <c r="M228" i="7" s="1"/>
  <c r="V228" i="7" s="1"/>
  <c r="C228" i="7"/>
  <c r="B228" i="7"/>
  <c r="A228" i="7"/>
  <c r="CH228" i="17" s="1"/>
  <c r="AB227" i="7"/>
  <c r="N227" i="7"/>
  <c r="W227" i="7" s="1"/>
  <c r="L227" i="7"/>
  <c r="U227" i="7" s="1"/>
  <c r="J227" i="7"/>
  <c r="I227" i="7"/>
  <c r="H227" i="7"/>
  <c r="G227" i="7"/>
  <c r="F227" i="7"/>
  <c r="O227" i="7" s="1"/>
  <c r="Z227" i="7" s="1"/>
  <c r="E227" i="7"/>
  <c r="D227" i="7"/>
  <c r="M227" i="7" s="1"/>
  <c r="V227" i="7" s="1"/>
  <c r="C227" i="7"/>
  <c r="B227" i="7"/>
  <c r="A227" i="7"/>
  <c r="CH227" i="17" s="1"/>
  <c r="AB226" i="7"/>
  <c r="L226" i="7"/>
  <c r="U226" i="7" s="1"/>
  <c r="J226" i="7"/>
  <c r="I226" i="7"/>
  <c r="H226" i="7"/>
  <c r="G226" i="7"/>
  <c r="F226" i="7"/>
  <c r="E226" i="7"/>
  <c r="N226" i="7" s="1"/>
  <c r="W226" i="7" s="1"/>
  <c r="D226" i="7"/>
  <c r="C226" i="7"/>
  <c r="B226" i="7"/>
  <c r="K226" i="7" s="1"/>
  <c r="T226" i="7" s="1"/>
  <c r="A226" i="7"/>
  <c r="CH226" i="17" s="1"/>
  <c r="AB225" i="7"/>
  <c r="J225" i="7"/>
  <c r="I225" i="7"/>
  <c r="H225" i="7"/>
  <c r="G225" i="7"/>
  <c r="F225" i="7"/>
  <c r="O225" i="7" s="1"/>
  <c r="Z225" i="7" s="1"/>
  <c r="E225" i="7"/>
  <c r="N225" i="7" s="1"/>
  <c r="W225" i="7" s="1"/>
  <c r="D225" i="7"/>
  <c r="M225" i="7" s="1"/>
  <c r="V225" i="7" s="1"/>
  <c r="C225" i="7"/>
  <c r="B225" i="7"/>
  <c r="A225" i="7"/>
  <c r="CH225" i="17" s="1"/>
  <c r="AB224" i="7"/>
  <c r="J224" i="7"/>
  <c r="S225" i="7" s="1"/>
  <c r="I224" i="7"/>
  <c r="H224" i="7"/>
  <c r="G224" i="7"/>
  <c r="F224" i="7"/>
  <c r="E224" i="7"/>
  <c r="D224" i="7"/>
  <c r="M224" i="7" s="1"/>
  <c r="V224" i="7" s="1"/>
  <c r="C224" i="7"/>
  <c r="L224" i="7" s="1"/>
  <c r="U224" i="7" s="1"/>
  <c r="B224" i="7"/>
  <c r="A224" i="7"/>
  <c r="CH224" i="17" s="1"/>
  <c r="AB223" i="7"/>
  <c r="L223" i="7"/>
  <c r="U223" i="7" s="1"/>
  <c r="J223" i="7"/>
  <c r="I223" i="7"/>
  <c r="H223" i="7"/>
  <c r="G223" i="7"/>
  <c r="F223" i="7"/>
  <c r="O223" i="7" s="1"/>
  <c r="Z223" i="7" s="1"/>
  <c r="E223" i="7"/>
  <c r="D223" i="7"/>
  <c r="C223" i="7"/>
  <c r="B223" i="7"/>
  <c r="A223" i="7"/>
  <c r="CH223" i="17" s="1"/>
  <c r="AB222" i="7"/>
  <c r="L222" i="7"/>
  <c r="U222" i="7" s="1"/>
  <c r="J222" i="7"/>
  <c r="I222" i="7"/>
  <c r="H222" i="7"/>
  <c r="G222" i="7"/>
  <c r="F222" i="7"/>
  <c r="E222" i="7"/>
  <c r="N222" i="7" s="1"/>
  <c r="W222" i="7" s="1"/>
  <c r="D222" i="7"/>
  <c r="M222" i="7" s="1"/>
  <c r="V222" i="7" s="1"/>
  <c r="C222" i="7"/>
  <c r="B222" i="7"/>
  <c r="A222" i="7"/>
  <c r="CH222" i="17" s="1"/>
  <c r="AB221" i="7"/>
  <c r="M221" i="7"/>
  <c r="V221" i="7" s="1"/>
  <c r="J221" i="7"/>
  <c r="I221" i="7"/>
  <c r="H221" i="7"/>
  <c r="G221" i="7"/>
  <c r="F221" i="7"/>
  <c r="E221" i="7"/>
  <c r="D221" i="7"/>
  <c r="C221" i="7"/>
  <c r="B221" i="7"/>
  <c r="A221" i="7"/>
  <c r="CH221" i="17" s="1"/>
  <c r="AB220" i="7"/>
  <c r="J220" i="7"/>
  <c r="I220" i="7"/>
  <c r="R220" i="7" s="1"/>
  <c r="H220" i="7"/>
  <c r="G220" i="7"/>
  <c r="F220" i="7"/>
  <c r="E220" i="7"/>
  <c r="D220" i="7"/>
  <c r="M220" i="7" s="1"/>
  <c r="V220" i="7" s="1"/>
  <c r="C220" i="7"/>
  <c r="L220" i="7" s="1"/>
  <c r="U220" i="7" s="1"/>
  <c r="B220" i="7"/>
  <c r="A220" i="7"/>
  <c r="CH220" i="17" s="1"/>
  <c r="AB219" i="7"/>
  <c r="O219" i="7"/>
  <c r="Z219" i="7" s="1"/>
  <c r="J219" i="7"/>
  <c r="I219" i="7"/>
  <c r="H219" i="7"/>
  <c r="G219" i="7"/>
  <c r="F219" i="7"/>
  <c r="E219" i="7"/>
  <c r="D219" i="7"/>
  <c r="C219" i="7"/>
  <c r="B219" i="7"/>
  <c r="K219" i="7" s="1"/>
  <c r="T219" i="7" s="1"/>
  <c r="A219" i="7"/>
  <c r="CH219" i="17" s="1"/>
  <c r="AB218" i="7"/>
  <c r="O218" i="7"/>
  <c r="Z218" i="7" s="1"/>
  <c r="J218" i="7"/>
  <c r="I218" i="7"/>
  <c r="H218" i="7"/>
  <c r="G218" i="7"/>
  <c r="F218" i="7"/>
  <c r="E218" i="7"/>
  <c r="N219" i="7" s="1"/>
  <c r="W219" i="7" s="1"/>
  <c r="D218" i="7"/>
  <c r="M219" i="7" s="1"/>
  <c r="V219" i="7" s="1"/>
  <c r="C218" i="7"/>
  <c r="B218" i="7"/>
  <c r="A218" i="7"/>
  <c r="CH218" i="17" s="1"/>
  <c r="AB217" i="7"/>
  <c r="N217" i="7"/>
  <c r="W217" i="7" s="1"/>
  <c r="J217" i="7"/>
  <c r="I217" i="7"/>
  <c r="H217" i="7"/>
  <c r="G217" i="7"/>
  <c r="F217" i="7"/>
  <c r="E217" i="7"/>
  <c r="D217" i="7"/>
  <c r="C217" i="7"/>
  <c r="B217" i="7"/>
  <c r="A217" i="7"/>
  <c r="CH217" i="17" s="1"/>
  <c r="AB216" i="7"/>
  <c r="J216" i="7"/>
  <c r="I216" i="7"/>
  <c r="H216" i="7"/>
  <c r="G216" i="7"/>
  <c r="F216" i="7"/>
  <c r="E216" i="7"/>
  <c r="D216" i="7"/>
  <c r="M217" i="7" s="1"/>
  <c r="V217" i="7" s="1"/>
  <c r="C216" i="7"/>
  <c r="L217" i="7" s="1"/>
  <c r="U217" i="7" s="1"/>
  <c r="B216" i="7"/>
  <c r="K216" i="7" s="1"/>
  <c r="T216" i="7" s="1"/>
  <c r="A216" i="7"/>
  <c r="CH216" i="17" s="1"/>
  <c r="AB215" i="7"/>
  <c r="J215" i="7"/>
  <c r="I215" i="7"/>
  <c r="H215" i="7"/>
  <c r="G215" i="7"/>
  <c r="F215" i="7"/>
  <c r="E215" i="7"/>
  <c r="D215" i="7"/>
  <c r="M215" i="7" s="1"/>
  <c r="V215" i="7" s="1"/>
  <c r="C215" i="7"/>
  <c r="L215" i="7" s="1"/>
  <c r="U215" i="7" s="1"/>
  <c r="B215" i="7"/>
  <c r="A215" i="7"/>
  <c r="CH215" i="17" s="1"/>
  <c r="AB214" i="7"/>
  <c r="L214" i="7"/>
  <c r="U214" i="7" s="1"/>
  <c r="J214" i="7"/>
  <c r="S214" i="7" s="1"/>
  <c r="I214" i="7"/>
  <c r="R214" i="7" s="1"/>
  <c r="H214" i="7"/>
  <c r="G214" i="7"/>
  <c r="F214" i="7"/>
  <c r="E214" i="7"/>
  <c r="N214" i="7" s="1"/>
  <c r="W214" i="7" s="1"/>
  <c r="D214" i="7"/>
  <c r="C214" i="7"/>
  <c r="B214" i="7"/>
  <c r="A214" i="7"/>
  <c r="CH214" i="17" s="1"/>
  <c r="AB213" i="7"/>
  <c r="S213" i="7"/>
  <c r="O213" i="7"/>
  <c r="Z213" i="7" s="1"/>
  <c r="J213" i="7"/>
  <c r="I213" i="7"/>
  <c r="H213" i="7"/>
  <c r="G213" i="7"/>
  <c r="F213" i="7"/>
  <c r="E213" i="7"/>
  <c r="N213" i="7" s="1"/>
  <c r="W213" i="7" s="1"/>
  <c r="D213" i="7"/>
  <c r="M213" i="7" s="1"/>
  <c r="V213" i="7" s="1"/>
  <c r="C213" i="7"/>
  <c r="L213" i="7" s="1"/>
  <c r="U213" i="7" s="1"/>
  <c r="B213" i="7"/>
  <c r="A213" i="7"/>
  <c r="CH213" i="17" s="1"/>
  <c r="AB212" i="7"/>
  <c r="J212" i="7"/>
  <c r="I212" i="7"/>
  <c r="H212" i="7"/>
  <c r="G212" i="7"/>
  <c r="P212" i="7" s="1"/>
  <c r="AA212" i="7" s="1"/>
  <c r="F212" i="7"/>
  <c r="E212" i="7"/>
  <c r="N212" i="7" s="1"/>
  <c r="W212" i="7" s="1"/>
  <c r="D212" i="7"/>
  <c r="C212" i="7"/>
  <c r="B212" i="7"/>
  <c r="A212" i="7"/>
  <c r="CH212" i="17" s="1"/>
  <c r="AB211" i="7"/>
  <c r="J211" i="7"/>
  <c r="I211" i="7"/>
  <c r="H211" i="7"/>
  <c r="G211" i="7"/>
  <c r="F211" i="7"/>
  <c r="O211" i="7" s="1"/>
  <c r="Z211" i="7" s="1"/>
  <c r="E211" i="7"/>
  <c r="N211" i="7" s="1"/>
  <c r="W211" i="7" s="1"/>
  <c r="D211" i="7"/>
  <c r="C211" i="7"/>
  <c r="B211" i="7"/>
  <c r="K211" i="7" s="1"/>
  <c r="T211" i="7" s="1"/>
  <c r="A211" i="7"/>
  <c r="CH211" i="17" s="1"/>
  <c r="AB210" i="7"/>
  <c r="J210" i="7"/>
  <c r="I210" i="7"/>
  <c r="H210" i="7"/>
  <c r="G210" i="7"/>
  <c r="F210" i="7"/>
  <c r="E210" i="7"/>
  <c r="N210" i="7" s="1"/>
  <c r="W210" i="7" s="1"/>
  <c r="D210" i="7"/>
  <c r="M210" i="7" s="1"/>
  <c r="V210" i="7" s="1"/>
  <c r="C210" i="7"/>
  <c r="B210" i="7"/>
  <c r="K210" i="7" s="1"/>
  <c r="T210" i="7" s="1"/>
  <c r="A210" i="7"/>
  <c r="CH210" i="17" s="1"/>
  <c r="AB209" i="7"/>
  <c r="M209" i="7"/>
  <c r="V209" i="7" s="1"/>
  <c r="J209" i="7"/>
  <c r="S209" i="7" s="1"/>
  <c r="I209" i="7"/>
  <c r="H209" i="7"/>
  <c r="Q209" i="7" s="1"/>
  <c r="X209" i="7" s="1"/>
  <c r="G209" i="7"/>
  <c r="F209" i="7"/>
  <c r="E209" i="7"/>
  <c r="N209" i="7" s="1"/>
  <c r="W209" i="7" s="1"/>
  <c r="D209" i="7"/>
  <c r="C209" i="7"/>
  <c r="L209" i="7" s="1"/>
  <c r="U209" i="7" s="1"/>
  <c r="B209" i="7"/>
  <c r="A209" i="7"/>
  <c r="CH209" i="17" s="1"/>
  <c r="AB208" i="7"/>
  <c r="L208" i="7"/>
  <c r="U208" i="7" s="1"/>
  <c r="J208" i="7"/>
  <c r="I208" i="7"/>
  <c r="H208" i="7"/>
  <c r="G208" i="7"/>
  <c r="F208" i="7"/>
  <c r="E208" i="7"/>
  <c r="N208" i="7" s="1"/>
  <c r="W208" i="7" s="1"/>
  <c r="D208" i="7"/>
  <c r="C208" i="7"/>
  <c r="B208" i="7"/>
  <c r="A208" i="7"/>
  <c r="CH208" i="17" s="1"/>
  <c r="AB207" i="7"/>
  <c r="L207" i="7"/>
  <c r="U207" i="7" s="1"/>
  <c r="J207" i="7"/>
  <c r="I207" i="7"/>
  <c r="H207" i="7"/>
  <c r="G207" i="7"/>
  <c r="F207" i="7"/>
  <c r="E207" i="7"/>
  <c r="D207" i="7"/>
  <c r="C207" i="7"/>
  <c r="B207" i="7"/>
  <c r="A207" i="7"/>
  <c r="CH207" i="17" s="1"/>
  <c r="AB206" i="7"/>
  <c r="L206" i="7"/>
  <c r="U206" i="7" s="1"/>
  <c r="J206" i="7"/>
  <c r="I206" i="7"/>
  <c r="H206" i="7"/>
  <c r="G206" i="7"/>
  <c r="F206" i="7"/>
  <c r="E206" i="7"/>
  <c r="D206" i="7"/>
  <c r="C206" i="7"/>
  <c r="B206" i="7"/>
  <c r="K206" i="7" s="1"/>
  <c r="T206" i="7" s="1"/>
  <c r="A206" i="7"/>
  <c r="CH206" i="17" s="1"/>
  <c r="AB205" i="7"/>
  <c r="J205" i="7"/>
  <c r="I205" i="7"/>
  <c r="H205" i="7"/>
  <c r="Q205" i="7" s="1"/>
  <c r="X205" i="7" s="1"/>
  <c r="G205" i="7"/>
  <c r="F205" i="7"/>
  <c r="O205" i="7" s="1"/>
  <c r="Z205" i="7" s="1"/>
  <c r="E205" i="7"/>
  <c r="D205" i="7"/>
  <c r="M205" i="7" s="1"/>
  <c r="V205" i="7" s="1"/>
  <c r="C205" i="7"/>
  <c r="B205" i="7"/>
  <c r="A205" i="7"/>
  <c r="CH205" i="17" s="1"/>
  <c r="AB204" i="7"/>
  <c r="M204" i="7"/>
  <c r="V204" i="7" s="1"/>
  <c r="J204" i="7"/>
  <c r="I204" i="7"/>
  <c r="R204" i="7" s="1"/>
  <c r="H204" i="7"/>
  <c r="G204" i="7"/>
  <c r="F204" i="7"/>
  <c r="E204" i="7"/>
  <c r="N204" i="7" s="1"/>
  <c r="W204" i="7" s="1"/>
  <c r="D204" i="7"/>
  <c r="C204" i="7"/>
  <c r="B204" i="7"/>
  <c r="A204" i="7"/>
  <c r="CH204" i="17" s="1"/>
  <c r="AB203" i="7"/>
  <c r="P203" i="7"/>
  <c r="AA203" i="7" s="1"/>
  <c r="M203" i="7"/>
  <c r="V203" i="7" s="1"/>
  <c r="J203" i="7"/>
  <c r="I203" i="7"/>
  <c r="H203" i="7"/>
  <c r="G203" i="7"/>
  <c r="F203" i="7"/>
  <c r="O203" i="7" s="1"/>
  <c r="Z203" i="7" s="1"/>
  <c r="E203" i="7"/>
  <c r="N203" i="7" s="1"/>
  <c r="W203" i="7" s="1"/>
  <c r="D203" i="7"/>
  <c r="C203" i="7"/>
  <c r="B203" i="7"/>
  <c r="K203" i="7" s="1"/>
  <c r="T203" i="7" s="1"/>
  <c r="A203" i="7"/>
  <c r="CH203" i="17" s="1"/>
  <c r="AB202" i="7"/>
  <c r="J202" i="7"/>
  <c r="I202" i="7"/>
  <c r="R202" i="7" s="1"/>
  <c r="H202" i="7"/>
  <c r="Q202" i="7" s="1"/>
  <c r="X202" i="7" s="1"/>
  <c r="G202" i="7"/>
  <c r="P202" i="7" s="1"/>
  <c r="AA202" i="7" s="1"/>
  <c r="F202" i="7"/>
  <c r="O202" i="7" s="1"/>
  <c r="Z202" i="7" s="1"/>
  <c r="E202" i="7"/>
  <c r="D202" i="7"/>
  <c r="C202" i="7"/>
  <c r="L202" i="7" s="1"/>
  <c r="U202" i="7" s="1"/>
  <c r="B202" i="7"/>
  <c r="A202" i="7"/>
  <c r="CH202" i="17" s="1"/>
  <c r="AB201" i="7"/>
  <c r="N201" i="7"/>
  <c r="W201" i="7" s="1"/>
  <c r="J201" i="7"/>
  <c r="I201" i="7"/>
  <c r="H201" i="7"/>
  <c r="G201" i="7"/>
  <c r="F201" i="7"/>
  <c r="E201" i="7"/>
  <c r="D201" i="7"/>
  <c r="M202" i="7" s="1"/>
  <c r="V202" i="7" s="1"/>
  <c r="C201" i="7"/>
  <c r="B201" i="7"/>
  <c r="K201" i="7" s="1"/>
  <c r="T201" i="7" s="1"/>
  <c r="A201" i="7"/>
  <c r="CH201" i="17" s="1"/>
  <c r="AB200" i="7"/>
  <c r="J200" i="7"/>
  <c r="I200" i="7"/>
  <c r="H200" i="7"/>
  <c r="G200" i="7"/>
  <c r="F200" i="7"/>
  <c r="E200" i="7"/>
  <c r="D200" i="7"/>
  <c r="C200" i="7"/>
  <c r="B200" i="7"/>
  <c r="A200" i="7"/>
  <c r="CH200" i="17" s="1"/>
  <c r="AB199" i="7"/>
  <c r="N199" i="7"/>
  <c r="W199" i="7" s="1"/>
  <c r="J199" i="7"/>
  <c r="I199" i="7"/>
  <c r="R199" i="7" s="1"/>
  <c r="H199" i="7"/>
  <c r="G199" i="7"/>
  <c r="F199" i="7"/>
  <c r="E199" i="7"/>
  <c r="D199" i="7"/>
  <c r="C199" i="7"/>
  <c r="B199" i="7"/>
  <c r="A199" i="7"/>
  <c r="CH199" i="17" s="1"/>
  <c r="AB198" i="7"/>
  <c r="N198" i="7"/>
  <c r="W198" i="7" s="1"/>
  <c r="J198" i="7"/>
  <c r="I198" i="7"/>
  <c r="H198" i="7"/>
  <c r="G198" i="7"/>
  <c r="F198" i="7"/>
  <c r="E198" i="7"/>
  <c r="D198" i="7"/>
  <c r="C198" i="7"/>
  <c r="B198" i="7"/>
  <c r="K198" i="7" s="1"/>
  <c r="T198" i="7" s="1"/>
  <c r="A198" i="7"/>
  <c r="CH198" i="17" s="1"/>
  <c r="AB197" i="7"/>
  <c r="M197" i="7"/>
  <c r="V197" i="7" s="1"/>
  <c r="J197" i="7"/>
  <c r="S197" i="7" s="1"/>
  <c r="I197" i="7"/>
  <c r="H197" i="7"/>
  <c r="G197" i="7"/>
  <c r="F197" i="7"/>
  <c r="E197" i="7"/>
  <c r="D197" i="7"/>
  <c r="C197" i="7"/>
  <c r="B197" i="7"/>
  <c r="A197" i="7"/>
  <c r="CH197" i="17" s="1"/>
  <c r="AB196" i="7"/>
  <c r="J196" i="7"/>
  <c r="I196" i="7"/>
  <c r="H196" i="7"/>
  <c r="G196" i="7"/>
  <c r="F196" i="7"/>
  <c r="E196" i="7"/>
  <c r="N197" i="7" s="1"/>
  <c r="W197" i="7" s="1"/>
  <c r="D196" i="7"/>
  <c r="C196" i="7"/>
  <c r="L196" i="7" s="1"/>
  <c r="U196" i="7" s="1"/>
  <c r="B196" i="7"/>
  <c r="A196" i="7"/>
  <c r="CH196" i="17" s="1"/>
  <c r="AB195" i="7"/>
  <c r="J195" i="7"/>
  <c r="I195" i="7"/>
  <c r="H195" i="7"/>
  <c r="G195" i="7"/>
  <c r="P195" i="7" s="1"/>
  <c r="AA195" i="7" s="1"/>
  <c r="F195" i="7"/>
  <c r="E195" i="7"/>
  <c r="N195" i="7" s="1"/>
  <c r="W195" i="7" s="1"/>
  <c r="D195" i="7"/>
  <c r="C195" i="7"/>
  <c r="L195" i="7" s="1"/>
  <c r="U195" i="7" s="1"/>
  <c r="B195" i="7"/>
  <c r="A195" i="7"/>
  <c r="CH195" i="17" s="1"/>
  <c r="AB194" i="7"/>
  <c r="J194" i="7"/>
  <c r="I194" i="7"/>
  <c r="H194" i="7"/>
  <c r="G194" i="7"/>
  <c r="F194" i="7"/>
  <c r="E194" i="7"/>
  <c r="D194" i="7"/>
  <c r="M194" i="7" s="1"/>
  <c r="V194" i="7" s="1"/>
  <c r="C194" i="7"/>
  <c r="L194" i="7" s="1"/>
  <c r="U194" i="7" s="1"/>
  <c r="B194" i="7"/>
  <c r="K194" i="7" s="1"/>
  <c r="T194" i="7" s="1"/>
  <c r="A194" i="7"/>
  <c r="CH194" i="17" s="1"/>
  <c r="AB193" i="7"/>
  <c r="J193" i="7"/>
  <c r="I193" i="7"/>
  <c r="H193" i="7"/>
  <c r="Q193" i="7" s="1"/>
  <c r="X193" i="7" s="1"/>
  <c r="G193" i="7"/>
  <c r="F193" i="7"/>
  <c r="O193" i="7" s="1"/>
  <c r="Z193" i="7" s="1"/>
  <c r="E193" i="7"/>
  <c r="D193" i="7"/>
  <c r="M193" i="7" s="1"/>
  <c r="V193" i="7" s="1"/>
  <c r="C193" i="7"/>
  <c r="B193" i="7"/>
  <c r="A193" i="7"/>
  <c r="CH193" i="17" s="1"/>
  <c r="AB192" i="7"/>
  <c r="J192" i="7"/>
  <c r="I192" i="7"/>
  <c r="R192" i="7" s="1"/>
  <c r="H192" i="7"/>
  <c r="G192" i="7"/>
  <c r="F192" i="7"/>
  <c r="E192" i="7"/>
  <c r="N192" i="7" s="1"/>
  <c r="W192" i="7" s="1"/>
  <c r="D192" i="7"/>
  <c r="M192" i="7" s="1"/>
  <c r="V192" i="7" s="1"/>
  <c r="C192" i="7"/>
  <c r="B192" i="7"/>
  <c r="K192" i="7" s="1"/>
  <c r="T192" i="7" s="1"/>
  <c r="A192" i="7"/>
  <c r="CH192" i="17" s="1"/>
  <c r="AB191" i="7"/>
  <c r="J191" i="7"/>
  <c r="I191" i="7"/>
  <c r="H191" i="7"/>
  <c r="G191" i="7"/>
  <c r="F191" i="7"/>
  <c r="O191" i="7" s="1"/>
  <c r="Z191" i="7" s="1"/>
  <c r="E191" i="7"/>
  <c r="D191" i="7"/>
  <c r="M191" i="7" s="1"/>
  <c r="V191" i="7" s="1"/>
  <c r="C191" i="7"/>
  <c r="B191" i="7"/>
  <c r="K191" i="7" s="1"/>
  <c r="T191" i="7" s="1"/>
  <c r="A191" i="7"/>
  <c r="CH191" i="17" s="1"/>
  <c r="AB190" i="7"/>
  <c r="L190" i="7"/>
  <c r="U190" i="7" s="1"/>
  <c r="J190" i="7"/>
  <c r="I190" i="7"/>
  <c r="R190" i="7" s="1"/>
  <c r="H190" i="7"/>
  <c r="G190" i="7"/>
  <c r="P190" i="7" s="1"/>
  <c r="AA190" i="7" s="1"/>
  <c r="F190" i="7"/>
  <c r="E190" i="7"/>
  <c r="N190" i="7" s="1"/>
  <c r="W190" i="7" s="1"/>
  <c r="D190" i="7"/>
  <c r="M190" i="7" s="1"/>
  <c r="V190" i="7" s="1"/>
  <c r="C190" i="7"/>
  <c r="B190" i="7"/>
  <c r="A190" i="7"/>
  <c r="CH190" i="17" s="1"/>
  <c r="AB189" i="7"/>
  <c r="J189" i="7"/>
  <c r="I189" i="7"/>
  <c r="H189" i="7"/>
  <c r="G189" i="7"/>
  <c r="F189" i="7"/>
  <c r="E189" i="7"/>
  <c r="D189" i="7"/>
  <c r="M189" i="7" s="1"/>
  <c r="V189" i="7" s="1"/>
  <c r="C189" i="7"/>
  <c r="B189" i="7"/>
  <c r="A189" i="7"/>
  <c r="CH189" i="17" s="1"/>
  <c r="AB188" i="7"/>
  <c r="J188" i="7"/>
  <c r="I188" i="7"/>
  <c r="H188" i="7"/>
  <c r="G188" i="7"/>
  <c r="F188" i="7"/>
  <c r="E188" i="7"/>
  <c r="D188" i="7"/>
  <c r="C188" i="7"/>
  <c r="B188" i="7"/>
  <c r="A188" i="7"/>
  <c r="CH188" i="17" s="1"/>
  <c r="AB187" i="7"/>
  <c r="P187" i="7"/>
  <c r="AA187" i="7" s="1"/>
  <c r="J187" i="7"/>
  <c r="I187" i="7"/>
  <c r="H187" i="7"/>
  <c r="G187" i="7"/>
  <c r="F187" i="7"/>
  <c r="E187" i="7"/>
  <c r="D187" i="7"/>
  <c r="C187" i="7"/>
  <c r="B187" i="7"/>
  <c r="A187" i="7"/>
  <c r="CH187" i="17" s="1"/>
  <c r="AB186" i="7"/>
  <c r="J186" i="7"/>
  <c r="I186" i="7"/>
  <c r="H186" i="7"/>
  <c r="G186" i="7"/>
  <c r="F186" i="7"/>
  <c r="E186" i="7"/>
  <c r="D186" i="7"/>
  <c r="C186" i="7"/>
  <c r="B186" i="7"/>
  <c r="A186" i="7"/>
  <c r="CH186" i="17" s="1"/>
  <c r="AB185" i="7"/>
  <c r="J185" i="7"/>
  <c r="I185" i="7"/>
  <c r="H185" i="7"/>
  <c r="Q185" i="7" s="1"/>
  <c r="X185" i="7" s="1"/>
  <c r="G185" i="7"/>
  <c r="P185" i="7" s="1"/>
  <c r="AA185" i="7" s="1"/>
  <c r="F185" i="7"/>
  <c r="E185" i="7"/>
  <c r="D185" i="7"/>
  <c r="C185" i="7"/>
  <c r="B185" i="7"/>
  <c r="A185" i="7"/>
  <c r="CH185" i="17" s="1"/>
  <c r="AB184" i="7"/>
  <c r="J184" i="7"/>
  <c r="I184" i="7"/>
  <c r="H184" i="7"/>
  <c r="G184" i="7"/>
  <c r="F184" i="7"/>
  <c r="E184" i="7"/>
  <c r="N185" i="7" s="1"/>
  <c r="W185" i="7" s="1"/>
  <c r="D184" i="7"/>
  <c r="C184" i="7"/>
  <c r="L184" i="7" s="1"/>
  <c r="U184" i="7" s="1"/>
  <c r="B184" i="7"/>
  <c r="A184" i="7"/>
  <c r="CH184" i="17" s="1"/>
  <c r="AB183" i="7"/>
  <c r="J183" i="7"/>
  <c r="I183" i="7"/>
  <c r="H183" i="7"/>
  <c r="Q183" i="7" s="1"/>
  <c r="X183" i="7" s="1"/>
  <c r="G183" i="7"/>
  <c r="F183" i="7"/>
  <c r="O183" i="7" s="1"/>
  <c r="Z183" i="7" s="1"/>
  <c r="E183" i="7"/>
  <c r="D183" i="7"/>
  <c r="M183" i="7" s="1"/>
  <c r="V183" i="7" s="1"/>
  <c r="C183" i="7"/>
  <c r="B183" i="7"/>
  <c r="A183" i="7"/>
  <c r="CH183" i="17" s="1"/>
  <c r="AB182" i="7"/>
  <c r="J182" i="7"/>
  <c r="I182" i="7"/>
  <c r="H182" i="7"/>
  <c r="G182" i="7"/>
  <c r="F182" i="7"/>
  <c r="E182" i="7"/>
  <c r="D182" i="7"/>
  <c r="C182" i="7"/>
  <c r="L182" i="7" s="1"/>
  <c r="U182" i="7" s="1"/>
  <c r="B182" i="7"/>
  <c r="A182" i="7"/>
  <c r="CH182" i="17" s="1"/>
  <c r="AB181" i="7"/>
  <c r="J181" i="7"/>
  <c r="I181" i="7"/>
  <c r="H181" i="7"/>
  <c r="G181" i="7"/>
  <c r="F181" i="7"/>
  <c r="E181" i="7"/>
  <c r="D181" i="7"/>
  <c r="M181" i="7" s="1"/>
  <c r="V181" i="7" s="1"/>
  <c r="C181" i="7"/>
  <c r="B181" i="7"/>
  <c r="A181" i="7"/>
  <c r="CH181" i="17" s="1"/>
  <c r="AB180" i="7"/>
  <c r="J180" i="7"/>
  <c r="I180" i="7"/>
  <c r="H180" i="7"/>
  <c r="G180" i="7"/>
  <c r="F180" i="7"/>
  <c r="O180" i="7" s="1"/>
  <c r="Z180" i="7" s="1"/>
  <c r="E180" i="7"/>
  <c r="D180" i="7"/>
  <c r="C180" i="7"/>
  <c r="B180" i="7"/>
  <c r="A180" i="7"/>
  <c r="CH180" i="17" s="1"/>
  <c r="AB179" i="7"/>
  <c r="J179" i="7"/>
  <c r="I179" i="7"/>
  <c r="H179" i="7"/>
  <c r="G179" i="7"/>
  <c r="P179" i="7" s="1"/>
  <c r="AA179" i="7" s="1"/>
  <c r="F179" i="7"/>
  <c r="E179" i="7"/>
  <c r="N180" i="7" s="1"/>
  <c r="W180" i="7" s="1"/>
  <c r="D179" i="7"/>
  <c r="C179" i="7"/>
  <c r="B179" i="7"/>
  <c r="A179" i="7"/>
  <c r="CH179" i="17" s="1"/>
  <c r="AB178" i="7"/>
  <c r="J178" i="7"/>
  <c r="I178" i="7"/>
  <c r="H178" i="7"/>
  <c r="G178" i="7"/>
  <c r="P178" i="7" s="1"/>
  <c r="AA178" i="7" s="1"/>
  <c r="F178" i="7"/>
  <c r="E178" i="7"/>
  <c r="N178" i="7" s="1"/>
  <c r="W178" i="7" s="1"/>
  <c r="D178" i="7"/>
  <c r="C178" i="7"/>
  <c r="B178" i="7"/>
  <c r="A178" i="7"/>
  <c r="CH178" i="17" s="1"/>
  <c r="AB177" i="7"/>
  <c r="J177" i="7"/>
  <c r="I177" i="7"/>
  <c r="H177" i="7"/>
  <c r="G177" i="7"/>
  <c r="P177" i="7" s="1"/>
  <c r="AA177" i="7" s="1"/>
  <c r="F177" i="7"/>
  <c r="E177" i="7"/>
  <c r="N177" i="7" s="1"/>
  <c r="W177" i="7" s="1"/>
  <c r="D177" i="7"/>
  <c r="C177" i="7"/>
  <c r="B177" i="7"/>
  <c r="A177" i="7"/>
  <c r="CH177" i="17" s="1"/>
  <c r="AB176" i="7"/>
  <c r="P176" i="7"/>
  <c r="AA176" i="7" s="1"/>
  <c r="J176" i="7"/>
  <c r="I176" i="7"/>
  <c r="H176" i="7"/>
  <c r="G176" i="7"/>
  <c r="F176" i="7"/>
  <c r="E176" i="7"/>
  <c r="D176" i="7"/>
  <c r="M176" i="7" s="1"/>
  <c r="V176" i="7" s="1"/>
  <c r="C176" i="7"/>
  <c r="B176" i="7"/>
  <c r="A176" i="7"/>
  <c r="CH176" i="17" s="1"/>
  <c r="AB175" i="7"/>
  <c r="J175" i="7"/>
  <c r="I175" i="7"/>
  <c r="H175" i="7"/>
  <c r="G175" i="7"/>
  <c r="F175" i="7"/>
  <c r="O175" i="7" s="1"/>
  <c r="Z175" i="7" s="1"/>
  <c r="E175" i="7"/>
  <c r="N176" i="7" s="1"/>
  <c r="W176" i="7" s="1"/>
  <c r="D175" i="7"/>
  <c r="M175" i="7" s="1"/>
  <c r="V175" i="7" s="1"/>
  <c r="C175" i="7"/>
  <c r="L175" i="7" s="1"/>
  <c r="U175" i="7" s="1"/>
  <c r="B175" i="7"/>
  <c r="A175" i="7"/>
  <c r="CH175" i="17" s="1"/>
  <c r="AB174" i="7"/>
  <c r="J174" i="7"/>
  <c r="I174" i="7"/>
  <c r="H174" i="7"/>
  <c r="G174" i="7"/>
  <c r="P175" i="7" s="1"/>
  <c r="AA175" i="7" s="1"/>
  <c r="F174" i="7"/>
  <c r="E174" i="7"/>
  <c r="D174" i="7"/>
  <c r="M174" i="7" s="1"/>
  <c r="V174" i="7" s="1"/>
  <c r="C174" i="7"/>
  <c r="L174" i="7" s="1"/>
  <c r="U174" i="7" s="1"/>
  <c r="B174" i="7"/>
  <c r="A174" i="7"/>
  <c r="CH174" i="17" s="1"/>
  <c r="AB173" i="7"/>
  <c r="J173" i="7"/>
  <c r="I173" i="7"/>
  <c r="H173" i="7"/>
  <c r="G173" i="7"/>
  <c r="F173" i="7"/>
  <c r="E173" i="7"/>
  <c r="D173" i="7"/>
  <c r="C173" i="7"/>
  <c r="L173" i="7" s="1"/>
  <c r="U173" i="7" s="1"/>
  <c r="B173" i="7"/>
  <c r="A173" i="7"/>
  <c r="CH173" i="17" s="1"/>
  <c r="AB172" i="7"/>
  <c r="J172" i="7"/>
  <c r="I172" i="7"/>
  <c r="H172" i="7"/>
  <c r="G172" i="7"/>
  <c r="P172" i="7" s="1"/>
  <c r="AA172" i="7" s="1"/>
  <c r="F172" i="7"/>
  <c r="E172" i="7"/>
  <c r="D172" i="7"/>
  <c r="M172" i="7" s="1"/>
  <c r="V172" i="7" s="1"/>
  <c r="C172" i="7"/>
  <c r="B172" i="7"/>
  <c r="A172" i="7"/>
  <c r="CH172" i="17" s="1"/>
  <c r="AB171" i="7"/>
  <c r="J171" i="7"/>
  <c r="I171" i="7"/>
  <c r="H171" i="7"/>
  <c r="G171" i="7"/>
  <c r="P171" i="7" s="1"/>
  <c r="AA171" i="7" s="1"/>
  <c r="F171" i="7"/>
  <c r="E171" i="7"/>
  <c r="D171" i="7"/>
  <c r="C171" i="7"/>
  <c r="L171" i="7" s="1"/>
  <c r="U171" i="7" s="1"/>
  <c r="B171" i="7"/>
  <c r="A171" i="7"/>
  <c r="CH171" i="17" s="1"/>
  <c r="AB170" i="7"/>
  <c r="J170" i="7"/>
  <c r="I170" i="7"/>
  <c r="H170" i="7"/>
  <c r="G170" i="7"/>
  <c r="F170" i="7"/>
  <c r="E170" i="7"/>
  <c r="N170" i="7" s="1"/>
  <c r="W170" i="7" s="1"/>
  <c r="D170" i="7"/>
  <c r="C170" i="7"/>
  <c r="B170" i="7"/>
  <c r="K170" i="7" s="1"/>
  <c r="T170" i="7" s="1"/>
  <c r="A170" i="7"/>
  <c r="CH170" i="17" s="1"/>
  <c r="AB169" i="7"/>
  <c r="J169" i="7"/>
  <c r="I169" i="7"/>
  <c r="H169" i="7"/>
  <c r="Q169" i="7" s="1"/>
  <c r="X169" i="7" s="1"/>
  <c r="G169" i="7"/>
  <c r="F169" i="7"/>
  <c r="O169" i="7" s="1"/>
  <c r="Z169" i="7" s="1"/>
  <c r="E169" i="7"/>
  <c r="D169" i="7"/>
  <c r="M169" i="7" s="1"/>
  <c r="V169" i="7" s="1"/>
  <c r="C169" i="7"/>
  <c r="B169" i="7"/>
  <c r="A169" i="7"/>
  <c r="CH169" i="17" s="1"/>
  <c r="AB168" i="7"/>
  <c r="J168" i="7"/>
  <c r="I168" i="7"/>
  <c r="H168" i="7"/>
  <c r="G168" i="7"/>
  <c r="F168" i="7"/>
  <c r="E168" i="7"/>
  <c r="N168" i="7" s="1"/>
  <c r="W168" i="7" s="1"/>
  <c r="D168" i="7"/>
  <c r="C168" i="7"/>
  <c r="L169" i="7" s="1"/>
  <c r="U169" i="7" s="1"/>
  <c r="B168" i="7"/>
  <c r="A168" i="7"/>
  <c r="CH168" i="17" s="1"/>
  <c r="AB167" i="7"/>
  <c r="J167" i="7"/>
  <c r="I167" i="7"/>
  <c r="H167" i="7"/>
  <c r="G167" i="7"/>
  <c r="P168" i="7" s="1"/>
  <c r="AA168" i="7" s="1"/>
  <c r="F167" i="7"/>
  <c r="E167" i="7"/>
  <c r="D167" i="7"/>
  <c r="C167" i="7"/>
  <c r="B167" i="7"/>
  <c r="K167" i="7" s="1"/>
  <c r="T167" i="7" s="1"/>
  <c r="A167" i="7"/>
  <c r="CH167" i="17" s="1"/>
  <c r="AB166" i="7"/>
  <c r="J166" i="7"/>
  <c r="I166" i="7"/>
  <c r="H166" i="7"/>
  <c r="G166" i="7"/>
  <c r="P166" i="7" s="1"/>
  <c r="AA166" i="7" s="1"/>
  <c r="F166" i="7"/>
  <c r="E166" i="7"/>
  <c r="N166" i="7" s="1"/>
  <c r="W166" i="7" s="1"/>
  <c r="D166" i="7"/>
  <c r="C166" i="7"/>
  <c r="L166" i="7" s="1"/>
  <c r="U166" i="7" s="1"/>
  <c r="B166" i="7"/>
  <c r="A166" i="7"/>
  <c r="CH166" i="17" s="1"/>
  <c r="AB165" i="7"/>
  <c r="J165" i="7"/>
  <c r="I165" i="7"/>
  <c r="H165" i="7"/>
  <c r="G165" i="7"/>
  <c r="F165" i="7"/>
  <c r="E165" i="7"/>
  <c r="D165" i="7"/>
  <c r="C165" i="7"/>
  <c r="B165" i="7"/>
  <c r="A165" i="7"/>
  <c r="CH165" i="17" s="1"/>
  <c r="AB164" i="7"/>
  <c r="P164" i="7"/>
  <c r="AA164" i="7" s="1"/>
  <c r="J164" i="7"/>
  <c r="I164" i="7"/>
  <c r="H164" i="7"/>
  <c r="G164" i="7"/>
  <c r="F164" i="7"/>
  <c r="O165" i="7" s="1"/>
  <c r="Z165" i="7" s="1"/>
  <c r="E164" i="7"/>
  <c r="D164" i="7"/>
  <c r="C164" i="7"/>
  <c r="L165" i="7" s="1"/>
  <c r="U165" i="7" s="1"/>
  <c r="B164" i="7"/>
  <c r="A164" i="7"/>
  <c r="CH164" i="17" s="1"/>
  <c r="AB163" i="7"/>
  <c r="J163" i="7"/>
  <c r="I163" i="7"/>
  <c r="H163" i="7"/>
  <c r="G163" i="7"/>
  <c r="F163" i="7"/>
  <c r="E163" i="7"/>
  <c r="N163" i="7" s="1"/>
  <c r="W163" i="7" s="1"/>
  <c r="D163" i="7"/>
  <c r="C163" i="7"/>
  <c r="L163" i="7" s="1"/>
  <c r="U163" i="7" s="1"/>
  <c r="B163" i="7"/>
  <c r="A163" i="7"/>
  <c r="CH163" i="17" s="1"/>
  <c r="AB162" i="7"/>
  <c r="J162" i="7"/>
  <c r="I162" i="7"/>
  <c r="H162" i="7"/>
  <c r="G162" i="7"/>
  <c r="F162" i="7"/>
  <c r="E162" i="7"/>
  <c r="D162" i="7"/>
  <c r="M162" i="7" s="1"/>
  <c r="V162" i="7" s="1"/>
  <c r="C162" i="7"/>
  <c r="B162" i="7"/>
  <c r="A162" i="7"/>
  <c r="CH162" i="17" s="1"/>
  <c r="AB161" i="7"/>
  <c r="K161" i="7"/>
  <c r="T161" i="7" s="1"/>
  <c r="J161" i="7"/>
  <c r="I161" i="7"/>
  <c r="H161" i="7"/>
  <c r="G161" i="7"/>
  <c r="F161" i="7"/>
  <c r="E161" i="7"/>
  <c r="N162" i="7" s="1"/>
  <c r="W162" i="7" s="1"/>
  <c r="D161" i="7"/>
  <c r="C161" i="7"/>
  <c r="L161" i="7" s="1"/>
  <c r="U161" i="7" s="1"/>
  <c r="B161" i="7"/>
  <c r="A161" i="7"/>
  <c r="CH161" i="17" s="1"/>
  <c r="AB160" i="7"/>
  <c r="R160" i="7"/>
  <c r="J160" i="7"/>
  <c r="I160" i="7"/>
  <c r="H160" i="7"/>
  <c r="G160" i="7"/>
  <c r="P161" i="7" s="1"/>
  <c r="AA161" i="7" s="1"/>
  <c r="F160" i="7"/>
  <c r="E160" i="7"/>
  <c r="D160" i="7"/>
  <c r="C160" i="7"/>
  <c r="B160" i="7"/>
  <c r="A160" i="7"/>
  <c r="CH160" i="17" s="1"/>
  <c r="AB159" i="7"/>
  <c r="J159" i="7"/>
  <c r="I159" i="7"/>
  <c r="H159" i="7"/>
  <c r="G159" i="7"/>
  <c r="F159" i="7"/>
  <c r="O159" i="7" s="1"/>
  <c r="Z159" i="7" s="1"/>
  <c r="E159" i="7"/>
  <c r="D159" i="7"/>
  <c r="C159" i="7"/>
  <c r="B159" i="7"/>
  <c r="A159" i="7"/>
  <c r="CH159" i="17" s="1"/>
  <c r="AB158" i="7"/>
  <c r="R158" i="7"/>
  <c r="O158" i="7"/>
  <c r="Z158" i="7" s="1"/>
  <c r="J158" i="7"/>
  <c r="S158" i="7" s="1"/>
  <c r="Y158" i="7" s="1"/>
  <c r="I158" i="7"/>
  <c r="H158" i="7"/>
  <c r="G158" i="7"/>
  <c r="F158" i="7"/>
  <c r="E158" i="7"/>
  <c r="D158" i="7"/>
  <c r="C158" i="7"/>
  <c r="B158" i="7"/>
  <c r="A158" i="7"/>
  <c r="CH158" i="17" s="1"/>
  <c r="AB157" i="7"/>
  <c r="R157" i="7"/>
  <c r="Q157" i="7"/>
  <c r="X157" i="7" s="1"/>
  <c r="J157" i="7"/>
  <c r="I157" i="7"/>
  <c r="H157" i="7"/>
  <c r="G157" i="7"/>
  <c r="P157" i="7" s="1"/>
  <c r="AA157" i="7" s="1"/>
  <c r="F157" i="7"/>
  <c r="E157" i="7"/>
  <c r="D157" i="7"/>
  <c r="C157" i="7"/>
  <c r="B157" i="7"/>
  <c r="A157" i="7"/>
  <c r="CH157" i="17" s="1"/>
  <c r="AB156" i="7"/>
  <c r="J156" i="7"/>
  <c r="I156" i="7"/>
  <c r="H156" i="7"/>
  <c r="G156" i="7"/>
  <c r="F156" i="7"/>
  <c r="O156" i="7" s="1"/>
  <c r="Z156" i="7" s="1"/>
  <c r="E156" i="7"/>
  <c r="D156" i="7"/>
  <c r="C156" i="7"/>
  <c r="B156" i="7"/>
  <c r="A156" i="7"/>
  <c r="CH156" i="17" s="1"/>
  <c r="AB155" i="7"/>
  <c r="R155" i="7"/>
  <c r="J155" i="7"/>
  <c r="I155" i="7"/>
  <c r="H155" i="7"/>
  <c r="G155" i="7"/>
  <c r="F155" i="7"/>
  <c r="O155" i="7" s="1"/>
  <c r="Z155" i="7" s="1"/>
  <c r="E155" i="7"/>
  <c r="N155" i="7" s="1"/>
  <c r="W155" i="7" s="1"/>
  <c r="D155" i="7"/>
  <c r="M155" i="7" s="1"/>
  <c r="V155" i="7" s="1"/>
  <c r="C155" i="7"/>
  <c r="B155" i="7"/>
  <c r="A155" i="7"/>
  <c r="CH155" i="17" s="1"/>
  <c r="AB154" i="7"/>
  <c r="J154" i="7"/>
  <c r="I154" i="7"/>
  <c r="R154" i="7" s="1"/>
  <c r="H154" i="7"/>
  <c r="G154" i="7"/>
  <c r="P154" i="7" s="1"/>
  <c r="AA154" i="7" s="1"/>
  <c r="F154" i="7"/>
  <c r="E154" i="7"/>
  <c r="D154" i="7"/>
  <c r="C154" i="7"/>
  <c r="B154" i="7"/>
  <c r="A154" i="7"/>
  <c r="CH154" i="17" s="1"/>
  <c r="AB153" i="7"/>
  <c r="J153" i="7"/>
  <c r="I153" i="7"/>
  <c r="H153" i="7"/>
  <c r="G153" i="7"/>
  <c r="F153" i="7"/>
  <c r="O153" i="7" s="1"/>
  <c r="Z153" i="7" s="1"/>
  <c r="E153" i="7"/>
  <c r="D153" i="7"/>
  <c r="M153" i="7" s="1"/>
  <c r="V153" i="7" s="1"/>
  <c r="C153" i="7"/>
  <c r="L153" i="7" s="1"/>
  <c r="U153" i="7" s="1"/>
  <c r="B153" i="7"/>
  <c r="A153" i="7"/>
  <c r="CH153" i="17" s="1"/>
  <c r="AB152" i="7"/>
  <c r="J152" i="7"/>
  <c r="I152" i="7"/>
  <c r="H152" i="7"/>
  <c r="G152" i="7"/>
  <c r="F152" i="7"/>
  <c r="E152" i="7"/>
  <c r="D152" i="7"/>
  <c r="C152" i="7"/>
  <c r="B152" i="7"/>
  <c r="A152" i="7"/>
  <c r="CH152" i="17" s="1"/>
  <c r="AB151" i="7"/>
  <c r="J151" i="7"/>
  <c r="I151" i="7"/>
  <c r="H151" i="7"/>
  <c r="Q151" i="7" s="1"/>
  <c r="X151" i="7" s="1"/>
  <c r="G151" i="7"/>
  <c r="P151" i="7" s="1"/>
  <c r="AA151" i="7" s="1"/>
  <c r="F151" i="7"/>
  <c r="E151" i="7"/>
  <c r="D151" i="7"/>
  <c r="C151" i="7"/>
  <c r="B151" i="7"/>
  <c r="A151" i="7"/>
  <c r="CH151" i="17" s="1"/>
  <c r="AB150" i="7"/>
  <c r="J150" i="7"/>
  <c r="I150" i="7"/>
  <c r="H150" i="7"/>
  <c r="G150" i="7"/>
  <c r="F150" i="7"/>
  <c r="E150" i="7"/>
  <c r="D150" i="7"/>
  <c r="C150" i="7"/>
  <c r="B150" i="7"/>
  <c r="A150" i="7"/>
  <c r="CH150" i="17" s="1"/>
  <c r="AB149" i="7"/>
  <c r="O149" i="7"/>
  <c r="Z149" i="7" s="1"/>
  <c r="J149" i="7"/>
  <c r="I149" i="7"/>
  <c r="H149" i="7"/>
  <c r="G149" i="7"/>
  <c r="P149" i="7" s="1"/>
  <c r="AA149" i="7" s="1"/>
  <c r="F149" i="7"/>
  <c r="E149" i="7"/>
  <c r="D149" i="7"/>
  <c r="M149" i="7" s="1"/>
  <c r="V149" i="7" s="1"/>
  <c r="C149" i="7"/>
  <c r="B149" i="7"/>
  <c r="A149" i="7"/>
  <c r="CH149" i="17" s="1"/>
  <c r="AB148" i="7"/>
  <c r="R148" i="7"/>
  <c r="J148" i="7"/>
  <c r="I148" i="7"/>
  <c r="H148" i="7"/>
  <c r="Q148" i="7" s="1"/>
  <c r="X148" i="7" s="1"/>
  <c r="G148" i="7"/>
  <c r="F148" i="7"/>
  <c r="E148" i="7"/>
  <c r="D148" i="7"/>
  <c r="C148" i="7"/>
  <c r="L148" i="7" s="1"/>
  <c r="U148" i="7" s="1"/>
  <c r="B148" i="7"/>
  <c r="A148" i="7"/>
  <c r="CH148" i="17" s="1"/>
  <c r="AB147" i="7"/>
  <c r="J147" i="7"/>
  <c r="I147" i="7"/>
  <c r="H147" i="7"/>
  <c r="G147" i="7"/>
  <c r="P147" i="7" s="1"/>
  <c r="AA147" i="7" s="1"/>
  <c r="F147" i="7"/>
  <c r="E147" i="7"/>
  <c r="D147" i="7"/>
  <c r="C147" i="7"/>
  <c r="B147" i="7"/>
  <c r="A147" i="7"/>
  <c r="CH147" i="17" s="1"/>
  <c r="AB146" i="7"/>
  <c r="J146" i="7"/>
  <c r="I146" i="7"/>
  <c r="R146" i="7" s="1"/>
  <c r="H146" i="7"/>
  <c r="G146" i="7"/>
  <c r="F146" i="7"/>
  <c r="O146" i="7" s="1"/>
  <c r="Z146" i="7" s="1"/>
  <c r="E146" i="7"/>
  <c r="D146" i="7"/>
  <c r="C146" i="7"/>
  <c r="B146" i="7"/>
  <c r="A146" i="7"/>
  <c r="CH146" i="17" s="1"/>
  <c r="AB145" i="7"/>
  <c r="P145" i="7"/>
  <c r="AA145" i="7" s="1"/>
  <c r="J145" i="7"/>
  <c r="I145" i="7"/>
  <c r="H145" i="7"/>
  <c r="Q145" i="7" s="1"/>
  <c r="X145" i="7" s="1"/>
  <c r="G145" i="7"/>
  <c r="F145" i="7"/>
  <c r="E145" i="7"/>
  <c r="D145" i="7"/>
  <c r="C145" i="7"/>
  <c r="B145" i="7"/>
  <c r="A145" i="7"/>
  <c r="CH145" i="17" s="1"/>
  <c r="AB144" i="7"/>
  <c r="J144" i="7"/>
  <c r="I144" i="7"/>
  <c r="R144" i="7" s="1"/>
  <c r="H144" i="7"/>
  <c r="G144" i="7"/>
  <c r="P144" i="7" s="1"/>
  <c r="AA144" i="7" s="1"/>
  <c r="F144" i="7"/>
  <c r="E144" i="7"/>
  <c r="D144" i="7"/>
  <c r="C144" i="7"/>
  <c r="B144" i="7"/>
  <c r="A144" i="7"/>
  <c r="CH144" i="17" s="1"/>
  <c r="AB143" i="7"/>
  <c r="J143" i="7"/>
  <c r="S143" i="7" s="1"/>
  <c r="I143" i="7"/>
  <c r="H143" i="7"/>
  <c r="G143" i="7"/>
  <c r="F143" i="7"/>
  <c r="E143" i="7"/>
  <c r="D143" i="7"/>
  <c r="M143" i="7" s="1"/>
  <c r="V143" i="7" s="1"/>
  <c r="C143" i="7"/>
  <c r="B143" i="7"/>
  <c r="A143" i="7"/>
  <c r="CH143" i="17" s="1"/>
  <c r="AB142" i="7"/>
  <c r="R142" i="7"/>
  <c r="Q142" i="7"/>
  <c r="X142" i="7" s="1"/>
  <c r="J142" i="7"/>
  <c r="I142" i="7"/>
  <c r="R143" i="7" s="1"/>
  <c r="H142" i="7"/>
  <c r="G142" i="7"/>
  <c r="P142" i="7" s="1"/>
  <c r="AA142" i="7" s="1"/>
  <c r="F142" i="7"/>
  <c r="O143" i="7" s="1"/>
  <c r="Z143" i="7" s="1"/>
  <c r="E142" i="7"/>
  <c r="D142" i="7"/>
  <c r="C142" i="7"/>
  <c r="B142" i="7"/>
  <c r="A142" i="7"/>
  <c r="CH142" i="17" s="1"/>
  <c r="AB141" i="7"/>
  <c r="J141" i="7"/>
  <c r="I141" i="7"/>
  <c r="H141" i="7"/>
  <c r="G141" i="7"/>
  <c r="F141" i="7"/>
  <c r="E141" i="7"/>
  <c r="D141" i="7"/>
  <c r="M141" i="7" s="1"/>
  <c r="V141" i="7" s="1"/>
  <c r="C141" i="7"/>
  <c r="B141" i="7"/>
  <c r="A141" i="7"/>
  <c r="CH141" i="17" s="1"/>
  <c r="AB140" i="7"/>
  <c r="J140" i="7"/>
  <c r="I140" i="7"/>
  <c r="H140" i="7"/>
  <c r="G140" i="7"/>
  <c r="F140" i="7"/>
  <c r="O140" i="7" s="1"/>
  <c r="Z140" i="7" s="1"/>
  <c r="E140" i="7"/>
  <c r="N140" i="7" s="1"/>
  <c r="W140" i="7" s="1"/>
  <c r="D140" i="7"/>
  <c r="C140" i="7"/>
  <c r="B140" i="7"/>
  <c r="A140" i="7"/>
  <c r="CH140" i="17" s="1"/>
  <c r="AB139" i="7"/>
  <c r="J139" i="7"/>
  <c r="I139" i="7"/>
  <c r="R140" i="7" s="1"/>
  <c r="H139" i="7"/>
  <c r="Q139" i="7" s="1"/>
  <c r="X139" i="7" s="1"/>
  <c r="G139" i="7"/>
  <c r="P139" i="7" s="1"/>
  <c r="AA139" i="7" s="1"/>
  <c r="F139" i="7"/>
  <c r="E139" i="7"/>
  <c r="D139" i="7"/>
  <c r="C139" i="7"/>
  <c r="B139" i="7"/>
  <c r="A139" i="7"/>
  <c r="CH139" i="17" s="1"/>
  <c r="AB138" i="7"/>
  <c r="J138" i="7"/>
  <c r="I138" i="7"/>
  <c r="H138" i="7"/>
  <c r="G138" i="7"/>
  <c r="F138" i="7"/>
  <c r="O138" i="7" s="1"/>
  <c r="Z138" i="7" s="1"/>
  <c r="E138" i="7"/>
  <c r="D138" i="7"/>
  <c r="M138" i="7" s="1"/>
  <c r="V138" i="7" s="1"/>
  <c r="C138" i="7"/>
  <c r="B138" i="7"/>
  <c r="A138" i="7"/>
  <c r="CH138" i="17" s="1"/>
  <c r="AB137" i="7"/>
  <c r="J137" i="7"/>
  <c r="I137" i="7"/>
  <c r="R138" i="7" s="1"/>
  <c r="H137" i="7"/>
  <c r="G137" i="7"/>
  <c r="P137" i="7" s="1"/>
  <c r="AA137" i="7" s="1"/>
  <c r="F137" i="7"/>
  <c r="E137" i="7"/>
  <c r="D137" i="7"/>
  <c r="C137" i="7"/>
  <c r="B137" i="7"/>
  <c r="A137" i="7"/>
  <c r="CH137" i="17" s="1"/>
  <c r="AB136" i="7"/>
  <c r="P136" i="7"/>
  <c r="AA136" i="7" s="1"/>
  <c r="J136" i="7"/>
  <c r="I136" i="7"/>
  <c r="R136" i="7" s="1"/>
  <c r="H136" i="7"/>
  <c r="G136" i="7"/>
  <c r="F136" i="7"/>
  <c r="O137" i="7" s="1"/>
  <c r="Z137" i="7" s="1"/>
  <c r="E136" i="7"/>
  <c r="D136" i="7"/>
  <c r="C136" i="7"/>
  <c r="B136" i="7"/>
  <c r="A136" i="7"/>
  <c r="CH136" i="17" s="1"/>
  <c r="AB135" i="7"/>
  <c r="J135" i="7"/>
  <c r="I135" i="7"/>
  <c r="H135" i="7"/>
  <c r="Q136" i="7" s="1"/>
  <c r="X136" i="7" s="1"/>
  <c r="G135" i="7"/>
  <c r="F135" i="7"/>
  <c r="O135" i="7" s="1"/>
  <c r="Z135" i="7" s="1"/>
  <c r="E135" i="7"/>
  <c r="D135" i="7"/>
  <c r="M135" i="7" s="1"/>
  <c r="V135" i="7" s="1"/>
  <c r="C135" i="7"/>
  <c r="B135" i="7"/>
  <c r="A135" i="7"/>
  <c r="CH135" i="17" s="1"/>
  <c r="AB134" i="7"/>
  <c r="O134" i="7"/>
  <c r="Z134" i="7" s="1"/>
  <c r="J134" i="7"/>
  <c r="S134" i="7" s="1"/>
  <c r="I134" i="7"/>
  <c r="R135" i="7" s="1"/>
  <c r="H134" i="7"/>
  <c r="G134" i="7"/>
  <c r="F134" i="7"/>
  <c r="E134" i="7"/>
  <c r="D134" i="7"/>
  <c r="M134" i="7" s="1"/>
  <c r="V134" i="7" s="1"/>
  <c r="C134" i="7"/>
  <c r="B134" i="7"/>
  <c r="A134" i="7"/>
  <c r="CH134" i="17" s="1"/>
  <c r="AB133" i="7"/>
  <c r="R133" i="7"/>
  <c r="Q133" i="7"/>
  <c r="X133" i="7" s="1"/>
  <c r="P133" i="7"/>
  <c r="AA133" i="7" s="1"/>
  <c r="J133" i="7"/>
  <c r="I133" i="7"/>
  <c r="H133" i="7"/>
  <c r="G133" i="7"/>
  <c r="F133" i="7"/>
  <c r="E133" i="7"/>
  <c r="D133" i="7"/>
  <c r="C133" i="7"/>
  <c r="B133" i="7"/>
  <c r="A133" i="7"/>
  <c r="CH133" i="17" s="1"/>
  <c r="AB132" i="7"/>
  <c r="J132" i="7"/>
  <c r="I132" i="7"/>
  <c r="H132" i="7"/>
  <c r="G132" i="7"/>
  <c r="F132" i="7"/>
  <c r="O132" i="7" s="1"/>
  <c r="Z132" i="7" s="1"/>
  <c r="E132" i="7"/>
  <c r="D132" i="7"/>
  <c r="C132" i="7"/>
  <c r="B132" i="7"/>
  <c r="A132" i="7"/>
  <c r="CH132" i="17" s="1"/>
  <c r="AB131" i="7"/>
  <c r="R131" i="7"/>
  <c r="O131" i="7"/>
  <c r="Z131" i="7" s="1"/>
  <c r="J131" i="7"/>
  <c r="I131" i="7"/>
  <c r="R132" i="7" s="1"/>
  <c r="H131" i="7"/>
  <c r="G131" i="7"/>
  <c r="P131" i="7" s="1"/>
  <c r="AA131" i="7" s="1"/>
  <c r="F131" i="7"/>
  <c r="E131" i="7"/>
  <c r="D131" i="7"/>
  <c r="C131" i="7"/>
  <c r="B131" i="7"/>
  <c r="A131" i="7"/>
  <c r="CH131" i="17" s="1"/>
  <c r="AB130" i="7"/>
  <c r="R130" i="7"/>
  <c r="J130" i="7"/>
  <c r="I130" i="7"/>
  <c r="H130" i="7"/>
  <c r="Q130" i="7" s="1"/>
  <c r="X130" i="7" s="1"/>
  <c r="G130" i="7"/>
  <c r="F130" i="7"/>
  <c r="E130" i="7"/>
  <c r="D130" i="7"/>
  <c r="C130" i="7"/>
  <c r="B130" i="7"/>
  <c r="A130" i="7"/>
  <c r="CH130" i="17" s="1"/>
  <c r="AB129" i="7"/>
  <c r="J129" i="7"/>
  <c r="I129" i="7"/>
  <c r="H129" i="7"/>
  <c r="G129" i="7"/>
  <c r="P129" i="7" s="1"/>
  <c r="AA129" i="7" s="1"/>
  <c r="F129" i="7"/>
  <c r="E129" i="7"/>
  <c r="D129" i="7"/>
  <c r="C129" i="7"/>
  <c r="B129" i="7"/>
  <c r="A129" i="7"/>
  <c r="CH129" i="17" s="1"/>
  <c r="AB128" i="7"/>
  <c r="J128" i="7"/>
  <c r="I128" i="7"/>
  <c r="R129" i="7" s="1"/>
  <c r="H128" i="7"/>
  <c r="G128" i="7"/>
  <c r="F128" i="7"/>
  <c r="E128" i="7"/>
  <c r="D128" i="7"/>
  <c r="C128" i="7"/>
  <c r="B128" i="7"/>
  <c r="A128" i="7"/>
  <c r="CH128" i="17" s="1"/>
  <c r="AB127" i="7"/>
  <c r="P127" i="7"/>
  <c r="AA127" i="7" s="1"/>
  <c r="J127" i="7"/>
  <c r="I127" i="7"/>
  <c r="H127" i="7"/>
  <c r="Q127" i="7" s="1"/>
  <c r="X127" i="7" s="1"/>
  <c r="G127" i="7"/>
  <c r="F127" i="7"/>
  <c r="O128" i="7" s="1"/>
  <c r="Z128" i="7" s="1"/>
  <c r="E127" i="7"/>
  <c r="D127" i="7"/>
  <c r="C127" i="7"/>
  <c r="B127" i="7"/>
  <c r="A127" i="7"/>
  <c r="CH127" i="17" s="1"/>
  <c r="AB126" i="7"/>
  <c r="J126" i="7"/>
  <c r="I126" i="7"/>
  <c r="R127" i="7" s="1"/>
  <c r="H126" i="7"/>
  <c r="G126" i="7"/>
  <c r="F126" i="7"/>
  <c r="E126" i="7"/>
  <c r="D126" i="7"/>
  <c r="C126" i="7"/>
  <c r="B126" i="7"/>
  <c r="A126" i="7"/>
  <c r="CH126" i="17" s="1"/>
  <c r="AB125" i="7"/>
  <c r="J125" i="7"/>
  <c r="S125" i="7" s="1"/>
  <c r="I125" i="7"/>
  <c r="R126" i="7" s="1"/>
  <c r="H125" i="7"/>
  <c r="G125" i="7"/>
  <c r="F125" i="7"/>
  <c r="O125" i="7" s="1"/>
  <c r="Z125" i="7" s="1"/>
  <c r="E125" i="7"/>
  <c r="D125" i="7"/>
  <c r="C125" i="7"/>
  <c r="B125" i="7"/>
  <c r="A125" i="7"/>
  <c r="CH125" i="17" s="1"/>
  <c r="AB124" i="7"/>
  <c r="Q124" i="7"/>
  <c r="X124" i="7" s="1"/>
  <c r="P124" i="7"/>
  <c r="AA124" i="7" s="1"/>
  <c r="J124" i="7"/>
  <c r="I124" i="7"/>
  <c r="R124" i="7" s="1"/>
  <c r="H124" i="7"/>
  <c r="G124" i="7"/>
  <c r="F124" i="7"/>
  <c r="E124" i="7"/>
  <c r="D124" i="7"/>
  <c r="C124" i="7"/>
  <c r="B124" i="7"/>
  <c r="A124" i="7"/>
  <c r="CH124" i="17" s="1"/>
  <c r="AB123" i="7"/>
  <c r="J123" i="7"/>
  <c r="I123" i="7"/>
  <c r="H123" i="7"/>
  <c r="G123" i="7"/>
  <c r="F123" i="7"/>
  <c r="E123" i="7"/>
  <c r="D123" i="7"/>
  <c r="C123" i="7"/>
  <c r="B123" i="7"/>
  <c r="A123" i="7"/>
  <c r="CH123" i="17" s="1"/>
  <c r="AB122" i="7"/>
  <c r="J122" i="7"/>
  <c r="I122" i="7"/>
  <c r="H122" i="7"/>
  <c r="G122" i="7"/>
  <c r="F122" i="7"/>
  <c r="O122" i="7" s="1"/>
  <c r="Z122" i="7" s="1"/>
  <c r="E122" i="7"/>
  <c r="D122" i="7"/>
  <c r="C122" i="7"/>
  <c r="B122" i="7"/>
  <c r="A122" i="7"/>
  <c r="CH122" i="17" s="1"/>
  <c r="AB121" i="7"/>
  <c r="J121" i="7"/>
  <c r="I121" i="7"/>
  <c r="H121" i="7"/>
  <c r="Q121" i="7" s="1"/>
  <c r="X121" i="7" s="1"/>
  <c r="G121" i="7"/>
  <c r="P122" i="7" s="1"/>
  <c r="AA122" i="7" s="1"/>
  <c r="F121" i="7"/>
  <c r="E121" i="7"/>
  <c r="D121" i="7"/>
  <c r="M121" i="7" s="1"/>
  <c r="V121" i="7" s="1"/>
  <c r="C121" i="7"/>
  <c r="B121" i="7"/>
  <c r="A121" i="7"/>
  <c r="CH121" i="17" s="1"/>
  <c r="AB120" i="7"/>
  <c r="J120" i="7"/>
  <c r="I120" i="7"/>
  <c r="H120" i="7"/>
  <c r="G120" i="7"/>
  <c r="F120" i="7"/>
  <c r="E120" i="7"/>
  <c r="N120" i="7" s="1"/>
  <c r="W120" i="7" s="1"/>
  <c r="D120" i="7"/>
  <c r="C120" i="7"/>
  <c r="B120" i="7"/>
  <c r="A120" i="7"/>
  <c r="CH120" i="17" s="1"/>
  <c r="AB119" i="7"/>
  <c r="J119" i="7"/>
  <c r="S120" i="7" s="1"/>
  <c r="I119" i="7"/>
  <c r="H119" i="7"/>
  <c r="Q119" i="7" s="1"/>
  <c r="X119" i="7" s="1"/>
  <c r="G119" i="7"/>
  <c r="P119" i="7" s="1"/>
  <c r="AA119" i="7" s="1"/>
  <c r="F119" i="7"/>
  <c r="E119" i="7"/>
  <c r="D119" i="7"/>
  <c r="C119" i="7"/>
  <c r="B119" i="7"/>
  <c r="A119" i="7"/>
  <c r="CH119" i="17" s="1"/>
  <c r="AB118" i="7"/>
  <c r="O118" i="7"/>
  <c r="Z118" i="7" s="1"/>
  <c r="J118" i="7"/>
  <c r="I118" i="7"/>
  <c r="R118" i="7" s="1"/>
  <c r="H118" i="7"/>
  <c r="G118" i="7"/>
  <c r="F118" i="7"/>
  <c r="O119" i="7" s="1"/>
  <c r="Z119" i="7" s="1"/>
  <c r="E118" i="7"/>
  <c r="D118" i="7"/>
  <c r="C118" i="7"/>
  <c r="B118" i="7"/>
  <c r="A118" i="7"/>
  <c r="CH118" i="17" s="1"/>
  <c r="AB117" i="7"/>
  <c r="O117" i="7"/>
  <c r="Z117" i="7" s="1"/>
  <c r="J117" i="7"/>
  <c r="S118" i="7" s="1"/>
  <c r="I117" i="7"/>
  <c r="R117" i="7" s="1"/>
  <c r="H117" i="7"/>
  <c r="G117" i="7"/>
  <c r="F117" i="7"/>
  <c r="E117" i="7"/>
  <c r="D117" i="7"/>
  <c r="C117" i="7"/>
  <c r="B117" i="7"/>
  <c r="A117" i="7"/>
  <c r="CH117" i="17" s="1"/>
  <c r="AB116" i="7"/>
  <c r="J116" i="7"/>
  <c r="I116" i="7"/>
  <c r="H116" i="7"/>
  <c r="G116" i="7"/>
  <c r="F116" i="7"/>
  <c r="E116" i="7"/>
  <c r="N116" i="7" s="1"/>
  <c r="W116" i="7" s="1"/>
  <c r="D116" i="7"/>
  <c r="C116" i="7"/>
  <c r="L116" i="7" s="1"/>
  <c r="U116" i="7" s="1"/>
  <c r="B116" i="7"/>
  <c r="A116" i="7"/>
  <c r="CH116" i="17" s="1"/>
  <c r="AB115" i="7"/>
  <c r="J115" i="7"/>
  <c r="I115" i="7"/>
  <c r="H115" i="7"/>
  <c r="G115" i="7"/>
  <c r="F115" i="7"/>
  <c r="O115" i="7" s="1"/>
  <c r="Z115" i="7" s="1"/>
  <c r="E115" i="7"/>
  <c r="D115" i="7"/>
  <c r="C115" i="7"/>
  <c r="B115" i="7"/>
  <c r="A115" i="7"/>
  <c r="CH115" i="17" s="1"/>
  <c r="AB114" i="7"/>
  <c r="J114" i="7"/>
  <c r="I114" i="7"/>
  <c r="R114" i="7" s="1"/>
  <c r="H114" i="7"/>
  <c r="G114" i="7"/>
  <c r="F114" i="7"/>
  <c r="E114" i="7"/>
  <c r="N115" i="7" s="1"/>
  <c r="W115" i="7" s="1"/>
  <c r="D114" i="7"/>
  <c r="C114" i="7"/>
  <c r="B114" i="7"/>
  <c r="A114" i="7"/>
  <c r="CH114" i="17" s="1"/>
  <c r="AB113" i="7"/>
  <c r="J113" i="7"/>
  <c r="I113" i="7"/>
  <c r="H113" i="7"/>
  <c r="G113" i="7"/>
  <c r="F113" i="7"/>
  <c r="O114" i="7" s="1"/>
  <c r="Z114" i="7" s="1"/>
  <c r="E113" i="7"/>
  <c r="D113" i="7"/>
  <c r="C113" i="7"/>
  <c r="B113" i="7"/>
  <c r="K113" i="7" s="1"/>
  <c r="T113" i="7" s="1"/>
  <c r="A113" i="7"/>
  <c r="CH113" i="17" s="1"/>
  <c r="AB112" i="7"/>
  <c r="J112" i="7"/>
  <c r="S112" i="7" s="1"/>
  <c r="I112" i="7"/>
  <c r="H112" i="7"/>
  <c r="G112" i="7"/>
  <c r="P112" i="7" s="1"/>
  <c r="AA112" i="7" s="1"/>
  <c r="F112" i="7"/>
  <c r="E112" i="7"/>
  <c r="D112" i="7"/>
  <c r="C112" i="7"/>
  <c r="B112" i="7"/>
  <c r="A112" i="7"/>
  <c r="CH112" i="17" s="1"/>
  <c r="AB111" i="7"/>
  <c r="O111" i="7"/>
  <c r="Z111" i="7" s="1"/>
  <c r="L111" i="7"/>
  <c r="U111" i="7" s="1"/>
  <c r="J111" i="7"/>
  <c r="I111" i="7"/>
  <c r="R111" i="7" s="1"/>
  <c r="H111" i="7"/>
  <c r="G111" i="7"/>
  <c r="P111" i="7" s="1"/>
  <c r="AA111" i="7" s="1"/>
  <c r="F111" i="7"/>
  <c r="E111" i="7"/>
  <c r="D111" i="7"/>
  <c r="C111" i="7"/>
  <c r="B111" i="7"/>
  <c r="A111" i="7"/>
  <c r="CH111" i="17" s="1"/>
  <c r="AB110" i="7"/>
  <c r="N110" i="7"/>
  <c r="W110" i="7" s="1"/>
  <c r="J110" i="7"/>
  <c r="S110" i="7" s="1"/>
  <c r="I110" i="7"/>
  <c r="R110" i="7" s="1"/>
  <c r="H110" i="7"/>
  <c r="G110" i="7"/>
  <c r="F110" i="7"/>
  <c r="E110" i="7"/>
  <c r="D110" i="7"/>
  <c r="M110" i="7" s="1"/>
  <c r="V110" i="7" s="1"/>
  <c r="C110" i="7"/>
  <c r="B110" i="7"/>
  <c r="A110" i="7"/>
  <c r="CH110" i="17" s="1"/>
  <c r="AB109" i="7"/>
  <c r="R109" i="7"/>
  <c r="Q109" i="7"/>
  <c r="X109" i="7" s="1"/>
  <c r="J109" i="7"/>
  <c r="I109" i="7"/>
  <c r="H109" i="7"/>
  <c r="G109" i="7"/>
  <c r="F109" i="7"/>
  <c r="O110" i="7" s="1"/>
  <c r="Z110" i="7" s="1"/>
  <c r="E109" i="7"/>
  <c r="D109" i="7"/>
  <c r="C109" i="7"/>
  <c r="L110" i="7" s="1"/>
  <c r="U110" i="7" s="1"/>
  <c r="B109" i="7"/>
  <c r="K110" i="7" s="1"/>
  <c r="T110" i="7" s="1"/>
  <c r="A109" i="7"/>
  <c r="CH109" i="17" s="1"/>
  <c r="AB108" i="7"/>
  <c r="J108" i="7"/>
  <c r="S109" i="7" s="1"/>
  <c r="Y109" i="7" s="1"/>
  <c r="I108" i="7"/>
  <c r="H108" i="7"/>
  <c r="G108" i="7"/>
  <c r="F108" i="7"/>
  <c r="O109" i="7" s="1"/>
  <c r="Z109" i="7" s="1"/>
  <c r="E108" i="7"/>
  <c r="D108" i="7"/>
  <c r="C108" i="7"/>
  <c r="B108" i="7"/>
  <c r="A108" i="7"/>
  <c r="CH108" i="17" s="1"/>
  <c r="AB107" i="7"/>
  <c r="P107" i="7"/>
  <c r="AA107" i="7" s="1"/>
  <c r="J107" i="7"/>
  <c r="S107" i="7" s="1"/>
  <c r="I107" i="7"/>
  <c r="H107" i="7"/>
  <c r="G107" i="7"/>
  <c r="F107" i="7"/>
  <c r="O107" i="7" s="1"/>
  <c r="Z107" i="7" s="1"/>
  <c r="E107" i="7"/>
  <c r="D107" i="7"/>
  <c r="C107" i="7"/>
  <c r="B107" i="7"/>
  <c r="A107" i="7"/>
  <c r="CH107" i="17" s="1"/>
  <c r="AB106" i="7"/>
  <c r="R106" i="7"/>
  <c r="J106" i="7"/>
  <c r="I106" i="7"/>
  <c r="H106" i="7"/>
  <c r="Q106" i="7" s="1"/>
  <c r="X106" i="7" s="1"/>
  <c r="G106" i="7"/>
  <c r="F106" i="7"/>
  <c r="E106" i="7"/>
  <c r="N106" i="7" s="1"/>
  <c r="W106" i="7" s="1"/>
  <c r="D106" i="7"/>
  <c r="C106" i="7"/>
  <c r="B106" i="7"/>
  <c r="A106" i="7"/>
  <c r="CH106" i="17" s="1"/>
  <c r="AB105" i="7"/>
  <c r="J105" i="7"/>
  <c r="I105" i="7"/>
  <c r="H105" i="7"/>
  <c r="Q105" i="7" s="1"/>
  <c r="X105" i="7" s="1"/>
  <c r="G105" i="7"/>
  <c r="F105" i="7"/>
  <c r="O105" i="7" s="1"/>
  <c r="Z105" i="7" s="1"/>
  <c r="E105" i="7"/>
  <c r="D105" i="7"/>
  <c r="C105" i="7"/>
  <c r="B105" i="7"/>
  <c r="A105" i="7"/>
  <c r="CH105" i="17" s="1"/>
  <c r="AB104" i="7"/>
  <c r="R104" i="7"/>
  <c r="P104" i="7"/>
  <c r="AA104" i="7" s="1"/>
  <c r="J104" i="7"/>
  <c r="S104" i="7" s="1"/>
  <c r="I104" i="7"/>
  <c r="H104" i="7"/>
  <c r="G104" i="7"/>
  <c r="F104" i="7"/>
  <c r="E104" i="7"/>
  <c r="N105" i="7" s="1"/>
  <c r="W105" i="7" s="1"/>
  <c r="D104" i="7"/>
  <c r="C104" i="7"/>
  <c r="L104" i="7" s="1"/>
  <c r="U104" i="7" s="1"/>
  <c r="B104" i="7"/>
  <c r="A104" i="7"/>
  <c r="CH104" i="17" s="1"/>
  <c r="AB103" i="7"/>
  <c r="J103" i="7"/>
  <c r="I103" i="7"/>
  <c r="H103" i="7"/>
  <c r="G103" i="7"/>
  <c r="F103" i="7"/>
  <c r="O104" i="7" s="1"/>
  <c r="Z104" i="7" s="1"/>
  <c r="E103" i="7"/>
  <c r="D103" i="7"/>
  <c r="M103" i="7" s="1"/>
  <c r="V103" i="7" s="1"/>
  <c r="C103" i="7"/>
  <c r="L103" i="7" s="1"/>
  <c r="U103" i="7" s="1"/>
  <c r="B103" i="7"/>
  <c r="K103" i="7" s="1"/>
  <c r="T103" i="7" s="1"/>
  <c r="A103" i="7"/>
  <c r="CH103" i="17" s="1"/>
  <c r="AB102" i="7"/>
  <c r="J102" i="7"/>
  <c r="I102" i="7"/>
  <c r="H102" i="7"/>
  <c r="Q102" i="7" s="1"/>
  <c r="X102" i="7" s="1"/>
  <c r="G102" i="7"/>
  <c r="F102" i="7"/>
  <c r="E102" i="7"/>
  <c r="D102" i="7"/>
  <c r="C102" i="7"/>
  <c r="B102" i="7"/>
  <c r="A102" i="7"/>
  <c r="CH102" i="17" s="1"/>
  <c r="AB101" i="7"/>
  <c r="J101" i="7"/>
  <c r="S101" i="7" s="1"/>
  <c r="I101" i="7"/>
  <c r="R101" i="7" s="1"/>
  <c r="H101" i="7"/>
  <c r="G101" i="7"/>
  <c r="P101" i="7" s="1"/>
  <c r="AA101" i="7" s="1"/>
  <c r="F101" i="7"/>
  <c r="E101" i="7"/>
  <c r="N102" i="7" s="1"/>
  <c r="W102" i="7" s="1"/>
  <c r="D101" i="7"/>
  <c r="C101" i="7"/>
  <c r="L102" i="7" s="1"/>
  <c r="U102" i="7" s="1"/>
  <c r="B101" i="7"/>
  <c r="K102" i="7" s="1"/>
  <c r="T102" i="7" s="1"/>
  <c r="A101" i="7"/>
  <c r="CH101" i="17" s="1"/>
  <c r="AB100" i="7"/>
  <c r="R100" i="7"/>
  <c r="J100" i="7"/>
  <c r="S100" i="7" s="1"/>
  <c r="I100" i="7"/>
  <c r="H100" i="7"/>
  <c r="Q100" i="7" s="1"/>
  <c r="X100" i="7" s="1"/>
  <c r="G100" i="7"/>
  <c r="F100" i="7"/>
  <c r="O101" i="7" s="1"/>
  <c r="Z101" i="7" s="1"/>
  <c r="E100" i="7"/>
  <c r="N100" i="7" s="1"/>
  <c r="W100" i="7" s="1"/>
  <c r="D100" i="7"/>
  <c r="M100" i="7" s="1"/>
  <c r="V100" i="7" s="1"/>
  <c r="C100" i="7"/>
  <c r="L100" i="7" s="1"/>
  <c r="U100" i="7" s="1"/>
  <c r="B100" i="7"/>
  <c r="A100" i="7"/>
  <c r="CH100" i="17" s="1"/>
  <c r="AB99" i="7"/>
  <c r="J99" i="7"/>
  <c r="S99" i="7" s="1"/>
  <c r="Y99" i="7" s="1"/>
  <c r="I99" i="7"/>
  <c r="R99" i="7" s="1"/>
  <c r="H99" i="7"/>
  <c r="G99" i="7"/>
  <c r="F99" i="7"/>
  <c r="E99" i="7"/>
  <c r="D99" i="7"/>
  <c r="C99" i="7"/>
  <c r="B99" i="7"/>
  <c r="A99" i="7"/>
  <c r="CH99" i="17" s="1"/>
  <c r="AB98" i="7"/>
  <c r="K98" i="7"/>
  <c r="T98" i="7" s="1"/>
  <c r="J98" i="7"/>
  <c r="I98" i="7"/>
  <c r="H98" i="7"/>
  <c r="G98" i="7"/>
  <c r="F98" i="7"/>
  <c r="E98" i="7"/>
  <c r="N99" i="7" s="1"/>
  <c r="W99" i="7" s="1"/>
  <c r="D98" i="7"/>
  <c r="C98" i="7"/>
  <c r="B98" i="7"/>
  <c r="A98" i="7"/>
  <c r="CH98" i="17" s="1"/>
  <c r="AB97" i="7"/>
  <c r="J97" i="7"/>
  <c r="S98" i="7" s="1"/>
  <c r="I97" i="7"/>
  <c r="H97" i="7"/>
  <c r="G97" i="7"/>
  <c r="F97" i="7"/>
  <c r="E97" i="7"/>
  <c r="D97" i="7"/>
  <c r="C97" i="7"/>
  <c r="L97" i="7" s="1"/>
  <c r="U97" i="7" s="1"/>
  <c r="B97" i="7"/>
  <c r="A97" i="7"/>
  <c r="CH97" i="17" s="1"/>
  <c r="AB96" i="7"/>
  <c r="K96" i="7"/>
  <c r="T96" i="7" s="1"/>
  <c r="J96" i="7"/>
  <c r="I96" i="7"/>
  <c r="R96" i="7" s="1"/>
  <c r="H96" i="7"/>
  <c r="G96" i="7"/>
  <c r="F96" i="7"/>
  <c r="E96" i="7"/>
  <c r="D96" i="7"/>
  <c r="C96" i="7"/>
  <c r="B96" i="7"/>
  <c r="A96" i="7"/>
  <c r="CH96" i="17" s="1"/>
  <c r="AB95" i="7"/>
  <c r="J95" i="7"/>
  <c r="S95" i="7" s="1"/>
  <c r="I95" i="7"/>
  <c r="H95" i="7"/>
  <c r="G95" i="7"/>
  <c r="F95" i="7"/>
  <c r="E95" i="7"/>
  <c r="D95" i="7"/>
  <c r="C95" i="7"/>
  <c r="L95" i="7" s="1"/>
  <c r="U95" i="7" s="1"/>
  <c r="B95" i="7"/>
  <c r="A95" i="7"/>
  <c r="CH95" i="17" s="1"/>
  <c r="AB94" i="7"/>
  <c r="L94" i="7"/>
  <c r="U94" i="7" s="1"/>
  <c r="K94" i="7"/>
  <c r="T94" i="7" s="1"/>
  <c r="J94" i="7"/>
  <c r="I94" i="7"/>
  <c r="H94" i="7"/>
  <c r="G94" i="7"/>
  <c r="F94" i="7"/>
  <c r="E94" i="7"/>
  <c r="D94" i="7"/>
  <c r="C94" i="7"/>
  <c r="B94" i="7"/>
  <c r="A94" i="7"/>
  <c r="CH94" i="17" s="1"/>
  <c r="AB93" i="7"/>
  <c r="J93" i="7"/>
  <c r="I93" i="7"/>
  <c r="H93" i="7"/>
  <c r="G93" i="7"/>
  <c r="F93" i="7"/>
  <c r="E93" i="7"/>
  <c r="D93" i="7"/>
  <c r="C93" i="7"/>
  <c r="B93" i="7"/>
  <c r="A93" i="7"/>
  <c r="CH93" i="17" s="1"/>
  <c r="AB92" i="7"/>
  <c r="L92" i="7"/>
  <c r="U92" i="7" s="1"/>
  <c r="J92" i="7"/>
  <c r="I92" i="7"/>
  <c r="H92" i="7"/>
  <c r="G92" i="7"/>
  <c r="F92" i="7"/>
  <c r="E92" i="7"/>
  <c r="D92" i="7"/>
  <c r="M92" i="7" s="1"/>
  <c r="V92" i="7" s="1"/>
  <c r="C92" i="7"/>
  <c r="B92" i="7"/>
  <c r="A92" i="7"/>
  <c r="CH92" i="17" s="1"/>
  <c r="AB91" i="7"/>
  <c r="S91" i="7"/>
  <c r="J91" i="7"/>
  <c r="I91" i="7"/>
  <c r="H91" i="7"/>
  <c r="G91" i="7"/>
  <c r="F91" i="7"/>
  <c r="E91" i="7"/>
  <c r="D91" i="7"/>
  <c r="M91" i="7" s="1"/>
  <c r="V91" i="7" s="1"/>
  <c r="C91" i="7"/>
  <c r="B91" i="7"/>
  <c r="A91" i="7"/>
  <c r="CH91" i="17" s="1"/>
  <c r="AB90" i="7"/>
  <c r="J90" i="7"/>
  <c r="I90" i="7"/>
  <c r="R90" i="7" s="1"/>
  <c r="H90" i="7"/>
  <c r="G90" i="7"/>
  <c r="F90" i="7"/>
  <c r="E90" i="7"/>
  <c r="D90" i="7"/>
  <c r="M90" i="7" s="1"/>
  <c r="V90" i="7" s="1"/>
  <c r="C90" i="7"/>
  <c r="B90" i="7"/>
  <c r="K90" i="7" s="1"/>
  <c r="T90" i="7" s="1"/>
  <c r="A90" i="7"/>
  <c r="CH90" i="17" s="1"/>
  <c r="AB89" i="7"/>
  <c r="S89" i="7"/>
  <c r="J89" i="7"/>
  <c r="I89" i="7"/>
  <c r="H89" i="7"/>
  <c r="G89" i="7"/>
  <c r="F89" i="7"/>
  <c r="E89" i="7"/>
  <c r="D89" i="7"/>
  <c r="C89" i="7"/>
  <c r="L89" i="7" s="1"/>
  <c r="U89" i="7" s="1"/>
  <c r="B89" i="7"/>
  <c r="A89" i="7"/>
  <c r="CH89" i="17" s="1"/>
  <c r="AB88" i="7"/>
  <c r="J88" i="7"/>
  <c r="I88" i="7"/>
  <c r="H88" i="7"/>
  <c r="G88" i="7"/>
  <c r="F88" i="7"/>
  <c r="E88" i="7"/>
  <c r="N88" i="7" s="1"/>
  <c r="W88" i="7" s="1"/>
  <c r="D88" i="7"/>
  <c r="C88" i="7"/>
  <c r="B88" i="7"/>
  <c r="K88" i="7" s="1"/>
  <c r="T88" i="7" s="1"/>
  <c r="A88" i="7"/>
  <c r="CH88" i="17" s="1"/>
  <c r="AB87" i="7"/>
  <c r="J87" i="7"/>
  <c r="S87" i="7" s="1"/>
  <c r="I87" i="7"/>
  <c r="H87" i="7"/>
  <c r="G87" i="7"/>
  <c r="F87" i="7"/>
  <c r="E87" i="7"/>
  <c r="D87" i="7"/>
  <c r="M87" i="7" s="1"/>
  <c r="V87" i="7" s="1"/>
  <c r="C87" i="7"/>
  <c r="B87" i="7"/>
  <c r="A87" i="7"/>
  <c r="CH87" i="17" s="1"/>
  <c r="AB86" i="7"/>
  <c r="J86" i="7"/>
  <c r="I86" i="7"/>
  <c r="H86" i="7"/>
  <c r="G86" i="7"/>
  <c r="F86" i="7"/>
  <c r="E86" i="7"/>
  <c r="D86" i="7"/>
  <c r="M86" i="7" s="1"/>
  <c r="V86" i="7" s="1"/>
  <c r="C86" i="7"/>
  <c r="B86" i="7"/>
  <c r="A86" i="7"/>
  <c r="CH86" i="17" s="1"/>
  <c r="AB85" i="7"/>
  <c r="K85" i="7"/>
  <c r="T85" i="7" s="1"/>
  <c r="J85" i="7"/>
  <c r="I85" i="7"/>
  <c r="R85" i="7" s="1"/>
  <c r="H85" i="7"/>
  <c r="G85" i="7"/>
  <c r="F85" i="7"/>
  <c r="E85" i="7"/>
  <c r="D85" i="7"/>
  <c r="M85" i="7" s="1"/>
  <c r="V85" i="7" s="1"/>
  <c r="C85" i="7"/>
  <c r="B85" i="7"/>
  <c r="A85" i="7"/>
  <c r="CH85" i="17" s="1"/>
  <c r="AB84" i="7"/>
  <c r="S84" i="7"/>
  <c r="J84" i="7"/>
  <c r="I84" i="7"/>
  <c r="H84" i="7"/>
  <c r="G84" i="7"/>
  <c r="F84" i="7"/>
  <c r="E84" i="7"/>
  <c r="D84" i="7"/>
  <c r="M84" i="7" s="1"/>
  <c r="V84" i="7" s="1"/>
  <c r="C84" i="7"/>
  <c r="B84" i="7"/>
  <c r="A84" i="7"/>
  <c r="CH84" i="17" s="1"/>
  <c r="AB83" i="7"/>
  <c r="J83" i="7"/>
  <c r="S83" i="7" s="1"/>
  <c r="I83" i="7"/>
  <c r="H83" i="7"/>
  <c r="G83" i="7"/>
  <c r="F83" i="7"/>
  <c r="E83" i="7"/>
  <c r="N83" i="7" s="1"/>
  <c r="W83" i="7" s="1"/>
  <c r="D83" i="7"/>
  <c r="C83" i="7"/>
  <c r="L83" i="7" s="1"/>
  <c r="U83" i="7" s="1"/>
  <c r="B83" i="7"/>
  <c r="A83" i="7"/>
  <c r="CH83" i="17" s="1"/>
  <c r="AB82" i="7"/>
  <c r="J82" i="7"/>
  <c r="S82" i="7" s="1"/>
  <c r="I82" i="7"/>
  <c r="R82" i="7" s="1"/>
  <c r="H82" i="7"/>
  <c r="G82" i="7"/>
  <c r="F82" i="7"/>
  <c r="E82" i="7"/>
  <c r="D82" i="7"/>
  <c r="C82" i="7"/>
  <c r="B82" i="7"/>
  <c r="K82" i="7" s="1"/>
  <c r="T82" i="7" s="1"/>
  <c r="A82" i="7"/>
  <c r="CH82" i="17" s="1"/>
  <c r="AB81" i="7"/>
  <c r="J81" i="7"/>
  <c r="I81" i="7"/>
  <c r="H81" i="7"/>
  <c r="G81" i="7"/>
  <c r="F81" i="7"/>
  <c r="E81" i="7"/>
  <c r="D81" i="7"/>
  <c r="C81" i="7"/>
  <c r="B81" i="7"/>
  <c r="A81" i="7"/>
  <c r="CH81" i="17" s="1"/>
  <c r="AB80" i="7"/>
  <c r="J80" i="7"/>
  <c r="I80" i="7"/>
  <c r="H80" i="7"/>
  <c r="G80" i="7"/>
  <c r="F80" i="7"/>
  <c r="E80" i="7"/>
  <c r="D80" i="7"/>
  <c r="C80" i="7"/>
  <c r="L80" i="7" s="1"/>
  <c r="U80" i="7" s="1"/>
  <c r="B80" i="7"/>
  <c r="A80" i="7"/>
  <c r="CH80" i="17" s="1"/>
  <c r="AB79" i="7"/>
  <c r="J79" i="7"/>
  <c r="S79" i="7" s="1"/>
  <c r="I79" i="7"/>
  <c r="H79" i="7"/>
  <c r="G79" i="7"/>
  <c r="F79" i="7"/>
  <c r="E79" i="7"/>
  <c r="N79" i="7" s="1"/>
  <c r="W79" i="7" s="1"/>
  <c r="D79" i="7"/>
  <c r="C79" i="7"/>
  <c r="B79" i="7"/>
  <c r="A79" i="7"/>
  <c r="CH79" i="17" s="1"/>
  <c r="AB78" i="7"/>
  <c r="J78" i="7"/>
  <c r="S78" i="7" s="1"/>
  <c r="I78" i="7"/>
  <c r="H78" i="7"/>
  <c r="G78" i="7"/>
  <c r="F78" i="7"/>
  <c r="E78" i="7"/>
  <c r="N78" i="7" s="1"/>
  <c r="W78" i="7" s="1"/>
  <c r="D78" i="7"/>
  <c r="M78" i="7" s="1"/>
  <c r="V78" i="7" s="1"/>
  <c r="C78" i="7"/>
  <c r="L78" i="7" s="1"/>
  <c r="U78" i="7" s="1"/>
  <c r="B78" i="7"/>
  <c r="A78" i="7"/>
  <c r="CH78" i="17" s="1"/>
  <c r="AB77" i="7"/>
  <c r="L77" i="7"/>
  <c r="U77" i="7" s="1"/>
  <c r="J77" i="7"/>
  <c r="S77" i="7" s="1"/>
  <c r="I77" i="7"/>
  <c r="H77" i="7"/>
  <c r="G77" i="7"/>
  <c r="F77" i="7"/>
  <c r="E77" i="7"/>
  <c r="D77" i="7"/>
  <c r="C77" i="7"/>
  <c r="B77" i="7"/>
  <c r="A77" i="7"/>
  <c r="CH77" i="17" s="1"/>
  <c r="AB76" i="7"/>
  <c r="J76" i="7"/>
  <c r="I76" i="7"/>
  <c r="H76" i="7"/>
  <c r="G76" i="7"/>
  <c r="F76" i="7"/>
  <c r="O76" i="7" s="1"/>
  <c r="Z76" i="7" s="1"/>
  <c r="E76" i="7"/>
  <c r="D76" i="7"/>
  <c r="C76" i="7"/>
  <c r="B76" i="7"/>
  <c r="K76" i="7" s="1"/>
  <c r="T76" i="7" s="1"/>
  <c r="A76" i="7"/>
  <c r="CH76" i="17" s="1"/>
  <c r="AB75" i="7"/>
  <c r="J75" i="7"/>
  <c r="I75" i="7"/>
  <c r="H75" i="7"/>
  <c r="G75" i="7"/>
  <c r="F75" i="7"/>
  <c r="E75" i="7"/>
  <c r="D75" i="7"/>
  <c r="M75" i="7" s="1"/>
  <c r="V75" i="7" s="1"/>
  <c r="C75" i="7"/>
  <c r="B75" i="7"/>
  <c r="A75" i="7"/>
  <c r="CH75" i="17" s="1"/>
  <c r="AB74" i="7"/>
  <c r="J74" i="7"/>
  <c r="I74" i="7"/>
  <c r="H74" i="7"/>
  <c r="G74" i="7"/>
  <c r="F74" i="7"/>
  <c r="O74" i="7" s="1"/>
  <c r="Z74" i="7" s="1"/>
  <c r="E74" i="7"/>
  <c r="N75" i="7" s="1"/>
  <c r="W75" i="7" s="1"/>
  <c r="D74" i="7"/>
  <c r="C74" i="7"/>
  <c r="B74" i="7"/>
  <c r="A74" i="7"/>
  <c r="CH74" i="17" s="1"/>
  <c r="AB73" i="7"/>
  <c r="J73" i="7"/>
  <c r="I73" i="7"/>
  <c r="H73" i="7"/>
  <c r="G73" i="7"/>
  <c r="F73" i="7"/>
  <c r="O73" i="7" s="1"/>
  <c r="Z73" i="7" s="1"/>
  <c r="E73" i="7"/>
  <c r="D73" i="7"/>
  <c r="M73" i="7" s="1"/>
  <c r="V73" i="7" s="1"/>
  <c r="C73" i="7"/>
  <c r="B73" i="7"/>
  <c r="K73" i="7" s="1"/>
  <c r="T73" i="7" s="1"/>
  <c r="A73" i="7"/>
  <c r="CH73" i="17" s="1"/>
  <c r="AB72" i="7"/>
  <c r="J72" i="7"/>
  <c r="S72" i="7" s="1"/>
  <c r="I72" i="7"/>
  <c r="H72" i="7"/>
  <c r="G72" i="7"/>
  <c r="F72" i="7"/>
  <c r="E72" i="7"/>
  <c r="N73" i="7" s="1"/>
  <c r="W73" i="7" s="1"/>
  <c r="D72" i="7"/>
  <c r="M72" i="7" s="1"/>
  <c r="V72" i="7" s="1"/>
  <c r="C72" i="7"/>
  <c r="B72" i="7"/>
  <c r="A72" i="7"/>
  <c r="CH72" i="17" s="1"/>
  <c r="AB71" i="7"/>
  <c r="J71" i="7"/>
  <c r="I71" i="7"/>
  <c r="H71" i="7"/>
  <c r="G71" i="7"/>
  <c r="F71" i="7"/>
  <c r="E71" i="7"/>
  <c r="N72" i="7" s="1"/>
  <c r="W72" i="7" s="1"/>
  <c r="D71" i="7"/>
  <c r="C71" i="7"/>
  <c r="L71" i="7" s="1"/>
  <c r="U71" i="7" s="1"/>
  <c r="B71" i="7"/>
  <c r="K71" i="7" s="1"/>
  <c r="T71" i="7" s="1"/>
  <c r="A71" i="7"/>
  <c r="CH71" i="17" s="1"/>
  <c r="AB70" i="7"/>
  <c r="K70" i="7"/>
  <c r="T70" i="7" s="1"/>
  <c r="J70" i="7"/>
  <c r="S70" i="7" s="1"/>
  <c r="I70" i="7"/>
  <c r="H70" i="7"/>
  <c r="G70" i="7"/>
  <c r="F70" i="7"/>
  <c r="E70" i="7"/>
  <c r="D70" i="7"/>
  <c r="C70" i="7"/>
  <c r="B70" i="7"/>
  <c r="A70" i="7"/>
  <c r="CH70" i="17" s="1"/>
  <c r="AB69" i="7"/>
  <c r="J69" i="7"/>
  <c r="I69" i="7"/>
  <c r="H69" i="7"/>
  <c r="G69" i="7"/>
  <c r="F69" i="7"/>
  <c r="E69" i="7"/>
  <c r="N70" i="7" s="1"/>
  <c r="W70" i="7" s="1"/>
  <c r="D69" i="7"/>
  <c r="C69" i="7"/>
  <c r="B69" i="7"/>
  <c r="A69" i="7"/>
  <c r="CH69" i="17" s="1"/>
  <c r="AB68" i="7"/>
  <c r="J68" i="7"/>
  <c r="I68" i="7"/>
  <c r="H68" i="7"/>
  <c r="Q68" i="7" s="1"/>
  <c r="X68" i="7" s="1"/>
  <c r="G68" i="7"/>
  <c r="F68" i="7"/>
  <c r="E68" i="7"/>
  <c r="D68" i="7"/>
  <c r="C68" i="7"/>
  <c r="L68" i="7" s="1"/>
  <c r="U68" i="7" s="1"/>
  <c r="B68" i="7"/>
  <c r="A68" i="7"/>
  <c r="CH68" i="17" s="1"/>
  <c r="AB67" i="7"/>
  <c r="J67" i="7"/>
  <c r="S67" i="7" s="1"/>
  <c r="I67" i="7"/>
  <c r="H67" i="7"/>
  <c r="G67" i="7"/>
  <c r="F67" i="7"/>
  <c r="E67" i="7"/>
  <c r="N68" i="7" s="1"/>
  <c r="W68" i="7" s="1"/>
  <c r="D67" i="7"/>
  <c r="M67" i="7" s="1"/>
  <c r="V67" i="7" s="1"/>
  <c r="C67" i="7"/>
  <c r="L67" i="7" s="1"/>
  <c r="U67" i="7" s="1"/>
  <c r="B67" i="7"/>
  <c r="A67" i="7"/>
  <c r="CH67" i="17" s="1"/>
  <c r="AB66" i="7"/>
  <c r="J66" i="7"/>
  <c r="I66" i="7"/>
  <c r="H66" i="7"/>
  <c r="G66" i="7"/>
  <c r="F66" i="7"/>
  <c r="E66" i="7"/>
  <c r="D66" i="7"/>
  <c r="C66" i="7"/>
  <c r="B66" i="7"/>
  <c r="K66" i="7" s="1"/>
  <c r="T66" i="7" s="1"/>
  <c r="A66" i="7"/>
  <c r="CH66" i="17" s="1"/>
  <c r="AB65" i="7"/>
  <c r="J65" i="7"/>
  <c r="I65" i="7"/>
  <c r="H65" i="7"/>
  <c r="G65" i="7"/>
  <c r="F65" i="7"/>
  <c r="E65" i="7"/>
  <c r="N65" i="7" s="1"/>
  <c r="W65" i="7" s="1"/>
  <c r="D65" i="7"/>
  <c r="M66" i="7" s="1"/>
  <c r="V66" i="7" s="1"/>
  <c r="C65" i="7"/>
  <c r="L65" i="7" s="1"/>
  <c r="U65" i="7" s="1"/>
  <c r="B65" i="7"/>
  <c r="A65" i="7"/>
  <c r="CH65" i="17" s="1"/>
  <c r="AB64" i="7"/>
  <c r="J64" i="7"/>
  <c r="I64" i="7"/>
  <c r="H64" i="7"/>
  <c r="G64" i="7"/>
  <c r="P64" i="7" s="1"/>
  <c r="AA64" i="7" s="1"/>
  <c r="F64" i="7"/>
  <c r="E64" i="7"/>
  <c r="N64" i="7" s="1"/>
  <c r="W64" i="7" s="1"/>
  <c r="D64" i="7"/>
  <c r="C64" i="7"/>
  <c r="B64" i="7"/>
  <c r="A64" i="7"/>
  <c r="CH64" i="17" s="1"/>
  <c r="AB63" i="7"/>
  <c r="J63" i="7"/>
  <c r="I63" i="7"/>
  <c r="H63" i="7"/>
  <c r="G63" i="7"/>
  <c r="F63" i="7"/>
  <c r="E63" i="7"/>
  <c r="N63" i="7" s="1"/>
  <c r="W63" i="7" s="1"/>
  <c r="D63" i="7"/>
  <c r="M64" i="7" s="1"/>
  <c r="V64" i="7" s="1"/>
  <c r="C63" i="7"/>
  <c r="L63" i="7" s="1"/>
  <c r="U63" i="7" s="1"/>
  <c r="B63" i="7"/>
  <c r="A63" i="7"/>
  <c r="CH63" i="17" s="1"/>
  <c r="AB62" i="7"/>
  <c r="J62" i="7"/>
  <c r="I62" i="7"/>
  <c r="H62" i="7"/>
  <c r="G62" i="7"/>
  <c r="P62" i="7" s="1"/>
  <c r="AA62" i="7" s="1"/>
  <c r="F62" i="7"/>
  <c r="E62" i="7"/>
  <c r="N62" i="7" s="1"/>
  <c r="W62" i="7" s="1"/>
  <c r="D62" i="7"/>
  <c r="C62" i="7"/>
  <c r="B62" i="7"/>
  <c r="K62" i="7" s="1"/>
  <c r="T62" i="7" s="1"/>
  <c r="A62" i="7"/>
  <c r="CH62" i="17" s="1"/>
  <c r="AB61" i="7"/>
  <c r="J61" i="7"/>
  <c r="I61" i="7"/>
  <c r="H61" i="7"/>
  <c r="G61" i="7"/>
  <c r="F61" i="7"/>
  <c r="E61" i="7"/>
  <c r="N61" i="7" s="1"/>
  <c r="W61" i="7" s="1"/>
  <c r="D61" i="7"/>
  <c r="M62" i="7" s="1"/>
  <c r="V62" i="7" s="1"/>
  <c r="C61" i="7"/>
  <c r="L61" i="7" s="1"/>
  <c r="U61" i="7" s="1"/>
  <c r="B61" i="7"/>
  <c r="A61" i="7"/>
  <c r="CH61" i="17" s="1"/>
  <c r="AB60" i="7"/>
  <c r="J60" i="7"/>
  <c r="I60" i="7"/>
  <c r="H60" i="7"/>
  <c r="G60" i="7"/>
  <c r="F60" i="7"/>
  <c r="E60" i="7"/>
  <c r="N60" i="7" s="1"/>
  <c r="W60" i="7" s="1"/>
  <c r="D60" i="7"/>
  <c r="C60" i="7"/>
  <c r="B60" i="7"/>
  <c r="K60" i="7" s="1"/>
  <c r="T60" i="7" s="1"/>
  <c r="A60" i="7"/>
  <c r="CH60" i="17" s="1"/>
  <c r="AB59" i="7"/>
  <c r="J59" i="7"/>
  <c r="I59" i="7"/>
  <c r="H59" i="7"/>
  <c r="G59" i="7"/>
  <c r="F59" i="7"/>
  <c r="E59" i="7"/>
  <c r="N59" i="7" s="1"/>
  <c r="W59" i="7" s="1"/>
  <c r="D59" i="7"/>
  <c r="M60" i="7" s="1"/>
  <c r="V60" i="7" s="1"/>
  <c r="C59" i="7"/>
  <c r="L59" i="7" s="1"/>
  <c r="U59" i="7" s="1"/>
  <c r="B59" i="7"/>
  <c r="A59" i="7"/>
  <c r="CH59" i="17" s="1"/>
  <c r="AB58" i="7"/>
  <c r="J58" i="7"/>
  <c r="I58" i="7"/>
  <c r="H58" i="7"/>
  <c r="G58" i="7"/>
  <c r="P58" i="7" s="1"/>
  <c r="AA58" i="7" s="1"/>
  <c r="F58" i="7"/>
  <c r="E58" i="7"/>
  <c r="N58" i="7" s="1"/>
  <c r="W58" i="7" s="1"/>
  <c r="D58" i="7"/>
  <c r="C58" i="7"/>
  <c r="B58" i="7"/>
  <c r="K58" i="7" s="1"/>
  <c r="T58" i="7" s="1"/>
  <c r="A58" i="7"/>
  <c r="CH58" i="17" s="1"/>
  <c r="AB57" i="7"/>
  <c r="J57" i="7"/>
  <c r="I57" i="7"/>
  <c r="H57" i="7"/>
  <c r="G57" i="7"/>
  <c r="F57" i="7"/>
  <c r="E57" i="7"/>
  <c r="N57" i="7" s="1"/>
  <c r="W57" i="7" s="1"/>
  <c r="D57" i="7"/>
  <c r="M58" i="7" s="1"/>
  <c r="V58" i="7" s="1"/>
  <c r="C57" i="7"/>
  <c r="L57" i="7" s="1"/>
  <c r="U57" i="7" s="1"/>
  <c r="B57" i="7"/>
  <c r="A57" i="7"/>
  <c r="CH57" i="17" s="1"/>
  <c r="AB56" i="7"/>
  <c r="J56" i="7"/>
  <c r="I56" i="7"/>
  <c r="H56" i="7"/>
  <c r="G56" i="7"/>
  <c r="P56" i="7" s="1"/>
  <c r="AA56" i="7" s="1"/>
  <c r="F56" i="7"/>
  <c r="E56" i="7"/>
  <c r="N56" i="7" s="1"/>
  <c r="W56" i="7" s="1"/>
  <c r="D56" i="7"/>
  <c r="C56" i="7"/>
  <c r="B56" i="7"/>
  <c r="K56" i="7" s="1"/>
  <c r="T56" i="7" s="1"/>
  <c r="A56" i="7"/>
  <c r="CH56" i="17" s="1"/>
  <c r="AB55" i="7"/>
  <c r="J55" i="7"/>
  <c r="I55" i="7"/>
  <c r="H55" i="7"/>
  <c r="G55" i="7"/>
  <c r="F55" i="7"/>
  <c r="E55" i="7"/>
  <c r="N55" i="7" s="1"/>
  <c r="W55" i="7" s="1"/>
  <c r="D55" i="7"/>
  <c r="M56" i="7" s="1"/>
  <c r="V56" i="7" s="1"/>
  <c r="C55" i="7"/>
  <c r="L55" i="7" s="1"/>
  <c r="U55" i="7" s="1"/>
  <c r="B55" i="7"/>
  <c r="A55" i="7"/>
  <c r="CH55" i="17" s="1"/>
  <c r="AB54" i="7"/>
  <c r="J54" i="7"/>
  <c r="I54" i="7"/>
  <c r="H54" i="7"/>
  <c r="G54" i="7"/>
  <c r="F54" i="7"/>
  <c r="E54" i="7"/>
  <c r="D54" i="7"/>
  <c r="C54" i="7"/>
  <c r="L54" i="7" s="1"/>
  <c r="U54" i="7" s="1"/>
  <c r="B54" i="7"/>
  <c r="K54" i="7" s="1"/>
  <c r="T54" i="7" s="1"/>
  <c r="A54" i="7"/>
  <c r="CH54" i="17" s="1"/>
  <c r="AB53" i="7"/>
  <c r="M53" i="7"/>
  <c r="V53" i="7" s="1"/>
  <c r="J53" i="7"/>
  <c r="S53" i="7" s="1"/>
  <c r="I53" i="7"/>
  <c r="H53" i="7"/>
  <c r="G53" i="7"/>
  <c r="F53" i="7"/>
  <c r="E53" i="7"/>
  <c r="N53" i="7" s="1"/>
  <c r="W53" i="7" s="1"/>
  <c r="D53" i="7"/>
  <c r="M54" i="7" s="1"/>
  <c r="V54" i="7" s="1"/>
  <c r="C53" i="7"/>
  <c r="B53" i="7"/>
  <c r="K53" i="7" s="1"/>
  <c r="T53" i="7" s="1"/>
  <c r="A53" i="7"/>
  <c r="CH53" i="17" s="1"/>
  <c r="AB52" i="7"/>
  <c r="J52" i="7"/>
  <c r="I52" i="7"/>
  <c r="R52" i="7" s="1"/>
  <c r="H52" i="7"/>
  <c r="Q52" i="7" s="1"/>
  <c r="X52" i="7" s="1"/>
  <c r="G52" i="7"/>
  <c r="F52" i="7"/>
  <c r="E52" i="7"/>
  <c r="D52" i="7"/>
  <c r="C52" i="7"/>
  <c r="L52" i="7" s="1"/>
  <c r="U52" i="7" s="1"/>
  <c r="B52" i="7"/>
  <c r="K52" i="7" s="1"/>
  <c r="T52" i="7" s="1"/>
  <c r="A52" i="7"/>
  <c r="CH52" i="17" s="1"/>
  <c r="AB51" i="7"/>
  <c r="N51" i="7"/>
  <c r="W51" i="7" s="1"/>
  <c r="M51" i="7"/>
  <c r="V51" i="7" s="1"/>
  <c r="J51" i="7"/>
  <c r="S51" i="7" s="1"/>
  <c r="I51" i="7"/>
  <c r="H51" i="7"/>
  <c r="G51" i="7"/>
  <c r="F51" i="7"/>
  <c r="E51" i="7"/>
  <c r="D51" i="7"/>
  <c r="C51" i="7"/>
  <c r="L51" i="7" s="1"/>
  <c r="U51" i="7" s="1"/>
  <c r="B51" i="7"/>
  <c r="A51" i="7"/>
  <c r="CH51" i="17" s="1"/>
  <c r="AB50" i="7"/>
  <c r="J50" i="7"/>
  <c r="S50" i="7" s="1"/>
  <c r="I50" i="7"/>
  <c r="R50" i="7" s="1"/>
  <c r="H50" i="7"/>
  <c r="G50" i="7"/>
  <c r="F50" i="7"/>
  <c r="E50" i="7"/>
  <c r="N50" i="7" s="1"/>
  <c r="W50" i="7" s="1"/>
  <c r="D50" i="7"/>
  <c r="C50" i="7"/>
  <c r="L50" i="7" s="1"/>
  <c r="U50" i="7" s="1"/>
  <c r="B50" i="7"/>
  <c r="A50" i="7"/>
  <c r="CH50" i="17" s="1"/>
  <c r="AB49" i="7"/>
  <c r="N49" i="7"/>
  <c r="W49" i="7" s="1"/>
  <c r="M49" i="7"/>
  <c r="V49" i="7" s="1"/>
  <c r="J49" i="7"/>
  <c r="I49" i="7"/>
  <c r="H49" i="7"/>
  <c r="G49" i="7"/>
  <c r="F49" i="7"/>
  <c r="E49" i="7"/>
  <c r="D49" i="7"/>
  <c r="C49" i="7"/>
  <c r="B49" i="7"/>
  <c r="K49" i="7" s="1"/>
  <c r="T49" i="7" s="1"/>
  <c r="A49" i="7"/>
  <c r="CH49" i="17" s="1"/>
  <c r="AB48" i="7"/>
  <c r="J48" i="7"/>
  <c r="S48" i="7" s="1"/>
  <c r="I48" i="7"/>
  <c r="H48" i="7"/>
  <c r="G48" i="7"/>
  <c r="F48" i="7"/>
  <c r="O48" i="7" s="1"/>
  <c r="Z48" i="7" s="1"/>
  <c r="E48" i="7"/>
  <c r="N48" i="7" s="1"/>
  <c r="W48" i="7" s="1"/>
  <c r="D48" i="7"/>
  <c r="C48" i="7"/>
  <c r="B48" i="7"/>
  <c r="A48" i="7"/>
  <c r="CH48" i="17" s="1"/>
  <c r="AB47" i="7"/>
  <c r="S47" i="7"/>
  <c r="N47" i="7"/>
  <c r="W47" i="7" s="1"/>
  <c r="J47" i="7"/>
  <c r="I47" i="7"/>
  <c r="H47" i="7"/>
  <c r="G47" i="7"/>
  <c r="F47" i="7"/>
  <c r="E47" i="7"/>
  <c r="D47" i="7"/>
  <c r="C47" i="7"/>
  <c r="L47" i="7" s="1"/>
  <c r="U47" i="7" s="1"/>
  <c r="B47" i="7"/>
  <c r="K47" i="7" s="1"/>
  <c r="T47" i="7" s="1"/>
  <c r="A47" i="7"/>
  <c r="CH47" i="17" s="1"/>
  <c r="AB46" i="7"/>
  <c r="J46" i="7"/>
  <c r="I46" i="7"/>
  <c r="H46" i="7"/>
  <c r="G46" i="7"/>
  <c r="P46" i="7" s="1"/>
  <c r="AA46" i="7" s="1"/>
  <c r="F46" i="7"/>
  <c r="O46" i="7" s="1"/>
  <c r="Z46" i="7" s="1"/>
  <c r="E46" i="7"/>
  <c r="N46" i="7" s="1"/>
  <c r="W46" i="7" s="1"/>
  <c r="D46" i="7"/>
  <c r="M47" i="7" s="1"/>
  <c r="V47" i="7" s="1"/>
  <c r="C46" i="7"/>
  <c r="B46" i="7"/>
  <c r="A46" i="7"/>
  <c r="CH46" i="17" s="1"/>
  <c r="AB45" i="7"/>
  <c r="S45" i="7"/>
  <c r="J45" i="7"/>
  <c r="I45" i="7"/>
  <c r="H45" i="7"/>
  <c r="G45" i="7"/>
  <c r="F45" i="7"/>
  <c r="E45" i="7"/>
  <c r="D45" i="7"/>
  <c r="M46" i="7" s="1"/>
  <c r="V46" i="7" s="1"/>
  <c r="C45" i="7"/>
  <c r="L45" i="7" s="1"/>
  <c r="U45" i="7" s="1"/>
  <c r="B45" i="7"/>
  <c r="K45" i="7" s="1"/>
  <c r="T45" i="7" s="1"/>
  <c r="A45" i="7"/>
  <c r="CH45" i="17" s="1"/>
  <c r="AB44" i="7"/>
  <c r="J44" i="7"/>
  <c r="I44" i="7"/>
  <c r="H44" i="7"/>
  <c r="G44" i="7"/>
  <c r="P44" i="7" s="1"/>
  <c r="AA44" i="7" s="1"/>
  <c r="F44" i="7"/>
  <c r="O44" i="7" s="1"/>
  <c r="Z44" i="7" s="1"/>
  <c r="E44" i="7"/>
  <c r="D44" i="7"/>
  <c r="C44" i="7"/>
  <c r="B44" i="7"/>
  <c r="A44" i="7"/>
  <c r="CH44" i="17" s="1"/>
  <c r="AB43" i="7"/>
  <c r="J43" i="7"/>
  <c r="S43" i="7" s="1"/>
  <c r="I43" i="7"/>
  <c r="H43" i="7"/>
  <c r="G43" i="7"/>
  <c r="F43" i="7"/>
  <c r="E43" i="7"/>
  <c r="N43" i="7" s="1"/>
  <c r="W43" i="7" s="1"/>
  <c r="D43" i="7"/>
  <c r="M44" i="7" s="1"/>
  <c r="V44" i="7" s="1"/>
  <c r="C43" i="7"/>
  <c r="L43" i="7" s="1"/>
  <c r="U43" i="7" s="1"/>
  <c r="B43" i="7"/>
  <c r="K43" i="7" s="1"/>
  <c r="T43" i="7" s="1"/>
  <c r="A43" i="7"/>
  <c r="CH43" i="17" s="1"/>
  <c r="AB42" i="7"/>
  <c r="J42" i="7"/>
  <c r="I42" i="7"/>
  <c r="R42" i="7" s="1"/>
  <c r="H42" i="7"/>
  <c r="G42" i="7"/>
  <c r="F42" i="7"/>
  <c r="E42" i="7"/>
  <c r="D42" i="7"/>
  <c r="C42" i="7"/>
  <c r="B42" i="7"/>
  <c r="K42" i="7" s="1"/>
  <c r="T42" i="7" s="1"/>
  <c r="A42" i="7"/>
  <c r="CH42" i="17" s="1"/>
  <c r="AB41" i="7"/>
  <c r="J41" i="7"/>
  <c r="S41" i="7" s="1"/>
  <c r="I41" i="7"/>
  <c r="H41" i="7"/>
  <c r="G41" i="7"/>
  <c r="F41" i="7"/>
  <c r="E41" i="7"/>
  <c r="N42" i="7" s="1"/>
  <c r="W42" i="7" s="1"/>
  <c r="D41" i="7"/>
  <c r="M42" i="7" s="1"/>
  <c r="V42" i="7" s="1"/>
  <c r="C41" i="7"/>
  <c r="L41" i="7" s="1"/>
  <c r="U41" i="7" s="1"/>
  <c r="B41" i="7"/>
  <c r="A41" i="7"/>
  <c r="CH41" i="17" s="1"/>
  <c r="AB40" i="7"/>
  <c r="J40" i="7"/>
  <c r="S40" i="7" s="1"/>
  <c r="I40" i="7"/>
  <c r="R40" i="7" s="1"/>
  <c r="H40" i="7"/>
  <c r="Q40" i="7" s="1"/>
  <c r="X40" i="7" s="1"/>
  <c r="G40" i="7"/>
  <c r="F40" i="7"/>
  <c r="E40" i="7"/>
  <c r="D40" i="7"/>
  <c r="C40" i="7"/>
  <c r="L40" i="7" s="1"/>
  <c r="U40" i="7" s="1"/>
  <c r="B40" i="7"/>
  <c r="K40" i="7" s="1"/>
  <c r="T40" i="7" s="1"/>
  <c r="A40" i="7"/>
  <c r="CH40" i="17" s="1"/>
  <c r="AB39" i="7"/>
  <c r="J39" i="7"/>
  <c r="S39" i="7" s="1"/>
  <c r="I39" i="7"/>
  <c r="H39" i="7"/>
  <c r="G39" i="7"/>
  <c r="F39" i="7"/>
  <c r="E39" i="7"/>
  <c r="N39" i="7" s="1"/>
  <c r="W39" i="7" s="1"/>
  <c r="D39" i="7"/>
  <c r="M40" i="7" s="1"/>
  <c r="V40" i="7" s="1"/>
  <c r="C39" i="7"/>
  <c r="B39" i="7"/>
  <c r="K39" i="7" s="1"/>
  <c r="T39" i="7" s="1"/>
  <c r="A39" i="7"/>
  <c r="CH39" i="17" s="1"/>
  <c r="AB38" i="7"/>
  <c r="J38" i="7"/>
  <c r="S38" i="7" s="1"/>
  <c r="Y38" i="7" s="1"/>
  <c r="I38" i="7"/>
  <c r="R38" i="7" s="1"/>
  <c r="H38" i="7"/>
  <c r="G38" i="7"/>
  <c r="F38" i="7"/>
  <c r="E38" i="7"/>
  <c r="D38" i="7"/>
  <c r="C38" i="7"/>
  <c r="L38" i="7" s="1"/>
  <c r="U38" i="7" s="1"/>
  <c r="B38" i="7"/>
  <c r="K38" i="7" s="1"/>
  <c r="T38" i="7" s="1"/>
  <c r="A38" i="7"/>
  <c r="CH38" i="17" s="1"/>
  <c r="AB37" i="7"/>
  <c r="S37" i="7"/>
  <c r="J37" i="7"/>
  <c r="I37" i="7"/>
  <c r="H37" i="7"/>
  <c r="G37" i="7"/>
  <c r="F37" i="7"/>
  <c r="E37" i="7"/>
  <c r="N37" i="7" s="1"/>
  <c r="W37" i="7" s="1"/>
  <c r="D37" i="7"/>
  <c r="C37" i="7"/>
  <c r="L37" i="7" s="1"/>
  <c r="U37" i="7" s="1"/>
  <c r="B37" i="7"/>
  <c r="A37" i="7"/>
  <c r="CH37" i="17" s="1"/>
  <c r="AB36" i="7"/>
  <c r="J36" i="7"/>
  <c r="S36" i="7" s="1"/>
  <c r="I36" i="7"/>
  <c r="H36" i="7"/>
  <c r="G36" i="7"/>
  <c r="F36" i="7"/>
  <c r="E36" i="7"/>
  <c r="N36" i="7" s="1"/>
  <c r="W36" i="7" s="1"/>
  <c r="D36" i="7"/>
  <c r="M37" i="7" s="1"/>
  <c r="V37" i="7" s="1"/>
  <c r="C36" i="7"/>
  <c r="L36" i="7" s="1"/>
  <c r="U36" i="7" s="1"/>
  <c r="B36" i="7"/>
  <c r="A36" i="7"/>
  <c r="CH36" i="17" s="1"/>
  <c r="AB35" i="7"/>
  <c r="S35" i="7"/>
  <c r="J35" i="7"/>
  <c r="I35" i="7"/>
  <c r="H35" i="7"/>
  <c r="G35" i="7"/>
  <c r="F35" i="7"/>
  <c r="E35" i="7"/>
  <c r="N35" i="7" s="1"/>
  <c r="W35" i="7" s="1"/>
  <c r="D35" i="7"/>
  <c r="M35" i="7" s="1"/>
  <c r="V35" i="7" s="1"/>
  <c r="C35" i="7"/>
  <c r="B35" i="7"/>
  <c r="K35" i="7" s="1"/>
  <c r="T35" i="7" s="1"/>
  <c r="A35" i="7"/>
  <c r="CH35" i="17" s="1"/>
  <c r="AB34" i="7"/>
  <c r="J34" i="7"/>
  <c r="I34" i="7"/>
  <c r="H34" i="7"/>
  <c r="G34" i="7"/>
  <c r="F34" i="7"/>
  <c r="E34" i="7"/>
  <c r="N34" i="7" s="1"/>
  <c r="W34" i="7" s="1"/>
  <c r="D34" i="7"/>
  <c r="C34" i="7"/>
  <c r="B34" i="7"/>
  <c r="A34" i="7"/>
  <c r="CH34" i="17" s="1"/>
  <c r="AB33" i="7"/>
  <c r="J33" i="7"/>
  <c r="S33" i="7" s="1"/>
  <c r="I33" i="7"/>
  <c r="H33" i="7"/>
  <c r="G33" i="7"/>
  <c r="F33" i="7"/>
  <c r="E33" i="7"/>
  <c r="N33" i="7" s="1"/>
  <c r="W33" i="7" s="1"/>
  <c r="D33" i="7"/>
  <c r="M33" i="7" s="1"/>
  <c r="V33" i="7" s="1"/>
  <c r="C33" i="7"/>
  <c r="L33" i="7" s="1"/>
  <c r="U33" i="7" s="1"/>
  <c r="B33" i="7"/>
  <c r="K33" i="7" s="1"/>
  <c r="T33" i="7" s="1"/>
  <c r="A33" i="7"/>
  <c r="CH33" i="17" s="1"/>
  <c r="AB32" i="7"/>
  <c r="J32" i="7"/>
  <c r="I32" i="7"/>
  <c r="H32" i="7"/>
  <c r="G32" i="7"/>
  <c r="P32" i="7" s="1"/>
  <c r="AA32" i="7" s="1"/>
  <c r="F32" i="7"/>
  <c r="O33" i="7" s="1"/>
  <c r="Z33" i="7" s="1"/>
  <c r="E32" i="7"/>
  <c r="N32" i="7" s="1"/>
  <c r="W32" i="7" s="1"/>
  <c r="D32" i="7"/>
  <c r="C32" i="7"/>
  <c r="B32" i="7"/>
  <c r="K32" i="7" s="1"/>
  <c r="T32" i="7" s="1"/>
  <c r="A32" i="7"/>
  <c r="CH32" i="17" s="1"/>
  <c r="AB31" i="7"/>
  <c r="J31" i="7"/>
  <c r="S31" i="7" s="1"/>
  <c r="I31" i="7"/>
  <c r="H31" i="7"/>
  <c r="G31" i="7"/>
  <c r="F31" i="7"/>
  <c r="E31" i="7"/>
  <c r="N31" i="7" s="1"/>
  <c r="W31" i="7" s="1"/>
  <c r="D31" i="7"/>
  <c r="M32" i="7" s="1"/>
  <c r="V32" i="7" s="1"/>
  <c r="C31" i="7"/>
  <c r="L31" i="7" s="1"/>
  <c r="U31" i="7" s="1"/>
  <c r="B31" i="7"/>
  <c r="A31" i="7"/>
  <c r="CH31" i="17" s="1"/>
  <c r="AB30" i="7"/>
  <c r="J30" i="7"/>
  <c r="I30" i="7"/>
  <c r="H30" i="7"/>
  <c r="G30" i="7"/>
  <c r="F30" i="7"/>
  <c r="E30" i="7"/>
  <c r="D30" i="7"/>
  <c r="C30" i="7"/>
  <c r="B30" i="7"/>
  <c r="K30" i="7" s="1"/>
  <c r="T30" i="7" s="1"/>
  <c r="A30" i="7"/>
  <c r="CH30" i="17" s="1"/>
  <c r="AB29" i="7"/>
  <c r="M29" i="7"/>
  <c r="V29" i="7" s="1"/>
  <c r="J29" i="7"/>
  <c r="S29" i="7" s="1"/>
  <c r="I29" i="7"/>
  <c r="H29" i="7"/>
  <c r="G29" i="7"/>
  <c r="F29" i="7"/>
  <c r="E29" i="7"/>
  <c r="N29" i="7" s="1"/>
  <c r="W29" i="7" s="1"/>
  <c r="D29" i="7"/>
  <c r="M30" i="7" s="1"/>
  <c r="V30" i="7" s="1"/>
  <c r="C29" i="7"/>
  <c r="B29" i="7"/>
  <c r="K29" i="7" s="1"/>
  <c r="T29" i="7" s="1"/>
  <c r="A29" i="7"/>
  <c r="CH29" i="17" s="1"/>
  <c r="AB28" i="7"/>
  <c r="J28" i="7"/>
  <c r="I28" i="7"/>
  <c r="H28" i="7"/>
  <c r="G28" i="7"/>
  <c r="F28" i="7"/>
  <c r="O29" i="7" s="1"/>
  <c r="Z29" i="7" s="1"/>
  <c r="E28" i="7"/>
  <c r="D28" i="7"/>
  <c r="C28" i="7"/>
  <c r="L28" i="7" s="1"/>
  <c r="U28" i="7" s="1"/>
  <c r="B28" i="7"/>
  <c r="A28" i="7"/>
  <c r="CH28" i="17" s="1"/>
  <c r="AB27" i="7"/>
  <c r="O27" i="7"/>
  <c r="Z27" i="7" s="1"/>
  <c r="J27" i="7"/>
  <c r="I27" i="7"/>
  <c r="R27" i="7" s="1"/>
  <c r="H27" i="7"/>
  <c r="G27" i="7"/>
  <c r="F27" i="7"/>
  <c r="E27" i="7"/>
  <c r="N27" i="7" s="1"/>
  <c r="W27" i="7" s="1"/>
  <c r="D27" i="7"/>
  <c r="M27" i="7" s="1"/>
  <c r="V27" i="7" s="1"/>
  <c r="C27" i="7"/>
  <c r="B27" i="7"/>
  <c r="A27" i="7"/>
  <c r="CH27" i="17" s="1"/>
  <c r="AB26" i="7"/>
  <c r="N26" i="7"/>
  <c r="W26" i="7" s="1"/>
  <c r="M26" i="7"/>
  <c r="V26" i="7" s="1"/>
  <c r="L26" i="7"/>
  <c r="U26" i="7" s="1"/>
  <c r="J26" i="7"/>
  <c r="S26" i="7" s="1"/>
  <c r="I26" i="7"/>
  <c r="H26" i="7"/>
  <c r="G26" i="7"/>
  <c r="F26" i="7"/>
  <c r="E26" i="7"/>
  <c r="D26" i="7"/>
  <c r="C26" i="7"/>
  <c r="B26" i="7"/>
  <c r="K26" i="7" s="1"/>
  <c r="T26" i="7" s="1"/>
  <c r="A26" i="7"/>
  <c r="CH26" i="17" s="1"/>
  <c r="AB25" i="7"/>
  <c r="J25" i="7"/>
  <c r="I25" i="7"/>
  <c r="R25" i="7" s="1"/>
  <c r="H25" i="7"/>
  <c r="G25" i="7"/>
  <c r="F25" i="7"/>
  <c r="O25" i="7" s="1"/>
  <c r="Z25" i="7" s="1"/>
  <c r="E25" i="7"/>
  <c r="D25" i="7"/>
  <c r="C25" i="7"/>
  <c r="B25" i="7"/>
  <c r="A25" i="7"/>
  <c r="CH25" i="17" s="1"/>
  <c r="AB24" i="7"/>
  <c r="T24" i="7"/>
  <c r="J24" i="7"/>
  <c r="I24" i="7"/>
  <c r="H24" i="7"/>
  <c r="G24" i="7"/>
  <c r="F24" i="7"/>
  <c r="O24" i="7" s="1"/>
  <c r="Z24" i="7" s="1"/>
  <c r="E24" i="7"/>
  <c r="D24" i="7"/>
  <c r="C24" i="7"/>
  <c r="B24" i="7"/>
  <c r="K24" i="7" s="1"/>
  <c r="A24" i="7"/>
  <c r="CH24" i="17" s="1"/>
  <c r="AB23" i="7"/>
  <c r="J23" i="7"/>
  <c r="S23" i="7" s="1"/>
  <c r="I23" i="7"/>
  <c r="H23" i="7"/>
  <c r="G23" i="7"/>
  <c r="F23" i="7"/>
  <c r="E23" i="7"/>
  <c r="N23" i="7" s="1"/>
  <c r="W23" i="7" s="1"/>
  <c r="D23" i="7"/>
  <c r="M23" i="7" s="1"/>
  <c r="V23" i="7" s="1"/>
  <c r="C23" i="7"/>
  <c r="L23" i="7" s="1"/>
  <c r="U23" i="7" s="1"/>
  <c r="B23" i="7"/>
  <c r="A23" i="7"/>
  <c r="CH23" i="17" s="1"/>
  <c r="AB22" i="7"/>
  <c r="J22" i="7"/>
  <c r="S22" i="7" s="1"/>
  <c r="I22" i="7"/>
  <c r="R22" i="7" s="1"/>
  <c r="H22" i="7"/>
  <c r="G22" i="7"/>
  <c r="F22" i="7"/>
  <c r="E22" i="7"/>
  <c r="D22" i="7"/>
  <c r="C22" i="7"/>
  <c r="B22" i="7"/>
  <c r="K22" i="7" s="1"/>
  <c r="T22" i="7" s="1"/>
  <c r="A22" i="7"/>
  <c r="CH22" i="17" s="1"/>
  <c r="AB21" i="7"/>
  <c r="J21" i="7"/>
  <c r="I21" i="7"/>
  <c r="H21" i="7"/>
  <c r="G21" i="7"/>
  <c r="F21" i="7"/>
  <c r="O21" i="7" s="1"/>
  <c r="Z21" i="7" s="1"/>
  <c r="E21" i="7"/>
  <c r="N21" i="7" s="1"/>
  <c r="W21" i="7" s="1"/>
  <c r="D21" i="7"/>
  <c r="M21" i="7" s="1"/>
  <c r="V21" i="7" s="1"/>
  <c r="C21" i="7"/>
  <c r="B21" i="7"/>
  <c r="A21" i="7"/>
  <c r="CH21" i="17" s="1"/>
  <c r="AB20" i="7"/>
  <c r="N20" i="7"/>
  <c r="W20" i="7" s="1"/>
  <c r="J20" i="7"/>
  <c r="I20" i="7"/>
  <c r="H20" i="7"/>
  <c r="G20" i="7"/>
  <c r="F20" i="7"/>
  <c r="E20" i="7"/>
  <c r="D20" i="7"/>
  <c r="C20" i="7"/>
  <c r="L20" i="7" s="1"/>
  <c r="U20" i="7" s="1"/>
  <c r="B20" i="7"/>
  <c r="K20" i="7" s="1"/>
  <c r="T20" i="7" s="1"/>
  <c r="A20" i="7"/>
  <c r="CH20" i="17" s="1"/>
  <c r="AB19" i="7"/>
  <c r="J19" i="7"/>
  <c r="I19" i="7"/>
  <c r="H19" i="7"/>
  <c r="G19" i="7"/>
  <c r="F19" i="7"/>
  <c r="E19" i="7"/>
  <c r="D19" i="7"/>
  <c r="M20" i="7" s="1"/>
  <c r="V20" i="7" s="1"/>
  <c r="C19" i="7"/>
  <c r="B19" i="7"/>
  <c r="A19" i="7"/>
  <c r="CH19" i="17" s="1"/>
  <c r="AB18" i="7"/>
  <c r="J18" i="7"/>
  <c r="I18" i="7"/>
  <c r="H18" i="7"/>
  <c r="G18" i="7"/>
  <c r="F18" i="7"/>
  <c r="O18" i="7" s="1"/>
  <c r="Z18" i="7" s="1"/>
  <c r="E18" i="7"/>
  <c r="D18" i="7"/>
  <c r="C18" i="7"/>
  <c r="B18" i="7"/>
  <c r="A18" i="7"/>
  <c r="CH18" i="17" s="1"/>
  <c r="AB17" i="7"/>
  <c r="K17" i="7"/>
  <c r="T17" i="7" s="1"/>
  <c r="J17" i="7"/>
  <c r="I17" i="7"/>
  <c r="H17" i="7"/>
  <c r="G17" i="7"/>
  <c r="F17" i="7"/>
  <c r="E17" i="7"/>
  <c r="N18" i="7" s="1"/>
  <c r="W18" i="7" s="1"/>
  <c r="D17" i="7"/>
  <c r="M17" i="7" s="1"/>
  <c r="V17" i="7" s="1"/>
  <c r="C17" i="7"/>
  <c r="B17" i="7"/>
  <c r="A17" i="7"/>
  <c r="CH17" i="17" s="1"/>
  <c r="AB16" i="7"/>
  <c r="J16" i="7"/>
  <c r="I16" i="7"/>
  <c r="H16" i="7"/>
  <c r="G16" i="7"/>
  <c r="F16" i="7"/>
  <c r="E16" i="7"/>
  <c r="D16" i="7"/>
  <c r="C16" i="7"/>
  <c r="L17" i="7" s="1"/>
  <c r="U17" i="7" s="1"/>
  <c r="B16" i="7"/>
  <c r="A16" i="7"/>
  <c r="CH16" i="17" s="1"/>
  <c r="AB15" i="7"/>
  <c r="J15" i="7"/>
  <c r="I15" i="7"/>
  <c r="R15" i="7" s="1"/>
  <c r="H15" i="7"/>
  <c r="G15" i="7"/>
  <c r="F15" i="7"/>
  <c r="E15" i="7"/>
  <c r="D15" i="7"/>
  <c r="M15" i="7" s="1"/>
  <c r="V15" i="7" s="1"/>
  <c r="C15" i="7"/>
  <c r="L15" i="7" s="1"/>
  <c r="U15" i="7" s="1"/>
  <c r="B15" i="7"/>
  <c r="A15" i="7"/>
  <c r="CH15" i="17" s="1"/>
  <c r="AB14" i="7"/>
  <c r="L14" i="7"/>
  <c r="U14" i="7" s="1"/>
  <c r="J14" i="7"/>
  <c r="I14" i="7"/>
  <c r="H14" i="7"/>
  <c r="G14" i="7"/>
  <c r="F14" i="7"/>
  <c r="E14" i="7"/>
  <c r="N15" i="7" s="1"/>
  <c r="W15" i="7" s="1"/>
  <c r="D14" i="7"/>
  <c r="C14" i="7"/>
  <c r="B14" i="7"/>
  <c r="A14" i="7"/>
  <c r="CH14" i="17" s="1"/>
  <c r="AB13" i="7"/>
  <c r="J13" i="7"/>
  <c r="I13" i="7"/>
  <c r="R13" i="7" s="1"/>
  <c r="H13" i="7"/>
  <c r="G13" i="7"/>
  <c r="F13" i="7"/>
  <c r="E13" i="7"/>
  <c r="D13" i="7"/>
  <c r="M14" i="7" s="1"/>
  <c r="V14" i="7" s="1"/>
  <c r="C13" i="7"/>
  <c r="B13" i="7"/>
  <c r="A13" i="7"/>
  <c r="CH13" i="17" s="1"/>
  <c r="AB12" i="7"/>
  <c r="N12" i="7"/>
  <c r="W12" i="7" s="1"/>
  <c r="J12" i="7"/>
  <c r="S12" i="7" s="1"/>
  <c r="I12" i="7"/>
  <c r="H12" i="7"/>
  <c r="G12" i="7"/>
  <c r="F12" i="7"/>
  <c r="O12" i="7" s="1"/>
  <c r="Z12" i="7" s="1"/>
  <c r="E12" i="7"/>
  <c r="D12" i="7"/>
  <c r="C12" i="7"/>
  <c r="B12" i="7"/>
  <c r="A12" i="7"/>
  <c r="CH12" i="17" s="1"/>
  <c r="AB11" i="7"/>
  <c r="O11" i="7"/>
  <c r="Z11" i="7" s="1"/>
  <c r="N11" i="7"/>
  <c r="W11" i="7" s="1"/>
  <c r="J11" i="7"/>
  <c r="I11" i="7"/>
  <c r="H11" i="7"/>
  <c r="G11" i="7"/>
  <c r="F11" i="7"/>
  <c r="E11" i="7"/>
  <c r="D11" i="7"/>
  <c r="M11" i="7" s="1"/>
  <c r="V11" i="7" s="1"/>
  <c r="C11" i="7"/>
  <c r="B11" i="7"/>
  <c r="K11" i="7" s="1"/>
  <c r="T11" i="7" s="1"/>
  <c r="A11" i="7"/>
  <c r="CH11" i="17" s="1"/>
  <c r="AB10" i="7"/>
  <c r="Z10" i="7"/>
  <c r="J10" i="7"/>
  <c r="I10" i="7"/>
  <c r="H10" i="7"/>
  <c r="G10" i="7"/>
  <c r="F10" i="7"/>
  <c r="O10" i="7" s="1"/>
  <c r="E10" i="7"/>
  <c r="D10" i="7"/>
  <c r="C10" i="7"/>
  <c r="B10" i="7"/>
  <c r="A10" i="7"/>
  <c r="CH10" i="17" s="1"/>
  <c r="AB9" i="7"/>
  <c r="J9" i="7"/>
  <c r="S9" i="7" s="1"/>
  <c r="I9" i="7"/>
  <c r="H9" i="7"/>
  <c r="G9" i="7"/>
  <c r="F9" i="7"/>
  <c r="O9" i="7" s="1"/>
  <c r="Z9" i="7" s="1"/>
  <c r="E9" i="7"/>
  <c r="D9" i="7"/>
  <c r="C9" i="7"/>
  <c r="B9" i="7"/>
  <c r="A9" i="7"/>
  <c r="CH9" i="17" s="1"/>
  <c r="AB8" i="7"/>
  <c r="K8" i="7"/>
  <c r="T8" i="7" s="1"/>
  <c r="J8" i="7"/>
  <c r="I8" i="7"/>
  <c r="H8" i="7"/>
  <c r="G8" i="7"/>
  <c r="F8" i="7"/>
  <c r="E8" i="7"/>
  <c r="D8" i="7"/>
  <c r="C8" i="7"/>
  <c r="L8" i="7" s="1"/>
  <c r="U8" i="7" s="1"/>
  <c r="B8" i="7"/>
  <c r="A8" i="7"/>
  <c r="CH8" i="17" s="1"/>
  <c r="AB7" i="7"/>
  <c r="J7" i="7"/>
  <c r="S7" i="7" s="1"/>
  <c r="I7" i="7"/>
  <c r="H7" i="7"/>
  <c r="G7" i="7"/>
  <c r="F7" i="7"/>
  <c r="E7" i="7"/>
  <c r="N7" i="7" s="1"/>
  <c r="W7" i="7" s="1"/>
  <c r="D7" i="7"/>
  <c r="C7" i="7"/>
  <c r="L7" i="7" s="1"/>
  <c r="U7" i="7" s="1"/>
  <c r="B7" i="7"/>
  <c r="A7" i="7"/>
  <c r="CH7" i="17" s="1"/>
  <c r="AB6" i="7"/>
  <c r="N6" i="7"/>
  <c r="W6" i="7" s="1"/>
  <c r="J6" i="7"/>
  <c r="I6" i="7"/>
  <c r="H6" i="7"/>
  <c r="G6" i="7"/>
  <c r="F6" i="7"/>
  <c r="O6" i="7" s="1"/>
  <c r="Z6" i="7" s="1"/>
  <c r="E6" i="7"/>
  <c r="D6" i="7"/>
  <c r="M6" i="7" s="1"/>
  <c r="V6" i="7" s="1"/>
  <c r="C6" i="7"/>
  <c r="B6" i="7"/>
  <c r="A6" i="7"/>
  <c r="CH6" i="17" s="1"/>
  <c r="AB5" i="7"/>
  <c r="J5" i="7"/>
  <c r="I5" i="7"/>
  <c r="H5" i="7"/>
  <c r="G5" i="7"/>
  <c r="F5" i="7"/>
  <c r="E5" i="7"/>
  <c r="N5" i="7" s="1"/>
  <c r="W5" i="7" s="1"/>
  <c r="D5" i="7"/>
  <c r="C5" i="7"/>
  <c r="L6" i="7" s="1"/>
  <c r="U6" i="7" s="1"/>
  <c r="B5" i="7"/>
  <c r="K5" i="7" s="1"/>
  <c r="T5" i="7" s="1"/>
  <c r="A5" i="7"/>
  <c r="CH5" i="17" s="1"/>
  <c r="AK4" i="7"/>
  <c r="AB4" i="7"/>
  <c r="J4" i="7"/>
  <c r="I4" i="7"/>
  <c r="H4" i="7"/>
  <c r="Q4" i="7" s="1"/>
  <c r="X4" i="7" s="1"/>
  <c r="G4" i="7"/>
  <c r="F4" i="7"/>
  <c r="E4" i="7"/>
  <c r="D4" i="7"/>
  <c r="C4" i="7"/>
  <c r="B4" i="7"/>
  <c r="A4" i="7"/>
  <c r="CH4" i="17" s="1"/>
  <c r="AB3" i="7"/>
  <c r="J3" i="7"/>
  <c r="I3" i="7"/>
  <c r="R3" i="7" s="1"/>
  <c r="H3" i="7"/>
  <c r="Q3" i="7" s="1"/>
  <c r="X3" i="7" s="1"/>
  <c r="G3" i="7"/>
  <c r="F3" i="7"/>
  <c r="E3" i="7"/>
  <c r="D3" i="7"/>
  <c r="C3" i="7"/>
  <c r="L3" i="7" s="1"/>
  <c r="U3" i="7" s="1"/>
  <c r="B3" i="7"/>
  <c r="A3" i="7"/>
  <c r="CH3" i="17" s="1"/>
  <c r="AK2" i="7"/>
  <c r="AJ2" i="7"/>
  <c r="AC2" i="7"/>
  <c r="AB2" i="7"/>
  <c r="J2" i="7"/>
  <c r="I2" i="7"/>
  <c r="H2" i="7"/>
  <c r="G2" i="7"/>
  <c r="F2" i="7"/>
  <c r="E2" i="7"/>
  <c r="N3" i="7" s="1"/>
  <c r="W3" i="7" s="1"/>
  <c r="D2" i="7"/>
  <c r="C2" i="7"/>
  <c r="B2" i="7"/>
  <c r="A2" i="7"/>
  <c r="CH2" i="17" s="1"/>
  <c r="H35" i="5"/>
  <c r="J35" i="5" s="1"/>
  <c r="H34" i="5"/>
  <c r="J34" i="5" s="1"/>
  <c r="H33" i="5"/>
  <c r="J33" i="5" s="1"/>
  <c r="H32" i="5"/>
  <c r="J32" i="5" s="1"/>
  <c r="H31" i="5"/>
  <c r="J31" i="5" s="1"/>
  <c r="H30" i="5"/>
  <c r="J30" i="5" s="1"/>
  <c r="H29" i="5"/>
  <c r="J29" i="5" s="1"/>
  <c r="H28" i="5"/>
  <c r="J28" i="5" s="1"/>
  <c r="E24" i="5"/>
  <c r="D24" i="5"/>
  <c r="E23" i="5"/>
  <c r="D23" i="5"/>
  <c r="E22" i="5"/>
  <c r="D22" i="5"/>
  <c r="E21" i="5"/>
  <c r="D21" i="5"/>
  <c r="E20" i="5"/>
  <c r="D20" i="5"/>
  <c r="E19" i="5"/>
  <c r="D19" i="5"/>
  <c r="E18" i="5"/>
  <c r="D18" i="5"/>
  <c r="D14" i="5"/>
  <c r="H9" i="4"/>
  <c r="G9" i="4"/>
  <c r="F9" i="4"/>
  <c r="I9" i="4" s="1"/>
  <c r="E9" i="4"/>
  <c r="D9" i="4"/>
  <c r="C9" i="4"/>
  <c r="H8" i="4"/>
  <c r="G8" i="4"/>
  <c r="F8" i="4"/>
  <c r="I8" i="4" s="1"/>
  <c r="E8" i="4"/>
  <c r="D8" i="4"/>
  <c r="C8" i="4"/>
  <c r="H7" i="4"/>
  <c r="G7" i="4"/>
  <c r="F7" i="4"/>
  <c r="I7" i="4" s="1"/>
  <c r="E7" i="4"/>
  <c r="D7" i="4"/>
  <c r="C7" i="4"/>
  <c r="H6" i="4"/>
  <c r="G6" i="4"/>
  <c r="F6" i="4"/>
  <c r="I6" i="4" s="1"/>
  <c r="E6" i="4"/>
  <c r="D6" i="4"/>
  <c r="C6" i="4"/>
  <c r="H5" i="4"/>
  <c r="G5" i="4"/>
  <c r="F5" i="4"/>
  <c r="I5" i="4" s="1"/>
  <c r="E5" i="4"/>
  <c r="D5" i="4"/>
  <c r="C5" i="4"/>
  <c r="H4" i="4"/>
  <c r="G4" i="4"/>
  <c r="F4" i="4"/>
  <c r="I4" i="4" s="1"/>
  <c r="E4" i="4"/>
  <c r="D4" i="4"/>
  <c r="C4" i="4"/>
  <c r="D23" i="2"/>
  <c r="E23" i="2" s="1"/>
  <c r="C23" i="2"/>
  <c r="D22" i="2"/>
  <c r="E22" i="2" s="1"/>
  <c r="C22" i="2"/>
  <c r="D21" i="2"/>
  <c r="E21" i="2" s="1"/>
  <c r="C21" i="2"/>
  <c r="D20" i="2"/>
  <c r="E20" i="2" s="1"/>
  <c r="C20" i="2"/>
  <c r="D19" i="2"/>
  <c r="E19" i="2" s="1"/>
  <c r="C19" i="2"/>
  <c r="D18" i="2"/>
  <c r="E18" i="2" s="1"/>
  <c r="C18" i="2"/>
  <c r="D17" i="2"/>
  <c r="E17" i="2" s="1"/>
  <c r="C17" i="2"/>
  <c r="D16" i="2"/>
  <c r="E16" i="2" s="1"/>
  <c r="C16" i="2"/>
  <c r="N234" i="7" l="1"/>
  <c r="W234" i="7" s="1"/>
  <c r="L9" i="7"/>
  <c r="U9" i="7" s="1"/>
  <c r="S13" i="7"/>
  <c r="Y13" i="7" s="1"/>
  <c r="R16" i="7"/>
  <c r="R28" i="7"/>
  <c r="O35" i="7"/>
  <c r="Z35" i="7" s="1"/>
  <c r="Q58" i="7"/>
  <c r="X58" i="7" s="1"/>
  <c r="Q64" i="7"/>
  <c r="X64" i="7" s="1"/>
  <c r="R68" i="7"/>
  <c r="R70" i="7"/>
  <c r="P75" i="7"/>
  <c r="AA75" i="7" s="1"/>
  <c r="O78" i="7"/>
  <c r="Z78" i="7" s="1"/>
  <c r="O80" i="7"/>
  <c r="Z80" i="7" s="1"/>
  <c r="O81" i="7"/>
  <c r="Z81" i="7" s="1"/>
  <c r="O83" i="7"/>
  <c r="Z83" i="7" s="1"/>
  <c r="N86" i="7"/>
  <c r="W86" i="7" s="1"/>
  <c r="O88" i="7"/>
  <c r="Z88" i="7" s="1"/>
  <c r="N91" i="7"/>
  <c r="W91" i="7" s="1"/>
  <c r="N93" i="7"/>
  <c r="W93" i="7" s="1"/>
  <c r="M97" i="7"/>
  <c r="V97" i="7" s="1"/>
  <c r="P113" i="7"/>
  <c r="AA113" i="7" s="1"/>
  <c r="P114" i="7"/>
  <c r="AA114" i="7" s="1"/>
  <c r="P115" i="7"/>
  <c r="AA115" i="7" s="1"/>
  <c r="M123" i="7"/>
  <c r="V123" i="7" s="1"/>
  <c r="L126" i="7"/>
  <c r="U126" i="7" s="1"/>
  <c r="P138" i="7"/>
  <c r="AA138" i="7" s="1"/>
  <c r="M156" i="7"/>
  <c r="V156" i="7" s="1"/>
  <c r="M177" i="7"/>
  <c r="V177" i="7" s="1"/>
  <c r="N223" i="7"/>
  <c r="W223" i="7" s="1"/>
  <c r="O233" i="7"/>
  <c r="Z233" i="7" s="1"/>
  <c r="BF260" i="17"/>
  <c r="BG260" i="17" s="1"/>
  <c r="BH260" i="17" s="1"/>
  <c r="M260" i="7"/>
  <c r="V260" i="7" s="1"/>
  <c r="BR268" i="17"/>
  <c r="BS268" i="17" s="1"/>
  <c r="BT268" i="17" s="1"/>
  <c r="M318" i="7"/>
  <c r="V318" i="7" s="1"/>
  <c r="BF317" i="17"/>
  <c r="BG317" i="17" s="1"/>
  <c r="BH317" i="17" s="1"/>
  <c r="BR342" i="17"/>
  <c r="BS342" i="17" s="1"/>
  <c r="BT342" i="17" s="1"/>
  <c r="BX343" i="17"/>
  <c r="BY343" i="17" s="1"/>
  <c r="BZ343" i="17" s="1"/>
  <c r="BX344" i="17"/>
  <c r="BY344" i="17" s="1"/>
  <c r="BZ344" i="17" s="1"/>
  <c r="AZ359" i="17"/>
  <c r="BA359" i="17" s="1"/>
  <c r="BB359" i="17" s="1"/>
  <c r="L359" i="7"/>
  <c r="U359" i="7" s="1"/>
  <c r="S4" i="7"/>
  <c r="R5" i="7"/>
  <c r="M9" i="7"/>
  <c r="V9" i="7" s="1"/>
  <c r="L10" i="7"/>
  <c r="U10" i="7" s="1"/>
  <c r="L11" i="7"/>
  <c r="U11" i="7" s="1"/>
  <c r="S16" i="7"/>
  <c r="Y16" i="7" s="1"/>
  <c r="S28" i="7"/>
  <c r="Y28" i="7" s="1"/>
  <c r="R30" i="7"/>
  <c r="P34" i="7"/>
  <c r="AA34" i="7" s="1"/>
  <c r="O36" i="7"/>
  <c r="Z36" i="7" s="1"/>
  <c r="N38" i="7"/>
  <c r="W38" i="7" s="1"/>
  <c r="L42" i="7"/>
  <c r="U42" i="7" s="1"/>
  <c r="S49" i="7"/>
  <c r="S52" i="7"/>
  <c r="Y52" i="7" s="1"/>
  <c r="R54" i="7"/>
  <c r="R56" i="7"/>
  <c r="R58" i="7"/>
  <c r="R60" i="7"/>
  <c r="R62" i="7"/>
  <c r="R64" i="7"/>
  <c r="R66" i="7"/>
  <c r="S68" i="7"/>
  <c r="S69" i="7"/>
  <c r="R71" i="7"/>
  <c r="Q73" i="7"/>
  <c r="X73" i="7" s="1"/>
  <c r="Q75" i="7"/>
  <c r="X75" i="7" s="1"/>
  <c r="P80" i="7"/>
  <c r="AA80" i="7" s="1"/>
  <c r="O85" i="7"/>
  <c r="Z85" i="7" s="1"/>
  <c r="O86" i="7"/>
  <c r="Z86" i="7" s="1"/>
  <c r="O90" i="7"/>
  <c r="Z90" i="7" s="1"/>
  <c r="O93" i="7"/>
  <c r="Z93" i="7" s="1"/>
  <c r="N95" i="7"/>
  <c r="W95" i="7" s="1"/>
  <c r="N97" i="7"/>
  <c r="W97" i="7" s="1"/>
  <c r="R112" i="7"/>
  <c r="Q113" i="7"/>
  <c r="X113" i="7" s="1"/>
  <c r="Q115" i="7"/>
  <c r="X115" i="7" s="1"/>
  <c r="R119" i="7"/>
  <c r="P120" i="7"/>
  <c r="AA120" i="7" s="1"/>
  <c r="M125" i="7"/>
  <c r="V125" i="7" s="1"/>
  <c r="M126" i="7"/>
  <c r="V126" i="7" s="1"/>
  <c r="P140" i="7"/>
  <c r="AA140" i="7" s="1"/>
  <c r="O141" i="7"/>
  <c r="Z141" i="7" s="1"/>
  <c r="N143" i="7"/>
  <c r="W143" i="7" s="1"/>
  <c r="M144" i="7"/>
  <c r="V144" i="7" s="1"/>
  <c r="S240" i="7"/>
  <c r="O267" i="7"/>
  <c r="Z267" i="7" s="1"/>
  <c r="BR267" i="17"/>
  <c r="BS267" i="17" s="1"/>
  <c r="BT267" i="17" s="1"/>
  <c r="L277" i="7"/>
  <c r="U277" i="7" s="1"/>
  <c r="AZ277" i="17"/>
  <c r="BA277" i="17" s="1"/>
  <c r="BB277" i="17" s="1"/>
  <c r="M279" i="7"/>
  <c r="V279" i="7" s="1"/>
  <c r="BF278" i="17"/>
  <c r="BG278" i="17" s="1"/>
  <c r="BH278" i="17" s="1"/>
  <c r="M278" i="7"/>
  <c r="V278" i="7" s="1"/>
  <c r="AT288" i="17"/>
  <c r="AU288" i="17" s="1"/>
  <c r="AV288" i="17" s="1"/>
  <c r="K288" i="7"/>
  <c r="T288" i="7" s="1"/>
  <c r="M316" i="7"/>
  <c r="V316" i="7" s="1"/>
  <c r="BF316" i="17"/>
  <c r="BG316" i="17" s="1"/>
  <c r="BH316" i="17" s="1"/>
  <c r="O340" i="7"/>
  <c r="Z340" i="7" s="1"/>
  <c r="BR340" i="17"/>
  <c r="BS340" i="17" s="1"/>
  <c r="BT340" i="17" s="1"/>
  <c r="BX341" i="17"/>
  <c r="BY341" i="17" s="1"/>
  <c r="BZ341" i="17" s="1"/>
  <c r="O7" i="7"/>
  <c r="Z7" i="7" s="1"/>
  <c r="N9" i="7"/>
  <c r="W9" i="7" s="1"/>
  <c r="N14" i="7"/>
  <c r="W14" i="7" s="1"/>
  <c r="R18" i="7"/>
  <c r="R19" i="7"/>
  <c r="L24" i="7"/>
  <c r="U24" i="7" s="1"/>
  <c r="K25" i="7"/>
  <c r="T25" i="7" s="1"/>
  <c r="S30" i="7"/>
  <c r="M31" i="7"/>
  <c r="V31" i="7" s="1"/>
  <c r="R32" i="7"/>
  <c r="Q34" i="7"/>
  <c r="X34" i="7" s="1"/>
  <c r="O38" i="7"/>
  <c r="Z38" i="7" s="1"/>
  <c r="N40" i="7"/>
  <c r="W40" i="7" s="1"/>
  <c r="L44" i="7"/>
  <c r="U44" i="7" s="1"/>
  <c r="K46" i="7"/>
  <c r="T46" i="7" s="1"/>
  <c r="S54" i="7"/>
  <c r="M55" i="7"/>
  <c r="V55" i="7" s="1"/>
  <c r="S56" i="7"/>
  <c r="M57" i="7"/>
  <c r="V57" i="7" s="1"/>
  <c r="S58" i="7"/>
  <c r="M59" i="7"/>
  <c r="V59" i="7" s="1"/>
  <c r="S60" i="7"/>
  <c r="M61" i="7"/>
  <c r="V61" i="7" s="1"/>
  <c r="S62" i="7"/>
  <c r="M63" i="7"/>
  <c r="V63" i="7" s="1"/>
  <c r="S64" i="7"/>
  <c r="Y64" i="7" s="1"/>
  <c r="M65" i="7"/>
  <c r="V65" i="7" s="1"/>
  <c r="S66" i="7"/>
  <c r="S71" i="7"/>
  <c r="Y71" i="7" s="1"/>
  <c r="R73" i="7"/>
  <c r="R75" i="7"/>
  <c r="R77" i="7"/>
  <c r="Q80" i="7"/>
  <c r="X80" i="7" s="1"/>
  <c r="O95" i="7"/>
  <c r="Z95" i="7" s="1"/>
  <c r="O97" i="7"/>
  <c r="Z97" i="7" s="1"/>
  <c r="K105" i="7"/>
  <c r="T105" i="7" s="1"/>
  <c r="R113" i="7"/>
  <c r="R115" i="7"/>
  <c r="Q120" i="7"/>
  <c r="X120" i="7" s="1"/>
  <c r="O123" i="7"/>
  <c r="Z123" i="7" s="1"/>
  <c r="N126" i="7"/>
  <c r="W126" i="7" s="1"/>
  <c r="M128" i="7"/>
  <c r="V128" i="7" s="1"/>
  <c r="L129" i="7"/>
  <c r="U129" i="7" s="1"/>
  <c r="R134" i="7"/>
  <c r="Y134" i="7" s="1"/>
  <c r="S137" i="7"/>
  <c r="P141" i="7"/>
  <c r="AA141" i="7" s="1"/>
  <c r="M146" i="7"/>
  <c r="V146" i="7" s="1"/>
  <c r="AT275" i="17"/>
  <c r="AU275" i="17" s="1"/>
  <c r="AV275" i="17" s="1"/>
  <c r="L276" i="7"/>
  <c r="U276" i="7" s="1"/>
  <c r="AZ276" i="17"/>
  <c r="BA276" i="17" s="1"/>
  <c r="BB276" i="17" s="1"/>
  <c r="AT287" i="17"/>
  <c r="AU287" i="17" s="1"/>
  <c r="AV287" i="17" s="1"/>
  <c r="M315" i="7"/>
  <c r="V315" i="7" s="1"/>
  <c r="BF315" i="17"/>
  <c r="BG315" i="17" s="1"/>
  <c r="BH315" i="17" s="1"/>
  <c r="AT326" i="17"/>
  <c r="AU326" i="17" s="1"/>
  <c r="AV326" i="17" s="1"/>
  <c r="BX338" i="17"/>
  <c r="BY338" i="17" s="1"/>
  <c r="BZ338" i="17" s="1"/>
  <c r="BX339" i="17"/>
  <c r="BY339" i="17" s="1"/>
  <c r="BZ339" i="17" s="1"/>
  <c r="M359" i="7"/>
  <c r="V359" i="7" s="1"/>
  <c r="BF358" i="17"/>
  <c r="BG358" i="17" s="1"/>
  <c r="BH358" i="17" s="1"/>
  <c r="M358" i="7"/>
  <c r="V358" i="7" s="1"/>
  <c r="P345" i="7"/>
  <c r="AA345" i="7" s="1"/>
  <c r="BX345" i="17"/>
  <c r="BY345" i="17" s="1"/>
  <c r="BZ345" i="17" s="1"/>
  <c r="K3" i="7"/>
  <c r="T3" i="7" s="1"/>
  <c r="N10" i="7"/>
  <c r="W10" i="7" s="1"/>
  <c r="K14" i="7"/>
  <c r="T14" i="7" s="1"/>
  <c r="S19" i="7"/>
  <c r="O22" i="7"/>
  <c r="Z22" i="7" s="1"/>
  <c r="M24" i="7"/>
  <c r="V24" i="7" s="1"/>
  <c r="L25" i="7"/>
  <c r="U25" i="7" s="1"/>
  <c r="S32" i="7"/>
  <c r="Y32" i="7" s="1"/>
  <c r="R34" i="7"/>
  <c r="P38" i="7"/>
  <c r="AA38" i="7" s="1"/>
  <c r="O40" i="7"/>
  <c r="Z40" i="7" s="1"/>
  <c r="L46" i="7"/>
  <c r="U46" i="7" s="1"/>
  <c r="M48" i="7"/>
  <c r="V48" i="7" s="1"/>
  <c r="K48" i="7"/>
  <c r="T48" i="7" s="1"/>
  <c r="L49" i="7"/>
  <c r="U49" i="7" s="1"/>
  <c r="K51" i="7"/>
  <c r="T51" i="7" s="1"/>
  <c r="S73" i="7"/>
  <c r="R78" i="7"/>
  <c r="R80" i="7"/>
  <c r="R83" i="7"/>
  <c r="Q85" i="7"/>
  <c r="X85" i="7" s="1"/>
  <c r="R87" i="7"/>
  <c r="Q92" i="7"/>
  <c r="X92" i="7" s="1"/>
  <c r="O100" i="7"/>
  <c r="Z100" i="7" s="1"/>
  <c r="N103" i="7"/>
  <c r="W103" i="7" s="1"/>
  <c r="S113" i="7"/>
  <c r="Y113" i="7" s="1"/>
  <c r="S115" i="7"/>
  <c r="Y115" i="7" s="1"/>
  <c r="R120" i="7"/>
  <c r="Q123" i="7"/>
  <c r="X123" i="7" s="1"/>
  <c r="P123" i="7"/>
  <c r="AA123" i="7" s="1"/>
  <c r="O126" i="7"/>
  <c r="Z126" i="7" s="1"/>
  <c r="N128" i="7"/>
  <c r="W128" i="7" s="1"/>
  <c r="M129" i="7"/>
  <c r="V129" i="7" s="1"/>
  <c r="R141" i="7"/>
  <c r="P143" i="7"/>
  <c r="AA143" i="7" s="1"/>
  <c r="O144" i="7"/>
  <c r="Z144" i="7" s="1"/>
  <c r="M147" i="7"/>
  <c r="V147" i="7" s="1"/>
  <c r="L150" i="7"/>
  <c r="U150" i="7" s="1"/>
  <c r="M152" i="7"/>
  <c r="V152" i="7" s="1"/>
  <c r="P155" i="7"/>
  <c r="AA155" i="7" s="1"/>
  <c r="L172" i="7"/>
  <c r="U172" i="7" s="1"/>
  <c r="N188" i="7"/>
  <c r="W188" i="7" s="1"/>
  <c r="N189" i="7"/>
  <c r="W189" i="7" s="1"/>
  <c r="BR259" i="17"/>
  <c r="BS259" i="17" s="1"/>
  <c r="BT259" i="17" s="1"/>
  <c r="O259" i="7"/>
  <c r="Z259" i="7" s="1"/>
  <c r="K287" i="7"/>
  <c r="T287" i="7" s="1"/>
  <c r="AT286" i="17"/>
  <c r="AU286" i="17" s="1"/>
  <c r="AV286" i="17" s="1"/>
  <c r="BL313" i="17"/>
  <c r="BM313" i="17" s="1"/>
  <c r="BN313" i="17" s="1"/>
  <c r="N314" i="7"/>
  <c r="W314" i="7" s="1"/>
  <c r="BL314" i="17"/>
  <c r="BM314" i="17" s="1"/>
  <c r="BN314" i="17" s="1"/>
  <c r="K325" i="7"/>
  <c r="T325" i="7" s="1"/>
  <c r="AT325" i="17"/>
  <c r="AU325" i="17" s="1"/>
  <c r="AV325" i="17" s="1"/>
  <c r="BX337" i="17"/>
  <c r="BY337" i="17" s="1"/>
  <c r="BZ337" i="17" s="1"/>
  <c r="P337" i="7"/>
  <c r="AA337" i="7" s="1"/>
  <c r="M357" i="7"/>
  <c r="V357" i="7" s="1"/>
  <c r="BF357" i="17"/>
  <c r="BG357" i="17" s="1"/>
  <c r="BH357" i="17" s="1"/>
  <c r="L279" i="7"/>
  <c r="U279" i="7" s="1"/>
  <c r="AZ279" i="17"/>
  <c r="BA279" i="17" s="1"/>
  <c r="BB279" i="17" s="1"/>
  <c r="L5" i="7"/>
  <c r="U5" i="7" s="1"/>
  <c r="Q8" i="7"/>
  <c r="X8" i="7" s="1"/>
  <c r="N17" i="7"/>
  <c r="W17" i="7" s="1"/>
  <c r="R21" i="7"/>
  <c r="N24" i="7"/>
  <c r="W24" i="7" s="1"/>
  <c r="K27" i="7"/>
  <c r="T27" i="7" s="1"/>
  <c r="S34" i="7"/>
  <c r="Y34" i="7" s="1"/>
  <c r="R36" i="7"/>
  <c r="P40" i="7"/>
  <c r="AA40" i="7" s="1"/>
  <c r="O42" i="7"/>
  <c r="Z42" i="7" s="1"/>
  <c r="N44" i="7"/>
  <c r="W44" i="7" s="1"/>
  <c r="L48" i="7"/>
  <c r="U48" i="7" s="1"/>
  <c r="M50" i="7"/>
  <c r="V50" i="7" s="1"/>
  <c r="K50" i="7"/>
  <c r="T50" i="7" s="1"/>
  <c r="S80" i="7"/>
  <c r="S81" i="7"/>
  <c r="Y83" i="7"/>
  <c r="R92" i="7"/>
  <c r="R94" i="7"/>
  <c r="P99" i="7"/>
  <c r="AA99" i="7" s="1"/>
  <c r="K112" i="7"/>
  <c r="T112" i="7" s="1"/>
  <c r="P121" i="7"/>
  <c r="AA121" i="7" s="1"/>
  <c r="P125" i="7"/>
  <c r="AA125" i="7" s="1"/>
  <c r="P126" i="7"/>
  <c r="AA126" i="7" s="1"/>
  <c r="M131" i="7"/>
  <c r="V131" i="7" s="1"/>
  <c r="R137" i="7"/>
  <c r="S140" i="7"/>
  <c r="Y140" i="7" s="1"/>
  <c r="M150" i="7"/>
  <c r="V150" i="7" s="1"/>
  <c r="N152" i="7"/>
  <c r="W152" i="7" s="1"/>
  <c r="O251" i="7"/>
  <c r="Z251" i="7" s="1"/>
  <c r="BX257" i="17"/>
  <c r="BY257" i="17" s="1"/>
  <c r="BZ257" i="17" s="1"/>
  <c r="BX258" i="17"/>
  <c r="BY258" i="17" s="1"/>
  <c r="BZ258" i="17" s="1"/>
  <c r="L275" i="7"/>
  <c r="U275" i="7" s="1"/>
  <c r="AZ274" i="17"/>
  <c r="BA274" i="17" s="1"/>
  <c r="BB274" i="17" s="1"/>
  <c r="BF356" i="17"/>
  <c r="BG356" i="17" s="1"/>
  <c r="BH356" i="17" s="1"/>
  <c r="M3" i="7"/>
  <c r="V3" i="7" s="1"/>
  <c r="K4" i="7"/>
  <c r="T4" i="7" s="1"/>
  <c r="R8" i="7"/>
  <c r="P10" i="7"/>
  <c r="AA10" i="7" s="1"/>
  <c r="M12" i="7"/>
  <c r="V12" i="7" s="1"/>
  <c r="L13" i="7"/>
  <c r="U13" i="7" s="1"/>
  <c r="K16" i="7"/>
  <c r="T16" i="7" s="1"/>
  <c r="N25" i="7"/>
  <c r="W25" i="7" s="1"/>
  <c r="O26" i="7"/>
  <c r="Z26" i="7" s="1"/>
  <c r="L27" i="7"/>
  <c r="U27" i="7" s="1"/>
  <c r="K28" i="7"/>
  <c r="T28" i="7" s="1"/>
  <c r="L29" i="7"/>
  <c r="U29" i="7" s="1"/>
  <c r="K31" i="7"/>
  <c r="T31" i="7" s="1"/>
  <c r="M52" i="7"/>
  <c r="V52" i="7" s="1"/>
  <c r="L53" i="7"/>
  <c r="U53" i="7" s="1"/>
  <c r="K55" i="7"/>
  <c r="T55" i="7" s="1"/>
  <c r="K57" i="7"/>
  <c r="T57" i="7" s="1"/>
  <c r="K59" i="7"/>
  <c r="T59" i="7" s="1"/>
  <c r="K61" i="7"/>
  <c r="T61" i="7" s="1"/>
  <c r="K63" i="7"/>
  <c r="T63" i="7" s="1"/>
  <c r="K65" i="7"/>
  <c r="T65" i="7" s="1"/>
  <c r="K69" i="7"/>
  <c r="T69" i="7" s="1"/>
  <c r="S85" i="7"/>
  <c r="S90" i="7"/>
  <c r="S92" i="7"/>
  <c r="S93" i="7"/>
  <c r="S94" i="7"/>
  <c r="S96" i="7"/>
  <c r="Y96" i="7" s="1"/>
  <c r="Q99" i="7"/>
  <c r="X99" i="7" s="1"/>
  <c r="O102" i="7"/>
  <c r="Z102" i="7" s="1"/>
  <c r="P128" i="7"/>
  <c r="AA128" i="7" s="1"/>
  <c r="O129" i="7"/>
  <c r="Z129" i="7" s="1"/>
  <c r="N131" i="7"/>
  <c r="W131" i="7" s="1"/>
  <c r="M132" i="7"/>
  <c r="V132" i="7" s="1"/>
  <c r="L136" i="7"/>
  <c r="U136" i="7" s="1"/>
  <c r="R139" i="7"/>
  <c r="P146" i="7"/>
  <c r="AA146" i="7" s="1"/>
  <c r="O147" i="7"/>
  <c r="Z147" i="7" s="1"/>
  <c r="N150" i="7"/>
  <c r="W150" i="7" s="1"/>
  <c r="O152" i="7"/>
  <c r="Z152" i="7" s="1"/>
  <c r="Q154" i="7"/>
  <c r="X154" i="7" s="1"/>
  <c r="L170" i="7"/>
  <c r="U170" i="7" s="1"/>
  <c r="M171" i="7"/>
  <c r="V171" i="7" s="1"/>
  <c r="N173" i="7"/>
  <c r="W173" i="7" s="1"/>
  <c r="AZ273" i="17"/>
  <c r="BA273" i="17" s="1"/>
  <c r="BB273" i="17" s="1"/>
  <c r="K284" i="7"/>
  <c r="T284" i="7" s="1"/>
  <c r="AT284" i="17"/>
  <c r="AU284" i="17" s="1"/>
  <c r="AV284" i="17" s="1"/>
  <c r="AZ285" i="17"/>
  <c r="BA285" i="17" s="1"/>
  <c r="BB285" i="17" s="1"/>
  <c r="L285" i="7"/>
  <c r="U285" i="7" s="1"/>
  <c r="BR312" i="17"/>
  <c r="BS312" i="17" s="1"/>
  <c r="BT312" i="17" s="1"/>
  <c r="Q336" i="7"/>
  <c r="X336" i="7" s="1"/>
  <c r="M355" i="7"/>
  <c r="V355" i="7" s="1"/>
  <c r="BF355" i="17"/>
  <c r="BG355" i="17" s="1"/>
  <c r="BH355" i="17" s="1"/>
  <c r="BF280" i="17"/>
  <c r="BG280" i="17" s="1"/>
  <c r="BH280" i="17" s="1"/>
  <c r="M280" i="7"/>
  <c r="V280" i="7" s="1"/>
  <c r="BX346" i="17"/>
  <c r="BY346" i="17" s="1"/>
  <c r="BZ346" i="17" s="1"/>
  <c r="L4" i="7"/>
  <c r="U4" i="7" s="1"/>
  <c r="S8" i="7"/>
  <c r="M39" i="7"/>
  <c r="V39" i="7" s="1"/>
  <c r="L69" i="7"/>
  <c r="U69" i="7" s="1"/>
  <c r="K72" i="7"/>
  <c r="T72" i="7" s="1"/>
  <c r="Q103" i="7"/>
  <c r="X103" i="7" s="1"/>
  <c r="Y143" i="7"/>
  <c r="O150" i="7"/>
  <c r="Z150" i="7" s="1"/>
  <c r="P152" i="7"/>
  <c r="AA152" i="7" s="1"/>
  <c r="S161" i="7"/>
  <c r="N171" i="7"/>
  <c r="W171" i="7" s="1"/>
  <c r="P173" i="7"/>
  <c r="AA173" i="7" s="1"/>
  <c r="K181" i="7"/>
  <c r="T181" i="7" s="1"/>
  <c r="S217" i="7"/>
  <c r="AZ272" i="17"/>
  <c r="BA272" i="17" s="1"/>
  <c r="BB272" i="17" s="1"/>
  <c r="AT283" i="17"/>
  <c r="AU283" i="17" s="1"/>
  <c r="AV283" i="17" s="1"/>
  <c r="O311" i="7"/>
  <c r="Z311" i="7" s="1"/>
  <c r="BR311" i="17"/>
  <c r="BS311" i="17" s="1"/>
  <c r="BT311" i="17" s="1"/>
  <c r="K322" i="7"/>
  <c r="T322" i="7" s="1"/>
  <c r="AT322" i="17"/>
  <c r="AU322" i="17" s="1"/>
  <c r="AV322" i="17" s="1"/>
  <c r="BF354" i="17"/>
  <c r="BG354" i="17" s="1"/>
  <c r="BH354" i="17" s="1"/>
  <c r="M354" i="7"/>
  <c r="V354" i="7" s="1"/>
  <c r="M4" i="7"/>
  <c r="V4" i="7" s="1"/>
  <c r="K6" i="7"/>
  <c r="T6" i="7" s="1"/>
  <c r="R10" i="7"/>
  <c r="N13" i="7"/>
  <c r="W13" i="7" s="1"/>
  <c r="K19" i="7"/>
  <c r="T19" i="7" s="1"/>
  <c r="Y22" i="7"/>
  <c r="K23" i="7"/>
  <c r="T23" i="7" s="1"/>
  <c r="Y40" i="7"/>
  <c r="M41" i="7"/>
  <c r="V41" i="7" s="1"/>
  <c r="L56" i="7"/>
  <c r="U56" i="7" s="1"/>
  <c r="L58" i="7"/>
  <c r="U58" i="7" s="1"/>
  <c r="L60" i="7"/>
  <c r="U60" i="7" s="1"/>
  <c r="L62" i="7"/>
  <c r="U62" i="7" s="1"/>
  <c r="L64" i="7"/>
  <c r="U64" i="7" s="1"/>
  <c r="L66" i="7"/>
  <c r="U66" i="7" s="1"/>
  <c r="M68" i="7"/>
  <c r="V68" i="7" s="1"/>
  <c r="L72" i="7"/>
  <c r="U72" i="7" s="1"/>
  <c r="K74" i="7"/>
  <c r="T74" i="7" s="1"/>
  <c r="K77" i="7"/>
  <c r="T77" i="7" s="1"/>
  <c r="L96" i="7"/>
  <c r="U96" i="7" s="1"/>
  <c r="N98" i="7"/>
  <c r="W98" i="7" s="1"/>
  <c r="Y104" i="7"/>
  <c r="M118" i="7"/>
  <c r="V118" i="7" s="1"/>
  <c r="P150" i="7"/>
  <c r="AA150" i="7" s="1"/>
  <c r="P207" i="7"/>
  <c r="AA207" i="7" s="1"/>
  <c r="AZ271" i="17"/>
  <c r="BA271" i="17" s="1"/>
  <c r="BB271" i="17" s="1"/>
  <c r="L271" i="7"/>
  <c r="U271" i="7" s="1"/>
  <c r="BR310" i="17"/>
  <c r="BS310" i="17" s="1"/>
  <c r="BT310" i="17" s="1"/>
  <c r="K320" i="7"/>
  <c r="T320" i="7" s="1"/>
  <c r="AT320" i="17"/>
  <c r="AU320" i="17" s="1"/>
  <c r="AV320" i="17" s="1"/>
  <c r="N4" i="7"/>
  <c r="W4" i="7" s="1"/>
  <c r="O17" i="7"/>
  <c r="Z17" i="7" s="1"/>
  <c r="L18" i="7"/>
  <c r="U18" i="7" s="1"/>
  <c r="R24" i="7"/>
  <c r="N28" i="7"/>
  <c r="W28" i="7" s="1"/>
  <c r="L32" i="7"/>
  <c r="U32" i="7" s="1"/>
  <c r="M34" i="7"/>
  <c r="V34" i="7" s="1"/>
  <c r="K34" i="7"/>
  <c r="T34" i="7" s="1"/>
  <c r="L35" i="7"/>
  <c r="U35" i="7" s="1"/>
  <c r="K37" i="7"/>
  <c r="T37" i="7" s="1"/>
  <c r="N41" i="7"/>
  <c r="W41" i="7" s="1"/>
  <c r="S42" i="7"/>
  <c r="M43" i="7"/>
  <c r="V43" i="7" s="1"/>
  <c r="R44" i="7"/>
  <c r="Q46" i="7"/>
  <c r="X46" i="7" s="1"/>
  <c r="O50" i="7"/>
  <c r="Z50" i="7" s="1"/>
  <c r="N52" i="7"/>
  <c r="W52" i="7" s="1"/>
  <c r="N66" i="7"/>
  <c r="W66" i="7" s="1"/>
  <c r="M71" i="7"/>
  <c r="V71" i="7" s="1"/>
  <c r="L73" i="7"/>
  <c r="U73" i="7" s="1"/>
  <c r="L76" i="7"/>
  <c r="U76" i="7" s="1"/>
  <c r="K78" i="7"/>
  <c r="T78" i="7" s="1"/>
  <c r="K81" i="7"/>
  <c r="T81" i="7" s="1"/>
  <c r="K83" i="7"/>
  <c r="T83" i="7" s="1"/>
  <c r="K84" i="7"/>
  <c r="T84" i="7" s="1"/>
  <c r="K89" i="7"/>
  <c r="T89" i="7" s="1"/>
  <c r="Q101" i="7"/>
  <c r="X101" i="7" s="1"/>
  <c r="R103" i="7"/>
  <c r="P108" i="7"/>
  <c r="AA108" i="7" s="1"/>
  <c r="M112" i="7"/>
  <c r="V112" i="7" s="1"/>
  <c r="L114" i="7"/>
  <c r="U114" i="7" s="1"/>
  <c r="M116" i="7"/>
  <c r="V116" i="7" s="1"/>
  <c r="L121" i="7"/>
  <c r="U121" i="7" s="1"/>
  <c r="S128" i="7"/>
  <c r="P132" i="7"/>
  <c r="AA132" i="7" s="1"/>
  <c r="M137" i="7"/>
  <c r="V137" i="7" s="1"/>
  <c r="L138" i="7"/>
  <c r="U138" i="7" s="1"/>
  <c r="S146" i="7"/>
  <c r="Y146" i="7" s="1"/>
  <c r="R147" i="7"/>
  <c r="R151" i="7"/>
  <c r="R152" i="7"/>
  <c r="L168" i="7"/>
  <c r="U168" i="7" s="1"/>
  <c r="AZ282" i="17"/>
  <c r="BA282" i="17" s="1"/>
  <c r="BB282" i="17" s="1"/>
  <c r="BR309" i="17"/>
  <c r="BS309" i="17" s="1"/>
  <c r="BT309" i="17" s="1"/>
  <c r="N352" i="7"/>
  <c r="W352" i="7" s="1"/>
  <c r="BL352" i="17"/>
  <c r="BM352" i="17" s="1"/>
  <c r="BN352" i="17" s="1"/>
  <c r="N354" i="7"/>
  <c r="W354" i="7" s="1"/>
  <c r="BL353" i="17"/>
  <c r="BM353" i="17" s="1"/>
  <c r="BN353" i="17" s="1"/>
  <c r="N353" i="7"/>
  <c r="W353" i="7" s="1"/>
  <c r="AT362" i="17"/>
  <c r="AU362" i="17" s="1"/>
  <c r="AV362" i="17" s="1"/>
  <c r="L364" i="7"/>
  <c r="U364" i="7" s="1"/>
  <c r="AZ363" i="17"/>
  <c r="BA363" i="17" s="1"/>
  <c r="BB363" i="17" s="1"/>
  <c r="L363" i="7"/>
  <c r="U363" i="7" s="1"/>
  <c r="K375" i="7"/>
  <c r="T375" i="7" s="1"/>
  <c r="AT375" i="17"/>
  <c r="AU375" i="17" s="1"/>
  <c r="AV375" i="17" s="1"/>
  <c r="N81" i="7"/>
  <c r="W81" i="7" s="1"/>
  <c r="O4" i="7"/>
  <c r="Z4" i="7" s="1"/>
  <c r="O15" i="7"/>
  <c r="Z15" i="7" s="1"/>
  <c r="M18" i="7"/>
  <c r="V18" i="7" s="1"/>
  <c r="K21" i="7"/>
  <c r="T21" i="7" s="1"/>
  <c r="N30" i="7"/>
  <c r="W30" i="7" s="1"/>
  <c r="L34" i="7"/>
  <c r="U34" i="7" s="1"/>
  <c r="M36" i="7"/>
  <c r="V36" i="7" s="1"/>
  <c r="K36" i="7"/>
  <c r="T36" i="7" s="1"/>
  <c r="S44" i="7"/>
  <c r="M45" i="7"/>
  <c r="V45" i="7" s="1"/>
  <c r="R46" i="7"/>
  <c r="P50" i="7"/>
  <c r="AA50" i="7" s="1"/>
  <c r="O52" i="7"/>
  <c r="Z52" i="7" s="1"/>
  <c r="N54" i="7"/>
  <c r="W54" i="7" s="1"/>
  <c r="O68" i="7"/>
  <c r="Z68" i="7" s="1"/>
  <c r="O69" i="7"/>
  <c r="Z69" i="7" s="1"/>
  <c r="M74" i="7"/>
  <c r="V74" i="7" s="1"/>
  <c r="M76" i="7"/>
  <c r="V76" i="7" s="1"/>
  <c r="L79" i="7"/>
  <c r="U79" i="7" s="1"/>
  <c r="L81" i="7"/>
  <c r="U81" i="7" s="1"/>
  <c r="L84" i="7"/>
  <c r="U84" i="7" s="1"/>
  <c r="K86" i="7"/>
  <c r="T86" i="7" s="1"/>
  <c r="L88" i="7"/>
  <c r="U88" i="7" s="1"/>
  <c r="K93" i="7"/>
  <c r="T93" i="7" s="1"/>
  <c r="K99" i="7"/>
  <c r="T99" i="7" s="1"/>
  <c r="S102" i="7"/>
  <c r="R105" i="7"/>
  <c r="Q107" i="7"/>
  <c r="X107" i="7" s="1"/>
  <c r="P110" i="7"/>
  <c r="AA110" i="7" s="1"/>
  <c r="N112" i="7"/>
  <c r="W112" i="7" s="1"/>
  <c r="M114" i="7"/>
  <c r="V114" i="7" s="1"/>
  <c r="P130" i="7"/>
  <c r="AA130" i="7" s="1"/>
  <c r="P134" i="7"/>
  <c r="AA134" i="7" s="1"/>
  <c r="R145" i="7"/>
  <c r="P148" i="7"/>
  <c r="AA148" i="7" s="1"/>
  <c r="R149" i="7"/>
  <c r="R150" i="7"/>
  <c r="L179" i="7"/>
  <c r="U179" i="7" s="1"/>
  <c r="L180" i="7"/>
  <c r="U180" i="7" s="1"/>
  <c r="AT261" i="17"/>
  <c r="AU261" i="17" s="1"/>
  <c r="AV261" i="17" s="1"/>
  <c r="BF270" i="17"/>
  <c r="BG270" i="17" s="1"/>
  <c r="BH270" i="17" s="1"/>
  <c r="M270" i="7"/>
  <c r="V270" i="7" s="1"/>
  <c r="L281" i="7"/>
  <c r="U281" i="7" s="1"/>
  <c r="AZ281" i="17"/>
  <c r="BA281" i="17" s="1"/>
  <c r="BB281" i="17" s="1"/>
  <c r="BX308" i="17"/>
  <c r="BY308" i="17" s="1"/>
  <c r="BZ308" i="17" s="1"/>
  <c r="AZ319" i="17"/>
  <c r="BA319" i="17" s="1"/>
  <c r="BB319" i="17" s="1"/>
  <c r="O350" i="7"/>
  <c r="Z350" i="7" s="1"/>
  <c r="BR350" i="17"/>
  <c r="BS350" i="17" s="1"/>
  <c r="BT350" i="17" s="1"/>
  <c r="BX351" i="17"/>
  <c r="BY351" i="17" s="1"/>
  <c r="BZ351" i="17" s="1"/>
  <c r="AT361" i="17"/>
  <c r="AU361" i="17" s="1"/>
  <c r="AV361" i="17" s="1"/>
  <c r="P4" i="7"/>
  <c r="AA4" i="7" s="1"/>
  <c r="N19" i="7"/>
  <c r="W19" i="7" s="1"/>
  <c r="O20" i="7"/>
  <c r="Z20" i="7" s="1"/>
  <c r="L21" i="7"/>
  <c r="U21" i="7" s="1"/>
  <c r="S25" i="7"/>
  <c r="Y25" i="7" s="1"/>
  <c r="O31" i="7"/>
  <c r="Z31" i="7" s="1"/>
  <c r="M38" i="7"/>
  <c r="V38" i="7" s="1"/>
  <c r="L39" i="7"/>
  <c r="U39" i="7" s="1"/>
  <c r="K41" i="7"/>
  <c r="T41" i="7" s="1"/>
  <c r="N45" i="7"/>
  <c r="W45" i="7" s="1"/>
  <c r="S46" i="7"/>
  <c r="Y46" i="7" s="1"/>
  <c r="R48" i="7"/>
  <c r="P52" i="7"/>
  <c r="AA52" i="7" s="1"/>
  <c r="O54" i="7"/>
  <c r="Z54" i="7" s="1"/>
  <c r="O56" i="7"/>
  <c r="Z56" i="7" s="1"/>
  <c r="O58" i="7"/>
  <c r="Z58" i="7" s="1"/>
  <c r="O60" i="7"/>
  <c r="Z60" i="7" s="1"/>
  <c r="O62" i="7"/>
  <c r="Z62" i="7" s="1"/>
  <c r="O64" i="7"/>
  <c r="Z64" i="7" s="1"/>
  <c r="O66" i="7"/>
  <c r="Z66" i="7" s="1"/>
  <c r="P68" i="7"/>
  <c r="AA68" i="7" s="1"/>
  <c r="O71" i="7"/>
  <c r="Z71" i="7" s="1"/>
  <c r="N76" i="7"/>
  <c r="W76" i="7" s="1"/>
  <c r="M79" i="7"/>
  <c r="V79" i="7" s="1"/>
  <c r="M80" i="7"/>
  <c r="V80" i="7" s="1"/>
  <c r="M83" i="7"/>
  <c r="V83" i="7" s="1"/>
  <c r="L85" i="7"/>
  <c r="U85" i="7" s="1"/>
  <c r="M88" i="7"/>
  <c r="V88" i="7" s="1"/>
  <c r="L90" i="7"/>
  <c r="U90" i="7" s="1"/>
  <c r="L91" i="7"/>
  <c r="U91" i="7" s="1"/>
  <c r="L93" i="7"/>
  <c r="U93" i="7" s="1"/>
  <c r="K95" i="7"/>
  <c r="T95" i="7" s="1"/>
  <c r="K97" i="7"/>
  <c r="T97" i="7" s="1"/>
  <c r="L99" i="7"/>
  <c r="U99" i="7" s="1"/>
  <c r="K100" i="7"/>
  <c r="T100" i="7" s="1"/>
  <c r="Q104" i="7"/>
  <c r="X104" i="7" s="1"/>
  <c r="S105" i="7"/>
  <c r="R107" i="7"/>
  <c r="R108" i="7"/>
  <c r="Q112" i="7"/>
  <c r="X112" i="7" s="1"/>
  <c r="O112" i="7"/>
  <c r="Z112" i="7" s="1"/>
  <c r="O116" i="7"/>
  <c r="Z116" i="7" s="1"/>
  <c r="P117" i="7"/>
  <c r="AA117" i="7" s="1"/>
  <c r="P118" i="7"/>
  <c r="AA118" i="7" s="1"/>
  <c r="N121" i="7"/>
  <c r="W121" i="7" s="1"/>
  <c r="L124" i="7"/>
  <c r="U124" i="7" s="1"/>
  <c r="R128" i="7"/>
  <c r="S131" i="7"/>
  <c r="Y131" i="7" s="1"/>
  <c r="P135" i="7"/>
  <c r="AA135" i="7" s="1"/>
  <c r="N138" i="7"/>
  <c r="W138" i="7" s="1"/>
  <c r="M140" i="7"/>
  <c r="V140" i="7" s="1"/>
  <c r="L141" i="7"/>
  <c r="U141" i="7" s="1"/>
  <c r="S149" i="7"/>
  <c r="K160" i="7"/>
  <c r="T160" i="7" s="1"/>
  <c r="K164" i="7"/>
  <c r="T164" i="7" s="1"/>
  <c r="M166" i="7"/>
  <c r="V166" i="7" s="1"/>
  <c r="N167" i="7"/>
  <c r="W167" i="7" s="1"/>
  <c r="O168" i="7"/>
  <c r="Z168" i="7" s="1"/>
  <c r="K176" i="7"/>
  <c r="T176" i="7" s="1"/>
  <c r="L178" i="7"/>
  <c r="U178" i="7" s="1"/>
  <c r="O181" i="7"/>
  <c r="Z181" i="7" s="1"/>
  <c r="M269" i="7"/>
  <c r="V269" i="7" s="1"/>
  <c r="BF269" i="17"/>
  <c r="BG269" i="17" s="1"/>
  <c r="BH269" i="17" s="1"/>
  <c r="AT291" i="17"/>
  <c r="AU291" i="17" s="1"/>
  <c r="AV291" i="17" s="1"/>
  <c r="K291" i="7"/>
  <c r="T291" i="7" s="1"/>
  <c r="Q307" i="7"/>
  <c r="X307" i="7" s="1"/>
  <c r="AZ318" i="17"/>
  <c r="BA318" i="17" s="1"/>
  <c r="BB318" i="17" s="1"/>
  <c r="Q348" i="7"/>
  <c r="X348" i="7" s="1"/>
  <c r="P349" i="7"/>
  <c r="AA349" i="7" s="1"/>
  <c r="BX349" i="17"/>
  <c r="BY349" i="17" s="1"/>
  <c r="BZ349" i="17" s="1"/>
  <c r="AT360" i="17"/>
  <c r="AU360" i="17" s="1"/>
  <c r="AV360" i="17" s="1"/>
  <c r="K184" i="7"/>
  <c r="T184" i="7" s="1"/>
  <c r="L186" i="7"/>
  <c r="U186" i="7" s="1"/>
  <c r="M188" i="7"/>
  <c r="V188" i="7" s="1"/>
  <c r="N196" i="7"/>
  <c r="W196" i="7" s="1"/>
  <c r="L197" i="7"/>
  <c r="U197" i="7" s="1"/>
  <c r="Q200" i="7"/>
  <c r="X200" i="7" s="1"/>
  <c r="P204" i="7"/>
  <c r="AA204" i="7" s="1"/>
  <c r="O207" i="7"/>
  <c r="Z207" i="7" s="1"/>
  <c r="R216" i="7"/>
  <c r="M223" i="7"/>
  <c r="V223" i="7" s="1"/>
  <c r="R239" i="7"/>
  <c r="M247" i="7"/>
  <c r="V247" i="7" s="1"/>
  <c r="M248" i="7"/>
  <c r="V248" i="7" s="1"/>
  <c r="N250" i="7"/>
  <c r="W250" i="7" s="1"/>
  <c r="O257" i="7"/>
  <c r="Z257" i="7" s="1"/>
  <c r="BR257" i="17"/>
  <c r="BS257" i="17" s="1"/>
  <c r="BT257" i="17" s="1"/>
  <c r="BR258" i="17"/>
  <c r="BS258" i="17" s="1"/>
  <c r="BT258" i="17" s="1"/>
  <c r="N259" i="7"/>
  <c r="W259" i="7" s="1"/>
  <c r="BL259" i="17"/>
  <c r="BM259" i="17" s="1"/>
  <c r="BN259" i="17" s="1"/>
  <c r="AZ260" i="17"/>
  <c r="BA260" i="17" s="1"/>
  <c r="BB260" i="17" s="1"/>
  <c r="N267" i="7"/>
  <c r="W267" i="7" s="1"/>
  <c r="BL267" i="17"/>
  <c r="BM267" i="17" s="1"/>
  <c r="BN267" i="17" s="1"/>
  <c r="BL268" i="17"/>
  <c r="BM268" i="17" s="1"/>
  <c r="BN268" i="17" s="1"/>
  <c r="AZ269" i="17"/>
  <c r="BA269" i="17" s="1"/>
  <c r="BB269" i="17" s="1"/>
  <c r="AZ270" i="17"/>
  <c r="BA270" i="17" s="1"/>
  <c r="BB270" i="17" s="1"/>
  <c r="AT271" i="17"/>
  <c r="AU271" i="17" s="1"/>
  <c r="AV271" i="17" s="1"/>
  <c r="K272" i="7"/>
  <c r="T272" i="7" s="1"/>
  <c r="AT272" i="17"/>
  <c r="AU272" i="17" s="1"/>
  <c r="AV272" i="17" s="1"/>
  <c r="AT273" i="17"/>
  <c r="AU273" i="17" s="1"/>
  <c r="AV273" i="17" s="1"/>
  <c r="AT274" i="17"/>
  <c r="AU274" i="17" s="1"/>
  <c r="AV274" i="17" s="1"/>
  <c r="AT276" i="17"/>
  <c r="AU276" i="17" s="1"/>
  <c r="AV276" i="17" s="1"/>
  <c r="K278" i="7"/>
  <c r="T278" i="7" s="1"/>
  <c r="AT277" i="17"/>
  <c r="AU277" i="17" s="1"/>
  <c r="AV277" i="17" s="1"/>
  <c r="AZ278" i="17"/>
  <c r="BA278" i="17" s="1"/>
  <c r="BB278" i="17" s="1"/>
  <c r="AT279" i="17"/>
  <c r="AU279" i="17" s="1"/>
  <c r="AV279" i="17" s="1"/>
  <c r="AZ280" i="17"/>
  <c r="BA280" i="17" s="1"/>
  <c r="BB280" i="17" s="1"/>
  <c r="AT281" i="17"/>
  <c r="AU281" i="17" s="1"/>
  <c r="AV281" i="17" s="1"/>
  <c r="K282" i="7"/>
  <c r="T282" i="7" s="1"/>
  <c r="AT282" i="17"/>
  <c r="AU282" i="17" s="1"/>
  <c r="AV282" i="17" s="1"/>
  <c r="AT285" i="17"/>
  <c r="AU285" i="17" s="1"/>
  <c r="AV285" i="17" s="1"/>
  <c r="P304" i="7"/>
  <c r="AA304" i="7" s="1"/>
  <c r="BX303" i="17"/>
  <c r="BY303" i="17" s="1"/>
  <c r="BZ303" i="17" s="1"/>
  <c r="P305" i="7"/>
  <c r="AA305" i="7" s="1"/>
  <c r="BX304" i="17"/>
  <c r="BY304" i="17" s="1"/>
  <c r="BZ304" i="17" s="1"/>
  <c r="BX305" i="17"/>
  <c r="BY305" i="17" s="1"/>
  <c r="BZ305" i="17" s="1"/>
  <c r="BX306" i="17"/>
  <c r="BY306" i="17" s="1"/>
  <c r="BZ306" i="17" s="1"/>
  <c r="P308" i="7"/>
  <c r="AA308" i="7" s="1"/>
  <c r="BX307" i="17"/>
  <c r="BY307" i="17" s="1"/>
  <c r="BZ307" i="17" s="1"/>
  <c r="BR308" i="17"/>
  <c r="BS308" i="17" s="1"/>
  <c r="BT308" i="17" s="1"/>
  <c r="BL309" i="17"/>
  <c r="BM309" i="17" s="1"/>
  <c r="BN309" i="17" s="1"/>
  <c r="BL310" i="17"/>
  <c r="BM310" i="17" s="1"/>
  <c r="BN310" i="17" s="1"/>
  <c r="N311" i="7"/>
  <c r="W311" i="7" s="1"/>
  <c r="BL311" i="17"/>
  <c r="BM311" i="17" s="1"/>
  <c r="BN311" i="17" s="1"/>
  <c r="N313" i="7"/>
  <c r="W313" i="7" s="1"/>
  <c r="BL312" i="17"/>
  <c r="BM312" i="17" s="1"/>
  <c r="BN312" i="17" s="1"/>
  <c r="M313" i="7"/>
  <c r="V313" i="7" s="1"/>
  <c r="BF313" i="17"/>
  <c r="BG313" i="17" s="1"/>
  <c r="BH313" i="17" s="1"/>
  <c r="BF314" i="17"/>
  <c r="BG314" i="17" s="1"/>
  <c r="BH314" i="17" s="1"/>
  <c r="AZ315" i="17"/>
  <c r="BA315" i="17" s="1"/>
  <c r="BB315" i="17" s="1"/>
  <c r="AZ316" i="17"/>
  <c r="BA316" i="17" s="1"/>
  <c r="BB316" i="17" s="1"/>
  <c r="L317" i="7"/>
  <c r="U317" i="7" s="1"/>
  <c r="AZ317" i="17"/>
  <c r="BA317" i="17" s="1"/>
  <c r="BB317" i="17" s="1"/>
  <c r="AT318" i="17"/>
  <c r="AU318" i="17" s="1"/>
  <c r="AV318" i="17" s="1"/>
  <c r="K319" i="7"/>
  <c r="T319" i="7" s="1"/>
  <c r="AT319" i="17"/>
  <c r="AU319" i="17" s="1"/>
  <c r="AV319" i="17" s="1"/>
  <c r="BX335" i="17"/>
  <c r="BY335" i="17" s="1"/>
  <c r="BZ335" i="17" s="1"/>
  <c r="P336" i="7"/>
  <c r="AA336" i="7" s="1"/>
  <c r="BX336" i="17"/>
  <c r="BY336" i="17" s="1"/>
  <c r="BZ336" i="17" s="1"/>
  <c r="BR337" i="17"/>
  <c r="BS337" i="17" s="1"/>
  <c r="BT337" i="17" s="1"/>
  <c r="O338" i="7"/>
  <c r="Z338" i="7" s="1"/>
  <c r="BR338" i="17"/>
  <c r="BS338" i="17" s="1"/>
  <c r="BT338" i="17" s="1"/>
  <c r="BR339" i="17"/>
  <c r="BS339" i="17" s="1"/>
  <c r="BT339" i="17" s="1"/>
  <c r="BL340" i="17"/>
  <c r="BM340" i="17" s="1"/>
  <c r="BN340" i="17" s="1"/>
  <c r="BR341" i="17"/>
  <c r="BS341" i="17" s="1"/>
  <c r="BT341" i="17" s="1"/>
  <c r="N342" i="7"/>
  <c r="W342" i="7" s="1"/>
  <c r="BL342" i="17"/>
  <c r="BM342" i="17" s="1"/>
  <c r="BN342" i="17" s="1"/>
  <c r="BR343" i="17"/>
  <c r="BS343" i="17" s="1"/>
  <c r="BT343" i="17" s="1"/>
  <c r="BR344" i="17"/>
  <c r="BS344" i="17" s="1"/>
  <c r="BT344" i="17" s="1"/>
  <c r="O345" i="7"/>
  <c r="Z345" i="7" s="1"/>
  <c r="BR345" i="17"/>
  <c r="BS345" i="17" s="1"/>
  <c r="BT345" i="17" s="1"/>
  <c r="BR346" i="17"/>
  <c r="BS346" i="17" s="1"/>
  <c r="BT346" i="17" s="1"/>
  <c r="BX347" i="17"/>
  <c r="BY347" i="17" s="1"/>
  <c r="BZ347" i="17" s="1"/>
  <c r="BX348" i="17"/>
  <c r="BY348" i="17" s="1"/>
  <c r="BZ348" i="17" s="1"/>
  <c r="BR349" i="17"/>
  <c r="BS349" i="17" s="1"/>
  <c r="BT349" i="17" s="1"/>
  <c r="N350" i="7"/>
  <c r="W350" i="7" s="1"/>
  <c r="BL350" i="17"/>
  <c r="BM350" i="17" s="1"/>
  <c r="BN350" i="17" s="1"/>
  <c r="BR351" i="17"/>
  <c r="BS351" i="17" s="1"/>
  <c r="BT351" i="17" s="1"/>
  <c r="BF352" i="17"/>
  <c r="BG352" i="17" s="1"/>
  <c r="BH352" i="17" s="1"/>
  <c r="M353" i="7"/>
  <c r="V353" i="7" s="1"/>
  <c r="BF353" i="17"/>
  <c r="BG353" i="17" s="1"/>
  <c r="BH353" i="17" s="1"/>
  <c r="AZ354" i="17"/>
  <c r="BA354" i="17" s="1"/>
  <c r="BB354" i="17" s="1"/>
  <c r="L355" i="7"/>
  <c r="U355" i="7" s="1"/>
  <c r="AZ355" i="17"/>
  <c r="BA355" i="17" s="1"/>
  <c r="BB355" i="17" s="1"/>
  <c r="AZ356" i="17"/>
  <c r="BA356" i="17" s="1"/>
  <c r="BB356" i="17" s="1"/>
  <c r="AZ357" i="17"/>
  <c r="BA357" i="17" s="1"/>
  <c r="BB357" i="17" s="1"/>
  <c r="L358" i="7"/>
  <c r="U358" i="7" s="1"/>
  <c r="AZ358" i="17"/>
  <c r="BA358" i="17" s="1"/>
  <c r="BB358" i="17" s="1"/>
  <c r="AT359" i="17"/>
  <c r="AU359" i="17" s="1"/>
  <c r="AV359" i="17" s="1"/>
  <c r="AT363" i="17"/>
  <c r="AU363" i="17" s="1"/>
  <c r="AV363" i="17" s="1"/>
  <c r="S380" i="7"/>
  <c r="Q386" i="7"/>
  <c r="X386" i="7" s="1"/>
  <c r="P388" i="7"/>
  <c r="AA388" i="7" s="1"/>
  <c r="BX388" i="17"/>
  <c r="BY388" i="17" s="1"/>
  <c r="BZ388" i="17" s="1"/>
  <c r="BX389" i="17"/>
  <c r="BY389" i="17" s="1"/>
  <c r="BZ389" i="17" s="1"/>
  <c r="BR390" i="17"/>
  <c r="BS390" i="17" s="1"/>
  <c r="BT390" i="17" s="1"/>
  <c r="O391" i="7"/>
  <c r="Z391" i="7" s="1"/>
  <c r="BR391" i="17"/>
  <c r="BS391" i="17" s="1"/>
  <c r="BT391" i="17" s="1"/>
  <c r="O393" i="7"/>
  <c r="Z393" i="7" s="1"/>
  <c r="BR392" i="17"/>
  <c r="BS392" i="17" s="1"/>
  <c r="BT392" i="17" s="1"/>
  <c r="BF393" i="17"/>
  <c r="BG393" i="17" s="1"/>
  <c r="BH393" i="17" s="1"/>
  <c r="BL394" i="17"/>
  <c r="BM394" i="17" s="1"/>
  <c r="BN394" i="17" s="1"/>
  <c r="L395" i="7"/>
  <c r="U395" i="7" s="1"/>
  <c r="AZ395" i="17"/>
  <c r="BA395" i="17" s="1"/>
  <c r="BB395" i="17" s="1"/>
  <c r="BF396" i="17"/>
  <c r="BG396" i="17" s="1"/>
  <c r="BH396" i="17" s="1"/>
  <c r="AT397" i="17"/>
  <c r="AU397" i="17" s="1"/>
  <c r="AV397" i="17" s="1"/>
  <c r="BX406" i="17"/>
  <c r="BY406" i="17" s="1"/>
  <c r="BZ406" i="17" s="1"/>
  <c r="O407" i="7"/>
  <c r="Z407" i="7" s="1"/>
  <c r="BR407" i="17"/>
  <c r="BS407" i="17" s="1"/>
  <c r="BT407" i="17" s="1"/>
  <c r="BF408" i="17"/>
  <c r="BG408" i="17" s="1"/>
  <c r="BH408" i="17" s="1"/>
  <c r="L409" i="7"/>
  <c r="U409" i="7" s="1"/>
  <c r="AZ409" i="17"/>
  <c r="BA409" i="17" s="1"/>
  <c r="BB409" i="17" s="1"/>
  <c r="AZ410" i="17"/>
  <c r="BA410" i="17" s="1"/>
  <c r="BB410" i="17" s="1"/>
  <c r="BF411" i="17"/>
  <c r="BG411" i="17" s="1"/>
  <c r="BH411" i="17" s="1"/>
  <c r="AZ412" i="17"/>
  <c r="BA412" i="17" s="1"/>
  <c r="BB412" i="17" s="1"/>
  <c r="M413" i="7"/>
  <c r="V413" i="7" s="1"/>
  <c r="BF413" i="17"/>
  <c r="BG413" i="17" s="1"/>
  <c r="BH413" i="17" s="1"/>
  <c r="AZ414" i="17"/>
  <c r="BA414" i="17" s="1"/>
  <c r="BB414" i="17" s="1"/>
  <c r="AZ415" i="17"/>
  <c r="BA415" i="17" s="1"/>
  <c r="BB415" i="17" s="1"/>
  <c r="BF416" i="17"/>
  <c r="BG416" i="17" s="1"/>
  <c r="BH416" i="17" s="1"/>
  <c r="N418" i="7"/>
  <c r="W418" i="7" s="1"/>
  <c r="BL417" i="17"/>
  <c r="BM417" i="17" s="1"/>
  <c r="BN417" i="17" s="1"/>
  <c r="BF418" i="17"/>
  <c r="BG418" i="17" s="1"/>
  <c r="BH418" i="17" s="1"/>
  <c r="L419" i="7"/>
  <c r="U419" i="7" s="1"/>
  <c r="AZ419" i="17"/>
  <c r="BA419" i="17" s="1"/>
  <c r="BB419" i="17" s="1"/>
  <c r="BF420" i="17"/>
  <c r="BG420" i="17" s="1"/>
  <c r="BH420" i="17" s="1"/>
  <c r="N421" i="7"/>
  <c r="W421" i="7" s="1"/>
  <c r="BL421" i="17"/>
  <c r="BM421" i="17" s="1"/>
  <c r="BN421" i="17" s="1"/>
  <c r="BL422" i="17"/>
  <c r="BM422" i="17" s="1"/>
  <c r="BN422" i="17" s="1"/>
  <c r="AZ423" i="17"/>
  <c r="BA423" i="17" s="1"/>
  <c r="BB423" i="17" s="1"/>
  <c r="L424" i="7"/>
  <c r="U424" i="7" s="1"/>
  <c r="AZ424" i="17"/>
  <c r="BA424" i="17" s="1"/>
  <c r="BB424" i="17" s="1"/>
  <c r="S429" i="7"/>
  <c r="S434" i="7"/>
  <c r="O436" i="7"/>
  <c r="Z436" i="7" s="1"/>
  <c r="BR436" i="17"/>
  <c r="BS436" i="17" s="1"/>
  <c r="BT436" i="17" s="1"/>
  <c r="BR437" i="17"/>
  <c r="BS437" i="17" s="1"/>
  <c r="BT437" i="17" s="1"/>
  <c r="BL438" i="17"/>
  <c r="BM438" i="17" s="1"/>
  <c r="BN438" i="17" s="1"/>
  <c r="BL439" i="17"/>
  <c r="BM439" i="17" s="1"/>
  <c r="BN439" i="17" s="1"/>
  <c r="BF440" i="17"/>
  <c r="BG440" i="17" s="1"/>
  <c r="BH440" i="17" s="1"/>
  <c r="AT441" i="17"/>
  <c r="AU441" i="17" s="1"/>
  <c r="AV441" i="17" s="1"/>
  <c r="AZ442" i="17"/>
  <c r="BA442" i="17" s="1"/>
  <c r="BB442" i="17" s="1"/>
  <c r="BF443" i="17"/>
  <c r="BG443" i="17" s="1"/>
  <c r="BH443" i="17" s="1"/>
  <c r="AZ444" i="17"/>
  <c r="BA444" i="17" s="1"/>
  <c r="BB444" i="17" s="1"/>
  <c r="AZ445" i="17"/>
  <c r="BA445" i="17" s="1"/>
  <c r="BB445" i="17" s="1"/>
  <c r="L446" i="7"/>
  <c r="U446" i="7" s="1"/>
  <c r="AZ446" i="17"/>
  <c r="BA446" i="17" s="1"/>
  <c r="BB446" i="17" s="1"/>
  <c r="BF447" i="17"/>
  <c r="BG447" i="17" s="1"/>
  <c r="BH447" i="17" s="1"/>
  <c r="L448" i="7"/>
  <c r="U448" i="7" s="1"/>
  <c r="AZ448" i="17"/>
  <c r="BA448" i="17" s="1"/>
  <c r="BB448" i="17" s="1"/>
  <c r="BF449" i="17"/>
  <c r="BG449" i="17" s="1"/>
  <c r="BH449" i="17" s="1"/>
  <c r="AT450" i="17"/>
  <c r="AU450" i="17" s="1"/>
  <c r="AV450" i="17" s="1"/>
  <c r="S453" i="7"/>
  <c r="BX457" i="17"/>
  <c r="BY457" i="17" s="1"/>
  <c r="BZ457" i="17" s="1"/>
  <c r="O458" i="7"/>
  <c r="Z458" i="7" s="1"/>
  <c r="BR458" i="17"/>
  <c r="BS458" i="17" s="1"/>
  <c r="BT458" i="17" s="1"/>
  <c r="BR459" i="17"/>
  <c r="BS459" i="17" s="1"/>
  <c r="BT459" i="17" s="1"/>
  <c r="L461" i="7"/>
  <c r="U461" i="7" s="1"/>
  <c r="AZ460" i="17"/>
  <c r="BA460" i="17" s="1"/>
  <c r="BB460" i="17" s="1"/>
  <c r="BR464" i="17"/>
  <c r="BS464" i="17" s="1"/>
  <c r="BT464" i="17" s="1"/>
  <c r="BL465" i="17"/>
  <c r="BM465" i="17" s="1"/>
  <c r="BN465" i="17" s="1"/>
  <c r="M466" i="7"/>
  <c r="V466" i="7" s="1"/>
  <c r="BF466" i="17"/>
  <c r="BG466" i="17" s="1"/>
  <c r="BH466" i="17" s="1"/>
  <c r="AT467" i="17"/>
  <c r="AU467" i="17" s="1"/>
  <c r="AV467" i="17" s="1"/>
  <c r="AT468" i="17"/>
  <c r="AU468" i="17" s="1"/>
  <c r="AV468" i="17" s="1"/>
  <c r="AT475" i="17"/>
  <c r="AU475" i="17" s="1"/>
  <c r="AV475" i="17" s="1"/>
  <c r="AZ476" i="17"/>
  <c r="BA476" i="17" s="1"/>
  <c r="BB476" i="17" s="1"/>
  <c r="K491" i="7"/>
  <c r="T491" i="7" s="1"/>
  <c r="AT490" i="17"/>
  <c r="AU490" i="17" s="1"/>
  <c r="AV490" i="17" s="1"/>
  <c r="K490" i="7"/>
  <c r="T490" i="7" s="1"/>
  <c r="AT511" i="17"/>
  <c r="AU511" i="17" s="1"/>
  <c r="AV511" i="17" s="1"/>
  <c r="AZ512" i="17"/>
  <c r="BA512" i="17" s="1"/>
  <c r="BB512" i="17" s="1"/>
  <c r="L512" i="7"/>
  <c r="U512" i="7" s="1"/>
  <c r="O522" i="7"/>
  <c r="Z522" i="7" s="1"/>
  <c r="BR522" i="17"/>
  <c r="BS522" i="17" s="1"/>
  <c r="BT522" i="17" s="1"/>
  <c r="P547" i="7"/>
  <c r="AA547" i="7" s="1"/>
  <c r="BX547" i="17"/>
  <c r="BY547" i="17" s="1"/>
  <c r="BZ547" i="17" s="1"/>
  <c r="P573" i="7"/>
  <c r="AA573" i="7" s="1"/>
  <c r="BX573" i="17"/>
  <c r="BY573" i="17" s="1"/>
  <c r="BZ573" i="17" s="1"/>
  <c r="P574" i="7"/>
  <c r="AA574" i="7" s="1"/>
  <c r="K614" i="7"/>
  <c r="T614" i="7" s="1"/>
  <c r="AT614" i="17"/>
  <c r="AU614" i="17" s="1"/>
  <c r="AV614" i="17" s="1"/>
  <c r="AZ624" i="17"/>
  <c r="BA624" i="17" s="1"/>
  <c r="BB624" i="17" s="1"/>
  <c r="L624" i="7"/>
  <c r="U624" i="7" s="1"/>
  <c r="AZ684" i="17"/>
  <c r="BA684" i="17" s="1"/>
  <c r="BB684" i="17" s="1"/>
  <c r="L684" i="7"/>
  <c r="U684" i="7" s="1"/>
  <c r="BX390" i="17"/>
  <c r="BY390" i="17" s="1"/>
  <c r="BZ390" i="17" s="1"/>
  <c r="P391" i="7"/>
  <c r="AA391" i="7" s="1"/>
  <c r="BX391" i="17"/>
  <c r="BY391" i="17" s="1"/>
  <c r="BZ391" i="17" s="1"/>
  <c r="BX392" i="17"/>
  <c r="BY392" i="17" s="1"/>
  <c r="BZ392" i="17" s="1"/>
  <c r="BL393" i="17"/>
  <c r="BM393" i="17" s="1"/>
  <c r="BN393" i="17" s="1"/>
  <c r="BR394" i="17"/>
  <c r="BS394" i="17" s="1"/>
  <c r="BT394" i="17" s="1"/>
  <c r="BF395" i="17"/>
  <c r="BG395" i="17" s="1"/>
  <c r="BH395" i="17" s="1"/>
  <c r="N397" i="7"/>
  <c r="W397" i="7" s="1"/>
  <c r="BL396" i="17"/>
  <c r="BM396" i="17" s="1"/>
  <c r="BN396" i="17" s="1"/>
  <c r="AZ397" i="17"/>
  <c r="BA397" i="17" s="1"/>
  <c r="BB397" i="17" s="1"/>
  <c r="K398" i="7"/>
  <c r="T398" i="7" s="1"/>
  <c r="AT398" i="17"/>
  <c r="AU398" i="17" s="1"/>
  <c r="AV398" i="17" s="1"/>
  <c r="S404" i="7"/>
  <c r="BX407" i="17"/>
  <c r="BY407" i="17" s="1"/>
  <c r="BZ407" i="17" s="1"/>
  <c r="BL408" i="17"/>
  <c r="BM408" i="17" s="1"/>
  <c r="BN408" i="17" s="1"/>
  <c r="BF409" i="17"/>
  <c r="BG409" i="17" s="1"/>
  <c r="BH409" i="17" s="1"/>
  <c r="M410" i="7"/>
  <c r="V410" i="7" s="1"/>
  <c r="BF410" i="17"/>
  <c r="BG410" i="17" s="1"/>
  <c r="BH410" i="17" s="1"/>
  <c r="N411" i="7"/>
  <c r="W411" i="7" s="1"/>
  <c r="BL411" i="17"/>
  <c r="BM411" i="17" s="1"/>
  <c r="BN411" i="17" s="1"/>
  <c r="BF412" i="17"/>
  <c r="BG412" i="17" s="1"/>
  <c r="BH412" i="17" s="1"/>
  <c r="BL413" i="17"/>
  <c r="BM413" i="17" s="1"/>
  <c r="BN413" i="17" s="1"/>
  <c r="BF414" i="17"/>
  <c r="BG414" i="17" s="1"/>
  <c r="BH414" i="17" s="1"/>
  <c r="BF415" i="17"/>
  <c r="BG415" i="17" s="1"/>
  <c r="BH415" i="17" s="1"/>
  <c r="BL416" i="17"/>
  <c r="BM416" i="17" s="1"/>
  <c r="BN416" i="17" s="1"/>
  <c r="O417" i="7"/>
  <c r="Z417" i="7" s="1"/>
  <c r="BR417" i="17"/>
  <c r="BS417" i="17" s="1"/>
  <c r="BT417" i="17" s="1"/>
  <c r="BL418" i="17"/>
  <c r="BM418" i="17" s="1"/>
  <c r="BN418" i="17" s="1"/>
  <c r="BF419" i="17"/>
  <c r="BG419" i="17" s="1"/>
  <c r="BH419" i="17" s="1"/>
  <c r="BL420" i="17"/>
  <c r="BM420" i="17" s="1"/>
  <c r="BN420" i="17" s="1"/>
  <c r="O421" i="7"/>
  <c r="Z421" i="7" s="1"/>
  <c r="BR421" i="17"/>
  <c r="BS421" i="17" s="1"/>
  <c r="BT421" i="17" s="1"/>
  <c r="BR422" i="17"/>
  <c r="BS422" i="17" s="1"/>
  <c r="BT422" i="17" s="1"/>
  <c r="M423" i="7"/>
  <c r="V423" i="7" s="1"/>
  <c r="BF423" i="17"/>
  <c r="BG423" i="17" s="1"/>
  <c r="BH423" i="17" s="1"/>
  <c r="M424" i="7"/>
  <c r="V424" i="7" s="1"/>
  <c r="BF424" i="17"/>
  <c r="BG424" i="17" s="1"/>
  <c r="BH424" i="17" s="1"/>
  <c r="P436" i="7"/>
  <c r="AA436" i="7" s="1"/>
  <c r="BX436" i="17"/>
  <c r="BY436" i="17" s="1"/>
  <c r="BZ436" i="17" s="1"/>
  <c r="BX437" i="17"/>
  <c r="BY437" i="17" s="1"/>
  <c r="BZ437" i="17" s="1"/>
  <c r="O438" i="7"/>
  <c r="Z438" i="7" s="1"/>
  <c r="BR438" i="17"/>
  <c r="BS438" i="17" s="1"/>
  <c r="BT438" i="17" s="1"/>
  <c r="BR439" i="17"/>
  <c r="BS439" i="17" s="1"/>
  <c r="BT439" i="17" s="1"/>
  <c r="BL440" i="17"/>
  <c r="BM440" i="17" s="1"/>
  <c r="BN440" i="17" s="1"/>
  <c r="L442" i="7"/>
  <c r="U442" i="7" s="1"/>
  <c r="AZ441" i="17"/>
  <c r="BA441" i="17" s="1"/>
  <c r="BB441" i="17" s="1"/>
  <c r="BF442" i="17"/>
  <c r="BG442" i="17" s="1"/>
  <c r="BH442" i="17" s="1"/>
  <c r="BL443" i="17"/>
  <c r="BM443" i="17" s="1"/>
  <c r="BN443" i="17" s="1"/>
  <c r="BF444" i="17"/>
  <c r="BG444" i="17" s="1"/>
  <c r="BH444" i="17" s="1"/>
  <c r="BF445" i="17"/>
  <c r="BG445" i="17" s="1"/>
  <c r="BH445" i="17" s="1"/>
  <c r="BF446" i="17"/>
  <c r="BG446" i="17" s="1"/>
  <c r="BH446" i="17" s="1"/>
  <c r="BL447" i="17"/>
  <c r="BM447" i="17" s="1"/>
  <c r="BN447" i="17" s="1"/>
  <c r="BF448" i="17"/>
  <c r="BG448" i="17" s="1"/>
  <c r="BH448" i="17" s="1"/>
  <c r="BL449" i="17"/>
  <c r="BM449" i="17" s="1"/>
  <c r="BN449" i="17" s="1"/>
  <c r="AZ450" i="17"/>
  <c r="BA450" i="17" s="1"/>
  <c r="BB450" i="17" s="1"/>
  <c r="R456" i="7"/>
  <c r="BX458" i="17"/>
  <c r="BY458" i="17" s="1"/>
  <c r="BZ458" i="17" s="1"/>
  <c r="BX459" i="17"/>
  <c r="BY459" i="17" s="1"/>
  <c r="BZ459" i="17" s="1"/>
  <c r="M460" i="7"/>
  <c r="V460" i="7" s="1"/>
  <c r="BF460" i="17"/>
  <c r="BG460" i="17" s="1"/>
  <c r="BH460" i="17" s="1"/>
  <c r="AT461" i="17"/>
  <c r="AU461" i="17" s="1"/>
  <c r="AV461" i="17" s="1"/>
  <c r="BX464" i="17"/>
  <c r="BY464" i="17" s="1"/>
  <c r="BZ464" i="17" s="1"/>
  <c r="BR465" i="17"/>
  <c r="BS465" i="17" s="1"/>
  <c r="BT465" i="17" s="1"/>
  <c r="BL466" i="17"/>
  <c r="BM466" i="17" s="1"/>
  <c r="BN466" i="17" s="1"/>
  <c r="AZ467" i="17"/>
  <c r="BA467" i="17" s="1"/>
  <c r="BB467" i="17" s="1"/>
  <c r="AT474" i="17"/>
  <c r="AU474" i="17" s="1"/>
  <c r="AV474" i="17" s="1"/>
  <c r="L476" i="7"/>
  <c r="U476" i="7" s="1"/>
  <c r="AZ475" i="17"/>
  <c r="BA475" i="17" s="1"/>
  <c r="BB475" i="17" s="1"/>
  <c r="BF476" i="17"/>
  <c r="BG476" i="17" s="1"/>
  <c r="BH476" i="17" s="1"/>
  <c r="M476" i="7"/>
  <c r="V476" i="7" s="1"/>
  <c r="AT489" i="17"/>
  <c r="AU489" i="17" s="1"/>
  <c r="AV489" i="17" s="1"/>
  <c r="BX495" i="17"/>
  <c r="BY495" i="17" s="1"/>
  <c r="BZ495" i="17" s="1"/>
  <c r="P496" i="7"/>
  <c r="AA496" i="7" s="1"/>
  <c r="P499" i="7"/>
  <c r="AA499" i="7" s="1"/>
  <c r="BX499" i="17"/>
  <c r="BY499" i="17" s="1"/>
  <c r="BZ499" i="17" s="1"/>
  <c r="AT507" i="17"/>
  <c r="AU507" i="17" s="1"/>
  <c r="AV507" i="17" s="1"/>
  <c r="K507" i="7"/>
  <c r="T507" i="7" s="1"/>
  <c r="AZ510" i="17"/>
  <c r="BA510" i="17" s="1"/>
  <c r="BB510" i="17" s="1"/>
  <c r="BX515" i="17"/>
  <c r="BY515" i="17" s="1"/>
  <c r="BZ515" i="17" s="1"/>
  <c r="L565" i="7"/>
  <c r="U565" i="7" s="1"/>
  <c r="AZ565" i="17"/>
  <c r="BA565" i="17" s="1"/>
  <c r="BB565" i="17" s="1"/>
  <c r="L566" i="7"/>
  <c r="U566" i="7" s="1"/>
  <c r="BF566" i="17"/>
  <c r="BG566" i="17" s="1"/>
  <c r="BH566" i="17" s="1"/>
  <c r="K582" i="7"/>
  <c r="T582" i="7" s="1"/>
  <c r="AT581" i="17"/>
  <c r="AU581" i="17" s="1"/>
  <c r="AV581" i="17" s="1"/>
  <c r="K604" i="7"/>
  <c r="T604" i="7" s="1"/>
  <c r="AT603" i="17"/>
  <c r="AU603" i="17" s="1"/>
  <c r="AV603" i="17" s="1"/>
  <c r="O724" i="7"/>
  <c r="Z724" i="7" s="1"/>
  <c r="BR723" i="17"/>
  <c r="BS723" i="17" s="1"/>
  <c r="BT723" i="17" s="1"/>
  <c r="N910" i="7"/>
  <c r="W910" i="7" s="1"/>
  <c r="BL910" i="17"/>
  <c r="BM910" i="17" s="1"/>
  <c r="BN910" i="17" s="1"/>
  <c r="K178" i="7"/>
  <c r="T178" i="7" s="1"/>
  <c r="K182" i="7"/>
  <c r="T182" i="7" s="1"/>
  <c r="M184" i="7"/>
  <c r="V184" i="7" s="1"/>
  <c r="O188" i="7"/>
  <c r="Z188" i="7" s="1"/>
  <c r="O190" i="7"/>
  <c r="Z190" i="7" s="1"/>
  <c r="N191" i="7"/>
  <c r="W191" i="7" s="1"/>
  <c r="L193" i="7"/>
  <c r="U193" i="7" s="1"/>
  <c r="K196" i="7"/>
  <c r="T196" i="7" s="1"/>
  <c r="S199" i="7"/>
  <c r="M201" i="7"/>
  <c r="V201" i="7" s="1"/>
  <c r="Q204" i="7"/>
  <c r="X204" i="7" s="1"/>
  <c r="P205" i="7"/>
  <c r="AA205" i="7" s="1"/>
  <c r="Q207" i="7"/>
  <c r="X207" i="7" s="1"/>
  <c r="P209" i="7"/>
  <c r="AA209" i="7" s="1"/>
  <c r="M214" i="7"/>
  <c r="V214" i="7" s="1"/>
  <c r="M218" i="7"/>
  <c r="V218" i="7" s="1"/>
  <c r="O222" i="7"/>
  <c r="Z222" i="7" s="1"/>
  <c r="L225" i="7"/>
  <c r="U225" i="7" s="1"/>
  <c r="M229" i="7"/>
  <c r="V229" i="7" s="1"/>
  <c r="S238" i="7"/>
  <c r="Y238" i="7" s="1"/>
  <c r="R241" i="7"/>
  <c r="O248" i="7"/>
  <c r="Z248" i="7" s="1"/>
  <c r="P250" i="7"/>
  <c r="AA250" i="7" s="1"/>
  <c r="AT253" i="17"/>
  <c r="AU253" i="17" s="1"/>
  <c r="AV253" i="17" s="1"/>
  <c r="Q257" i="7"/>
  <c r="X257" i="7" s="1"/>
  <c r="P259" i="7"/>
  <c r="AA259" i="7" s="1"/>
  <c r="BX259" i="17"/>
  <c r="BY259" i="17" s="1"/>
  <c r="BZ259" i="17" s="1"/>
  <c r="BL260" i="17"/>
  <c r="BM260" i="17" s="1"/>
  <c r="BN260" i="17" s="1"/>
  <c r="L261" i="7"/>
  <c r="U261" i="7" s="1"/>
  <c r="AZ261" i="17"/>
  <c r="BA261" i="17" s="1"/>
  <c r="BB261" i="17" s="1"/>
  <c r="AT262" i="17"/>
  <c r="AU262" i="17" s="1"/>
  <c r="AV262" i="17" s="1"/>
  <c r="S266" i="7"/>
  <c r="BX267" i="17"/>
  <c r="BY267" i="17" s="1"/>
  <c r="BZ267" i="17" s="1"/>
  <c r="BX268" i="17"/>
  <c r="BY268" i="17" s="1"/>
  <c r="BZ268" i="17" s="1"/>
  <c r="N269" i="7"/>
  <c r="W269" i="7" s="1"/>
  <c r="BL269" i="17"/>
  <c r="BM269" i="17" s="1"/>
  <c r="BN269" i="17" s="1"/>
  <c r="N270" i="7"/>
  <c r="W270" i="7" s="1"/>
  <c r="BL270" i="17"/>
  <c r="BM270" i="17" s="1"/>
  <c r="BN270" i="17" s="1"/>
  <c r="M272" i="7"/>
  <c r="V272" i="7" s="1"/>
  <c r="BF271" i="17"/>
  <c r="BG271" i="17" s="1"/>
  <c r="BH271" i="17" s="1"/>
  <c r="BF272" i="17"/>
  <c r="BG272" i="17" s="1"/>
  <c r="BH272" i="17" s="1"/>
  <c r="M274" i="7"/>
  <c r="V274" i="7" s="1"/>
  <c r="BF273" i="17"/>
  <c r="BG273" i="17" s="1"/>
  <c r="BH273" i="17" s="1"/>
  <c r="M275" i="7"/>
  <c r="V275" i="7" s="1"/>
  <c r="BF274" i="17"/>
  <c r="BG274" i="17" s="1"/>
  <c r="BH274" i="17" s="1"/>
  <c r="AZ275" i="17"/>
  <c r="BA275" i="17" s="1"/>
  <c r="BB275" i="17" s="1"/>
  <c r="M277" i="7"/>
  <c r="V277" i="7" s="1"/>
  <c r="BF276" i="17"/>
  <c r="BG276" i="17" s="1"/>
  <c r="BH276" i="17" s="1"/>
  <c r="BF277" i="17"/>
  <c r="BG277" i="17" s="1"/>
  <c r="BH277" i="17" s="1"/>
  <c r="BL278" i="17"/>
  <c r="BM278" i="17" s="1"/>
  <c r="BN278" i="17" s="1"/>
  <c r="BF279" i="17"/>
  <c r="BG279" i="17" s="1"/>
  <c r="BH279" i="17" s="1"/>
  <c r="BL280" i="17"/>
  <c r="BM280" i="17" s="1"/>
  <c r="BN280" i="17" s="1"/>
  <c r="BF281" i="17"/>
  <c r="BG281" i="17" s="1"/>
  <c r="BH281" i="17" s="1"/>
  <c r="BF282" i="17"/>
  <c r="BG282" i="17" s="1"/>
  <c r="BH282" i="17" s="1"/>
  <c r="AZ283" i="17"/>
  <c r="BA283" i="17" s="1"/>
  <c r="BB283" i="17" s="1"/>
  <c r="L284" i="7"/>
  <c r="U284" i="7" s="1"/>
  <c r="AZ284" i="17"/>
  <c r="BA284" i="17" s="1"/>
  <c r="BB284" i="17" s="1"/>
  <c r="BF285" i="17"/>
  <c r="BG285" i="17" s="1"/>
  <c r="BH285" i="17" s="1"/>
  <c r="L286" i="7"/>
  <c r="U286" i="7" s="1"/>
  <c r="AZ286" i="17"/>
  <c r="BA286" i="17" s="1"/>
  <c r="BB286" i="17" s="1"/>
  <c r="L288" i="7"/>
  <c r="U288" i="7" s="1"/>
  <c r="AZ287" i="17"/>
  <c r="BA287" i="17" s="1"/>
  <c r="BB287" i="17" s="1"/>
  <c r="AZ288" i="17"/>
  <c r="BA288" i="17" s="1"/>
  <c r="BB288" i="17" s="1"/>
  <c r="K290" i="7"/>
  <c r="T290" i="7" s="1"/>
  <c r="AT289" i="17"/>
  <c r="AU289" i="17" s="1"/>
  <c r="AV289" i="17" s="1"/>
  <c r="AT290" i="17"/>
  <c r="AU290" i="17" s="1"/>
  <c r="AV290" i="17" s="1"/>
  <c r="AZ291" i="17"/>
  <c r="BA291" i="17" s="1"/>
  <c r="BB291" i="17" s="1"/>
  <c r="R303" i="7"/>
  <c r="P309" i="7"/>
  <c r="AA309" i="7" s="1"/>
  <c r="BX309" i="17"/>
  <c r="BY309" i="17" s="1"/>
  <c r="BZ309" i="17" s="1"/>
  <c r="BX310" i="17"/>
  <c r="BY310" i="17" s="1"/>
  <c r="BZ310" i="17" s="1"/>
  <c r="BX311" i="17"/>
  <c r="BY311" i="17" s="1"/>
  <c r="BZ311" i="17" s="1"/>
  <c r="P312" i="7"/>
  <c r="AA312" i="7" s="1"/>
  <c r="BX312" i="17"/>
  <c r="BY312" i="17" s="1"/>
  <c r="BZ312" i="17" s="1"/>
  <c r="O313" i="7"/>
  <c r="Z313" i="7" s="1"/>
  <c r="BR313" i="17"/>
  <c r="BS313" i="17" s="1"/>
  <c r="BT313" i="17" s="1"/>
  <c r="O314" i="7"/>
  <c r="Z314" i="7" s="1"/>
  <c r="BR314" i="17"/>
  <c r="BS314" i="17" s="1"/>
  <c r="BT314" i="17" s="1"/>
  <c r="BL315" i="17"/>
  <c r="BM315" i="17" s="1"/>
  <c r="BN315" i="17" s="1"/>
  <c r="N316" i="7"/>
  <c r="W316" i="7" s="1"/>
  <c r="BL316" i="17"/>
  <c r="BM316" i="17" s="1"/>
  <c r="BN316" i="17" s="1"/>
  <c r="BL317" i="17"/>
  <c r="BM317" i="17" s="1"/>
  <c r="BN317" i="17" s="1"/>
  <c r="BF318" i="17"/>
  <c r="BG318" i="17" s="1"/>
  <c r="BH318" i="17" s="1"/>
  <c r="M319" i="7"/>
  <c r="V319" i="7" s="1"/>
  <c r="BF319" i="17"/>
  <c r="BG319" i="17" s="1"/>
  <c r="BH319" i="17" s="1"/>
  <c r="AZ320" i="17"/>
  <c r="BA320" i="17" s="1"/>
  <c r="BB320" i="17" s="1"/>
  <c r="AT321" i="17"/>
  <c r="AU321" i="17" s="1"/>
  <c r="AV321" i="17" s="1"/>
  <c r="AZ322" i="17"/>
  <c r="BA322" i="17" s="1"/>
  <c r="BB322" i="17" s="1"/>
  <c r="AT323" i="17"/>
  <c r="AU323" i="17" s="1"/>
  <c r="AV323" i="17" s="1"/>
  <c r="K324" i="7"/>
  <c r="T324" i="7" s="1"/>
  <c r="AT324" i="17"/>
  <c r="AU324" i="17" s="1"/>
  <c r="AV324" i="17" s="1"/>
  <c r="AZ325" i="17"/>
  <c r="BA325" i="17" s="1"/>
  <c r="BB325" i="17" s="1"/>
  <c r="AZ326" i="17"/>
  <c r="BA326" i="17" s="1"/>
  <c r="BB326" i="17" s="1"/>
  <c r="K327" i="7"/>
  <c r="T327" i="7" s="1"/>
  <c r="AT327" i="17"/>
  <c r="AU327" i="17" s="1"/>
  <c r="AV327" i="17" s="1"/>
  <c r="K330" i="7"/>
  <c r="T330" i="7" s="1"/>
  <c r="AT330" i="17"/>
  <c r="AU330" i="17" s="1"/>
  <c r="AV330" i="17" s="1"/>
  <c r="R335" i="7"/>
  <c r="Q337" i="7"/>
  <c r="X337" i="7" s="1"/>
  <c r="BX340" i="17"/>
  <c r="BY340" i="17" s="1"/>
  <c r="BZ340" i="17" s="1"/>
  <c r="P342" i="7"/>
  <c r="AA342" i="7" s="1"/>
  <c r="BX342" i="17"/>
  <c r="BY342" i="17" s="1"/>
  <c r="BZ342" i="17" s="1"/>
  <c r="Q343" i="7"/>
  <c r="X343" i="7" s="1"/>
  <c r="Q345" i="7"/>
  <c r="X345" i="7" s="1"/>
  <c r="P350" i="7"/>
  <c r="AA350" i="7" s="1"/>
  <c r="BX350" i="17"/>
  <c r="BY350" i="17" s="1"/>
  <c r="BZ350" i="17" s="1"/>
  <c r="O352" i="7"/>
  <c r="Z352" i="7" s="1"/>
  <c r="BR352" i="17"/>
  <c r="BS352" i="17" s="1"/>
  <c r="BT352" i="17" s="1"/>
  <c r="BR353" i="17"/>
  <c r="BS353" i="17" s="1"/>
  <c r="BT353" i="17" s="1"/>
  <c r="BL354" i="17"/>
  <c r="BM354" i="17" s="1"/>
  <c r="BN354" i="17" s="1"/>
  <c r="BL355" i="17"/>
  <c r="BM355" i="17" s="1"/>
  <c r="BN355" i="17" s="1"/>
  <c r="BL356" i="17"/>
  <c r="BM356" i="17" s="1"/>
  <c r="BN356" i="17" s="1"/>
  <c r="N357" i="7"/>
  <c r="W357" i="7" s="1"/>
  <c r="BL357" i="17"/>
  <c r="BM357" i="17" s="1"/>
  <c r="BN357" i="17" s="1"/>
  <c r="BL358" i="17"/>
  <c r="BM358" i="17" s="1"/>
  <c r="BN358" i="17" s="1"/>
  <c r="BF359" i="17"/>
  <c r="BG359" i="17" s="1"/>
  <c r="BH359" i="17" s="1"/>
  <c r="L360" i="7"/>
  <c r="U360" i="7" s="1"/>
  <c r="AZ360" i="17"/>
  <c r="BA360" i="17" s="1"/>
  <c r="BB360" i="17" s="1"/>
  <c r="AZ361" i="17"/>
  <c r="BA361" i="17" s="1"/>
  <c r="BB361" i="17" s="1"/>
  <c r="L362" i="7"/>
  <c r="U362" i="7" s="1"/>
  <c r="AZ362" i="17"/>
  <c r="BA362" i="17" s="1"/>
  <c r="BB362" i="17" s="1"/>
  <c r="BF363" i="17"/>
  <c r="BG363" i="17" s="1"/>
  <c r="BH363" i="17" s="1"/>
  <c r="AT364" i="17"/>
  <c r="AU364" i="17" s="1"/>
  <c r="AV364" i="17" s="1"/>
  <c r="AT365" i="17"/>
  <c r="AU365" i="17" s="1"/>
  <c r="AV365" i="17" s="1"/>
  <c r="K368" i="7"/>
  <c r="T368" i="7" s="1"/>
  <c r="AT368" i="17"/>
  <c r="AU368" i="17" s="1"/>
  <c r="AV368" i="17" s="1"/>
  <c r="AT369" i="17"/>
  <c r="AU369" i="17" s="1"/>
  <c r="AV369" i="17" s="1"/>
  <c r="K370" i="7"/>
  <c r="T370" i="7" s="1"/>
  <c r="AT370" i="17"/>
  <c r="AU370" i="17" s="1"/>
  <c r="AV370" i="17" s="1"/>
  <c r="AT374" i="17"/>
  <c r="AU374" i="17" s="1"/>
  <c r="AV374" i="17" s="1"/>
  <c r="L376" i="7"/>
  <c r="U376" i="7" s="1"/>
  <c r="AZ375" i="17"/>
  <c r="BA375" i="17" s="1"/>
  <c r="BB375" i="17" s="1"/>
  <c r="S385" i="7"/>
  <c r="Y385" i="7" s="1"/>
  <c r="R388" i="7"/>
  <c r="Q390" i="7"/>
  <c r="X390" i="7" s="1"/>
  <c r="BR393" i="17"/>
  <c r="BS393" i="17" s="1"/>
  <c r="BT393" i="17" s="1"/>
  <c r="BX394" i="17"/>
  <c r="BY394" i="17" s="1"/>
  <c r="BZ394" i="17" s="1"/>
  <c r="N395" i="7"/>
  <c r="W395" i="7" s="1"/>
  <c r="BL395" i="17"/>
  <c r="BM395" i="17" s="1"/>
  <c r="BN395" i="17" s="1"/>
  <c r="BR396" i="17"/>
  <c r="BS396" i="17" s="1"/>
  <c r="BT396" i="17" s="1"/>
  <c r="BF397" i="17"/>
  <c r="BG397" i="17" s="1"/>
  <c r="BH397" i="17" s="1"/>
  <c r="AZ398" i="17"/>
  <c r="BA398" i="17" s="1"/>
  <c r="BB398" i="17" s="1"/>
  <c r="AT399" i="17"/>
  <c r="AU399" i="17" s="1"/>
  <c r="AV399" i="17" s="1"/>
  <c r="AT400" i="17"/>
  <c r="AU400" i="17" s="1"/>
  <c r="AV400" i="17" s="1"/>
  <c r="AT401" i="17"/>
  <c r="AU401" i="17" s="1"/>
  <c r="AV401" i="17" s="1"/>
  <c r="O409" i="7"/>
  <c r="Z409" i="7" s="1"/>
  <c r="BR408" i="17"/>
  <c r="BS408" i="17" s="1"/>
  <c r="BT408" i="17" s="1"/>
  <c r="BL409" i="17"/>
  <c r="BM409" i="17" s="1"/>
  <c r="BN409" i="17" s="1"/>
  <c r="N410" i="7"/>
  <c r="W410" i="7" s="1"/>
  <c r="BL410" i="17"/>
  <c r="BM410" i="17" s="1"/>
  <c r="BN410" i="17" s="1"/>
  <c r="O412" i="7"/>
  <c r="Z412" i="7" s="1"/>
  <c r="BR411" i="17"/>
  <c r="BS411" i="17" s="1"/>
  <c r="BT411" i="17" s="1"/>
  <c r="BL412" i="17"/>
  <c r="BM412" i="17" s="1"/>
  <c r="BN412" i="17" s="1"/>
  <c r="O413" i="7"/>
  <c r="Z413" i="7" s="1"/>
  <c r="BR413" i="17"/>
  <c r="BS413" i="17" s="1"/>
  <c r="BT413" i="17" s="1"/>
  <c r="BL414" i="17"/>
  <c r="BM414" i="17" s="1"/>
  <c r="BN414" i="17" s="1"/>
  <c r="N415" i="7"/>
  <c r="W415" i="7" s="1"/>
  <c r="BL415" i="17"/>
  <c r="BM415" i="17" s="1"/>
  <c r="BN415" i="17" s="1"/>
  <c r="BR416" i="17"/>
  <c r="BS416" i="17" s="1"/>
  <c r="BT416" i="17" s="1"/>
  <c r="BX417" i="17"/>
  <c r="BY417" i="17" s="1"/>
  <c r="BZ417" i="17" s="1"/>
  <c r="BR418" i="17"/>
  <c r="BS418" i="17" s="1"/>
  <c r="BT418" i="17" s="1"/>
  <c r="N419" i="7"/>
  <c r="W419" i="7" s="1"/>
  <c r="BL419" i="17"/>
  <c r="BM419" i="17" s="1"/>
  <c r="BN419" i="17" s="1"/>
  <c r="BR420" i="17"/>
  <c r="BS420" i="17" s="1"/>
  <c r="BT420" i="17" s="1"/>
  <c r="BX421" i="17"/>
  <c r="BY421" i="17" s="1"/>
  <c r="BZ421" i="17" s="1"/>
  <c r="BX422" i="17"/>
  <c r="BY422" i="17" s="1"/>
  <c r="BZ422" i="17" s="1"/>
  <c r="BL423" i="17"/>
  <c r="BM423" i="17" s="1"/>
  <c r="BN423" i="17" s="1"/>
  <c r="N425" i="7"/>
  <c r="W425" i="7" s="1"/>
  <c r="BL424" i="17"/>
  <c r="BM424" i="17" s="1"/>
  <c r="BN424" i="17" s="1"/>
  <c r="K425" i="7"/>
  <c r="T425" i="7" s="1"/>
  <c r="AT425" i="17"/>
  <c r="AU425" i="17" s="1"/>
  <c r="AV425" i="17" s="1"/>
  <c r="K427" i="7"/>
  <c r="T427" i="7" s="1"/>
  <c r="AT426" i="17"/>
  <c r="AU426" i="17" s="1"/>
  <c r="AV426" i="17" s="1"/>
  <c r="AT427" i="17"/>
  <c r="AU427" i="17" s="1"/>
  <c r="AV427" i="17" s="1"/>
  <c r="K428" i="7"/>
  <c r="T428" i="7" s="1"/>
  <c r="AT428" i="17"/>
  <c r="AU428" i="17" s="1"/>
  <c r="AV428" i="17" s="1"/>
  <c r="AT431" i="17"/>
  <c r="AU431" i="17" s="1"/>
  <c r="AV431" i="17" s="1"/>
  <c r="S435" i="7"/>
  <c r="BX438" i="17"/>
  <c r="BY438" i="17" s="1"/>
  <c r="BZ438" i="17" s="1"/>
  <c r="BX439" i="17"/>
  <c r="BY439" i="17" s="1"/>
  <c r="BZ439" i="17" s="1"/>
  <c r="O441" i="7"/>
  <c r="Z441" i="7" s="1"/>
  <c r="BR440" i="17"/>
  <c r="BS440" i="17" s="1"/>
  <c r="BT440" i="17" s="1"/>
  <c r="BF441" i="17"/>
  <c r="BG441" i="17" s="1"/>
  <c r="BH441" i="17" s="1"/>
  <c r="BL442" i="17"/>
  <c r="BM442" i="17" s="1"/>
  <c r="BN442" i="17" s="1"/>
  <c r="BR443" i="17"/>
  <c r="BS443" i="17" s="1"/>
  <c r="BT443" i="17" s="1"/>
  <c r="BL444" i="17"/>
  <c r="BM444" i="17" s="1"/>
  <c r="BN444" i="17" s="1"/>
  <c r="BL445" i="17"/>
  <c r="BM445" i="17" s="1"/>
  <c r="BN445" i="17" s="1"/>
  <c r="N446" i="7"/>
  <c r="W446" i="7" s="1"/>
  <c r="BL446" i="17"/>
  <c r="BM446" i="17" s="1"/>
  <c r="BN446" i="17" s="1"/>
  <c r="BR447" i="17"/>
  <c r="BS447" i="17" s="1"/>
  <c r="BT447" i="17" s="1"/>
  <c r="N448" i="7"/>
  <c r="W448" i="7" s="1"/>
  <c r="BL448" i="17"/>
  <c r="BM448" i="17" s="1"/>
  <c r="BN448" i="17" s="1"/>
  <c r="BR449" i="17"/>
  <c r="BS449" i="17" s="1"/>
  <c r="BT449" i="17" s="1"/>
  <c r="M450" i="7"/>
  <c r="V450" i="7" s="1"/>
  <c r="BF450" i="17"/>
  <c r="BG450" i="17" s="1"/>
  <c r="BH450" i="17" s="1"/>
  <c r="AT451" i="17"/>
  <c r="AU451" i="17" s="1"/>
  <c r="AV451" i="17" s="1"/>
  <c r="K452" i="7"/>
  <c r="T452" i="7" s="1"/>
  <c r="AT452" i="17"/>
  <c r="AU452" i="17" s="1"/>
  <c r="AV452" i="17" s="1"/>
  <c r="S456" i="7"/>
  <c r="Y456" i="7" s="1"/>
  <c r="Q458" i="7"/>
  <c r="X458" i="7" s="1"/>
  <c r="BL460" i="17"/>
  <c r="BM460" i="17" s="1"/>
  <c r="BN460" i="17" s="1"/>
  <c r="AZ461" i="17"/>
  <c r="BA461" i="17" s="1"/>
  <c r="BB461" i="17" s="1"/>
  <c r="BX465" i="17"/>
  <c r="BY465" i="17" s="1"/>
  <c r="BZ465" i="17" s="1"/>
  <c r="BR466" i="17"/>
  <c r="BS466" i="17" s="1"/>
  <c r="BT466" i="17" s="1"/>
  <c r="AT472" i="17"/>
  <c r="AU472" i="17" s="1"/>
  <c r="AV472" i="17" s="1"/>
  <c r="AZ473" i="17"/>
  <c r="BA473" i="17" s="1"/>
  <c r="BB473" i="17" s="1"/>
  <c r="L475" i="7"/>
  <c r="U475" i="7" s="1"/>
  <c r="AZ474" i="17"/>
  <c r="BA474" i="17" s="1"/>
  <c r="BB474" i="17" s="1"/>
  <c r="M475" i="7"/>
  <c r="V475" i="7" s="1"/>
  <c r="BF475" i="17"/>
  <c r="BG475" i="17" s="1"/>
  <c r="BH475" i="17" s="1"/>
  <c r="AT481" i="17"/>
  <c r="AU481" i="17" s="1"/>
  <c r="AV481" i="17" s="1"/>
  <c r="BX494" i="17"/>
  <c r="BY494" i="17" s="1"/>
  <c r="BZ494" i="17" s="1"/>
  <c r="BX514" i="17"/>
  <c r="BY514" i="17" s="1"/>
  <c r="BZ514" i="17" s="1"/>
  <c r="M563" i="7"/>
  <c r="V563" i="7" s="1"/>
  <c r="BF563" i="17"/>
  <c r="BG563" i="17" s="1"/>
  <c r="BH563" i="17" s="1"/>
  <c r="N564" i="7"/>
  <c r="W564" i="7" s="1"/>
  <c r="BL564" i="17"/>
  <c r="BM564" i="17" s="1"/>
  <c r="BN564" i="17" s="1"/>
  <c r="AT580" i="17"/>
  <c r="AU580" i="17" s="1"/>
  <c r="AV580" i="17" s="1"/>
  <c r="K580" i="7"/>
  <c r="T580" i="7" s="1"/>
  <c r="BF613" i="17"/>
  <c r="BG613" i="17" s="1"/>
  <c r="BH613" i="17" s="1"/>
  <c r="BF623" i="17"/>
  <c r="BG623" i="17" s="1"/>
  <c r="BH623" i="17" s="1"/>
  <c r="BR631" i="17"/>
  <c r="BS631" i="17" s="1"/>
  <c r="BT631" i="17" s="1"/>
  <c r="O631" i="7"/>
  <c r="Z631" i="7" s="1"/>
  <c r="BR722" i="17"/>
  <c r="BS722" i="17" s="1"/>
  <c r="BT722" i="17" s="1"/>
  <c r="AZ804" i="17"/>
  <c r="BA804" i="17" s="1"/>
  <c r="BB804" i="17" s="1"/>
  <c r="BF834" i="17"/>
  <c r="BG834" i="17" s="1"/>
  <c r="BH834" i="17" s="1"/>
  <c r="BR856" i="17"/>
  <c r="BS856" i="17" s="1"/>
  <c r="BT856" i="17" s="1"/>
  <c r="BX857" i="17"/>
  <c r="BY857" i="17" s="1"/>
  <c r="BZ857" i="17" s="1"/>
  <c r="BX876" i="17"/>
  <c r="BY876" i="17" s="1"/>
  <c r="BZ876" i="17" s="1"/>
  <c r="O186" i="7"/>
  <c r="Z186" i="7" s="1"/>
  <c r="P188" i="7"/>
  <c r="AA188" i="7" s="1"/>
  <c r="R207" i="7"/>
  <c r="O210" i="7"/>
  <c r="Z210" i="7" s="1"/>
  <c r="S219" i="7"/>
  <c r="P220" i="7"/>
  <c r="AA220" i="7" s="1"/>
  <c r="N224" i="7"/>
  <c r="W224" i="7" s="1"/>
  <c r="Q232" i="7"/>
  <c r="X232" i="7" s="1"/>
  <c r="Q250" i="7"/>
  <c r="X250" i="7" s="1"/>
  <c r="L253" i="7"/>
  <c r="U253" i="7" s="1"/>
  <c r="AZ253" i="17"/>
  <c r="BA253" i="17" s="1"/>
  <c r="BB253" i="17" s="1"/>
  <c r="AT254" i="17"/>
  <c r="AU254" i="17" s="1"/>
  <c r="AV254" i="17" s="1"/>
  <c r="R258" i="7"/>
  <c r="BR260" i="17"/>
  <c r="BS260" i="17" s="1"/>
  <c r="BT260" i="17" s="1"/>
  <c r="M261" i="7"/>
  <c r="V261" i="7" s="1"/>
  <c r="BF261" i="17"/>
  <c r="BG261" i="17" s="1"/>
  <c r="BH261" i="17" s="1"/>
  <c r="AZ262" i="17"/>
  <c r="BA262" i="17" s="1"/>
  <c r="BB262" i="17" s="1"/>
  <c r="K264" i="7"/>
  <c r="T264" i="7" s="1"/>
  <c r="AT264" i="17"/>
  <c r="AU264" i="17" s="1"/>
  <c r="AV264" i="17" s="1"/>
  <c r="BR269" i="17"/>
  <c r="BS269" i="17" s="1"/>
  <c r="BT269" i="17" s="1"/>
  <c r="BR270" i="17"/>
  <c r="BS270" i="17" s="1"/>
  <c r="BT270" i="17" s="1"/>
  <c r="N272" i="7"/>
  <c r="W272" i="7" s="1"/>
  <c r="BL271" i="17"/>
  <c r="BM271" i="17" s="1"/>
  <c r="BN271" i="17" s="1"/>
  <c r="BL272" i="17"/>
  <c r="BM272" i="17" s="1"/>
  <c r="BN272" i="17" s="1"/>
  <c r="BL273" i="17"/>
  <c r="BM273" i="17" s="1"/>
  <c r="BN273" i="17" s="1"/>
  <c r="BL274" i="17"/>
  <c r="BM274" i="17" s="1"/>
  <c r="BN274" i="17" s="1"/>
  <c r="BF275" i="17"/>
  <c r="BG275" i="17" s="1"/>
  <c r="BH275" i="17" s="1"/>
  <c r="BL276" i="17"/>
  <c r="BM276" i="17" s="1"/>
  <c r="BN276" i="17" s="1"/>
  <c r="BL277" i="17"/>
  <c r="BM277" i="17" s="1"/>
  <c r="BN277" i="17" s="1"/>
  <c r="O279" i="7"/>
  <c r="Z279" i="7" s="1"/>
  <c r="BR278" i="17"/>
  <c r="BS278" i="17" s="1"/>
  <c r="BT278" i="17" s="1"/>
  <c r="BL279" i="17"/>
  <c r="BM279" i="17" s="1"/>
  <c r="BN279" i="17" s="1"/>
  <c r="BR280" i="17"/>
  <c r="BS280" i="17" s="1"/>
  <c r="BT280" i="17" s="1"/>
  <c r="N281" i="7"/>
  <c r="W281" i="7" s="1"/>
  <c r="BL281" i="17"/>
  <c r="BM281" i="17" s="1"/>
  <c r="BN281" i="17" s="1"/>
  <c r="BL282" i="17"/>
  <c r="BM282" i="17" s="1"/>
  <c r="BN282" i="17" s="1"/>
  <c r="BF283" i="17"/>
  <c r="BG283" i="17" s="1"/>
  <c r="BH283" i="17" s="1"/>
  <c r="M285" i="7"/>
  <c r="V285" i="7" s="1"/>
  <c r="BF284" i="17"/>
  <c r="BG284" i="17" s="1"/>
  <c r="BH284" i="17" s="1"/>
  <c r="BL285" i="17"/>
  <c r="BM285" i="17" s="1"/>
  <c r="BN285" i="17" s="1"/>
  <c r="M286" i="7"/>
  <c r="V286" i="7" s="1"/>
  <c r="BF286" i="17"/>
  <c r="BG286" i="17" s="1"/>
  <c r="BH286" i="17" s="1"/>
  <c r="BF287" i="17"/>
  <c r="BG287" i="17" s="1"/>
  <c r="BH287" i="17" s="1"/>
  <c r="M288" i="7"/>
  <c r="V288" i="7" s="1"/>
  <c r="BF288" i="17"/>
  <c r="BG288" i="17" s="1"/>
  <c r="BH288" i="17" s="1"/>
  <c r="L289" i="7"/>
  <c r="U289" i="7" s="1"/>
  <c r="AZ289" i="17"/>
  <c r="BA289" i="17" s="1"/>
  <c r="BB289" i="17" s="1"/>
  <c r="L290" i="7"/>
  <c r="U290" i="7" s="1"/>
  <c r="AZ290" i="17"/>
  <c r="BA290" i="17" s="1"/>
  <c r="BB290" i="17" s="1"/>
  <c r="M292" i="7"/>
  <c r="V292" i="7" s="1"/>
  <c r="BF291" i="17"/>
  <c r="BG291" i="17" s="1"/>
  <c r="BH291" i="17" s="1"/>
  <c r="K293" i="7"/>
  <c r="T293" i="7" s="1"/>
  <c r="AT292" i="17"/>
  <c r="AU292" i="17" s="1"/>
  <c r="AV292" i="17" s="1"/>
  <c r="AT293" i="17"/>
  <c r="AU293" i="17" s="1"/>
  <c r="AV293" i="17" s="1"/>
  <c r="AT294" i="17"/>
  <c r="AU294" i="17" s="1"/>
  <c r="AV294" i="17" s="1"/>
  <c r="BX313" i="17"/>
  <c r="BY313" i="17" s="1"/>
  <c r="BZ313" i="17" s="1"/>
  <c r="BX314" i="17"/>
  <c r="BY314" i="17" s="1"/>
  <c r="BZ314" i="17" s="1"/>
  <c r="O315" i="7"/>
  <c r="Z315" i="7" s="1"/>
  <c r="BR315" i="17"/>
  <c r="BS315" i="17" s="1"/>
  <c r="BT315" i="17" s="1"/>
  <c r="BR316" i="17"/>
  <c r="BS316" i="17" s="1"/>
  <c r="BT316" i="17" s="1"/>
  <c r="BR317" i="17"/>
  <c r="BS317" i="17" s="1"/>
  <c r="BT317" i="17" s="1"/>
  <c r="BL318" i="17"/>
  <c r="BM318" i="17" s="1"/>
  <c r="BN318" i="17" s="1"/>
  <c r="BL319" i="17"/>
  <c r="BM319" i="17" s="1"/>
  <c r="BN319" i="17" s="1"/>
  <c r="M320" i="7"/>
  <c r="V320" i="7" s="1"/>
  <c r="BF320" i="17"/>
  <c r="BG320" i="17" s="1"/>
  <c r="BH320" i="17" s="1"/>
  <c r="L321" i="7"/>
  <c r="U321" i="7" s="1"/>
  <c r="AZ321" i="17"/>
  <c r="BA321" i="17" s="1"/>
  <c r="BB321" i="17" s="1"/>
  <c r="M322" i="7"/>
  <c r="V322" i="7" s="1"/>
  <c r="BF322" i="17"/>
  <c r="BG322" i="17" s="1"/>
  <c r="BH322" i="17" s="1"/>
  <c r="L323" i="7"/>
  <c r="U323" i="7" s="1"/>
  <c r="AZ323" i="17"/>
  <c r="BA323" i="17" s="1"/>
  <c r="BB323" i="17" s="1"/>
  <c r="L325" i="7"/>
  <c r="U325" i="7" s="1"/>
  <c r="AZ324" i="17"/>
  <c r="BA324" i="17" s="1"/>
  <c r="BB324" i="17" s="1"/>
  <c r="BF325" i="17"/>
  <c r="BG325" i="17" s="1"/>
  <c r="BH325" i="17" s="1"/>
  <c r="M326" i="7"/>
  <c r="V326" i="7" s="1"/>
  <c r="BF326" i="17"/>
  <c r="BG326" i="17" s="1"/>
  <c r="BH326" i="17" s="1"/>
  <c r="AZ327" i="17"/>
  <c r="BA327" i="17" s="1"/>
  <c r="BB327" i="17" s="1"/>
  <c r="AT328" i="17"/>
  <c r="AU328" i="17" s="1"/>
  <c r="AV328" i="17" s="1"/>
  <c r="AT329" i="17"/>
  <c r="AU329" i="17" s="1"/>
  <c r="AV329" i="17" s="1"/>
  <c r="AZ330" i="17"/>
  <c r="BA330" i="17" s="1"/>
  <c r="BB330" i="17" s="1"/>
  <c r="AT331" i="17"/>
  <c r="AU331" i="17" s="1"/>
  <c r="AV331" i="17" s="1"/>
  <c r="S348" i="7"/>
  <c r="P352" i="7"/>
  <c r="AA352" i="7" s="1"/>
  <c r="BX352" i="17"/>
  <c r="BY352" i="17" s="1"/>
  <c r="BZ352" i="17" s="1"/>
  <c r="BX353" i="17"/>
  <c r="BY353" i="17" s="1"/>
  <c r="BZ353" i="17" s="1"/>
  <c r="BR354" i="17"/>
  <c r="BS354" i="17" s="1"/>
  <c r="BT354" i="17" s="1"/>
  <c r="O355" i="7"/>
  <c r="Z355" i="7" s="1"/>
  <c r="BR355" i="17"/>
  <c r="BS355" i="17" s="1"/>
  <c r="BT355" i="17" s="1"/>
  <c r="BR356" i="17"/>
  <c r="BS356" i="17" s="1"/>
  <c r="BT356" i="17" s="1"/>
  <c r="O357" i="7"/>
  <c r="Z357" i="7" s="1"/>
  <c r="BR357" i="17"/>
  <c r="BS357" i="17" s="1"/>
  <c r="BT357" i="17" s="1"/>
  <c r="BR358" i="17"/>
  <c r="BS358" i="17" s="1"/>
  <c r="BT358" i="17" s="1"/>
  <c r="BL359" i="17"/>
  <c r="BM359" i="17" s="1"/>
  <c r="BN359" i="17" s="1"/>
  <c r="BF360" i="17"/>
  <c r="BG360" i="17" s="1"/>
  <c r="BH360" i="17" s="1"/>
  <c r="BF361" i="17"/>
  <c r="BG361" i="17" s="1"/>
  <c r="BH361" i="17" s="1"/>
  <c r="M362" i="7"/>
  <c r="V362" i="7" s="1"/>
  <c r="BF362" i="17"/>
  <c r="BG362" i="17" s="1"/>
  <c r="BH362" i="17" s="1"/>
  <c r="BL363" i="17"/>
  <c r="BM363" i="17" s="1"/>
  <c r="BN363" i="17" s="1"/>
  <c r="AZ364" i="17"/>
  <c r="BA364" i="17" s="1"/>
  <c r="BB364" i="17" s="1"/>
  <c r="AZ365" i="17"/>
  <c r="BA365" i="17" s="1"/>
  <c r="BB365" i="17" s="1"/>
  <c r="AT366" i="17"/>
  <c r="AU366" i="17" s="1"/>
  <c r="AV366" i="17" s="1"/>
  <c r="AT367" i="17"/>
  <c r="AU367" i="17" s="1"/>
  <c r="AV367" i="17" s="1"/>
  <c r="AZ368" i="17"/>
  <c r="BA368" i="17" s="1"/>
  <c r="BB368" i="17" s="1"/>
  <c r="AZ369" i="17"/>
  <c r="BA369" i="17" s="1"/>
  <c r="BB369" i="17" s="1"/>
  <c r="L370" i="7"/>
  <c r="U370" i="7" s="1"/>
  <c r="AZ370" i="17"/>
  <c r="BA370" i="17" s="1"/>
  <c r="BB370" i="17" s="1"/>
  <c r="AT371" i="17"/>
  <c r="AU371" i="17" s="1"/>
  <c r="AV371" i="17" s="1"/>
  <c r="K372" i="7"/>
  <c r="T372" i="7" s="1"/>
  <c r="AT372" i="17"/>
  <c r="AU372" i="17" s="1"/>
  <c r="AV372" i="17" s="1"/>
  <c r="AT373" i="17"/>
  <c r="AU373" i="17" s="1"/>
  <c r="AV373" i="17" s="1"/>
  <c r="L374" i="7"/>
  <c r="U374" i="7" s="1"/>
  <c r="AZ374" i="17"/>
  <c r="BA374" i="17" s="1"/>
  <c r="BB374" i="17" s="1"/>
  <c r="BF375" i="17"/>
  <c r="BG375" i="17" s="1"/>
  <c r="BH375" i="17" s="1"/>
  <c r="AT376" i="17"/>
  <c r="AU376" i="17" s="1"/>
  <c r="AV376" i="17" s="1"/>
  <c r="K377" i="7"/>
  <c r="T377" i="7" s="1"/>
  <c r="AT377" i="17"/>
  <c r="AU377" i="17" s="1"/>
  <c r="AV377" i="17" s="1"/>
  <c r="S388" i="7"/>
  <c r="R390" i="7"/>
  <c r="BX393" i="17"/>
  <c r="BY393" i="17" s="1"/>
  <c r="BZ393" i="17" s="1"/>
  <c r="O395" i="7"/>
  <c r="Z395" i="7" s="1"/>
  <c r="BR395" i="17"/>
  <c r="BS395" i="17" s="1"/>
  <c r="BT395" i="17" s="1"/>
  <c r="BX396" i="17"/>
  <c r="BY396" i="17" s="1"/>
  <c r="BZ396" i="17" s="1"/>
  <c r="BL397" i="17"/>
  <c r="BM397" i="17" s="1"/>
  <c r="BN397" i="17" s="1"/>
  <c r="M398" i="7"/>
  <c r="V398" i="7" s="1"/>
  <c r="BF398" i="17"/>
  <c r="BG398" i="17" s="1"/>
  <c r="BH398" i="17" s="1"/>
  <c r="AZ399" i="17"/>
  <c r="BA399" i="17" s="1"/>
  <c r="BB399" i="17" s="1"/>
  <c r="L400" i="7"/>
  <c r="U400" i="7" s="1"/>
  <c r="AZ400" i="17"/>
  <c r="BA400" i="17" s="1"/>
  <c r="BB400" i="17" s="1"/>
  <c r="L401" i="7"/>
  <c r="U401" i="7" s="1"/>
  <c r="AZ401" i="17"/>
  <c r="BA401" i="17" s="1"/>
  <c r="BB401" i="17" s="1"/>
  <c r="BX408" i="17"/>
  <c r="BY408" i="17" s="1"/>
  <c r="BZ408" i="17" s="1"/>
  <c r="BR409" i="17"/>
  <c r="BS409" i="17" s="1"/>
  <c r="BT409" i="17" s="1"/>
  <c r="O410" i="7"/>
  <c r="Z410" i="7" s="1"/>
  <c r="BR410" i="17"/>
  <c r="BS410" i="17" s="1"/>
  <c r="BT410" i="17" s="1"/>
  <c r="BX411" i="17"/>
  <c r="BY411" i="17" s="1"/>
  <c r="BZ411" i="17" s="1"/>
  <c r="BR412" i="17"/>
  <c r="BS412" i="17" s="1"/>
  <c r="BT412" i="17" s="1"/>
  <c r="P413" i="7"/>
  <c r="AA413" i="7" s="1"/>
  <c r="BX413" i="17"/>
  <c r="BY413" i="17" s="1"/>
  <c r="BZ413" i="17" s="1"/>
  <c r="BR414" i="17"/>
  <c r="BS414" i="17" s="1"/>
  <c r="BT414" i="17" s="1"/>
  <c r="BR415" i="17"/>
  <c r="BS415" i="17" s="1"/>
  <c r="BT415" i="17" s="1"/>
  <c r="P416" i="7"/>
  <c r="AA416" i="7" s="1"/>
  <c r="BX416" i="17"/>
  <c r="BY416" i="17" s="1"/>
  <c r="BZ416" i="17" s="1"/>
  <c r="BX418" i="17"/>
  <c r="BY418" i="17" s="1"/>
  <c r="BZ418" i="17" s="1"/>
  <c r="O419" i="7"/>
  <c r="Z419" i="7" s="1"/>
  <c r="BR419" i="17"/>
  <c r="BS419" i="17" s="1"/>
  <c r="BT419" i="17" s="1"/>
  <c r="BX420" i="17"/>
  <c r="BY420" i="17" s="1"/>
  <c r="BZ420" i="17" s="1"/>
  <c r="Q422" i="7"/>
  <c r="X422" i="7" s="1"/>
  <c r="BR423" i="17"/>
  <c r="BS423" i="17" s="1"/>
  <c r="BT423" i="17" s="1"/>
  <c r="BR424" i="17"/>
  <c r="BS424" i="17" s="1"/>
  <c r="BT424" i="17" s="1"/>
  <c r="AZ425" i="17"/>
  <c r="BA425" i="17" s="1"/>
  <c r="BB425" i="17" s="1"/>
  <c r="L426" i="7"/>
  <c r="U426" i="7" s="1"/>
  <c r="AZ426" i="17"/>
  <c r="BA426" i="17" s="1"/>
  <c r="BB426" i="17" s="1"/>
  <c r="AZ427" i="17"/>
  <c r="BA427" i="17" s="1"/>
  <c r="BB427" i="17" s="1"/>
  <c r="L428" i="7"/>
  <c r="U428" i="7" s="1"/>
  <c r="AZ428" i="17"/>
  <c r="BA428" i="17" s="1"/>
  <c r="BB428" i="17" s="1"/>
  <c r="K430" i="7"/>
  <c r="T430" i="7" s="1"/>
  <c r="AT430" i="17"/>
  <c r="AU430" i="17" s="1"/>
  <c r="AV430" i="17" s="1"/>
  <c r="AZ431" i="17"/>
  <c r="BA431" i="17" s="1"/>
  <c r="BB431" i="17" s="1"/>
  <c r="AT432" i="17"/>
  <c r="AU432" i="17" s="1"/>
  <c r="AV432" i="17" s="1"/>
  <c r="R436" i="7"/>
  <c r="Q438" i="7"/>
  <c r="X438" i="7" s="1"/>
  <c r="BX440" i="17"/>
  <c r="BY440" i="17" s="1"/>
  <c r="BZ440" i="17" s="1"/>
  <c r="BL441" i="17"/>
  <c r="BM441" i="17" s="1"/>
  <c r="BN441" i="17" s="1"/>
  <c r="O442" i="7"/>
  <c r="Z442" i="7" s="1"/>
  <c r="BR442" i="17"/>
  <c r="BS442" i="17" s="1"/>
  <c r="BT442" i="17" s="1"/>
  <c r="BX443" i="17"/>
  <c r="BY443" i="17" s="1"/>
  <c r="BZ443" i="17" s="1"/>
  <c r="BR444" i="17"/>
  <c r="BS444" i="17" s="1"/>
  <c r="BT444" i="17" s="1"/>
  <c r="BR445" i="17"/>
  <c r="BS445" i="17" s="1"/>
  <c r="BT445" i="17" s="1"/>
  <c r="BR446" i="17"/>
  <c r="BS446" i="17" s="1"/>
  <c r="BT446" i="17" s="1"/>
  <c r="BX447" i="17"/>
  <c r="BY447" i="17" s="1"/>
  <c r="BZ447" i="17" s="1"/>
  <c r="BR448" i="17"/>
  <c r="BS448" i="17" s="1"/>
  <c r="BT448" i="17" s="1"/>
  <c r="BX449" i="17"/>
  <c r="BY449" i="17" s="1"/>
  <c r="BZ449" i="17" s="1"/>
  <c r="BL450" i="17"/>
  <c r="BM450" i="17" s="1"/>
  <c r="BN450" i="17" s="1"/>
  <c r="AZ451" i="17"/>
  <c r="BA451" i="17" s="1"/>
  <c r="BB451" i="17" s="1"/>
  <c r="L452" i="7"/>
  <c r="U452" i="7" s="1"/>
  <c r="AZ452" i="17"/>
  <c r="BA452" i="17" s="1"/>
  <c r="BB452" i="17" s="1"/>
  <c r="R458" i="7"/>
  <c r="BR460" i="17"/>
  <c r="BS460" i="17" s="1"/>
  <c r="BT460" i="17" s="1"/>
  <c r="BF461" i="17"/>
  <c r="BG461" i="17" s="1"/>
  <c r="BH461" i="17" s="1"/>
  <c r="AT462" i="17"/>
  <c r="AU462" i="17" s="1"/>
  <c r="AV462" i="17" s="1"/>
  <c r="R464" i="7"/>
  <c r="BL469" i="17"/>
  <c r="BM469" i="17" s="1"/>
  <c r="BN469" i="17" s="1"/>
  <c r="BF470" i="17"/>
  <c r="BG470" i="17" s="1"/>
  <c r="BH470" i="17" s="1"/>
  <c r="L472" i="7"/>
  <c r="U472" i="7" s="1"/>
  <c r="AZ471" i="17"/>
  <c r="BA471" i="17" s="1"/>
  <c r="BB471" i="17" s="1"/>
  <c r="L473" i="7"/>
  <c r="U473" i="7" s="1"/>
  <c r="AZ472" i="17"/>
  <c r="BA472" i="17" s="1"/>
  <c r="BB472" i="17" s="1"/>
  <c r="BF473" i="17"/>
  <c r="BG473" i="17" s="1"/>
  <c r="BH473" i="17" s="1"/>
  <c r="M473" i="7"/>
  <c r="V473" i="7" s="1"/>
  <c r="M474" i="7"/>
  <c r="V474" i="7" s="1"/>
  <c r="BF474" i="17"/>
  <c r="BG474" i="17" s="1"/>
  <c r="BH474" i="17" s="1"/>
  <c r="BR477" i="17"/>
  <c r="BS477" i="17" s="1"/>
  <c r="BT477" i="17" s="1"/>
  <c r="L479" i="7"/>
  <c r="U479" i="7" s="1"/>
  <c r="AZ478" i="17"/>
  <c r="BA478" i="17" s="1"/>
  <c r="BB478" i="17" s="1"/>
  <c r="L480" i="7"/>
  <c r="U480" i="7" s="1"/>
  <c r="AZ479" i="17"/>
  <c r="BA479" i="17" s="1"/>
  <c r="BB479" i="17" s="1"/>
  <c r="AZ480" i="17"/>
  <c r="BA480" i="17" s="1"/>
  <c r="BB480" i="17" s="1"/>
  <c r="P493" i="7"/>
  <c r="AA493" i="7" s="1"/>
  <c r="BX493" i="17"/>
  <c r="BY493" i="17" s="1"/>
  <c r="BZ493" i="17" s="1"/>
  <c r="M509" i="7"/>
  <c r="V509" i="7" s="1"/>
  <c r="BF509" i="17"/>
  <c r="BG509" i="17" s="1"/>
  <c r="BH509" i="17" s="1"/>
  <c r="BR562" i="17"/>
  <c r="BS562" i="17" s="1"/>
  <c r="BT562" i="17" s="1"/>
  <c r="N622" i="7"/>
  <c r="W622" i="7" s="1"/>
  <c r="BL622" i="17"/>
  <c r="BM622" i="17" s="1"/>
  <c r="BN622" i="17" s="1"/>
  <c r="O630" i="7"/>
  <c r="Z630" i="7" s="1"/>
  <c r="BR630" i="17"/>
  <c r="BS630" i="17" s="1"/>
  <c r="BT630" i="17" s="1"/>
  <c r="L655" i="7"/>
  <c r="U655" i="7" s="1"/>
  <c r="AZ655" i="17"/>
  <c r="BA655" i="17" s="1"/>
  <c r="BB655" i="17" s="1"/>
  <c r="K656" i="7"/>
  <c r="T656" i="7" s="1"/>
  <c r="AT656" i="17"/>
  <c r="AU656" i="17" s="1"/>
  <c r="AV656" i="17" s="1"/>
  <c r="BL683" i="17"/>
  <c r="BM683" i="17" s="1"/>
  <c r="BN683" i="17" s="1"/>
  <c r="N683" i="7"/>
  <c r="W683" i="7" s="1"/>
  <c r="AT765" i="17"/>
  <c r="AU765" i="17" s="1"/>
  <c r="AV765" i="17" s="1"/>
  <c r="M767" i="7"/>
  <c r="V767" i="7" s="1"/>
  <c r="BF767" i="17"/>
  <c r="BG767" i="17" s="1"/>
  <c r="BH767" i="17" s="1"/>
  <c r="N769" i="7"/>
  <c r="W769" i="7" s="1"/>
  <c r="BL768" i="17"/>
  <c r="BM768" i="17" s="1"/>
  <c r="BN768" i="17" s="1"/>
  <c r="BL769" i="17"/>
  <c r="BM769" i="17" s="1"/>
  <c r="BN769" i="17" s="1"/>
  <c r="O771" i="7"/>
  <c r="Z771" i="7" s="1"/>
  <c r="BR770" i="17"/>
  <c r="BS770" i="17" s="1"/>
  <c r="BT770" i="17" s="1"/>
  <c r="BX771" i="17"/>
  <c r="BY771" i="17" s="1"/>
  <c r="BZ771" i="17" s="1"/>
  <c r="M783" i="7"/>
  <c r="V783" i="7" s="1"/>
  <c r="BF783" i="17"/>
  <c r="BG783" i="17" s="1"/>
  <c r="BH783" i="17" s="1"/>
  <c r="N169" i="7"/>
  <c r="W169" i="7" s="1"/>
  <c r="O172" i="7"/>
  <c r="Z172" i="7" s="1"/>
  <c r="M178" i="7"/>
  <c r="V178" i="7" s="1"/>
  <c r="M180" i="7"/>
  <c r="V180" i="7" s="1"/>
  <c r="L181" i="7"/>
  <c r="U181" i="7" s="1"/>
  <c r="M182" i="7"/>
  <c r="V182" i="7" s="1"/>
  <c r="N183" i="7"/>
  <c r="W183" i="7" s="1"/>
  <c r="P186" i="7"/>
  <c r="AA186" i="7" s="1"/>
  <c r="Q188" i="7"/>
  <c r="X188" i="7" s="1"/>
  <c r="Q190" i="7"/>
  <c r="X190" i="7" s="1"/>
  <c r="P192" i="7"/>
  <c r="AA192" i="7" s="1"/>
  <c r="M195" i="7"/>
  <c r="V195" i="7" s="1"/>
  <c r="M196" i="7"/>
  <c r="V196" i="7" s="1"/>
  <c r="S204" i="7"/>
  <c r="S206" i="7"/>
  <c r="S207" i="7"/>
  <c r="Y207" i="7" s="1"/>
  <c r="P210" i="7"/>
  <c r="AA210" i="7" s="1"/>
  <c r="O224" i="7"/>
  <c r="Z224" i="7" s="1"/>
  <c r="M226" i="7"/>
  <c r="V226" i="7" s="1"/>
  <c r="R232" i="7"/>
  <c r="O234" i="7"/>
  <c r="Z234" i="7" s="1"/>
  <c r="N235" i="7"/>
  <c r="W235" i="7" s="1"/>
  <c r="Q246" i="7"/>
  <c r="X246" i="7" s="1"/>
  <c r="N252" i="7"/>
  <c r="W252" i="7" s="1"/>
  <c r="BF253" i="17"/>
  <c r="BG253" i="17" s="1"/>
  <c r="BH253" i="17" s="1"/>
  <c r="AZ254" i="17"/>
  <c r="BA254" i="17" s="1"/>
  <c r="BB254" i="17" s="1"/>
  <c r="K255" i="7"/>
  <c r="T255" i="7" s="1"/>
  <c r="AT255" i="17"/>
  <c r="AU255" i="17" s="1"/>
  <c r="AV255" i="17" s="1"/>
  <c r="S258" i="7"/>
  <c r="BX260" i="17"/>
  <c r="BY260" i="17" s="1"/>
  <c r="BZ260" i="17" s="1"/>
  <c r="N261" i="7"/>
  <c r="W261" i="7" s="1"/>
  <c r="BL261" i="17"/>
  <c r="BM261" i="17" s="1"/>
  <c r="BN261" i="17" s="1"/>
  <c r="BF262" i="17"/>
  <c r="BG262" i="17" s="1"/>
  <c r="BH262" i="17" s="1"/>
  <c r="AT263" i="17"/>
  <c r="AU263" i="17" s="1"/>
  <c r="AV263" i="17" s="1"/>
  <c r="AZ264" i="17"/>
  <c r="BA264" i="17" s="1"/>
  <c r="BB264" i="17" s="1"/>
  <c r="P269" i="7"/>
  <c r="AA269" i="7" s="1"/>
  <c r="BX269" i="17"/>
  <c r="BY269" i="17" s="1"/>
  <c r="BZ269" i="17" s="1"/>
  <c r="BX270" i="17"/>
  <c r="BY270" i="17" s="1"/>
  <c r="BZ270" i="17" s="1"/>
  <c r="O272" i="7"/>
  <c r="Z272" i="7" s="1"/>
  <c r="BR271" i="17"/>
  <c r="BS271" i="17" s="1"/>
  <c r="BT271" i="17" s="1"/>
  <c r="O273" i="7"/>
  <c r="Z273" i="7" s="1"/>
  <c r="BR272" i="17"/>
  <c r="BS272" i="17" s="1"/>
  <c r="BT272" i="17" s="1"/>
  <c r="O274" i="7"/>
  <c r="Z274" i="7" s="1"/>
  <c r="BR273" i="17"/>
  <c r="BS273" i="17" s="1"/>
  <c r="BT273" i="17" s="1"/>
  <c r="BR274" i="17"/>
  <c r="BS274" i="17" s="1"/>
  <c r="BT274" i="17" s="1"/>
  <c r="BL275" i="17"/>
  <c r="BM275" i="17" s="1"/>
  <c r="BN275" i="17" s="1"/>
  <c r="O277" i="7"/>
  <c r="Z277" i="7" s="1"/>
  <c r="BR276" i="17"/>
  <c r="BS276" i="17" s="1"/>
  <c r="BT276" i="17" s="1"/>
  <c r="O278" i="7"/>
  <c r="Z278" i="7" s="1"/>
  <c r="BR277" i="17"/>
  <c r="BS277" i="17" s="1"/>
  <c r="BT277" i="17" s="1"/>
  <c r="P278" i="7"/>
  <c r="AA278" i="7" s="1"/>
  <c r="BX278" i="17"/>
  <c r="BY278" i="17" s="1"/>
  <c r="BZ278" i="17" s="1"/>
  <c r="BR279" i="17"/>
  <c r="BS279" i="17" s="1"/>
  <c r="BT279" i="17" s="1"/>
  <c r="P280" i="7"/>
  <c r="AA280" i="7" s="1"/>
  <c r="BX280" i="17"/>
  <c r="BY280" i="17" s="1"/>
  <c r="BZ280" i="17" s="1"/>
  <c r="O282" i="7"/>
  <c r="Z282" i="7" s="1"/>
  <c r="BR281" i="17"/>
  <c r="BS281" i="17" s="1"/>
  <c r="BT281" i="17" s="1"/>
  <c r="O283" i="7"/>
  <c r="Z283" i="7" s="1"/>
  <c r="BR282" i="17"/>
  <c r="BS282" i="17" s="1"/>
  <c r="BT282" i="17" s="1"/>
  <c r="BL283" i="17"/>
  <c r="BM283" i="17" s="1"/>
  <c r="BN283" i="17" s="1"/>
  <c r="N284" i="7"/>
  <c r="W284" i="7" s="1"/>
  <c r="BL284" i="17"/>
  <c r="BM284" i="17" s="1"/>
  <c r="BN284" i="17" s="1"/>
  <c r="O286" i="7"/>
  <c r="Z286" i="7" s="1"/>
  <c r="BR285" i="17"/>
  <c r="BS285" i="17" s="1"/>
  <c r="BT285" i="17" s="1"/>
  <c r="N286" i="7"/>
  <c r="W286" i="7" s="1"/>
  <c r="BL286" i="17"/>
  <c r="BM286" i="17" s="1"/>
  <c r="BN286" i="17" s="1"/>
  <c r="BL287" i="17"/>
  <c r="BM287" i="17" s="1"/>
  <c r="BN287" i="17" s="1"/>
  <c r="N288" i="7"/>
  <c r="W288" i="7" s="1"/>
  <c r="BL288" i="17"/>
  <c r="BM288" i="17" s="1"/>
  <c r="BN288" i="17" s="1"/>
  <c r="BF289" i="17"/>
  <c r="BG289" i="17" s="1"/>
  <c r="BH289" i="17" s="1"/>
  <c r="M290" i="7"/>
  <c r="V290" i="7" s="1"/>
  <c r="BF290" i="17"/>
  <c r="BG290" i="17" s="1"/>
  <c r="BH290" i="17" s="1"/>
  <c r="BL291" i="17"/>
  <c r="BM291" i="17" s="1"/>
  <c r="BN291" i="17" s="1"/>
  <c r="L292" i="7"/>
  <c r="U292" i="7" s="1"/>
  <c r="AZ292" i="17"/>
  <c r="BA292" i="17" s="1"/>
  <c r="BB292" i="17" s="1"/>
  <c r="L294" i="7"/>
  <c r="U294" i="7" s="1"/>
  <c r="AZ293" i="17"/>
  <c r="BA293" i="17" s="1"/>
  <c r="BB293" i="17" s="1"/>
  <c r="AZ294" i="17"/>
  <c r="BA294" i="17" s="1"/>
  <c r="BB294" i="17" s="1"/>
  <c r="AT297" i="17"/>
  <c r="AU297" i="17" s="1"/>
  <c r="AV297" i="17" s="1"/>
  <c r="AT300" i="17"/>
  <c r="AU300" i="17" s="1"/>
  <c r="AV300" i="17" s="1"/>
  <c r="P303" i="7"/>
  <c r="AA303" i="7" s="1"/>
  <c r="S308" i="7"/>
  <c r="R311" i="7"/>
  <c r="Q313" i="7"/>
  <c r="X313" i="7" s="1"/>
  <c r="BX315" i="17"/>
  <c r="BY315" i="17" s="1"/>
  <c r="BZ315" i="17" s="1"/>
  <c r="P316" i="7"/>
  <c r="AA316" i="7" s="1"/>
  <c r="BX316" i="17"/>
  <c r="BY316" i="17" s="1"/>
  <c r="BZ316" i="17" s="1"/>
  <c r="BX317" i="17"/>
  <c r="BY317" i="17" s="1"/>
  <c r="BZ317" i="17" s="1"/>
  <c r="BR318" i="17"/>
  <c r="BS318" i="17" s="1"/>
  <c r="BT318" i="17" s="1"/>
  <c r="O319" i="7"/>
  <c r="Z319" i="7" s="1"/>
  <c r="BR319" i="17"/>
  <c r="BS319" i="17" s="1"/>
  <c r="BT319" i="17" s="1"/>
  <c r="BL320" i="17"/>
  <c r="BM320" i="17" s="1"/>
  <c r="BN320" i="17" s="1"/>
  <c r="BF321" i="17"/>
  <c r="BG321" i="17" s="1"/>
  <c r="BH321" i="17" s="1"/>
  <c r="BL322" i="17"/>
  <c r="BM322" i="17" s="1"/>
  <c r="BN322" i="17" s="1"/>
  <c r="M324" i="7"/>
  <c r="V324" i="7" s="1"/>
  <c r="BF323" i="17"/>
  <c r="BG323" i="17" s="1"/>
  <c r="BH323" i="17" s="1"/>
  <c r="BF324" i="17"/>
  <c r="BG324" i="17" s="1"/>
  <c r="BH324" i="17" s="1"/>
  <c r="BL325" i="17"/>
  <c r="BM325" i="17" s="1"/>
  <c r="BN325" i="17" s="1"/>
  <c r="BL326" i="17"/>
  <c r="BM326" i="17" s="1"/>
  <c r="BN326" i="17" s="1"/>
  <c r="BF327" i="17"/>
  <c r="BG327" i="17" s="1"/>
  <c r="BH327" i="17" s="1"/>
  <c r="L328" i="7"/>
  <c r="U328" i="7" s="1"/>
  <c r="AZ328" i="17"/>
  <c r="BA328" i="17" s="1"/>
  <c r="BB328" i="17" s="1"/>
  <c r="L329" i="7"/>
  <c r="U329" i="7" s="1"/>
  <c r="AZ329" i="17"/>
  <c r="BA329" i="17" s="1"/>
  <c r="BB329" i="17" s="1"/>
  <c r="M330" i="7"/>
  <c r="V330" i="7" s="1"/>
  <c r="BF330" i="17"/>
  <c r="BG330" i="17" s="1"/>
  <c r="BH330" i="17" s="1"/>
  <c r="AZ331" i="17"/>
  <c r="BA331" i="17" s="1"/>
  <c r="BB331" i="17" s="1"/>
  <c r="AT332" i="17"/>
  <c r="AU332" i="17" s="1"/>
  <c r="AV332" i="17" s="1"/>
  <c r="S337" i="7"/>
  <c r="S338" i="7"/>
  <c r="R341" i="7"/>
  <c r="S342" i="7"/>
  <c r="Y342" i="7" s="1"/>
  <c r="R342" i="7"/>
  <c r="BX354" i="17"/>
  <c r="BY354" i="17" s="1"/>
  <c r="BZ354" i="17" s="1"/>
  <c r="P355" i="7"/>
  <c r="AA355" i="7" s="1"/>
  <c r="BX355" i="17"/>
  <c r="BY355" i="17" s="1"/>
  <c r="BZ355" i="17" s="1"/>
  <c r="BX356" i="17"/>
  <c r="BY356" i="17" s="1"/>
  <c r="BZ356" i="17" s="1"/>
  <c r="P357" i="7"/>
  <c r="AA357" i="7" s="1"/>
  <c r="BX357" i="17"/>
  <c r="BY357" i="17" s="1"/>
  <c r="BZ357" i="17" s="1"/>
  <c r="BX358" i="17"/>
  <c r="BY358" i="17" s="1"/>
  <c r="BZ358" i="17" s="1"/>
  <c r="BR359" i="17"/>
  <c r="BS359" i="17" s="1"/>
  <c r="BT359" i="17" s="1"/>
  <c r="N360" i="7"/>
  <c r="W360" i="7" s="1"/>
  <c r="BL360" i="17"/>
  <c r="BM360" i="17" s="1"/>
  <c r="BN360" i="17" s="1"/>
  <c r="BL361" i="17"/>
  <c r="BM361" i="17" s="1"/>
  <c r="BN361" i="17" s="1"/>
  <c r="N362" i="7"/>
  <c r="W362" i="7" s="1"/>
  <c r="BL362" i="17"/>
  <c r="BM362" i="17" s="1"/>
  <c r="BN362" i="17" s="1"/>
  <c r="BR363" i="17"/>
  <c r="BS363" i="17" s="1"/>
  <c r="BT363" i="17" s="1"/>
  <c r="BF364" i="17"/>
  <c r="BG364" i="17" s="1"/>
  <c r="BH364" i="17" s="1"/>
  <c r="M365" i="7"/>
  <c r="V365" i="7" s="1"/>
  <c r="BF365" i="17"/>
  <c r="BG365" i="17" s="1"/>
  <c r="BH365" i="17" s="1"/>
  <c r="AZ366" i="17"/>
  <c r="BA366" i="17" s="1"/>
  <c r="BB366" i="17" s="1"/>
  <c r="L367" i="7"/>
  <c r="U367" i="7" s="1"/>
  <c r="AZ367" i="17"/>
  <c r="BA367" i="17" s="1"/>
  <c r="BB367" i="17" s="1"/>
  <c r="M369" i="7"/>
  <c r="V369" i="7" s="1"/>
  <c r="BF368" i="17"/>
  <c r="BG368" i="17" s="1"/>
  <c r="BH368" i="17" s="1"/>
  <c r="BF369" i="17"/>
  <c r="BG369" i="17" s="1"/>
  <c r="BH369" i="17" s="1"/>
  <c r="M371" i="7"/>
  <c r="V371" i="7" s="1"/>
  <c r="BF370" i="17"/>
  <c r="BG370" i="17" s="1"/>
  <c r="BH370" i="17" s="1"/>
  <c r="AZ371" i="17"/>
  <c r="BA371" i="17" s="1"/>
  <c r="BB371" i="17" s="1"/>
  <c r="L372" i="7"/>
  <c r="U372" i="7" s="1"/>
  <c r="AZ372" i="17"/>
  <c r="BA372" i="17" s="1"/>
  <c r="BB372" i="17" s="1"/>
  <c r="AZ373" i="17"/>
  <c r="BA373" i="17" s="1"/>
  <c r="BB373" i="17" s="1"/>
  <c r="M374" i="7"/>
  <c r="V374" i="7" s="1"/>
  <c r="BF374" i="17"/>
  <c r="BG374" i="17" s="1"/>
  <c r="BH374" i="17" s="1"/>
  <c r="BL375" i="17"/>
  <c r="BM375" i="17" s="1"/>
  <c r="BN375" i="17" s="1"/>
  <c r="AZ376" i="17"/>
  <c r="BA376" i="17" s="1"/>
  <c r="BB376" i="17" s="1"/>
  <c r="AZ377" i="17"/>
  <c r="BA377" i="17" s="1"/>
  <c r="BB377" i="17" s="1"/>
  <c r="AT378" i="17"/>
  <c r="AU378" i="17" s="1"/>
  <c r="AV378" i="17" s="1"/>
  <c r="AT379" i="17"/>
  <c r="AU379" i="17" s="1"/>
  <c r="AV379" i="17" s="1"/>
  <c r="K380" i="7"/>
  <c r="T380" i="7" s="1"/>
  <c r="AT380" i="17"/>
  <c r="AU380" i="17" s="1"/>
  <c r="AV380" i="17" s="1"/>
  <c r="AT381" i="17"/>
  <c r="AU381" i="17" s="1"/>
  <c r="AV381" i="17" s="1"/>
  <c r="K382" i="7"/>
  <c r="T382" i="7" s="1"/>
  <c r="AT382" i="17"/>
  <c r="AU382" i="17" s="1"/>
  <c r="AV382" i="17" s="1"/>
  <c r="S390" i="7"/>
  <c r="R394" i="7"/>
  <c r="P395" i="7"/>
  <c r="AA395" i="7" s="1"/>
  <c r="BX395" i="17"/>
  <c r="BY395" i="17" s="1"/>
  <c r="BZ395" i="17" s="1"/>
  <c r="BR397" i="17"/>
  <c r="BS397" i="17" s="1"/>
  <c r="BT397" i="17" s="1"/>
  <c r="N398" i="7"/>
  <c r="W398" i="7" s="1"/>
  <c r="BL398" i="17"/>
  <c r="BM398" i="17" s="1"/>
  <c r="BN398" i="17" s="1"/>
  <c r="BF399" i="17"/>
  <c r="BG399" i="17" s="1"/>
  <c r="BH399" i="17" s="1"/>
  <c r="M400" i="7"/>
  <c r="V400" i="7" s="1"/>
  <c r="BF400" i="17"/>
  <c r="BG400" i="17" s="1"/>
  <c r="BH400" i="17" s="1"/>
  <c r="BF401" i="17"/>
  <c r="BG401" i="17" s="1"/>
  <c r="BH401" i="17" s="1"/>
  <c r="AT402" i="17"/>
  <c r="AU402" i="17" s="1"/>
  <c r="AV402" i="17" s="1"/>
  <c r="AT404" i="17"/>
  <c r="AU404" i="17" s="1"/>
  <c r="AV404" i="17" s="1"/>
  <c r="AT405" i="17"/>
  <c r="AU405" i="17" s="1"/>
  <c r="AV405" i="17" s="1"/>
  <c r="K406" i="7"/>
  <c r="T406" i="7" s="1"/>
  <c r="S407" i="7"/>
  <c r="P409" i="7"/>
  <c r="AA409" i="7" s="1"/>
  <c r="BX409" i="17"/>
  <c r="BY409" i="17" s="1"/>
  <c r="BZ409" i="17" s="1"/>
  <c r="BX410" i="17"/>
  <c r="BY410" i="17" s="1"/>
  <c r="BZ410" i="17" s="1"/>
  <c r="BX412" i="17"/>
  <c r="BY412" i="17" s="1"/>
  <c r="BZ412" i="17" s="1"/>
  <c r="BX414" i="17"/>
  <c r="BY414" i="17" s="1"/>
  <c r="BZ414" i="17" s="1"/>
  <c r="BX415" i="17"/>
  <c r="BY415" i="17" s="1"/>
  <c r="BZ415" i="17" s="1"/>
  <c r="Q418" i="7"/>
  <c r="X418" i="7" s="1"/>
  <c r="BX419" i="17"/>
  <c r="BY419" i="17" s="1"/>
  <c r="BZ419" i="17" s="1"/>
  <c r="R421" i="7"/>
  <c r="BX423" i="17"/>
  <c r="BY423" i="17" s="1"/>
  <c r="BZ423" i="17" s="1"/>
  <c r="BX424" i="17"/>
  <c r="BY424" i="17" s="1"/>
  <c r="BZ424" i="17" s="1"/>
  <c r="BF425" i="17"/>
  <c r="BG425" i="17" s="1"/>
  <c r="BH425" i="17" s="1"/>
  <c r="BF426" i="17"/>
  <c r="BG426" i="17" s="1"/>
  <c r="BH426" i="17" s="1"/>
  <c r="M427" i="7"/>
  <c r="V427" i="7" s="1"/>
  <c r="BF427" i="17"/>
  <c r="BG427" i="17" s="1"/>
  <c r="BH427" i="17" s="1"/>
  <c r="M428" i="7"/>
  <c r="V428" i="7" s="1"/>
  <c r="BF428" i="17"/>
  <c r="BG428" i="17" s="1"/>
  <c r="BH428" i="17" s="1"/>
  <c r="AT429" i="17"/>
  <c r="AU429" i="17" s="1"/>
  <c r="AV429" i="17" s="1"/>
  <c r="L430" i="7"/>
  <c r="U430" i="7" s="1"/>
  <c r="AZ430" i="17"/>
  <c r="BA430" i="17" s="1"/>
  <c r="BB430" i="17" s="1"/>
  <c r="M431" i="7"/>
  <c r="V431" i="7" s="1"/>
  <c r="BF431" i="17"/>
  <c r="BG431" i="17" s="1"/>
  <c r="BH431" i="17" s="1"/>
  <c r="L432" i="7"/>
  <c r="U432" i="7" s="1"/>
  <c r="AZ432" i="17"/>
  <c r="BA432" i="17" s="1"/>
  <c r="BB432" i="17" s="1"/>
  <c r="AT433" i="17"/>
  <c r="AU433" i="17" s="1"/>
  <c r="AV433" i="17" s="1"/>
  <c r="S436" i="7"/>
  <c r="Y436" i="7" s="1"/>
  <c r="R438" i="7"/>
  <c r="BR441" i="17"/>
  <c r="BS441" i="17" s="1"/>
  <c r="BT441" i="17" s="1"/>
  <c r="P442" i="7"/>
  <c r="AA442" i="7" s="1"/>
  <c r="BX442" i="17"/>
  <c r="BY442" i="17" s="1"/>
  <c r="BZ442" i="17" s="1"/>
  <c r="P444" i="7"/>
  <c r="AA444" i="7" s="1"/>
  <c r="BX444" i="17"/>
  <c r="BY444" i="17" s="1"/>
  <c r="BZ444" i="17" s="1"/>
  <c r="BX445" i="17"/>
  <c r="BY445" i="17" s="1"/>
  <c r="BZ445" i="17" s="1"/>
  <c r="P446" i="7"/>
  <c r="AA446" i="7" s="1"/>
  <c r="BX446" i="17"/>
  <c r="BY446" i="17" s="1"/>
  <c r="BZ446" i="17" s="1"/>
  <c r="Q447" i="7"/>
  <c r="X447" i="7" s="1"/>
  <c r="P448" i="7"/>
  <c r="AA448" i="7" s="1"/>
  <c r="BX448" i="17"/>
  <c r="BY448" i="17" s="1"/>
  <c r="BZ448" i="17" s="1"/>
  <c r="O450" i="7"/>
  <c r="Z450" i="7" s="1"/>
  <c r="BR450" i="17"/>
  <c r="BS450" i="17" s="1"/>
  <c r="BT450" i="17" s="1"/>
  <c r="BF451" i="17"/>
  <c r="BG451" i="17" s="1"/>
  <c r="BH451" i="17" s="1"/>
  <c r="M452" i="7"/>
  <c r="V452" i="7" s="1"/>
  <c r="BF452" i="17"/>
  <c r="BG452" i="17" s="1"/>
  <c r="BH452" i="17" s="1"/>
  <c r="AT453" i="17"/>
  <c r="AU453" i="17" s="1"/>
  <c r="AV453" i="17" s="1"/>
  <c r="K454" i="7"/>
  <c r="T454" i="7" s="1"/>
  <c r="AT454" i="17"/>
  <c r="AU454" i="17" s="1"/>
  <c r="AV454" i="17" s="1"/>
  <c r="P460" i="7"/>
  <c r="AA460" i="7" s="1"/>
  <c r="BX460" i="17"/>
  <c r="BY460" i="17" s="1"/>
  <c r="BZ460" i="17" s="1"/>
  <c r="N461" i="7"/>
  <c r="W461" i="7" s="1"/>
  <c r="BL461" i="17"/>
  <c r="BM461" i="17" s="1"/>
  <c r="BN461" i="17" s="1"/>
  <c r="L463" i="7"/>
  <c r="U463" i="7" s="1"/>
  <c r="AZ462" i="17"/>
  <c r="BA462" i="17" s="1"/>
  <c r="BB462" i="17" s="1"/>
  <c r="BR467" i="17"/>
  <c r="BS467" i="17" s="1"/>
  <c r="BT467" i="17" s="1"/>
  <c r="BR468" i="17"/>
  <c r="BS468" i="17" s="1"/>
  <c r="BT468" i="17" s="1"/>
  <c r="O468" i="7"/>
  <c r="Z468" i="7" s="1"/>
  <c r="BR469" i="17"/>
  <c r="BS469" i="17" s="1"/>
  <c r="BT469" i="17" s="1"/>
  <c r="N470" i="7"/>
  <c r="W470" i="7" s="1"/>
  <c r="BL470" i="17"/>
  <c r="BM470" i="17" s="1"/>
  <c r="BN470" i="17" s="1"/>
  <c r="M471" i="7"/>
  <c r="V471" i="7" s="1"/>
  <c r="BF471" i="17"/>
  <c r="BG471" i="17" s="1"/>
  <c r="BH471" i="17" s="1"/>
  <c r="M472" i="7"/>
  <c r="V472" i="7" s="1"/>
  <c r="BF472" i="17"/>
  <c r="BG472" i="17" s="1"/>
  <c r="BH472" i="17" s="1"/>
  <c r="N473" i="7"/>
  <c r="W473" i="7" s="1"/>
  <c r="BL473" i="17"/>
  <c r="BM473" i="17" s="1"/>
  <c r="BN473" i="17" s="1"/>
  <c r="BL474" i="17"/>
  <c r="BM474" i="17" s="1"/>
  <c r="BN474" i="17" s="1"/>
  <c r="BX477" i="17"/>
  <c r="BY477" i="17" s="1"/>
  <c r="BZ477" i="17" s="1"/>
  <c r="BF478" i="17"/>
  <c r="BG478" i="17" s="1"/>
  <c r="BH478" i="17" s="1"/>
  <c r="BF479" i="17"/>
  <c r="BG479" i="17" s="1"/>
  <c r="BH479" i="17" s="1"/>
  <c r="BF480" i="17"/>
  <c r="BG480" i="17" s="1"/>
  <c r="BH480" i="17" s="1"/>
  <c r="M480" i="7"/>
  <c r="V480" i="7" s="1"/>
  <c r="L485" i="7"/>
  <c r="U485" i="7" s="1"/>
  <c r="AZ484" i="17"/>
  <c r="BA484" i="17" s="1"/>
  <c r="BB484" i="17" s="1"/>
  <c r="O487" i="7"/>
  <c r="Z487" i="7" s="1"/>
  <c r="BR487" i="17"/>
  <c r="BS487" i="17" s="1"/>
  <c r="BT487" i="17" s="1"/>
  <c r="O488" i="7"/>
  <c r="Z488" i="7" s="1"/>
  <c r="M488" i="7"/>
  <c r="V488" i="7" s="1"/>
  <c r="BF488" i="17"/>
  <c r="BG488" i="17" s="1"/>
  <c r="BH488" i="17" s="1"/>
  <c r="P500" i="7"/>
  <c r="AA500" i="7" s="1"/>
  <c r="BL508" i="17"/>
  <c r="BM508" i="17" s="1"/>
  <c r="BN508" i="17" s="1"/>
  <c r="S517" i="7"/>
  <c r="R543" i="7"/>
  <c r="AZ578" i="17"/>
  <c r="BA578" i="17" s="1"/>
  <c r="BB578" i="17" s="1"/>
  <c r="L579" i="7"/>
  <c r="U579" i="7" s="1"/>
  <c r="AZ579" i="17"/>
  <c r="BA579" i="17" s="1"/>
  <c r="BB579" i="17" s="1"/>
  <c r="K599" i="7"/>
  <c r="T599" i="7" s="1"/>
  <c r="AT599" i="17"/>
  <c r="AU599" i="17" s="1"/>
  <c r="AV599" i="17" s="1"/>
  <c r="BR612" i="17"/>
  <c r="BS612" i="17" s="1"/>
  <c r="BT612" i="17" s="1"/>
  <c r="BX621" i="17"/>
  <c r="BY621" i="17" s="1"/>
  <c r="BZ621" i="17" s="1"/>
  <c r="S639" i="7"/>
  <c r="BR703" i="17"/>
  <c r="BS703" i="17" s="1"/>
  <c r="BT703" i="17" s="1"/>
  <c r="P704" i="7"/>
  <c r="AA704" i="7" s="1"/>
  <c r="BX704" i="17"/>
  <c r="BY704" i="17" s="1"/>
  <c r="BZ704" i="17" s="1"/>
  <c r="O720" i="7"/>
  <c r="Z720" i="7" s="1"/>
  <c r="BR719" i="17"/>
  <c r="BS719" i="17" s="1"/>
  <c r="BT719" i="17" s="1"/>
  <c r="P721" i="7"/>
  <c r="AA721" i="7" s="1"/>
  <c r="BX720" i="17"/>
  <c r="BY720" i="17" s="1"/>
  <c r="BZ720" i="17" s="1"/>
  <c r="BX721" i="17"/>
  <c r="BY721" i="17" s="1"/>
  <c r="BZ721" i="17" s="1"/>
  <c r="Q186" i="7"/>
  <c r="X186" i="7" s="1"/>
  <c r="R248" i="7"/>
  <c r="BL253" i="17"/>
  <c r="BM253" i="17" s="1"/>
  <c r="BN253" i="17" s="1"/>
  <c r="BF254" i="17"/>
  <c r="BG254" i="17" s="1"/>
  <c r="BH254" i="17" s="1"/>
  <c r="L255" i="7"/>
  <c r="U255" i="7" s="1"/>
  <c r="AZ255" i="17"/>
  <c r="BA255" i="17" s="1"/>
  <c r="BB255" i="17" s="1"/>
  <c r="Q260" i="7"/>
  <c r="X260" i="7" s="1"/>
  <c r="BR261" i="17"/>
  <c r="BS261" i="17" s="1"/>
  <c r="BT261" i="17" s="1"/>
  <c r="BL262" i="17"/>
  <c r="BM262" i="17" s="1"/>
  <c r="BN262" i="17" s="1"/>
  <c r="L263" i="7"/>
  <c r="U263" i="7" s="1"/>
  <c r="AZ263" i="17"/>
  <c r="BA263" i="17" s="1"/>
  <c r="BB263" i="17" s="1"/>
  <c r="BF264" i="17"/>
  <c r="BG264" i="17" s="1"/>
  <c r="BH264" i="17" s="1"/>
  <c r="K265" i="7"/>
  <c r="T265" i="7" s="1"/>
  <c r="AT265" i="17"/>
  <c r="AU265" i="17" s="1"/>
  <c r="AV265" i="17" s="1"/>
  <c r="BX271" i="17"/>
  <c r="BY271" i="17" s="1"/>
  <c r="BZ271" i="17" s="1"/>
  <c r="BX272" i="17"/>
  <c r="BY272" i="17" s="1"/>
  <c r="BZ272" i="17" s="1"/>
  <c r="BX273" i="17"/>
  <c r="BY273" i="17" s="1"/>
  <c r="BZ273" i="17" s="1"/>
  <c r="BX274" i="17"/>
  <c r="BY274" i="17" s="1"/>
  <c r="BZ274" i="17" s="1"/>
  <c r="BR275" i="17"/>
  <c r="BS275" i="17" s="1"/>
  <c r="BT275" i="17" s="1"/>
  <c r="BX276" i="17"/>
  <c r="BY276" i="17" s="1"/>
  <c r="BZ276" i="17" s="1"/>
  <c r="P277" i="7"/>
  <c r="AA277" i="7" s="1"/>
  <c r="BX277" i="17"/>
  <c r="BY277" i="17" s="1"/>
  <c r="BZ277" i="17" s="1"/>
  <c r="P279" i="7"/>
  <c r="AA279" i="7" s="1"/>
  <c r="BX279" i="17"/>
  <c r="BY279" i="17" s="1"/>
  <c r="BZ279" i="17" s="1"/>
  <c r="BX281" i="17"/>
  <c r="BY281" i="17" s="1"/>
  <c r="BZ281" i="17" s="1"/>
  <c r="BX282" i="17"/>
  <c r="BY282" i="17" s="1"/>
  <c r="BZ282" i="17" s="1"/>
  <c r="O284" i="7"/>
  <c r="Z284" i="7" s="1"/>
  <c r="BR283" i="17"/>
  <c r="BS283" i="17" s="1"/>
  <c r="BT283" i="17" s="1"/>
  <c r="BR284" i="17"/>
  <c r="BS284" i="17" s="1"/>
  <c r="BT284" i="17" s="1"/>
  <c r="BX285" i="17"/>
  <c r="BY285" i="17" s="1"/>
  <c r="BZ285" i="17" s="1"/>
  <c r="BR286" i="17"/>
  <c r="BS286" i="17" s="1"/>
  <c r="BT286" i="17" s="1"/>
  <c r="BR287" i="17"/>
  <c r="BS287" i="17" s="1"/>
  <c r="BT287" i="17" s="1"/>
  <c r="O289" i="7"/>
  <c r="Z289" i="7" s="1"/>
  <c r="BR288" i="17"/>
  <c r="BS288" i="17" s="1"/>
  <c r="BT288" i="17" s="1"/>
  <c r="BL289" i="17"/>
  <c r="BM289" i="17" s="1"/>
  <c r="BN289" i="17" s="1"/>
  <c r="BL290" i="17"/>
  <c r="BM290" i="17" s="1"/>
  <c r="BN290" i="17" s="1"/>
  <c r="BR291" i="17"/>
  <c r="BS291" i="17" s="1"/>
  <c r="BT291" i="17" s="1"/>
  <c r="BF292" i="17"/>
  <c r="BG292" i="17" s="1"/>
  <c r="BH292" i="17" s="1"/>
  <c r="BF293" i="17"/>
  <c r="BG293" i="17" s="1"/>
  <c r="BH293" i="17" s="1"/>
  <c r="M294" i="7"/>
  <c r="V294" i="7" s="1"/>
  <c r="BF294" i="17"/>
  <c r="BG294" i="17" s="1"/>
  <c r="BH294" i="17" s="1"/>
  <c r="AT295" i="17"/>
  <c r="AU295" i="17" s="1"/>
  <c r="AV295" i="17" s="1"/>
  <c r="AT296" i="17"/>
  <c r="AU296" i="17" s="1"/>
  <c r="AV296" i="17" s="1"/>
  <c r="AZ297" i="17"/>
  <c r="BA297" i="17" s="1"/>
  <c r="BB297" i="17" s="1"/>
  <c r="AT298" i="17"/>
  <c r="AU298" i="17" s="1"/>
  <c r="AV298" i="17" s="1"/>
  <c r="AT299" i="17"/>
  <c r="AU299" i="17" s="1"/>
  <c r="AV299" i="17" s="1"/>
  <c r="L300" i="7"/>
  <c r="U300" i="7" s="1"/>
  <c r="AZ300" i="17"/>
  <c r="BA300" i="17" s="1"/>
  <c r="BB300" i="17" s="1"/>
  <c r="K301" i="7"/>
  <c r="T301" i="7" s="1"/>
  <c r="AT301" i="17"/>
  <c r="AU301" i="17" s="1"/>
  <c r="AV301" i="17" s="1"/>
  <c r="K302" i="7"/>
  <c r="T302" i="7" s="1"/>
  <c r="AT302" i="17"/>
  <c r="AU302" i="17" s="1"/>
  <c r="AV302" i="17" s="1"/>
  <c r="S309" i="7"/>
  <c r="R313" i="7"/>
  <c r="Q315" i="7"/>
  <c r="X315" i="7" s="1"/>
  <c r="Q316" i="7"/>
  <c r="X316" i="7" s="1"/>
  <c r="P318" i="7"/>
  <c r="AA318" i="7" s="1"/>
  <c r="BX318" i="17"/>
  <c r="BY318" i="17" s="1"/>
  <c r="BZ318" i="17" s="1"/>
  <c r="BX319" i="17"/>
  <c r="BY319" i="17" s="1"/>
  <c r="BZ319" i="17" s="1"/>
  <c r="BR320" i="17"/>
  <c r="BS320" i="17" s="1"/>
  <c r="BT320" i="17" s="1"/>
  <c r="N321" i="7"/>
  <c r="W321" i="7" s="1"/>
  <c r="BL321" i="17"/>
  <c r="BM321" i="17" s="1"/>
  <c r="BN321" i="17" s="1"/>
  <c r="BR322" i="17"/>
  <c r="BS322" i="17" s="1"/>
  <c r="BT322" i="17" s="1"/>
  <c r="N323" i="7"/>
  <c r="W323" i="7" s="1"/>
  <c r="BL323" i="17"/>
  <c r="BM323" i="17" s="1"/>
  <c r="BN323" i="17" s="1"/>
  <c r="N324" i="7"/>
  <c r="W324" i="7" s="1"/>
  <c r="BL324" i="17"/>
  <c r="BM324" i="17" s="1"/>
  <c r="BN324" i="17" s="1"/>
  <c r="O325" i="7"/>
  <c r="Z325" i="7" s="1"/>
  <c r="BR325" i="17"/>
  <c r="BS325" i="17" s="1"/>
  <c r="BT325" i="17" s="1"/>
  <c r="BR326" i="17"/>
  <c r="BS326" i="17" s="1"/>
  <c r="BT326" i="17" s="1"/>
  <c r="N327" i="7"/>
  <c r="W327" i="7" s="1"/>
  <c r="BL327" i="17"/>
  <c r="BM327" i="17" s="1"/>
  <c r="BN327" i="17" s="1"/>
  <c r="BF328" i="17"/>
  <c r="BG328" i="17" s="1"/>
  <c r="BH328" i="17" s="1"/>
  <c r="BF329" i="17"/>
  <c r="BG329" i="17" s="1"/>
  <c r="BH329" i="17" s="1"/>
  <c r="N331" i="7"/>
  <c r="W331" i="7" s="1"/>
  <c r="BL330" i="17"/>
  <c r="BM330" i="17" s="1"/>
  <c r="BN330" i="17" s="1"/>
  <c r="M331" i="7"/>
  <c r="V331" i="7" s="1"/>
  <c r="BF331" i="17"/>
  <c r="BG331" i="17" s="1"/>
  <c r="BH331" i="17" s="1"/>
  <c r="L332" i="7"/>
  <c r="U332" i="7" s="1"/>
  <c r="AZ332" i="17"/>
  <c r="BA332" i="17" s="1"/>
  <c r="BB332" i="17" s="1"/>
  <c r="AT333" i="17"/>
  <c r="AU333" i="17" s="1"/>
  <c r="AV333" i="17" s="1"/>
  <c r="S350" i="7"/>
  <c r="R352" i="7"/>
  <c r="Q354" i="7"/>
  <c r="X354" i="7" s="1"/>
  <c r="Q357" i="7"/>
  <c r="X357" i="7" s="1"/>
  <c r="P359" i="7"/>
  <c r="AA359" i="7" s="1"/>
  <c r="BX359" i="17"/>
  <c r="BY359" i="17" s="1"/>
  <c r="BZ359" i="17" s="1"/>
  <c r="O360" i="7"/>
  <c r="Z360" i="7" s="1"/>
  <c r="BR360" i="17"/>
  <c r="BS360" i="17" s="1"/>
  <c r="BT360" i="17" s="1"/>
  <c r="BR361" i="17"/>
  <c r="BS361" i="17" s="1"/>
  <c r="BT361" i="17" s="1"/>
  <c r="O362" i="7"/>
  <c r="Z362" i="7" s="1"/>
  <c r="BR362" i="17"/>
  <c r="BS362" i="17" s="1"/>
  <c r="BT362" i="17" s="1"/>
  <c r="BX363" i="17"/>
  <c r="BY363" i="17" s="1"/>
  <c r="BZ363" i="17" s="1"/>
  <c r="N364" i="7"/>
  <c r="W364" i="7" s="1"/>
  <c r="BL364" i="17"/>
  <c r="BM364" i="17" s="1"/>
  <c r="BN364" i="17" s="1"/>
  <c r="N366" i="7"/>
  <c r="W366" i="7" s="1"/>
  <c r="BL365" i="17"/>
  <c r="BM365" i="17" s="1"/>
  <c r="BN365" i="17" s="1"/>
  <c r="BF366" i="17"/>
  <c r="BG366" i="17" s="1"/>
  <c r="BH366" i="17" s="1"/>
  <c r="BF367" i="17"/>
  <c r="BG367" i="17" s="1"/>
  <c r="BH367" i="17" s="1"/>
  <c r="BL368" i="17"/>
  <c r="BM368" i="17" s="1"/>
  <c r="BN368" i="17" s="1"/>
  <c r="N369" i="7"/>
  <c r="W369" i="7" s="1"/>
  <c r="BL369" i="17"/>
  <c r="BM369" i="17" s="1"/>
  <c r="BN369" i="17" s="1"/>
  <c r="BL370" i="17"/>
  <c r="BM370" i="17" s="1"/>
  <c r="BN370" i="17" s="1"/>
  <c r="BF371" i="17"/>
  <c r="BG371" i="17" s="1"/>
  <c r="BH371" i="17" s="1"/>
  <c r="BF372" i="17"/>
  <c r="BG372" i="17" s="1"/>
  <c r="BH372" i="17" s="1"/>
  <c r="BF373" i="17"/>
  <c r="BG373" i="17" s="1"/>
  <c r="BH373" i="17" s="1"/>
  <c r="N374" i="7"/>
  <c r="W374" i="7" s="1"/>
  <c r="BL374" i="17"/>
  <c r="BM374" i="17" s="1"/>
  <c r="BN374" i="17" s="1"/>
  <c r="BR375" i="17"/>
  <c r="BS375" i="17" s="1"/>
  <c r="BT375" i="17" s="1"/>
  <c r="BF376" i="17"/>
  <c r="BG376" i="17" s="1"/>
  <c r="BH376" i="17" s="1"/>
  <c r="M377" i="7"/>
  <c r="V377" i="7" s="1"/>
  <c r="BF377" i="17"/>
  <c r="BG377" i="17" s="1"/>
  <c r="BH377" i="17" s="1"/>
  <c r="AZ378" i="17"/>
  <c r="BA378" i="17" s="1"/>
  <c r="BB378" i="17" s="1"/>
  <c r="L379" i="7"/>
  <c r="U379" i="7" s="1"/>
  <c r="AZ379" i="17"/>
  <c r="BA379" i="17" s="1"/>
  <c r="BB379" i="17" s="1"/>
  <c r="AZ380" i="17"/>
  <c r="BA380" i="17" s="1"/>
  <c r="BB380" i="17" s="1"/>
  <c r="AZ381" i="17"/>
  <c r="BA381" i="17" s="1"/>
  <c r="BB381" i="17" s="1"/>
  <c r="L382" i="7"/>
  <c r="U382" i="7" s="1"/>
  <c r="AZ382" i="17"/>
  <c r="BA382" i="17" s="1"/>
  <c r="BB382" i="17" s="1"/>
  <c r="AT383" i="17"/>
  <c r="AU383" i="17" s="1"/>
  <c r="AV383" i="17" s="1"/>
  <c r="K384" i="7"/>
  <c r="T384" i="7" s="1"/>
  <c r="AT384" i="17"/>
  <c r="AU384" i="17" s="1"/>
  <c r="AV384" i="17" s="1"/>
  <c r="R393" i="7"/>
  <c r="BX397" i="17"/>
  <c r="BY397" i="17" s="1"/>
  <c r="BZ397" i="17" s="1"/>
  <c r="O398" i="7"/>
  <c r="Z398" i="7" s="1"/>
  <c r="BR398" i="17"/>
  <c r="BS398" i="17" s="1"/>
  <c r="BT398" i="17" s="1"/>
  <c r="BL399" i="17"/>
  <c r="BM399" i="17" s="1"/>
  <c r="BN399" i="17" s="1"/>
  <c r="N400" i="7"/>
  <c r="W400" i="7" s="1"/>
  <c r="BL400" i="17"/>
  <c r="BM400" i="17" s="1"/>
  <c r="BN400" i="17" s="1"/>
  <c r="BL401" i="17"/>
  <c r="BM401" i="17" s="1"/>
  <c r="BN401" i="17" s="1"/>
  <c r="AZ402" i="17"/>
  <c r="BA402" i="17" s="1"/>
  <c r="BB402" i="17" s="1"/>
  <c r="AT403" i="17"/>
  <c r="AU403" i="17" s="1"/>
  <c r="AV403" i="17" s="1"/>
  <c r="L404" i="7"/>
  <c r="U404" i="7" s="1"/>
  <c r="AZ404" i="17"/>
  <c r="BA404" i="17" s="1"/>
  <c r="BB404" i="17" s="1"/>
  <c r="AZ405" i="17"/>
  <c r="BA405" i="17" s="1"/>
  <c r="BB405" i="17" s="1"/>
  <c r="BL425" i="17"/>
  <c r="BM425" i="17" s="1"/>
  <c r="BN425" i="17" s="1"/>
  <c r="N427" i="7"/>
  <c r="W427" i="7" s="1"/>
  <c r="BL426" i="17"/>
  <c r="BM426" i="17" s="1"/>
  <c r="BN426" i="17" s="1"/>
  <c r="BL427" i="17"/>
  <c r="BM427" i="17" s="1"/>
  <c r="BN427" i="17" s="1"/>
  <c r="N428" i="7"/>
  <c r="W428" i="7" s="1"/>
  <c r="BL428" i="17"/>
  <c r="BM428" i="17" s="1"/>
  <c r="BN428" i="17" s="1"/>
  <c r="AZ429" i="17"/>
  <c r="BA429" i="17" s="1"/>
  <c r="BB429" i="17" s="1"/>
  <c r="M430" i="7"/>
  <c r="V430" i="7" s="1"/>
  <c r="BF430" i="17"/>
  <c r="BG430" i="17" s="1"/>
  <c r="BH430" i="17" s="1"/>
  <c r="BL431" i="17"/>
  <c r="BM431" i="17" s="1"/>
  <c r="BN431" i="17" s="1"/>
  <c r="BF432" i="17"/>
  <c r="BG432" i="17" s="1"/>
  <c r="BH432" i="17" s="1"/>
  <c r="AZ433" i="17"/>
  <c r="BA433" i="17" s="1"/>
  <c r="BB433" i="17" s="1"/>
  <c r="P441" i="7"/>
  <c r="AA441" i="7" s="1"/>
  <c r="BX441" i="17"/>
  <c r="BY441" i="17" s="1"/>
  <c r="BZ441" i="17" s="1"/>
  <c r="BX450" i="17"/>
  <c r="BY450" i="17" s="1"/>
  <c r="BZ450" i="17" s="1"/>
  <c r="BL451" i="17"/>
  <c r="BM451" i="17" s="1"/>
  <c r="BN451" i="17" s="1"/>
  <c r="BL452" i="17"/>
  <c r="BM452" i="17" s="1"/>
  <c r="BN452" i="17" s="1"/>
  <c r="AZ453" i="17"/>
  <c r="BA453" i="17" s="1"/>
  <c r="BB453" i="17" s="1"/>
  <c r="L454" i="7"/>
  <c r="U454" i="7" s="1"/>
  <c r="AZ454" i="17"/>
  <c r="BA454" i="17" s="1"/>
  <c r="BB454" i="17" s="1"/>
  <c r="P458" i="7"/>
  <c r="AA458" i="7" s="1"/>
  <c r="BR461" i="17"/>
  <c r="BS461" i="17" s="1"/>
  <c r="BT461" i="17" s="1"/>
  <c r="BF462" i="17"/>
  <c r="BG462" i="17" s="1"/>
  <c r="BH462" i="17" s="1"/>
  <c r="P467" i="7"/>
  <c r="AA467" i="7" s="1"/>
  <c r="BX467" i="17"/>
  <c r="BY467" i="17" s="1"/>
  <c r="BZ467" i="17" s="1"/>
  <c r="BX468" i="17"/>
  <c r="BY468" i="17" s="1"/>
  <c r="BZ468" i="17" s="1"/>
  <c r="P469" i="7"/>
  <c r="AA469" i="7" s="1"/>
  <c r="BX469" i="17"/>
  <c r="BY469" i="17" s="1"/>
  <c r="BZ469" i="17" s="1"/>
  <c r="BR470" i="17"/>
  <c r="BS470" i="17" s="1"/>
  <c r="BT470" i="17" s="1"/>
  <c r="BL471" i="17"/>
  <c r="BM471" i="17" s="1"/>
  <c r="BN471" i="17" s="1"/>
  <c r="N472" i="7"/>
  <c r="W472" i="7" s="1"/>
  <c r="BL472" i="17"/>
  <c r="BM472" i="17" s="1"/>
  <c r="BN472" i="17" s="1"/>
  <c r="BR473" i="17"/>
  <c r="BS473" i="17" s="1"/>
  <c r="BT473" i="17" s="1"/>
  <c r="O474" i="7"/>
  <c r="Z474" i="7" s="1"/>
  <c r="BX475" i="17"/>
  <c r="BY475" i="17" s="1"/>
  <c r="BZ475" i="17" s="1"/>
  <c r="N482" i="7"/>
  <c r="W482" i="7" s="1"/>
  <c r="BL482" i="17"/>
  <c r="BM482" i="17" s="1"/>
  <c r="BN482" i="17" s="1"/>
  <c r="N483" i="7"/>
  <c r="W483" i="7" s="1"/>
  <c r="BL483" i="17"/>
  <c r="BM483" i="17" s="1"/>
  <c r="BN483" i="17" s="1"/>
  <c r="BR486" i="17"/>
  <c r="BS486" i="17" s="1"/>
  <c r="BT486" i="17" s="1"/>
  <c r="BX487" i="17"/>
  <c r="BY487" i="17" s="1"/>
  <c r="BZ487" i="17" s="1"/>
  <c r="P488" i="7"/>
  <c r="AA488" i="7" s="1"/>
  <c r="N488" i="7"/>
  <c r="W488" i="7" s="1"/>
  <c r="BL488" i="17"/>
  <c r="BM488" i="17" s="1"/>
  <c r="BN488" i="17" s="1"/>
  <c r="AT553" i="17"/>
  <c r="AU553" i="17" s="1"/>
  <c r="AV553" i="17" s="1"/>
  <c r="K553" i="7"/>
  <c r="T553" i="7" s="1"/>
  <c r="K554" i="7"/>
  <c r="T554" i="7" s="1"/>
  <c r="BX560" i="17"/>
  <c r="BY560" i="17" s="1"/>
  <c r="BZ560" i="17" s="1"/>
  <c r="P561" i="7"/>
  <c r="AA561" i="7" s="1"/>
  <c r="BX561" i="17"/>
  <c r="BY561" i="17" s="1"/>
  <c r="BZ561" i="17" s="1"/>
  <c r="BX620" i="17"/>
  <c r="BY620" i="17" s="1"/>
  <c r="BZ620" i="17" s="1"/>
  <c r="BF654" i="17"/>
  <c r="BG654" i="17" s="1"/>
  <c r="BH654" i="17" s="1"/>
  <c r="AT698" i="17"/>
  <c r="AU698" i="17" s="1"/>
  <c r="AV698" i="17" s="1"/>
  <c r="AZ699" i="17"/>
  <c r="BA699" i="17" s="1"/>
  <c r="BB699" i="17" s="1"/>
  <c r="M701" i="7"/>
  <c r="V701" i="7" s="1"/>
  <c r="BF700" i="17"/>
  <c r="BG700" i="17" s="1"/>
  <c r="BH700" i="17" s="1"/>
  <c r="BL701" i="17"/>
  <c r="BM701" i="17" s="1"/>
  <c r="BN701" i="17" s="1"/>
  <c r="O703" i="7"/>
  <c r="Z703" i="7" s="1"/>
  <c r="BR702" i="17"/>
  <c r="BS702" i="17" s="1"/>
  <c r="BT702" i="17" s="1"/>
  <c r="BR716" i="17"/>
  <c r="BS716" i="17" s="1"/>
  <c r="BT716" i="17" s="1"/>
  <c r="O716" i="7"/>
  <c r="Z716" i="7" s="1"/>
  <c r="N717" i="7"/>
  <c r="W717" i="7" s="1"/>
  <c r="BL717" i="17"/>
  <c r="BM717" i="17" s="1"/>
  <c r="BN717" i="17" s="1"/>
  <c r="BR718" i="17"/>
  <c r="BS718" i="17" s="1"/>
  <c r="BT718" i="17" s="1"/>
  <c r="P153" i="7"/>
  <c r="AA153" i="7" s="1"/>
  <c r="M158" i="7"/>
  <c r="V158" i="7" s="1"/>
  <c r="L162" i="7"/>
  <c r="U162" i="7" s="1"/>
  <c r="M163" i="7"/>
  <c r="V163" i="7" s="1"/>
  <c r="N165" i="7"/>
  <c r="W165" i="7" s="1"/>
  <c r="O166" i="7"/>
  <c r="Z166" i="7" s="1"/>
  <c r="P169" i="7"/>
  <c r="AA169" i="7" s="1"/>
  <c r="O177" i="7"/>
  <c r="Z177" i="7" s="1"/>
  <c r="N181" i="7"/>
  <c r="W181" i="7" s="1"/>
  <c r="P183" i="7"/>
  <c r="AA183" i="7" s="1"/>
  <c r="S187" i="7"/>
  <c r="S188" i="7"/>
  <c r="Q192" i="7"/>
  <c r="X192" i="7" s="1"/>
  <c r="P193" i="7"/>
  <c r="AA193" i="7" s="1"/>
  <c r="O195" i="7"/>
  <c r="Z195" i="7" s="1"/>
  <c r="L198" i="7"/>
  <c r="U198" i="7" s="1"/>
  <c r="K199" i="7"/>
  <c r="T199" i="7" s="1"/>
  <c r="L201" i="7"/>
  <c r="U201" i="7" s="1"/>
  <c r="O212" i="7"/>
  <c r="Z212" i="7" s="1"/>
  <c r="L218" i="7"/>
  <c r="U218" i="7" s="1"/>
  <c r="L221" i="7"/>
  <c r="U221" i="7" s="1"/>
  <c r="S222" i="7"/>
  <c r="O226" i="7"/>
  <c r="Z226" i="7" s="1"/>
  <c r="L229" i="7"/>
  <c r="U229" i="7" s="1"/>
  <c r="S245" i="7"/>
  <c r="S246" i="7"/>
  <c r="Y246" i="7" s="1"/>
  <c r="S247" i="7"/>
  <c r="S251" i="7"/>
  <c r="P252" i="7"/>
  <c r="AA252" i="7" s="1"/>
  <c r="O253" i="7"/>
  <c r="Z253" i="7" s="1"/>
  <c r="BR253" i="17"/>
  <c r="BS253" i="17" s="1"/>
  <c r="BT253" i="17" s="1"/>
  <c r="N255" i="7"/>
  <c r="W255" i="7" s="1"/>
  <c r="BL254" i="17"/>
  <c r="BM254" i="17" s="1"/>
  <c r="BN254" i="17" s="1"/>
  <c r="BF255" i="17"/>
  <c r="BG255" i="17" s="1"/>
  <c r="BH255" i="17" s="1"/>
  <c r="AT256" i="17"/>
  <c r="AU256" i="17" s="1"/>
  <c r="AV256" i="17" s="1"/>
  <c r="O258" i="7"/>
  <c r="Z258" i="7" s="1"/>
  <c r="R260" i="7"/>
  <c r="BX261" i="17"/>
  <c r="BY261" i="17" s="1"/>
  <c r="BZ261" i="17" s="1"/>
  <c r="BR262" i="17"/>
  <c r="BS262" i="17" s="1"/>
  <c r="BT262" i="17" s="1"/>
  <c r="M263" i="7"/>
  <c r="V263" i="7" s="1"/>
  <c r="BF263" i="17"/>
  <c r="BG263" i="17" s="1"/>
  <c r="BH263" i="17" s="1"/>
  <c r="BL264" i="17"/>
  <c r="BM264" i="17" s="1"/>
  <c r="BN264" i="17" s="1"/>
  <c r="L265" i="7"/>
  <c r="U265" i="7" s="1"/>
  <c r="AZ265" i="17"/>
  <c r="BA265" i="17" s="1"/>
  <c r="BB265" i="17" s="1"/>
  <c r="AT266" i="17"/>
  <c r="AU266" i="17" s="1"/>
  <c r="AV266" i="17" s="1"/>
  <c r="R269" i="7"/>
  <c r="R270" i="7"/>
  <c r="P275" i="7"/>
  <c r="AA275" i="7" s="1"/>
  <c r="BX275" i="17"/>
  <c r="BY275" i="17" s="1"/>
  <c r="BZ275" i="17" s="1"/>
  <c r="Q279" i="7"/>
  <c r="X279" i="7" s="1"/>
  <c r="BX283" i="17"/>
  <c r="BY283" i="17" s="1"/>
  <c r="BZ283" i="17" s="1"/>
  <c r="P285" i="7"/>
  <c r="AA285" i="7" s="1"/>
  <c r="BX284" i="17"/>
  <c r="BY284" i="17" s="1"/>
  <c r="BZ284" i="17" s="1"/>
  <c r="P287" i="7"/>
  <c r="AA287" i="7" s="1"/>
  <c r="BX286" i="17"/>
  <c r="BY286" i="17" s="1"/>
  <c r="BZ286" i="17" s="1"/>
  <c r="BX287" i="17"/>
  <c r="BY287" i="17" s="1"/>
  <c r="BZ287" i="17" s="1"/>
  <c r="BX288" i="17"/>
  <c r="BY288" i="17" s="1"/>
  <c r="BZ288" i="17" s="1"/>
  <c r="BR289" i="17"/>
  <c r="BS289" i="17" s="1"/>
  <c r="BT289" i="17" s="1"/>
  <c r="O291" i="7"/>
  <c r="Z291" i="7" s="1"/>
  <c r="BR290" i="17"/>
  <c r="BS290" i="17" s="1"/>
  <c r="BT290" i="17" s="1"/>
  <c r="BX291" i="17"/>
  <c r="BY291" i="17" s="1"/>
  <c r="BZ291" i="17" s="1"/>
  <c r="N292" i="7"/>
  <c r="W292" i="7" s="1"/>
  <c r="BL292" i="17"/>
  <c r="BM292" i="17" s="1"/>
  <c r="BN292" i="17" s="1"/>
  <c r="BL293" i="17"/>
  <c r="BM293" i="17" s="1"/>
  <c r="BN293" i="17" s="1"/>
  <c r="N294" i="7"/>
  <c r="W294" i="7" s="1"/>
  <c r="BL294" i="17"/>
  <c r="BM294" i="17" s="1"/>
  <c r="BN294" i="17" s="1"/>
  <c r="L295" i="7"/>
  <c r="U295" i="7" s="1"/>
  <c r="AZ295" i="17"/>
  <c r="BA295" i="17" s="1"/>
  <c r="BB295" i="17" s="1"/>
  <c r="L297" i="7"/>
  <c r="U297" i="7" s="1"/>
  <c r="AZ296" i="17"/>
  <c r="BA296" i="17" s="1"/>
  <c r="BB296" i="17" s="1"/>
  <c r="M297" i="7"/>
  <c r="V297" i="7" s="1"/>
  <c r="BF297" i="17"/>
  <c r="BG297" i="17" s="1"/>
  <c r="BH297" i="17" s="1"/>
  <c r="L298" i="7"/>
  <c r="U298" i="7" s="1"/>
  <c r="AZ298" i="17"/>
  <c r="BA298" i="17" s="1"/>
  <c r="BB298" i="17" s="1"/>
  <c r="L299" i="7"/>
  <c r="U299" i="7" s="1"/>
  <c r="AZ299" i="17"/>
  <c r="BA299" i="17" s="1"/>
  <c r="BB299" i="17" s="1"/>
  <c r="BF300" i="17"/>
  <c r="BG300" i="17" s="1"/>
  <c r="BH300" i="17" s="1"/>
  <c r="AZ301" i="17"/>
  <c r="BA301" i="17" s="1"/>
  <c r="BB301" i="17" s="1"/>
  <c r="AZ302" i="17"/>
  <c r="BA302" i="17" s="1"/>
  <c r="BB302" i="17" s="1"/>
  <c r="N309" i="7"/>
  <c r="W309" i="7" s="1"/>
  <c r="N310" i="7"/>
  <c r="W310" i="7" s="1"/>
  <c r="P311" i="7"/>
  <c r="AA311" i="7" s="1"/>
  <c r="N312" i="7"/>
  <c r="W312" i="7" s="1"/>
  <c r="S313" i="7"/>
  <c r="R316" i="7"/>
  <c r="BX320" i="17"/>
  <c r="BY320" i="17" s="1"/>
  <c r="BZ320" i="17" s="1"/>
  <c r="O321" i="7"/>
  <c r="Z321" i="7" s="1"/>
  <c r="BR321" i="17"/>
  <c r="BS321" i="17" s="1"/>
  <c r="BT321" i="17" s="1"/>
  <c r="BX322" i="17"/>
  <c r="BY322" i="17" s="1"/>
  <c r="BZ322" i="17" s="1"/>
  <c r="O323" i="7"/>
  <c r="Z323" i="7" s="1"/>
  <c r="BR323" i="17"/>
  <c r="BS323" i="17" s="1"/>
  <c r="BT323" i="17" s="1"/>
  <c r="BR324" i="17"/>
  <c r="BS324" i="17" s="1"/>
  <c r="BT324" i="17" s="1"/>
  <c r="P325" i="7"/>
  <c r="AA325" i="7" s="1"/>
  <c r="BX325" i="17"/>
  <c r="BY325" i="17" s="1"/>
  <c r="BZ325" i="17" s="1"/>
  <c r="BX326" i="17"/>
  <c r="BY326" i="17" s="1"/>
  <c r="BZ326" i="17" s="1"/>
  <c r="O327" i="7"/>
  <c r="Z327" i="7" s="1"/>
  <c r="BR327" i="17"/>
  <c r="BS327" i="17" s="1"/>
  <c r="BT327" i="17" s="1"/>
  <c r="N329" i="7"/>
  <c r="W329" i="7" s="1"/>
  <c r="BL328" i="17"/>
  <c r="BM328" i="17" s="1"/>
  <c r="BN328" i="17" s="1"/>
  <c r="BL329" i="17"/>
  <c r="BM329" i="17" s="1"/>
  <c r="BN329" i="17" s="1"/>
  <c r="O330" i="7"/>
  <c r="Z330" i="7" s="1"/>
  <c r="BR330" i="17"/>
  <c r="BS330" i="17" s="1"/>
  <c r="BT330" i="17" s="1"/>
  <c r="BL331" i="17"/>
  <c r="BM331" i="17" s="1"/>
  <c r="BN331" i="17" s="1"/>
  <c r="BF332" i="17"/>
  <c r="BG332" i="17" s="1"/>
  <c r="BH332" i="17" s="1"/>
  <c r="AZ333" i="17"/>
  <c r="BA333" i="17" s="1"/>
  <c r="BB333" i="17" s="1"/>
  <c r="K334" i="7"/>
  <c r="T334" i="7" s="1"/>
  <c r="AT334" i="17"/>
  <c r="AU334" i="17" s="1"/>
  <c r="AV334" i="17" s="1"/>
  <c r="S352" i="7"/>
  <c r="Y352" i="7" s="1"/>
  <c r="R354" i="7"/>
  <c r="R357" i="7"/>
  <c r="Q359" i="7"/>
  <c r="X359" i="7" s="1"/>
  <c r="BX360" i="17"/>
  <c r="BY360" i="17" s="1"/>
  <c r="BZ360" i="17" s="1"/>
  <c r="BX361" i="17"/>
  <c r="BY361" i="17" s="1"/>
  <c r="BZ361" i="17" s="1"/>
  <c r="P362" i="7"/>
  <c r="AA362" i="7" s="1"/>
  <c r="BX362" i="17"/>
  <c r="BY362" i="17" s="1"/>
  <c r="BZ362" i="17" s="1"/>
  <c r="O364" i="7"/>
  <c r="Z364" i="7" s="1"/>
  <c r="BR364" i="17"/>
  <c r="BS364" i="17" s="1"/>
  <c r="BT364" i="17" s="1"/>
  <c r="BR365" i="17"/>
  <c r="BS365" i="17" s="1"/>
  <c r="BT365" i="17" s="1"/>
  <c r="BL366" i="17"/>
  <c r="BM366" i="17" s="1"/>
  <c r="BN366" i="17" s="1"/>
  <c r="BL367" i="17"/>
  <c r="BM367" i="17" s="1"/>
  <c r="BN367" i="17" s="1"/>
  <c r="BR368" i="17"/>
  <c r="BS368" i="17" s="1"/>
  <c r="BT368" i="17" s="1"/>
  <c r="O369" i="7"/>
  <c r="Z369" i="7" s="1"/>
  <c r="BR369" i="17"/>
  <c r="BS369" i="17" s="1"/>
  <c r="BT369" i="17" s="1"/>
  <c r="BR370" i="17"/>
  <c r="BS370" i="17" s="1"/>
  <c r="BT370" i="17" s="1"/>
  <c r="BL371" i="17"/>
  <c r="BM371" i="17" s="1"/>
  <c r="BN371" i="17" s="1"/>
  <c r="N372" i="7"/>
  <c r="W372" i="7" s="1"/>
  <c r="BL372" i="17"/>
  <c r="BM372" i="17" s="1"/>
  <c r="BN372" i="17" s="1"/>
  <c r="BL373" i="17"/>
  <c r="BM373" i="17" s="1"/>
  <c r="BN373" i="17" s="1"/>
  <c r="O374" i="7"/>
  <c r="Z374" i="7" s="1"/>
  <c r="BR374" i="17"/>
  <c r="BS374" i="17" s="1"/>
  <c r="BT374" i="17" s="1"/>
  <c r="BX375" i="17"/>
  <c r="BY375" i="17" s="1"/>
  <c r="BZ375" i="17" s="1"/>
  <c r="N376" i="7"/>
  <c r="W376" i="7" s="1"/>
  <c r="BL376" i="17"/>
  <c r="BM376" i="17" s="1"/>
  <c r="BN376" i="17" s="1"/>
  <c r="N378" i="7"/>
  <c r="W378" i="7" s="1"/>
  <c r="BL377" i="17"/>
  <c r="BM377" i="17" s="1"/>
  <c r="BN377" i="17" s="1"/>
  <c r="BF378" i="17"/>
  <c r="BG378" i="17" s="1"/>
  <c r="BH378" i="17" s="1"/>
  <c r="M379" i="7"/>
  <c r="V379" i="7" s="1"/>
  <c r="BF379" i="17"/>
  <c r="BG379" i="17" s="1"/>
  <c r="BH379" i="17" s="1"/>
  <c r="M381" i="7"/>
  <c r="V381" i="7" s="1"/>
  <c r="BF380" i="17"/>
  <c r="BG380" i="17" s="1"/>
  <c r="BH380" i="17" s="1"/>
  <c r="BF381" i="17"/>
  <c r="BG381" i="17" s="1"/>
  <c r="BH381" i="17" s="1"/>
  <c r="M383" i="7"/>
  <c r="V383" i="7" s="1"/>
  <c r="BF382" i="17"/>
  <c r="BG382" i="17" s="1"/>
  <c r="BH382" i="17" s="1"/>
  <c r="AZ383" i="17"/>
  <c r="BA383" i="17" s="1"/>
  <c r="BB383" i="17" s="1"/>
  <c r="L384" i="7"/>
  <c r="U384" i="7" s="1"/>
  <c r="AZ384" i="17"/>
  <c r="BA384" i="17" s="1"/>
  <c r="BB384" i="17" s="1"/>
  <c r="AT385" i="17"/>
  <c r="AU385" i="17" s="1"/>
  <c r="AV385" i="17" s="1"/>
  <c r="AT386" i="17"/>
  <c r="AU386" i="17" s="1"/>
  <c r="AV386" i="17" s="1"/>
  <c r="K387" i="7"/>
  <c r="T387" i="7" s="1"/>
  <c r="AT387" i="17"/>
  <c r="AU387" i="17" s="1"/>
  <c r="AV387" i="17" s="1"/>
  <c r="O392" i="7"/>
  <c r="Z392" i="7" s="1"/>
  <c r="Q397" i="7"/>
  <c r="X397" i="7" s="1"/>
  <c r="BX398" i="17"/>
  <c r="BY398" i="17" s="1"/>
  <c r="BZ398" i="17" s="1"/>
  <c r="BR399" i="17"/>
  <c r="BS399" i="17" s="1"/>
  <c r="BT399" i="17" s="1"/>
  <c r="O400" i="7"/>
  <c r="Z400" i="7" s="1"/>
  <c r="BR400" i="17"/>
  <c r="BS400" i="17" s="1"/>
  <c r="BT400" i="17" s="1"/>
  <c r="BR401" i="17"/>
  <c r="BS401" i="17" s="1"/>
  <c r="BT401" i="17" s="1"/>
  <c r="BF402" i="17"/>
  <c r="BG402" i="17" s="1"/>
  <c r="BH402" i="17" s="1"/>
  <c r="AZ403" i="17"/>
  <c r="BA403" i="17" s="1"/>
  <c r="BB403" i="17" s="1"/>
  <c r="BF404" i="17"/>
  <c r="BG404" i="17" s="1"/>
  <c r="BH404" i="17" s="1"/>
  <c r="BF405" i="17"/>
  <c r="BG405" i="17" s="1"/>
  <c r="BH405" i="17" s="1"/>
  <c r="S408" i="7"/>
  <c r="R409" i="7"/>
  <c r="Y409" i="7" s="1"/>
  <c r="R412" i="7"/>
  <c r="S413" i="7"/>
  <c r="R414" i="7"/>
  <c r="S416" i="7"/>
  <c r="Y416" i="7" s="1"/>
  <c r="S418" i="7"/>
  <c r="S421" i="7"/>
  <c r="Y421" i="7" s="1"/>
  <c r="R423" i="7"/>
  <c r="O425" i="7"/>
  <c r="Z425" i="7" s="1"/>
  <c r="BR425" i="17"/>
  <c r="BS425" i="17" s="1"/>
  <c r="BT425" i="17" s="1"/>
  <c r="BR426" i="17"/>
  <c r="BS426" i="17" s="1"/>
  <c r="BT426" i="17" s="1"/>
  <c r="O427" i="7"/>
  <c r="Z427" i="7" s="1"/>
  <c r="BR427" i="17"/>
  <c r="BS427" i="17" s="1"/>
  <c r="BT427" i="17" s="1"/>
  <c r="O429" i="7"/>
  <c r="Z429" i="7" s="1"/>
  <c r="BR428" i="17"/>
  <c r="BS428" i="17" s="1"/>
  <c r="BT428" i="17" s="1"/>
  <c r="BF429" i="17"/>
  <c r="BG429" i="17" s="1"/>
  <c r="BH429" i="17" s="1"/>
  <c r="BL430" i="17"/>
  <c r="BM430" i="17" s="1"/>
  <c r="BN430" i="17" s="1"/>
  <c r="BR431" i="17"/>
  <c r="BS431" i="17" s="1"/>
  <c r="BT431" i="17" s="1"/>
  <c r="N432" i="7"/>
  <c r="W432" i="7" s="1"/>
  <c r="BL432" i="17"/>
  <c r="BM432" i="17" s="1"/>
  <c r="BN432" i="17" s="1"/>
  <c r="BF433" i="17"/>
  <c r="BG433" i="17" s="1"/>
  <c r="BH433" i="17" s="1"/>
  <c r="K434" i="7"/>
  <c r="T434" i="7" s="1"/>
  <c r="AT434" i="17"/>
  <c r="AU434" i="17" s="1"/>
  <c r="AV434" i="17" s="1"/>
  <c r="AT435" i="17"/>
  <c r="AU435" i="17" s="1"/>
  <c r="AV435" i="17" s="1"/>
  <c r="N439" i="7"/>
  <c r="W439" i="7" s="1"/>
  <c r="S440" i="7"/>
  <c r="Q441" i="7"/>
  <c r="X441" i="7" s="1"/>
  <c r="R445" i="7"/>
  <c r="O451" i="7"/>
  <c r="Z451" i="7" s="1"/>
  <c r="BR451" i="17"/>
  <c r="BS451" i="17" s="1"/>
  <c r="BT451" i="17" s="1"/>
  <c r="BR452" i="17"/>
  <c r="BS452" i="17" s="1"/>
  <c r="BT452" i="17" s="1"/>
  <c r="M453" i="7"/>
  <c r="V453" i="7" s="1"/>
  <c r="BF453" i="17"/>
  <c r="BG453" i="17" s="1"/>
  <c r="BH453" i="17" s="1"/>
  <c r="BF454" i="17"/>
  <c r="BG454" i="17" s="1"/>
  <c r="BH454" i="17" s="1"/>
  <c r="K455" i="7"/>
  <c r="T455" i="7" s="1"/>
  <c r="AT455" i="17"/>
  <c r="AU455" i="17" s="1"/>
  <c r="AV455" i="17" s="1"/>
  <c r="AT456" i="17"/>
  <c r="AU456" i="17" s="1"/>
  <c r="AV456" i="17" s="1"/>
  <c r="P461" i="7"/>
  <c r="AA461" i="7" s="1"/>
  <c r="BX461" i="17"/>
  <c r="BY461" i="17" s="1"/>
  <c r="BZ461" i="17" s="1"/>
  <c r="BL462" i="17"/>
  <c r="BM462" i="17" s="1"/>
  <c r="BN462" i="17" s="1"/>
  <c r="AT463" i="17"/>
  <c r="AU463" i="17" s="1"/>
  <c r="AV463" i="17" s="1"/>
  <c r="O465" i="7"/>
  <c r="Z465" i="7" s="1"/>
  <c r="BX470" i="17"/>
  <c r="BY470" i="17" s="1"/>
  <c r="BZ470" i="17" s="1"/>
  <c r="BR471" i="17"/>
  <c r="BS471" i="17" s="1"/>
  <c r="BT471" i="17" s="1"/>
  <c r="N484" i="7"/>
  <c r="W484" i="7" s="1"/>
  <c r="O485" i="7"/>
  <c r="Z485" i="7" s="1"/>
  <c r="BR485" i="17"/>
  <c r="BS485" i="17" s="1"/>
  <c r="BT485" i="17" s="1"/>
  <c r="P486" i="7"/>
  <c r="AA486" i="7" s="1"/>
  <c r="BX486" i="17"/>
  <c r="BY486" i="17" s="1"/>
  <c r="BZ486" i="17" s="1"/>
  <c r="AZ552" i="17"/>
  <c r="BA552" i="17" s="1"/>
  <c r="BB552" i="17" s="1"/>
  <c r="L552" i="7"/>
  <c r="U552" i="7" s="1"/>
  <c r="P560" i="7"/>
  <c r="AA560" i="7" s="1"/>
  <c r="BX559" i="17"/>
  <c r="BY559" i="17" s="1"/>
  <c r="BZ559" i="17" s="1"/>
  <c r="M577" i="7"/>
  <c r="V577" i="7" s="1"/>
  <c r="BF577" i="17"/>
  <c r="BG577" i="17" s="1"/>
  <c r="BH577" i="17" s="1"/>
  <c r="Q612" i="7"/>
  <c r="X612" i="7" s="1"/>
  <c r="P682" i="7"/>
  <c r="AA682" i="7" s="1"/>
  <c r="BX682" i="17"/>
  <c r="BY682" i="17" s="1"/>
  <c r="BZ682" i="17" s="1"/>
  <c r="AT695" i="17"/>
  <c r="AU695" i="17" s="1"/>
  <c r="AV695" i="17" s="1"/>
  <c r="K697" i="7"/>
  <c r="T697" i="7" s="1"/>
  <c r="AT697" i="17"/>
  <c r="AU697" i="17" s="1"/>
  <c r="AV697" i="17" s="1"/>
  <c r="BR753" i="17"/>
  <c r="BS753" i="17" s="1"/>
  <c r="BT753" i="17" s="1"/>
  <c r="BR754" i="17"/>
  <c r="BS754" i="17" s="1"/>
  <c r="BT754" i="17" s="1"/>
  <c r="BX755" i="17"/>
  <c r="BY755" i="17" s="1"/>
  <c r="BZ755" i="17" s="1"/>
  <c r="L200" i="7"/>
  <c r="U200" i="7" s="1"/>
  <c r="R234" i="7"/>
  <c r="O236" i="7"/>
  <c r="Z236" i="7" s="1"/>
  <c r="K242" i="7"/>
  <c r="T242" i="7" s="1"/>
  <c r="M245" i="7"/>
  <c r="V245" i="7" s="1"/>
  <c r="BX253" i="17"/>
  <c r="BY253" i="17" s="1"/>
  <c r="BZ253" i="17" s="1"/>
  <c r="O254" i="7"/>
  <c r="Z254" i="7" s="1"/>
  <c r="BR254" i="17"/>
  <c r="BS254" i="17" s="1"/>
  <c r="BT254" i="17" s="1"/>
  <c r="BL255" i="17"/>
  <c r="BM255" i="17" s="1"/>
  <c r="BN255" i="17" s="1"/>
  <c r="AZ256" i="17"/>
  <c r="BA256" i="17" s="1"/>
  <c r="BB256" i="17" s="1"/>
  <c r="S260" i="7"/>
  <c r="BX262" i="17"/>
  <c r="BY262" i="17" s="1"/>
  <c r="BZ262" i="17" s="1"/>
  <c r="N263" i="7"/>
  <c r="W263" i="7" s="1"/>
  <c r="BL263" i="17"/>
  <c r="BM263" i="17" s="1"/>
  <c r="BN263" i="17" s="1"/>
  <c r="BR264" i="17"/>
  <c r="BS264" i="17" s="1"/>
  <c r="BT264" i="17" s="1"/>
  <c r="M265" i="7"/>
  <c r="V265" i="7" s="1"/>
  <c r="BF265" i="17"/>
  <c r="BG265" i="17" s="1"/>
  <c r="BH265" i="17" s="1"/>
  <c r="AZ266" i="17"/>
  <c r="BA266" i="17" s="1"/>
  <c r="BB266" i="17" s="1"/>
  <c r="S270" i="7"/>
  <c r="Y270" i="7" s="1"/>
  <c r="R273" i="7"/>
  <c r="P290" i="7"/>
  <c r="AA290" i="7" s="1"/>
  <c r="BX289" i="17"/>
  <c r="BY289" i="17" s="1"/>
  <c r="BZ289" i="17" s="1"/>
  <c r="BX290" i="17"/>
  <c r="BY290" i="17" s="1"/>
  <c r="BZ290" i="17" s="1"/>
  <c r="O293" i="7"/>
  <c r="Z293" i="7" s="1"/>
  <c r="BR292" i="17"/>
  <c r="BS292" i="17" s="1"/>
  <c r="BT292" i="17" s="1"/>
  <c r="BR293" i="17"/>
  <c r="BS293" i="17" s="1"/>
  <c r="BT293" i="17" s="1"/>
  <c r="O295" i="7"/>
  <c r="Z295" i="7" s="1"/>
  <c r="BR294" i="17"/>
  <c r="BS294" i="17" s="1"/>
  <c r="BT294" i="17" s="1"/>
  <c r="BF295" i="17"/>
  <c r="BG295" i="17" s="1"/>
  <c r="BH295" i="17" s="1"/>
  <c r="M296" i="7"/>
  <c r="V296" i="7" s="1"/>
  <c r="BF296" i="17"/>
  <c r="BG296" i="17" s="1"/>
  <c r="BH296" i="17" s="1"/>
  <c r="N298" i="7"/>
  <c r="W298" i="7" s="1"/>
  <c r="BL297" i="17"/>
  <c r="BM297" i="17" s="1"/>
  <c r="BN297" i="17" s="1"/>
  <c r="BF298" i="17"/>
  <c r="BG298" i="17" s="1"/>
  <c r="BH298" i="17" s="1"/>
  <c r="M299" i="7"/>
  <c r="V299" i="7" s="1"/>
  <c r="BF299" i="17"/>
  <c r="BG299" i="17" s="1"/>
  <c r="BH299" i="17" s="1"/>
  <c r="BL300" i="17"/>
  <c r="BM300" i="17" s="1"/>
  <c r="BN300" i="17" s="1"/>
  <c r="BF301" i="17"/>
  <c r="BG301" i="17" s="1"/>
  <c r="BH301" i="17" s="1"/>
  <c r="M302" i="7"/>
  <c r="V302" i="7" s="1"/>
  <c r="BF302" i="17"/>
  <c r="BG302" i="17" s="1"/>
  <c r="BH302" i="17" s="1"/>
  <c r="AT303" i="17"/>
  <c r="AU303" i="17" s="1"/>
  <c r="AV303" i="17" s="1"/>
  <c r="AT304" i="17"/>
  <c r="AU304" i="17" s="1"/>
  <c r="AV304" i="17" s="1"/>
  <c r="AT305" i="17"/>
  <c r="AU305" i="17" s="1"/>
  <c r="AV305" i="17" s="1"/>
  <c r="AT306" i="17"/>
  <c r="AU306" i="17" s="1"/>
  <c r="AV306" i="17" s="1"/>
  <c r="K307" i="7"/>
  <c r="T307" i="7" s="1"/>
  <c r="AT307" i="17"/>
  <c r="AU307" i="17" s="1"/>
  <c r="AV307" i="17" s="1"/>
  <c r="S317" i="7"/>
  <c r="P321" i="7"/>
  <c r="AA321" i="7" s="1"/>
  <c r="BX321" i="17"/>
  <c r="BY321" i="17" s="1"/>
  <c r="BZ321" i="17" s="1"/>
  <c r="P323" i="7"/>
  <c r="AA323" i="7" s="1"/>
  <c r="BX323" i="17"/>
  <c r="BY323" i="17" s="1"/>
  <c r="BZ323" i="17" s="1"/>
  <c r="BX324" i="17"/>
  <c r="BY324" i="17" s="1"/>
  <c r="BZ324" i="17" s="1"/>
  <c r="BX327" i="17"/>
  <c r="BY327" i="17" s="1"/>
  <c r="BZ327" i="17" s="1"/>
  <c r="BR328" i="17"/>
  <c r="BS328" i="17" s="1"/>
  <c r="BT328" i="17" s="1"/>
  <c r="BR329" i="17"/>
  <c r="BS329" i="17" s="1"/>
  <c r="BT329" i="17" s="1"/>
  <c r="P330" i="7"/>
  <c r="AA330" i="7" s="1"/>
  <c r="BX330" i="17"/>
  <c r="BY330" i="17" s="1"/>
  <c r="BZ330" i="17" s="1"/>
  <c r="O331" i="7"/>
  <c r="Z331" i="7" s="1"/>
  <c r="BR331" i="17"/>
  <c r="BS331" i="17" s="1"/>
  <c r="BT331" i="17" s="1"/>
  <c r="BL332" i="17"/>
  <c r="BM332" i="17" s="1"/>
  <c r="BN332" i="17" s="1"/>
  <c r="M333" i="7"/>
  <c r="V333" i="7" s="1"/>
  <c r="BF333" i="17"/>
  <c r="BG333" i="17" s="1"/>
  <c r="BH333" i="17" s="1"/>
  <c r="L334" i="7"/>
  <c r="U334" i="7" s="1"/>
  <c r="AZ334" i="17"/>
  <c r="BA334" i="17" s="1"/>
  <c r="BB334" i="17" s="1"/>
  <c r="AT335" i="17"/>
  <c r="AU335" i="17" s="1"/>
  <c r="AV335" i="17" s="1"/>
  <c r="AT336" i="17"/>
  <c r="AU336" i="17" s="1"/>
  <c r="AV336" i="17" s="1"/>
  <c r="K348" i="7"/>
  <c r="T348" i="7" s="1"/>
  <c r="AT347" i="17"/>
  <c r="AU347" i="17" s="1"/>
  <c r="AV347" i="17" s="1"/>
  <c r="AT348" i="17"/>
  <c r="AU348" i="17" s="1"/>
  <c r="AV348" i="17" s="1"/>
  <c r="Y354" i="7"/>
  <c r="Q362" i="7"/>
  <c r="X362" i="7" s="1"/>
  <c r="P364" i="7"/>
  <c r="AA364" i="7" s="1"/>
  <c r="BX364" i="17"/>
  <c r="BY364" i="17" s="1"/>
  <c r="BZ364" i="17" s="1"/>
  <c r="BX365" i="17"/>
  <c r="BY365" i="17" s="1"/>
  <c r="BZ365" i="17" s="1"/>
  <c r="BR366" i="17"/>
  <c r="BS366" i="17" s="1"/>
  <c r="BT366" i="17" s="1"/>
  <c r="O367" i="7"/>
  <c r="Z367" i="7" s="1"/>
  <c r="BR367" i="17"/>
  <c r="BS367" i="17" s="1"/>
  <c r="BT367" i="17" s="1"/>
  <c r="BX368" i="17"/>
  <c r="BY368" i="17" s="1"/>
  <c r="BZ368" i="17" s="1"/>
  <c r="P369" i="7"/>
  <c r="AA369" i="7" s="1"/>
  <c r="BX369" i="17"/>
  <c r="BY369" i="17" s="1"/>
  <c r="BZ369" i="17" s="1"/>
  <c r="BX370" i="17"/>
  <c r="BY370" i="17" s="1"/>
  <c r="BZ370" i="17" s="1"/>
  <c r="BR371" i="17"/>
  <c r="BS371" i="17" s="1"/>
  <c r="BT371" i="17" s="1"/>
  <c r="O372" i="7"/>
  <c r="Z372" i="7" s="1"/>
  <c r="BR372" i="17"/>
  <c r="BS372" i="17" s="1"/>
  <c r="BT372" i="17" s="1"/>
  <c r="BR373" i="17"/>
  <c r="BS373" i="17" s="1"/>
  <c r="BT373" i="17" s="1"/>
  <c r="P374" i="7"/>
  <c r="AA374" i="7" s="1"/>
  <c r="BX374" i="17"/>
  <c r="BY374" i="17" s="1"/>
  <c r="BZ374" i="17" s="1"/>
  <c r="O376" i="7"/>
  <c r="Z376" i="7" s="1"/>
  <c r="BR376" i="17"/>
  <c r="BS376" i="17" s="1"/>
  <c r="BT376" i="17" s="1"/>
  <c r="BR377" i="17"/>
  <c r="BS377" i="17" s="1"/>
  <c r="BT377" i="17" s="1"/>
  <c r="BL378" i="17"/>
  <c r="BM378" i="17" s="1"/>
  <c r="BN378" i="17" s="1"/>
  <c r="BL379" i="17"/>
  <c r="BM379" i="17" s="1"/>
  <c r="BN379" i="17" s="1"/>
  <c r="BL380" i="17"/>
  <c r="BM380" i="17" s="1"/>
  <c r="BN380" i="17" s="1"/>
  <c r="N381" i="7"/>
  <c r="W381" i="7" s="1"/>
  <c r="BL381" i="17"/>
  <c r="BM381" i="17" s="1"/>
  <c r="BN381" i="17" s="1"/>
  <c r="BL382" i="17"/>
  <c r="BM382" i="17" s="1"/>
  <c r="BN382" i="17" s="1"/>
  <c r="BF383" i="17"/>
  <c r="BG383" i="17" s="1"/>
  <c r="BH383" i="17" s="1"/>
  <c r="BF384" i="17"/>
  <c r="BG384" i="17" s="1"/>
  <c r="BH384" i="17" s="1"/>
  <c r="AZ385" i="17"/>
  <c r="BA385" i="17" s="1"/>
  <c r="BB385" i="17" s="1"/>
  <c r="L386" i="7"/>
  <c r="U386" i="7" s="1"/>
  <c r="AZ386" i="17"/>
  <c r="BA386" i="17" s="1"/>
  <c r="BB386" i="17" s="1"/>
  <c r="L388" i="7"/>
  <c r="U388" i="7" s="1"/>
  <c r="AZ387" i="17"/>
  <c r="BA387" i="17" s="1"/>
  <c r="BB387" i="17" s="1"/>
  <c r="AT388" i="17"/>
  <c r="AU388" i="17" s="1"/>
  <c r="AV388" i="17" s="1"/>
  <c r="K389" i="7"/>
  <c r="T389" i="7" s="1"/>
  <c r="AT389" i="17"/>
  <c r="AU389" i="17" s="1"/>
  <c r="AV389" i="17" s="1"/>
  <c r="N394" i="7"/>
  <c r="W394" i="7" s="1"/>
  <c r="BX399" i="17"/>
  <c r="BY399" i="17" s="1"/>
  <c r="BZ399" i="17" s="1"/>
  <c r="P400" i="7"/>
  <c r="AA400" i="7" s="1"/>
  <c r="BX400" i="17"/>
  <c r="BY400" i="17" s="1"/>
  <c r="BZ400" i="17" s="1"/>
  <c r="BX401" i="17"/>
  <c r="BY401" i="17" s="1"/>
  <c r="BZ401" i="17" s="1"/>
  <c r="BL402" i="17"/>
  <c r="BM402" i="17" s="1"/>
  <c r="BN402" i="17" s="1"/>
  <c r="M403" i="7"/>
  <c r="V403" i="7" s="1"/>
  <c r="BF403" i="17"/>
  <c r="BG403" i="17" s="1"/>
  <c r="BH403" i="17" s="1"/>
  <c r="N404" i="7"/>
  <c r="W404" i="7" s="1"/>
  <c r="BL404" i="17"/>
  <c r="BM404" i="17" s="1"/>
  <c r="BN404" i="17" s="1"/>
  <c r="N406" i="7"/>
  <c r="W406" i="7" s="1"/>
  <c r="BL405" i="17"/>
  <c r="BM405" i="17" s="1"/>
  <c r="BN405" i="17" s="1"/>
  <c r="AT406" i="17"/>
  <c r="AU406" i="17" s="1"/>
  <c r="AV406" i="17" s="1"/>
  <c r="N408" i="7"/>
  <c r="W408" i="7" s="1"/>
  <c r="S410" i="7"/>
  <c r="O411" i="7"/>
  <c r="Z411" i="7" s="1"/>
  <c r="O418" i="7"/>
  <c r="Z418" i="7" s="1"/>
  <c r="BX425" i="17"/>
  <c r="BY425" i="17" s="1"/>
  <c r="BZ425" i="17" s="1"/>
  <c r="BX426" i="17"/>
  <c r="BY426" i="17" s="1"/>
  <c r="BZ426" i="17" s="1"/>
  <c r="BX427" i="17"/>
  <c r="BY427" i="17" s="1"/>
  <c r="BZ427" i="17" s="1"/>
  <c r="BX428" i="17"/>
  <c r="BY428" i="17" s="1"/>
  <c r="BZ428" i="17" s="1"/>
  <c r="BL429" i="17"/>
  <c r="BM429" i="17" s="1"/>
  <c r="BN429" i="17" s="1"/>
  <c r="O430" i="7"/>
  <c r="Z430" i="7" s="1"/>
  <c r="BR430" i="17"/>
  <c r="BS430" i="17" s="1"/>
  <c r="BT430" i="17" s="1"/>
  <c r="BX431" i="17"/>
  <c r="BY431" i="17" s="1"/>
  <c r="BZ431" i="17" s="1"/>
  <c r="O432" i="7"/>
  <c r="Z432" i="7" s="1"/>
  <c r="BR432" i="17"/>
  <c r="BS432" i="17" s="1"/>
  <c r="BT432" i="17" s="1"/>
  <c r="BL433" i="17"/>
  <c r="BM433" i="17" s="1"/>
  <c r="BN433" i="17" s="1"/>
  <c r="AZ434" i="17"/>
  <c r="BA434" i="17" s="1"/>
  <c r="BB434" i="17" s="1"/>
  <c r="L435" i="7"/>
  <c r="U435" i="7" s="1"/>
  <c r="AZ435" i="17"/>
  <c r="BA435" i="17" s="1"/>
  <c r="BB435" i="17" s="1"/>
  <c r="O439" i="7"/>
  <c r="Z439" i="7" s="1"/>
  <c r="P451" i="7"/>
  <c r="AA451" i="7" s="1"/>
  <c r="BX451" i="17"/>
  <c r="BY451" i="17" s="1"/>
  <c r="BZ451" i="17" s="1"/>
  <c r="BX452" i="17"/>
  <c r="BY452" i="17" s="1"/>
  <c r="BZ452" i="17" s="1"/>
  <c r="N453" i="7"/>
  <c r="W453" i="7" s="1"/>
  <c r="BL453" i="17"/>
  <c r="BM453" i="17" s="1"/>
  <c r="BN453" i="17" s="1"/>
  <c r="BL454" i="17"/>
  <c r="BM454" i="17" s="1"/>
  <c r="BN454" i="17" s="1"/>
  <c r="AZ455" i="17"/>
  <c r="BA455" i="17" s="1"/>
  <c r="BB455" i="17" s="1"/>
  <c r="AZ456" i="17"/>
  <c r="BA456" i="17" s="1"/>
  <c r="BB456" i="17" s="1"/>
  <c r="K457" i="7"/>
  <c r="T457" i="7" s="1"/>
  <c r="AT457" i="17"/>
  <c r="AU457" i="17" s="1"/>
  <c r="AV457" i="17" s="1"/>
  <c r="BR462" i="17"/>
  <c r="BS462" i="17" s="1"/>
  <c r="BT462" i="17" s="1"/>
  <c r="L464" i="7"/>
  <c r="U464" i="7" s="1"/>
  <c r="AZ463" i="17"/>
  <c r="BA463" i="17" s="1"/>
  <c r="BB463" i="17" s="1"/>
  <c r="P465" i="7"/>
  <c r="AA465" i="7" s="1"/>
  <c r="N466" i="7"/>
  <c r="W466" i="7" s="1"/>
  <c r="BX481" i="17"/>
  <c r="BY481" i="17" s="1"/>
  <c r="BZ481" i="17" s="1"/>
  <c r="P485" i="7"/>
  <c r="AA485" i="7" s="1"/>
  <c r="BX485" i="17"/>
  <c r="BY485" i="17" s="1"/>
  <c r="BZ485" i="17" s="1"/>
  <c r="BR505" i="17"/>
  <c r="BS505" i="17" s="1"/>
  <c r="BT505" i="17" s="1"/>
  <c r="BX506" i="17"/>
  <c r="BY506" i="17" s="1"/>
  <c r="BZ506" i="17" s="1"/>
  <c r="Q508" i="7"/>
  <c r="X508" i="7" s="1"/>
  <c r="Q507" i="7"/>
  <c r="X507" i="7" s="1"/>
  <c r="N576" i="7"/>
  <c r="W576" i="7" s="1"/>
  <c r="BL576" i="17"/>
  <c r="BM576" i="17" s="1"/>
  <c r="BN576" i="17" s="1"/>
  <c r="M598" i="7"/>
  <c r="V598" i="7" s="1"/>
  <c r="BF598" i="17"/>
  <c r="BG598" i="17" s="1"/>
  <c r="BH598" i="17" s="1"/>
  <c r="M599" i="7"/>
  <c r="V599" i="7" s="1"/>
  <c r="AT635" i="17"/>
  <c r="AU635" i="17" s="1"/>
  <c r="AV635" i="17" s="1"/>
  <c r="K635" i="7"/>
  <c r="T635" i="7" s="1"/>
  <c r="K636" i="7"/>
  <c r="T636" i="7" s="1"/>
  <c r="L644" i="7"/>
  <c r="U644" i="7" s="1"/>
  <c r="AZ644" i="17"/>
  <c r="BA644" i="17" s="1"/>
  <c r="BB644" i="17" s="1"/>
  <c r="L645" i="7"/>
  <c r="U645" i="7" s="1"/>
  <c r="AZ645" i="17"/>
  <c r="BA645" i="17" s="1"/>
  <c r="BB645" i="17" s="1"/>
  <c r="BR680" i="17"/>
  <c r="BS680" i="17" s="1"/>
  <c r="BT680" i="17" s="1"/>
  <c r="BX681" i="17"/>
  <c r="BY681" i="17" s="1"/>
  <c r="BZ681" i="17" s="1"/>
  <c r="AT692" i="17"/>
  <c r="AU692" i="17" s="1"/>
  <c r="AV692" i="17" s="1"/>
  <c r="BX715" i="17"/>
  <c r="BY715" i="17" s="1"/>
  <c r="BZ715" i="17" s="1"/>
  <c r="N752" i="7"/>
  <c r="W752" i="7" s="1"/>
  <c r="BL751" i="17"/>
  <c r="BM751" i="17" s="1"/>
  <c r="BN751" i="17" s="1"/>
  <c r="O753" i="7"/>
  <c r="Z753" i="7" s="1"/>
  <c r="BR752" i="17"/>
  <c r="BS752" i="17" s="1"/>
  <c r="BT752" i="17" s="1"/>
  <c r="S152" i="7"/>
  <c r="Y152" i="7" s="1"/>
  <c r="R153" i="7"/>
  <c r="P156" i="7"/>
  <c r="AA156" i="7" s="1"/>
  <c r="O164" i="7"/>
  <c r="Z164" i="7" s="1"/>
  <c r="P165" i="7"/>
  <c r="AA165" i="7" s="1"/>
  <c r="S173" i="7"/>
  <c r="P180" i="7"/>
  <c r="AA180" i="7" s="1"/>
  <c r="S192" i="7"/>
  <c r="Q195" i="7"/>
  <c r="X195" i="7" s="1"/>
  <c r="P197" i="7"/>
  <c r="AA197" i="7" s="1"/>
  <c r="M200" i="7"/>
  <c r="V200" i="7" s="1"/>
  <c r="K208" i="7"/>
  <c r="T208" i="7" s="1"/>
  <c r="O214" i="7"/>
  <c r="Z214" i="7" s="1"/>
  <c r="N218" i="7"/>
  <c r="W218" i="7" s="1"/>
  <c r="Q226" i="7"/>
  <c r="X226" i="7" s="1"/>
  <c r="N239" i="7"/>
  <c r="W239" i="7" s="1"/>
  <c r="L242" i="7"/>
  <c r="U242" i="7" s="1"/>
  <c r="K243" i="7"/>
  <c r="T243" i="7" s="1"/>
  <c r="BX254" i="17"/>
  <c r="BY254" i="17" s="1"/>
  <c r="BZ254" i="17" s="1"/>
  <c r="BR255" i="17"/>
  <c r="BS255" i="17" s="1"/>
  <c r="BT255" i="17" s="1"/>
  <c r="BF256" i="17"/>
  <c r="BG256" i="17" s="1"/>
  <c r="BH256" i="17" s="1"/>
  <c r="AT257" i="17"/>
  <c r="AU257" i="17" s="1"/>
  <c r="AV257" i="17" s="1"/>
  <c r="K258" i="7"/>
  <c r="T258" i="7" s="1"/>
  <c r="AT258" i="17"/>
  <c r="AU258" i="17" s="1"/>
  <c r="AV258" i="17" s="1"/>
  <c r="BR263" i="17"/>
  <c r="BS263" i="17" s="1"/>
  <c r="BT263" i="17" s="1"/>
  <c r="P264" i="7"/>
  <c r="AA264" i="7" s="1"/>
  <c r="BX264" i="17"/>
  <c r="BY264" i="17" s="1"/>
  <c r="BZ264" i="17" s="1"/>
  <c r="N265" i="7"/>
  <c r="W265" i="7" s="1"/>
  <c r="BL265" i="17"/>
  <c r="BM265" i="17" s="1"/>
  <c r="BN265" i="17" s="1"/>
  <c r="BF266" i="17"/>
  <c r="BG266" i="17" s="1"/>
  <c r="BH266" i="17" s="1"/>
  <c r="N268" i="7"/>
  <c r="W268" i="7" s="1"/>
  <c r="L269" i="7"/>
  <c r="U269" i="7" s="1"/>
  <c r="L270" i="7"/>
  <c r="U270" i="7" s="1"/>
  <c r="S273" i="7"/>
  <c r="L278" i="7"/>
  <c r="U278" i="7" s="1"/>
  <c r="S279" i="7"/>
  <c r="L280" i="7"/>
  <c r="U280" i="7" s="1"/>
  <c r="S281" i="7"/>
  <c r="R284" i="7"/>
  <c r="Q290" i="7"/>
  <c r="X290" i="7" s="1"/>
  <c r="P293" i="7"/>
  <c r="AA293" i="7" s="1"/>
  <c r="BX292" i="17"/>
  <c r="BY292" i="17" s="1"/>
  <c r="BZ292" i="17" s="1"/>
  <c r="BX293" i="17"/>
  <c r="BY293" i="17" s="1"/>
  <c r="BZ293" i="17" s="1"/>
  <c r="BX294" i="17"/>
  <c r="BY294" i="17" s="1"/>
  <c r="BZ294" i="17" s="1"/>
  <c r="BL295" i="17"/>
  <c r="BM295" i="17" s="1"/>
  <c r="BN295" i="17" s="1"/>
  <c r="N296" i="7"/>
  <c r="W296" i="7" s="1"/>
  <c r="BL296" i="17"/>
  <c r="BM296" i="17" s="1"/>
  <c r="BN296" i="17" s="1"/>
  <c r="O298" i="7"/>
  <c r="Z298" i="7" s="1"/>
  <c r="BR297" i="17"/>
  <c r="BS297" i="17" s="1"/>
  <c r="BT297" i="17" s="1"/>
  <c r="BL298" i="17"/>
  <c r="BM298" i="17" s="1"/>
  <c r="BN298" i="17" s="1"/>
  <c r="N299" i="7"/>
  <c r="W299" i="7" s="1"/>
  <c r="BL299" i="17"/>
  <c r="BM299" i="17" s="1"/>
  <c r="BN299" i="17" s="1"/>
  <c r="O301" i="7"/>
  <c r="Z301" i="7" s="1"/>
  <c r="BR300" i="17"/>
  <c r="BS300" i="17" s="1"/>
  <c r="BT300" i="17" s="1"/>
  <c r="N301" i="7"/>
  <c r="W301" i="7" s="1"/>
  <c r="BL301" i="17"/>
  <c r="BM301" i="17" s="1"/>
  <c r="BN301" i="17" s="1"/>
  <c r="N303" i="7"/>
  <c r="W303" i="7" s="1"/>
  <c r="BL302" i="17"/>
  <c r="BM302" i="17" s="1"/>
  <c r="BN302" i="17" s="1"/>
  <c r="L303" i="7"/>
  <c r="U303" i="7" s="1"/>
  <c r="AZ303" i="17"/>
  <c r="BA303" i="17" s="1"/>
  <c r="BB303" i="17" s="1"/>
  <c r="L304" i="7"/>
  <c r="U304" i="7" s="1"/>
  <c r="AZ304" i="17"/>
  <c r="BA304" i="17" s="1"/>
  <c r="BB304" i="17" s="1"/>
  <c r="AZ305" i="17"/>
  <c r="BA305" i="17" s="1"/>
  <c r="BB305" i="17" s="1"/>
  <c r="AZ306" i="17"/>
  <c r="BA306" i="17" s="1"/>
  <c r="BB306" i="17" s="1"/>
  <c r="AZ307" i="17"/>
  <c r="BA307" i="17" s="1"/>
  <c r="BB307" i="17" s="1"/>
  <c r="AT308" i="17"/>
  <c r="AU308" i="17" s="1"/>
  <c r="AV308" i="17" s="1"/>
  <c r="L315" i="7"/>
  <c r="U315" i="7" s="1"/>
  <c r="L316" i="7"/>
  <c r="U316" i="7" s="1"/>
  <c r="N317" i="7"/>
  <c r="W317" i="7" s="1"/>
  <c r="S319" i="7"/>
  <c r="R320" i="7"/>
  <c r="P328" i="7"/>
  <c r="AA328" i="7" s="1"/>
  <c r="BX328" i="17"/>
  <c r="BY328" i="17" s="1"/>
  <c r="BZ328" i="17" s="1"/>
  <c r="BX329" i="17"/>
  <c r="BY329" i="17" s="1"/>
  <c r="BZ329" i="17" s="1"/>
  <c r="BX331" i="17"/>
  <c r="BY331" i="17" s="1"/>
  <c r="BZ331" i="17" s="1"/>
  <c r="O332" i="7"/>
  <c r="Z332" i="7" s="1"/>
  <c r="BR332" i="17"/>
  <c r="BS332" i="17" s="1"/>
  <c r="BT332" i="17" s="1"/>
  <c r="BL333" i="17"/>
  <c r="BM333" i="17" s="1"/>
  <c r="BN333" i="17" s="1"/>
  <c r="BF334" i="17"/>
  <c r="BG334" i="17" s="1"/>
  <c r="BH334" i="17" s="1"/>
  <c r="AZ335" i="17"/>
  <c r="BA335" i="17" s="1"/>
  <c r="BB335" i="17" s="1"/>
  <c r="AZ336" i="17"/>
  <c r="BA336" i="17" s="1"/>
  <c r="BB336" i="17" s="1"/>
  <c r="AT337" i="17"/>
  <c r="AU337" i="17" s="1"/>
  <c r="AV337" i="17" s="1"/>
  <c r="K338" i="7"/>
  <c r="T338" i="7" s="1"/>
  <c r="AT338" i="17"/>
  <c r="AU338" i="17" s="1"/>
  <c r="AV338" i="17" s="1"/>
  <c r="AT339" i="17"/>
  <c r="AU339" i="17" s="1"/>
  <c r="AV339" i="17" s="1"/>
  <c r="AT341" i="17"/>
  <c r="AU341" i="17" s="1"/>
  <c r="AV341" i="17" s="1"/>
  <c r="AT343" i="17"/>
  <c r="AU343" i="17" s="1"/>
  <c r="AV343" i="17" s="1"/>
  <c r="K344" i="7"/>
  <c r="T344" i="7" s="1"/>
  <c r="AT344" i="17"/>
  <c r="AU344" i="17" s="1"/>
  <c r="AV344" i="17" s="1"/>
  <c r="K346" i="7"/>
  <c r="T346" i="7" s="1"/>
  <c r="AT345" i="17"/>
  <c r="AU345" i="17" s="1"/>
  <c r="AV345" i="17" s="1"/>
  <c r="AT346" i="17"/>
  <c r="AU346" i="17" s="1"/>
  <c r="AV346" i="17" s="1"/>
  <c r="L347" i="7"/>
  <c r="U347" i="7" s="1"/>
  <c r="AZ347" i="17"/>
  <c r="BA347" i="17" s="1"/>
  <c r="BB347" i="17" s="1"/>
  <c r="AZ348" i="17"/>
  <c r="BA348" i="17" s="1"/>
  <c r="BB348" i="17" s="1"/>
  <c r="K349" i="7"/>
  <c r="T349" i="7" s="1"/>
  <c r="AT349" i="17"/>
  <c r="AU349" i="17" s="1"/>
  <c r="AV349" i="17" s="1"/>
  <c r="AT351" i="17"/>
  <c r="AU351" i="17" s="1"/>
  <c r="AV351" i="17" s="1"/>
  <c r="L357" i="7"/>
  <c r="U357" i="7" s="1"/>
  <c r="R361" i="7"/>
  <c r="Q364" i="7"/>
  <c r="X364" i="7" s="1"/>
  <c r="BX366" i="17"/>
  <c r="BY366" i="17" s="1"/>
  <c r="BZ366" i="17" s="1"/>
  <c r="P367" i="7"/>
  <c r="AA367" i="7" s="1"/>
  <c r="BX367" i="17"/>
  <c r="BY367" i="17" s="1"/>
  <c r="BZ367" i="17" s="1"/>
  <c r="Q369" i="7"/>
  <c r="X369" i="7" s="1"/>
  <c r="P371" i="7"/>
  <c r="AA371" i="7" s="1"/>
  <c r="BX371" i="17"/>
  <c r="BY371" i="17" s="1"/>
  <c r="BZ371" i="17" s="1"/>
  <c r="BX372" i="17"/>
  <c r="BY372" i="17" s="1"/>
  <c r="BZ372" i="17" s="1"/>
  <c r="BX373" i="17"/>
  <c r="BY373" i="17" s="1"/>
  <c r="BZ373" i="17" s="1"/>
  <c r="P376" i="7"/>
  <c r="AA376" i="7" s="1"/>
  <c r="BX376" i="17"/>
  <c r="BY376" i="17" s="1"/>
  <c r="BZ376" i="17" s="1"/>
  <c r="BX377" i="17"/>
  <c r="BY377" i="17" s="1"/>
  <c r="BZ377" i="17" s="1"/>
  <c r="BR378" i="17"/>
  <c r="BS378" i="17" s="1"/>
  <c r="BT378" i="17" s="1"/>
  <c r="O379" i="7"/>
  <c r="Z379" i="7" s="1"/>
  <c r="BR379" i="17"/>
  <c r="BS379" i="17" s="1"/>
  <c r="BT379" i="17" s="1"/>
  <c r="BR380" i="17"/>
  <c r="BS380" i="17" s="1"/>
  <c r="BT380" i="17" s="1"/>
  <c r="O381" i="7"/>
  <c r="Z381" i="7" s="1"/>
  <c r="BR381" i="17"/>
  <c r="BS381" i="17" s="1"/>
  <c r="BT381" i="17" s="1"/>
  <c r="BR382" i="17"/>
  <c r="BS382" i="17" s="1"/>
  <c r="BT382" i="17" s="1"/>
  <c r="BL383" i="17"/>
  <c r="BM383" i="17" s="1"/>
  <c r="BN383" i="17" s="1"/>
  <c r="N384" i="7"/>
  <c r="W384" i="7" s="1"/>
  <c r="BL384" i="17"/>
  <c r="BM384" i="17" s="1"/>
  <c r="BN384" i="17" s="1"/>
  <c r="BF385" i="17"/>
  <c r="BG385" i="17" s="1"/>
  <c r="BH385" i="17" s="1"/>
  <c r="M386" i="7"/>
  <c r="V386" i="7" s="1"/>
  <c r="BF386" i="17"/>
  <c r="BG386" i="17" s="1"/>
  <c r="BH386" i="17" s="1"/>
  <c r="BF387" i="17"/>
  <c r="BG387" i="17" s="1"/>
  <c r="BH387" i="17" s="1"/>
  <c r="AZ388" i="17"/>
  <c r="BA388" i="17" s="1"/>
  <c r="BB388" i="17" s="1"/>
  <c r="AZ389" i="17"/>
  <c r="BA389" i="17" s="1"/>
  <c r="BB389" i="17" s="1"/>
  <c r="AT390" i="17"/>
  <c r="AU390" i="17" s="1"/>
  <c r="AV390" i="17" s="1"/>
  <c r="AT391" i="17"/>
  <c r="AU391" i="17" s="1"/>
  <c r="AV391" i="17" s="1"/>
  <c r="AT392" i="17"/>
  <c r="AU392" i="17" s="1"/>
  <c r="AV392" i="17" s="1"/>
  <c r="O394" i="7"/>
  <c r="Z394" i="7" s="1"/>
  <c r="P396" i="7"/>
  <c r="AA396" i="7" s="1"/>
  <c r="S397" i="7"/>
  <c r="Q400" i="7"/>
  <c r="X400" i="7" s="1"/>
  <c r="BR402" i="17"/>
  <c r="BS402" i="17" s="1"/>
  <c r="BT402" i="17" s="1"/>
  <c r="N403" i="7"/>
  <c r="W403" i="7" s="1"/>
  <c r="BL403" i="17"/>
  <c r="BM403" i="17" s="1"/>
  <c r="BN403" i="17" s="1"/>
  <c r="O404" i="7"/>
  <c r="Z404" i="7" s="1"/>
  <c r="BR404" i="17"/>
  <c r="BS404" i="17" s="1"/>
  <c r="BT404" i="17" s="1"/>
  <c r="BR405" i="17"/>
  <c r="BS405" i="17" s="1"/>
  <c r="BT405" i="17" s="1"/>
  <c r="L406" i="7"/>
  <c r="U406" i="7" s="1"/>
  <c r="AZ406" i="17"/>
  <c r="BA406" i="17" s="1"/>
  <c r="BB406" i="17" s="1"/>
  <c r="AT407" i="17"/>
  <c r="AU407" i="17" s="1"/>
  <c r="AV407" i="17" s="1"/>
  <c r="O408" i="7"/>
  <c r="Z408" i="7" s="1"/>
  <c r="N409" i="7"/>
  <c r="W409" i="7" s="1"/>
  <c r="O422" i="7"/>
  <c r="Z422" i="7" s="1"/>
  <c r="N423" i="7"/>
  <c r="W423" i="7" s="1"/>
  <c r="N424" i="7"/>
  <c r="W424" i="7" s="1"/>
  <c r="BR429" i="17"/>
  <c r="BS429" i="17" s="1"/>
  <c r="BT429" i="17" s="1"/>
  <c r="BX430" i="17"/>
  <c r="BY430" i="17" s="1"/>
  <c r="BZ430" i="17" s="1"/>
  <c r="P432" i="7"/>
  <c r="AA432" i="7" s="1"/>
  <c r="BX432" i="17"/>
  <c r="BY432" i="17" s="1"/>
  <c r="BZ432" i="17" s="1"/>
  <c r="BR433" i="17"/>
  <c r="BS433" i="17" s="1"/>
  <c r="BT433" i="17" s="1"/>
  <c r="M434" i="7"/>
  <c r="V434" i="7" s="1"/>
  <c r="BF434" i="17"/>
  <c r="BG434" i="17" s="1"/>
  <c r="BH434" i="17" s="1"/>
  <c r="BF435" i="17"/>
  <c r="BG435" i="17" s="1"/>
  <c r="BH435" i="17" s="1"/>
  <c r="AT436" i="17"/>
  <c r="AU436" i="17" s="1"/>
  <c r="AV436" i="17" s="1"/>
  <c r="K437" i="7"/>
  <c r="T437" i="7" s="1"/>
  <c r="AT437" i="17"/>
  <c r="AU437" i="17" s="1"/>
  <c r="AV437" i="17" s="1"/>
  <c r="N440" i="7"/>
  <c r="W440" i="7" s="1"/>
  <c r="P443" i="7"/>
  <c r="AA443" i="7" s="1"/>
  <c r="L444" i="7"/>
  <c r="U444" i="7" s="1"/>
  <c r="L445" i="7"/>
  <c r="U445" i="7" s="1"/>
  <c r="N447" i="7"/>
  <c r="W447" i="7" s="1"/>
  <c r="M449" i="7"/>
  <c r="V449" i="7" s="1"/>
  <c r="Q451" i="7"/>
  <c r="X451" i="7" s="1"/>
  <c r="BR453" i="17"/>
  <c r="BS453" i="17" s="1"/>
  <c r="BT453" i="17" s="1"/>
  <c r="BR454" i="17"/>
  <c r="BS454" i="17" s="1"/>
  <c r="BT454" i="17" s="1"/>
  <c r="BF455" i="17"/>
  <c r="BG455" i="17" s="1"/>
  <c r="BH455" i="17" s="1"/>
  <c r="BF456" i="17"/>
  <c r="BG456" i="17" s="1"/>
  <c r="BH456" i="17" s="1"/>
  <c r="L457" i="7"/>
  <c r="U457" i="7" s="1"/>
  <c r="AZ457" i="17"/>
  <c r="BA457" i="17" s="1"/>
  <c r="BB457" i="17" s="1"/>
  <c r="AT458" i="17"/>
  <c r="AU458" i="17" s="1"/>
  <c r="AV458" i="17" s="1"/>
  <c r="AT459" i="17"/>
  <c r="AU459" i="17" s="1"/>
  <c r="AV459" i="17" s="1"/>
  <c r="P459" i="7"/>
  <c r="AA459" i="7" s="1"/>
  <c r="N460" i="7"/>
  <c r="W460" i="7" s="1"/>
  <c r="R461" i="7"/>
  <c r="BX462" i="17"/>
  <c r="BY462" i="17" s="1"/>
  <c r="BZ462" i="17" s="1"/>
  <c r="M463" i="7"/>
  <c r="V463" i="7" s="1"/>
  <c r="BF463" i="17"/>
  <c r="BG463" i="17" s="1"/>
  <c r="BH463" i="17" s="1"/>
  <c r="AT464" i="17"/>
  <c r="AU464" i="17" s="1"/>
  <c r="AV464" i="17" s="1"/>
  <c r="M477" i="7"/>
  <c r="V477" i="7" s="1"/>
  <c r="O504" i="7"/>
  <c r="Z504" i="7" s="1"/>
  <c r="BR504" i="17"/>
  <c r="BS504" i="17" s="1"/>
  <c r="BT504" i="17" s="1"/>
  <c r="AZ518" i="17"/>
  <c r="BA518" i="17" s="1"/>
  <c r="BB518" i="17" s="1"/>
  <c r="BF551" i="17"/>
  <c r="BG551" i="17" s="1"/>
  <c r="BH551" i="17" s="1"/>
  <c r="BR594" i="17"/>
  <c r="BS594" i="17" s="1"/>
  <c r="BT594" i="17" s="1"/>
  <c r="BR595" i="17"/>
  <c r="BS595" i="17" s="1"/>
  <c r="BT595" i="17" s="1"/>
  <c r="O596" i="7"/>
  <c r="Z596" i="7" s="1"/>
  <c r="BR596" i="17"/>
  <c r="BS596" i="17" s="1"/>
  <c r="BT596" i="17" s="1"/>
  <c r="BR597" i="17"/>
  <c r="BS597" i="17" s="1"/>
  <c r="BT597" i="17" s="1"/>
  <c r="S610" i="7"/>
  <c r="AT634" i="17"/>
  <c r="AU634" i="17" s="1"/>
  <c r="AV634" i="17" s="1"/>
  <c r="BR653" i="17"/>
  <c r="BS653" i="17" s="1"/>
  <c r="BT653" i="17" s="1"/>
  <c r="O653" i="7"/>
  <c r="Z653" i="7" s="1"/>
  <c r="AT669" i="17"/>
  <c r="AU669" i="17" s="1"/>
  <c r="AV669" i="17" s="1"/>
  <c r="K670" i="7"/>
  <c r="T670" i="7" s="1"/>
  <c r="L671" i="7"/>
  <c r="U671" i="7" s="1"/>
  <c r="AZ670" i="17"/>
  <c r="BA670" i="17" s="1"/>
  <c r="BB670" i="17" s="1"/>
  <c r="L670" i="7"/>
  <c r="U670" i="7" s="1"/>
  <c r="AT688" i="17"/>
  <c r="AU688" i="17" s="1"/>
  <c r="AV688" i="17" s="1"/>
  <c r="AT689" i="17"/>
  <c r="AU689" i="17" s="1"/>
  <c r="AV689" i="17" s="1"/>
  <c r="AT690" i="17"/>
  <c r="AU690" i="17" s="1"/>
  <c r="AV690" i="17" s="1"/>
  <c r="L692" i="7"/>
  <c r="U692" i="7" s="1"/>
  <c r="AZ691" i="17"/>
  <c r="BA691" i="17" s="1"/>
  <c r="BB691" i="17" s="1"/>
  <c r="BL750" i="17"/>
  <c r="BM750" i="17" s="1"/>
  <c r="BN750" i="17" s="1"/>
  <c r="N750" i="7"/>
  <c r="W750" i="7" s="1"/>
  <c r="P158" i="7"/>
  <c r="AA158" i="7" s="1"/>
  <c r="Q164" i="7"/>
  <c r="X164" i="7" s="1"/>
  <c r="K189" i="7"/>
  <c r="T189" i="7" s="1"/>
  <c r="P191" i="7"/>
  <c r="AA191" i="7" s="1"/>
  <c r="S194" i="7"/>
  <c r="R195" i="7"/>
  <c r="Q197" i="7"/>
  <c r="X197" i="7" s="1"/>
  <c r="O198" i="7"/>
  <c r="Z198" i="7" s="1"/>
  <c r="N200" i="7"/>
  <c r="W200" i="7" s="1"/>
  <c r="N202" i="7"/>
  <c r="W202" i="7" s="1"/>
  <c r="S211" i="7"/>
  <c r="N215" i="7"/>
  <c r="W215" i="7" s="1"/>
  <c r="O217" i="7"/>
  <c r="Z217" i="7" s="1"/>
  <c r="O228" i="7"/>
  <c r="Z228" i="7" s="1"/>
  <c r="N230" i="7"/>
  <c r="W230" i="7" s="1"/>
  <c r="N238" i="7"/>
  <c r="W238" i="7" s="1"/>
  <c r="K245" i="7"/>
  <c r="T245" i="7" s="1"/>
  <c r="S252" i="7"/>
  <c r="Q254" i="7"/>
  <c r="X254" i="7" s="1"/>
  <c r="BX255" i="17"/>
  <c r="BY255" i="17" s="1"/>
  <c r="BZ255" i="17" s="1"/>
  <c r="BL256" i="17"/>
  <c r="BM256" i="17" s="1"/>
  <c r="BN256" i="17" s="1"/>
  <c r="L257" i="7"/>
  <c r="U257" i="7" s="1"/>
  <c r="AZ257" i="17"/>
  <c r="BA257" i="17" s="1"/>
  <c r="BB257" i="17" s="1"/>
  <c r="L258" i="7"/>
  <c r="U258" i="7" s="1"/>
  <c r="AZ258" i="17"/>
  <c r="BA258" i="17" s="1"/>
  <c r="BB258" i="17" s="1"/>
  <c r="K259" i="7"/>
  <c r="T259" i="7" s="1"/>
  <c r="AT259" i="17"/>
  <c r="AU259" i="17" s="1"/>
  <c r="AV259" i="17" s="1"/>
  <c r="N260" i="7"/>
  <c r="W260" i="7" s="1"/>
  <c r="BX263" i="17"/>
  <c r="BY263" i="17" s="1"/>
  <c r="BZ263" i="17" s="1"/>
  <c r="BR265" i="17"/>
  <c r="BS265" i="17" s="1"/>
  <c r="BT265" i="17" s="1"/>
  <c r="N266" i="7"/>
  <c r="W266" i="7" s="1"/>
  <c r="BL266" i="17"/>
  <c r="BM266" i="17" s="1"/>
  <c r="BN266" i="17" s="1"/>
  <c r="AT267" i="17"/>
  <c r="AU267" i="17" s="1"/>
  <c r="AV267" i="17" s="1"/>
  <c r="AT268" i="17"/>
  <c r="AU268" i="17" s="1"/>
  <c r="AV268" i="17" s="1"/>
  <c r="P273" i="7"/>
  <c r="AA273" i="7" s="1"/>
  <c r="K274" i="7"/>
  <c r="T274" i="7" s="1"/>
  <c r="K276" i="7"/>
  <c r="T276" i="7" s="1"/>
  <c r="K281" i="7"/>
  <c r="T281" i="7" s="1"/>
  <c r="P282" i="7"/>
  <c r="AA282" i="7" s="1"/>
  <c r="K285" i="7"/>
  <c r="T285" i="7" s="1"/>
  <c r="S287" i="7"/>
  <c r="Q293" i="7"/>
  <c r="X293" i="7" s="1"/>
  <c r="BR295" i="17"/>
  <c r="BS295" i="17" s="1"/>
  <c r="BT295" i="17" s="1"/>
  <c r="O297" i="7"/>
  <c r="Z297" i="7" s="1"/>
  <c r="BR296" i="17"/>
  <c r="BS296" i="17" s="1"/>
  <c r="BT296" i="17" s="1"/>
  <c r="BX297" i="17"/>
  <c r="BY297" i="17" s="1"/>
  <c r="BZ297" i="17" s="1"/>
  <c r="BR298" i="17"/>
  <c r="BS298" i="17" s="1"/>
  <c r="BT298" i="17" s="1"/>
  <c r="BR299" i="17"/>
  <c r="BS299" i="17" s="1"/>
  <c r="BT299" i="17" s="1"/>
  <c r="P300" i="7"/>
  <c r="AA300" i="7" s="1"/>
  <c r="BX300" i="17"/>
  <c r="BY300" i="17" s="1"/>
  <c r="BZ300" i="17" s="1"/>
  <c r="BR301" i="17"/>
  <c r="BS301" i="17" s="1"/>
  <c r="BT301" i="17" s="1"/>
  <c r="O302" i="7"/>
  <c r="Z302" i="7" s="1"/>
  <c r="BR302" i="17"/>
  <c r="BS302" i="17" s="1"/>
  <c r="BT302" i="17" s="1"/>
  <c r="BF303" i="17"/>
  <c r="BG303" i="17" s="1"/>
  <c r="BH303" i="17" s="1"/>
  <c r="M304" i="7"/>
  <c r="V304" i="7" s="1"/>
  <c r="BF304" i="17"/>
  <c r="BG304" i="17" s="1"/>
  <c r="BH304" i="17" s="1"/>
  <c r="BF305" i="17"/>
  <c r="BG305" i="17" s="1"/>
  <c r="BH305" i="17" s="1"/>
  <c r="M306" i="7"/>
  <c r="V306" i="7" s="1"/>
  <c r="BF306" i="17"/>
  <c r="BG306" i="17" s="1"/>
  <c r="BH306" i="17" s="1"/>
  <c r="M307" i="7"/>
  <c r="V307" i="7" s="1"/>
  <c r="BF307" i="17"/>
  <c r="BG307" i="17" s="1"/>
  <c r="BH307" i="17" s="1"/>
  <c r="AZ308" i="17"/>
  <c r="BA308" i="17" s="1"/>
  <c r="BB308" i="17" s="1"/>
  <c r="AT309" i="17"/>
  <c r="AU309" i="17" s="1"/>
  <c r="AV309" i="17" s="1"/>
  <c r="K310" i="7"/>
  <c r="T310" i="7" s="1"/>
  <c r="AT310" i="17"/>
  <c r="AU310" i="17" s="1"/>
  <c r="AV310" i="17" s="1"/>
  <c r="AT311" i="17"/>
  <c r="AU311" i="17" s="1"/>
  <c r="AV311" i="17" s="1"/>
  <c r="K312" i="7"/>
  <c r="T312" i="7" s="1"/>
  <c r="AT312" i="17"/>
  <c r="AU312" i="17" s="1"/>
  <c r="AV312" i="17" s="1"/>
  <c r="P317" i="7"/>
  <c r="AA317" i="7" s="1"/>
  <c r="N318" i="7"/>
  <c r="W318" i="7" s="1"/>
  <c r="P319" i="7"/>
  <c r="AA319" i="7" s="1"/>
  <c r="S322" i="7"/>
  <c r="R323" i="7"/>
  <c r="S325" i="7"/>
  <c r="Q331" i="7"/>
  <c r="X331" i="7" s="1"/>
  <c r="BX332" i="17"/>
  <c r="BY332" i="17" s="1"/>
  <c r="BZ332" i="17" s="1"/>
  <c r="BR333" i="17"/>
  <c r="BS333" i="17" s="1"/>
  <c r="BT333" i="17" s="1"/>
  <c r="N335" i="7"/>
  <c r="W335" i="7" s="1"/>
  <c r="BL334" i="17"/>
  <c r="BM334" i="17" s="1"/>
  <c r="BN334" i="17" s="1"/>
  <c r="BF335" i="17"/>
  <c r="BG335" i="17" s="1"/>
  <c r="BH335" i="17" s="1"/>
  <c r="M336" i="7"/>
  <c r="V336" i="7" s="1"/>
  <c r="BF336" i="17"/>
  <c r="BG336" i="17" s="1"/>
  <c r="BH336" i="17" s="1"/>
  <c r="AZ337" i="17"/>
  <c r="BA337" i="17" s="1"/>
  <c r="BB337" i="17" s="1"/>
  <c r="AZ338" i="17"/>
  <c r="BA338" i="17" s="1"/>
  <c r="BB338" i="17" s="1"/>
  <c r="L339" i="7"/>
  <c r="U339" i="7" s="1"/>
  <c r="AZ339" i="17"/>
  <c r="BA339" i="17" s="1"/>
  <c r="BB339" i="17" s="1"/>
  <c r="AT340" i="17"/>
  <c r="AU340" i="17" s="1"/>
  <c r="AV340" i="17" s="1"/>
  <c r="L342" i="7"/>
  <c r="U342" i="7" s="1"/>
  <c r="AZ341" i="17"/>
  <c r="BA341" i="17" s="1"/>
  <c r="BB341" i="17" s="1"/>
  <c r="AT342" i="17"/>
  <c r="AU342" i="17" s="1"/>
  <c r="AV342" i="17" s="1"/>
  <c r="L343" i="7"/>
  <c r="U343" i="7" s="1"/>
  <c r="AZ343" i="17"/>
  <c r="BA343" i="17" s="1"/>
  <c r="BB343" i="17" s="1"/>
  <c r="L345" i="7"/>
  <c r="U345" i="7" s="1"/>
  <c r="AZ344" i="17"/>
  <c r="BA344" i="17" s="1"/>
  <c r="BB344" i="17" s="1"/>
  <c r="AZ345" i="17"/>
  <c r="BA345" i="17" s="1"/>
  <c r="BB345" i="17" s="1"/>
  <c r="L346" i="7"/>
  <c r="U346" i="7" s="1"/>
  <c r="AZ346" i="17"/>
  <c r="BA346" i="17" s="1"/>
  <c r="BB346" i="17" s="1"/>
  <c r="BF347" i="17"/>
  <c r="BG347" i="17" s="1"/>
  <c r="BH347" i="17" s="1"/>
  <c r="M348" i="7"/>
  <c r="V348" i="7" s="1"/>
  <c r="BF348" i="17"/>
  <c r="BG348" i="17" s="1"/>
  <c r="BH348" i="17" s="1"/>
  <c r="AZ349" i="17"/>
  <c r="BA349" i="17" s="1"/>
  <c r="BB349" i="17" s="1"/>
  <c r="AT350" i="17"/>
  <c r="AU350" i="17" s="1"/>
  <c r="AV350" i="17" s="1"/>
  <c r="L352" i="7"/>
  <c r="U352" i="7" s="1"/>
  <c r="AZ351" i="17"/>
  <c r="BA351" i="17" s="1"/>
  <c r="BB351" i="17" s="1"/>
  <c r="S361" i="7"/>
  <c r="Y361" i="7" s="1"/>
  <c r="R364" i="7"/>
  <c r="Q366" i="7"/>
  <c r="X366" i="7" s="1"/>
  <c r="R369" i="7"/>
  <c r="Q371" i="7"/>
  <c r="X371" i="7" s="1"/>
  <c r="BX378" i="17"/>
  <c r="BY378" i="17" s="1"/>
  <c r="BZ378" i="17" s="1"/>
  <c r="P379" i="7"/>
  <c r="AA379" i="7" s="1"/>
  <c r="BX379" i="17"/>
  <c r="BY379" i="17" s="1"/>
  <c r="BZ379" i="17" s="1"/>
  <c r="BX380" i="17"/>
  <c r="BY380" i="17" s="1"/>
  <c r="BZ380" i="17" s="1"/>
  <c r="P381" i="7"/>
  <c r="AA381" i="7" s="1"/>
  <c r="BX381" i="17"/>
  <c r="BY381" i="17" s="1"/>
  <c r="BZ381" i="17" s="1"/>
  <c r="BX382" i="17"/>
  <c r="BY382" i="17" s="1"/>
  <c r="BZ382" i="17" s="1"/>
  <c r="BR383" i="17"/>
  <c r="BS383" i="17" s="1"/>
  <c r="BT383" i="17" s="1"/>
  <c r="O384" i="7"/>
  <c r="Z384" i="7" s="1"/>
  <c r="BR384" i="17"/>
  <c r="BS384" i="17" s="1"/>
  <c r="BT384" i="17" s="1"/>
  <c r="BL385" i="17"/>
  <c r="BM385" i="17" s="1"/>
  <c r="BN385" i="17" s="1"/>
  <c r="N386" i="7"/>
  <c r="W386" i="7" s="1"/>
  <c r="BL386" i="17"/>
  <c r="BM386" i="17" s="1"/>
  <c r="BN386" i="17" s="1"/>
  <c r="N388" i="7"/>
  <c r="W388" i="7" s="1"/>
  <c r="BL387" i="17"/>
  <c r="BM387" i="17" s="1"/>
  <c r="BN387" i="17" s="1"/>
  <c r="BF388" i="17"/>
  <c r="BG388" i="17" s="1"/>
  <c r="BH388" i="17" s="1"/>
  <c r="M389" i="7"/>
  <c r="V389" i="7" s="1"/>
  <c r="BF389" i="17"/>
  <c r="BG389" i="17" s="1"/>
  <c r="BH389" i="17" s="1"/>
  <c r="AZ390" i="17"/>
  <c r="BA390" i="17" s="1"/>
  <c r="BB390" i="17" s="1"/>
  <c r="L391" i="7"/>
  <c r="U391" i="7" s="1"/>
  <c r="AZ391" i="17"/>
  <c r="BA391" i="17" s="1"/>
  <c r="BB391" i="17" s="1"/>
  <c r="AZ392" i="17"/>
  <c r="BA392" i="17" s="1"/>
  <c r="BB392" i="17" s="1"/>
  <c r="AT394" i="17"/>
  <c r="AU394" i="17" s="1"/>
  <c r="AV394" i="17" s="1"/>
  <c r="K397" i="7"/>
  <c r="T397" i="7" s="1"/>
  <c r="BX402" i="17"/>
  <c r="BY402" i="17" s="1"/>
  <c r="BZ402" i="17" s="1"/>
  <c r="O403" i="7"/>
  <c r="Z403" i="7" s="1"/>
  <c r="BR403" i="17"/>
  <c r="BS403" i="17" s="1"/>
  <c r="BT403" i="17" s="1"/>
  <c r="BX404" i="17"/>
  <c r="BY404" i="17" s="1"/>
  <c r="BZ404" i="17" s="1"/>
  <c r="P405" i="7"/>
  <c r="AA405" i="7" s="1"/>
  <c r="BX405" i="17"/>
  <c r="BY405" i="17" s="1"/>
  <c r="BZ405" i="17" s="1"/>
  <c r="BF406" i="17"/>
  <c r="BG406" i="17" s="1"/>
  <c r="BH406" i="17" s="1"/>
  <c r="AZ407" i="17"/>
  <c r="BA407" i="17" s="1"/>
  <c r="BB407" i="17" s="1"/>
  <c r="AT417" i="17"/>
  <c r="AU417" i="17" s="1"/>
  <c r="AV417" i="17" s="1"/>
  <c r="AT421" i="17"/>
  <c r="AU421" i="17" s="1"/>
  <c r="AV421" i="17" s="1"/>
  <c r="AT422" i="17"/>
  <c r="AU422" i="17" s="1"/>
  <c r="AV422" i="17" s="1"/>
  <c r="O424" i="7"/>
  <c r="Z424" i="7" s="1"/>
  <c r="R425" i="7"/>
  <c r="Y425" i="7" s="1"/>
  <c r="R427" i="7"/>
  <c r="R428" i="7"/>
  <c r="BX429" i="17"/>
  <c r="BY429" i="17" s="1"/>
  <c r="BZ429" i="17" s="1"/>
  <c r="R431" i="7"/>
  <c r="BX433" i="17"/>
  <c r="BY433" i="17" s="1"/>
  <c r="BZ433" i="17" s="1"/>
  <c r="N434" i="7"/>
  <c r="W434" i="7" s="1"/>
  <c r="BL434" i="17"/>
  <c r="BM434" i="17" s="1"/>
  <c r="BN434" i="17" s="1"/>
  <c r="BL435" i="17"/>
  <c r="BM435" i="17" s="1"/>
  <c r="BN435" i="17" s="1"/>
  <c r="AZ436" i="17"/>
  <c r="BA436" i="17" s="1"/>
  <c r="BB436" i="17" s="1"/>
  <c r="L437" i="7"/>
  <c r="U437" i="7" s="1"/>
  <c r="AZ437" i="17"/>
  <c r="BA437" i="17" s="1"/>
  <c r="BB437" i="17" s="1"/>
  <c r="K438" i="7"/>
  <c r="T438" i="7" s="1"/>
  <c r="AT438" i="17"/>
  <c r="AU438" i="17" s="1"/>
  <c r="AV438" i="17" s="1"/>
  <c r="K439" i="7"/>
  <c r="T439" i="7" s="1"/>
  <c r="AT439" i="17"/>
  <c r="AU439" i="17" s="1"/>
  <c r="AV439" i="17" s="1"/>
  <c r="O440" i="7"/>
  <c r="Z440" i="7" s="1"/>
  <c r="N449" i="7"/>
  <c r="W449" i="7" s="1"/>
  <c r="L450" i="7"/>
  <c r="U450" i="7" s="1"/>
  <c r="R451" i="7"/>
  <c r="P453" i="7"/>
  <c r="AA453" i="7" s="1"/>
  <c r="BX453" i="17"/>
  <c r="BY453" i="17" s="1"/>
  <c r="BZ453" i="17" s="1"/>
  <c r="BX454" i="17"/>
  <c r="BY454" i="17" s="1"/>
  <c r="BZ454" i="17" s="1"/>
  <c r="N455" i="7"/>
  <c r="W455" i="7" s="1"/>
  <c r="BL455" i="17"/>
  <c r="BM455" i="17" s="1"/>
  <c r="BN455" i="17" s="1"/>
  <c r="BL456" i="17"/>
  <c r="BM456" i="17" s="1"/>
  <c r="BN456" i="17" s="1"/>
  <c r="BF457" i="17"/>
  <c r="BG457" i="17" s="1"/>
  <c r="BH457" i="17" s="1"/>
  <c r="AZ458" i="17"/>
  <c r="BA458" i="17" s="1"/>
  <c r="BB458" i="17" s="1"/>
  <c r="L459" i="7"/>
  <c r="U459" i="7" s="1"/>
  <c r="AZ459" i="17"/>
  <c r="BA459" i="17" s="1"/>
  <c r="BB459" i="17" s="1"/>
  <c r="S461" i="7"/>
  <c r="Y461" i="7" s="1"/>
  <c r="Q462" i="7"/>
  <c r="X462" i="7" s="1"/>
  <c r="BL463" i="17"/>
  <c r="BM463" i="17" s="1"/>
  <c r="BN463" i="17" s="1"/>
  <c r="AZ464" i="17"/>
  <c r="BA464" i="17" s="1"/>
  <c r="BB464" i="17" s="1"/>
  <c r="AT465" i="17"/>
  <c r="AU465" i="17" s="1"/>
  <c r="AV465" i="17" s="1"/>
  <c r="P468" i="7"/>
  <c r="AA468" i="7" s="1"/>
  <c r="N469" i="7"/>
  <c r="W469" i="7" s="1"/>
  <c r="AZ517" i="17"/>
  <c r="BA517" i="17" s="1"/>
  <c r="BB517" i="17" s="1"/>
  <c r="BF521" i="17"/>
  <c r="BG521" i="17" s="1"/>
  <c r="BH521" i="17" s="1"/>
  <c r="M521" i="7"/>
  <c r="V521" i="7" s="1"/>
  <c r="M522" i="7"/>
  <c r="V522" i="7" s="1"/>
  <c r="O575" i="7"/>
  <c r="Z575" i="7" s="1"/>
  <c r="BR575" i="17"/>
  <c r="BS575" i="17" s="1"/>
  <c r="BT575" i="17" s="1"/>
  <c r="BL643" i="17"/>
  <c r="BM643" i="17" s="1"/>
  <c r="BN643" i="17" s="1"/>
  <c r="BR652" i="17"/>
  <c r="BS652" i="17" s="1"/>
  <c r="BT652" i="17" s="1"/>
  <c r="AZ668" i="17"/>
  <c r="BA668" i="17" s="1"/>
  <c r="BB668" i="17" s="1"/>
  <c r="BX679" i="17"/>
  <c r="BY679" i="17" s="1"/>
  <c r="BZ679" i="17" s="1"/>
  <c r="K745" i="7"/>
  <c r="T745" i="7" s="1"/>
  <c r="AT745" i="17"/>
  <c r="AU745" i="17" s="1"/>
  <c r="AV745" i="17" s="1"/>
  <c r="AZ746" i="17"/>
  <c r="BA746" i="17" s="1"/>
  <c r="BB746" i="17" s="1"/>
  <c r="AZ747" i="17"/>
  <c r="BA747" i="17" s="1"/>
  <c r="BB747" i="17" s="1"/>
  <c r="BF748" i="17"/>
  <c r="BG748" i="17" s="1"/>
  <c r="BH748" i="17" s="1"/>
  <c r="BL749" i="17"/>
  <c r="BM749" i="17" s="1"/>
  <c r="BN749" i="17" s="1"/>
  <c r="N749" i="7"/>
  <c r="W749" i="7" s="1"/>
  <c r="S155" i="7"/>
  <c r="Y155" i="7" s="1"/>
  <c r="R156" i="7"/>
  <c r="P159" i="7"/>
  <c r="AA159" i="7" s="1"/>
  <c r="K187" i="7"/>
  <c r="T187" i="7" s="1"/>
  <c r="L189" i="7"/>
  <c r="U189" i="7" s="1"/>
  <c r="S195" i="7"/>
  <c r="Y195" i="7" s="1"/>
  <c r="P198" i="7"/>
  <c r="AA198" i="7" s="1"/>
  <c r="O200" i="7"/>
  <c r="Z200" i="7" s="1"/>
  <c r="L205" i="7"/>
  <c r="U205" i="7" s="1"/>
  <c r="M207" i="7"/>
  <c r="V207" i="7" s="1"/>
  <c r="M208" i="7"/>
  <c r="V208" i="7" s="1"/>
  <c r="Q214" i="7"/>
  <c r="X214" i="7" s="1"/>
  <c r="O215" i="7"/>
  <c r="Z215" i="7" s="1"/>
  <c r="P217" i="7"/>
  <c r="AA217" i="7" s="1"/>
  <c r="O230" i="7"/>
  <c r="Z230" i="7" s="1"/>
  <c r="K234" i="7"/>
  <c r="T234" i="7" s="1"/>
  <c r="R236" i="7"/>
  <c r="O240" i="7"/>
  <c r="Z240" i="7" s="1"/>
  <c r="K247" i="7"/>
  <c r="T247" i="7" s="1"/>
  <c r="K251" i="7"/>
  <c r="T251" i="7" s="1"/>
  <c r="S253" i="7"/>
  <c r="BR256" i="17"/>
  <c r="BS256" i="17" s="1"/>
  <c r="BT256" i="17" s="1"/>
  <c r="BF257" i="17"/>
  <c r="BG257" i="17" s="1"/>
  <c r="BH257" i="17" s="1"/>
  <c r="BF258" i="17"/>
  <c r="BG258" i="17" s="1"/>
  <c r="BH258" i="17" s="1"/>
  <c r="L259" i="7"/>
  <c r="U259" i="7" s="1"/>
  <c r="AZ259" i="17"/>
  <c r="BA259" i="17" s="1"/>
  <c r="BB259" i="17" s="1"/>
  <c r="O260" i="7"/>
  <c r="Z260" i="7" s="1"/>
  <c r="O261" i="7"/>
  <c r="Z261" i="7" s="1"/>
  <c r="P265" i="7"/>
  <c r="AA265" i="7" s="1"/>
  <c r="BX265" i="17"/>
  <c r="BY265" i="17" s="1"/>
  <c r="BZ265" i="17" s="1"/>
  <c r="BR266" i="17"/>
  <c r="BS266" i="17" s="1"/>
  <c r="BT266" i="17" s="1"/>
  <c r="AZ267" i="17"/>
  <c r="BA267" i="17" s="1"/>
  <c r="BB267" i="17" s="1"/>
  <c r="AZ268" i="17"/>
  <c r="BA268" i="17" s="1"/>
  <c r="BB268" i="17" s="1"/>
  <c r="P274" i="7"/>
  <c r="AA274" i="7" s="1"/>
  <c r="N283" i="7"/>
  <c r="W283" i="7" s="1"/>
  <c r="P286" i="7"/>
  <c r="AA286" i="7" s="1"/>
  <c r="L287" i="7"/>
  <c r="U287" i="7" s="1"/>
  <c r="R293" i="7"/>
  <c r="BX295" i="17"/>
  <c r="BY295" i="17" s="1"/>
  <c r="BZ295" i="17" s="1"/>
  <c r="P296" i="7"/>
  <c r="AA296" i="7" s="1"/>
  <c r="BX296" i="17"/>
  <c r="BY296" i="17" s="1"/>
  <c r="BZ296" i="17" s="1"/>
  <c r="P299" i="7"/>
  <c r="AA299" i="7" s="1"/>
  <c r="BX298" i="17"/>
  <c r="BY298" i="17" s="1"/>
  <c r="BZ298" i="17" s="1"/>
  <c r="BX299" i="17"/>
  <c r="BY299" i="17" s="1"/>
  <c r="BZ299" i="17" s="1"/>
  <c r="P301" i="7"/>
  <c r="AA301" i="7" s="1"/>
  <c r="BX301" i="17"/>
  <c r="BY301" i="17" s="1"/>
  <c r="BZ301" i="17" s="1"/>
  <c r="BX302" i="17"/>
  <c r="BY302" i="17" s="1"/>
  <c r="BZ302" i="17" s="1"/>
  <c r="BL303" i="17"/>
  <c r="BM303" i="17" s="1"/>
  <c r="BN303" i="17" s="1"/>
  <c r="N304" i="7"/>
  <c r="W304" i="7" s="1"/>
  <c r="BL304" i="17"/>
  <c r="BM304" i="17" s="1"/>
  <c r="BN304" i="17" s="1"/>
  <c r="BL305" i="17"/>
  <c r="BM305" i="17" s="1"/>
  <c r="BN305" i="17" s="1"/>
  <c r="N306" i="7"/>
  <c r="W306" i="7" s="1"/>
  <c r="BL306" i="17"/>
  <c r="BM306" i="17" s="1"/>
  <c r="BN306" i="17" s="1"/>
  <c r="BL307" i="17"/>
  <c r="BM307" i="17" s="1"/>
  <c r="BN307" i="17" s="1"/>
  <c r="BF308" i="17"/>
  <c r="BG308" i="17" s="1"/>
  <c r="BH308" i="17" s="1"/>
  <c r="L309" i="7"/>
  <c r="U309" i="7" s="1"/>
  <c r="AZ309" i="17"/>
  <c r="BA309" i="17" s="1"/>
  <c r="BB309" i="17" s="1"/>
  <c r="AZ310" i="17"/>
  <c r="BA310" i="17" s="1"/>
  <c r="BB310" i="17" s="1"/>
  <c r="L311" i="7"/>
  <c r="U311" i="7" s="1"/>
  <c r="AZ311" i="17"/>
  <c r="BA311" i="17" s="1"/>
  <c r="BB311" i="17" s="1"/>
  <c r="L312" i="7"/>
  <c r="U312" i="7" s="1"/>
  <c r="AZ312" i="17"/>
  <c r="BA312" i="17" s="1"/>
  <c r="BB312" i="17" s="1"/>
  <c r="AT313" i="17"/>
  <c r="AU313" i="17" s="1"/>
  <c r="AV313" i="17" s="1"/>
  <c r="AT314" i="17"/>
  <c r="AU314" i="17" s="1"/>
  <c r="AV314" i="17" s="1"/>
  <c r="L320" i="7"/>
  <c r="U320" i="7" s="1"/>
  <c r="L322" i="7"/>
  <c r="U322" i="7" s="1"/>
  <c r="M325" i="7"/>
  <c r="V325" i="7" s="1"/>
  <c r="N326" i="7"/>
  <c r="W326" i="7" s="1"/>
  <c r="R329" i="7"/>
  <c r="BX333" i="17"/>
  <c r="BY333" i="17" s="1"/>
  <c r="BZ333" i="17" s="1"/>
  <c r="BR334" i="17"/>
  <c r="BS334" i="17" s="1"/>
  <c r="BT334" i="17" s="1"/>
  <c r="BL335" i="17"/>
  <c r="BM335" i="17" s="1"/>
  <c r="BN335" i="17" s="1"/>
  <c r="N336" i="7"/>
  <c r="W336" i="7" s="1"/>
  <c r="BL336" i="17"/>
  <c r="BM336" i="17" s="1"/>
  <c r="BN336" i="17" s="1"/>
  <c r="BF337" i="17"/>
  <c r="BG337" i="17" s="1"/>
  <c r="BH337" i="17" s="1"/>
  <c r="BF338" i="17"/>
  <c r="BG338" i="17" s="1"/>
  <c r="BH338" i="17" s="1"/>
  <c r="BF339" i="17"/>
  <c r="BG339" i="17" s="1"/>
  <c r="BH339" i="17" s="1"/>
  <c r="L340" i="7"/>
  <c r="U340" i="7" s="1"/>
  <c r="AZ340" i="17"/>
  <c r="BA340" i="17" s="1"/>
  <c r="BB340" i="17" s="1"/>
  <c r="M342" i="7"/>
  <c r="V342" i="7" s="1"/>
  <c r="BF341" i="17"/>
  <c r="BG341" i="17" s="1"/>
  <c r="BH341" i="17" s="1"/>
  <c r="AZ342" i="17"/>
  <c r="BA342" i="17" s="1"/>
  <c r="BB342" i="17" s="1"/>
  <c r="BF343" i="17"/>
  <c r="BG343" i="17" s="1"/>
  <c r="BH343" i="17" s="1"/>
  <c r="BF344" i="17"/>
  <c r="BG344" i="17" s="1"/>
  <c r="BH344" i="17" s="1"/>
  <c r="BF345" i="17"/>
  <c r="BG345" i="17" s="1"/>
  <c r="BH345" i="17" s="1"/>
  <c r="M346" i="7"/>
  <c r="V346" i="7" s="1"/>
  <c r="BF346" i="17"/>
  <c r="BG346" i="17" s="1"/>
  <c r="BH346" i="17" s="1"/>
  <c r="BL347" i="17"/>
  <c r="BM347" i="17" s="1"/>
  <c r="BN347" i="17" s="1"/>
  <c r="BL348" i="17"/>
  <c r="BM348" i="17" s="1"/>
  <c r="BN348" i="17" s="1"/>
  <c r="BF349" i="17"/>
  <c r="BG349" i="17" s="1"/>
  <c r="BH349" i="17" s="1"/>
  <c r="AZ350" i="17"/>
  <c r="BA350" i="17" s="1"/>
  <c r="BB350" i="17" s="1"/>
  <c r="BF351" i="17"/>
  <c r="BG351" i="17" s="1"/>
  <c r="BH351" i="17" s="1"/>
  <c r="AT352" i="17"/>
  <c r="AU352" i="17" s="1"/>
  <c r="AV352" i="17" s="1"/>
  <c r="AT353" i="17"/>
  <c r="AU353" i="17" s="1"/>
  <c r="AV353" i="17" s="1"/>
  <c r="N359" i="7"/>
  <c r="W359" i="7" s="1"/>
  <c r="Q360" i="7"/>
  <c r="X360" i="7" s="1"/>
  <c r="N361" i="7"/>
  <c r="W361" i="7" s="1"/>
  <c r="M363" i="7"/>
  <c r="V363" i="7" s="1"/>
  <c r="S364" i="7"/>
  <c r="Y364" i="7" s="1"/>
  <c r="R373" i="7"/>
  <c r="L375" i="7"/>
  <c r="U375" i="7" s="1"/>
  <c r="Q381" i="7"/>
  <c r="X381" i="7" s="1"/>
  <c r="P383" i="7"/>
  <c r="AA383" i="7" s="1"/>
  <c r="BX383" i="17"/>
  <c r="BY383" i="17" s="1"/>
  <c r="BZ383" i="17" s="1"/>
  <c r="BX384" i="17"/>
  <c r="BY384" i="17" s="1"/>
  <c r="BZ384" i="17" s="1"/>
  <c r="BR385" i="17"/>
  <c r="BS385" i="17" s="1"/>
  <c r="BT385" i="17" s="1"/>
  <c r="O386" i="7"/>
  <c r="Z386" i="7" s="1"/>
  <c r="BR386" i="17"/>
  <c r="BS386" i="17" s="1"/>
  <c r="BT386" i="17" s="1"/>
  <c r="BR387" i="17"/>
  <c r="BS387" i="17" s="1"/>
  <c r="BT387" i="17" s="1"/>
  <c r="BL388" i="17"/>
  <c r="BM388" i="17" s="1"/>
  <c r="BN388" i="17" s="1"/>
  <c r="N390" i="7"/>
  <c r="W390" i="7" s="1"/>
  <c r="BL389" i="17"/>
  <c r="BM389" i="17" s="1"/>
  <c r="BN389" i="17" s="1"/>
  <c r="BF390" i="17"/>
  <c r="BG390" i="17" s="1"/>
  <c r="BH390" i="17" s="1"/>
  <c r="M391" i="7"/>
  <c r="V391" i="7" s="1"/>
  <c r="BF391" i="17"/>
  <c r="BG391" i="17" s="1"/>
  <c r="BH391" i="17" s="1"/>
  <c r="BF392" i="17"/>
  <c r="BG392" i="17" s="1"/>
  <c r="BH392" i="17" s="1"/>
  <c r="CD392" i="17" s="1"/>
  <c r="AT393" i="17"/>
  <c r="AU393" i="17" s="1"/>
  <c r="AV393" i="17" s="1"/>
  <c r="CD393" i="17" s="1"/>
  <c r="AZ394" i="17"/>
  <c r="BA394" i="17" s="1"/>
  <c r="BB394" i="17" s="1"/>
  <c r="AT396" i="17"/>
  <c r="AU396" i="17" s="1"/>
  <c r="AV396" i="17" s="1"/>
  <c r="O397" i="7"/>
  <c r="Z397" i="7" s="1"/>
  <c r="BX403" i="17"/>
  <c r="BY403" i="17" s="1"/>
  <c r="BZ403" i="17" s="1"/>
  <c r="BL406" i="17"/>
  <c r="BM406" i="17" s="1"/>
  <c r="BN406" i="17" s="1"/>
  <c r="M407" i="7"/>
  <c r="V407" i="7" s="1"/>
  <c r="BF407" i="17"/>
  <c r="BG407" i="17" s="1"/>
  <c r="BH407" i="17" s="1"/>
  <c r="AT408" i="17"/>
  <c r="AU408" i="17" s="1"/>
  <c r="AV408" i="17" s="1"/>
  <c r="AT411" i="17"/>
  <c r="AU411" i="17" s="1"/>
  <c r="AV411" i="17" s="1"/>
  <c r="AT413" i="17"/>
  <c r="AU413" i="17" s="1"/>
  <c r="AV413" i="17" s="1"/>
  <c r="K416" i="7"/>
  <c r="T416" i="7" s="1"/>
  <c r="AT416" i="17"/>
  <c r="AU416" i="17" s="1"/>
  <c r="AV416" i="17" s="1"/>
  <c r="AZ417" i="17"/>
  <c r="BA417" i="17" s="1"/>
  <c r="BB417" i="17" s="1"/>
  <c r="AT418" i="17"/>
  <c r="AU418" i="17" s="1"/>
  <c r="AV418" i="17" s="1"/>
  <c r="K420" i="7"/>
  <c r="T420" i="7" s="1"/>
  <c r="AT420" i="17"/>
  <c r="AU420" i="17" s="1"/>
  <c r="AV420" i="17" s="1"/>
  <c r="AZ421" i="17"/>
  <c r="BA421" i="17" s="1"/>
  <c r="BB421" i="17" s="1"/>
  <c r="L422" i="7"/>
  <c r="U422" i="7" s="1"/>
  <c r="AZ422" i="17"/>
  <c r="BA422" i="17" s="1"/>
  <c r="BB422" i="17" s="1"/>
  <c r="O434" i="7"/>
  <c r="Z434" i="7" s="1"/>
  <c r="BR434" i="17"/>
  <c r="BS434" i="17" s="1"/>
  <c r="BT434" i="17" s="1"/>
  <c r="BR435" i="17"/>
  <c r="BS435" i="17" s="1"/>
  <c r="BT435" i="17" s="1"/>
  <c r="BF436" i="17"/>
  <c r="BG436" i="17" s="1"/>
  <c r="BH436" i="17" s="1"/>
  <c r="M437" i="7"/>
  <c r="V437" i="7" s="1"/>
  <c r="BF437" i="17"/>
  <c r="BG437" i="17" s="1"/>
  <c r="BH437" i="17" s="1"/>
  <c r="AZ438" i="17"/>
  <c r="BA438" i="17" s="1"/>
  <c r="BB438" i="17" s="1"/>
  <c r="L439" i="7"/>
  <c r="U439" i="7" s="1"/>
  <c r="AZ439" i="17"/>
  <c r="BA439" i="17" s="1"/>
  <c r="BB439" i="17" s="1"/>
  <c r="AT440" i="17"/>
  <c r="AU440" i="17" s="1"/>
  <c r="AV440" i="17" s="1"/>
  <c r="AT443" i="17"/>
  <c r="AU443" i="17" s="1"/>
  <c r="AV443" i="17" s="1"/>
  <c r="AT447" i="17"/>
  <c r="AU447" i="17" s="1"/>
  <c r="AV447" i="17" s="1"/>
  <c r="AT449" i="17"/>
  <c r="AU449" i="17" s="1"/>
  <c r="AV449" i="17" s="1"/>
  <c r="BR455" i="17"/>
  <c r="BS455" i="17" s="1"/>
  <c r="BT455" i="17" s="1"/>
  <c r="BR456" i="17"/>
  <c r="BS456" i="17" s="1"/>
  <c r="BT456" i="17" s="1"/>
  <c r="N457" i="7"/>
  <c r="W457" i="7" s="1"/>
  <c r="BL457" i="17"/>
  <c r="BM457" i="17" s="1"/>
  <c r="BN457" i="17" s="1"/>
  <c r="BF458" i="17"/>
  <c r="BG458" i="17" s="1"/>
  <c r="BH458" i="17" s="1"/>
  <c r="BF459" i="17"/>
  <c r="BG459" i="17" s="1"/>
  <c r="BH459" i="17" s="1"/>
  <c r="K461" i="7"/>
  <c r="T461" i="7" s="1"/>
  <c r="BR463" i="17"/>
  <c r="BS463" i="17" s="1"/>
  <c r="BT463" i="17" s="1"/>
  <c r="BF464" i="17"/>
  <c r="BG464" i="17" s="1"/>
  <c r="BH464" i="17" s="1"/>
  <c r="L466" i="7"/>
  <c r="U466" i="7" s="1"/>
  <c r="AZ465" i="17"/>
  <c r="BA465" i="17" s="1"/>
  <c r="BB465" i="17" s="1"/>
  <c r="K473" i="7"/>
  <c r="T473" i="7" s="1"/>
  <c r="AT492" i="17"/>
  <c r="AU492" i="17" s="1"/>
  <c r="AV492" i="17" s="1"/>
  <c r="K492" i="7"/>
  <c r="T492" i="7" s="1"/>
  <c r="AZ497" i="17"/>
  <c r="BA497" i="17" s="1"/>
  <c r="BB497" i="17" s="1"/>
  <c r="BF498" i="17"/>
  <c r="BG498" i="17" s="1"/>
  <c r="BH498" i="17" s="1"/>
  <c r="M499" i="7"/>
  <c r="V499" i="7" s="1"/>
  <c r="BL501" i="17"/>
  <c r="BM501" i="17" s="1"/>
  <c r="BN501" i="17" s="1"/>
  <c r="BR502" i="17"/>
  <c r="BS502" i="17" s="1"/>
  <c r="BT502" i="17" s="1"/>
  <c r="P503" i="7"/>
  <c r="AA503" i="7" s="1"/>
  <c r="BX503" i="17"/>
  <c r="BY503" i="17" s="1"/>
  <c r="BZ503" i="17" s="1"/>
  <c r="K508" i="7"/>
  <c r="T508" i="7" s="1"/>
  <c r="AT513" i="17"/>
  <c r="AU513" i="17" s="1"/>
  <c r="AV513" i="17" s="1"/>
  <c r="K513" i="7"/>
  <c r="T513" i="7" s="1"/>
  <c r="M520" i="7"/>
  <c r="V520" i="7" s="1"/>
  <c r="BF520" i="17"/>
  <c r="BG520" i="17" s="1"/>
  <c r="BH520" i="17" s="1"/>
  <c r="N524" i="7"/>
  <c r="W524" i="7" s="1"/>
  <c r="BL524" i="17"/>
  <c r="BM524" i="17" s="1"/>
  <c r="BN524" i="17" s="1"/>
  <c r="O525" i="7"/>
  <c r="Z525" i="7" s="1"/>
  <c r="BR525" i="17"/>
  <c r="BS525" i="17" s="1"/>
  <c r="BT525" i="17" s="1"/>
  <c r="N549" i="7"/>
  <c r="W549" i="7" s="1"/>
  <c r="BL549" i="17"/>
  <c r="BM549" i="17" s="1"/>
  <c r="BN549" i="17" s="1"/>
  <c r="BL550" i="17"/>
  <c r="BM550" i="17" s="1"/>
  <c r="BN550" i="17" s="1"/>
  <c r="N550" i="7"/>
  <c r="W550" i="7" s="1"/>
  <c r="AT567" i="17"/>
  <c r="AU567" i="17" s="1"/>
  <c r="AV567" i="17" s="1"/>
  <c r="BF633" i="17"/>
  <c r="BG633" i="17" s="1"/>
  <c r="BH633" i="17" s="1"/>
  <c r="AT664" i="17"/>
  <c r="AU664" i="17" s="1"/>
  <c r="AV664" i="17" s="1"/>
  <c r="K665" i="7"/>
  <c r="T665" i="7" s="1"/>
  <c r="AT665" i="17"/>
  <c r="AU665" i="17" s="1"/>
  <c r="AV665" i="17" s="1"/>
  <c r="L666" i="7"/>
  <c r="U666" i="7" s="1"/>
  <c r="AZ666" i="17"/>
  <c r="BA666" i="17" s="1"/>
  <c r="BB666" i="17" s="1"/>
  <c r="M668" i="7"/>
  <c r="V668" i="7" s="1"/>
  <c r="BF667" i="17"/>
  <c r="BG667" i="17" s="1"/>
  <c r="BH667" i="17" s="1"/>
  <c r="AT685" i="17"/>
  <c r="AU685" i="17" s="1"/>
  <c r="AV685" i="17" s="1"/>
  <c r="BL727" i="17"/>
  <c r="BM727" i="17" s="1"/>
  <c r="BN727" i="17" s="1"/>
  <c r="O728" i="7"/>
  <c r="Z728" i="7" s="1"/>
  <c r="BR728" i="17"/>
  <c r="BS728" i="17" s="1"/>
  <c r="BT728" i="17" s="1"/>
  <c r="R159" i="7"/>
  <c r="R161" i="7"/>
  <c r="Y161" i="7" s="1"/>
  <c r="M179" i="7"/>
  <c r="V179" i="7" s="1"/>
  <c r="K185" i="7"/>
  <c r="T185" i="7" s="1"/>
  <c r="L187" i="7"/>
  <c r="U187" i="7" s="1"/>
  <c r="P200" i="7"/>
  <c r="AA200" i="7" s="1"/>
  <c r="N207" i="7"/>
  <c r="W207" i="7" s="1"/>
  <c r="Q217" i="7"/>
  <c r="X217" i="7" s="1"/>
  <c r="O242" i="7"/>
  <c r="Z242" i="7" s="1"/>
  <c r="M253" i="7"/>
  <c r="V253" i="7" s="1"/>
  <c r="BX256" i="17"/>
  <c r="BY256" i="17" s="1"/>
  <c r="BZ256" i="17" s="1"/>
  <c r="BL257" i="17"/>
  <c r="BM257" i="17" s="1"/>
  <c r="BN257" i="17" s="1"/>
  <c r="BL258" i="17"/>
  <c r="BM258" i="17" s="1"/>
  <c r="BN258" i="17" s="1"/>
  <c r="BF259" i="17"/>
  <c r="BG259" i="17" s="1"/>
  <c r="BH259" i="17" s="1"/>
  <c r="AT260" i="17"/>
  <c r="AU260" i="17" s="1"/>
  <c r="AV260" i="17" s="1"/>
  <c r="L262" i="7"/>
  <c r="U262" i="7" s="1"/>
  <c r="BX266" i="17"/>
  <c r="BY266" i="17" s="1"/>
  <c r="BZ266" i="17" s="1"/>
  <c r="M267" i="7"/>
  <c r="V267" i="7" s="1"/>
  <c r="BF267" i="17"/>
  <c r="BG267" i="17" s="1"/>
  <c r="BH267" i="17" s="1"/>
  <c r="BF268" i="17"/>
  <c r="BG268" i="17" s="1"/>
  <c r="BH268" i="17" s="1"/>
  <c r="AT269" i="17"/>
  <c r="AU269" i="17" s="1"/>
  <c r="AV269" i="17" s="1"/>
  <c r="K270" i="7"/>
  <c r="T270" i="7" s="1"/>
  <c r="AT270" i="17"/>
  <c r="AU270" i="17" s="1"/>
  <c r="AV270" i="17" s="1"/>
  <c r="AT278" i="17"/>
  <c r="AU278" i="17" s="1"/>
  <c r="AV278" i="17" s="1"/>
  <c r="AT280" i="17"/>
  <c r="AU280" i="17" s="1"/>
  <c r="AV280" i="17" s="1"/>
  <c r="N289" i="7"/>
  <c r="W289" i="7" s="1"/>
  <c r="L291" i="7"/>
  <c r="U291" i="7" s="1"/>
  <c r="S293" i="7"/>
  <c r="Q299" i="7"/>
  <c r="X299" i="7" s="1"/>
  <c r="BR303" i="17"/>
  <c r="BS303" i="17" s="1"/>
  <c r="BT303" i="17" s="1"/>
  <c r="O304" i="7"/>
  <c r="Z304" i="7" s="1"/>
  <c r="BR304" i="17"/>
  <c r="BS304" i="17" s="1"/>
  <c r="BT304" i="17" s="1"/>
  <c r="O305" i="7"/>
  <c r="Z305" i="7" s="1"/>
  <c r="BR305" i="17"/>
  <c r="BS305" i="17" s="1"/>
  <c r="BT305" i="17" s="1"/>
  <c r="O306" i="7"/>
  <c r="Z306" i="7" s="1"/>
  <c r="BR306" i="17"/>
  <c r="BS306" i="17" s="1"/>
  <c r="BT306" i="17" s="1"/>
  <c r="BR307" i="17"/>
  <c r="BS307" i="17" s="1"/>
  <c r="BT307" i="17" s="1"/>
  <c r="BL308" i="17"/>
  <c r="BM308" i="17" s="1"/>
  <c r="BN308" i="17" s="1"/>
  <c r="M309" i="7"/>
  <c r="V309" i="7" s="1"/>
  <c r="BF309" i="17"/>
  <c r="BG309" i="17" s="1"/>
  <c r="BH309" i="17" s="1"/>
  <c r="BF310" i="17"/>
  <c r="BG310" i="17" s="1"/>
  <c r="BH310" i="17" s="1"/>
  <c r="M311" i="7"/>
  <c r="V311" i="7" s="1"/>
  <c r="BF311" i="17"/>
  <c r="BG311" i="17" s="1"/>
  <c r="BH311" i="17" s="1"/>
  <c r="BF312" i="17"/>
  <c r="BG312" i="17" s="1"/>
  <c r="BH312" i="17" s="1"/>
  <c r="AZ313" i="17"/>
  <c r="BA313" i="17" s="1"/>
  <c r="BB313" i="17" s="1"/>
  <c r="AZ314" i="17"/>
  <c r="BA314" i="17" s="1"/>
  <c r="BB314" i="17" s="1"/>
  <c r="K315" i="7"/>
  <c r="T315" i="7" s="1"/>
  <c r="AT315" i="17"/>
  <c r="AU315" i="17" s="1"/>
  <c r="AV315" i="17" s="1"/>
  <c r="AT316" i="17"/>
  <c r="AU316" i="17" s="1"/>
  <c r="AV316" i="17" s="1"/>
  <c r="K317" i="7"/>
  <c r="T317" i="7" s="1"/>
  <c r="AT317" i="17"/>
  <c r="AU317" i="17" s="1"/>
  <c r="AV317" i="17" s="1"/>
  <c r="P322" i="7"/>
  <c r="AA322" i="7" s="1"/>
  <c r="M323" i="7"/>
  <c r="V323" i="7" s="1"/>
  <c r="M327" i="7"/>
  <c r="V327" i="7" s="1"/>
  <c r="S329" i="7"/>
  <c r="P335" i="7"/>
  <c r="AA335" i="7" s="1"/>
  <c r="BX334" i="17"/>
  <c r="BY334" i="17" s="1"/>
  <c r="BZ334" i="17" s="1"/>
  <c r="BR335" i="17"/>
  <c r="BS335" i="17" s="1"/>
  <c r="BT335" i="17" s="1"/>
  <c r="O336" i="7"/>
  <c r="Z336" i="7" s="1"/>
  <c r="BR336" i="17"/>
  <c r="BS336" i="17" s="1"/>
  <c r="BT336" i="17" s="1"/>
  <c r="BL337" i="17"/>
  <c r="BM337" i="17" s="1"/>
  <c r="BN337" i="17" s="1"/>
  <c r="BL338" i="17"/>
  <c r="BM338" i="17" s="1"/>
  <c r="BN338" i="17" s="1"/>
  <c r="BL339" i="17"/>
  <c r="BM339" i="17" s="1"/>
  <c r="BN339" i="17" s="1"/>
  <c r="BF340" i="17"/>
  <c r="BG340" i="17" s="1"/>
  <c r="BH340" i="17" s="1"/>
  <c r="BL341" i="17"/>
  <c r="BM341" i="17" s="1"/>
  <c r="BN341" i="17" s="1"/>
  <c r="BF342" i="17"/>
  <c r="BG342" i="17" s="1"/>
  <c r="BH342" i="17" s="1"/>
  <c r="BL343" i="17"/>
  <c r="BM343" i="17" s="1"/>
  <c r="BN343" i="17" s="1"/>
  <c r="BL344" i="17"/>
  <c r="BM344" i="17" s="1"/>
  <c r="BN344" i="17" s="1"/>
  <c r="BL345" i="17"/>
  <c r="BM345" i="17" s="1"/>
  <c r="BN345" i="17" s="1"/>
  <c r="BL346" i="17"/>
  <c r="BM346" i="17" s="1"/>
  <c r="BN346" i="17" s="1"/>
  <c r="BR347" i="17"/>
  <c r="BS347" i="17" s="1"/>
  <c r="BT347" i="17" s="1"/>
  <c r="BR348" i="17"/>
  <c r="BS348" i="17" s="1"/>
  <c r="BT348" i="17" s="1"/>
  <c r="BL349" i="17"/>
  <c r="BM349" i="17" s="1"/>
  <c r="BN349" i="17" s="1"/>
  <c r="M350" i="7"/>
  <c r="V350" i="7" s="1"/>
  <c r="BF350" i="17"/>
  <c r="BG350" i="17" s="1"/>
  <c r="BH350" i="17" s="1"/>
  <c r="BL351" i="17"/>
  <c r="BM351" i="17" s="1"/>
  <c r="BN351" i="17" s="1"/>
  <c r="AZ352" i="17"/>
  <c r="BA352" i="17" s="1"/>
  <c r="BB352" i="17" s="1"/>
  <c r="AZ353" i="17"/>
  <c r="BA353" i="17" s="1"/>
  <c r="BB353" i="17" s="1"/>
  <c r="AT354" i="17"/>
  <c r="AU354" i="17" s="1"/>
  <c r="AV354" i="17" s="1"/>
  <c r="CD354" i="17" s="1"/>
  <c r="AT355" i="17"/>
  <c r="AU355" i="17" s="1"/>
  <c r="AV355" i="17" s="1"/>
  <c r="AT356" i="17"/>
  <c r="AU356" i="17" s="1"/>
  <c r="AV356" i="17" s="1"/>
  <c r="AT357" i="17"/>
  <c r="AU357" i="17" s="1"/>
  <c r="AV357" i="17" s="1"/>
  <c r="AT358" i="17"/>
  <c r="AU358" i="17" s="1"/>
  <c r="AV358" i="17" s="1"/>
  <c r="CD358" i="17" s="1"/>
  <c r="N363" i="7"/>
  <c r="W363" i="7" s="1"/>
  <c r="M364" i="7"/>
  <c r="V364" i="7" s="1"/>
  <c r="N365" i="7"/>
  <c r="W365" i="7" s="1"/>
  <c r="S366" i="7"/>
  <c r="L369" i="7"/>
  <c r="U369" i="7" s="1"/>
  <c r="M370" i="7"/>
  <c r="V370" i="7" s="1"/>
  <c r="S371" i="7"/>
  <c r="S373" i="7"/>
  <c r="Y373" i="7" s="1"/>
  <c r="M375" i="7"/>
  <c r="V375" i="7" s="1"/>
  <c r="Y376" i="7"/>
  <c r="R378" i="7"/>
  <c r="R381" i="7"/>
  <c r="Q383" i="7"/>
  <c r="X383" i="7" s="1"/>
  <c r="Q385" i="7"/>
  <c r="X385" i="7" s="1"/>
  <c r="BX385" i="17"/>
  <c r="BY385" i="17" s="1"/>
  <c r="BZ385" i="17" s="1"/>
  <c r="P386" i="7"/>
  <c r="AA386" i="7" s="1"/>
  <c r="BX386" i="17"/>
  <c r="BY386" i="17" s="1"/>
  <c r="BZ386" i="17" s="1"/>
  <c r="CD386" i="17" s="1"/>
  <c r="BX387" i="17"/>
  <c r="BY387" i="17" s="1"/>
  <c r="BZ387" i="17" s="1"/>
  <c r="O388" i="7"/>
  <c r="Z388" i="7" s="1"/>
  <c r="BR388" i="17"/>
  <c r="BS388" i="17" s="1"/>
  <c r="BT388" i="17" s="1"/>
  <c r="BR389" i="17"/>
  <c r="BS389" i="17" s="1"/>
  <c r="BT389" i="17" s="1"/>
  <c r="BL390" i="17"/>
  <c r="BM390" i="17" s="1"/>
  <c r="BN390" i="17" s="1"/>
  <c r="N391" i="7"/>
  <c r="W391" i="7" s="1"/>
  <c r="BL391" i="17"/>
  <c r="BM391" i="17" s="1"/>
  <c r="BN391" i="17" s="1"/>
  <c r="BL392" i="17"/>
  <c r="BM392" i="17" s="1"/>
  <c r="BN392" i="17" s="1"/>
  <c r="AZ393" i="17"/>
  <c r="BA393" i="17" s="1"/>
  <c r="BB393" i="17" s="1"/>
  <c r="BF394" i="17"/>
  <c r="BG394" i="17" s="1"/>
  <c r="BH394" i="17" s="1"/>
  <c r="AT395" i="17"/>
  <c r="AU395" i="17" s="1"/>
  <c r="AV395" i="17" s="1"/>
  <c r="AZ396" i="17"/>
  <c r="BA396" i="17" s="1"/>
  <c r="BB396" i="17" s="1"/>
  <c r="K399" i="7"/>
  <c r="T399" i="7" s="1"/>
  <c r="N401" i="7"/>
  <c r="W401" i="7" s="1"/>
  <c r="R404" i="7"/>
  <c r="O406" i="7"/>
  <c r="Z406" i="7" s="1"/>
  <c r="BR406" i="17"/>
  <c r="BS406" i="17" s="1"/>
  <c r="BT406" i="17" s="1"/>
  <c r="N407" i="7"/>
  <c r="W407" i="7" s="1"/>
  <c r="BL407" i="17"/>
  <c r="BM407" i="17" s="1"/>
  <c r="BN407" i="17" s="1"/>
  <c r="AZ408" i="17"/>
  <c r="BA408" i="17" s="1"/>
  <c r="BB408" i="17" s="1"/>
  <c r="AT409" i="17"/>
  <c r="AU409" i="17" s="1"/>
  <c r="AV409" i="17" s="1"/>
  <c r="K410" i="7"/>
  <c r="T410" i="7" s="1"/>
  <c r="AT410" i="17"/>
  <c r="AU410" i="17" s="1"/>
  <c r="AV410" i="17" s="1"/>
  <c r="L411" i="7"/>
  <c r="U411" i="7" s="1"/>
  <c r="AZ411" i="17"/>
  <c r="BA411" i="17" s="1"/>
  <c r="BB411" i="17" s="1"/>
  <c r="AT412" i="17"/>
  <c r="AU412" i="17" s="1"/>
  <c r="AV412" i="17" s="1"/>
  <c r="L413" i="7"/>
  <c r="U413" i="7" s="1"/>
  <c r="AZ413" i="17"/>
  <c r="BA413" i="17" s="1"/>
  <c r="BB413" i="17" s="1"/>
  <c r="AT414" i="17"/>
  <c r="AU414" i="17" s="1"/>
  <c r="AV414" i="17" s="1"/>
  <c r="AT415" i="17"/>
  <c r="AU415" i="17" s="1"/>
  <c r="AV415" i="17" s="1"/>
  <c r="L416" i="7"/>
  <c r="U416" i="7" s="1"/>
  <c r="AZ416" i="17"/>
  <c r="BA416" i="17" s="1"/>
  <c r="BB416" i="17" s="1"/>
  <c r="M417" i="7"/>
  <c r="V417" i="7" s="1"/>
  <c r="BF417" i="17"/>
  <c r="BG417" i="17" s="1"/>
  <c r="BH417" i="17" s="1"/>
  <c r="AZ418" i="17"/>
  <c r="BA418" i="17" s="1"/>
  <c r="BB418" i="17" s="1"/>
  <c r="AT419" i="17"/>
  <c r="AU419" i="17" s="1"/>
  <c r="AV419" i="17" s="1"/>
  <c r="AZ420" i="17"/>
  <c r="BA420" i="17" s="1"/>
  <c r="BB420" i="17" s="1"/>
  <c r="M421" i="7"/>
  <c r="V421" i="7" s="1"/>
  <c r="BF421" i="17"/>
  <c r="BG421" i="17" s="1"/>
  <c r="BH421" i="17" s="1"/>
  <c r="BF422" i="17"/>
  <c r="BG422" i="17" s="1"/>
  <c r="BH422" i="17" s="1"/>
  <c r="K423" i="7"/>
  <c r="T423" i="7" s="1"/>
  <c r="AT423" i="17"/>
  <c r="AU423" i="17" s="1"/>
  <c r="AV423" i="17" s="1"/>
  <c r="K424" i="7"/>
  <c r="T424" i="7" s="1"/>
  <c r="AT424" i="17"/>
  <c r="AU424" i="17" s="1"/>
  <c r="AV424" i="17" s="1"/>
  <c r="O428" i="7"/>
  <c r="Z428" i="7" s="1"/>
  <c r="S430" i="7"/>
  <c r="O431" i="7"/>
  <c r="Z431" i="7" s="1"/>
  <c r="BX434" i="17"/>
  <c r="BY434" i="17" s="1"/>
  <c r="BZ434" i="17" s="1"/>
  <c r="BX435" i="17"/>
  <c r="BY435" i="17" s="1"/>
  <c r="BZ435" i="17" s="1"/>
  <c r="N436" i="7"/>
  <c r="W436" i="7" s="1"/>
  <c r="BL436" i="17"/>
  <c r="BM436" i="17" s="1"/>
  <c r="BN436" i="17" s="1"/>
  <c r="N438" i="7"/>
  <c r="W438" i="7" s="1"/>
  <c r="BL437" i="17"/>
  <c r="BM437" i="17" s="1"/>
  <c r="BN437" i="17" s="1"/>
  <c r="M438" i="7"/>
  <c r="V438" i="7" s="1"/>
  <c r="BF438" i="17"/>
  <c r="BG438" i="17" s="1"/>
  <c r="BH438" i="17" s="1"/>
  <c r="BF439" i="17"/>
  <c r="BG439" i="17" s="1"/>
  <c r="BH439" i="17" s="1"/>
  <c r="AZ440" i="17"/>
  <c r="BA440" i="17" s="1"/>
  <c r="BB440" i="17" s="1"/>
  <c r="AT442" i="17"/>
  <c r="AU442" i="17" s="1"/>
  <c r="AV442" i="17" s="1"/>
  <c r="AZ443" i="17"/>
  <c r="BA443" i="17" s="1"/>
  <c r="BB443" i="17" s="1"/>
  <c r="K444" i="7"/>
  <c r="T444" i="7" s="1"/>
  <c r="AT444" i="17"/>
  <c r="AU444" i="17" s="1"/>
  <c r="AV444" i="17" s="1"/>
  <c r="CD444" i="17" s="1"/>
  <c r="AT445" i="17"/>
  <c r="AU445" i="17" s="1"/>
  <c r="AV445" i="17" s="1"/>
  <c r="AT446" i="17"/>
  <c r="AU446" i="17" s="1"/>
  <c r="AV446" i="17" s="1"/>
  <c r="CD446" i="17" s="1"/>
  <c r="AZ447" i="17"/>
  <c r="BA447" i="17" s="1"/>
  <c r="BB447" i="17" s="1"/>
  <c r="AT448" i="17"/>
  <c r="AU448" i="17" s="1"/>
  <c r="AV448" i="17" s="1"/>
  <c r="AZ449" i="17"/>
  <c r="BA449" i="17" s="1"/>
  <c r="BB449" i="17" s="1"/>
  <c r="L451" i="7"/>
  <c r="U451" i="7" s="1"/>
  <c r="N452" i="7"/>
  <c r="W452" i="7" s="1"/>
  <c r="R453" i="7"/>
  <c r="P455" i="7"/>
  <c r="AA455" i="7" s="1"/>
  <c r="BX455" i="17"/>
  <c r="BY455" i="17" s="1"/>
  <c r="BZ455" i="17" s="1"/>
  <c r="P456" i="7"/>
  <c r="AA456" i="7" s="1"/>
  <c r="BX456" i="17"/>
  <c r="BY456" i="17" s="1"/>
  <c r="BZ456" i="17" s="1"/>
  <c r="BR457" i="17"/>
  <c r="BS457" i="17" s="1"/>
  <c r="BT457" i="17" s="1"/>
  <c r="N458" i="7"/>
  <c r="W458" i="7" s="1"/>
  <c r="BL458" i="17"/>
  <c r="BM458" i="17" s="1"/>
  <c r="BN458" i="17" s="1"/>
  <c r="BL459" i="17"/>
  <c r="BM459" i="17" s="1"/>
  <c r="BN459" i="17" s="1"/>
  <c r="AT460" i="17"/>
  <c r="AU460" i="17" s="1"/>
  <c r="AV460" i="17" s="1"/>
  <c r="M461" i="7"/>
  <c r="V461" i="7" s="1"/>
  <c r="P463" i="7"/>
  <c r="AA463" i="7" s="1"/>
  <c r="BX463" i="17"/>
  <c r="BY463" i="17" s="1"/>
  <c r="BZ463" i="17" s="1"/>
  <c r="N464" i="7"/>
  <c r="W464" i="7" s="1"/>
  <c r="BL464" i="17"/>
  <c r="BM464" i="17" s="1"/>
  <c r="BN464" i="17" s="1"/>
  <c r="M465" i="7"/>
  <c r="V465" i="7" s="1"/>
  <c r="BF465" i="17"/>
  <c r="BG465" i="17" s="1"/>
  <c r="BH465" i="17" s="1"/>
  <c r="L467" i="7"/>
  <c r="U467" i="7" s="1"/>
  <c r="AZ466" i="17"/>
  <c r="BA466" i="17" s="1"/>
  <c r="BB466" i="17" s="1"/>
  <c r="M470" i="7"/>
  <c r="V470" i="7" s="1"/>
  <c r="O471" i="7"/>
  <c r="Z471" i="7" s="1"/>
  <c r="AT476" i="17"/>
  <c r="AU476" i="17" s="1"/>
  <c r="AV476" i="17" s="1"/>
  <c r="K476" i="7"/>
  <c r="T476" i="7" s="1"/>
  <c r="AT477" i="17"/>
  <c r="AU477" i="17" s="1"/>
  <c r="AV477" i="17" s="1"/>
  <c r="P477" i="7"/>
  <c r="AA477" i="7" s="1"/>
  <c r="P478" i="7"/>
  <c r="AA478" i="7" s="1"/>
  <c r="P481" i="7"/>
  <c r="AA481" i="7" s="1"/>
  <c r="AT491" i="17"/>
  <c r="AU491" i="17" s="1"/>
  <c r="AV491" i="17" s="1"/>
  <c r="BL496" i="17"/>
  <c r="BM496" i="17" s="1"/>
  <c r="BN496" i="17" s="1"/>
  <c r="BR500" i="17"/>
  <c r="BS500" i="17" s="1"/>
  <c r="BT500" i="17" s="1"/>
  <c r="O500" i="7"/>
  <c r="Z500" i="7" s="1"/>
  <c r="M516" i="7"/>
  <c r="V516" i="7" s="1"/>
  <c r="BF516" i="17"/>
  <c r="BG516" i="17" s="1"/>
  <c r="BH516" i="17" s="1"/>
  <c r="BL519" i="17"/>
  <c r="BM519" i="17" s="1"/>
  <c r="BN519" i="17" s="1"/>
  <c r="BR523" i="17"/>
  <c r="BS523" i="17" s="1"/>
  <c r="BT523" i="17" s="1"/>
  <c r="BX548" i="17"/>
  <c r="BY548" i="17" s="1"/>
  <c r="BZ548" i="17" s="1"/>
  <c r="L625" i="7"/>
  <c r="U625" i="7" s="1"/>
  <c r="AZ625" i="17"/>
  <c r="BA625" i="17" s="1"/>
  <c r="BB625" i="17" s="1"/>
  <c r="BF626" i="17"/>
  <c r="BG626" i="17" s="1"/>
  <c r="BH626" i="17" s="1"/>
  <c r="BF632" i="17"/>
  <c r="BG632" i="17" s="1"/>
  <c r="BH632" i="17" s="1"/>
  <c r="BR642" i="17"/>
  <c r="BS642" i="17" s="1"/>
  <c r="BT642" i="17" s="1"/>
  <c r="M724" i="7"/>
  <c r="V724" i="7" s="1"/>
  <c r="BF724" i="17"/>
  <c r="BG724" i="17" s="1"/>
  <c r="BH724" i="17" s="1"/>
  <c r="N725" i="7"/>
  <c r="W725" i="7" s="1"/>
  <c r="BL725" i="17"/>
  <c r="BM725" i="17" s="1"/>
  <c r="BN725" i="17" s="1"/>
  <c r="BR726" i="17"/>
  <c r="BS726" i="17" s="1"/>
  <c r="BT726" i="17" s="1"/>
  <c r="BX476" i="17"/>
  <c r="BY476" i="17" s="1"/>
  <c r="BZ476" i="17" s="1"/>
  <c r="BL477" i="17"/>
  <c r="BM477" i="17" s="1"/>
  <c r="BN477" i="17" s="1"/>
  <c r="AT478" i="17"/>
  <c r="AU478" i="17" s="1"/>
  <c r="AV478" i="17" s="1"/>
  <c r="AT479" i="17"/>
  <c r="AU479" i="17" s="1"/>
  <c r="AV479" i="17" s="1"/>
  <c r="AT480" i="17"/>
  <c r="AU480" i="17" s="1"/>
  <c r="AV480" i="17" s="1"/>
  <c r="Q484" i="7"/>
  <c r="X484" i="7" s="1"/>
  <c r="BL485" i="17"/>
  <c r="BM485" i="17" s="1"/>
  <c r="BN485" i="17" s="1"/>
  <c r="BL486" i="17"/>
  <c r="BM486" i="17" s="1"/>
  <c r="BN486" i="17" s="1"/>
  <c r="BL487" i="17"/>
  <c r="BM487" i="17" s="1"/>
  <c r="BN487" i="17" s="1"/>
  <c r="L488" i="7"/>
  <c r="U488" i="7" s="1"/>
  <c r="AZ488" i="17"/>
  <c r="BA488" i="17" s="1"/>
  <c r="BB488" i="17" s="1"/>
  <c r="R498" i="7"/>
  <c r="O499" i="7"/>
  <c r="Z499" i="7" s="1"/>
  <c r="BR499" i="17"/>
  <c r="BS499" i="17" s="1"/>
  <c r="BT499" i="17" s="1"/>
  <c r="BL500" i="17"/>
  <c r="BM500" i="17" s="1"/>
  <c r="BN500" i="17" s="1"/>
  <c r="BF501" i="17"/>
  <c r="BG501" i="17" s="1"/>
  <c r="BH501" i="17" s="1"/>
  <c r="N502" i="7"/>
  <c r="W502" i="7" s="1"/>
  <c r="BL502" i="17"/>
  <c r="BM502" i="17" s="1"/>
  <c r="BN502" i="17" s="1"/>
  <c r="BR503" i="17"/>
  <c r="BS503" i="17" s="1"/>
  <c r="BT503" i="17" s="1"/>
  <c r="CD503" i="17" s="1"/>
  <c r="BL504" i="17"/>
  <c r="BM504" i="17" s="1"/>
  <c r="BN504" i="17" s="1"/>
  <c r="BL505" i="17"/>
  <c r="BM505" i="17" s="1"/>
  <c r="BN505" i="17" s="1"/>
  <c r="BR506" i="17"/>
  <c r="BS506" i="17" s="1"/>
  <c r="BT506" i="17" s="1"/>
  <c r="BX507" i="17"/>
  <c r="BY507" i="17" s="1"/>
  <c r="BZ507" i="17" s="1"/>
  <c r="BF508" i="17"/>
  <c r="BG508" i="17" s="1"/>
  <c r="BH508" i="17" s="1"/>
  <c r="L510" i="7"/>
  <c r="U510" i="7" s="1"/>
  <c r="AZ509" i="17"/>
  <c r="BA509" i="17" s="1"/>
  <c r="BB509" i="17" s="1"/>
  <c r="K511" i="7"/>
  <c r="T511" i="7" s="1"/>
  <c r="AT510" i="17"/>
  <c r="AU510" i="17" s="1"/>
  <c r="AV510" i="17" s="1"/>
  <c r="K512" i="7"/>
  <c r="T512" i="7" s="1"/>
  <c r="AT512" i="17"/>
  <c r="AU512" i="17" s="1"/>
  <c r="AV512" i="17" s="1"/>
  <c r="M519" i="7"/>
  <c r="V519" i="7" s="1"/>
  <c r="BF519" i="17"/>
  <c r="BG519" i="17" s="1"/>
  <c r="BH519" i="17" s="1"/>
  <c r="L520" i="7"/>
  <c r="U520" i="7" s="1"/>
  <c r="AZ520" i="17"/>
  <c r="BA520" i="17" s="1"/>
  <c r="BB520" i="17" s="1"/>
  <c r="AZ521" i="17"/>
  <c r="BA521" i="17" s="1"/>
  <c r="BB521" i="17" s="1"/>
  <c r="Q523" i="7"/>
  <c r="X523" i="7" s="1"/>
  <c r="BX546" i="17"/>
  <c r="BY546" i="17" s="1"/>
  <c r="BZ546" i="17" s="1"/>
  <c r="O547" i="7"/>
  <c r="Z547" i="7" s="1"/>
  <c r="BR547" i="17"/>
  <c r="BS547" i="17" s="1"/>
  <c r="BT547" i="17" s="1"/>
  <c r="O549" i="7"/>
  <c r="Z549" i="7" s="1"/>
  <c r="BR548" i="17"/>
  <c r="BS548" i="17" s="1"/>
  <c r="BT548" i="17" s="1"/>
  <c r="BF549" i="17"/>
  <c r="BG549" i="17" s="1"/>
  <c r="BH549" i="17" s="1"/>
  <c r="M550" i="7"/>
  <c r="V550" i="7" s="1"/>
  <c r="BF550" i="17"/>
  <c r="BG550" i="17" s="1"/>
  <c r="BH550" i="17" s="1"/>
  <c r="AZ551" i="17"/>
  <c r="BA551" i="17" s="1"/>
  <c r="BB551" i="17" s="1"/>
  <c r="AT552" i="17"/>
  <c r="AU552" i="17" s="1"/>
  <c r="AV552" i="17" s="1"/>
  <c r="BX558" i="17"/>
  <c r="BY558" i="17" s="1"/>
  <c r="BZ558" i="17" s="1"/>
  <c r="BR559" i="17"/>
  <c r="BS559" i="17" s="1"/>
  <c r="BT559" i="17" s="1"/>
  <c r="BR560" i="17"/>
  <c r="BS560" i="17" s="1"/>
  <c r="BT560" i="17" s="1"/>
  <c r="O561" i="7"/>
  <c r="Z561" i="7" s="1"/>
  <c r="BR561" i="17"/>
  <c r="BS561" i="17" s="1"/>
  <c r="BT561" i="17" s="1"/>
  <c r="BL562" i="17"/>
  <c r="BM562" i="17" s="1"/>
  <c r="BN562" i="17" s="1"/>
  <c r="L563" i="7"/>
  <c r="U563" i="7" s="1"/>
  <c r="AZ563" i="17"/>
  <c r="BA563" i="17" s="1"/>
  <c r="BB563" i="17" s="1"/>
  <c r="BF564" i="17"/>
  <c r="BG564" i="17" s="1"/>
  <c r="BH564" i="17" s="1"/>
  <c r="AT565" i="17"/>
  <c r="AU565" i="17" s="1"/>
  <c r="AV565" i="17" s="1"/>
  <c r="AZ566" i="17"/>
  <c r="BA566" i="17" s="1"/>
  <c r="BB566" i="17" s="1"/>
  <c r="P571" i="7"/>
  <c r="AA571" i="7" s="1"/>
  <c r="BX571" i="17"/>
  <c r="BY571" i="17" s="1"/>
  <c r="BZ571" i="17" s="1"/>
  <c r="O573" i="7"/>
  <c r="Z573" i="7" s="1"/>
  <c r="BR573" i="17"/>
  <c r="BS573" i="17" s="1"/>
  <c r="BT573" i="17" s="1"/>
  <c r="BX574" i="17"/>
  <c r="BY574" i="17" s="1"/>
  <c r="BZ574" i="17" s="1"/>
  <c r="N575" i="7"/>
  <c r="W575" i="7" s="1"/>
  <c r="BL575" i="17"/>
  <c r="BM575" i="17" s="1"/>
  <c r="BN575" i="17" s="1"/>
  <c r="BF576" i="17"/>
  <c r="BG576" i="17" s="1"/>
  <c r="BH576" i="17" s="1"/>
  <c r="L577" i="7"/>
  <c r="U577" i="7" s="1"/>
  <c r="AZ577" i="17"/>
  <c r="BA577" i="17" s="1"/>
  <c r="BB577" i="17" s="1"/>
  <c r="K579" i="7"/>
  <c r="T579" i="7" s="1"/>
  <c r="AT578" i="17"/>
  <c r="AU578" i="17" s="1"/>
  <c r="AV578" i="17" s="1"/>
  <c r="AT579" i="17"/>
  <c r="AU579" i="17" s="1"/>
  <c r="AV579" i="17" s="1"/>
  <c r="P592" i="7"/>
  <c r="AA592" i="7" s="1"/>
  <c r="BX592" i="17"/>
  <c r="BY592" i="17" s="1"/>
  <c r="BZ592" i="17" s="1"/>
  <c r="BX593" i="17"/>
  <c r="BY593" i="17" s="1"/>
  <c r="BZ593" i="17" s="1"/>
  <c r="N594" i="7"/>
  <c r="W594" i="7" s="1"/>
  <c r="BL594" i="17"/>
  <c r="BM594" i="17" s="1"/>
  <c r="BN594" i="17" s="1"/>
  <c r="N595" i="7"/>
  <c r="W595" i="7" s="1"/>
  <c r="BL595" i="17"/>
  <c r="BM595" i="17" s="1"/>
  <c r="BN595" i="17" s="1"/>
  <c r="BL596" i="17"/>
  <c r="BM596" i="17" s="1"/>
  <c r="BN596" i="17" s="1"/>
  <c r="BL597" i="17"/>
  <c r="BM597" i="17" s="1"/>
  <c r="BN597" i="17" s="1"/>
  <c r="L598" i="7"/>
  <c r="U598" i="7" s="1"/>
  <c r="AZ598" i="17"/>
  <c r="BA598" i="17" s="1"/>
  <c r="BB598" i="17" s="1"/>
  <c r="R610" i="7"/>
  <c r="BX611" i="17"/>
  <c r="BY611" i="17" s="1"/>
  <c r="BZ611" i="17" s="1"/>
  <c r="N612" i="7"/>
  <c r="W612" i="7" s="1"/>
  <c r="BL612" i="17"/>
  <c r="BM612" i="17" s="1"/>
  <c r="BN612" i="17" s="1"/>
  <c r="L614" i="7"/>
  <c r="U614" i="7" s="1"/>
  <c r="AZ613" i="17"/>
  <c r="BA613" i="17" s="1"/>
  <c r="BB613" i="17" s="1"/>
  <c r="O620" i="7"/>
  <c r="Z620" i="7" s="1"/>
  <c r="BR620" i="17"/>
  <c r="BS620" i="17" s="1"/>
  <c r="BT620" i="17" s="1"/>
  <c r="BR621" i="17"/>
  <c r="BS621" i="17" s="1"/>
  <c r="BT621" i="17" s="1"/>
  <c r="BF622" i="17"/>
  <c r="BG622" i="17" s="1"/>
  <c r="BH622" i="17" s="1"/>
  <c r="AZ623" i="17"/>
  <c r="BA623" i="17" s="1"/>
  <c r="BB623" i="17" s="1"/>
  <c r="AT624" i="17"/>
  <c r="AU624" i="17" s="1"/>
  <c r="AV624" i="17" s="1"/>
  <c r="AT625" i="17"/>
  <c r="AU625" i="17" s="1"/>
  <c r="AV625" i="17" s="1"/>
  <c r="AZ626" i="17"/>
  <c r="BA626" i="17" s="1"/>
  <c r="BB626" i="17" s="1"/>
  <c r="BL630" i="17"/>
  <c r="BM630" i="17" s="1"/>
  <c r="BN630" i="17" s="1"/>
  <c r="BL631" i="17"/>
  <c r="BM631" i="17" s="1"/>
  <c r="BN631" i="17" s="1"/>
  <c r="AZ632" i="17"/>
  <c r="BA632" i="17" s="1"/>
  <c r="BB632" i="17" s="1"/>
  <c r="AZ633" i="17"/>
  <c r="BA633" i="17" s="1"/>
  <c r="BB633" i="17" s="1"/>
  <c r="R639" i="7"/>
  <c r="BX640" i="17"/>
  <c r="BY640" i="17" s="1"/>
  <c r="BZ640" i="17" s="1"/>
  <c r="BX641" i="17"/>
  <c r="BY641" i="17" s="1"/>
  <c r="BZ641" i="17" s="1"/>
  <c r="BL642" i="17"/>
  <c r="BM642" i="17" s="1"/>
  <c r="BN642" i="17" s="1"/>
  <c r="BF643" i="17"/>
  <c r="BG643" i="17" s="1"/>
  <c r="BH643" i="17" s="1"/>
  <c r="K644" i="7"/>
  <c r="T644" i="7" s="1"/>
  <c r="AT644" i="17"/>
  <c r="AU644" i="17" s="1"/>
  <c r="AV644" i="17" s="1"/>
  <c r="AT645" i="17"/>
  <c r="AU645" i="17" s="1"/>
  <c r="AV645" i="17" s="1"/>
  <c r="BX650" i="17"/>
  <c r="BY650" i="17" s="1"/>
  <c r="BZ650" i="17" s="1"/>
  <c r="BX651" i="17"/>
  <c r="BY651" i="17" s="1"/>
  <c r="BZ651" i="17" s="1"/>
  <c r="BL652" i="17"/>
  <c r="BM652" i="17" s="1"/>
  <c r="BN652" i="17" s="1"/>
  <c r="BL653" i="17"/>
  <c r="BM653" i="17" s="1"/>
  <c r="BN653" i="17" s="1"/>
  <c r="L654" i="7"/>
  <c r="U654" i="7" s="1"/>
  <c r="AZ654" i="17"/>
  <c r="BA654" i="17" s="1"/>
  <c r="BB654" i="17" s="1"/>
  <c r="AT655" i="17"/>
  <c r="AU655" i="17" s="1"/>
  <c r="AV655" i="17" s="1"/>
  <c r="K666" i="7"/>
  <c r="T666" i="7" s="1"/>
  <c r="AT666" i="17"/>
  <c r="AU666" i="17" s="1"/>
  <c r="AV666" i="17" s="1"/>
  <c r="AZ667" i="17"/>
  <c r="BA667" i="17" s="1"/>
  <c r="BB667" i="17" s="1"/>
  <c r="AT668" i="17"/>
  <c r="AU668" i="17" s="1"/>
  <c r="AV668" i="17" s="1"/>
  <c r="AT670" i="17"/>
  <c r="AU670" i="17" s="1"/>
  <c r="AV670" i="17" s="1"/>
  <c r="S673" i="7"/>
  <c r="S675" i="7"/>
  <c r="BX678" i="17"/>
  <c r="BY678" i="17" s="1"/>
  <c r="BZ678" i="17" s="1"/>
  <c r="BR679" i="17"/>
  <c r="BS679" i="17" s="1"/>
  <c r="BT679" i="17" s="1"/>
  <c r="N680" i="7"/>
  <c r="W680" i="7" s="1"/>
  <c r="BL680" i="17"/>
  <c r="BM680" i="17" s="1"/>
  <c r="BN680" i="17" s="1"/>
  <c r="BR681" i="17"/>
  <c r="BS681" i="17" s="1"/>
  <c r="BT681" i="17" s="1"/>
  <c r="O682" i="7"/>
  <c r="Z682" i="7" s="1"/>
  <c r="BR682" i="17"/>
  <c r="BS682" i="17" s="1"/>
  <c r="BT682" i="17" s="1"/>
  <c r="BF683" i="17"/>
  <c r="BG683" i="17" s="1"/>
  <c r="BH683" i="17" s="1"/>
  <c r="AT684" i="17"/>
  <c r="AU684" i="17" s="1"/>
  <c r="AV684" i="17" s="1"/>
  <c r="K691" i="7"/>
  <c r="T691" i="7" s="1"/>
  <c r="AT691" i="17"/>
  <c r="AU691" i="17" s="1"/>
  <c r="AV691" i="17" s="1"/>
  <c r="M717" i="7"/>
  <c r="V717" i="7" s="1"/>
  <c r="BF717" i="17"/>
  <c r="BG717" i="17" s="1"/>
  <c r="BH717" i="17" s="1"/>
  <c r="BL718" i="17"/>
  <c r="BM718" i="17" s="1"/>
  <c r="BN718" i="17" s="1"/>
  <c r="BL719" i="17"/>
  <c r="BM719" i="17" s="1"/>
  <c r="BN719" i="17" s="1"/>
  <c r="BR720" i="17"/>
  <c r="BS720" i="17" s="1"/>
  <c r="BT720" i="17" s="1"/>
  <c r="BR721" i="17"/>
  <c r="BS721" i="17" s="1"/>
  <c r="BT721" i="17" s="1"/>
  <c r="N722" i="7"/>
  <c r="W722" i="7" s="1"/>
  <c r="BL722" i="17"/>
  <c r="BM722" i="17" s="1"/>
  <c r="BN722" i="17" s="1"/>
  <c r="BL723" i="17"/>
  <c r="BM723" i="17" s="1"/>
  <c r="BN723" i="17" s="1"/>
  <c r="AZ724" i="17"/>
  <c r="BA724" i="17" s="1"/>
  <c r="BB724" i="17" s="1"/>
  <c r="BF725" i="17"/>
  <c r="BG725" i="17" s="1"/>
  <c r="BH725" i="17" s="1"/>
  <c r="BL726" i="17"/>
  <c r="BM726" i="17" s="1"/>
  <c r="BN726" i="17" s="1"/>
  <c r="BF727" i="17"/>
  <c r="BG727" i="17" s="1"/>
  <c r="BH727" i="17" s="1"/>
  <c r="N728" i="7"/>
  <c r="W728" i="7" s="1"/>
  <c r="BL728" i="17"/>
  <c r="BM728" i="17" s="1"/>
  <c r="BN728" i="17" s="1"/>
  <c r="BR729" i="17"/>
  <c r="BS729" i="17" s="1"/>
  <c r="BT729" i="17" s="1"/>
  <c r="AT746" i="17"/>
  <c r="AU746" i="17" s="1"/>
  <c r="AV746" i="17" s="1"/>
  <c r="AT747" i="17"/>
  <c r="AU747" i="17" s="1"/>
  <c r="AV747" i="17" s="1"/>
  <c r="L748" i="7"/>
  <c r="U748" i="7" s="1"/>
  <c r="AZ748" i="17"/>
  <c r="BA748" i="17" s="1"/>
  <c r="BB748" i="17" s="1"/>
  <c r="BF749" i="17"/>
  <c r="BG749" i="17" s="1"/>
  <c r="BH749" i="17" s="1"/>
  <c r="BF750" i="17"/>
  <c r="BG750" i="17" s="1"/>
  <c r="BH750" i="17" s="1"/>
  <c r="BF751" i="17"/>
  <c r="BG751" i="17" s="1"/>
  <c r="BH751" i="17" s="1"/>
  <c r="BL752" i="17"/>
  <c r="BM752" i="17" s="1"/>
  <c r="BN752" i="17" s="1"/>
  <c r="BL753" i="17"/>
  <c r="BM753" i="17" s="1"/>
  <c r="BN753" i="17" s="1"/>
  <c r="N753" i="7"/>
  <c r="W753" i="7" s="1"/>
  <c r="N755" i="7"/>
  <c r="W755" i="7" s="1"/>
  <c r="BL754" i="17"/>
  <c r="BM754" i="17" s="1"/>
  <c r="BN754" i="17" s="1"/>
  <c r="O756" i="7"/>
  <c r="Z756" i="7" s="1"/>
  <c r="BR755" i="17"/>
  <c r="BS755" i="17" s="1"/>
  <c r="BT755" i="17" s="1"/>
  <c r="BR756" i="17"/>
  <c r="BS756" i="17" s="1"/>
  <c r="BT756" i="17" s="1"/>
  <c r="BX757" i="17"/>
  <c r="BY757" i="17" s="1"/>
  <c r="BZ757" i="17" s="1"/>
  <c r="BF769" i="17"/>
  <c r="BG769" i="17" s="1"/>
  <c r="BH769" i="17" s="1"/>
  <c r="N770" i="7"/>
  <c r="W770" i="7" s="1"/>
  <c r="BL770" i="17"/>
  <c r="BM770" i="17" s="1"/>
  <c r="BN770" i="17" s="1"/>
  <c r="O772" i="7"/>
  <c r="Z772" i="7" s="1"/>
  <c r="BR771" i="17"/>
  <c r="BS771" i="17" s="1"/>
  <c r="BT771" i="17" s="1"/>
  <c r="BX772" i="17"/>
  <c r="BY772" i="17" s="1"/>
  <c r="BZ772" i="17" s="1"/>
  <c r="BF784" i="17"/>
  <c r="BG784" i="17" s="1"/>
  <c r="BH784" i="17" s="1"/>
  <c r="L806" i="7"/>
  <c r="U806" i="7" s="1"/>
  <c r="AZ805" i="17"/>
  <c r="BA805" i="17" s="1"/>
  <c r="BB805" i="17" s="1"/>
  <c r="K808" i="7"/>
  <c r="T808" i="7" s="1"/>
  <c r="AT807" i="17"/>
  <c r="AU807" i="17" s="1"/>
  <c r="AV807" i="17" s="1"/>
  <c r="L813" i="7"/>
  <c r="U813" i="7" s="1"/>
  <c r="AZ813" i="17"/>
  <c r="BA813" i="17" s="1"/>
  <c r="BB813" i="17" s="1"/>
  <c r="S825" i="7"/>
  <c r="L835" i="7"/>
  <c r="U835" i="7" s="1"/>
  <c r="AZ835" i="17"/>
  <c r="BA835" i="17" s="1"/>
  <c r="BB835" i="17" s="1"/>
  <c r="L836" i="7"/>
  <c r="U836" i="7" s="1"/>
  <c r="AZ836" i="17"/>
  <c r="BA836" i="17" s="1"/>
  <c r="BB836" i="17" s="1"/>
  <c r="R887" i="7"/>
  <c r="L911" i="7"/>
  <c r="U911" i="7" s="1"/>
  <c r="AZ911" i="17"/>
  <c r="BA911" i="17" s="1"/>
  <c r="BB911" i="17" s="1"/>
  <c r="AZ489" i="17"/>
  <c r="BA489" i="17" s="1"/>
  <c r="BB489" i="17" s="1"/>
  <c r="L490" i="7"/>
  <c r="U490" i="7" s="1"/>
  <c r="AZ490" i="17"/>
  <c r="BA490" i="17" s="1"/>
  <c r="BB490" i="17" s="1"/>
  <c r="L491" i="7"/>
  <c r="U491" i="7" s="1"/>
  <c r="AZ491" i="17"/>
  <c r="BA491" i="17" s="1"/>
  <c r="BB491" i="17" s="1"/>
  <c r="AZ492" i="17"/>
  <c r="BA492" i="17" s="1"/>
  <c r="BB492" i="17" s="1"/>
  <c r="AT493" i="17"/>
  <c r="AU493" i="17" s="1"/>
  <c r="AV493" i="17" s="1"/>
  <c r="AT494" i="17"/>
  <c r="AU494" i="17" s="1"/>
  <c r="AV494" i="17" s="1"/>
  <c r="AT495" i="17"/>
  <c r="AU495" i="17" s="1"/>
  <c r="AV495" i="17" s="1"/>
  <c r="BX500" i="17"/>
  <c r="BY500" i="17" s="1"/>
  <c r="BZ500" i="17" s="1"/>
  <c r="O501" i="7"/>
  <c r="Z501" i="7" s="1"/>
  <c r="BR501" i="17"/>
  <c r="BS501" i="17" s="1"/>
  <c r="BT501" i="17" s="1"/>
  <c r="BX502" i="17"/>
  <c r="BY502" i="17" s="1"/>
  <c r="BZ502" i="17" s="1"/>
  <c r="BX504" i="17"/>
  <c r="BY504" i="17" s="1"/>
  <c r="BZ504" i="17" s="1"/>
  <c r="BX505" i="17"/>
  <c r="BY505" i="17" s="1"/>
  <c r="BZ505" i="17" s="1"/>
  <c r="BR508" i="17"/>
  <c r="BS508" i="17" s="1"/>
  <c r="BT508" i="17" s="1"/>
  <c r="BL509" i="17"/>
  <c r="BM509" i="17" s="1"/>
  <c r="BN509" i="17" s="1"/>
  <c r="M510" i="7"/>
  <c r="V510" i="7" s="1"/>
  <c r="BF510" i="17"/>
  <c r="BG510" i="17" s="1"/>
  <c r="BH510" i="17" s="1"/>
  <c r="L511" i="7"/>
  <c r="U511" i="7" s="1"/>
  <c r="AZ511" i="17"/>
  <c r="BA511" i="17" s="1"/>
  <c r="BB511" i="17" s="1"/>
  <c r="BF512" i="17"/>
  <c r="BG512" i="17" s="1"/>
  <c r="BH512" i="17" s="1"/>
  <c r="AZ513" i="17"/>
  <c r="BA513" i="17" s="1"/>
  <c r="BB513" i="17" s="1"/>
  <c r="K514" i="7"/>
  <c r="T514" i="7" s="1"/>
  <c r="AT514" i="17"/>
  <c r="AU514" i="17" s="1"/>
  <c r="AV514" i="17" s="1"/>
  <c r="AT515" i="17"/>
  <c r="AU515" i="17" s="1"/>
  <c r="AV515" i="17" s="1"/>
  <c r="K516" i="7"/>
  <c r="T516" i="7" s="1"/>
  <c r="BR519" i="17"/>
  <c r="BS519" i="17" s="1"/>
  <c r="BT519" i="17" s="1"/>
  <c r="N520" i="7"/>
  <c r="W520" i="7" s="1"/>
  <c r="BL520" i="17"/>
  <c r="BM520" i="17" s="1"/>
  <c r="BN520" i="17" s="1"/>
  <c r="BL521" i="17"/>
  <c r="BM521" i="17" s="1"/>
  <c r="BN521" i="17" s="1"/>
  <c r="AT526" i="17"/>
  <c r="AU526" i="17" s="1"/>
  <c r="AV526" i="17" s="1"/>
  <c r="AT528" i="17"/>
  <c r="AU528" i="17" s="1"/>
  <c r="AV528" i="17" s="1"/>
  <c r="AT529" i="17"/>
  <c r="AU529" i="17" s="1"/>
  <c r="AV529" i="17" s="1"/>
  <c r="Q548" i="7"/>
  <c r="X548" i="7" s="1"/>
  <c r="BR549" i="17"/>
  <c r="BS549" i="17" s="1"/>
  <c r="BT549" i="17" s="1"/>
  <c r="BR550" i="17"/>
  <c r="BS550" i="17" s="1"/>
  <c r="BT550" i="17" s="1"/>
  <c r="N551" i="7"/>
  <c r="W551" i="7" s="1"/>
  <c r="BL551" i="17"/>
  <c r="BM551" i="17" s="1"/>
  <c r="BN551" i="17" s="1"/>
  <c r="BF552" i="17"/>
  <c r="BG552" i="17" s="1"/>
  <c r="BH552" i="17" s="1"/>
  <c r="L553" i="7"/>
  <c r="U553" i="7" s="1"/>
  <c r="AZ553" i="17"/>
  <c r="BA553" i="17" s="1"/>
  <c r="BB553" i="17" s="1"/>
  <c r="Q561" i="7"/>
  <c r="X561" i="7" s="1"/>
  <c r="BX562" i="17"/>
  <c r="BY562" i="17" s="1"/>
  <c r="BZ562" i="17" s="1"/>
  <c r="N563" i="7"/>
  <c r="W563" i="7" s="1"/>
  <c r="BL563" i="17"/>
  <c r="BM563" i="17" s="1"/>
  <c r="BN563" i="17" s="1"/>
  <c r="BR564" i="17"/>
  <c r="BS564" i="17" s="1"/>
  <c r="BT564" i="17" s="1"/>
  <c r="M565" i="7"/>
  <c r="V565" i="7" s="1"/>
  <c r="BF565" i="17"/>
  <c r="BG565" i="17" s="1"/>
  <c r="BH565" i="17" s="1"/>
  <c r="BL566" i="17"/>
  <c r="BM566" i="17" s="1"/>
  <c r="BN566" i="17" s="1"/>
  <c r="L567" i="7"/>
  <c r="U567" i="7" s="1"/>
  <c r="AZ567" i="17"/>
  <c r="BA567" i="17" s="1"/>
  <c r="BB567" i="17" s="1"/>
  <c r="K569" i="7"/>
  <c r="T569" i="7" s="1"/>
  <c r="AT568" i="17"/>
  <c r="AU568" i="17" s="1"/>
  <c r="AV568" i="17" s="1"/>
  <c r="P575" i="7"/>
  <c r="AA575" i="7" s="1"/>
  <c r="BX575" i="17"/>
  <c r="BY575" i="17" s="1"/>
  <c r="BZ575" i="17" s="1"/>
  <c r="BR576" i="17"/>
  <c r="BS576" i="17" s="1"/>
  <c r="BT576" i="17" s="1"/>
  <c r="N577" i="7"/>
  <c r="W577" i="7" s="1"/>
  <c r="BL577" i="17"/>
  <c r="BM577" i="17" s="1"/>
  <c r="BN577" i="17" s="1"/>
  <c r="BF578" i="17"/>
  <c r="BG578" i="17" s="1"/>
  <c r="BH578" i="17" s="1"/>
  <c r="M579" i="7"/>
  <c r="V579" i="7" s="1"/>
  <c r="BF579" i="17"/>
  <c r="BG579" i="17" s="1"/>
  <c r="BH579" i="17" s="1"/>
  <c r="AZ580" i="17"/>
  <c r="BA580" i="17" s="1"/>
  <c r="BB580" i="17" s="1"/>
  <c r="AZ581" i="17"/>
  <c r="BA581" i="17" s="1"/>
  <c r="BB581" i="17" s="1"/>
  <c r="AT582" i="17"/>
  <c r="AU582" i="17" s="1"/>
  <c r="AV582" i="17" s="1"/>
  <c r="AT583" i="17"/>
  <c r="AU583" i="17" s="1"/>
  <c r="AV583" i="17" s="1"/>
  <c r="AT584" i="17"/>
  <c r="AU584" i="17" s="1"/>
  <c r="AV584" i="17" s="1"/>
  <c r="K585" i="7"/>
  <c r="T585" i="7" s="1"/>
  <c r="AT585" i="17"/>
  <c r="AU585" i="17" s="1"/>
  <c r="AV585" i="17" s="1"/>
  <c r="S590" i="7"/>
  <c r="P594" i="7"/>
  <c r="AA594" i="7" s="1"/>
  <c r="BX594" i="17"/>
  <c r="BY594" i="17" s="1"/>
  <c r="BZ594" i="17" s="1"/>
  <c r="BX595" i="17"/>
  <c r="BY595" i="17" s="1"/>
  <c r="BZ595" i="17" s="1"/>
  <c r="P596" i="7"/>
  <c r="AA596" i="7" s="1"/>
  <c r="BX596" i="17"/>
  <c r="BY596" i="17" s="1"/>
  <c r="BZ596" i="17" s="1"/>
  <c r="BX597" i="17"/>
  <c r="BY597" i="17" s="1"/>
  <c r="BZ597" i="17" s="1"/>
  <c r="BL598" i="17"/>
  <c r="BM598" i="17" s="1"/>
  <c r="BN598" i="17" s="1"/>
  <c r="L599" i="7"/>
  <c r="U599" i="7" s="1"/>
  <c r="AZ599" i="17"/>
  <c r="BA599" i="17" s="1"/>
  <c r="BB599" i="17" s="1"/>
  <c r="AT600" i="17"/>
  <c r="AU600" i="17" s="1"/>
  <c r="AV600" i="17" s="1"/>
  <c r="AT602" i="17"/>
  <c r="AU602" i="17" s="1"/>
  <c r="AV602" i="17" s="1"/>
  <c r="AZ603" i="17"/>
  <c r="BA603" i="17" s="1"/>
  <c r="BB603" i="17" s="1"/>
  <c r="AT604" i="17"/>
  <c r="AU604" i="17" s="1"/>
  <c r="AV604" i="17" s="1"/>
  <c r="AT605" i="17"/>
  <c r="AU605" i="17" s="1"/>
  <c r="AV605" i="17" s="1"/>
  <c r="BX612" i="17"/>
  <c r="BY612" i="17" s="1"/>
  <c r="BZ612" i="17" s="1"/>
  <c r="N613" i="7"/>
  <c r="W613" i="7" s="1"/>
  <c r="BL613" i="17"/>
  <c r="BM613" i="17" s="1"/>
  <c r="BN613" i="17" s="1"/>
  <c r="L615" i="7"/>
  <c r="U615" i="7" s="1"/>
  <c r="AZ614" i="17"/>
  <c r="BA614" i="17" s="1"/>
  <c r="BB614" i="17" s="1"/>
  <c r="K616" i="7"/>
  <c r="T616" i="7" s="1"/>
  <c r="AT615" i="17"/>
  <c r="AU615" i="17" s="1"/>
  <c r="AV615" i="17" s="1"/>
  <c r="S619" i="7"/>
  <c r="O622" i="7"/>
  <c r="Z622" i="7" s="1"/>
  <c r="BR622" i="17"/>
  <c r="BS622" i="17" s="1"/>
  <c r="BT622" i="17" s="1"/>
  <c r="N624" i="7"/>
  <c r="W624" i="7" s="1"/>
  <c r="BL623" i="17"/>
  <c r="BM623" i="17" s="1"/>
  <c r="BN623" i="17" s="1"/>
  <c r="BF624" i="17"/>
  <c r="BG624" i="17" s="1"/>
  <c r="BH624" i="17" s="1"/>
  <c r="M625" i="7"/>
  <c r="V625" i="7" s="1"/>
  <c r="BF625" i="17"/>
  <c r="BG625" i="17" s="1"/>
  <c r="BH625" i="17" s="1"/>
  <c r="BL626" i="17"/>
  <c r="BM626" i="17" s="1"/>
  <c r="BN626" i="17" s="1"/>
  <c r="P630" i="7"/>
  <c r="AA630" i="7" s="1"/>
  <c r="BX630" i="17"/>
  <c r="BY630" i="17" s="1"/>
  <c r="BZ630" i="17" s="1"/>
  <c r="BX631" i="17"/>
  <c r="BY631" i="17" s="1"/>
  <c r="BZ631" i="17" s="1"/>
  <c r="BL632" i="17"/>
  <c r="BM632" i="17" s="1"/>
  <c r="BN632" i="17" s="1"/>
  <c r="BL633" i="17"/>
  <c r="BM633" i="17" s="1"/>
  <c r="BN633" i="17" s="1"/>
  <c r="AZ634" i="17"/>
  <c r="BA634" i="17" s="1"/>
  <c r="BB634" i="17" s="1"/>
  <c r="AZ635" i="17"/>
  <c r="BA635" i="17" s="1"/>
  <c r="BB635" i="17" s="1"/>
  <c r="R641" i="7"/>
  <c r="BX642" i="17"/>
  <c r="BY642" i="17" s="1"/>
  <c r="BZ642" i="17" s="1"/>
  <c r="O644" i="7"/>
  <c r="Z644" i="7" s="1"/>
  <c r="BR643" i="17"/>
  <c r="BS643" i="17" s="1"/>
  <c r="BT643" i="17" s="1"/>
  <c r="M644" i="7"/>
  <c r="V644" i="7" s="1"/>
  <c r="BF644" i="17"/>
  <c r="BG644" i="17" s="1"/>
  <c r="BH644" i="17" s="1"/>
  <c r="BF645" i="17"/>
  <c r="BG645" i="17" s="1"/>
  <c r="BH645" i="17" s="1"/>
  <c r="K646" i="7"/>
  <c r="T646" i="7" s="1"/>
  <c r="AT646" i="17"/>
  <c r="AU646" i="17" s="1"/>
  <c r="AV646" i="17" s="1"/>
  <c r="AT647" i="17"/>
  <c r="AU647" i="17" s="1"/>
  <c r="AV647" i="17" s="1"/>
  <c r="R651" i="7"/>
  <c r="BX652" i="17"/>
  <c r="BY652" i="17" s="1"/>
  <c r="BZ652" i="17" s="1"/>
  <c r="BX653" i="17"/>
  <c r="BY653" i="17" s="1"/>
  <c r="BZ653" i="17" s="1"/>
  <c r="BL654" i="17"/>
  <c r="BM654" i="17" s="1"/>
  <c r="BN654" i="17" s="1"/>
  <c r="BF655" i="17"/>
  <c r="BG655" i="17" s="1"/>
  <c r="BH655" i="17" s="1"/>
  <c r="L656" i="7"/>
  <c r="U656" i="7" s="1"/>
  <c r="AZ656" i="17"/>
  <c r="BA656" i="17" s="1"/>
  <c r="BB656" i="17" s="1"/>
  <c r="K658" i="7"/>
  <c r="T658" i="7" s="1"/>
  <c r="AT657" i="17"/>
  <c r="AU657" i="17" s="1"/>
  <c r="AV657" i="17" s="1"/>
  <c r="AK908" i="7"/>
  <c r="AJ908" i="7"/>
  <c r="K663" i="7"/>
  <c r="T663" i="7" s="1"/>
  <c r="AT663" i="17"/>
  <c r="AU663" i="17" s="1"/>
  <c r="AV663" i="17" s="1"/>
  <c r="AZ664" i="17"/>
  <c r="BA664" i="17" s="1"/>
  <c r="BB664" i="17" s="1"/>
  <c r="AZ665" i="17"/>
  <c r="BA665" i="17" s="1"/>
  <c r="BB665" i="17" s="1"/>
  <c r="BF666" i="17"/>
  <c r="BG666" i="17" s="1"/>
  <c r="BH666" i="17" s="1"/>
  <c r="BL667" i="17"/>
  <c r="BM667" i="17" s="1"/>
  <c r="BN667" i="17" s="1"/>
  <c r="BF668" i="17"/>
  <c r="BG668" i="17" s="1"/>
  <c r="BH668" i="17" s="1"/>
  <c r="AZ669" i="17"/>
  <c r="BA669" i="17" s="1"/>
  <c r="BB669" i="17" s="1"/>
  <c r="BF670" i="17"/>
  <c r="BG670" i="17" s="1"/>
  <c r="BH670" i="17" s="1"/>
  <c r="AT672" i="17"/>
  <c r="AU672" i="17" s="1"/>
  <c r="AV672" i="17" s="1"/>
  <c r="R678" i="7"/>
  <c r="P680" i="7"/>
  <c r="AA680" i="7" s="1"/>
  <c r="BX680" i="17"/>
  <c r="BY680" i="17" s="1"/>
  <c r="BZ680" i="17" s="1"/>
  <c r="Q682" i="7"/>
  <c r="X682" i="7" s="1"/>
  <c r="BR683" i="17"/>
  <c r="BS683" i="17" s="1"/>
  <c r="BT683" i="17" s="1"/>
  <c r="M684" i="7"/>
  <c r="V684" i="7" s="1"/>
  <c r="BF684" i="17"/>
  <c r="BG684" i="17" s="1"/>
  <c r="BH684" i="17" s="1"/>
  <c r="L686" i="7"/>
  <c r="U686" i="7" s="1"/>
  <c r="AZ685" i="17"/>
  <c r="BA685" i="17" s="1"/>
  <c r="BB685" i="17" s="1"/>
  <c r="K687" i="7"/>
  <c r="T687" i="7" s="1"/>
  <c r="AT687" i="17"/>
  <c r="AU687" i="17" s="1"/>
  <c r="AV687" i="17" s="1"/>
  <c r="L689" i="7"/>
  <c r="U689" i="7" s="1"/>
  <c r="AZ688" i="17"/>
  <c r="BA688" i="17" s="1"/>
  <c r="BB688" i="17" s="1"/>
  <c r="AZ689" i="17"/>
  <c r="BA689" i="17" s="1"/>
  <c r="BB689" i="17" s="1"/>
  <c r="AZ690" i="17"/>
  <c r="BA690" i="17" s="1"/>
  <c r="BB690" i="17" s="1"/>
  <c r="BF691" i="17"/>
  <c r="BG691" i="17" s="1"/>
  <c r="BH691" i="17" s="1"/>
  <c r="L693" i="7"/>
  <c r="U693" i="7" s="1"/>
  <c r="AZ692" i="17"/>
  <c r="BA692" i="17" s="1"/>
  <c r="BB692" i="17" s="1"/>
  <c r="K694" i="7"/>
  <c r="T694" i="7" s="1"/>
  <c r="AT694" i="17"/>
  <c r="AU694" i="17" s="1"/>
  <c r="AV694" i="17" s="1"/>
  <c r="AZ695" i="17"/>
  <c r="BA695" i="17" s="1"/>
  <c r="BB695" i="17" s="1"/>
  <c r="K696" i="7"/>
  <c r="T696" i="7" s="1"/>
  <c r="AT696" i="17"/>
  <c r="AU696" i="17" s="1"/>
  <c r="AV696" i="17" s="1"/>
  <c r="L698" i="7"/>
  <c r="U698" i="7" s="1"/>
  <c r="AZ697" i="17"/>
  <c r="BA697" i="17" s="1"/>
  <c r="BB697" i="17" s="1"/>
  <c r="M700" i="7"/>
  <c r="V700" i="7" s="1"/>
  <c r="BF699" i="17"/>
  <c r="BG699" i="17" s="1"/>
  <c r="BH699" i="17" s="1"/>
  <c r="N701" i="7"/>
  <c r="W701" i="7" s="1"/>
  <c r="BL700" i="17"/>
  <c r="BM700" i="17" s="1"/>
  <c r="BN700" i="17" s="1"/>
  <c r="O702" i="7"/>
  <c r="Z702" i="7" s="1"/>
  <c r="BR701" i="17"/>
  <c r="BS701" i="17" s="1"/>
  <c r="BT701" i="17" s="1"/>
  <c r="BX702" i="17"/>
  <c r="BY702" i="17" s="1"/>
  <c r="BZ702" i="17" s="1"/>
  <c r="BX703" i="17"/>
  <c r="BY703" i="17" s="1"/>
  <c r="BZ703" i="17" s="1"/>
  <c r="R709" i="7"/>
  <c r="BX716" i="17"/>
  <c r="BY716" i="17" s="1"/>
  <c r="BZ716" i="17" s="1"/>
  <c r="BR717" i="17"/>
  <c r="BS717" i="17" s="1"/>
  <c r="BT717" i="17" s="1"/>
  <c r="BX718" i="17"/>
  <c r="BY718" i="17" s="1"/>
  <c r="BZ718" i="17" s="1"/>
  <c r="P718" i="7"/>
  <c r="AA718" i="7" s="1"/>
  <c r="P719" i="7"/>
  <c r="AA719" i="7" s="1"/>
  <c r="BX719" i="17"/>
  <c r="BY719" i="17" s="1"/>
  <c r="BZ719" i="17" s="1"/>
  <c r="Q721" i="7"/>
  <c r="X721" i="7" s="1"/>
  <c r="P722" i="7"/>
  <c r="AA722" i="7" s="1"/>
  <c r="BX722" i="17"/>
  <c r="BY722" i="17" s="1"/>
  <c r="BZ722" i="17" s="1"/>
  <c r="BX723" i="17"/>
  <c r="BY723" i="17" s="1"/>
  <c r="BZ723" i="17" s="1"/>
  <c r="BL724" i="17"/>
  <c r="BM724" i="17" s="1"/>
  <c r="BN724" i="17" s="1"/>
  <c r="BR725" i="17"/>
  <c r="BS725" i="17" s="1"/>
  <c r="BT725" i="17" s="1"/>
  <c r="BX726" i="17"/>
  <c r="BY726" i="17" s="1"/>
  <c r="BZ726" i="17" s="1"/>
  <c r="O730" i="7"/>
  <c r="Z730" i="7" s="1"/>
  <c r="BR730" i="17"/>
  <c r="BS730" i="17" s="1"/>
  <c r="BT730" i="17" s="1"/>
  <c r="P731" i="7"/>
  <c r="AA731" i="7" s="1"/>
  <c r="BX731" i="17"/>
  <c r="BY731" i="17" s="1"/>
  <c r="BZ731" i="17" s="1"/>
  <c r="BX732" i="17"/>
  <c r="BY732" i="17" s="1"/>
  <c r="BZ732" i="17" s="1"/>
  <c r="BF733" i="17"/>
  <c r="BG733" i="17" s="1"/>
  <c r="BH733" i="17" s="1"/>
  <c r="BL734" i="17"/>
  <c r="BM734" i="17" s="1"/>
  <c r="BN734" i="17" s="1"/>
  <c r="BF735" i="17"/>
  <c r="BG735" i="17" s="1"/>
  <c r="BH735" i="17" s="1"/>
  <c r="N736" i="7"/>
  <c r="W736" i="7" s="1"/>
  <c r="BL736" i="17"/>
  <c r="BM736" i="17" s="1"/>
  <c r="BN736" i="17" s="1"/>
  <c r="BR737" i="17"/>
  <c r="BS737" i="17" s="1"/>
  <c r="BT737" i="17" s="1"/>
  <c r="BF738" i="17"/>
  <c r="BG738" i="17" s="1"/>
  <c r="BH738" i="17" s="1"/>
  <c r="L739" i="7"/>
  <c r="U739" i="7" s="1"/>
  <c r="AZ739" i="17"/>
  <c r="BA739" i="17" s="1"/>
  <c r="BB739" i="17" s="1"/>
  <c r="AT740" i="17"/>
  <c r="AU740" i="17" s="1"/>
  <c r="AV740" i="17" s="1"/>
  <c r="L741" i="7"/>
  <c r="U741" i="7" s="1"/>
  <c r="AZ741" i="17"/>
  <c r="BA741" i="17" s="1"/>
  <c r="BB741" i="17" s="1"/>
  <c r="AT742" i="17"/>
  <c r="AU742" i="17" s="1"/>
  <c r="AV742" i="17" s="1"/>
  <c r="K743" i="7"/>
  <c r="T743" i="7" s="1"/>
  <c r="AZ744" i="17"/>
  <c r="BA744" i="17" s="1"/>
  <c r="BB744" i="17" s="1"/>
  <c r="AZ745" i="17"/>
  <c r="BA745" i="17" s="1"/>
  <c r="BB745" i="17" s="1"/>
  <c r="BF746" i="17"/>
  <c r="BG746" i="17" s="1"/>
  <c r="BH746" i="17" s="1"/>
  <c r="BF747" i="17"/>
  <c r="BG747" i="17" s="1"/>
  <c r="BH747" i="17" s="1"/>
  <c r="N748" i="7"/>
  <c r="W748" i="7" s="1"/>
  <c r="BL748" i="17"/>
  <c r="BM748" i="17" s="1"/>
  <c r="BN748" i="17" s="1"/>
  <c r="BR749" i="17"/>
  <c r="BS749" i="17" s="1"/>
  <c r="BT749" i="17" s="1"/>
  <c r="O749" i="7"/>
  <c r="Z749" i="7" s="1"/>
  <c r="BR750" i="17"/>
  <c r="BS750" i="17" s="1"/>
  <c r="BT750" i="17" s="1"/>
  <c r="O750" i="7"/>
  <c r="Z750" i="7" s="1"/>
  <c r="O751" i="7"/>
  <c r="Z751" i="7" s="1"/>
  <c r="BR751" i="17"/>
  <c r="BS751" i="17" s="1"/>
  <c r="BT751" i="17" s="1"/>
  <c r="P753" i="7"/>
  <c r="AA753" i="7" s="1"/>
  <c r="BX752" i="17"/>
  <c r="BY752" i="17" s="1"/>
  <c r="BZ752" i="17" s="1"/>
  <c r="BX753" i="17"/>
  <c r="BY753" i="17" s="1"/>
  <c r="BZ753" i="17" s="1"/>
  <c r="BF766" i="17"/>
  <c r="BG766" i="17" s="1"/>
  <c r="BH766" i="17" s="1"/>
  <c r="N767" i="7"/>
  <c r="W767" i="7" s="1"/>
  <c r="BL767" i="17"/>
  <c r="BM767" i="17" s="1"/>
  <c r="BN767" i="17" s="1"/>
  <c r="O769" i="7"/>
  <c r="Z769" i="7" s="1"/>
  <c r="BR768" i="17"/>
  <c r="BS768" i="17" s="1"/>
  <c r="BT768" i="17" s="1"/>
  <c r="O768" i="7"/>
  <c r="Z768" i="7" s="1"/>
  <c r="BR769" i="17"/>
  <c r="BS769" i="17" s="1"/>
  <c r="BT769" i="17" s="1"/>
  <c r="P770" i="7"/>
  <c r="AA770" i="7" s="1"/>
  <c r="BX770" i="17"/>
  <c r="BY770" i="17" s="1"/>
  <c r="BZ770" i="17" s="1"/>
  <c r="S790" i="7"/>
  <c r="BF810" i="17"/>
  <c r="BG810" i="17" s="1"/>
  <c r="BH810" i="17" s="1"/>
  <c r="M811" i="7"/>
  <c r="V811" i="7" s="1"/>
  <c r="BF811" i="17"/>
  <c r="BG811" i="17" s="1"/>
  <c r="BH811" i="17" s="1"/>
  <c r="M812" i="7"/>
  <c r="V812" i="7" s="1"/>
  <c r="BL812" i="17"/>
  <c r="BM812" i="17" s="1"/>
  <c r="BN812" i="17" s="1"/>
  <c r="BF845" i="17"/>
  <c r="BG845" i="17" s="1"/>
  <c r="BH845" i="17" s="1"/>
  <c r="M846" i="7"/>
  <c r="V846" i="7" s="1"/>
  <c r="BF846" i="17"/>
  <c r="BG846" i="17" s="1"/>
  <c r="BH846" i="17" s="1"/>
  <c r="BL847" i="17"/>
  <c r="BM847" i="17" s="1"/>
  <c r="BN847" i="17" s="1"/>
  <c r="BR855" i="17"/>
  <c r="BS855" i="17" s="1"/>
  <c r="BT855" i="17" s="1"/>
  <c r="BR909" i="17"/>
  <c r="BS909" i="17" s="1"/>
  <c r="BT909" i="17" s="1"/>
  <c r="BF467" i="17"/>
  <c r="BG467" i="17" s="1"/>
  <c r="BH467" i="17" s="1"/>
  <c r="L469" i="7"/>
  <c r="U469" i="7" s="1"/>
  <c r="AZ468" i="17"/>
  <c r="BA468" i="17" s="1"/>
  <c r="BB468" i="17" s="1"/>
  <c r="AT469" i="17"/>
  <c r="AU469" i="17" s="1"/>
  <c r="AV469" i="17" s="1"/>
  <c r="S476" i="7"/>
  <c r="Q477" i="7"/>
  <c r="X477" i="7" s="1"/>
  <c r="BL478" i="17"/>
  <c r="BM478" i="17" s="1"/>
  <c r="BN478" i="17" s="1"/>
  <c r="BL479" i="17"/>
  <c r="BM479" i="17" s="1"/>
  <c r="BN479" i="17" s="1"/>
  <c r="BL480" i="17"/>
  <c r="BM480" i="17" s="1"/>
  <c r="BN480" i="17" s="1"/>
  <c r="L482" i="7"/>
  <c r="U482" i="7" s="1"/>
  <c r="AZ481" i="17"/>
  <c r="BA481" i="17" s="1"/>
  <c r="BB481" i="17" s="1"/>
  <c r="Q486" i="7"/>
  <c r="X486" i="7" s="1"/>
  <c r="BR488" i="17"/>
  <c r="BS488" i="17" s="1"/>
  <c r="BT488" i="17" s="1"/>
  <c r="BF489" i="17"/>
  <c r="BG489" i="17" s="1"/>
  <c r="BH489" i="17" s="1"/>
  <c r="BF490" i="17"/>
  <c r="BG490" i="17" s="1"/>
  <c r="BH490" i="17" s="1"/>
  <c r="M491" i="7"/>
  <c r="V491" i="7" s="1"/>
  <c r="BF491" i="17"/>
  <c r="BG491" i="17" s="1"/>
  <c r="BH491" i="17" s="1"/>
  <c r="BF492" i="17"/>
  <c r="BG492" i="17" s="1"/>
  <c r="BH492" i="17" s="1"/>
  <c r="L493" i="7"/>
  <c r="U493" i="7" s="1"/>
  <c r="AZ493" i="17"/>
  <c r="BA493" i="17" s="1"/>
  <c r="BB493" i="17" s="1"/>
  <c r="AZ494" i="17"/>
  <c r="BA494" i="17" s="1"/>
  <c r="BB494" i="17" s="1"/>
  <c r="L495" i="7"/>
  <c r="U495" i="7" s="1"/>
  <c r="AZ495" i="17"/>
  <c r="BA495" i="17" s="1"/>
  <c r="BB495" i="17" s="1"/>
  <c r="P501" i="7"/>
  <c r="AA501" i="7" s="1"/>
  <c r="BX501" i="17"/>
  <c r="BY501" i="17" s="1"/>
  <c r="BZ501" i="17" s="1"/>
  <c r="S508" i="7"/>
  <c r="BX508" i="17"/>
  <c r="BY508" i="17" s="1"/>
  <c r="BZ508" i="17" s="1"/>
  <c r="O509" i="7"/>
  <c r="Z509" i="7" s="1"/>
  <c r="BR509" i="17"/>
  <c r="BS509" i="17" s="1"/>
  <c r="BT509" i="17" s="1"/>
  <c r="BL510" i="17"/>
  <c r="BM510" i="17" s="1"/>
  <c r="BN510" i="17" s="1"/>
  <c r="BF511" i="17"/>
  <c r="BG511" i="17" s="1"/>
  <c r="BH511" i="17" s="1"/>
  <c r="BL512" i="17"/>
  <c r="BM512" i="17" s="1"/>
  <c r="BN512" i="17" s="1"/>
  <c r="M513" i="7"/>
  <c r="V513" i="7" s="1"/>
  <c r="BF513" i="17"/>
  <c r="BG513" i="17" s="1"/>
  <c r="BH513" i="17" s="1"/>
  <c r="AZ514" i="17"/>
  <c r="BA514" i="17" s="1"/>
  <c r="BB514" i="17" s="1"/>
  <c r="AZ515" i="17"/>
  <c r="BA515" i="17" s="1"/>
  <c r="BB515" i="17" s="1"/>
  <c r="P519" i="7"/>
  <c r="AA519" i="7" s="1"/>
  <c r="BX519" i="17"/>
  <c r="BY519" i="17" s="1"/>
  <c r="BZ519" i="17" s="1"/>
  <c r="O520" i="7"/>
  <c r="Z520" i="7" s="1"/>
  <c r="BR520" i="17"/>
  <c r="BS520" i="17" s="1"/>
  <c r="BT520" i="17" s="1"/>
  <c r="BR521" i="17"/>
  <c r="BS521" i="17" s="1"/>
  <c r="BT521" i="17" s="1"/>
  <c r="K522" i="7"/>
  <c r="T522" i="7" s="1"/>
  <c r="AT522" i="17"/>
  <c r="AU522" i="17" s="1"/>
  <c r="AV522" i="17" s="1"/>
  <c r="AT523" i="17"/>
  <c r="AU523" i="17" s="1"/>
  <c r="AV523" i="17" s="1"/>
  <c r="K525" i="7"/>
  <c r="T525" i="7" s="1"/>
  <c r="AT525" i="17"/>
  <c r="AU525" i="17" s="1"/>
  <c r="AV525" i="17" s="1"/>
  <c r="L526" i="7"/>
  <c r="U526" i="7" s="1"/>
  <c r="AZ526" i="17"/>
  <c r="BA526" i="17" s="1"/>
  <c r="BB526" i="17" s="1"/>
  <c r="AT527" i="17"/>
  <c r="AU527" i="17" s="1"/>
  <c r="AV527" i="17" s="1"/>
  <c r="L528" i="7"/>
  <c r="U528" i="7" s="1"/>
  <c r="AZ528" i="17"/>
  <c r="BA528" i="17" s="1"/>
  <c r="BB528" i="17" s="1"/>
  <c r="L529" i="7"/>
  <c r="U529" i="7" s="1"/>
  <c r="AZ529" i="17"/>
  <c r="BA529" i="17" s="1"/>
  <c r="BB529" i="17" s="1"/>
  <c r="AT530" i="17"/>
  <c r="AU530" i="17" s="1"/>
  <c r="AV530" i="17" s="1"/>
  <c r="AT531" i="17"/>
  <c r="AU531" i="17" s="1"/>
  <c r="AV531" i="17" s="1"/>
  <c r="AT532" i="17"/>
  <c r="AU532" i="17" s="1"/>
  <c r="AV532" i="17" s="1"/>
  <c r="S546" i="7"/>
  <c r="R547" i="7"/>
  <c r="P549" i="7"/>
  <c r="AA549" i="7" s="1"/>
  <c r="BX549" i="17"/>
  <c r="BY549" i="17" s="1"/>
  <c r="BZ549" i="17" s="1"/>
  <c r="BX550" i="17"/>
  <c r="BY550" i="17" s="1"/>
  <c r="BZ550" i="17" s="1"/>
  <c r="O551" i="7"/>
  <c r="Z551" i="7" s="1"/>
  <c r="BR551" i="17"/>
  <c r="BS551" i="17" s="1"/>
  <c r="BT551" i="17" s="1"/>
  <c r="N552" i="7"/>
  <c r="W552" i="7" s="1"/>
  <c r="BL552" i="17"/>
  <c r="BM552" i="17" s="1"/>
  <c r="BN552" i="17" s="1"/>
  <c r="M553" i="7"/>
  <c r="V553" i="7" s="1"/>
  <c r="BF553" i="17"/>
  <c r="BG553" i="17" s="1"/>
  <c r="BH553" i="17" s="1"/>
  <c r="AT554" i="17"/>
  <c r="AU554" i="17" s="1"/>
  <c r="AV554" i="17" s="1"/>
  <c r="L557" i="7"/>
  <c r="U557" i="7" s="1"/>
  <c r="S558" i="7"/>
  <c r="O563" i="7"/>
  <c r="Z563" i="7" s="1"/>
  <c r="BR563" i="17"/>
  <c r="BS563" i="17" s="1"/>
  <c r="BT563" i="17" s="1"/>
  <c r="BX564" i="17"/>
  <c r="BY564" i="17" s="1"/>
  <c r="BZ564" i="17" s="1"/>
  <c r="N565" i="7"/>
  <c r="W565" i="7" s="1"/>
  <c r="BL565" i="17"/>
  <c r="BM565" i="17" s="1"/>
  <c r="BN565" i="17" s="1"/>
  <c r="BR566" i="17"/>
  <c r="BS566" i="17" s="1"/>
  <c r="BT566" i="17" s="1"/>
  <c r="M567" i="7"/>
  <c r="V567" i="7" s="1"/>
  <c r="BF567" i="17"/>
  <c r="BG567" i="17" s="1"/>
  <c r="BH567" i="17" s="1"/>
  <c r="AZ568" i="17"/>
  <c r="BA568" i="17" s="1"/>
  <c r="BB568" i="17" s="1"/>
  <c r="S574" i="7"/>
  <c r="Y574" i="7" s="1"/>
  <c r="BX576" i="17"/>
  <c r="BY576" i="17" s="1"/>
  <c r="BZ576" i="17" s="1"/>
  <c r="O577" i="7"/>
  <c r="Z577" i="7" s="1"/>
  <c r="BR577" i="17"/>
  <c r="BS577" i="17" s="1"/>
  <c r="BT577" i="17" s="1"/>
  <c r="BL578" i="17"/>
  <c r="BM578" i="17" s="1"/>
  <c r="BN578" i="17" s="1"/>
  <c r="N579" i="7"/>
  <c r="W579" i="7" s="1"/>
  <c r="BL579" i="17"/>
  <c r="BM579" i="17" s="1"/>
  <c r="BN579" i="17" s="1"/>
  <c r="BF580" i="17"/>
  <c r="BG580" i="17" s="1"/>
  <c r="BH580" i="17" s="1"/>
  <c r="BF581" i="17"/>
  <c r="BG581" i="17" s="1"/>
  <c r="BH581" i="17" s="1"/>
  <c r="L583" i="7"/>
  <c r="U583" i="7" s="1"/>
  <c r="AZ582" i="17"/>
  <c r="BA582" i="17" s="1"/>
  <c r="BB582" i="17" s="1"/>
  <c r="AZ583" i="17"/>
  <c r="BA583" i="17" s="1"/>
  <c r="BB583" i="17" s="1"/>
  <c r="L585" i="7"/>
  <c r="U585" i="7" s="1"/>
  <c r="AZ584" i="17"/>
  <c r="BA584" i="17" s="1"/>
  <c r="BB584" i="17" s="1"/>
  <c r="AZ585" i="17"/>
  <c r="BA585" i="17" s="1"/>
  <c r="BB585" i="17" s="1"/>
  <c r="AT586" i="17"/>
  <c r="AU586" i="17" s="1"/>
  <c r="AV586" i="17" s="1"/>
  <c r="L591" i="7"/>
  <c r="U591" i="7" s="1"/>
  <c r="S592" i="7"/>
  <c r="Q594" i="7"/>
  <c r="X594" i="7" s="1"/>
  <c r="O598" i="7"/>
  <c r="Z598" i="7" s="1"/>
  <c r="BR598" i="17"/>
  <c r="BS598" i="17" s="1"/>
  <c r="BT598" i="17" s="1"/>
  <c r="BF599" i="17"/>
  <c r="BG599" i="17" s="1"/>
  <c r="BH599" i="17" s="1"/>
  <c r="AZ600" i="17"/>
  <c r="BA600" i="17" s="1"/>
  <c r="BB600" i="17" s="1"/>
  <c r="AT601" i="17"/>
  <c r="AU601" i="17" s="1"/>
  <c r="AV601" i="17" s="1"/>
  <c r="L602" i="7"/>
  <c r="U602" i="7" s="1"/>
  <c r="AZ602" i="17"/>
  <c r="BA602" i="17" s="1"/>
  <c r="BB602" i="17" s="1"/>
  <c r="BF603" i="17"/>
  <c r="BG603" i="17" s="1"/>
  <c r="BH603" i="17" s="1"/>
  <c r="L604" i="7"/>
  <c r="U604" i="7" s="1"/>
  <c r="AZ604" i="17"/>
  <c r="BA604" i="17" s="1"/>
  <c r="BB604" i="17" s="1"/>
  <c r="AZ605" i="17"/>
  <c r="BA605" i="17" s="1"/>
  <c r="BB605" i="17" s="1"/>
  <c r="BR613" i="17"/>
  <c r="BS613" i="17" s="1"/>
  <c r="BT613" i="17" s="1"/>
  <c r="BF614" i="17"/>
  <c r="BG614" i="17" s="1"/>
  <c r="BH614" i="17" s="1"/>
  <c r="AZ615" i="17"/>
  <c r="BA615" i="17" s="1"/>
  <c r="BB615" i="17" s="1"/>
  <c r="AT616" i="17"/>
  <c r="AU616" i="17" s="1"/>
  <c r="AV616" i="17" s="1"/>
  <c r="AT617" i="17"/>
  <c r="AU617" i="17" s="1"/>
  <c r="AV617" i="17" s="1"/>
  <c r="P618" i="7"/>
  <c r="AA618" i="7" s="1"/>
  <c r="K619" i="7"/>
  <c r="T619" i="7" s="1"/>
  <c r="P622" i="7"/>
  <c r="AA622" i="7" s="1"/>
  <c r="BX622" i="17"/>
  <c r="BY622" i="17" s="1"/>
  <c r="BZ622" i="17" s="1"/>
  <c r="O624" i="7"/>
  <c r="Z624" i="7" s="1"/>
  <c r="BR623" i="17"/>
  <c r="BS623" i="17" s="1"/>
  <c r="BT623" i="17" s="1"/>
  <c r="BL624" i="17"/>
  <c r="BM624" i="17" s="1"/>
  <c r="BN624" i="17" s="1"/>
  <c r="N625" i="7"/>
  <c r="W625" i="7" s="1"/>
  <c r="BL625" i="17"/>
  <c r="BM625" i="17" s="1"/>
  <c r="BN625" i="17" s="1"/>
  <c r="BR626" i="17"/>
  <c r="BS626" i="17" s="1"/>
  <c r="BT626" i="17" s="1"/>
  <c r="AT627" i="17"/>
  <c r="AU627" i="17" s="1"/>
  <c r="AV627" i="17" s="1"/>
  <c r="P628" i="7"/>
  <c r="AA628" i="7" s="1"/>
  <c r="Q630" i="7"/>
  <c r="X630" i="7" s="1"/>
  <c r="O632" i="7"/>
  <c r="Z632" i="7" s="1"/>
  <c r="BR632" i="17"/>
  <c r="BS632" i="17" s="1"/>
  <c r="BT632" i="17" s="1"/>
  <c r="BR633" i="17"/>
  <c r="BS633" i="17" s="1"/>
  <c r="BT633" i="17" s="1"/>
  <c r="BF634" i="17"/>
  <c r="BG634" i="17" s="1"/>
  <c r="BH634" i="17" s="1"/>
  <c r="BF635" i="17"/>
  <c r="BG635" i="17" s="1"/>
  <c r="BH635" i="17" s="1"/>
  <c r="AT636" i="17"/>
  <c r="AU636" i="17" s="1"/>
  <c r="AV636" i="17" s="1"/>
  <c r="S641" i="7"/>
  <c r="Y641" i="7" s="1"/>
  <c r="Q642" i="7"/>
  <c r="X642" i="7" s="1"/>
  <c r="BX643" i="17"/>
  <c r="BY643" i="17" s="1"/>
  <c r="BZ643" i="17" s="1"/>
  <c r="BL644" i="17"/>
  <c r="BM644" i="17" s="1"/>
  <c r="BN644" i="17" s="1"/>
  <c r="BL645" i="17"/>
  <c r="BM645" i="17" s="1"/>
  <c r="BN645" i="17" s="1"/>
  <c r="L646" i="7"/>
  <c r="U646" i="7" s="1"/>
  <c r="AZ646" i="17"/>
  <c r="BA646" i="17" s="1"/>
  <c r="BB646" i="17" s="1"/>
  <c r="L647" i="7"/>
  <c r="U647" i="7" s="1"/>
  <c r="AZ647" i="17"/>
  <c r="BA647" i="17" s="1"/>
  <c r="BB647" i="17" s="1"/>
  <c r="S651" i="7"/>
  <c r="Y651" i="7" s="1"/>
  <c r="Q652" i="7"/>
  <c r="X652" i="7" s="1"/>
  <c r="O654" i="7"/>
  <c r="Z654" i="7" s="1"/>
  <c r="BR654" i="17"/>
  <c r="BS654" i="17" s="1"/>
  <c r="BT654" i="17" s="1"/>
  <c r="BL655" i="17"/>
  <c r="BM655" i="17" s="1"/>
  <c r="BN655" i="17" s="1"/>
  <c r="M656" i="7"/>
  <c r="V656" i="7" s="1"/>
  <c r="BF656" i="17"/>
  <c r="BG656" i="17" s="1"/>
  <c r="BH656" i="17" s="1"/>
  <c r="L657" i="7"/>
  <c r="U657" i="7" s="1"/>
  <c r="AZ657" i="17"/>
  <c r="BA657" i="17" s="1"/>
  <c r="BB657" i="17" s="1"/>
  <c r="AT658" i="17"/>
  <c r="AU658" i="17" s="1"/>
  <c r="AV658" i="17" s="1"/>
  <c r="AJ909" i="7"/>
  <c r="AK909" i="7"/>
  <c r="AT659" i="17"/>
  <c r="AU659" i="17" s="1"/>
  <c r="AV659" i="17" s="1"/>
  <c r="AK910" i="7"/>
  <c r="AJ910" i="7"/>
  <c r="AT662" i="17"/>
  <c r="AU662" i="17" s="1"/>
  <c r="AV662" i="17" s="1"/>
  <c r="AZ663" i="17"/>
  <c r="BA663" i="17" s="1"/>
  <c r="BB663" i="17" s="1"/>
  <c r="M665" i="7"/>
  <c r="V665" i="7" s="1"/>
  <c r="BF664" i="17"/>
  <c r="BG664" i="17" s="1"/>
  <c r="BH664" i="17" s="1"/>
  <c r="BF665" i="17"/>
  <c r="BG665" i="17" s="1"/>
  <c r="BH665" i="17" s="1"/>
  <c r="N666" i="7"/>
  <c r="W666" i="7" s="1"/>
  <c r="BL666" i="17"/>
  <c r="BM666" i="17" s="1"/>
  <c r="BN666" i="17" s="1"/>
  <c r="BR667" i="17"/>
  <c r="BS667" i="17" s="1"/>
  <c r="BT667" i="17" s="1"/>
  <c r="BL668" i="17"/>
  <c r="BM668" i="17" s="1"/>
  <c r="BN668" i="17" s="1"/>
  <c r="BF669" i="17"/>
  <c r="BG669" i="17" s="1"/>
  <c r="BH669" i="17" s="1"/>
  <c r="N670" i="7"/>
  <c r="W670" i="7" s="1"/>
  <c r="BL670" i="17"/>
  <c r="BM670" i="17" s="1"/>
  <c r="BN670" i="17" s="1"/>
  <c r="AT671" i="17"/>
  <c r="AU671" i="17" s="1"/>
  <c r="AV671" i="17" s="1"/>
  <c r="L672" i="7"/>
  <c r="U672" i="7" s="1"/>
  <c r="AZ672" i="17"/>
  <c r="BA672" i="17" s="1"/>
  <c r="BB672" i="17" s="1"/>
  <c r="Q680" i="7"/>
  <c r="X680" i="7" s="1"/>
  <c r="R682" i="7"/>
  <c r="BX683" i="17"/>
  <c r="BY683" i="17" s="1"/>
  <c r="BZ683" i="17" s="1"/>
  <c r="N684" i="7"/>
  <c r="W684" i="7" s="1"/>
  <c r="BL684" i="17"/>
  <c r="BM684" i="17" s="1"/>
  <c r="BN684" i="17" s="1"/>
  <c r="BF685" i="17"/>
  <c r="BG685" i="17" s="1"/>
  <c r="BH685" i="17" s="1"/>
  <c r="AT686" i="17"/>
  <c r="AU686" i="17" s="1"/>
  <c r="AV686" i="17" s="1"/>
  <c r="L688" i="7"/>
  <c r="U688" i="7" s="1"/>
  <c r="AZ687" i="17"/>
  <c r="BA687" i="17" s="1"/>
  <c r="BB687" i="17" s="1"/>
  <c r="BF688" i="17"/>
  <c r="BG688" i="17" s="1"/>
  <c r="BH688" i="17" s="1"/>
  <c r="BF689" i="17"/>
  <c r="BG689" i="17" s="1"/>
  <c r="BH689" i="17" s="1"/>
  <c r="M690" i="7"/>
  <c r="V690" i="7" s="1"/>
  <c r="BF690" i="17"/>
  <c r="BG690" i="17" s="1"/>
  <c r="BH690" i="17" s="1"/>
  <c r="BL691" i="17"/>
  <c r="BM691" i="17" s="1"/>
  <c r="BN691" i="17" s="1"/>
  <c r="BF692" i="17"/>
  <c r="BG692" i="17" s="1"/>
  <c r="BH692" i="17" s="1"/>
  <c r="K693" i="7"/>
  <c r="T693" i="7" s="1"/>
  <c r="AT693" i="17"/>
  <c r="AU693" i="17" s="1"/>
  <c r="AV693" i="17" s="1"/>
  <c r="L695" i="7"/>
  <c r="U695" i="7" s="1"/>
  <c r="AZ694" i="17"/>
  <c r="BA694" i="17" s="1"/>
  <c r="BB694" i="17" s="1"/>
  <c r="M696" i="7"/>
  <c r="V696" i="7" s="1"/>
  <c r="BF695" i="17"/>
  <c r="BG695" i="17" s="1"/>
  <c r="BH695" i="17" s="1"/>
  <c r="BF698" i="17"/>
  <c r="BG698" i="17" s="1"/>
  <c r="BH698" i="17" s="1"/>
  <c r="M698" i="7"/>
  <c r="V698" i="7" s="1"/>
  <c r="BL699" i="17"/>
  <c r="BM699" i="17" s="1"/>
  <c r="BN699" i="17" s="1"/>
  <c r="BR700" i="17"/>
  <c r="BS700" i="17" s="1"/>
  <c r="BT700" i="17" s="1"/>
  <c r="P701" i="7"/>
  <c r="AA701" i="7" s="1"/>
  <c r="BX701" i="17"/>
  <c r="BY701" i="17" s="1"/>
  <c r="BZ701" i="17" s="1"/>
  <c r="Q703" i="7"/>
  <c r="X703" i="7" s="1"/>
  <c r="S710" i="7"/>
  <c r="S712" i="7"/>
  <c r="R715" i="7"/>
  <c r="P717" i="7"/>
  <c r="AA717" i="7" s="1"/>
  <c r="BX717" i="17"/>
  <c r="BY717" i="17" s="1"/>
  <c r="BZ717" i="17" s="1"/>
  <c r="Q719" i="7"/>
  <c r="X719" i="7" s="1"/>
  <c r="P730" i="7"/>
  <c r="AA730" i="7" s="1"/>
  <c r="BX730" i="17"/>
  <c r="BY730" i="17" s="1"/>
  <c r="BZ730" i="17" s="1"/>
  <c r="N733" i="7"/>
  <c r="W733" i="7" s="1"/>
  <c r="BL733" i="17"/>
  <c r="BM733" i="17" s="1"/>
  <c r="BN733" i="17" s="1"/>
  <c r="BR734" i="17"/>
  <c r="BS734" i="17" s="1"/>
  <c r="BT734" i="17" s="1"/>
  <c r="BL735" i="17"/>
  <c r="BM735" i="17" s="1"/>
  <c r="BN735" i="17" s="1"/>
  <c r="O736" i="7"/>
  <c r="Z736" i="7" s="1"/>
  <c r="BR736" i="17"/>
  <c r="BS736" i="17" s="1"/>
  <c r="BT736" i="17" s="1"/>
  <c r="BX737" i="17"/>
  <c r="BY737" i="17" s="1"/>
  <c r="BZ737" i="17" s="1"/>
  <c r="N738" i="7"/>
  <c r="W738" i="7" s="1"/>
  <c r="BL738" i="17"/>
  <c r="BM738" i="17" s="1"/>
  <c r="BN738" i="17" s="1"/>
  <c r="BF744" i="17"/>
  <c r="BG744" i="17" s="1"/>
  <c r="BH744" i="17" s="1"/>
  <c r="BF745" i="17"/>
  <c r="BG745" i="17" s="1"/>
  <c r="BH745" i="17" s="1"/>
  <c r="N746" i="7"/>
  <c r="W746" i="7" s="1"/>
  <c r="BL746" i="17"/>
  <c r="BM746" i="17" s="1"/>
  <c r="BN746" i="17" s="1"/>
  <c r="N747" i="7"/>
  <c r="W747" i="7" s="1"/>
  <c r="BL747" i="17"/>
  <c r="BM747" i="17" s="1"/>
  <c r="BN747" i="17" s="1"/>
  <c r="BR748" i="17"/>
  <c r="BS748" i="17" s="1"/>
  <c r="BT748" i="17" s="1"/>
  <c r="BX749" i="17"/>
  <c r="BY749" i="17" s="1"/>
  <c r="BZ749" i="17" s="1"/>
  <c r="BX750" i="17"/>
  <c r="BY750" i="17" s="1"/>
  <c r="BZ750" i="17" s="1"/>
  <c r="BL766" i="17"/>
  <c r="BM766" i="17" s="1"/>
  <c r="BN766" i="17" s="1"/>
  <c r="O767" i="7"/>
  <c r="Z767" i="7" s="1"/>
  <c r="BR767" i="17"/>
  <c r="BS767" i="17" s="1"/>
  <c r="BT767" i="17" s="1"/>
  <c r="BX768" i="17"/>
  <c r="BY768" i="17" s="1"/>
  <c r="BZ768" i="17" s="1"/>
  <c r="BX769" i="17"/>
  <c r="BY769" i="17" s="1"/>
  <c r="BZ769" i="17" s="1"/>
  <c r="BL782" i="17"/>
  <c r="BM782" i="17" s="1"/>
  <c r="BN782" i="17" s="1"/>
  <c r="N782" i="7"/>
  <c r="W782" i="7" s="1"/>
  <c r="M808" i="7"/>
  <c r="V808" i="7" s="1"/>
  <c r="BF808" i="17"/>
  <c r="BG808" i="17" s="1"/>
  <c r="BH808" i="17" s="1"/>
  <c r="N809" i="7"/>
  <c r="W809" i="7" s="1"/>
  <c r="BL809" i="17"/>
  <c r="BM809" i="17" s="1"/>
  <c r="BN809" i="17" s="1"/>
  <c r="R817" i="7"/>
  <c r="BL833" i="17"/>
  <c r="BM833" i="17" s="1"/>
  <c r="BN833" i="17" s="1"/>
  <c r="P466" i="7"/>
  <c r="AA466" i="7" s="1"/>
  <c r="BX466" i="17"/>
  <c r="BY466" i="17" s="1"/>
  <c r="BZ466" i="17" s="1"/>
  <c r="N467" i="7"/>
  <c r="W467" i="7" s="1"/>
  <c r="BL467" i="17"/>
  <c r="BM467" i="17" s="1"/>
  <c r="BN467" i="17" s="1"/>
  <c r="M468" i="7"/>
  <c r="V468" i="7" s="1"/>
  <c r="BF468" i="17"/>
  <c r="BG468" i="17" s="1"/>
  <c r="BH468" i="17" s="1"/>
  <c r="L470" i="7"/>
  <c r="U470" i="7" s="1"/>
  <c r="AZ469" i="17"/>
  <c r="BA469" i="17" s="1"/>
  <c r="BB469" i="17" s="1"/>
  <c r="AT470" i="17"/>
  <c r="AU470" i="17" s="1"/>
  <c r="AV470" i="17" s="1"/>
  <c r="O478" i="7"/>
  <c r="Z478" i="7" s="1"/>
  <c r="BR478" i="17"/>
  <c r="BS478" i="17" s="1"/>
  <c r="BT478" i="17" s="1"/>
  <c r="O479" i="7"/>
  <c r="Z479" i="7" s="1"/>
  <c r="BR479" i="17"/>
  <c r="BS479" i="17" s="1"/>
  <c r="BT479" i="17" s="1"/>
  <c r="O480" i="7"/>
  <c r="Z480" i="7" s="1"/>
  <c r="BR480" i="17"/>
  <c r="BS480" i="17" s="1"/>
  <c r="BT480" i="17" s="1"/>
  <c r="M481" i="7"/>
  <c r="V481" i="7" s="1"/>
  <c r="BF481" i="17"/>
  <c r="BG481" i="17" s="1"/>
  <c r="BH481" i="17" s="1"/>
  <c r="AT482" i="17"/>
  <c r="AU482" i="17" s="1"/>
  <c r="AV482" i="17" s="1"/>
  <c r="AT483" i="17"/>
  <c r="AU483" i="17" s="1"/>
  <c r="AV483" i="17" s="1"/>
  <c r="R486" i="7"/>
  <c r="BX488" i="17"/>
  <c r="BY488" i="17" s="1"/>
  <c r="BZ488" i="17" s="1"/>
  <c r="N489" i="7"/>
  <c r="W489" i="7" s="1"/>
  <c r="BL489" i="17"/>
  <c r="BM489" i="17" s="1"/>
  <c r="BN489" i="17" s="1"/>
  <c r="BL490" i="17"/>
  <c r="BM490" i="17" s="1"/>
  <c r="BN490" i="17" s="1"/>
  <c r="BL491" i="17"/>
  <c r="BM491" i="17" s="1"/>
  <c r="BN491" i="17" s="1"/>
  <c r="N492" i="7"/>
  <c r="W492" i="7" s="1"/>
  <c r="BL492" i="17"/>
  <c r="BM492" i="17" s="1"/>
  <c r="BN492" i="17" s="1"/>
  <c r="BF493" i="17"/>
  <c r="BG493" i="17" s="1"/>
  <c r="BH493" i="17" s="1"/>
  <c r="BF494" i="17"/>
  <c r="BG494" i="17" s="1"/>
  <c r="BH494" i="17" s="1"/>
  <c r="M495" i="7"/>
  <c r="V495" i="7" s="1"/>
  <c r="BF495" i="17"/>
  <c r="BG495" i="17" s="1"/>
  <c r="BH495" i="17" s="1"/>
  <c r="K496" i="7"/>
  <c r="T496" i="7" s="1"/>
  <c r="AT496" i="17"/>
  <c r="AU496" i="17" s="1"/>
  <c r="AV496" i="17" s="1"/>
  <c r="S499" i="7"/>
  <c r="BX509" i="17"/>
  <c r="BY509" i="17" s="1"/>
  <c r="BZ509" i="17" s="1"/>
  <c r="BR510" i="17"/>
  <c r="BS510" i="17" s="1"/>
  <c r="BT510" i="17" s="1"/>
  <c r="BL511" i="17"/>
  <c r="BM511" i="17" s="1"/>
  <c r="BN511" i="17" s="1"/>
  <c r="O512" i="7"/>
  <c r="Z512" i="7" s="1"/>
  <c r="BR512" i="17"/>
  <c r="BS512" i="17" s="1"/>
  <c r="BT512" i="17" s="1"/>
  <c r="BL513" i="17"/>
  <c r="BM513" i="17" s="1"/>
  <c r="BN513" i="17" s="1"/>
  <c r="BF514" i="17"/>
  <c r="BG514" i="17" s="1"/>
  <c r="BH514" i="17" s="1"/>
  <c r="BF515" i="17"/>
  <c r="BG515" i="17" s="1"/>
  <c r="BH515" i="17" s="1"/>
  <c r="BX520" i="17"/>
  <c r="BY520" i="17" s="1"/>
  <c r="BZ520" i="17" s="1"/>
  <c r="BX521" i="17"/>
  <c r="BY521" i="17" s="1"/>
  <c r="BZ521" i="17" s="1"/>
  <c r="AZ522" i="17"/>
  <c r="BA522" i="17" s="1"/>
  <c r="BB522" i="17" s="1"/>
  <c r="L523" i="7"/>
  <c r="U523" i="7" s="1"/>
  <c r="AZ523" i="17"/>
  <c r="BA523" i="17" s="1"/>
  <c r="BB523" i="17" s="1"/>
  <c r="AT524" i="17"/>
  <c r="AU524" i="17" s="1"/>
  <c r="AV524" i="17" s="1"/>
  <c r="AZ525" i="17"/>
  <c r="BA525" i="17" s="1"/>
  <c r="BB525" i="17" s="1"/>
  <c r="M526" i="7"/>
  <c r="V526" i="7" s="1"/>
  <c r="BF526" i="17"/>
  <c r="BG526" i="17" s="1"/>
  <c r="BH526" i="17" s="1"/>
  <c r="CD526" i="17" s="1"/>
  <c r="AZ527" i="17"/>
  <c r="BA527" i="17" s="1"/>
  <c r="BB527" i="17" s="1"/>
  <c r="M528" i="7"/>
  <c r="V528" i="7" s="1"/>
  <c r="BF528" i="17"/>
  <c r="BG528" i="17" s="1"/>
  <c r="BH528" i="17" s="1"/>
  <c r="BF529" i="17"/>
  <c r="BG529" i="17" s="1"/>
  <c r="BH529" i="17" s="1"/>
  <c r="L530" i="7"/>
  <c r="U530" i="7" s="1"/>
  <c r="AZ530" i="17"/>
  <c r="BA530" i="17" s="1"/>
  <c r="BB530" i="17" s="1"/>
  <c r="AZ531" i="17"/>
  <c r="BA531" i="17" s="1"/>
  <c r="BB531" i="17" s="1"/>
  <c r="L532" i="7"/>
  <c r="U532" i="7" s="1"/>
  <c r="AZ532" i="17"/>
  <c r="BA532" i="17" s="1"/>
  <c r="BB532" i="17" s="1"/>
  <c r="K533" i="7"/>
  <c r="T533" i="7" s="1"/>
  <c r="AT533" i="17"/>
  <c r="AU533" i="17" s="1"/>
  <c r="AV533" i="17" s="1"/>
  <c r="AT534" i="17"/>
  <c r="AU534" i="17" s="1"/>
  <c r="AV534" i="17" s="1"/>
  <c r="BX551" i="17"/>
  <c r="BY551" i="17" s="1"/>
  <c r="BZ551" i="17" s="1"/>
  <c r="O552" i="7"/>
  <c r="Z552" i="7" s="1"/>
  <c r="BR552" i="17"/>
  <c r="BS552" i="17" s="1"/>
  <c r="BT552" i="17" s="1"/>
  <c r="BL553" i="17"/>
  <c r="BM553" i="17" s="1"/>
  <c r="BN553" i="17" s="1"/>
  <c r="L554" i="7"/>
  <c r="U554" i="7" s="1"/>
  <c r="AZ554" i="17"/>
  <c r="BA554" i="17" s="1"/>
  <c r="BB554" i="17" s="1"/>
  <c r="AT555" i="17"/>
  <c r="AU555" i="17" s="1"/>
  <c r="AV555" i="17" s="1"/>
  <c r="S560" i="7"/>
  <c r="P563" i="7"/>
  <c r="AA563" i="7" s="1"/>
  <c r="BX563" i="17"/>
  <c r="BY563" i="17" s="1"/>
  <c r="BZ563" i="17" s="1"/>
  <c r="O565" i="7"/>
  <c r="Z565" i="7" s="1"/>
  <c r="BR565" i="17"/>
  <c r="BS565" i="17" s="1"/>
  <c r="BT565" i="17" s="1"/>
  <c r="BX566" i="17"/>
  <c r="BY566" i="17" s="1"/>
  <c r="BZ566" i="17" s="1"/>
  <c r="N567" i="7"/>
  <c r="W567" i="7" s="1"/>
  <c r="BL567" i="17"/>
  <c r="BM567" i="17" s="1"/>
  <c r="BN567" i="17" s="1"/>
  <c r="BF568" i="17"/>
  <c r="BG568" i="17" s="1"/>
  <c r="BH568" i="17" s="1"/>
  <c r="AT569" i="17"/>
  <c r="AU569" i="17" s="1"/>
  <c r="AV569" i="17" s="1"/>
  <c r="P577" i="7"/>
  <c r="AA577" i="7" s="1"/>
  <c r="BX577" i="17"/>
  <c r="BY577" i="17" s="1"/>
  <c r="BZ577" i="17" s="1"/>
  <c r="BR578" i="17"/>
  <c r="BS578" i="17" s="1"/>
  <c r="BT578" i="17" s="1"/>
  <c r="O579" i="7"/>
  <c r="Z579" i="7" s="1"/>
  <c r="BR579" i="17"/>
  <c r="BS579" i="17" s="1"/>
  <c r="BT579" i="17" s="1"/>
  <c r="BL580" i="17"/>
  <c r="BM580" i="17" s="1"/>
  <c r="BN580" i="17" s="1"/>
  <c r="BL581" i="17"/>
  <c r="BM581" i="17" s="1"/>
  <c r="BN581" i="17" s="1"/>
  <c r="M582" i="7"/>
  <c r="V582" i="7" s="1"/>
  <c r="BF582" i="17"/>
  <c r="BG582" i="17" s="1"/>
  <c r="BH582" i="17" s="1"/>
  <c r="BF583" i="17"/>
  <c r="BG583" i="17" s="1"/>
  <c r="BH583" i="17" s="1"/>
  <c r="BF584" i="17"/>
  <c r="BG584" i="17" s="1"/>
  <c r="BH584" i="17" s="1"/>
  <c r="M585" i="7"/>
  <c r="V585" i="7" s="1"/>
  <c r="BF585" i="17"/>
  <c r="BG585" i="17" s="1"/>
  <c r="BH585" i="17" s="1"/>
  <c r="AZ586" i="17"/>
  <c r="BA586" i="17" s="1"/>
  <c r="BB586" i="17" s="1"/>
  <c r="K587" i="7"/>
  <c r="T587" i="7" s="1"/>
  <c r="AT587" i="17"/>
  <c r="AU587" i="17" s="1"/>
  <c r="AV587" i="17" s="1"/>
  <c r="R595" i="7"/>
  <c r="R597" i="7"/>
  <c r="BX598" i="17"/>
  <c r="BY598" i="17" s="1"/>
  <c r="BZ598" i="17" s="1"/>
  <c r="BL599" i="17"/>
  <c r="BM599" i="17" s="1"/>
  <c r="BN599" i="17" s="1"/>
  <c r="BF600" i="17"/>
  <c r="BG600" i="17" s="1"/>
  <c r="BH600" i="17" s="1"/>
  <c r="AZ601" i="17"/>
  <c r="BA601" i="17" s="1"/>
  <c r="BB601" i="17" s="1"/>
  <c r="M603" i="7"/>
  <c r="V603" i="7" s="1"/>
  <c r="BF602" i="17"/>
  <c r="BG602" i="17" s="1"/>
  <c r="BH602" i="17" s="1"/>
  <c r="BL603" i="17"/>
  <c r="BM603" i="17" s="1"/>
  <c r="BN603" i="17" s="1"/>
  <c r="BF604" i="17"/>
  <c r="BG604" i="17" s="1"/>
  <c r="BH604" i="17" s="1"/>
  <c r="BF605" i="17"/>
  <c r="BG605" i="17" s="1"/>
  <c r="BH605" i="17" s="1"/>
  <c r="AT606" i="17"/>
  <c r="AU606" i="17" s="1"/>
  <c r="AV606" i="17" s="1"/>
  <c r="AT607" i="17"/>
  <c r="AU607" i="17" s="1"/>
  <c r="AV607" i="17" s="1"/>
  <c r="R612" i="7"/>
  <c r="Y612" i="7" s="1"/>
  <c r="BX613" i="17"/>
  <c r="BY613" i="17" s="1"/>
  <c r="BZ613" i="17" s="1"/>
  <c r="N614" i="7"/>
  <c r="W614" i="7" s="1"/>
  <c r="BL614" i="17"/>
  <c r="BM614" i="17" s="1"/>
  <c r="BN614" i="17" s="1"/>
  <c r="BF615" i="17"/>
  <c r="BG615" i="17" s="1"/>
  <c r="BH615" i="17" s="1"/>
  <c r="AZ616" i="17"/>
  <c r="BA616" i="17" s="1"/>
  <c r="BB616" i="17" s="1"/>
  <c r="AZ617" i="17"/>
  <c r="BA617" i="17" s="1"/>
  <c r="BB617" i="17" s="1"/>
  <c r="Q623" i="7"/>
  <c r="X623" i="7" s="1"/>
  <c r="BX623" i="17"/>
  <c r="BY623" i="17" s="1"/>
  <c r="BZ623" i="17" s="1"/>
  <c r="BR624" i="17"/>
  <c r="BS624" i="17" s="1"/>
  <c r="BT624" i="17" s="1"/>
  <c r="O625" i="7"/>
  <c r="Z625" i="7" s="1"/>
  <c r="BR625" i="17"/>
  <c r="BS625" i="17" s="1"/>
  <c r="BT625" i="17" s="1"/>
  <c r="BX626" i="17"/>
  <c r="BY626" i="17" s="1"/>
  <c r="BZ626" i="17" s="1"/>
  <c r="L627" i="7"/>
  <c r="U627" i="7" s="1"/>
  <c r="AZ627" i="17"/>
  <c r="BA627" i="17" s="1"/>
  <c r="BB627" i="17" s="1"/>
  <c r="R630" i="7"/>
  <c r="P632" i="7"/>
  <c r="AA632" i="7" s="1"/>
  <c r="BX632" i="17"/>
  <c r="BY632" i="17" s="1"/>
  <c r="BZ632" i="17" s="1"/>
  <c r="P633" i="7"/>
  <c r="AA633" i="7" s="1"/>
  <c r="BX633" i="17"/>
  <c r="BY633" i="17" s="1"/>
  <c r="BZ633" i="17" s="1"/>
  <c r="N634" i="7"/>
  <c r="W634" i="7" s="1"/>
  <c r="BL634" i="17"/>
  <c r="BM634" i="17" s="1"/>
  <c r="BN634" i="17" s="1"/>
  <c r="BL635" i="17"/>
  <c r="BM635" i="17" s="1"/>
  <c r="BN635" i="17" s="1"/>
  <c r="L636" i="7"/>
  <c r="U636" i="7" s="1"/>
  <c r="AZ636" i="17"/>
  <c r="BA636" i="17" s="1"/>
  <c r="BB636" i="17" s="1"/>
  <c r="AT637" i="17"/>
  <c r="AU637" i="17" s="1"/>
  <c r="AV637" i="17" s="1"/>
  <c r="P640" i="7"/>
  <c r="AA640" i="7" s="1"/>
  <c r="BR644" i="17"/>
  <c r="BS644" i="17" s="1"/>
  <c r="BT644" i="17" s="1"/>
  <c r="O646" i="7"/>
  <c r="Z646" i="7" s="1"/>
  <c r="BR645" i="17"/>
  <c r="BS645" i="17" s="1"/>
  <c r="BT645" i="17" s="1"/>
  <c r="M646" i="7"/>
  <c r="V646" i="7" s="1"/>
  <c r="BF646" i="17"/>
  <c r="BG646" i="17" s="1"/>
  <c r="BH646" i="17" s="1"/>
  <c r="BF647" i="17"/>
  <c r="BG647" i="17" s="1"/>
  <c r="BH647" i="17" s="1"/>
  <c r="K648" i="7"/>
  <c r="T648" i="7" s="1"/>
  <c r="AT648" i="17"/>
  <c r="AU648" i="17" s="1"/>
  <c r="AV648" i="17" s="1"/>
  <c r="P650" i="7"/>
  <c r="AA650" i="7" s="1"/>
  <c r="R653" i="7"/>
  <c r="P655" i="7"/>
  <c r="AA655" i="7" s="1"/>
  <c r="BX654" i="17"/>
  <c r="BY654" i="17" s="1"/>
  <c r="BZ654" i="17" s="1"/>
  <c r="BR655" i="17"/>
  <c r="BS655" i="17" s="1"/>
  <c r="BT655" i="17" s="1"/>
  <c r="BL656" i="17"/>
  <c r="BM656" i="17" s="1"/>
  <c r="BN656" i="17" s="1"/>
  <c r="BF657" i="17"/>
  <c r="BG657" i="17" s="1"/>
  <c r="BH657" i="17" s="1"/>
  <c r="L658" i="7"/>
  <c r="U658" i="7" s="1"/>
  <c r="AZ658" i="17"/>
  <c r="BA658" i="17" s="1"/>
  <c r="BB658" i="17" s="1"/>
  <c r="L659" i="7"/>
  <c r="U659" i="7" s="1"/>
  <c r="AZ659" i="17"/>
  <c r="BA659" i="17" s="1"/>
  <c r="BB659" i="17" s="1"/>
  <c r="K660" i="7"/>
  <c r="T660" i="7" s="1"/>
  <c r="AT660" i="17"/>
  <c r="AU660" i="17" s="1"/>
  <c r="AV660" i="17" s="1"/>
  <c r="AK911" i="7"/>
  <c r="AJ911" i="7"/>
  <c r="AT661" i="17"/>
  <c r="AU661" i="17" s="1"/>
  <c r="AV661" i="17" s="1"/>
  <c r="AZ662" i="17"/>
  <c r="BA662" i="17" s="1"/>
  <c r="BB662" i="17" s="1"/>
  <c r="M664" i="7"/>
  <c r="V664" i="7" s="1"/>
  <c r="BF663" i="17"/>
  <c r="BG663" i="17" s="1"/>
  <c r="BH663" i="17" s="1"/>
  <c r="BL664" i="17"/>
  <c r="BM664" i="17" s="1"/>
  <c r="BN664" i="17" s="1"/>
  <c r="N665" i="7"/>
  <c r="W665" i="7" s="1"/>
  <c r="BL665" i="17"/>
  <c r="BM665" i="17" s="1"/>
  <c r="BN665" i="17" s="1"/>
  <c r="BR666" i="17"/>
  <c r="BS666" i="17" s="1"/>
  <c r="BT666" i="17" s="1"/>
  <c r="BX667" i="17"/>
  <c r="BY667" i="17" s="1"/>
  <c r="BZ667" i="17" s="1"/>
  <c r="BR668" i="17"/>
  <c r="BS668" i="17" s="1"/>
  <c r="BT668" i="17" s="1"/>
  <c r="N669" i="7"/>
  <c r="W669" i="7" s="1"/>
  <c r="BL669" i="17"/>
  <c r="BM669" i="17" s="1"/>
  <c r="BN669" i="17" s="1"/>
  <c r="BR670" i="17"/>
  <c r="BS670" i="17" s="1"/>
  <c r="BT670" i="17" s="1"/>
  <c r="AZ671" i="17"/>
  <c r="BA671" i="17" s="1"/>
  <c r="BB671" i="17" s="1"/>
  <c r="BF672" i="17"/>
  <c r="BG672" i="17" s="1"/>
  <c r="BH672" i="17" s="1"/>
  <c r="K674" i="7"/>
  <c r="T674" i="7" s="1"/>
  <c r="AT673" i="17"/>
  <c r="AU673" i="17" s="1"/>
  <c r="AV673" i="17" s="1"/>
  <c r="K675" i="7"/>
  <c r="T675" i="7" s="1"/>
  <c r="AT674" i="17"/>
  <c r="AU674" i="17" s="1"/>
  <c r="AV674" i="17" s="1"/>
  <c r="AT675" i="17"/>
  <c r="AU675" i="17" s="1"/>
  <c r="AV675" i="17" s="1"/>
  <c r="S677" i="7"/>
  <c r="O684" i="7"/>
  <c r="Z684" i="7" s="1"/>
  <c r="BR684" i="17"/>
  <c r="BS684" i="17" s="1"/>
  <c r="BT684" i="17" s="1"/>
  <c r="BL685" i="17"/>
  <c r="BM685" i="17" s="1"/>
  <c r="BN685" i="17" s="1"/>
  <c r="AZ686" i="17"/>
  <c r="BA686" i="17" s="1"/>
  <c r="BB686" i="17" s="1"/>
  <c r="BF687" i="17"/>
  <c r="BG687" i="17" s="1"/>
  <c r="BH687" i="17" s="1"/>
  <c r="BL688" i="17"/>
  <c r="BM688" i="17" s="1"/>
  <c r="BN688" i="17" s="1"/>
  <c r="N689" i="7"/>
  <c r="W689" i="7" s="1"/>
  <c r="BL689" i="17"/>
  <c r="BM689" i="17" s="1"/>
  <c r="BN689" i="17" s="1"/>
  <c r="BL690" i="17"/>
  <c r="BM690" i="17" s="1"/>
  <c r="BN690" i="17" s="1"/>
  <c r="BR691" i="17"/>
  <c r="BS691" i="17" s="1"/>
  <c r="BT691" i="17" s="1"/>
  <c r="BL692" i="17"/>
  <c r="BM692" i="17" s="1"/>
  <c r="BN692" i="17" s="1"/>
  <c r="AZ693" i="17"/>
  <c r="BA693" i="17" s="1"/>
  <c r="BB693" i="17" s="1"/>
  <c r="M694" i="7"/>
  <c r="V694" i="7" s="1"/>
  <c r="BF694" i="17"/>
  <c r="BG694" i="17" s="1"/>
  <c r="BH694" i="17" s="1"/>
  <c r="N696" i="7"/>
  <c r="W696" i="7" s="1"/>
  <c r="BL695" i="17"/>
  <c r="BM695" i="17" s="1"/>
  <c r="BN695" i="17" s="1"/>
  <c r="BF696" i="17"/>
  <c r="BG696" i="17" s="1"/>
  <c r="BH696" i="17" s="1"/>
  <c r="N697" i="7"/>
  <c r="W697" i="7" s="1"/>
  <c r="BL697" i="17"/>
  <c r="BM697" i="17" s="1"/>
  <c r="BN697" i="17" s="1"/>
  <c r="BL698" i="17"/>
  <c r="BM698" i="17" s="1"/>
  <c r="BN698" i="17" s="1"/>
  <c r="N698" i="7"/>
  <c r="W698" i="7" s="1"/>
  <c r="BR699" i="17"/>
  <c r="BS699" i="17" s="1"/>
  <c r="BT699" i="17" s="1"/>
  <c r="BX700" i="17"/>
  <c r="BY700" i="17" s="1"/>
  <c r="BZ700" i="17" s="1"/>
  <c r="Q701" i="7"/>
  <c r="X701" i="7" s="1"/>
  <c r="R703" i="7"/>
  <c r="L714" i="7"/>
  <c r="U714" i="7" s="1"/>
  <c r="R718" i="7"/>
  <c r="S729" i="7"/>
  <c r="Y729" i="7" s="1"/>
  <c r="BF743" i="17"/>
  <c r="BG743" i="17" s="1"/>
  <c r="BH743" i="17" s="1"/>
  <c r="BL744" i="17"/>
  <c r="BM744" i="17" s="1"/>
  <c r="BN744" i="17" s="1"/>
  <c r="BL745" i="17"/>
  <c r="BM745" i="17" s="1"/>
  <c r="BN745" i="17" s="1"/>
  <c r="O746" i="7"/>
  <c r="Z746" i="7" s="1"/>
  <c r="BR746" i="17"/>
  <c r="BS746" i="17" s="1"/>
  <c r="BT746" i="17" s="1"/>
  <c r="BR747" i="17"/>
  <c r="BS747" i="17" s="1"/>
  <c r="BT747" i="17" s="1"/>
  <c r="P749" i="7"/>
  <c r="AA749" i="7" s="1"/>
  <c r="BX748" i="17"/>
  <c r="BY748" i="17" s="1"/>
  <c r="BZ748" i="17" s="1"/>
  <c r="L763" i="7"/>
  <c r="U763" i="7" s="1"/>
  <c r="AZ763" i="17"/>
  <c r="BA763" i="17" s="1"/>
  <c r="BB763" i="17" s="1"/>
  <c r="M764" i="7"/>
  <c r="V764" i="7" s="1"/>
  <c r="BF764" i="17"/>
  <c r="BG764" i="17" s="1"/>
  <c r="BH764" i="17" s="1"/>
  <c r="N766" i="7"/>
  <c r="W766" i="7" s="1"/>
  <c r="BL765" i="17"/>
  <c r="BM765" i="17" s="1"/>
  <c r="BN765" i="17" s="1"/>
  <c r="N765" i="7"/>
  <c r="W765" i="7" s="1"/>
  <c r="BR766" i="17"/>
  <c r="BS766" i="17" s="1"/>
  <c r="BT766" i="17" s="1"/>
  <c r="P767" i="7"/>
  <c r="AA767" i="7" s="1"/>
  <c r="BX767" i="17"/>
  <c r="BY767" i="17" s="1"/>
  <c r="BZ767" i="17" s="1"/>
  <c r="M777" i="7"/>
  <c r="V777" i="7" s="1"/>
  <c r="BF777" i="17"/>
  <c r="BG777" i="17" s="1"/>
  <c r="BH777" i="17" s="1"/>
  <c r="N778" i="7"/>
  <c r="W778" i="7" s="1"/>
  <c r="BL778" i="17"/>
  <c r="BM778" i="17" s="1"/>
  <c r="BN778" i="17" s="1"/>
  <c r="BR781" i="17"/>
  <c r="BS781" i="17" s="1"/>
  <c r="BT781" i="17" s="1"/>
  <c r="BF802" i="17"/>
  <c r="BG802" i="17" s="1"/>
  <c r="BH802" i="17" s="1"/>
  <c r="N803" i="7"/>
  <c r="W803" i="7" s="1"/>
  <c r="BL803" i="17"/>
  <c r="BM803" i="17" s="1"/>
  <c r="BN803" i="17" s="1"/>
  <c r="BR832" i="17"/>
  <c r="BS832" i="17" s="1"/>
  <c r="BT832" i="17" s="1"/>
  <c r="N843" i="7"/>
  <c r="W843" i="7" s="1"/>
  <c r="BL843" i="17"/>
  <c r="BM843" i="17" s="1"/>
  <c r="BN843" i="17" s="1"/>
  <c r="BR844" i="17"/>
  <c r="BS844" i="17" s="1"/>
  <c r="BT844" i="17" s="1"/>
  <c r="P903" i="7"/>
  <c r="AA903" i="7" s="1"/>
  <c r="BX903" i="17"/>
  <c r="BY903" i="17" s="1"/>
  <c r="BZ903" i="17" s="1"/>
  <c r="P905" i="7"/>
  <c r="AA905" i="7" s="1"/>
  <c r="BX904" i="17"/>
  <c r="BY904" i="17" s="1"/>
  <c r="BZ904" i="17" s="1"/>
  <c r="BX905" i="17"/>
  <c r="BY905" i="17" s="1"/>
  <c r="BZ905" i="17" s="1"/>
  <c r="P906" i="7"/>
  <c r="AA906" i="7" s="1"/>
  <c r="BX906" i="17"/>
  <c r="BY906" i="17" s="1"/>
  <c r="BZ906" i="17" s="1"/>
  <c r="O907" i="7"/>
  <c r="Z907" i="7" s="1"/>
  <c r="BR907" i="17"/>
  <c r="BS907" i="17" s="1"/>
  <c r="BT907" i="17" s="1"/>
  <c r="BX908" i="17"/>
  <c r="BY908" i="17" s="1"/>
  <c r="BZ908" i="17" s="1"/>
  <c r="BL468" i="17"/>
  <c r="BM468" i="17" s="1"/>
  <c r="BN468" i="17" s="1"/>
  <c r="M469" i="7"/>
  <c r="V469" i="7" s="1"/>
  <c r="BF469" i="17"/>
  <c r="BG469" i="17" s="1"/>
  <c r="BH469" i="17" s="1"/>
  <c r="AZ470" i="17"/>
  <c r="BA470" i="17" s="1"/>
  <c r="BB470" i="17" s="1"/>
  <c r="AT471" i="17"/>
  <c r="AU471" i="17" s="1"/>
  <c r="AV471" i="17" s="1"/>
  <c r="AT473" i="17"/>
  <c r="AU473" i="17" s="1"/>
  <c r="AV473" i="17" s="1"/>
  <c r="BX478" i="17"/>
  <c r="BY478" i="17" s="1"/>
  <c r="BZ478" i="17" s="1"/>
  <c r="CD478" i="17" s="1"/>
  <c r="P479" i="7"/>
  <c r="AA479" i="7" s="1"/>
  <c r="BX479" i="17"/>
  <c r="BY479" i="17" s="1"/>
  <c r="BZ479" i="17" s="1"/>
  <c r="BX480" i="17"/>
  <c r="BY480" i="17" s="1"/>
  <c r="BZ480" i="17" s="1"/>
  <c r="BL481" i="17"/>
  <c r="BM481" i="17" s="1"/>
  <c r="BN481" i="17" s="1"/>
  <c r="L483" i="7"/>
  <c r="U483" i="7" s="1"/>
  <c r="AZ482" i="17"/>
  <c r="BA482" i="17" s="1"/>
  <c r="BB482" i="17" s="1"/>
  <c r="AZ483" i="17"/>
  <c r="BA483" i="17" s="1"/>
  <c r="BB483" i="17" s="1"/>
  <c r="S485" i="7"/>
  <c r="S487" i="7"/>
  <c r="Q488" i="7"/>
  <c r="X488" i="7" s="1"/>
  <c r="BR489" i="17"/>
  <c r="BS489" i="17" s="1"/>
  <c r="BT489" i="17" s="1"/>
  <c r="BR490" i="17"/>
  <c r="BS490" i="17" s="1"/>
  <c r="BT490" i="17" s="1"/>
  <c r="O491" i="7"/>
  <c r="Z491" i="7" s="1"/>
  <c r="BR491" i="17"/>
  <c r="BS491" i="17" s="1"/>
  <c r="BT491" i="17" s="1"/>
  <c r="BR492" i="17"/>
  <c r="BS492" i="17" s="1"/>
  <c r="BT492" i="17" s="1"/>
  <c r="N493" i="7"/>
  <c r="W493" i="7" s="1"/>
  <c r="BL493" i="17"/>
  <c r="BM493" i="17" s="1"/>
  <c r="BN493" i="17" s="1"/>
  <c r="N494" i="7"/>
  <c r="W494" i="7" s="1"/>
  <c r="BL494" i="17"/>
  <c r="BM494" i="17" s="1"/>
  <c r="BN494" i="17" s="1"/>
  <c r="BL495" i="17"/>
  <c r="BM495" i="17" s="1"/>
  <c r="BN495" i="17" s="1"/>
  <c r="L496" i="7"/>
  <c r="U496" i="7" s="1"/>
  <c r="AZ496" i="17"/>
  <c r="BA496" i="17" s="1"/>
  <c r="BB496" i="17" s="1"/>
  <c r="K499" i="7"/>
  <c r="T499" i="7" s="1"/>
  <c r="AT498" i="17"/>
  <c r="AU498" i="17" s="1"/>
  <c r="AV498" i="17" s="1"/>
  <c r="O503" i="7"/>
  <c r="Z503" i="7" s="1"/>
  <c r="O507" i="7"/>
  <c r="Z507" i="7" s="1"/>
  <c r="Q509" i="7"/>
  <c r="X509" i="7" s="1"/>
  <c r="BX510" i="17"/>
  <c r="BY510" i="17" s="1"/>
  <c r="BZ510" i="17" s="1"/>
  <c r="O511" i="7"/>
  <c r="Z511" i="7" s="1"/>
  <c r="BR511" i="17"/>
  <c r="BS511" i="17" s="1"/>
  <c r="BT511" i="17" s="1"/>
  <c r="BX512" i="17"/>
  <c r="BY512" i="17" s="1"/>
  <c r="BZ512" i="17" s="1"/>
  <c r="BR513" i="17"/>
  <c r="BS513" i="17" s="1"/>
  <c r="BT513" i="17" s="1"/>
  <c r="BL514" i="17"/>
  <c r="BM514" i="17" s="1"/>
  <c r="BN514" i="17" s="1"/>
  <c r="BL515" i="17"/>
  <c r="BM515" i="17" s="1"/>
  <c r="BN515" i="17" s="1"/>
  <c r="AT516" i="17"/>
  <c r="AU516" i="17" s="1"/>
  <c r="AV516" i="17" s="1"/>
  <c r="BF522" i="17"/>
  <c r="BG522" i="17" s="1"/>
  <c r="BH522" i="17" s="1"/>
  <c r="M523" i="7"/>
  <c r="V523" i="7" s="1"/>
  <c r="BF523" i="17"/>
  <c r="BG523" i="17" s="1"/>
  <c r="BH523" i="17" s="1"/>
  <c r="AZ524" i="17"/>
  <c r="BA524" i="17" s="1"/>
  <c r="BB524" i="17" s="1"/>
  <c r="BF525" i="17"/>
  <c r="BG525" i="17" s="1"/>
  <c r="BH525" i="17" s="1"/>
  <c r="BL526" i="17"/>
  <c r="BM526" i="17" s="1"/>
  <c r="BN526" i="17" s="1"/>
  <c r="M527" i="7"/>
  <c r="V527" i="7" s="1"/>
  <c r="BF527" i="17"/>
  <c r="BG527" i="17" s="1"/>
  <c r="BH527" i="17" s="1"/>
  <c r="N528" i="7"/>
  <c r="W528" i="7" s="1"/>
  <c r="BL528" i="17"/>
  <c r="BM528" i="17" s="1"/>
  <c r="BN528" i="17" s="1"/>
  <c r="BL529" i="17"/>
  <c r="BM529" i="17" s="1"/>
  <c r="BN529" i="17" s="1"/>
  <c r="M530" i="7"/>
  <c r="V530" i="7" s="1"/>
  <c r="BF530" i="17"/>
  <c r="BG530" i="17" s="1"/>
  <c r="BH530" i="17" s="1"/>
  <c r="M531" i="7"/>
  <c r="V531" i="7" s="1"/>
  <c r="BF531" i="17"/>
  <c r="BG531" i="17" s="1"/>
  <c r="BH531" i="17" s="1"/>
  <c r="BF532" i="17"/>
  <c r="BG532" i="17" s="1"/>
  <c r="BH532" i="17" s="1"/>
  <c r="AZ533" i="17"/>
  <c r="BA533" i="17" s="1"/>
  <c r="BB533" i="17" s="1"/>
  <c r="L534" i="7"/>
  <c r="U534" i="7" s="1"/>
  <c r="AZ534" i="17"/>
  <c r="BA534" i="17" s="1"/>
  <c r="BB534" i="17" s="1"/>
  <c r="AT541" i="17"/>
  <c r="AU541" i="17" s="1"/>
  <c r="AV541" i="17" s="1"/>
  <c r="AT544" i="17"/>
  <c r="AU544" i="17" s="1"/>
  <c r="AV544" i="17" s="1"/>
  <c r="AT545" i="17"/>
  <c r="AU545" i="17" s="1"/>
  <c r="AV545" i="17" s="1"/>
  <c r="P546" i="7"/>
  <c r="AA546" i="7" s="1"/>
  <c r="BX552" i="17"/>
  <c r="BY552" i="17" s="1"/>
  <c r="BZ552" i="17" s="1"/>
  <c r="O553" i="7"/>
  <c r="Z553" i="7" s="1"/>
  <c r="BR553" i="17"/>
  <c r="BS553" i="17" s="1"/>
  <c r="BT553" i="17" s="1"/>
  <c r="BF554" i="17"/>
  <c r="BG554" i="17" s="1"/>
  <c r="BH554" i="17" s="1"/>
  <c r="L555" i="7"/>
  <c r="U555" i="7" s="1"/>
  <c r="AZ555" i="17"/>
  <c r="BA555" i="17" s="1"/>
  <c r="BB555" i="17" s="1"/>
  <c r="P558" i="7"/>
  <c r="AA558" i="7" s="1"/>
  <c r="S562" i="7"/>
  <c r="Y562" i="7" s="1"/>
  <c r="R564" i="7"/>
  <c r="P565" i="7"/>
  <c r="AA565" i="7" s="1"/>
  <c r="BX565" i="17"/>
  <c r="BY565" i="17" s="1"/>
  <c r="BZ565" i="17" s="1"/>
  <c r="O567" i="7"/>
  <c r="Z567" i="7" s="1"/>
  <c r="BR567" i="17"/>
  <c r="BS567" i="17" s="1"/>
  <c r="BT567" i="17" s="1"/>
  <c r="N568" i="7"/>
  <c r="W568" i="7" s="1"/>
  <c r="BL568" i="17"/>
  <c r="BM568" i="17" s="1"/>
  <c r="BN568" i="17" s="1"/>
  <c r="L569" i="7"/>
  <c r="U569" i="7" s="1"/>
  <c r="AZ569" i="17"/>
  <c r="BA569" i="17" s="1"/>
  <c r="BB569" i="17" s="1"/>
  <c r="K571" i="7"/>
  <c r="T571" i="7" s="1"/>
  <c r="AT570" i="17"/>
  <c r="AU570" i="17" s="1"/>
  <c r="AV570" i="17" s="1"/>
  <c r="P572" i="7"/>
  <c r="AA572" i="7" s="1"/>
  <c r="R576" i="7"/>
  <c r="BX578" i="17"/>
  <c r="BY578" i="17" s="1"/>
  <c r="BZ578" i="17" s="1"/>
  <c r="P579" i="7"/>
  <c r="AA579" i="7" s="1"/>
  <c r="BX579" i="17"/>
  <c r="BY579" i="17" s="1"/>
  <c r="BZ579" i="17" s="1"/>
  <c r="BR580" i="17"/>
  <c r="BS580" i="17" s="1"/>
  <c r="BT580" i="17" s="1"/>
  <c r="O581" i="7"/>
  <c r="Z581" i="7" s="1"/>
  <c r="BR581" i="17"/>
  <c r="BS581" i="17" s="1"/>
  <c r="BT581" i="17" s="1"/>
  <c r="BL582" i="17"/>
  <c r="BM582" i="17" s="1"/>
  <c r="BN582" i="17" s="1"/>
  <c r="BL583" i="17"/>
  <c r="BM583" i="17" s="1"/>
  <c r="BN583" i="17" s="1"/>
  <c r="N584" i="7"/>
  <c r="W584" i="7" s="1"/>
  <c r="BL584" i="17"/>
  <c r="BM584" i="17" s="1"/>
  <c r="BN584" i="17" s="1"/>
  <c r="N585" i="7"/>
  <c r="W585" i="7" s="1"/>
  <c r="BL585" i="17"/>
  <c r="BM585" i="17" s="1"/>
  <c r="BN585" i="17" s="1"/>
  <c r="BF586" i="17"/>
  <c r="BG586" i="17" s="1"/>
  <c r="BH586" i="17" s="1"/>
  <c r="AZ587" i="17"/>
  <c r="BA587" i="17" s="1"/>
  <c r="BB587" i="17" s="1"/>
  <c r="AT588" i="17"/>
  <c r="AU588" i="17" s="1"/>
  <c r="AV588" i="17" s="1"/>
  <c r="S596" i="7"/>
  <c r="BR599" i="17"/>
  <c r="BS599" i="17" s="1"/>
  <c r="BT599" i="17" s="1"/>
  <c r="BL600" i="17"/>
  <c r="BM600" i="17" s="1"/>
  <c r="BN600" i="17" s="1"/>
  <c r="M601" i="7"/>
  <c r="V601" i="7" s="1"/>
  <c r="BF601" i="17"/>
  <c r="BG601" i="17" s="1"/>
  <c r="BH601" i="17" s="1"/>
  <c r="N603" i="7"/>
  <c r="W603" i="7" s="1"/>
  <c r="BL602" i="17"/>
  <c r="BM602" i="17" s="1"/>
  <c r="BN602" i="17" s="1"/>
  <c r="BR603" i="17"/>
  <c r="BS603" i="17" s="1"/>
  <c r="BT603" i="17" s="1"/>
  <c r="N604" i="7"/>
  <c r="W604" i="7" s="1"/>
  <c r="BL604" i="17"/>
  <c r="BM604" i="17" s="1"/>
  <c r="BN604" i="17" s="1"/>
  <c r="N605" i="7"/>
  <c r="W605" i="7" s="1"/>
  <c r="BL605" i="17"/>
  <c r="BM605" i="17" s="1"/>
  <c r="BN605" i="17" s="1"/>
  <c r="AZ606" i="17"/>
  <c r="BA606" i="17" s="1"/>
  <c r="BB606" i="17" s="1"/>
  <c r="AZ607" i="17"/>
  <c r="BA607" i="17" s="1"/>
  <c r="BB607" i="17" s="1"/>
  <c r="AT608" i="17"/>
  <c r="AU608" i="17" s="1"/>
  <c r="AV608" i="17" s="1"/>
  <c r="AT609" i="17"/>
  <c r="AU609" i="17" s="1"/>
  <c r="AV609" i="17" s="1"/>
  <c r="AT610" i="17"/>
  <c r="AU610" i="17" s="1"/>
  <c r="AV610" i="17" s="1"/>
  <c r="BR614" i="17"/>
  <c r="BS614" i="17" s="1"/>
  <c r="BT614" i="17" s="1"/>
  <c r="N615" i="7"/>
  <c r="W615" i="7" s="1"/>
  <c r="BL615" i="17"/>
  <c r="BM615" i="17" s="1"/>
  <c r="BN615" i="17" s="1"/>
  <c r="BF616" i="17"/>
  <c r="BG616" i="17" s="1"/>
  <c r="BH616" i="17" s="1"/>
  <c r="BF617" i="17"/>
  <c r="BG617" i="17" s="1"/>
  <c r="BH617" i="17" s="1"/>
  <c r="AT618" i="17"/>
  <c r="AU618" i="17" s="1"/>
  <c r="AV618" i="17" s="1"/>
  <c r="P625" i="7"/>
  <c r="AA625" i="7" s="1"/>
  <c r="BX624" i="17"/>
  <c r="BY624" i="17" s="1"/>
  <c r="BZ624" i="17" s="1"/>
  <c r="BX625" i="17"/>
  <c r="BY625" i="17" s="1"/>
  <c r="BZ625" i="17" s="1"/>
  <c r="BF627" i="17"/>
  <c r="BG627" i="17" s="1"/>
  <c r="BH627" i="17" s="1"/>
  <c r="AT628" i="17"/>
  <c r="AU628" i="17" s="1"/>
  <c r="AV628" i="17" s="1"/>
  <c r="S631" i="7"/>
  <c r="O634" i="7"/>
  <c r="Z634" i="7" s="1"/>
  <c r="BR634" i="17"/>
  <c r="BS634" i="17" s="1"/>
  <c r="BT634" i="17" s="1"/>
  <c r="O635" i="7"/>
  <c r="Z635" i="7" s="1"/>
  <c r="BR635" i="17"/>
  <c r="BS635" i="17" s="1"/>
  <c r="BT635" i="17" s="1"/>
  <c r="BF636" i="17"/>
  <c r="BG636" i="17" s="1"/>
  <c r="BH636" i="17" s="1"/>
  <c r="L637" i="7"/>
  <c r="U637" i="7" s="1"/>
  <c r="AZ637" i="17"/>
  <c r="BA637" i="17" s="1"/>
  <c r="BB637" i="17" s="1"/>
  <c r="K638" i="7"/>
  <c r="T638" i="7" s="1"/>
  <c r="AT638" i="17"/>
  <c r="AU638" i="17" s="1"/>
  <c r="AV638" i="17" s="1"/>
  <c r="AT639" i="17"/>
  <c r="AU639" i="17" s="1"/>
  <c r="AV639" i="17" s="1"/>
  <c r="BX644" i="17"/>
  <c r="BY644" i="17" s="1"/>
  <c r="BZ644" i="17" s="1"/>
  <c r="BX645" i="17"/>
  <c r="BY645" i="17" s="1"/>
  <c r="BZ645" i="17" s="1"/>
  <c r="BL646" i="17"/>
  <c r="BM646" i="17" s="1"/>
  <c r="BN646" i="17" s="1"/>
  <c r="BL647" i="17"/>
  <c r="BM647" i="17" s="1"/>
  <c r="BN647" i="17" s="1"/>
  <c r="L648" i="7"/>
  <c r="U648" i="7" s="1"/>
  <c r="AZ648" i="17"/>
  <c r="BA648" i="17" s="1"/>
  <c r="BB648" i="17" s="1"/>
  <c r="AT649" i="17"/>
  <c r="AU649" i="17" s="1"/>
  <c r="AV649" i="17" s="1"/>
  <c r="S653" i="7"/>
  <c r="Y653" i="7" s="1"/>
  <c r="BX655" i="17"/>
  <c r="BY655" i="17" s="1"/>
  <c r="BZ655" i="17" s="1"/>
  <c r="O656" i="7"/>
  <c r="Z656" i="7" s="1"/>
  <c r="BR656" i="17"/>
  <c r="BS656" i="17" s="1"/>
  <c r="BT656" i="17" s="1"/>
  <c r="BL657" i="17"/>
  <c r="BM657" i="17" s="1"/>
  <c r="BN657" i="17" s="1"/>
  <c r="M658" i="7"/>
  <c r="V658" i="7" s="1"/>
  <c r="BF658" i="17"/>
  <c r="BG658" i="17" s="1"/>
  <c r="BH658" i="17" s="1"/>
  <c r="BF659" i="17"/>
  <c r="BG659" i="17" s="1"/>
  <c r="BH659" i="17" s="1"/>
  <c r="L660" i="7"/>
  <c r="U660" i="7" s="1"/>
  <c r="AZ660" i="17"/>
  <c r="BA660" i="17" s="1"/>
  <c r="BB660" i="17" s="1"/>
  <c r="AZ661" i="17"/>
  <c r="BA661" i="17" s="1"/>
  <c r="BB661" i="17" s="1"/>
  <c r="M662" i="7"/>
  <c r="V662" i="7" s="1"/>
  <c r="BF662" i="17"/>
  <c r="BG662" i="17" s="1"/>
  <c r="BH662" i="17" s="1"/>
  <c r="N663" i="7"/>
  <c r="W663" i="7" s="1"/>
  <c r="BL663" i="17"/>
  <c r="BM663" i="17" s="1"/>
  <c r="BN663" i="17" s="1"/>
  <c r="BR664" i="17"/>
  <c r="BS664" i="17" s="1"/>
  <c r="BT664" i="17" s="1"/>
  <c r="BR665" i="17"/>
  <c r="BS665" i="17" s="1"/>
  <c r="BT665" i="17" s="1"/>
  <c r="BX666" i="17"/>
  <c r="BY666" i="17" s="1"/>
  <c r="BZ666" i="17" s="1"/>
  <c r="Q667" i="7"/>
  <c r="X667" i="7" s="1"/>
  <c r="BX668" i="17"/>
  <c r="BY668" i="17" s="1"/>
  <c r="BZ668" i="17" s="1"/>
  <c r="O669" i="7"/>
  <c r="Z669" i="7" s="1"/>
  <c r="BR669" i="17"/>
  <c r="BS669" i="17" s="1"/>
  <c r="BT669" i="17" s="1"/>
  <c r="BX670" i="17"/>
  <c r="BY670" i="17" s="1"/>
  <c r="BZ670" i="17" s="1"/>
  <c r="M671" i="7"/>
  <c r="V671" i="7" s="1"/>
  <c r="BF671" i="17"/>
  <c r="BG671" i="17" s="1"/>
  <c r="BH671" i="17" s="1"/>
  <c r="BL672" i="17"/>
  <c r="BM672" i="17" s="1"/>
  <c r="BN672" i="17" s="1"/>
  <c r="AZ673" i="17"/>
  <c r="BA673" i="17" s="1"/>
  <c r="BB673" i="17" s="1"/>
  <c r="AZ674" i="17"/>
  <c r="BA674" i="17" s="1"/>
  <c r="BB674" i="17" s="1"/>
  <c r="L675" i="7"/>
  <c r="U675" i="7" s="1"/>
  <c r="AZ675" i="17"/>
  <c r="BA675" i="17" s="1"/>
  <c r="BB675" i="17" s="1"/>
  <c r="K676" i="7"/>
  <c r="T676" i="7" s="1"/>
  <c r="AT676" i="17"/>
  <c r="AU676" i="17" s="1"/>
  <c r="AV676" i="17" s="1"/>
  <c r="L682" i="7"/>
  <c r="U682" i="7" s="1"/>
  <c r="P684" i="7"/>
  <c r="AA684" i="7" s="1"/>
  <c r="BX684" i="17"/>
  <c r="BY684" i="17" s="1"/>
  <c r="BZ684" i="17" s="1"/>
  <c r="BR685" i="17"/>
  <c r="BS685" i="17" s="1"/>
  <c r="BT685" i="17" s="1"/>
  <c r="M686" i="7"/>
  <c r="V686" i="7" s="1"/>
  <c r="BF686" i="17"/>
  <c r="BG686" i="17" s="1"/>
  <c r="BH686" i="17" s="1"/>
  <c r="BL687" i="17"/>
  <c r="BM687" i="17" s="1"/>
  <c r="BN687" i="17" s="1"/>
  <c r="BR688" i="17"/>
  <c r="BS688" i="17" s="1"/>
  <c r="BT688" i="17" s="1"/>
  <c r="O689" i="7"/>
  <c r="Z689" i="7" s="1"/>
  <c r="BR689" i="17"/>
  <c r="BS689" i="17" s="1"/>
  <c r="BT689" i="17" s="1"/>
  <c r="O690" i="7"/>
  <c r="Z690" i="7" s="1"/>
  <c r="BR690" i="17"/>
  <c r="BS690" i="17" s="1"/>
  <c r="BT690" i="17" s="1"/>
  <c r="BX691" i="17"/>
  <c r="BY691" i="17" s="1"/>
  <c r="BZ691" i="17" s="1"/>
  <c r="BR692" i="17"/>
  <c r="BS692" i="17" s="1"/>
  <c r="BT692" i="17" s="1"/>
  <c r="M693" i="7"/>
  <c r="V693" i="7" s="1"/>
  <c r="BF693" i="17"/>
  <c r="BG693" i="17" s="1"/>
  <c r="BH693" i="17" s="1"/>
  <c r="N694" i="7"/>
  <c r="W694" i="7" s="1"/>
  <c r="BL694" i="17"/>
  <c r="BM694" i="17" s="1"/>
  <c r="BN694" i="17" s="1"/>
  <c r="BR695" i="17"/>
  <c r="BS695" i="17" s="1"/>
  <c r="BT695" i="17" s="1"/>
  <c r="O695" i="7"/>
  <c r="Z695" i="7" s="1"/>
  <c r="BL696" i="17"/>
  <c r="BM696" i="17" s="1"/>
  <c r="BN696" i="17" s="1"/>
  <c r="O697" i="7"/>
  <c r="Z697" i="7" s="1"/>
  <c r="BR697" i="17"/>
  <c r="BS697" i="17" s="1"/>
  <c r="BT697" i="17" s="1"/>
  <c r="BR698" i="17"/>
  <c r="BS698" i="17" s="1"/>
  <c r="BT698" i="17" s="1"/>
  <c r="P699" i="7"/>
  <c r="AA699" i="7" s="1"/>
  <c r="BX699" i="17"/>
  <c r="BY699" i="17" s="1"/>
  <c r="BZ699" i="17" s="1"/>
  <c r="R701" i="7"/>
  <c r="S703" i="7"/>
  <c r="Y703" i="7" s="1"/>
  <c r="AT711" i="17"/>
  <c r="AU711" i="17" s="1"/>
  <c r="AV711" i="17" s="1"/>
  <c r="S717" i="7"/>
  <c r="R725" i="7"/>
  <c r="R726" i="7"/>
  <c r="O729" i="7"/>
  <c r="Z729" i="7" s="1"/>
  <c r="S732" i="7"/>
  <c r="Y732" i="7" s="1"/>
  <c r="BX733" i="17"/>
  <c r="BY733" i="17" s="1"/>
  <c r="BZ733" i="17" s="1"/>
  <c r="P735" i="7"/>
  <c r="AA735" i="7" s="1"/>
  <c r="BX735" i="17"/>
  <c r="BY735" i="17" s="1"/>
  <c r="BZ735" i="17" s="1"/>
  <c r="R737" i="7"/>
  <c r="BX738" i="17"/>
  <c r="BY738" i="17" s="1"/>
  <c r="BZ738" i="17" s="1"/>
  <c r="BR739" i="17"/>
  <c r="BS739" i="17" s="1"/>
  <c r="BT739" i="17" s="1"/>
  <c r="BL740" i="17"/>
  <c r="BM740" i="17" s="1"/>
  <c r="BN740" i="17" s="1"/>
  <c r="O741" i="7"/>
  <c r="Z741" i="7" s="1"/>
  <c r="BR741" i="17"/>
  <c r="BS741" i="17" s="1"/>
  <c r="BT741" i="17" s="1"/>
  <c r="BL742" i="17"/>
  <c r="BM742" i="17" s="1"/>
  <c r="BN742" i="17" s="1"/>
  <c r="N743" i="7"/>
  <c r="W743" i="7" s="1"/>
  <c r="BL743" i="17"/>
  <c r="BM743" i="17" s="1"/>
  <c r="BN743" i="17" s="1"/>
  <c r="BR744" i="17"/>
  <c r="BS744" i="17" s="1"/>
  <c r="BT744" i="17" s="1"/>
  <c r="BR745" i="17"/>
  <c r="BS745" i="17" s="1"/>
  <c r="BT745" i="17" s="1"/>
  <c r="BX746" i="17"/>
  <c r="BY746" i="17" s="1"/>
  <c r="BZ746" i="17" s="1"/>
  <c r="BX747" i="17"/>
  <c r="BY747" i="17" s="1"/>
  <c r="BZ747" i="17" s="1"/>
  <c r="BF763" i="17"/>
  <c r="BG763" i="17" s="1"/>
  <c r="BH763" i="17" s="1"/>
  <c r="N764" i="7"/>
  <c r="W764" i="7" s="1"/>
  <c r="BL764" i="17"/>
  <c r="BM764" i="17" s="1"/>
  <c r="BN764" i="17" s="1"/>
  <c r="O766" i="7"/>
  <c r="Z766" i="7" s="1"/>
  <c r="BR765" i="17"/>
  <c r="BS765" i="17" s="1"/>
  <c r="BT765" i="17" s="1"/>
  <c r="O765" i="7"/>
  <c r="Z765" i="7" s="1"/>
  <c r="P766" i="7"/>
  <c r="AA766" i="7" s="1"/>
  <c r="BX766" i="17"/>
  <c r="BY766" i="17" s="1"/>
  <c r="BZ766" i="17" s="1"/>
  <c r="M776" i="7"/>
  <c r="V776" i="7" s="1"/>
  <c r="BF776" i="17"/>
  <c r="BG776" i="17" s="1"/>
  <c r="BH776" i="17" s="1"/>
  <c r="N777" i="7"/>
  <c r="W777" i="7" s="1"/>
  <c r="BL777" i="17"/>
  <c r="BM777" i="17" s="1"/>
  <c r="BN777" i="17" s="1"/>
  <c r="BR778" i="17"/>
  <c r="BS778" i="17" s="1"/>
  <c r="BT778" i="17" s="1"/>
  <c r="AZ800" i="17"/>
  <c r="BA800" i="17" s="1"/>
  <c r="BB800" i="17" s="1"/>
  <c r="M801" i="7"/>
  <c r="V801" i="7" s="1"/>
  <c r="BF801" i="17"/>
  <c r="BG801" i="17" s="1"/>
  <c r="BH801" i="17" s="1"/>
  <c r="O806" i="7"/>
  <c r="Z806" i="7" s="1"/>
  <c r="BR806" i="17"/>
  <c r="BS806" i="17" s="1"/>
  <c r="BT806" i="17" s="1"/>
  <c r="O807" i="7"/>
  <c r="Z807" i="7" s="1"/>
  <c r="BX807" i="17"/>
  <c r="BY807" i="17" s="1"/>
  <c r="BZ807" i="17" s="1"/>
  <c r="P807" i="7"/>
  <c r="AA807" i="7" s="1"/>
  <c r="S874" i="7"/>
  <c r="S875" i="7"/>
  <c r="Q479" i="7"/>
  <c r="X479" i="7" s="1"/>
  <c r="BR481" i="17"/>
  <c r="BS481" i="17" s="1"/>
  <c r="BT481" i="17" s="1"/>
  <c r="M482" i="7"/>
  <c r="V482" i="7" s="1"/>
  <c r="BF482" i="17"/>
  <c r="BG482" i="17" s="1"/>
  <c r="BH482" i="17" s="1"/>
  <c r="BF483" i="17"/>
  <c r="BG483" i="17" s="1"/>
  <c r="BH483" i="17" s="1"/>
  <c r="K484" i="7"/>
  <c r="T484" i="7" s="1"/>
  <c r="AT484" i="17"/>
  <c r="AU484" i="17" s="1"/>
  <c r="AV484" i="17" s="1"/>
  <c r="BX489" i="17"/>
  <c r="BY489" i="17" s="1"/>
  <c r="BZ489" i="17" s="1"/>
  <c r="BX490" i="17"/>
  <c r="BY490" i="17" s="1"/>
  <c r="BZ490" i="17" s="1"/>
  <c r="P491" i="7"/>
  <c r="AA491" i="7" s="1"/>
  <c r="BX491" i="17"/>
  <c r="BY491" i="17" s="1"/>
  <c r="BZ491" i="17" s="1"/>
  <c r="BX492" i="17"/>
  <c r="BY492" i="17" s="1"/>
  <c r="BZ492" i="17" s="1"/>
  <c r="BR493" i="17"/>
  <c r="BS493" i="17" s="1"/>
  <c r="BT493" i="17" s="1"/>
  <c r="O494" i="7"/>
  <c r="Z494" i="7" s="1"/>
  <c r="BR494" i="17"/>
  <c r="BS494" i="17" s="1"/>
  <c r="BT494" i="17" s="1"/>
  <c r="O495" i="7"/>
  <c r="Z495" i="7" s="1"/>
  <c r="BR495" i="17"/>
  <c r="BS495" i="17" s="1"/>
  <c r="BT495" i="17" s="1"/>
  <c r="BF496" i="17"/>
  <c r="BG496" i="17" s="1"/>
  <c r="BH496" i="17" s="1"/>
  <c r="AT497" i="17"/>
  <c r="AU497" i="17" s="1"/>
  <c r="AV497" i="17" s="1"/>
  <c r="L498" i="7"/>
  <c r="U498" i="7" s="1"/>
  <c r="AZ498" i="17"/>
  <c r="BA498" i="17" s="1"/>
  <c r="BB498" i="17" s="1"/>
  <c r="BX511" i="17"/>
  <c r="BY511" i="17" s="1"/>
  <c r="BZ511" i="17" s="1"/>
  <c r="BX513" i="17"/>
  <c r="BY513" i="17" s="1"/>
  <c r="BZ513" i="17" s="1"/>
  <c r="O514" i="7"/>
  <c r="Z514" i="7" s="1"/>
  <c r="BR514" i="17"/>
  <c r="BS514" i="17" s="1"/>
  <c r="BT514" i="17" s="1"/>
  <c r="BR515" i="17"/>
  <c r="BS515" i="17" s="1"/>
  <c r="BT515" i="17" s="1"/>
  <c r="AZ516" i="17"/>
  <c r="BA516" i="17" s="1"/>
  <c r="BB516" i="17" s="1"/>
  <c r="K517" i="7"/>
  <c r="T517" i="7" s="1"/>
  <c r="AT517" i="17"/>
  <c r="AU517" i="17" s="1"/>
  <c r="AV517" i="17" s="1"/>
  <c r="AT518" i="17"/>
  <c r="AU518" i="17" s="1"/>
  <c r="AV518" i="17" s="1"/>
  <c r="BL522" i="17"/>
  <c r="BM522" i="17" s="1"/>
  <c r="BN522" i="17" s="1"/>
  <c r="BL523" i="17"/>
  <c r="BM523" i="17" s="1"/>
  <c r="BN523" i="17" s="1"/>
  <c r="M525" i="7"/>
  <c r="V525" i="7" s="1"/>
  <c r="BF524" i="17"/>
  <c r="BG524" i="17" s="1"/>
  <c r="BH524" i="17" s="1"/>
  <c r="N525" i="7"/>
  <c r="W525" i="7" s="1"/>
  <c r="BL525" i="17"/>
  <c r="BM525" i="17" s="1"/>
  <c r="BN525" i="17" s="1"/>
  <c r="O526" i="7"/>
  <c r="Z526" i="7" s="1"/>
  <c r="BR526" i="17"/>
  <c r="BS526" i="17" s="1"/>
  <c r="BT526" i="17" s="1"/>
  <c r="N527" i="7"/>
  <c r="W527" i="7" s="1"/>
  <c r="BL527" i="17"/>
  <c r="BM527" i="17" s="1"/>
  <c r="BN527" i="17" s="1"/>
  <c r="O528" i="7"/>
  <c r="Z528" i="7" s="1"/>
  <c r="BR528" i="17"/>
  <c r="BS528" i="17" s="1"/>
  <c r="BT528" i="17" s="1"/>
  <c r="BR529" i="17"/>
  <c r="BS529" i="17" s="1"/>
  <c r="BT529" i="17" s="1"/>
  <c r="BL530" i="17"/>
  <c r="BM530" i="17" s="1"/>
  <c r="BN530" i="17" s="1"/>
  <c r="N531" i="7"/>
  <c r="W531" i="7" s="1"/>
  <c r="BL531" i="17"/>
  <c r="BM531" i="17" s="1"/>
  <c r="BN531" i="17" s="1"/>
  <c r="BL532" i="17"/>
  <c r="BM532" i="17" s="1"/>
  <c r="BN532" i="17" s="1"/>
  <c r="BF533" i="17"/>
  <c r="BG533" i="17" s="1"/>
  <c r="BH533" i="17" s="1"/>
  <c r="BF534" i="17"/>
  <c r="BG534" i="17" s="1"/>
  <c r="BH534" i="17" s="1"/>
  <c r="AT535" i="17"/>
  <c r="AU535" i="17" s="1"/>
  <c r="AV535" i="17" s="1"/>
  <c r="AT536" i="17"/>
  <c r="AU536" i="17" s="1"/>
  <c r="AV536" i="17" s="1"/>
  <c r="K537" i="7"/>
  <c r="T537" i="7" s="1"/>
  <c r="AT537" i="17"/>
  <c r="AU537" i="17" s="1"/>
  <c r="AV537" i="17" s="1"/>
  <c r="AT538" i="17"/>
  <c r="AU538" i="17" s="1"/>
  <c r="AV538" i="17" s="1"/>
  <c r="AT539" i="17"/>
  <c r="AU539" i="17" s="1"/>
  <c r="AV539" i="17" s="1"/>
  <c r="K540" i="7"/>
  <c r="T540" i="7" s="1"/>
  <c r="AT540" i="17"/>
  <c r="AU540" i="17" s="1"/>
  <c r="AV540" i="17" s="1"/>
  <c r="L542" i="7"/>
  <c r="U542" i="7" s="1"/>
  <c r="AZ541" i="17"/>
  <c r="BA541" i="17" s="1"/>
  <c r="BB541" i="17" s="1"/>
  <c r="AT542" i="17"/>
  <c r="AU542" i="17" s="1"/>
  <c r="AV542" i="17" s="1"/>
  <c r="K543" i="7"/>
  <c r="T543" i="7" s="1"/>
  <c r="AT543" i="17"/>
  <c r="AU543" i="17" s="1"/>
  <c r="AV543" i="17" s="1"/>
  <c r="L544" i="7"/>
  <c r="U544" i="7" s="1"/>
  <c r="AZ544" i="17"/>
  <c r="BA544" i="17" s="1"/>
  <c r="BB544" i="17" s="1"/>
  <c r="L545" i="7"/>
  <c r="U545" i="7" s="1"/>
  <c r="AZ545" i="17"/>
  <c r="BA545" i="17" s="1"/>
  <c r="BB545" i="17" s="1"/>
  <c r="BX553" i="17"/>
  <c r="BY553" i="17" s="1"/>
  <c r="BZ553" i="17" s="1"/>
  <c r="BL554" i="17"/>
  <c r="BM554" i="17" s="1"/>
  <c r="BN554" i="17" s="1"/>
  <c r="M555" i="7"/>
  <c r="V555" i="7" s="1"/>
  <c r="BF555" i="17"/>
  <c r="BG555" i="17" s="1"/>
  <c r="BH555" i="17" s="1"/>
  <c r="AT556" i="17"/>
  <c r="AU556" i="17" s="1"/>
  <c r="AV556" i="17" s="1"/>
  <c r="K557" i="7"/>
  <c r="T557" i="7" s="1"/>
  <c r="AT557" i="17"/>
  <c r="AU557" i="17" s="1"/>
  <c r="AV557" i="17" s="1"/>
  <c r="S564" i="7"/>
  <c r="Y564" i="7" s="1"/>
  <c r="P567" i="7"/>
  <c r="AA567" i="7" s="1"/>
  <c r="BX567" i="17"/>
  <c r="BY567" i="17" s="1"/>
  <c r="BZ567" i="17" s="1"/>
  <c r="BR568" i="17"/>
  <c r="BS568" i="17" s="1"/>
  <c r="BT568" i="17" s="1"/>
  <c r="M569" i="7"/>
  <c r="V569" i="7" s="1"/>
  <c r="BF569" i="17"/>
  <c r="BG569" i="17" s="1"/>
  <c r="BH569" i="17" s="1"/>
  <c r="AZ570" i="17"/>
  <c r="BA570" i="17" s="1"/>
  <c r="BB570" i="17" s="1"/>
  <c r="K573" i="7"/>
  <c r="T573" i="7" s="1"/>
  <c r="AT572" i="17"/>
  <c r="AU572" i="17" s="1"/>
  <c r="AV572" i="17" s="1"/>
  <c r="Y576" i="7"/>
  <c r="Q579" i="7"/>
  <c r="X579" i="7" s="1"/>
  <c r="BX580" i="17"/>
  <c r="BY580" i="17" s="1"/>
  <c r="BZ580" i="17" s="1"/>
  <c r="BX581" i="17"/>
  <c r="BY581" i="17" s="1"/>
  <c r="BZ581" i="17" s="1"/>
  <c r="BR582" i="17"/>
  <c r="BS582" i="17" s="1"/>
  <c r="BT582" i="17" s="1"/>
  <c r="O583" i="7"/>
  <c r="Z583" i="7" s="1"/>
  <c r="BR583" i="17"/>
  <c r="BS583" i="17" s="1"/>
  <c r="BT583" i="17" s="1"/>
  <c r="O584" i="7"/>
  <c r="Z584" i="7" s="1"/>
  <c r="BR584" i="17"/>
  <c r="BS584" i="17" s="1"/>
  <c r="BT584" i="17" s="1"/>
  <c r="O585" i="7"/>
  <c r="Z585" i="7" s="1"/>
  <c r="BR585" i="17"/>
  <c r="BS585" i="17" s="1"/>
  <c r="BT585" i="17" s="1"/>
  <c r="BL586" i="17"/>
  <c r="BM586" i="17" s="1"/>
  <c r="BN586" i="17" s="1"/>
  <c r="M587" i="7"/>
  <c r="V587" i="7" s="1"/>
  <c r="BF587" i="17"/>
  <c r="BG587" i="17" s="1"/>
  <c r="BH587" i="17" s="1"/>
  <c r="AZ588" i="17"/>
  <c r="BA588" i="17" s="1"/>
  <c r="BB588" i="17" s="1"/>
  <c r="K589" i="7"/>
  <c r="T589" i="7" s="1"/>
  <c r="AT589" i="17"/>
  <c r="AU589" i="17" s="1"/>
  <c r="AV589" i="17" s="1"/>
  <c r="AT590" i="17"/>
  <c r="AU590" i="17" s="1"/>
  <c r="AV590" i="17" s="1"/>
  <c r="K591" i="7"/>
  <c r="T591" i="7" s="1"/>
  <c r="AT591" i="17"/>
  <c r="AU591" i="17" s="1"/>
  <c r="AV591" i="17" s="1"/>
  <c r="P599" i="7"/>
  <c r="AA599" i="7" s="1"/>
  <c r="BX599" i="17"/>
  <c r="BY599" i="17" s="1"/>
  <c r="BZ599" i="17" s="1"/>
  <c r="BR600" i="17"/>
  <c r="BS600" i="17" s="1"/>
  <c r="BT600" i="17" s="1"/>
  <c r="BL601" i="17"/>
  <c r="BM601" i="17" s="1"/>
  <c r="BN601" i="17" s="1"/>
  <c r="O602" i="7"/>
  <c r="Z602" i="7" s="1"/>
  <c r="BR602" i="17"/>
  <c r="BS602" i="17" s="1"/>
  <c r="BT602" i="17" s="1"/>
  <c r="P603" i="7"/>
  <c r="AA603" i="7" s="1"/>
  <c r="BX603" i="17"/>
  <c r="BY603" i="17" s="1"/>
  <c r="BZ603" i="17" s="1"/>
  <c r="BR604" i="17"/>
  <c r="BS604" i="17" s="1"/>
  <c r="BT604" i="17" s="1"/>
  <c r="BR605" i="17"/>
  <c r="BS605" i="17" s="1"/>
  <c r="BT605" i="17" s="1"/>
  <c r="BF606" i="17"/>
  <c r="BG606" i="17" s="1"/>
  <c r="BH606" i="17" s="1"/>
  <c r="BF607" i="17"/>
  <c r="BG607" i="17" s="1"/>
  <c r="BH607" i="17" s="1"/>
  <c r="AZ608" i="17"/>
  <c r="BA608" i="17" s="1"/>
  <c r="BB608" i="17" s="1"/>
  <c r="AZ609" i="17"/>
  <c r="BA609" i="17" s="1"/>
  <c r="BB609" i="17" s="1"/>
  <c r="L611" i="7"/>
  <c r="U611" i="7" s="1"/>
  <c r="AZ610" i="17"/>
  <c r="BA610" i="17" s="1"/>
  <c r="BB610" i="17" s="1"/>
  <c r="BX614" i="17"/>
  <c r="BY614" i="17" s="1"/>
  <c r="BZ614" i="17" s="1"/>
  <c r="BR615" i="17"/>
  <c r="BS615" i="17" s="1"/>
  <c r="BT615" i="17" s="1"/>
  <c r="N616" i="7"/>
  <c r="W616" i="7" s="1"/>
  <c r="BL616" i="17"/>
  <c r="BM616" i="17" s="1"/>
  <c r="BN616" i="17" s="1"/>
  <c r="BL617" i="17"/>
  <c r="BM617" i="17" s="1"/>
  <c r="BN617" i="17" s="1"/>
  <c r="L618" i="7"/>
  <c r="U618" i="7" s="1"/>
  <c r="AZ618" i="17"/>
  <c r="BA618" i="17" s="1"/>
  <c r="BB618" i="17" s="1"/>
  <c r="AT619" i="17"/>
  <c r="AU619" i="17" s="1"/>
  <c r="AV619" i="17" s="1"/>
  <c r="BL627" i="17"/>
  <c r="BM627" i="17" s="1"/>
  <c r="BN627" i="17" s="1"/>
  <c r="L628" i="7"/>
  <c r="U628" i="7" s="1"/>
  <c r="AZ628" i="17"/>
  <c r="BA628" i="17" s="1"/>
  <c r="BB628" i="17" s="1"/>
  <c r="K629" i="7"/>
  <c r="T629" i="7" s="1"/>
  <c r="AT629" i="17"/>
  <c r="AU629" i="17" s="1"/>
  <c r="AV629" i="17" s="1"/>
  <c r="N630" i="7"/>
  <c r="W630" i="7" s="1"/>
  <c r="N631" i="7"/>
  <c r="W631" i="7" s="1"/>
  <c r="BX634" i="17"/>
  <c r="BY634" i="17" s="1"/>
  <c r="BZ634" i="17" s="1"/>
  <c r="BX635" i="17"/>
  <c r="BY635" i="17" s="1"/>
  <c r="BZ635" i="17" s="1"/>
  <c r="BL636" i="17"/>
  <c r="BM636" i="17" s="1"/>
  <c r="BN636" i="17" s="1"/>
  <c r="BF637" i="17"/>
  <c r="BG637" i="17" s="1"/>
  <c r="BH637" i="17" s="1"/>
  <c r="L638" i="7"/>
  <c r="U638" i="7" s="1"/>
  <c r="AZ638" i="17"/>
  <c r="BA638" i="17" s="1"/>
  <c r="BB638" i="17" s="1"/>
  <c r="L639" i="7"/>
  <c r="U639" i="7" s="1"/>
  <c r="AZ639" i="17"/>
  <c r="BA639" i="17" s="1"/>
  <c r="BB639" i="17" s="1"/>
  <c r="P641" i="7"/>
  <c r="AA641" i="7" s="1"/>
  <c r="P642" i="7"/>
  <c r="AA642" i="7" s="1"/>
  <c r="BR646" i="17"/>
  <c r="BS646" i="17" s="1"/>
  <c r="BT646" i="17" s="1"/>
  <c r="O648" i="7"/>
  <c r="Z648" i="7" s="1"/>
  <c r="BR647" i="17"/>
  <c r="BS647" i="17" s="1"/>
  <c r="BT647" i="17" s="1"/>
  <c r="M648" i="7"/>
  <c r="V648" i="7" s="1"/>
  <c r="BF648" i="17"/>
  <c r="BG648" i="17" s="1"/>
  <c r="BH648" i="17" s="1"/>
  <c r="L649" i="7"/>
  <c r="U649" i="7" s="1"/>
  <c r="AZ649" i="17"/>
  <c r="BA649" i="17" s="1"/>
  <c r="BB649" i="17" s="1"/>
  <c r="P651" i="7"/>
  <c r="AA651" i="7" s="1"/>
  <c r="P652" i="7"/>
  <c r="AA652" i="7" s="1"/>
  <c r="P657" i="7"/>
  <c r="AA657" i="7" s="1"/>
  <c r="BX656" i="17"/>
  <c r="BY656" i="17" s="1"/>
  <c r="BZ656" i="17" s="1"/>
  <c r="BR657" i="17"/>
  <c r="BS657" i="17" s="1"/>
  <c r="BT657" i="17" s="1"/>
  <c r="BL658" i="17"/>
  <c r="BM658" i="17" s="1"/>
  <c r="BN658" i="17" s="1"/>
  <c r="BL659" i="17"/>
  <c r="BM659" i="17" s="1"/>
  <c r="BN659" i="17" s="1"/>
  <c r="BF660" i="17"/>
  <c r="BG660" i="17" s="1"/>
  <c r="BH660" i="17" s="1"/>
  <c r="BF661" i="17"/>
  <c r="BG661" i="17" s="1"/>
  <c r="BH661" i="17" s="1"/>
  <c r="N662" i="7"/>
  <c r="W662" i="7" s="1"/>
  <c r="BL662" i="17"/>
  <c r="BM662" i="17" s="1"/>
  <c r="BN662" i="17" s="1"/>
  <c r="BR663" i="17"/>
  <c r="BS663" i="17" s="1"/>
  <c r="BT663" i="17" s="1"/>
  <c r="BX664" i="17"/>
  <c r="BY664" i="17" s="1"/>
  <c r="BZ664" i="17" s="1"/>
  <c r="P665" i="7"/>
  <c r="AA665" i="7" s="1"/>
  <c r="BX665" i="17"/>
  <c r="BY665" i="17" s="1"/>
  <c r="BZ665" i="17" s="1"/>
  <c r="BX669" i="17"/>
  <c r="BY669" i="17" s="1"/>
  <c r="BZ669" i="17" s="1"/>
  <c r="N671" i="7"/>
  <c r="W671" i="7" s="1"/>
  <c r="BL671" i="17"/>
  <c r="BM671" i="17" s="1"/>
  <c r="BN671" i="17" s="1"/>
  <c r="BR672" i="17"/>
  <c r="BS672" i="17" s="1"/>
  <c r="BT672" i="17" s="1"/>
  <c r="M673" i="7"/>
  <c r="V673" i="7" s="1"/>
  <c r="BF673" i="17"/>
  <c r="BG673" i="17" s="1"/>
  <c r="BH673" i="17" s="1"/>
  <c r="M674" i="7"/>
  <c r="V674" i="7" s="1"/>
  <c r="BF674" i="17"/>
  <c r="BG674" i="17" s="1"/>
  <c r="BH674" i="17" s="1"/>
  <c r="BF675" i="17"/>
  <c r="BG675" i="17" s="1"/>
  <c r="BH675" i="17" s="1"/>
  <c r="AZ676" i="17"/>
  <c r="BA676" i="17" s="1"/>
  <c r="BB676" i="17" s="1"/>
  <c r="AT677" i="17"/>
  <c r="AU677" i="17" s="1"/>
  <c r="AV677" i="17" s="1"/>
  <c r="BX685" i="17"/>
  <c r="BY685" i="17" s="1"/>
  <c r="BZ685" i="17" s="1"/>
  <c r="N686" i="7"/>
  <c r="W686" i="7" s="1"/>
  <c r="BL686" i="17"/>
  <c r="BM686" i="17" s="1"/>
  <c r="BN686" i="17" s="1"/>
  <c r="BR687" i="17"/>
  <c r="BS687" i="17" s="1"/>
  <c r="BT687" i="17" s="1"/>
  <c r="P688" i="7"/>
  <c r="AA688" i="7" s="1"/>
  <c r="BX688" i="17"/>
  <c r="BY688" i="17" s="1"/>
  <c r="BZ688" i="17" s="1"/>
  <c r="P689" i="7"/>
  <c r="AA689" i="7" s="1"/>
  <c r="BX689" i="17"/>
  <c r="BY689" i="17" s="1"/>
  <c r="BZ689" i="17" s="1"/>
  <c r="BX690" i="17"/>
  <c r="BY690" i="17" s="1"/>
  <c r="BZ690" i="17" s="1"/>
  <c r="Q691" i="7"/>
  <c r="X691" i="7" s="1"/>
  <c r="BX692" i="17"/>
  <c r="BY692" i="17" s="1"/>
  <c r="BZ692" i="17" s="1"/>
  <c r="CD692" i="17" s="1"/>
  <c r="N693" i="7"/>
  <c r="W693" i="7" s="1"/>
  <c r="BL693" i="17"/>
  <c r="BM693" i="17" s="1"/>
  <c r="BN693" i="17" s="1"/>
  <c r="BR694" i="17"/>
  <c r="BS694" i="17" s="1"/>
  <c r="BT694" i="17" s="1"/>
  <c r="P695" i="7"/>
  <c r="AA695" i="7" s="1"/>
  <c r="BX695" i="17"/>
  <c r="BY695" i="17" s="1"/>
  <c r="BZ695" i="17" s="1"/>
  <c r="O696" i="7"/>
  <c r="Z696" i="7" s="1"/>
  <c r="BR696" i="17"/>
  <c r="BS696" i="17" s="1"/>
  <c r="BT696" i="17" s="1"/>
  <c r="BX697" i="17"/>
  <c r="BY697" i="17" s="1"/>
  <c r="BZ697" i="17" s="1"/>
  <c r="BX698" i="17"/>
  <c r="BY698" i="17" s="1"/>
  <c r="BZ698" i="17" s="1"/>
  <c r="Q699" i="7"/>
  <c r="X699" i="7" s="1"/>
  <c r="S701" i="7"/>
  <c r="AT706" i="17"/>
  <c r="AU706" i="17" s="1"/>
  <c r="AV706" i="17" s="1"/>
  <c r="K708" i="7"/>
  <c r="T708" i="7" s="1"/>
  <c r="AT708" i="17"/>
  <c r="AU708" i="17" s="1"/>
  <c r="AV708" i="17" s="1"/>
  <c r="K710" i="7"/>
  <c r="T710" i="7" s="1"/>
  <c r="AT710" i="17"/>
  <c r="AU710" i="17" s="1"/>
  <c r="AV710" i="17" s="1"/>
  <c r="AZ711" i="17"/>
  <c r="BA711" i="17" s="1"/>
  <c r="BB711" i="17" s="1"/>
  <c r="AT713" i="17"/>
  <c r="AU713" i="17" s="1"/>
  <c r="AV713" i="17" s="1"/>
  <c r="K715" i="7"/>
  <c r="T715" i="7" s="1"/>
  <c r="AT714" i="17"/>
  <c r="AU714" i="17" s="1"/>
  <c r="AV714" i="17" s="1"/>
  <c r="O721" i="7"/>
  <c r="Z721" i="7" s="1"/>
  <c r="P723" i="7"/>
  <c r="AA723" i="7" s="1"/>
  <c r="P726" i="7"/>
  <c r="AA726" i="7" s="1"/>
  <c r="S731" i="7"/>
  <c r="S737" i="7"/>
  <c r="Y737" i="7" s="1"/>
  <c r="BX739" i="17"/>
  <c r="BY739" i="17" s="1"/>
  <c r="BZ739" i="17" s="1"/>
  <c r="O740" i="7"/>
  <c r="Z740" i="7" s="1"/>
  <c r="BR740" i="17"/>
  <c r="BS740" i="17" s="1"/>
  <c r="BT740" i="17" s="1"/>
  <c r="P742" i="7"/>
  <c r="AA742" i="7" s="1"/>
  <c r="BX741" i="17"/>
  <c r="BY741" i="17" s="1"/>
  <c r="BZ741" i="17" s="1"/>
  <c r="BR742" i="17"/>
  <c r="BS742" i="17" s="1"/>
  <c r="BT742" i="17" s="1"/>
  <c r="O742" i="7"/>
  <c r="Z742" i="7" s="1"/>
  <c r="O743" i="7"/>
  <c r="Z743" i="7" s="1"/>
  <c r="BR743" i="17"/>
  <c r="BS743" i="17" s="1"/>
  <c r="BT743" i="17" s="1"/>
  <c r="BX744" i="17"/>
  <c r="BY744" i="17" s="1"/>
  <c r="BZ744" i="17" s="1"/>
  <c r="P745" i="7"/>
  <c r="AA745" i="7" s="1"/>
  <c r="BX745" i="17"/>
  <c r="BY745" i="17" s="1"/>
  <c r="BZ745" i="17" s="1"/>
  <c r="Y749" i="7"/>
  <c r="AT759" i="17"/>
  <c r="AU759" i="17" s="1"/>
  <c r="AV759" i="17" s="1"/>
  <c r="AT760" i="17"/>
  <c r="AU760" i="17" s="1"/>
  <c r="AV760" i="17" s="1"/>
  <c r="AZ761" i="17"/>
  <c r="BA761" i="17" s="1"/>
  <c r="BB761" i="17" s="1"/>
  <c r="BF762" i="17"/>
  <c r="BG762" i="17" s="1"/>
  <c r="BH762" i="17" s="1"/>
  <c r="BL763" i="17"/>
  <c r="BM763" i="17" s="1"/>
  <c r="BN763" i="17" s="1"/>
  <c r="BR764" i="17"/>
  <c r="BS764" i="17" s="1"/>
  <c r="BT764" i="17" s="1"/>
  <c r="BX765" i="17"/>
  <c r="BY765" i="17" s="1"/>
  <c r="BZ765" i="17" s="1"/>
  <c r="AT773" i="17"/>
  <c r="AU773" i="17" s="1"/>
  <c r="AV773" i="17" s="1"/>
  <c r="BF775" i="17"/>
  <c r="BG775" i="17" s="1"/>
  <c r="BH775" i="17" s="1"/>
  <c r="N776" i="7"/>
  <c r="W776" i="7" s="1"/>
  <c r="BL776" i="17"/>
  <c r="BM776" i="17" s="1"/>
  <c r="BN776" i="17" s="1"/>
  <c r="S814" i="7"/>
  <c r="BL826" i="17"/>
  <c r="BM826" i="17" s="1"/>
  <c r="BN826" i="17" s="1"/>
  <c r="P830" i="7"/>
  <c r="AA830" i="7" s="1"/>
  <c r="BX830" i="17"/>
  <c r="BY830" i="17" s="1"/>
  <c r="BZ830" i="17" s="1"/>
  <c r="P831" i="7"/>
  <c r="AA831" i="7" s="1"/>
  <c r="BX831" i="17"/>
  <c r="BY831" i="17" s="1"/>
  <c r="BZ831" i="17" s="1"/>
  <c r="P832" i="7"/>
  <c r="AA832" i="7" s="1"/>
  <c r="BX842" i="17"/>
  <c r="BY842" i="17" s="1"/>
  <c r="BZ842" i="17" s="1"/>
  <c r="BX526" i="17"/>
  <c r="BY526" i="17" s="1"/>
  <c r="BZ526" i="17" s="1"/>
  <c r="O527" i="7"/>
  <c r="Z527" i="7" s="1"/>
  <c r="BR527" i="17"/>
  <c r="BS527" i="17" s="1"/>
  <c r="BT527" i="17" s="1"/>
  <c r="BX528" i="17"/>
  <c r="BY528" i="17" s="1"/>
  <c r="BZ528" i="17" s="1"/>
  <c r="P529" i="7"/>
  <c r="AA529" i="7" s="1"/>
  <c r="BX529" i="17"/>
  <c r="BY529" i="17" s="1"/>
  <c r="BZ529" i="17" s="1"/>
  <c r="BR530" i="17"/>
  <c r="BS530" i="17" s="1"/>
  <c r="BT530" i="17" s="1"/>
  <c r="O531" i="7"/>
  <c r="Z531" i="7" s="1"/>
  <c r="BR531" i="17"/>
  <c r="BS531" i="17" s="1"/>
  <c r="BT531" i="17" s="1"/>
  <c r="BR532" i="17"/>
  <c r="BS532" i="17" s="1"/>
  <c r="BT532" i="17" s="1"/>
  <c r="BL533" i="17"/>
  <c r="BM533" i="17" s="1"/>
  <c r="BN533" i="17" s="1"/>
  <c r="N534" i="7"/>
  <c r="W534" i="7" s="1"/>
  <c r="BL534" i="17"/>
  <c r="BM534" i="17" s="1"/>
  <c r="BN534" i="17" s="1"/>
  <c r="L535" i="7"/>
  <c r="U535" i="7" s="1"/>
  <c r="AZ535" i="17"/>
  <c r="BA535" i="17" s="1"/>
  <c r="BB535" i="17" s="1"/>
  <c r="AZ536" i="17"/>
  <c r="BA536" i="17" s="1"/>
  <c r="BB536" i="17" s="1"/>
  <c r="AZ537" i="17"/>
  <c r="BA537" i="17" s="1"/>
  <c r="BB537" i="17" s="1"/>
  <c r="AZ538" i="17"/>
  <c r="BA538" i="17" s="1"/>
  <c r="BB538" i="17" s="1"/>
  <c r="AZ539" i="17"/>
  <c r="BA539" i="17" s="1"/>
  <c r="BB539" i="17" s="1"/>
  <c r="L540" i="7"/>
  <c r="U540" i="7" s="1"/>
  <c r="AZ540" i="17"/>
  <c r="BA540" i="17" s="1"/>
  <c r="BB540" i="17" s="1"/>
  <c r="BF541" i="17"/>
  <c r="BG541" i="17" s="1"/>
  <c r="BH541" i="17" s="1"/>
  <c r="AZ542" i="17"/>
  <c r="BA542" i="17" s="1"/>
  <c r="BB542" i="17" s="1"/>
  <c r="L543" i="7"/>
  <c r="U543" i="7" s="1"/>
  <c r="AZ543" i="17"/>
  <c r="BA543" i="17" s="1"/>
  <c r="BB543" i="17" s="1"/>
  <c r="BF544" i="17"/>
  <c r="BG544" i="17" s="1"/>
  <c r="BH544" i="17" s="1"/>
  <c r="BF545" i="17"/>
  <c r="BG545" i="17" s="1"/>
  <c r="BH545" i="17" s="1"/>
  <c r="K547" i="7"/>
  <c r="T547" i="7" s="1"/>
  <c r="AT546" i="17"/>
  <c r="AU546" i="17" s="1"/>
  <c r="AV546" i="17" s="1"/>
  <c r="O554" i="7"/>
  <c r="Z554" i="7" s="1"/>
  <c r="BR554" i="17"/>
  <c r="BS554" i="17" s="1"/>
  <c r="BT554" i="17" s="1"/>
  <c r="BL555" i="17"/>
  <c r="BM555" i="17" s="1"/>
  <c r="BN555" i="17" s="1"/>
  <c r="AZ556" i="17"/>
  <c r="BA556" i="17" s="1"/>
  <c r="BB556" i="17" s="1"/>
  <c r="AZ557" i="17"/>
  <c r="BA557" i="17" s="1"/>
  <c r="BB557" i="17" s="1"/>
  <c r="K558" i="7"/>
  <c r="T558" i="7" s="1"/>
  <c r="AT558" i="17"/>
  <c r="AU558" i="17" s="1"/>
  <c r="AV558" i="17" s="1"/>
  <c r="BX568" i="17"/>
  <c r="BY568" i="17" s="1"/>
  <c r="BZ568" i="17" s="1"/>
  <c r="N569" i="7"/>
  <c r="W569" i="7" s="1"/>
  <c r="BL569" i="17"/>
  <c r="BM569" i="17" s="1"/>
  <c r="BN569" i="17" s="1"/>
  <c r="BF570" i="17"/>
  <c r="BG570" i="17" s="1"/>
  <c r="BH570" i="17" s="1"/>
  <c r="AT571" i="17"/>
  <c r="AU571" i="17" s="1"/>
  <c r="AV571" i="17" s="1"/>
  <c r="AZ572" i="17"/>
  <c r="BA572" i="17" s="1"/>
  <c r="BB572" i="17" s="1"/>
  <c r="K575" i="7"/>
  <c r="T575" i="7" s="1"/>
  <c r="AT574" i="17"/>
  <c r="AU574" i="17" s="1"/>
  <c r="AV574" i="17" s="1"/>
  <c r="P582" i="7"/>
  <c r="AA582" i="7" s="1"/>
  <c r="BX582" i="17"/>
  <c r="BY582" i="17" s="1"/>
  <c r="BZ582" i="17" s="1"/>
  <c r="BX583" i="17"/>
  <c r="BY583" i="17" s="1"/>
  <c r="BZ583" i="17" s="1"/>
  <c r="P584" i="7"/>
  <c r="AA584" i="7" s="1"/>
  <c r="BX584" i="17"/>
  <c r="BY584" i="17" s="1"/>
  <c r="BZ584" i="17" s="1"/>
  <c r="BX585" i="17"/>
  <c r="BY585" i="17" s="1"/>
  <c r="BZ585" i="17" s="1"/>
  <c r="BR586" i="17"/>
  <c r="BS586" i="17" s="1"/>
  <c r="BT586" i="17" s="1"/>
  <c r="BL587" i="17"/>
  <c r="BM587" i="17" s="1"/>
  <c r="BN587" i="17" s="1"/>
  <c r="BF588" i="17"/>
  <c r="BG588" i="17" s="1"/>
  <c r="BH588" i="17" s="1"/>
  <c r="AZ589" i="17"/>
  <c r="BA589" i="17" s="1"/>
  <c r="BB589" i="17" s="1"/>
  <c r="AZ590" i="17"/>
  <c r="BA590" i="17" s="1"/>
  <c r="BB590" i="17" s="1"/>
  <c r="AZ591" i="17"/>
  <c r="BA591" i="17" s="1"/>
  <c r="BB591" i="17" s="1"/>
  <c r="AT592" i="17"/>
  <c r="AU592" i="17" s="1"/>
  <c r="AV592" i="17" s="1"/>
  <c r="K593" i="7"/>
  <c r="T593" i="7" s="1"/>
  <c r="AT593" i="17"/>
  <c r="AU593" i="17" s="1"/>
  <c r="AV593" i="17" s="1"/>
  <c r="P600" i="7"/>
  <c r="AA600" i="7" s="1"/>
  <c r="BX600" i="17"/>
  <c r="BY600" i="17" s="1"/>
  <c r="BZ600" i="17" s="1"/>
  <c r="O601" i="7"/>
  <c r="Z601" i="7" s="1"/>
  <c r="BR601" i="17"/>
  <c r="BS601" i="17" s="1"/>
  <c r="BT601" i="17" s="1"/>
  <c r="CD601" i="17" s="1"/>
  <c r="BX602" i="17"/>
  <c r="BY602" i="17" s="1"/>
  <c r="BZ602" i="17" s="1"/>
  <c r="BX604" i="17"/>
  <c r="BY604" i="17" s="1"/>
  <c r="BZ604" i="17" s="1"/>
  <c r="CD604" i="17" s="1"/>
  <c r="BX605" i="17"/>
  <c r="BY605" i="17" s="1"/>
  <c r="BZ605" i="17" s="1"/>
  <c r="BL606" i="17"/>
  <c r="BM606" i="17" s="1"/>
  <c r="BN606" i="17" s="1"/>
  <c r="BL607" i="17"/>
  <c r="BM607" i="17" s="1"/>
  <c r="BN607" i="17" s="1"/>
  <c r="BF608" i="17"/>
  <c r="BG608" i="17" s="1"/>
  <c r="BH608" i="17" s="1"/>
  <c r="BF609" i="17"/>
  <c r="BG609" i="17" s="1"/>
  <c r="BH609" i="17" s="1"/>
  <c r="BF610" i="17"/>
  <c r="BG610" i="17" s="1"/>
  <c r="BH610" i="17" s="1"/>
  <c r="AT611" i="17"/>
  <c r="AU611" i="17" s="1"/>
  <c r="AV611" i="17" s="1"/>
  <c r="BX615" i="17"/>
  <c r="BY615" i="17" s="1"/>
  <c r="BZ615" i="17" s="1"/>
  <c r="O616" i="7"/>
  <c r="Z616" i="7" s="1"/>
  <c r="BR616" i="17"/>
  <c r="BS616" i="17" s="1"/>
  <c r="BT616" i="17" s="1"/>
  <c r="O617" i="7"/>
  <c r="Z617" i="7" s="1"/>
  <c r="BR617" i="17"/>
  <c r="BS617" i="17" s="1"/>
  <c r="BT617" i="17" s="1"/>
  <c r="BF618" i="17"/>
  <c r="BG618" i="17" s="1"/>
  <c r="BH618" i="17" s="1"/>
  <c r="L620" i="7"/>
  <c r="U620" i="7" s="1"/>
  <c r="AZ619" i="17"/>
  <c r="BA619" i="17" s="1"/>
  <c r="BB619" i="17" s="1"/>
  <c r="BR627" i="17"/>
  <c r="BS627" i="17" s="1"/>
  <c r="BT627" i="17" s="1"/>
  <c r="BF628" i="17"/>
  <c r="BG628" i="17" s="1"/>
  <c r="BH628" i="17" s="1"/>
  <c r="AZ629" i="17"/>
  <c r="BA629" i="17" s="1"/>
  <c r="BB629" i="17" s="1"/>
  <c r="BR636" i="17"/>
  <c r="BS636" i="17" s="1"/>
  <c r="BT636" i="17" s="1"/>
  <c r="BL637" i="17"/>
  <c r="BM637" i="17" s="1"/>
  <c r="BN637" i="17" s="1"/>
  <c r="M638" i="7"/>
  <c r="V638" i="7" s="1"/>
  <c r="BF638" i="17"/>
  <c r="BG638" i="17" s="1"/>
  <c r="BH638" i="17" s="1"/>
  <c r="BF639" i="17"/>
  <c r="BG639" i="17" s="1"/>
  <c r="BH639" i="17" s="1"/>
  <c r="K640" i="7"/>
  <c r="T640" i="7" s="1"/>
  <c r="AT640" i="17"/>
  <c r="AU640" i="17" s="1"/>
  <c r="AV640" i="17" s="1"/>
  <c r="AT641" i="17"/>
  <c r="AU641" i="17" s="1"/>
  <c r="AV641" i="17" s="1"/>
  <c r="R645" i="7"/>
  <c r="BX646" i="17"/>
  <c r="BY646" i="17" s="1"/>
  <c r="BZ646" i="17" s="1"/>
  <c r="BX647" i="17"/>
  <c r="BY647" i="17" s="1"/>
  <c r="BZ647" i="17" s="1"/>
  <c r="BL648" i="17"/>
  <c r="BM648" i="17" s="1"/>
  <c r="BN648" i="17" s="1"/>
  <c r="BF649" i="17"/>
  <c r="BG649" i="17" s="1"/>
  <c r="BH649" i="17" s="1"/>
  <c r="K650" i="7"/>
  <c r="T650" i="7" s="1"/>
  <c r="AT650" i="17"/>
  <c r="AU650" i="17" s="1"/>
  <c r="AV650" i="17" s="1"/>
  <c r="AT651" i="17"/>
  <c r="AU651" i="17" s="1"/>
  <c r="AV651" i="17" s="1"/>
  <c r="BX657" i="17"/>
  <c r="BY657" i="17" s="1"/>
  <c r="BZ657" i="17" s="1"/>
  <c r="O658" i="7"/>
  <c r="Z658" i="7" s="1"/>
  <c r="BR658" i="17"/>
  <c r="BS658" i="17" s="1"/>
  <c r="BT658" i="17" s="1"/>
  <c r="BR659" i="17"/>
  <c r="BS659" i="17" s="1"/>
  <c r="BT659" i="17" s="1"/>
  <c r="N660" i="7"/>
  <c r="W660" i="7" s="1"/>
  <c r="BL660" i="17"/>
  <c r="BM660" i="17" s="1"/>
  <c r="BN660" i="17" s="1"/>
  <c r="N661" i="7"/>
  <c r="W661" i="7" s="1"/>
  <c r="BL661" i="17"/>
  <c r="BM661" i="17" s="1"/>
  <c r="BN661" i="17" s="1"/>
  <c r="O662" i="7"/>
  <c r="Z662" i="7" s="1"/>
  <c r="BR662" i="17"/>
  <c r="BS662" i="17" s="1"/>
  <c r="BT662" i="17" s="1"/>
  <c r="P663" i="7"/>
  <c r="AA663" i="7" s="1"/>
  <c r="BX663" i="17"/>
  <c r="BY663" i="17" s="1"/>
  <c r="BZ663" i="17" s="1"/>
  <c r="O671" i="7"/>
  <c r="Z671" i="7" s="1"/>
  <c r="BR671" i="17"/>
  <c r="BS671" i="17" s="1"/>
  <c r="BT671" i="17" s="1"/>
  <c r="BX672" i="17"/>
  <c r="BY672" i="17" s="1"/>
  <c r="BZ672" i="17" s="1"/>
  <c r="N673" i="7"/>
  <c r="W673" i="7" s="1"/>
  <c r="BL673" i="17"/>
  <c r="BM673" i="17" s="1"/>
  <c r="BN673" i="17" s="1"/>
  <c r="N674" i="7"/>
  <c r="W674" i="7" s="1"/>
  <c r="BL674" i="17"/>
  <c r="BM674" i="17" s="1"/>
  <c r="BN674" i="17" s="1"/>
  <c r="BL675" i="17"/>
  <c r="BM675" i="17" s="1"/>
  <c r="BN675" i="17" s="1"/>
  <c r="BF676" i="17"/>
  <c r="BG676" i="17" s="1"/>
  <c r="BH676" i="17" s="1"/>
  <c r="L678" i="7"/>
  <c r="U678" i="7" s="1"/>
  <c r="AZ677" i="17"/>
  <c r="BA677" i="17" s="1"/>
  <c r="BB677" i="17" s="1"/>
  <c r="AT678" i="17"/>
  <c r="AU678" i="17" s="1"/>
  <c r="AV678" i="17" s="1"/>
  <c r="CD678" i="17" s="1"/>
  <c r="BR686" i="17"/>
  <c r="BS686" i="17" s="1"/>
  <c r="BT686" i="17" s="1"/>
  <c r="BX687" i="17"/>
  <c r="BY687" i="17" s="1"/>
  <c r="BZ687" i="17" s="1"/>
  <c r="Q689" i="7"/>
  <c r="X689" i="7" s="1"/>
  <c r="BR693" i="17"/>
  <c r="BS693" i="17" s="1"/>
  <c r="BT693" i="17" s="1"/>
  <c r="BX694" i="17"/>
  <c r="BY694" i="17" s="1"/>
  <c r="BZ694" i="17" s="1"/>
  <c r="P696" i="7"/>
  <c r="AA696" i="7" s="1"/>
  <c r="BX696" i="17"/>
  <c r="BY696" i="17" s="1"/>
  <c r="BZ696" i="17" s="1"/>
  <c r="K705" i="7"/>
  <c r="T705" i="7" s="1"/>
  <c r="AT705" i="17"/>
  <c r="AU705" i="17" s="1"/>
  <c r="AV705" i="17" s="1"/>
  <c r="AZ706" i="17"/>
  <c r="BA706" i="17" s="1"/>
  <c r="BB706" i="17" s="1"/>
  <c r="K707" i="7"/>
  <c r="T707" i="7" s="1"/>
  <c r="AT707" i="17"/>
  <c r="AU707" i="17" s="1"/>
  <c r="AV707" i="17" s="1"/>
  <c r="L709" i="7"/>
  <c r="U709" i="7" s="1"/>
  <c r="AZ708" i="17"/>
  <c r="BA708" i="17" s="1"/>
  <c r="BB708" i="17" s="1"/>
  <c r="AT709" i="17"/>
  <c r="AU709" i="17" s="1"/>
  <c r="AV709" i="17" s="1"/>
  <c r="AZ710" i="17"/>
  <c r="BA710" i="17" s="1"/>
  <c r="BB710" i="17" s="1"/>
  <c r="BF711" i="17"/>
  <c r="BG711" i="17" s="1"/>
  <c r="BH711" i="17" s="1"/>
  <c r="K713" i="7"/>
  <c r="T713" i="7" s="1"/>
  <c r="AT712" i="17"/>
  <c r="AU712" i="17" s="1"/>
  <c r="AV712" i="17" s="1"/>
  <c r="L713" i="7"/>
  <c r="U713" i="7" s="1"/>
  <c r="AZ713" i="17"/>
  <c r="BA713" i="17" s="1"/>
  <c r="BB713" i="17" s="1"/>
  <c r="AZ714" i="17"/>
  <c r="BA714" i="17" s="1"/>
  <c r="BB714" i="17" s="1"/>
  <c r="P741" i="7"/>
  <c r="AA741" i="7" s="1"/>
  <c r="BX740" i="17"/>
  <c r="BY740" i="17" s="1"/>
  <c r="BZ740" i="17" s="1"/>
  <c r="BX742" i="17"/>
  <c r="BY742" i="17" s="1"/>
  <c r="BZ742" i="17" s="1"/>
  <c r="P743" i="7"/>
  <c r="AA743" i="7" s="1"/>
  <c r="BX743" i="17"/>
  <c r="BY743" i="17" s="1"/>
  <c r="BZ743" i="17" s="1"/>
  <c r="AT757" i="17"/>
  <c r="AU757" i="17" s="1"/>
  <c r="AV757" i="17" s="1"/>
  <c r="AZ758" i="17"/>
  <c r="BA758" i="17" s="1"/>
  <c r="BB758" i="17" s="1"/>
  <c r="L760" i="7"/>
  <c r="U760" i="7" s="1"/>
  <c r="AZ759" i="17"/>
  <c r="BA759" i="17" s="1"/>
  <c r="BB759" i="17" s="1"/>
  <c r="AZ760" i="17"/>
  <c r="BA760" i="17" s="1"/>
  <c r="BB760" i="17" s="1"/>
  <c r="M761" i="7"/>
  <c r="V761" i="7" s="1"/>
  <c r="BF761" i="17"/>
  <c r="BG761" i="17" s="1"/>
  <c r="BH761" i="17" s="1"/>
  <c r="N763" i="7"/>
  <c r="W763" i="7" s="1"/>
  <c r="BL762" i="17"/>
  <c r="BM762" i="17" s="1"/>
  <c r="BN762" i="17" s="1"/>
  <c r="N762" i="7"/>
  <c r="W762" i="7" s="1"/>
  <c r="O764" i="7"/>
  <c r="Z764" i="7" s="1"/>
  <c r="BR763" i="17"/>
  <c r="BS763" i="17" s="1"/>
  <c r="BT763" i="17" s="1"/>
  <c r="BX764" i="17"/>
  <c r="BY764" i="17" s="1"/>
  <c r="BZ764" i="17" s="1"/>
  <c r="K772" i="7"/>
  <c r="T772" i="7" s="1"/>
  <c r="AT772" i="17"/>
  <c r="AU772" i="17" s="1"/>
  <c r="AV772" i="17" s="1"/>
  <c r="BL775" i="17"/>
  <c r="BM775" i="17" s="1"/>
  <c r="BN775" i="17" s="1"/>
  <c r="N775" i="7"/>
  <c r="W775" i="7" s="1"/>
  <c r="BX777" i="17"/>
  <c r="BY777" i="17" s="1"/>
  <c r="BZ777" i="17" s="1"/>
  <c r="BL796" i="17"/>
  <c r="BM796" i="17" s="1"/>
  <c r="BN796" i="17" s="1"/>
  <c r="BR797" i="17"/>
  <c r="BS797" i="17" s="1"/>
  <c r="BT797" i="17" s="1"/>
  <c r="O798" i="7"/>
  <c r="Z798" i="7" s="1"/>
  <c r="BR798" i="17"/>
  <c r="BS798" i="17" s="1"/>
  <c r="BT798" i="17" s="1"/>
  <c r="BR799" i="17"/>
  <c r="BS799" i="17" s="1"/>
  <c r="BT799" i="17" s="1"/>
  <c r="O799" i="7"/>
  <c r="Z799" i="7" s="1"/>
  <c r="AT818" i="17"/>
  <c r="AU818" i="17" s="1"/>
  <c r="AV818" i="17" s="1"/>
  <c r="L819" i="7"/>
  <c r="U819" i="7" s="1"/>
  <c r="AZ819" i="17"/>
  <c r="BA819" i="17" s="1"/>
  <c r="BB819" i="17" s="1"/>
  <c r="N825" i="7"/>
  <c r="W825" i="7" s="1"/>
  <c r="BL825" i="17"/>
  <c r="BM825" i="17" s="1"/>
  <c r="BN825" i="17" s="1"/>
  <c r="Q868" i="7"/>
  <c r="X868" i="7" s="1"/>
  <c r="BR482" i="17"/>
  <c r="BS482" i="17" s="1"/>
  <c r="BT482" i="17" s="1"/>
  <c r="BR483" i="17"/>
  <c r="BS483" i="17" s="1"/>
  <c r="BT483" i="17" s="1"/>
  <c r="BF484" i="17"/>
  <c r="BG484" i="17" s="1"/>
  <c r="BH484" i="17" s="1"/>
  <c r="R492" i="7"/>
  <c r="Q493" i="7"/>
  <c r="X493" i="7" s="1"/>
  <c r="Q495" i="7"/>
  <c r="X495" i="7" s="1"/>
  <c r="BR496" i="17"/>
  <c r="BS496" i="17" s="1"/>
  <c r="BT496" i="17" s="1"/>
  <c r="M497" i="7"/>
  <c r="V497" i="7" s="1"/>
  <c r="BF497" i="17"/>
  <c r="BG497" i="17" s="1"/>
  <c r="BH497" i="17" s="1"/>
  <c r="BL498" i="17"/>
  <c r="BM498" i="17" s="1"/>
  <c r="BN498" i="17" s="1"/>
  <c r="AT499" i="17"/>
  <c r="AU499" i="17" s="1"/>
  <c r="AV499" i="17" s="1"/>
  <c r="AT503" i="17"/>
  <c r="AU503" i="17" s="1"/>
  <c r="AV503" i="17" s="1"/>
  <c r="AT506" i="17"/>
  <c r="AU506" i="17" s="1"/>
  <c r="AV506" i="17" s="1"/>
  <c r="AZ507" i="17"/>
  <c r="BA507" i="17" s="1"/>
  <c r="BB507" i="17" s="1"/>
  <c r="S510" i="7"/>
  <c r="R513" i="7"/>
  <c r="BL516" i="17"/>
  <c r="BM516" i="17" s="1"/>
  <c r="BN516" i="17" s="1"/>
  <c r="M517" i="7"/>
  <c r="V517" i="7" s="1"/>
  <c r="BF517" i="17"/>
  <c r="BG517" i="17" s="1"/>
  <c r="BH517" i="17" s="1"/>
  <c r="BF518" i="17"/>
  <c r="BG518" i="17" s="1"/>
  <c r="BH518" i="17" s="1"/>
  <c r="O519" i="7"/>
  <c r="Z519" i="7" s="1"/>
  <c r="P522" i="7"/>
  <c r="AA522" i="7" s="1"/>
  <c r="BX522" i="17"/>
  <c r="BY522" i="17" s="1"/>
  <c r="BZ522" i="17" s="1"/>
  <c r="BX523" i="17"/>
  <c r="BY523" i="17" s="1"/>
  <c r="BZ523" i="17" s="1"/>
  <c r="O524" i="7"/>
  <c r="Z524" i="7" s="1"/>
  <c r="BR524" i="17"/>
  <c r="BS524" i="17" s="1"/>
  <c r="BT524" i="17" s="1"/>
  <c r="P525" i="7"/>
  <c r="AA525" i="7" s="1"/>
  <c r="BX525" i="17"/>
  <c r="BY525" i="17" s="1"/>
  <c r="BZ525" i="17" s="1"/>
  <c r="Q527" i="7"/>
  <c r="X527" i="7" s="1"/>
  <c r="BX527" i="17"/>
  <c r="BY527" i="17" s="1"/>
  <c r="BZ527" i="17" s="1"/>
  <c r="Q528" i="7"/>
  <c r="X528" i="7" s="1"/>
  <c r="BX530" i="17"/>
  <c r="BY530" i="17" s="1"/>
  <c r="BZ530" i="17" s="1"/>
  <c r="BX531" i="17"/>
  <c r="BY531" i="17" s="1"/>
  <c r="BZ531" i="17" s="1"/>
  <c r="P532" i="7"/>
  <c r="AA532" i="7" s="1"/>
  <c r="BX532" i="17"/>
  <c r="BY532" i="17" s="1"/>
  <c r="BZ532" i="17" s="1"/>
  <c r="O533" i="7"/>
  <c r="Z533" i="7" s="1"/>
  <c r="BR533" i="17"/>
  <c r="BS533" i="17" s="1"/>
  <c r="BT533" i="17" s="1"/>
  <c r="BR534" i="17"/>
  <c r="BS534" i="17" s="1"/>
  <c r="BT534" i="17" s="1"/>
  <c r="M535" i="7"/>
  <c r="V535" i="7" s="1"/>
  <c r="BF535" i="17"/>
  <c r="BG535" i="17" s="1"/>
  <c r="BH535" i="17" s="1"/>
  <c r="M536" i="7"/>
  <c r="V536" i="7" s="1"/>
  <c r="BF536" i="17"/>
  <c r="BG536" i="17" s="1"/>
  <c r="BH536" i="17" s="1"/>
  <c r="BF537" i="17"/>
  <c r="BG537" i="17" s="1"/>
  <c r="BH537" i="17" s="1"/>
  <c r="M538" i="7"/>
  <c r="V538" i="7" s="1"/>
  <c r="BF538" i="17"/>
  <c r="BG538" i="17" s="1"/>
  <c r="BH538" i="17" s="1"/>
  <c r="BF539" i="17"/>
  <c r="BG539" i="17" s="1"/>
  <c r="BH539" i="17" s="1"/>
  <c r="M540" i="7"/>
  <c r="V540" i="7" s="1"/>
  <c r="BF540" i="17"/>
  <c r="BG540" i="17" s="1"/>
  <c r="BH540" i="17" s="1"/>
  <c r="N542" i="7"/>
  <c r="W542" i="7" s="1"/>
  <c r="BL541" i="17"/>
  <c r="BM541" i="17" s="1"/>
  <c r="BN541" i="17" s="1"/>
  <c r="BF542" i="17"/>
  <c r="BG542" i="17" s="1"/>
  <c r="BH542" i="17" s="1"/>
  <c r="BF543" i="17"/>
  <c r="BG543" i="17" s="1"/>
  <c r="BH543" i="17" s="1"/>
  <c r="N544" i="7"/>
  <c r="W544" i="7" s="1"/>
  <c r="BL544" i="17"/>
  <c r="BM544" i="17" s="1"/>
  <c r="BN544" i="17" s="1"/>
  <c r="BL545" i="17"/>
  <c r="BM545" i="17" s="1"/>
  <c r="BN545" i="17" s="1"/>
  <c r="AZ546" i="17"/>
  <c r="BA546" i="17" s="1"/>
  <c r="BB546" i="17" s="1"/>
  <c r="AT547" i="17"/>
  <c r="AU547" i="17" s="1"/>
  <c r="AV547" i="17" s="1"/>
  <c r="K549" i="7"/>
  <c r="T549" i="7" s="1"/>
  <c r="AT548" i="17"/>
  <c r="AU548" i="17" s="1"/>
  <c r="AV548" i="17" s="1"/>
  <c r="O550" i="7"/>
  <c r="Z550" i="7" s="1"/>
  <c r="L551" i="7"/>
  <c r="U551" i="7" s="1"/>
  <c r="BX554" i="17"/>
  <c r="BY554" i="17" s="1"/>
  <c r="BZ554" i="17" s="1"/>
  <c r="O556" i="7"/>
  <c r="Z556" i="7" s="1"/>
  <c r="BR555" i="17"/>
  <c r="BS555" i="17" s="1"/>
  <c r="BT555" i="17" s="1"/>
  <c r="BF556" i="17"/>
  <c r="BG556" i="17" s="1"/>
  <c r="BH556" i="17" s="1"/>
  <c r="M557" i="7"/>
  <c r="V557" i="7" s="1"/>
  <c r="BF557" i="17"/>
  <c r="BG557" i="17" s="1"/>
  <c r="BH557" i="17" s="1"/>
  <c r="AZ558" i="17"/>
  <c r="BA558" i="17" s="1"/>
  <c r="BB558" i="17" s="1"/>
  <c r="K559" i="7"/>
  <c r="T559" i="7" s="1"/>
  <c r="AT559" i="17"/>
  <c r="AU559" i="17" s="1"/>
  <c r="AV559" i="17" s="1"/>
  <c r="K561" i="7"/>
  <c r="T561" i="7" s="1"/>
  <c r="AT560" i="17"/>
  <c r="AU560" i="17" s="1"/>
  <c r="AV560" i="17" s="1"/>
  <c r="AT561" i="17"/>
  <c r="AU561" i="17" s="1"/>
  <c r="AV561" i="17" s="1"/>
  <c r="P562" i="7"/>
  <c r="AA562" i="7" s="1"/>
  <c r="L564" i="7"/>
  <c r="U564" i="7" s="1"/>
  <c r="K566" i="7"/>
  <c r="T566" i="7" s="1"/>
  <c r="O569" i="7"/>
  <c r="Z569" i="7" s="1"/>
  <c r="BR569" i="17"/>
  <c r="BS569" i="17" s="1"/>
  <c r="BT569" i="17" s="1"/>
  <c r="BL570" i="17"/>
  <c r="BM570" i="17" s="1"/>
  <c r="BN570" i="17" s="1"/>
  <c r="L571" i="7"/>
  <c r="U571" i="7" s="1"/>
  <c r="AZ571" i="17"/>
  <c r="BA571" i="17" s="1"/>
  <c r="BB571" i="17" s="1"/>
  <c r="BF572" i="17"/>
  <c r="BG572" i="17" s="1"/>
  <c r="BH572" i="17" s="1"/>
  <c r="AT573" i="17"/>
  <c r="AU573" i="17" s="1"/>
  <c r="AV573" i="17" s="1"/>
  <c r="AZ574" i="17"/>
  <c r="BA574" i="17" s="1"/>
  <c r="BB574" i="17" s="1"/>
  <c r="S578" i="7"/>
  <c r="Q582" i="7"/>
  <c r="X582" i="7" s="1"/>
  <c r="P586" i="7"/>
  <c r="AA586" i="7" s="1"/>
  <c r="BX586" i="17"/>
  <c r="BY586" i="17" s="1"/>
  <c r="BZ586" i="17" s="1"/>
  <c r="BR587" i="17"/>
  <c r="BS587" i="17" s="1"/>
  <c r="BT587" i="17" s="1"/>
  <c r="N588" i="7"/>
  <c r="W588" i="7" s="1"/>
  <c r="BL588" i="17"/>
  <c r="BM588" i="17" s="1"/>
  <c r="BN588" i="17" s="1"/>
  <c r="M589" i="7"/>
  <c r="V589" i="7" s="1"/>
  <c r="BF589" i="17"/>
  <c r="BG589" i="17" s="1"/>
  <c r="BH589" i="17" s="1"/>
  <c r="BF590" i="17"/>
  <c r="BG590" i="17" s="1"/>
  <c r="BH590" i="17" s="1"/>
  <c r="M592" i="7"/>
  <c r="V592" i="7" s="1"/>
  <c r="BF591" i="17"/>
  <c r="BG591" i="17" s="1"/>
  <c r="BH591" i="17" s="1"/>
  <c r="AZ592" i="17"/>
  <c r="BA592" i="17" s="1"/>
  <c r="BB592" i="17" s="1"/>
  <c r="AZ593" i="17"/>
  <c r="BA593" i="17" s="1"/>
  <c r="BB593" i="17" s="1"/>
  <c r="N597" i="7"/>
  <c r="W597" i="7" s="1"/>
  <c r="P598" i="7"/>
  <c r="AA598" i="7" s="1"/>
  <c r="P602" i="7"/>
  <c r="AA602" i="7" s="1"/>
  <c r="BX601" i="17"/>
  <c r="BY601" i="17" s="1"/>
  <c r="BZ601" i="17" s="1"/>
  <c r="Q604" i="7"/>
  <c r="X604" i="7" s="1"/>
  <c r="O606" i="7"/>
  <c r="Z606" i="7" s="1"/>
  <c r="BR606" i="17"/>
  <c r="BS606" i="17" s="1"/>
  <c r="BT606" i="17" s="1"/>
  <c r="BR607" i="17"/>
  <c r="BS607" i="17" s="1"/>
  <c r="BT607" i="17" s="1"/>
  <c r="BL608" i="17"/>
  <c r="BM608" i="17" s="1"/>
  <c r="BN608" i="17" s="1"/>
  <c r="BL609" i="17"/>
  <c r="BM609" i="17" s="1"/>
  <c r="BN609" i="17" s="1"/>
  <c r="BL610" i="17"/>
  <c r="BM610" i="17" s="1"/>
  <c r="BN610" i="17" s="1"/>
  <c r="AZ611" i="17"/>
  <c r="BA611" i="17" s="1"/>
  <c r="BB611" i="17" s="1"/>
  <c r="O613" i="7"/>
  <c r="Z613" i="7" s="1"/>
  <c r="R614" i="7"/>
  <c r="BX616" i="17"/>
  <c r="BY616" i="17" s="1"/>
  <c r="BZ616" i="17" s="1"/>
  <c r="BX617" i="17"/>
  <c r="BY617" i="17" s="1"/>
  <c r="BZ617" i="17" s="1"/>
  <c r="N618" i="7"/>
  <c r="W618" i="7" s="1"/>
  <c r="BL618" i="17"/>
  <c r="BM618" i="17" s="1"/>
  <c r="BN618" i="17" s="1"/>
  <c r="BF619" i="17"/>
  <c r="BG619" i="17" s="1"/>
  <c r="BH619" i="17" s="1"/>
  <c r="AT620" i="17"/>
  <c r="AU620" i="17" s="1"/>
  <c r="AV620" i="17" s="1"/>
  <c r="AT621" i="17"/>
  <c r="AU621" i="17" s="1"/>
  <c r="AV621" i="17" s="1"/>
  <c r="L623" i="7"/>
  <c r="U623" i="7" s="1"/>
  <c r="S625" i="7"/>
  <c r="BX627" i="17"/>
  <c r="BY627" i="17" s="1"/>
  <c r="BZ627" i="17" s="1"/>
  <c r="BL628" i="17"/>
  <c r="BM628" i="17" s="1"/>
  <c r="BN628" i="17" s="1"/>
  <c r="M629" i="7"/>
  <c r="V629" i="7" s="1"/>
  <c r="BF629" i="17"/>
  <c r="BG629" i="17" s="1"/>
  <c r="BH629" i="17" s="1"/>
  <c r="P631" i="7"/>
  <c r="AA631" i="7" s="1"/>
  <c r="N632" i="7"/>
  <c r="W632" i="7" s="1"/>
  <c r="L633" i="7"/>
  <c r="U633" i="7" s="1"/>
  <c r="BX636" i="17"/>
  <c r="BY636" i="17" s="1"/>
  <c r="BZ636" i="17" s="1"/>
  <c r="O638" i="7"/>
  <c r="Z638" i="7" s="1"/>
  <c r="BR637" i="17"/>
  <c r="BS637" i="17" s="1"/>
  <c r="BT637" i="17" s="1"/>
  <c r="BL638" i="17"/>
  <c r="BM638" i="17" s="1"/>
  <c r="BN638" i="17" s="1"/>
  <c r="BL639" i="17"/>
  <c r="BM639" i="17" s="1"/>
  <c r="BN639" i="17" s="1"/>
  <c r="L640" i="7"/>
  <c r="U640" i="7" s="1"/>
  <c r="AZ640" i="17"/>
  <c r="BA640" i="17" s="1"/>
  <c r="BB640" i="17" s="1"/>
  <c r="L641" i="7"/>
  <c r="U641" i="7" s="1"/>
  <c r="AZ641" i="17"/>
  <c r="BA641" i="17" s="1"/>
  <c r="BB641" i="17" s="1"/>
  <c r="O643" i="7"/>
  <c r="Z643" i="7" s="1"/>
  <c r="S645" i="7"/>
  <c r="Q646" i="7"/>
  <c r="X646" i="7" s="1"/>
  <c r="BR648" i="17"/>
  <c r="BS648" i="17" s="1"/>
  <c r="BT648" i="17" s="1"/>
  <c r="BL649" i="17"/>
  <c r="BM649" i="17" s="1"/>
  <c r="BN649" i="17" s="1"/>
  <c r="L650" i="7"/>
  <c r="U650" i="7" s="1"/>
  <c r="AZ650" i="17"/>
  <c r="BA650" i="17" s="1"/>
  <c r="BB650" i="17" s="1"/>
  <c r="L651" i="7"/>
  <c r="U651" i="7" s="1"/>
  <c r="AZ651" i="17"/>
  <c r="BA651" i="17" s="1"/>
  <c r="BB651" i="17" s="1"/>
  <c r="P653" i="7"/>
  <c r="AA653" i="7" s="1"/>
  <c r="P654" i="7"/>
  <c r="AA654" i="7" s="1"/>
  <c r="S655" i="7"/>
  <c r="P659" i="7"/>
  <c r="AA659" i="7" s="1"/>
  <c r="BX658" i="17"/>
  <c r="BY658" i="17" s="1"/>
  <c r="BZ658" i="17" s="1"/>
  <c r="BX659" i="17"/>
  <c r="BY659" i="17" s="1"/>
  <c r="BZ659" i="17" s="1"/>
  <c r="O660" i="7"/>
  <c r="Z660" i="7" s="1"/>
  <c r="BR660" i="17"/>
  <c r="BS660" i="17" s="1"/>
  <c r="BT660" i="17" s="1"/>
  <c r="BR661" i="17"/>
  <c r="BS661" i="17" s="1"/>
  <c r="BT661" i="17" s="1"/>
  <c r="P662" i="7"/>
  <c r="AA662" i="7" s="1"/>
  <c r="BX662" i="17"/>
  <c r="BY662" i="17" s="1"/>
  <c r="BZ662" i="17" s="1"/>
  <c r="R665" i="7"/>
  <c r="N667" i="7"/>
  <c r="W667" i="7" s="1"/>
  <c r="S669" i="7"/>
  <c r="P671" i="7"/>
  <c r="AA671" i="7" s="1"/>
  <c r="BX671" i="17"/>
  <c r="BY671" i="17" s="1"/>
  <c r="BZ671" i="17" s="1"/>
  <c r="BR673" i="17"/>
  <c r="BS673" i="17" s="1"/>
  <c r="BT673" i="17" s="1"/>
  <c r="O674" i="7"/>
  <c r="Z674" i="7" s="1"/>
  <c r="BR674" i="17"/>
  <c r="BS674" i="17" s="1"/>
  <c r="BT674" i="17" s="1"/>
  <c r="BR675" i="17"/>
  <c r="BS675" i="17" s="1"/>
  <c r="BT675" i="17" s="1"/>
  <c r="BL676" i="17"/>
  <c r="BM676" i="17" s="1"/>
  <c r="BN676" i="17" s="1"/>
  <c r="BF677" i="17"/>
  <c r="BG677" i="17" s="1"/>
  <c r="BH677" i="17" s="1"/>
  <c r="AZ678" i="17"/>
  <c r="BA678" i="17" s="1"/>
  <c r="BB678" i="17" s="1"/>
  <c r="K680" i="7"/>
  <c r="T680" i="7" s="1"/>
  <c r="AT679" i="17"/>
  <c r="AU679" i="17" s="1"/>
  <c r="AV679" i="17" s="1"/>
  <c r="CD679" i="17" s="1"/>
  <c r="AT681" i="17"/>
  <c r="AU681" i="17" s="1"/>
  <c r="AV681" i="17" s="1"/>
  <c r="AT682" i="17"/>
  <c r="AU682" i="17" s="1"/>
  <c r="AV682" i="17" s="1"/>
  <c r="P686" i="7"/>
  <c r="AA686" i="7" s="1"/>
  <c r="BX686" i="17"/>
  <c r="BY686" i="17" s="1"/>
  <c r="BZ686" i="17" s="1"/>
  <c r="R689" i="7"/>
  <c r="P693" i="7"/>
  <c r="AA693" i="7" s="1"/>
  <c r="BX693" i="17"/>
  <c r="BY693" i="17" s="1"/>
  <c r="BZ693" i="17" s="1"/>
  <c r="Q696" i="7"/>
  <c r="X696" i="7" s="1"/>
  <c r="AT721" i="17"/>
  <c r="AU721" i="17" s="1"/>
  <c r="AV721" i="17" s="1"/>
  <c r="AT729" i="17"/>
  <c r="AU729" i="17" s="1"/>
  <c r="AV729" i="17" s="1"/>
  <c r="K729" i="7"/>
  <c r="T729" i="7" s="1"/>
  <c r="P732" i="7"/>
  <c r="AA732" i="7" s="1"/>
  <c r="S733" i="7"/>
  <c r="O737" i="7"/>
  <c r="Z737" i="7" s="1"/>
  <c r="S738" i="7"/>
  <c r="Y738" i="7" s="1"/>
  <c r="Q740" i="7"/>
  <c r="X740" i="7" s="1"/>
  <c r="Q742" i="7"/>
  <c r="X742" i="7" s="1"/>
  <c r="R744" i="7"/>
  <c r="AT755" i="17"/>
  <c r="AU755" i="17" s="1"/>
  <c r="AV755" i="17" s="1"/>
  <c r="AT756" i="17"/>
  <c r="AU756" i="17" s="1"/>
  <c r="AV756" i="17" s="1"/>
  <c r="L757" i="7"/>
  <c r="U757" i="7" s="1"/>
  <c r="AZ757" i="17"/>
  <c r="BA757" i="17" s="1"/>
  <c r="BB757" i="17" s="1"/>
  <c r="BF758" i="17"/>
  <c r="BG758" i="17" s="1"/>
  <c r="BH758" i="17" s="1"/>
  <c r="M759" i="7"/>
  <c r="V759" i="7" s="1"/>
  <c r="BF759" i="17"/>
  <c r="BG759" i="17" s="1"/>
  <c r="BH759" i="17" s="1"/>
  <c r="M760" i="7"/>
  <c r="V760" i="7" s="1"/>
  <c r="BF760" i="17"/>
  <c r="BG760" i="17" s="1"/>
  <c r="BH760" i="17" s="1"/>
  <c r="N761" i="7"/>
  <c r="W761" i="7" s="1"/>
  <c r="BL761" i="17"/>
  <c r="BM761" i="17" s="1"/>
  <c r="BN761" i="17" s="1"/>
  <c r="BR762" i="17"/>
  <c r="BS762" i="17" s="1"/>
  <c r="BT762" i="17" s="1"/>
  <c r="O762" i="7"/>
  <c r="Z762" i="7" s="1"/>
  <c r="P763" i="7"/>
  <c r="AA763" i="7" s="1"/>
  <c r="BX763" i="17"/>
  <c r="BY763" i="17" s="1"/>
  <c r="BZ763" i="17" s="1"/>
  <c r="BL774" i="17"/>
  <c r="BM774" i="17" s="1"/>
  <c r="BN774" i="17" s="1"/>
  <c r="N774" i="7"/>
  <c r="W774" i="7" s="1"/>
  <c r="P776" i="7"/>
  <c r="AA776" i="7" s="1"/>
  <c r="BX776" i="17"/>
  <c r="BY776" i="17" s="1"/>
  <c r="BZ776" i="17" s="1"/>
  <c r="N794" i="7"/>
  <c r="W794" i="7" s="1"/>
  <c r="BL794" i="17"/>
  <c r="BM794" i="17" s="1"/>
  <c r="BN794" i="17" s="1"/>
  <c r="BR795" i="17"/>
  <c r="BS795" i="17" s="1"/>
  <c r="BT795" i="17" s="1"/>
  <c r="AT817" i="17"/>
  <c r="AU817" i="17" s="1"/>
  <c r="AV817" i="17" s="1"/>
  <c r="BF823" i="17"/>
  <c r="BG823" i="17" s="1"/>
  <c r="BH823" i="17" s="1"/>
  <c r="BL824" i="17"/>
  <c r="BM824" i="17" s="1"/>
  <c r="BN824" i="17" s="1"/>
  <c r="P827" i="7"/>
  <c r="AA827" i="7" s="1"/>
  <c r="BX827" i="17"/>
  <c r="BY827" i="17" s="1"/>
  <c r="BZ827" i="17" s="1"/>
  <c r="BR864" i="17"/>
  <c r="BS864" i="17" s="1"/>
  <c r="BT864" i="17" s="1"/>
  <c r="BX865" i="17"/>
  <c r="BY865" i="17" s="1"/>
  <c r="BZ865" i="17" s="1"/>
  <c r="BX482" i="17"/>
  <c r="BY482" i="17" s="1"/>
  <c r="BZ482" i="17" s="1"/>
  <c r="BX483" i="17"/>
  <c r="BY483" i="17" s="1"/>
  <c r="BZ483" i="17" s="1"/>
  <c r="BL484" i="17"/>
  <c r="BM484" i="17" s="1"/>
  <c r="BN484" i="17" s="1"/>
  <c r="AT485" i="17"/>
  <c r="AU485" i="17" s="1"/>
  <c r="AV485" i="17" s="1"/>
  <c r="AT486" i="17"/>
  <c r="AU486" i="17" s="1"/>
  <c r="AV486" i="17" s="1"/>
  <c r="AT487" i="17"/>
  <c r="AU487" i="17" s="1"/>
  <c r="AV487" i="17" s="1"/>
  <c r="S490" i="7"/>
  <c r="P497" i="7"/>
  <c r="AA497" i="7" s="1"/>
  <c r="BX496" i="17"/>
  <c r="BY496" i="17" s="1"/>
  <c r="BZ496" i="17" s="1"/>
  <c r="N497" i="7"/>
  <c r="W497" i="7" s="1"/>
  <c r="BL497" i="17"/>
  <c r="BM497" i="17" s="1"/>
  <c r="BN497" i="17" s="1"/>
  <c r="BR498" i="17"/>
  <c r="BS498" i="17" s="1"/>
  <c r="BT498" i="17" s="1"/>
  <c r="AZ499" i="17"/>
  <c r="BA499" i="17" s="1"/>
  <c r="BB499" i="17" s="1"/>
  <c r="CD499" i="17" s="1"/>
  <c r="K500" i="7"/>
  <c r="T500" i="7" s="1"/>
  <c r="AT500" i="17"/>
  <c r="AU500" i="17" s="1"/>
  <c r="AV500" i="17" s="1"/>
  <c r="K502" i="7"/>
  <c r="T502" i="7" s="1"/>
  <c r="AT502" i="17"/>
  <c r="AU502" i="17" s="1"/>
  <c r="AV502" i="17" s="1"/>
  <c r="AZ503" i="17"/>
  <c r="BA503" i="17" s="1"/>
  <c r="BB503" i="17" s="1"/>
  <c r="AT504" i="17"/>
  <c r="AU504" i="17" s="1"/>
  <c r="AV504" i="17" s="1"/>
  <c r="K505" i="7"/>
  <c r="T505" i="7" s="1"/>
  <c r="AT505" i="17"/>
  <c r="AU505" i="17" s="1"/>
  <c r="AV505" i="17" s="1"/>
  <c r="AZ506" i="17"/>
  <c r="BA506" i="17" s="1"/>
  <c r="BB506" i="17" s="1"/>
  <c r="M508" i="7"/>
  <c r="V508" i="7" s="1"/>
  <c r="BF507" i="17"/>
  <c r="BG507" i="17" s="1"/>
  <c r="BH507" i="17" s="1"/>
  <c r="BR516" i="17"/>
  <c r="BS516" i="17" s="1"/>
  <c r="BT516" i="17" s="1"/>
  <c r="BL517" i="17"/>
  <c r="BM517" i="17" s="1"/>
  <c r="BN517" i="17" s="1"/>
  <c r="BL518" i="17"/>
  <c r="BM518" i="17" s="1"/>
  <c r="BN518" i="17" s="1"/>
  <c r="BX524" i="17"/>
  <c r="BY524" i="17" s="1"/>
  <c r="BZ524" i="17" s="1"/>
  <c r="Q531" i="7"/>
  <c r="X531" i="7" s="1"/>
  <c r="BX533" i="17"/>
  <c r="BY533" i="17" s="1"/>
  <c r="BZ533" i="17" s="1"/>
  <c r="BX534" i="17"/>
  <c r="BY534" i="17" s="1"/>
  <c r="BZ534" i="17" s="1"/>
  <c r="BL535" i="17"/>
  <c r="BM535" i="17" s="1"/>
  <c r="BN535" i="17" s="1"/>
  <c r="N536" i="7"/>
  <c r="W536" i="7" s="1"/>
  <c r="BL536" i="17"/>
  <c r="BM536" i="17" s="1"/>
  <c r="BN536" i="17" s="1"/>
  <c r="N538" i="7"/>
  <c r="W538" i="7" s="1"/>
  <c r="BL537" i="17"/>
  <c r="BM537" i="17" s="1"/>
  <c r="BN537" i="17" s="1"/>
  <c r="N539" i="7"/>
  <c r="W539" i="7" s="1"/>
  <c r="BL538" i="17"/>
  <c r="BM538" i="17" s="1"/>
  <c r="BN538" i="17" s="1"/>
  <c r="BL539" i="17"/>
  <c r="BM539" i="17" s="1"/>
  <c r="BN539" i="17" s="1"/>
  <c r="N540" i="7"/>
  <c r="W540" i="7" s="1"/>
  <c r="BL540" i="17"/>
  <c r="BM540" i="17" s="1"/>
  <c r="BN540" i="17" s="1"/>
  <c r="BR541" i="17"/>
  <c r="BS541" i="17" s="1"/>
  <c r="BT541" i="17" s="1"/>
  <c r="BL542" i="17"/>
  <c r="BM542" i="17" s="1"/>
  <c r="BN542" i="17" s="1"/>
  <c r="N543" i="7"/>
  <c r="W543" i="7" s="1"/>
  <c r="BL543" i="17"/>
  <c r="BM543" i="17" s="1"/>
  <c r="BN543" i="17" s="1"/>
  <c r="BR544" i="17"/>
  <c r="BS544" i="17" s="1"/>
  <c r="BT544" i="17" s="1"/>
  <c r="O545" i="7"/>
  <c r="Z545" i="7" s="1"/>
  <c r="BR545" i="17"/>
  <c r="BS545" i="17" s="1"/>
  <c r="BT545" i="17" s="1"/>
  <c r="BF546" i="17"/>
  <c r="BG546" i="17" s="1"/>
  <c r="BH546" i="17" s="1"/>
  <c r="AZ547" i="17"/>
  <c r="BA547" i="17" s="1"/>
  <c r="BB547" i="17" s="1"/>
  <c r="AZ548" i="17"/>
  <c r="BA548" i="17" s="1"/>
  <c r="BB548" i="17" s="1"/>
  <c r="BX555" i="17"/>
  <c r="BY555" i="17" s="1"/>
  <c r="BZ555" i="17" s="1"/>
  <c r="BL556" i="17"/>
  <c r="BM556" i="17" s="1"/>
  <c r="BN556" i="17" s="1"/>
  <c r="BL557" i="17"/>
  <c r="BM557" i="17" s="1"/>
  <c r="BN557" i="17" s="1"/>
  <c r="BF558" i="17"/>
  <c r="BG558" i="17" s="1"/>
  <c r="BH558" i="17" s="1"/>
  <c r="AZ559" i="17"/>
  <c r="BA559" i="17" s="1"/>
  <c r="BB559" i="17" s="1"/>
  <c r="AZ560" i="17"/>
  <c r="BA560" i="17" s="1"/>
  <c r="BB560" i="17" s="1"/>
  <c r="L561" i="7"/>
  <c r="U561" i="7" s="1"/>
  <c r="AZ561" i="17"/>
  <c r="BA561" i="17" s="1"/>
  <c r="BB561" i="17" s="1"/>
  <c r="K563" i="7"/>
  <c r="T563" i="7" s="1"/>
  <c r="AT562" i="17"/>
  <c r="AU562" i="17" s="1"/>
  <c r="AV562" i="17" s="1"/>
  <c r="CD562" i="17" s="1"/>
  <c r="P569" i="7"/>
  <c r="AA569" i="7" s="1"/>
  <c r="BX569" i="17"/>
  <c r="BY569" i="17" s="1"/>
  <c r="BZ569" i="17" s="1"/>
  <c r="BR570" i="17"/>
  <c r="BS570" i="17" s="1"/>
  <c r="BT570" i="17" s="1"/>
  <c r="M571" i="7"/>
  <c r="V571" i="7" s="1"/>
  <c r="BF571" i="17"/>
  <c r="BG571" i="17" s="1"/>
  <c r="BH571" i="17" s="1"/>
  <c r="N572" i="7"/>
  <c r="W572" i="7" s="1"/>
  <c r="BL572" i="17"/>
  <c r="BM572" i="17" s="1"/>
  <c r="BN572" i="17" s="1"/>
  <c r="L573" i="7"/>
  <c r="U573" i="7" s="1"/>
  <c r="AZ573" i="17"/>
  <c r="BA573" i="17" s="1"/>
  <c r="BB573" i="17" s="1"/>
  <c r="BF574" i="17"/>
  <c r="BG574" i="17" s="1"/>
  <c r="BH574" i="17" s="1"/>
  <c r="AT575" i="17"/>
  <c r="AU575" i="17" s="1"/>
  <c r="AV575" i="17" s="1"/>
  <c r="R583" i="7"/>
  <c r="R585" i="7"/>
  <c r="BX587" i="17"/>
  <c r="BY587" i="17" s="1"/>
  <c r="BZ587" i="17" s="1"/>
  <c r="O588" i="7"/>
  <c r="Z588" i="7" s="1"/>
  <c r="BR588" i="17"/>
  <c r="BS588" i="17" s="1"/>
  <c r="BT588" i="17" s="1"/>
  <c r="N589" i="7"/>
  <c r="W589" i="7" s="1"/>
  <c r="BL589" i="17"/>
  <c r="BM589" i="17" s="1"/>
  <c r="BN589" i="17" s="1"/>
  <c r="BL590" i="17"/>
  <c r="BM590" i="17" s="1"/>
  <c r="BN590" i="17" s="1"/>
  <c r="BL591" i="17"/>
  <c r="BM591" i="17" s="1"/>
  <c r="BN591" i="17" s="1"/>
  <c r="BF592" i="17"/>
  <c r="BG592" i="17" s="1"/>
  <c r="BH592" i="17" s="1"/>
  <c r="M594" i="7"/>
  <c r="V594" i="7" s="1"/>
  <c r="BF593" i="17"/>
  <c r="BG593" i="17" s="1"/>
  <c r="BH593" i="17" s="1"/>
  <c r="AT594" i="17"/>
  <c r="AU594" i="17" s="1"/>
  <c r="AV594" i="17" s="1"/>
  <c r="K595" i="7"/>
  <c r="T595" i="7" s="1"/>
  <c r="AT595" i="17"/>
  <c r="AU595" i="17" s="1"/>
  <c r="AV595" i="17" s="1"/>
  <c r="AT596" i="17"/>
  <c r="AU596" i="17" s="1"/>
  <c r="AV596" i="17" s="1"/>
  <c r="AT597" i="17"/>
  <c r="AU597" i="17" s="1"/>
  <c r="AV597" i="17" s="1"/>
  <c r="P606" i="7"/>
  <c r="AA606" i="7" s="1"/>
  <c r="BX606" i="17"/>
  <c r="BY606" i="17" s="1"/>
  <c r="BZ606" i="17" s="1"/>
  <c r="BX607" i="17"/>
  <c r="BY607" i="17" s="1"/>
  <c r="BZ607" i="17" s="1"/>
  <c r="BR608" i="17"/>
  <c r="BS608" i="17" s="1"/>
  <c r="BT608" i="17" s="1"/>
  <c r="O609" i="7"/>
  <c r="Z609" i="7" s="1"/>
  <c r="BR609" i="17"/>
  <c r="BS609" i="17" s="1"/>
  <c r="BT609" i="17" s="1"/>
  <c r="BR610" i="17"/>
  <c r="BS610" i="17" s="1"/>
  <c r="BT610" i="17" s="1"/>
  <c r="CD610" i="17" s="1"/>
  <c r="BF611" i="17"/>
  <c r="BG611" i="17" s="1"/>
  <c r="BH611" i="17" s="1"/>
  <c r="AT612" i="17"/>
  <c r="AU612" i="17" s="1"/>
  <c r="AV612" i="17" s="1"/>
  <c r="P613" i="7"/>
  <c r="AA613" i="7" s="1"/>
  <c r="BR618" i="17"/>
  <c r="BS618" i="17" s="1"/>
  <c r="BT618" i="17" s="1"/>
  <c r="BL619" i="17"/>
  <c r="BM619" i="17" s="1"/>
  <c r="BN619" i="17" s="1"/>
  <c r="AZ620" i="17"/>
  <c r="BA620" i="17" s="1"/>
  <c r="BB620" i="17" s="1"/>
  <c r="AZ621" i="17"/>
  <c r="BA621" i="17" s="1"/>
  <c r="BB621" i="17" s="1"/>
  <c r="O623" i="7"/>
  <c r="Z623" i="7" s="1"/>
  <c r="L626" i="7"/>
  <c r="U626" i="7" s="1"/>
  <c r="BR628" i="17"/>
  <c r="BS628" i="17" s="1"/>
  <c r="BT628" i="17" s="1"/>
  <c r="BL629" i="17"/>
  <c r="BM629" i="17" s="1"/>
  <c r="BN629" i="17" s="1"/>
  <c r="K630" i="7"/>
  <c r="T630" i="7" s="1"/>
  <c r="AT630" i="17"/>
  <c r="AU630" i="17" s="1"/>
  <c r="AV630" i="17" s="1"/>
  <c r="CD630" i="17" s="1"/>
  <c r="K631" i="7"/>
  <c r="T631" i="7" s="1"/>
  <c r="AT631" i="17"/>
  <c r="AU631" i="17" s="1"/>
  <c r="AV631" i="17" s="1"/>
  <c r="N633" i="7"/>
  <c r="W633" i="7" s="1"/>
  <c r="S635" i="7"/>
  <c r="BX637" i="17"/>
  <c r="BY637" i="17" s="1"/>
  <c r="BZ637" i="17" s="1"/>
  <c r="BR638" i="17"/>
  <c r="BS638" i="17" s="1"/>
  <c r="BT638" i="17" s="1"/>
  <c r="O640" i="7"/>
  <c r="Z640" i="7" s="1"/>
  <c r="BR639" i="17"/>
  <c r="BS639" i="17" s="1"/>
  <c r="BT639" i="17" s="1"/>
  <c r="M640" i="7"/>
  <c r="V640" i="7" s="1"/>
  <c r="BF640" i="17"/>
  <c r="BG640" i="17" s="1"/>
  <c r="BH640" i="17" s="1"/>
  <c r="BF641" i="17"/>
  <c r="BG641" i="17" s="1"/>
  <c r="BH641" i="17" s="1"/>
  <c r="K642" i="7"/>
  <c r="T642" i="7" s="1"/>
  <c r="AT642" i="17"/>
  <c r="AU642" i="17" s="1"/>
  <c r="AV642" i="17" s="1"/>
  <c r="P643" i="7"/>
  <c r="AA643" i="7" s="1"/>
  <c r="K645" i="7"/>
  <c r="T645" i="7" s="1"/>
  <c r="R647" i="7"/>
  <c r="BX648" i="17"/>
  <c r="BY648" i="17" s="1"/>
  <c r="BZ648" i="17" s="1"/>
  <c r="O650" i="7"/>
  <c r="Z650" i="7" s="1"/>
  <c r="BR649" i="17"/>
  <c r="BS649" i="17" s="1"/>
  <c r="BT649" i="17" s="1"/>
  <c r="M650" i="7"/>
  <c r="V650" i="7" s="1"/>
  <c r="BF650" i="17"/>
  <c r="BG650" i="17" s="1"/>
  <c r="BH650" i="17" s="1"/>
  <c r="BF651" i="17"/>
  <c r="BG651" i="17" s="1"/>
  <c r="BH651" i="17" s="1"/>
  <c r="K652" i="7"/>
  <c r="T652" i="7" s="1"/>
  <c r="AT652" i="17"/>
  <c r="AU652" i="17" s="1"/>
  <c r="AV652" i="17" s="1"/>
  <c r="AT653" i="17"/>
  <c r="AU653" i="17" s="1"/>
  <c r="AV653" i="17" s="1"/>
  <c r="P661" i="7"/>
  <c r="AA661" i="7" s="1"/>
  <c r="BX660" i="17"/>
  <c r="BY660" i="17" s="1"/>
  <c r="BZ660" i="17" s="1"/>
  <c r="BX661" i="17"/>
  <c r="BY661" i="17" s="1"/>
  <c r="BZ661" i="17" s="1"/>
  <c r="S665" i="7"/>
  <c r="Y665" i="7" s="1"/>
  <c r="N668" i="7"/>
  <c r="W668" i="7" s="1"/>
  <c r="BX673" i="17"/>
  <c r="BY673" i="17" s="1"/>
  <c r="BZ673" i="17" s="1"/>
  <c r="BX674" i="17"/>
  <c r="BY674" i="17" s="1"/>
  <c r="BZ674" i="17" s="1"/>
  <c r="BX675" i="17"/>
  <c r="BY675" i="17" s="1"/>
  <c r="BZ675" i="17" s="1"/>
  <c r="O676" i="7"/>
  <c r="Z676" i="7" s="1"/>
  <c r="BR676" i="17"/>
  <c r="BS676" i="17" s="1"/>
  <c r="BT676" i="17" s="1"/>
  <c r="N677" i="7"/>
  <c r="W677" i="7" s="1"/>
  <c r="BL677" i="17"/>
  <c r="BM677" i="17" s="1"/>
  <c r="BN677" i="17" s="1"/>
  <c r="M678" i="7"/>
  <c r="V678" i="7" s="1"/>
  <c r="BF678" i="17"/>
  <c r="BG678" i="17" s="1"/>
  <c r="BH678" i="17" s="1"/>
  <c r="L680" i="7"/>
  <c r="U680" i="7" s="1"/>
  <c r="AZ679" i="17"/>
  <c r="BA679" i="17" s="1"/>
  <c r="BB679" i="17" s="1"/>
  <c r="AT680" i="17"/>
  <c r="AU680" i="17" s="1"/>
  <c r="AV680" i="17" s="1"/>
  <c r="AZ681" i="17"/>
  <c r="BA681" i="17" s="1"/>
  <c r="BB681" i="17" s="1"/>
  <c r="AZ682" i="17"/>
  <c r="BA682" i="17" s="1"/>
  <c r="BB682" i="17" s="1"/>
  <c r="O683" i="7"/>
  <c r="Z683" i="7" s="1"/>
  <c r="Q686" i="7"/>
  <c r="X686" i="7" s="1"/>
  <c r="S698" i="7"/>
  <c r="K718" i="7"/>
  <c r="T718" i="7" s="1"/>
  <c r="AT718" i="17"/>
  <c r="AU718" i="17" s="1"/>
  <c r="AV718" i="17" s="1"/>
  <c r="K719" i="7"/>
  <c r="T719" i="7" s="1"/>
  <c r="AT719" i="17"/>
  <c r="AU719" i="17" s="1"/>
  <c r="AV719" i="17" s="1"/>
  <c r="L720" i="7"/>
  <c r="U720" i="7" s="1"/>
  <c r="AZ720" i="17"/>
  <c r="BA720" i="17" s="1"/>
  <c r="BB720" i="17" s="1"/>
  <c r="AZ721" i="17"/>
  <c r="BA721" i="17" s="1"/>
  <c r="BB721" i="17" s="1"/>
  <c r="CD721" i="17" s="1"/>
  <c r="AT722" i="17"/>
  <c r="AU722" i="17" s="1"/>
  <c r="AV722" i="17" s="1"/>
  <c r="AT723" i="17"/>
  <c r="AU723" i="17" s="1"/>
  <c r="AV723" i="17" s="1"/>
  <c r="K726" i="7"/>
  <c r="T726" i="7" s="1"/>
  <c r="AT726" i="17"/>
  <c r="AU726" i="17" s="1"/>
  <c r="AV726" i="17" s="1"/>
  <c r="K728" i="7"/>
  <c r="T728" i="7" s="1"/>
  <c r="AT728" i="17"/>
  <c r="AU728" i="17" s="1"/>
  <c r="AV728" i="17" s="1"/>
  <c r="AZ729" i="17"/>
  <c r="BA729" i="17" s="1"/>
  <c r="BB729" i="17" s="1"/>
  <c r="K731" i="7"/>
  <c r="T731" i="7" s="1"/>
  <c r="AT731" i="17"/>
  <c r="AU731" i="17" s="1"/>
  <c r="AV731" i="17" s="1"/>
  <c r="AT732" i="17"/>
  <c r="AU732" i="17" s="1"/>
  <c r="AV732" i="17" s="1"/>
  <c r="Y734" i="7"/>
  <c r="R743" i="7"/>
  <c r="K752" i="7"/>
  <c r="T752" i="7" s="1"/>
  <c r="AT752" i="17"/>
  <c r="AU752" i="17" s="1"/>
  <c r="AV752" i="17" s="1"/>
  <c r="K754" i="7"/>
  <c r="T754" i="7" s="1"/>
  <c r="AT753" i="17"/>
  <c r="AU753" i="17" s="1"/>
  <c r="AV753" i="17" s="1"/>
  <c r="AT754" i="17"/>
  <c r="AU754" i="17" s="1"/>
  <c r="AV754" i="17" s="1"/>
  <c r="AZ755" i="17"/>
  <c r="BA755" i="17" s="1"/>
  <c r="BB755" i="17" s="1"/>
  <c r="AZ756" i="17"/>
  <c r="BA756" i="17" s="1"/>
  <c r="BB756" i="17" s="1"/>
  <c r="M757" i="7"/>
  <c r="V757" i="7" s="1"/>
  <c r="BF757" i="17"/>
  <c r="BG757" i="17" s="1"/>
  <c r="BH757" i="17" s="1"/>
  <c r="N759" i="7"/>
  <c r="W759" i="7" s="1"/>
  <c r="BL758" i="17"/>
  <c r="BM758" i="17" s="1"/>
  <c r="BN758" i="17" s="1"/>
  <c r="N758" i="7"/>
  <c r="W758" i="7" s="1"/>
  <c r="BL759" i="17"/>
  <c r="BM759" i="17" s="1"/>
  <c r="BN759" i="17" s="1"/>
  <c r="N760" i="7"/>
  <c r="W760" i="7" s="1"/>
  <c r="BL760" i="17"/>
  <c r="BM760" i="17" s="1"/>
  <c r="BN760" i="17" s="1"/>
  <c r="BR761" i="17"/>
  <c r="BS761" i="17" s="1"/>
  <c r="BT761" i="17" s="1"/>
  <c r="BX762" i="17"/>
  <c r="BY762" i="17" s="1"/>
  <c r="BZ762" i="17" s="1"/>
  <c r="BR774" i="17"/>
  <c r="BS774" i="17" s="1"/>
  <c r="BT774" i="17" s="1"/>
  <c r="P775" i="7"/>
  <c r="AA775" i="7" s="1"/>
  <c r="BX775" i="17"/>
  <c r="BY775" i="17" s="1"/>
  <c r="BZ775" i="17" s="1"/>
  <c r="BL789" i="17"/>
  <c r="BM789" i="17" s="1"/>
  <c r="BN789" i="17" s="1"/>
  <c r="BR790" i="17"/>
  <c r="BS790" i="17" s="1"/>
  <c r="BT790" i="17" s="1"/>
  <c r="BR791" i="17"/>
  <c r="BS791" i="17" s="1"/>
  <c r="BT791" i="17" s="1"/>
  <c r="O792" i="7"/>
  <c r="Z792" i="7" s="1"/>
  <c r="BR792" i="17"/>
  <c r="BS792" i="17" s="1"/>
  <c r="BT792" i="17" s="1"/>
  <c r="BX793" i="17"/>
  <c r="BY793" i="17" s="1"/>
  <c r="BZ793" i="17" s="1"/>
  <c r="P793" i="7"/>
  <c r="AA793" i="7" s="1"/>
  <c r="AT815" i="17"/>
  <c r="AU815" i="17" s="1"/>
  <c r="AV815" i="17" s="1"/>
  <c r="K816" i="7"/>
  <c r="T816" i="7" s="1"/>
  <c r="AT816" i="17"/>
  <c r="AU816" i="17" s="1"/>
  <c r="AV816" i="17" s="1"/>
  <c r="O863" i="7"/>
  <c r="Z863" i="7" s="1"/>
  <c r="BR863" i="17"/>
  <c r="BS863" i="17" s="1"/>
  <c r="BT863" i="17" s="1"/>
  <c r="BR913" i="17"/>
  <c r="BS913" i="17" s="1"/>
  <c r="BT913" i="17" s="1"/>
  <c r="BR915" i="17"/>
  <c r="BS915" i="17" s="1"/>
  <c r="BT915" i="17" s="1"/>
  <c r="BR917" i="17"/>
  <c r="BS917" i="17" s="1"/>
  <c r="BT917" i="17" s="1"/>
  <c r="BR919" i="17"/>
  <c r="BS919" i="17" s="1"/>
  <c r="BT919" i="17" s="1"/>
  <c r="BR921" i="17"/>
  <c r="BS921" i="17" s="1"/>
  <c r="BT921" i="17" s="1"/>
  <c r="BR923" i="17"/>
  <c r="BS923" i="17" s="1"/>
  <c r="BT923" i="17" s="1"/>
  <c r="BR925" i="17"/>
  <c r="BS925" i="17" s="1"/>
  <c r="BT925" i="17" s="1"/>
  <c r="BR927" i="17"/>
  <c r="BS927" i="17" s="1"/>
  <c r="BT927" i="17" s="1"/>
  <c r="BR929" i="17"/>
  <c r="BS929" i="17" s="1"/>
  <c r="BT929" i="17" s="1"/>
  <c r="BR931" i="17"/>
  <c r="BS931" i="17" s="1"/>
  <c r="BT931" i="17" s="1"/>
  <c r="BX471" i="17"/>
  <c r="BY471" i="17" s="1"/>
  <c r="BZ471" i="17" s="1"/>
  <c r="BR472" i="17"/>
  <c r="BS472" i="17" s="1"/>
  <c r="BT472" i="17" s="1"/>
  <c r="BX473" i="17"/>
  <c r="BY473" i="17" s="1"/>
  <c r="BZ473" i="17" s="1"/>
  <c r="BR474" i="17"/>
  <c r="BS474" i="17" s="1"/>
  <c r="BT474" i="17" s="1"/>
  <c r="N475" i="7"/>
  <c r="W475" i="7" s="1"/>
  <c r="BL475" i="17"/>
  <c r="BM475" i="17" s="1"/>
  <c r="BN475" i="17" s="1"/>
  <c r="N476" i="7"/>
  <c r="W476" i="7" s="1"/>
  <c r="BL476" i="17"/>
  <c r="BM476" i="17" s="1"/>
  <c r="BN476" i="17" s="1"/>
  <c r="L478" i="7"/>
  <c r="U478" i="7" s="1"/>
  <c r="AZ477" i="17"/>
  <c r="BA477" i="17" s="1"/>
  <c r="BB477" i="17" s="1"/>
  <c r="Q482" i="7"/>
  <c r="X482" i="7" s="1"/>
  <c r="BR484" i="17"/>
  <c r="BS484" i="17" s="1"/>
  <c r="BT484" i="17" s="1"/>
  <c r="AZ485" i="17"/>
  <c r="BA485" i="17" s="1"/>
  <c r="BB485" i="17" s="1"/>
  <c r="AZ486" i="17"/>
  <c r="BA486" i="17" s="1"/>
  <c r="BB486" i="17" s="1"/>
  <c r="AZ487" i="17"/>
  <c r="BA487" i="17" s="1"/>
  <c r="BB487" i="17" s="1"/>
  <c r="BR497" i="17"/>
  <c r="BS497" i="17" s="1"/>
  <c r="BT497" i="17" s="1"/>
  <c r="BX498" i="17"/>
  <c r="BY498" i="17" s="1"/>
  <c r="BZ498" i="17" s="1"/>
  <c r="BF499" i="17"/>
  <c r="BG499" i="17" s="1"/>
  <c r="BH499" i="17" s="1"/>
  <c r="L500" i="7"/>
  <c r="U500" i="7" s="1"/>
  <c r="AZ500" i="17"/>
  <c r="BA500" i="17" s="1"/>
  <c r="BB500" i="17" s="1"/>
  <c r="AT501" i="17"/>
  <c r="AU501" i="17" s="1"/>
  <c r="AV501" i="17" s="1"/>
  <c r="AZ502" i="17"/>
  <c r="BA502" i="17" s="1"/>
  <c r="BB502" i="17" s="1"/>
  <c r="BF503" i="17"/>
  <c r="BG503" i="17" s="1"/>
  <c r="BH503" i="17" s="1"/>
  <c r="AZ504" i="17"/>
  <c r="BA504" i="17" s="1"/>
  <c r="BB504" i="17" s="1"/>
  <c r="L505" i="7"/>
  <c r="U505" i="7" s="1"/>
  <c r="AZ505" i="17"/>
  <c r="BA505" i="17" s="1"/>
  <c r="BB505" i="17" s="1"/>
  <c r="M506" i="7"/>
  <c r="V506" i="7" s="1"/>
  <c r="BF506" i="17"/>
  <c r="BG506" i="17" s="1"/>
  <c r="BH506" i="17" s="1"/>
  <c r="BL507" i="17"/>
  <c r="BM507" i="17" s="1"/>
  <c r="BN507" i="17" s="1"/>
  <c r="K509" i="7"/>
  <c r="T509" i="7" s="1"/>
  <c r="AT508" i="17"/>
  <c r="AU508" i="17" s="1"/>
  <c r="AV508" i="17" s="1"/>
  <c r="M512" i="7"/>
  <c r="V512" i="7" s="1"/>
  <c r="S516" i="7"/>
  <c r="BX516" i="17"/>
  <c r="BY516" i="17" s="1"/>
  <c r="BZ516" i="17" s="1"/>
  <c r="O517" i="7"/>
  <c r="Z517" i="7" s="1"/>
  <c r="BR517" i="17"/>
  <c r="BS517" i="17" s="1"/>
  <c r="BT517" i="17" s="1"/>
  <c r="BR518" i="17"/>
  <c r="BS518" i="17" s="1"/>
  <c r="BT518" i="17" s="1"/>
  <c r="AT519" i="17"/>
  <c r="AU519" i="17" s="1"/>
  <c r="AV519" i="17" s="1"/>
  <c r="R523" i="7"/>
  <c r="Y523" i="7" s="1"/>
  <c r="R527" i="7"/>
  <c r="R530" i="7"/>
  <c r="R532" i="7"/>
  <c r="Q533" i="7"/>
  <c r="X533" i="7" s="1"/>
  <c r="BR535" i="17"/>
  <c r="BS535" i="17" s="1"/>
  <c r="BT535" i="17" s="1"/>
  <c r="O536" i="7"/>
  <c r="Z536" i="7" s="1"/>
  <c r="BR536" i="17"/>
  <c r="BS536" i="17" s="1"/>
  <c r="BT536" i="17" s="1"/>
  <c r="BR537" i="17"/>
  <c r="BS537" i="17" s="1"/>
  <c r="BT537" i="17" s="1"/>
  <c r="BR538" i="17"/>
  <c r="BS538" i="17" s="1"/>
  <c r="BT538" i="17" s="1"/>
  <c r="O539" i="7"/>
  <c r="Z539" i="7" s="1"/>
  <c r="BR539" i="17"/>
  <c r="BS539" i="17" s="1"/>
  <c r="BT539" i="17" s="1"/>
  <c r="O540" i="7"/>
  <c r="Z540" i="7" s="1"/>
  <c r="BR540" i="17"/>
  <c r="BS540" i="17" s="1"/>
  <c r="BT540" i="17" s="1"/>
  <c r="P541" i="7"/>
  <c r="AA541" i="7" s="1"/>
  <c r="BX541" i="17"/>
  <c r="BY541" i="17" s="1"/>
  <c r="BZ541" i="17" s="1"/>
  <c r="BR542" i="17"/>
  <c r="BS542" i="17" s="1"/>
  <c r="BT542" i="17" s="1"/>
  <c r="O543" i="7"/>
  <c r="Z543" i="7" s="1"/>
  <c r="BR543" i="17"/>
  <c r="BS543" i="17" s="1"/>
  <c r="BT543" i="17" s="1"/>
  <c r="P544" i="7"/>
  <c r="AA544" i="7" s="1"/>
  <c r="BX544" i="17"/>
  <c r="BY544" i="17" s="1"/>
  <c r="BZ544" i="17" s="1"/>
  <c r="BX545" i="17"/>
  <c r="BY545" i="17" s="1"/>
  <c r="BZ545" i="17" s="1"/>
  <c r="BL546" i="17"/>
  <c r="BM546" i="17" s="1"/>
  <c r="BN546" i="17" s="1"/>
  <c r="BF547" i="17"/>
  <c r="BG547" i="17" s="1"/>
  <c r="BH547" i="17" s="1"/>
  <c r="M548" i="7"/>
  <c r="V548" i="7" s="1"/>
  <c r="BF548" i="17"/>
  <c r="BG548" i="17" s="1"/>
  <c r="BH548" i="17" s="1"/>
  <c r="AT549" i="17"/>
  <c r="AU549" i="17" s="1"/>
  <c r="AV549" i="17" s="1"/>
  <c r="K550" i="7"/>
  <c r="T550" i="7" s="1"/>
  <c r="AT550" i="17"/>
  <c r="AU550" i="17" s="1"/>
  <c r="AV550" i="17" s="1"/>
  <c r="BR556" i="17"/>
  <c r="BS556" i="17" s="1"/>
  <c r="BT556" i="17" s="1"/>
  <c r="O558" i="7"/>
  <c r="Z558" i="7" s="1"/>
  <c r="BR557" i="17"/>
  <c r="BS557" i="17" s="1"/>
  <c r="BT557" i="17" s="1"/>
  <c r="N558" i="7"/>
  <c r="W558" i="7" s="1"/>
  <c r="BL558" i="17"/>
  <c r="BM558" i="17" s="1"/>
  <c r="BN558" i="17" s="1"/>
  <c r="M559" i="7"/>
  <c r="V559" i="7" s="1"/>
  <c r="BF559" i="17"/>
  <c r="BG559" i="17" s="1"/>
  <c r="BH559" i="17" s="1"/>
  <c r="BF560" i="17"/>
  <c r="BG560" i="17" s="1"/>
  <c r="BH560" i="17" s="1"/>
  <c r="M561" i="7"/>
  <c r="V561" i="7" s="1"/>
  <c r="BF561" i="17"/>
  <c r="BG561" i="17" s="1"/>
  <c r="BH561" i="17" s="1"/>
  <c r="AZ562" i="17"/>
  <c r="BA562" i="17" s="1"/>
  <c r="BB562" i="17" s="1"/>
  <c r="K565" i="7"/>
  <c r="T565" i="7" s="1"/>
  <c r="AT564" i="17"/>
  <c r="AU564" i="17" s="1"/>
  <c r="AV564" i="17" s="1"/>
  <c r="P566" i="7"/>
  <c r="AA566" i="7" s="1"/>
  <c r="S568" i="7"/>
  <c r="Y568" i="7" s="1"/>
  <c r="BX570" i="17"/>
  <c r="BY570" i="17" s="1"/>
  <c r="BZ570" i="17" s="1"/>
  <c r="N571" i="7"/>
  <c r="W571" i="7" s="1"/>
  <c r="BL571" i="17"/>
  <c r="BM571" i="17" s="1"/>
  <c r="BN571" i="17" s="1"/>
  <c r="BR572" i="17"/>
  <c r="BS572" i="17" s="1"/>
  <c r="BT572" i="17" s="1"/>
  <c r="M573" i="7"/>
  <c r="V573" i="7" s="1"/>
  <c r="BF573" i="17"/>
  <c r="BG573" i="17" s="1"/>
  <c r="BH573" i="17" s="1"/>
  <c r="BL574" i="17"/>
  <c r="BM574" i="17" s="1"/>
  <c r="BN574" i="17" s="1"/>
  <c r="L575" i="7"/>
  <c r="U575" i="7" s="1"/>
  <c r="AZ575" i="17"/>
  <c r="BA575" i="17" s="1"/>
  <c r="BB575" i="17" s="1"/>
  <c r="K577" i="7"/>
  <c r="T577" i="7" s="1"/>
  <c r="AT576" i="17"/>
  <c r="AU576" i="17" s="1"/>
  <c r="AV576" i="17" s="1"/>
  <c r="L581" i="7"/>
  <c r="U581" i="7" s="1"/>
  <c r="S583" i="7"/>
  <c r="Y583" i="7" s="1"/>
  <c r="S584" i="7"/>
  <c r="P588" i="7"/>
  <c r="AA588" i="7" s="1"/>
  <c r="BX588" i="17"/>
  <c r="BY588" i="17" s="1"/>
  <c r="BZ588" i="17" s="1"/>
  <c r="O589" i="7"/>
  <c r="Z589" i="7" s="1"/>
  <c r="BR589" i="17"/>
  <c r="BS589" i="17" s="1"/>
  <c r="BT589" i="17" s="1"/>
  <c r="BR590" i="17"/>
  <c r="BS590" i="17" s="1"/>
  <c r="BT590" i="17" s="1"/>
  <c r="O591" i="7"/>
  <c r="Z591" i="7" s="1"/>
  <c r="BR591" i="17"/>
  <c r="BS591" i="17" s="1"/>
  <c r="BT591" i="17" s="1"/>
  <c r="BL592" i="17"/>
  <c r="BM592" i="17" s="1"/>
  <c r="BN592" i="17" s="1"/>
  <c r="BL593" i="17"/>
  <c r="BM593" i="17" s="1"/>
  <c r="BN593" i="17" s="1"/>
  <c r="AZ594" i="17"/>
  <c r="BA594" i="17" s="1"/>
  <c r="BB594" i="17" s="1"/>
  <c r="AZ595" i="17"/>
  <c r="BA595" i="17" s="1"/>
  <c r="BB595" i="17" s="1"/>
  <c r="AZ596" i="17"/>
  <c r="BA596" i="17" s="1"/>
  <c r="BB596" i="17" s="1"/>
  <c r="AZ597" i="17"/>
  <c r="BA597" i="17" s="1"/>
  <c r="BB597" i="17" s="1"/>
  <c r="R601" i="7"/>
  <c r="P608" i="7"/>
  <c r="AA608" i="7" s="1"/>
  <c r="BX608" i="17"/>
  <c r="BY608" i="17" s="1"/>
  <c r="BZ608" i="17" s="1"/>
  <c r="BX609" i="17"/>
  <c r="BY609" i="17" s="1"/>
  <c r="BZ609" i="17" s="1"/>
  <c r="P610" i="7"/>
  <c r="AA610" i="7" s="1"/>
  <c r="BX610" i="17"/>
  <c r="BY610" i="17" s="1"/>
  <c r="BZ610" i="17" s="1"/>
  <c r="N611" i="7"/>
  <c r="W611" i="7" s="1"/>
  <c r="BL611" i="17"/>
  <c r="BM611" i="17" s="1"/>
  <c r="BN611" i="17" s="1"/>
  <c r="AZ612" i="17"/>
  <c r="BA612" i="17" s="1"/>
  <c r="BB612" i="17" s="1"/>
  <c r="BX618" i="17"/>
  <c r="BY618" i="17" s="1"/>
  <c r="BZ618" i="17" s="1"/>
  <c r="CD618" i="17" s="1"/>
  <c r="BR619" i="17"/>
  <c r="BS619" i="17" s="1"/>
  <c r="BT619" i="17" s="1"/>
  <c r="BF620" i="17"/>
  <c r="BG620" i="17" s="1"/>
  <c r="BH620" i="17" s="1"/>
  <c r="M621" i="7"/>
  <c r="V621" i="7" s="1"/>
  <c r="BF621" i="17"/>
  <c r="BG621" i="17" s="1"/>
  <c r="BH621" i="17" s="1"/>
  <c r="AT622" i="17"/>
  <c r="AU622" i="17" s="1"/>
  <c r="AV622" i="17" s="1"/>
  <c r="BX628" i="17"/>
  <c r="BY628" i="17" s="1"/>
  <c r="BZ628" i="17" s="1"/>
  <c r="BR629" i="17"/>
  <c r="BS629" i="17" s="1"/>
  <c r="BT629" i="17" s="1"/>
  <c r="AZ630" i="17"/>
  <c r="BA630" i="17" s="1"/>
  <c r="BB630" i="17" s="1"/>
  <c r="AZ631" i="17"/>
  <c r="BA631" i="17" s="1"/>
  <c r="BB631" i="17" s="1"/>
  <c r="L634" i="7"/>
  <c r="U634" i="7" s="1"/>
  <c r="Q637" i="7"/>
  <c r="X637" i="7" s="1"/>
  <c r="BX638" i="17"/>
  <c r="BY638" i="17" s="1"/>
  <c r="BZ638" i="17" s="1"/>
  <c r="BX639" i="17"/>
  <c r="BY639" i="17" s="1"/>
  <c r="BZ639" i="17" s="1"/>
  <c r="BL640" i="17"/>
  <c r="BM640" i="17" s="1"/>
  <c r="BN640" i="17" s="1"/>
  <c r="BL641" i="17"/>
  <c r="BM641" i="17" s="1"/>
  <c r="BN641" i="17" s="1"/>
  <c r="L642" i="7"/>
  <c r="U642" i="7" s="1"/>
  <c r="AZ642" i="17"/>
  <c r="BA642" i="17" s="1"/>
  <c r="BB642" i="17" s="1"/>
  <c r="AT643" i="17"/>
  <c r="AU643" i="17" s="1"/>
  <c r="AV643" i="17" s="1"/>
  <c r="S647" i="7"/>
  <c r="BX649" i="17"/>
  <c r="BY649" i="17" s="1"/>
  <c r="BZ649" i="17" s="1"/>
  <c r="BL650" i="17"/>
  <c r="BM650" i="17" s="1"/>
  <c r="BN650" i="17" s="1"/>
  <c r="BL651" i="17"/>
  <c r="BM651" i="17" s="1"/>
  <c r="BN651" i="17" s="1"/>
  <c r="L652" i="7"/>
  <c r="U652" i="7" s="1"/>
  <c r="AZ652" i="17"/>
  <c r="BA652" i="17" s="1"/>
  <c r="BB652" i="17" s="1"/>
  <c r="L653" i="7"/>
  <c r="U653" i="7" s="1"/>
  <c r="AZ653" i="17"/>
  <c r="BA653" i="17" s="1"/>
  <c r="BB653" i="17" s="1"/>
  <c r="P656" i="7"/>
  <c r="AA656" i="7" s="1"/>
  <c r="S657" i="7"/>
  <c r="Q661" i="7"/>
  <c r="X661" i="7" s="1"/>
  <c r="Q675" i="7"/>
  <c r="X675" i="7" s="1"/>
  <c r="P676" i="7"/>
  <c r="AA676" i="7" s="1"/>
  <c r="BX676" i="17"/>
  <c r="BY676" i="17" s="1"/>
  <c r="BZ676" i="17" s="1"/>
  <c r="BR677" i="17"/>
  <c r="BS677" i="17" s="1"/>
  <c r="BT677" i="17" s="1"/>
  <c r="BL678" i="17"/>
  <c r="BM678" i="17" s="1"/>
  <c r="BN678" i="17" s="1"/>
  <c r="BF679" i="17"/>
  <c r="BG679" i="17" s="1"/>
  <c r="BH679" i="17" s="1"/>
  <c r="AZ680" i="17"/>
  <c r="BA680" i="17" s="1"/>
  <c r="BB680" i="17" s="1"/>
  <c r="BF681" i="17"/>
  <c r="BG681" i="17" s="1"/>
  <c r="BH681" i="17" s="1"/>
  <c r="M682" i="7"/>
  <c r="V682" i="7" s="1"/>
  <c r="BF682" i="17"/>
  <c r="BG682" i="17" s="1"/>
  <c r="BH682" i="17" s="1"/>
  <c r="K683" i="7"/>
  <c r="T683" i="7" s="1"/>
  <c r="AT683" i="17"/>
  <c r="AU683" i="17" s="1"/>
  <c r="AV683" i="17" s="1"/>
  <c r="L685" i="7"/>
  <c r="U685" i="7" s="1"/>
  <c r="M692" i="7"/>
  <c r="V692" i="7" s="1"/>
  <c r="AT701" i="17"/>
  <c r="AU701" i="17" s="1"/>
  <c r="AV701" i="17" s="1"/>
  <c r="L703" i="7"/>
  <c r="U703" i="7" s="1"/>
  <c r="AZ702" i="17"/>
  <c r="BA702" i="17" s="1"/>
  <c r="BB702" i="17" s="1"/>
  <c r="L704" i="7"/>
  <c r="U704" i="7" s="1"/>
  <c r="AZ703" i="17"/>
  <c r="BA703" i="17" s="1"/>
  <c r="BB703" i="17" s="1"/>
  <c r="M705" i="7"/>
  <c r="V705" i="7" s="1"/>
  <c r="BF704" i="17"/>
  <c r="BG704" i="17" s="1"/>
  <c r="BH704" i="17" s="1"/>
  <c r="BL705" i="17"/>
  <c r="BM705" i="17" s="1"/>
  <c r="BN705" i="17" s="1"/>
  <c r="BR706" i="17"/>
  <c r="BS706" i="17" s="1"/>
  <c r="BT706" i="17" s="1"/>
  <c r="N707" i="7"/>
  <c r="W707" i="7" s="1"/>
  <c r="BL707" i="17"/>
  <c r="BM707" i="17" s="1"/>
  <c r="BN707" i="17" s="1"/>
  <c r="BR708" i="17"/>
  <c r="BS708" i="17" s="1"/>
  <c r="BT708" i="17" s="1"/>
  <c r="N709" i="7"/>
  <c r="W709" i="7" s="1"/>
  <c r="BL709" i="17"/>
  <c r="BM709" i="17" s="1"/>
  <c r="BN709" i="17" s="1"/>
  <c r="BR710" i="17"/>
  <c r="BS710" i="17" s="1"/>
  <c r="BT710" i="17" s="1"/>
  <c r="BX711" i="17"/>
  <c r="BY711" i="17" s="1"/>
  <c r="BZ711" i="17" s="1"/>
  <c r="BL712" i="17"/>
  <c r="BM712" i="17" s="1"/>
  <c r="BN712" i="17" s="1"/>
  <c r="O713" i="7"/>
  <c r="Z713" i="7" s="1"/>
  <c r="BR713" i="17"/>
  <c r="BS713" i="17" s="1"/>
  <c r="BT713" i="17" s="1"/>
  <c r="BR714" i="17"/>
  <c r="BS714" i="17" s="1"/>
  <c r="BT714" i="17" s="1"/>
  <c r="BF715" i="17"/>
  <c r="BG715" i="17" s="1"/>
  <c r="BH715" i="17" s="1"/>
  <c r="AZ716" i="17"/>
  <c r="BA716" i="17" s="1"/>
  <c r="BB716" i="17" s="1"/>
  <c r="AT717" i="17"/>
  <c r="AU717" i="17" s="1"/>
  <c r="AV717" i="17" s="1"/>
  <c r="AZ719" i="17"/>
  <c r="BA719" i="17" s="1"/>
  <c r="BB719" i="17" s="1"/>
  <c r="BF720" i="17"/>
  <c r="BG720" i="17" s="1"/>
  <c r="BH720" i="17" s="1"/>
  <c r="BF721" i="17"/>
  <c r="BG721" i="17" s="1"/>
  <c r="BH721" i="17" s="1"/>
  <c r="AZ722" i="17"/>
  <c r="BA722" i="17" s="1"/>
  <c r="BB722" i="17" s="1"/>
  <c r="AZ723" i="17"/>
  <c r="BA723" i="17" s="1"/>
  <c r="BB723" i="17" s="1"/>
  <c r="AT725" i="17"/>
  <c r="AU725" i="17" s="1"/>
  <c r="AV725" i="17" s="1"/>
  <c r="L726" i="7"/>
  <c r="U726" i="7" s="1"/>
  <c r="AZ726" i="17"/>
  <c r="BA726" i="17" s="1"/>
  <c r="BB726" i="17" s="1"/>
  <c r="AT727" i="17"/>
  <c r="AU727" i="17" s="1"/>
  <c r="AV727" i="17" s="1"/>
  <c r="AZ728" i="17"/>
  <c r="BA728" i="17" s="1"/>
  <c r="BB728" i="17" s="1"/>
  <c r="BF729" i="17"/>
  <c r="BG729" i="17" s="1"/>
  <c r="BH729" i="17" s="1"/>
  <c r="K730" i="7"/>
  <c r="T730" i="7" s="1"/>
  <c r="AT730" i="17"/>
  <c r="AU730" i="17" s="1"/>
  <c r="AV730" i="17" s="1"/>
  <c r="L731" i="7"/>
  <c r="U731" i="7" s="1"/>
  <c r="AZ731" i="17"/>
  <c r="BA731" i="17" s="1"/>
  <c r="BB731" i="17" s="1"/>
  <c r="AZ732" i="17"/>
  <c r="BA732" i="17" s="1"/>
  <c r="BB732" i="17" s="1"/>
  <c r="AT737" i="17"/>
  <c r="AU737" i="17" s="1"/>
  <c r="AV737" i="17" s="1"/>
  <c r="R739" i="7"/>
  <c r="S740" i="7"/>
  <c r="P744" i="7"/>
  <c r="AA744" i="7" s="1"/>
  <c r="AT750" i="17"/>
  <c r="AU750" i="17" s="1"/>
  <c r="AV750" i="17" s="1"/>
  <c r="AT751" i="17"/>
  <c r="AU751" i="17" s="1"/>
  <c r="AV751" i="17" s="1"/>
  <c r="L752" i="7"/>
  <c r="U752" i="7" s="1"/>
  <c r="AZ752" i="17"/>
  <c r="BA752" i="17" s="1"/>
  <c r="BB752" i="17" s="1"/>
  <c r="L754" i="7"/>
  <c r="U754" i="7" s="1"/>
  <c r="AZ753" i="17"/>
  <c r="BA753" i="17" s="1"/>
  <c r="BB753" i="17" s="1"/>
  <c r="AZ754" i="17"/>
  <c r="BA754" i="17" s="1"/>
  <c r="BB754" i="17" s="1"/>
  <c r="M755" i="7"/>
  <c r="V755" i="7" s="1"/>
  <c r="BF755" i="17"/>
  <c r="BG755" i="17" s="1"/>
  <c r="BH755" i="17" s="1"/>
  <c r="BF756" i="17"/>
  <c r="BG756" i="17" s="1"/>
  <c r="BH756" i="17" s="1"/>
  <c r="N757" i="7"/>
  <c r="W757" i="7" s="1"/>
  <c r="BL757" i="17"/>
  <c r="BM757" i="17" s="1"/>
  <c r="BN757" i="17" s="1"/>
  <c r="O759" i="7"/>
  <c r="Z759" i="7" s="1"/>
  <c r="BR758" i="17"/>
  <c r="BS758" i="17" s="1"/>
  <c r="BT758" i="17" s="1"/>
  <c r="BR759" i="17"/>
  <c r="BS759" i="17" s="1"/>
  <c r="BT759" i="17" s="1"/>
  <c r="BR760" i="17"/>
  <c r="BS760" i="17" s="1"/>
  <c r="BT760" i="17" s="1"/>
  <c r="BX761" i="17"/>
  <c r="BY761" i="17" s="1"/>
  <c r="BZ761" i="17" s="1"/>
  <c r="K768" i="7"/>
  <c r="T768" i="7" s="1"/>
  <c r="AT768" i="17"/>
  <c r="AU768" i="17" s="1"/>
  <c r="AV768" i="17" s="1"/>
  <c r="M771" i="7"/>
  <c r="V771" i="7" s="1"/>
  <c r="BF771" i="17"/>
  <c r="BG771" i="17" s="1"/>
  <c r="BH771" i="17" s="1"/>
  <c r="O773" i="7"/>
  <c r="Z773" i="7" s="1"/>
  <c r="BR773" i="17"/>
  <c r="BS773" i="17" s="1"/>
  <c r="BT773" i="17" s="1"/>
  <c r="L786" i="7"/>
  <c r="U786" i="7" s="1"/>
  <c r="AZ786" i="17"/>
  <c r="BA786" i="17" s="1"/>
  <c r="BB786" i="17" s="1"/>
  <c r="M787" i="7"/>
  <c r="V787" i="7" s="1"/>
  <c r="BF787" i="17"/>
  <c r="BG787" i="17" s="1"/>
  <c r="BH787" i="17" s="1"/>
  <c r="BL788" i="17"/>
  <c r="BM788" i="17" s="1"/>
  <c r="BN788" i="17" s="1"/>
  <c r="N788" i="7"/>
  <c r="W788" i="7" s="1"/>
  <c r="BR860" i="17"/>
  <c r="BS860" i="17" s="1"/>
  <c r="BT860" i="17" s="1"/>
  <c r="BX861" i="17"/>
  <c r="BY861" i="17" s="1"/>
  <c r="BZ861" i="17" s="1"/>
  <c r="BX862" i="17"/>
  <c r="BY862" i="17" s="1"/>
  <c r="BZ862" i="17" s="1"/>
  <c r="BF878" i="17"/>
  <c r="BG878" i="17" s="1"/>
  <c r="BH878" i="17" s="1"/>
  <c r="M879" i="7"/>
  <c r="V879" i="7" s="1"/>
  <c r="BF879" i="17"/>
  <c r="BG879" i="17" s="1"/>
  <c r="BH879" i="17" s="1"/>
  <c r="AT466" i="17"/>
  <c r="AU466" i="17" s="1"/>
  <c r="AV466" i="17" s="1"/>
  <c r="M467" i="7"/>
  <c r="V467" i="7" s="1"/>
  <c r="BX472" i="17"/>
  <c r="BY472" i="17" s="1"/>
  <c r="BZ472" i="17" s="1"/>
  <c r="BX474" i="17"/>
  <c r="BY474" i="17" s="1"/>
  <c r="BZ474" i="17" s="1"/>
  <c r="BR475" i="17"/>
  <c r="BS475" i="17" s="1"/>
  <c r="BT475" i="17" s="1"/>
  <c r="BR476" i="17"/>
  <c r="BS476" i="17" s="1"/>
  <c r="BT476" i="17" s="1"/>
  <c r="BF477" i="17"/>
  <c r="BG477" i="17" s="1"/>
  <c r="BH477" i="17" s="1"/>
  <c r="N480" i="7"/>
  <c r="W480" i="7" s="1"/>
  <c r="N481" i="7"/>
  <c r="W481" i="7" s="1"/>
  <c r="R483" i="7"/>
  <c r="BX484" i="17"/>
  <c r="BY484" i="17" s="1"/>
  <c r="BZ484" i="17" s="1"/>
  <c r="M485" i="7"/>
  <c r="V485" i="7" s="1"/>
  <c r="BF485" i="17"/>
  <c r="BG485" i="17" s="1"/>
  <c r="BH485" i="17" s="1"/>
  <c r="BF486" i="17"/>
  <c r="BG486" i="17" s="1"/>
  <c r="BH486" i="17" s="1"/>
  <c r="BF487" i="17"/>
  <c r="BG487" i="17" s="1"/>
  <c r="BH487" i="17" s="1"/>
  <c r="K488" i="7"/>
  <c r="T488" i="7" s="1"/>
  <c r="AT488" i="17"/>
  <c r="AU488" i="17" s="1"/>
  <c r="AV488" i="17" s="1"/>
  <c r="O493" i="7"/>
  <c r="Z493" i="7" s="1"/>
  <c r="K494" i="7"/>
  <c r="T494" i="7" s="1"/>
  <c r="K495" i="7"/>
  <c r="T495" i="7" s="1"/>
  <c r="BX497" i="17"/>
  <c r="BY497" i="17" s="1"/>
  <c r="BZ497" i="17" s="1"/>
  <c r="N499" i="7"/>
  <c r="W499" i="7" s="1"/>
  <c r="BL499" i="17"/>
  <c r="BM499" i="17" s="1"/>
  <c r="BN499" i="17" s="1"/>
  <c r="M500" i="7"/>
  <c r="V500" i="7" s="1"/>
  <c r="BF500" i="17"/>
  <c r="BG500" i="17" s="1"/>
  <c r="BH500" i="17" s="1"/>
  <c r="AZ501" i="17"/>
  <c r="BA501" i="17" s="1"/>
  <c r="BB501" i="17" s="1"/>
  <c r="M502" i="7"/>
  <c r="V502" i="7" s="1"/>
  <c r="BF502" i="17"/>
  <c r="BG502" i="17" s="1"/>
  <c r="BH502" i="17" s="1"/>
  <c r="BL503" i="17"/>
  <c r="BM503" i="17" s="1"/>
  <c r="BN503" i="17" s="1"/>
  <c r="M505" i="7"/>
  <c r="V505" i="7" s="1"/>
  <c r="BF504" i="17"/>
  <c r="BG504" i="17" s="1"/>
  <c r="BH504" i="17" s="1"/>
  <c r="BF505" i="17"/>
  <c r="BG505" i="17" s="1"/>
  <c r="BH505" i="17" s="1"/>
  <c r="BL506" i="17"/>
  <c r="BM506" i="17" s="1"/>
  <c r="BN506" i="17" s="1"/>
  <c r="BR507" i="17"/>
  <c r="BS507" i="17" s="1"/>
  <c r="BT507" i="17" s="1"/>
  <c r="AZ508" i="17"/>
  <c r="BA508" i="17" s="1"/>
  <c r="BB508" i="17" s="1"/>
  <c r="AT509" i="17"/>
  <c r="AU509" i="17" s="1"/>
  <c r="AV509" i="17" s="1"/>
  <c r="CD509" i="17" s="1"/>
  <c r="K515" i="7"/>
  <c r="T515" i="7" s="1"/>
  <c r="BX517" i="17"/>
  <c r="BY517" i="17" s="1"/>
  <c r="BZ517" i="17" s="1"/>
  <c r="BX518" i="17"/>
  <c r="BY518" i="17" s="1"/>
  <c r="BZ518" i="17" s="1"/>
  <c r="AZ519" i="17"/>
  <c r="BA519" i="17" s="1"/>
  <c r="BB519" i="17" s="1"/>
  <c r="K520" i="7"/>
  <c r="T520" i="7" s="1"/>
  <c r="AT520" i="17"/>
  <c r="AU520" i="17" s="1"/>
  <c r="AV520" i="17" s="1"/>
  <c r="AT521" i="17"/>
  <c r="AU521" i="17" s="1"/>
  <c r="AV521" i="17" s="1"/>
  <c r="S522" i="7"/>
  <c r="R524" i="7"/>
  <c r="Y524" i="7" s="1"/>
  <c r="AC524" i="7" s="1"/>
  <c r="Q526" i="7"/>
  <c r="X526" i="7" s="1"/>
  <c r="K528" i="7"/>
  <c r="T528" i="7" s="1"/>
  <c r="S530" i="7"/>
  <c r="R533" i="7"/>
  <c r="BX535" i="17"/>
  <c r="BY535" i="17" s="1"/>
  <c r="BZ535" i="17" s="1"/>
  <c r="BX536" i="17"/>
  <c r="BY536" i="17" s="1"/>
  <c r="BZ536" i="17" s="1"/>
  <c r="P538" i="7"/>
  <c r="AA538" i="7" s="1"/>
  <c r="BX537" i="17"/>
  <c r="BY537" i="17" s="1"/>
  <c r="BZ537" i="17" s="1"/>
  <c r="BX538" i="17"/>
  <c r="BY538" i="17" s="1"/>
  <c r="BZ538" i="17" s="1"/>
  <c r="P539" i="7"/>
  <c r="AA539" i="7" s="1"/>
  <c r="BX539" i="17"/>
  <c r="BY539" i="17" s="1"/>
  <c r="BZ539" i="17" s="1"/>
  <c r="BX540" i="17"/>
  <c r="BY540" i="17" s="1"/>
  <c r="BZ540" i="17" s="1"/>
  <c r="P542" i="7"/>
  <c r="AA542" i="7" s="1"/>
  <c r="BX542" i="17"/>
  <c r="BY542" i="17" s="1"/>
  <c r="BZ542" i="17" s="1"/>
  <c r="BX543" i="17"/>
  <c r="BY543" i="17" s="1"/>
  <c r="BZ543" i="17" s="1"/>
  <c r="Q544" i="7"/>
  <c r="X544" i="7" s="1"/>
  <c r="O546" i="7"/>
  <c r="Z546" i="7" s="1"/>
  <c r="BR546" i="17"/>
  <c r="BS546" i="17" s="1"/>
  <c r="BT546" i="17" s="1"/>
  <c r="N547" i="7"/>
  <c r="W547" i="7" s="1"/>
  <c r="BL547" i="17"/>
  <c r="BM547" i="17" s="1"/>
  <c r="BN547" i="17" s="1"/>
  <c r="BL548" i="17"/>
  <c r="BM548" i="17" s="1"/>
  <c r="BN548" i="17" s="1"/>
  <c r="AZ549" i="17"/>
  <c r="BA549" i="17" s="1"/>
  <c r="BB549" i="17" s="1"/>
  <c r="L550" i="7"/>
  <c r="U550" i="7" s="1"/>
  <c r="AZ550" i="17"/>
  <c r="BA550" i="17" s="1"/>
  <c r="BB550" i="17" s="1"/>
  <c r="K551" i="7"/>
  <c r="T551" i="7" s="1"/>
  <c r="AT551" i="17"/>
  <c r="AU551" i="17" s="1"/>
  <c r="AV551" i="17" s="1"/>
  <c r="P553" i="7"/>
  <c r="AA553" i="7" s="1"/>
  <c r="S554" i="7"/>
  <c r="BX556" i="17"/>
  <c r="BY556" i="17" s="1"/>
  <c r="BZ556" i="17" s="1"/>
  <c r="BX557" i="17"/>
  <c r="BY557" i="17" s="1"/>
  <c r="BZ557" i="17" s="1"/>
  <c r="BR558" i="17"/>
  <c r="BS558" i="17" s="1"/>
  <c r="BT558" i="17" s="1"/>
  <c r="N559" i="7"/>
  <c r="W559" i="7" s="1"/>
  <c r="BL559" i="17"/>
  <c r="BM559" i="17" s="1"/>
  <c r="BN559" i="17" s="1"/>
  <c r="N560" i="7"/>
  <c r="W560" i="7" s="1"/>
  <c r="BL560" i="17"/>
  <c r="BM560" i="17" s="1"/>
  <c r="BN560" i="17" s="1"/>
  <c r="N561" i="7"/>
  <c r="W561" i="7" s="1"/>
  <c r="BL561" i="17"/>
  <c r="BM561" i="17" s="1"/>
  <c r="BN561" i="17" s="1"/>
  <c r="BF562" i="17"/>
  <c r="BG562" i="17" s="1"/>
  <c r="BH562" i="17" s="1"/>
  <c r="AT563" i="17"/>
  <c r="AU563" i="17" s="1"/>
  <c r="AV563" i="17" s="1"/>
  <c r="CD563" i="17" s="1"/>
  <c r="AZ564" i="17"/>
  <c r="BA564" i="17" s="1"/>
  <c r="BB564" i="17" s="1"/>
  <c r="K567" i="7"/>
  <c r="T567" i="7" s="1"/>
  <c r="AT566" i="17"/>
  <c r="AU566" i="17" s="1"/>
  <c r="AV566" i="17" s="1"/>
  <c r="K568" i="7"/>
  <c r="T568" i="7" s="1"/>
  <c r="O571" i="7"/>
  <c r="Z571" i="7" s="1"/>
  <c r="BR571" i="17"/>
  <c r="BS571" i="17" s="1"/>
  <c r="BT571" i="17" s="1"/>
  <c r="BX572" i="17"/>
  <c r="BY572" i="17" s="1"/>
  <c r="BZ572" i="17" s="1"/>
  <c r="N573" i="7"/>
  <c r="W573" i="7" s="1"/>
  <c r="BL573" i="17"/>
  <c r="BM573" i="17" s="1"/>
  <c r="BN573" i="17" s="1"/>
  <c r="BR574" i="17"/>
  <c r="BS574" i="17" s="1"/>
  <c r="BT574" i="17" s="1"/>
  <c r="M575" i="7"/>
  <c r="V575" i="7" s="1"/>
  <c r="BF575" i="17"/>
  <c r="BG575" i="17" s="1"/>
  <c r="BH575" i="17" s="1"/>
  <c r="CD575" i="17" s="1"/>
  <c r="AZ576" i="17"/>
  <c r="BA576" i="17" s="1"/>
  <c r="BB576" i="17" s="1"/>
  <c r="AT577" i="17"/>
  <c r="AU577" i="17" s="1"/>
  <c r="AV577" i="17" s="1"/>
  <c r="P581" i="7"/>
  <c r="AA581" i="7" s="1"/>
  <c r="K583" i="7"/>
  <c r="T583" i="7" s="1"/>
  <c r="K584" i="7"/>
  <c r="T584" i="7" s="1"/>
  <c r="P585" i="7"/>
  <c r="AA585" i="7" s="1"/>
  <c r="S586" i="7"/>
  <c r="Q588" i="7"/>
  <c r="X588" i="7" s="1"/>
  <c r="BX589" i="17"/>
  <c r="BY589" i="17" s="1"/>
  <c r="BZ589" i="17" s="1"/>
  <c r="P590" i="7"/>
  <c r="AA590" i="7" s="1"/>
  <c r="BX590" i="17"/>
  <c r="BY590" i="17" s="1"/>
  <c r="BZ590" i="17" s="1"/>
  <c r="BX591" i="17"/>
  <c r="BY591" i="17" s="1"/>
  <c r="BZ591" i="17" s="1"/>
  <c r="CD591" i="17" s="1"/>
  <c r="BR592" i="17"/>
  <c r="BS592" i="17" s="1"/>
  <c r="BT592" i="17" s="1"/>
  <c r="O593" i="7"/>
  <c r="Z593" i="7" s="1"/>
  <c r="BR593" i="17"/>
  <c r="BS593" i="17" s="1"/>
  <c r="BT593" i="17" s="1"/>
  <c r="BF594" i="17"/>
  <c r="BG594" i="17" s="1"/>
  <c r="BH594" i="17" s="1"/>
  <c r="M596" i="7"/>
  <c r="V596" i="7" s="1"/>
  <c r="BF595" i="17"/>
  <c r="BG595" i="17" s="1"/>
  <c r="BH595" i="17" s="1"/>
  <c r="BF596" i="17"/>
  <c r="BG596" i="17" s="1"/>
  <c r="BH596" i="17" s="1"/>
  <c r="BF597" i="17"/>
  <c r="BG597" i="17" s="1"/>
  <c r="BH597" i="17" s="1"/>
  <c r="AT598" i="17"/>
  <c r="AU598" i="17" s="1"/>
  <c r="AV598" i="17" s="1"/>
  <c r="N599" i="7"/>
  <c r="W599" i="7" s="1"/>
  <c r="M600" i="7"/>
  <c r="V600" i="7" s="1"/>
  <c r="O604" i="7"/>
  <c r="Z604" i="7" s="1"/>
  <c r="O605" i="7"/>
  <c r="Z605" i="7" s="1"/>
  <c r="R607" i="7"/>
  <c r="Q608" i="7"/>
  <c r="X608" i="7" s="1"/>
  <c r="BR611" i="17"/>
  <c r="BS611" i="17" s="1"/>
  <c r="BT611" i="17" s="1"/>
  <c r="BF612" i="17"/>
  <c r="BG612" i="17" s="1"/>
  <c r="BH612" i="17" s="1"/>
  <c r="K613" i="7"/>
  <c r="T613" i="7" s="1"/>
  <c r="AT613" i="17"/>
  <c r="AU613" i="17" s="1"/>
  <c r="AV613" i="17" s="1"/>
  <c r="P614" i="7"/>
  <c r="AA614" i="7" s="1"/>
  <c r="O615" i="7"/>
  <c r="Z615" i="7" s="1"/>
  <c r="Q619" i="7"/>
  <c r="X619" i="7" s="1"/>
  <c r="BX619" i="17"/>
  <c r="BY619" i="17" s="1"/>
  <c r="BZ619" i="17" s="1"/>
  <c r="N620" i="7"/>
  <c r="W620" i="7" s="1"/>
  <c r="BL620" i="17"/>
  <c r="BM620" i="17" s="1"/>
  <c r="BN620" i="17" s="1"/>
  <c r="BL621" i="17"/>
  <c r="BM621" i="17" s="1"/>
  <c r="BN621" i="17" s="1"/>
  <c r="AZ622" i="17"/>
  <c r="BA622" i="17" s="1"/>
  <c r="BB622" i="17" s="1"/>
  <c r="AT623" i="17"/>
  <c r="AU623" i="17" s="1"/>
  <c r="AV623" i="17" s="1"/>
  <c r="AT626" i="17"/>
  <c r="AU626" i="17" s="1"/>
  <c r="AV626" i="17" s="1"/>
  <c r="P626" i="7"/>
  <c r="AA626" i="7" s="1"/>
  <c r="Q628" i="7"/>
  <c r="X628" i="7" s="1"/>
  <c r="BX629" i="17"/>
  <c r="BY629" i="17" s="1"/>
  <c r="BZ629" i="17" s="1"/>
  <c r="BF630" i="17"/>
  <c r="BG630" i="17" s="1"/>
  <c r="BH630" i="17" s="1"/>
  <c r="BF631" i="17"/>
  <c r="BG631" i="17" s="1"/>
  <c r="BH631" i="17" s="1"/>
  <c r="AT632" i="17"/>
  <c r="AU632" i="17" s="1"/>
  <c r="AV632" i="17" s="1"/>
  <c r="AT633" i="17"/>
  <c r="AU633" i="17" s="1"/>
  <c r="AV633" i="17" s="1"/>
  <c r="CD633" i="17" s="1"/>
  <c r="L635" i="7"/>
  <c r="U635" i="7" s="1"/>
  <c r="Q638" i="7"/>
  <c r="X638" i="7" s="1"/>
  <c r="BR640" i="17"/>
  <c r="BS640" i="17" s="1"/>
  <c r="BT640" i="17" s="1"/>
  <c r="O642" i="7"/>
  <c r="Z642" i="7" s="1"/>
  <c r="BR641" i="17"/>
  <c r="BS641" i="17" s="1"/>
  <c r="BT641" i="17" s="1"/>
  <c r="BF642" i="17"/>
  <c r="BG642" i="17" s="1"/>
  <c r="BH642" i="17" s="1"/>
  <c r="L643" i="7"/>
  <c r="U643" i="7" s="1"/>
  <c r="AZ643" i="17"/>
  <c r="BA643" i="17" s="1"/>
  <c r="BB643" i="17" s="1"/>
  <c r="P645" i="7"/>
  <c r="AA645" i="7" s="1"/>
  <c r="P646" i="7"/>
  <c r="AA646" i="7" s="1"/>
  <c r="K647" i="7"/>
  <c r="T647" i="7" s="1"/>
  <c r="BR650" i="17"/>
  <c r="BS650" i="17" s="1"/>
  <c r="BT650" i="17" s="1"/>
  <c r="CD650" i="17" s="1"/>
  <c r="O652" i="7"/>
  <c r="Z652" i="7" s="1"/>
  <c r="BR651" i="17"/>
  <c r="BS651" i="17" s="1"/>
  <c r="BT651" i="17" s="1"/>
  <c r="M652" i="7"/>
  <c r="V652" i="7" s="1"/>
  <c r="BF652" i="17"/>
  <c r="BG652" i="17" s="1"/>
  <c r="BH652" i="17" s="1"/>
  <c r="BF653" i="17"/>
  <c r="BG653" i="17" s="1"/>
  <c r="BH653" i="17" s="1"/>
  <c r="K654" i="7"/>
  <c r="T654" i="7" s="1"/>
  <c r="AT654" i="17"/>
  <c r="AU654" i="17" s="1"/>
  <c r="AV654" i="17" s="1"/>
  <c r="K657" i="7"/>
  <c r="T657" i="7" s="1"/>
  <c r="S659" i="7"/>
  <c r="AT667" i="17"/>
  <c r="AU667" i="17" s="1"/>
  <c r="AV667" i="17" s="1"/>
  <c r="O670" i="7"/>
  <c r="Z670" i="7" s="1"/>
  <c r="M672" i="7"/>
  <c r="V672" i="7" s="1"/>
  <c r="R673" i="7"/>
  <c r="BX677" i="17"/>
  <c r="BY677" i="17" s="1"/>
  <c r="BZ677" i="17" s="1"/>
  <c r="BR678" i="17"/>
  <c r="BS678" i="17" s="1"/>
  <c r="BT678" i="17" s="1"/>
  <c r="N679" i="7"/>
  <c r="W679" i="7" s="1"/>
  <c r="BL679" i="17"/>
  <c r="BM679" i="17" s="1"/>
  <c r="BN679" i="17" s="1"/>
  <c r="M680" i="7"/>
  <c r="V680" i="7" s="1"/>
  <c r="BF680" i="17"/>
  <c r="BG680" i="17" s="1"/>
  <c r="BH680" i="17" s="1"/>
  <c r="BL681" i="17"/>
  <c r="BM681" i="17" s="1"/>
  <c r="BN681" i="17" s="1"/>
  <c r="N682" i="7"/>
  <c r="W682" i="7" s="1"/>
  <c r="BL682" i="17"/>
  <c r="BM682" i="17" s="1"/>
  <c r="BN682" i="17" s="1"/>
  <c r="AZ683" i="17"/>
  <c r="BA683" i="17" s="1"/>
  <c r="BB683" i="17" s="1"/>
  <c r="M685" i="7"/>
  <c r="V685" i="7" s="1"/>
  <c r="S687" i="7"/>
  <c r="K700" i="7"/>
  <c r="T700" i="7" s="1"/>
  <c r="AT700" i="17"/>
  <c r="AU700" i="17" s="1"/>
  <c r="AV700" i="17" s="1"/>
  <c r="AZ701" i="17"/>
  <c r="BA701" i="17" s="1"/>
  <c r="BB701" i="17" s="1"/>
  <c r="M702" i="7"/>
  <c r="V702" i="7" s="1"/>
  <c r="BF702" i="17"/>
  <c r="BG702" i="17" s="1"/>
  <c r="BH702" i="17" s="1"/>
  <c r="BF703" i="17"/>
  <c r="BG703" i="17" s="1"/>
  <c r="BH703" i="17" s="1"/>
  <c r="N704" i="7"/>
  <c r="W704" i="7" s="1"/>
  <c r="BL704" i="17"/>
  <c r="BM704" i="17" s="1"/>
  <c r="BN704" i="17" s="1"/>
  <c r="O706" i="7"/>
  <c r="Z706" i="7" s="1"/>
  <c r="BR705" i="17"/>
  <c r="BS705" i="17" s="1"/>
  <c r="BT705" i="17" s="1"/>
  <c r="P706" i="7"/>
  <c r="AA706" i="7" s="1"/>
  <c r="BX706" i="17"/>
  <c r="BY706" i="17" s="1"/>
  <c r="BZ706" i="17" s="1"/>
  <c r="O707" i="7"/>
  <c r="Z707" i="7" s="1"/>
  <c r="BR707" i="17"/>
  <c r="BS707" i="17" s="1"/>
  <c r="BT707" i="17" s="1"/>
  <c r="BX708" i="17"/>
  <c r="BY708" i="17" s="1"/>
  <c r="BZ708" i="17" s="1"/>
  <c r="O709" i="7"/>
  <c r="Z709" i="7" s="1"/>
  <c r="BR709" i="17"/>
  <c r="BS709" i="17" s="1"/>
  <c r="BT709" i="17" s="1"/>
  <c r="BX710" i="17"/>
  <c r="BY710" i="17" s="1"/>
  <c r="BZ710" i="17" s="1"/>
  <c r="O712" i="7"/>
  <c r="Z712" i="7" s="1"/>
  <c r="BR712" i="17"/>
  <c r="BS712" i="17" s="1"/>
  <c r="BT712" i="17" s="1"/>
  <c r="P713" i="7"/>
  <c r="AA713" i="7" s="1"/>
  <c r="BX713" i="17"/>
  <c r="BY713" i="17" s="1"/>
  <c r="BZ713" i="17" s="1"/>
  <c r="BX714" i="17"/>
  <c r="BY714" i="17" s="1"/>
  <c r="BZ714" i="17" s="1"/>
  <c r="N715" i="7"/>
  <c r="W715" i="7" s="1"/>
  <c r="BL715" i="17"/>
  <c r="BM715" i="17" s="1"/>
  <c r="BN715" i="17" s="1"/>
  <c r="BF716" i="17"/>
  <c r="BG716" i="17" s="1"/>
  <c r="BH716" i="17" s="1"/>
  <c r="L717" i="7"/>
  <c r="U717" i="7" s="1"/>
  <c r="BF718" i="17"/>
  <c r="BG718" i="17" s="1"/>
  <c r="BH718" i="17" s="1"/>
  <c r="BF719" i="17"/>
  <c r="BG719" i="17" s="1"/>
  <c r="BH719" i="17" s="1"/>
  <c r="N720" i="7"/>
  <c r="W720" i="7" s="1"/>
  <c r="BL720" i="17"/>
  <c r="BM720" i="17" s="1"/>
  <c r="BN720" i="17" s="1"/>
  <c r="N721" i="7"/>
  <c r="W721" i="7" s="1"/>
  <c r="BL721" i="17"/>
  <c r="BM721" i="17" s="1"/>
  <c r="BN721" i="17" s="1"/>
  <c r="BF722" i="17"/>
  <c r="BG722" i="17" s="1"/>
  <c r="BH722" i="17" s="1"/>
  <c r="BF723" i="17"/>
  <c r="BG723" i="17" s="1"/>
  <c r="BH723" i="17" s="1"/>
  <c r="K725" i="7"/>
  <c r="T725" i="7" s="1"/>
  <c r="AT724" i="17"/>
  <c r="AU724" i="17" s="1"/>
  <c r="AV724" i="17" s="1"/>
  <c r="AZ725" i="17"/>
  <c r="BA725" i="17" s="1"/>
  <c r="BB725" i="17" s="1"/>
  <c r="BF726" i="17"/>
  <c r="BG726" i="17" s="1"/>
  <c r="BH726" i="17" s="1"/>
  <c r="AZ727" i="17"/>
  <c r="BA727" i="17" s="1"/>
  <c r="BB727" i="17" s="1"/>
  <c r="BF728" i="17"/>
  <c r="BG728" i="17" s="1"/>
  <c r="BH728" i="17" s="1"/>
  <c r="BL729" i="17"/>
  <c r="BM729" i="17" s="1"/>
  <c r="BN729" i="17" s="1"/>
  <c r="L730" i="7"/>
  <c r="U730" i="7" s="1"/>
  <c r="AZ730" i="17"/>
  <c r="BA730" i="17" s="1"/>
  <c r="BB730" i="17" s="1"/>
  <c r="BF731" i="17"/>
  <c r="BG731" i="17" s="1"/>
  <c r="BH731" i="17" s="1"/>
  <c r="BF732" i="17"/>
  <c r="BG732" i="17" s="1"/>
  <c r="BH732" i="17" s="1"/>
  <c r="AT734" i="17"/>
  <c r="AU734" i="17" s="1"/>
  <c r="AV734" i="17" s="1"/>
  <c r="K736" i="7"/>
  <c r="T736" i="7" s="1"/>
  <c r="AT736" i="17"/>
  <c r="AU736" i="17" s="1"/>
  <c r="AV736" i="17" s="1"/>
  <c r="AZ737" i="17"/>
  <c r="BA737" i="17" s="1"/>
  <c r="BB737" i="17" s="1"/>
  <c r="K742" i="7"/>
  <c r="T742" i="7" s="1"/>
  <c r="L751" i="7"/>
  <c r="U751" i="7" s="1"/>
  <c r="AZ750" i="17"/>
  <c r="BA750" i="17" s="1"/>
  <c r="BB750" i="17" s="1"/>
  <c r="AZ751" i="17"/>
  <c r="BA751" i="17" s="1"/>
  <c r="BB751" i="17" s="1"/>
  <c r="BF752" i="17"/>
  <c r="BG752" i="17" s="1"/>
  <c r="BH752" i="17" s="1"/>
  <c r="BF753" i="17"/>
  <c r="BG753" i="17" s="1"/>
  <c r="BH753" i="17" s="1"/>
  <c r="BF754" i="17"/>
  <c r="BG754" i="17" s="1"/>
  <c r="BH754" i="17" s="1"/>
  <c r="N756" i="7"/>
  <c r="W756" i="7" s="1"/>
  <c r="BL755" i="17"/>
  <c r="BM755" i="17" s="1"/>
  <c r="BN755" i="17" s="1"/>
  <c r="BL756" i="17"/>
  <c r="BM756" i="17" s="1"/>
  <c r="BN756" i="17" s="1"/>
  <c r="O757" i="7"/>
  <c r="Z757" i="7" s="1"/>
  <c r="BR757" i="17"/>
  <c r="BS757" i="17" s="1"/>
  <c r="BT757" i="17" s="1"/>
  <c r="BX758" i="17"/>
  <c r="BY758" i="17" s="1"/>
  <c r="BZ758" i="17" s="1"/>
  <c r="P759" i="7"/>
  <c r="AA759" i="7" s="1"/>
  <c r="BX759" i="17"/>
  <c r="BY759" i="17" s="1"/>
  <c r="BZ759" i="17" s="1"/>
  <c r="P760" i="7"/>
  <c r="AA760" i="7" s="1"/>
  <c r="BX760" i="17"/>
  <c r="BY760" i="17" s="1"/>
  <c r="BZ760" i="17" s="1"/>
  <c r="L769" i="7"/>
  <c r="U769" i="7" s="1"/>
  <c r="AZ769" i="17"/>
  <c r="BA769" i="17" s="1"/>
  <c r="BB769" i="17" s="1"/>
  <c r="L770" i="7"/>
  <c r="U770" i="7" s="1"/>
  <c r="M770" i="7"/>
  <c r="V770" i="7" s="1"/>
  <c r="BF770" i="17"/>
  <c r="BG770" i="17" s="1"/>
  <c r="BH770" i="17" s="1"/>
  <c r="BL771" i="17"/>
  <c r="BM771" i="17" s="1"/>
  <c r="BN771" i="17" s="1"/>
  <c r="BR772" i="17"/>
  <c r="BS772" i="17" s="1"/>
  <c r="BT772" i="17" s="1"/>
  <c r="BX773" i="17"/>
  <c r="BY773" i="17" s="1"/>
  <c r="BZ773" i="17" s="1"/>
  <c r="BF785" i="17"/>
  <c r="BG785" i="17" s="1"/>
  <c r="BH785" i="17" s="1"/>
  <c r="L814" i="7"/>
  <c r="U814" i="7" s="1"/>
  <c r="AZ814" i="17"/>
  <c r="BA814" i="17" s="1"/>
  <c r="BB814" i="17" s="1"/>
  <c r="O821" i="7"/>
  <c r="Z821" i="7" s="1"/>
  <c r="BR820" i="17"/>
  <c r="BS820" i="17" s="1"/>
  <c r="BT820" i="17" s="1"/>
  <c r="BR821" i="17"/>
  <c r="BS821" i="17" s="1"/>
  <c r="BT821" i="17" s="1"/>
  <c r="BX822" i="17"/>
  <c r="BY822" i="17" s="1"/>
  <c r="BZ822" i="17" s="1"/>
  <c r="S826" i="7"/>
  <c r="Y826" i="7" s="1"/>
  <c r="BX859" i="17"/>
  <c r="BY859" i="17" s="1"/>
  <c r="BZ859" i="17" s="1"/>
  <c r="BL877" i="17"/>
  <c r="BM877" i="17" s="1"/>
  <c r="BN877" i="17" s="1"/>
  <c r="BL772" i="17"/>
  <c r="BM772" i="17" s="1"/>
  <c r="BN772" i="17" s="1"/>
  <c r="BL773" i="17"/>
  <c r="BM773" i="17" s="1"/>
  <c r="BN773" i="17" s="1"/>
  <c r="M774" i="7"/>
  <c r="V774" i="7" s="1"/>
  <c r="BF774" i="17"/>
  <c r="BG774" i="17" s="1"/>
  <c r="BH774" i="17" s="1"/>
  <c r="L775" i="7"/>
  <c r="U775" i="7" s="1"/>
  <c r="AZ775" i="17"/>
  <c r="BA775" i="17" s="1"/>
  <c r="BB775" i="17" s="1"/>
  <c r="AZ776" i="17"/>
  <c r="BA776" i="17" s="1"/>
  <c r="BB776" i="17" s="1"/>
  <c r="L777" i="7"/>
  <c r="U777" i="7" s="1"/>
  <c r="AZ777" i="17"/>
  <c r="BA777" i="17" s="1"/>
  <c r="BB777" i="17" s="1"/>
  <c r="M778" i="7"/>
  <c r="V778" i="7" s="1"/>
  <c r="BF778" i="17"/>
  <c r="BG778" i="17" s="1"/>
  <c r="BH778" i="17" s="1"/>
  <c r="BF779" i="17"/>
  <c r="BG779" i="17" s="1"/>
  <c r="BH779" i="17" s="1"/>
  <c r="BF780" i="17"/>
  <c r="BG780" i="17" s="1"/>
  <c r="BH780" i="17" s="1"/>
  <c r="AT781" i="17"/>
  <c r="AU781" i="17" s="1"/>
  <c r="AV781" i="17" s="1"/>
  <c r="K791" i="7"/>
  <c r="T791" i="7" s="1"/>
  <c r="AT790" i="17"/>
  <c r="AU790" i="17" s="1"/>
  <c r="AV790" i="17" s="1"/>
  <c r="K792" i="7"/>
  <c r="T792" i="7" s="1"/>
  <c r="AT791" i="17"/>
  <c r="AU791" i="17" s="1"/>
  <c r="AV791" i="17" s="1"/>
  <c r="AT792" i="17"/>
  <c r="AU792" i="17" s="1"/>
  <c r="AV792" i="17" s="1"/>
  <c r="AZ793" i="17"/>
  <c r="BA793" i="17" s="1"/>
  <c r="BB793" i="17" s="1"/>
  <c r="K795" i="7"/>
  <c r="T795" i="7" s="1"/>
  <c r="AT795" i="17"/>
  <c r="AU795" i="17" s="1"/>
  <c r="AV795" i="17" s="1"/>
  <c r="K797" i="7"/>
  <c r="T797" i="7" s="1"/>
  <c r="AT797" i="17"/>
  <c r="AU797" i="17" s="1"/>
  <c r="AV797" i="17" s="1"/>
  <c r="AT798" i="17"/>
  <c r="AU798" i="17" s="1"/>
  <c r="AV798" i="17" s="1"/>
  <c r="K799" i="7"/>
  <c r="T799" i="7" s="1"/>
  <c r="AT799" i="17"/>
  <c r="AU799" i="17" s="1"/>
  <c r="AV799" i="17" s="1"/>
  <c r="P808" i="7"/>
  <c r="AA808" i="7" s="1"/>
  <c r="BX808" i="17"/>
  <c r="BY808" i="17" s="1"/>
  <c r="BZ808" i="17" s="1"/>
  <c r="P810" i="7"/>
  <c r="AA810" i="7" s="1"/>
  <c r="BX810" i="17"/>
  <c r="BY810" i="17" s="1"/>
  <c r="BZ810" i="17" s="1"/>
  <c r="BX811" i="17"/>
  <c r="BY811" i="17" s="1"/>
  <c r="BZ811" i="17" s="1"/>
  <c r="BR813" i="17"/>
  <c r="BS813" i="17" s="1"/>
  <c r="BT813" i="17" s="1"/>
  <c r="BR814" i="17"/>
  <c r="BS814" i="17" s="1"/>
  <c r="BT814" i="17" s="1"/>
  <c r="BL815" i="17"/>
  <c r="BM815" i="17" s="1"/>
  <c r="BN815" i="17" s="1"/>
  <c r="N816" i="7"/>
  <c r="W816" i="7" s="1"/>
  <c r="BL816" i="17"/>
  <c r="BM816" i="17" s="1"/>
  <c r="BN816" i="17" s="1"/>
  <c r="BL817" i="17"/>
  <c r="BM817" i="17" s="1"/>
  <c r="BN817" i="17" s="1"/>
  <c r="N818" i="7"/>
  <c r="W818" i="7" s="1"/>
  <c r="BL818" i="17"/>
  <c r="BM818" i="17" s="1"/>
  <c r="BN818" i="17" s="1"/>
  <c r="BR819" i="17"/>
  <c r="BS819" i="17" s="1"/>
  <c r="BT819" i="17" s="1"/>
  <c r="K820" i="7"/>
  <c r="T820" i="7" s="1"/>
  <c r="AT820" i="17"/>
  <c r="AU820" i="17" s="1"/>
  <c r="AV820" i="17" s="1"/>
  <c r="K821" i="7"/>
  <c r="T821" i="7" s="1"/>
  <c r="AT821" i="17"/>
  <c r="AU821" i="17" s="1"/>
  <c r="AV821" i="17" s="1"/>
  <c r="L822" i="7"/>
  <c r="U822" i="7" s="1"/>
  <c r="AZ822" i="17"/>
  <c r="BA822" i="17" s="1"/>
  <c r="BB822" i="17" s="1"/>
  <c r="S827" i="7"/>
  <c r="BX834" i="17"/>
  <c r="BY834" i="17" s="1"/>
  <c r="BZ834" i="17" s="1"/>
  <c r="O835" i="7"/>
  <c r="Z835" i="7" s="1"/>
  <c r="BR835" i="17"/>
  <c r="BS835" i="17" s="1"/>
  <c r="BT835" i="17" s="1"/>
  <c r="BR836" i="17"/>
  <c r="BS836" i="17" s="1"/>
  <c r="BT836" i="17" s="1"/>
  <c r="AT837" i="17"/>
  <c r="AU837" i="17" s="1"/>
  <c r="AV837" i="17" s="1"/>
  <c r="AT838" i="17"/>
  <c r="AU838" i="17" s="1"/>
  <c r="AV838" i="17" s="1"/>
  <c r="P846" i="7"/>
  <c r="AA846" i="7" s="1"/>
  <c r="BX845" i="17"/>
  <c r="BY845" i="17" s="1"/>
  <c r="BZ845" i="17" s="1"/>
  <c r="BX846" i="17"/>
  <c r="BY846" i="17" s="1"/>
  <c r="BZ846" i="17" s="1"/>
  <c r="BF848" i="17"/>
  <c r="BG848" i="17" s="1"/>
  <c r="BH848" i="17" s="1"/>
  <c r="AZ849" i="17"/>
  <c r="BA849" i="17" s="1"/>
  <c r="BB849" i="17" s="1"/>
  <c r="AZ850" i="17"/>
  <c r="BA850" i="17" s="1"/>
  <c r="BB850" i="17" s="1"/>
  <c r="S866" i="7"/>
  <c r="P878" i="7"/>
  <c r="AA878" i="7" s="1"/>
  <c r="BX878" i="17"/>
  <c r="BY878" i="17" s="1"/>
  <c r="BZ878" i="17" s="1"/>
  <c r="BX879" i="17"/>
  <c r="BY879" i="17" s="1"/>
  <c r="BZ879" i="17" s="1"/>
  <c r="BF880" i="17"/>
  <c r="BG880" i="17" s="1"/>
  <c r="BH880" i="17" s="1"/>
  <c r="K881" i="7"/>
  <c r="T881" i="7" s="1"/>
  <c r="AT881" i="17"/>
  <c r="AU881" i="17" s="1"/>
  <c r="AV881" i="17" s="1"/>
  <c r="L882" i="7"/>
  <c r="U882" i="7" s="1"/>
  <c r="AZ882" i="17"/>
  <c r="BA882" i="17" s="1"/>
  <c r="BB882" i="17" s="1"/>
  <c r="AZ883" i="17"/>
  <c r="BA883" i="17" s="1"/>
  <c r="BB883" i="17" s="1"/>
  <c r="L884" i="7"/>
  <c r="U884" i="7" s="1"/>
  <c r="AZ884" i="17"/>
  <c r="BA884" i="17" s="1"/>
  <c r="BB884" i="17" s="1"/>
  <c r="AT885" i="17"/>
  <c r="AU885" i="17" s="1"/>
  <c r="AV885" i="17" s="1"/>
  <c r="AT889" i="17"/>
  <c r="AU889" i="17" s="1"/>
  <c r="AV889" i="17" s="1"/>
  <c r="AZ890" i="17"/>
  <c r="BA890" i="17" s="1"/>
  <c r="BB890" i="17" s="1"/>
  <c r="AT891" i="17"/>
  <c r="AU891" i="17" s="1"/>
  <c r="AV891" i="17" s="1"/>
  <c r="AT894" i="17"/>
  <c r="AU894" i="17" s="1"/>
  <c r="AV894" i="17" s="1"/>
  <c r="K895" i="7"/>
  <c r="T895" i="7" s="1"/>
  <c r="AT895" i="17"/>
  <c r="AU895" i="17" s="1"/>
  <c r="AV895" i="17" s="1"/>
  <c r="L896" i="7"/>
  <c r="U896" i="7" s="1"/>
  <c r="AZ896" i="17"/>
  <c r="BA896" i="17" s="1"/>
  <c r="BB896" i="17" s="1"/>
  <c r="AZ897" i="17"/>
  <c r="BA897" i="17" s="1"/>
  <c r="BB897" i="17" s="1"/>
  <c r="AT898" i="17"/>
  <c r="AU898" i="17" s="1"/>
  <c r="AV898" i="17" s="1"/>
  <c r="S905" i="7"/>
  <c r="BR911" i="17"/>
  <c r="BS911" i="17" s="1"/>
  <c r="BT911" i="17" s="1"/>
  <c r="AZ912" i="17"/>
  <c r="BA912" i="17" s="1"/>
  <c r="BB912" i="17" s="1"/>
  <c r="AZ914" i="17"/>
  <c r="BA914" i="17" s="1"/>
  <c r="BB914" i="17" s="1"/>
  <c r="AZ916" i="17"/>
  <c r="BA916" i="17" s="1"/>
  <c r="BB916" i="17" s="1"/>
  <c r="AZ918" i="17"/>
  <c r="BA918" i="17" s="1"/>
  <c r="BB918" i="17" s="1"/>
  <c r="AZ920" i="17"/>
  <c r="BA920" i="17" s="1"/>
  <c r="BB920" i="17" s="1"/>
  <c r="AZ922" i="17"/>
  <c r="BA922" i="17" s="1"/>
  <c r="BB922" i="17" s="1"/>
  <c r="AZ924" i="17"/>
  <c r="BA924" i="17" s="1"/>
  <c r="BB924" i="17" s="1"/>
  <c r="AZ926" i="17"/>
  <c r="BA926" i="17" s="1"/>
  <c r="BB926" i="17" s="1"/>
  <c r="AZ928" i="17"/>
  <c r="BA928" i="17" s="1"/>
  <c r="BB928" i="17" s="1"/>
  <c r="AZ930" i="17"/>
  <c r="BA930" i="17" s="1"/>
  <c r="BB930" i="17" s="1"/>
  <c r="AZ932" i="17"/>
  <c r="BA932" i="17" s="1"/>
  <c r="BB932" i="17" s="1"/>
  <c r="AZ934" i="17"/>
  <c r="BA934" i="17" s="1"/>
  <c r="BB934" i="17" s="1"/>
  <c r="AZ936" i="17"/>
  <c r="BA936" i="17" s="1"/>
  <c r="BB936" i="17" s="1"/>
  <c r="AZ938" i="17"/>
  <c r="BA938" i="17" s="1"/>
  <c r="BB938" i="17" s="1"/>
  <c r="AZ940" i="17"/>
  <c r="BA940" i="17" s="1"/>
  <c r="BB940" i="17" s="1"/>
  <c r="AZ942" i="17"/>
  <c r="BA942" i="17" s="1"/>
  <c r="BB942" i="17" s="1"/>
  <c r="AZ944" i="17"/>
  <c r="BA944" i="17" s="1"/>
  <c r="BB944" i="17" s="1"/>
  <c r="AZ946" i="17"/>
  <c r="BA946" i="17" s="1"/>
  <c r="BB946" i="17" s="1"/>
  <c r="AZ948" i="17"/>
  <c r="BA948" i="17" s="1"/>
  <c r="BB948" i="17" s="1"/>
  <c r="AZ950" i="17"/>
  <c r="BA950" i="17" s="1"/>
  <c r="BB950" i="17" s="1"/>
  <c r="AZ952" i="17"/>
  <c r="BA952" i="17" s="1"/>
  <c r="BB952" i="17" s="1"/>
  <c r="AZ954" i="17"/>
  <c r="BA954" i="17" s="1"/>
  <c r="BB954" i="17" s="1"/>
  <c r="AZ956" i="17"/>
  <c r="BA956" i="17" s="1"/>
  <c r="BB956" i="17" s="1"/>
  <c r="AZ958" i="17"/>
  <c r="BA958" i="17" s="1"/>
  <c r="BB958" i="17" s="1"/>
  <c r="AZ960" i="17"/>
  <c r="BA960" i="17" s="1"/>
  <c r="BB960" i="17" s="1"/>
  <c r="AZ962" i="17"/>
  <c r="BA962" i="17" s="1"/>
  <c r="BB962" i="17" s="1"/>
  <c r="AZ964" i="17"/>
  <c r="BA964" i="17" s="1"/>
  <c r="BB964" i="17" s="1"/>
  <c r="AZ966" i="17"/>
  <c r="BA966" i="17" s="1"/>
  <c r="BB966" i="17" s="1"/>
  <c r="AZ968" i="17"/>
  <c r="BA968" i="17" s="1"/>
  <c r="BB968" i="17" s="1"/>
  <c r="AZ970" i="17"/>
  <c r="BA970" i="17" s="1"/>
  <c r="BB970" i="17" s="1"/>
  <c r="AZ972" i="17"/>
  <c r="BA972" i="17" s="1"/>
  <c r="BB972" i="17" s="1"/>
  <c r="AZ974" i="17"/>
  <c r="BA974" i="17" s="1"/>
  <c r="BB974" i="17" s="1"/>
  <c r="AZ976" i="17"/>
  <c r="BA976" i="17" s="1"/>
  <c r="BB976" i="17" s="1"/>
  <c r="AZ978" i="17"/>
  <c r="BA978" i="17" s="1"/>
  <c r="BB978" i="17" s="1"/>
  <c r="AZ980" i="17"/>
  <c r="BA980" i="17" s="1"/>
  <c r="BB980" i="17" s="1"/>
  <c r="AZ982" i="17"/>
  <c r="BA982" i="17" s="1"/>
  <c r="BB982" i="17" s="1"/>
  <c r="AZ984" i="17"/>
  <c r="BA984" i="17" s="1"/>
  <c r="BB984" i="17" s="1"/>
  <c r="AZ986" i="17"/>
  <c r="BA986" i="17" s="1"/>
  <c r="BB986" i="17" s="1"/>
  <c r="AZ988" i="17"/>
  <c r="BA988" i="17" s="1"/>
  <c r="BB988" i="17" s="1"/>
  <c r="AZ990" i="17"/>
  <c r="BA990" i="17" s="1"/>
  <c r="BB990" i="17" s="1"/>
  <c r="AZ992" i="17"/>
  <c r="BA992" i="17" s="1"/>
  <c r="BB992" i="17" s="1"/>
  <c r="AZ994" i="17"/>
  <c r="BA994" i="17" s="1"/>
  <c r="BB994" i="17" s="1"/>
  <c r="AZ996" i="17"/>
  <c r="BA996" i="17" s="1"/>
  <c r="BB996" i="17" s="1"/>
  <c r="AZ998" i="17"/>
  <c r="BA998" i="17" s="1"/>
  <c r="BB998" i="17" s="1"/>
  <c r="AZ1000" i="17"/>
  <c r="BA1000" i="17" s="1"/>
  <c r="BB1000" i="17" s="1"/>
  <c r="AZ1002" i="17"/>
  <c r="BA1002" i="17" s="1"/>
  <c r="BB1002" i="17" s="1"/>
  <c r="AZ1004" i="17"/>
  <c r="BA1004" i="17" s="1"/>
  <c r="BB1004" i="17" s="1"/>
  <c r="AZ1006" i="17"/>
  <c r="BA1006" i="17" s="1"/>
  <c r="BB1006" i="17" s="1"/>
  <c r="AZ1008" i="17"/>
  <c r="BA1008" i="17" s="1"/>
  <c r="BB1008" i="17" s="1"/>
  <c r="BL779" i="17"/>
  <c r="BM779" i="17" s="1"/>
  <c r="BN779" i="17" s="1"/>
  <c r="BL780" i="17"/>
  <c r="BM780" i="17" s="1"/>
  <c r="BN780" i="17" s="1"/>
  <c r="L781" i="7"/>
  <c r="U781" i="7" s="1"/>
  <c r="AZ781" i="17"/>
  <c r="BA781" i="17" s="1"/>
  <c r="BB781" i="17" s="1"/>
  <c r="AT782" i="17"/>
  <c r="AU782" i="17" s="1"/>
  <c r="AV782" i="17" s="1"/>
  <c r="AT788" i="17"/>
  <c r="AU788" i="17" s="1"/>
  <c r="AV788" i="17" s="1"/>
  <c r="K789" i="7"/>
  <c r="T789" i="7" s="1"/>
  <c r="AT789" i="17"/>
  <c r="AU789" i="17" s="1"/>
  <c r="AV789" i="17" s="1"/>
  <c r="AZ790" i="17"/>
  <c r="BA790" i="17" s="1"/>
  <c r="BB790" i="17" s="1"/>
  <c r="AZ791" i="17"/>
  <c r="BA791" i="17" s="1"/>
  <c r="BB791" i="17" s="1"/>
  <c r="L792" i="7"/>
  <c r="U792" i="7" s="1"/>
  <c r="AZ792" i="17"/>
  <c r="BA792" i="17" s="1"/>
  <c r="BB792" i="17" s="1"/>
  <c r="BF793" i="17"/>
  <c r="BG793" i="17" s="1"/>
  <c r="BH793" i="17" s="1"/>
  <c r="AT794" i="17"/>
  <c r="AU794" i="17" s="1"/>
  <c r="AV794" i="17" s="1"/>
  <c r="AZ795" i="17"/>
  <c r="BA795" i="17" s="1"/>
  <c r="BB795" i="17" s="1"/>
  <c r="AT796" i="17"/>
  <c r="AU796" i="17" s="1"/>
  <c r="AV796" i="17" s="1"/>
  <c r="AZ797" i="17"/>
  <c r="BA797" i="17" s="1"/>
  <c r="BB797" i="17" s="1"/>
  <c r="AZ798" i="17"/>
  <c r="BA798" i="17" s="1"/>
  <c r="BB798" i="17" s="1"/>
  <c r="L799" i="7"/>
  <c r="U799" i="7" s="1"/>
  <c r="AZ799" i="17"/>
  <c r="BA799" i="17" s="1"/>
  <c r="BB799" i="17" s="1"/>
  <c r="AT803" i="17"/>
  <c r="AU803" i="17" s="1"/>
  <c r="AV803" i="17" s="1"/>
  <c r="BX813" i="17"/>
  <c r="BY813" i="17" s="1"/>
  <c r="BZ813" i="17" s="1"/>
  <c r="BX814" i="17"/>
  <c r="BY814" i="17" s="1"/>
  <c r="BZ814" i="17" s="1"/>
  <c r="O815" i="7"/>
  <c r="Z815" i="7" s="1"/>
  <c r="BR815" i="17"/>
  <c r="BS815" i="17" s="1"/>
  <c r="BT815" i="17" s="1"/>
  <c r="O816" i="7"/>
  <c r="Z816" i="7" s="1"/>
  <c r="BR816" i="17"/>
  <c r="BS816" i="17" s="1"/>
  <c r="BT816" i="17" s="1"/>
  <c r="BR817" i="17"/>
  <c r="BS817" i="17" s="1"/>
  <c r="BT817" i="17" s="1"/>
  <c r="O818" i="7"/>
  <c r="Z818" i="7" s="1"/>
  <c r="BR818" i="17"/>
  <c r="BS818" i="17" s="1"/>
  <c r="BT818" i="17" s="1"/>
  <c r="BX819" i="17"/>
  <c r="BY819" i="17" s="1"/>
  <c r="BZ819" i="17" s="1"/>
  <c r="AZ820" i="17"/>
  <c r="BA820" i="17" s="1"/>
  <c r="BB820" i="17" s="1"/>
  <c r="AZ821" i="17"/>
  <c r="BA821" i="17" s="1"/>
  <c r="BB821" i="17" s="1"/>
  <c r="BF822" i="17"/>
  <c r="BG822" i="17" s="1"/>
  <c r="BH822" i="17" s="1"/>
  <c r="K825" i="7"/>
  <c r="T825" i="7" s="1"/>
  <c r="AT824" i="17"/>
  <c r="AU824" i="17" s="1"/>
  <c r="AV824" i="17" s="1"/>
  <c r="AT825" i="17"/>
  <c r="AU825" i="17" s="1"/>
  <c r="AV825" i="17" s="1"/>
  <c r="AT826" i="17"/>
  <c r="AU826" i="17" s="1"/>
  <c r="AV826" i="17" s="1"/>
  <c r="S832" i="7"/>
  <c r="P835" i="7"/>
  <c r="AA835" i="7" s="1"/>
  <c r="BX835" i="17"/>
  <c r="BY835" i="17" s="1"/>
  <c r="BZ835" i="17" s="1"/>
  <c r="BX836" i="17"/>
  <c r="BY836" i="17" s="1"/>
  <c r="BZ836" i="17" s="1"/>
  <c r="AZ837" i="17"/>
  <c r="BA837" i="17" s="1"/>
  <c r="BB837" i="17" s="1"/>
  <c r="CD837" i="17" s="1"/>
  <c r="AZ838" i="17"/>
  <c r="BA838" i="17" s="1"/>
  <c r="BB838" i="17" s="1"/>
  <c r="CD838" i="17" s="1"/>
  <c r="AT839" i="17"/>
  <c r="AU839" i="17" s="1"/>
  <c r="AV839" i="17" s="1"/>
  <c r="Q846" i="7"/>
  <c r="X846" i="7" s="1"/>
  <c r="BL848" i="17"/>
  <c r="BM848" i="17" s="1"/>
  <c r="BN848" i="17" s="1"/>
  <c r="BF849" i="17"/>
  <c r="BG849" i="17" s="1"/>
  <c r="BH849" i="17" s="1"/>
  <c r="M850" i="7"/>
  <c r="V850" i="7" s="1"/>
  <c r="BF850" i="17"/>
  <c r="BG850" i="17" s="1"/>
  <c r="BH850" i="17" s="1"/>
  <c r="AT852" i="17"/>
  <c r="AU852" i="17" s="1"/>
  <c r="AV852" i="17" s="1"/>
  <c r="S858" i="7"/>
  <c r="S863" i="7"/>
  <c r="K874" i="7"/>
  <c r="T874" i="7" s="1"/>
  <c r="AT874" i="17"/>
  <c r="AU874" i="17" s="1"/>
  <c r="AV874" i="17" s="1"/>
  <c r="BL880" i="17"/>
  <c r="BM880" i="17" s="1"/>
  <c r="BN880" i="17" s="1"/>
  <c r="AZ881" i="17"/>
  <c r="BA881" i="17" s="1"/>
  <c r="BB881" i="17" s="1"/>
  <c r="M882" i="7"/>
  <c r="V882" i="7" s="1"/>
  <c r="BF882" i="17"/>
  <c r="BG882" i="17" s="1"/>
  <c r="BH882" i="17" s="1"/>
  <c r="BF883" i="17"/>
  <c r="BG883" i="17" s="1"/>
  <c r="BH883" i="17" s="1"/>
  <c r="M884" i="7"/>
  <c r="V884" i="7" s="1"/>
  <c r="BF884" i="17"/>
  <c r="BG884" i="17" s="1"/>
  <c r="BH884" i="17" s="1"/>
  <c r="AZ885" i="17"/>
  <c r="BA885" i="17" s="1"/>
  <c r="BB885" i="17" s="1"/>
  <c r="K889" i="7"/>
  <c r="T889" i="7" s="1"/>
  <c r="AT888" i="17"/>
  <c r="AU888" i="17" s="1"/>
  <c r="AV888" i="17" s="1"/>
  <c r="AZ889" i="17"/>
  <c r="BA889" i="17" s="1"/>
  <c r="BB889" i="17" s="1"/>
  <c r="M890" i="7"/>
  <c r="V890" i="7" s="1"/>
  <c r="BF890" i="17"/>
  <c r="BG890" i="17" s="1"/>
  <c r="BH890" i="17" s="1"/>
  <c r="AZ891" i="17"/>
  <c r="BA891" i="17" s="1"/>
  <c r="BB891" i="17" s="1"/>
  <c r="AT892" i="17"/>
  <c r="AU892" i="17" s="1"/>
  <c r="AV892" i="17" s="1"/>
  <c r="AT893" i="17"/>
  <c r="AU893" i="17" s="1"/>
  <c r="AV893" i="17" s="1"/>
  <c r="L894" i="7"/>
  <c r="U894" i="7" s="1"/>
  <c r="AZ894" i="17"/>
  <c r="BA894" i="17" s="1"/>
  <c r="BB894" i="17" s="1"/>
  <c r="AZ1145" i="17"/>
  <c r="BA1145" i="17" s="1"/>
  <c r="BB1145" i="17" s="1"/>
  <c r="L895" i="7"/>
  <c r="U895" i="7" s="1"/>
  <c r="AZ895" i="17"/>
  <c r="BA895" i="17" s="1"/>
  <c r="BB895" i="17" s="1"/>
  <c r="BF896" i="17"/>
  <c r="BG896" i="17" s="1"/>
  <c r="BH896" i="17" s="1"/>
  <c r="BF897" i="17"/>
  <c r="BG897" i="17" s="1"/>
  <c r="BH897" i="17" s="1"/>
  <c r="L898" i="7"/>
  <c r="U898" i="7" s="1"/>
  <c r="AZ898" i="17"/>
  <c r="BA898" i="17" s="1"/>
  <c r="BB898" i="17" s="1"/>
  <c r="AT899" i="17"/>
  <c r="AU899" i="17" s="1"/>
  <c r="AV899" i="17" s="1"/>
  <c r="S907" i="7"/>
  <c r="S910" i="7"/>
  <c r="P911" i="7"/>
  <c r="AA911" i="7" s="1"/>
  <c r="BX911" i="17"/>
  <c r="BY911" i="17" s="1"/>
  <c r="BZ911" i="17" s="1"/>
  <c r="BF912" i="17"/>
  <c r="BG912" i="17" s="1"/>
  <c r="BH912" i="17" s="1"/>
  <c r="BF914" i="17"/>
  <c r="BG914" i="17" s="1"/>
  <c r="BH914" i="17" s="1"/>
  <c r="BF916" i="17"/>
  <c r="BG916" i="17" s="1"/>
  <c r="BH916" i="17" s="1"/>
  <c r="BF918" i="17"/>
  <c r="BG918" i="17" s="1"/>
  <c r="BH918" i="17" s="1"/>
  <c r="BF920" i="17"/>
  <c r="BG920" i="17" s="1"/>
  <c r="BH920" i="17" s="1"/>
  <c r="BF922" i="17"/>
  <c r="BG922" i="17" s="1"/>
  <c r="BH922" i="17" s="1"/>
  <c r="BF924" i="17"/>
  <c r="BG924" i="17" s="1"/>
  <c r="BH924" i="17" s="1"/>
  <c r="BF926" i="17"/>
  <c r="BG926" i="17" s="1"/>
  <c r="BH926" i="17" s="1"/>
  <c r="BF928" i="17"/>
  <c r="BG928" i="17" s="1"/>
  <c r="BH928" i="17" s="1"/>
  <c r="BF930" i="17"/>
  <c r="BG930" i="17" s="1"/>
  <c r="BH930" i="17" s="1"/>
  <c r="BF932" i="17"/>
  <c r="BG932" i="17" s="1"/>
  <c r="BH932" i="17" s="1"/>
  <c r="BF934" i="17"/>
  <c r="BG934" i="17" s="1"/>
  <c r="BH934" i="17" s="1"/>
  <c r="BF936" i="17"/>
  <c r="BG936" i="17" s="1"/>
  <c r="BH936" i="17" s="1"/>
  <c r="BF938" i="17"/>
  <c r="BG938" i="17" s="1"/>
  <c r="BH938" i="17" s="1"/>
  <c r="BF940" i="17"/>
  <c r="BG940" i="17" s="1"/>
  <c r="BH940" i="17" s="1"/>
  <c r="BF942" i="17"/>
  <c r="BG942" i="17" s="1"/>
  <c r="BH942" i="17" s="1"/>
  <c r="BF944" i="17"/>
  <c r="BG944" i="17" s="1"/>
  <c r="BH944" i="17" s="1"/>
  <c r="BF946" i="17"/>
  <c r="BG946" i="17" s="1"/>
  <c r="BH946" i="17" s="1"/>
  <c r="BF948" i="17"/>
  <c r="BG948" i="17" s="1"/>
  <c r="BH948" i="17" s="1"/>
  <c r="BF950" i="17"/>
  <c r="BG950" i="17" s="1"/>
  <c r="BH950" i="17" s="1"/>
  <c r="BF952" i="17"/>
  <c r="BG952" i="17" s="1"/>
  <c r="BH952" i="17" s="1"/>
  <c r="BF954" i="17"/>
  <c r="BG954" i="17" s="1"/>
  <c r="BH954" i="17" s="1"/>
  <c r="BF956" i="17"/>
  <c r="BG956" i="17" s="1"/>
  <c r="BH956" i="17" s="1"/>
  <c r="BF958" i="17"/>
  <c r="BG958" i="17" s="1"/>
  <c r="BH958" i="17" s="1"/>
  <c r="BF960" i="17"/>
  <c r="BG960" i="17" s="1"/>
  <c r="BH960" i="17" s="1"/>
  <c r="BF962" i="17"/>
  <c r="BG962" i="17" s="1"/>
  <c r="BH962" i="17" s="1"/>
  <c r="BF964" i="17"/>
  <c r="BG964" i="17" s="1"/>
  <c r="BH964" i="17" s="1"/>
  <c r="BF966" i="17"/>
  <c r="BG966" i="17" s="1"/>
  <c r="BH966" i="17" s="1"/>
  <c r="BF968" i="17"/>
  <c r="BG968" i="17" s="1"/>
  <c r="BH968" i="17" s="1"/>
  <c r="BF970" i="17"/>
  <c r="BG970" i="17" s="1"/>
  <c r="BH970" i="17" s="1"/>
  <c r="BF972" i="17"/>
  <c r="BG972" i="17" s="1"/>
  <c r="BH972" i="17" s="1"/>
  <c r="BF974" i="17"/>
  <c r="BG974" i="17" s="1"/>
  <c r="BH974" i="17" s="1"/>
  <c r="BF976" i="17"/>
  <c r="BG976" i="17" s="1"/>
  <c r="BH976" i="17" s="1"/>
  <c r="BF978" i="17"/>
  <c r="BG978" i="17" s="1"/>
  <c r="BH978" i="17" s="1"/>
  <c r="BF980" i="17"/>
  <c r="BG980" i="17" s="1"/>
  <c r="BH980" i="17" s="1"/>
  <c r="BF982" i="17"/>
  <c r="BG982" i="17" s="1"/>
  <c r="BH982" i="17" s="1"/>
  <c r="BF984" i="17"/>
  <c r="BG984" i="17" s="1"/>
  <c r="BH984" i="17" s="1"/>
  <c r="BF986" i="17"/>
  <c r="BG986" i="17" s="1"/>
  <c r="BH986" i="17" s="1"/>
  <c r="BF988" i="17"/>
  <c r="BG988" i="17" s="1"/>
  <c r="BH988" i="17" s="1"/>
  <c r="BF990" i="17"/>
  <c r="BG990" i="17" s="1"/>
  <c r="BH990" i="17" s="1"/>
  <c r="BF992" i="17"/>
  <c r="BG992" i="17" s="1"/>
  <c r="BH992" i="17" s="1"/>
  <c r="BF994" i="17"/>
  <c r="BG994" i="17" s="1"/>
  <c r="BH994" i="17" s="1"/>
  <c r="BF996" i="17"/>
  <c r="BG996" i="17" s="1"/>
  <c r="BH996" i="17" s="1"/>
  <c r="BF998" i="17"/>
  <c r="BG998" i="17" s="1"/>
  <c r="BH998" i="17" s="1"/>
  <c r="BF1000" i="17"/>
  <c r="BG1000" i="17" s="1"/>
  <c r="BH1000" i="17" s="1"/>
  <c r="BF1002" i="17"/>
  <c r="BG1002" i="17" s="1"/>
  <c r="BH1002" i="17" s="1"/>
  <c r="BF1004" i="17"/>
  <c r="BG1004" i="17" s="1"/>
  <c r="BH1004" i="17" s="1"/>
  <c r="BF1006" i="17"/>
  <c r="BG1006" i="17" s="1"/>
  <c r="BH1006" i="17" s="1"/>
  <c r="BF1008" i="17"/>
  <c r="BG1008" i="17" s="1"/>
  <c r="BH1008" i="17" s="1"/>
  <c r="BF1010" i="17"/>
  <c r="BG1010" i="17" s="1"/>
  <c r="BH1010" i="17" s="1"/>
  <c r="BF1012" i="17"/>
  <c r="BG1012" i="17" s="1"/>
  <c r="BH1012" i="17" s="1"/>
  <c r="BF1014" i="17"/>
  <c r="BG1014" i="17" s="1"/>
  <c r="BH1014" i="17" s="1"/>
  <c r="BF1016" i="17"/>
  <c r="BG1016" i="17" s="1"/>
  <c r="BH1016" i="17" s="1"/>
  <c r="BF1018" i="17"/>
  <c r="BG1018" i="17" s="1"/>
  <c r="BH1018" i="17" s="1"/>
  <c r="BF1020" i="17"/>
  <c r="BG1020" i="17" s="1"/>
  <c r="BH1020" i="17" s="1"/>
  <c r="BF1022" i="17"/>
  <c r="BG1022" i="17" s="1"/>
  <c r="BH1022" i="17" s="1"/>
  <c r="BF1024" i="17"/>
  <c r="BG1024" i="17" s="1"/>
  <c r="BH1024" i="17" s="1"/>
  <c r="BF1026" i="17"/>
  <c r="BG1026" i="17" s="1"/>
  <c r="BH1026" i="17" s="1"/>
  <c r="BF1028" i="17"/>
  <c r="BG1028" i="17" s="1"/>
  <c r="BH1028" i="17" s="1"/>
  <c r="BF1030" i="17"/>
  <c r="BG1030" i="17" s="1"/>
  <c r="BH1030" i="17" s="1"/>
  <c r="BF1032" i="17"/>
  <c r="BG1032" i="17" s="1"/>
  <c r="BH1032" i="17" s="1"/>
  <c r="BR779" i="17"/>
  <c r="BS779" i="17" s="1"/>
  <c r="BT779" i="17" s="1"/>
  <c r="O780" i="7"/>
  <c r="Z780" i="7" s="1"/>
  <c r="BR780" i="17"/>
  <c r="BS780" i="17" s="1"/>
  <c r="BT780" i="17" s="1"/>
  <c r="M781" i="7"/>
  <c r="V781" i="7" s="1"/>
  <c r="BF781" i="17"/>
  <c r="BG781" i="17" s="1"/>
  <c r="BH781" i="17" s="1"/>
  <c r="L783" i="7"/>
  <c r="U783" i="7" s="1"/>
  <c r="AZ782" i="17"/>
  <c r="BA782" i="17" s="1"/>
  <c r="BB782" i="17" s="1"/>
  <c r="AT783" i="17"/>
  <c r="AU783" i="17" s="1"/>
  <c r="AV783" i="17" s="1"/>
  <c r="K784" i="7"/>
  <c r="T784" i="7" s="1"/>
  <c r="AT784" i="17"/>
  <c r="AU784" i="17" s="1"/>
  <c r="AV784" i="17" s="1"/>
  <c r="AT785" i="17"/>
  <c r="AU785" i="17" s="1"/>
  <c r="AV785" i="17" s="1"/>
  <c r="AT787" i="17"/>
  <c r="AU787" i="17" s="1"/>
  <c r="AV787" i="17" s="1"/>
  <c r="AZ788" i="17"/>
  <c r="BA788" i="17" s="1"/>
  <c r="BB788" i="17" s="1"/>
  <c r="AZ789" i="17"/>
  <c r="BA789" i="17" s="1"/>
  <c r="BB789" i="17" s="1"/>
  <c r="BF790" i="17"/>
  <c r="BG790" i="17" s="1"/>
  <c r="BH790" i="17" s="1"/>
  <c r="BF791" i="17"/>
  <c r="BG791" i="17" s="1"/>
  <c r="BH791" i="17" s="1"/>
  <c r="BF792" i="17"/>
  <c r="BG792" i="17" s="1"/>
  <c r="BH792" i="17" s="1"/>
  <c r="BL793" i="17"/>
  <c r="BM793" i="17" s="1"/>
  <c r="BN793" i="17" s="1"/>
  <c r="AZ794" i="17"/>
  <c r="BA794" i="17" s="1"/>
  <c r="BB794" i="17" s="1"/>
  <c r="BF795" i="17"/>
  <c r="BG795" i="17" s="1"/>
  <c r="BH795" i="17" s="1"/>
  <c r="L796" i="7"/>
  <c r="U796" i="7" s="1"/>
  <c r="AZ796" i="17"/>
  <c r="BA796" i="17" s="1"/>
  <c r="BB796" i="17" s="1"/>
  <c r="M797" i="7"/>
  <c r="V797" i="7" s="1"/>
  <c r="BF797" i="17"/>
  <c r="BG797" i="17" s="1"/>
  <c r="BH797" i="17" s="1"/>
  <c r="BF798" i="17"/>
  <c r="BG798" i="17" s="1"/>
  <c r="BH798" i="17" s="1"/>
  <c r="BF799" i="17"/>
  <c r="BG799" i="17" s="1"/>
  <c r="BH799" i="17" s="1"/>
  <c r="K801" i="7"/>
  <c r="T801" i="7" s="1"/>
  <c r="AT801" i="17"/>
  <c r="AU801" i="17" s="1"/>
  <c r="AV801" i="17" s="1"/>
  <c r="K803" i="7"/>
  <c r="T803" i="7" s="1"/>
  <c r="AT802" i="17"/>
  <c r="AU802" i="17" s="1"/>
  <c r="AV802" i="17" s="1"/>
  <c r="L803" i="7"/>
  <c r="U803" i="7" s="1"/>
  <c r="AZ803" i="17"/>
  <c r="BA803" i="17" s="1"/>
  <c r="BB803" i="17" s="1"/>
  <c r="R810" i="7"/>
  <c r="Y812" i="7"/>
  <c r="BX815" i="17"/>
  <c r="BY815" i="17" s="1"/>
  <c r="BZ815" i="17" s="1"/>
  <c r="BX816" i="17"/>
  <c r="BY816" i="17" s="1"/>
  <c r="BZ816" i="17" s="1"/>
  <c r="P817" i="7"/>
  <c r="AA817" i="7" s="1"/>
  <c r="BX817" i="17"/>
  <c r="BY817" i="17" s="1"/>
  <c r="BZ817" i="17" s="1"/>
  <c r="P818" i="7"/>
  <c r="AA818" i="7" s="1"/>
  <c r="BX818" i="17"/>
  <c r="BY818" i="17" s="1"/>
  <c r="BZ818" i="17" s="1"/>
  <c r="BF820" i="17"/>
  <c r="BG820" i="17" s="1"/>
  <c r="BH820" i="17" s="1"/>
  <c r="M821" i="7"/>
  <c r="V821" i="7" s="1"/>
  <c r="BF821" i="17"/>
  <c r="BG821" i="17" s="1"/>
  <c r="BH821" i="17" s="1"/>
  <c r="BL822" i="17"/>
  <c r="BM822" i="17" s="1"/>
  <c r="BN822" i="17" s="1"/>
  <c r="AT823" i="17"/>
  <c r="AU823" i="17" s="1"/>
  <c r="AV823" i="17" s="1"/>
  <c r="AZ824" i="17"/>
  <c r="BA824" i="17" s="1"/>
  <c r="BB824" i="17" s="1"/>
  <c r="AZ825" i="17"/>
  <c r="BA825" i="17" s="1"/>
  <c r="BB825" i="17" s="1"/>
  <c r="AZ826" i="17"/>
  <c r="BA826" i="17" s="1"/>
  <c r="BB826" i="17" s="1"/>
  <c r="AT829" i="17"/>
  <c r="AU829" i="17" s="1"/>
  <c r="AV829" i="17" s="1"/>
  <c r="Q835" i="7"/>
  <c r="X835" i="7" s="1"/>
  <c r="BF837" i="17"/>
  <c r="BG837" i="17" s="1"/>
  <c r="BH837" i="17" s="1"/>
  <c r="M838" i="7"/>
  <c r="V838" i="7" s="1"/>
  <c r="BF838" i="17"/>
  <c r="BG838" i="17" s="1"/>
  <c r="BH838" i="17" s="1"/>
  <c r="AZ839" i="17"/>
  <c r="BA839" i="17" s="1"/>
  <c r="BB839" i="17" s="1"/>
  <c r="Q844" i="7"/>
  <c r="X844" i="7" s="1"/>
  <c r="O848" i="7"/>
  <c r="Z848" i="7" s="1"/>
  <c r="BR848" i="17"/>
  <c r="BS848" i="17" s="1"/>
  <c r="BT848" i="17" s="1"/>
  <c r="N849" i="7"/>
  <c r="W849" i="7" s="1"/>
  <c r="BL849" i="17"/>
  <c r="BM849" i="17" s="1"/>
  <c r="BN849" i="17" s="1"/>
  <c r="BL850" i="17"/>
  <c r="BM850" i="17" s="1"/>
  <c r="BN850" i="17" s="1"/>
  <c r="K851" i="7"/>
  <c r="T851" i="7" s="1"/>
  <c r="AT851" i="17"/>
  <c r="AU851" i="17" s="1"/>
  <c r="AV851" i="17" s="1"/>
  <c r="L852" i="7"/>
  <c r="U852" i="7" s="1"/>
  <c r="AZ852" i="17"/>
  <c r="BA852" i="17" s="1"/>
  <c r="BB852" i="17" s="1"/>
  <c r="K870" i="7"/>
  <c r="T870" i="7" s="1"/>
  <c r="AT870" i="17"/>
  <c r="AU870" i="17" s="1"/>
  <c r="AV870" i="17" s="1"/>
  <c r="AT871" i="17"/>
  <c r="AU871" i="17" s="1"/>
  <c r="AV871" i="17" s="1"/>
  <c r="AT873" i="17"/>
  <c r="AU873" i="17" s="1"/>
  <c r="AV873" i="17" s="1"/>
  <c r="L874" i="7"/>
  <c r="U874" i="7" s="1"/>
  <c r="AZ874" i="17"/>
  <c r="BA874" i="17" s="1"/>
  <c r="BB874" i="17" s="1"/>
  <c r="K875" i="7"/>
  <c r="T875" i="7" s="1"/>
  <c r="AT875" i="17"/>
  <c r="AU875" i="17" s="1"/>
  <c r="AV875" i="17" s="1"/>
  <c r="BR880" i="17"/>
  <c r="BS880" i="17" s="1"/>
  <c r="BT880" i="17" s="1"/>
  <c r="M881" i="7"/>
  <c r="V881" i="7" s="1"/>
  <c r="BF881" i="17"/>
  <c r="BG881" i="17" s="1"/>
  <c r="BH881" i="17" s="1"/>
  <c r="N883" i="7"/>
  <c r="W883" i="7" s="1"/>
  <c r="BL882" i="17"/>
  <c r="BM882" i="17" s="1"/>
  <c r="BN882" i="17" s="1"/>
  <c r="BL883" i="17"/>
  <c r="BM883" i="17" s="1"/>
  <c r="BN883" i="17" s="1"/>
  <c r="N884" i="7"/>
  <c r="W884" i="7" s="1"/>
  <c r="BL884" i="17"/>
  <c r="BM884" i="17" s="1"/>
  <c r="BN884" i="17" s="1"/>
  <c r="BF885" i="17"/>
  <c r="BG885" i="17" s="1"/>
  <c r="BH885" i="17" s="1"/>
  <c r="K887" i="7"/>
  <c r="T887" i="7" s="1"/>
  <c r="AT886" i="17"/>
  <c r="AU886" i="17" s="1"/>
  <c r="AV886" i="17" s="1"/>
  <c r="AT887" i="17"/>
  <c r="AU887" i="17" s="1"/>
  <c r="AV887" i="17" s="1"/>
  <c r="AZ888" i="17"/>
  <c r="BA888" i="17" s="1"/>
  <c r="BB888" i="17" s="1"/>
  <c r="BF889" i="17"/>
  <c r="BG889" i="17" s="1"/>
  <c r="BH889" i="17" s="1"/>
  <c r="BL890" i="17"/>
  <c r="BM890" i="17" s="1"/>
  <c r="BN890" i="17" s="1"/>
  <c r="BF891" i="17"/>
  <c r="BG891" i="17" s="1"/>
  <c r="BH891" i="17" s="1"/>
  <c r="L893" i="7"/>
  <c r="U893" i="7" s="1"/>
  <c r="AZ892" i="17"/>
  <c r="BA892" i="17" s="1"/>
  <c r="BB892" i="17" s="1"/>
  <c r="AZ893" i="17"/>
  <c r="BA893" i="17" s="1"/>
  <c r="BB893" i="17" s="1"/>
  <c r="BF894" i="17"/>
  <c r="BG894" i="17" s="1"/>
  <c r="BH894" i="17" s="1"/>
  <c r="M895" i="7"/>
  <c r="V895" i="7" s="1"/>
  <c r="BF895" i="17"/>
  <c r="BG895" i="17" s="1"/>
  <c r="BH895" i="17" s="1"/>
  <c r="BL896" i="17"/>
  <c r="BM896" i="17" s="1"/>
  <c r="BN896" i="17" s="1"/>
  <c r="BL897" i="17"/>
  <c r="BM897" i="17" s="1"/>
  <c r="BN897" i="17" s="1"/>
  <c r="BF898" i="17"/>
  <c r="BG898" i="17" s="1"/>
  <c r="BH898" i="17" s="1"/>
  <c r="AZ899" i="17"/>
  <c r="BA899" i="17" s="1"/>
  <c r="BB899" i="17" s="1"/>
  <c r="K901" i="7"/>
  <c r="T901" i="7" s="1"/>
  <c r="AT901" i="17"/>
  <c r="AU901" i="17" s="1"/>
  <c r="AV901" i="17" s="1"/>
  <c r="AT902" i="17"/>
  <c r="AU902" i="17" s="1"/>
  <c r="AV902" i="17" s="1"/>
  <c r="BL912" i="17"/>
  <c r="BM912" i="17" s="1"/>
  <c r="BN912" i="17" s="1"/>
  <c r="BL914" i="17"/>
  <c r="BM914" i="17" s="1"/>
  <c r="BN914" i="17" s="1"/>
  <c r="BL916" i="17"/>
  <c r="BM916" i="17" s="1"/>
  <c r="BN916" i="17" s="1"/>
  <c r="BL918" i="17"/>
  <c r="BM918" i="17" s="1"/>
  <c r="BN918" i="17" s="1"/>
  <c r="BL920" i="17"/>
  <c r="BM920" i="17" s="1"/>
  <c r="BN920" i="17" s="1"/>
  <c r="BL922" i="17"/>
  <c r="BM922" i="17" s="1"/>
  <c r="BN922" i="17" s="1"/>
  <c r="BL924" i="17"/>
  <c r="BM924" i="17" s="1"/>
  <c r="BN924" i="17" s="1"/>
  <c r="BL926" i="17"/>
  <c r="BM926" i="17" s="1"/>
  <c r="BN926" i="17" s="1"/>
  <c r="BL928" i="17"/>
  <c r="BM928" i="17" s="1"/>
  <c r="BN928" i="17" s="1"/>
  <c r="BL930" i="17"/>
  <c r="BM930" i="17" s="1"/>
  <c r="BN930" i="17" s="1"/>
  <c r="BL932" i="17"/>
  <c r="BM932" i="17" s="1"/>
  <c r="BN932" i="17" s="1"/>
  <c r="BL934" i="17"/>
  <c r="BM934" i="17" s="1"/>
  <c r="BN934" i="17" s="1"/>
  <c r="BL936" i="17"/>
  <c r="BM936" i="17" s="1"/>
  <c r="BN936" i="17" s="1"/>
  <c r="BL938" i="17"/>
  <c r="BM938" i="17" s="1"/>
  <c r="BN938" i="17" s="1"/>
  <c r="BL940" i="17"/>
  <c r="BM940" i="17" s="1"/>
  <c r="BN940" i="17" s="1"/>
  <c r="BL942" i="17"/>
  <c r="BM942" i="17" s="1"/>
  <c r="BN942" i="17" s="1"/>
  <c r="BL944" i="17"/>
  <c r="BM944" i="17" s="1"/>
  <c r="BN944" i="17" s="1"/>
  <c r="BL946" i="17"/>
  <c r="BM946" i="17" s="1"/>
  <c r="BN946" i="17" s="1"/>
  <c r="BL948" i="17"/>
  <c r="BM948" i="17" s="1"/>
  <c r="BN948" i="17" s="1"/>
  <c r="BL950" i="17"/>
  <c r="BM950" i="17" s="1"/>
  <c r="BN950" i="17" s="1"/>
  <c r="BL952" i="17"/>
  <c r="BM952" i="17" s="1"/>
  <c r="BN952" i="17" s="1"/>
  <c r="BL954" i="17"/>
  <c r="BM954" i="17" s="1"/>
  <c r="BN954" i="17" s="1"/>
  <c r="BL956" i="17"/>
  <c r="BM956" i="17" s="1"/>
  <c r="BN956" i="17" s="1"/>
  <c r="BL958" i="17"/>
  <c r="BM958" i="17" s="1"/>
  <c r="BN958" i="17" s="1"/>
  <c r="BL960" i="17"/>
  <c r="BM960" i="17" s="1"/>
  <c r="BN960" i="17" s="1"/>
  <c r="BL962" i="17"/>
  <c r="BM962" i="17" s="1"/>
  <c r="BN962" i="17" s="1"/>
  <c r="BL964" i="17"/>
  <c r="BM964" i="17" s="1"/>
  <c r="BN964" i="17" s="1"/>
  <c r="BL966" i="17"/>
  <c r="BM966" i="17" s="1"/>
  <c r="BN966" i="17" s="1"/>
  <c r="BL968" i="17"/>
  <c r="BM968" i="17" s="1"/>
  <c r="BN968" i="17" s="1"/>
  <c r="BL970" i="17"/>
  <c r="BM970" i="17" s="1"/>
  <c r="BN970" i="17" s="1"/>
  <c r="BL972" i="17"/>
  <c r="BM972" i="17" s="1"/>
  <c r="BN972" i="17" s="1"/>
  <c r="BL974" i="17"/>
  <c r="BM974" i="17" s="1"/>
  <c r="BN974" i="17" s="1"/>
  <c r="BL976" i="17"/>
  <c r="BM976" i="17" s="1"/>
  <c r="BN976" i="17" s="1"/>
  <c r="BL978" i="17"/>
  <c r="BM978" i="17" s="1"/>
  <c r="BN978" i="17" s="1"/>
  <c r="BL980" i="17"/>
  <c r="BM980" i="17" s="1"/>
  <c r="BN980" i="17" s="1"/>
  <c r="BL982" i="17"/>
  <c r="BM982" i="17" s="1"/>
  <c r="BN982" i="17" s="1"/>
  <c r="BL984" i="17"/>
  <c r="BM984" i="17" s="1"/>
  <c r="BN984" i="17" s="1"/>
  <c r="BL986" i="17"/>
  <c r="BM986" i="17" s="1"/>
  <c r="BN986" i="17" s="1"/>
  <c r="BL988" i="17"/>
  <c r="BM988" i="17" s="1"/>
  <c r="BN988" i="17" s="1"/>
  <c r="BL990" i="17"/>
  <c r="BM990" i="17" s="1"/>
  <c r="BN990" i="17" s="1"/>
  <c r="BL992" i="17"/>
  <c r="BM992" i="17" s="1"/>
  <c r="BN992" i="17" s="1"/>
  <c r="BL994" i="17"/>
  <c r="BM994" i="17" s="1"/>
  <c r="BN994" i="17" s="1"/>
  <c r="BL996" i="17"/>
  <c r="BM996" i="17" s="1"/>
  <c r="BN996" i="17" s="1"/>
  <c r="BL998" i="17"/>
  <c r="BM998" i="17" s="1"/>
  <c r="BN998" i="17" s="1"/>
  <c r="BL1000" i="17"/>
  <c r="BM1000" i="17" s="1"/>
  <c r="BN1000" i="17" s="1"/>
  <c r="BL1002" i="17"/>
  <c r="BM1002" i="17" s="1"/>
  <c r="BN1002" i="17" s="1"/>
  <c r="BL1004" i="17"/>
  <c r="BM1004" i="17" s="1"/>
  <c r="BN1004" i="17" s="1"/>
  <c r="BL1006" i="17"/>
  <c r="BM1006" i="17" s="1"/>
  <c r="BN1006" i="17" s="1"/>
  <c r="BL1008" i="17"/>
  <c r="BM1008" i="17" s="1"/>
  <c r="BN1008" i="17" s="1"/>
  <c r="BL1010" i="17"/>
  <c r="BM1010" i="17" s="1"/>
  <c r="BN1010" i="17" s="1"/>
  <c r="BL1012" i="17"/>
  <c r="BM1012" i="17" s="1"/>
  <c r="BN1012" i="17" s="1"/>
  <c r="BL1014" i="17"/>
  <c r="BM1014" i="17" s="1"/>
  <c r="BN1014" i="17" s="1"/>
  <c r="BL1016" i="17"/>
  <c r="BM1016" i="17" s="1"/>
  <c r="BN1016" i="17" s="1"/>
  <c r="BL1018" i="17"/>
  <c r="BM1018" i="17" s="1"/>
  <c r="BN1018" i="17" s="1"/>
  <c r="BL1020" i="17"/>
  <c r="BM1020" i="17" s="1"/>
  <c r="BN1020" i="17" s="1"/>
  <c r="BL1022" i="17"/>
  <c r="BM1022" i="17" s="1"/>
  <c r="BN1022" i="17" s="1"/>
  <c r="BX774" i="17"/>
  <c r="BY774" i="17" s="1"/>
  <c r="BZ774" i="17" s="1"/>
  <c r="O775" i="7"/>
  <c r="Z775" i="7" s="1"/>
  <c r="BR775" i="17"/>
  <c r="BS775" i="17" s="1"/>
  <c r="BT775" i="17" s="1"/>
  <c r="O776" i="7"/>
  <c r="Z776" i="7" s="1"/>
  <c r="BR776" i="17"/>
  <c r="BS776" i="17" s="1"/>
  <c r="BT776" i="17" s="1"/>
  <c r="BR777" i="17"/>
  <c r="BS777" i="17" s="1"/>
  <c r="BT777" i="17" s="1"/>
  <c r="BX778" i="17"/>
  <c r="BY778" i="17" s="1"/>
  <c r="BZ778" i="17" s="1"/>
  <c r="BX779" i="17"/>
  <c r="BY779" i="17" s="1"/>
  <c r="BZ779" i="17" s="1"/>
  <c r="BX780" i="17"/>
  <c r="BY780" i="17" s="1"/>
  <c r="BZ780" i="17" s="1"/>
  <c r="N781" i="7"/>
  <c r="W781" i="7" s="1"/>
  <c r="BL781" i="17"/>
  <c r="BM781" i="17" s="1"/>
  <c r="BN781" i="17" s="1"/>
  <c r="BF782" i="17"/>
  <c r="BG782" i="17" s="1"/>
  <c r="BH782" i="17" s="1"/>
  <c r="AZ783" i="17"/>
  <c r="BA783" i="17" s="1"/>
  <c r="BB783" i="17" s="1"/>
  <c r="L784" i="7"/>
  <c r="U784" i="7" s="1"/>
  <c r="AZ784" i="17"/>
  <c r="BA784" i="17" s="1"/>
  <c r="BB784" i="17" s="1"/>
  <c r="AZ785" i="17"/>
  <c r="BA785" i="17" s="1"/>
  <c r="BB785" i="17" s="1"/>
  <c r="K786" i="7"/>
  <c r="T786" i="7" s="1"/>
  <c r="AT786" i="17"/>
  <c r="AU786" i="17" s="1"/>
  <c r="AV786" i="17" s="1"/>
  <c r="L787" i="7"/>
  <c r="U787" i="7" s="1"/>
  <c r="AZ787" i="17"/>
  <c r="BA787" i="17" s="1"/>
  <c r="BB787" i="17" s="1"/>
  <c r="M788" i="7"/>
  <c r="V788" i="7" s="1"/>
  <c r="BF788" i="17"/>
  <c r="BG788" i="17" s="1"/>
  <c r="BH788" i="17" s="1"/>
  <c r="M789" i="7"/>
  <c r="V789" i="7" s="1"/>
  <c r="BF789" i="17"/>
  <c r="BG789" i="17" s="1"/>
  <c r="BH789" i="17" s="1"/>
  <c r="BL790" i="17"/>
  <c r="BM790" i="17" s="1"/>
  <c r="BN790" i="17" s="1"/>
  <c r="BL791" i="17"/>
  <c r="BM791" i="17" s="1"/>
  <c r="BN791" i="17" s="1"/>
  <c r="BL792" i="17"/>
  <c r="BM792" i="17" s="1"/>
  <c r="BN792" i="17" s="1"/>
  <c r="BR793" i="17"/>
  <c r="BS793" i="17" s="1"/>
  <c r="BT793" i="17" s="1"/>
  <c r="BF794" i="17"/>
  <c r="BG794" i="17" s="1"/>
  <c r="BH794" i="17" s="1"/>
  <c r="BL795" i="17"/>
  <c r="BM795" i="17" s="1"/>
  <c r="BN795" i="17" s="1"/>
  <c r="BF796" i="17"/>
  <c r="BG796" i="17" s="1"/>
  <c r="BH796" i="17" s="1"/>
  <c r="BL797" i="17"/>
  <c r="BM797" i="17" s="1"/>
  <c r="BN797" i="17" s="1"/>
  <c r="BL798" i="17"/>
  <c r="BM798" i="17" s="1"/>
  <c r="BN798" i="17" s="1"/>
  <c r="BL799" i="17"/>
  <c r="BM799" i="17" s="1"/>
  <c r="BN799" i="17" s="1"/>
  <c r="AT800" i="17"/>
  <c r="AU800" i="17" s="1"/>
  <c r="AV800" i="17" s="1"/>
  <c r="L801" i="7"/>
  <c r="U801" i="7" s="1"/>
  <c r="AZ801" i="17"/>
  <c r="BA801" i="17" s="1"/>
  <c r="BB801" i="17" s="1"/>
  <c r="AZ802" i="17"/>
  <c r="BA802" i="17" s="1"/>
  <c r="BB802" i="17" s="1"/>
  <c r="M803" i="7"/>
  <c r="V803" i="7" s="1"/>
  <c r="BF803" i="17"/>
  <c r="BG803" i="17" s="1"/>
  <c r="BH803" i="17" s="1"/>
  <c r="AT804" i="17"/>
  <c r="AU804" i="17" s="1"/>
  <c r="AV804" i="17" s="1"/>
  <c r="AT805" i="17"/>
  <c r="AU805" i="17" s="1"/>
  <c r="AV805" i="17" s="1"/>
  <c r="P809" i="7"/>
  <c r="AA809" i="7" s="1"/>
  <c r="R813" i="7"/>
  <c r="BL820" i="17"/>
  <c r="BM820" i="17" s="1"/>
  <c r="BN820" i="17" s="1"/>
  <c r="N821" i="7"/>
  <c r="W821" i="7" s="1"/>
  <c r="BL821" i="17"/>
  <c r="BM821" i="17" s="1"/>
  <c r="BN821" i="17" s="1"/>
  <c r="BR822" i="17"/>
  <c r="BS822" i="17" s="1"/>
  <c r="BT822" i="17" s="1"/>
  <c r="AZ823" i="17"/>
  <c r="BA823" i="17" s="1"/>
  <c r="BB823" i="17" s="1"/>
  <c r="BF824" i="17"/>
  <c r="BG824" i="17" s="1"/>
  <c r="BH824" i="17" s="1"/>
  <c r="BF825" i="17"/>
  <c r="BG825" i="17" s="1"/>
  <c r="BH825" i="17" s="1"/>
  <c r="BF826" i="17"/>
  <c r="BG826" i="17" s="1"/>
  <c r="BH826" i="17" s="1"/>
  <c r="K828" i="7"/>
  <c r="T828" i="7" s="1"/>
  <c r="AT828" i="17"/>
  <c r="AU828" i="17" s="1"/>
  <c r="AV828" i="17" s="1"/>
  <c r="AZ829" i="17"/>
  <c r="BA829" i="17" s="1"/>
  <c r="BB829" i="17" s="1"/>
  <c r="BL837" i="17"/>
  <c r="BM837" i="17" s="1"/>
  <c r="BN837" i="17" s="1"/>
  <c r="N838" i="7"/>
  <c r="W838" i="7" s="1"/>
  <c r="BL838" i="17"/>
  <c r="BM838" i="17" s="1"/>
  <c r="BN838" i="17" s="1"/>
  <c r="BF839" i="17"/>
  <c r="BG839" i="17" s="1"/>
  <c r="BH839" i="17" s="1"/>
  <c r="AT840" i="17"/>
  <c r="AU840" i="17" s="1"/>
  <c r="AV840" i="17" s="1"/>
  <c r="AT841" i="17"/>
  <c r="AU841" i="17" s="1"/>
  <c r="AV841" i="17" s="1"/>
  <c r="P849" i="7"/>
  <c r="AA849" i="7" s="1"/>
  <c r="BX848" i="17"/>
  <c r="BY848" i="17" s="1"/>
  <c r="BZ848" i="17" s="1"/>
  <c r="O849" i="7"/>
  <c r="Z849" i="7" s="1"/>
  <c r="BR849" i="17"/>
  <c r="BS849" i="17" s="1"/>
  <c r="BT849" i="17" s="1"/>
  <c r="O851" i="7"/>
  <c r="Z851" i="7" s="1"/>
  <c r="BR850" i="17"/>
  <c r="BS850" i="17" s="1"/>
  <c r="BT850" i="17" s="1"/>
  <c r="AZ851" i="17"/>
  <c r="BA851" i="17" s="1"/>
  <c r="BB851" i="17" s="1"/>
  <c r="M852" i="7"/>
  <c r="V852" i="7" s="1"/>
  <c r="BF852" i="17"/>
  <c r="BG852" i="17" s="1"/>
  <c r="BH852" i="17" s="1"/>
  <c r="AT853" i="17"/>
  <c r="AU853" i="17" s="1"/>
  <c r="AV853" i="17" s="1"/>
  <c r="AT854" i="17"/>
  <c r="AU854" i="17" s="1"/>
  <c r="AV854" i="17" s="1"/>
  <c r="K858" i="7"/>
  <c r="T858" i="7" s="1"/>
  <c r="AT858" i="17"/>
  <c r="AU858" i="17" s="1"/>
  <c r="AV858" i="17" s="1"/>
  <c r="K866" i="7"/>
  <c r="T866" i="7" s="1"/>
  <c r="AT866" i="17"/>
  <c r="AU866" i="17" s="1"/>
  <c r="AV866" i="17" s="1"/>
  <c r="AT867" i="17"/>
  <c r="AU867" i="17" s="1"/>
  <c r="AV867" i="17" s="1"/>
  <c r="K868" i="7"/>
  <c r="T868" i="7" s="1"/>
  <c r="AT868" i="17"/>
  <c r="AU868" i="17" s="1"/>
  <c r="AV868" i="17" s="1"/>
  <c r="AT869" i="17"/>
  <c r="AU869" i="17" s="1"/>
  <c r="AV869" i="17" s="1"/>
  <c r="AZ870" i="17"/>
  <c r="BA870" i="17" s="1"/>
  <c r="BB870" i="17" s="1"/>
  <c r="L872" i="7"/>
  <c r="U872" i="7" s="1"/>
  <c r="AZ871" i="17"/>
  <c r="BA871" i="17" s="1"/>
  <c r="BB871" i="17" s="1"/>
  <c r="K873" i="7"/>
  <c r="T873" i="7" s="1"/>
  <c r="AT872" i="17"/>
  <c r="AU872" i="17" s="1"/>
  <c r="AV872" i="17" s="1"/>
  <c r="AZ873" i="17"/>
  <c r="BA873" i="17" s="1"/>
  <c r="BB873" i="17" s="1"/>
  <c r="M874" i="7"/>
  <c r="V874" i="7" s="1"/>
  <c r="BF874" i="17"/>
  <c r="BG874" i="17" s="1"/>
  <c r="BH874" i="17" s="1"/>
  <c r="AZ875" i="17"/>
  <c r="BA875" i="17" s="1"/>
  <c r="BB875" i="17" s="1"/>
  <c r="CD875" i="17" s="1"/>
  <c r="S878" i="7"/>
  <c r="BX880" i="17"/>
  <c r="BY880" i="17" s="1"/>
  <c r="BZ880" i="17" s="1"/>
  <c r="BL881" i="17"/>
  <c r="BM881" i="17" s="1"/>
  <c r="BN881" i="17" s="1"/>
  <c r="BR882" i="17"/>
  <c r="BS882" i="17" s="1"/>
  <c r="BT882" i="17" s="1"/>
  <c r="O883" i="7"/>
  <c r="Z883" i="7" s="1"/>
  <c r="BR883" i="17"/>
  <c r="BS883" i="17" s="1"/>
  <c r="BT883" i="17" s="1"/>
  <c r="BR884" i="17"/>
  <c r="BS884" i="17" s="1"/>
  <c r="BT884" i="17" s="1"/>
  <c r="N886" i="7"/>
  <c r="W886" i="7" s="1"/>
  <c r="BL885" i="17"/>
  <c r="BM885" i="17" s="1"/>
  <c r="BN885" i="17" s="1"/>
  <c r="AZ886" i="17"/>
  <c r="BA886" i="17" s="1"/>
  <c r="BB886" i="17" s="1"/>
  <c r="L887" i="7"/>
  <c r="U887" i="7" s="1"/>
  <c r="AZ887" i="17"/>
  <c r="BA887" i="17" s="1"/>
  <c r="BB887" i="17" s="1"/>
  <c r="M888" i="7"/>
  <c r="V888" i="7" s="1"/>
  <c r="BF888" i="17"/>
  <c r="BG888" i="17" s="1"/>
  <c r="BH888" i="17" s="1"/>
  <c r="N889" i="7"/>
  <c r="W889" i="7" s="1"/>
  <c r="BL889" i="17"/>
  <c r="BM889" i="17" s="1"/>
  <c r="BN889" i="17" s="1"/>
  <c r="BR890" i="17"/>
  <c r="BS890" i="17" s="1"/>
  <c r="BT890" i="17" s="1"/>
  <c r="N891" i="7"/>
  <c r="W891" i="7" s="1"/>
  <c r="BL891" i="17"/>
  <c r="BM891" i="17" s="1"/>
  <c r="BN891" i="17" s="1"/>
  <c r="BF892" i="17"/>
  <c r="BG892" i="17" s="1"/>
  <c r="BH892" i="17" s="1"/>
  <c r="BF893" i="17"/>
  <c r="BG893" i="17" s="1"/>
  <c r="BH893" i="17" s="1"/>
  <c r="N894" i="7"/>
  <c r="W894" i="7" s="1"/>
  <c r="BL894" i="17"/>
  <c r="BM894" i="17" s="1"/>
  <c r="BN894" i="17" s="1"/>
  <c r="BL895" i="17"/>
  <c r="BM895" i="17" s="1"/>
  <c r="BN895" i="17" s="1"/>
  <c r="BR896" i="17"/>
  <c r="BS896" i="17" s="1"/>
  <c r="BT896" i="17" s="1"/>
  <c r="O897" i="7"/>
  <c r="Z897" i="7" s="1"/>
  <c r="BR897" i="17"/>
  <c r="BS897" i="17" s="1"/>
  <c r="BT897" i="17" s="1"/>
  <c r="N899" i="7"/>
  <c r="W899" i="7" s="1"/>
  <c r="BL898" i="17"/>
  <c r="BM898" i="17" s="1"/>
  <c r="BN898" i="17" s="1"/>
  <c r="BF899" i="17"/>
  <c r="BG899" i="17" s="1"/>
  <c r="BH899" i="17" s="1"/>
  <c r="AT900" i="17"/>
  <c r="AU900" i="17" s="1"/>
  <c r="AV900" i="17" s="1"/>
  <c r="L901" i="7"/>
  <c r="U901" i="7" s="1"/>
  <c r="AZ901" i="17"/>
  <c r="BA901" i="17" s="1"/>
  <c r="BB901" i="17" s="1"/>
  <c r="AZ902" i="17"/>
  <c r="BA902" i="17" s="1"/>
  <c r="BB902" i="17" s="1"/>
  <c r="R911" i="7"/>
  <c r="BR912" i="17"/>
  <c r="BS912" i="17" s="1"/>
  <c r="BT912" i="17" s="1"/>
  <c r="BR914" i="17"/>
  <c r="BS914" i="17" s="1"/>
  <c r="BT914" i="17" s="1"/>
  <c r="BR916" i="17"/>
  <c r="BS916" i="17" s="1"/>
  <c r="BT916" i="17" s="1"/>
  <c r="BR918" i="17"/>
  <c r="BS918" i="17" s="1"/>
  <c r="BT918" i="17" s="1"/>
  <c r="BR920" i="17"/>
  <c r="BS920" i="17" s="1"/>
  <c r="BT920" i="17" s="1"/>
  <c r="BR922" i="17"/>
  <c r="BS922" i="17" s="1"/>
  <c r="BT922" i="17" s="1"/>
  <c r="BR924" i="17"/>
  <c r="BS924" i="17" s="1"/>
  <c r="BT924" i="17" s="1"/>
  <c r="BR926" i="17"/>
  <c r="BS926" i="17" s="1"/>
  <c r="BT926" i="17" s="1"/>
  <c r="BR928" i="17"/>
  <c r="BS928" i="17" s="1"/>
  <c r="BT928" i="17" s="1"/>
  <c r="BR930" i="17"/>
  <c r="BS930" i="17" s="1"/>
  <c r="BT930" i="17" s="1"/>
  <c r="BR932" i="17"/>
  <c r="BS932" i="17" s="1"/>
  <c r="BT932" i="17" s="1"/>
  <c r="BR934" i="17"/>
  <c r="BS934" i="17" s="1"/>
  <c r="BT934" i="17" s="1"/>
  <c r="BR936" i="17"/>
  <c r="BS936" i="17" s="1"/>
  <c r="BT936" i="17" s="1"/>
  <c r="BR938" i="17"/>
  <c r="BS938" i="17" s="1"/>
  <c r="BT938" i="17" s="1"/>
  <c r="BR940" i="17"/>
  <c r="BS940" i="17" s="1"/>
  <c r="BT940" i="17" s="1"/>
  <c r="BR942" i="17"/>
  <c r="BS942" i="17" s="1"/>
  <c r="BT942" i="17" s="1"/>
  <c r="BR944" i="17"/>
  <c r="BS944" i="17" s="1"/>
  <c r="BT944" i="17" s="1"/>
  <c r="BR946" i="17"/>
  <c r="BS946" i="17" s="1"/>
  <c r="BT946" i="17" s="1"/>
  <c r="BR948" i="17"/>
  <c r="BS948" i="17" s="1"/>
  <c r="BT948" i="17" s="1"/>
  <c r="BR950" i="17"/>
  <c r="BS950" i="17" s="1"/>
  <c r="BT950" i="17" s="1"/>
  <c r="BR952" i="17"/>
  <c r="BS952" i="17" s="1"/>
  <c r="BT952" i="17" s="1"/>
  <c r="BR954" i="17"/>
  <c r="BS954" i="17" s="1"/>
  <c r="BT954" i="17" s="1"/>
  <c r="BR956" i="17"/>
  <c r="BS956" i="17" s="1"/>
  <c r="BT956" i="17" s="1"/>
  <c r="BR958" i="17"/>
  <c r="BS958" i="17" s="1"/>
  <c r="BT958" i="17" s="1"/>
  <c r="BR960" i="17"/>
  <c r="BS960" i="17" s="1"/>
  <c r="BT960" i="17" s="1"/>
  <c r="BR962" i="17"/>
  <c r="BS962" i="17" s="1"/>
  <c r="BT962" i="17" s="1"/>
  <c r="BR964" i="17"/>
  <c r="BS964" i="17" s="1"/>
  <c r="BT964" i="17" s="1"/>
  <c r="BR966" i="17"/>
  <c r="BS966" i="17" s="1"/>
  <c r="BT966" i="17" s="1"/>
  <c r="BR968" i="17"/>
  <c r="BS968" i="17" s="1"/>
  <c r="BT968" i="17" s="1"/>
  <c r="BR970" i="17"/>
  <c r="BS970" i="17" s="1"/>
  <c r="BT970" i="17" s="1"/>
  <c r="BR972" i="17"/>
  <c r="BS972" i="17" s="1"/>
  <c r="BT972" i="17" s="1"/>
  <c r="BR974" i="17"/>
  <c r="BS974" i="17" s="1"/>
  <c r="BT974" i="17" s="1"/>
  <c r="BR976" i="17"/>
  <c r="BS976" i="17" s="1"/>
  <c r="BT976" i="17" s="1"/>
  <c r="BR978" i="17"/>
  <c r="BS978" i="17" s="1"/>
  <c r="BT978" i="17" s="1"/>
  <c r="BR980" i="17"/>
  <c r="BS980" i="17" s="1"/>
  <c r="BT980" i="17" s="1"/>
  <c r="BR982" i="17"/>
  <c r="BS982" i="17" s="1"/>
  <c r="BT982" i="17" s="1"/>
  <c r="BR984" i="17"/>
  <c r="BS984" i="17" s="1"/>
  <c r="BT984" i="17" s="1"/>
  <c r="BR986" i="17"/>
  <c r="BS986" i="17" s="1"/>
  <c r="BT986" i="17" s="1"/>
  <c r="BR988" i="17"/>
  <c r="BS988" i="17" s="1"/>
  <c r="BT988" i="17" s="1"/>
  <c r="BR990" i="17"/>
  <c r="BS990" i="17" s="1"/>
  <c r="BT990" i="17" s="1"/>
  <c r="BR992" i="17"/>
  <c r="BS992" i="17" s="1"/>
  <c r="BT992" i="17" s="1"/>
  <c r="BR994" i="17"/>
  <c r="BS994" i="17" s="1"/>
  <c r="BT994" i="17" s="1"/>
  <c r="BR996" i="17"/>
  <c r="BS996" i="17" s="1"/>
  <c r="BT996" i="17" s="1"/>
  <c r="BR998" i="17"/>
  <c r="BS998" i="17" s="1"/>
  <c r="BT998" i="17" s="1"/>
  <c r="BR1000" i="17"/>
  <c r="BS1000" i="17" s="1"/>
  <c r="BT1000" i="17" s="1"/>
  <c r="BR1002" i="17"/>
  <c r="BS1002" i="17" s="1"/>
  <c r="BT1002" i="17" s="1"/>
  <c r="BR1004" i="17"/>
  <c r="BS1004" i="17" s="1"/>
  <c r="BT1004" i="17" s="1"/>
  <c r="BR1006" i="17"/>
  <c r="BS1006" i="17" s="1"/>
  <c r="BT1006" i="17" s="1"/>
  <c r="BR1008" i="17"/>
  <c r="BS1008" i="17" s="1"/>
  <c r="BT1008" i="17" s="1"/>
  <c r="BR1010" i="17"/>
  <c r="BS1010" i="17" s="1"/>
  <c r="BT1010" i="17" s="1"/>
  <c r="K827" i="7"/>
  <c r="T827" i="7" s="1"/>
  <c r="AT827" i="17"/>
  <c r="AU827" i="17" s="1"/>
  <c r="AV827" i="17" s="1"/>
  <c r="L828" i="7"/>
  <c r="U828" i="7" s="1"/>
  <c r="AZ828" i="17"/>
  <c r="BA828" i="17" s="1"/>
  <c r="BB828" i="17" s="1"/>
  <c r="BF829" i="17"/>
  <c r="BG829" i="17" s="1"/>
  <c r="BH829" i="17" s="1"/>
  <c r="AT830" i="17"/>
  <c r="AU830" i="17" s="1"/>
  <c r="AV830" i="17" s="1"/>
  <c r="AT831" i="17"/>
  <c r="AU831" i="17" s="1"/>
  <c r="AV831" i="17" s="1"/>
  <c r="O837" i="7"/>
  <c r="Z837" i="7" s="1"/>
  <c r="BR837" i="17"/>
  <c r="BS837" i="17" s="1"/>
  <c r="BT837" i="17" s="1"/>
  <c r="BR838" i="17"/>
  <c r="BS838" i="17" s="1"/>
  <c r="BT838" i="17" s="1"/>
  <c r="BL839" i="17"/>
  <c r="BM839" i="17" s="1"/>
  <c r="BN839" i="17" s="1"/>
  <c r="AZ840" i="17"/>
  <c r="BA840" i="17" s="1"/>
  <c r="BB840" i="17" s="1"/>
  <c r="AZ841" i="17"/>
  <c r="BA841" i="17" s="1"/>
  <c r="BB841" i="17" s="1"/>
  <c r="AT842" i="17"/>
  <c r="AU842" i="17" s="1"/>
  <c r="AV842" i="17" s="1"/>
  <c r="BX849" i="17"/>
  <c r="BY849" i="17" s="1"/>
  <c r="BZ849" i="17" s="1"/>
  <c r="BX850" i="17"/>
  <c r="BY850" i="17" s="1"/>
  <c r="BZ850" i="17" s="1"/>
  <c r="BF851" i="17"/>
  <c r="BG851" i="17" s="1"/>
  <c r="BH851" i="17" s="1"/>
  <c r="N852" i="7"/>
  <c r="W852" i="7" s="1"/>
  <c r="BL852" i="17"/>
  <c r="BM852" i="17" s="1"/>
  <c r="BN852" i="17" s="1"/>
  <c r="AZ853" i="17"/>
  <c r="BA853" i="17" s="1"/>
  <c r="BB853" i="17" s="1"/>
  <c r="L854" i="7"/>
  <c r="U854" i="7" s="1"/>
  <c r="AZ854" i="17"/>
  <c r="BA854" i="17" s="1"/>
  <c r="BB854" i="17" s="1"/>
  <c r="AT857" i="17"/>
  <c r="AU857" i="17" s="1"/>
  <c r="AV857" i="17" s="1"/>
  <c r="L858" i="7"/>
  <c r="U858" i="7" s="1"/>
  <c r="AZ858" i="17"/>
  <c r="BA858" i="17" s="1"/>
  <c r="BB858" i="17" s="1"/>
  <c r="K860" i="7"/>
  <c r="T860" i="7" s="1"/>
  <c r="AT859" i="17"/>
  <c r="AU859" i="17" s="1"/>
  <c r="AV859" i="17" s="1"/>
  <c r="AT861" i="17"/>
  <c r="AU861" i="17" s="1"/>
  <c r="AV861" i="17" s="1"/>
  <c r="K862" i="7"/>
  <c r="T862" i="7" s="1"/>
  <c r="AT862" i="17"/>
  <c r="AU862" i="17" s="1"/>
  <c r="AV862" i="17" s="1"/>
  <c r="AT865" i="17"/>
  <c r="AU865" i="17" s="1"/>
  <c r="AV865" i="17" s="1"/>
  <c r="L867" i="7"/>
  <c r="U867" i="7" s="1"/>
  <c r="AZ866" i="17"/>
  <c r="BA866" i="17" s="1"/>
  <c r="BB866" i="17" s="1"/>
  <c r="AZ867" i="17"/>
  <c r="BA867" i="17" s="1"/>
  <c r="BB867" i="17" s="1"/>
  <c r="L869" i="7"/>
  <c r="U869" i="7" s="1"/>
  <c r="AZ868" i="17"/>
  <c r="BA868" i="17" s="1"/>
  <c r="BB868" i="17" s="1"/>
  <c r="L870" i="7"/>
  <c r="U870" i="7" s="1"/>
  <c r="AZ869" i="17"/>
  <c r="BA869" i="17" s="1"/>
  <c r="BB869" i="17" s="1"/>
  <c r="M871" i="7"/>
  <c r="V871" i="7" s="1"/>
  <c r="BF870" i="17"/>
  <c r="BG870" i="17" s="1"/>
  <c r="BH870" i="17" s="1"/>
  <c r="BF871" i="17"/>
  <c r="BG871" i="17" s="1"/>
  <c r="BH871" i="17" s="1"/>
  <c r="L873" i="7"/>
  <c r="U873" i="7" s="1"/>
  <c r="AZ872" i="17"/>
  <c r="BA872" i="17" s="1"/>
  <c r="BB872" i="17" s="1"/>
  <c r="BF873" i="17"/>
  <c r="BG873" i="17" s="1"/>
  <c r="BH873" i="17" s="1"/>
  <c r="BL874" i="17"/>
  <c r="BM874" i="17" s="1"/>
  <c r="BN874" i="17" s="1"/>
  <c r="BF875" i="17"/>
  <c r="BG875" i="17" s="1"/>
  <c r="BH875" i="17" s="1"/>
  <c r="K876" i="7"/>
  <c r="T876" i="7" s="1"/>
  <c r="AT876" i="17"/>
  <c r="AU876" i="17" s="1"/>
  <c r="AV876" i="17" s="1"/>
  <c r="BR881" i="17"/>
  <c r="BS881" i="17" s="1"/>
  <c r="BT881" i="17" s="1"/>
  <c r="BX882" i="17"/>
  <c r="BY882" i="17" s="1"/>
  <c r="BZ882" i="17" s="1"/>
  <c r="BX883" i="17"/>
  <c r="BY883" i="17" s="1"/>
  <c r="BZ883" i="17" s="1"/>
  <c r="P885" i="7"/>
  <c r="AA885" i="7" s="1"/>
  <c r="BX884" i="17"/>
  <c r="BY884" i="17" s="1"/>
  <c r="BZ884" i="17" s="1"/>
  <c r="BR885" i="17"/>
  <c r="BS885" i="17" s="1"/>
  <c r="BT885" i="17" s="1"/>
  <c r="BF886" i="17"/>
  <c r="BG886" i="17" s="1"/>
  <c r="BH886" i="17" s="1"/>
  <c r="M887" i="7"/>
  <c r="V887" i="7" s="1"/>
  <c r="BF887" i="17"/>
  <c r="BG887" i="17" s="1"/>
  <c r="BH887" i="17" s="1"/>
  <c r="N888" i="7"/>
  <c r="W888" i="7" s="1"/>
  <c r="BL888" i="17"/>
  <c r="BM888" i="17" s="1"/>
  <c r="BN888" i="17" s="1"/>
  <c r="BR889" i="17"/>
  <c r="BS889" i="17" s="1"/>
  <c r="BT889" i="17" s="1"/>
  <c r="BX890" i="17"/>
  <c r="BY890" i="17" s="1"/>
  <c r="BZ890" i="17" s="1"/>
  <c r="BR891" i="17"/>
  <c r="BS891" i="17" s="1"/>
  <c r="BT891" i="17" s="1"/>
  <c r="BL892" i="17"/>
  <c r="BM892" i="17" s="1"/>
  <c r="BN892" i="17" s="1"/>
  <c r="N893" i="7"/>
  <c r="W893" i="7" s="1"/>
  <c r="BL893" i="17"/>
  <c r="BM893" i="17" s="1"/>
  <c r="BN893" i="17" s="1"/>
  <c r="BR894" i="17"/>
  <c r="BS894" i="17" s="1"/>
  <c r="BT894" i="17" s="1"/>
  <c r="BR895" i="17"/>
  <c r="BS895" i="17" s="1"/>
  <c r="BT895" i="17" s="1"/>
  <c r="BX896" i="17"/>
  <c r="BY896" i="17" s="1"/>
  <c r="BZ896" i="17" s="1"/>
  <c r="BX897" i="17"/>
  <c r="BY897" i="17" s="1"/>
  <c r="BZ897" i="17" s="1"/>
  <c r="BR898" i="17"/>
  <c r="BS898" i="17" s="1"/>
  <c r="BT898" i="17" s="1"/>
  <c r="BL899" i="17"/>
  <c r="BM899" i="17" s="1"/>
  <c r="BN899" i="17" s="1"/>
  <c r="L900" i="7"/>
  <c r="U900" i="7" s="1"/>
  <c r="AZ900" i="17"/>
  <c r="BA900" i="17" s="1"/>
  <c r="BB900" i="17" s="1"/>
  <c r="M901" i="7"/>
  <c r="V901" i="7" s="1"/>
  <c r="BF901" i="17"/>
  <c r="BG901" i="17" s="1"/>
  <c r="BH901" i="17" s="1"/>
  <c r="BF902" i="17"/>
  <c r="BG902" i="17" s="1"/>
  <c r="BH902" i="17" s="1"/>
  <c r="K903" i="7"/>
  <c r="T903" i="7" s="1"/>
  <c r="AT903" i="17"/>
  <c r="AU903" i="17" s="1"/>
  <c r="AV903" i="17" s="1"/>
  <c r="AT904" i="17"/>
  <c r="AU904" i="17" s="1"/>
  <c r="AV904" i="17" s="1"/>
  <c r="K905" i="7"/>
  <c r="T905" i="7" s="1"/>
  <c r="AT905" i="17"/>
  <c r="AU905" i="17" s="1"/>
  <c r="AV905" i="17" s="1"/>
  <c r="AT906" i="17"/>
  <c r="AU906" i="17" s="1"/>
  <c r="AV906" i="17" s="1"/>
  <c r="AT908" i="17"/>
  <c r="AU908" i="17" s="1"/>
  <c r="AV908" i="17" s="1"/>
  <c r="BX912" i="17"/>
  <c r="BY912" i="17" s="1"/>
  <c r="BZ912" i="17" s="1"/>
  <c r="BX914" i="17"/>
  <c r="BY914" i="17" s="1"/>
  <c r="BZ914" i="17" s="1"/>
  <c r="BX916" i="17"/>
  <c r="BY916" i="17" s="1"/>
  <c r="BZ916" i="17" s="1"/>
  <c r="BX918" i="17"/>
  <c r="BY918" i="17" s="1"/>
  <c r="BZ918" i="17" s="1"/>
  <c r="BX920" i="17"/>
  <c r="BY920" i="17" s="1"/>
  <c r="BZ920" i="17" s="1"/>
  <c r="BX922" i="17"/>
  <c r="BY922" i="17" s="1"/>
  <c r="BZ922" i="17" s="1"/>
  <c r="BX924" i="17"/>
  <c r="BY924" i="17" s="1"/>
  <c r="BZ924" i="17" s="1"/>
  <c r="BX926" i="17"/>
  <c r="BY926" i="17" s="1"/>
  <c r="BZ926" i="17" s="1"/>
  <c r="BX928" i="17"/>
  <c r="BY928" i="17" s="1"/>
  <c r="BZ928" i="17" s="1"/>
  <c r="BX930" i="17"/>
  <c r="BY930" i="17" s="1"/>
  <c r="BZ930" i="17" s="1"/>
  <c r="BX932" i="17"/>
  <c r="BY932" i="17" s="1"/>
  <c r="BZ932" i="17" s="1"/>
  <c r="BX934" i="17"/>
  <c r="BY934" i="17" s="1"/>
  <c r="BZ934" i="17" s="1"/>
  <c r="CD934" i="17" s="1"/>
  <c r="BX936" i="17"/>
  <c r="BY936" i="17" s="1"/>
  <c r="BZ936" i="17" s="1"/>
  <c r="BX938" i="17"/>
  <c r="BY938" i="17" s="1"/>
  <c r="BZ938" i="17" s="1"/>
  <c r="BX940" i="17"/>
  <c r="BY940" i="17" s="1"/>
  <c r="BZ940" i="17" s="1"/>
  <c r="BX942" i="17"/>
  <c r="BY942" i="17" s="1"/>
  <c r="BZ942" i="17" s="1"/>
  <c r="BX944" i="17"/>
  <c r="BY944" i="17" s="1"/>
  <c r="BZ944" i="17" s="1"/>
  <c r="BX946" i="17"/>
  <c r="BY946" i="17" s="1"/>
  <c r="BZ946" i="17" s="1"/>
  <c r="BX948" i="17"/>
  <c r="BY948" i="17" s="1"/>
  <c r="BZ948" i="17" s="1"/>
  <c r="BX950" i="17"/>
  <c r="BY950" i="17" s="1"/>
  <c r="BZ950" i="17" s="1"/>
  <c r="BX952" i="17"/>
  <c r="BY952" i="17" s="1"/>
  <c r="BZ952" i="17" s="1"/>
  <c r="BX954" i="17"/>
  <c r="BY954" i="17" s="1"/>
  <c r="BZ954" i="17" s="1"/>
  <c r="BX956" i="17"/>
  <c r="BY956" i="17" s="1"/>
  <c r="BZ956" i="17" s="1"/>
  <c r="BX958" i="17"/>
  <c r="BY958" i="17" s="1"/>
  <c r="BZ958" i="17" s="1"/>
  <c r="BX960" i="17"/>
  <c r="BY960" i="17" s="1"/>
  <c r="BZ960" i="17" s="1"/>
  <c r="BX962" i="17"/>
  <c r="BY962" i="17" s="1"/>
  <c r="BZ962" i="17" s="1"/>
  <c r="BX964" i="17"/>
  <c r="BY964" i="17" s="1"/>
  <c r="BZ964" i="17" s="1"/>
  <c r="BX966" i="17"/>
  <c r="BY966" i="17" s="1"/>
  <c r="BZ966" i="17" s="1"/>
  <c r="BX968" i="17"/>
  <c r="BY968" i="17" s="1"/>
  <c r="BZ968" i="17" s="1"/>
  <c r="BX970" i="17"/>
  <c r="BY970" i="17" s="1"/>
  <c r="BZ970" i="17" s="1"/>
  <c r="BX972" i="17"/>
  <c r="BY972" i="17" s="1"/>
  <c r="BZ972" i="17" s="1"/>
  <c r="BX974" i="17"/>
  <c r="BY974" i="17" s="1"/>
  <c r="BZ974" i="17" s="1"/>
  <c r="BX976" i="17"/>
  <c r="BY976" i="17" s="1"/>
  <c r="BZ976" i="17" s="1"/>
  <c r="BX978" i="17"/>
  <c r="BY978" i="17" s="1"/>
  <c r="BZ978" i="17" s="1"/>
  <c r="BX980" i="17"/>
  <c r="BY980" i="17" s="1"/>
  <c r="BZ980" i="17" s="1"/>
  <c r="BX982" i="17"/>
  <c r="BY982" i="17" s="1"/>
  <c r="BZ982" i="17" s="1"/>
  <c r="CD982" i="17" s="1"/>
  <c r="BX984" i="17"/>
  <c r="BY984" i="17" s="1"/>
  <c r="BZ984" i="17" s="1"/>
  <c r="BX986" i="17"/>
  <c r="BY986" i="17" s="1"/>
  <c r="BZ986" i="17" s="1"/>
  <c r="BX988" i="17"/>
  <c r="BY988" i="17" s="1"/>
  <c r="BZ988" i="17" s="1"/>
  <c r="BX990" i="17"/>
  <c r="BY990" i="17" s="1"/>
  <c r="BZ990" i="17" s="1"/>
  <c r="BX992" i="17"/>
  <c r="BY992" i="17" s="1"/>
  <c r="BZ992" i="17" s="1"/>
  <c r="BX994" i="17"/>
  <c r="BY994" i="17" s="1"/>
  <c r="BZ994" i="17" s="1"/>
  <c r="BX996" i="17"/>
  <c r="BY996" i="17" s="1"/>
  <c r="BZ996" i="17" s="1"/>
  <c r="BX998" i="17"/>
  <c r="BY998" i="17" s="1"/>
  <c r="BZ998" i="17" s="1"/>
  <c r="BX1000" i="17"/>
  <c r="BY1000" i="17" s="1"/>
  <c r="BZ1000" i="17" s="1"/>
  <c r="BX1002" i="17"/>
  <c r="BY1002" i="17" s="1"/>
  <c r="BZ1002" i="17" s="1"/>
  <c r="BX1004" i="17"/>
  <c r="BY1004" i="17" s="1"/>
  <c r="BZ1004" i="17" s="1"/>
  <c r="BX1006" i="17"/>
  <c r="BY1006" i="17" s="1"/>
  <c r="BZ1006" i="17" s="1"/>
  <c r="BX1008" i="17"/>
  <c r="BY1008" i="17" s="1"/>
  <c r="BZ1008" i="17" s="1"/>
  <c r="BX1010" i="17"/>
  <c r="BY1010" i="17" s="1"/>
  <c r="BZ1010" i="17" s="1"/>
  <c r="BX1012" i="17"/>
  <c r="BY1012" i="17" s="1"/>
  <c r="BZ1012" i="17" s="1"/>
  <c r="BX1014" i="17"/>
  <c r="BY1014" i="17" s="1"/>
  <c r="BZ1014" i="17" s="1"/>
  <c r="BX1016" i="17"/>
  <c r="BY1016" i="17" s="1"/>
  <c r="BZ1016" i="17" s="1"/>
  <c r="BX1018" i="17"/>
  <c r="BY1018" i="17" s="1"/>
  <c r="BZ1018" i="17" s="1"/>
  <c r="BX1020" i="17"/>
  <c r="BY1020" i="17" s="1"/>
  <c r="BZ1020" i="17" s="1"/>
  <c r="BX1022" i="17"/>
  <c r="BY1022" i="17" s="1"/>
  <c r="BZ1022" i="17" s="1"/>
  <c r="BX1024" i="17"/>
  <c r="BY1024" i="17" s="1"/>
  <c r="BZ1024" i="17" s="1"/>
  <c r="BX1026" i="17"/>
  <c r="BY1026" i="17" s="1"/>
  <c r="BZ1026" i="17" s="1"/>
  <c r="BX1028" i="17"/>
  <c r="BY1028" i="17" s="1"/>
  <c r="BZ1028" i="17" s="1"/>
  <c r="BX1030" i="17"/>
  <c r="BY1030" i="17" s="1"/>
  <c r="BZ1030" i="17" s="1"/>
  <c r="BX1032" i="17"/>
  <c r="BY1032" i="17" s="1"/>
  <c r="BZ1032" i="17" s="1"/>
  <c r="R766" i="7"/>
  <c r="R771" i="7"/>
  <c r="R774" i="7"/>
  <c r="Q775" i="7"/>
  <c r="X775" i="7" s="1"/>
  <c r="R779" i="7"/>
  <c r="BX781" i="17"/>
  <c r="BY781" i="17" s="1"/>
  <c r="BZ781" i="17" s="1"/>
  <c r="BR782" i="17"/>
  <c r="BS782" i="17" s="1"/>
  <c r="BT782" i="17" s="1"/>
  <c r="N783" i="7"/>
  <c r="W783" i="7" s="1"/>
  <c r="BL783" i="17"/>
  <c r="BM783" i="17" s="1"/>
  <c r="BN783" i="17" s="1"/>
  <c r="N784" i="7"/>
  <c r="W784" i="7" s="1"/>
  <c r="BL784" i="17"/>
  <c r="BM784" i="17" s="1"/>
  <c r="BN784" i="17" s="1"/>
  <c r="BL785" i="17"/>
  <c r="BM785" i="17" s="1"/>
  <c r="BN785" i="17" s="1"/>
  <c r="M786" i="7"/>
  <c r="V786" i="7" s="1"/>
  <c r="BF786" i="17"/>
  <c r="BG786" i="17" s="1"/>
  <c r="BH786" i="17" s="1"/>
  <c r="BL787" i="17"/>
  <c r="BM787" i="17" s="1"/>
  <c r="BN787" i="17" s="1"/>
  <c r="O788" i="7"/>
  <c r="Z788" i="7" s="1"/>
  <c r="BR788" i="17"/>
  <c r="BS788" i="17" s="1"/>
  <c r="BT788" i="17" s="1"/>
  <c r="O789" i="7"/>
  <c r="Z789" i="7" s="1"/>
  <c r="BR789" i="17"/>
  <c r="BS789" i="17" s="1"/>
  <c r="BT789" i="17" s="1"/>
  <c r="BX790" i="17"/>
  <c r="BY790" i="17" s="1"/>
  <c r="BZ790" i="17" s="1"/>
  <c r="BX791" i="17"/>
  <c r="BY791" i="17" s="1"/>
  <c r="BZ791" i="17" s="1"/>
  <c r="P792" i="7"/>
  <c r="AA792" i="7" s="1"/>
  <c r="BX792" i="17"/>
  <c r="BY792" i="17" s="1"/>
  <c r="BZ792" i="17" s="1"/>
  <c r="O794" i="7"/>
  <c r="Z794" i="7" s="1"/>
  <c r="BR794" i="17"/>
  <c r="BS794" i="17" s="1"/>
  <c r="BT794" i="17" s="1"/>
  <c r="BX795" i="17"/>
  <c r="BY795" i="17" s="1"/>
  <c r="BZ795" i="17" s="1"/>
  <c r="O796" i="7"/>
  <c r="Z796" i="7" s="1"/>
  <c r="BR796" i="17"/>
  <c r="BS796" i="17" s="1"/>
  <c r="BT796" i="17" s="1"/>
  <c r="BX797" i="17"/>
  <c r="BY797" i="17" s="1"/>
  <c r="BZ797" i="17" s="1"/>
  <c r="P798" i="7"/>
  <c r="AA798" i="7" s="1"/>
  <c r="BX798" i="17"/>
  <c r="BY798" i="17" s="1"/>
  <c r="BZ798" i="17" s="1"/>
  <c r="BX799" i="17"/>
  <c r="BY799" i="17" s="1"/>
  <c r="BZ799" i="17" s="1"/>
  <c r="BF800" i="17"/>
  <c r="BG800" i="17" s="1"/>
  <c r="BH800" i="17" s="1"/>
  <c r="N801" i="7"/>
  <c r="W801" i="7" s="1"/>
  <c r="BL801" i="17"/>
  <c r="BM801" i="17" s="1"/>
  <c r="BN801" i="17" s="1"/>
  <c r="CD801" i="17" s="1"/>
  <c r="BL802" i="17"/>
  <c r="BM802" i="17" s="1"/>
  <c r="BN802" i="17" s="1"/>
  <c r="BR803" i="17"/>
  <c r="BS803" i="17" s="1"/>
  <c r="BT803" i="17" s="1"/>
  <c r="BF804" i="17"/>
  <c r="BG804" i="17" s="1"/>
  <c r="BH804" i="17" s="1"/>
  <c r="M805" i="7"/>
  <c r="V805" i="7" s="1"/>
  <c r="BF805" i="17"/>
  <c r="BG805" i="17" s="1"/>
  <c r="BH805" i="17" s="1"/>
  <c r="AT806" i="17"/>
  <c r="AU806" i="17" s="1"/>
  <c r="AV806" i="17" s="1"/>
  <c r="L808" i="7"/>
  <c r="U808" i="7" s="1"/>
  <c r="AZ807" i="17"/>
  <c r="BA807" i="17" s="1"/>
  <c r="BB807" i="17" s="1"/>
  <c r="S815" i="7"/>
  <c r="Y815" i="7" s="1"/>
  <c r="AC815" i="7" s="1"/>
  <c r="S817" i="7"/>
  <c r="P820" i="7"/>
  <c r="AA820" i="7" s="1"/>
  <c r="BX820" i="17"/>
  <c r="BY820" i="17" s="1"/>
  <c r="BZ820" i="17" s="1"/>
  <c r="BX821" i="17"/>
  <c r="BY821" i="17" s="1"/>
  <c r="BZ821" i="17" s="1"/>
  <c r="N823" i="7"/>
  <c r="W823" i="7" s="1"/>
  <c r="BL823" i="17"/>
  <c r="BM823" i="17" s="1"/>
  <c r="BN823" i="17" s="1"/>
  <c r="BR824" i="17"/>
  <c r="BS824" i="17" s="1"/>
  <c r="BT824" i="17" s="1"/>
  <c r="BR825" i="17"/>
  <c r="BS825" i="17" s="1"/>
  <c r="BT825" i="17" s="1"/>
  <c r="BR826" i="17"/>
  <c r="BS826" i="17" s="1"/>
  <c r="BT826" i="17" s="1"/>
  <c r="AZ827" i="17"/>
  <c r="BA827" i="17" s="1"/>
  <c r="BB827" i="17" s="1"/>
  <c r="BF828" i="17"/>
  <c r="BG828" i="17" s="1"/>
  <c r="BH828" i="17" s="1"/>
  <c r="BL829" i="17"/>
  <c r="BM829" i="17" s="1"/>
  <c r="BN829" i="17" s="1"/>
  <c r="AZ830" i="17"/>
  <c r="BA830" i="17" s="1"/>
  <c r="BB830" i="17" s="1"/>
  <c r="L831" i="7"/>
  <c r="U831" i="7" s="1"/>
  <c r="AZ831" i="17"/>
  <c r="BA831" i="17" s="1"/>
  <c r="BB831" i="17" s="1"/>
  <c r="AT832" i="17"/>
  <c r="AU832" i="17" s="1"/>
  <c r="AV832" i="17" s="1"/>
  <c r="P837" i="7"/>
  <c r="AA837" i="7" s="1"/>
  <c r="BX837" i="17"/>
  <c r="BY837" i="17" s="1"/>
  <c r="BZ837" i="17" s="1"/>
  <c r="P839" i="7"/>
  <c r="AA839" i="7" s="1"/>
  <c r="BX838" i="17"/>
  <c r="BY838" i="17" s="1"/>
  <c r="BZ838" i="17" s="1"/>
  <c r="BR839" i="17"/>
  <c r="BS839" i="17" s="1"/>
  <c r="BT839" i="17" s="1"/>
  <c r="BF840" i="17"/>
  <c r="BG840" i="17" s="1"/>
  <c r="BH840" i="17" s="1"/>
  <c r="BF841" i="17"/>
  <c r="BG841" i="17" s="1"/>
  <c r="BH841" i="17" s="1"/>
  <c r="AZ842" i="17"/>
  <c r="BA842" i="17" s="1"/>
  <c r="BB842" i="17" s="1"/>
  <c r="AT844" i="17"/>
  <c r="AU844" i="17" s="1"/>
  <c r="AV844" i="17" s="1"/>
  <c r="P847" i="7"/>
  <c r="AA847" i="7" s="1"/>
  <c r="N851" i="7"/>
  <c r="W851" i="7" s="1"/>
  <c r="BL851" i="17"/>
  <c r="BM851" i="17" s="1"/>
  <c r="BN851" i="17" s="1"/>
  <c r="BR852" i="17"/>
  <c r="BS852" i="17" s="1"/>
  <c r="BT852" i="17" s="1"/>
  <c r="BF853" i="17"/>
  <c r="BG853" i="17" s="1"/>
  <c r="BH853" i="17" s="1"/>
  <c r="BF854" i="17"/>
  <c r="BG854" i="17" s="1"/>
  <c r="BH854" i="17" s="1"/>
  <c r="K856" i="7"/>
  <c r="T856" i="7" s="1"/>
  <c r="AT855" i="17"/>
  <c r="AU855" i="17" s="1"/>
  <c r="AV855" i="17" s="1"/>
  <c r="AT856" i="17"/>
  <c r="AU856" i="17" s="1"/>
  <c r="AV856" i="17" s="1"/>
  <c r="L857" i="7"/>
  <c r="U857" i="7" s="1"/>
  <c r="AZ857" i="17"/>
  <c r="BA857" i="17" s="1"/>
  <c r="BB857" i="17" s="1"/>
  <c r="BF858" i="17"/>
  <c r="BG858" i="17" s="1"/>
  <c r="BH858" i="17" s="1"/>
  <c r="L860" i="7"/>
  <c r="U860" i="7" s="1"/>
  <c r="AZ859" i="17"/>
  <c r="BA859" i="17" s="1"/>
  <c r="BB859" i="17" s="1"/>
  <c r="AT860" i="17"/>
  <c r="AU860" i="17" s="1"/>
  <c r="AV860" i="17" s="1"/>
  <c r="AT1111" i="17"/>
  <c r="AU1111" i="17" s="1"/>
  <c r="AV1111" i="17" s="1"/>
  <c r="AZ861" i="17"/>
  <c r="BA861" i="17" s="1"/>
  <c r="BB861" i="17" s="1"/>
  <c r="AZ862" i="17"/>
  <c r="BA862" i="17" s="1"/>
  <c r="BB862" i="17" s="1"/>
  <c r="AT863" i="17"/>
  <c r="AU863" i="17" s="1"/>
  <c r="AV863" i="17" s="1"/>
  <c r="K864" i="7"/>
  <c r="T864" i="7" s="1"/>
  <c r="AT864" i="17"/>
  <c r="AU864" i="17" s="1"/>
  <c r="AV864" i="17" s="1"/>
  <c r="L865" i="7"/>
  <c r="U865" i="7" s="1"/>
  <c r="AZ865" i="17"/>
  <c r="BA865" i="17" s="1"/>
  <c r="BB865" i="17" s="1"/>
  <c r="BF866" i="17"/>
  <c r="BG866" i="17" s="1"/>
  <c r="BH866" i="17" s="1"/>
  <c r="M868" i="7"/>
  <c r="V868" i="7" s="1"/>
  <c r="BF867" i="17"/>
  <c r="BG867" i="17" s="1"/>
  <c r="BH867" i="17" s="1"/>
  <c r="BF868" i="17"/>
  <c r="BG868" i="17" s="1"/>
  <c r="BH868" i="17" s="1"/>
  <c r="M870" i="7"/>
  <c r="V870" i="7" s="1"/>
  <c r="BF869" i="17"/>
  <c r="BG869" i="17" s="1"/>
  <c r="BH869" i="17" s="1"/>
  <c r="BL870" i="17"/>
  <c r="BM870" i="17" s="1"/>
  <c r="BN870" i="17" s="1"/>
  <c r="BL871" i="17"/>
  <c r="BM871" i="17" s="1"/>
  <c r="BN871" i="17" s="1"/>
  <c r="M873" i="7"/>
  <c r="V873" i="7" s="1"/>
  <c r="BF872" i="17"/>
  <c r="BG872" i="17" s="1"/>
  <c r="BH872" i="17" s="1"/>
  <c r="BL873" i="17"/>
  <c r="BM873" i="17" s="1"/>
  <c r="BN873" i="17" s="1"/>
  <c r="BR874" i="17"/>
  <c r="BS874" i="17" s="1"/>
  <c r="BT874" i="17" s="1"/>
  <c r="N875" i="7"/>
  <c r="W875" i="7" s="1"/>
  <c r="BL875" i="17"/>
  <c r="BM875" i="17" s="1"/>
  <c r="BN875" i="17" s="1"/>
  <c r="AZ876" i="17"/>
  <c r="BA876" i="17" s="1"/>
  <c r="BB876" i="17" s="1"/>
  <c r="R880" i="7"/>
  <c r="P881" i="7"/>
  <c r="AA881" i="7" s="1"/>
  <c r="BX881" i="17"/>
  <c r="BY881" i="17" s="1"/>
  <c r="BZ881" i="17" s="1"/>
  <c r="BX885" i="17"/>
  <c r="BY885" i="17" s="1"/>
  <c r="BZ885" i="17" s="1"/>
  <c r="BL886" i="17"/>
  <c r="BM886" i="17" s="1"/>
  <c r="BN886" i="17" s="1"/>
  <c r="N887" i="7"/>
  <c r="W887" i="7" s="1"/>
  <c r="BL887" i="17"/>
  <c r="BM887" i="17" s="1"/>
  <c r="BN887" i="17" s="1"/>
  <c r="O888" i="7"/>
  <c r="Z888" i="7" s="1"/>
  <c r="BR888" i="17"/>
  <c r="BS888" i="17" s="1"/>
  <c r="BT888" i="17" s="1"/>
  <c r="BX889" i="17"/>
  <c r="BY889" i="17" s="1"/>
  <c r="BZ889" i="17" s="1"/>
  <c r="BX891" i="17"/>
  <c r="BY891" i="17" s="1"/>
  <c r="BZ891" i="17" s="1"/>
  <c r="BR892" i="17"/>
  <c r="BS892" i="17" s="1"/>
  <c r="BT892" i="17" s="1"/>
  <c r="O893" i="7"/>
  <c r="Z893" i="7" s="1"/>
  <c r="BR893" i="17"/>
  <c r="BS893" i="17" s="1"/>
  <c r="BT893" i="17" s="1"/>
  <c r="BX894" i="17"/>
  <c r="BY894" i="17" s="1"/>
  <c r="BZ894" i="17" s="1"/>
  <c r="P895" i="7"/>
  <c r="AA895" i="7" s="1"/>
  <c r="BX895" i="17"/>
  <c r="BY895" i="17" s="1"/>
  <c r="BZ895" i="17" s="1"/>
  <c r="Q897" i="7"/>
  <c r="X897" i="7" s="1"/>
  <c r="BX898" i="17"/>
  <c r="BY898" i="17" s="1"/>
  <c r="BZ898" i="17" s="1"/>
  <c r="O899" i="7"/>
  <c r="Z899" i="7" s="1"/>
  <c r="BR899" i="17"/>
  <c r="BS899" i="17" s="1"/>
  <c r="BT899" i="17" s="1"/>
  <c r="BF900" i="17"/>
  <c r="BG900" i="17" s="1"/>
  <c r="BH900" i="17" s="1"/>
  <c r="BL901" i="17"/>
  <c r="BM901" i="17" s="1"/>
  <c r="BN901" i="17" s="1"/>
  <c r="BL902" i="17"/>
  <c r="BM902" i="17" s="1"/>
  <c r="BN902" i="17" s="1"/>
  <c r="L903" i="7"/>
  <c r="U903" i="7" s="1"/>
  <c r="AZ903" i="17"/>
  <c r="BA903" i="17" s="1"/>
  <c r="BB903" i="17" s="1"/>
  <c r="AZ904" i="17"/>
  <c r="BA904" i="17" s="1"/>
  <c r="BB904" i="17" s="1"/>
  <c r="AZ905" i="17"/>
  <c r="BA905" i="17" s="1"/>
  <c r="BB905" i="17" s="1"/>
  <c r="L907" i="7"/>
  <c r="U907" i="7" s="1"/>
  <c r="AZ906" i="17"/>
  <c r="BA906" i="17" s="1"/>
  <c r="BB906" i="17" s="1"/>
  <c r="K907" i="7"/>
  <c r="T907" i="7" s="1"/>
  <c r="AT907" i="17"/>
  <c r="AU907" i="17" s="1"/>
  <c r="AV907" i="17" s="1"/>
  <c r="L908" i="7"/>
  <c r="U908" i="7" s="1"/>
  <c r="AZ908" i="17"/>
  <c r="BA908" i="17" s="1"/>
  <c r="BB908" i="17" s="1"/>
  <c r="AT909" i="17"/>
  <c r="AU909" i="17" s="1"/>
  <c r="AV909" i="17" s="1"/>
  <c r="Q910" i="7"/>
  <c r="X910" i="7" s="1"/>
  <c r="AT913" i="17"/>
  <c r="AU913" i="17" s="1"/>
  <c r="AV913" i="17" s="1"/>
  <c r="AT915" i="17"/>
  <c r="AU915" i="17" s="1"/>
  <c r="AV915" i="17" s="1"/>
  <c r="AT917" i="17"/>
  <c r="AU917" i="17" s="1"/>
  <c r="AV917" i="17" s="1"/>
  <c r="AT919" i="17"/>
  <c r="AU919" i="17" s="1"/>
  <c r="AV919" i="17" s="1"/>
  <c r="AT921" i="17"/>
  <c r="AU921" i="17" s="1"/>
  <c r="AV921" i="17" s="1"/>
  <c r="AT923" i="17"/>
  <c r="AU923" i="17" s="1"/>
  <c r="AV923" i="17" s="1"/>
  <c r="AT925" i="17"/>
  <c r="AU925" i="17" s="1"/>
  <c r="AV925" i="17" s="1"/>
  <c r="AT927" i="17"/>
  <c r="AU927" i="17" s="1"/>
  <c r="AV927" i="17" s="1"/>
  <c r="AT929" i="17"/>
  <c r="AU929" i="17" s="1"/>
  <c r="AV929" i="17" s="1"/>
  <c r="AT931" i="17"/>
  <c r="AU931" i="17" s="1"/>
  <c r="AV931" i="17" s="1"/>
  <c r="AT933" i="17"/>
  <c r="AU933" i="17" s="1"/>
  <c r="AV933" i="17" s="1"/>
  <c r="AT935" i="17"/>
  <c r="AU935" i="17" s="1"/>
  <c r="AV935" i="17" s="1"/>
  <c r="AT937" i="17"/>
  <c r="AU937" i="17" s="1"/>
  <c r="AV937" i="17" s="1"/>
  <c r="AT939" i="17"/>
  <c r="AU939" i="17" s="1"/>
  <c r="AV939" i="17" s="1"/>
  <c r="AT941" i="17"/>
  <c r="AU941" i="17" s="1"/>
  <c r="AV941" i="17" s="1"/>
  <c r="AT943" i="17"/>
  <c r="AU943" i="17" s="1"/>
  <c r="AV943" i="17" s="1"/>
  <c r="AT945" i="17"/>
  <c r="AU945" i="17" s="1"/>
  <c r="AV945" i="17" s="1"/>
  <c r="AT947" i="17"/>
  <c r="AU947" i="17" s="1"/>
  <c r="AV947" i="17" s="1"/>
  <c r="AT949" i="17"/>
  <c r="AU949" i="17" s="1"/>
  <c r="AV949" i="17" s="1"/>
  <c r="AT951" i="17"/>
  <c r="AU951" i="17" s="1"/>
  <c r="AV951" i="17" s="1"/>
  <c r="AT953" i="17"/>
  <c r="AU953" i="17" s="1"/>
  <c r="AV953" i="17" s="1"/>
  <c r="AT955" i="17"/>
  <c r="AU955" i="17" s="1"/>
  <c r="AV955" i="17" s="1"/>
  <c r="AT957" i="17"/>
  <c r="AU957" i="17" s="1"/>
  <c r="AV957" i="17" s="1"/>
  <c r="AT959" i="17"/>
  <c r="AU959" i="17" s="1"/>
  <c r="AV959" i="17" s="1"/>
  <c r="AT961" i="17"/>
  <c r="AU961" i="17" s="1"/>
  <c r="AV961" i="17" s="1"/>
  <c r="AT963" i="17"/>
  <c r="AU963" i="17" s="1"/>
  <c r="AV963" i="17" s="1"/>
  <c r="AT965" i="17"/>
  <c r="AU965" i="17" s="1"/>
  <c r="AV965" i="17" s="1"/>
  <c r="AT967" i="17"/>
  <c r="AU967" i="17" s="1"/>
  <c r="AV967" i="17" s="1"/>
  <c r="AT969" i="17"/>
  <c r="AU969" i="17" s="1"/>
  <c r="AV969" i="17" s="1"/>
  <c r="AT971" i="17"/>
  <c r="AU971" i="17" s="1"/>
  <c r="AV971" i="17" s="1"/>
  <c r="AT973" i="17"/>
  <c r="AU973" i="17" s="1"/>
  <c r="AV973" i="17" s="1"/>
  <c r="AT975" i="17"/>
  <c r="AU975" i="17" s="1"/>
  <c r="AV975" i="17" s="1"/>
  <c r="AT977" i="17"/>
  <c r="AU977" i="17" s="1"/>
  <c r="AV977" i="17" s="1"/>
  <c r="AT979" i="17"/>
  <c r="AU979" i="17" s="1"/>
  <c r="AV979" i="17" s="1"/>
  <c r="AT981" i="17"/>
  <c r="AU981" i="17" s="1"/>
  <c r="AV981" i="17" s="1"/>
  <c r="AT991" i="17"/>
  <c r="AU991" i="17" s="1"/>
  <c r="AV991" i="17" s="1"/>
  <c r="AT1003" i="17"/>
  <c r="AU1003" i="17" s="1"/>
  <c r="AV1003" i="17" s="1"/>
  <c r="AT1015" i="17"/>
  <c r="AU1015" i="17" s="1"/>
  <c r="AV1015" i="17" s="1"/>
  <c r="AT1027" i="17"/>
  <c r="AU1027" i="17" s="1"/>
  <c r="AV1027" i="17" s="1"/>
  <c r="AT1039" i="17"/>
  <c r="AU1039" i="17" s="1"/>
  <c r="AV1039" i="17" s="1"/>
  <c r="AT1051" i="17"/>
  <c r="AU1051" i="17" s="1"/>
  <c r="AV1051" i="17" s="1"/>
  <c r="AT1063" i="17"/>
  <c r="AU1063" i="17" s="1"/>
  <c r="AV1063" i="17" s="1"/>
  <c r="AT1075" i="17"/>
  <c r="AU1075" i="17" s="1"/>
  <c r="AV1075" i="17" s="1"/>
  <c r="AT1087" i="17"/>
  <c r="AU1087" i="17" s="1"/>
  <c r="AV1087" i="17" s="1"/>
  <c r="AT1099" i="17"/>
  <c r="AU1099" i="17" s="1"/>
  <c r="AV1099" i="17" s="1"/>
  <c r="AT1123" i="17"/>
  <c r="AU1123" i="17" s="1"/>
  <c r="AV1123" i="17" s="1"/>
  <c r="AT1135" i="17"/>
  <c r="AU1135" i="17" s="1"/>
  <c r="AV1135" i="17" s="1"/>
  <c r="AT1147" i="17"/>
  <c r="AU1147" i="17" s="1"/>
  <c r="AV1147" i="17" s="1"/>
  <c r="AT1159" i="17"/>
  <c r="AU1159" i="17" s="1"/>
  <c r="AV1159" i="17" s="1"/>
  <c r="AT1171" i="17"/>
  <c r="AU1171" i="17" s="1"/>
  <c r="AV1171" i="17" s="1"/>
  <c r="AT1183" i="17"/>
  <c r="AU1183" i="17" s="1"/>
  <c r="AV1183" i="17" s="1"/>
  <c r="AT1195" i="17"/>
  <c r="AU1195" i="17" s="1"/>
  <c r="AV1195" i="17" s="1"/>
  <c r="AT1207" i="17"/>
  <c r="AU1207" i="17" s="1"/>
  <c r="AV1207" i="17" s="1"/>
  <c r="AT1219" i="17"/>
  <c r="AU1219" i="17" s="1"/>
  <c r="AV1219" i="17" s="1"/>
  <c r="AT1231" i="17"/>
  <c r="AU1231" i="17" s="1"/>
  <c r="AV1231" i="17" s="1"/>
  <c r="Q750" i="7"/>
  <c r="X750" i="7" s="1"/>
  <c r="P752" i="7"/>
  <c r="AA752" i="7" s="1"/>
  <c r="BX751" i="17"/>
  <c r="BY751" i="17" s="1"/>
  <c r="BZ751" i="17" s="1"/>
  <c r="P754" i="7"/>
  <c r="AA754" i="7" s="1"/>
  <c r="BX754" i="17"/>
  <c r="BY754" i="17" s="1"/>
  <c r="BZ754" i="17" s="1"/>
  <c r="CD754" i="17" s="1"/>
  <c r="BX756" i="17"/>
  <c r="BY756" i="17" s="1"/>
  <c r="BZ756" i="17" s="1"/>
  <c r="Q759" i="7"/>
  <c r="X759" i="7" s="1"/>
  <c r="R763" i="7"/>
  <c r="R769" i="7"/>
  <c r="S771" i="7"/>
  <c r="N773" i="7"/>
  <c r="W773" i="7" s="1"/>
  <c r="S774" i="7"/>
  <c r="Y774" i="7" s="1"/>
  <c r="R775" i="7"/>
  <c r="R777" i="7"/>
  <c r="S780" i="7"/>
  <c r="Q781" i="7"/>
  <c r="X781" i="7" s="1"/>
  <c r="P782" i="7"/>
  <c r="AA782" i="7" s="1"/>
  <c r="BX782" i="17"/>
  <c r="BY782" i="17" s="1"/>
  <c r="BZ782" i="17" s="1"/>
  <c r="O783" i="7"/>
  <c r="Z783" i="7" s="1"/>
  <c r="BR783" i="17"/>
  <c r="BS783" i="17" s="1"/>
  <c r="BT783" i="17" s="1"/>
  <c r="O784" i="7"/>
  <c r="Z784" i="7" s="1"/>
  <c r="BR784" i="17"/>
  <c r="BS784" i="17" s="1"/>
  <c r="BT784" i="17" s="1"/>
  <c r="BR785" i="17"/>
  <c r="BS785" i="17" s="1"/>
  <c r="BT785" i="17" s="1"/>
  <c r="BL786" i="17"/>
  <c r="BM786" i="17" s="1"/>
  <c r="BN786" i="17" s="1"/>
  <c r="BR787" i="17"/>
  <c r="BS787" i="17" s="1"/>
  <c r="BT787" i="17" s="1"/>
  <c r="P788" i="7"/>
  <c r="AA788" i="7" s="1"/>
  <c r="BX788" i="17"/>
  <c r="BY788" i="17" s="1"/>
  <c r="BZ788" i="17" s="1"/>
  <c r="P790" i="7"/>
  <c r="AA790" i="7" s="1"/>
  <c r="BX789" i="17"/>
  <c r="BY789" i="17" s="1"/>
  <c r="BZ789" i="17" s="1"/>
  <c r="Q791" i="7"/>
  <c r="X791" i="7" s="1"/>
  <c r="P794" i="7"/>
  <c r="AA794" i="7" s="1"/>
  <c r="BX794" i="17"/>
  <c r="BY794" i="17" s="1"/>
  <c r="BZ794" i="17" s="1"/>
  <c r="P796" i="7"/>
  <c r="AA796" i="7" s="1"/>
  <c r="BX796" i="17"/>
  <c r="BY796" i="17" s="1"/>
  <c r="BZ796" i="17" s="1"/>
  <c r="N800" i="7"/>
  <c r="W800" i="7" s="1"/>
  <c r="BL800" i="17"/>
  <c r="BM800" i="17" s="1"/>
  <c r="BN800" i="17" s="1"/>
  <c r="BR801" i="17"/>
  <c r="BS801" i="17" s="1"/>
  <c r="BT801" i="17" s="1"/>
  <c r="O802" i="7"/>
  <c r="Z802" i="7" s="1"/>
  <c r="BR802" i="17"/>
  <c r="BS802" i="17" s="1"/>
  <c r="BT802" i="17" s="1"/>
  <c r="BX803" i="17"/>
  <c r="BY803" i="17" s="1"/>
  <c r="BZ803" i="17" s="1"/>
  <c r="BL804" i="17"/>
  <c r="BM804" i="17" s="1"/>
  <c r="BN804" i="17" s="1"/>
  <c r="BL805" i="17"/>
  <c r="BM805" i="17" s="1"/>
  <c r="BN805" i="17" s="1"/>
  <c r="AZ806" i="17"/>
  <c r="BA806" i="17" s="1"/>
  <c r="BB806" i="17" s="1"/>
  <c r="BF807" i="17"/>
  <c r="BG807" i="17" s="1"/>
  <c r="BH807" i="17" s="1"/>
  <c r="AT809" i="17"/>
  <c r="AU809" i="17" s="1"/>
  <c r="AV809" i="17" s="1"/>
  <c r="K812" i="7"/>
  <c r="T812" i="7" s="1"/>
  <c r="AT812" i="17"/>
  <c r="AU812" i="17" s="1"/>
  <c r="AV812" i="17" s="1"/>
  <c r="Q817" i="7"/>
  <c r="X817" i="7" s="1"/>
  <c r="O819" i="7"/>
  <c r="Z819" i="7" s="1"/>
  <c r="Q820" i="7"/>
  <c r="X820" i="7" s="1"/>
  <c r="BR823" i="17"/>
  <c r="BS823" i="17" s="1"/>
  <c r="BT823" i="17" s="1"/>
  <c r="BX824" i="17"/>
  <c r="BY824" i="17" s="1"/>
  <c r="BZ824" i="17" s="1"/>
  <c r="BX825" i="17"/>
  <c r="BY825" i="17" s="1"/>
  <c r="BZ825" i="17" s="1"/>
  <c r="CD825" i="17" s="1"/>
  <c r="BX826" i="17"/>
  <c r="BY826" i="17" s="1"/>
  <c r="BZ826" i="17" s="1"/>
  <c r="BF827" i="17"/>
  <c r="BG827" i="17" s="1"/>
  <c r="BH827" i="17" s="1"/>
  <c r="BL828" i="17"/>
  <c r="BM828" i="17" s="1"/>
  <c r="BN828" i="17" s="1"/>
  <c r="BR829" i="17"/>
  <c r="BS829" i="17" s="1"/>
  <c r="BT829" i="17" s="1"/>
  <c r="BF830" i="17"/>
  <c r="BG830" i="17" s="1"/>
  <c r="BH830" i="17" s="1"/>
  <c r="BF831" i="17"/>
  <c r="BG831" i="17" s="1"/>
  <c r="BH831" i="17" s="1"/>
  <c r="AZ832" i="17"/>
  <c r="BA832" i="17" s="1"/>
  <c r="BB832" i="17" s="1"/>
  <c r="AT833" i="17"/>
  <c r="AU833" i="17" s="1"/>
  <c r="AV833" i="17" s="1"/>
  <c r="O836" i="7"/>
  <c r="Z836" i="7" s="1"/>
  <c r="Q837" i="7"/>
  <c r="X837" i="7" s="1"/>
  <c r="BX839" i="17"/>
  <c r="BY839" i="17" s="1"/>
  <c r="BZ839" i="17" s="1"/>
  <c r="N840" i="7"/>
  <c r="W840" i="7" s="1"/>
  <c r="BL840" i="17"/>
  <c r="BM840" i="17" s="1"/>
  <c r="BN840" i="17" s="1"/>
  <c r="N841" i="7"/>
  <c r="W841" i="7" s="1"/>
  <c r="BL841" i="17"/>
  <c r="BM841" i="17" s="1"/>
  <c r="BN841" i="17" s="1"/>
  <c r="BF842" i="17"/>
  <c r="BG842" i="17" s="1"/>
  <c r="BH842" i="17" s="1"/>
  <c r="AT843" i="17"/>
  <c r="AU843" i="17" s="1"/>
  <c r="AV843" i="17" s="1"/>
  <c r="L844" i="7"/>
  <c r="U844" i="7" s="1"/>
  <c r="AZ844" i="17"/>
  <c r="BA844" i="17" s="1"/>
  <c r="BB844" i="17" s="1"/>
  <c r="AT847" i="17"/>
  <c r="AU847" i="17" s="1"/>
  <c r="AV847" i="17" s="1"/>
  <c r="S848" i="7"/>
  <c r="Y848" i="7" s="1"/>
  <c r="BR851" i="17"/>
  <c r="BS851" i="17" s="1"/>
  <c r="BT851" i="17" s="1"/>
  <c r="P853" i="7"/>
  <c r="AA853" i="7" s="1"/>
  <c r="BX852" i="17"/>
  <c r="BY852" i="17" s="1"/>
  <c r="BZ852" i="17" s="1"/>
  <c r="BL853" i="17"/>
  <c r="BM853" i="17" s="1"/>
  <c r="BN853" i="17" s="1"/>
  <c r="N854" i="7"/>
  <c r="W854" i="7" s="1"/>
  <c r="BL854" i="17"/>
  <c r="BM854" i="17" s="1"/>
  <c r="BN854" i="17" s="1"/>
  <c r="AZ855" i="17"/>
  <c r="BA855" i="17" s="1"/>
  <c r="BB855" i="17" s="1"/>
  <c r="AZ856" i="17"/>
  <c r="BA856" i="17" s="1"/>
  <c r="BB856" i="17" s="1"/>
  <c r="M857" i="7"/>
  <c r="V857" i="7" s="1"/>
  <c r="BF857" i="17"/>
  <c r="BG857" i="17" s="1"/>
  <c r="BH857" i="17" s="1"/>
  <c r="BL858" i="17"/>
  <c r="BM858" i="17" s="1"/>
  <c r="BN858" i="17" s="1"/>
  <c r="M859" i="7"/>
  <c r="V859" i="7" s="1"/>
  <c r="BF859" i="17"/>
  <c r="BG859" i="17" s="1"/>
  <c r="BH859" i="17" s="1"/>
  <c r="AZ860" i="17"/>
  <c r="BA860" i="17" s="1"/>
  <c r="BB860" i="17" s="1"/>
  <c r="BF861" i="17"/>
  <c r="BG861" i="17" s="1"/>
  <c r="BH861" i="17" s="1"/>
  <c r="M862" i="7"/>
  <c r="V862" i="7" s="1"/>
  <c r="BF862" i="17"/>
  <c r="BG862" i="17" s="1"/>
  <c r="BH862" i="17" s="1"/>
  <c r="L864" i="7"/>
  <c r="U864" i="7" s="1"/>
  <c r="AZ863" i="17"/>
  <c r="BA863" i="17" s="1"/>
  <c r="BB863" i="17" s="1"/>
  <c r="AZ864" i="17"/>
  <c r="BA864" i="17" s="1"/>
  <c r="BB864" i="17" s="1"/>
  <c r="M865" i="7"/>
  <c r="V865" i="7" s="1"/>
  <c r="BF865" i="17"/>
  <c r="BG865" i="17" s="1"/>
  <c r="BH865" i="17" s="1"/>
  <c r="N866" i="7"/>
  <c r="W866" i="7" s="1"/>
  <c r="BL866" i="17"/>
  <c r="BM866" i="17" s="1"/>
  <c r="BN866" i="17" s="1"/>
  <c r="BL867" i="17"/>
  <c r="BM867" i="17" s="1"/>
  <c r="BN867" i="17" s="1"/>
  <c r="BL868" i="17"/>
  <c r="BM868" i="17" s="1"/>
  <c r="BN868" i="17" s="1"/>
  <c r="N869" i="7"/>
  <c r="W869" i="7" s="1"/>
  <c r="BL869" i="17"/>
  <c r="BM869" i="17" s="1"/>
  <c r="BN869" i="17" s="1"/>
  <c r="BR870" i="17"/>
  <c r="BS870" i="17" s="1"/>
  <c r="BT870" i="17" s="1"/>
  <c r="O871" i="7"/>
  <c r="Z871" i="7" s="1"/>
  <c r="BR871" i="17"/>
  <c r="BS871" i="17" s="1"/>
  <c r="BT871" i="17" s="1"/>
  <c r="N872" i="7"/>
  <c r="W872" i="7" s="1"/>
  <c r="BL872" i="17"/>
  <c r="BM872" i="17" s="1"/>
  <c r="BN872" i="17" s="1"/>
  <c r="BR873" i="17"/>
  <c r="BS873" i="17" s="1"/>
  <c r="BT873" i="17" s="1"/>
  <c r="BX874" i="17"/>
  <c r="BY874" i="17" s="1"/>
  <c r="BZ874" i="17" s="1"/>
  <c r="BR875" i="17"/>
  <c r="BS875" i="17" s="1"/>
  <c r="BT875" i="17" s="1"/>
  <c r="BF876" i="17"/>
  <c r="BG876" i="17" s="1"/>
  <c r="BH876" i="17" s="1"/>
  <c r="K877" i="7"/>
  <c r="T877" i="7" s="1"/>
  <c r="AT877" i="17"/>
  <c r="AU877" i="17" s="1"/>
  <c r="AV877" i="17" s="1"/>
  <c r="S880" i="7"/>
  <c r="Y880" i="7" s="1"/>
  <c r="BR886" i="17"/>
  <c r="BS886" i="17" s="1"/>
  <c r="BT886" i="17" s="1"/>
  <c r="BR887" i="17"/>
  <c r="BS887" i="17" s="1"/>
  <c r="BT887" i="17" s="1"/>
  <c r="P889" i="7"/>
  <c r="AA889" i="7" s="1"/>
  <c r="BX888" i="17"/>
  <c r="BY888" i="17" s="1"/>
  <c r="BZ888" i="17" s="1"/>
  <c r="P892" i="7"/>
  <c r="AA892" i="7" s="1"/>
  <c r="BX892" i="17"/>
  <c r="BY892" i="17" s="1"/>
  <c r="BZ892" i="17" s="1"/>
  <c r="P893" i="7"/>
  <c r="AA893" i="7" s="1"/>
  <c r="BX893" i="17"/>
  <c r="BY893" i="17" s="1"/>
  <c r="BZ893" i="17" s="1"/>
  <c r="Q895" i="7"/>
  <c r="X895" i="7" s="1"/>
  <c r="R897" i="7"/>
  <c r="Y897" i="7" s="1"/>
  <c r="BX899" i="17"/>
  <c r="BY899" i="17" s="1"/>
  <c r="BZ899" i="17" s="1"/>
  <c r="N900" i="7"/>
  <c r="W900" i="7" s="1"/>
  <c r="BL900" i="17"/>
  <c r="BM900" i="17" s="1"/>
  <c r="BN900" i="17" s="1"/>
  <c r="BR901" i="17"/>
  <c r="BS901" i="17" s="1"/>
  <c r="BT901" i="17" s="1"/>
  <c r="BR902" i="17"/>
  <c r="BS902" i="17" s="1"/>
  <c r="BT902" i="17" s="1"/>
  <c r="M903" i="7"/>
  <c r="V903" i="7" s="1"/>
  <c r="BF903" i="17"/>
  <c r="BG903" i="17" s="1"/>
  <c r="BH903" i="17" s="1"/>
  <c r="BF904" i="17"/>
  <c r="BG904" i="17" s="1"/>
  <c r="BH904" i="17" s="1"/>
  <c r="M905" i="7"/>
  <c r="V905" i="7" s="1"/>
  <c r="BF905" i="17"/>
  <c r="BG905" i="17" s="1"/>
  <c r="BH905" i="17" s="1"/>
  <c r="BF906" i="17"/>
  <c r="BG906" i="17" s="1"/>
  <c r="BH906" i="17" s="1"/>
  <c r="AZ907" i="17"/>
  <c r="BA907" i="17" s="1"/>
  <c r="BB907" i="17" s="1"/>
  <c r="BF908" i="17"/>
  <c r="BG908" i="17" s="1"/>
  <c r="BH908" i="17" s="1"/>
  <c r="AZ909" i="17"/>
  <c r="BA909" i="17" s="1"/>
  <c r="BB909" i="17" s="1"/>
  <c r="AT910" i="17"/>
  <c r="AU910" i="17" s="1"/>
  <c r="AV910" i="17" s="1"/>
  <c r="AZ913" i="17"/>
  <c r="BA913" i="17" s="1"/>
  <c r="BB913" i="17" s="1"/>
  <c r="AZ915" i="17"/>
  <c r="BA915" i="17" s="1"/>
  <c r="BB915" i="17" s="1"/>
  <c r="AZ917" i="17"/>
  <c r="BA917" i="17" s="1"/>
  <c r="BB917" i="17" s="1"/>
  <c r="AZ919" i="17"/>
  <c r="BA919" i="17" s="1"/>
  <c r="BB919" i="17" s="1"/>
  <c r="AZ921" i="17"/>
  <c r="BA921" i="17" s="1"/>
  <c r="BB921" i="17" s="1"/>
  <c r="AZ923" i="17"/>
  <c r="BA923" i="17" s="1"/>
  <c r="BB923" i="17" s="1"/>
  <c r="AZ925" i="17"/>
  <c r="BA925" i="17" s="1"/>
  <c r="BB925" i="17" s="1"/>
  <c r="AZ927" i="17"/>
  <c r="BA927" i="17" s="1"/>
  <c r="BB927" i="17" s="1"/>
  <c r="AZ929" i="17"/>
  <c r="BA929" i="17" s="1"/>
  <c r="BB929" i="17" s="1"/>
  <c r="AZ931" i="17"/>
  <c r="BA931" i="17" s="1"/>
  <c r="BB931" i="17" s="1"/>
  <c r="AZ933" i="17"/>
  <c r="BA933" i="17" s="1"/>
  <c r="BB933" i="17" s="1"/>
  <c r="AZ935" i="17"/>
  <c r="BA935" i="17" s="1"/>
  <c r="BB935" i="17" s="1"/>
  <c r="AZ937" i="17"/>
  <c r="BA937" i="17" s="1"/>
  <c r="BB937" i="17" s="1"/>
  <c r="AZ939" i="17"/>
  <c r="BA939" i="17" s="1"/>
  <c r="BB939" i="17" s="1"/>
  <c r="AZ941" i="17"/>
  <c r="BA941" i="17" s="1"/>
  <c r="BB941" i="17" s="1"/>
  <c r="AZ943" i="17"/>
  <c r="BA943" i="17" s="1"/>
  <c r="BB943" i="17" s="1"/>
  <c r="AZ945" i="17"/>
  <c r="BA945" i="17" s="1"/>
  <c r="BB945" i="17" s="1"/>
  <c r="AZ947" i="17"/>
  <c r="BA947" i="17" s="1"/>
  <c r="BB947" i="17" s="1"/>
  <c r="AZ949" i="17"/>
  <c r="BA949" i="17" s="1"/>
  <c r="BB949" i="17" s="1"/>
  <c r="AZ951" i="17"/>
  <c r="BA951" i="17" s="1"/>
  <c r="BB951" i="17" s="1"/>
  <c r="AZ953" i="17"/>
  <c r="BA953" i="17" s="1"/>
  <c r="BB953" i="17" s="1"/>
  <c r="AZ955" i="17"/>
  <c r="BA955" i="17" s="1"/>
  <c r="BB955" i="17" s="1"/>
  <c r="AZ957" i="17"/>
  <c r="BA957" i="17" s="1"/>
  <c r="BB957" i="17" s="1"/>
  <c r="AZ959" i="17"/>
  <c r="BA959" i="17" s="1"/>
  <c r="BB959" i="17" s="1"/>
  <c r="AZ961" i="17"/>
  <c r="BA961" i="17" s="1"/>
  <c r="BB961" i="17" s="1"/>
  <c r="AZ963" i="17"/>
  <c r="BA963" i="17" s="1"/>
  <c r="BB963" i="17" s="1"/>
  <c r="AZ965" i="17"/>
  <c r="BA965" i="17" s="1"/>
  <c r="BB965" i="17" s="1"/>
  <c r="AZ967" i="17"/>
  <c r="BA967" i="17" s="1"/>
  <c r="BB967" i="17" s="1"/>
  <c r="AZ969" i="17"/>
  <c r="BA969" i="17" s="1"/>
  <c r="BB969" i="17" s="1"/>
  <c r="AZ971" i="17"/>
  <c r="BA971" i="17" s="1"/>
  <c r="BB971" i="17" s="1"/>
  <c r="AZ973" i="17"/>
  <c r="BA973" i="17" s="1"/>
  <c r="BB973" i="17" s="1"/>
  <c r="AZ975" i="17"/>
  <c r="BA975" i="17" s="1"/>
  <c r="BB975" i="17" s="1"/>
  <c r="AZ977" i="17"/>
  <c r="BA977" i="17" s="1"/>
  <c r="BB977" i="17" s="1"/>
  <c r="AZ979" i="17"/>
  <c r="BA979" i="17" s="1"/>
  <c r="BB979" i="17" s="1"/>
  <c r="AZ981" i="17"/>
  <c r="BA981" i="17" s="1"/>
  <c r="BB981" i="17" s="1"/>
  <c r="AZ983" i="17"/>
  <c r="BA983" i="17" s="1"/>
  <c r="BB983" i="17" s="1"/>
  <c r="AZ985" i="17"/>
  <c r="BA985" i="17" s="1"/>
  <c r="BB985" i="17" s="1"/>
  <c r="AZ987" i="17"/>
  <c r="BA987" i="17" s="1"/>
  <c r="BB987" i="17" s="1"/>
  <c r="AZ989" i="17"/>
  <c r="BA989" i="17" s="1"/>
  <c r="BB989" i="17" s="1"/>
  <c r="AZ991" i="17"/>
  <c r="BA991" i="17" s="1"/>
  <c r="BB991" i="17" s="1"/>
  <c r="AZ1001" i="17"/>
  <c r="BA1001" i="17" s="1"/>
  <c r="BB1001" i="17" s="1"/>
  <c r="AZ1013" i="17"/>
  <c r="BA1013" i="17" s="1"/>
  <c r="BB1013" i="17" s="1"/>
  <c r="AZ1025" i="17"/>
  <c r="BA1025" i="17" s="1"/>
  <c r="BB1025" i="17" s="1"/>
  <c r="AZ1037" i="17"/>
  <c r="BA1037" i="17" s="1"/>
  <c r="BB1037" i="17" s="1"/>
  <c r="AZ1049" i="17"/>
  <c r="BA1049" i="17" s="1"/>
  <c r="BB1049" i="17" s="1"/>
  <c r="AZ1061" i="17"/>
  <c r="BA1061" i="17" s="1"/>
  <c r="BB1061" i="17" s="1"/>
  <c r="AZ1073" i="17"/>
  <c r="BA1073" i="17" s="1"/>
  <c r="BB1073" i="17" s="1"/>
  <c r="AZ1085" i="17"/>
  <c r="BA1085" i="17" s="1"/>
  <c r="BB1085" i="17" s="1"/>
  <c r="AZ1097" i="17"/>
  <c r="BA1097" i="17" s="1"/>
  <c r="BB1097" i="17" s="1"/>
  <c r="AZ1109" i="17"/>
  <c r="BA1109" i="17" s="1"/>
  <c r="BB1109" i="17" s="1"/>
  <c r="AZ1121" i="17"/>
  <c r="BA1121" i="17" s="1"/>
  <c r="BB1121" i="17" s="1"/>
  <c r="AZ1133" i="17"/>
  <c r="BA1133" i="17" s="1"/>
  <c r="BB1133" i="17" s="1"/>
  <c r="AZ1157" i="17"/>
  <c r="BA1157" i="17" s="1"/>
  <c r="BB1157" i="17" s="1"/>
  <c r="AZ1169" i="17"/>
  <c r="BA1169" i="17" s="1"/>
  <c r="BB1169" i="17" s="1"/>
  <c r="AZ1181" i="17"/>
  <c r="BA1181" i="17" s="1"/>
  <c r="BB1181" i="17" s="1"/>
  <c r="AZ1193" i="17"/>
  <c r="BA1193" i="17" s="1"/>
  <c r="BB1193" i="17" s="1"/>
  <c r="AZ1205" i="17"/>
  <c r="BA1205" i="17" s="1"/>
  <c r="BB1205" i="17" s="1"/>
  <c r="AZ1217" i="17"/>
  <c r="BA1217" i="17" s="1"/>
  <c r="BB1217" i="17" s="1"/>
  <c r="AZ1229" i="17"/>
  <c r="BA1229" i="17" s="1"/>
  <c r="BB1229" i="17" s="1"/>
  <c r="AZ1241" i="17"/>
  <c r="BA1241" i="17" s="1"/>
  <c r="BB1241" i="17" s="1"/>
  <c r="AZ1253" i="17"/>
  <c r="BA1253" i="17" s="1"/>
  <c r="BB1253" i="17" s="1"/>
  <c r="K704" i="7"/>
  <c r="T704" i="7" s="1"/>
  <c r="AT704" i="17"/>
  <c r="AU704" i="17" s="1"/>
  <c r="AV704" i="17" s="1"/>
  <c r="L706" i="7"/>
  <c r="U706" i="7" s="1"/>
  <c r="AZ705" i="17"/>
  <c r="BA705" i="17" s="1"/>
  <c r="BB705" i="17" s="1"/>
  <c r="BF706" i="17"/>
  <c r="BG706" i="17" s="1"/>
  <c r="BH706" i="17" s="1"/>
  <c r="L708" i="7"/>
  <c r="U708" i="7" s="1"/>
  <c r="AZ707" i="17"/>
  <c r="BA707" i="17" s="1"/>
  <c r="BB707" i="17" s="1"/>
  <c r="BF708" i="17"/>
  <c r="BG708" i="17" s="1"/>
  <c r="BH708" i="17" s="1"/>
  <c r="AZ709" i="17"/>
  <c r="BA709" i="17" s="1"/>
  <c r="BB709" i="17" s="1"/>
  <c r="BF710" i="17"/>
  <c r="BG710" i="17" s="1"/>
  <c r="BH710" i="17" s="1"/>
  <c r="BL711" i="17"/>
  <c r="BM711" i="17" s="1"/>
  <c r="BN711" i="17" s="1"/>
  <c r="AZ712" i="17"/>
  <c r="BA712" i="17" s="1"/>
  <c r="BB712" i="17" s="1"/>
  <c r="BF713" i="17"/>
  <c r="BG713" i="17" s="1"/>
  <c r="BH713" i="17" s="1"/>
  <c r="BF714" i="17"/>
  <c r="BG714" i="17" s="1"/>
  <c r="BH714" i="17" s="1"/>
  <c r="AT715" i="17"/>
  <c r="AU715" i="17" s="1"/>
  <c r="AV715" i="17" s="1"/>
  <c r="R719" i="7"/>
  <c r="R721" i="7"/>
  <c r="Q723" i="7"/>
  <c r="X723" i="7" s="1"/>
  <c r="BR724" i="17"/>
  <c r="BS724" i="17" s="1"/>
  <c r="BT724" i="17" s="1"/>
  <c r="P725" i="7"/>
  <c r="AA725" i="7" s="1"/>
  <c r="BX725" i="17"/>
  <c r="BY725" i="17" s="1"/>
  <c r="BZ725" i="17" s="1"/>
  <c r="Q726" i="7"/>
  <c r="X726" i="7" s="1"/>
  <c r="O727" i="7"/>
  <c r="Z727" i="7" s="1"/>
  <c r="BR727" i="17"/>
  <c r="BS727" i="17" s="1"/>
  <c r="BT727" i="17" s="1"/>
  <c r="P728" i="7"/>
  <c r="AA728" i="7" s="1"/>
  <c r="BX728" i="17"/>
  <c r="BY728" i="17" s="1"/>
  <c r="BZ728" i="17" s="1"/>
  <c r="BX729" i="17"/>
  <c r="BY729" i="17" s="1"/>
  <c r="BZ729" i="17" s="1"/>
  <c r="BF730" i="17"/>
  <c r="BG730" i="17" s="1"/>
  <c r="BH730" i="17" s="1"/>
  <c r="N731" i="7"/>
  <c r="W731" i="7" s="1"/>
  <c r="BL731" i="17"/>
  <c r="BM731" i="17" s="1"/>
  <c r="BN731" i="17" s="1"/>
  <c r="BL732" i="17"/>
  <c r="BM732" i="17" s="1"/>
  <c r="BN732" i="17" s="1"/>
  <c r="K733" i="7"/>
  <c r="T733" i="7" s="1"/>
  <c r="AT733" i="17"/>
  <c r="AU733" i="17" s="1"/>
  <c r="AV733" i="17" s="1"/>
  <c r="CD733" i="17" s="1"/>
  <c r="L734" i="7"/>
  <c r="U734" i="7" s="1"/>
  <c r="AZ734" i="17"/>
  <c r="BA734" i="17" s="1"/>
  <c r="BB734" i="17" s="1"/>
  <c r="AT735" i="17"/>
  <c r="AU735" i="17" s="1"/>
  <c r="AV735" i="17" s="1"/>
  <c r="L736" i="7"/>
  <c r="U736" i="7" s="1"/>
  <c r="AZ736" i="17"/>
  <c r="BA736" i="17" s="1"/>
  <c r="BB736" i="17" s="1"/>
  <c r="BF737" i="17"/>
  <c r="BG737" i="17" s="1"/>
  <c r="BH737" i="17" s="1"/>
  <c r="AT738" i="17"/>
  <c r="AU738" i="17" s="1"/>
  <c r="AV738" i="17" s="1"/>
  <c r="S744" i="7"/>
  <c r="Y744" i="7" s="1"/>
  <c r="Q745" i="7"/>
  <c r="X745" i="7" s="1"/>
  <c r="R748" i="7"/>
  <c r="Q751" i="7"/>
  <c r="X751" i="7" s="1"/>
  <c r="Q754" i="7"/>
  <c r="X754" i="7" s="1"/>
  <c r="S758" i="7"/>
  <c r="R759" i="7"/>
  <c r="S761" i="7"/>
  <c r="S763" i="7"/>
  <c r="S769" i="7"/>
  <c r="Y769" i="7" s="1"/>
  <c r="Y777" i="7"/>
  <c r="P784" i="7"/>
  <c r="AA784" i="7" s="1"/>
  <c r="BX783" i="17"/>
  <c r="BY783" i="17" s="1"/>
  <c r="BZ783" i="17" s="1"/>
  <c r="BX784" i="17"/>
  <c r="BY784" i="17" s="1"/>
  <c r="BZ784" i="17" s="1"/>
  <c r="P785" i="7"/>
  <c r="AA785" i="7" s="1"/>
  <c r="BX785" i="17"/>
  <c r="BY785" i="17" s="1"/>
  <c r="BZ785" i="17" s="1"/>
  <c r="O786" i="7"/>
  <c r="Z786" i="7" s="1"/>
  <c r="BR786" i="17"/>
  <c r="BS786" i="17" s="1"/>
  <c r="BT786" i="17" s="1"/>
  <c r="BX787" i="17"/>
  <c r="BY787" i="17" s="1"/>
  <c r="BZ787" i="17" s="1"/>
  <c r="Q790" i="7"/>
  <c r="X790" i="7" s="1"/>
  <c r="R790" i="7"/>
  <c r="Q795" i="7"/>
  <c r="X795" i="7" s="1"/>
  <c r="R795" i="7"/>
  <c r="Q796" i="7"/>
  <c r="X796" i="7" s="1"/>
  <c r="R798" i="7"/>
  <c r="BR800" i="17"/>
  <c r="BS800" i="17" s="1"/>
  <c r="BT800" i="17" s="1"/>
  <c r="BX801" i="17"/>
  <c r="BY801" i="17" s="1"/>
  <c r="BZ801" i="17" s="1"/>
  <c r="P802" i="7"/>
  <c r="AA802" i="7" s="1"/>
  <c r="BX802" i="17"/>
  <c r="BY802" i="17" s="1"/>
  <c r="BZ802" i="17" s="1"/>
  <c r="O804" i="7"/>
  <c r="Z804" i="7" s="1"/>
  <c r="BR804" i="17"/>
  <c r="BS804" i="17" s="1"/>
  <c r="BT804" i="17" s="1"/>
  <c r="BR805" i="17"/>
  <c r="BS805" i="17" s="1"/>
  <c r="BT805" i="17" s="1"/>
  <c r="BF806" i="17"/>
  <c r="BG806" i="17" s="1"/>
  <c r="BH806" i="17" s="1"/>
  <c r="BL807" i="17"/>
  <c r="BM807" i="17" s="1"/>
  <c r="BN807" i="17" s="1"/>
  <c r="AT808" i="17"/>
  <c r="AU808" i="17" s="1"/>
  <c r="AV808" i="17" s="1"/>
  <c r="AZ809" i="17"/>
  <c r="BA809" i="17" s="1"/>
  <c r="BB809" i="17" s="1"/>
  <c r="AT810" i="17"/>
  <c r="AU810" i="17" s="1"/>
  <c r="AV810" i="17" s="1"/>
  <c r="K811" i="7"/>
  <c r="T811" i="7" s="1"/>
  <c r="AT811" i="17"/>
  <c r="AU811" i="17" s="1"/>
  <c r="AV811" i="17" s="1"/>
  <c r="AZ812" i="17"/>
  <c r="BA812" i="17" s="1"/>
  <c r="BB812" i="17" s="1"/>
  <c r="P819" i="7"/>
  <c r="AA819" i="7" s="1"/>
  <c r="R821" i="7"/>
  <c r="P824" i="7"/>
  <c r="AA824" i="7" s="1"/>
  <c r="BX823" i="17"/>
  <c r="BY823" i="17" s="1"/>
  <c r="BZ823" i="17" s="1"/>
  <c r="BL827" i="17"/>
  <c r="BM827" i="17" s="1"/>
  <c r="BN827" i="17" s="1"/>
  <c r="BR828" i="17"/>
  <c r="BS828" i="17" s="1"/>
  <c r="BT828" i="17" s="1"/>
  <c r="BX829" i="17"/>
  <c r="BY829" i="17" s="1"/>
  <c r="BZ829" i="17" s="1"/>
  <c r="BL830" i="17"/>
  <c r="BM830" i="17" s="1"/>
  <c r="BN830" i="17" s="1"/>
  <c r="BL831" i="17"/>
  <c r="BM831" i="17" s="1"/>
  <c r="BN831" i="17" s="1"/>
  <c r="BF832" i="17"/>
  <c r="BG832" i="17" s="1"/>
  <c r="BH832" i="17" s="1"/>
  <c r="L833" i="7"/>
  <c r="U833" i="7" s="1"/>
  <c r="AZ833" i="17"/>
  <c r="BA833" i="17" s="1"/>
  <c r="BB833" i="17" s="1"/>
  <c r="AT834" i="17"/>
  <c r="AU834" i="17" s="1"/>
  <c r="AV834" i="17" s="1"/>
  <c r="O840" i="7"/>
  <c r="Z840" i="7" s="1"/>
  <c r="BR840" i="17"/>
  <c r="BS840" i="17" s="1"/>
  <c r="BT840" i="17" s="1"/>
  <c r="O841" i="7"/>
  <c r="Z841" i="7" s="1"/>
  <c r="BR841" i="17"/>
  <c r="BS841" i="17" s="1"/>
  <c r="BT841" i="17" s="1"/>
  <c r="BL842" i="17"/>
  <c r="BM842" i="17" s="1"/>
  <c r="BN842" i="17" s="1"/>
  <c r="AZ843" i="17"/>
  <c r="BA843" i="17" s="1"/>
  <c r="BB843" i="17" s="1"/>
  <c r="M844" i="7"/>
  <c r="V844" i="7" s="1"/>
  <c r="BF844" i="17"/>
  <c r="BG844" i="17" s="1"/>
  <c r="BH844" i="17" s="1"/>
  <c r="K846" i="7"/>
  <c r="T846" i="7" s="1"/>
  <c r="AT845" i="17"/>
  <c r="AU845" i="17" s="1"/>
  <c r="AV845" i="17" s="1"/>
  <c r="AT846" i="17"/>
  <c r="AU846" i="17" s="1"/>
  <c r="AV846" i="17" s="1"/>
  <c r="AZ847" i="17"/>
  <c r="BA847" i="17" s="1"/>
  <c r="BB847" i="17" s="1"/>
  <c r="S850" i="7"/>
  <c r="Y850" i="7" s="1"/>
  <c r="P851" i="7"/>
  <c r="AA851" i="7" s="1"/>
  <c r="BX851" i="17"/>
  <c r="BY851" i="17" s="1"/>
  <c r="BZ851" i="17" s="1"/>
  <c r="BR853" i="17"/>
  <c r="BS853" i="17" s="1"/>
  <c r="BT853" i="17" s="1"/>
  <c r="BR854" i="17"/>
  <c r="BS854" i="17" s="1"/>
  <c r="BT854" i="17" s="1"/>
  <c r="M855" i="7"/>
  <c r="V855" i="7" s="1"/>
  <c r="BF855" i="17"/>
  <c r="BG855" i="17" s="1"/>
  <c r="BH855" i="17" s="1"/>
  <c r="BF856" i="17"/>
  <c r="BG856" i="17" s="1"/>
  <c r="BH856" i="17" s="1"/>
  <c r="BL857" i="17"/>
  <c r="BM857" i="17" s="1"/>
  <c r="BN857" i="17" s="1"/>
  <c r="BR858" i="17"/>
  <c r="BS858" i="17" s="1"/>
  <c r="BT858" i="17" s="1"/>
  <c r="BL859" i="17"/>
  <c r="BM859" i="17" s="1"/>
  <c r="BN859" i="17" s="1"/>
  <c r="M860" i="7"/>
  <c r="V860" i="7" s="1"/>
  <c r="BF860" i="17"/>
  <c r="BG860" i="17" s="1"/>
  <c r="BH860" i="17" s="1"/>
  <c r="BL861" i="17"/>
  <c r="BM861" i="17" s="1"/>
  <c r="BN861" i="17" s="1"/>
  <c r="BL862" i="17"/>
  <c r="BM862" i="17" s="1"/>
  <c r="BN862" i="17" s="1"/>
  <c r="BF863" i="17"/>
  <c r="BG863" i="17" s="1"/>
  <c r="BH863" i="17" s="1"/>
  <c r="BF864" i="17"/>
  <c r="BG864" i="17" s="1"/>
  <c r="BH864" i="17" s="1"/>
  <c r="BL865" i="17"/>
  <c r="BM865" i="17" s="1"/>
  <c r="BN865" i="17" s="1"/>
  <c r="BR866" i="17"/>
  <c r="BS866" i="17" s="1"/>
  <c r="BT866" i="17" s="1"/>
  <c r="BR867" i="17"/>
  <c r="BS867" i="17" s="1"/>
  <c r="BT867" i="17" s="1"/>
  <c r="O868" i="7"/>
  <c r="Z868" i="7" s="1"/>
  <c r="BR868" i="17"/>
  <c r="BS868" i="17" s="1"/>
  <c r="BT868" i="17" s="1"/>
  <c r="O869" i="7"/>
  <c r="Z869" i="7" s="1"/>
  <c r="BR869" i="17"/>
  <c r="BS869" i="17" s="1"/>
  <c r="BT869" i="17" s="1"/>
  <c r="P870" i="7"/>
  <c r="AA870" i="7" s="1"/>
  <c r="BX870" i="17"/>
  <c r="BY870" i="17" s="1"/>
  <c r="BZ870" i="17" s="1"/>
  <c r="P871" i="7"/>
  <c r="AA871" i="7" s="1"/>
  <c r="BX871" i="17"/>
  <c r="BY871" i="17" s="1"/>
  <c r="BZ871" i="17" s="1"/>
  <c r="BR872" i="17"/>
  <c r="BS872" i="17" s="1"/>
  <c r="BT872" i="17" s="1"/>
  <c r="P873" i="7"/>
  <c r="AA873" i="7" s="1"/>
  <c r="BX873" i="17"/>
  <c r="BY873" i="17" s="1"/>
  <c r="BZ873" i="17" s="1"/>
  <c r="BX875" i="17"/>
  <c r="BY875" i="17" s="1"/>
  <c r="BZ875" i="17" s="1"/>
  <c r="N876" i="7"/>
  <c r="W876" i="7" s="1"/>
  <c r="BL876" i="17"/>
  <c r="BM876" i="17" s="1"/>
  <c r="BN876" i="17" s="1"/>
  <c r="L877" i="7"/>
  <c r="U877" i="7" s="1"/>
  <c r="AZ877" i="17"/>
  <c r="BA877" i="17" s="1"/>
  <c r="BB877" i="17" s="1"/>
  <c r="AT878" i="17"/>
  <c r="AU878" i="17" s="1"/>
  <c r="AV878" i="17" s="1"/>
  <c r="K879" i="7"/>
  <c r="T879" i="7" s="1"/>
  <c r="AT879" i="17"/>
  <c r="AU879" i="17" s="1"/>
  <c r="AV879" i="17" s="1"/>
  <c r="R885" i="7"/>
  <c r="P886" i="7"/>
  <c r="AA886" i="7" s="1"/>
  <c r="BX886" i="17"/>
  <c r="BY886" i="17" s="1"/>
  <c r="BZ886" i="17" s="1"/>
  <c r="BX887" i="17"/>
  <c r="BY887" i="17" s="1"/>
  <c r="BZ887" i="17" s="1"/>
  <c r="Q888" i="7"/>
  <c r="X888" i="7" s="1"/>
  <c r="R889" i="7"/>
  <c r="Q892" i="7"/>
  <c r="X892" i="7" s="1"/>
  <c r="R895" i="7"/>
  <c r="S896" i="7"/>
  <c r="Q899" i="7"/>
  <c r="X899" i="7" s="1"/>
  <c r="BR900" i="17"/>
  <c r="BS900" i="17" s="1"/>
  <c r="BT900" i="17" s="1"/>
  <c r="BX901" i="17"/>
  <c r="BY901" i="17" s="1"/>
  <c r="BZ901" i="17" s="1"/>
  <c r="BX902" i="17"/>
  <c r="BY902" i="17" s="1"/>
  <c r="BZ902" i="17" s="1"/>
  <c r="BL903" i="17"/>
  <c r="BM903" i="17" s="1"/>
  <c r="BN903" i="17" s="1"/>
  <c r="N904" i="7"/>
  <c r="W904" i="7" s="1"/>
  <c r="BL904" i="17"/>
  <c r="BM904" i="17" s="1"/>
  <c r="BN904" i="17" s="1"/>
  <c r="BL905" i="17"/>
  <c r="BM905" i="17" s="1"/>
  <c r="BN905" i="17" s="1"/>
  <c r="N906" i="7"/>
  <c r="W906" i="7" s="1"/>
  <c r="BL906" i="17"/>
  <c r="BM906" i="17" s="1"/>
  <c r="BN906" i="17" s="1"/>
  <c r="M907" i="7"/>
  <c r="V907" i="7" s="1"/>
  <c r="BF907" i="17"/>
  <c r="BG907" i="17" s="1"/>
  <c r="BH907" i="17" s="1"/>
  <c r="N908" i="7"/>
  <c r="W908" i="7" s="1"/>
  <c r="BL908" i="17"/>
  <c r="BM908" i="17" s="1"/>
  <c r="BN908" i="17" s="1"/>
  <c r="BF909" i="17"/>
  <c r="BG909" i="17" s="1"/>
  <c r="BH909" i="17" s="1"/>
  <c r="L910" i="7"/>
  <c r="U910" i="7" s="1"/>
  <c r="AZ910" i="17"/>
  <c r="BA910" i="17" s="1"/>
  <c r="BB910" i="17" s="1"/>
  <c r="BF913" i="17"/>
  <c r="BG913" i="17" s="1"/>
  <c r="BH913" i="17" s="1"/>
  <c r="BF915" i="17"/>
  <c r="BG915" i="17" s="1"/>
  <c r="BH915" i="17" s="1"/>
  <c r="BF917" i="17"/>
  <c r="BG917" i="17" s="1"/>
  <c r="BH917" i="17" s="1"/>
  <c r="BF919" i="17"/>
  <c r="BG919" i="17" s="1"/>
  <c r="BH919" i="17" s="1"/>
  <c r="BF921" i="17"/>
  <c r="BG921" i="17" s="1"/>
  <c r="BH921" i="17" s="1"/>
  <c r="BF923" i="17"/>
  <c r="BG923" i="17" s="1"/>
  <c r="BH923" i="17" s="1"/>
  <c r="BF925" i="17"/>
  <c r="BG925" i="17" s="1"/>
  <c r="BH925" i="17" s="1"/>
  <c r="BF927" i="17"/>
  <c r="BG927" i="17" s="1"/>
  <c r="BH927" i="17" s="1"/>
  <c r="BF929" i="17"/>
  <c r="BG929" i="17" s="1"/>
  <c r="BH929" i="17" s="1"/>
  <c r="BF931" i="17"/>
  <c r="BG931" i="17" s="1"/>
  <c r="BH931" i="17" s="1"/>
  <c r="BF933" i="17"/>
  <c r="BG933" i="17" s="1"/>
  <c r="BH933" i="17" s="1"/>
  <c r="BF935" i="17"/>
  <c r="BG935" i="17" s="1"/>
  <c r="BH935" i="17" s="1"/>
  <c r="BF937" i="17"/>
  <c r="BG937" i="17" s="1"/>
  <c r="BH937" i="17" s="1"/>
  <c r="BF939" i="17"/>
  <c r="BG939" i="17" s="1"/>
  <c r="BH939" i="17" s="1"/>
  <c r="BF941" i="17"/>
  <c r="BG941" i="17" s="1"/>
  <c r="BH941" i="17" s="1"/>
  <c r="BF943" i="17"/>
  <c r="BG943" i="17" s="1"/>
  <c r="BH943" i="17" s="1"/>
  <c r="BF945" i="17"/>
  <c r="BG945" i="17" s="1"/>
  <c r="BH945" i="17" s="1"/>
  <c r="BF947" i="17"/>
  <c r="BG947" i="17" s="1"/>
  <c r="BH947" i="17" s="1"/>
  <c r="BF949" i="17"/>
  <c r="BG949" i="17" s="1"/>
  <c r="BH949" i="17" s="1"/>
  <c r="BF951" i="17"/>
  <c r="BG951" i="17" s="1"/>
  <c r="BH951" i="17" s="1"/>
  <c r="BF953" i="17"/>
  <c r="BG953" i="17" s="1"/>
  <c r="BH953" i="17" s="1"/>
  <c r="BF955" i="17"/>
  <c r="BG955" i="17" s="1"/>
  <c r="BH955" i="17" s="1"/>
  <c r="BF957" i="17"/>
  <c r="BG957" i="17" s="1"/>
  <c r="BH957" i="17" s="1"/>
  <c r="BF959" i="17"/>
  <c r="BG959" i="17" s="1"/>
  <c r="BH959" i="17" s="1"/>
  <c r="BF961" i="17"/>
  <c r="BG961" i="17" s="1"/>
  <c r="BH961" i="17" s="1"/>
  <c r="BF963" i="17"/>
  <c r="BG963" i="17" s="1"/>
  <c r="BH963" i="17" s="1"/>
  <c r="BF965" i="17"/>
  <c r="BG965" i="17" s="1"/>
  <c r="BH965" i="17" s="1"/>
  <c r="BF967" i="17"/>
  <c r="BG967" i="17" s="1"/>
  <c r="BH967" i="17" s="1"/>
  <c r="BF969" i="17"/>
  <c r="BG969" i="17" s="1"/>
  <c r="BH969" i="17" s="1"/>
  <c r="BF971" i="17"/>
  <c r="BG971" i="17" s="1"/>
  <c r="BH971" i="17" s="1"/>
  <c r="BF973" i="17"/>
  <c r="BG973" i="17" s="1"/>
  <c r="BH973" i="17" s="1"/>
  <c r="BF975" i="17"/>
  <c r="BG975" i="17" s="1"/>
  <c r="BH975" i="17" s="1"/>
  <c r="BF977" i="17"/>
  <c r="BG977" i="17" s="1"/>
  <c r="BH977" i="17" s="1"/>
  <c r="BF979" i="17"/>
  <c r="BG979" i="17" s="1"/>
  <c r="BH979" i="17" s="1"/>
  <c r="BF981" i="17"/>
  <c r="BG981" i="17" s="1"/>
  <c r="BH981" i="17" s="1"/>
  <c r="BF983" i="17"/>
  <c r="BG983" i="17" s="1"/>
  <c r="BH983" i="17" s="1"/>
  <c r="BF985" i="17"/>
  <c r="BG985" i="17" s="1"/>
  <c r="BH985" i="17" s="1"/>
  <c r="BF987" i="17"/>
  <c r="BG987" i="17" s="1"/>
  <c r="BH987" i="17" s="1"/>
  <c r="BF989" i="17"/>
  <c r="BG989" i="17" s="1"/>
  <c r="BH989" i="17" s="1"/>
  <c r="BF1063" i="17"/>
  <c r="BG1063" i="17" s="1"/>
  <c r="BH1063" i="17" s="1"/>
  <c r="BF1207" i="17"/>
  <c r="BG1207" i="17" s="1"/>
  <c r="BH1207" i="17" s="1"/>
  <c r="K702" i="7"/>
  <c r="T702" i="7" s="1"/>
  <c r="AT702" i="17"/>
  <c r="AU702" i="17" s="1"/>
  <c r="AV702" i="17" s="1"/>
  <c r="AT703" i="17"/>
  <c r="AU703" i="17" s="1"/>
  <c r="AV703" i="17" s="1"/>
  <c r="AZ704" i="17"/>
  <c r="BA704" i="17" s="1"/>
  <c r="BB704" i="17" s="1"/>
  <c r="BF705" i="17"/>
  <c r="BG705" i="17" s="1"/>
  <c r="BH705" i="17" s="1"/>
  <c r="BL706" i="17"/>
  <c r="BM706" i="17" s="1"/>
  <c r="BN706" i="17" s="1"/>
  <c r="M707" i="7"/>
  <c r="V707" i="7" s="1"/>
  <c r="BF707" i="17"/>
  <c r="BG707" i="17" s="1"/>
  <c r="BH707" i="17" s="1"/>
  <c r="BL708" i="17"/>
  <c r="BM708" i="17" s="1"/>
  <c r="BN708" i="17" s="1"/>
  <c r="M709" i="7"/>
  <c r="V709" i="7" s="1"/>
  <c r="BF709" i="17"/>
  <c r="BG709" i="17" s="1"/>
  <c r="BH709" i="17" s="1"/>
  <c r="N710" i="7"/>
  <c r="W710" i="7" s="1"/>
  <c r="BL710" i="17"/>
  <c r="BM710" i="17" s="1"/>
  <c r="BN710" i="17" s="1"/>
  <c r="BR711" i="17"/>
  <c r="BS711" i="17" s="1"/>
  <c r="BT711" i="17" s="1"/>
  <c r="BF712" i="17"/>
  <c r="BG712" i="17" s="1"/>
  <c r="BH712" i="17" s="1"/>
  <c r="BL713" i="17"/>
  <c r="BM713" i="17" s="1"/>
  <c r="BN713" i="17" s="1"/>
  <c r="BL714" i="17"/>
  <c r="BM714" i="17" s="1"/>
  <c r="BN714" i="17" s="1"/>
  <c r="AZ715" i="17"/>
  <c r="BA715" i="17" s="1"/>
  <c r="BB715" i="17" s="1"/>
  <c r="K717" i="7"/>
  <c r="T717" i="7" s="1"/>
  <c r="AT716" i="17"/>
  <c r="AU716" i="17" s="1"/>
  <c r="AV716" i="17" s="1"/>
  <c r="S719" i="7"/>
  <c r="Y719" i="7" s="1"/>
  <c r="R722" i="7"/>
  <c r="P724" i="7"/>
  <c r="AA724" i="7" s="1"/>
  <c r="BX724" i="17"/>
  <c r="BY724" i="17" s="1"/>
  <c r="BZ724" i="17" s="1"/>
  <c r="P727" i="7"/>
  <c r="AA727" i="7" s="1"/>
  <c r="BX727" i="17"/>
  <c r="BY727" i="17" s="1"/>
  <c r="BZ727" i="17" s="1"/>
  <c r="BL730" i="17"/>
  <c r="BM730" i="17" s="1"/>
  <c r="BN730" i="17" s="1"/>
  <c r="O731" i="7"/>
  <c r="Z731" i="7" s="1"/>
  <c r="BR731" i="17"/>
  <c r="BS731" i="17" s="1"/>
  <c r="BT731" i="17" s="1"/>
  <c r="BR732" i="17"/>
  <c r="BS732" i="17" s="1"/>
  <c r="BT732" i="17" s="1"/>
  <c r="AZ733" i="17"/>
  <c r="BA733" i="17" s="1"/>
  <c r="BB733" i="17" s="1"/>
  <c r="M734" i="7"/>
  <c r="V734" i="7" s="1"/>
  <c r="BF734" i="17"/>
  <c r="BG734" i="17" s="1"/>
  <c r="BH734" i="17" s="1"/>
  <c r="AZ735" i="17"/>
  <c r="BA735" i="17" s="1"/>
  <c r="BB735" i="17" s="1"/>
  <c r="BF736" i="17"/>
  <c r="BG736" i="17" s="1"/>
  <c r="BH736" i="17" s="1"/>
  <c r="BL737" i="17"/>
  <c r="BM737" i="17" s="1"/>
  <c r="BN737" i="17" s="1"/>
  <c r="AZ738" i="17"/>
  <c r="BA738" i="17" s="1"/>
  <c r="BB738" i="17" s="1"/>
  <c r="K739" i="7"/>
  <c r="T739" i="7" s="1"/>
  <c r="AT739" i="17"/>
  <c r="AU739" i="17" s="1"/>
  <c r="AV739" i="17" s="1"/>
  <c r="K741" i="7"/>
  <c r="T741" i="7" s="1"/>
  <c r="AT741" i="17"/>
  <c r="AU741" i="17" s="1"/>
  <c r="AV741" i="17" s="1"/>
  <c r="S747" i="7"/>
  <c r="S751" i="7"/>
  <c r="Y751" i="7" s="1"/>
  <c r="S753" i="7"/>
  <c r="L776" i="7"/>
  <c r="U776" i="7" s="1"/>
  <c r="N780" i="7"/>
  <c r="W780" i="7" s="1"/>
  <c r="P787" i="7"/>
  <c r="AA787" i="7" s="1"/>
  <c r="BX786" i="17"/>
  <c r="BY786" i="17" s="1"/>
  <c r="BZ786" i="17" s="1"/>
  <c r="Q787" i="7"/>
  <c r="X787" i="7" s="1"/>
  <c r="R794" i="7"/>
  <c r="S798" i="7"/>
  <c r="Y798" i="7" s="1"/>
  <c r="P800" i="7"/>
  <c r="AA800" i="7" s="1"/>
  <c r="BX800" i="17"/>
  <c r="BY800" i="17" s="1"/>
  <c r="BZ800" i="17" s="1"/>
  <c r="BX804" i="17"/>
  <c r="BY804" i="17" s="1"/>
  <c r="BZ804" i="17" s="1"/>
  <c r="BX805" i="17"/>
  <c r="BY805" i="17" s="1"/>
  <c r="BZ805" i="17" s="1"/>
  <c r="N806" i="7"/>
  <c r="W806" i="7" s="1"/>
  <c r="BL806" i="17"/>
  <c r="BM806" i="17" s="1"/>
  <c r="BN806" i="17" s="1"/>
  <c r="BR807" i="17"/>
  <c r="BS807" i="17" s="1"/>
  <c r="BT807" i="17" s="1"/>
  <c r="AZ808" i="17"/>
  <c r="BA808" i="17" s="1"/>
  <c r="BB808" i="17" s="1"/>
  <c r="M809" i="7"/>
  <c r="V809" i="7" s="1"/>
  <c r="BF809" i="17"/>
  <c r="BG809" i="17" s="1"/>
  <c r="BH809" i="17" s="1"/>
  <c r="AZ810" i="17"/>
  <c r="BA810" i="17" s="1"/>
  <c r="BB810" i="17" s="1"/>
  <c r="L811" i="7"/>
  <c r="U811" i="7" s="1"/>
  <c r="AZ811" i="17"/>
  <c r="BA811" i="17" s="1"/>
  <c r="BB811" i="17" s="1"/>
  <c r="BF812" i="17"/>
  <c r="BG812" i="17" s="1"/>
  <c r="BH812" i="17" s="1"/>
  <c r="AT813" i="17"/>
  <c r="AU813" i="17" s="1"/>
  <c r="AV813" i="17" s="1"/>
  <c r="K814" i="7"/>
  <c r="T814" i="7" s="1"/>
  <c r="AT814" i="17"/>
  <c r="AU814" i="17" s="1"/>
  <c r="AV814" i="17" s="1"/>
  <c r="AT819" i="17"/>
  <c r="AU819" i="17" s="1"/>
  <c r="AV819" i="17" s="1"/>
  <c r="S820" i="7"/>
  <c r="O822" i="7"/>
  <c r="Z822" i="7" s="1"/>
  <c r="Q823" i="7"/>
  <c r="X823" i="7" s="1"/>
  <c r="R824" i="7"/>
  <c r="BR827" i="17"/>
  <c r="BS827" i="17" s="1"/>
  <c r="BT827" i="17" s="1"/>
  <c r="BX828" i="17"/>
  <c r="BY828" i="17" s="1"/>
  <c r="BZ828" i="17" s="1"/>
  <c r="BR830" i="17"/>
  <c r="BS830" i="17" s="1"/>
  <c r="BT830" i="17" s="1"/>
  <c r="O831" i="7"/>
  <c r="Z831" i="7" s="1"/>
  <c r="BR831" i="17"/>
  <c r="BS831" i="17" s="1"/>
  <c r="BT831" i="17" s="1"/>
  <c r="BL832" i="17"/>
  <c r="BM832" i="17" s="1"/>
  <c r="BN832" i="17" s="1"/>
  <c r="M833" i="7"/>
  <c r="V833" i="7" s="1"/>
  <c r="BF833" i="17"/>
  <c r="BG833" i="17" s="1"/>
  <c r="BH833" i="17" s="1"/>
  <c r="AZ834" i="17"/>
  <c r="BA834" i="17" s="1"/>
  <c r="BB834" i="17" s="1"/>
  <c r="AT835" i="17"/>
  <c r="AU835" i="17" s="1"/>
  <c r="AV835" i="17" s="1"/>
  <c r="AT836" i="17"/>
  <c r="AU836" i="17" s="1"/>
  <c r="AV836" i="17" s="1"/>
  <c r="S837" i="7"/>
  <c r="P840" i="7"/>
  <c r="AA840" i="7" s="1"/>
  <c r="BX840" i="17"/>
  <c r="BY840" i="17" s="1"/>
  <c r="BZ840" i="17" s="1"/>
  <c r="BX841" i="17"/>
  <c r="BY841" i="17" s="1"/>
  <c r="BZ841" i="17" s="1"/>
  <c r="BR842" i="17"/>
  <c r="BS842" i="17" s="1"/>
  <c r="BT842" i="17" s="1"/>
  <c r="BF843" i="17"/>
  <c r="BG843" i="17" s="1"/>
  <c r="BH843" i="17" s="1"/>
  <c r="BL844" i="17"/>
  <c r="BM844" i="17" s="1"/>
  <c r="BN844" i="17" s="1"/>
  <c r="AZ845" i="17"/>
  <c r="BA845" i="17" s="1"/>
  <c r="BB845" i="17" s="1"/>
  <c r="L846" i="7"/>
  <c r="U846" i="7" s="1"/>
  <c r="AZ846" i="17"/>
  <c r="BA846" i="17" s="1"/>
  <c r="BB846" i="17" s="1"/>
  <c r="BF847" i="17"/>
  <c r="BG847" i="17" s="1"/>
  <c r="BH847" i="17" s="1"/>
  <c r="O850" i="7"/>
  <c r="Z850" i="7" s="1"/>
  <c r="BX853" i="17"/>
  <c r="BY853" i="17" s="1"/>
  <c r="BZ853" i="17" s="1"/>
  <c r="BX854" i="17"/>
  <c r="BY854" i="17" s="1"/>
  <c r="BZ854" i="17" s="1"/>
  <c r="BL855" i="17"/>
  <c r="BM855" i="17" s="1"/>
  <c r="BN855" i="17" s="1"/>
  <c r="BL856" i="17"/>
  <c r="BM856" i="17" s="1"/>
  <c r="BN856" i="17" s="1"/>
  <c r="BR857" i="17"/>
  <c r="BS857" i="17" s="1"/>
  <c r="BT857" i="17" s="1"/>
  <c r="BX858" i="17"/>
  <c r="BY858" i="17" s="1"/>
  <c r="BZ858" i="17" s="1"/>
  <c r="BR859" i="17"/>
  <c r="BS859" i="17" s="1"/>
  <c r="BT859" i="17" s="1"/>
  <c r="BL860" i="17"/>
  <c r="BM860" i="17" s="1"/>
  <c r="BN860" i="17" s="1"/>
  <c r="BR861" i="17"/>
  <c r="BS861" i="17" s="1"/>
  <c r="BT861" i="17" s="1"/>
  <c r="BR862" i="17"/>
  <c r="BS862" i="17" s="1"/>
  <c r="BT862" i="17" s="1"/>
  <c r="BL863" i="17"/>
  <c r="BM863" i="17" s="1"/>
  <c r="BN863" i="17" s="1"/>
  <c r="BL864" i="17"/>
  <c r="BM864" i="17" s="1"/>
  <c r="BN864" i="17" s="1"/>
  <c r="BR865" i="17"/>
  <c r="BS865" i="17" s="1"/>
  <c r="BT865" i="17" s="1"/>
  <c r="BX866" i="17"/>
  <c r="BY866" i="17" s="1"/>
  <c r="BZ866" i="17" s="1"/>
  <c r="CD866" i="17" s="1"/>
  <c r="P867" i="7"/>
  <c r="AA867" i="7" s="1"/>
  <c r="BX867" i="17"/>
  <c r="BY867" i="17" s="1"/>
  <c r="BZ867" i="17" s="1"/>
  <c r="P868" i="7"/>
  <c r="AA868" i="7" s="1"/>
  <c r="BX868" i="17"/>
  <c r="BY868" i="17" s="1"/>
  <c r="BZ868" i="17" s="1"/>
  <c r="BX869" i="17"/>
  <c r="BY869" i="17" s="1"/>
  <c r="BZ869" i="17" s="1"/>
  <c r="BX872" i="17"/>
  <c r="BY872" i="17" s="1"/>
  <c r="BZ872" i="17" s="1"/>
  <c r="BR876" i="17"/>
  <c r="BS876" i="17" s="1"/>
  <c r="BT876" i="17" s="1"/>
  <c r="M877" i="7"/>
  <c r="V877" i="7" s="1"/>
  <c r="BF877" i="17"/>
  <c r="BG877" i="17" s="1"/>
  <c r="BH877" i="17" s="1"/>
  <c r="AZ878" i="17"/>
  <c r="BA878" i="17" s="1"/>
  <c r="BB878" i="17" s="1"/>
  <c r="AZ879" i="17"/>
  <c r="BA879" i="17" s="1"/>
  <c r="BB879" i="17" s="1"/>
  <c r="L883" i="7"/>
  <c r="U883" i="7" s="1"/>
  <c r="Q886" i="7"/>
  <c r="X886" i="7" s="1"/>
  <c r="R888" i="7"/>
  <c r="Y891" i="7"/>
  <c r="S894" i="7"/>
  <c r="N897" i="7"/>
  <c r="W897" i="7" s="1"/>
  <c r="P901" i="7"/>
  <c r="AA901" i="7" s="1"/>
  <c r="BX900" i="17"/>
  <c r="BY900" i="17" s="1"/>
  <c r="BZ900" i="17" s="1"/>
  <c r="O903" i="7"/>
  <c r="Z903" i="7" s="1"/>
  <c r="BR903" i="17"/>
  <c r="BS903" i="17" s="1"/>
  <c r="BT903" i="17" s="1"/>
  <c r="BR904" i="17"/>
  <c r="BS904" i="17" s="1"/>
  <c r="BT904" i="17" s="1"/>
  <c r="O905" i="7"/>
  <c r="Z905" i="7" s="1"/>
  <c r="BR905" i="17"/>
  <c r="BS905" i="17" s="1"/>
  <c r="BT905" i="17" s="1"/>
  <c r="BR906" i="17"/>
  <c r="BS906" i="17" s="1"/>
  <c r="BT906" i="17" s="1"/>
  <c r="BL907" i="17"/>
  <c r="BM907" i="17" s="1"/>
  <c r="BN907" i="17" s="1"/>
  <c r="O908" i="7"/>
  <c r="Z908" i="7" s="1"/>
  <c r="BR908" i="17"/>
  <c r="BS908" i="17" s="1"/>
  <c r="BT908" i="17" s="1"/>
  <c r="BL909" i="17"/>
  <c r="BM909" i="17" s="1"/>
  <c r="BN909" i="17" s="1"/>
  <c r="BF910" i="17"/>
  <c r="BG910" i="17" s="1"/>
  <c r="BH910" i="17" s="1"/>
  <c r="AT911" i="17"/>
  <c r="AU911" i="17" s="1"/>
  <c r="AV911" i="17" s="1"/>
  <c r="BL913" i="17"/>
  <c r="BM913" i="17" s="1"/>
  <c r="BN913" i="17" s="1"/>
  <c r="O915" i="15"/>
  <c r="BL915" i="17"/>
  <c r="BM915" i="17" s="1"/>
  <c r="BN915" i="17" s="1"/>
  <c r="BL917" i="17"/>
  <c r="BM917" i="17" s="1"/>
  <c r="BN917" i="17" s="1"/>
  <c r="O919" i="15"/>
  <c r="BL919" i="17"/>
  <c r="BM919" i="17" s="1"/>
  <c r="BN919" i="17" s="1"/>
  <c r="BL921" i="17"/>
  <c r="BM921" i="17" s="1"/>
  <c r="BN921" i="17" s="1"/>
  <c r="BL923" i="17"/>
  <c r="BM923" i="17" s="1"/>
  <c r="BN923" i="17" s="1"/>
  <c r="BL925" i="17"/>
  <c r="BM925" i="17" s="1"/>
  <c r="BN925" i="17" s="1"/>
  <c r="BL927" i="17"/>
  <c r="BM927" i="17" s="1"/>
  <c r="BN927" i="17" s="1"/>
  <c r="BL929" i="17"/>
  <c r="BM929" i="17" s="1"/>
  <c r="BN929" i="17" s="1"/>
  <c r="BL931" i="17"/>
  <c r="BM931" i="17" s="1"/>
  <c r="BN931" i="17" s="1"/>
  <c r="BL933" i="17"/>
  <c r="BM933" i="17" s="1"/>
  <c r="BN933" i="17" s="1"/>
  <c r="BL935" i="17"/>
  <c r="BM935" i="17" s="1"/>
  <c r="BN935" i="17" s="1"/>
  <c r="BL937" i="17"/>
  <c r="BM937" i="17" s="1"/>
  <c r="BN937" i="17" s="1"/>
  <c r="BL939" i="17"/>
  <c r="BM939" i="17" s="1"/>
  <c r="BN939" i="17" s="1"/>
  <c r="BL941" i="17"/>
  <c r="BM941" i="17" s="1"/>
  <c r="BN941" i="17" s="1"/>
  <c r="BL943" i="17"/>
  <c r="BM943" i="17" s="1"/>
  <c r="BN943" i="17" s="1"/>
  <c r="BL945" i="17"/>
  <c r="BM945" i="17" s="1"/>
  <c r="BN945" i="17" s="1"/>
  <c r="BL947" i="17"/>
  <c r="BM947" i="17" s="1"/>
  <c r="BN947" i="17" s="1"/>
  <c r="BL949" i="17"/>
  <c r="BM949" i="17" s="1"/>
  <c r="BN949" i="17" s="1"/>
  <c r="BL951" i="17"/>
  <c r="BM951" i="17" s="1"/>
  <c r="BN951" i="17" s="1"/>
  <c r="BL953" i="17"/>
  <c r="BM953" i="17" s="1"/>
  <c r="BN953" i="17" s="1"/>
  <c r="BL955" i="17"/>
  <c r="BM955" i="17" s="1"/>
  <c r="BN955" i="17" s="1"/>
  <c r="BL957" i="17"/>
  <c r="BM957" i="17" s="1"/>
  <c r="BN957" i="17" s="1"/>
  <c r="BL959" i="17"/>
  <c r="BM959" i="17" s="1"/>
  <c r="BN959" i="17" s="1"/>
  <c r="BL961" i="17"/>
  <c r="BM961" i="17" s="1"/>
  <c r="BN961" i="17" s="1"/>
  <c r="BL963" i="17"/>
  <c r="BM963" i="17" s="1"/>
  <c r="BN963" i="17" s="1"/>
  <c r="BL965" i="17"/>
  <c r="BM965" i="17" s="1"/>
  <c r="BN965" i="17" s="1"/>
  <c r="BL967" i="17"/>
  <c r="BM967" i="17" s="1"/>
  <c r="BN967" i="17" s="1"/>
  <c r="BL969" i="17"/>
  <c r="BM969" i="17" s="1"/>
  <c r="BN969" i="17" s="1"/>
  <c r="BL971" i="17"/>
  <c r="BM971" i="17" s="1"/>
  <c r="BN971" i="17" s="1"/>
  <c r="BL973" i="17"/>
  <c r="BM973" i="17" s="1"/>
  <c r="BN973" i="17" s="1"/>
  <c r="BL975" i="17"/>
  <c r="BM975" i="17" s="1"/>
  <c r="BN975" i="17" s="1"/>
  <c r="BL977" i="17"/>
  <c r="BM977" i="17" s="1"/>
  <c r="BN977" i="17" s="1"/>
  <c r="BL979" i="17"/>
  <c r="BM979" i="17" s="1"/>
  <c r="BN979" i="17" s="1"/>
  <c r="BL981" i="17"/>
  <c r="BM981" i="17" s="1"/>
  <c r="BN981" i="17" s="1"/>
  <c r="BL983" i="17"/>
  <c r="BM983" i="17" s="1"/>
  <c r="BN983" i="17" s="1"/>
  <c r="BL985" i="17"/>
  <c r="BM985" i="17" s="1"/>
  <c r="BN985" i="17" s="1"/>
  <c r="O987" i="15"/>
  <c r="BL987" i="17"/>
  <c r="BM987" i="17" s="1"/>
  <c r="BN987" i="17" s="1"/>
  <c r="BL989" i="17"/>
  <c r="BM989" i="17" s="1"/>
  <c r="BN989" i="17" s="1"/>
  <c r="BL991" i="17"/>
  <c r="BM991" i="17" s="1"/>
  <c r="BN991" i="17" s="1"/>
  <c r="BL993" i="17"/>
  <c r="BM993" i="17" s="1"/>
  <c r="BN993" i="17" s="1"/>
  <c r="BR933" i="17"/>
  <c r="BS933" i="17" s="1"/>
  <c r="BT933" i="17" s="1"/>
  <c r="BR935" i="17"/>
  <c r="BS935" i="17" s="1"/>
  <c r="BT935" i="17" s="1"/>
  <c r="BR937" i="17"/>
  <c r="BS937" i="17" s="1"/>
  <c r="BT937" i="17" s="1"/>
  <c r="BR939" i="17"/>
  <c r="BS939" i="17" s="1"/>
  <c r="BT939" i="17" s="1"/>
  <c r="BR941" i="17"/>
  <c r="BS941" i="17" s="1"/>
  <c r="BT941" i="17" s="1"/>
  <c r="BR943" i="17"/>
  <c r="BS943" i="17" s="1"/>
  <c r="BT943" i="17" s="1"/>
  <c r="BR945" i="17"/>
  <c r="BS945" i="17" s="1"/>
  <c r="BT945" i="17" s="1"/>
  <c r="BR947" i="17"/>
  <c r="BS947" i="17" s="1"/>
  <c r="BT947" i="17" s="1"/>
  <c r="BR949" i="17"/>
  <c r="BS949" i="17" s="1"/>
  <c r="BT949" i="17" s="1"/>
  <c r="BR951" i="17"/>
  <c r="BS951" i="17" s="1"/>
  <c r="BT951" i="17" s="1"/>
  <c r="BR953" i="17"/>
  <c r="BS953" i="17" s="1"/>
  <c r="BT953" i="17" s="1"/>
  <c r="BR955" i="17"/>
  <c r="BS955" i="17" s="1"/>
  <c r="BT955" i="17" s="1"/>
  <c r="BR957" i="17"/>
  <c r="BS957" i="17" s="1"/>
  <c r="BT957" i="17" s="1"/>
  <c r="BR959" i="17"/>
  <c r="BS959" i="17" s="1"/>
  <c r="BT959" i="17" s="1"/>
  <c r="BR961" i="17"/>
  <c r="BS961" i="17" s="1"/>
  <c r="BT961" i="17" s="1"/>
  <c r="BR963" i="17"/>
  <c r="BS963" i="17" s="1"/>
  <c r="BT963" i="17" s="1"/>
  <c r="BR965" i="17"/>
  <c r="BS965" i="17" s="1"/>
  <c r="BT965" i="17" s="1"/>
  <c r="BR967" i="17"/>
  <c r="BS967" i="17" s="1"/>
  <c r="BT967" i="17" s="1"/>
  <c r="BR969" i="17"/>
  <c r="BS969" i="17" s="1"/>
  <c r="BT969" i="17" s="1"/>
  <c r="BR971" i="17"/>
  <c r="BS971" i="17" s="1"/>
  <c r="BT971" i="17" s="1"/>
  <c r="BR973" i="17"/>
  <c r="BS973" i="17" s="1"/>
  <c r="BT973" i="17" s="1"/>
  <c r="BR975" i="17"/>
  <c r="BS975" i="17" s="1"/>
  <c r="BT975" i="17" s="1"/>
  <c r="BR977" i="17"/>
  <c r="BS977" i="17" s="1"/>
  <c r="BT977" i="17" s="1"/>
  <c r="BR979" i="17"/>
  <c r="BS979" i="17" s="1"/>
  <c r="BT979" i="17" s="1"/>
  <c r="BR981" i="17"/>
  <c r="BS981" i="17" s="1"/>
  <c r="BT981" i="17" s="1"/>
  <c r="BR983" i="17"/>
  <c r="BS983" i="17" s="1"/>
  <c r="BT983" i="17" s="1"/>
  <c r="BR985" i="17"/>
  <c r="BS985" i="17" s="1"/>
  <c r="BT985" i="17" s="1"/>
  <c r="BR987" i="17"/>
  <c r="BS987" i="17" s="1"/>
  <c r="BT987" i="17" s="1"/>
  <c r="BR989" i="17"/>
  <c r="BS989" i="17" s="1"/>
  <c r="BT989" i="17" s="1"/>
  <c r="BR991" i="17"/>
  <c r="BS991" i="17" s="1"/>
  <c r="BT991" i="17" s="1"/>
  <c r="BR993" i="17"/>
  <c r="BS993" i="17" s="1"/>
  <c r="BT993" i="17" s="1"/>
  <c r="BR995" i="17"/>
  <c r="BS995" i="17" s="1"/>
  <c r="BT995" i="17" s="1"/>
  <c r="BR997" i="17"/>
  <c r="BS997" i="17" s="1"/>
  <c r="BT997" i="17" s="1"/>
  <c r="BR999" i="17"/>
  <c r="BS999" i="17" s="1"/>
  <c r="BT999" i="17" s="1"/>
  <c r="BR1001" i="17"/>
  <c r="BS1001" i="17" s="1"/>
  <c r="BT1001" i="17" s="1"/>
  <c r="BR1003" i="17"/>
  <c r="BS1003" i="17" s="1"/>
  <c r="BT1003" i="17" s="1"/>
  <c r="BR1005" i="17"/>
  <c r="BS1005" i="17" s="1"/>
  <c r="BT1005" i="17" s="1"/>
  <c r="BR1007" i="17"/>
  <c r="BS1007" i="17" s="1"/>
  <c r="BT1007" i="17" s="1"/>
  <c r="BR1009" i="17"/>
  <c r="BS1009" i="17" s="1"/>
  <c r="BT1009" i="17" s="1"/>
  <c r="BR1011" i="17"/>
  <c r="BS1011" i="17" s="1"/>
  <c r="BT1011" i="17" s="1"/>
  <c r="BR1013" i="17"/>
  <c r="BS1013" i="17" s="1"/>
  <c r="BT1013" i="17" s="1"/>
  <c r="BR1015" i="17"/>
  <c r="BS1015" i="17" s="1"/>
  <c r="BT1015" i="17" s="1"/>
  <c r="BR1017" i="17"/>
  <c r="BS1017" i="17" s="1"/>
  <c r="BT1017" i="17" s="1"/>
  <c r="BR1019" i="17"/>
  <c r="BS1019" i="17" s="1"/>
  <c r="BT1019" i="17" s="1"/>
  <c r="BR1021" i="17"/>
  <c r="BS1021" i="17" s="1"/>
  <c r="BT1021" i="17" s="1"/>
  <c r="BR1023" i="17"/>
  <c r="BS1023" i="17" s="1"/>
  <c r="BT1023" i="17" s="1"/>
  <c r="BR1025" i="17"/>
  <c r="BS1025" i="17" s="1"/>
  <c r="BT1025" i="17" s="1"/>
  <c r="BR1027" i="17"/>
  <c r="BS1027" i="17" s="1"/>
  <c r="BT1027" i="17" s="1"/>
  <c r="BR1029" i="17"/>
  <c r="BS1029" i="17" s="1"/>
  <c r="BT1029" i="17" s="1"/>
  <c r="BR1031" i="17"/>
  <c r="BS1031" i="17" s="1"/>
  <c r="BT1031" i="17" s="1"/>
  <c r="BR1033" i="17"/>
  <c r="BS1033" i="17" s="1"/>
  <c r="BT1033" i="17" s="1"/>
  <c r="BR1035" i="17"/>
  <c r="BS1035" i="17" s="1"/>
  <c r="BT1035" i="17" s="1"/>
  <c r="BR1037" i="17"/>
  <c r="BS1037" i="17" s="1"/>
  <c r="BT1037" i="17" s="1"/>
  <c r="BR1039" i="17"/>
  <c r="BS1039" i="17" s="1"/>
  <c r="BT1039" i="17" s="1"/>
  <c r="BR1041" i="17"/>
  <c r="BS1041" i="17" s="1"/>
  <c r="BT1041" i="17" s="1"/>
  <c r="BR1043" i="17"/>
  <c r="BS1043" i="17" s="1"/>
  <c r="BT1043" i="17" s="1"/>
  <c r="BR1045" i="17"/>
  <c r="BS1045" i="17" s="1"/>
  <c r="BT1045" i="17" s="1"/>
  <c r="BR1047" i="17"/>
  <c r="BS1047" i="17" s="1"/>
  <c r="BT1047" i="17" s="1"/>
  <c r="BR1049" i="17"/>
  <c r="BS1049" i="17" s="1"/>
  <c r="BT1049" i="17" s="1"/>
  <c r="BR1051" i="17"/>
  <c r="BS1051" i="17" s="1"/>
  <c r="BT1051" i="17" s="1"/>
  <c r="BR1053" i="17"/>
  <c r="BS1053" i="17" s="1"/>
  <c r="BT1053" i="17" s="1"/>
  <c r="BR1055" i="17"/>
  <c r="BS1055" i="17" s="1"/>
  <c r="BT1055" i="17" s="1"/>
  <c r="BR1057" i="17"/>
  <c r="BS1057" i="17" s="1"/>
  <c r="BT1057" i="17" s="1"/>
  <c r="BR1059" i="17"/>
  <c r="BS1059" i="17" s="1"/>
  <c r="BT1059" i="17" s="1"/>
  <c r="BR1061" i="17"/>
  <c r="BS1061" i="17" s="1"/>
  <c r="BT1061" i="17" s="1"/>
  <c r="BR1063" i="17"/>
  <c r="BS1063" i="17" s="1"/>
  <c r="BT1063" i="17" s="1"/>
  <c r="BR1065" i="17"/>
  <c r="BS1065" i="17" s="1"/>
  <c r="BT1065" i="17" s="1"/>
  <c r="BR1067" i="17"/>
  <c r="BS1067" i="17" s="1"/>
  <c r="BT1067" i="17" s="1"/>
  <c r="BR1069" i="17"/>
  <c r="BS1069" i="17" s="1"/>
  <c r="BT1069" i="17" s="1"/>
  <c r="BR1071" i="17"/>
  <c r="BS1071" i="17" s="1"/>
  <c r="BT1071" i="17" s="1"/>
  <c r="BR1073" i="17"/>
  <c r="BS1073" i="17" s="1"/>
  <c r="BT1073" i="17" s="1"/>
  <c r="BR1075" i="17"/>
  <c r="BS1075" i="17" s="1"/>
  <c r="BT1075" i="17" s="1"/>
  <c r="BR1077" i="17"/>
  <c r="BS1077" i="17" s="1"/>
  <c r="BT1077" i="17" s="1"/>
  <c r="BR1079" i="17"/>
  <c r="BS1079" i="17" s="1"/>
  <c r="BT1079" i="17" s="1"/>
  <c r="BR1081" i="17"/>
  <c r="BS1081" i="17" s="1"/>
  <c r="BT1081" i="17" s="1"/>
  <c r="BR1083" i="17"/>
  <c r="BS1083" i="17" s="1"/>
  <c r="BT1083" i="17" s="1"/>
  <c r="BR1085" i="17"/>
  <c r="BS1085" i="17" s="1"/>
  <c r="BT1085" i="17" s="1"/>
  <c r="BR1087" i="17"/>
  <c r="BS1087" i="17" s="1"/>
  <c r="BT1087" i="17" s="1"/>
  <c r="BR1089" i="17"/>
  <c r="BS1089" i="17" s="1"/>
  <c r="BT1089" i="17" s="1"/>
  <c r="BR1091" i="17"/>
  <c r="BS1091" i="17" s="1"/>
  <c r="BT1091" i="17" s="1"/>
  <c r="BR1093" i="17"/>
  <c r="BS1093" i="17" s="1"/>
  <c r="BT1093" i="17" s="1"/>
  <c r="BR1095" i="17"/>
  <c r="BS1095" i="17" s="1"/>
  <c r="BT1095" i="17" s="1"/>
  <c r="BR1097" i="17"/>
  <c r="BS1097" i="17" s="1"/>
  <c r="BT1097" i="17" s="1"/>
  <c r="BR1099" i="17"/>
  <c r="BS1099" i="17" s="1"/>
  <c r="BT1099" i="17" s="1"/>
  <c r="BR1101" i="17"/>
  <c r="BS1101" i="17" s="1"/>
  <c r="BT1101" i="17" s="1"/>
  <c r="BR1103" i="17"/>
  <c r="BS1103" i="17" s="1"/>
  <c r="BT1103" i="17" s="1"/>
  <c r="BR1105" i="17"/>
  <c r="BS1105" i="17" s="1"/>
  <c r="BT1105" i="17" s="1"/>
  <c r="BR1107" i="17"/>
  <c r="BS1107" i="17" s="1"/>
  <c r="BT1107" i="17" s="1"/>
  <c r="BR1109" i="17"/>
  <c r="BS1109" i="17" s="1"/>
  <c r="BT1109" i="17" s="1"/>
  <c r="BR1111" i="17"/>
  <c r="BS1111" i="17" s="1"/>
  <c r="BT1111" i="17" s="1"/>
  <c r="BR1113" i="17"/>
  <c r="BS1113" i="17" s="1"/>
  <c r="BT1113" i="17" s="1"/>
  <c r="BR1115" i="17"/>
  <c r="BS1115" i="17" s="1"/>
  <c r="BT1115" i="17" s="1"/>
  <c r="BR1117" i="17"/>
  <c r="BS1117" i="17" s="1"/>
  <c r="BT1117" i="17" s="1"/>
  <c r="BR1119" i="17"/>
  <c r="BS1119" i="17" s="1"/>
  <c r="BT1119" i="17" s="1"/>
  <c r="BR1121" i="17"/>
  <c r="BS1121" i="17" s="1"/>
  <c r="BT1121" i="17" s="1"/>
  <c r="BR1123" i="17"/>
  <c r="BS1123" i="17" s="1"/>
  <c r="BT1123" i="17" s="1"/>
  <c r="BR1125" i="17"/>
  <c r="BS1125" i="17" s="1"/>
  <c r="BT1125" i="17" s="1"/>
  <c r="BR1127" i="17"/>
  <c r="BS1127" i="17" s="1"/>
  <c r="BT1127" i="17" s="1"/>
  <c r="BR1129" i="17"/>
  <c r="BS1129" i="17" s="1"/>
  <c r="BT1129" i="17" s="1"/>
  <c r="BR1131" i="17"/>
  <c r="BS1131" i="17" s="1"/>
  <c r="BT1131" i="17" s="1"/>
  <c r="BR1133" i="17"/>
  <c r="BS1133" i="17" s="1"/>
  <c r="BT1133" i="17" s="1"/>
  <c r="BR1135" i="17"/>
  <c r="BS1135" i="17" s="1"/>
  <c r="BT1135" i="17" s="1"/>
  <c r="BR1137" i="17"/>
  <c r="BS1137" i="17" s="1"/>
  <c r="BT1137" i="17" s="1"/>
  <c r="BR1139" i="17"/>
  <c r="BS1139" i="17" s="1"/>
  <c r="BT1139" i="17" s="1"/>
  <c r="BR1141" i="17"/>
  <c r="BS1141" i="17" s="1"/>
  <c r="BT1141" i="17" s="1"/>
  <c r="BR1143" i="17"/>
  <c r="BS1143" i="17" s="1"/>
  <c r="BT1143" i="17" s="1"/>
  <c r="BF739" i="17"/>
  <c r="BG739" i="17" s="1"/>
  <c r="BH739" i="17" s="1"/>
  <c r="AZ740" i="17"/>
  <c r="BA740" i="17" s="1"/>
  <c r="BB740" i="17" s="1"/>
  <c r="M741" i="7"/>
  <c r="V741" i="7" s="1"/>
  <c r="BF741" i="17"/>
  <c r="BG741" i="17" s="1"/>
  <c r="BH741" i="17" s="1"/>
  <c r="AZ742" i="17"/>
  <c r="BA742" i="17" s="1"/>
  <c r="BB742" i="17" s="1"/>
  <c r="AT743" i="17"/>
  <c r="AU743" i="17" s="1"/>
  <c r="AV743" i="17" s="1"/>
  <c r="K750" i="7"/>
  <c r="T750" i="7" s="1"/>
  <c r="AT749" i="17"/>
  <c r="AU749" i="17" s="1"/>
  <c r="AV749" i="17" s="1"/>
  <c r="AT762" i="17"/>
  <c r="AU762" i="17" s="1"/>
  <c r="AV762" i="17" s="1"/>
  <c r="K764" i="7"/>
  <c r="T764" i="7" s="1"/>
  <c r="AT764" i="17"/>
  <c r="AU764" i="17" s="1"/>
  <c r="AV764" i="17" s="1"/>
  <c r="AZ765" i="17"/>
  <c r="BA765" i="17" s="1"/>
  <c r="BB765" i="17" s="1"/>
  <c r="AT766" i="17"/>
  <c r="AU766" i="17" s="1"/>
  <c r="AV766" i="17" s="1"/>
  <c r="AT767" i="17"/>
  <c r="AU767" i="17" s="1"/>
  <c r="AV767" i="17" s="1"/>
  <c r="AZ768" i="17"/>
  <c r="BA768" i="17" s="1"/>
  <c r="BB768" i="17" s="1"/>
  <c r="AT770" i="17"/>
  <c r="AU770" i="17" s="1"/>
  <c r="AV770" i="17" s="1"/>
  <c r="K771" i="7"/>
  <c r="T771" i="7" s="1"/>
  <c r="AT771" i="17"/>
  <c r="AU771" i="17" s="1"/>
  <c r="AV771" i="17" s="1"/>
  <c r="AZ772" i="17"/>
  <c r="BA772" i="17" s="1"/>
  <c r="BB772" i="17" s="1"/>
  <c r="AZ773" i="17"/>
  <c r="BA773" i="17" s="1"/>
  <c r="BB773" i="17" s="1"/>
  <c r="AT774" i="17"/>
  <c r="AU774" i="17" s="1"/>
  <c r="AV774" i="17" s="1"/>
  <c r="K778" i="7"/>
  <c r="T778" i="7" s="1"/>
  <c r="AT778" i="17"/>
  <c r="AU778" i="17" s="1"/>
  <c r="AV778" i="17" s="1"/>
  <c r="K779" i="7"/>
  <c r="T779" i="7" s="1"/>
  <c r="AT779" i="17"/>
  <c r="AU779" i="17" s="1"/>
  <c r="AV779" i="17" s="1"/>
  <c r="AT780" i="17"/>
  <c r="AU780" i="17" s="1"/>
  <c r="AV780" i="17" s="1"/>
  <c r="S785" i="7"/>
  <c r="P795" i="7"/>
  <c r="AA795" i="7" s="1"/>
  <c r="S802" i="7"/>
  <c r="O803" i="7"/>
  <c r="Z803" i="7" s="1"/>
  <c r="P806" i="7"/>
  <c r="AA806" i="7" s="1"/>
  <c r="BX806" i="17"/>
  <c r="BY806" i="17" s="1"/>
  <c r="BZ806" i="17" s="1"/>
  <c r="N808" i="7"/>
  <c r="W808" i="7" s="1"/>
  <c r="BL808" i="17"/>
  <c r="BM808" i="17" s="1"/>
  <c r="BN808" i="17" s="1"/>
  <c r="BR809" i="17"/>
  <c r="BS809" i="17" s="1"/>
  <c r="BT809" i="17" s="1"/>
  <c r="BL810" i="17"/>
  <c r="BM810" i="17" s="1"/>
  <c r="BN810" i="17" s="1"/>
  <c r="N811" i="7"/>
  <c r="W811" i="7" s="1"/>
  <c r="BL811" i="17"/>
  <c r="BM811" i="17" s="1"/>
  <c r="BN811" i="17" s="1"/>
  <c r="BR812" i="17"/>
  <c r="BS812" i="17" s="1"/>
  <c r="BT812" i="17" s="1"/>
  <c r="M813" i="7"/>
  <c r="V813" i="7" s="1"/>
  <c r="BF813" i="17"/>
  <c r="BG813" i="17" s="1"/>
  <c r="BH813" i="17" s="1"/>
  <c r="M814" i="7"/>
  <c r="V814" i="7" s="1"/>
  <c r="BF814" i="17"/>
  <c r="BG814" i="17" s="1"/>
  <c r="BH814" i="17" s="1"/>
  <c r="AZ815" i="17"/>
  <c r="BA815" i="17" s="1"/>
  <c r="BB815" i="17" s="1"/>
  <c r="L816" i="7"/>
  <c r="U816" i="7" s="1"/>
  <c r="AZ816" i="17"/>
  <c r="BA816" i="17" s="1"/>
  <c r="BB816" i="17" s="1"/>
  <c r="AZ817" i="17"/>
  <c r="BA817" i="17" s="1"/>
  <c r="BB817" i="17" s="1"/>
  <c r="CD817" i="17" s="1"/>
  <c r="AZ818" i="17"/>
  <c r="BA818" i="17" s="1"/>
  <c r="BB818" i="17" s="1"/>
  <c r="BF819" i="17"/>
  <c r="BG819" i="17" s="1"/>
  <c r="BH819" i="17" s="1"/>
  <c r="L824" i="7"/>
  <c r="U824" i="7" s="1"/>
  <c r="K826" i="7"/>
  <c r="T826" i="7" s="1"/>
  <c r="BX832" i="17"/>
  <c r="BY832" i="17" s="1"/>
  <c r="BZ832" i="17" s="1"/>
  <c r="O833" i="7"/>
  <c r="Z833" i="7" s="1"/>
  <c r="BR833" i="17"/>
  <c r="BS833" i="17" s="1"/>
  <c r="BT833" i="17" s="1"/>
  <c r="BL834" i="17"/>
  <c r="BM834" i="17" s="1"/>
  <c r="BN834" i="17" s="1"/>
  <c r="M835" i="7"/>
  <c r="V835" i="7" s="1"/>
  <c r="BF835" i="17"/>
  <c r="BG835" i="17" s="1"/>
  <c r="BH835" i="17" s="1"/>
  <c r="BF836" i="17"/>
  <c r="BG836" i="17" s="1"/>
  <c r="BH836" i="17" s="1"/>
  <c r="K839" i="7"/>
  <c r="T839" i="7" s="1"/>
  <c r="O844" i="7"/>
  <c r="Z844" i="7" s="1"/>
  <c r="BR843" i="17"/>
  <c r="BS843" i="17" s="1"/>
  <c r="BT843" i="17" s="1"/>
  <c r="BX844" i="17"/>
  <c r="BY844" i="17" s="1"/>
  <c r="BZ844" i="17" s="1"/>
  <c r="N845" i="7"/>
  <c r="W845" i="7" s="1"/>
  <c r="BL845" i="17"/>
  <c r="BM845" i="17" s="1"/>
  <c r="BN845" i="17" s="1"/>
  <c r="N846" i="7"/>
  <c r="W846" i="7" s="1"/>
  <c r="BL846" i="17"/>
  <c r="BM846" i="17" s="1"/>
  <c r="BN846" i="17" s="1"/>
  <c r="BR847" i="17"/>
  <c r="BS847" i="17" s="1"/>
  <c r="BT847" i="17" s="1"/>
  <c r="AT848" i="17"/>
  <c r="AU848" i="17" s="1"/>
  <c r="AV848" i="17" s="1"/>
  <c r="O852" i="7"/>
  <c r="Z852" i="7" s="1"/>
  <c r="BX855" i="17"/>
  <c r="BY855" i="17" s="1"/>
  <c r="BZ855" i="17" s="1"/>
  <c r="BX856" i="17"/>
  <c r="BY856" i="17" s="1"/>
  <c r="BZ856" i="17" s="1"/>
  <c r="BX860" i="17"/>
  <c r="BY860" i="17" s="1"/>
  <c r="BZ860" i="17" s="1"/>
  <c r="BX863" i="17"/>
  <c r="BY863" i="17" s="1"/>
  <c r="BZ863" i="17" s="1"/>
  <c r="P864" i="7"/>
  <c r="AA864" i="7" s="1"/>
  <c r="BX864" i="17"/>
  <c r="BY864" i="17" s="1"/>
  <c r="BZ864" i="17" s="1"/>
  <c r="R869" i="7"/>
  <c r="R872" i="7"/>
  <c r="BR877" i="17"/>
  <c r="BS877" i="17" s="1"/>
  <c r="BT877" i="17" s="1"/>
  <c r="BL878" i="17"/>
  <c r="BM878" i="17" s="1"/>
  <c r="BN878" i="17" s="1"/>
  <c r="N879" i="7"/>
  <c r="W879" i="7" s="1"/>
  <c r="BL879" i="17"/>
  <c r="BM879" i="17" s="1"/>
  <c r="BN879" i="17" s="1"/>
  <c r="AT880" i="17"/>
  <c r="AU880" i="17" s="1"/>
  <c r="AV880" i="17" s="1"/>
  <c r="O885" i="7"/>
  <c r="Z885" i="7" s="1"/>
  <c r="Y886" i="7"/>
  <c r="L892" i="7"/>
  <c r="U892" i="7" s="1"/>
  <c r="L899" i="7"/>
  <c r="U899" i="7" s="1"/>
  <c r="S902" i="7"/>
  <c r="Q905" i="7"/>
  <c r="X905" i="7" s="1"/>
  <c r="BX907" i="17"/>
  <c r="BY907" i="17" s="1"/>
  <c r="BZ907" i="17" s="1"/>
  <c r="P909" i="7"/>
  <c r="AA909" i="7" s="1"/>
  <c r="BX909" i="17"/>
  <c r="BY909" i="17" s="1"/>
  <c r="BZ909" i="17" s="1"/>
  <c r="O910" i="7"/>
  <c r="Z910" i="7" s="1"/>
  <c r="BR910" i="17"/>
  <c r="BS910" i="17" s="1"/>
  <c r="BT910" i="17" s="1"/>
  <c r="BF911" i="17"/>
  <c r="BG911" i="17" s="1"/>
  <c r="BH911" i="17" s="1"/>
  <c r="CD911" i="17" s="1"/>
  <c r="BX913" i="17"/>
  <c r="BY913" i="17" s="1"/>
  <c r="BZ913" i="17" s="1"/>
  <c r="BX915" i="17"/>
  <c r="BY915" i="17" s="1"/>
  <c r="BZ915" i="17" s="1"/>
  <c r="BX917" i="17"/>
  <c r="BY917" i="17" s="1"/>
  <c r="BZ917" i="17" s="1"/>
  <c r="BX919" i="17"/>
  <c r="BY919" i="17" s="1"/>
  <c r="BZ919" i="17" s="1"/>
  <c r="BX921" i="17"/>
  <c r="BY921" i="17" s="1"/>
  <c r="BZ921" i="17" s="1"/>
  <c r="BX923" i="17"/>
  <c r="BY923" i="17" s="1"/>
  <c r="BZ923" i="17" s="1"/>
  <c r="BX925" i="17"/>
  <c r="BY925" i="17" s="1"/>
  <c r="BZ925" i="17" s="1"/>
  <c r="BX927" i="17"/>
  <c r="BY927" i="17" s="1"/>
  <c r="BZ927" i="17" s="1"/>
  <c r="BX929" i="17"/>
  <c r="BY929" i="17" s="1"/>
  <c r="BZ929" i="17" s="1"/>
  <c r="BX931" i="17"/>
  <c r="BY931" i="17" s="1"/>
  <c r="BZ931" i="17" s="1"/>
  <c r="BX933" i="17"/>
  <c r="BY933" i="17" s="1"/>
  <c r="BZ933" i="17" s="1"/>
  <c r="BX935" i="17"/>
  <c r="BY935" i="17" s="1"/>
  <c r="BZ935" i="17" s="1"/>
  <c r="BX937" i="17"/>
  <c r="BY937" i="17" s="1"/>
  <c r="BZ937" i="17" s="1"/>
  <c r="BX939" i="17"/>
  <c r="BY939" i="17" s="1"/>
  <c r="BZ939" i="17" s="1"/>
  <c r="BX941" i="17"/>
  <c r="BY941" i="17" s="1"/>
  <c r="BZ941" i="17" s="1"/>
  <c r="BX943" i="17"/>
  <c r="BY943" i="17" s="1"/>
  <c r="BZ943" i="17" s="1"/>
  <c r="BX945" i="17"/>
  <c r="BY945" i="17" s="1"/>
  <c r="BZ945" i="17" s="1"/>
  <c r="BX947" i="17"/>
  <c r="BY947" i="17" s="1"/>
  <c r="BZ947" i="17" s="1"/>
  <c r="BX949" i="17"/>
  <c r="BY949" i="17" s="1"/>
  <c r="BZ949" i="17" s="1"/>
  <c r="BX951" i="17"/>
  <c r="BY951" i="17" s="1"/>
  <c r="BZ951" i="17" s="1"/>
  <c r="BX953" i="17"/>
  <c r="BY953" i="17" s="1"/>
  <c r="BZ953" i="17" s="1"/>
  <c r="BX955" i="17"/>
  <c r="BY955" i="17" s="1"/>
  <c r="BZ955" i="17" s="1"/>
  <c r="BX957" i="17"/>
  <c r="BY957" i="17" s="1"/>
  <c r="BZ957" i="17" s="1"/>
  <c r="BX959" i="17"/>
  <c r="BY959" i="17" s="1"/>
  <c r="BZ959" i="17" s="1"/>
  <c r="BX961" i="17"/>
  <c r="BY961" i="17" s="1"/>
  <c r="BZ961" i="17" s="1"/>
  <c r="BX963" i="17"/>
  <c r="BY963" i="17" s="1"/>
  <c r="BZ963" i="17" s="1"/>
  <c r="BX965" i="17"/>
  <c r="BY965" i="17" s="1"/>
  <c r="BZ965" i="17" s="1"/>
  <c r="BX967" i="17"/>
  <c r="BY967" i="17" s="1"/>
  <c r="BZ967" i="17" s="1"/>
  <c r="BX969" i="17"/>
  <c r="BY969" i="17" s="1"/>
  <c r="BZ969" i="17" s="1"/>
  <c r="BX971" i="17"/>
  <c r="BY971" i="17" s="1"/>
  <c r="BZ971" i="17" s="1"/>
  <c r="BX973" i="17"/>
  <c r="BY973" i="17" s="1"/>
  <c r="BZ973" i="17" s="1"/>
  <c r="BX975" i="17"/>
  <c r="BY975" i="17" s="1"/>
  <c r="BZ975" i="17" s="1"/>
  <c r="BX977" i="17"/>
  <c r="BY977" i="17" s="1"/>
  <c r="BZ977" i="17" s="1"/>
  <c r="BX979" i="17"/>
  <c r="BY979" i="17" s="1"/>
  <c r="BZ979" i="17" s="1"/>
  <c r="BX981" i="17"/>
  <c r="BY981" i="17" s="1"/>
  <c r="BZ981" i="17" s="1"/>
  <c r="BX983" i="17"/>
  <c r="BY983" i="17" s="1"/>
  <c r="BZ983" i="17" s="1"/>
  <c r="BX985" i="17"/>
  <c r="BY985" i="17" s="1"/>
  <c r="BZ985" i="17" s="1"/>
  <c r="BX987" i="17"/>
  <c r="BY987" i="17" s="1"/>
  <c r="BZ987" i="17" s="1"/>
  <c r="BX989" i="17"/>
  <c r="BY989" i="17" s="1"/>
  <c r="BZ989" i="17" s="1"/>
  <c r="BX991" i="17"/>
  <c r="BY991" i="17" s="1"/>
  <c r="BZ991" i="17" s="1"/>
  <c r="BX993" i="17"/>
  <c r="BY993" i="17" s="1"/>
  <c r="BZ993" i="17" s="1"/>
  <c r="BX995" i="17"/>
  <c r="BY995" i="17" s="1"/>
  <c r="BZ995" i="17" s="1"/>
  <c r="BX997" i="17"/>
  <c r="BY997" i="17" s="1"/>
  <c r="BZ997" i="17" s="1"/>
  <c r="BX999" i="17"/>
  <c r="BY999" i="17" s="1"/>
  <c r="BZ999" i="17" s="1"/>
  <c r="BX1001" i="17"/>
  <c r="BY1001" i="17" s="1"/>
  <c r="BZ1001" i="17" s="1"/>
  <c r="BX1003" i="17"/>
  <c r="BY1003" i="17" s="1"/>
  <c r="BZ1003" i="17" s="1"/>
  <c r="BX1005" i="17"/>
  <c r="BY1005" i="17" s="1"/>
  <c r="BZ1005" i="17" s="1"/>
  <c r="BX1007" i="17"/>
  <c r="BY1007" i="17" s="1"/>
  <c r="BZ1007" i="17" s="1"/>
  <c r="BX1009" i="17"/>
  <c r="BY1009" i="17" s="1"/>
  <c r="BZ1009" i="17" s="1"/>
  <c r="BX1011" i="17"/>
  <c r="BY1011" i="17" s="1"/>
  <c r="BZ1011" i="17" s="1"/>
  <c r="BX1013" i="17"/>
  <c r="BY1013" i="17" s="1"/>
  <c r="BZ1013" i="17" s="1"/>
  <c r="BX1015" i="17"/>
  <c r="BY1015" i="17" s="1"/>
  <c r="BZ1015" i="17" s="1"/>
  <c r="BX1017" i="17"/>
  <c r="BY1017" i="17" s="1"/>
  <c r="BZ1017" i="17" s="1"/>
  <c r="BX1019" i="17"/>
  <c r="BY1019" i="17" s="1"/>
  <c r="BZ1019" i="17" s="1"/>
  <c r="AZ696" i="17"/>
  <c r="BA696" i="17" s="1"/>
  <c r="BB696" i="17" s="1"/>
  <c r="M697" i="7"/>
  <c r="V697" i="7" s="1"/>
  <c r="BF697" i="17"/>
  <c r="BG697" i="17" s="1"/>
  <c r="BH697" i="17" s="1"/>
  <c r="L699" i="7"/>
  <c r="U699" i="7" s="1"/>
  <c r="AZ698" i="17"/>
  <c r="BA698" i="17" s="1"/>
  <c r="BB698" i="17" s="1"/>
  <c r="AT699" i="17"/>
  <c r="AU699" i="17" s="1"/>
  <c r="AV699" i="17" s="1"/>
  <c r="L701" i="7"/>
  <c r="U701" i="7" s="1"/>
  <c r="AZ700" i="17"/>
  <c r="BA700" i="17" s="1"/>
  <c r="BB700" i="17" s="1"/>
  <c r="CD700" i="17" s="1"/>
  <c r="BF701" i="17"/>
  <c r="BG701" i="17" s="1"/>
  <c r="BH701" i="17" s="1"/>
  <c r="N702" i="7"/>
  <c r="W702" i="7" s="1"/>
  <c r="BL702" i="17"/>
  <c r="BM702" i="17" s="1"/>
  <c r="BN702" i="17" s="1"/>
  <c r="BL703" i="17"/>
  <c r="BM703" i="17" s="1"/>
  <c r="BN703" i="17" s="1"/>
  <c r="O704" i="7"/>
  <c r="Z704" i="7" s="1"/>
  <c r="BR704" i="17"/>
  <c r="BS704" i="17" s="1"/>
  <c r="BT704" i="17" s="1"/>
  <c r="BX705" i="17"/>
  <c r="BY705" i="17" s="1"/>
  <c r="BZ705" i="17" s="1"/>
  <c r="Q706" i="7"/>
  <c r="X706" i="7" s="1"/>
  <c r="BX707" i="17"/>
  <c r="BY707" i="17" s="1"/>
  <c r="BZ707" i="17" s="1"/>
  <c r="Q708" i="7"/>
  <c r="X708" i="7" s="1"/>
  <c r="P709" i="7"/>
  <c r="AA709" i="7" s="1"/>
  <c r="BX709" i="17"/>
  <c r="BY709" i="17" s="1"/>
  <c r="BZ709" i="17" s="1"/>
  <c r="BX712" i="17"/>
  <c r="BY712" i="17" s="1"/>
  <c r="BZ712" i="17" s="1"/>
  <c r="O715" i="7"/>
  <c r="Z715" i="7" s="1"/>
  <c r="BR715" i="17"/>
  <c r="BS715" i="17" s="1"/>
  <c r="BT715" i="17" s="1"/>
  <c r="BL716" i="17"/>
  <c r="BM716" i="17" s="1"/>
  <c r="BN716" i="17" s="1"/>
  <c r="AZ717" i="17"/>
  <c r="BA717" i="17" s="1"/>
  <c r="BB717" i="17" s="1"/>
  <c r="CD717" i="17" s="1"/>
  <c r="L718" i="7"/>
  <c r="U718" i="7" s="1"/>
  <c r="AZ718" i="17"/>
  <c r="BA718" i="17" s="1"/>
  <c r="BB718" i="17" s="1"/>
  <c r="K720" i="7"/>
  <c r="T720" i="7" s="1"/>
  <c r="AT720" i="17"/>
  <c r="AU720" i="17" s="1"/>
  <c r="AV720" i="17" s="1"/>
  <c r="S727" i="7"/>
  <c r="O734" i="7"/>
  <c r="Z734" i="7" s="1"/>
  <c r="BR733" i="17"/>
  <c r="BS733" i="17" s="1"/>
  <c r="BT733" i="17" s="1"/>
  <c r="BX734" i="17"/>
  <c r="BY734" i="17" s="1"/>
  <c r="BZ734" i="17" s="1"/>
  <c r="O735" i="7"/>
  <c r="Z735" i="7" s="1"/>
  <c r="BR735" i="17"/>
  <c r="BS735" i="17" s="1"/>
  <c r="BT735" i="17" s="1"/>
  <c r="P736" i="7"/>
  <c r="AA736" i="7" s="1"/>
  <c r="BX736" i="17"/>
  <c r="BY736" i="17" s="1"/>
  <c r="BZ736" i="17" s="1"/>
  <c r="BR738" i="17"/>
  <c r="BS738" i="17" s="1"/>
  <c r="BT738" i="17" s="1"/>
  <c r="BL739" i="17"/>
  <c r="BM739" i="17" s="1"/>
  <c r="BN739" i="17" s="1"/>
  <c r="BF740" i="17"/>
  <c r="BG740" i="17" s="1"/>
  <c r="BH740" i="17" s="1"/>
  <c r="N741" i="7"/>
  <c r="W741" i="7" s="1"/>
  <c r="BL741" i="17"/>
  <c r="BM741" i="17" s="1"/>
  <c r="BN741" i="17" s="1"/>
  <c r="BF742" i="17"/>
  <c r="BG742" i="17" s="1"/>
  <c r="BH742" i="17" s="1"/>
  <c r="L743" i="7"/>
  <c r="U743" i="7" s="1"/>
  <c r="AZ743" i="17"/>
  <c r="BA743" i="17" s="1"/>
  <c r="BB743" i="17" s="1"/>
  <c r="CD743" i="17" s="1"/>
  <c r="AT744" i="17"/>
  <c r="AU744" i="17" s="1"/>
  <c r="AV744" i="17" s="1"/>
  <c r="K748" i="7"/>
  <c r="T748" i="7" s="1"/>
  <c r="AT748" i="17"/>
  <c r="AU748" i="17" s="1"/>
  <c r="AV748" i="17" s="1"/>
  <c r="AZ749" i="17"/>
  <c r="BA749" i="17" s="1"/>
  <c r="BB749" i="17" s="1"/>
  <c r="K759" i="7"/>
  <c r="T759" i="7" s="1"/>
  <c r="AT758" i="17"/>
  <c r="AU758" i="17" s="1"/>
  <c r="AV758" i="17" s="1"/>
  <c r="K761" i="7"/>
  <c r="T761" i="7" s="1"/>
  <c r="AT761" i="17"/>
  <c r="AU761" i="17" s="1"/>
  <c r="AV761" i="17" s="1"/>
  <c r="AZ762" i="17"/>
  <c r="BA762" i="17" s="1"/>
  <c r="BB762" i="17" s="1"/>
  <c r="AT763" i="17"/>
  <c r="AU763" i="17" s="1"/>
  <c r="AV763" i="17" s="1"/>
  <c r="CD763" i="17" s="1"/>
  <c r="AZ764" i="17"/>
  <c r="BA764" i="17" s="1"/>
  <c r="BB764" i="17" s="1"/>
  <c r="BF765" i="17"/>
  <c r="BG765" i="17" s="1"/>
  <c r="BH765" i="17" s="1"/>
  <c r="AZ766" i="17"/>
  <c r="BA766" i="17" s="1"/>
  <c r="BB766" i="17" s="1"/>
  <c r="L767" i="7"/>
  <c r="U767" i="7" s="1"/>
  <c r="AZ767" i="17"/>
  <c r="BA767" i="17" s="1"/>
  <c r="BB767" i="17" s="1"/>
  <c r="BF768" i="17"/>
  <c r="BG768" i="17" s="1"/>
  <c r="BH768" i="17" s="1"/>
  <c r="AT769" i="17"/>
  <c r="AU769" i="17" s="1"/>
  <c r="AV769" i="17" s="1"/>
  <c r="AZ770" i="17"/>
  <c r="BA770" i="17" s="1"/>
  <c r="BB770" i="17" s="1"/>
  <c r="L771" i="7"/>
  <c r="U771" i="7" s="1"/>
  <c r="AZ771" i="17"/>
  <c r="BA771" i="17" s="1"/>
  <c r="BB771" i="17" s="1"/>
  <c r="BF772" i="17"/>
  <c r="BG772" i="17" s="1"/>
  <c r="BH772" i="17" s="1"/>
  <c r="BF773" i="17"/>
  <c r="BG773" i="17" s="1"/>
  <c r="BH773" i="17" s="1"/>
  <c r="CD773" i="17" s="1"/>
  <c r="AZ774" i="17"/>
  <c r="BA774" i="17" s="1"/>
  <c r="BB774" i="17" s="1"/>
  <c r="K775" i="7"/>
  <c r="T775" i="7" s="1"/>
  <c r="AT775" i="17"/>
  <c r="AU775" i="17" s="1"/>
  <c r="AV775" i="17" s="1"/>
  <c r="AT776" i="17"/>
  <c r="AU776" i="17" s="1"/>
  <c r="AV776" i="17" s="1"/>
  <c r="AT777" i="17"/>
  <c r="AU777" i="17" s="1"/>
  <c r="AV777" i="17" s="1"/>
  <c r="L778" i="7"/>
  <c r="U778" i="7" s="1"/>
  <c r="AZ778" i="17"/>
  <c r="BA778" i="17" s="1"/>
  <c r="BB778" i="17" s="1"/>
  <c r="L779" i="7"/>
  <c r="U779" i="7" s="1"/>
  <c r="AZ779" i="17"/>
  <c r="BA779" i="17" s="1"/>
  <c r="BB779" i="17" s="1"/>
  <c r="AZ780" i="17"/>
  <c r="BA780" i="17" s="1"/>
  <c r="BB780" i="17" s="1"/>
  <c r="N785" i="7"/>
  <c r="W785" i="7" s="1"/>
  <c r="AT793" i="17"/>
  <c r="AU793" i="17" s="1"/>
  <c r="AV793" i="17" s="1"/>
  <c r="CD793" i="17" s="1"/>
  <c r="P799" i="7"/>
  <c r="AA799" i="7" s="1"/>
  <c r="S800" i="7"/>
  <c r="P801" i="7"/>
  <c r="AA801" i="7" s="1"/>
  <c r="S804" i="7"/>
  <c r="S806" i="7"/>
  <c r="Y806" i="7" s="1"/>
  <c r="BR808" i="17"/>
  <c r="BS808" i="17" s="1"/>
  <c r="BT808" i="17" s="1"/>
  <c r="BX809" i="17"/>
  <c r="BY809" i="17" s="1"/>
  <c r="BZ809" i="17" s="1"/>
  <c r="BR810" i="17"/>
  <c r="BS810" i="17" s="1"/>
  <c r="BT810" i="17" s="1"/>
  <c r="O811" i="7"/>
  <c r="Z811" i="7" s="1"/>
  <c r="BR811" i="17"/>
  <c r="BS811" i="17" s="1"/>
  <c r="BT811" i="17" s="1"/>
  <c r="BX812" i="17"/>
  <c r="BY812" i="17" s="1"/>
  <c r="BZ812" i="17" s="1"/>
  <c r="N813" i="7"/>
  <c r="W813" i="7" s="1"/>
  <c r="BL813" i="17"/>
  <c r="BM813" i="17" s="1"/>
  <c r="BN813" i="17" s="1"/>
  <c r="BL814" i="17"/>
  <c r="BM814" i="17" s="1"/>
  <c r="BN814" i="17" s="1"/>
  <c r="BF815" i="17"/>
  <c r="BG815" i="17" s="1"/>
  <c r="BH815" i="17" s="1"/>
  <c r="BF816" i="17"/>
  <c r="BG816" i="17" s="1"/>
  <c r="BH816" i="17" s="1"/>
  <c r="BF817" i="17"/>
  <c r="BG817" i="17" s="1"/>
  <c r="BH817" i="17" s="1"/>
  <c r="M818" i="7"/>
  <c r="V818" i="7" s="1"/>
  <c r="BF818" i="17"/>
  <c r="BG818" i="17" s="1"/>
  <c r="BH818" i="17" s="1"/>
  <c r="BL819" i="17"/>
  <c r="BM819" i="17" s="1"/>
  <c r="BN819" i="17" s="1"/>
  <c r="AT822" i="17"/>
  <c r="AU822" i="17" s="1"/>
  <c r="AV822" i="17" s="1"/>
  <c r="R827" i="7"/>
  <c r="S828" i="7"/>
  <c r="Q833" i="7"/>
  <c r="X833" i="7" s="1"/>
  <c r="P833" i="7"/>
  <c r="AA833" i="7" s="1"/>
  <c r="BX833" i="17"/>
  <c r="BY833" i="17" s="1"/>
  <c r="BZ833" i="17" s="1"/>
  <c r="BR834" i="17"/>
  <c r="BS834" i="17" s="1"/>
  <c r="BT834" i="17" s="1"/>
  <c r="N835" i="7"/>
  <c r="W835" i="7" s="1"/>
  <c r="BL835" i="17"/>
  <c r="BM835" i="17" s="1"/>
  <c r="BN835" i="17" s="1"/>
  <c r="BL836" i="17"/>
  <c r="BM836" i="17" s="1"/>
  <c r="BN836" i="17" s="1"/>
  <c r="S840" i="7"/>
  <c r="R842" i="7"/>
  <c r="BX843" i="17"/>
  <c r="BY843" i="17" s="1"/>
  <c r="BZ843" i="17" s="1"/>
  <c r="BR845" i="17"/>
  <c r="BS845" i="17" s="1"/>
  <c r="BT845" i="17" s="1"/>
  <c r="O846" i="7"/>
  <c r="Z846" i="7" s="1"/>
  <c r="BR846" i="17"/>
  <c r="BS846" i="17" s="1"/>
  <c r="BT846" i="17" s="1"/>
  <c r="CD846" i="17" s="1"/>
  <c r="BX847" i="17"/>
  <c r="BY847" i="17" s="1"/>
  <c r="BZ847" i="17" s="1"/>
  <c r="AZ848" i="17"/>
  <c r="BA848" i="17" s="1"/>
  <c r="BB848" i="17" s="1"/>
  <c r="K849" i="7"/>
  <c r="T849" i="7" s="1"/>
  <c r="AT849" i="17"/>
  <c r="AU849" i="17" s="1"/>
  <c r="AV849" i="17" s="1"/>
  <c r="K850" i="7"/>
  <c r="T850" i="7" s="1"/>
  <c r="AT850" i="17"/>
  <c r="AU850" i="17" s="1"/>
  <c r="AV850" i="17" s="1"/>
  <c r="S853" i="7"/>
  <c r="Y853" i="7" s="1"/>
  <c r="Q860" i="7"/>
  <c r="X860" i="7" s="1"/>
  <c r="R861" i="7"/>
  <c r="Q864" i="7"/>
  <c r="X864" i="7" s="1"/>
  <c r="S867" i="7"/>
  <c r="S869" i="7"/>
  <c r="M875" i="7"/>
  <c r="V875" i="7" s="1"/>
  <c r="R876" i="7"/>
  <c r="Y876" i="7" s="1"/>
  <c r="BX877" i="17"/>
  <c r="BY877" i="17" s="1"/>
  <c r="BZ877" i="17" s="1"/>
  <c r="BR878" i="17"/>
  <c r="BS878" i="17" s="1"/>
  <c r="BT878" i="17" s="1"/>
  <c r="O879" i="7"/>
  <c r="Z879" i="7" s="1"/>
  <c r="BR879" i="17"/>
  <c r="BS879" i="17" s="1"/>
  <c r="BT879" i="17" s="1"/>
  <c r="L881" i="7"/>
  <c r="U881" i="7" s="1"/>
  <c r="AZ880" i="17"/>
  <c r="BA880" i="17" s="1"/>
  <c r="BB880" i="17" s="1"/>
  <c r="AT882" i="17"/>
  <c r="AU882" i="17" s="1"/>
  <c r="AV882" i="17" s="1"/>
  <c r="AT883" i="17"/>
  <c r="AU883" i="17" s="1"/>
  <c r="AV883" i="17" s="1"/>
  <c r="AT884" i="17"/>
  <c r="AU884" i="17" s="1"/>
  <c r="AV884" i="17" s="1"/>
  <c r="Y885" i="7"/>
  <c r="AT890" i="17"/>
  <c r="AU890" i="17" s="1"/>
  <c r="AV890" i="17" s="1"/>
  <c r="AT896" i="17"/>
  <c r="AU896" i="17" s="1"/>
  <c r="AV896" i="17" s="1"/>
  <c r="K897" i="7"/>
  <c r="T897" i="7" s="1"/>
  <c r="AT897" i="17"/>
  <c r="AU897" i="17" s="1"/>
  <c r="AV897" i="17" s="1"/>
  <c r="P899" i="7"/>
  <c r="AA899" i="7" s="1"/>
  <c r="L902" i="7"/>
  <c r="U902" i="7" s="1"/>
  <c r="R903" i="7"/>
  <c r="R907" i="7"/>
  <c r="BX910" i="17"/>
  <c r="BY910" i="17" s="1"/>
  <c r="BZ910" i="17" s="1"/>
  <c r="BL911" i="17"/>
  <c r="BM911" i="17" s="1"/>
  <c r="BN911" i="17" s="1"/>
  <c r="AT912" i="17"/>
  <c r="AU912" i="17" s="1"/>
  <c r="AV912" i="17" s="1"/>
  <c r="AT914" i="17"/>
  <c r="AU914" i="17" s="1"/>
  <c r="AV914" i="17" s="1"/>
  <c r="AT916" i="17"/>
  <c r="AU916" i="17" s="1"/>
  <c r="AV916" i="17" s="1"/>
  <c r="AT918" i="17"/>
  <c r="AU918" i="17" s="1"/>
  <c r="AV918" i="17" s="1"/>
  <c r="AT920" i="17"/>
  <c r="AU920" i="17" s="1"/>
  <c r="AV920" i="17" s="1"/>
  <c r="AT922" i="17"/>
  <c r="AU922" i="17" s="1"/>
  <c r="AV922" i="17" s="1"/>
  <c r="AT924" i="17"/>
  <c r="AU924" i="17" s="1"/>
  <c r="AV924" i="17" s="1"/>
  <c r="AT926" i="17"/>
  <c r="AU926" i="17" s="1"/>
  <c r="AV926" i="17" s="1"/>
  <c r="AT928" i="17"/>
  <c r="AU928" i="17" s="1"/>
  <c r="AV928" i="17" s="1"/>
  <c r="AT930" i="17"/>
  <c r="AU930" i="17" s="1"/>
  <c r="AV930" i="17" s="1"/>
  <c r="AT932" i="17"/>
  <c r="AU932" i="17" s="1"/>
  <c r="AV932" i="17" s="1"/>
  <c r="AT934" i="17"/>
  <c r="AU934" i="17" s="1"/>
  <c r="AV934" i="17" s="1"/>
  <c r="AT936" i="17"/>
  <c r="AU936" i="17" s="1"/>
  <c r="AV936" i="17" s="1"/>
  <c r="AT938" i="17"/>
  <c r="AU938" i="17" s="1"/>
  <c r="AV938" i="17" s="1"/>
  <c r="AT940" i="17"/>
  <c r="AU940" i="17" s="1"/>
  <c r="AV940" i="17" s="1"/>
  <c r="AT942" i="17"/>
  <c r="AU942" i="17" s="1"/>
  <c r="AV942" i="17" s="1"/>
  <c r="AT944" i="17"/>
  <c r="AU944" i="17" s="1"/>
  <c r="AV944" i="17" s="1"/>
  <c r="AT946" i="17"/>
  <c r="AU946" i="17" s="1"/>
  <c r="AV946" i="17" s="1"/>
  <c r="AT948" i="17"/>
  <c r="AU948" i="17" s="1"/>
  <c r="AV948" i="17" s="1"/>
  <c r="AT950" i="17"/>
  <c r="AU950" i="17" s="1"/>
  <c r="AV950" i="17" s="1"/>
  <c r="AT952" i="17"/>
  <c r="AU952" i="17" s="1"/>
  <c r="AV952" i="17" s="1"/>
  <c r="AT954" i="17"/>
  <c r="AU954" i="17" s="1"/>
  <c r="AV954" i="17" s="1"/>
  <c r="AT956" i="17"/>
  <c r="AU956" i="17" s="1"/>
  <c r="AV956" i="17" s="1"/>
  <c r="AT958" i="17"/>
  <c r="AU958" i="17" s="1"/>
  <c r="AV958" i="17" s="1"/>
  <c r="AT960" i="17"/>
  <c r="AU960" i="17" s="1"/>
  <c r="AV960" i="17" s="1"/>
  <c r="AT962" i="17"/>
  <c r="AU962" i="17" s="1"/>
  <c r="AV962" i="17" s="1"/>
  <c r="AT964" i="17"/>
  <c r="AU964" i="17" s="1"/>
  <c r="AV964" i="17" s="1"/>
  <c r="AT966" i="17"/>
  <c r="AU966" i="17" s="1"/>
  <c r="AV966" i="17" s="1"/>
  <c r="AT968" i="17"/>
  <c r="AU968" i="17" s="1"/>
  <c r="AV968" i="17" s="1"/>
  <c r="AT970" i="17"/>
  <c r="AU970" i="17" s="1"/>
  <c r="AV970" i="17" s="1"/>
  <c r="AT972" i="17"/>
  <c r="AU972" i="17" s="1"/>
  <c r="AV972" i="17" s="1"/>
  <c r="AT974" i="17"/>
  <c r="AU974" i="17" s="1"/>
  <c r="AV974" i="17" s="1"/>
  <c r="AT976" i="17"/>
  <c r="AU976" i="17" s="1"/>
  <c r="AV976" i="17" s="1"/>
  <c r="AT978" i="17"/>
  <c r="AU978" i="17" s="1"/>
  <c r="AV978" i="17" s="1"/>
  <c r="AT980" i="17"/>
  <c r="AU980" i="17" s="1"/>
  <c r="AV980" i="17" s="1"/>
  <c r="AT982" i="17"/>
  <c r="AU982" i="17" s="1"/>
  <c r="AV982" i="17" s="1"/>
  <c r="AT984" i="17"/>
  <c r="AU984" i="17" s="1"/>
  <c r="AV984" i="17" s="1"/>
  <c r="AT986" i="17"/>
  <c r="AU986" i="17" s="1"/>
  <c r="AV986" i="17" s="1"/>
  <c r="AT988" i="17"/>
  <c r="AU988" i="17" s="1"/>
  <c r="AV988" i="17" s="1"/>
  <c r="AT990" i="17"/>
  <c r="AU990" i="17" s="1"/>
  <c r="AV990" i="17" s="1"/>
  <c r="AT992" i="17"/>
  <c r="AU992" i="17" s="1"/>
  <c r="AV992" i="17" s="1"/>
  <c r="AT994" i="17"/>
  <c r="AU994" i="17" s="1"/>
  <c r="AV994" i="17" s="1"/>
  <c r="AT996" i="17"/>
  <c r="AU996" i="17" s="1"/>
  <c r="AV996" i="17" s="1"/>
  <c r="BL995" i="17"/>
  <c r="BM995" i="17" s="1"/>
  <c r="BN995" i="17" s="1"/>
  <c r="BL997" i="17"/>
  <c r="BM997" i="17" s="1"/>
  <c r="BN997" i="17" s="1"/>
  <c r="BL999" i="17"/>
  <c r="BM999" i="17" s="1"/>
  <c r="BN999" i="17" s="1"/>
  <c r="BL1001" i="17"/>
  <c r="BM1001" i="17" s="1"/>
  <c r="BN1001" i="17" s="1"/>
  <c r="BL1003" i="17"/>
  <c r="BM1003" i="17" s="1"/>
  <c r="BN1003" i="17" s="1"/>
  <c r="O1005" i="15"/>
  <c r="BL1005" i="17"/>
  <c r="BM1005" i="17" s="1"/>
  <c r="BN1005" i="17" s="1"/>
  <c r="BL1007" i="17"/>
  <c r="BM1007" i="17" s="1"/>
  <c r="BN1007" i="17" s="1"/>
  <c r="BL1009" i="17"/>
  <c r="BM1009" i="17" s="1"/>
  <c r="BN1009" i="17" s="1"/>
  <c r="BL1011" i="17"/>
  <c r="BM1011" i="17" s="1"/>
  <c r="BN1011" i="17" s="1"/>
  <c r="BL1013" i="17"/>
  <c r="BM1013" i="17" s="1"/>
  <c r="BN1013" i="17" s="1"/>
  <c r="BL1015" i="17"/>
  <c r="BM1015" i="17" s="1"/>
  <c r="BN1015" i="17" s="1"/>
  <c r="BL1017" i="17"/>
  <c r="BM1017" i="17" s="1"/>
  <c r="BN1017" i="17" s="1"/>
  <c r="BL1019" i="17"/>
  <c r="BM1019" i="17" s="1"/>
  <c r="BN1019" i="17" s="1"/>
  <c r="BL1021" i="17"/>
  <c r="BM1021" i="17" s="1"/>
  <c r="BN1021" i="17" s="1"/>
  <c r="BL1023" i="17"/>
  <c r="BM1023" i="17" s="1"/>
  <c r="BN1023" i="17" s="1"/>
  <c r="BL1025" i="17"/>
  <c r="BM1025" i="17" s="1"/>
  <c r="BN1025" i="17" s="1"/>
  <c r="BL1027" i="17"/>
  <c r="BM1027" i="17" s="1"/>
  <c r="BN1027" i="17" s="1"/>
  <c r="O1029" i="15"/>
  <c r="BL1029" i="17"/>
  <c r="BM1029" i="17" s="1"/>
  <c r="BN1029" i="17" s="1"/>
  <c r="BL1031" i="17"/>
  <c r="BM1031" i="17" s="1"/>
  <c r="BN1031" i="17" s="1"/>
  <c r="BL1033" i="17"/>
  <c r="BM1033" i="17" s="1"/>
  <c r="BN1033" i="17" s="1"/>
  <c r="BL1035" i="17"/>
  <c r="BM1035" i="17" s="1"/>
  <c r="BN1035" i="17" s="1"/>
  <c r="BL1037" i="17"/>
  <c r="BM1037" i="17" s="1"/>
  <c r="BN1037" i="17" s="1"/>
  <c r="BL1039" i="17"/>
  <c r="BM1039" i="17" s="1"/>
  <c r="BN1039" i="17" s="1"/>
  <c r="O1041" i="15"/>
  <c r="BL1041" i="17"/>
  <c r="BM1041" i="17" s="1"/>
  <c r="BN1041" i="17" s="1"/>
  <c r="BL1043" i="17"/>
  <c r="BM1043" i="17" s="1"/>
  <c r="BN1043" i="17" s="1"/>
  <c r="BL1045" i="17"/>
  <c r="BM1045" i="17" s="1"/>
  <c r="BN1045" i="17" s="1"/>
  <c r="BL1047" i="17"/>
  <c r="BM1047" i="17" s="1"/>
  <c r="BN1047" i="17" s="1"/>
  <c r="BL1049" i="17"/>
  <c r="BM1049" i="17" s="1"/>
  <c r="BN1049" i="17" s="1"/>
  <c r="BL1051" i="17"/>
  <c r="BM1051" i="17" s="1"/>
  <c r="BN1051" i="17" s="1"/>
  <c r="BL1053" i="17"/>
  <c r="BM1053" i="17" s="1"/>
  <c r="BN1053" i="17" s="1"/>
  <c r="BL1055" i="17"/>
  <c r="BM1055" i="17" s="1"/>
  <c r="BN1055" i="17" s="1"/>
  <c r="BL1057" i="17"/>
  <c r="BM1057" i="17" s="1"/>
  <c r="BN1057" i="17" s="1"/>
  <c r="BL1059" i="17"/>
  <c r="BM1059" i="17" s="1"/>
  <c r="BN1059" i="17" s="1"/>
  <c r="BL1061" i="17"/>
  <c r="BM1061" i="17" s="1"/>
  <c r="BN1061" i="17" s="1"/>
  <c r="BL1063" i="17"/>
  <c r="BM1063" i="17" s="1"/>
  <c r="BN1063" i="17" s="1"/>
  <c r="O1065" i="15"/>
  <c r="BL1065" i="17"/>
  <c r="BM1065" i="17" s="1"/>
  <c r="BN1065" i="17" s="1"/>
  <c r="BL1067" i="17"/>
  <c r="BM1067" i="17" s="1"/>
  <c r="BN1067" i="17" s="1"/>
  <c r="BL1069" i="17"/>
  <c r="BM1069" i="17" s="1"/>
  <c r="BN1069" i="17" s="1"/>
  <c r="BL1071" i="17"/>
  <c r="BM1071" i="17" s="1"/>
  <c r="BN1071" i="17" s="1"/>
  <c r="BL1073" i="17"/>
  <c r="BM1073" i="17" s="1"/>
  <c r="BN1073" i="17" s="1"/>
  <c r="BL1075" i="17"/>
  <c r="BM1075" i="17" s="1"/>
  <c r="BN1075" i="17" s="1"/>
  <c r="O1077" i="15"/>
  <c r="BL1077" i="17"/>
  <c r="BM1077" i="17" s="1"/>
  <c r="BN1077" i="17" s="1"/>
  <c r="BL1079" i="17"/>
  <c r="BM1079" i="17" s="1"/>
  <c r="BN1079" i="17" s="1"/>
  <c r="BL1081" i="17"/>
  <c r="BM1081" i="17" s="1"/>
  <c r="BN1081" i="17" s="1"/>
  <c r="BL1083" i="17"/>
  <c r="BM1083" i="17" s="1"/>
  <c r="BN1083" i="17" s="1"/>
  <c r="BL1085" i="17"/>
  <c r="BM1085" i="17" s="1"/>
  <c r="BN1085" i="17" s="1"/>
  <c r="BL1087" i="17"/>
  <c r="BM1087" i="17" s="1"/>
  <c r="BN1087" i="17" s="1"/>
  <c r="BL1089" i="17"/>
  <c r="BM1089" i="17" s="1"/>
  <c r="BN1089" i="17" s="1"/>
  <c r="BL1091" i="17"/>
  <c r="BM1091" i="17" s="1"/>
  <c r="BN1091" i="17" s="1"/>
  <c r="BL1093" i="17"/>
  <c r="BM1093" i="17" s="1"/>
  <c r="BN1093" i="17" s="1"/>
  <c r="BL1095" i="17"/>
  <c r="BM1095" i="17" s="1"/>
  <c r="BN1095" i="17" s="1"/>
  <c r="BL1097" i="17"/>
  <c r="BM1097" i="17" s="1"/>
  <c r="BN1097" i="17" s="1"/>
  <c r="BL1099" i="17"/>
  <c r="BM1099" i="17" s="1"/>
  <c r="BN1099" i="17" s="1"/>
  <c r="O1101" i="15"/>
  <c r="BL1101" i="17"/>
  <c r="BM1101" i="17" s="1"/>
  <c r="BN1101" i="17" s="1"/>
  <c r="BL1103" i="17"/>
  <c r="BM1103" i="17" s="1"/>
  <c r="BN1103" i="17" s="1"/>
  <c r="BL1105" i="17"/>
  <c r="BM1105" i="17" s="1"/>
  <c r="BN1105" i="17" s="1"/>
  <c r="BL1107" i="17"/>
  <c r="BM1107" i="17" s="1"/>
  <c r="BN1107" i="17" s="1"/>
  <c r="BL1109" i="17"/>
  <c r="BM1109" i="17" s="1"/>
  <c r="BN1109" i="17" s="1"/>
  <c r="BL1111" i="17"/>
  <c r="BM1111" i="17" s="1"/>
  <c r="BN1111" i="17" s="1"/>
  <c r="O1113" i="15"/>
  <c r="BL1113" i="17"/>
  <c r="BM1113" i="17" s="1"/>
  <c r="BN1113" i="17" s="1"/>
  <c r="BL1115" i="17"/>
  <c r="BM1115" i="17" s="1"/>
  <c r="BN1115" i="17" s="1"/>
  <c r="BL1117" i="17"/>
  <c r="BM1117" i="17" s="1"/>
  <c r="BN1117" i="17" s="1"/>
  <c r="BL1119" i="17"/>
  <c r="BM1119" i="17" s="1"/>
  <c r="BN1119" i="17" s="1"/>
  <c r="BL1121" i="17"/>
  <c r="BM1121" i="17" s="1"/>
  <c r="BN1121" i="17" s="1"/>
  <c r="BL1123" i="17"/>
  <c r="BM1123" i="17" s="1"/>
  <c r="BN1123" i="17" s="1"/>
  <c r="BL1125" i="17"/>
  <c r="BM1125" i="17" s="1"/>
  <c r="BN1125" i="17" s="1"/>
  <c r="BL1127" i="17"/>
  <c r="BM1127" i="17" s="1"/>
  <c r="BN1127" i="17" s="1"/>
  <c r="BL1129" i="17"/>
  <c r="BM1129" i="17" s="1"/>
  <c r="BN1129" i="17" s="1"/>
  <c r="BL1131" i="17"/>
  <c r="BM1131" i="17" s="1"/>
  <c r="BN1131" i="17" s="1"/>
  <c r="BL1133" i="17"/>
  <c r="BM1133" i="17" s="1"/>
  <c r="BN1133" i="17" s="1"/>
  <c r="BL1135" i="17"/>
  <c r="BM1135" i="17" s="1"/>
  <c r="BN1135" i="17" s="1"/>
  <c r="BL1137" i="17"/>
  <c r="BM1137" i="17" s="1"/>
  <c r="BN1137" i="17" s="1"/>
  <c r="O1139" i="15"/>
  <c r="BL1139" i="17"/>
  <c r="BM1139" i="17" s="1"/>
  <c r="BN1139" i="17" s="1"/>
  <c r="BL1141" i="17"/>
  <c r="BM1141" i="17" s="1"/>
  <c r="BN1141" i="17" s="1"/>
  <c r="BL1143" i="17"/>
  <c r="BM1143" i="17" s="1"/>
  <c r="BN1143" i="17" s="1"/>
  <c r="BL1145" i="17"/>
  <c r="BM1145" i="17" s="1"/>
  <c r="BN1145" i="17" s="1"/>
  <c r="BL1147" i="17"/>
  <c r="BM1147" i="17" s="1"/>
  <c r="BN1147" i="17" s="1"/>
  <c r="BL1149" i="17"/>
  <c r="BM1149" i="17" s="1"/>
  <c r="BN1149" i="17" s="1"/>
  <c r="BL1151" i="17"/>
  <c r="BM1151" i="17" s="1"/>
  <c r="BN1151" i="17" s="1"/>
  <c r="BL1153" i="17"/>
  <c r="BM1153" i="17" s="1"/>
  <c r="BN1153" i="17" s="1"/>
  <c r="BL1155" i="17"/>
  <c r="BM1155" i="17" s="1"/>
  <c r="BN1155" i="17" s="1"/>
  <c r="BL1157" i="17"/>
  <c r="BM1157" i="17" s="1"/>
  <c r="BN1157" i="17" s="1"/>
  <c r="BL1159" i="17"/>
  <c r="BM1159" i="17" s="1"/>
  <c r="BN1159" i="17" s="1"/>
  <c r="BL1161" i="17"/>
  <c r="BM1161" i="17" s="1"/>
  <c r="BN1161" i="17" s="1"/>
  <c r="BL1163" i="17"/>
  <c r="BM1163" i="17" s="1"/>
  <c r="BN1163" i="17" s="1"/>
  <c r="BL1165" i="17"/>
  <c r="BM1165" i="17" s="1"/>
  <c r="BN1165" i="17" s="1"/>
  <c r="BL1167" i="17"/>
  <c r="BM1167" i="17" s="1"/>
  <c r="BN1167" i="17" s="1"/>
  <c r="BL1169" i="17"/>
  <c r="BM1169" i="17" s="1"/>
  <c r="BN1169" i="17" s="1"/>
  <c r="BL1171" i="17"/>
  <c r="BM1171" i="17" s="1"/>
  <c r="BN1171" i="17" s="1"/>
  <c r="BL1173" i="17"/>
  <c r="BM1173" i="17" s="1"/>
  <c r="BN1173" i="17" s="1"/>
  <c r="BL1175" i="17"/>
  <c r="BM1175" i="17" s="1"/>
  <c r="BN1175" i="17" s="1"/>
  <c r="BL1177" i="17"/>
  <c r="BM1177" i="17" s="1"/>
  <c r="BN1177" i="17" s="1"/>
  <c r="BL1179" i="17"/>
  <c r="BM1179" i="17" s="1"/>
  <c r="BN1179" i="17" s="1"/>
  <c r="BL1181" i="17"/>
  <c r="BM1181" i="17" s="1"/>
  <c r="BN1181" i="17" s="1"/>
  <c r="BL1183" i="17"/>
  <c r="BM1183" i="17" s="1"/>
  <c r="BN1183" i="17" s="1"/>
  <c r="BL1185" i="17"/>
  <c r="BM1185" i="17" s="1"/>
  <c r="BN1185" i="17" s="1"/>
  <c r="BL1187" i="17"/>
  <c r="BM1187" i="17" s="1"/>
  <c r="BN1187" i="17" s="1"/>
  <c r="BL1189" i="17"/>
  <c r="BM1189" i="17" s="1"/>
  <c r="BN1189" i="17" s="1"/>
  <c r="BL1191" i="17"/>
  <c r="BM1191" i="17" s="1"/>
  <c r="BN1191" i="17" s="1"/>
  <c r="BL1193" i="17"/>
  <c r="BM1193" i="17" s="1"/>
  <c r="BN1193" i="17" s="1"/>
  <c r="BL1195" i="17"/>
  <c r="BM1195" i="17" s="1"/>
  <c r="BN1195" i="17" s="1"/>
  <c r="BL1197" i="17"/>
  <c r="BM1197" i="17" s="1"/>
  <c r="BN1197" i="17" s="1"/>
  <c r="BL1199" i="17"/>
  <c r="BM1199" i="17" s="1"/>
  <c r="BN1199" i="17" s="1"/>
  <c r="BL1201" i="17"/>
  <c r="BM1201" i="17" s="1"/>
  <c r="BN1201" i="17" s="1"/>
  <c r="BL1203" i="17"/>
  <c r="BM1203" i="17" s="1"/>
  <c r="BN1203" i="17" s="1"/>
  <c r="BL1205" i="17"/>
  <c r="BM1205" i="17" s="1"/>
  <c r="BN1205" i="17" s="1"/>
  <c r="BL1207" i="17"/>
  <c r="BM1207" i="17" s="1"/>
  <c r="BN1207" i="17" s="1"/>
  <c r="BL1209" i="17"/>
  <c r="BM1209" i="17" s="1"/>
  <c r="BN1209" i="17" s="1"/>
  <c r="BL1211" i="17"/>
  <c r="BM1211" i="17" s="1"/>
  <c r="BN1211" i="17" s="1"/>
  <c r="BL1213" i="17"/>
  <c r="BM1213" i="17" s="1"/>
  <c r="BN1213" i="17" s="1"/>
  <c r="BL1215" i="17"/>
  <c r="BM1215" i="17" s="1"/>
  <c r="BN1215" i="17" s="1"/>
  <c r="BL1217" i="17"/>
  <c r="BM1217" i="17" s="1"/>
  <c r="BN1217" i="17" s="1"/>
  <c r="BL1219" i="17"/>
  <c r="BM1219" i="17" s="1"/>
  <c r="BN1219" i="17" s="1"/>
  <c r="BL1221" i="17"/>
  <c r="BM1221" i="17" s="1"/>
  <c r="BN1221" i="17" s="1"/>
  <c r="BL1223" i="17"/>
  <c r="BM1223" i="17" s="1"/>
  <c r="BN1223" i="17" s="1"/>
  <c r="BL1225" i="17"/>
  <c r="BM1225" i="17" s="1"/>
  <c r="BN1225" i="17" s="1"/>
  <c r="BL1227" i="17"/>
  <c r="BM1227" i="17" s="1"/>
  <c r="BN1227" i="17" s="1"/>
  <c r="BL1229" i="17"/>
  <c r="BM1229" i="17" s="1"/>
  <c r="BN1229" i="17" s="1"/>
  <c r="BL1231" i="17"/>
  <c r="BM1231" i="17" s="1"/>
  <c r="BN1231" i="17" s="1"/>
  <c r="BL1233" i="17"/>
  <c r="BM1233" i="17" s="1"/>
  <c r="BN1233" i="17" s="1"/>
  <c r="BL1235" i="17"/>
  <c r="BM1235" i="17" s="1"/>
  <c r="BN1235" i="17" s="1"/>
  <c r="BL1237" i="17"/>
  <c r="BM1237" i="17" s="1"/>
  <c r="BN1237" i="17" s="1"/>
  <c r="BL1239" i="17"/>
  <c r="BM1239" i="17" s="1"/>
  <c r="BN1239" i="17" s="1"/>
  <c r="BL1241" i="17"/>
  <c r="BM1241" i="17" s="1"/>
  <c r="BN1241" i="17" s="1"/>
  <c r="BL1243" i="17"/>
  <c r="BM1243" i="17" s="1"/>
  <c r="BN1243" i="17" s="1"/>
  <c r="BL1245" i="17"/>
  <c r="BM1245" i="17" s="1"/>
  <c r="BN1245" i="17" s="1"/>
  <c r="BL1247" i="17"/>
  <c r="BM1247" i="17" s="1"/>
  <c r="BN1247" i="17" s="1"/>
  <c r="BL1249" i="17"/>
  <c r="BM1249" i="17" s="1"/>
  <c r="BN1249" i="17" s="1"/>
  <c r="BL1251" i="17"/>
  <c r="BM1251" i="17" s="1"/>
  <c r="BN1251" i="17" s="1"/>
  <c r="BL1253" i="17"/>
  <c r="BM1253" i="17" s="1"/>
  <c r="BN1253" i="17" s="1"/>
  <c r="BL1255" i="17"/>
  <c r="BM1255" i="17" s="1"/>
  <c r="BN1255" i="17" s="1"/>
  <c r="BL1257" i="17"/>
  <c r="BM1257" i="17" s="1"/>
  <c r="BN1257" i="17" s="1"/>
  <c r="BL1259" i="17"/>
  <c r="BM1259" i="17" s="1"/>
  <c r="BN1259" i="17" s="1"/>
  <c r="BL1261" i="17"/>
  <c r="BM1261" i="17" s="1"/>
  <c r="BN1261" i="17" s="1"/>
  <c r="BL1263" i="17"/>
  <c r="BM1263" i="17" s="1"/>
  <c r="BN1263" i="17" s="1"/>
  <c r="BL1265" i="17"/>
  <c r="BM1265" i="17" s="1"/>
  <c r="BN1265" i="17" s="1"/>
  <c r="BL1267" i="17"/>
  <c r="BM1267" i="17" s="1"/>
  <c r="BN1267" i="17" s="1"/>
  <c r="BL1269" i="17"/>
  <c r="BM1269" i="17" s="1"/>
  <c r="BN1269" i="17" s="1"/>
  <c r="BL1305" i="17"/>
  <c r="BM1305" i="17" s="1"/>
  <c r="BN1305" i="17" s="1"/>
  <c r="BR1145" i="17"/>
  <c r="BS1145" i="17" s="1"/>
  <c r="BT1145" i="17" s="1"/>
  <c r="BR1147" i="17"/>
  <c r="BS1147" i="17" s="1"/>
  <c r="BT1147" i="17" s="1"/>
  <c r="BR1149" i="17"/>
  <c r="BS1149" i="17" s="1"/>
  <c r="BT1149" i="17" s="1"/>
  <c r="BR1151" i="17"/>
  <c r="BS1151" i="17" s="1"/>
  <c r="BT1151" i="17" s="1"/>
  <c r="BR1153" i="17"/>
  <c r="BS1153" i="17" s="1"/>
  <c r="BT1153" i="17" s="1"/>
  <c r="BR1155" i="17"/>
  <c r="BS1155" i="17" s="1"/>
  <c r="BT1155" i="17" s="1"/>
  <c r="BR1157" i="17"/>
  <c r="BS1157" i="17" s="1"/>
  <c r="BT1157" i="17" s="1"/>
  <c r="BR1159" i="17"/>
  <c r="BS1159" i="17" s="1"/>
  <c r="BT1159" i="17" s="1"/>
  <c r="BR1161" i="17"/>
  <c r="BS1161" i="17" s="1"/>
  <c r="BT1161" i="17" s="1"/>
  <c r="BR1163" i="17"/>
  <c r="BS1163" i="17" s="1"/>
  <c r="BT1163" i="17" s="1"/>
  <c r="BR1165" i="17"/>
  <c r="BS1165" i="17" s="1"/>
  <c r="BT1165" i="17" s="1"/>
  <c r="BR1167" i="17"/>
  <c r="BS1167" i="17" s="1"/>
  <c r="BT1167" i="17" s="1"/>
  <c r="BR1169" i="17"/>
  <c r="BS1169" i="17" s="1"/>
  <c r="BT1169" i="17" s="1"/>
  <c r="BR1171" i="17"/>
  <c r="BS1171" i="17" s="1"/>
  <c r="BT1171" i="17" s="1"/>
  <c r="BR1173" i="17"/>
  <c r="BS1173" i="17" s="1"/>
  <c r="BT1173" i="17" s="1"/>
  <c r="BR1175" i="17"/>
  <c r="BS1175" i="17" s="1"/>
  <c r="BT1175" i="17" s="1"/>
  <c r="BR1177" i="17"/>
  <c r="BS1177" i="17" s="1"/>
  <c r="BT1177" i="17" s="1"/>
  <c r="BR1179" i="17"/>
  <c r="BS1179" i="17" s="1"/>
  <c r="BT1179" i="17" s="1"/>
  <c r="BR1181" i="17"/>
  <c r="BS1181" i="17" s="1"/>
  <c r="BT1181" i="17" s="1"/>
  <c r="BR1183" i="17"/>
  <c r="BS1183" i="17" s="1"/>
  <c r="BT1183" i="17" s="1"/>
  <c r="BR1185" i="17"/>
  <c r="BS1185" i="17" s="1"/>
  <c r="BT1185" i="17" s="1"/>
  <c r="BR1187" i="17"/>
  <c r="BS1187" i="17" s="1"/>
  <c r="BT1187" i="17" s="1"/>
  <c r="BR1189" i="17"/>
  <c r="BS1189" i="17" s="1"/>
  <c r="BT1189" i="17" s="1"/>
  <c r="BR1191" i="17"/>
  <c r="BS1191" i="17" s="1"/>
  <c r="BT1191" i="17" s="1"/>
  <c r="BR1193" i="17"/>
  <c r="BS1193" i="17" s="1"/>
  <c r="BT1193" i="17" s="1"/>
  <c r="BR1195" i="17"/>
  <c r="BS1195" i="17" s="1"/>
  <c r="BT1195" i="17" s="1"/>
  <c r="BR1197" i="17"/>
  <c r="BS1197" i="17" s="1"/>
  <c r="BT1197" i="17" s="1"/>
  <c r="BR1199" i="17"/>
  <c r="BS1199" i="17" s="1"/>
  <c r="BT1199" i="17" s="1"/>
  <c r="BR1201" i="17"/>
  <c r="BS1201" i="17" s="1"/>
  <c r="BT1201" i="17" s="1"/>
  <c r="BR1203" i="17"/>
  <c r="BS1203" i="17" s="1"/>
  <c r="BT1203" i="17" s="1"/>
  <c r="BR1205" i="17"/>
  <c r="BS1205" i="17" s="1"/>
  <c r="BT1205" i="17" s="1"/>
  <c r="BR1207" i="17"/>
  <c r="BS1207" i="17" s="1"/>
  <c r="BT1207" i="17" s="1"/>
  <c r="BR1209" i="17"/>
  <c r="BS1209" i="17" s="1"/>
  <c r="BT1209" i="17" s="1"/>
  <c r="BR1211" i="17"/>
  <c r="BS1211" i="17" s="1"/>
  <c r="BT1211" i="17" s="1"/>
  <c r="BR1213" i="17"/>
  <c r="BS1213" i="17" s="1"/>
  <c r="BT1213" i="17" s="1"/>
  <c r="BR1215" i="17"/>
  <c r="BS1215" i="17" s="1"/>
  <c r="BT1215" i="17" s="1"/>
  <c r="BR1217" i="17"/>
  <c r="BS1217" i="17" s="1"/>
  <c r="BT1217" i="17" s="1"/>
  <c r="BR1219" i="17"/>
  <c r="BS1219" i="17" s="1"/>
  <c r="BT1219" i="17" s="1"/>
  <c r="BR1221" i="17"/>
  <c r="BS1221" i="17" s="1"/>
  <c r="BT1221" i="17" s="1"/>
  <c r="BR1223" i="17"/>
  <c r="BS1223" i="17" s="1"/>
  <c r="BT1223" i="17" s="1"/>
  <c r="BR1225" i="17"/>
  <c r="BS1225" i="17" s="1"/>
  <c r="BT1225" i="17" s="1"/>
  <c r="BR1227" i="17"/>
  <c r="BS1227" i="17" s="1"/>
  <c r="BT1227" i="17" s="1"/>
  <c r="BR1229" i="17"/>
  <c r="BS1229" i="17" s="1"/>
  <c r="BT1229" i="17" s="1"/>
  <c r="BR1231" i="17"/>
  <c r="BS1231" i="17" s="1"/>
  <c r="BT1231" i="17" s="1"/>
  <c r="BR1233" i="17"/>
  <c r="BS1233" i="17" s="1"/>
  <c r="BT1233" i="17" s="1"/>
  <c r="BR1235" i="17"/>
  <c r="BS1235" i="17" s="1"/>
  <c r="BT1235" i="17" s="1"/>
  <c r="BR1237" i="17"/>
  <c r="BS1237" i="17" s="1"/>
  <c r="BT1237" i="17" s="1"/>
  <c r="BR1239" i="17"/>
  <c r="BS1239" i="17" s="1"/>
  <c r="BT1239" i="17" s="1"/>
  <c r="BR1241" i="17"/>
  <c r="BS1241" i="17" s="1"/>
  <c r="BT1241" i="17" s="1"/>
  <c r="BR1243" i="17"/>
  <c r="BS1243" i="17" s="1"/>
  <c r="BT1243" i="17" s="1"/>
  <c r="BR1245" i="17"/>
  <c r="BS1245" i="17" s="1"/>
  <c r="BT1245" i="17" s="1"/>
  <c r="BR1247" i="17"/>
  <c r="BS1247" i="17" s="1"/>
  <c r="BT1247" i="17" s="1"/>
  <c r="BR1249" i="17"/>
  <c r="BS1249" i="17" s="1"/>
  <c r="BT1249" i="17" s="1"/>
  <c r="BR1251" i="17"/>
  <c r="BS1251" i="17" s="1"/>
  <c r="BT1251" i="17" s="1"/>
  <c r="BR1253" i="17"/>
  <c r="BS1253" i="17" s="1"/>
  <c r="BT1253" i="17" s="1"/>
  <c r="BR1255" i="17"/>
  <c r="BS1255" i="17" s="1"/>
  <c r="BT1255" i="17" s="1"/>
  <c r="BR1257" i="17"/>
  <c r="BS1257" i="17" s="1"/>
  <c r="BT1257" i="17" s="1"/>
  <c r="BR1259" i="17"/>
  <c r="BS1259" i="17" s="1"/>
  <c r="BT1259" i="17" s="1"/>
  <c r="BR1261" i="17"/>
  <c r="BS1261" i="17" s="1"/>
  <c r="BT1261" i="17" s="1"/>
  <c r="BR1263" i="17"/>
  <c r="BS1263" i="17" s="1"/>
  <c r="BT1263" i="17" s="1"/>
  <c r="BR1265" i="17"/>
  <c r="BS1265" i="17" s="1"/>
  <c r="BT1265" i="17" s="1"/>
  <c r="BR1267" i="17"/>
  <c r="BS1267" i="17" s="1"/>
  <c r="BT1267" i="17" s="1"/>
  <c r="BR1269" i="17"/>
  <c r="BS1269" i="17" s="1"/>
  <c r="BT1269" i="17" s="1"/>
  <c r="BR1271" i="17"/>
  <c r="BS1271" i="17" s="1"/>
  <c r="BT1271" i="17" s="1"/>
  <c r="BR1273" i="17"/>
  <c r="BS1273" i="17" s="1"/>
  <c r="BT1273" i="17" s="1"/>
  <c r="BX1021" i="17"/>
  <c r="BY1021" i="17" s="1"/>
  <c r="BZ1021" i="17" s="1"/>
  <c r="BX1023" i="17"/>
  <c r="BY1023" i="17" s="1"/>
  <c r="BZ1023" i="17" s="1"/>
  <c r="BX1025" i="17"/>
  <c r="BY1025" i="17" s="1"/>
  <c r="BZ1025" i="17" s="1"/>
  <c r="BX1027" i="17"/>
  <c r="BY1027" i="17" s="1"/>
  <c r="BZ1027" i="17" s="1"/>
  <c r="BX1029" i="17"/>
  <c r="BY1029" i="17" s="1"/>
  <c r="BZ1029" i="17" s="1"/>
  <c r="BX1031" i="17"/>
  <c r="BY1031" i="17" s="1"/>
  <c r="BZ1031" i="17" s="1"/>
  <c r="BX1033" i="17"/>
  <c r="BY1033" i="17" s="1"/>
  <c r="BZ1033" i="17" s="1"/>
  <c r="BX1035" i="17"/>
  <c r="BY1035" i="17" s="1"/>
  <c r="BZ1035" i="17" s="1"/>
  <c r="BX1037" i="17"/>
  <c r="BY1037" i="17" s="1"/>
  <c r="BZ1037" i="17" s="1"/>
  <c r="BX1039" i="17"/>
  <c r="BY1039" i="17" s="1"/>
  <c r="BZ1039" i="17" s="1"/>
  <c r="BX1041" i="17"/>
  <c r="BY1041" i="17" s="1"/>
  <c r="BZ1041" i="17" s="1"/>
  <c r="BX1043" i="17"/>
  <c r="BY1043" i="17" s="1"/>
  <c r="BZ1043" i="17" s="1"/>
  <c r="BX1045" i="17"/>
  <c r="BY1045" i="17" s="1"/>
  <c r="BZ1045" i="17" s="1"/>
  <c r="BX1047" i="17"/>
  <c r="BY1047" i="17" s="1"/>
  <c r="BZ1047" i="17" s="1"/>
  <c r="BX1049" i="17"/>
  <c r="BY1049" i="17" s="1"/>
  <c r="BZ1049" i="17" s="1"/>
  <c r="BX1051" i="17"/>
  <c r="BY1051" i="17" s="1"/>
  <c r="BZ1051" i="17" s="1"/>
  <c r="BX1053" i="17"/>
  <c r="BY1053" i="17" s="1"/>
  <c r="BZ1053" i="17" s="1"/>
  <c r="BX1055" i="17"/>
  <c r="BY1055" i="17" s="1"/>
  <c r="BZ1055" i="17" s="1"/>
  <c r="BX1057" i="17"/>
  <c r="BY1057" i="17" s="1"/>
  <c r="BZ1057" i="17" s="1"/>
  <c r="BX1059" i="17"/>
  <c r="BY1059" i="17" s="1"/>
  <c r="BZ1059" i="17" s="1"/>
  <c r="BX1061" i="17"/>
  <c r="BY1061" i="17" s="1"/>
  <c r="BZ1061" i="17" s="1"/>
  <c r="BX1063" i="17"/>
  <c r="BY1063" i="17" s="1"/>
  <c r="BZ1063" i="17" s="1"/>
  <c r="BX1065" i="17"/>
  <c r="BY1065" i="17" s="1"/>
  <c r="BZ1065" i="17" s="1"/>
  <c r="BX1067" i="17"/>
  <c r="BY1067" i="17" s="1"/>
  <c r="BZ1067" i="17" s="1"/>
  <c r="BX1069" i="17"/>
  <c r="BY1069" i="17" s="1"/>
  <c r="BZ1069" i="17" s="1"/>
  <c r="BX1071" i="17"/>
  <c r="BY1071" i="17" s="1"/>
  <c r="BZ1071" i="17" s="1"/>
  <c r="BX1073" i="17"/>
  <c r="BY1073" i="17" s="1"/>
  <c r="BZ1073" i="17" s="1"/>
  <c r="BX1075" i="17"/>
  <c r="BY1075" i="17" s="1"/>
  <c r="BZ1075" i="17" s="1"/>
  <c r="BX1077" i="17"/>
  <c r="BY1077" i="17" s="1"/>
  <c r="BZ1077" i="17" s="1"/>
  <c r="BX1079" i="17"/>
  <c r="BY1079" i="17" s="1"/>
  <c r="BZ1079" i="17" s="1"/>
  <c r="BX1081" i="17"/>
  <c r="BY1081" i="17" s="1"/>
  <c r="BZ1081" i="17" s="1"/>
  <c r="BX1083" i="17"/>
  <c r="BY1083" i="17" s="1"/>
  <c r="BZ1083" i="17" s="1"/>
  <c r="BX1085" i="17"/>
  <c r="BY1085" i="17" s="1"/>
  <c r="BZ1085" i="17" s="1"/>
  <c r="BX1087" i="17"/>
  <c r="BY1087" i="17" s="1"/>
  <c r="BZ1087" i="17" s="1"/>
  <c r="BX1089" i="17"/>
  <c r="BY1089" i="17" s="1"/>
  <c r="BZ1089" i="17" s="1"/>
  <c r="BX1091" i="17"/>
  <c r="BY1091" i="17" s="1"/>
  <c r="BZ1091" i="17" s="1"/>
  <c r="BX1093" i="17"/>
  <c r="BY1093" i="17" s="1"/>
  <c r="BZ1093" i="17" s="1"/>
  <c r="BX1095" i="17"/>
  <c r="BY1095" i="17" s="1"/>
  <c r="BZ1095" i="17" s="1"/>
  <c r="BX1097" i="17"/>
  <c r="BY1097" i="17" s="1"/>
  <c r="BZ1097" i="17" s="1"/>
  <c r="BX1099" i="17"/>
  <c r="BY1099" i="17" s="1"/>
  <c r="BZ1099" i="17" s="1"/>
  <c r="BX1101" i="17"/>
  <c r="BY1101" i="17" s="1"/>
  <c r="BZ1101" i="17" s="1"/>
  <c r="BX1103" i="17"/>
  <c r="BY1103" i="17" s="1"/>
  <c r="BZ1103" i="17" s="1"/>
  <c r="BX1105" i="17"/>
  <c r="BY1105" i="17" s="1"/>
  <c r="BZ1105" i="17" s="1"/>
  <c r="BX1107" i="17"/>
  <c r="BY1107" i="17" s="1"/>
  <c r="BZ1107" i="17" s="1"/>
  <c r="BX1109" i="17"/>
  <c r="BY1109" i="17" s="1"/>
  <c r="BZ1109" i="17" s="1"/>
  <c r="BX1111" i="17"/>
  <c r="BY1111" i="17" s="1"/>
  <c r="BZ1111" i="17" s="1"/>
  <c r="BX1113" i="17"/>
  <c r="BY1113" i="17" s="1"/>
  <c r="BZ1113" i="17" s="1"/>
  <c r="BX1115" i="17"/>
  <c r="BY1115" i="17" s="1"/>
  <c r="BZ1115" i="17" s="1"/>
  <c r="BX1117" i="17"/>
  <c r="BY1117" i="17" s="1"/>
  <c r="BZ1117" i="17" s="1"/>
  <c r="BX1119" i="17"/>
  <c r="BY1119" i="17" s="1"/>
  <c r="BZ1119" i="17" s="1"/>
  <c r="BX1121" i="17"/>
  <c r="BY1121" i="17" s="1"/>
  <c r="BZ1121" i="17" s="1"/>
  <c r="BX1123" i="17"/>
  <c r="BY1123" i="17" s="1"/>
  <c r="BZ1123" i="17" s="1"/>
  <c r="BX1125" i="17"/>
  <c r="BY1125" i="17" s="1"/>
  <c r="BZ1125" i="17" s="1"/>
  <c r="BX1127" i="17"/>
  <c r="BY1127" i="17" s="1"/>
  <c r="BZ1127" i="17" s="1"/>
  <c r="BX1129" i="17"/>
  <c r="BY1129" i="17" s="1"/>
  <c r="BZ1129" i="17" s="1"/>
  <c r="BX1131" i="17"/>
  <c r="BY1131" i="17" s="1"/>
  <c r="BZ1131" i="17" s="1"/>
  <c r="BX1133" i="17"/>
  <c r="BY1133" i="17" s="1"/>
  <c r="BZ1133" i="17" s="1"/>
  <c r="BX1135" i="17"/>
  <c r="BY1135" i="17" s="1"/>
  <c r="BZ1135" i="17" s="1"/>
  <c r="BX1137" i="17"/>
  <c r="BY1137" i="17" s="1"/>
  <c r="BZ1137" i="17" s="1"/>
  <c r="BX1139" i="17"/>
  <c r="BY1139" i="17" s="1"/>
  <c r="BZ1139" i="17" s="1"/>
  <c r="BX1141" i="17"/>
  <c r="BY1141" i="17" s="1"/>
  <c r="BZ1141" i="17" s="1"/>
  <c r="BX1143" i="17"/>
  <c r="BY1143" i="17" s="1"/>
  <c r="BZ1143" i="17" s="1"/>
  <c r="BX1145" i="17"/>
  <c r="BY1145" i="17" s="1"/>
  <c r="BZ1145" i="17" s="1"/>
  <c r="BX1147" i="17"/>
  <c r="BY1147" i="17" s="1"/>
  <c r="BZ1147" i="17" s="1"/>
  <c r="BX1149" i="17"/>
  <c r="BY1149" i="17" s="1"/>
  <c r="BZ1149" i="17" s="1"/>
  <c r="BX1151" i="17"/>
  <c r="BY1151" i="17" s="1"/>
  <c r="BZ1151" i="17" s="1"/>
  <c r="BX1153" i="17"/>
  <c r="BY1153" i="17" s="1"/>
  <c r="BZ1153" i="17" s="1"/>
  <c r="BX1155" i="17"/>
  <c r="BY1155" i="17" s="1"/>
  <c r="BZ1155" i="17" s="1"/>
  <c r="BX1157" i="17"/>
  <c r="BY1157" i="17" s="1"/>
  <c r="BZ1157" i="17" s="1"/>
  <c r="BX1159" i="17"/>
  <c r="BY1159" i="17" s="1"/>
  <c r="BZ1159" i="17" s="1"/>
  <c r="BX1161" i="17"/>
  <c r="BY1161" i="17" s="1"/>
  <c r="BZ1161" i="17" s="1"/>
  <c r="BX1163" i="17"/>
  <c r="BY1163" i="17" s="1"/>
  <c r="BZ1163" i="17" s="1"/>
  <c r="BX1165" i="17"/>
  <c r="BY1165" i="17" s="1"/>
  <c r="BZ1165" i="17" s="1"/>
  <c r="BX1167" i="17"/>
  <c r="BY1167" i="17" s="1"/>
  <c r="BZ1167" i="17" s="1"/>
  <c r="BX1169" i="17"/>
  <c r="BY1169" i="17" s="1"/>
  <c r="BZ1169" i="17" s="1"/>
  <c r="BX1171" i="17"/>
  <c r="BY1171" i="17" s="1"/>
  <c r="BZ1171" i="17" s="1"/>
  <c r="BX1173" i="17"/>
  <c r="BY1173" i="17" s="1"/>
  <c r="BZ1173" i="17" s="1"/>
  <c r="BX1175" i="17"/>
  <c r="BY1175" i="17" s="1"/>
  <c r="BZ1175" i="17" s="1"/>
  <c r="BX1177" i="17"/>
  <c r="BY1177" i="17" s="1"/>
  <c r="BZ1177" i="17" s="1"/>
  <c r="BX1179" i="17"/>
  <c r="BY1179" i="17" s="1"/>
  <c r="BZ1179" i="17" s="1"/>
  <c r="BX1181" i="17"/>
  <c r="BY1181" i="17" s="1"/>
  <c r="BZ1181" i="17" s="1"/>
  <c r="BX1183" i="17"/>
  <c r="BY1183" i="17" s="1"/>
  <c r="BZ1183" i="17" s="1"/>
  <c r="BX1185" i="17"/>
  <c r="BY1185" i="17" s="1"/>
  <c r="BZ1185" i="17" s="1"/>
  <c r="BX1187" i="17"/>
  <c r="BY1187" i="17" s="1"/>
  <c r="BZ1187" i="17" s="1"/>
  <c r="BX1189" i="17"/>
  <c r="BY1189" i="17" s="1"/>
  <c r="BZ1189" i="17" s="1"/>
  <c r="BX1191" i="17"/>
  <c r="BY1191" i="17" s="1"/>
  <c r="BZ1191" i="17" s="1"/>
  <c r="BX1193" i="17"/>
  <c r="BY1193" i="17" s="1"/>
  <c r="BZ1193" i="17" s="1"/>
  <c r="BX1195" i="17"/>
  <c r="BY1195" i="17" s="1"/>
  <c r="BZ1195" i="17" s="1"/>
  <c r="BX1197" i="17"/>
  <c r="BY1197" i="17" s="1"/>
  <c r="BZ1197" i="17" s="1"/>
  <c r="BX1199" i="17"/>
  <c r="BY1199" i="17" s="1"/>
  <c r="BZ1199" i="17" s="1"/>
  <c r="BX1201" i="17"/>
  <c r="BY1201" i="17" s="1"/>
  <c r="BZ1201" i="17" s="1"/>
  <c r="BX1203" i="17"/>
  <c r="BY1203" i="17" s="1"/>
  <c r="BZ1203" i="17" s="1"/>
  <c r="BX1205" i="17"/>
  <c r="BY1205" i="17" s="1"/>
  <c r="BZ1205" i="17" s="1"/>
  <c r="BX1207" i="17"/>
  <c r="BY1207" i="17" s="1"/>
  <c r="BZ1207" i="17" s="1"/>
  <c r="BX1209" i="17"/>
  <c r="BY1209" i="17" s="1"/>
  <c r="BZ1209" i="17" s="1"/>
  <c r="BX1211" i="17"/>
  <c r="BY1211" i="17" s="1"/>
  <c r="BZ1211" i="17" s="1"/>
  <c r="BX1213" i="17"/>
  <c r="BY1213" i="17" s="1"/>
  <c r="BZ1213" i="17" s="1"/>
  <c r="BX1215" i="17"/>
  <c r="BY1215" i="17" s="1"/>
  <c r="BZ1215" i="17" s="1"/>
  <c r="BX1217" i="17"/>
  <c r="BY1217" i="17" s="1"/>
  <c r="BZ1217" i="17" s="1"/>
  <c r="BX1219" i="17"/>
  <c r="BY1219" i="17" s="1"/>
  <c r="BZ1219" i="17" s="1"/>
  <c r="BX1221" i="17"/>
  <c r="BY1221" i="17" s="1"/>
  <c r="BZ1221" i="17" s="1"/>
  <c r="BX1223" i="17"/>
  <c r="BY1223" i="17" s="1"/>
  <c r="BZ1223" i="17" s="1"/>
  <c r="BX1225" i="17"/>
  <c r="BY1225" i="17" s="1"/>
  <c r="BZ1225" i="17" s="1"/>
  <c r="BX1227" i="17"/>
  <c r="BY1227" i="17" s="1"/>
  <c r="BZ1227" i="17" s="1"/>
  <c r="BX1229" i="17"/>
  <c r="BY1229" i="17" s="1"/>
  <c r="BZ1229" i="17" s="1"/>
  <c r="BX1231" i="17"/>
  <c r="BY1231" i="17" s="1"/>
  <c r="BZ1231" i="17" s="1"/>
  <c r="BX1233" i="17"/>
  <c r="BY1233" i="17" s="1"/>
  <c r="BZ1233" i="17" s="1"/>
  <c r="BX1235" i="17"/>
  <c r="BY1235" i="17" s="1"/>
  <c r="BZ1235" i="17" s="1"/>
  <c r="BX1237" i="17"/>
  <c r="BY1237" i="17" s="1"/>
  <c r="BZ1237" i="17" s="1"/>
  <c r="BX1239" i="17"/>
  <c r="BY1239" i="17" s="1"/>
  <c r="BZ1239" i="17" s="1"/>
  <c r="BX1241" i="17"/>
  <c r="BY1241" i="17" s="1"/>
  <c r="BZ1241" i="17" s="1"/>
  <c r="BX1243" i="17"/>
  <c r="BY1243" i="17" s="1"/>
  <c r="BZ1243" i="17" s="1"/>
  <c r="BX1245" i="17"/>
  <c r="BY1245" i="17" s="1"/>
  <c r="BZ1245" i="17" s="1"/>
  <c r="BX1247" i="17"/>
  <c r="BY1247" i="17" s="1"/>
  <c r="BZ1247" i="17" s="1"/>
  <c r="BX1249" i="17"/>
  <c r="BY1249" i="17" s="1"/>
  <c r="BZ1249" i="17" s="1"/>
  <c r="BX1251" i="17"/>
  <c r="BY1251" i="17" s="1"/>
  <c r="BZ1251" i="17" s="1"/>
  <c r="BX1253" i="17"/>
  <c r="BY1253" i="17" s="1"/>
  <c r="BZ1253" i="17" s="1"/>
  <c r="BX1255" i="17"/>
  <c r="BY1255" i="17" s="1"/>
  <c r="BZ1255" i="17" s="1"/>
  <c r="BX1257" i="17"/>
  <c r="BY1257" i="17" s="1"/>
  <c r="BZ1257" i="17" s="1"/>
  <c r="BX1259" i="17"/>
  <c r="BY1259" i="17" s="1"/>
  <c r="BZ1259" i="17" s="1"/>
  <c r="BX1261" i="17"/>
  <c r="BY1261" i="17" s="1"/>
  <c r="BZ1261" i="17" s="1"/>
  <c r="BX1263" i="17"/>
  <c r="BY1263" i="17" s="1"/>
  <c r="BZ1263" i="17" s="1"/>
  <c r="BX1265" i="17"/>
  <c r="BY1265" i="17" s="1"/>
  <c r="BZ1265" i="17" s="1"/>
  <c r="BX1267" i="17"/>
  <c r="BY1267" i="17" s="1"/>
  <c r="BZ1267" i="17" s="1"/>
  <c r="BX1269" i="17"/>
  <c r="BY1269" i="17" s="1"/>
  <c r="BZ1269" i="17" s="1"/>
  <c r="BX1271" i="17"/>
  <c r="BY1271" i="17" s="1"/>
  <c r="BZ1271" i="17" s="1"/>
  <c r="BX1273" i="17"/>
  <c r="BY1273" i="17" s="1"/>
  <c r="BZ1273" i="17" s="1"/>
  <c r="BX1275" i="17"/>
  <c r="BY1275" i="17" s="1"/>
  <c r="BZ1275" i="17" s="1"/>
  <c r="BX1277" i="17"/>
  <c r="BY1277" i="17" s="1"/>
  <c r="BZ1277" i="17" s="1"/>
  <c r="BX1279" i="17"/>
  <c r="BY1279" i="17" s="1"/>
  <c r="BZ1279" i="17" s="1"/>
  <c r="BX1281" i="17"/>
  <c r="BY1281" i="17" s="1"/>
  <c r="BZ1281" i="17" s="1"/>
  <c r="BX1283" i="17"/>
  <c r="BY1283" i="17" s="1"/>
  <c r="BZ1283" i="17" s="1"/>
  <c r="BX1285" i="17"/>
  <c r="BY1285" i="17" s="1"/>
  <c r="BZ1285" i="17" s="1"/>
  <c r="AT998" i="17"/>
  <c r="AU998" i="17" s="1"/>
  <c r="AV998" i="17" s="1"/>
  <c r="AT1000" i="17"/>
  <c r="AU1000" i="17" s="1"/>
  <c r="AV1000" i="17" s="1"/>
  <c r="AT1002" i="17"/>
  <c r="AU1002" i="17" s="1"/>
  <c r="AV1002" i="17" s="1"/>
  <c r="AT1004" i="17"/>
  <c r="AU1004" i="17" s="1"/>
  <c r="AV1004" i="17" s="1"/>
  <c r="AT1006" i="17"/>
  <c r="AU1006" i="17" s="1"/>
  <c r="AV1006" i="17" s="1"/>
  <c r="AT1008" i="17"/>
  <c r="AU1008" i="17" s="1"/>
  <c r="AV1008" i="17" s="1"/>
  <c r="AT1010" i="17"/>
  <c r="AU1010" i="17" s="1"/>
  <c r="AV1010" i="17" s="1"/>
  <c r="AT1012" i="17"/>
  <c r="AU1012" i="17" s="1"/>
  <c r="AV1012" i="17" s="1"/>
  <c r="AT1014" i="17"/>
  <c r="AU1014" i="17" s="1"/>
  <c r="AV1014" i="17" s="1"/>
  <c r="AT1016" i="17"/>
  <c r="AU1016" i="17" s="1"/>
  <c r="AV1016" i="17" s="1"/>
  <c r="AT1018" i="17"/>
  <c r="AU1018" i="17" s="1"/>
  <c r="AV1018" i="17" s="1"/>
  <c r="AT1020" i="17"/>
  <c r="AU1020" i="17" s="1"/>
  <c r="AV1020" i="17" s="1"/>
  <c r="AT1022" i="17"/>
  <c r="AU1022" i="17" s="1"/>
  <c r="AV1022" i="17" s="1"/>
  <c r="AT1024" i="17"/>
  <c r="AU1024" i="17" s="1"/>
  <c r="AV1024" i="17" s="1"/>
  <c r="AT1026" i="17"/>
  <c r="AU1026" i="17" s="1"/>
  <c r="AV1026" i="17" s="1"/>
  <c r="AT1028" i="17"/>
  <c r="AU1028" i="17" s="1"/>
  <c r="AV1028" i="17" s="1"/>
  <c r="AT1030" i="17"/>
  <c r="AU1030" i="17" s="1"/>
  <c r="AV1030" i="17" s="1"/>
  <c r="AT1032" i="17"/>
  <c r="AU1032" i="17" s="1"/>
  <c r="AV1032" i="17" s="1"/>
  <c r="AT1034" i="17"/>
  <c r="AU1034" i="17" s="1"/>
  <c r="AV1034" i="17" s="1"/>
  <c r="AT1036" i="17"/>
  <c r="AU1036" i="17" s="1"/>
  <c r="AV1036" i="17" s="1"/>
  <c r="AT1038" i="17"/>
  <c r="AU1038" i="17" s="1"/>
  <c r="AV1038" i="17" s="1"/>
  <c r="AT1040" i="17"/>
  <c r="AU1040" i="17" s="1"/>
  <c r="AV1040" i="17" s="1"/>
  <c r="AT1042" i="17"/>
  <c r="AU1042" i="17" s="1"/>
  <c r="AV1042" i="17" s="1"/>
  <c r="AT1044" i="17"/>
  <c r="AU1044" i="17" s="1"/>
  <c r="AV1044" i="17" s="1"/>
  <c r="AT1046" i="17"/>
  <c r="AU1046" i="17" s="1"/>
  <c r="AV1046" i="17" s="1"/>
  <c r="AT1048" i="17"/>
  <c r="AU1048" i="17" s="1"/>
  <c r="AV1048" i="17" s="1"/>
  <c r="AT1050" i="17"/>
  <c r="AU1050" i="17" s="1"/>
  <c r="AV1050" i="17" s="1"/>
  <c r="AT1052" i="17"/>
  <c r="AU1052" i="17" s="1"/>
  <c r="AV1052" i="17" s="1"/>
  <c r="AT1054" i="17"/>
  <c r="AU1054" i="17" s="1"/>
  <c r="AV1054" i="17" s="1"/>
  <c r="AT1056" i="17"/>
  <c r="AU1056" i="17" s="1"/>
  <c r="AV1056" i="17" s="1"/>
  <c r="AT1058" i="17"/>
  <c r="AU1058" i="17" s="1"/>
  <c r="AV1058" i="17" s="1"/>
  <c r="AT1060" i="17"/>
  <c r="AU1060" i="17" s="1"/>
  <c r="AV1060" i="17" s="1"/>
  <c r="AT1062" i="17"/>
  <c r="AU1062" i="17" s="1"/>
  <c r="AV1062" i="17" s="1"/>
  <c r="AT1064" i="17"/>
  <c r="AU1064" i="17" s="1"/>
  <c r="AV1064" i="17" s="1"/>
  <c r="AT1066" i="17"/>
  <c r="AU1066" i="17" s="1"/>
  <c r="AV1066" i="17" s="1"/>
  <c r="AT1068" i="17"/>
  <c r="AU1068" i="17" s="1"/>
  <c r="AV1068" i="17" s="1"/>
  <c r="AT1070" i="17"/>
  <c r="AU1070" i="17" s="1"/>
  <c r="AV1070" i="17" s="1"/>
  <c r="AT1072" i="17"/>
  <c r="AU1072" i="17" s="1"/>
  <c r="AV1072" i="17" s="1"/>
  <c r="AT1074" i="17"/>
  <c r="AU1074" i="17" s="1"/>
  <c r="AV1074" i="17" s="1"/>
  <c r="AT1076" i="17"/>
  <c r="AU1076" i="17" s="1"/>
  <c r="AV1076" i="17" s="1"/>
  <c r="AT1078" i="17"/>
  <c r="AU1078" i="17" s="1"/>
  <c r="AV1078" i="17" s="1"/>
  <c r="AT1080" i="17"/>
  <c r="AU1080" i="17" s="1"/>
  <c r="AV1080" i="17" s="1"/>
  <c r="AT1082" i="17"/>
  <c r="AU1082" i="17" s="1"/>
  <c r="AV1082" i="17" s="1"/>
  <c r="AT1084" i="17"/>
  <c r="AU1084" i="17" s="1"/>
  <c r="AV1084" i="17" s="1"/>
  <c r="AT1086" i="17"/>
  <c r="AU1086" i="17" s="1"/>
  <c r="AV1086" i="17" s="1"/>
  <c r="AT1088" i="17"/>
  <c r="AU1088" i="17" s="1"/>
  <c r="AV1088" i="17" s="1"/>
  <c r="AT1090" i="17"/>
  <c r="AU1090" i="17" s="1"/>
  <c r="AV1090" i="17" s="1"/>
  <c r="AT1092" i="17"/>
  <c r="AU1092" i="17" s="1"/>
  <c r="AV1092" i="17" s="1"/>
  <c r="AT1094" i="17"/>
  <c r="AU1094" i="17" s="1"/>
  <c r="AV1094" i="17" s="1"/>
  <c r="AT1096" i="17"/>
  <c r="AU1096" i="17" s="1"/>
  <c r="AV1096" i="17" s="1"/>
  <c r="AT1098" i="17"/>
  <c r="AU1098" i="17" s="1"/>
  <c r="AV1098" i="17" s="1"/>
  <c r="AT1100" i="17"/>
  <c r="AU1100" i="17" s="1"/>
  <c r="AV1100" i="17" s="1"/>
  <c r="AT1102" i="17"/>
  <c r="AU1102" i="17" s="1"/>
  <c r="AV1102" i="17" s="1"/>
  <c r="AT1104" i="17"/>
  <c r="AU1104" i="17" s="1"/>
  <c r="AV1104" i="17" s="1"/>
  <c r="AT1106" i="17"/>
  <c r="AU1106" i="17" s="1"/>
  <c r="AV1106" i="17" s="1"/>
  <c r="AT1108" i="17"/>
  <c r="AU1108" i="17" s="1"/>
  <c r="AV1108" i="17" s="1"/>
  <c r="AT1110" i="17"/>
  <c r="AU1110" i="17" s="1"/>
  <c r="AV1110" i="17" s="1"/>
  <c r="AT1112" i="17"/>
  <c r="AU1112" i="17" s="1"/>
  <c r="AV1112" i="17" s="1"/>
  <c r="AT1114" i="17"/>
  <c r="AU1114" i="17" s="1"/>
  <c r="AV1114" i="17" s="1"/>
  <c r="AT1116" i="17"/>
  <c r="AU1116" i="17" s="1"/>
  <c r="AV1116" i="17" s="1"/>
  <c r="AT1118" i="17"/>
  <c r="AU1118" i="17" s="1"/>
  <c r="AV1118" i="17" s="1"/>
  <c r="AT1120" i="17"/>
  <c r="AU1120" i="17" s="1"/>
  <c r="AV1120" i="17" s="1"/>
  <c r="AT1122" i="17"/>
  <c r="AU1122" i="17" s="1"/>
  <c r="AV1122" i="17" s="1"/>
  <c r="AT1124" i="17"/>
  <c r="AU1124" i="17" s="1"/>
  <c r="AV1124" i="17" s="1"/>
  <c r="AT1126" i="17"/>
  <c r="AU1126" i="17" s="1"/>
  <c r="AV1126" i="17" s="1"/>
  <c r="AT1128" i="17"/>
  <c r="AU1128" i="17" s="1"/>
  <c r="AV1128" i="17" s="1"/>
  <c r="AT1130" i="17"/>
  <c r="AU1130" i="17" s="1"/>
  <c r="AV1130" i="17" s="1"/>
  <c r="AT1132" i="17"/>
  <c r="AU1132" i="17" s="1"/>
  <c r="AV1132" i="17" s="1"/>
  <c r="AT1134" i="17"/>
  <c r="AU1134" i="17" s="1"/>
  <c r="AV1134" i="17" s="1"/>
  <c r="AT1136" i="17"/>
  <c r="AU1136" i="17" s="1"/>
  <c r="AV1136" i="17" s="1"/>
  <c r="AT1138" i="17"/>
  <c r="AU1138" i="17" s="1"/>
  <c r="AV1138" i="17" s="1"/>
  <c r="AT1140" i="17"/>
  <c r="AU1140" i="17" s="1"/>
  <c r="AV1140" i="17" s="1"/>
  <c r="AT1142" i="17"/>
  <c r="AU1142" i="17" s="1"/>
  <c r="AV1142" i="17" s="1"/>
  <c r="AT1144" i="17"/>
  <c r="AU1144" i="17" s="1"/>
  <c r="AV1144" i="17" s="1"/>
  <c r="AT1146" i="17"/>
  <c r="AU1146" i="17" s="1"/>
  <c r="AV1146" i="17" s="1"/>
  <c r="AT1148" i="17"/>
  <c r="AU1148" i="17" s="1"/>
  <c r="AV1148" i="17" s="1"/>
  <c r="AT1150" i="17"/>
  <c r="AU1150" i="17" s="1"/>
  <c r="AV1150" i="17" s="1"/>
  <c r="AT1152" i="17"/>
  <c r="AU1152" i="17" s="1"/>
  <c r="AV1152" i="17" s="1"/>
  <c r="AT1154" i="17"/>
  <c r="AU1154" i="17" s="1"/>
  <c r="AV1154" i="17" s="1"/>
  <c r="AT1156" i="17"/>
  <c r="AU1156" i="17" s="1"/>
  <c r="AV1156" i="17" s="1"/>
  <c r="AT1158" i="17"/>
  <c r="AU1158" i="17" s="1"/>
  <c r="AV1158" i="17" s="1"/>
  <c r="AT1160" i="17"/>
  <c r="AU1160" i="17" s="1"/>
  <c r="AV1160" i="17" s="1"/>
  <c r="AT1162" i="17"/>
  <c r="AU1162" i="17" s="1"/>
  <c r="AV1162" i="17" s="1"/>
  <c r="AT1164" i="17"/>
  <c r="AU1164" i="17" s="1"/>
  <c r="AV1164" i="17" s="1"/>
  <c r="AT1166" i="17"/>
  <c r="AU1166" i="17" s="1"/>
  <c r="AV1166" i="17" s="1"/>
  <c r="AT1168" i="17"/>
  <c r="AU1168" i="17" s="1"/>
  <c r="AV1168" i="17" s="1"/>
  <c r="AT1170" i="17"/>
  <c r="AU1170" i="17" s="1"/>
  <c r="AV1170" i="17" s="1"/>
  <c r="AT1172" i="17"/>
  <c r="AU1172" i="17" s="1"/>
  <c r="AV1172" i="17" s="1"/>
  <c r="AT1174" i="17"/>
  <c r="AU1174" i="17" s="1"/>
  <c r="AV1174" i="17" s="1"/>
  <c r="AT1176" i="17"/>
  <c r="AU1176" i="17" s="1"/>
  <c r="AV1176" i="17" s="1"/>
  <c r="AT1178" i="17"/>
  <c r="AU1178" i="17" s="1"/>
  <c r="AV1178" i="17" s="1"/>
  <c r="AT1180" i="17"/>
  <c r="AU1180" i="17" s="1"/>
  <c r="AV1180" i="17" s="1"/>
  <c r="AT1182" i="17"/>
  <c r="AU1182" i="17" s="1"/>
  <c r="AV1182" i="17" s="1"/>
  <c r="AT1184" i="17"/>
  <c r="AU1184" i="17" s="1"/>
  <c r="AV1184" i="17" s="1"/>
  <c r="AT1186" i="17"/>
  <c r="AU1186" i="17" s="1"/>
  <c r="AV1186" i="17" s="1"/>
  <c r="AT1188" i="17"/>
  <c r="AU1188" i="17" s="1"/>
  <c r="AV1188" i="17" s="1"/>
  <c r="AT1190" i="17"/>
  <c r="AU1190" i="17" s="1"/>
  <c r="AV1190" i="17" s="1"/>
  <c r="AT1192" i="17"/>
  <c r="AU1192" i="17" s="1"/>
  <c r="AV1192" i="17" s="1"/>
  <c r="AT1194" i="17"/>
  <c r="AU1194" i="17" s="1"/>
  <c r="AV1194" i="17" s="1"/>
  <c r="AT1196" i="17"/>
  <c r="AU1196" i="17" s="1"/>
  <c r="AV1196" i="17" s="1"/>
  <c r="AT1198" i="17"/>
  <c r="AU1198" i="17" s="1"/>
  <c r="AV1198" i="17" s="1"/>
  <c r="AT1200" i="17"/>
  <c r="AU1200" i="17" s="1"/>
  <c r="AV1200" i="17" s="1"/>
  <c r="AT1202" i="17"/>
  <c r="AU1202" i="17" s="1"/>
  <c r="AV1202" i="17" s="1"/>
  <c r="AT1204" i="17"/>
  <c r="AU1204" i="17" s="1"/>
  <c r="AV1204" i="17" s="1"/>
  <c r="AT1206" i="17"/>
  <c r="AU1206" i="17" s="1"/>
  <c r="AV1206" i="17" s="1"/>
  <c r="AT1208" i="17"/>
  <c r="AU1208" i="17" s="1"/>
  <c r="AV1208" i="17" s="1"/>
  <c r="AT1210" i="17"/>
  <c r="AU1210" i="17" s="1"/>
  <c r="AV1210" i="17" s="1"/>
  <c r="AT1212" i="17"/>
  <c r="AU1212" i="17" s="1"/>
  <c r="AV1212" i="17" s="1"/>
  <c r="AT1214" i="17"/>
  <c r="AU1214" i="17" s="1"/>
  <c r="AV1214" i="17" s="1"/>
  <c r="AT1216" i="17"/>
  <c r="AU1216" i="17" s="1"/>
  <c r="AV1216" i="17" s="1"/>
  <c r="AT1218" i="17"/>
  <c r="AU1218" i="17" s="1"/>
  <c r="AV1218" i="17" s="1"/>
  <c r="AT1220" i="17"/>
  <c r="AU1220" i="17" s="1"/>
  <c r="AV1220" i="17" s="1"/>
  <c r="AT1222" i="17"/>
  <c r="AU1222" i="17" s="1"/>
  <c r="AV1222" i="17" s="1"/>
  <c r="AT1224" i="17"/>
  <c r="AU1224" i="17" s="1"/>
  <c r="AV1224" i="17" s="1"/>
  <c r="AT1226" i="17"/>
  <c r="AU1226" i="17" s="1"/>
  <c r="AV1226" i="17" s="1"/>
  <c r="AT1228" i="17"/>
  <c r="AU1228" i="17" s="1"/>
  <c r="AV1228" i="17" s="1"/>
  <c r="AT1230" i="17"/>
  <c r="AU1230" i="17" s="1"/>
  <c r="AV1230" i="17" s="1"/>
  <c r="AT1232" i="17"/>
  <c r="AU1232" i="17" s="1"/>
  <c r="AV1232" i="17" s="1"/>
  <c r="AT1234" i="17"/>
  <c r="AU1234" i="17" s="1"/>
  <c r="AV1234" i="17" s="1"/>
  <c r="AT1236" i="17"/>
  <c r="AU1236" i="17" s="1"/>
  <c r="AV1236" i="17" s="1"/>
  <c r="AT1238" i="17"/>
  <c r="AU1238" i="17" s="1"/>
  <c r="AV1238" i="17" s="1"/>
  <c r="AT1240" i="17"/>
  <c r="AU1240" i="17" s="1"/>
  <c r="AV1240" i="17" s="1"/>
  <c r="AT1242" i="17"/>
  <c r="AU1242" i="17" s="1"/>
  <c r="AV1242" i="17" s="1"/>
  <c r="AT1244" i="17"/>
  <c r="AU1244" i="17" s="1"/>
  <c r="AV1244" i="17" s="1"/>
  <c r="AT1246" i="17"/>
  <c r="AU1246" i="17" s="1"/>
  <c r="AV1246" i="17" s="1"/>
  <c r="AT1248" i="17"/>
  <c r="AU1248" i="17" s="1"/>
  <c r="AV1248" i="17" s="1"/>
  <c r="AT1250" i="17"/>
  <c r="AU1250" i="17" s="1"/>
  <c r="AV1250" i="17" s="1"/>
  <c r="AT1252" i="17"/>
  <c r="AU1252" i="17" s="1"/>
  <c r="AV1252" i="17" s="1"/>
  <c r="AT1254" i="17"/>
  <c r="AU1254" i="17" s="1"/>
  <c r="AV1254" i="17" s="1"/>
  <c r="AT1256" i="17"/>
  <c r="AU1256" i="17" s="1"/>
  <c r="AV1256" i="17" s="1"/>
  <c r="AT1258" i="17"/>
  <c r="AU1258" i="17" s="1"/>
  <c r="AV1258" i="17" s="1"/>
  <c r="AT1260" i="17"/>
  <c r="AU1260" i="17" s="1"/>
  <c r="AV1260" i="17" s="1"/>
  <c r="AT1262" i="17"/>
  <c r="AU1262" i="17" s="1"/>
  <c r="AV1262" i="17" s="1"/>
  <c r="AT1264" i="17"/>
  <c r="AU1264" i="17" s="1"/>
  <c r="AV1264" i="17" s="1"/>
  <c r="AT1266" i="17"/>
  <c r="AU1266" i="17" s="1"/>
  <c r="AV1266" i="17" s="1"/>
  <c r="AT1268" i="17"/>
  <c r="AU1268" i="17" s="1"/>
  <c r="AV1268" i="17" s="1"/>
  <c r="AT1270" i="17"/>
  <c r="AU1270" i="17" s="1"/>
  <c r="AV1270" i="17" s="1"/>
  <c r="AT1272" i="17"/>
  <c r="AU1272" i="17" s="1"/>
  <c r="AV1272" i="17" s="1"/>
  <c r="AT1274" i="17"/>
  <c r="AU1274" i="17" s="1"/>
  <c r="AV1274" i="17" s="1"/>
  <c r="AT1276" i="17"/>
  <c r="AU1276" i="17" s="1"/>
  <c r="AV1276" i="17" s="1"/>
  <c r="AT1278" i="17"/>
  <c r="AU1278" i="17" s="1"/>
  <c r="AV1278" i="17" s="1"/>
  <c r="AT1280" i="17"/>
  <c r="AU1280" i="17" s="1"/>
  <c r="AV1280" i="17" s="1"/>
  <c r="AT1282" i="17"/>
  <c r="AU1282" i="17" s="1"/>
  <c r="AV1282" i="17" s="1"/>
  <c r="AT1284" i="17"/>
  <c r="AU1284" i="17" s="1"/>
  <c r="AV1284" i="17" s="1"/>
  <c r="AT1286" i="17"/>
  <c r="AU1286" i="17" s="1"/>
  <c r="AV1286" i="17" s="1"/>
  <c r="AT1288" i="17"/>
  <c r="AU1288" i="17" s="1"/>
  <c r="AV1288" i="17" s="1"/>
  <c r="AT1290" i="17"/>
  <c r="AU1290" i="17" s="1"/>
  <c r="AV1290" i="17" s="1"/>
  <c r="AT1292" i="17"/>
  <c r="AU1292" i="17" s="1"/>
  <c r="AV1292" i="17" s="1"/>
  <c r="AT1294" i="17"/>
  <c r="AU1294" i="17" s="1"/>
  <c r="AV1294" i="17" s="1"/>
  <c r="AT1296" i="17"/>
  <c r="AU1296" i="17" s="1"/>
  <c r="AV1296" i="17" s="1"/>
  <c r="AT1298" i="17"/>
  <c r="AU1298" i="17" s="1"/>
  <c r="AV1298" i="17" s="1"/>
  <c r="AT1300" i="17"/>
  <c r="AU1300" i="17" s="1"/>
  <c r="AV1300" i="17" s="1"/>
  <c r="AT1302" i="17"/>
  <c r="AU1302" i="17" s="1"/>
  <c r="AV1302" i="17" s="1"/>
  <c r="AT1304" i="17"/>
  <c r="AU1304" i="17" s="1"/>
  <c r="AV1304" i="17" s="1"/>
  <c r="AT1306" i="17"/>
  <c r="AU1306" i="17" s="1"/>
  <c r="AV1306" i="17" s="1"/>
  <c r="AZ1010" i="17"/>
  <c r="BA1010" i="17" s="1"/>
  <c r="BB1010" i="17" s="1"/>
  <c r="AZ1012" i="17"/>
  <c r="BA1012" i="17" s="1"/>
  <c r="BB1012" i="17" s="1"/>
  <c r="AZ1014" i="17"/>
  <c r="BA1014" i="17" s="1"/>
  <c r="BB1014" i="17" s="1"/>
  <c r="AZ1016" i="17"/>
  <c r="BA1016" i="17" s="1"/>
  <c r="BB1016" i="17" s="1"/>
  <c r="AZ1018" i="17"/>
  <c r="BA1018" i="17" s="1"/>
  <c r="BB1018" i="17" s="1"/>
  <c r="AZ1020" i="17"/>
  <c r="BA1020" i="17" s="1"/>
  <c r="BB1020" i="17" s="1"/>
  <c r="AZ1022" i="17"/>
  <c r="BA1022" i="17" s="1"/>
  <c r="BB1022" i="17" s="1"/>
  <c r="AZ1024" i="17"/>
  <c r="BA1024" i="17" s="1"/>
  <c r="BB1024" i="17" s="1"/>
  <c r="AZ1026" i="17"/>
  <c r="BA1026" i="17" s="1"/>
  <c r="BB1026" i="17" s="1"/>
  <c r="AZ1028" i="17"/>
  <c r="BA1028" i="17" s="1"/>
  <c r="BB1028" i="17" s="1"/>
  <c r="AZ1030" i="17"/>
  <c r="BA1030" i="17" s="1"/>
  <c r="BB1030" i="17" s="1"/>
  <c r="AZ1032" i="17"/>
  <c r="BA1032" i="17" s="1"/>
  <c r="BB1032" i="17" s="1"/>
  <c r="AZ1034" i="17"/>
  <c r="BA1034" i="17" s="1"/>
  <c r="BB1034" i="17" s="1"/>
  <c r="AZ1036" i="17"/>
  <c r="BA1036" i="17" s="1"/>
  <c r="BB1036" i="17" s="1"/>
  <c r="AZ1038" i="17"/>
  <c r="BA1038" i="17" s="1"/>
  <c r="BB1038" i="17" s="1"/>
  <c r="AZ1040" i="17"/>
  <c r="BA1040" i="17" s="1"/>
  <c r="BB1040" i="17" s="1"/>
  <c r="AZ1042" i="17"/>
  <c r="BA1042" i="17" s="1"/>
  <c r="BB1042" i="17" s="1"/>
  <c r="AZ1044" i="17"/>
  <c r="BA1044" i="17" s="1"/>
  <c r="BB1044" i="17" s="1"/>
  <c r="AZ1046" i="17"/>
  <c r="BA1046" i="17" s="1"/>
  <c r="BB1046" i="17" s="1"/>
  <c r="AZ1048" i="17"/>
  <c r="BA1048" i="17" s="1"/>
  <c r="BB1048" i="17" s="1"/>
  <c r="AZ1050" i="17"/>
  <c r="BA1050" i="17" s="1"/>
  <c r="BB1050" i="17" s="1"/>
  <c r="AZ1052" i="17"/>
  <c r="BA1052" i="17" s="1"/>
  <c r="BB1052" i="17" s="1"/>
  <c r="AZ1054" i="17"/>
  <c r="BA1054" i="17" s="1"/>
  <c r="BB1054" i="17" s="1"/>
  <c r="AZ1056" i="17"/>
  <c r="BA1056" i="17" s="1"/>
  <c r="BB1056" i="17" s="1"/>
  <c r="AZ1058" i="17"/>
  <c r="BA1058" i="17" s="1"/>
  <c r="BB1058" i="17" s="1"/>
  <c r="AZ1060" i="17"/>
  <c r="BA1060" i="17" s="1"/>
  <c r="BB1060" i="17" s="1"/>
  <c r="AZ1062" i="17"/>
  <c r="BA1062" i="17" s="1"/>
  <c r="BB1062" i="17" s="1"/>
  <c r="AZ1064" i="17"/>
  <c r="BA1064" i="17" s="1"/>
  <c r="BB1064" i="17" s="1"/>
  <c r="AZ1066" i="17"/>
  <c r="BA1066" i="17" s="1"/>
  <c r="BB1066" i="17" s="1"/>
  <c r="AZ1068" i="17"/>
  <c r="BA1068" i="17" s="1"/>
  <c r="BB1068" i="17" s="1"/>
  <c r="AZ1070" i="17"/>
  <c r="BA1070" i="17" s="1"/>
  <c r="BB1070" i="17" s="1"/>
  <c r="AZ1072" i="17"/>
  <c r="BA1072" i="17" s="1"/>
  <c r="BB1072" i="17" s="1"/>
  <c r="AZ1074" i="17"/>
  <c r="BA1074" i="17" s="1"/>
  <c r="BB1074" i="17" s="1"/>
  <c r="AZ1076" i="17"/>
  <c r="BA1076" i="17" s="1"/>
  <c r="BB1076" i="17" s="1"/>
  <c r="AZ1078" i="17"/>
  <c r="BA1078" i="17" s="1"/>
  <c r="BB1078" i="17" s="1"/>
  <c r="AZ1080" i="17"/>
  <c r="BA1080" i="17" s="1"/>
  <c r="BB1080" i="17" s="1"/>
  <c r="AZ1082" i="17"/>
  <c r="BA1082" i="17" s="1"/>
  <c r="BB1082" i="17" s="1"/>
  <c r="AZ1084" i="17"/>
  <c r="BA1084" i="17" s="1"/>
  <c r="BB1084" i="17" s="1"/>
  <c r="AZ1086" i="17"/>
  <c r="BA1086" i="17" s="1"/>
  <c r="BB1086" i="17" s="1"/>
  <c r="AZ1088" i="17"/>
  <c r="BA1088" i="17" s="1"/>
  <c r="BB1088" i="17" s="1"/>
  <c r="AZ1090" i="17"/>
  <c r="BA1090" i="17" s="1"/>
  <c r="BB1090" i="17" s="1"/>
  <c r="AZ1092" i="17"/>
  <c r="BA1092" i="17" s="1"/>
  <c r="BB1092" i="17" s="1"/>
  <c r="AZ1094" i="17"/>
  <c r="BA1094" i="17" s="1"/>
  <c r="BB1094" i="17" s="1"/>
  <c r="AZ1096" i="17"/>
  <c r="BA1096" i="17" s="1"/>
  <c r="BB1096" i="17" s="1"/>
  <c r="AZ1098" i="17"/>
  <c r="BA1098" i="17" s="1"/>
  <c r="BB1098" i="17" s="1"/>
  <c r="AZ1100" i="17"/>
  <c r="BA1100" i="17" s="1"/>
  <c r="BB1100" i="17" s="1"/>
  <c r="AZ1102" i="17"/>
  <c r="BA1102" i="17" s="1"/>
  <c r="BB1102" i="17" s="1"/>
  <c r="AZ1104" i="17"/>
  <c r="BA1104" i="17" s="1"/>
  <c r="BB1104" i="17" s="1"/>
  <c r="AZ1106" i="17"/>
  <c r="BA1106" i="17" s="1"/>
  <c r="BB1106" i="17" s="1"/>
  <c r="AZ1108" i="17"/>
  <c r="BA1108" i="17" s="1"/>
  <c r="BB1108" i="17" s="1"/>
  <c r="AZ1110" i="17"/>
  <c r="BA1110" i="17" s="1"/>
  <c r="BB1110" i="17" s="1"/>
  <c r="AZ1112" i="17"/>
  <c r="BA1112" i="17" s="1"/>
  <c r="BB1112" i="17" s="1"/>
  <c r="AZ1114" i="17"/>
  <c r="BA1114" i="17" s="1"/>
  <c r="BB1114" i="17" s="1"/>
  <c r="AZ1116" i="17"/>
  <c r="BA1116" i="17" s="1"/>
  <c r="BB1116" i="17" s="1"/>
  <c r="AZ1118" i="17"/>
  <c r="BA1118" i="17" s="1"/>
  <c r="BB1118" i="17" s="1"/>
  <c r="AZ1120" i="17"/>
  <c r="BA1120" i="17" s="1"/>
  <c r="BB1120" i="17" s="1"/>
  <c r="AZ1122" i="17"/>
  <c r="BA1122" i="17" s="1"/>
  <c r="BB1122" i="17" s="1"/>
  <c r="AZ1124" i="17"/>
  <c r="BA1124" i="17" s="1"/>
  <c r="BB1124" i="17" s="1"/>
  <c r="AZ1126" i="17"/>
  <c r="BA1126" i="17" s="1"/>
  <c r="BB1126" i="17" s="1"/>
  <c r="AZ1128" i="17"/>
  <c r="BA1128" i="17" s="1"/>
  <c r="BB1128" i="17" s="1"/>
  <c r="AZ1130" i="17"/>
  <c r="BA1130" i="17" s="1"/>
  <c r="BB1130" i="17" s="1"/>
  <c r="AZ1132" i="17"/>
  <c r="BA1132" i="17" s="1"/>
  <c r="BB1132" i="17" s="1"/>
  <c r="AZ1134" i="17"/>
  <c r="BA1134" i="17" s="1"/>
  <c r="BB1134" i="17" s="1"/>
  <c r="AZ1136" i="17"/>
  <c r="BA1136" i="17" s="1"/>
  <c r="BB1136" i="17" s="1"/>
  <c r="AZ1138" i="17"/>
  <c r="BA1138" i="17" s="1"/>
  <c r="BB1138" i="17" s="1"/>
  <c r="AZ1140" i="17"/>
  <c r="BA1140" i="17" s="1"/>
  <c r="BB1140" i="17" s="1"/>
  <c r="AZ1142" i="17"/>
  <c r="BA1142" i="17" s="1"/>
  <c r="BB1142" i="17" s="1"/>
  <c r="AZ1144" i="17"/>
  <c r="BA1144" i="17" s="1"/>
  <c r="BB1144" i="17" s="1"/>
  <c r="AZ1146" i="17"/>
  <c r="BA1146" i="17" s="1"/>
  <c r="BB1146" i="17" s="1"/>
  <c r="AZ1148" i="17"/>
  <c r="BA1148" i="17" s="1"/>
  <c r="BB1148" i="17" s="1"/>
  <c r="AZ1150" i="17"/>
  <c r="BA1150" i="17" s="1"/>
  <c r="BB1150" i="17" s="1"/>
  <c r="AZ1152" i="17"/>
  <c r="BA1152" i="17" s="1"/>
  <c r="BB1152" i="17" s="1"/>
  <c r="AZ1154" i="17"/>
  <c r="BA1154" i="17" s="1"/>
  <c r="BB1154" i="17" s="1"/>
  <c r="AZ1156" i="17"/>
  <c r="BA1156" i="17" s="1"/>
  <c r="BB1156" i="17" s="1"/>
  <c r="AZ1158" i="17"/>
  <c r="BA1158" i="17" s="1"/>
  <c r="BB1158" i="17" s="1"/>
  <c r="AZ1160" i="17"/>
  <c r="BA1160" i="17" s="1"/>
  <c r="BB1160" i="17" s="1"/>
  <c r="AZ1162" i="17"/>
  <c r="BA1162" i="17" s="1"/>
  <c r="BB1162" i="17" s="1"/>
  <c r="AZ1164" i="17"/>
  <c r="BA1164" i="17" s="1"/>
  <c r="BB1164" i="17" s="1"/>
  <c r="AZ1166" i="17"/>
  <c r="BA1166" i="17" s="1"/>
  <c r="BB1166" i="17" s="1"/>
  <c r="AZ1168" i="17"/>
  <c r="BA1168" i="17" s="1"/>
  <c r="BB1168" i="17" s="1"/>
  <c r="AZ1170" i="17"/>
  <c r="BA1170" i="17" s="1"/>
  <c r="BB1170" i="17" s="1"/>
  <c r="AZ1172" i="17"/>
  <c r="BA1172" i="17" s="1"/>
  <c r="BB1172" i="17" s="1"/>
  <c r="AZ1174" i="17"/>
  <c r="BA1174" i="17" s="1"/>
  <c r="BB1174" i="17" s="1"/>
  <c r="AZ1176" i="17"/>
  <c r="BA1176" i="17" s="1"/>
  <c r="BB1176" i="17" s="1"/>
  <c r="AZ1178" i="17"/>
  <c r="BA1178" i="17" s="1"/>
  <c r="BB1178" i="17" s="1"/>
  <c r="AZ1180" i="17"/>
  <c r="BA1180" i="17" s="1"/>
  <c r="BB1180" i="17" s="1"/>
  <c r="AZ1182" i="17"/>
  <c r="BA1182" i="17" s="1"/>
  <c r="BB1182" i="17" s="1"/>
  <c r="AZ1184" i="17"/>
  <c r="BA1184" i="17" s="1"/>
  <c r="BB1184" i="17" s="1"/>
  <c r="AZ1186" i="17"/>
  <c r="BA1186" i="17" s="1"/>
  <c r="BB1186" i="17" s="1"/>
  <c r="AZ1188" i="17"/>
  <c r="BA1188" i="17" s="1"/>
  <c r="BB1188" i="17" s="1"/>
  <c r="AZ1190" i="17"/>
  <c r="BA1190" i="17" s="1"/>
  <c r="BB1190" i="17" s="1"/>
  <c r="AZ1192" i="17"/>
  <c r="BA1192" i="17" s="1"/>
  <c r="BB1192" i="17" s="1"/>
  <c r="AZ1194" i="17"/>
  <c r="BA1194" i="17" s="1"/>
  <c r="BB1194" i="17" s="1"/>
  <c r="AZ1196" i="17"/>
  <c r="BA1196" i="17" s="1"/>
  <c r="BB1196" i="17" s="1"/>
  <c r="AZ1198" i="17"/>
  <c r="BA1198" i="17" s="1"/>
  <c r="BB1198" i="17" s="1"/>
  <c r="AZ1200" i="17"/>
  <c r="BA1200" i="17" s="1"/>
  <c r="BB1200" i="17" s="1"/>
  <c r="AZ1202" i="17"/>
  <c r="BA1202" i="17" s="1"/>
  <c r="BB1202" i="17" s="1"/>
  <c r="AZ1204" i="17"/>
  <c r="BA1204" i="17" s="1"/>
  <c r="BB1204" i="17" s="1"/>
  <c r="AZ1206" i="17"/>
  <c r="BA1206" i="17" s="1"/>
  <c r="BB1206" i="17" s="1"/>
  <c r="AZ1208" i="17"/>
  <c r="BA1208" i="17" s="1"/>
  <c r="BB1208" i="17" s="1"/>
  <c r="AZ1210" i="17"/>
  <c r="BA1210" i="17" s="1"/>
  <c r="BB1210" i="17" s="1"/>
  <c r="AZ1212" i="17"/>
  <c r="BA1212" i="17" s="1"/>
  <c r="BB1212" i="17" s="1"/>
  <c r="AZ1214" i="17"/>
  <c r="BA1214" i="17" s="1"/>
  <c r="BB1214" i="17" s="1"/>
  <c r="AZ1216" i="17"/>
  <c r="BA1216" i="17" s="1"/>
  <c r="BB1216" i="17" s="1"/>
  <c r="AZ1218" i="17"/>
  <c r="BA1218" i="17" s="1"/>
  <c r="BB1218" i="17" s="1"/>
  <c r="AZ1220" i="17"/>
  <c r="BA1220" i="17" s="1"/>
  <c r="BB1220" i="17" s="1"/>
  <c r="AZ1222" i="17"/>
  <c r="BA1222" i="17" s="1"/>
  <c r="BB1222" i="17" s="1"/>
  <c r="AZ1224" i="17"/>
  <c r="BA1224" i="17" s="1"/>
  <c r="BB1224" i="17" s="1"/>
  <c r="AZ1226" i="17"/>
  <c r="BA1226" i="17" s="1"/>
  <c r="BB1226" i="17" s="1"/>
  <c r="AZ1228" i="17"/>
  <c r="BA1228" i="17" s="1"/>
  <c r="BB1228" i="17" s="1"/>
  <c r="AZ1230" i="17"/>
  <c r="BA1230" i="17" s="1"/>
  <c r="BB1230" i="17" s="1"/>
  <c r="AZ1232" i="17"/>
  <c r="BA1232" i="17" s="1"/>
  <c r="BB1232" i="17" s="1"/>
  <c r="AZ1234" i="17"/>
  <c r="BA1234" i="17" s="1"/>
  <c r="BB1234" i="17" s="1"/>
  <c r="AZ1236" i="17"/>
  <c r="BA1236" i="17" s="1"/>
  <c r="BB1236" i="17" s="1"/>
  <c r="AZ1238" i="17"/>
  <c r="BA1238" i="17" s="1"/>
  <c r="BB1238" i="17" s="1"/>
  <c r="AZ1240" i="17"/>
  <c r="BA1240" i="17" s="1"/>
  <c r="BB1240" i="17" s="1"/>
  <c r="AZ1242" i="17"/>
  <c r="BA1242" i="17" s="1"/>
  <c r="BB1242" i="17" s="1"/>
  <c r="AZ1244" i="17"/>
  <c r="BA1244" i="17" s="1"/>
  <c r="BB1244" i="17" s="1"/>
  <c r="AZ1246" i="17"/>
  <c r="BA1246" i="17" s="1"/>
  <c r="BB1246" i="17" s="1"/>
  <c r="AZ1248" i="17"/>
  <c r="BA1248" i="17" s="1"/>
  <c r="BB1248" i="17" s="1"/>
  <c r="AZ1250" i="17"/>
  <c r="BA1250" i="17" s="1"/>
  <c r="BB1250" i="17" s="1"/>
  <c r="AZ1252" i="17"/>
  <c r="BA1252" i="17" s="1"/>
  <c r="BB1252" i="17" s="1"/>
  <c r="AZ1254" i="17"/>
  <c r="BA1254" i="17" s="1"/>
  <c r="BB1254" i="17" s="1"/>
  <c r="AZ1256" i="17"/>
  <c r="BA1256" i="17" s="1"/>
  <c r="BB1256" i="17" s="1"/>
  <c r="AZ1258" i="17"/>
  <c r="BA1258" i="17" s="1"/>
  <c r="BB1258" i="17" s="1"/>
  <c r="AZ1260" i="17"/>
  <c r="BA1260" i="17" s="1"/>
  <c r="BB1260" i="17" s="1"/>
  <c r="AZ1262" i="17"/>
  <c r="BA1262" i="17" s="1"/>
  <c r="BB1262" i="17" s="1"/>
  <c r="AZ1264" i="17"/>
  <c r="BA1264" i="17" s="1"/>
  <c r="BB1264" i="17" s="1"/>
  <c r="AZ1266" i="17"/>
  <c r="BA1266" i="17" s="1"/>
  <c r="BB1266" i="17" s="1"/>
  <c r="AZ1268" i="17"/>
  <c r="BA1268" i="17" s="1"/>
  <c r="BB1268" i="17" s="1"/>
  <c r="AZ1270" i="17"/>
  <c r="BA1270" i="17" s="1"/>
  <c r="BB1270" i="17" s="1"/>
  <c r="AZ1272" i="17"/>
  <c r="BA1272" i="17" s="1"/>
  <c r="BB1272" i="17" s="1"/>
  <c r="AZ1274" i="17"/>
  <c r="BA1274" i="17" s="1"/>
  <c r="BB1274" i="17" s="1"/>
  <c r="AZ1276" i="17"/>
  <c r="BA1276" i="17" s="1"/>
  <c r="BB1276" i="17" s="1"/>
  <c r="AZ1278" i="17"/>
  <c r="BA1278" i="17" s="1"/>
  <c r="BB1278" i="17" s="1"/>
  <c r="AZ1280" i="17"/>
  <c r="BA1280" i="17" s="1"/>
  <c r="BB1280" i="17" s="1"/>
  <c r="AZ1282" i="17"/>
  <c r="BA1282" i="17" s="1"/>
  <c r="BB1282" i="17" s="1"/>
  <c r="AZ1284" i="17"/>
  <c r="BA1284" i="17" s="1"/>
  <c r="BB1284" i="17" s="1"/>
  <c r="AZ1286" i="17"/>
  <c r="BA1286" i="17" s="1"/>
  <c r="BB1286" i="17" s="1"/>
  <c r="AZ1288" i="17"/>
  <c r="BA1288" i="17" s="1"/>
  <c r="BB1288" i="17" s="1"/>
  <c r="AZ1290" i="17"/>
  <c r="BA1290" i="17" s="1"/>
  <c r="BB1290" i="17" s="1"/>
  <c r="AZ1292" i="17"/>
  <c r="BA1292" i="17" s="1"/>
  <c r="BB1292" i="17" s="1"/>
  <c r="AZ1294" i="17"/>
  <c r="BA1294" i="17" s="1"/>
  <c r="BB1294" i="17" s="1"/>
  <c r="AZ1296" i="17"/>
  <c r="BA1296" i="17" s="1"/>
  <c r="BB1296" i="17" s="1"/>
  <c r="AZ1298" i="17"/>
  <c r="BA1298" i="17" s="1"/>
  <c r="BB1298" i="17" s="1"/>
  <c r="AZ1300" i="17"/>
  <c r="BA1300" i="17" s="1"/>
  <c r="BB1300" i="17" s="1"/>
  <c r="AZ1302" i="17"/>
  <c r="BA1302" i="17" s="1"/>
  <c r="BB1302" i="17" s="1"/>
  <c r="AZ1304" i="17"/>
  <c r="BA1304" i="17" s="1"/>
  <c r="BB1304" i="17" s="1"/>
  <c r="AZ1306" i="17"/>
  <c r="BA1306" i="17" s="1"/>
  <c r="BB1306" i="17" s="1"/>
  <c r="BF1034" i="17"/>
  <c r="BG1034" i="17" s="1"/>
  <c r="BH1034" i="17" s="1"/>
  <c r="BF1036" i="17"/>
  <c r="BG1036" i="17" s="1"/>
  <c r="BH1036" i="17" s="1"/>
  <c r="BF1038" i="17"/>
  <c r="BG1038" i="17" s="1"/>
  <c r="BH1038" i="17" s="1"/>
  <c r="BF1040" i="17"/>
  <c r="BG1040" i="17" s="1"/>
  <c r="BH1040" i="17" s="1"/>
  <c r="BF1042" i="17"/>
  <c r="BG1042" i="17" s="1"/>
  <c r="BH1042" i="17" s="1"/>
  <c r="BF1044" i="17"/>
  <c r="BG1044" i="17" s="1"/>
  <c r="BH1044" i="17" s="1"/>
  <c r="BF1046" i="17"/>
  <c r="BG1046" i="17" s="1"/>
  <c r="BH1046" i="17" s="1"/>
  <c r="BF1048" i="17"/>
  <c r="BG1048" i="17" s="1"/>
  <c r="BH1048" i="17" s="1"/>
  <c r="BF1050" i="17"/>
  <c r="BG1050" i="17" s="1"/>
  <c r="BH1050" i="17" s="1"/>
  <c r="BF1052" i="17"/>
  <c r="BG1052" i="17" s="1"/>
  <c r="BH1052" i="17" s="1"/>
  <c r="BF1054" i="17"/>
  <c r="BG1054" i="17" s="1"/>
  <c r="BH1054" i="17" s="1"/>
  <c r="BF1056" i="17"/>
  <c r="BG1056" i="17" s="1"/>
  <c r="BH1056" i="17" s="1"/>
  <c r="BF1058" i="17"/>
  <c r="BG1058" i="17" s="1"/>
  <c r="BH1058" i="17" s="1"/>
  <c r="BF1060" i="17"/>
  <c r="BG1060" i="17" s="1"/>
  <c r="BH1060" i="17" s="1"/>
  <c r="BF1062" i="17"/>
  <c r="BG1062" i="17" s="1"/>
  <c r="BH1062" i="17" s="1"/>
  <c r="BF1064" i="17"/>
  <c r="BG1064" i="17" s="1"/>
  <c r="BH1064" i="17" s="1"/>
  <c r="BF1066" i="17"/>
  <c r="BG1066" i="17" s="1"/>
  <c r="BH1066" i="17" s="1"/>
  <c r="BF1068" i="17"/>
  <c r="BG1068" i="17" s="1"/>
  <c r="BH1068" i="17" s="1"/>
  <c r="BF1070" i="17"/>
  <c r="BG1070" i="17" s="1"/>
  <c r="BH1070" i="17" s="1"/>
  <c r="BF1072" i="17"/>
  <c r="BG1072" i="17" s="1"/>
  <c r="BH1072" i="17" s="1"/>
  <c r="BF1074" i="17"/>
  <c r="BG1074" i="17" s="1"/>
  <c r="BH1074" i="17" s="1"/>
  <c r="BF1076" i="17"/>
  <c r="BG1076" i="17" s="1"/>
  <c r="BH1076" i="17" s="1"/>
  <c r="BF1078" i="17"/>
  <c r="BG1078" i="17" s="1"/>
  <c r="BH1078" i="17" s="1"/>
  <c r="BF1080" i="17"/>
  <c r="BG1080" i="17" s="1"/>
  <c r="BH1080" i="17" s="1"/>
  <c r="BF1082" i="17"/>
  <c r="BG1082" i="17" s="1"/>
  <c r="BH1082" i="17" s="1"/>
  <c r="BF1084" i="17"/>
  <c r="BG1084" i="17" s="1"/>
  <c r="BH1084" i="17" s="1"/>
  <c r="BF1086" i="17"/>
  <c r="BG1086" i="17" s="1"/>
  <c r="BH1086" i="17" s="1"/>
  <c r="BF1088" i="17"/>
  <c r="BG1088" i="17" s="1"/>
  <c r="BH1088" i="17" s="1"/>
  <c r="BF1090" i="17"/>
  <c r="BG1090" i="17" s="1"/>
  <c r="BH1090" i="17" s="1"/>
  <c r="BF1092" i="17"/>
  <c r="BG1092" i="17" s="1"/>
  <c r="BH1092" i="17" s="1"/>
  <c r="BF1094" i="17"/>
  <c r="BG1094" i="17" s="1"/>
  <c r="BH1094" i="17" s="1"/>
  <c r="BF1096" i="17"/>
  <c r="BG1096" i="17" s="1"/>
  <c r="BH1096" i="17" s="1"/>
  <c r="BF1098" i="17"/>
  <c r="BG1098" i="17" s="1"/>
  <c r="BH1098" i="17" s="1"/>
  <c r="BF1100" i="17"/>
  <c r="BG1100" i="17" s="1"/>
  <c r="BH1100" i="17" s="1"/>
  <c r="BF1102" i="17"/>
  <c r="BG1102" i="17" s="1"/>
  <c r="BH1102" i="17" s="1"/>
  <c r="BF1104" i="17"/>
  <c r="BG1104" i="17" s="1"/>
  <c r="BH1104" i="17" s="1"/>
  <c r="BF1106" i="17"/>
  <c r="BG1106" i="17" s="1"/>
  <c r="BH1106" i="17" s="1"/>
  <c r="BF1108" i="17"/>
  <c r="BG1108" i="17" s="1"/>
  <c r="BH1108" i="17" s="1"/>
  <c r="BF1110" i="17"/>
  <c r="BG1110" i="17" s="1"/>
  <c r="BH1110" i="17" s="1"/>
  <c r="BF1112" i="17"/>
  <c r="BG1112" i="17" s="1"/>
  <c r="BH1112" i="17" s="1"/>
  <c r="BF1114" i="17"/>
  <c r="BG1114" i="17" s="1"/>
  <c r="BH1114" i="17" s="1"/>
  <c r="BF1116" i="17"/>
  <c r="BG1116" i="17" s="1"/>
  <c r="BH1116" i="17" s="1"/>
  <c r="BF1118" i="17"/>
  <c r="BG1118" i="17" s="1"/>
  <c r="BH1118" i="17" s="1"/>
  <c r="BF1120" i="17"/>
  <c r="BG1120" i="17" s="1"/>
  <c r="BH1120" i="17" s="1"/>
  <c r="BF1122" i="17"/>
  <c r="BG1122" i="17" s="1"/>
  <c r="BH1122" i="17" s="1"/>
  <c r="BF1124" i="17"/>
  <c r="BG1124" i="17" s="1"/>
  <c r="BH1124" i="17" s="1"/>
  <c r="BF1126" i="17"/>
  <c r="BG1126" i="17" s="1"/>
  <c r="BH1126" i="17" s="1"/>
  <c r="BF1128" i="17"/>
  <c r="BG1128" i="17" s="1"/>
  <c r="BH1128" i="17" s="1"/>
  <c r="BF1130" i="17"/>
  <c r="BG1130" i="17" s="1"/>
  <c r="BH1130" i="17" s="1"/>
  <c r="BF1132" i="17"/>
  <c r="BG1132" i="17" s="1"/>
  <c r="BH1132" i="17" s="1"/>
  <c r="BF1134" i="17"/>
  <c r="BG1134" i="17" s="1"/>
  <c r="BH1134" i="17" s="1"/>
  <c r="BF1136" i="17"/>
  <c r="BG1136" i="17" s="1"/>
  <c r="BH1136" i="17" s="1"/>
  <c r="BF1138" i="17"/>
  <c r="BG1138" i="17" s="1"/>
  <c r="BH1138" i="17" s="1"/>
  <c r="BF1140" i="17"/>
  <c r="BG1140" i="17" s="1"/>
  <c r="BH1140" i="17" s="1"/>
  <c r="BF1142" i="17"/>
  <c r="BG1142" i="17" s="1"/>
  <c r="BH1142" i="17" s="1"/>
  <c r="BF1144" i="17"/>
  <c r="BG1144" i="17" s="1"/>
  <c r="BH1144" i="17" s="1"/>
  <c r="BF1146" i="17"/>
  <c r="BG1146" i="17" s="1"/>
  <c r="BH1146" i="17" s="1"/>
  <c r="BF1148" i="17"/>
  <c r="BG1148" i="17" s="1"/>
  <c r="BH1148" i="17" s="1"/>
  <c r="BF1150" i="17"/>
  <c r="BG1150" i="17" s="1"/>
  <c r="BH1150" i="17" s="1"/>
  <c r="BF1152" i="17"/>
  <c r="BG1152" i="17" s="1"/>
  <c r="BH1152" i="17" s="1"/>
  <c r="BF1154" i="17"/>
  <c r="BG1154" i="17" s="1"/>
  <c r="BH1154" i="17" s="1"/>
  <c r="BF1156" i="17"/>
  <c r="BG1156" i="17" s="1"/>
  <c r="BH1156" i="17" s="1"/>
  <c r="BF1158" i="17"/>
  <c r="BG1158" i="17" s="1"/>
  <c r="BH1158" i="17" s="1"/>
  <c r="BF1160" i="17"/>
  <c r="BG1160" i="17" s="1"/>
  <c r="BH1160" i="17" s="1"/>
  <c r="BF1162" i="17"/>
  <c r="BG1162" i="17" s="1"/>
  <c r="BH1162" i="17" s="1"/>
  <c r="BF1164" i="17"/>
  <c r="BG1164" i="17" s="1"/>
  <c r="BH1164" i="17" s="1"/>
  <c r="BF1166" i="17"/>
  <c r="BG1166" i="17" s="1"/>
  <c r="BH1166" i="17" s="1"/>
  <c r="BF1168" i="17"/>
  <c r="BG1168" i="17" s="1"/>
  <c r="BH1168" i="17" s="1"/>
  <c r="BF1170" i="17"/>
  <c r="BG1170" i="17" s="1"/>
  <c r="BH1170" i="17" s="1"/>
  <c r="BF1172" i="17"/>
  <c r="BG1172" i="17" s="1"/>
  <c r="BH1172" i="17" s="1"/>
  <c r="BF1174" i="17"/>
  <c r="BG1174" i="17" s="1"/>
  <c r="BH1174" i="17" s="1"/>
  <c r="BF1176" i="17"/>
  <c r="BG1176" i="17" s="1"/>
  <c r="BH1176" i="17" s="1"/>
  <c r="BF1178" i="17"/>
  <c r="BG1178" i="17" s="1"/>
  <c r="BH1178" i="17" s="1"/>
  <c r="BF1180" i="17"/>
  <c r="BG1180" i="17" s="1"/>
  <c r="BH1180" i="17" s="1"/>
  <c r="BF1182" i="17"/>
  <c r="BG1182" i="17" s="1"/>
  <c r="BH1182" i="17" s="1"/>
  <c r="BF1184" i="17"/>
  <c r="BG1184" i="17" s="1"/>
  <c r="BH1184" i="17" s="1"/>
  <c r="BF1186" i="17"/>
  <c r="BG1186" i="17" s="1"/>
  <c r="BH1186" i="17" s="1"/>
  <c r="BF1188" i="17"/>
  <c r="BG1188" i="17" s="1"/>
  <c r="BH1188" i="17" s="1"/>
  <c r="BF1190" i="17"/>
  <c r="BG1190" i="17" s="1"/>
  <c r="BH1190" i="17" s="1"/>
  <c r="BF1192" i="17"/>
  <c r="BG1192" i="17" s="1"/>
  <c r="BH1192" i="17" s="1"/>
  <c r="BF1194" i="17"/>
  <c r="BG1194" i="17" s="1"/>
  <c r="BH1194" i="17" s="1"/>
  <c r="BF1196" i="17"/>
  <c r="BG1196" i="17" s="1"/>
  <c r="BH1196" i="17" s="1"/>
  <c r="BF1198" i="17"/>
  <c r="BG1198" i="17" s="1"/>
  <c r="BH1198" i="17" s="1"/>
  <c r="BF1200" i="17"/>
  <c r="BG1200" i="17" s="1"/>
  <c r="BH1200" i="17" s="1"/>
  <c r="BF1202" i="17"/>
  <c r="BG1202" i="17" s="1"/>
  <c r="BH1202" i="17" s="1"/>
  <c r="BF1204" i="17"/>
  <c r="BG1204" i="17" s="1"/>
  <c r="BH1204" i="17" s="1"/>
  <c r="BF1206" i="17"/>
  <c r="BG1206" i="17" s="1"/>
  <c r="BH1206" i="17" s="1"/>
  <c r="BF1208" i="17"/>
  <c r="BG1208" i="17" s="1"/>
  <c r="BH1208" i="17" s="1"/>
  <c r="BF1210" i="17"/>
  <c r="BG1210" i="17" s="1"/>
  <c r="BH1210" i="17" s="1"/>
  <c r="BF1212" i="17"/>
  <c r="BG1212" i="17" s="1"/>
  <c r="BH1212" i="17" s="1"/>
  <c r="BF1214" i="17"/>
  <c r="BG1214" i="17" s="1"/>
  <c r="BH1214" i="17" s="1"/>
  <c r="BF1216" i="17"/>
  <c r="BG1216" i="17" s="1"/>
  <c r="BH1216" i="17" s="1"/>
  <c r="BF1218" i="17"/>
  <c r="BG1218" i="17" s="1"/>
  <c r="BH1218" i="17" s="1"/>
  <c r="BF1220" i="17"/>
  <c r="BG1220" i="17" s="1"/>
  <c r="BH1220" i="17" s="1"/>
  <c r="BF1222" i="17"/>
  <c r="BG1222" i="17" s="1"/>
  <c r="BH1222" i="17" s="1"/>
  <c r="BF1224" i="17"/>
  <c r="BG1224" i="17" s="1"/>
  <c r="BH1224" i="17" s="1"/>
  <c r="BF1226" i="17"/>
  <c r="BG1226" i="17" s="1"/>
  <c r="BH1226" i="17" s="1"/>
  <c r="BF1228" i="17"/>
  <c r="BG1228" i="17" s="1"/>
  <c r="BH1228" i="17" s="1"/>
  <c r="BF1230" i="17"/>
  <c r="BG1230" i="17" s="1"/>
  <c r="BH1230" i="17" s="1"/>
  <c r="BF1232" i="17"/>
  <c r="BG1232" i="17" s="1"/>
  <c r="BH1232" i="17" s="1"/>
  <c r="BF1234" i="17"/>
  <c r="BG1234" i="17" s="1"/>
  <c r="BH1234" i="17" s="1"/>
  <c r="BF1236" i="17"/>
  <c r="BG1236" i="17" s="1"/>
  <c r="BH1236" i="17" s="1"/>
  <c r="BF1238" i="17"/>
  <c r="BG1238" i="17" s="1"/>
  <c r="BH1238" i="17" s="1"/>
  <c r="BF1240" i="17"/>
  <c r="BG1240" i="17" s="1"/>
  <c r="BH1240" i="17" s="1"/>
  <c r="BF1242" i="17"/>
  <c r="BG1242" i="17" s="1"/>
  <c r="BH1242" i="17" s="1"/>
  <c r="BF1244" i="17"/>
  <c r="BG1244" i="17" s="1"/>
  <c r="BH1244" i="17" s="1"/>
  <c r="BF1246" i="17"/>
  <c r="BG1246" i="17" s="1"/>
  <c r="BH1246" i="17" s="1"/>
  <c r="BF1248" i="17"/>
  <c r="BG1248" i="17" s="1"/>
  <c r="BH1248" i="17" s="1"/>
  <c r="BF1250" i="17"/>
  <c r="BG1250" i="17" s="1"/>
  <c r="BH1250" i="17" s="1"/>
  <c r="BF1252" i="17"/>
  <c r="BG1252" i="17" s="1"/>
  <c r="BH1252" i="17" s="1"/>
  <c r="BF1254" i="17"/>
  <c r="BG1254" i="17" s="1"/>
  <c r="BH1254" i="17" s="1"/>
  <c r="BF1256" i="17"/>
  <c r="BG1256" i="17" s="1"/>
  <c r="BH1256" i="17" s="1"/>
  <c r="BF1258" i="17"/>
  <c r="BG1258" i="17" s="1"/>
  <c r="BH1258" i="17" s="1"/>
  <c r="BF1260" i="17"/>
  <c r="BG1260" i="17" s="1"/>
  <c r="BH1260" i="17" s="1"/>
  <c r="BF1262" i="17"/>
  <c r="BG1262" i="17" s="1"/>
  <c r="BH1262" i="17" s="1"/>
  <c r="BF1264" i="17"/>
  <c r="BG1264" i="17" s="1"/>
  <c r="BH1264" i="17" s="1"/>
  <c r="BF1266" i="17"/>
  <c r="BG1266" i="17" s="1"/>
  <c r="BH1266" i="17" s="1"/>
  <c r="BF1268" i="17"/>
  <c r="BG1268" i="17" s="1"/>
  <c r="BH1268" i="17" s="1"/>
  <c r="BF1270" i="17"/>
  <c r="BG1270" i="17" s="1"/>
  <c r="BH1270" i="17" s="1"/>
  <c r="BF1272" i="17"/>
  <c r="BG1272" i="17" s="1"/>
  <c r="BH1272" i="17" s="1"/>
  <c r="BF1274" i="17"/>
  <c r="BG1274" i="17" s="1"/>
  <c r="BH1274" i="17" s="1"/>
  <c r="BF1276" i="17"/>
  <c r="BG1276" i="17" s="1"/>
  <c r="BH1276" i="17" s="1"/>
  <c r="BF1278" i="17"/>
  <c r="BG1278" i="17" s="1"/>
  <c r="BH1278" i="17" s="1"/>
  <c r="BF1280" i="17"/>
  <c r="BG1280" i="17" s="1"/>
  <c r="BH1280" i="17" s="1"/>
  <c r="BF1282" i="17"/>
  <c r="BG1282" i="17" s="1"/>
  <c r="BH1282" i="17" s="1"/>
  <c r="BF1284" i="17"/>
  <c r="BG1284" i="17" s="1"/>
  <c r="BH1284" i="17" s="1"/>
  <c r="BF1286" i="17"/>
  <c r="BG1286" i="17" s="1"/>
  <c r="BH1286" i="17" s="1"/>
  <c r="BF1288" i="17"/>
  <c r="BG1288" i="17" s="1"/>
  <c r="BH1288" i="17" s="1"/>
  <c r="BF1290" i="17"/>
  <c r="BG1290" i="17" s="1"/>
  <c r="BH1290" i="17" s="1"/>
  <c r="BF1292" i="17"/>
  <c r="BG1292" i="17" s="1"/>
  <c r="BH1292" i="17" s="1"/>
  <c r="BF1294" i="17"/>
  <c r="BG1294" i="17" s="1"/>
  <c r="BH1294" i="17" s="1"/>
  <c r="BF1296" i="17"/>
  <c r="BG1296" i="17" s="1"/>
  <c r="BH1296" i="17" s="1"/>
  <c r="BF1298" i="17"/>
  <c r="BG1298" i="17" s="1"/>
  <c r="BH1298" i="17" s="1"/>
  <c r="BF1300" i="17"/>
  <c r="BG1300" i="17" s="1"/>
  <c r="BH1300" i="17" s="1"/>
  <c r="BF1302" i="17"/>
  <c r="BG1302" i="17" s="1"/>
  <c r="BH1302" i="17" s="1"/>
  <c r="BF1304" i="17"/>
  <c r="BG1304" i="17" s="1"/>
  <c r="BH1304" i="17" s="1"/>
  <c r="BF1306" i="17"/>
  <c r="BG1306" i="17" s="1"/>
  <c r="BH1306" i="17" s="1"/>
  <c r="BL1024" i="17"/>
  <c r="BM1024" i="17" s="1"/>
  <c r="BN1024" i="17" s="1"/>
  <c r="BL1026" i="17"/>
  <c r="BM1026" i="17" s="1"/>
  <c r="BN1026" i="17" s="1"/>
  <c r="BL1028" i="17"/>
  <c r="BM1028" i="17" s="1"/>
  <c r="BN1028" i="17" s="1"/>
  <c r="BL1030" i="17"/>
  <c r="BM1030" i="17" s="1"/>
  <c r="BN1030" i="17" s="1"/>
  <c r="BL1032" i="17"/>
  <c r="BM1032" i="17" s="1"/>
  <c r="BN1032" i="17" s="1"/>
  <c r="BL1034" i="17"/>
  <c r="BM1034" i="17" s="1"/>
  <c r="BN1034" i="17" s="1"/>
  <c r="BL1036" i="17"/>
  <c r="BM1036" i="17" s="1"/>
  <c r="BN1036" i="17" s="1"/>
  <c r="BL1038" i="17"/>
  <c r="BM1038" i="17" s="1"/>
  <c r="BN1038" i="17" s="1"/>
  <c r="BL1040" i="17"/>
  <c r="BM1040" i="17" s="1"/>
  <c r="BN1040" i="17" s="1"/>
  <c r="BL1042" i="17"/>
  <c r="BM1042" i="17" s="1"/>
  <c r="BN1042" i="17" s="1"/>
  <c r="BL1044" i="17"/>
  <c r="BM1044" i="17" s="1"/>
  <c r="BN1044" i="17" s="1"/>
  <c r="BL1046" i="17"/>
  <c r="BM1046" i="17" s="1"/>
  <c r="BN1046" i="17" s="1"/>
  <c r="BL1048" i="17"/>
  <c r="BM1048" i="17" s="1"/>
  <c r="BN1048" i="17" s="1"/>
  <c r="BL1050" i="17"/>
  <c r="BM1050" i="17" s="1"/>
  <c r="BN1050" i="17" s="1"/>
  <c r="BL1052" i="17"/>
  <c r="BM1052" i="17" s="1"/>
  <c r="BN1052" i="17" s="1"/>
  <c r="BL1054" i="17"/>
  <c r="BM1054" i="17" s="1"/>
  <c r="BN1054" i="17" s="1"/>
  <c r="BL1056" i="17"/>
  <c r="BM1056" i="17" s="1"/>
  <c r="BN1056" i="17" s="1"/>
  <c r="BL1058" i="17"/>
  <c r="BM1058" i="17" s="1"/>
  <c r="BN1058" i="17" s="1"/>
  <c r="BL1060" i="17"/>
  <c r="BM1060" i="17" s="1"/>
  <c r="BN1060" i="17" s="1"/>
  <c r="BL1062" i="17"/>
  <c r="BM1062" i="17" s="1"/>
  <c r="BN1062" i="17" s="1"/>
  <c r="BL1064" i="17"/>
  <c r="BM1064" i="17" s="1"/>
  <c r="BN1064" i="17" s="1"/>
  <c r="BL1066" i="17"/>
  <c r="BM1066" i="17" s="1"/>
  <c r="BN1066" i="17" s="1"/>
  <c r="BL1068" i="17"/>
  <c r="BM1068" i="17" s="1"/>
  <c r="BN1068" i="17" s="1"/>
  <c r="BL1070" i="17"/>
  <c r="BM1070" i="17" s="1"/>
  <c r="BN1070" i="17" s="1"/>
  <c r="BL1072" i="17"/>
  <c r="BM1072" i="17" s="1"/>
  <c r="BN1072" i="17" s="1"/>
  <c r="BL1074" i="17"/>
  <c r="BM1074" i="17" s="1"/>
  <c r="BN1074" i="17" s="1"/>
  <c r="BL1076" i="17"/>
  <c r="BM1076" i="17" s="1"/>
  <c r="BN1076" i="17" s="1"/>
  <c r="BL1078" i="17"/>
  <c r="BM1078" i="17" s="1"/>
  <c r="BN1078" i="17" s="1"/>
  <c r="BL1080" i="17"/>
  <c r="BM1080" i="17" s="1"/>
  <c r="BN1080" i="17" s="1"/>
  <c r="BL1082" i="17"/>
  <c r="BM1082" i="17" s="1"/>
  <c r="BN1082" i="17" s="1"/>
  <c r="BL1084" i="17"/>
  <c r="BM1084" i="17" s="1"/>
  <c r="BN1084" i="17" s="1"/>
  <c r="BL1086" i="17"/>
  <c r="BM1086" i="17" s="1"/>
  <c r="BN1086" i="17" s="1"/>
  <c r="BL1088" i="17"/>
  <c r="BM1088" i="17" s="1"/>
  <c r="BN1088" i="17" s="1"/>
  <c r="BL1090" i="17"/>
  <c r="BM1090" i="17" s="1"/>
  <c r="BN1090" i="17" s="1"/>
  <c r="BL1092" i="17"/>
  <c r="BM1092" i="17" s="1"/>
  <c r="BN1092" i="17" s="1"/>
  <c r="BL1094" i="17"/>
  <c r="BM1094" i="17" s="1"/>
  <c r="BN1094" i="17" s="1"/>
  <c r="BL1096" i="17"/>
  <c r="BM1096" i="17" s="1"/>
  <c r="BN1096" i="17" s="1"/>
  <c r="BL1098" i="17"/>
  <c r="BM1098" i="17" s="1"/>
  <c r="BN1098" i="17" s="1"/>
  <c r="BL1100" i="17"/>
  <c r="BM1100" i="17" s="1"/>
  <c r="BN1100" i="17" s="1"/>
  <c r="BL1102" i="17"/>
  <c r="BM1102" i="17" s="1"/>
  <c r="BN1102" i="17" s="1"/>
  <c r="BL1104" i="17"/>
  <c r="BM1104" i="17" s="1"/>
  <c r="BN1104" i="17" s="1"/>
  <c r="BL1106" i="17"/>
  <c r="BM1106" i="17" s="1"/>
  <c r="BN1106" i="17" s="1"/>
  <c r="BL1108" i="17"/>
  <c r="BM1108" i="17" s="1"/>
  <c r="BN1108" i="17" s="1"/>
  <c r="BL1110" i="17"/>
  <c r="BM1110" i="17" s="1"/>
  <c r="BN1110" i="17" s="1"/>
  <c r="BL1112" i="17"/>
  <c r="BM1112" i="17" s="1"/>
  <c r="BN1112" i="17" s="1"/>
  <c r="BL1114" i="17"/>
  <c r="BM1114" i="17" s="1"/>
  <c r="BN1114" i="17" s="1"/>
  <c r="BL1116" i="17"/>
  <c r="BM1116" i="17" s="1"/>
  <c r="BN1116" i="17" s="1"/>
  <c r="BL1118" i="17"/>
  <c r="BM1118" i="17" s="1"/>
  <c r="BN1118" i="17" s="1"/>
  <c r="BL1120" i="17"/>
  <c r="BM1120" i="17" s="1"/>
  <c r="BN1120" i="17" s="1"/>
  <c r="BL1122" i="17"/>
  <c r="BM1122" i="17" s="1"/>
  <c r="BN1122" i="17" s="1"/>
  <c r="BL1124" i="17"/>
  <c r="BM1124" i="17" s="1"/>
  <c r="BN1124" i="17" s="1"/>
  <c r="BL1126" i="17"/>
  <c r="BM1126" i="17" s="1"/>
  <c r="BN1126" i="17" s="1"/>
  <c r="BL1128" i="17"/>
  <c r="BM1128" i="17" s="1"/>
  <c r="BN1128" i="17" s="1"/>
  <c r="BL1130" i="17"/>
  <c r="BM1130" i="17" s="1"/>
  <c r="BN1130" i="17" s="1"/>
  <c r="BL1132" i="17"/>
  <c r="BM1132" i="17" s="1"/>
  <c r="BN1132" i="17" s="1"/>
  <c r="BL1134" i="17"/>
  <c r="BM1134" i="17" s="1"/>
  <c r="BN1134" i="17" s="1"/>
  <c r="BL1136" i="17"/>
  <c r="BM1136" i="17" s="1"/>
  <c r="BN1136" i="17" s="1"/>
  <c r="BL1138" i="17"/>
  <c r="BM1138" i="17" s="1"/>
  <c r="BN1138" i="17" s="1"/>
  <c r="BL1140" i="17"/>
  <c r="BM1140" i="17" s="1"/>
  <c r="BN1140" i="17" s="1"/>
  <c r="BL1142" i="17"/>
  <c r="BM1142" i="17" s="1"/>
  <c r="BN1142" i="17" s="1"/>
  <c r="BL1144" i="17"/>
  <c r="BM1144" i="17" s="1"/>
  <c r="BN1144" i="17" s="1"/>
  <c r="BL1146" i="17"/>
  <c r="BM1146" i="17" s="1"/>
  <c r="BN1146" i="17" s="1"/>
  <c r="BL1148" i="17"/>
  <c r="BM1148" i="17" s="1"/>
  <c r="BN1148" i="17" s="1"/>
  <c r="BL1150" i="17"/>
  <c r="BM1150" i="17" s="1"/>
  <c r="BN1150" i="17" s="1"/>
  <c r="BL1152" i="17"/>
  <c r="BM1152" i="17" s="1"/>
  <c r="BN1152" i="17" s="1"/>
  <c r="BL1154" i="17"/>
  <c r="BM1154" i="17" s="1"/>
  <c r="BN1154" i="17" s="1"/>
  <c r="BL1156" i="17"/>
  <c r="BM1156" i="17" s="1"/>
  <c r="BN1156" i="17" s="1"/>
  <c r="BL1158" i="17"/>
  <c r="BM1158" i="17" s="1"/>
  <c r="BN1158" i="17" s="1"/>
  <c r="BL1160" i="17"/>
  <c r="BM1160" i="17" s="1"/>
  <c r="BN1160" i="17" s="1"/>
  <c r="BL1162" i="17"/>
  <c r="BM1162" i="17" s="1"/>
  <c r="BN1162" i="17" s="1"/>
  <c r="BL1164" i="17"/>
  <c r="BM1164" i="17" s="1"/>
  <c r="BN1164" i="17" s="1"/>
  <c r="BL1166" i="17"/>
  <c r="BM1166" i="17" s="1"/>
  <c r="BN1166" i="17" s="1"/>
  <c r="BL1168" i="17"/>
  <c r="BM1168" i="17" s="1"/>
  <c r="BN1168" i="17" s="1"/>
  <c r="BL1170" i="17"/>
  <c r="BM1170" i="17" s="1"/>
  <c r="BN1170" i="17" s="1"/>
  <c r="BL1172" i="17"/>
  <c r="BM1172" i="17" s="1"/>
  <c r="BN1172" i="17" s="1"/>
  <c r="BL1174" i="17"/>
  <c r="BM1174" i="17" s="1"/>
  <c r="BN1174" i="17" s="1"/>
  <c r="BL1176" i="17"/>
  <c r="BM1176" i="17" s="1"/>
  <c r="BN1176" i="17" s="1"/>
  <c r="BL1178" i="17"/>
  <c r="BM1178" i="17" s="1"/>
  <c r="BN1178" i="17" s="1"/>
  <c r="BL1180" i="17"/>
  <c r="BM1180" i="17" s="1"/>
  <c r="BN1180" i="17" s="1"/>
  <c r="BL1182" i="17"/>
  <c r="BM1182" i="17" s="1"/>
  <c r="BN1182" i="17" s="1"/>
  <c r="BL1184" i="17"/>
  <c r="BM1184" i="17" s="1"/>
  <c r="BN1184" i="17" s="1"/>
  <c r="BL1186" i="17"/>
  <c r="BM1186" i="17" s="1"/>
  <c r="BN1186" i="17" s="1"/>
  <c r="BL1188" i="17"/>
  <c r="BM1188" i="17" s="1"/>
  <c r="BN1188" i="17" s="1"/>
  <c r="BL1190" i="17"/>
  <c r="BM1190" i="17" s="1"/>
  <c r="BN1190" i="17" s="1"/>
  <c r="BL1192" i="17"/>
  <c r="BM1192" i="17" s="1"/>
  <c r="BN1192" i="17" s="1"/>
  <c r="BL1194" i="17"/>
  <c r="BM1194" i="17" s="1"/>
  <c r="BN1194" i="17" s="1"/>
  <c r="BL1196" i="17"/>
  <c r="BM1196" i="17" s="1"/>
  <c r="BN1196" i="17" s="1"/>
  <c r="BL1198" i="17"/>
  <c r="BM1198" i="17" s="1"/>
  <c r="BN1198" i="17" s="1"/>
  <c r="BL1200" i="17"/>
  <c r="BM1200" i="17" s="1"/>
  <c r="BN1200" i="17" s="1"/>
  <c r="BL1202" i="17"/>
  <c r="BM1202" i="17" s="1"/>
  <c r="BN1202" i="17" s="1"/>
  <c r="BL1204" i="17"/>
  <c r="BM1204" i="17" s="1"/>
  <c r="BN1204" i="17" s="1"/>
  <c r="BL1206" i="17"/>
  <c r="BM1206" i="17" s="1"/>
  <c r="BN1206" i="17" s="1"/>
  <c r="BL1208" i="17"/>
  <c r="BM1208" i="17" s="1"/>
  <c r="BN1208" i="17" s="1"/>
  <c r="BL1210" i="17"/>
  <c r="BM1210" i="17" s="1"/>
  <c r="BN1210" i="17" s="1"/>
  <c r="BL1212" i="17"/>
  <c r="BM1212" i="17" s="1"/>
  <c r="BN1212" i="17" s="1"/>
  <c r="BL1214" i="17"/>
  <c r="BM1214" i="17" s="1"/>
  <c r="BN1214" i="17" s="1"/>
  <c r="BL1216" i="17"/>
  <c r="BM1216" i="17" s="1"/>
  <c r="BN1216" i="17" s="1"/>
  <c r="BL1218" i="17"/>
  <c r="BM1218" i="17" s="1"/>
  <c r="BN1218" i="17" s="1"/>
  <c r="BL1220" i="17"/>
  <c r="BM1220" i="17" s="1"/>
  <c r="BN1220" i="17" s="1"/>
  <c r="BL1222" i="17"/>
  <c r="BM1222" i="17" s="1"/>
  <c r="BN1222" i="17" s="1"/>
  <c r="BL1224" i="17"/>
  <c r="BM1224" i="17" s="1"/>
  <c r="BN1224" i="17" s="1"/>
  <c r="BL1226" i="17"/>
  <c r="BM1226" i="17" s="1"/>
  <c r="BN1226" i="17" s="1"/>
  <c r="BL1228" i="17"/>
  <c r="BM1228" i="17" s="1"/>
  <c r="BN1228" i="17" s="1"/>
  <c r="BL1230" i="17"/>
  <c r="BM1230" i="17" s="1"/>
  <c r="BN1230" i="17" s="1"/>
  <c r="BL1232" i="17"/>
  <c r="BM1232" i="17" s="1"/>
  <c r="BN1232" i="17" s="1"/>
  <c r="BL1234" i="17"/>
  <c r="BM1234" i="17" s="1"/>
  <c r="BN1234" i="17" s="1"/>
  <c r="BL1236" i="17"/>
  <c r="BM1236" i="17" s="1"/>
  <c r="BN1236" i="17" s="1"/>
  <c r="BL1238" i="17"/>
  <c r="BM1238" i="17" s="1"/>
  <c r="BN1238" i="17" s="1"/>
  <c r="BL1240" i="17"/>
  <c r="BM1240" i="17" s="1"/>
  <c r="BN1240" i="17" s="1"/>
  <c r="BL1242" i="17"/>
  <c r="BM1242" i="17" s="1"/>
  <c r="BN1242" i="17" s="1"/>
  <c r="BL1244" i="17"/>
  <c r="BM1244" i="17" s="1"/>
  <c r="BN1244" i="17" s="1"/>
  <c r="BL1246" i="17"/>
  <c r="BM1246" i="17" s="1"/>
  <c r="BN1246" i="17" s="1"/>
  <c r="BL1248" i="17"/>
  <c r="BM1248" i="17" s="1"/>
  <c r="BN1248" i="17" s="1"/>
  <c r="BL1250" i="17"/>
  <c r="BM1250" i="17" s="1"/>
  <c r="BN1250" i="17" s="1"/>
  <c r="BL1252" i="17"/>
  <c r="BM1252" i="17" s="1"/>
  <c r="BN1252" i="17" s="1"/>
  <c r="BL1254" i="17"/>
  <c r="BM1254" i="17" s="1"/>
  <c r="BN1254" i="17" s="1"/>
  <c r="BL1256" i="17"/>
  <c r="BM1256" i="17" s="1"/>
  <c r="BN1256" i="17" s="1"/>
  <c r="BL1258" i="17"/>
  <c r="BM1258" i="17" s="1"/>
  <c r="BN1258" i="17" s="1"/>
  <c r="BL1260" i="17"/>
  <c r="BM1260" i="17" s="1"/>
  <c r="BN1260" i="17" s="1"/>
  <c r="BL1262" i="17"/>
  <c r="BM1262" i="17" s="1"/>
  <c r="BN1262" i="17" s="1"/>
  <c r="BL1264" i="17"/>
  <c r="BM1264" i="17" s="1"/>
  <c r="BN1264" i="17" s="1"/>
  <c r="BL1266" i="17"/>
  <c r="BM1266" i="17" s="1"/>
  <c r="BN1266" i="17" s="1"/>
  <c r="BL1268" i="17"/>
  <c r="BM1268" i="17" s="1"/>
  <c r="BN1268" i="17" s="1"/>
  <c r="BL1270" i="17"/>
  <c r="BM1270" i="17" s="1"/>
  <c r="BN1270" i="17" s="1"/>
  <c r="BL1272" i="17"/>
  <c r="BM1272" i="17" s="1"/>
  <c r="BN1272" i="17" s="1"/>
  <c r="BL1274" i="17"/>
  <c r="BM1274" i="17" s="1"/>
  <c r="BN1274" i="17" s="1"/>
  <c r="BL1276" i="17"/>
  <c r="BM1276" i="17" s="1"/>
  <c r="BN1276" i="17" s="1"/>
  <c r="BL1278" i="17"/>
  <c r="BM1278" i="17" s="1"/>
  <c r="BN1278" i="17" s="1"/>
  <c r="BL1280" i="17"/>
  <c r="BM1280" i="17" s="1"/>
  <c r="BN1280" i="17" s="1"/>
  <c r="BL1282" i="17"/>
  <c r="BM1282" i="17" s="1"/>
  <c r="BN1282" i="17" s="1"/>
  <c r="BL1284" i="17"/>
  <c r="BM1284" i="17" s="1"/>
  <c r="BN1284" i="17" s="1"/>
  <c r="BL1286" i="17"/>
  <c r="BM1286" i="17" s="1"/>
  <c r="BN1286" i="17" s="1"/>
  <c r="BL1288" i="17"/>
  <c r="BM1288" i="17" s="1"/>
  <c r="BN1288" i="17" s="1"/>
  <c r="BL1290" i="17"/>
  <c r="BM1290" i="17" s="1"/>
  <c r="BN1290" i="17" s="1"/>
  <c r="BL1292" i="17"/>
  <c r="BM1292" i="17" s="1"/>
  <c r="BN1292" i="17" s="1"/>
  <c r="BL1294" i="17"/>
  <c r="BM1294" i="17" s="1"/>
  <c r="BN1294" i="17" s="1"/>
  <c r="BL1296" i="17"/>
  <c r="BM1296" i="17" s="1"/>
  <c r="BN1296" i="17" s="1"/>
  <c r="BL1298" i="17"/>
  <c r="BM1298" i="17" s="1"/>
  <c r="BN1298" i="17" s="1"/>
  <c r="BL1300" i="17"/>
  <c r="BM1300" i="17" s="1"/>
  <c r="BN1300" i="17" s="1"/>
  <c r="BL1302" i="17"/>
  <c r="BM1302" i="17" s="1"/>
  <c r="BN1302" i="17" s="1"/>
  <c r="BL1304" i="17"/>
  <c r="BM1304" i="17" s="1"/>
  <c r="BN1304" i="17" s="1"/>
  <c r="BL1306" i="17"/>
  <c r="BM1306" i="17" s="1"/>
  <c r="BN1306" i="17" s="1"/>
  <c r="BR1012" i="17"/>
  <c r="BS1012" i="17" s="1"/>
  <c r="BT1012" i="17" s="1"/>
  <c r="BR1014" i="17"/>
  <c r="BS1014" i="17" s="1"/>
  <c r="BT1014" i="17" s="1"/>
  <c r="BR1016" i="17"/>
  <c r="BS1016" i="17" s="1"/>
  <c r="BT1016" i="17" s="1"/>
  <c r="BR1018" i="17"/>
  <c r="BS1018" i="17" s="1"/>
  <c r="BT1018" i="17" s="1"/>
  <c r="BR1020" i="17"/>
  <c r="BS1020" i="17" s="1"/>
  <c r="BT1020" i="17" s="1"/>
  <c r="BR1022" i="17"/>
  <c r="BS1022" i="17" s="1"/>
  <c r="BT1022" i="17" s="1"/>
  <c r="BR1024" i="17"/>
  <c r="BS1024" i="17" s="1"/>
  <c r="BT1024" i="17" s="1"/>
  <c r="BR1026" i="17"/>
  <c r="BS1026" i="17" s="1"/>
  <c r="BT1026" i="17" s="1"/>
  <c r="BR1028" i="17"/>
  <c r="BS1028" i="17" s="1"/>
  <c r="BT1028" i="17" s="1"/>
  <c r="BR1030" i="17"/>
  <c r="BS1030" i="17" s="1"/>
  <c r="BT1030" i="17" s="1"/>
  <c r="BR1032" i="17"/>
  <c r="BS1032" i="17" s="1"/>
  <c r="BT1032" i="17" s="1"/>
  <c r="BR1034" i="17"/>
  <c r="BS1034" i="17" s="1"/>
  <c r="BT1034" i="17" s="1"/>
  <c r="BR1036" i="17"/>
  <c r="BS1036" i="17" s="1"/>
  <c r="BT1036" i="17" s="1"/>
  <c r="BR1038" i="17"/>
  <c r="BS1038" i="17" s="1"/>
  <c r="BT1038" i="17" s="1"/>
  <c r="BR1040" i="17"/>
  <c r="BS1040" i="17" s="1"/>
  <c r="BT1040" i="17" s="1"/>
  <c r="BR1042" i="17"/>
  <c r="BS1042" i="17" s="1"/>
  <c r="BT1042" i="17" s="1"/>
  <c r="BR1044" i="17"/>
  <c r="BS1044" i="17" s="1"/>
  <c r="BT1044" i="17" s="1"/>
  <c r="BR1046" i="17"/>
  <c r="BS1046" i="17" s="1"/>
  <c r="BT1046" i="17" s="1"/>
  <c r="BR1048" i="17"/>
  <c r="BS1048" i="17" s="1"/>
  <c r="BT1048" i="17" s="1"/>
  <c r="BR1050" i="17"/>
  <c r="BS1050" i="17" s="1"/>
  <c r="BT1050" i="17" s="1"/>
  <c r="BR1052" i="17"/>
  <c r="BS1052" i="17" s="1"/>
  <c r="BT1052" i="17" s="1"/>
  <c r="BR1054" i="17"/>
  <c r="BS1054" i="17" s="1"/>
  <c r="BT1054" i="17" s="1"/>
  <c r="BR1056" i="17"/>
  <c r="BS1056" i="17" s="1"/>
  <c r="BT1056" i="17" s="1"/>
  <c r="BR1058" i="17"/>
  <c r="BS1058" i="17" s="1"/>
  <c r="BT1058" i="17" s="1"/>
  <c r="BR1060" i="17"/>
  <c r="BS1060" i="17" s="1"/>
  <c r="BT1060" i="17" s="1"/>
  <c r="BR1062" i="17"/>
  <c r="BS1062" i="17" s="1"/>
  <c r="BT1062" i="17" s="1"/>
  <c r="BR1064" i="17"/>
  <c r="BS1064" i="17" s="1"/>
  <c r="BT1064" i="17" s="1"/>
  <c r="BR1066" i="17"/>
  <c r="BS1066" i="17" s="1"/>
  <c r="BT1066" i="17" s="1"/>
  <c r="BR1068" i="17"/>
  <c r="BS1068" i="17" s="1"/>
  <c r="BT1068" i="17" s="1"/>
  <c r="BR1070" i="17"/>
  <c r="BS1070" i="17" s="1"/>
  <c r="BT1070" i="17" s="1"/>
  <c r="BR1072" i="17"/>
  <c r="BS1072" i="17" s="1"/>
  <c r="BT1072" i="17" s="1"/>
  <c r="BR1074" i="17"/>
  <c r="BS1074" i="17" s="1"/>
  <c r="BT1074" i="17" s="1"/>
  <c r="BR1076" i="17"/>
  <c r="BS1076" i="17" s="1"/>
  <c r="BT1076" i="17" s="1"/>
  <c r="BR1078" i="17"/>
  <c r="BS1078" i="17" s="1"/>
  <c r="BT1078" i="17" s="1"/>
  <c r="BR1080" i="17"/>
  <c r="BS1080" i="17" s="1"/>
  <c r="BT1080" i="17" s="1"/>
  <c r="BR1082" i="17"/>
  <c r="BS1082" i="17" s="1"/>
  <c r="BT1082" i="17" s="1"/>
  <c r="BR1084" i="17"/>
  <c r="BS1084" i="17" s="1"/>
  <c r="BT1084" i="17" s="1"/>
  <c r="BR1086" i="17"/>
  <c r="BS1086" i="17" s="1"/>
  <c r="BT1086" i="17" s="1"/>
  <c r="BR1088" i="17"/>
  <c r="BS1088" i="17" s="1"/>
  <c r="BT1088" i="17" s="1"/>
  <c r="BR1090" i="17"/>
  <c r="BS1090" i="17" s="1"/>
  <c r="BT1090" i="17" s="1"/>
  <c r="BR1092" i="17"/>
  <c r="BS1092" i="17" s="1"/>
  <c r="BT1092" i="17" s="1"/>
  <c r="BR1094" i="17"/>
  <c r="BS1094" i="17" s="1"/>
  <c r="BT1094" i="17" s="1"/>
  <c r="BR1096" i="17"/>
  <c r="BS1096" i="17" s="1"/>
  <c r="BT1096" i="17" s="1"/>
  <c r="BR1098" i="17"/>
  <c r="BS1098" i="17" s="1"/>
  <c r="BT1098" i="17" s="1"/>
  <c r="BR1100" i="17"/>
  <c r="BS1100" i="17" s="1"/>
  <c r="BT1100" i="17" s="1"/>
  <c r="BR1102" i="17"/>
  <c r="BS1102" i="17" s="1"/>
  <c r="BT1102" i="17" s="1"/>
  <c r="BR1104" i="17"/>
  <c r="BS1104" i="17" s="1"/>
  <c r="BT1104" i="17" s="1"/>
  <c r="BR1106" i="17"/>
  <c r="BS1106" i="17" s="1"/>
  <c r="BT1106" i="17" s="1"/>
  <c r="BR1108" i="17"/>
  <c r="BS1108" i="17" s="1"/>
  <c r="BT1108" i="17" s="1"/>
  <c r="BR1110" i="17"/>
  <c r="BS1110" i="17" s="1"/>
  <c r="BT1110" i="17" s="1"/>
  <c r="BR1112" i="17"/>
  <c r="BS1112" i="17" s="1"/>
  <c r="BT1112" i="17" s="1"/>
  <c r="BR1114" i="17"/>
  <c r="BS1114" i="17" s="1"/>
  <c r="BT1114" i="17" s="1"/>
  <c r="BR1116" i="17"/>
  <c r="BS1116" i="17" s="1"/>
  <c r="BT1116" i="17" s="1"/>
  <c r="BR1118" i="17"/>
  <c r="BS1118" i="17" s="1"/>
  <c r="BT1118" i="17" s="1"/>
  <c r="BR1120" i="17"/>
  <c r="BS1120" i="17" s="1"/>
  <c r="BT1120" i="17" s="1"/>
  <c r="BR1122" i="17"/>
  <c r="BS1122" i="17" s="1"/>
  <c r="BT1122" i="17" s="1"/>
  <c r="BR1124" i="17"/>
  <c r="BS1124" i="17" s="1"/>
  <c r="BT1124" i="17" s="1"/>
  <c r="BR1126" i="17"/>
  <c r="BS1126" i="17" s="1"/>
  <c r="BT1126" i="17" s="1"/>
  <c r="BR1128" i="17"/>
  <c r="BS1128" i="17" s="1"/>
  <c r="BT1128" i="17" s="1"/>
  <c r="BR1130" i="17"/>
  <c r="BS1130" i="17" s="1"/>
  <c r="BT1130" i="17" s="1"/>
  <c r="BR1132" i="17"/>
  <c r="BS1132" i="17" s="1"/>
  <c r="BT1132" i="17" s="1"/>
  <c r="BR1134" i="17"/>
  <c r="BS1134" i="17" s="1"/>
  <c r="BT1134" i="17" s="1"/>
  <c r="BR1136" i="17"/>
  <c r="BS1136" i="17" s="1"/>
  <c r="BT1136" i="17" s="1"/>
  <c r="BR1138" i="17"/>
  <c r="BS1138" i="17" s="1"/>
  <c r="BT1138" i="17" s="1"/>
  <c r="BR1140" i="17"/>
  <c r="BS1140" i="17" s="1"/>
  <c r="BT1140" i="17" s="1"/>
  <c r="BR1142" i="17"/>
  <c r="BS1142" i="17" s="1"/>
  <c r="BT1142" i="17" s="1"/>
  <c r="BR1144" i="17"/>
  <c r="BS1144" i="17" s="1"/>
  <c r="BT1144" i="17" s="1"/>
  <c r="BR1146" i="17"/>
  <c r="BS1146" i="17" s="1"/>
  <c r="BT1146" i="17" s="1"/>
  <c r="BR1148" i="17"/>
  <c r="BS1148" i="17" s="1"/>
  <c r="BT1148" i="17" s="1"/>
  <c r="BR1150" i="17"/>
  <c r="BS1150" i="17" s="1"/>
  <c r="BT1150" i="17" s="1"/>
  <c r="BR1152" i="17"/>
  <c r="BS1152" i="17" s="1"/>
  <c r="BT1152" i="17" s="1"/>
  <c r="BR1154" i="17"/>
  <c r="BS1154" i="17" s="1"/>
  <c r="BT1154" i="17" s="1"/>
  <c r="BR1156" i="17"/>
  <c r="BS1156" i="17" s="1"/>
  <c r="BT1156" i="17" s="1"/>
  <c r="BR1158" i="17"/>
  <c r="BS1158" i="17" s="1"/>
  <c r="BT1158" i="17" s="1"/>
  <c r="BR1160" i="17"/>
  <c r="BS1160" i="17" s="1"/>
  <c r="BT1160" i="17" s="1"/>
  <c r="BR1162" i="17"/>
  <c r="BS1162" i="17" s="1"/>
  <c r="BT1162" i="17" s="1"/>
  <c r="BR1164" i="17"/>
  <c r="BS1164" i="17" s="1"/>
  <c r="BT1164" i="17" s="1"/>
  <c r="BR1166" i="17"/>
  <c r="BS1166" i="17" s="1"/>
  <c r="BT1166" i="17" s="1"/>
  <c r="BR1168" i="17"/>
  <c r="BS1168" i="17" s="1"/>
  <c r="BT1168" i="17" s="1"/>
  <c r="BR1170" i="17"/>
  <c r="BS1170" i="17" s="1"/>
  <c r="BT1170" i="17" s="1"/>
  <c r="BR1172" i="17"/>
  <c r="BS1172" i="17" s="1"/>
  <c r="BT1172" i="17" s="1"/>
  <c r="BR1174" i="17"/>
  <c r="BS1174" i="17" s="1"/>
  <c r="BT1174" i="17" s="1"/>
  <c r="BR1176" i="17"/>
  <c r="BS1176" i="17" s="1"/>
  <c r="BT1176" i="17" s="1"/>
  <c r="BR1178" i="17"/>
  <c r="BS1178" i="17" s="1"/>
  <c r="BT1178" i="17" s="1"/>
  <c r="BR1180" i="17"/>
  <c r="BS1180" i="17" s="1"/>
  <c r="BT1180" i="17" s="1"/>
  <c r="BR1182" i="17"/>
  <c r="BS1182" i="17" s="1"/>
  <c r="BT1182" i="17" s="1"/>
  <c r="BR1184" i="17"/>
  <c r="BS1184" i="17" s="1"/>
  <c r="BT1184" i="17" s="1"/>
  <c r="BR1186" i="17"/>
  <c r="BS1186" i="17" s="1"/>
  <c r="BT1186" i="17" s="1"/>
  <c r="BR1188" i="17"/>
  <c r="BS1188" i="17" s="1"/>
  <c r="BT1188" i="17" s="1"/>
  <c r="BR1190" i="17"/>
  <c r="BS1190" i="17" s="1"/>
  <c r="BT1190" i="17" s="1"/>
  <c r="BR1192" i="17"/>
  <c r="BS1192" i="17" s="1"/>
  <c r="BT1192" i="17" s="1"/>
  <c r="BR1194" i="17"/>
  <c r="BS1194" i="17" s="1"/>
  <c r="BT1194" i="17" s="1"/>
  <c r="BR1196" i="17"/>
  <c r="BS1196" i="17" s="1"/>
  <c r="BT1196" i="17" s="1"/>
  <c r="BR1198" i="17"/>
  <c r="BS1198" i="17" s="1"/>
  <c r="BT1198" i="17" s="1"/>
  <c r="BR1200" i="17"/>
  <c r="BS1200" i="17" s="1"/>
  <c r="BT1200" i="17" s="1"/>
  <c r="BR1202" i="17"/>
  <c r="BS1202" i="17" s="1"/>
  <c r="BT1202" i="17" s="1"/>
  <c r="BR1204" i="17"/>
  <c r="BS1204" i="17" s="1"/>
  <c r="BT1204" i="17" s="1"/>
  <c r="BR1206" i="17"/>
  <c r="BS1206" i="17" s="1"/>
  <c r="BT1206" i="17" s="1"/>
  <c r="BR1208" i="17"/>
  <c r="BS1208" i="17" s="1"/>
  <c r="BT1208" i="17" s="1"/>
  <c r="BR1210" i="17"/>
  <c r="BS1210" i="17" s="1"/>
  <c r="BT1210" i="17" s="1"/>
  <c r="BR1212" i="17"/>
  <c r="BS1212" i="17" s="1"/>
  <c r="BT1212" i="17" s="1"/>
  <c r="BR1214" i="17"/>
  <c r="BS1214" i="17" s="1"/>
  <c r="BT1214" i="17" s="1"/>
  <c r="BR1216" i="17"/>
  <c r="BS1216" i="17" s="1"/>
  <c r="BT1216" i="17" s="1"/>
  <c r="BR1218" i="17"/>
  <c r="BS1218" i="17" s="1"/>
  <c r="BT1218" i="17" s="1"/>
  <c r="BR1220" i="17"/>
  <c r="BS1220" i="17" s="1"/>
  <c r="BT1220" i="17" s="1"/>
  <c r="BR1222" i="17"/>
  <c r="BS1222" i="17" s="1"/>
  <c r="BT1222" i="17" s="1"/>
  <c r="BR1224" i="17"/>
  <c r="BS1224" i="17" s="1"/>
  <c r="BT1224" i="17" s="1"/>
  <c r="BR1226" i="17"/>
  <c r="BS1226" i="17" s="1"/>
  <c r="BT1226" i="17" s="1"/>
  <c r="BR1228" i="17"/>
  <c r="BS1228" i="17" s="1"/>
  <c r="BT1228" i="17" s="1"/>
  <c r="BR1230" i="17"/>
  <c r="BS1230" i="17" s="1"/>
  <c r="BT1230" i="17" s="1"/>
  <c r="BR1232" i="17"/>
  <c r="BS1232" i="17" s="1"/>
  <c r="BT1232" i="17" s="1"/>
  <c r="BR1234" i="17"/>
  <c r="BS1234" i="17" s="1"/>
  <c r="BT1234" i="17" s="1"/>
  <c r="BR1236" i="17"/>
  <c r="BS1236" i="17" s="1"/>
  <c r="BT1236" i="17" s="1"/>
  <c r="BR1238" i="17"/>
  <c r="BS1238" i="17" s="1"/>
  <c r="BT1238" i="17" s="1"/>
  <c r="BR1240" i="17"/>
  <c r="BS1240" i="17" s="1"/>
  <c r="BT1240" i="17" s="1"/>
  <c r="BR1242" i="17"/>
  <c r="BS1242" i="17" s="1"/>
  <c r="BT1242" i="17" s="1"/>
  <c r="BR1244" i="17"/>
  <c r="BS1244" i="17" s="1"/>
  <c r="BT1244" i="17" s="1"/>
  <c r="BR1246" i="17"/>
  <c r="BS1246" i="17" s="1"/>
  <c r="BT1246" i="17" s="1"/>
  <c r="BR1248" i="17"/>
  <c r="BS1248" i="17" s="1"/>
  <c r="BT1248" i="17" s="1"/>
  <c r="BR1250" i="17"/>
  <c r="BS1250" i="17" s="1"/>
  <c r="BT1250" i="17" s="1"/>
  <c r="BR1252" i="17"/>
  <c r="BS1252" i="17" s="1"/>
  <c r="BT1252" i="17" s="1"/>
  <c r="BR1254" i="17"/>
  <c r="BS1254" i="17" s="1"/>
  <c r="BT1254" i="17" s="1"/>
  <c r="BR1256" i="17"/>
  <c r="BS1256" i="17" s="1"/>
  <c r="BT1256" i="17" s="1"/>
  <c r="BR1258" i="17"/>
  <c r="BS1258" i="17" s="1"/>
  <c r="BT1258" i="17" s="1"/>
  <c r="BR1260" i="17"/>
  <c r="BS1260" i="17" s="1"/>
  <c r="BT1260" i="17" s="1"/>
  <c r="BR1262" i="17"/>
  <c r="BS1262" i="17" s="1"/>
  <c r="BT1262" i="17" s="1"/>
  <c r="BR1264" i="17"/>
  <c r="BS1264" i="17" s="1"/>
  <c r="BT1264" i="17" s="1"/>
  <c r="BR1266" i="17"/>
  <c r="BS1266" i="17" s="1"/>
  <c r="BT1266" i="17" s="1"/>
  <c r="BR1268" i="17"/>
  <c r="BS1268" i="17" s="1"/>
  <c r="BT1268" i="17" s="1"/>
  <c r="BR1270" i="17"/>
  <c r="BS1270" i="17" s="1"/>
  <c r="BT1270" i="17" s="1"/>
  <c r="BR1272" i="17"/>
  <c r="BS1272" i="17" s="1"/>
  <c r="BT1272" i="17" s="1"/>
  <c r="BR1274" i="17"/>
  <c r="BS1274" i="17" s="1"/>
  <c r="BT1274" i="17" s="1"/>
  <c r="BR1276" i="17"/>
  <c r="BS1276" i="17" s="1"/>
  <c r="BT1276" i="17" s="1"/>
  <c r="BR1278" i="17"/>
  <c r="BS1278" i="17" s="1"/>
  <c r="BT1278" i="17" s="1"/>
  <c r="BR1280" i="17"/>
  <c r="BS1280" i="17" s="1"/>
  <c r="BT1280" i="17" s="1"/>
  <c r="BR1282" i="17"/>
  <c r="BS1282" i="17" s="1"/>
  <c r="BT1282" i="17" s="1"/>
  <c r="BR1284" i="17"/>
  <c r="BS1284" i="17" s="1"/>
  <c r="BT1284" i="17" s="1"/>
  <c r="BR1286" i="17"/>
  <c r="BS1286" i="17" s="1"/>
  <c r="BT1286" i="17" s="1"/>
  <c r="BR1288" i="17"/>
  <c r="BS1288" i="17" s="1"/>
  <c r="BT1288" i="17" s="1"/>
  <c r="BR1290" i="17"/>
  <c r="BS1290" i="17" s="1"/>
  <c r="BT1290" i="17" s="1"/>
  <c r="BR1292" i="17"/>
  <c r="BS1292" i="17" s="1"/>
  <c r="BT1292" i="17" s="1"/>
  <c r="BR1294" i="17"/>
  <c r="BS1294" i="17" s="1"/>
  <c r="BT1294" i="17" s="1"/>
  <c r="BR1296" i="17"/>
  <c r="BS1296" i="17" s="1"/>
  <c r="BT1296" i="17" s="1"/>
  <c r="BR1298" i="17"/>
  <c r="BS1298" i="17" s="1"/>
  <c r="BT1298" i="17" s="1"/>
  <c r="BR1300" i="17"/>
  <c r="BS1300" i="17" s="1"/>
  <c r="BT1300" i="17" s="1"/>
  <c r="BR1302" i="17"/>
  <c r="BS1302" i="17" s="1"/>
  <c r="BT1302" i="17" s="1"/>
  <c r="BX1034" i="17"/>
  <c r="BY1034" i="17" s="1"/>
  <c r="BZ1034" i="17" s="1"/>
  <c r="BX1036" i="17"/>
  <c r="BY1036" i="17" s="1"/>
  <c r="BZ1036" i="17" s="1"/>
  <c r="BX1038" i="17"/>
  <c r="BY1038" i="17" s="1"/>
  <c r="BZ1038" i="17" s="1"/>
  <c r="BX1040" i="17"/>
  <c r="BY1040" i="17" s="1"/>
  <c r="BZ1040" i="17" s="1"/>
  <c r="BX1042" i="17"/>
  <c r="BY1042" i="17" s="1"/>
  <c r="BZ1042" i="17" s="1"/>
  <c r="BX1044" i="17"/>
  <c r="BY1044" i="17" s="1"/>
  <c r="BZ1044" i="17" s="1"/>
  <c r="BX1046" i="17"/>
  <c r="BY1046" i="17" s="1"/>
  <c r="BZ1046" i="17" s="1"/>
  <c r="BX1048" i="17"/>
  <c r="BY1048" i="17" s="1"/>
  <c r="BZ1048" i="17" s="1"/>
  <c r="BX1050" i="17"/>
  <c r="BY1050" i="17" s="1"/>
  <c r="BZ1050" i="17" s="1"/>
  <c r="BX1052" i="17"/>
  <c r="BY1052" i="17" s="1"/>
  <c r="BZ1052" i="17" s="1"/>
  <c r="BX1054" i="17"/>
  <c r="BY1054" i="17" s="1"/>
  <c r="BZ1054" i="17" s="1"/>
  <c r="BX1056" i="17"/>
  <c r="BY1056" i="17" s="1"/>
  <c r="BZ1056" i="17" s="1"/>
  <c r="BX1058" i="17"/>
  <c r="BY1058" i="17" s="1"/>
  <c r="BZ1058" i="17" s="1"/>
  <c r="BX1060" i="17"/>
  <c r="BY1060" i="17" s="1"/>
  <c r="BZ1060" i="17" s="1"/>
  <c r="BX1062" i="17"/>
  <c r="BY1062" i="17" s="1"/>
  <c r="BZ1062" i="17" s="1"/>
  <c r="BX1064" i="17"/>
  <c r="BY1064" i="17" s="1"/>
  <c r="BZ1064" i="17" s="1"/>
  <c r="BX1066" i="17"/>
  <c r="BY1066" i="17" s="1"/>
  <c r="BZ1066" i="17" s="1"/>
  <c r="BX1068" i="17"/>
  <c r="BY1068" i="17" s="1"/>
  <c r="BZ1068" i="17" s="1"/>
  <c r="BX1070" i="17"/>
  <c r="BY1070" i="17" s="1"/>
  <c r="BZ1070" i="17" s="1"/>
  <c r="BX1072" i="17"/>
  <c r="BY1072" i="17" s="1"/>
  <c r="BZ1072" i="17" s="1"/>
  <c r="BX1074" i="17"/>
  <c r="BY1074" i="17" s="1"/>
  <c r="BZ1074" i="17" s="1"/>
  <c r="BX1076" i="17"/>
  <c r="BY1076" i="17" s="1"/>
  <c r="BZ1076" i="17" s="1"/>
  <c r="BX1078" i="17"/>
  <c r="BY1078" i="17" s="1"/>
  <c r="BZ1078" i="17" s="1"/>
  <c r="BX1080" i="17"/>
  <c r="BY1080" i="17" s="1"/>
  <c r="BZ1080" i="17" s="1"/>
  <c r="BX1082" i="17"/>
  <c r="BY1082" i="17" s="1"/>
  <c r="BZ1082" i="17" s="1"/>
  <c r="BX1084" i="17"/>
  <c r="BY1084" i="17" s="1"/>
  <c r="BZ1084" i="17" s="1"/>
  <c r="BX1086" i="17"/>
  <c r="BY1086" i="17" s="1"/>
  <c r="BZ1086" i="17" s="1"/>
  <c r="BX1088" i="17"/>
  <c r="BY1088" i="17" s="1"/>
  <c r="BZ1088" i="17" s="1"/>
  <c r="BX1090" i="17"/>
  <c r="BY1090" i="17" s="1"/>
  <c r="BZ1090" i="17" s="1"/>
  <c r="BX1092" i="17"/>
  <c r="BY1092" i="17" s="1"/>
  <c r="BZ1092" i="17" s="1"/>
  <c r="BX1094" i="17"/>
  <c r="BY1094" i="17" s="1"/>
  <c r="BZ1094" i="17" s="1"/>
  <c r="BX1096" i="17"/>
  <c r="BY1096" i="17" s="1"/>
  <c r="BZ1096" i="17" s="1"/>
  <c r="BX1098" i="17"/>
  <c r="BY1098" i="17" s="1"/>
  <c r="BZ1098" i="17" s="1"/>
  <c r="BX1100" i="17"/>
  <c r="BY1100" i="17" s="1"/>
  <c r="BZ1100" i="17" s="1"/>
  <c r="BX1102" i="17"/>
  <c r="BY1102" i="17" s="1"/>
  <c r="BZ1102" i="17" s="1"/>
  <c r="BX1104" i="17"/>
  <c r="BY1104" i="17" s="1"/>
  <c r="BZ1104" i="17" s="1"/>
  <c r="BX1106" i="17"/>
  <c r="BY1106" i="17" s="1"/>
  <c r="BZ1106" i="17" s="1"/>
  <c r="BX1108" i="17"/>
  <c r="BY1108" i="17" s="1"/>
  <c r="BZ1108" i="17" s="1"/>
  <c r="BX1110" i="17"/>
  <c r="BY1110" i="17" s="1"/>
  <c r="BZ1110" i="17" s="1"/>
  <c r="BX1112" i="17"/>
  <c r="BY1112" i="17" s="1"/>
  <c r="BZ1112" i="17" s="1"/>
  <c r="BX1114" i="17"/>
  <c r="BY1114" i="17" s="1"/>
  <c r="BZ1114" i="17" s="1"/>
  <c r="BX1116" i="17"/>
  <c r="BY1116" i="17" s="1"/>
  <c r="BZ1116" i="17" s="1"/>
  <c r="BX1118" i="17"/>
  <c r="BY1118" i="17" s="1"/>
  <c r="BZ1118" i="17" s="1"/>
  <c r="BX1120" i="17"/>
  <c r="BY1120" i="17" s="1"/>
  <c r="BZ1120" i="17" s="1"/>
  <c r="BX1122" i="17"/>
  <c r="BY1122" i="17" s="1"/>
  <c r="BZ1122" i="17" s="1"/>
  <c r="BX1124" i="17"/>
  <c r="BY1124" i="17" s="1"/>
  <c r="BZ1124" i="17" s="1"/>
  <c r="BX1126" i="17"/>
  <c r="BY1126" i="17" s="1"/>
  <c r="BZ1126" i="17" s="1"/>
  <c r="BX1128" i="17"/>
  <c r="BY1128" i="17" s="1"/>
  <c r="BZ1128" i="17" s="1"/>
  <c r="BX1130" i="17"/>
  <c r="BY1130" i="17" s="1"/>
  <c r="BZ1130" i="17" s="1"/>
  <c r="BX1132" i="17"/>
  <c r="BY1132" i="17" s="1"/>
  <c r="BZ1132" i="17" s="1"/>
  <c r="BX1134" i="17"/>
  <c r="BY1134" i="17" s="1"/>
  <c r="BZ1134" i="17" s="1"/>
  <c r="BX1136" i="17"/>
  <c r="BY1136" i="17" s="1"/>
  <c r="BZ1136" i="17" s="1"/>
  <c r="BX1138" i="17"/>
  <c r="BY1138" i="17" s="1"/>
  <c r="BZ1138" i="17" s="1"/>
  <c r="BX1140" i="17"/>
  <c r="BY1140" i="17" s="1"/>
  <c r="BZ1140" i="17" s="1"/>
  <c r="BX1142" i="17"/>
  <c r="BY1142" i="17" s="1"/>
  <c r="BZ1142" i="17" s="1"/>
  <c r="BX1144" i="17"/>
  <c r="BY1144" i="17" s="1"/>
  <c r="BZ1144" i="17" s="1"/>
  <c r="BX1146" i="17"/>
  <c r="BY1146" i="17" s="1"/>
  <c r="BZ1146" i="17" s="1"/>
  <c r="BX1148" i="17"/>
  <c r="BY1148" i="17" s="1"/>
  <c r="BZ1148" i="17" s="1"/>
  <c r="BX1150" i="17"/>
  <c r="BY1150" i="17" s="1"/>
  <c r="BZ1150" i="17" s="1"/>
  <c r="BX1152" i="17"/>
  <c r="BY1152" i="17" s="1"/>
  <c r="BZ1152" i="17" s="1"/>
  <c r="BX1154" i="17"/>
  <c r="BY1154" i="17" s="1"/>
  <c r="BZ1154" i="17" s="1"/>
  <c r="BX1156" i="17"/>
  <c r="BY1156" i="17" s="1"/>
  <c r="BZ1156" i="17" s="1"/>
  <c r="BX1158" i="17"/>
  <c r="BY1158" i="17" s="1"/>
  <c r="BZ1158" i="17" s="1"/>
  <c r="BX1160" i="17"/>
  <c r="BY1160" i="17" s="1"/>
  <c r="BZ1160" i="17" s="1"/>
  <c r="BX1162" i="17"/>
  <c r="BY1162" i="17" s="1"/>
  <c r="BZ1162" i="17" s="1"/>
  <c r="BX1164" i="17"/>
  <c r="BY1164" i="17" s="1"/>
  <c r="BZ1164" i="17" s="1"/>
  <c r="BX1166" i="17"/>
  <c r="BY1166" i="17" s="1"/>
  <c r="BZ1166" i="17" s="1"/>
  <c r="BX1168" i="17"/>
  <c r="BY1168" i="17" s="1"/>
  <c r="BZ1168" i="17" s="1"/>
  <c r="BX1170" i="17"/>
  <c r="BY1170" i="17" s="1"/>
  <c r="BZ1170" i="17" s="1"/>
  <c r="BX1172" i="17"/>
  <c r="BY1172" i="17" s="1"/>
  <c r="BZ1172" i="17" s="1"/>
  <c r="BX1174" i="17"/>
  <c r="BY1174" i="17" s="1"/>
  <c r="BZ1174" i="17" s="1"/>
  <c r="BX1176" i="17"/>
  <c r="BY1176" i="17" s="1"/>
  <c r="BZ1176" i="17" s="1"/>
  <c r="BX1178" i="17"/>
  <c r="BY1178" i="17" s="1"/>
  <c r="BZ1178" i="17" s="1"/>
  <c r="BX1180" i="17"/>
  <c r="BY1180" i="17" s="1"/>
  <c r="BZ1180" i="17" s="1"/>
  <c r="BX1182" i="17"/>
  <c r="BY1182" i="17" s="1"/>
  <c r="BZ1182" i="17" s="1"/>
  <c r="BX1184" i="17"/>
  <c r="BY1184" i="17" s="1"/>
  <c r="BZ1184" i="17" s="1"/>
  <c r="BX1186" i="17"/>
  <c r="BY1186" i="17" s="1"/>
  <c r="BZ1186" i="17" s="1"/>
  <c r="BX1188" i="17"/>
  <c r="BY1188" i="17" s="1"/>
  <c r="BZ1188" i="17" s="1"/>
  <c r="BX1190" i="17"/>
  <c r="BY1190" i="17" s="1"/>
  <c r="BZ1190" i="17" s="1"/>
  <c r="BX1192" i="17"/>
  <c r="BY1192" i="17" s="1"/>
  <c r="BZ1192" i="17" s="1"/>
  <c r="BX1194" i="17"/>
  <c r="BY1194" i="17" s="1"/>
  <c r="BZ1194" i="17" s="1"/>
  <c r="BX1196" i="17"/>
  <c r="BY1196" i="17" s="1"/>
  <c r="BZ1196" i="17" s="1"/>
  <c r="BX1198" i="17"/>
  <c r="BY1198" i="17" s="1"/>
  <c r="BZ1198" i="17" s="1"/>
  <c r="BX1200" i="17"/>
  <c r="BY1200" i="17" s="1"/>
  <c r="BZ1200" i="17" s="1"/>
  <c r="BX1202" i="17"/>
  <c r="BY1202" i="17" s="1"/>
  <c r="BZ1202" i="17" s="1"/>
  <c r="BX1204" i="17"/>
  <c r="BY1204" i="17" s="1"/>
  <c r="BZ1204" i="17" s="1"/>
  <c r="BX1206" i="17"/>
  <c r="BY1206" i="17" s="1"/>
  <c r="BZ1206" i="17" s="1"/>
  <c r="BX1208" i="17"/>
  <c r="BY1208" i="17" s="1"/>
  <c r="BZ1208" i="17" s="1"/>
  <c r="BX1210" i="17"/>
  <c r="BY1210" i="17" s="1"/>
  <c r="BZ1210" i="17" s="1"/>
  <c r="BX1212" i="17"/>
  <c r="BY1212" i="17" s="1"/>
  <c r="BZ1212" i="17" s="1"/>
  <c r="BX1214" i="17"/>
  <c r="BY1214" i="17" s="1"/>
  <c r="BZ1214" i="17" s="1"/>
  <c r="BX1216" i="17"/>
  <c r="BY1216" i="17" s="1"/>
  <c r="BZ1216" i="17" s="1"/>
  <c r="BX1218" i="17"/>
  <c r="BY1218" i="17" s="1"/>
  <c r="BZ1218" i="17" s="1"/>
  <c r="BX1220" i="17"/>
  <c r="BY1220" i="17" s="1"/>
  <c r="BZ1220" i="17" s="1"/>
  <c r="BX1222" i="17"/>
  <c r="BY1222" i="17" s="1"/>
  <c r="BZ1222" i="17" s="1"/>
  <c r="BX1224" i="17"/>
  <c r="BY1224" i="17" s="1"/>
  <c r="BZ1224" i="17" s="1"/>
  <c r="BX1226" i="17"/>
  <c r="BY1226" i="17" s="1"/>
  <c r="BZ1226" i="17" s="1"/>
  <c r="BX1228" i="17"/>
  <c r="BY1228" i="17" s="1"/>
  <c r="BZ1228" i="17" s="1"/>
  <c r="BX1230" i="17"/>
  <c r="BY1230" i="17" s="1"/>
  <c r="BZ1230" i="17" s="1"/>
  <c r="BX1232" i="17"/>
  <c r="BY1232" i="17" s="1"/>
  <c r="BZ1232" i="17" s="1"/>
  <c r="BX1234" i="17"/>
  <c r="BY1234" i="17" s="1"/>
  <c r="BZ1234" i="17" s="1"/>
  <c r="BX1236" i="17"/>
  <c r="BY1236" i="17" s="1"/>
  <c r="BZ1236" i="17" s="1"/>
  <c r="BX1238" i="17"/>
  <c r="BY1238" i="17" s="1"/>
  <c r="BZ1238" i="17" s="1"/>
  <c r="BX1240" i="17"/>
  <c r="BY1240" i="17" s="1"/>
  <c r="BZ1240" i="17" s="1"/>
  <c r="BX1242" i="17"/>
  <c r="BY1242" i="17" s="1"/>
  <c r="BZ1242" i="17" s="1"/>
  <c r="BX1244" i="17"/>
  <c r="BY1244" i="17" s="1"/>
  <c r="BZ1244" i="17" s="1"/>
  <c r="BX1246" i="17"/>
  <c r="BY1246" i="17" s="1"/>
  <c r="BZ1246" i="17" s="1"/>
  <c r="BX1248" i="17"/>
  <c r="BY1248" i="17" s="1"/>
  <c r="BZ1248" i="17" s="1"/>
  <c r="BX1250" i="17"/>
  <c r="BY1250" i="17" s="1"/>
  <c r="BZ1250" i="17" s="1"/>
  <c r="BX1252" i="17"/>
  <c r="BY1252" i="17" s="1"/>
  <c r="BZ1252" i="17" s="1"/>
  <c r="BX1254" i="17"/>
  <c r="BY1254" i="17" s="1"/>
  <c r="BZ1254" i="17" s="1"/>
  <c r="BX1256" i="17"/>
  <c r="BY1256" i="17" s="1"/>
  <c r="BZ1256" i="17" s="1"/>
  <c r="BX1258" i="17"/>
  <c r="BY1258" i="17" s="1"/>
  <c r="BZ1258" i="17" s="1"/>
  <c r="BX1260" i="17"/>
  <c r="BY1260" i="17" s="1"/>
  <c r="BZ1260" i="17" s="1"/>
  <c r="BX1262" i="17"/>
  <c r="BY1262" i="17" s="1"/>
  <c r="BZ1262" i="17" s="1"/>
  <c r="BX1264" i="17"/>
  <c r="BY1264" i="17" s="1"/>
  <c r="BZ1264" i="17" s="1"/>
  <c r="BX1266" i="17"/>
  <c r="BY1266" i="17" s="1"/>
  <c r="BZ1266" i="17" s="1"/>
  <c r="BX1268" i="17"/>
  <c r="BY1268" i="17" s="1"/>
  <c r="BZ1268" i="17" s="1"/>
  <c r="BX1270" i="17"/>
  <c r="BY1270" i="17" s="1"/>
  <c r="BZ1270" i="17" s="1"/>
  <c r="BX1272" i="17"/>
  <c r="BY1272" i="17" s="1"/>
  <c r="BZ1272" i="17" s="1"/>
  <c r="BX1274" i="17"/>
  <c r="BY1274" i="17" s="1"/>
  <c r="BZ1274" i="17" s="1"/>
  <c r="BX1276" i="17"/>
  <c r="BY1276" i="17" s="1"/>
  <c r="BZ1276" i="17" s="1"/>
  <c r="BX1278" i="17"/>
  <c r="BY1278" i="17" s="1"/>
  <c r="BZ1278" i="17" s="1"/>
  <c r="BX1280" i="17"/>
  <c r="BY1280" i="17" s="1"/>
  <c r="BZ1280" i="17" s="1"/>
  <c r="BX1282" i="17"/>
  <c r="BY1282" i="17" s="1"/>
  <c r="BZ1282" i="17" s="1"/>
  <c r="BX1284" i="17"/>
  <c r="BY1284" i="17" s="1"/>
  <c r="BZ1284" i="17" s="1"/>
  <c r="BX1286" i="17"/>
  <c r="BY1286" i="17" s="1"/>
  <c r="BZ1286" i="17" s="1"/>
  <c r="BX1288" i="17"/>
  <c r="BY1288" i="17" s="1"/>
  <c r="BZ1288" i="17" s="1"/>
  <c r="BX1290" i="17"/>
  <c r="BY1290" i="17" s="1"/>
  <c r="BZ1290" i="17" s="1"/>
  <c r="BX1292" i="17"/>
  <c r="BY1292" i="17" s="1"/>
  <c r="BZ1292" i="17" s="1"/>
  <c r="BX1294" i="17"/>
  <c r="BY1294" i="17" s="1"/>
  <c r="BZ1294" i="17" s="1"/>
  <c r="BX1296" i="17"/>
  <c r="BY1296" i="17" s="1"/>
  <c r="BZ1296" i="17" s="1"/>
  <c r="AT983" i="17"/>
  <c r="AU983" i="17" s="1"/>
  <c r="AV983" i="17" s="1"/>
  <c r="AT985" i="17"/>
  <c r="AU985" i="17" s="1"/>
  <c r="AV985" i="17" s="1"/>
  <c r="AT987" i="17"/>
  <c r="AU987" i="17" s="1"/>
  <c r="AV987" i="17" s="1"/>
  <c r="AT989" i="17"/>
  <c r="AU989" i="17" s="1"/>
  <c r="AV989" i="17" s="1"/>
  <c r="AT993" i="17"/>
  <c r="AU993" i="17" s="1"/>
  <c r="AV993" i="17" s="1"/>
  <c r="AT995" i="17"/>
  <c r="AU995" i="17" s="1"/>
  <c r="AV995" i="17" s="1"/>
  <c r="AT997" i="17"/>
  <c r="AU997" i="17" s="1"/>
  <c r="AV997" i="17" s="1"/>
  <c r="AT999" i="17"/>
  <c r="AU999" i="17" s="1"/>
  <c r="AV999" i="17" s="1"/>
  <c r="AT1001" i="17"/>
  <c r="AU1001" i="17" s="1"/>
  <c r="AV1001" i="17" s="1"/>
  <c r="AT1005" i="17"/>
  <c r="AU1005" i="17" s="1"/>
  <c r="AV1005" i="17" s="1"/>
  <c r="AT1007" i="17"/>
  <c r="AU1007" i="17" s="1"/>
  <c r="AV1007" i="17" s="1"/>
  <c r="AT1009" i="17"/>
  <c r="AU1009" i="17" s="1"/>
  <c r="AV1009" i="17" s="1"/>
  <c r="AT1011" i="17"/>
  <c r="AU1011" i="17" s="1"/>
  <c r="AV1011" i="17" s="1"/>
  <c r="AT1013" i="17"/>
  <c r="AU1013" i="17" s="1"/>
  <c r="AV1013" i="17" s="1"/>
  <c r="AT1017" i="17"/>
  <c r="AU1017" i="17" s="1"/>
  <c r="AV1017" i="17" s="1"/>
  <c r="AT1019" i="17"/>
  <c r="AU1019" i="17" s="1"/>
  <c r="AV1019" i="17" s="1"/>
  <c r="AT1021" i="17"/>
  <c r="AU1021" i="17" s="1"/>
  <c r="AV1021" i="17" s="1"/>
  <c r="AT1023" i="17"/>
  <c r="AU1023" i="17" s="1"/>
  <c r="AV1023" i="17" s="1"/>
  <c r="AT1025" i="17"/>
  <c r="AU1025" i="17" s="1"/>
  <c r="AV1025" i="17" s="1"/>
  <c r="AT1029" i="17"/>
  <c r="AU1029" i="17" s="1"/>
  <c r="AV1029" i="17" s="1"/>
  <c r="AT1031" i="17"/>
  <c r="AU1031" i="17" s="1"/>
  <c r="AV1031" i="17" s="1"/>
  <c r="AT1033" i="17"/>
  <c r="AU1033" i="17" s="1"/>
  <c r="AV1033" i="17" s="1"/>
  <c r="AT1035" i="17"/>
  <c r="AU1035" i="17" s="1"/>
  <c r="AV1035" i="17" s="1"/>
  <c r="AT1037" i="17"/>
  <c r="AU1037" i="17" s="1"/>
  <c r="AV1037" i="17" s="1"/>
  <c r="AT1041" i="17"/>
  <c r="AU1041" i="17" s="1"/>
  <c r="AV1041" i="17" s="1"/>
  <c r="AT1043" i="17"/>
  <c r="AU1043" i="17" s="1"/>
  <c r="AV1043" i="17" s="1"/>
  <c r="AT1045" i="17"/>
  <c r="AU1045" i="17" s="1"/>
  <c r="AV1045" i="17" s="1"/>
  <c r="AT1047" i="17"/>
  <c r="AU1047" i="17" s="1"/>
  <c r="AV1047" i="17" s="1"/>
  <c r="AT1049" i="17"/>
  <c r="AU1049" i="17" s="1"/>
  <c r="AV1049" i="17" s="1"/>
  <c r="AT1053" i="17"/>
  <c r="AU1053" i="17" s="1"/>
  <c r="AV1053" i="17" s="1"/>
  <c r="AT1055" i="17"/>
  <c r="AU1055" i="17" s="1"/>
  <c r="AV1055" i="17" s="1"/>
  <c r="AT1057" i="17"/>
  <c r="AU1057" i="17" s="1"/>
  <c r="AV1057" i="17" s="1"/>
  <c r="AT1059" i="17"/>
  <c r="AU1059" i="17" s="1"/>
  <c r="AV1059" i="17" s="1"/>
  <c r="AT1061" i="17"/>
  <c r="AU1061" i="17" s="1"/>
  <c r="AV1061" i="17" s="1"/>
  <c r="AT1065" i="17"/>
  <c r="AU1065" i="17" s="1"/>
  <c r="AV1065" i="17" s="1"/>
  <c r="AT1067" i="17"/>
  <c r="AU1067" i="17" s="1"/>
  <c r="AV1067" i="17" s="1"/>
  <c r="AT1069" i="17"/>
  <c r="AU1069" i="17" s="1"/>
  <c r="AV1069" i="17" s="1"/>
  <c r="AT1071" i="17"/>
  <c r="AU1071" i="17" s="1"/>
  <c r="AV1071" i="17" s="1"/>
  <c r="AT1073" i="17"/>
  <c r="AU1073" i="17" s="1"/>
  <c r="AV1073" i="17" s="1"/>
  <c r="AT1077" i="17"/>
  <c r="AU1077" i="17" s="1"/>
  <c r="AV1077" i="17" s="1"/>
  <c r="AT1079" i="17"/>
  <c r="AU1079" i="17" s="1"/>
  <c r="AV1079" i="17" s="1"/>
  <c r="AT1081" i="17"/>
  <c r="AU1081" i="17" s="1"/>
  <c r="AV1081" i="17" s="1"/>
  <c r="AT1083" i="17"/>
  <c r="AU1083" i="17" s="1"/>
  <c r="AV1083" i="17" s="1"/>
  <c r="AT1085" i="17"/>
  <c r="AU1085" i="17" s="1"/>
  <c r="AV1085" i="17" s="1"/>
  <c r="AT1089" i="17"/>
  <c r="AU1089" i="17" s="1"/>
  <c r="AV1089" i="17" s="1"/>
  <c r="AT1091" i="17"/>
  <c r="AU1091" i="17" s="1"/>
  <c r="AV1091" i="17" s="1"/>
  <c r="AT1093" i="17"/>
  <c r="AU1093" i="17" s="1"/>
  <c r="AV1093" i="17" s="1"/>
  <c r="AT1095" i="17"/>
  <c r="AU1095" i="17" s="1"/>
  <c r="AV1095" i="17" s="1"/>
  <c r="AT1097" i="17"/>
  <c r="AU1097" i="17" s="1"/>
  <c r="AV1097" i="17" s="1"/>
  <c r="AT1101" i="17"/>
  <c r="AU1101" i="17" s="1"/>
  <c r="AV1101" i="17" s="1"/>
  <c r="AT1103" i="17"/>
  <c r="AU1103" i="17" s="1"/>
  <c r="AV1103" i="17" s="1"/>
  <c r="AT1105" i="17"/>
  <c r="AU1105" i="17" s="1"/>
  <c r="AV1105" i="17" s="1"/>
  <c r="AT1107" i="17"/>
  <c r="AU1107" i="17" s="1"/>
  <c r="AV1107" i="17" s="1"/>
  <c r="AT1109" i="17"/>
  <c r="AU1109" i="17" s="1"/>
  <c r="AV1109" i="17" s="1"/>
  <c r="AT1113" i="17"/>
  <c r="AU1113" i="17" s="1"/>
  <c r="AV1113" i="17" s="1"/>
  <c r="AT1115" i="17"/>
  <c r="AU1115" i="17" s="1"/>
  <c r="AV1115" i="17" s="1"/>
  <c r="AT1117" i="17"/>
  <c r="AU1117" i="17" s="1"/>
  <c r="AV1117" i="17" s="1"/>
  <c r="AT1119" i="17"/>
  <c r="AU1119" i="17" s="1"/>
  <c r="AV1119" i="17" s="1"/>
  <c r="AT1121" i="17"/>
  <c r="AU1121" i="17" s="1"/>
  <c r="AV1121" i="17" s="1"/>
  <c r="AT1125" i="17"/>
  <c r="AU1125" i="17" s="1"/>
  <c r="AV1125" i="17" s="1"/>
  <c r="AT1127" i="17"/>
  <c r="AU1127" i="17" s="1"/>
  <c r="AV1127" i="17" s="1"/>
  <c r="AT1129" i="17"/>
  <c r="AU1129" i="17" s="1"/>
  <c r="AV1129" i="17" s="1"/>
  <c r="AT1131" i="17"/>
  <c r="AU1131" i="17" s="1"/>
  <c r="AV1131" i="17" s="1"/>
  <c r="AT1133" i="17"/>
  <c r="AU1133" i="17" s="1"/>
  <c r="AV1133" i="17" s="1"/>
  <c r="AT1137" i="17"/>
  <c r="AU1137" i="17" s="1"/>
  <c r="AV1137" i="17" s="1"/>
  <c r="AT1139" i="17"/>
  <c r="AU1139" i="17" s="1"/>
  <c r="AV1139" i="17" s="1"/>
  <c r="AT1141" i="17"/>
  <c r="AU1141" i="17" s="1"/>
  <c r="AV1141" i="17" s="1"/>
  <c r="AT1143" i="17"/>
  <c r="AU1143" i="17" s="1"/>
  <c r="AV1143" i="17" s="1"/>
  <c r="AT1145" i="17"/>
  <c r="AU1145" i="17" s="1"/>
  <c r="AV1145" i="17" s="1"/>
  <c r="AT1149" i="17"/>
  <c r="AU1149" i="17" s="1"/>
  <c r="AV1149" i="17" s="1"/>
  <c r="AT1151" i="17"/>
  <c r="AU1151" i="17" s="1"/>
  <c r="AV1151" i="17" s="1"/>
  <c r="AT1153" i="17"/>
  <c r="AU1153" i="17" s="1"/>
  <c r="AV1153" i="17" s="1"/>
  <c r="AT1155" i="17"/>
  <c r="AU1155" i="17" s="1"/>
  <c r="AV1155" i="17" s="1"/>
  <c r="AT1157" i="17"/>
  <c r="AU1157" i="17" s="1"/>
  <c r="AV1157" i="17" s="1"/>
  <c r="AT1161" i="17"/>
  <c r="AU1161" i="17" s="1"/>
  <c r="AV1161" i="17" s="1"/>
  <c r="AT1163" i="17"/>
  <c r="AU1163" i="17" s="1"/>
  <c r="AV1163" i="17" s="1"/>
  <c r="AT1165" i="17"/>
  <c r="AU1165" i="17" s="1"/>
  <c r="AV1165" i="17" s="1"/>
  <c r="AT1167" i="17"/>
  <c r="AU1167" i="17" s="1"/>
  <c r="AV1167" i="17" s="1"/>
  <c r="AT1169" i="17"/>
  <c r="AU1169" i="17" s="1"/>
  <c r="AV1169" i="17" s="1"/>
  <c r="AT1173" i="17"/>
  <c r="AU1173" i="17" s="1"/>
  <c r="AV1173" i="17" s="1"/>
  <c r="AT1175" i="17"/>
  <c r="AU1175" i="17" s="1"/>
  <c r="AV1175" i="17" s="1"/>
  <c r="AT1177" i="17"/>
  <c r="AU1177" i="17" s="1"/>
  <c r="AV1177" i="17" s="1"/>
  <c r="AT1179" i="17"/>
  <c r="AU1179" i="17" s="1"/>
  <c r="AV1179" i="17" s="1"/>
  <c r="AT1181" i="17"/>
  <c r="AU1181" i="17" s="1"/>
  <c r="AV1181" i="17" s="1"/>
  <c r="AT1185" i="17"/>
  <c r="AU1185" i="17" s="1"/>
  <c r="AV1185" i="17" s="1"/>
  <c r="AT1187" i="17"/>
  <c r="AU1187" i="17" s="1"/>
  <c r="AV1187" i="17" s="1"/>
  <c r="AT1189" i="17"/>
  <c r="AU1189" i="17" s="1"/>
  <c r="AV1189" i="17" s="1"/>
  <c r="AT1191" i="17"/>
  <c r="AU1191" i="17" s="1"/>
  <c r="AV1191" i="17" s="1"/>
  <c r="AT1193" i="17"/>
  <c r="AU1193" i="17" s="1"/>
  <c r="AV1193" i="17" s="1"/>
  <c r="AT1197" i="17"/>
  <c r="AU1197" i="17" s="1"/>
  <c r="AV1197" i="17" s="1"/>
  <c r="AT1199" i="17"/>
  <c r="AU1199" i="17" s="1"/>
  <c r="AV1199" i="17" s="1"/>
  <c r="AT1201" i="17"/>
  <c r="AU1201" i="17" s="1"/>
  <c r="AV1201" i="17" s="1"/>
  <c r="AT1203" i="17"/>
  <c r="AU1203" i="17" s="1"/>
  <c r="AV1203" i="17" s="1"/>
  <c r="AT1205" i="17"/>
  <c r="AU1205" i="17" s="1"/>
  <c r="AV1205" i="17" s="1"/>
  <c r="AT1209" i="17"/>
  <c r="AU1209" i="17" s="1"/>
  <c r="AV1209" i="17" s="1"/>
  <c r="AT1211" i="17"/>
  <c r="AU1211" i="17" s="1"/>
  <c r="AV1211" i="17" s="1"/>
  <c r="AT1213" i="17"/>
  <c r="AU1213" i="17" s="1"/>
  <c r="AV1213" i="17" s="1"/>
  <c r="AT1215" i="17"/>
  <c r="AU1215" i="17" s="1"/>
  <c r="AV1215" i="17" s="1"/>
  <c r="AT1217" i="17"/>
  <c r="AU1217" i="17" s="1"/>
  <c r="AV1217" i="17" s="1"/>
  <c r="AT1221" i="17"/>
  <c r="AU1221" i="17" s="1"/>
  <c r="AV1221" i="17" s="1"/>
  <c r="AT1223" i="17"/>
  <c r="AU1223" i="17" s="1"/>
  <c r="AV1223" i="17" s="1"/>
  <c r="AT1225" i="17"/>
  <c r="AU1225" i="17" s="1"/>
  <c r="AV1225" i="17" s="1"/>
  <c r="AT1227" i="17"/>
  <c r="AU1227" i="17" s="1"/>
  <c r="AV1227" i="17" s="1"/>
  <c r="AT1229" i="17"/>
  <c r="AU1229" i="17" s="1"/>
  <c r="AV1229" i="17" s="1"/>
  <c r="AT1233" i="17"/>
  <c r="AU1233" i="17" s="1"/>
  <c r="AV1233" i="17" s="1"/>
  <c r="AT1235" i="17"/>
  <c r="AU1235" i="17" s="1"/>
  <c r="AV1235" i="17" s="1"/>
  <c r="AT1237" i="17"/>
  <c r="AU1237" i="17" s="1"/>
  <c r="AV1237" i="17" s="1"/>
  <c r="AT1239" i="17"/>
  <c r="AU1239" i="17" s="1"/>
  <c r="AV1239" i="17" s="1"/>
  <c r="AT1241" i="17"/>
  <c r="AU1241" i="17" s="1"/>
  <c r="AV1241" i="17" s="1"/>
  <c r="AT1245" i="17"/>
  <c r="AU1245" i="17" s="1"/>
  <c r="AV1245" i="17" s="1"/>
  <c r="AT1247" i="17"/>
  <c r="AU1247" i="17" s="1"/>
  <c r="AV1247" i="17" s="1"/>
  <c r="AT1249" i="17"/>
  <c r="AU1249" i="17" s="1"/>
  <c r="AV1249" i="17" s="1"/>
  <c r="AT1251" i="17"/>
  <c r="AU1251" i="17" s="1"/>
  <c r="AV1251" i="17" s="1"/>
  <c r="AT1253" i="17"/>
  <c r="AU1253" i="17" s="1"/>
  <c r="AV1253" i="17" s="1"/>
  <c r="AT1257" i="17"/>
  <c r="AU1257" i="17" s="1"/>
  <c r="AV1257" i="17" s="1"/>
  <c r="AT1259" i="17"/>
  <c r="AU1259" i="17" s="1"/>
  <c r="AV1259" i="17" s="1"/>
  <c r="AT1261" i="17"/>
  <c r="AU1261" i="17" s="1"/>
  <c r="AV1261" i="17" s="1"/>
  <c r="AT1263" i="17"/>
  <c r="AU1263" i="17" s="1"/>
  <c r="AV1263" i="17" s="1"/>
  <c r="AT1265" i="17"/>
  <c r="AU1265" i="17" s="1"/>
  <c r="AV1265" i="17" s="1"/>
  <c r="AT1269" i="17"/>
  <c r="AU1269" i="17" s="1"/>
  <c r="AV1269" i="17" s="1"/>
  <c r="AT1271" i="17"/>
  <c r="AU1271" i="17" s="1"/>
  <c r="AV1271" i="17" s="1"/>
  <c r="AT1273" i="17"/>
  <c r="AU1273" i="17" s="1"/>
  <c r="AV1273" i="17" s="1"/>
  <c r="AT1275" i="17"/>
  <c r="AU1275" i="17" s="1"/>
  <c r="AV1275" i="17" s="1"/>
  <c r="AT1277" i="17"/>
  <c r="AU1277" i="17" s="1"/>
  <c r="AV1277" i="17" s="1"/>
  <c r="AT1281" i="17"/>
  <c r="AU1281" i="17" s="1"/>
  <c r="AV1281" i="17" s="1"/>
  <c r="AT1283" i="17"/>
  <c r="AU1283" i="17" s="1"/>
  <c r="AV1283" i="17" s="1"/>
  <c r="AT1285" i="17"/>
  <c r="AU1285" i="17" s="1"/>
  <c r="AV1285" i="17" s="1"/>
  <c r="AT1287" i="17"/>
  <c r="AU1287" i="17" s="1"/>
  <c r="AV1287" i="17" s="1"/>
  <c r="AT1289" i="17"/>
  <c r="AU1289" i="17" s="1"/>
  <c r="AV1289" i="17" s="1"/>
  <c r="AT1293" i="17"/>
  <c r="AU1293" i="17" s="1"/>
  <c r="AV1293" i="17" s="1"/>
  <c r="AT1295" i="17"/>
  <c r="AU1295" i="17" s="1"/>
  <c r="AV1295" i="17" s="1"/>
  <c r="AT1297" i="17"/>
  <c r="AU1297" i="17" s="1"/>
  <c r="AV1297" i="17" s="1"/>
  <c r="AT1299" i="17"/>
  <c r="AU1299" i="17" s="1"/>
  <c r="AV1299" i="17" s="1"/>
  <c r="AT1301" i="17"/>
  <c r="AU1301" i="17" s="1"/>
  <c r="AV1301" i="17" s="1"/>
  <c r="AT1305" i="17"/>
  <c r="AU1305" i="17" s="1"/>
  <c r="AV1305" i="17" s="1"/>
  <c r="AT1307" i="17"/>
  <c r="AU1307" i="17" s="1"/>
  <c r="AV1307" i="17" s="1"/>
  <c r="AT1303" i="17"/>
  <c r="AU1303" i="17" s="1"/>
  <c r="AV1303" i="17" s="1"/>
  <c r="AZ993" i="17"/>
  <c r="BA993" i="17" s="1"/>
  <c r="BB993" i="17" s="1"/>
  <c r="AZ995" i="17"/>
  <c r="BA995" i="17" s="1"/>
  <c r="BB995" i="17" s="1"/>
  <c r="AZ997" i="17"/>
  <c r="BA997" i="17" s="1"/>
  <c r="BB997" i="17" s="1"/>
  <c r="AZ999" i="17"/>
  <c r="BA999" i="17" s="1"/>
  <c r="BB999" i="17" s="1"/>
  <c r="AZ1003" i="17"/>
  <c r="BA1003" i="17" s="1"/>
  <c r="BB1003" i="17" s="1"/>
  <c r="AZ1005" i="17"/>
  <c r="BA1005" i="17" s="1"/>
  <c r="BB1005" i="17" s="1"/>
  <c r="AZ1007" i="17"/>
  <c r="BA1007" i="17" s="1"/>
  <c r="BB1007" i="17" s="1"/>
  <c r="AZ1009" i="17"/>
  <c r="BA1009" i="17" s="1"/>
  <c r="BB1009" i="17" s="1"/>
  <c r="AZ1011" i="17"/>
  <c r="BA1011" i="17" s="1"/>
  <c r="BB1011" i="17" s="1"/>
  <c r="AZ1015" i="17"/>
  <c r="BA1015" i="17" s="1"/>
  <c r="BB1015" i="17" s="1"/>
  <c r="AZ1017" i="17"/>
  <c r="BA1017" i="17" s="1"/>
  <c r="BB1017" i="17" s="1"/>
  <c r="AZ1019" i="17"/>
  <c r="BA1019" i="17" s="1"/>
  <c r="BB1019" i="17" s="1"/>
  <c r="AZ1021" i="17"/>
  <c r="BA1021" i="17" s="1"/>
  <c r="BB1021" i="17" s="1"/>
  <c r="AZ1023" i="17"/>
  <c r="BA1023" i="17" s="1"/>
  <c r="BB1023" i="17" s="1"/>
  <c r="AZ1027" i="17"/>
  <c r="BA1027" i="17" s="1"/>
  <c r="BB1027" i="17" s="1"/>
  <c r="AZ1029" i="17"/>
  <c r="BA1029" i="17" s="1"/>
  <c r="BB1029" i="17" s="1"/>
  <c r="AZ1031" i="17"/>
  <c r="BA1031" i="17" s="1"/>
  <c r="BB1031" i="17" s="1"/>
  <c r="AZ1033" i="17"/>
  <c r="BA1033" i="17" s="1"/>
  <c r="BB1033" i="17" s="1"/>
  <c r="AZ1035" i="17"/>
  <c r="BA1035" i="17" s="1"/>
  <c r="BB1035" i="17" s="1"/>
  <c r="AZ1039" i="17"/>
  <c r="BA1039" i="17" s="1"/>
  <c r="BB1039" i="17" s="1"/>
  <c r="AZ1041" i="17"/>
  <c r="BA1041" i="17" s="1"/>
  <c r="BB1041" i="17" s="1"/>
  <c r="AZ1043" i="17"/>
  <c r="BA1043" i="17" s="1"/>
  <c r="BB1043" i="17" s="1"/>
  <c r="AZ1045" i="17"/>
  <c r="BA1045" i="17" s="1"/>
  <c r="BB1045" i="17" s="1"/>
  <c r="AZ1047" i="17"/>
  <c r="BA1047" i="17" s="1"/>
  <c r="BB1047" i="17" s="1"/>
  <c r="AZ1051" i="17"/>
  <c r="BA1051" i="17" s="1"/>
  <c r="BB1051" i="17" s="1"/>
  <c r="AZ1053" i="17"/>
  <c r="BA1053" i="17" s="1"/>
  <c r="BB1053" i="17" s="1"/>
  <c r="AZ1055" i="17"/>
  <c r="BA1055" i="17" s="1"/>
  <c r="BB1055" i="17" s="1"/>
  <c r="AZ1057" i="17"/>
  <c r="BA1057" i="17" s="1"/>
  <c r="BB1057" i="17" s="1"/>
  <c r="AZ1059" i="17"/>
  <c r="BA1059" i="17" s="1"/>
  <c r="BB1059" i="17" s="1"/>
  <c r="AZ1063" i="17"/>
  <c r="BA1063" i="17" s="1"/>
  <c r="BB1063" i="17" s="1"/>
  <c r="AZ1065" i="17"/>
  <c r="BA1065" i="17" s="1"/>
  <c r="BB1065" i="17" s="1"/>
  <c r="AZ1067" i="17"/>
  <c r="BA1067" i="17" s="1"/>
  <c r="BB1067" i="17" s="1"/>
  <c r="AZ1069" i="17"/>
  <c r="BA1069" i="17" s="1"/>
  <c r="BB1069" i="17" s="1"/>
  <c r="AZ1071" i="17"/>
  <c r="BA1071" i="17" s="1"/>
  <c r="BB1071" i="17" s="1"/>
  <c r="AZ1075" i="17"/>
  <c r="BA1075" i="17" s="1"/>
  <c r="BB1075" i="17" s="1"/>
  <c r="AZ1077" i="17"/>
  <c r="BA1077" i="17" s="1"/>
  <c r="BB1077" i="17" s="1"/>
  <c r="AZ1079" i="17"/>
  <c r="BA1079" i="17" s="1"/>
  <c r="BB1079" i="17" s="1"/>
  <c r="AZ1081" i="17"/>
  <c r="BA1081" i="17" s="1"/>
  <c r="BB1081" i="17" s="1"/>
  <c r="AZ1083" i="17"/>
  <c r="BA1083" i="17" s="1"/>
  <c r="BB1083" i="17" s="1"/>
  <c r="AZ1087" i="17"/>
  <c r="BA1087" i="17" s="1"/>
  <c r="BB1087" i="17" s="1"/>
  <c r="AZ1089" i="17"/>
  <c r="BA1089" i="17" s="1"/>
  <c r="BB1089" i="17" s="1"/>
  <c r="AZ1091" i="17"/>
  <c r="BA1091" i="17" s="1"/>
  <c r="BB1091" i="17" s="1"/>
  <c r="AZ1093" i="17"/>
  <c r="BA1093" i="17" s="1"/>
  <c r="BB1093" i="17" s="1"/>
  <c r="AZ1095" i="17"/>
  <c r="BA1095" i="17" s="1"/>
  <c r="BB1095" i="17" s="1"/>
  <c r="AZ1099" i="17"/>
  <c r="BA1099" i="17" s="1"/>
  <c r="BB1099" i="17" s="1"/>
  <c r="AZ1101" i="17"/>
  <c r="BA1101" i="17" s="1"/>
  <c r="BB1101" i="17" s="1"/>
  <c r="AZ1103" i="17"/>
  <c r="BA1103" i="17" s="1"/>
  <c r="BB1103" i="17" s="1"/>
  <c r="AZ1105" i="17"/>
  <c r="BA1105" i="17" s="1"/>
  <c r="BB1105" i="17" s="1"/>
  <c r="AZ1107" i="17"/>
  <c r="BA1107" i="17" s="1"/>
  <c r="BB1107" i="17" s="1"/>
  <c r="AZ1111" i="17"/>
  <c r="BA1111" i="17" s="1"/>
  <c r="BB1111" i="17" s="1"/>
  <c r="AZ1113" i="17"/>
  <c r="BA1113" i="17" s="1"/>
  <c r="BB1113" i="17" s="1"/>
  <c r="AZ1115" i="17"/>
  <c r="BA1115" i="17" s="1"/>
  <c r="BB1115" i="17" s="1"/>
  <c r="AZ1117" i="17"/>
  <c r="BA1117" i="17" s="1"/>
  <c r="BB1117" i="17" s="1"/>
  <c r="AZ1119" i="17"/>
  <c r="BA1119" i="17" s="1"/>
  <c r="BB1119" i="17" s="1"/>
  <c r="AZ1123" i="17"/>
  <c r="BA1123" i="17" s="1"/>
  <c r="BB1123" i="17" s="1"/>
  <c r="AZ1125" i="17"/>
  <c r="BA1125" i="17" s="1"/>
  <c r="BB1125" i="17" s="1"/>
  <c r="AZ1127" i="17"/>
  <c r="BA1127" i="17" s="1"/>
  <c r="BB1127" i="17" s="1"/>
  <c r="AZ1129" i="17"/>
  <c r="BA1129" i="17" s="1"/>
  <c r="BB1129" i="17" s="1"/>
  <c r="AZ1131" i="17"/>
  <c r="BA1131" i="17" s="1"/>
  <c r="BB1131" i="17" s="1"/>
  <c r="AZ1135" i="17"/>
  <c r="BA1135" i="17" s="1"/>
  <c r="BB1135" i="17" s="1"/>
  <c r="AZ1137" i="17"/>
  <c r="BA1137" i="17" s="1"/>
  <c r="BB1137" i="17" s="1"/>
  <c r="AZ1139" i="17"/>
  <c r="BA1139" i="17" s="1"/>
  <c r="BB1139" i="17" s="1"/>
  <c r="AZ1141" i="17"/>
  <c r="BA1141" i="17" s="1"/>
  <c r="BB1141" i="17" s="1"/>
  <c r="AZ1143" i="17"/>
  <c r="BA1143" i="17" s="1"/>
  <c r="BB1143" i="17" s="1"/>
  <c r="AZ1147" i="17"/>
  <c r="BA1147" i="17" s="1"/>
  <c r="BB1147" i="17" s="1"/>
  <c r="AZ1149" i="17"/>
  <c r="BA1149" i="17" s="1"/>
  <c r="BB1149" i="17" s="1"/>
  <c r="AZ1151" i="17"/>
  <c r="BA1151" i="17" s="1"/>
  <c r="BB1151" i="17" s="1"/>
  <c r="AZ1153" i="17"/>
  <c r="BA1153" i="17" s="1"/>
  <c r="BB1153" i="17" s="1"/>
  <c r="AZ1155" i="17"/>
  <c r="BA1155" i="17" s="1"/>
  <c r="BB1155" i="17" s="1"/>
  <c r="AZ1159" i="17"/>
  <c r="BA1159" i="17" s="1"/>
  <c r="BB1159" i="17" s="1"/>
  <c r="AZ1161" i="17"/>
  <c r="BA1161" i="17" s="1"/>
  <c r="BB1161" i="17" s="1"/>
  <c r="AZ1163" i="17"/>
  <c r="BA1163" i="17" s="1"/>
  <c r="BB1163" i="17" s="1"/>
  <c r="AZ1165" i="17"/>
  <c r="BA1165" i="17" s="1"/>
  <c r="BB1165" i="17" s="1"/>
  <c r="AZ1167" i="17"/>
  <c r="BA1167" i="17" s="1"/>
  <c r="BB1167" i="17" s="1"/>
  <c r="AZ1171" i="17"/>
  <c r="BA1171" i="17" s="1"/>
  <c r="BB1171" i="17" s="1"/>
  <c r="AZ1173" i="17"/>
  <c r="BA1173" i="17" s="1"/>
  <c r="BB1173" i="17" s="1"/>
  <c r="AZ1175" i="17"/>
  <c r="BA1175" i="17" s="1"/>
  <c r="BB1175" i="17" s="1"/>
  <c r="AZ1177" i="17"/>
  <c r="BA1177" i="17" s="1"/>
  <c r="BB1177" i="17" s="1"/>
  <c r="AZ1179" i="17"/>
  <c r="BA1179" i="17" s="1"/>
  <c r="BB1179" i="17" s="1"/>
  <c r="AZ1183" i="17"/>
  <c r="BA1183" i="17" s="1"/>
  <c r="BB1183" i="17" s="1"/>
  <c r="AZ1185" i="17"/>
  <c r="BA1185" i="17" s="1"/>
  <c r="BB1185" i="17" s="1"/>
  <c r="AZ1187" i="17"/>
  <c r="BA1187" i="17" s="1"/>
  <c r="BB1187" i="17" s="1"/>
  <c r="AZ1189" i="17"/>
  <c r="BA1189" i="17" s="1"/>
  <c r="BB1189" i="17" s="1"/>
  <c r="AZ1191" i="17"/>
  <c r="BA1191" i="17" s="1"/>
  <c r="BB1191" i="17" s="1"/>
  <c r="AZ1195" i="17"/>
  <c r="BA1195" i="17" s="1"/>
  <c r="BB1195" i="17" s="1"/>
  <c r="AZ1197" i="17"/>
  <c r="BA1197" i="17" s="1"/>
  <c r="BB1197" i="17" s="1"/>
  <c r="AZ1199" i="17"/>
  <c r="BA1199" i="17" s="1"/>
  <c r="BB1199" i="17" s="1"/>
  <c r="AZ1201" i="17"/>
  <c r="BA1201" i="17" s="1"/>
  <c r="BB1201" i="17" s="1"/>
  <c r="AZ1203" i="17"/>
  <c r="BA1203" i="17" s="1"/>
  <c r="BB1203" i="17" s="1"/>
  <c r="AZ1207" i="17"/>
  <c r="BA1207" i="17" s="1"/>
  <c r="BB1207" i="17" s="1"/>
  <c r="AZ1209" i="17"/>
  <c r="BA1209" i="17" s="1"/>
  <c r="BB1209" i="17" s="1"/>
  <c r="AZ1211" i="17"/>
  <c r="BA1211" i="17" s="1"/>
  <c r="BB1211" i="17" s="1"/>
  <c r="AZ1213" i="17"/>
  <c r="BA1213" i="17" s="1"/>
  <c r="BB1213" i="17" s="1"/>
  <c r="AZ1215" i="17"/>
  <c r="BA1215" i="17" s="1"/>
  <c r="BB1215" i="17" s="1"/>
  <c r="AZ1219" i="17"/>
  <c r="BA1219" i="17" s="1"/>
  <c r="BB1219" i="17" s="1"/>
  <c r="AZ1221" i="17"/>
  <c r="BA1221" i="17" s="1"/>
  <c r="BB1221" i="17" s="1"/>
  <c r="AZ1223" i="17"/>
  <c r="BA1223" i="17" s="1"/>
  <c r="BB1223" i="17" s="1"/>
  <c r="AZ1225" i="17"/>
  <c r="BA1225" i="17" s="1"/>
  <c r="BB1225" i="17" s="1"/>
  <c r="AZ1227" i="17"/>
  <c r="BA1227" i="17" s="1"/>
  <c r="BB1227" i="17" s="1"/>
  <c r="AZ1231" i="17"/>
  <c r="BA1231" i="17" s="1"/>
  <c r="BB1231" i="17" s="1"/>
  <c r="AZ1233" i="17"/>
  <c r="BA1233" i="17" s="1"/>
  <c r="BB1233" i="17" s="1"/>
  <c r="AZ1235" i="17"/>
  <c r="BA1235" i="17" s="1"/>
  <c r="BB1235" i="17" s="1"/>
  <c r="AZ1237" i="17"/>
  <c r="BA1237" i="17" s="1"/>
  <c r="BB1237" i="17" s="1"/>
  <c r="AZ1239" i="17"/>
  <c r="BA1239" i="17" s="1"/>
  <c r="BB1239" i="17" s="1"/>
  <c r="CD1239" i="17" s="1"/>
  <c r="AZ1243" i="17"/>
  <c r="BA1243" i="17" s="1"/>
  <c r="BB1243" i="17" s="1"/>
  <c r="AZ1245" i="17"/>
  <c r="BA1245" i="17" s="1"/>
  <c r="BB1245" i="17" s="1"/>
  <c r="AZ1247" i="17"/>
  <c r="BA1247" i="17" s="1"/>
  <c r="BB1247" i="17" s="1"/>
  <c r="AZ1249" i="17"/>
  <c r="BA1249" i="17" s="1"/>
  <c r="BB1249" i="17" s="1"/>
  <c r="AZ1251" i="17"/>
  <c r="BA1251" i="17" s="1"/>
  <c r="BB1251" i="17" s="1"/>
  <c r="AZ1255" i="17"/>
  <c r="BA1255" i="17" s="1"/>
  <c r="BB1255" i="17" s="1"/>
  <c r="AZ1257" i="17"/>
  <c r="BA1257" i="17" s="1"/>
  <c r="BB1257" i="17" s="1"/>
  <c r="AZ1259" i="17"/>
  <c r="BA1259" i="17" s="1"/>
  <c r="BB1259" i="17" s="1"/>
  <c r="AZ1261" i="17"/>
  <c r="BA1261" i="17" s="1"/>
  <c r="BB1261" i="17" s="1"/>
  <c r="AZ1263" i="17"/>
  <c r="BA1263" i="17" s="1"/>
  <c r="BB1263" i="17" s="1"/>
  <c r="AZ1267" i="17"/>
  <c r="BA1267" i="17" s="1"/>
  <c r="BB1267" i="17" s="1"/>
  <c r="AZ1269" i="17"/>
  <c r="BA1269" i="17" s="1"/>
  <c r="BB1269" i="17" s="1"/>
  <c r="AZ1271" i="17"/>
  <c r="BA1271" i="17" s="1"/>
  <c r="BB1271" i="17" s="1"/>
  <c r="AZ1273" i="17"/>
  <c r="BA1273" i="17" s="1"/>
  <c r="BB1273" i="17" s="1"/>
  <c r="AZ1275" i="17"/>
  <c r="BA1275" i="17" s="1"/>
  <c r="BB1275" i="17" s="1"/>
  <c r="AZ1279" i="17"/>
  <c r="BA1279" i="17" s="1"/>
  <c r="BB1279" i="17" s="1"/>
  <c r="AZ1281" i="17"/>
  <c r="BA1281" i="17" s="1"/>
  <c r="BB1281" i="17" s="1"/>
  <c r="AZ1283" i="17"/>
  <c r="BA1283" i="17" s="1"/>
  <c r="BB1283" i="17" s="1"/>
  <c r="AZ1285" i="17"/>
  <c r="BA1285" i="17" s="1"/>
  <c r="BB1285" i="17" s="1"/>
  <c r="AZ1287" i="17"/>
  <c r="BA1287" i="17" s="1"/>
  <c r="BB1287" i="17" s="1"/>
  <c r="AZ1291" i="17"/>
  <c r="BA1291" i="17" s="1"/>
  <c r="BB1291" i="17" s="1"/>
  <c r="AZ1293" i="17"/>
  <c r="BA1293" i="17" s="1"/>
  <c r="BB1293" i="17" s="1"/>
  <c r="AZ1295" i="17"/>
  <c r="BA1295" i="17" s="1"/>
  <c r="BB1295" i="17" s="1"/>
  <c r="AZ1297" i="17"/>
  <c r="BA1297" i="17" s="1"/>
  <c r="BB1297" i="17" s="1"/>
  <c r="AZ1299" i="17"/>
  <c r="BA1299" i="17" s="1"/>
  <c r="BB1299" i="17" s="1"/>
  <c r="AZ1303" i="17"/>
  <c r="BA1303" i="17" s="1"/>
  <c r="BB1303" i="17" s="1"/>
  <c r="AZ1305" i="17"/>
  <c r="BA1305" i="17" s="1"/>
  <c r="BB1305" i="17" s="1"/>
  <c r="AZ1307" i="17"/>
  <c r="BA1307" i="17" s="1"/>
  <c r="BB1307" i="17" s="1"/>
  <c r="AT1291" i="17"/>
  <c r="AU1291" i="17" s="1"/>
  <c r="AV1291" i="17" s="1"/>
  <c r="BF991" i="17"/>
  <c r="BG991" i="17" s="1"/>
  <c r="BH991" i="17" s="1"/>
  <c r="BF993" i="17"/>
  <c r="BG993" i="17" s="1"/>
  <c r="BH993" i="17" s="1"/>
  <c r="BF995" i="17"/>
  <c r="BG995" i="17" s="1"/>
  <c r="BH995" i="17" s="1"/>
  <c r="BF997" i="17"/>
  <c r="BG997" i="17" s="1"/>
  <c r="BH997" i="17" s="1"/>
  <c r="BF999" i="17"/>
  <c r="BG999" i="17" s="1"/>
  <c r="BH999" i="17" s="1"/>
  <c r="BF1001" i="17"/>
  <c r="BG1001" i="17" s="1"/>
  <c r="BH1001" i="17" s="1"/>
  <c r="BF1003" i="17"/>
  <c r="BG1003" i="17" s="1"/>
  <c r="BH1003" i="17" s="1"/>
  <c r="BF1005" i="17"/>
  <c r="BG1005" i="17" s="1"/>
  <c r="BH1005" i="17" s="1"/>
  <c r="BF1007" i="17"/>
  <c r="BG1007" i="17" s="1"/>
  <c r="BH1007" i="17" s="1"/>
  <c r="BF1009" i="17"/>
  <c r="BG1009" i="17" s="1"/>
  <c r="BH1009" i="17" s="1"/>
  <c r="BF1011" i="17"/>
  <c r="BG1011" i="17" s="1"/>
  <c r="BH1011" i="17" s="1"/>
  <c r="BF1013" i="17"/>
  <c r="BG1013" i="17" s="1"/>
  <c r="BH1013" i="17" s="1"/>
  <c r="BF1015" i="17"/>
  <c r="BG1015" i="17" s="1"/>
  <c r="BH1015" i="17" s="1"/>
  <c r="BF1017" i="17"/>
  <c r="BG1017" i="17" s="1"/>
  <c r="BH1017" i="17" s="1"/>
  <c r="BF1019" i="17"/>
  <c r="BG1019" i="17" s="1"/>
  <c r="BH1019" i="17" s="1"/>
  <c r="BF1021" i="17"/>
  <c r="BG1021" i="17" s="1"/>
  <c r="BH1021" i="17" s="1"/>
  <c r="BF1023" i="17"/>
  <c r="BG1023" i="17" s="1"/>
  <c r="BH1023" i="17" s="1"/>
  <c r="BF1025" i="17"/>
  <c r="BG1025" i="17" s="1"/>
  <c r="BH1025" i="17" s="1"/>
  <c r="BF1027" i="17"/>
  <c r="BG1027" i="17" s="1"/>
  <c r="BH1027" i="17" s="1"/>
  <c r="CD1027" i="17" s="1"/>
  <c r="BF1029" i="17"/>
  <c r="BG1029" i="17" s="1"/>
  <c r="BH1029" i="17" s="1"/>
  <c r="BF1031" i="17"/>
  <c r="BG1031" i="17" s="1"/>
  <c r="BH1031" i="17" s="1"/>
  <c r="BF1033" i="17"/>
  <c r="BG1033" i="17" s="1"/>
  <c r="BH1033" i="17" s="1"/>
  <c r="BF1035" i="17"/>
  <c r="BG1035" i="17" s="1"/>
  <c r="BH1035" i="17" s="1"/>
  <c r="BF1037" i="17"/>
  <c r="BG1037" i="17" s="1"/>
  <c r="BH1037" i="17" s="1"/>
  <c r="BF1039" i="17"/>
  <c r="BG1039" i="17" s="1"/>
  <c r="BH1039" i="17" s="1"/>
  <c r="BF1041" i="17"/>
  <c r="BG1041" i="17" s="1"/>
  <c r="BH1041" i="17" s="1"/>
  <c r="BF1043" i="17"/>
  <c r="BG1043" i="17" s="1"/>
  <c r="BH1043" i="17" s="1"/>
  <c r="BF1045" i="17"/>
  <c r="BG1045" i="17" s="1"/>
  <c r="BH1045" i="17" s="1"/>
  <c r="BF1047" i="17"/>
  <c r="BG1047" i="17" s="1"/>
  <c r="BH1047" i="17" s="1"/>
  <c r="BF1049" i="17"/>
  <c r="BG1049" i="17" s="1"/>
  <c r="BH1049" i="17" s="1"/>
  <c r="BF1051" i="17"/>
  <c r="BG1051" i="17" s="1"/>
  <c r="BH1051" i="17" s="1"/>
  <c r="BF1053" i="17"/>
  <c r="BG1053" i="17" s="1"/>
  <c r="BH1053" i="17" s="1"/>
  <c r="BF1055" i="17"/>
  <c r="BG1055" i="17" s="1"/>
  <c r="BH1055" i="17" s="1"/>
  <c r="BF1057" i="17"/>
  <c r="BG1057" i="17" s="1"/>
  <c r="BH1057" i="17" s="1"/>
  <c r="BF1059" i="17"/>
  <c r="BG1059" i="17" s="1"/>
  <c r="BH1059" i="17" s="1"/>
  <c r="BF1061" i="17"/>
  <c r="BG1061" i="17" s="1"/>
  <c r="BH1061" i="17" s="1"/>
  <c r="BF1065" i="17"/>
  <c r="BG1065" i="17" s="1"/>
  <c r="BH1065" i="17" s="1"/>
  <c r="BF1067" i="17"/>
  <c r="BG1067" i="17" s="1"/>
  <c r="BH1067" i="17" s="1"/>
  <c r="BF1069" i="17"/>
  <c r="BG1069" i="17" s="1"/>
  <c r="BH1069" i="17" s="1"/>
  <c r="BF1071" i="17"/>
  <c r="BG1071" i="17" s="1"/>
  <c r="BH1071" i="17" s="1"/>
  <c r="BF1073" i="17"/>
  <c r="BG1073" i="17" s="1"/>
  <c r="BH1073" i="17" s="1"/>
  <c r="BF1075" i="17"/>
  <c r="BG1075" i="17" s="1"/>
  <c r="BH1075" i="17" s="1"/>
  <c r="BF1077" i="17"/>
  <c r="BG1077" i="17" s="1"/>
  <c r="BH1077" i="17" s="1"/>
  <c r="BF1079" i="17"/>
  <c r="BG1079" i="17" s="1"/>
  <c r="BH1079" i="17" s="1"/>
  <c r="BF1081" i="17"/>
  <c r="BG1081" i="17" s="1"/>
  <c r="BH1081" i="17" s="1"/>
  <c r="BF1083" i="17"/>
  <c r="BG1083" i="17" s="1"/>
  <c r="BH1083" i="17" s="1"/>
  <c r="BF1085" i="17"/>
  <c r="BG1085" i="17" s="1"/>
  <c r="BH1085" i="17" s="1"/>
  <c r="BF1087" i="17"/>
  <c r="BG1087" i="17" s="1"/>
  <c r="BH1087" i="17" s="1"/>
  <c r="BF1089" i="17"/>
  <c r="BG1089" i="17" s="1"/>
  <c r="BH1089" i="17" s="1"/>
  <c r="BF1091" i="17"/>
  <c r="BG1091" i="17" s="1"/>
  <c r="BH1091" i="17" s="1"/>
  <c r="BF1093" i="17"/>
  <c r="BG1093" i="17" s="1"/>
  <c r="BH1093" i="17" s="1"/>
  <c r="BF1095" i="17"/>
  <c r="BG1095" i="17" s="1"/>
  <c r="BH1095" i="17" s="1"/>
  <c r="BF1097" i="17"/>
  <c r="BG1097" i="17" s="1"/>
  <c r="BH1097" i="17" s="1"/>
  <c r="BF1099" i="17"/>
  <c r="BG1099" i="17" s="1"/>
  <c r="BH1099" i="17" s="1"/>
  <c r="BF1101" i="17"/>
  <c r="BG1101" i="17" s="1"/>
  <c r="BH1101" i="17" s="1"/>
  <c r="BF1103" i="17"/>
  <c r="BG1103" i="17" s="1"/>
  <c r="BH1103" i="17" s="1"/>
  <c r="BF1105" i="17"/>
  <c r="BG1105" i="17" s="1"/>
  <c r="BH1105" i="17" s="1"/>
  <c r="BF1107" i="17"/>
  <c r="BG1107" i="17" s="1"/>
  <c r="BH1107" i="17" s="1"/>
  <c r="BF1109" i="17"/>
  <c r="BG1109" i="17" s="1"/>
  <c r="BH1109" i="17" s="1"/>
  <c r="BF1111" i="17"/>
  <c r="BG1111" i="17" s="1"/>
  <c r="BH1111" i="17" s="1"/>
  <c r="BF1113" i="17"/>
  <c r="BG1113" i="17" s="1"/>
  <c r="BH1113" i="17" s="1"/>
  <c r="BF1115" i="17"/>
  <c r="BG1115" i="17" s="1"/>
  <c r="BH1115" i="17" s="1"/>
  <c r="BF1117" i="17"/>
  <c r="BG1117" i="17" s="1"/>
  <c r="BH1117" i="17" s="1"/>
  <c r="BF1119" i="17"/>
  <c r="BG1119" i="17" s="1"/>
  <c r="BH1119" i="17" s="1"/>
  <c r="BF1121" i="17"/>
  <c r="BG1121" i="17" s="1"/>
  <c r="BH1121" i="17" s="1"/>
  <c r="BF1123" i="17"/>
  <c r="BG1123" i="17" s="1"/>
  <c r="BH1123" i="17" s="1"/>
  <c r="BF1125" i="17"/>
  <c r="BG1125" i="17" s="1"/>
  <c r="BH1125" i="17" s="1"/>
  <c r="BF1127" i="17"/>
  <c r="BG1127" i="17" s="1"/>
  <c r="BH1127" i="17" s="1"/>
  <c r="BF1129" i="17"/>
  <c r="BG1129" i="17" s="1"/>
  <c r="BH1129" i="17" s="1"/>
  <c r="BF1131" i="17"/>
  <c r="BG1131" i="17" s="1"/>
  <c r="BH1131" i="17" s="1"/>
  <c r="BF1133" i="17"/>
  <c r="BG1133" i="17" s="1"/>
  <c r="BH1133" i="17" s="1"/>
  <c r="BF1135" i="17"/>
  <c r="BG1135" i="17" s="1"/>
  <c r="BH1135" i="17" s="1"/>
  <c r="BF1137" i="17"/>
  <c r="BG1137" i="17" s="1"/>
  <c r="BH1137" i="17" s="1"/>
  <c r="BF1139" i="17"/>
  <c r="BG1139" i="17" s="1"/>
  <c r="BH1139" i="17" s="1"/>
  <c r="BF1141" i="17"/>
  <c r="BG1141" i="17" s="1"/>
  <c r="BH1141" i="17" s="1"/>
  <c r="BF1143" i="17"/>
  <c r="BG1143" i="17" s="1"/>
  <c r="BH1143" i="17" s="1"/>
  <c r="BF1145" i="17"/>
  <c r="BG1145" i="17" s="1"/>
  <c r="BH1145" i="17" s="1"/>
  <c r="BF1147" i="17"/>
  <c r="BG1147" i="17" s="1"/>
  <c r="BH1147" i="17" s="1"/>
  <c r="BF1149" i="17"/>
  <c r="BG1149" i="17" s="1"/>
  <c r="BH1149" i="17" s="1"/>
  <c r="BF1151" i="17"/>
  <c r="BG1151" i="17" s="1"/>
  <c r="BH1151" i="17" s="1"/>
  <c r="BF1153" i="17"/>
  <c r="BG1153" i="17" s="1"/>
  <c r="BH1153" i="17" s="1"/>
  <c r="BF1155" i="17"/>
  <c r="BG1155" i="17" s="1"/>
  <c r="BH1155" i="17" s="1"/>
  <c r="BF1157" i="17"/>
  <c r="BG1157" i="17" s="1"/>
  <c r="BH1157" i="17" s="1"/>
  <c r="BF1159" i="17"/>
  <c r="BG1159" i="17" s="1"/>
  <c r="BH1159" i="17" s="1"/>
  <c r="BF1161" i="17"/>
  <c r="BG1161" i="17" s="1"/>
  <c r="BH1161" i="17" s="1"/>
  <c r="BF1163" i="17"/>
  <c r="BG1163" i="17" s="1"/>
  <c r="BH1163" i="17" s="1"/>
  <c r="BF1165" i="17"/>
  <c r="BG1165" i="17" s="1"/>
  <c r="BH1165" i="17" s="1"/>
  <c r="BF1167" i="17"/>
  <c r="BG1167" i="17" s="1"/>
  <c r="BH1167" i="17" s="1"/>
  <c r="BF1169" i="17"/>
  <c r="BG1169" i="17" s="1"/>
  <c r="BH1169" i="17" s="1"/>
  <c r="BF1171" i="17"/>
  <c r="BG1171" i="17" s="1"/>
  <c r="BH1171" i="17" s="1"/>
  <c r="BF1173" i="17"/>
  <c r="BG1173" i="17" s="1"/>
  <c r="BH1173" i="17" s="1"/>
  <c r="CD1173" i="17" s="1"/>
  <c r="BF1175" i="17"/>
  <c r="BG1175" i="17" s="1"/>
  <c r="BH1175" i="17" s="1"/>
  <c r="BF1177" i="17"/>
  <c r="BG1177" i="17" s="1"/>
  <c r="BH1177" i="17" s="1"/>
  <c r="BF1179" i="17"/>
  <c r="BG1179" i="17" s="1"/>
  <c r="BH1179" i="17" s="1"/>
  <c r="BF1181" i="17"/>
  <c r="BG1181" i="17" s="1"/>
  <c r="BH1181" i="17" s="1"/>
  <c r="BF1183" i="17"/>
  <c r="BG1183" i="17" s="1"/>
  <c r="BH1183" i="17" s="1"/>
  <c r="BF1185" i="17"/>
  <c r="BG1185" i="17" s="1"/>
  <c r="BH1185" i="17" s="1"/>
  <c r="BF1187" i="17"/>
  <c r="BG1187" i="17" s="1"/>
  <c r="BH1187" i="17" s="1"/>
  <c r="BF1189" i="17"/>
  <c r="BG1189" i="17" s="1"/>
  <c r="BH1189" i="17" s="1"/>
  <c r="BF1191" i="17"/>
  <c r="BG1191" i="17" s="1"/>
  <c r="BH1191" i="17" s="1"/>
  <c r="BF1193" i="17"/>
  <c r="BG1193" i="17" s="1"/>
  <c r="BH1193" i="17" s="1"/>
  <c r="BF1195" i="17"/>
  <c r="BG1195" i="17" s="1"/>
  <c r="BH1195" i="17" s="1"/>
  <c r="BF1197" i="17"/>
  <c r="BG1197" i="17" s="1"/>
  <c r="BH1197" i="17" s="1"/>
  <c r="BF1199" i="17"/>
  <c r="BG1199" i="17" s="1"/>
  <c r="BH1199" i="17" s="1"/>
  <c r="BF1201" i="17"/>
  <c r="BG1201" i="17" s="1"/>
  <c r="BH1201" i="17" s="1"/>
  <c r="BF1203" i="17"/>
  <c r="BG1203" i="17" s="1"/>
  <c r="BH1203" i="17" s="1"/>
  <c r="BF1205" i="17"/>
  <c r="BG1205" i="17" s="1"/>
  <c r="BH1205" i="17" s="1"/>
  <c r="BF1209" i="17"/>
  <c r="BG1209" i="17" s="1"/>
  <c r="BH1209" i="17" s="1"/>
  <c r="BF1211" i="17"/>
  <c r="BG1211" i="17" s="1"/>
  <c r="BH1211" i="17" s="1"/>
  <c r="BF1213" i="17"/>
  <c r="BG1213" i="17" s="1"/>
  <c r="BH1213" i="17" s="1"/>
  <c r="BF1215" i="17"/>
  <c r="BG1215" i="17" s="1"/>
  <c r="BH1215" i="17" s="1"/>
  <c r="BF1217" i="17"/>
  <c r="BG1217" i="17" s="1"/>
  <c r="BH1217" i="17" s="1"/>
  <c r="BF1219" i="17"/>
  <c r="BG1219" i="17" s="1"/>
  <c r="BH1219" i="17" s="1"/>
  <c r="BF1221" i="17"/>
  <c r="BG1221" i="17" s="1"/>
  <c r="BH1221" i="17" s="1"/>
  <c r="BF1223" i="17"/>
  <c r="BG1223" i="17" s="1"/>
  <c r="BH1223" i="17" s="1"/>
  <c r="BF1225" i="17"/>
  <c r="BG1225" i="17" s="1"/>
  <c r="BH1225" i="17" s="1"/>
  <c r="BF1227" i="17"/>
  <c r="BG1227" i="17" s="1"/>
  <c r="BH1227" i="17" s="1"/>
  <c r="BF1229" i="17"/>
  <c r="BG1229" i="17" s="1"/>
  <c r="BH1229" i="17" s="1"/>
  <c r="BF1231" i="17"/>
  <c r="BG1231" i="17" s="1"/>
  <c r="BH1231" i="17" s="1"/>
  <c r="BF1233" i="17"/>
  <c r="BG1233" i="17" s="1"/>
  <c r="BH1233" i="17" s="1"/>
  <c r="BF1235" i="17"/>
  <c r="BG1235" i="17" s="1"/>
  <c r="BH1235" i="17" s="1"/>
  <c r="BF1237" i="17"/>
  <c r="BG1237" i="17" s="1"/>
  <c r="BH1237" i="17" s="1"/>
  <c r="BF1239" i="17"/>
  <c r="BG1239" i="17" s="1"/>
  <c r="BH1239" i="17" s="1"/>
  <c r="BF1241" i="17"/>
  <c r="BG1241" i="17" s="1"/>
  <c r="BH1241" i="17" s="1"/>
  <c r="BF1243" i="17"/>
  <c r="BG1243" i="17" s="1"/>
  <c r="BH1243" i="17" s="1"/>
  <c r="BF1245" i="17"/>
  <c r="BG1245" i="17" s="1"/>
  <c r="BH1245" i="17" s="1"/>
  <c r="BF1247" i="17"/>
  <c r="BG1247" i="17" s="1"/>
  <c r="BH1247" i="17" s="1"/>
  <c r="BF1249" i="17"/>
  <c r="BG1249" i="17" s="1"/>
  <c r="BH1249" i="17" s="1"/>
  <c r="BF1251" i="17"/>
  <c r="BG1251" i="17" s="1"/>
  <c r="BH1251" i="17" s="1"/>
  <c r="BF1253" i="17"/>
  <c r="BG1253" i="17" s="1"/>
  <c r="BH1253" i="17" s="1"/>
  <c r="BF1255" i="17"/>
  <c r="BG1255" i="17" s="1"/>
  <c r="BH1255" i="17" s="1"/>
  <c r="BF1257" i="17"/>
  <c r="BG1257" i="17" s="1"/>
  <c r="BH1257" i="17" s="1"/>
  <c r="BF1259" i="17"/>
  <c r="BG1259" i="17" s="1"/>
  <c r="BH1259" i="17" s="1"/>
  <c r="BF1261" i="17"/>
  <c r="BG1261" i="17" s="1"/>
  <c r="BH1261" i="17" s="1"/>
  <c r="BF1263" i="17"/>
  <c r="BG1263" i="17" s="1"/>
  <c r="BH1263" i="17" s="1"/>
  <c r="BF1265" i="17"/>
  <c r="BG1265" i="17" s="1"/>
  <c r="BH1265" i="17" s="1"/>
  <c r="BF1267" i="17"/>
  <c r="BG1267" i="17" s="1"/>
  <c r="BH1267" i="17" s="1"/>
  <c r="BF1269" i="17"/>
  <c r="BG1269" i="17" s="1"/>
  <c r="BH1269" i="17" s="1"/>
  <c r="BF1271" i="17"/>
  <c r="BG1271" i="17" s="1"/>
  <c r="BH1271" i="17" s="1"/>
  <c r="BF1273" i="17"/>
  <c r="BG1273" i="17" s="1"/>
  <c r="BH1273" i="17" s="1"/>
  <c r="BF1275" i="17"/>
  <c r="BG1275" i="17" s="1"/>
  <c r="BH1275" i="17" s="1"/>
  <c r="BF1277" i="17"/>
  <c r="BG1277" i="17" s="1"/>
  <c r="BH1277" i="17" s="1"/>
  <c r="BF1279" i="17"/>
  <c r="BG1279" i="17" s="1"/>
  <c r="BH1279" i="17" s="1"/>
  <c r="BF1281" i="17"/>
  <c r="BG1281" i="17" s="1"/>
  <c r="BH1281" i="17" s="1"/>
  <c r="BF1283" i="17"/>
  <c r="BG1283" i="17" s="1"/>
  <c r="BH1283" i="17" s="1"/>
  <c r="BF1285" i="17"/>
  <c r="BG1285" i="17" s="1"/>
  <c r="BH1285" i="17" s="1"/>
  <c r="BF1287" i="17"/>
  <c r="BG1287" i="17" s="1"/>
  <c r="BH1287" i="17" s="1"/>
  <c r="BF1289" i="17"/>
  <c r="BG1289" i="17" s="1"/>
  <c r="BH1289" i="17" s="1"/>
  <c r="BF1291" i="17"/>
  <c r="BG1291" i="17" s="1"/>
  <c r="BH1291" i="17" s="1"/>
  <c r="BF1293" i="17"/>
  <c r="BG1293" i="17" s="1"/>
  <c r="BH1293" i="17" s="1"/>
  <c r="BF1295" i="17"/>
  <c r="BG1295" i="17" s="1"/>
  <c r="BH1295" i="17" s="1"/>
  <c r="BF1297" i="17"/>
  <c r="BG1297" i="17" s="1"/>
  <c r="BH1297" i="17" s="1"/>
  <c r="BF1299" i="17"/>
  <c r="BG1299" i="17" s="1"/>
  <c r="BH1299" i="17" s="1"/>
  <c r="BF1301" i="17"/>
  <c r="BG1301" i="17" s="1"/>
  <c r="BH1301" i="17" s="1"/>
  <c r="BF1303" i="17"/>
  <c r="BG1303" i="17" s="1"/>
  <c r="BH1303" i="17" s="1"/>
  <c r="BF1305" i="17"/>
  <c r="BG1305" i="17" s="1"/>
  <c r="BH1305" i="17" s="1"/>
  <c r="BF1307" i="17"/>
  <c r="BG1307" i="17" s="1"/>
  <c r="BH1307" i="17" s="1"/>
  <c r="AT1279" i="17"/>
  <c r="AU1279" i="17" s="1"/>
  <c r="AV1279" i="17" s="1"/>
  <c r="BL1271" i="17"/>
  <c r="BM1271" i="17" s="1"/>
  <c r="BN1271" i="17" s="1"/>
  <c r="BL1273" i="17"/>
  <c r="BM1273" i="17" s="1"/>
  <c r="BN1273" i="17" s="1"/>
  <c r="BL1275" i="17"/>
  <c r="BM1275" i="17" s="1"/>
  <c r="BN1275" i="17" s="1"/>
  <c r="BL1277" i="17"/>
  <c r="BM1277" i="17" s="1"/>
  <c r="BN1277" i="17" s="1"/>
  <c r="BL1279" i="17"/>
  <c r="BM1279" i="17" s="1"/>
  <c r="BN1279" i="17" s="1"/>
  <c r="BL1281" i="17"/>
  <c r="BM1281" i="17" s="1"/>
  <c r="BN1281" i="17" s="1"/>
  <c r="BL1283" i="17"/>
  <c r="BM1283" i="17" s="1"/>
  <c r="BN1283" i="17" s="1"/>
  <c r="BL1285" i="17"/>
  <c r="BM1285" i="17" s="1"/>
  <c r="BN1285" i="17" s="1"/>
  <c r="BL1287" i="17"/>
  <c r="BM1287" i="17" s="1"/>
  <c r="BN1287" i="17" s="1"/>
  <c r="BL1289" i="17"/>
  <c r="BM1289" i="17" s="1"/>
  <c r="BN1289" i="17" s="1"/>
  <c r="BL1291" i="17"/>
  <c r="BM1291" i="17" s="1"/>
  <c r="BN1291" i="17" s="1"/>
  <c r="BL1293" i="17"/>
  <c r="BM1293" i="17" s="1"/>
  <c r="BN1293" i="17" s="1"/>
  <c r="BL1295" i="17"/>
  <c r="BM1295" i="17" s="1"/>
  <c r="BN1295" i="17" s="1"/>
  <c r="BL1297" i="17"/>
  <c r="BM1297" i="17" s="1"/>
  <c r="BN1297" i="17" s="1"/>
  <c r="BL1299" i="17"/>
  <c r="BM1299" i="17" s="1"/>
  <c r="BN1299" i="17" s="1"/>
  <c r="BL1301" i="17"/>
  <c r="BM1301" i="17" s="1"/>
  <c r="BN1301" i="17" s="1"/>
  <c r="BL1303" i="17"/>
  <c r="BM1303" i="17" s="1"/>
  <c r="BN1303" i="17" s="1"/>
  <c r="BL1307" i="17"/>
  <c r="BM1307" i="17" s="1"/>
  <c r="BN1307" i="17" s="1"/>
  <c r="BR1275" i="17"/>
  <c r="BS1275" i="17" s="1"/>
  <c r="BT1275" i="17" s="1"/>
  <c r="BR1277" i="17"/>
  <c r="BS1277" i="17" s="1"/>
  <c r="BT1277" i="17" s="1"/>
  <c r="BR1279" i="17"/>
  <c r="BS1279" i="17" s="1"/>
  <c r="BT1279" i="17" s="1"/>
  <c r="BR1281" i="17"/>
  <c r="BS1281" i="17" s="1"/>
  <c r="BT1281" i="17" s="1"/>
  <c r="BR1283" i="17"/>
  <c r="BS1283" i="17" s="1"/>
  <c r="BT1283" i="17" s="1"/>
  <c r="BR1285" i="17"/>
  <c r="BS1285" i="17" s="1"/>
  <c r="BT1285" i="17" s="1"/>
  <c r="BR1287" i="17"/>
  <c r="BS1287" i="17" s="1"/>
  <c r="BT1287" i="17" s="1"/>
  <c r="BR1289" i="17"/>
  <c r="BS1289" i="17" s="1"/>
  <c r="BT1289" i="17" s="1"/>
  <c r="BR1291" i="17"/>
  <c r="BS1291" i="17" s="1"/>
  <c r="BT1291" i="17" s="1"/>
  <c r="BR1293" i="17"/>
  <c r="BS1293" i="17" s="1"/>
  <c r="BT1293" i="17" s="1"/>
  <c r="BR1295" i="17"/>
  <c r="BS1295" i="17" s="1"/>
  <c r="BT1295" i="17" s="1"/>
  <c r="BR1297" i="17"/>
  <c r="BS1297" i="17" s="1"/>
  <c r="BT1297" i="17" s="1"/>
  <c r="BR1299" i="17"/>
  <c r="BS1299" i="17" s="1"/>
  <c r="BT1299" i="17" s="1"/>
  <c r="BR1301" i="17"/>
  <c r="BS1301" i="17" s="1"/>
  <c r="BT1301" i="17" s="1"/>
  <c r="BR1303" i="17"/>
  <c r="BS1303" i="17" s="1"/>
  <c r="BT1303" i="17" s="1"/>
  <c r="BR1305" i="17"/>
  <c r="BS1305" i="17" s="1"/>
  <c r="BT1305" i="17" s="1"/>
  <c r="BR1307" i="17"/>
  <c r="BS1307" i="17" s="1"/>
  <c r="BT1307" i="17" s="1"/>
  <c r="BX1287" i="17"/>
  <c r="BY1287" i="17" s="1"/>
  <c r="BZ1287" i="17" s="1"/>
  <c r="BX1289" i="17"/>
  <c r="BY1289" i="17" s="1"/>
  <c r="BZ1289" i="17" s="1"/>
  <c r="BX1291" i="17"/>
  <c r="BY1291" i="17" s="1"/>
  <c r="BZ1291" i="17" s="1"/>
  <c r="BX1293" i="17"/>
  <c r="BY1293" i="17" s="1"/>
  <c r="BZ1293" i="17" s="1"/>
  <c r="BX1295" i="17"/>
  <c r="BY1295" i="17" s="1"/>
  <c r="BZ1295" i="17" s="1"/>
  <c r="BX1297" i="17"/>
  <c r="BY1297" i="17" s="1"/>
  <c r="BZ1297" i="17" s="1"/>
  <c r="BX1299" i="17"/>
  <c r="BY1299" i="17" s="1"/>
  <c r="BZ1299" i="17" s="1"/>
  <c r="BX1301" i="17"/>
  <c r="BY1301" i="17" s="1"/>
  <c r="BZ1301" i="17" s="1"/>
  <c r="BX1303" i="17"/>
  <c r="BY1303" i="17" s="1"/>
  <c r="BZ1303" i="17" s="1"/>
  <c r="BX1305" i="17"/>
  <c r="BY1305" i="17" s="1"/>
  <c r="BZ1305" i="17" s="1"/>
  <c r="BX1307" i="17"/>
  <c r="BY1307" i="17" s="1"/>
  <c r="BZ1307" i="17" s="1"/>
  <c r="BR1304" i="17"/>
  <c r="BS1304" i="17" s="1"/>
  <c r="BT1304" i="17" s="1"/>
  <c r="BR1306" i="17"/>
  <c r="BS1306" i="17" s="1"/>
  <c r="BT1306" i="17" s="1"/>
  <c r="BX1298" i="17"/>
  <c r="BY1298" i="17" s="1"/>
  <c r="BZ1298" i="17" s="1"/>
  <c r="BX1300" i="17"/>
  <c r="BY1300" i="17" s="1"/>
  <c r="BZ1300" i="17" s="1"/>
  <c r="BX1302" i="17"/>
  <c r="BY1302" i="17" s="1"/>
  <c r="BZ1302" i="17" s="1"/>
  <c r="BX1304" i="17"/>
  <c r="BY1304" i="17" s="1"/>
  <c r="BZ1304" i="17" s="1"/>
  <c r="BX1306" i="17"/>
  <c r="BY1306" i="17" s="1"/>
  <c r="BZ1306" i="17" s="1"/>
  <c r="CD464" i="17"/>
  <c r="CD368" i="17"/>
  <c r="CD308" i="17"/>
  <c r="CD296" i="17"/>
  <c r="CD284" i="17"/>
  <c r="CD248" i="17"/>
  <c r="CD236" i="17"/>
  <c r="CD224" i="17"/>
  <c r="CD212" i="17"/>
  <c r="CD200" i="17"/>
  <c r="CD188" i="17"/>
  <c r="CD176" i="17"/>
  <c r="CD164" i="17"/>
  <c r="CD152" i="17"/>
  <c r="CD140" i="17"/>
  <c r="CD128" i="17"/>
  <c r="CD116" i="17"/>
  <c r="CD104" i="17"/>
  <c r="CD92" i="17"/>
  <c r="CD80" i="17"/>
  <c r="CD68" i="17"/>
  <c r="CD56" i="17"/>
  <c r="CD44" i="17"/>
  <c r="CD32" i="17"/>
  <c r="CD20" i="17"/>
  <c r="CD8" i="17"/>
  <c r="CD425" i="17"/>
  <c r="CD413" i="17"/>
  <c r="CD377" i="17"/>
  <c r="CD245" i="17"/>
  <c r="CD233" i="17"/>
  <c r="CD221" i="17"/>
  <c r="CD209" i="17"/>
  <c r="CD197" i="17"/>
  <c r="CD185" i="17"/>
  <c r="CD173" i="17"/>
  <c r="CD161" i="17"/>
  <c r="CD149" i="17"/>
  <c r="CD137" i="17"/>
  <c r="CD125" i="17"/>
  <c r="CD113" i="17"/>
  <c r="CD101" i="17"/>
  <c r="CD89" i="17"/>
  <c r="CD77" i="17"/>
  <c r="CD574" i="17"/>
  <c r="CD454" i="17"/>
  <c r="CD442" i="17"/>
  <c r="CD274" i="17"/>
  <c r="CD250" i="17"/>
  <c r="CD238" i="17"/>
  <c r="CD226" i="17"/>
  <c r="CD214" i="17"/>
  <c r="CD202" i="17"/>
  <c r="CD190" i="17"/>
  <c r="CD178" i="17"/>
  <c r="CD166" i="17"/>
  <c r="CD154" i="17"/>
  <c r="CD142" i="17"/>
  <c r="CD130" i="17"/>
  <c r="CD118" i="17"/>
  <c r="CD106" i="17"/>
  <c r="CD94" i="17"/>
  <c r="CD82" i="17"/>
  <c r="CD70" i="17"/>
  <c r="CD58" i="17"/>
  <c r="CD46" i="17"/>
  <c r="CD34" i="17"/>
  <c r="CD22" i="17"/>
  <c r="CD10" i="17"/>
  <c r="CD510" i="17"/>
  <c r="CD426" i="17"/>
  <c r="CD402" i="17"/>
  <c r="CD318" i="17"/>
  <c r="CD246" i="17"/>
  <c r="CD234" i="17"/>
  <c r="CD222" i="17"/>
  <c r="CD210" i="17"/>
  <c r="CD198" i="17"/>
  <c r="CD186" i="17"/>
  <c r="CD174" i="17"/>
  <c r="CD162" i="17"/>
  <c r="CD150" i="17"/>
  <c r="CD138" i="17"/>
  <c r="CD126" i="17"/>
  <c r="CD114" i="17"/>
  <c r="CD102" i="17"/>
  <c r="CD90" i="17"/>
  <c r="CD78" i="17"/>
  <c r="CD66" i="17"/>
  <c r="CD54" i="17"/>
  <c r="CD42" i="17"/>
  <c r="CD30" i="17"/>
  <c r="CD18" i="17"/>
  <c r="CD6" i="17"/>
  <c r="CD590" i="17"/>
  <c r="CD326" i="17"/>
  <c r="CD242" i="17"/>
  <c r="CD230" i="17"/>
  <c r="CD218" i="17"/>
  <c r="CD206" i="17"/>
  <c r="CD194" i="17"/>
  <c r="CD182" i="17"/>
  <c r="CD170" i="17"/>
  <c r="CD158" i="17"/>
  <c r="CD146" i="17"/>
  <c r="CD134" i="17"/>
  <c r="CD122" i="17"/>
  <c r="CD110" i="17"/>
  <c r="CD98" i="17"/>
  <c r="CD86" i="17"/>
  <c r="CD74" i="17"/>
  <c r="CD62" i="17"/>
  <c r="CD50" i="17"/>
  <c r="CD38" i="17"/>
  <c r="CD26" i="17"/>
  <c r="CD14" i="17"/>
  <c r="CD720" i="17"/>
  <c r="CD648" i="17"/>
  <c r="CD288" i="17"/>
  <c r="CD252" i="17"/>
  <c r="CD240" i="17"/>
  <c r="CD228" i="17"/>
  <c r="CD216" i="17"/>
  <c r="CD204" i="17"/>
  <c r="CD192" i="17"/>
  <c r="CD180" i="17"/>
  <c r="CD168" i="17"/>
  <c r="CD156" i="17"/>
  <c r="CD144" i="17"/>
  <c r="CD132" i="17"/>
  <c r="CD120" i="17"/>
  <c r="CD108" i="17"/>
  <c r="CD96" i="17"/>
  <c r="CD84" i="17"/>
  <c r="CD72" i="17"/>
  <c r="CD60" i="17"/>
  <c r="CD48" i="17"/>
  <c r="CD36" i="17"/>
  <c r="CD24" i="17"/>
  <c r="CD12" i="17"/>
  <c r="CD544" i="17"/>
  <c r="CD376" i="17"/>
  <c r="CD364" i="17"/>
  <c r="CD244" i="17"/>
  <c r="CD232" i="17"/>
  <c r="CD220" i="17"/>
  <c r="CD208" i="17"/>
  <c r="CD196" i="17"/>
  <c r="CD184" i="17"/>
  <c r="CD172" i="17"/>
  <c r="CD160" i="17"/>
  <c r="CD148" i="17"/>
  <c r="CD136" i="17"/>
  <c r="CD124" i="17"/>
  <c r="CD112" i="17"/>
  <c r="CD100" i="17"/>
  <c r="CD88" i="17"/>
  <c r="CD76" i="17"/>
  <c r="CD64" i="17"/>
  <c r="CD52" i="17"/>
  <c r="CD40" i="17"/>
  <c r="CD28" i="17"/>
  <c r="CD16" i="17"/>
  <c r="CD4" i="17"/>
  <c r="CD495" i="17"/>
  <c r="CD447" i="17"/>
  <c r="CD423" i="17"/>
  <c r="CD279" i="17"/>
  <c r="CD243" i="17"/>
  <c r="CD231" i="17"/>
  <c r="CD219" i="17"/>
  <c r="CD207" i="17"/>
  <c r="CD195" i="17"/>
  <c r="CD183" i="17"/>
  <c r="CD171" i="17"/>
  <c r="CD159" i="17"/>
  <c r="CD147" i="17"/>
  <c r="CD135" i="17"/>
  <c r="CD123" i="17"/>
  <c r="CD111" i="17"/>
  <c r="CD99" i="17"/>
  <c r="CD87" i="17"/>
  <c r="CD75" i="17"/>
  <c r="CD63" i="17"/>
  <c r="CD51" i="17"/>
  <c r="CD39" i="17"/>
  <c r="CD27" i="17"/>
  <c r="CD15" i="17"/>
  <c r="CD3" i="17"/>
  <c r="CD217" i="17"/>
  <c r="CD181" i="17"/>
  <c r="CD145" i="17"/>
  <c r="CD109" i="17"/>
  <c r="CD73" i="17"/>
  <c r="CD37" i="17"/>
  <c r="CD649" i="17"/>
  <c r="CD397" i="17"/>
  <c r="CD241" i="17"/>
  <c r="CD229" i="17"/>
  <c r="CD205" i="17"/>
  <c r="CD193" i="17"/>
  <c r="CD169" i="17"/>
  <c r="CD157" i="17"/>
  <c r="CD133" i="17"/>
  <c r="CD121" i="17"/>
  <c r="CD97" i="17"/>
  <c r="CD85" i="17"/>
  <c r="CD61" i="17"/>
  <c r="CD49" i="17"/>
  <c r="CD25" i="17"/>
  <c r="CD13" i="17"/>
  <c r="CD647" i="17"/>
  <c r="CD443" i="17"/>
  <c r="CD275" i="17"/>
  <c r="CD251" i="17"/>
  <c r="CD239" i="17"/>
  <c r="CD227" i="17"/>
  <c r="CD215" i="17"/>
  <c r="CD203" i="17"/>
  <c r="CD191" i="17"/>
  <c r="CD179" i="17"/>
  <c r="CD167" i="17"/>
  <c r="CD155" i="17"/>
  <c r="CD143" i="17"/>
  <c r="CD131" i="17"/>
  <c r="CD119" i="17"/>
  <c r="CD107" i="17"/>
  <c r="CD95" i="17"/>
  <c r="CD83" i="17"/>
  <c r="CD71" i="17"/>
  <c r="CD59" i="17"/>
  <c r="CD47" i="17"/>
  <c r="CD35" i="17"/>
  <c r="CD23" i="17"/>
  <c r="CD11" i="17"/>
  <c r="CD561" i="17"/>
  <c r="CD417" i="17"/>
  <c r="CD357" i="17"/>
  <c r="CD583" i="17"/>
  <c r="CD355" i="17"/>
  <c r="CD331" i="17"/>
  <c r="CD261" i="17"/>
  <c r="CD249" i="17"/>
  <c r="CD237" i="17"/>
  <c r="CD225" i="17"/>
  <c r="CD213" i="17"/>
  <c r="CD201" i="17"/>
  <c r="CD189" i="17"/>
  <c r="CD177" i="17"/>
  <c r="CD165" i="17"/>
  <c r="CD153" i="17"/>
  <c r="CD141" i="17"/>
  <c r="CD129" i="17"/>
  <c r="CD117" i="17"/>
  <c r="CD105" i="17"/>
  <c r="CD93" i="17"/>
  <c r="CD81" i="17"/>
  <c r="CD69" i="17"/>
  <c r="CD57" i="17"/>
  <c r="CD45" i="17"/>
  <c r="CD33" i="17"/>
  <c r="CD21" i="17"/>
  <c r="CD9" i="17"/>
  <c r="CD247" i="17"/>
  <c r="CD235" i="17"/>
  <c r="CD223" i="17"/>
  <c r="CD211" i="17"/>
  <c r="CD199" i="17"/>
  <c r="CD187" i="17"/>
  <c r="CD175" i="17"/>
  <c r="CD163" i="17"/>
  <c r="CD151" i="17"/>
  <c r="CD139" i="17"/>
  <c r="CD127" i="17"/>
  <c r="CD115" i="17"/>
  <c r="CD103" i="17"/>
  <c r="CD91" i="17"/>
  <c r="CD79" i="17"/>
  <c r="CD67" i="17"/>
  <c r="CD55" i="17"/>
  <c r="CD43" i="17"/>
  <c r="CD31" i="17"/>
  <c r="CD19" i="17"/>
  <c r="CD7" i="17"/>
  <c r="CD65" i="17"/>
  <c r="CD53" i="17"/>
  <c r="CD41" i="17"/>
  <c r="CD29" i="17"/>
  <c r="CD17" i="17"/>
  <c r="CD5" i="17"/>
  <c r="BZ2" i="17"/>
  <c r="CA2" i="17" s="1"/>
  <c r="BT2" i="17"/>
  <c r="BU2" i="17" s="1"/>
  <c r="BN2" i="17"/>
  <c r="BO2" i="17" s="1"/>
  <c r="BH2" i="17"/>
  <c r="BI2" i="17" s="1"/>
  <c r="BB2" i="17"/>
  <c r="BC2" i="17" s="1"/>
  <c r="AV2" i="17"/>
  <c r="K9" i="7"/>
  <c r="T9" i="7" s="1"/>
  <c r="K10" i="7"/>
  <c r="T10" i="7" s="1"/>
  <c r="AC10" i="7" s="1"/>
  <c r="S10" i="7"/>
  <c r="S11" i="7"/>
  <c r="O23" i="7"/>
  <c r="Z23" i="7" s="1"/>
  <c r="M93" i="7"/>
  <c r="V93" i="7" s="1"/>
  <c r="M94" i="7"/>
  <c r="V94" i="7" s="1"/>
  <c r="L176" i="7"/>
  <c r="U176" i="7" s="1"/>
  <c r="L177" i="7"/>
  <c r="U177" i="7" s="1"/>
  <c r="AJ5" i="7"/>
  <c r="N8" i="7"/>
  <c r="W8" i="7" s="1"/>
  <c r="S76" i="7"/>
  <c r="S75" i="7"/>
  <c r="Y105" i="7"/>
  <c r="Q110" i="7"/>
  <c r="X110" i="7" s="1"/>
  <c r="AC110" i="7" s="1"/>
  <c r="AD110" i="7" s="1"/>
  <c r="Q111" i="7"/>
  <c r="X111" i="7" s="1"/>
  <c r="N248" i="7"/>
  <c r="W248" i="7" s="1"/>
  <c r="N249" i="7"/>
  <c r="W249" i="7" s="1"/>
  <c r="P306" i="7"/>
  <c r="AA306" i="7" s="1"/>
  <c r="P307" i="7"/>
  <c r="AA307" i="7" s="1"/>
  <c r="AK5" i="7"/>
  <c r="O8" i="7"/>
  <c r="Z8" i="7" s="1"/>
  <c r="L19" i="7"/>
  <c r="U19" i="7" s="1"/>
  <c r="Q135" i="7"/>
  <c r="X135" i="7" s="1"/>
  <c r="Q134" i="7"/>
  <c r="X134" i="7" s="1"/>
  <c r="Q153" i="7"/>
  <c r="X153" i="7" s="1"/>
  <c r="Q152" i="7"/>
  <c r="X152" i="7" s="1"/>
  <c r="O246" i="7"/>
  <c r="Z246" i="7" s="1"/>
  <c r="O247" i="7"/>
  <c r="Z247" i="7" s="1"/>
  <c r="M95" i="7"/>
  <c r="V95" i="7" s="1"/>
  <c r="M96" i="7"/>
  <c r="V96" i="7" s="1"/>
  <c r="O13" i="7"/>
  <c r="Z13" i="7" s="1"/>
  <c r="O14" i="7"/>
  <c r="Z14" i="7" s="1"/>
  <c r="K15" i="7"/>
  <c r="T15" i="7" s="1"/>
  <c r="S17" i="7"/>
  <c r="S18" i="7"/>
  <c r="Y18" i="7" s="1"/>
  <c r="K67" i="7"/>
  <c r="T67" i="7" s="1"/>
  <c r="K68" i="7"/>
  <c r="T68" i="7" s="1"/>
  <c r="Y110" i="7"/>
  <c r="Q117" i="7"/>
  <c r="X117" i="7" s="1"/>
  <c r="Q118" i="7"/>
  <c r="X118" i="7" s="1"/>
  <c r="S88" i="7"/>
  <c r="O121" i="7"/>
  <c r="Z121" i="7" s="1"/>
  <c r="O120" i="7"/>
  <c r="Z120" i="7" s="1"/>
  <c r="Q138" i="7"/>
  <c r="X138" i="7" s="1"/>
  <c r="Q137" i="7"/>
  <c r="X137" i="7" s="1"/>
  <c r="Q156" i="7"/>
  <c r="X156" i="7" s="1"/>
  <c r="Q155" i="7"/>
  <c r="X155" i="7" s="1"/>
  <c r="Q338" i="7"/>
  <c r="X338" i="7" s="1"/>
  <c r="Q339" i="7"/>
  <c r="X339" i="7" s="1"/>
  <c r="N355" i="7"/>
  <c r="W355" i="7" s="1"/>
  <c r="N356" i="7"/>
  <c r="W356" i="7" s="1"/>
  <c r="Q132" i="7"/>
  <c r="X132" i="7" s="1"/>
  <c r="Q131" i="7"/>
  <c r="X131" i="7" s="1"/>
  <c r="S3" i="7"/>
  <c r="R4" i="7"/>
  <c r="O5" i="7"/>
  <c r="Z5" i="7" s="1"/>
  <c r="M10" i="7"/>
  <c r="V10" i="7" s="1"/>
  <c r="O19" i="7"/>
  <c r="Z19" i="7" s="1"/>
  <c r="L30" i="7"/>
  <c r="U30" i="7" s="1"/>
  <c r="M69" i="7"/>
  <c r="V69" i="7" s="1"/>
  <c r="M70" i="7"/>
  <c r="V70" i="7" s="1"/>
  <c r="Y93" i="7"/>
  <c r="Y4" i="7"/>
  <c r="L74" i="7"/>
  <c r="U74" i="7" s="1"/>
  <c r="L75" i="7"/>
  <c r="U75" i="7" s="1"/>
  <c r="K79" i="7"/>
  <c r="T79" i="7" s="1"/>
  <c r="K80" i="7"/>
  <c r="T80" i="7" s="1"/>
  <c r="Q116" i="7"/>
  <c r="X116" i="7" s="1"/>
  <c r="Y120" i="7"/>
  <c r="Q141" i="7"/>
  <c r="X141" i="7" s="1"/>
  <c r="Q140" i="7"/>
  <c r="X140" i="7" s="1"/>
  <c r="Q159" i="7"/>
  <c r="X159" i="7" s="1"/>
  <c r="Q158" i="7"/>
  <c r="X158" i="7" s="1"/>
  <c r="P162" i="7"/>
  <c r="AA162" i="7" s="1"/>
  <c r="P163" i="7"/>
  <c r="AA163" i="7" s="1"/>
  <c r="AK11" i="7"/>
  <c r="AJ6" i="7"/>
  <c r="K12" i="7"/>
  <c r="T12" i="7" s="1"/>
  <c r="K13" i="7"/>
  <c r="T13" i="7" s="1"/>
  <c r="L16" i="7"/>
  <c r="U16" i="7" s="1"/>
  <c r="S97" i="7"/>
  <c r="Y97" i="7" s="1"/>
  <c r="K7" i="7"/>
  <c r="T7" i="7" s="1"/>
  <c r="L12" i="7"/>
  <c r="U12" i="7" s="1"/>
  <c r="S14" i="7"/>
  <c r="S15" i="7"/>
  <c r="Y15" i="7" s="1"/>
  <c r="L22" i="7"/>
  <c r="U22" i="7" s="1"/>
  <c r="M81" i="7"/>
  <c r="V81" i="7" s="1"/>
  <c r="M82" i="7"/>
  <c r="V82" i="7" s="1"/>
  <c r="R123" i="7"/>
  <c r="R122" i="7"/>
  <c r="Q144" i="7"/>
  <c r="X144" i="7" s="1"/>
  <c r="Q143" i="7"/>
  <c r="X143" i="7" s="1"/>
  <c r="L164" i="7"/>
  <c r="U164" i="7" s="1"/>
  <c r="Q150" i="7"/>
  <c r="X150" i="7" s="1"/>
  <c r="Q149" i="7"/>
  <c r="X149" i="7" s="1"/>
  <c r="S5" i="7"/>
  <c r="Y5" i="7" s="1"/>
  <c r="S6" i="7"/>
  <c r="Y6" i="7" s="1"/>
  <c r="N16" i="7"/>
  <c r="W16" i="7" s="1"/>
  <c r="Y19" i="7"/>
  <c r="L86" i="7"/>
  <c r="U86" i="7" s="1"/>
  <c r="L87" i="7"/>
  <c r="U87" i="7" s="1"/>
  <c r="K91" i="7"/>
  <c r="T91" i="7" s="1"/>
  <c r="K92" i="7"/>
  <c r="T92" i="7" s="1"/>
  <c r="N109" i="7"/>
  <c r="W109" i="7" s="1"/>
  <c r="N108" i="7"/>
  <c r="W108" i="7" s="1"/>
  <c r="Q126" i="7"/>
  <c r="X126" i="7" s="1"/>
  <c r="Q125" i="7"/>
  <c r="X125" i="7" s="1"/>
  <c r="Q108" i="7"/>
  <c r="X108" i="7" s="1"/>
  <c r="M7" i="7"/>
  <c r="V7" i="7" s="1"/>
  <c r="M8" i="7"/>
  <c r="V8" i="7" s="1"/>
  <c r="O16" i="7"/>
  <c r="Z16" i="7" s="1"/>
  <c r="K18" i="7"/>
  <c r="T18" i="7" s="1"/>
  <c r="S20" i="7"/>
  <c r="S21" i="7"/>
  <c r="Y21" i="7" s="1"/>
  <c r="N22" i="7"/>
  <c r="W22" i="7" s="1"/>
  <c r="K101" i="7"/>
  <c r="T101" i="7" s="1"/>
  <c r="P106" i="7"/>
  <c r="AA106" i="7" s="1"/>
  <c r="P105" i="7"/>
  <c r="AA105" i="7" s="1"/>
  <c r="Q129" i="7"/>
  <c r="X129" i="7" s="1"/>
  <c r="Q128" i="7"/>
  <c r="X128" i="7" s="1"/>
  <c r="Q147" i="7"/>
  <c r="X147" i="7" s="1"/>
  <c r="Q146" i="7"/>
  <c r="X146" i="7" s="1"/>
  <c r="N205" i="7"/>
  <c r="W205" i="7" s="1"/>
  <c r="N206" i="7"/>
  <c r="W206" i="7" s="1"/>
  <c r="S74" i="7"/>
  <c r="S86" i="7"/>
  <c r="S103" i="7"/>
  <c r="N104" i="7"/>
  <c r="W104" i="7" s="1"/>
  <c r="S108" i="7"/>
  <c r="Y108" i="7" s="1"/>
  <c r="P109" i="7"/>
  <c r="AA109" i="7" s="1"/>
  <c r="K111" i="7"/>
  <c r="T111" i="7" s="1"/>
  <c r="L112" i="7"/>
  <c r="U112" i="7" s="1"/>
  <c r="Y112" i="7"/>
  <c r="AC112" i="7" s="1"/>
  <c r="Q114" i="7"/>
  <c r="X114" i="7" s="1"/>
  <c r="P116" i="7"/>
  <c r="AA116" i="7" s="1"/>
  <c r="O124" i="7"/>
  <c r="Z124" i="7" s="1"/>
  <c r="O127" i="7"/>
  <c r="Z127" i="7" s="1"/>
  <c r="O130" i="7"/>
  <c r="Z130" i="7" s="1"/>
  <c r="O133" i="7"/>
  <c r="Z133" i="7" s="1"/>
  <c r="O136" i="7"/>
  <c r="Z136" i="7" s="1"/>
  <c r="O139" i="7"/>
  <c r="Z139" i="7" s="1"/>
  <c r="O142" i="7"/>
  <c r="Z142" i="7" s="1"/>
  <c r="O145" i="7"/>
  <c r="Z145" i="7" s="1"/>
  <c r="O148" i="7"/>
  <c r="Z148" i="7" s="1"/>
  <c r="O151" i="7"/>
  <c r="Z151" i="7" s="1"/>
  <c r="O154" i="7"/>
  <c r="Z154" i="7" s="1"/>
  <c r="O157" i="7"/>
  <c r="Z157" i="7" s="1"/>
  <c r="P160" i="7"/>
  <c r="AA160" i="7" s="1"/>
  <c r="O163" i="7"/>
  <c r="Z163" i="7" s="1"/>
  <c r="L167" i="7"/>
  <c r="U167" i="7" s="1"/>
  <c r="M170" i="7"/>
  <c r="V170" i="7" s="1"/>
  <c r="N172" i="7"/>
  <c r="W172" i="7" s="1"/>
  <c r="N193" i="7"/>
  <c r="W193" i="7" s="1"/>
  <c r="N194" i="7"/>
  <c r="W194" i="7" s="1"/>
  <c r="L237" i="7"/>
  <c r="U237" i="7" s="1"/>
  <c r="L238" i="7"/>
  <c r="U238" i="7" s="1"/>
  <c r="Y240" i="7"/>
  <c r="O244" i="7"/>
  <c r="Z244" i="7" s="1"/>
  <c r="O245" i="7"/>
  <c r="Z245" i="7" s="1"/>
  <c r="N246" i="7"/>
  <c r="W246" i="7" s="1"/>
  <c r="N247" i="7"/>
  <c r="W247" i="7" s="1"/>
  <c r="P284" i="7"/>
  <c r="AA284" i="7" s="1"/>
  <c r="P283" i="7"/>
  <c r="AA283" i="7" s="1"/>
  <c r="S24" i="7"/>
  <c r="Y24" i="7" s="1"/>
  <c r="S27" i="7"/>
  <c r="Y27" i="7" s="1"/>
  <c r="L70" i="7"/>
  <c r="U70" i="7" s="1"/>
  <c r="K75" i="7"/>
  <c r="T75" i="7" s="1"/>
  <c r="M77" i="7"/>
  <c r="V77" i="7" s="1"/>
  <c r="L82" i="7"/>
  <c r="U82" i="7" s="1"/>
  <c r="K87" i="7"/>
  <c r="T87" i="7" s="1"/>
  <c r="M89" i="7"/>
  <c r="V89" i="7" s="1"/>
  <c r="L98" i="7"/>
  <c r="U98" i="7" s="1"/>
  <c r="S106" i="7"/>
  <c r="Y106" i="7" s="1"/>
  <c r="S114" i="7"/>
  <c r="Y114" i="7" s="1"/>
  <c r="R116" i="7"/>
  <c r="R121" i="7"/>
  <c r="N164" i="7"/>
  <c r="W164" i="7" s="1"/>
  <c r="P167" i="7"/>
  <c r="AA167" i="7" s="1"/>
  <c r="P170" i="7"/>
  <c r="AA170" i="7" s="1"/>
  <c r="M173" i="7"/>
  <c r="V173" i="7" s="1"/>
  <c r="N179" i="7"/>
  <c r="W179" i="7" s="1"/>
  <c r="P181" i="7"/>
  <c r="AA181" i="7" s="1"/>
  <c r="P182" i="7"/>
  <c r="AA182" i="7" s="1"/>
  <c r="L199" i="7"/>
  <c r="U199" i="7" s="1"/>
  <c r="L219" i="7"/>
  <c r="U219" i="7" s="1"/>
  <c r="K232" i="7"/>
  <c r="T232" i="7" s="1"/>
  <c r="K231" i="7"/>
  <c r="T231" i="7" s="1"/>
  <c r="Y279" i="7"/>
  <c r="P288" i="7"/>
  <c r="AA288" i="7" s="1"/>
  <c r="P289" i="7"/>
  <c r="AA289" i="7" s="1"/>
  <c r="N290" i="7"/>
  <c r="W290" i="7" s="1"/>
  <c r="N291" i="7"/>
  <c r="W291" i="7" s="1"/>
  <c r="L335" i="7"/>
  <c r="U335" i="7" s="1"/>
  <c r="O455" i="7"/>
  <c r="Z455" i="7" s="1"/>
  <c r="O456" i="7"/>
  <c r="Z456" i="7" s="1"/>
  <c r="Y31" i="7"/>
  <c r="S55" i="7"/>
  <c r="S57" i="7"/>
  <c r="S59" i="7"/>
  <c r="Y59" i="7" s="1"/>
  <c r="S61" i="7"/>
  <c r="S63" i="7"/>
  <c r="S65" i="7"/>
  <c r="S116" i="7"/>
  <c r="Y118" i="7"/>
  <c r="O184" i="7"/>
  <c r="Z184" i="7" s="1"/>
  <c r="M186" i="7"/>
  <c r="V186" i="7" s="1"/>
  <c r="M187" i="7"/>
  <c r="V187" i="7" s="1"/>
  <c r="O196" i="7"/>
  <c r="Z196" i="7" s="1"/>
  <c r="L231" i="7"/>
  <c r="U231" i="7" s="1"/>
  <c r="L232" i="7"/>
  <c r="U232" i="7" s="1"/>
  <c r="L240" i="7"/>
  <c r="U240" i="7" s="1"/>
  <c r="L241" i="7"/>
  <c r="U241" i="7" s="1"/>
  <c r="L260" i="7"/>
  <c r="U260" i="7" s="1"/>
  <c r="M310" i="7"/>
  <c r="V310" i="7" s="1"/>
  <c r="P324" i="7"/>
  <c r="AA324" i="7" s="1"/>
  <c r="Q352" i="7"/>
  <c r="X352" i="7" s="1"/>
  <c r="Q353" i="7"/>
  <c r="X353" i="7" s="1"/>
  <c r="Q388" i="7"/>
  <c r="X388" i="7" s="1"/>
  <c r="Q389" i="7"/>
  <c r="X389" i="7" s="1"/>
  <c r="O28" i="7"/>
  <c r="Z28" i="7" s="1"/>
  <c r="O113" i="7"/>
  <c r="Z113" i="7" s="1"/>
  <c r="M167" i="7"/>
  <c r="V167" i="7" s="1"/>
  <c r="K179" i="7"/>
  <c r="T179" i="7" s="1"/>
  <c r="N186" i="7"/>
  <c r="W186" i="7" s="1"/>
  <c r="N187" i="7"/>
  <c r="W187" i="7" s="1"/>
  <c r="L210" i="7"/>
  <c r="U210" i="7" s="1"/>
  <c r="L211" i="7"/>
  <c r="U211" i="7" s="1"/>
  <c r="Y214" i="7"/>
  <c r="O229" i="7"/>
  <c r="Z229" i="7" s="1"/>
  <c r="M240" i="7"/>
  <c r="V240" i="7" s="1"/>
  <c r="M241" i="7"/>
  <c r="V241" i="7" s="1"/>
  <c r="K426" i="7"/>
  <c r="T426" i="7" s="1"/>
  <c r="M5" i="7"/>
  <c r="V5" i="7" s="1"/>
  <c r="Q7" i="7"/>
  <c r="X7" i="7" s="1"/>
  <c r="K44" i="7"/>
  <c r="T44" i="7" s="1"/>
  <c r="AC44" i="7" s="1"/>
  <c r="K64" i="7"/>
  <c r="T64" i="7" s="1"/>
  <c r="O67" i="7"/>
  <c r="Z67" i="7" s="1"/>
  <c r="P74" i="7"/>
  <c r="AA74" i="7" s="1"/>
  <c r="R76" i="7"/>
  <c r="O79" i="7"/>
  <c r="Z79" i="7" s="1"/>
  <c r="N84" i="7"/>
  <c r="W84" i="7" s="1"/>
  <c r="P86" i="7"/>
  <c r="AA86" i="7" s="1"/>
  <c r="R88" i="7"/>
  <c r="O91" i="7"/>
  <c r="Z91" i="7" s="1"/>
  <c r="Q95" i="7"/>
  <c r="X95" i="7" s="1"/>
  <c r="O103" i="7"/>
  <c r="Z103" i="7" s="1"/>
  <c r="O106" i="7"/>
  <c r="Z106" i="7" s="1"/>
  <c r="M111" i="7"/>
  <c r="V111" i="7" s="1"/>
  <c r="S121" i="7"/>
  <c r="Q122" i="7"/>
  <c r="X122" i="7" s="1"/>
  <c r="M124" i="7"/>
  <c r="V124" i="7" s="1"/>
  <c r="M127" i="7"/>
  <c r="V127" i="7" s="1"/>
  <c r="M130" i="7"/>
  <c r="V130" i="7" s="1"/>
  <c r="M133" i="7"/>
  <c r="V133" i="7" s="1"/>
  <c r="M136" i="7"/>
  <c r="V136" i="7" s="1"/>
  <c r="M139" i="7"/>
  <c r="V139" i="7" s="1"/>
  <c r="M142" i="7"/>
  <c r="V142" i="7" s="1"/>
  <c r="M145" i="7"/>
  <c r="V145" i="7" s="1"/>
  <c r="M148" i="7"/>
  <c r="V148" i="7" s="1"/>
  <c r="M151" i="7"/>
  <c r="V151" i="7" s="1"/>
  <c r="M154" i="7"/>
  <c r="V154" i="7" s="1"/>
  <c r="M157" i="7"/>
  <c r="V157" i="7" s="1"/>
  <c r="N160" i="7"/>
  <c r="W160" i="7" s="1"/>
  <c r="M164" i="7"/>
  <c r="V164" i="7" s="1"/>
  <c r="Q166" i="7"/>
  <c r="X166" i="7" s="1"/>
  <c r="O170" i="7"/>
  <c r="Z170" i="7" s="1"/>
  <c r="L188" i="7"/>
  <c r="U188" i="7" s="1"/>
  <c r="M198" i="7"/>
  <c r="V198" i="7" s="1"/>
  <c r="M199" i="7"/>
  <c r="V199" i="7" s="1"/>
  <c r="O238" i="7"/>
  <c r="Z238" i="7" s="1"/>
  <c r="O239" i="7"/>
  <c r="Z239" i="7" s="1"/>
  <c r="O268" i="7"/>
  <c r="Z268" i="7" s="1"/>
  <c r="M305" i="7"/>
  <c r="V305" i="7" s="1"/>
  <c r="M367" i="7"/>
  <c r="V367" i="7" s="1"/>
  <c r="M368" i="7"/>
  <c r="V368" i="7" s="1"/>
  <c r="R7" i="7"/>
  <c r="Y7" i="7" s="1"/>
  <c r="P9" i="7"/>
  <c r="AA9" i="7" s="1"/>
  <c r="O30" i="7"/>
  <c r="Z30" i="7" s="1"/>
  <c r="O32" i="7"/>
  <c r="Z32" i="7" s="1"/>
  <c r="O34" i="7"/>
  <c r="Z34" i="7" s="1"/>
  <c r="AC34" i="7" s="1"/>
  <c r="O37" i="7"/>
  <c r="Z37" i="7" s="1"/>
  <c r="O39" i="7"/>
  <c r="Z39" i="7" s="1"/>
  <c r="O41" i="7"/>
  <c r="Z41" i="7" s="1"/>
  <c r="O43" i="7"/>
  <c r="Z43" i="7" s="1"/>
  <c r="O45" i="7"/>
  <c r="Z45" i="7" s="1"/>
  <c r="O47" i="7"/>
  <c r="Z47" i="7" s="1"/>
  <c r="O49" i="7"/>
  <c r="Z49" i="7" s="1"/>
  <c r="O51" i="7"/>
  <c r="Z51" i="7" s="1"/>
  <c r="O53" i="7"/>
  <c r="Z53" i="7" s="1"/>
  <c r="O55" i="7"/>
  <c r="Z55" i="7" s="1"/>
  <c r="O57" i="7"/>
  <c r="Z57" i="7" s="1"/>
  <c r="O59" i="7"/>
  <c r="Z59" i="7" s="1"/>
  <c r="O61" i="7"/>
  <c r="Z61" i="7" s="1"/>
  <c r="O63" i="7"/>
  <c r="Z63" i="7" s="1"/>
  <c r="O65" i="7"/>
  <c r="Z65" i="7" s="1"/>
  <c r="P67" i="7"/>
  <c r="AA67" i="7" s="1"/>
  <c r="R69" i="7"/>
  <c r="Y69" i="7" s="1"/>
  <c r="O72" i="7"/>
  <c r="Z72" i="7" s="1"/>
  <c r="N77" i="7"/>
  <c r="W77" i="7" s="1"/>
  <c r="P79" i="7"/>
  <c r="AA79" i="7" s="1"/>
  <c r="R81" i="7"/>
  <c r="Y81" i="7" s="1"/>
  <c r="O84" i="7"/>
  <c r="Z84" i="7" s="1"/>
  <c r="N89" i="7"/>
  <c r="W89" i="7" s="1"/>
  <c r="P91" i="7"/>
  <c r="AA91" i="7" s="1"/>
  <c r="R93" i="7"/>
  <c r="R95" i="7"/>
  <c r="R97" i="7"/>
  <c r="M98" i="7"/>
  <c r="V98" i="7" s="1"/>
  <c r="N111" i="7"/>
  <c r="W111" i="7" s="1"/>
  <c r="S111" i="7"/>
  <c r="Y111" i="7" s="1"/>
  <c r="K114" i="7"/>
  <c r="T114" i="7" s="1"/>
  <c r="L119" i="7"/>
  <c r="U119" i="7" s="1"/>
  <c r="N124" i="7"/>
  <c r="W124" i="7" s="1"/>
  <c r="N133" i="7"/>
  <c r="W133" i="7" s="1"/>
  <c r="N136" i="7"/>
  <c r="W136" i="7" s="1"/>
  <c r="N145" i="7"/>
  <c r="W145" i="7" s="1"/>
  <c r="N148" i="7"/>
  <c r="W148" i="7" s="1"/>
  <c r="N157" i="7"/>
  <c r="W157" i="7" s="1"/>
  <c r="Q163" i="7"/>
  <c r="X163" i="7" s="1"/>
  <c r="O167" i="7"/>
  <c r="Z167" i="7" s="1"/>
  <c r="K168" i="7"/>
  <c r="T168" i="7" s="1"/>
  <c r="P174" i="7"/>
  <c r="AA174" i="7" s="1"/>
  <c r="N182" i="7"/>
  <c r="W182" i="7" s="1"/>
  <c r="L191" i="7"/>
  <c r="U191" i="7" s="1"/>
  <c r="L192" i="7"/>
  <c r="U192" i="7" s="1"/>
  <c r="L233" i="7"/>
  <c r="U233" i="7" s="1"/>
  <c r="L234" i="7"/>
  <c r="U234" i="7" s="1"/>
  <c r="M242" i="7"/>
  <c r="V242" i="7" s="1"/>
  <c r="M243" i="7"/>
  <c r="V243" i="7" s="1"/>
  <c r="L273" i="7"/>
  <c r="U273" i="7" s="1"/>
  <c r="L272" i="7"/>
  <c r="U272" i="7" s="1"/>
  <c r="M287" i="7"/>
  <c r="V287" i="7" s="1"/>
  <c r="N367" i="7"/>
  <c r="W367" i="7" s="1"/>
  <c r="N368" i="7"/>
  <c r="W368" i="7" s="1"/>
  <c r="Q9" i="7"/>
  <c r="X9" i="7" s="1"/>
  <c r="R12" i="7"/>
  <c r="Y12" i="7" s="1"/>
  <c r="M13" i="7"/>
  <c r="V13" i="7" s="1"/>
  <c r="M16" i="7"/>
  <c r="V16" i="7" s="1"/>
  <c r="M19" i="7"/>
  <c r="V19" i="7" s="1"/>
  <c r="M22" i="7"/>
  <c r="V22" i="7" s="1"/>
  <c r="M25" i="7"/>
  <c r="V25" i="7" s="1"/>
  <c r="M28" i="7"/>
  <c r="V28" i="7" s="1"/>
  <c r="P29" i="7"/>
  <c r="AA29" i="7" s="1"/>
  <c r="P31" i="7"/>
  <c r="AA31" i="7" s="1"/>
  <c r="P35" i="7"/>
  <c r="AA35" i="7" s="1"/>
  <c r="P37" i="7"/>
  <c r="AA37" i="7" s="1"/>
  <c r="P41" i="7"/>
  <c r="AA41" i="7" s="1"/>
  <c r="P43" i="7"/>
  <c r="AA43" i="7" s="1"/>
  <c r="P47" i="7"/>
  <c r="AA47" i="7" s="1"/>
  <c r="P49" i="7"/>
  <c r="AA49" i="7" s="1"/>
  <c r="P53" i="7"/>
  <c r="AA53" i="7" s="1"/>
  <c r="P55" i="7"/>
  <c r="AA55" i="7" s="1"/>
  <c r="P59" i="7"/>
  <c r="AA59" i="7" s="1"/>
  <c r="P61" i="7"/>
  <c r="AA61" i="7" s="1"/>
  <c r="P65" i="7"/>
  <c r="AA65" i="7" s="1"/>
  <c r="Q67" i="7"/>
  <c r="X67" i="7" s="1"/>
  <c r="N71" i="7"/>
  <c r="W71" i="7" s="1"/>
  <c r="P72" i="7"/>
  <c r="AA72" i="7" s="1"/>
  <c r="R74" i="7"/>
  <c r="O77" i="7"/>
  <c r="Z77" i="7" s="1"/>
  <c r="Q79" i="7"/>
  <c r="X79" i="7" s="1"/>
  <c r="N82" i="7"/>
  <c r="W82" i="7" s="1"/>
  <c r="P84" i="7"/>
  <c r="AA84" i="7" s="1"/>
  <c r="R86" i="7"/>
  <c r="O89" i="7"/>
  <c r="Z89" i="7" s="1"/>
  <c r="Q91" i="7"/>
  <c r="X91" i="7" s="1"/>
  <c r="R102" i="7"/>
  <c r="Y102" i="7" s="1"/>
  <c r="K107" i="7"/>
  <c r="T107" i="7" s="1"/>
  <c r="M119" i="7"/>
  <c r="V119" i="7" s="1"/>
  <c r="L122" i="7"/>
  <c r="U122" i="7" s="1"/>
  <c r="S123" i="7"/>
  <c r="R125" i="7"/>
  <c r="Y125" i="7" s="1"/>
  <c r="S126" i="7"/>
  <c r="Y126" i="7" s="1"/>
  <c r="S129" i="7"/>
  <c r="Y129" i="7" s="1"/>
  <c r="S132" i="7"/>
  <c r="Y132" i="7" s="1"/>
  <c r="S135" i="7"/>
  <c r="Y135" i="7" s="1"/>
  <c r="S138" i="7"/>
  <c r="Y138" i="7" s="1"/>
  <c r="S141" i="7"/>
  <c r="Y141" i="7" s="1"/>
  <c r="S144" i="7"/>
  <c r="Y144" i="7" s="1"/>
  <c r="S147" i="7"/>
  <c r="Y147" i="7" s="1"/>
  <c r="S150" i="7"/>
  <c r="Y150" i="7" s="1"/>
  <c r="S153" i="7"/>
  <c r="Y153" i="7" s="1"/>
  <c r="S156" i="7"/>
  <c r="Y156" i="7" s="1"/>
  <c r="K165" i="7"/>
  <c r="T165" i="7" s="1"/>
  <c r="Q170" i="7"/>
  <c r="X170" i="7" s="1"/>
  <c r="Q172" i="7"/>
  <c r="X172" i="7" s="1"/>
  <c r="K174" i="7"/>
  <c r="T174" i="7" s="1"/>
  <c r="N220" i="7"/>
  <c r="W220" i="7" s="1"/>
  <c r="N221" i="7"/>
  <c r="W221" i="7" s="1"/>
  <c r="O270" i="7"/>
  <c r="Z270" i="7" s="1"/>
  <c r="O269" i="7"/>
  <c r="Z269" i="7" s="1"/>
  <c r="L282" i="7"/>
  <c r="U282" i="7" s="1"/>
  <c r="L283" i="7"/>
  <c r="U283" i="7" s="1"/>
  <c r="O3" i="7"/>
  <c r="Z3" i="7" s="1"/>
  <c r="R9" i="7"/>
  <c r="Q29" i="7"/>
  <c r="X29" i="7" s="1"/>
  <c r="Q31" i="7"/>
  <c r="X31" i="7" s="1"/>
  <c r="AC31" i="7" s="1"/>
  <c r="Q37" i="7"/>
  <c r="X37" i="7" s="1"/>
  <c r="Q43" i="7"/>
  <c r="X43" i="7" s="1"/>
  <c r="Q49" i="7"/>
  <c r="X49" i="7" s="1"/>
  <c r="Q55" i="7"/>
  <c r="X55" i="7" s="1"/>
  <c r="Q61" i="7"/>
  <c r="X61" i="7" s="1"/>
  <c r="R67" i="7"/>
  <c r="Y67" i="7" s="1"/>
  <c r="O70" i="7"/>
  <c r="Z70" i="7" s="1"/>
  <c r="Q72" i="7"/>
  <c r="X72" i="7" s="1"/>
  <c r="P77" i="7"/>
  <c r="AA77" i="7" s="1"/>
  <c r="R79" i="7"/>
  <c r="Y79" i="7" s="1"/>
  <c r="O82" i="7"/>
  <c r="Z82" i="7" s="1"/>
  <c r="Q84" i="7"/>
  <c r="X84" i="7" s="1"/>
  <c r="N87" i="7"/>
  <c r="W87" i="7" s="1"/>
  <c r="P89" i="7"/>
  <c r="AA89" i="7" s="1"/>
  <c r="R91" i="7"/>
  <c r="Y91" i="7" s="1"/>
  <c r="N94" i="7"/>
  <c r="W94" i="7" s="1"/>
  <c r="N96" i="7"/>
  <c r="W96" i="7" s="1"/>
  <c r="L107" i="7"/>
  <c r="U107" i="7" s="1"/>
  <c r="O108" i="7"/>
  <c r="Z108" i="7" s="1"/>
  <c r="M113" i="7"/>
  <c r="V113" i="7" s="1"/>
  <c r="L117" i="7"/>
  <c r="U117" i="7" s="1"/>
  <c r="S117" i="7"/>
  <c r="Y117" i="7" s="1"/>
  <c r="N119" i="7"/>
  <c r="W119" i="7" s="1"/>
  <c r="M122" i="7"/>
  <c r="V122" i="7" s="1"/>
  <c r="L131" i="7"/>
  <c r="U131" i="7" s="1"/>
  <c r="L134" i="7"/>
  <c r="U134" i="7" s="1"/>
  <c r="L143" i="7"/>
  <c r="U143" i="7" s="1"/>
  <c r="L146" i="7"/>
  <c r="U146" i="7" s="1"/>
  <c r="L155" i="7"/>
  <c r="U155" i="7" s="1"/>
  <c r="L158" i="7"/>
  <c r="U158" i="7" s="1"/>
  <c r="Q160" i="7"/>
  <c r="X160" i="7" s="1"/>
  <c r="M161" i="7"/>
  <c r="V161" i="7" s="1"/>
  <c r="K162" i="7"/>
  <c r="T162" i="7" s="1"/>
  <c r="Q167" i="7"/>
  <c r="X167" i="7" s="1"/>
  <c r="M168" i="7"/>
  <c r="V168" i="7" s="1"/>
  <c r="R170" i="7"/>
  <c r="O173" i="7"/>
  <c r="Z173" i="7" s="1"/>
  <c r="N175" i="7"/>
  <c r="W175" i="7" s="1"/>
  <c r="O178" i="7"/>
  <c r="Z178" i="7" s="1"/>
  <c r="L183" i="7"/>
  <c r="U183" i="7" s="1"/>
  <c r="N184" i="7"/>
  <c r="W184" i="7" s="1"/>
  <c r="R186" i="7"/>
  <c r="L203" i="7"/>
  <c r="U203" i="7" s="1"/>
  <c r="L204" i="7"/>
  <c r="U204" i="7" s="1"/>
  <c r="M206" i="7"/>
  <c r="V206" i="7" s="1"/>
  <c r="M216" i="7"/>
  <c r="V216" i="7" s="1"/>
  <c r="O220" i="7"/>
  <c r="Z220" i="7" s="1"/>
  <c r="O221" i="7"/>
  <c r="Z221" i="7" s="1"/>
  <c r="L256" i="7"/>
  <c r="U256" i="7" s="1"/>
  <c r="N262" i="7"/>
  <c r="W262" i="7" s="1"/>
  <c r="P294" i="7"/>
  <c r="AA294" i="7" s="1"/>
  <c r="P295" i="7"/>
  <c r="AA295" i="7" s="1"/>
  <c r="N379" i="7"/>
  <c r="W379" i="7" s="1"/>
  <c r="N380" i="7"/>
  <c r="W380" i="7" s="1"/>
  <c r="R29" i="7"/>
  <c r="Y29" i="7" s="1"/>
  <c r="AC29" i="7" s="1"/>
  <c r="R31" i="7"/>
  <c r="R33" i="7"/>
  <c r="R35" i="7"/>
  <c r="Y35" i="7" s="1"/>
  <c r="R37" i="7"/>
  <c r="Y37" i="7" s="1"/>
  <c r="R39" i="7"/>
  <c r="Y39" i="7" s="1"/>
  <c r="R41" i="7"/>
  <c r="Y41" i="7" s="1"/>
  <c r="R43" i="7"/>
  <c r="Y43" i="7" s="1"/>
  <c r="R45" i="7"/>
  <c r="R47" i="7"/>
  <c r="R49" i="7"/>
  <c r="Y49" i="7" s="1"/>
  <c r="R51" i="7"/>
  <c r="Y51" i="7" s="1"/>
  <c r="R53" i="7"/>
  <c r="R55" i="7"/>
  <c r="R57" i="7"/>
  <c r="R59" i="7"/>
  <c r="R61" i="7"/>
  <c r="R63" i="7"/>
  <c r="Y63" i="7" s="1"/>
  <c r="R65" i="7"/>
  <c r="N69" i="7"/>
  <c r="W69" i="7" s="1"/>
  <c r="P70" i="7"/>
  <c r="AA70" i="7" s="1"/>
  <c r="R72" i="7"/>
  <c r="O75" i="7"/>
  <c r="Z75" i="7" s="1"/>
  <c r="Q77" i="7"/>
  <c r="X77" i="7" s="1"/>
  <c r="N80" i="7"/>
  <c r="W80" i="7" s="1"/>
  <c r="P82" i="7"/>
  <c r="AA82" i="7" s="1"/>
  <c r="R84" i="7"/>
  <c r="O87" i="7"/>
  <c r="Z87" i="7" s="1"/>
  <c r="Q89" i="7"/>
  <c r="X89" i="7" s="1"/>
  <c r="N92" i="7"/>
  <c r="W92" i="7" s="1"/>
  <c r="O94" i="7"/>
  <c r="Z94" i="7" s="1"/>
  <c r="O96" i="7"/>
  <c r="Z96" i="7" s="1"/>
  <c r="L106" i="7"/>
  <c r="U106" i="7" s="1"/>
  <c r="M107" i="7"/>
  <c r="V107" i="7" s="1"/>
  <c r="M115" i="7"/>
  <c r="V115" i="7" s="1"/>
  <c r="M117" i="7"/>
  <c r="V117" i="7" s="1"/>
  <c r="S119" i="7"/>
  <c r="Y119" i="7" s="1"/>
  <c r="S122" i="7"/>
  <c r="M165" i="7"/>
  <c r="V165" i="7" s="1"/>
  <c r="R167" i="7"/>
  <c r="S170" i="7"/>
  <c r="Y170" i="7" s="1"/>
  <c r="AC170" i="7" s="1"/>
  <c r="K175" i="7"/>
  <c r="T175" i="7" s="1"/>
  <c r="P184" i="7"/>
  <c r="AA184" i="7" s="1"/>
  <c r="L235" i="7"/>
  <c r="U235" i="7" s="1"/>
  <c r="L236" i="7"/>
  <c r="U236" i="7" s="1"/>
  <c r="N282" i="7"/>
  <c r="W282" i="7" s="1"/>
  <c r="P314" i="7"/>
  <c r="AA314" i="7" s="1"/>
  <c r="P315" i="7"/>
  <c r="AA315" i="7" s="1"/>
  <c r="M343" i="7"/>
  <c r="V343" i="7" s="1"/>
  <c r="M344" i="7"/>
  <c r="V344" i="7" s="1"/>
  <c r="Y412" i="7"/>
  <c r="R6" i="7"/>
  <c r="R11" i="7"/>
  <c r="Y11" i="7" s="1"/>
  <c r="AC11" i="7" s="1"/>
  <c r="Q70" i="7"/>
  <c r="X70" i="7" s="1"/>
  <c r="N74" i="7"/>
  <c r="W74" i="7" s="1"/>
  <c r="Q82" i="7"/>
  <c r="X82" i="7" s="1"/>
  <c r="N85" i="7"/>
  <c r="W85" i="7" s="1"/>
  <c r="P87" i="7"/>
  <c r="AA87" i="7" s="1"/>
  <c r="R89" i="7"/>
  <c r="O92" i="7"/>
  <c r="Z92" i="7" s="1"/>
  <c r="P96" i="7"/>
  <c r="AA96" i="7" s="1"/>
  <c r="P100" i="7"/>
  <c r="AA100" i="7" s="1"/>
  <c r="N107" i="7"/>
  <c r="W107" i="7" s="1"/>
  <c r="O162" i="7"/>
  <c r="Z162" i="7" s="1"/>
  <c r="R164" i="7"/>
  <c r="Y164" i="7" s="1"/>
  <c r="AC164" i="7" s="1"/>
  <c r="S167" i="7"/>
  <c r="N174" i="7"/>
  <c r="W174" i="7" s="1"/>
  <c r="P196" i="7"/>
  <c r="AA196" i="7" s="1"/>
  <c r="P208" i="7"/>
  <c r="AA208" i="7" s="1"/>
  <c r="N264" i="7"/>
  <c r="W264" i="7" s="1"/>
  <c r="N285" i="7"/>
  <c r="W285" i="7" s="1"/>
  <c r="N305" i="7"/>
  <c r="W305" i="7" s="1"/>
  <c r="L310" i="7"/>
  <c r="U310" i="7" s="1"/>
  <c r="Q376" i="7"/>
  <c r="X376" i="7" s="1"/>
  <c r="Q377" i="7"/>
  <c r="X377" i="7" s="1"/>
  <c r="P3" i="7"/>
  <c r="AA3" i="7" s="1"/>
  <c r="P5" i="7"/>
  <c r="AA5" i="7" s="1"/>
  <c r="P8" i="7"/>
  <c r="AA8" i="7" s="1"/>
  <c r="R14" i="7"/>
  <c r="R17" i="7"/>
  <c r="R20" i="7"/>
  <c r="R23" i="7"/>
  <c r="Y23" i="7" s="1"/>
  <c r="R26" i="7"/>
  <c r="Y26" i="7" s="1"/>
  <c r="N67" i="7"/>
  <c r="W67" i="7" s="1"/>
  <c r="Q87" i="7"/>
  <c r="X87" i="7" s="1"/>
  <c r="N90" i="7"/>
  <c r="W90" i="7" s="1"/>
  <c r="P92" i="7"/>
  <c r="AA92" i="7" s="1"/>
  <c r="Q94" i="7"/>
  <c r="X94" i="7" s="1"/>
  <c r="L108" i="7"/>
  <c r="U108" i="7" s="1"/>
  <c r="M120" i="7"/>
  <c r="V120" i="7" s="1"/>
  <c r="S124" i="7"/>
  <c r="Y124" i="7" s="1"/>
  <c r="S127" i="7"/>
  <c r="Y127" i="7" s="1"/>
  <c r="S130" i="7"/>
  <c r="Y130" i="7" s="1"/>
  <c r="S133" i="7"/>
  <c r="Y133" i="7" s="1"/>
  <c r="S136" i="7"/>
  <c r="Y136" i="7" s="1"/>
  <c r="S139" i="7"/>
  <c r="Y139" i="7" s="1"/>
  <c r="S142" i="7"/>
  <c r="Y142" i="7" s="1"/>
  <c r="S145" i="7"/>
  <c r="Y145" i="7" s="1"/>
  <c r="S148" i="7"/>
  <c r="Y148" i="7" s="1"/>
  <c r="S151" i="7"/>
  <c r="Y151" i="7" s="1"/>
  <c r="S154" i="7"/>
  <c r="Y154" i="7" s="1"/>
  <c r="S157" i="7"/>
  <c r="Y157" i="7" s="1"/>
  <c r="S164" i="7"/>
  <c r="O171" i="7"/>
  <c r="Z171" i="7" s="1"/>
  <c r="O174" i="7"/>
  <c r="Z174" i="7" s="1"/>
  <c r="N244" i="7"/>
  <c r="W244" i="7" s="1"/>
  <c r="N245" i="7"/>
  <c r="W245" i="7" s="1"/>
  <c r="M257" i="7"/>
  <c r="V257" i="7" s="1"/>
  <c r="M258" i="7"/>
  <c r="V258" i="7" s="1"/>
  <c r="O263" i="7"/>
  <c r="Z263" i="7" s="1"/>
  <c r="O264" i="7"/>
  <c r="Z264" i="7" s="1"/>
  <c r="P276" i="7"/>
  <c r="AA276" i="7" s="1"/>
  <c r="P281" i="7"/>
  <c r="AA281" i="7" s="1"/>
  <c r="N287" i="7"/>
  <c r="W287" i="7" s="1"/>
  <c r="N340" i="7"/>
  <c r="W340" i="7" s="1"/>
  <c r="N341" i="7"/>
  <c r="W341" i="7" s="1"/>
  <c r="L185" i="7"/>
  <c r="U185" i="7" s="1"/>
  <c r="P189" i="7"/>
  <c r="AA189" i="7" s="1"/>
  <c r="P201" i="7"/>
  <c r="AA201" i="7" s="1"/>
  <c r="N216" i="7"/>
  <c r="W216" i="7" s="1"/>
  <c r="R217" i="7"/>
  <c r="Y217" i="7" s="1"/>
  <c r="Q222" i="7"/>
  <c r="X222" i="7" s="1"/>
  <c r="R224" i="7"/>
  <c r="R226" i="7"/>
  <c r="R230" i="7"/>
  <c r="Y234" i="7"/>
  <c r="Y241" i="7"/>
  <c r="P244" i="7"/>
  <c r="AA244" i="7" s="1"/>
  <c r="K249" i="7"/>
  <c r="T249" i="7" s="1"/>
  <c r="R250" i="7"/>
  <c r="R252" i="7"/>
  <c r="Y252" i="7" s="1"/>
  <c r="K253" i="7"/>
  <c r="T253" i="7" s="1"/>
  <c r="R254" i="7"/>
  <c r="P263" i="7"/>
  <c r="AA263" i="7" s="1"/>
  <c r="K268" i="7"/>
  <c r="T268" i="7" s="1"/>
  <c r="M273" i="7"/>
  <c r="V273" i="7" s="1"/>
  <c r="L274" i="7"/>
  <c r="U274" i="7" s="1"/>
  <c r="R275" i="7"/>
  <c r="M282" i="7"/>
  <c r="V282" i="7" s="1"/>
  <c r="O285" i="7"/>
  <c r="Z285" i="7" s="1"/>
  <c r="O287" i="7"/>
  <c r="Z287" i="7" s="1"/>
  <c r="M291" i="7"/>
  <c r="V291" i="7" s="1"/>
  <c r="L293" i="7"/>
  <c r="U293" i="7" s="1"/>
  <c r="AC293" i="7" s="1"/>
  <c r="O300" i="7"/>
  <c r="Z300" i="7" s="1"/>
  <c r="K300" i="7"/>
  <c r="T300" i="7" s="1"/>
  <c r="Y308" i="7"/>
  <c r="M312" i="7"/>
  <c r="V312" i="7" s="1"/>
  <c r="Q319" i="7"/>
  <c r="X319" i="7" s="1"/>
  <c r="K326" i="7"/>
  <c r="T326" i="7" s="1"/>
  <c r="R328" i="7"/>
  <c r="L330" i="7"/>
  <c r="U330" i="7" s="1"/>
  <c r="M334" i="7"/>
  <c r="V334" i="7" s="1"/>
  <c r="R336" i="7"/>
  <c r="Y336" i="7" s="1"/>
  <c r="Y337" i="7"/>
  <c r="R338" i="7"/>
  <c r="Y338" i="7" s="1"/>
  <c r="P340" i="7"/>
  <c r="AA340" i="7" s="1"/>
  <c r="P341" i="7"/>
  <c r="AA341" i="7" s="1"/>
  <c r="Q349" i="7"/>
  <c r="X349" i="7" s="1"/>
  <c r="L361" i="7"/>
  <c r="U361" i="7" s="1"/>
  <c r="L373" i="7"/>
  <c r="U373" i="7" s="1"/>
  <c r="AC373" i="7" s="1"/>
  <c r="M387" i="7"/>
  <c r="V387" i="7" s="1"/>
  <c r="Q391" i="7"/>
  <c r="X391" i="7" s="1"/>
  <c r="S400" i="7"/>
  <c r="M185" i="7"/>
  <c r="V185" i="7" s="1"/>
  <c r="P194" i="7"/>
  <c r="AA194" i="7" s="1"/>
  <c r="P206" i="7"/>
  <c r="AA206" i="7" s="1"/>
  <c r="O216" i="7"/>
  <c r="Z216" i="7" s="1"/>
  <c r="Q220" i="7"/>
  <c r="X220" i="7" s="1"/>
  <c r="R222" i="7"/>
  <c r="Y222" i="7" s="1"/>
  <c r="S226" i="7"/>
  <c r="S230" i="7"/>
  <c r="Q244" i="7"/>
  <c r="X244" i="7" s="1"/>
  <c r="AC244" i="7" s="1"/>
  <c r="Q248" i="7"/>
  <c r="X248" i="7" s="1"/>
  <c r="S254" i="7"/>
  <c r="Y254" i="7" s="1"/>
  <c r="K262" i="7"/>
  <c r="T262" i="7" s="1"/>
  <c r="K266" i="7"/>
  <c r="T266" i="7" s="1"/>
  <c r="R267" i="7"/>
  <c r="Y267" i="7" s="1"/>
  <c r="S275" i="7"/>
  <c r="S280" i="7"/>
  <c r="Q281" i="7"/>
  <c r="X281" i="7" s="1"/>
  <c r="M289" i="7"/>
  <c r="V289" i="7" s="1"/>
  <c r="M295" i="7"/>
  <c r="V295" i="7" s="1"/>
  <c r="M298" i="7"/>
  <c r="V298" i="7" s="1"/>
  <c r="S301" i="7"/>
  <c r="M303" i="7"/>
  <c r="V303" i="7" s="1"/>
  <c r="K305" i="7"/>
  <c r="T305" i="7" s="1"/>
  <c r="O309" i="7"/>
  <c r="Z309" i="7" s="1"/>
  <c r="Q311" i="7"/>
  <c r="X311" i="7" s="1"/>
  <c r="P313" i="7"/>
  <c r="AA313" i="7" s="1"/>
  <c r="L318" i="7"/>
  <c r="U318" i="7" s="1"/>
  <c r="N322" i="7"/>
  <c r="W322" i="7" s="1"/>
  <c r="L326" i="7"/>
  <c r="U326" i="7" s="1"/>
  <c r="L327" i="7"/>
  <c r="U327" i="7" s="1"/>
  <c r="S332" i="7"/>
  <c r="Q355" i="7"/>
  <c r="X355" i="7" s="1"/>
  <c r="Q379" i="7"/>
  <c r="X379" i="7" s="1"/>
  <c r="AC379" i="7" s="1"/>
  <c r="K411" i="7"/>
  <c r="T411" i="7" s="1"/>
  <c r="K412" i="7"/>
  <c r="T412" i="7" s="1"/>
  <c r="S415" i="7"/>
  <c r="S414" i="7"/>
  <c r="P424" i="7"/>
  <c r="AA424" i="7" s="1"/>
  <c r="P199" i="7"/>
  <c r="AA199" i="7" s="1"/>
  <c r="S239" i="7"/>
  <c r="Y239" i="7" s="1"/>
  <c r="P257" i="7"/>
  <c r="AA257" i="7" s="1"/>
  <c r="S264" i="7"/>
  <c r="Y281" i="7"/>
  <c r="Q284" i="7"/>
  <c r="X284" i="7" s="1"/>
  <c r="AC284" i="7" s="1"/>
  <c r="S288" i="7"/>
  <c r="R290" i="7"/>
  <c r="N293" i="7"/>
  <c r="W293" i="7" s="1"/>
  <c r="S294" i="7"/>
  <c r="R296" i="7"/>
  <c r="L301" i="7"/>
  <c r="U301" i="7" s="1"/>
  <c r="M308" i="7"/>
  <c r="V308" i="7" s="1"/>
  <c r="P310" i="7"/>
  <c r="AA310" i="7" s="1"/>
  <c r="K313" i="7"/>
  <c r="T313" i="7" s="1"/>
  <c r="M321" i="7"/>
  <c r="V321" i="7" s="1"/>
  <c r="S323" i="7"/>
  <c r="N325" i="7"/>
  <c r="W325" i="7" s="1"/>
  <c r="N328" i="7"/>
  <c r="W328" i="7" s="1"/>
  <c r="P329" i="7"/>
  <c r="AA329" i="7" s="1"/>
  <c r="K331" i="7"/>
  <c r="T331" i="7" s="1"/>
  <c r="L349" i="7"/>
  <c r="U349" i="7" s="1"/>
  <c r="L350" i="7"/>
  <c r="U350" i="7" s="1"/>
  <c r="Q367" i="7"/>
  <c r="X367" i="7" s="1"/>
  <c r="M384" i="7"/>
  <c r="V384" i="7" s="1"/>
  <c r="M385" i="7"/>
  <c r="V385" i="7" s="1"/>
  <c r="Q394" i="7"/>
  <c r="X394" i="7" s="1"/>
  <c r="O401" i="7"/>
  <c r="Z401" i="7" s="1"/>
  <c r="S423" i="7"/>
  <c r="S422" i="7"/>
  <c r="Y422" i="7" s="1"/>
  <c r="N442" i="7"/>
  <c r="W442" i="7" s="1"/>
  <c r="N443" i="7"/>
  <c r="W443" i="7" s="1"/>
  <c r="M478" i="7"/>
  <c r="V478" i="7" s="1"/>
  <c r="M479" i="7"/>
  <c r="V479" i="7" s="1"/>
  <c r="K526" i="7"/>
  <c r="T526" i="7" s="1"/>
  <c r="K527" i="7"/>
  <c r="T527" i="7" s="1"/>
  <c r="K529" i="7"/>
  <c r="T529" i="7" s="1"/>
  <c r="K530" i="7"/>
  <c r="T530" i="7" s="1"/>
  <c r="Q198" i="7"/>
  <c r="X198" i="7" s="1"/>
  <c r="S200" i="7"/>
  <c r="K204" i="7"/>
  <c r="T204" i="7" s="1"/>
  <c r="O208" i="7"/>
  <c r="Z208" i="7" s="1"/>
  <c r="Q210" i="7"/>
  <c r="X210" i="7" s="1"/>
  <c r="R212" i="7"/>
  <c r="P231" i="7"/>
  <c r="AA231" i="7" s="1"/>
  <c r="Q242" i="7"/>
  <c r="X242" i="7" s="1"/>
  <c r="K256" i="7"/>
  <c r="T256" i="7" s="1"/>
  <c r="K260" i="7"/>
  <c r="T260" i="7" s="1"/>
  <c r="R261" i="7"/>
  <c r="S290" i="7"/>
  <c r="Y290" i="7" s="1"/>
  <c r="S296" i="7"/>
  <c r="K303" i="7"/>
  <c r="T303" i="7" s="1"/>
  <c r="R304" i="7"/>
  <c r="O307" i="7"/>
  <c r="Z307" i="7" s="1"/>
  <c r="Q309" i="7"/>
  <c r="X309" i="7" s="1"/>
  <c r="O316" i="7"/>
  <c r="Z316" i="7" s="1"/>
  <c r="M360" i="7"/>
  <c r="V360" i="7" s="1"/>
  <c r="M361" i="7"/>
  <c r="V361" i="7" s="1"/>
  <c r="M372" i="7"/>
  <c r="V372" i="7" s="1"/>
  <c r="M373" i="7"/>
  <c r="V373" i="7" s="1"/>
  <c r="K417" i="7"/>
  <c r="T417" i="7" s="1"/>
  <c r="K418" i="7"/>
  <c r="T418" i="7" s="1"/>
  <c r="N478" i="7"/>
  <c r="W478" i="7" s="1"/>
  <c r="N479" i="7"/>
  <c r="W479" i="7" s="1"/>
  <c r="O179" i="7"/>
  <c r="Z179" i="7" s="1"/>
  <c r="K180" i="7"/>
  <c r="T180" i="7" s="1"/>
  <c r="O182" i="7"/>
  <c r="Z182" i="7" s="1"/>
  <c r="O189" i="7"/>
  <c r="Z189" i="7" s="1"/>
  <c r="Q191" i="7"/>
  <c r="X191" i="7" s="1"/>
  <c r="K197" i="7"/>
  <c r="T197" i="7" s="1"/>
  <c r="O201" i="7"/>
  <c r="Z201" i="7" s="1"/>
  <c r="Q203" i="7"/>
  <c r="X203" i="7" s="1"/>
  <c r="K209" i="7"/>
  <c r="T209" i="7" s="1"/>
  <c r="S212" i="7"/>
  <c r="Y212" i="7" s="1"/>
  <c r="R215" i="7"/>
  <c r="P223" i="7"/>
  <c r="AA223" i="7" s="1"/>
  <c r="P227" i="7"/>
  <c r="AA227" i="7" s="1"/>
  <c r="K233" i="7"/>
  <c r="T233" i="7" s="1"/>
  <c r="K235" i="7"/>
  <c r="T235" i="7" s="1"/>
  <c r="Q235" i="7"/>
  <c r="X235" i="7" s="1"/>
  <c r="K237" i="7"/>
  <c r="T237" i="7" s="1"/>
  <c r="Q237" i="7"/>
  <c r="X237" i="7" s="1"/>
  <c r="R240" i="7"/>
  <c r="K241" i="7"/>
  <c r="T241" i="7" s="1"/>
  <c r="R242" i="7"/>
  <c r="L248" i="7"/>
  <c r="U248" i="7" s="1"/>
  <c r="P251" i="7"/>
  <c r="AA251" i="7" s="1"/>
  <c r="N254" i="7"/>
  <c r="W254" i="7" s="1"/>
  <c r="R257" i="7"/>
  <c r="Y257" i="7" s="1"/>
  <c r="S265" i="7"/>
  <c r="Y265" i="7" s="1"/>
  <c r="M271" i="7"/>
  <c r="V271" i="7" s="1"/>
  <c r="S284" i="7"/>
  <c r="Y284" i="7" s="1"/>
  <c r="O288" i="7"/>
  <c r="Z288" i="7" s="1"/>
  <c r="L296" i="7"/>
  <c r="U296" i="7" s="1"/>
  <c r="S299" i="7"/>
  <c r="S304" i="7"/>
  <c r="K308" i="7"/>
  <c r="T308" i="7" s="1"/>
  <c r="R309" i="7"/>
  <c r="Y309" i="7" s="1"/>
  <c r="AC309" i="7" s="1"/>
  <c r="O317" i="7"/>
  <c r="Z317" i="7" s="1"/>
  <c r="L324" i="7"/>
  <c r="U324" i="7" s="1"/>
  <c r="O326" i="7"/>
  <c r="Z326" i="7" s="1"/>
  <c r="S333" i="7"/>
  <c r="Y394" i="7"/>
  <c r="K177" i="7"/>
  <c r="T177" i="7" s="1"/>
  <c r="Q184" i="7"/>
  <c r="X184" i="7" s="1"/>
  <c r="K190" i="7"/>
  <c r="T190" i="7" s="1"/>
  <c r="O194" i="7"/>
  <c r="Z194" i="7" s="1"/>
  <c r="Q196" i="7"/>
  <c r="X196" i="7" s="1"/>
  <c r="K202" i="7"/>
  <c r="T202" i="7" s="1"/>
  <c r="O206" i="7"/>
  <c r="Z206" i="7" s="1"/>
  <c r="Q208" i="7"/>
  <c r="X208" i="7" s="1"/>
  <c r="M212" i="7"/>
  <c r="V212" i="7" s="1"/>
  <c r="Q213" i="7"/>
  <c r="X213" i="7" s="1"/>
  <c r="R218" i="7"/>
  <c r="Q223" i="7"/>
  <c r="X223" i="7" s="1"/>
  <c r="K224" i="7"/>
  <c r="T224" i="7" s="1"/>
  <c r="P225" i="7"/>
  <c r="AA225" i="7" s="1"/>
  <c r="Q227" i="7"/>
  <c r="X227" i="7" s="1"/>
  <c r="P229" i="7"/>
  <c r="AA229" i="7" s="1"/>
  <c r="R231" i="7"/>
  <c r="R233" i="7"/>
  <c r="Y233" i="7" s="1"/>
  <c r="R235" i="7"/>
  <c r="R237" i="7"/>
  <c r="Y237" i="7" s="1"/>
  <c r="K250" i="7"/>
  <c r="T250" i="7" s="1"/>
  <c r="Q251" i="7"/>
  <c r="X251" i="7" s="1"/>
  <c r="K252" i="7"/>
  <c r="T252" i="7" s="1"/>
  <c r="P253" i="7"/>
  <c r="AA253" i="7" s="1"/>
  <c r="K254" i="7"/>
  <c r="T254" i="7" s="1"/>
  <c r="R255" i="7"/>
  <c r="R259" i="7"/>
  <c r="O271" i="7"/>
  <c r="Z271" i="7" s="1"/>
  <c r="N271" i="7"/>
  <c r="W271" i="7" s="1"/>
  <c r="R277" i="7"/>
  <c r="O292" i="7"/>
  <c r="Z292" i="7" s="1"/>
  <c r="Q297" i="7"/>
  <c r="X297" i="7" s="1"/>
  <c r="Q302" i="7"/>
  <c r="X302" i="7" s="1"/>
  <c r="R312" i="7"/>
  <c r="S320" i="7"/>
  <c r="K328" i="7"/>
  <c r="T328" i="7" s="1"/>
  <c r="K332" i="7"/>
  <c r="T332" i="7" s="1"/>
  <c r="K339" i="7"/>
  <c r="T339" i="7" s="1"/>
  <c r="K340" i="7"/>
  <c r="T340" i="7" s="1"/>
  <c r="Q346" i="7"/>
  <c r="X346" i="7" s="1"/>
  <c r="L356" i="7"/>
  <c r="U356" i="7" s="1"/>
  <c r="L380" i="7"/>
  <c r="U380" i="7" s="1"/>
  <c r="L389" i="7"/>
  <c r="U389" i="7" s="1"/>
  <c r="L390" i="7"/>
  <c r="U390" i="7" s="1"/>
  <c r="S393" i="7"/>
  <c r="N413" i="7"/>
  <c r="W413" i="7" s="1"/>
  <c r="N414" i="7"/>
  <c r="W414" i="7" s="1"/>
  <c r="K421" i="7"/>
  <c r="T421" i="7" s="1"/>
  <c r="K471" i="7"/>
  <c r="T471" i="7" s="1"/>
  <c r="K472" i="7"/>
  <c r="T472" i="7" s="1"/>
  <c r="N495" i="7"/>
  <c r="W495" i="7" s="1"/>
  <c r="N496" i="7"/>
  <c r="W496" i="7" s="1"/>
  <c r="O176" i="7"/>
  <c r="Z176" i="7" s="1"/>
  <c r="Q182" i="7"/>
  <c r="X182" i="7" s="1"/>
  <c r="K183" i="7"/>
  <c r="T183" i="7" s="1"/>
  <c r="O187" i="7"/>
  <c r="Z187" i="7" s="1"/>
  <c r="Q189" i="7"/>
  <c r="X189" i="7" s="1"/>
  <c r="K195" i="7"/>
  <c r="T195" i="7" s="1"/>
  <c r="AC195" i="7" s="1"/>
  <c r="O199" i="7"/>
  <c r="Z199" i="7" s="1"/>
  <c r="Q201" i="7"/>
  <c r="X201" i="7" s="1"/>
  <c r="K207" i="7"/>
  <c r="T207" i="7" s="1"/>
  <c r="R213" i="7"/>
  <c r="Y213" i="7" s="1"/>
  <c r="R223" i="7"/>
  <c r="S224" i="7"/>
  <c r="Y224" i="7" s="1"/>
  <c r="R227" i="7"/>
  <c r="Y227" i="7" s="1"/>
  <c r="K228" i="7"/>
  <c r="T228" i="7" s="1"/>
  <c r="S231" i="7"/>
  <c r="Y231" i="7" s="1"/>
  <c r="S233" i="7"/>
  <c r="K239" i="7"/>
  <c r="T239" i="7" s="1"/>
  <c r="P239" i="7"/>
  <c r="AA239" i="7" s="1"/>
  <c r="P245" i="7"/>
  <c r="AA245" i="7" s="1"/>
  <c r="R251" i="7"/>
  <c r="Y251" i="7" s="1"/>
  <c r="S259" i="7"/>
  <c r="P262" i="7"/>
  <c r="AA262" i="7" s="1"/>
  <c r="K267" i="7"/>
  <c r="T267" i="7" s="1"/>
  <c r="Q268" i="7"/>
  <c r="X268" i="7" s="1"/>
  <c r="K269" i="7"/>
  <c r="T269" i="7" s="1"/>
  <c r="K271" i="7"/>
  <c r="T271" i="7" s="1"/>
  <c r="O275" i="7"/>
  <c r="Z275" i="7" s="1"/>
  <c r="M276" i="7"/>
  <c r="V276" i="7" s="1"/>
  <c r="S277" i="7"/>
  <c r="S282" i="7"/>
  <c r="Q287" i="7"/>
  <c r="X287" i="7" s="1"/>
  <c r="O294" i="7"/>
  <c r="Z294" i="7" s="1"/>
  <c r="R297" i="7"/>
  <c r="K306" i="7"/>
  <c r="T306" i="7" s="1"/>
  <c r="R307" i="7"/>
  <c r="N315" i="7"/>
  <c r="W315" i="7" s="1"/>
  <c r="Q317" i="7"/>
  <c r="X317" i="7" s="1"/>
  <c r="O322" i="7"/>
  <c r="Z322" i="7" s="1"/>
  <c r="L344" i="7"/>
  <c r="U344" i="7" s="1"/>
  <c r="L353" i="7"/>
  <c r="U353" i="7" s="1"/>
  <c r="L354" i="7"/>
  <c r="U354" i="7" s="1"/>
  <c r="M356" i="7"/>
  <c r="V356" i="7" s="1"/>
  <c r="L368" i="7"/>
  <c r="U368" i="7" s="1"/>
  <c r="L377" i="7"/>
  <c r="U377" i="7" s="1"/>
  <c r="L378" i="7"/>
  <c r="U378" i="7" s="1"/>
  <c r="M380" i="7"/>
  <c r="V380" i="7" s="1"/>
  <c r="P398" i="7"/>
  <c r="AA398" i="7" s="1"/>
  <c r="P397" i="7"/>
  <c r="AA397" i="7" s="1"/>
  <c r="N430" i="7"/>
  <c r="W430" i="7" s="1"/>
  <c r="N431" i="7"/>
  <c r="W431" i="7" s="1"/>
  <c r="R182" i="7"/>
  <c r="S184" i="7"/>
  <c r="O185" i="7"/>
  <c r="Z185" i="7" s="1"/>
  <c r="K188" i="7"/>
  <c r="T188" i="7" s="1"/>
  <c r="R189" i="7"/>
  <c r="O192" i="7"/>
  <c r="Z192" i="7" s="1"/>
  <c r="Q194" i="7"/>
  <c r="X194" i="7" s="1"/>
  <c r="K200" i="7"/>
  <c r="T200" i="7" s="1"/>
  <c r="R201" i="7"/>
  <c r="O204" i="7"/>
  <c r="Z204" i="7" s="1"/>
  <c r="Q206" i="7"/>
  <c r="X206" i="7" s="1"/>
  <c r="S223" i="7"/>
  <c r="R225" i="7"/>
  <c r="Y225" i="7" s="1"/>
  <c r="S227" i="7"/>
  <c r="S228" i="7"/>
  <c r="Y228" i="7" s="1"/>
  <c r="R229" i="7"/>
  <c r="Y229" i="7" s="1"/>
  <c r="Q239" i="7"/>
  <c r="X239" i="7" s="1"/>
  <c r="K244" i="7"/>
  <c r="T244" i="7" s="1"/>
  <c r="Q245" i="7"/>
  <c r="X245" i="7" s="1"/>
  <c r="K246" i="7"/>
  <c r="T246" i="7" s="1"/>
  <c r="P247" i="7"/>
  <c r="AA247" i="7" s="1"/>
  <c r="K248" i="7"/>
  <c r="T248" i="7" s="1"/>
  <c r="R249" i="7"/>
  <c r="R253" i="7"/>
  <c r="Y253" i="7" s="1"/>
  <c r="Q262" i="7"/>
  <c r="X262" i="7" s="1"/>
  <c r="K263" i="7"/>
  <c r="T263" i="7" s="1"/>
  <c r="AC263" i="7" s="1"/>
  <c r="Q264" i="7"/>
  <c r="X264" i="7" s="1"/>
  <c r="Q266" i="7"/>
  <c r="X266" i="7" s="1"/>
  <c r="R268" i="7"/>
  <c r="Q270" i="7"/>
  <c r="X270" i="7" s="1"/>
  <c r="O280" i="7"/>
  <c r="Z280" i="7" s="1"/>
  <c r="M281" i="7"/>
  <c r="V281" i="7" s="1"/>
  <c r="M284" i="7"/>
  <c r="V284" i="7" s="1"/>
  <c r="R287" i="7"/>
  <c r="Y287" i="7" s="1"/>
  <c r="O290" i="7"/>
  <c r="Z290" i="7" s="1"/>
  <c r="AC290" i="7" s="1"/>
  <c r="O296" i="7"/>
  <c r="Z296" i="7" s="1"/>
  <c r="O299" i="7"/>
  <c r="Z299" i="7" s="1"/>
  <c r="R300" i="7"/>
  <c r="O303" i="7"/>
  <c r="Z303" i="7" s="1"/>
  <c r="Q305" i="7"/>
  <c r="X305" i="7" s="1"/>
  <c r="K311" i="7"/>
  <c r="T311" i="7" s="1"/>
  <c r="M314" i="7"/>
  <c r="V314" i="7" s="1"/>
  <c r="L319" i="7"/>
  <c r="U319" i="7" s="1"/>
  <c r="M328" i="7"/>
  <c r="V328" i="7" s="1"/>
  <c r="M329" i="7"/>
  <c r="V329" i="7" s="1"/>
  <c r="M332" i="7"/>
  <c r="V332" i="7" s="1"/>
  <c r="N334" i="7"/>
  <c r="W334" i="7" s="1"/>
  <c r="M347" i="7"/>
  <c r="V347" i="7" s="1"/>
  <c r="L365" i="7"/>
  <c r="U365" i="7" s="1"/>
  <c r="L366" i="7"/>
  <c r="U366" i="7" s="1"/>
  <c r="N396" i="7"/>
  <c r="W396" i="7" s="1"/>
  <c r="N416" i="7"/>
  <c r="W416" i="7" s="1"/>
  <c r="O469" i="7"/>
  <c r="Z469" i="7" s="1"/>
  <c r="O470" i="7"/>
  <c r="Z470" i="7" s="1"/>
  <c r="K186" i="7"/>
  <c r="T186" i="7" s="1"/>
  <c r="Q187" i="7"/>
  <c r="X187" i="7" s="1"/>
  <c r="K193" i="7"/>
  <c r="T193" i="7" s="1"/>
  <c r="R194" i="7"/>
  <c r="O197" i="7"/>
  <c r="Z197" i="7" s="1"/>
  <c r="Q199" i="7"/>
  <c r="X199" i="7" s="1"/>
  <c r="K205" i="7"/>
  <c r="T205" i="7" s="1"/>
  <c r="R206" i="7"/>
  <c r="Y206" i="7" s="1"/>
  <c r="O209" i="7"/>
  <c r="Z209" i="7" s="1"/>
  <c r="P211" i="7"/>
  <c r="AA211" i="7" s="1"/>
  <c r="R221" i="7"/>
  <c r="R245" i="7"/>
  <c r="Y245" i="7" s="1"/>
  <c r="P256" i="7"/>
  <c r="AA256" i="7" s="1"/>
  <c r="P258" i="7"/>
  <c r="AA258" i="7" s="1"/>
  <c r="K261" i="7"/>
  <c r="T261" i="7" s="1"/>
  <c r="R262" i="7"/>
  <c r="R264" i="7"/>
  <c r="R266" i="7"/>
  <c r="Y266" i="7" s="1"/>
  <c r="S268" i="7"/>
  <c r="K304" i="7"/>
  <c r="T304" i="7" s="1"/>
  <c r="R305" i="7"/>
  <c r="O308" i="7"/>
  <c r="Z308" i="7" s="1"/>
  <c r="N332" i="7"/>
  <c r="W332" i="7" s="1"/>
  <c r="N333" i="7"/>
  <c r="W333" i="7" s="1"/>
  <c r="N358" i="7"/>
  <c r="W358" i="7" s="1"/>
  <c r="N382" i="7"/>
  <c r="W382" i="7" s="1"/>
  <c r="Y194" i="7"/>
  <c r="L212" i="7"/>
  <c r="U212" i="7" s="1"/>
  <c r="P214" i="7"/>
  <c r="AA214" i="7" s="1"/>
  <c r="S215" i="7"/>
  <c r="Y215" i="7" s="1"/>
  <c r="S216" i="7"/>
  <c r="Y216" i="7" s="1"/>
  <c r="R219" i="7"/>
  <c r="Y219" i="7" s="1"/>
  <c r="P234" i="7"/>
  <c r="AA234" i="7" s="1"/>
  <c r="P236" i="7"/>
  <c r="AA236" i="7" s="1"/>
  <c r="K240" i="7"/>
  <c r="T240" i="7" s="1"/>
  <c r="P241" i="7"/>
  <c r="AA241" i="7" s="1"/>
  <c r="R247" i="7"/>
  <c r="Y247" i="7" s="1"/>
  <c r="K257" i="7"/>
  <c r="T257" i="7" s="1"/>
  <c r="Q258" i="7"/>
  <c r="X258" i="7" s="1"/>
  <c r="Y273" i="7"/>
  <c r="O276" i="7"/>
  <c r="Z276" i="7" s="1"/>
  <c r="O281" i="7"/>
  <c r="Z281" i="7" s="1"/>
  <c r="S285" i="7"/>
  <c r="S291" i="7"/>
  <c r="Y293" i="7"/>
  <c r="S305" i="7"/>
  <c r="K309" i="7"/>
  <c r="T309" i="7" s="1"/>
  <c r="M317" i="7"/>
  <c r="V317" i="7" s="1"/>
  <c r="N319" i="7"/>
  <c r="W319" i="7" s="1"/>
  <c r="N320" i="7"/>
  <c r="W320" i="7" s="1"/>
  <c r="Y335" i="7"/>
  <c r="N370" i="7"/>
  <c r="W370" i="7" s="1"/>
  <c r="Y397" i="7"/>
  <c r="O416" i="7"/>
  <c r="Z416" i="7" s="1"/>
  <c r="O415" i="7"/>
  <c r="Z415" i="7" s="1"/>
  <c r="N420" i="7"/>
  <c r="W420" i="7" s="1"/>
  <c r="P454" i="7"/>
  <c r="AA454" i="7" s="1"/>
  <c r="N485" i="7"/>
  <c r="W485" i="7" s="1"/>
  <c r="N486" i="7"/>
  <c r="W486" i="7" s="1"/>
  <c r="Q506" i="7"/>
  <c r="X506" i="7" s="1"/>
  <c r="Q505" i="7"/>
  <c r="X505" i="7" s="1"/>
  <c r="K523" i="7"/>
  <c r="T523" i="7" s="1"/>
  <c r="K524" i="7"/>
  <c r="T524" i="7" s="1"/>
  <c r="O346" i="7"/>
  <c r="Z346" i="7" s="1"/>
  <c r="Q351" i="7"/>
  <c r="X351" i="7" s="1"/>
  <c r="Q363" i="7"/>
  <c r="X363" i="7" s="1"/>
  <c r="Q375" i="7"/>
  <c r="X375" i="7" s="1"/>
  <c r="Q387" i="7"/>
  <c r="X387" i="7" s="1"/>
  <c r="N399" i="7"/>
  <c r="W399" i="7" s="1"/>
  <c r="P403" i="7"/>
  <c r="AA403" i="7" s="1"/>
  <c r="M404" i="7"/>
  <c r="V404" i="7" s="1"/>
  <c r="K405" i="7"/>
  <c r="T405" i="7" s="1"/>
  <c r="M411" i="7"/>
  <c r="V411" i="7" s="1"/>
  <c r="L417" i="7"/>
  <c r="U417" i="7" s="1"/>
  <c r="N444" i="7"/>
  <c r="W444" i="7" s="1"/>
  <c r="N445" i="7"/>
  <c r="W445" i="7" s="1"/>
  <c r="N456" i="7"/>
  <c r="W456" i="7" s="1"/>
  <c r="M457" i="7"/>
  <c r="V457" i="7" s="1"/>
  <c r="M458" i="7"/>
  <c r="V458" i="7" s="1"/>
  <c r="K459" i="7"/>
  <c r="T459" i="7" s="1"/>
  <c r="K460" i="7"/>
  <c r="T460" i="7" s="1"/>
  <c r="K474" i="7"/>
  <c r="T474" i="7" s="1"/>
  <c r="K475" i="7"/>
  <c r="T475" i="7" s="1"/>
  <c r="K481" i="7"/>
  <c r="T481" i="7" s="1"/>
  <c r="K482" i="7"/>
  <c r="T482" i="7" s="1"/>
  <c r="R505" i="7"/>
  <c r="R504" i="7"/>
  <c r="M514" i="7"/>
  <c r="V514" i="7" s="1"/>
  <c r="M515" i="7"/>
  <c r="V515" i="7" s="1"/>
  <c r="Q519" i="7"/>
  <c r="X519" i="7" s="1"/>
  <c r="Q520" i="7"/>
  <c r="X520" i="7" s="1"/>
  <c r="N652" i="7"/>
  <c r="W652" i="7" s="1"/>
  <c r="N653" i="7"/>
  <c r="W653" i="7" s="1"/>
  <c r="P346" i="7"/>
  <c r="AA346" i="7" s="1"/>
  <c r="L371" i="7"/>
  <c r="U371" i="7" s="1"/>
  <c r="N373" i="7"/>
  <c r="W373" i="7" s="1"/>
  <c r="L383" i="7"/>
  <c r="U383" i="7" s="1"/>
  <c r="N385" i="7"/>
  <c r="W385" i="7" s="1"/>
  <c r="L396" i="7"/>
  <c r="U396" i="7" s="1"/>
  <c r="O399" i="7"/>
  <c r="Z399" i="7" s="1"/>
  <c r="Q410" i="7"/>
  <c r="X410" i="7" s="1"/>
  <c r="N412" i="7"/>
  <c r="W412" i="7" s="1"/>
  <c r="Y428" i="7"/>
  <c r="R429" i="7"/>
  <c r="Y429" i="7" s="1"/>
  <c r="M432" i="7"/>
  <c r="V432" i="7" s="1"/>
  <c r="O444" i="7"/>
  <c r="Z444" i="7" s="1"/>
  <c r="O445" i="7"/>
  <c r="Z445" i="7" s="1"/>
  <c r="K465" i="7"/>
  <c r="T465" i="7" s="1"/>
  <c r="K466" i="7"/>
  <c r="T466" i="7" s="1"/>
  <c r="P470" i="7"/>
  <c r="AA470" i="7" s="1"/>
  <c r="O486" i="7"/>
  <c r="Z486" i="7" s="1"/>
  <c r="S505" i="7"/>
  <c r="S504" i="7"/>
  <c r="Y504" i="7" s="1"/>
  <c r="K555" i="7"/>
  <c r="T555" i="7" s="1"/>
  <c r="K556" i="7"/>
  <c r="T556" i="7" s="1"/>
  <c r="O312" i="7"/>
  <c r="Z312" i="7" s="1"/>
  <c r="S316" i="7"/>
  <c r="Y316" i="7" s="1"/>
  <c r="O328" i="7"/>
  <c r="Z328" i="7" s="1"/>
  <c r="Q341" i="7"/>
  <c r="X341" i="7" s="1"/>
  <c r="N347" i="7"/>
  <c r="W347" i="7" s="1"/>
  <c r="O349" i="7"/>
  <c r="Z349" i="7" s="1"/>
  <c r="O353" i="7"/>
  <c r="Z353" i="7" s="1"/>
  <c r="S357" i="7"/>
  <c r="Y357" i="7" s="1"/>
  <c r="P360" i="7"/>
  <c r="AA360" i="7" s="1"/>
  <c r="R362" i="7"/>
  <c r="O365" i="7"/>
  <c r="Z365" i="7" s="1"/>
  <c r="S369" i="7"/>
  <c r="Y369" i="7" s="1"/>
  <c r="P372" i="7"/>
  <c r="AA372" i="7" s="1"/>
  <c r="K373" i="7"/>
  <c r="T373" i="7" s="1"/>
  <c r="R374" i="7"/>
  <c r="O377" i="7"/>
  <c r="Z377" i="7" s="1"/>
  <c r="S381" i="7"/>
  <c r="Y381" i="7" s="1"/>
  <c r="P384" i="7"/>
  <c r="AA384" i="7" s="1"/>
  <c r="K385" i="7"/>
  <c r="T385" i="7" s="1"/>
  <c r="R386" i="7"/>
  <c r="O389" i="7"/>
  <c r="Z389" i="7" s="1"/>
  <c r="M396" i="7"/>
  <c r="V396" i="7" s="1"/>
  <c r="R400" i="7"/>
  <c r="R403" i="7"/>
  <c r="M405" i="7"/>
  <c r="V405" i="7" s="1"/>
  <c r="L408" i="7"/>
  <c r="U408" i="7" s="1"/>
  <c r="R410" i="7"/>
  <c r="Y410" i="7" s="1"/>
  <c r="P420" i="7"/>
  <c r="AA420" i="7" s="1"/>
  <c r="P425" i="7"/>
  <c r="AA425" i="7" s="1"/>
  <c r="O463" i="7"/>
  <c r="Z463" i="7" s="1"/>
  <c r="O464" i="7"/>
  <c r="Z464" i="7" s="1"/>
  <c r="O472" i="7"/>
  <c r="Z472" i="7" s="1"/>
  <c r="O473" i="7"/>
  <c r="Z473" i="7" s="1"/>
  <c r="Q512" i="7"/>
  <c r="X512" i="7" s="1"/>
  <c r="K333" i="7"/>
  <c r="T333" i="7" s="1"/>
  <c r="R343" i="7"/>
  <c r="N344" i="7"/>
  <c r="W344" i="7" s="1"/>
  <c r="O347" i="7"/>
  <c r="Z347" i="7" s="1"/>
  <c r="P353" i="7"/>
  <c r="AA353" i="7" s="1"/>
  <c r="R355" i="7"/>
  <c r="O358" i="7"/>
  <c r="Z358" i="7" s="1"/>
  <c r="P365" i="7"/>
  <c r="AA365" i="7" s="1"/>
  <c r="R367" i="7"/>
  <c r="O370" i="7"/>
  <c r="Z370" i="7" s="1"/>
  <c r="P377" i="7"/>
  <c r="AA377" i="7" s="1"/>
  <c r="K378" i="7"/>
  <c r="T378" i="7" s="1"/>
  <c r="R379" i="7"/>
  <c r="O382" i="7"/>
  <c r="Z382" i="7" s="1"/>
  <c r="P389" i="7"/>
  <c r="AA389" i="7" s="1"/>
  <c r="K390" i="7"/>
  <c r="T390" i="7" s="1"/>
  <c r="R391" i="7"/>
  <c r="M392" i="7"/>
  <c r="V392" i="7" s="1"/>
  <c r="R395" i="7"/>
  <c r="Q398" i="7"/>
  <c r="X398" i="7" s="1"/>
  <c r="L399" i="7"/>
  <c r="U399" i="7" s="1"/>
  <c r="R407" i="7"/>
  <c r="Y407" i="7" s="1"/>
  <c r="M408" i="7"/>
  <c r="V408" i="7" s="1"/>
  <c r="R413" i="7"/>
  <c r="Y413" i="7" s="1"/>
  <c r="L414" i="7"/>
  <c r="U414" i="7" s="1"/>
  <c r="K429" i="7"/>
  <c r="T429" i="7" s="1"/>
  <c r="O446" i="7"/>
  <c r="Z446" i="7" s="1"/>
  <c r="O447" i="7"/>
  <c r="Z447" i="7" s="1"/>
  <c r="P472" i="7"/>
  <c r="AA472" i="7" s="1"/>
  <c r="P473" i="7"/>
  <c r="AA473" i="7" s="1"/>
  <c r="M489" i="7"/>
  <c r="V489" i="7" s="1"/>
  <c r="O497" i="7"/>
  <c r="Z497" i="7" s="1"/>
  <c r="O498" i="7"/>
  <c r="Z498" i="7" s="1"/>
  <c r="O310" i="7"/>
  <c r="Z310" i="7" s="1"/>
  <c r="K318" i="7"/>
  <c r="T318" i="7" s="1"/>
  <c r="R319" i="7"/>
  <c r="S321" i="7"/>
  <c r="O324" i="7"/>
  <c r="Z324" i="7" s="1"/>
  <c r="Q328" i="7"/>
  <c r="X328" i="7" s="1"/>
  <c r="K329" i="7"/>
  <c r="T329" i="7" s="1"/>
  <c r="R332" i="7"/>
  <c r="S343" i="7"/>
  <c r="O344" i="7"/>
  <c r="Z344" i="7" s="1"/>
  <c r="S346" i="7"/>
  <c r="P347" i="7"/>
  <c r="AA347" i="7" s="1"/>
  <c r="O351" i="7"/>
  <c r="Z351" i="7" s="1"/>
  <c r="S355" i="7"/>
  <c r="Y355" i="7" s="1"/>
  <c r="P358" i="7"/>
  <c r="AA358" i="7" s="1"/>
  <c r="R360" i="7"/>
  <c r="O363" i="7"/>
  <c r="Z363" i="7" s="1"/>
  <c r="P370" i="7"/>
  <c r="AA370" i="7" s="1"/>
  <c r="K371" i="7"/>
  <c r="T371" i="7" s="1"/>
  <c r="R372" i="7"/>
  <c r="O375" i="7"/>
  <c r="Z375" i="7" s="1"/>
  <c r="P382" i="7"/>
  <c r="AA382" i="7" s="1"/>
  <c r="K383" i="7"/>
  <c r="T383" i="7" s="1"/>
  <c r="R384" i="7"/>
  <c r="O387" i="7"/>
  <c r="Z387" i="7" s="1"/>
  <c r="N393" i="7"/>
  <c r="W393" i="7" s="1"/>
  <c r="L393" i="7"/>
  <c r="U393" i="7" s="1"/>
  <c r="K394" i="7"/>
  <c r="T394" i="7" s="1"/>
  <c r="R398" i="7"/>
  <c r="M399" i="7"/>
  <c r="V399" i="7" s="1"/>
  <c r="Q404" i="7"/>
  <c r="X404" i="7" s="1"/>
  <c r="L412" i="7"/>
  <c r="U412" i="7" s="1"/>
  <c r="M414" i="7"/>
  <c r="V414" i="7" s="1"/>
  <c r="P417" i="7"/>
  <c r="AA417" i="7" s="1"/>
  <c r="P421" i="7"/>
  <c r="AA421" i="7" s="1"/>
  <c r="Q426" i="7"/>
  <c r="X426" i="7" s="1"/>
  <c r="O448" i="7"/>
  <c r="Z448" i="7" s="1"/>
  <c r="O449" i="7"/>
  <c r="Z449" i="7" s="1"/>
  <c r="P449" i="7"/>
  <c r="AA449" i="7" s="1"/>
  <c r="N450" i="7"/>
  <c r="W450" i="7" s="1"/>
  <c r="N451" i="7"/>
  <c r="W451" i="7" s="1"/>
  <c r="K477" i="7"/>
  <c r="T477" i="7" s="1"/>
  <c r="K478" i="7"/>
  <c r="T478" i="7" s="1"/>
  <c r="M337" i="7"/>
  <c r="V337" i="7" s="1"/>
  <c r="O341" i="7"/>
  <c r="Z341" i="7" s="1"/>
  <c r="P344" i="7"/>
  <c r="AA344" i="7" s="1"/>
  <c r="R349" i="7"/>
  <c r="P351" i="7"/>
  <c r="AA351" i="7" s="1"/>
  <c r="R353" i="7"/>
  <c r="O356" i="7"/>
  <c r="Z356" i="7" s="1"/>
  <c r="S360" i="7"/>
  <c r="P363" i="7"/>
  <c r="AA363" i="7" s="1"/>
  <c r="R365" i="7"/>
  <c r="O368" i="7"/>
  <c r="Z368" i="7" s="1"/>
  <c r="P375" i="7"/>
  <c r="AA375" i="7" s="1"/>
  <c r="K376" i="7"/>
  <c r="T376" i="7" s="1"/>
  <c r="R377" i="7"/>
  <c r="O380" i="7"/>
  <c r="Z380" i="7" s="1"/>
  <c r="P387" i="7"/>
  <c r="AA387" i="7" s="1"/>
  <c r="K388" i="7"/>
  <c r="T388" i="7" s="1"/>
  <c r="R389" i="7"/>
  <c r="L398" i="7"/>
  <c r="U398" i="7" s="1"/>
  <c r="M412" i="7"/>
  <c r="V412" i="7" s="1"/>
  <c r="M418" i="7"/>
  <c r="V418" i="7" s="1"/>
  <c r="S432" i="7"/>
  <c r="S431" i="7"/>
  <c r="Y431" i="7" s="1"/>
  <c r="M451" i="7"/>
  <c r="V451" i="7" s="1"/>
  <c r="K453" i="7"/>
  <c r="T453" i="7" s="1"/>
  <c r="P464" i="7"/>
  <c r="AA464" i="7" s="1"/>
  <c r="K468" i="7"/>
  <c r="T468" i="7" s="1"/>
  <c r="K469" i="7"/>
  <c r="T469" i="7" s="1"/>
  <c r="O475" i="7"/>
  <c r="Z475" i="7" s="1"/>
  <c r="O476" i="7"/>
  <c r="Z476" i="7" s="1"/>
  <c r="O489" i="7"/>
  <c r="Z489" i="7" s="1"/>
  <c r="O490" i="7"/>
  <c r="Z490" i="7" s="1"/>
  <c r="S312" i="7"/>
  <c r="K316" i="7"/>
  <c r="T316" i="7" s="1"/>
  <c r="R317" i="7"/>
  <c r="Y317" i="7" s="1"/>
  <c r="AC317" i="7" s="1"/>
  <c r="AD317" i="7" s="1"/>
  <c r="R326" i="7"/>
  <c r="S328" i="7"/>
  <c r="S330" i="7"/>
  <c r="S334" i="7"/>
  <c r="R347" i="7"/>
  <c r="K350" i="7"/>
  <c r="T350" i="7" s="1"/>
  <c r="P356" i="7"/>
  <c r="AA356" i="7" s="1"/>
  <c r="R358" i="7"/>
  <c r="O361" i="7"/>
  <c r="Z361" i="7" s="1"/>
  <c r="P368" i="7"/>
  <c r="AA368" i="7" s="1"/>
  <c r="K369" i="7"/>
  <c r="T369" i="7" s="1"/>
  <c r="R370" i="7"/>
  <c r="O373" i="7"/>
  <c r="Z373" i="7" s="1"/>
  <c r="P380" i="7"/>
  <c r="AA380" i="7" s="1"/>
  <c r="K381" i="7"/>
  <c r="T381" i="7" s="1"/>
  <c r="R382" i="7"/>
  <c r="O385" i="7"/>
  <c r="Z385" i="7" s="1"/>
  <c r="P392" i="7"/>
  <c r="AA392" i="7" s="1"/>
  <c r="M394" i="7"/>
  <c r="V394" i="7" s="1"/>
  <c r="Q396" i="7"/>
  <c r="X396" i="7" s="1"/>
  <c r="M402" i="7"/>
  <c r="V402" i="7" s="1"/>
  <c r="M406" i="7"/>
  <c r="V406" i="7" s="1"/>
  <c r="P408" i="7"/>
  <c r="AA408" i="7" s="1"/>
  <c r="M409" i="7"/>
  <c r="V409" i="7" s="1"/>
  <c r="O414" i="7"/>
  <c r="Z414" i="7" s="1"/>
  <c r="K415" i="7"/>
  <c r="T415" i="7" s="1"/>
  <c r="K419" i="7"/>
  <c r="T419" i="7" s="1"/>
  <c r="K431" i="7"/>
  <c r="T431" i="7" s="1"/>
  <c r="O466" i="7"/>
  <c r="Z466" i="7" s="1"/>
  <c r="O467" i="7"/>
  <c r="Z467" i="7" s="1"/>
  <c r="P475" i="7"/>
  <c r="AA475" i="7" s="1"/>
  <c r="P476" i="7"/>
  <c r="AA476" i="7" s="1"/>
  <c r="O482" i="7"/>
  <c r="Z482" i="7" s="1"/>
  <c r="O483" i="7"/>
  <c r="Z483" i="7" s="1"/>
  <c r="P489" i="7"/>
  <c r="AA489" i="7" s="1"/>
  <c r="P490" i="7"/>
  <c r="AA490" i="7" s="1"/>
  <c r="M493" i="7"/>
  <c r="V493" i="7" s="1"/>
  <c r="M494" i="7"/>
  <c r="V494" i="7" s="1"/>
  <c r="N507" i="7"/>
  <c r="W507" i="7" s="1"/>
  <c r="O320" i="7"/>
  <c r="Z320" i="7" s="1"/>
  <c r="Q322" i="7"/>
  <c r="X322" i="7" s="1"/>
  <c r="K323" i="7"/>
  <c r="T323" i="7" s="1"/>
  <c r="S326" i="7"/>
  <c r="O333" i="7"/>
  <c r="Z333" i="7" s="1"/>
  <c r="O335" i="7"/>
  <c r="Z335" i="7" s="1"/>
  <c r="O337" i="7"/>
  <c r="Z337" i="7" s="1"/>
  <c r="S339" i="7"/>
  <c r="O348" i="7"/>
  <c r="Z348" i="7" s="1"/>
  <c r="R351" i="7"/>
  <c r="O354" i="7"/>
  <c r="Z354" i="7" s="1"/>
  <c r="S358" i="7"/>
  <c r="P361" i="7"/>
  <c r="AA361" i="7" s="1"/>
  <c r="R363" i="7"/>
  <c r="O366" i="7"/>
  <c r="Z366" i="7" s="1"/>
  <c r="P373" i="7"/>
  <c r="AA373" i="7" s="1"/>
  <c r="K374" i="7"/>
  <c r="T374" i="7" s="1"/>
  <c r="R375" i="7"/>
  <c r="O378" i="7"/>
  <c r="Z378" i="7" s="1"/>
  <c r="P385" i="7"/>
  <c r="AA385" i="7" s="1"/>
  <c r="AC385" i="7" s="1"/>
  <c r="K386" i="7"/>
  <c r="T386" i="7" s="1"/>
  <c r="R387" i="7"/>
  <c r="O390" i="7"/>
  <c r="Z390" i="7" s="1"/>
  <c r="R396" i="7"/>
  <c r="Y396" i="7" s="1"/>
  <c r="P399" i="7"/>
  <c r="AA399" i="7" s="1"/>
  <c r="K400" i="7"/>
  <c r="T400" i="7" s="1"/>
  <c r="R401" i="7"/>
  <c r="Y401" i="7" s="1"/>
  <c r="R405" i="7"/>
  <c r="L415" i="7"/>
  <c r="U415" i="7" s="1"/>
  <c r="N426" i="7"/>
  <c r="W426" i="7" s="1"/>
  <c r="O460" i="7"/>
  <c r="Z460" i="7" s="1"/>
  <c r="O461" i="7"/>
  <c r="Z461" i="7" s="1"/>
  <c r="K462" i="7"/>
  <c r="T462" i="7" s="1"/>
  <c r="K463" i="7"/>
  <c r="T463" i="7" s="1"/>
  <c r="P482" i="7"/>
  <c r="AA482" i="7" s="1"/>
  <c r="P483" i="7"/>
  <c r="AA483" i="7" s="1"/>
  <c r="K314" i="7"/>
  <c r="T314" i="7" s="1"/>
  <c r="R315" i="7"/>
  <c r="O318" i="7"/>
  <c r="Z318" i="7" s="1"/>
  <c r="K321" i="7"/>
  <c r="T321" i="7" s="1"/>
  <c r="R322" i="7"/>
  <c r="S324" i="7"/>
  <c r="O329" i="7"/>
  <c r="Z329" i="7" s="1"/>
  <c r="M340" i="7"/>
  <c r="V340" i="7" s="1"/>
  <c r="N346" i="7"/>
  <c r="W346" i="7" s="1"/>
  <c r="P348" i="7"/>
  <c r="AA348" i="7" s="1"/>
  <c r="S351" i="7"/>
  <c r="P354" i="7"/>
  <c r="AA354" i="7" s="1"/>
  <c r="R356" i="7"/>
  <c r="O359" i="7"/>
  <c r="Z359" i="7" s="1"/>
  <c r="S363" i="7"/>
  <c r="P366" i="7"/>
  <c r="AA366" i="7" s="1"/>
  <c r="K367" i="7"/>
  <c r="T367" i="7" s="1"/>
  <c r="R368" i="7"/>
  <c r="O371" i="7"/>
  <c r="Z371" i="7" s="1"/>
  <c r="S375" i="7"/>
  <c r="P378" i="7"/>
  <c r="AA378" i="7" s="1"/>
  <c r="K379" i="7"/>
  <c r="T379" i="7" s="1"/>
  <c r="R380" i="7"/>
  <c r="O383" i="7"/>
  <c r="Z383" i="7" s="1"/>
  <c r="S387" i="7"/>
  <c r="P390" i="7"/>
  <c r="AA390" i="7" s="1"/>
  <c r="K391" i="7"/>
  <c r="T391" i="7" s="1"/>
  <c r="P393" i="7"/>
  <c r="AA393" i="7" s="1"/>
  <c r="R408" i="7"/>
  <c r="Y408" i="7" s="1"/>
  <c r="L410" i="7"/>
  <c r="U410" i="7" s="1"/>
  <c r="P412" i="7"/>
  <c r="AA412" i="7" s="1"/>
  <c r="Q414" i="7"/>
  <c r="X414" i="7" s="1"/>
  <c r="N417" i="7"/>
  <c r="W417" i="7" s="1"/>
  <c r="M419" i="7"/>
  <c r="V419" i="7" s="1"/>
  <c r="S420" i="7"/>
  <c r="Y420" i="7" s="1"/>
  <c r="O423" i="7"/>
  <c r="Z423" i="7" s="1"/>
  <c r="O426" i="7"/>
  <c r="Z426" i="7" s="1"/>
  <c r="M429" i="7"/>
  <c r="V429" i="7" s="1"/>
  <c r="K485" i="7"/>
  <c r="T485" i="7" s="1"/>
  <c r="P540" i="7"/>
  <c r="AA540" i="7" s="1"/>
  <c r="N437" i="7"/>
  <c r="W437" i="7" s="1"/>
  <c r="P450" i="7"/>
  <c r="AA450" i="7" s="1"/>
  <c r="N465" i="7"/>
  <c r="W465" i="7" s="1"/>
  <c r="N468" i="7"/>
  <c r="W468" i="7" s="1"/>
  <c r="N471" i="7"/>
  <c r="W471" i="7" s="1"/>
  <c r="N474" i="7"/>
  <c r="W474" i="7" s="1"/>
  <c r="P551" i="7"/>
  <c r="AA551" i="7" s="1"/>
  <c r="P552" i="7"/>
  <c r="AA552" i="7" s="1"/>
  <c r="N553" i="7"/>
  <c r="W553" i="7" s="1"/>
  <c r="N554" i="7"/>
  <c r="W554" i="7" s="1"/>
  <c r="N626" i="7"/>
  <c r="W626" i="7" s="1"/>
  <c r="Q463" i="7"/>
  <c r="X463" i="7" s="1"/>
  <c r="P506" i="7"/>
  <c r="AA506" i="7" s="1"/>
  <c r="Q513" i="7"/>
  <c r="X513" i="7" s="1"/>
  <c r="Q514" i="7"/>
  <c r="X514" i="7" s="1"/>
  <c r="N545" i="7"/>
  <c r="W545" i="7" s="1"/>
  <c r="N546" i="7"/>
  <c r="W546" i="7" s="1"/>
  <c r="M415" i="7"/>
  <c r="V415" i="7" s="1"/>
  <c r="O420" i="7"/>
  <c r="Z420" i="7" s="1"/>
  <c r="M426" i="7"/>
  <c r="V426" i="7" s="1"/>
  <c r="N429" i="7"/>
  <c r="W429" i="7" s="1"/>
  <c r="S433" i="7"/>
  <c r="Q434" i="7"/>
  <c r="X434" i="7" s="1"/>
  <c r="M439" i="7"/>
  <c r="V439" i="7" s="1"/>
  <c r="L441" i="7"/>
  <c r="U441" i="7" s="1"/>
  <c r="O443" i="7"/>
  <c r="Z443" i="7" s="1"/>
  <c r="P447" i="7"/>
  <c r="AA447" i="7" s="1"/>
  <c r="Y453" i="7"/>
  <c r="Q455" i="7"/>
  <c r="X455" i="7" s="1"/>
  <c r="K458" i="7"/>
  <c r="T458" i="7" s="1"/>
  <c r="Q485" i="7"/>
  <c r="X485" i="7" s="1"/>
  <c r="K486" i="7"/>
  <c r="T486" i="7" s="1"/>
  <c r="S511" i="7"/>
  <c r="S536" i="7"/>
  <c r="S535" i="7"/>
  <c r="Y535" i="7" s="1"/>
  <c r="AC535" i="7" s="1"/>
  <c r="P543" i="7"/>
  <c r="AA543" i="7" s="1"/>
  <c r="L556" i="7"/>
  <c r="U556" i="7" s="1"/>
  <c r="N566" i="7"/>
  <c r="W566" i="7" s="1"/>
  <c r="N574" i="7"/>
  <c r="W574" i="7" s="1"/>
  <c r="O680" i="7"/>
  <c r="Z680" i="7" s="1"/>
  <c r="O681" i="7"/>
  <c r="Z681" i="7" s="1"/>
  <c r="L433" i="7"/>
  <c r="U433" i="7" s="1"/>
  <c r="P445" i="7"/>
  <c r="AA445" i="7" s="1"/>
  <c r="S448" i="7"/>
  <c r="Q478" i="7"/>
  <c r="X478" i="7" s="1"/>
  <c r="L481" i="7"/>
  <c r="U481" i="7" s="1"/>
  <c r="P480" i="7"/>
  <c r="AA480" i="7" s="1"/>
  <c r="M486" i="7"/>
  <c r="V486" i="7" s="1"/>
  <c r="P487" i="7"/>
  <c r="AA487" i="7" s="1"/>
  <c r="O492" i="7"/>
  <c r="Z492" i="7" s="1"/>
  <c r="M501" i="7"/>
  <c r="V501" i="7" s="1"/>
  <c r="P502" i="7"/>
  <c r="AA502" i="7" s="1"/>
  <c r="L504" i="7"/>
  <c r="U504" i="7" s="1"/>
  <c r="L503" i="7"/>
  <c r="U503" i="7" s="1"/>
  <c r="R506" i="7"/>
  <c r="Y506" i="7" s="1"/>
  <c r="O523" i="7"/>
  <c r="Z523" i="7" s="1"/>
  <c r="O537" i="7"/>
  <c r="Z537" i="7" s="1"/>
  <c r="M666" i="7"/>
  <c r="V666" i="7" s="1"/>
  <c r="M667" i="7"/>
  <c r="V667" i="7" s="1"/>
  <c r="L420" i="7"/>
  <c r="U420" i="7" s="1"/>
  <c r="M422" i="7"/>
  <c r="V422" i="7" s="1"/>
  <c r="P428" i="7"/>
  <c r="AA428" i="7" s="1"/>
  <c r="Q430" i="7"/>
  <c r="X430" i="7" s="1"/>
  <c r="R432" i="7"/>
  <c r="M433" i="7"/>
  <c r="V433" i="7" s="1"/>
  <c r="M435" i="7"/>
  <c r="V435" i="7" s="1"/>
  <c r="S444" i="7"/>
  <c r="S446" i="7"/>
  <c r="L462" i="7"/>
  <c r="U462" i="7" s="1"/>
  <c r="L465" i="7"/>
  <c r="U465" i="7" s="1"/>
  <c r="L468" i="7"/>
  <c r="U468" i="7" s="1"/>
  <c r="L471" i="7"/>
  <c r="U471" i="7" s="1"/>
  <c r="L474" i="7"/>
  <c r="U474" i="7" s="1"/>
  <c r="L477" i="7"/>
  <c r="U477" i="7" s="1"/>
  <c r="L484" i="7"/>
  <c r="U484" i="7" s="1"/>
  <c r="K489" i="7"/>
  <c r="T489" i="7" s="1"/>
  <c r="R495" i="7"/>
  <c r="M498" i="7"/>
  <c r="V498" i="7" s="1"/>
  <c r="N500" i="7"/>
  <c r="W500" i="7" s="1"/>
  <c r="N501" i="7"/>
  <c r="W501" i="7" s="1"/>
  <c r="M504" i="7"/>
  <c r="V504" i="7" s="1"/>
  <c r="M503" i="7"/>
  <c r="V503" i="7" s="1"/>
  <c r="S512" i="7"/>
  <c r="K534" i="7"/>
  <c r="T534" i="7" s="1"/>
  <c r="K535" i="7"/>
  <c r="T535" i="7" s="1"/>
  <c r="L541" i="7"/>
  <c r="U541" i="7" s="1"/>
  <c r="L559" i="7"/>
  <c r="U559" i="7" s="1"/>
  <c r="L560" i="7"/>
  <c r="U560" i="7" s="1"/>
  <c r="N646" i="7"/>
  <c r="W646" i="7" s="1"/>
  <c r="N647" i="7"/>
  <c r="W647" i="7" s="1"/>
  <c r="L663" i="7"/>
  <c r="U663" i="7" s="1"/>
  <c r="L664" i="7"/>
  <c r="U664" i="7" s="1"/>
  <c r="M669" i="7"/>
  <c r="V669" i="7" s="1"/>
  <c r="M670" i="7"/>
  <c r="V670" i="7" s="1"/>
  <c r="R417" i="7"/>
  <c r="Y417" i="7" s="1"/>
  <c r="L418" i="7"/>
  <c r="U418" i="7" s="1"/>
  <c r="R419" i="7"/>
  <c r="M420" i="7"/>
  <c r="V420" i="7" s="1"/>
  <c r="L429" i="7"/>
  <c r="U429" i="7" s="1"/>
  <c r="R430" i="7"/>
  <c r="L431" i="7"/>
  <c r="U431" i="7" s="1"/>
  <c r="P437" i="7"/>
  <c r="AA437" i="7" s="1"/>
  <c r="N441" i="7"/>
  <c r="W441" i="7" s="1"/>
  <c r="S442" i="7"/>
  <c r="S450" i="7"/>
  <c r="S478" i="7"/>
  <c r="Q481" i="7"/>
  <c r="X481" i="7" s="1"/>
  <c r="M490" i="7"/>
  <c r="V490" i="7" s="1"/>
  <c r="K497" i="7"/>
  <c r="T497" i="7" s="1"/>
  <c r="N503" i="7"/>
  <c r="W503" i="7" s="1"/>
  <c r="O513" i="7"/>
  <c r="Z513" i="7" s="1"/>
  <c r="Q606" i="7"/>
  <c r="X606" i="7" s="1"/>
  <c r="Q607" i="7"/>
  <c r="X607" i="7" s="1"/>
  <c r="P609" i="7"/>
  <c r="AA609" i="7" s="1"/>
  <c r="R452" i="7"/>
  <c r="L458" i="7"/>
  <c r="U458" i="7" s="1"/>
  <c r="Q459" i="7"/>
  <c r="X459" i="7" s="1"/>
  <c r="L487" i="7"/>
  <c r="U487" i="7" s="1"/>
  <c r="S488" i="7"/>
  <c r="Y488" i="7" s="1"/>
  <c r="AC488" i="7" s="1"/>
  <c r="N490" i="7"/>
  <c r="W490" i="7" s="1"/>
  <c r="K501" i="7"/>
  <c r="T501" i="7" s="1"/>
  <c r="P556" i="7"/>
  <c r="AA556" i="7" s="1"/>
  <c r="P557" i="7"/>
  <c r="AA557" i="7" s="1"/>
  <c r="R415" i="7"/>
  <c r="Y415" i="7" s="1"/>
  <c r="M416" i="7"/>
  <c r="V416" i="7" s="1"/>
  <c r="L425" i="7"/>
  <c r="U425" i="7" s="1"/>
  <c r="R426" i="7"/>
  <c r="Y426" i="7" s="1"/>
  <c r="L427" i="7"/>
  <c r="U427" i="7" s="1"/>
  <c r="P433" i="7"/>
  <c r="AA433" i="7" s="1"/>
  <c r="R437" i="7"/>
  <c r="Y437" i="7" s="1"/>
  <c r="L438" i="7"/>
  <c r="U438" i="7" s="1"/>
  <c r="R439" i="7"/>
  <c r="K448" i="7"/>
  <c r="T448" i="7" s="1"/>
  <c r="Q449" i="7"/>
  <c r="X449" i="7" s="1"/>
  <c r="L453" i="7"/>
  <c r="U453" i="7" s="1"/>
  <c r="R459" i="7"/>
  <c r="R462" i="7"/>
  <c r="R477" i="7"/>
  <c r="S481" i="7"/>
  <c r="N491" i="7"/>
  <c r="W491" i="7" s="1"/>
  <c r="N504" i="7"/>
  <c r="W504" i="7" s="1"/>
  <c r="M507" i="7"/>
  <c r="V507" i="7" s="1"/>
  <c r="Q516" i="7"/>
  <c r="X516" i="7" s="1"/>
  <c r="Q517" i="7"/>
  <c r="X517" i="7" s="1"/>
  <c r="N578" i="7"/>
  <c r="W578" i="7" s="1"/>
  <c r="R424" i="7"/>
  <c r="Y424" i="7" s="1"/>
  <c r="M425" i="7"/>
  <c r="V425" i="7" s="1"/>
  <c r="L436" i="7"/>
  <c r="U436" i="7" s="1"/>
  <c r="S459" i="7"/>
  <c r="Q480" i="7"/>
  <c r="X480" i="7" s="1"/>
  <c r="S484" i="7"/>
  <c r="Q487" i="7"/>
  <c r="X487" i="7" s="1"/>
  <c r="L489" i="7"/>
  <c r="U489" i="7" s="1"/>
  <c r="P492" i="7"/>
  <c r="AA492" i="7" s="1"/>
  <c r="P494" i="7"/>
  <c r="AA494" i="7" s="1"/>
  <c r="Q496" i="7"/>
  <c r="X496" i="7" s="1"/>
  <c r="Q498" i="7"/>
  <c r="X498" i="7" s="1"/>
  <c r="L499" i="7"/>
  <c r="U499" i="7" s="1"/>
  <c r="K506" i="7"/>
  <c r="T506" i="7" s="1"/>
  <c r="O510" i="7"/>
  <c r="Z510" i="7" s="1"/>
  <c r="M511" i="7"/>
  <c r="V511" i="7" s="1"/>
  <c r="S525" i="7"/>
  <c r="S528" i="7"/>
  <c r="Y528" i="7" s="1"/>
  <c r="S527" i="7"/>
  <c r="Y527" i="7" s="1"/>
  <c r="N562" i="7"/>
  <c r="W562" i="7" s="1"/>
  <c r="N570" i="7"/>
  <c r="W570" i="7" s="1"/>
  <c r="N640" i="7"/>
  <c r="W640" i="7" s="1"/>
  <c r="N641" i="7"/>
  <c r="W641" i="7" s="1"/>
  <c r="L421" i="7"/>
  <c r="U421" i="7" s="1"/>
  <c r="R422" i="7"/>
  <c r="L423" i="7"/>
  <c r="U423" i="7" s="1"/>
  <c r="P429" i="7"/>
  <c r="AA429" i="7" s="1"/>
  <c r="R433" i="7"/>
  <c r="L434" i="7"/>
  <c r="U434" i="7" s="1"/>
  <c r="R435" i="7"/>
  <c r="Y435" i="7" s="1"/>
  <c r="M436" i="7"/>
  <c r="V436" i="7" s="1"/>
  <c r="Q443" i="7"/>
  <c r="X443" i="7" s="1"/>
  <c r="Q445" i="7"/>
  <c r="X445" i="7" s="1"/>
  <c r="R447" i="7"/>
  <c r="L455" i="7"/>
  <c r="U455" i="7" s="1"/>
  <c r="Q456" i="7"/>
  <c r="X456" i="7" s="1"/>
  <c r="Q476" i="7"/>
  <c r="X476" i="7" s="1"/>
  <c r="R480" i="7"/>
  <c r="Q483" i="7"/>
  <c r="X483" i="7" s="1"/>
  <c r="AC483" i="7" s="1"/>
  <c r="L486" i="7"/>
  <c r="U486" i="7" s="1"/>
  <c r="R487" i="7"/>
  <c r="K493" i="7"/>
  <c r="T493" i="7" s="1"/>
  <c r="Q494" i="7"/>
  <c r="X494" i="7" s="1"/>
  <c r="P495" i="7"/>
  <c r="AA495" i="7" s="1"/>
  <c r="L497" i="7"/>
  <c r="U497" i="7" s="1"/>
  <c r="S500" i="7"/>
  <c r="Y500" i="7" s="1"/>
  <c r="O502" i="7"/>
  <c r="Z502" i="7" s="1"/>
  <c r="O529" i="7"/>
  <c r="Z529" i="7" s="1"/>
  <c r="P550" i="7"/>
  <c r="AA550" i="7" s="1"/>
  <c r="L601" i="7"/>
  <c r="U601" i="7" s="1"/>
  <c r="L600" i="7"/>
  <c r="U600" i="7" s="1"/>
  <c r="N522" i="7"/>
  <c r="W522" i="7" s="1"/>
  <c r="M529" i="7"/>
  <c r="V529" i="7" s="1"/>
  <c r="L531" i="7"/>
  <c r="U531" i="7" s="1"/>
  <c r="S531" i="7"/>
  <c r="N533" i="7"/>
  <c r="W533" i="7" s="1"/>
  <c r="N537" i="7"/>
  <c r="W537" i="7" s="1"/>
  <c r="Y542" i="7"/>
  <c r="M547" i="7"/>
  <c r="V547" i="7" s="1"/>
  <c r="S552" i="7"/>
  <c r="Q554" i="7"/>
  <c r="X554" i="7" s="1"/>
  <c r="O557" i="7"/>
  <c r="Z557" i="7" s="1"/>
  <c r="P559" i="7"/>
  <c r="AA559" i="7" s="1"/>
  <c r="L582" i="7"/>
  <c r="U582" i="7" s="1"/>
  <c r="K590" i="7"/>
  <c r="T590" i="7" s="1"/>
  <c r="K596" i="7"/>
  <c r="T596" i="7" s="1"/>
  <c r="P601" i="7"/>
  <c r="AA601" i="7" s="1"/>
  <c r="N658" i="7"/>
  <c r="W658" i="7" s="1"/>
  <c r="N659" i="7"/>
  <c r="W659" i="7" s="1"/>
  <c r="S674" i="7"/>
  <c r="N681" i="7"/>
  <c r="W681" i="7" s="1"/>
  <c r="M524" i="7"/>
  <c r="V524" i="7" s="1"/>
  <c r="O532" i="7"/>
  <c r="Z532" i="7" s="1"/>
  <c r="S534" i="7"/>
  <c r="P548" i="7"/>
  <c r="AA548" i="7" s="1"/>
  <c r="L578" i="7"/>
  <c r="U578" i="7" s="1"/>
  <c r="L580" i="7"/>
  <c r="U580" i="7" s="1"/>
  <c r="P591" i="7"/>
  <c r="AA591" i="7" s="1"/>
  <c r="O594" i="7"/>
  <c r="Z594" i="7" s="1"/>
  <c r="R501" i="7"/>
  <c r="O506" i="7"/>
  <c r="Z506" i="7" s="1"/>
  <c r="P509" i="7"/>
  <c r="AA509" i="7" s="1"/>
  <c r="N526" i="7"/>
  <c r="W526" i="7" s="1"/>
  <c r="Q532" i="7"/>
  <c r="X532" i="7" s="1"/>
  <c r="Q537" i="7"/>
  <c r="X537" i="7" s="1"/>
  <c r="M537" i="7"/>
  <c r="V537" i="7" s="1"/>
  <c r="S540" i="7"/>
  <c r="S543" i="7"/>
  <c r="Y543" i="7" s="1"/>
  <c r="R551" i="7"/>
  <c r="S556" i="7"/>
  <c r="O560" i="7"/>
  <c r="Z560" i="7" s="1"/>
  <c r="K592" i="7"/>
  <c r="T592" i="7" s="1"/>
  <c r="O595" i="7"/>
  <c r="Z595" i="7" s="1"/>
  <c r="K597" i="7"/>
  <c r="T597" i="7" s="1"/>
  <c r="K598" i="7"/>
  <c r="T598" i="7" s="1"/>
  <c r="P616" i="7"/>
  <c r="AA616" i="7" s="1"/>
  <c r="P617" i="7"/>
  <c r="AA617" i="7" s="1"/>
  <c r="O663" i="7"/>
  <c r="Z663" i="7" s="1"/>
  <c r="O665" i="7"/>
  <c r="Z665" i="7" s="1"/>
  <c r="O666" i="7"/>
  <c r="Z666" i="7" s="1"/>
  <c r="Y820" i="7"/>
  <c r="N529" i="7"/>
  <c r="W529" i="7" s="1"/>
  <c r="K538" i="7"/>
  <c r="T538" i="7" s="1"/>
  <c r="P576" i="7"/>
  <c r="AA576" i="7" s="1"/>
  <c r="P578" i="7"/>
  <c r="AA578" i="7" s="1"/>
  <c r="S581" i="7"/>
  <c r="N582" i="7"/>
  <c r="W582" i="7" s="1"/>
  <c r="N583" i="7"/>
  <c r="W583" i="7" s="1"/>
  <c r="O611" i="7"/>
  <c r="Z611" i="7" s="1"/>
  <c r="O612" i="7"/>
  <c r="Z612" i="7" s="1"/>
  <c r="Q616" i="7"/>
  <c r="X616" i="7" s="1"/>
  <c r="Q617" i="7"/>
  <c r="X617" i="7" s="1"/>
  <c r="O618" i="7"/>
  <c r="Z618" i="7" s="1"/>
  <c r="O619" i="7"/>
  <c r="Z619" i="7" s="1"/>
  <c r="N627" i="7"/>
  <c r="W627" i="7" s="1"/>
  <c r="N628" i="7"/>
  <c r="W628" i="7" s="1"/>
  <c r="S679" i="7"/>
  <c r="S680" i="7"/>
  <c r="M687" i="7"/>
  <c r="V687" i="7" s="1"/>
  <c r="M688" i="7"/>
  <c r="V688" i="7" s="1"/>
  <c r="S757" i="7"/>
  <c r="S756" i="7"/>
  <c r="Q490" i="7"/>
  <c r="X490" i="7" s="1"/>
  <c r="L492" i="7"/>
  <c r="U492" i="7" s="1"/>
  <c r="Q500" i="7"/>
  <c r="X500" i="7" s="1"/>
  <c r="L502" i="7"/>
  <c r="U502" i="7" s="1"/>
  <c r="R509" i="7"/>
  <c r="Y509" i="7" s="1"/>
  <c r="L524" i="7"/>
  <c r="U524" i="7" s="1"/>
  <c r="L527" i="7"/>
  <c r="U527" i="7" s="1"/>
  <c r="M541" i="7"/>
  <c r="V541" i="7" s="1"/>
  <c r="Q543" i="7"/>
  <c r="X543" i="7" s="1"/>
  <c r="K544" i="7"/>
  <c r="T544" i="7" s="1"/>
  <c r="R545" i="7"/>
  <c r="S547" i="7"/>
  <c r="M552" i="7"/>
  <c r="V552" i="7" s="1"/>
  <c r="R553" i="7"/>
  <c r="R561" i="7"/>
  <c r="R565" i="7"/>
  <c r="R567" i="7"/>
  <c r="R571" i="7"/>
  <c r="R573" i="7"/>
  <c r="R577" i="7"/>
  <c r="R579" i="7"/>
  <c r="K581" i="7"/>
  <c r="T581" i="7" s="1"/>
  <c r="O582" i="7"/>
  <c r="Z582" i="7" s="1"/>
  <c r="P583" i="7"/>
  <c r="AA583" i="7" s="1"/>
  <c r="P587" i="7"/>
  <c r="AA587" i="7" s="1"/>
  <c r="N590" i="7"/>
  <c r="W590" i="7" s="1"/>
  <c r="N596" i="7"/>
  <c r="W596" i="7" s="1"/>
  <c r="R599" i="7"/>
  <c r="O603" i="7"/>
  <c r="Z603" i="7" s="1"/>
  <c r="P611" i="7"/>
  <c r="AA611" i="7" s="1"/>
  <c r="P612" i="7"/>
  <c r="AA612" i="7" s="1"/>
  <c r="N619" i="7"/>
  <c r="W619" i="7" s="1"/>
  <c r="O627" i="7"/>
  <c r="Z627" i="7" s="1"/>
  <c r="O628" i="7"/>
  <c r="Z628" i="7" s="1"/>
  <c r="P634" i="7"/>
  <c r="AA634" i="7" s="1"/>
  <c r="P635" i="7"/>
  <c r="AA635" i="7" s="1"/>
  <c r="N636" i="7"/>
  <c r="W636" i="7" s="1"/>
  <c r="N637" i="7"/>
  <c r="W637" i="7" s="1"/>
  <c r="N642" i="7"/>
  <c r="W642" i="7" s="1"/>
  <c r="N643" i="7"/>
  <c r="W643" i="7" s="1"/>
  <c r="N648" i="7"/>
  <c r="W648" i="7" s="1"/>
  <c r="N649" i="7"/>
  <c r="W649" i="7" s="1"/>
  <c r="N654" i="7"/>
  <c r="W654" i="7" s="1"/>
  <c r="N655" i="7"/>
  <c r="W655" i="7" s="1"/>
  <c r="N532" i="7"/>
  <c r="W532" i="7" s="1"/>
  <c r="P534" i="7"/>
  <c r="AA534" i="7" s="1"/>
  <c r="S545" i="7"/>
  <c r="M546" i="7"/>
  <c r="V546" i="7" s="1"/>
  <c r="R559" i="7"/>
  <c r="M560" i="7"/>
  <c r="V560" i="7" s="1"/>
  <c r="S561" i="7"/>
  <c r="Y561" i="7" s="1"/>
  <c r="AC561" i="7" s="1"/>
  <c r="M562" i="7"/>
  <c r="V562" i="7" s="1"/>
  <c r="S563" i="7"/>
  <c r="M564" i="7"/>
  <c r="V564" i="7" s="1"/>
  <c r="S565" i="7"/>
  <c r="M566" i="7"/>
  <c r="V566" i="7" s="1"/>
  <c r="S567" i="7"/>
  <c r="Y567" i="7" s="1"/>
  <c r="M568" i="7"/>
  <c r="V568" i="7" s="1"/>
  <c r="S569" i="7"/>
  <c r="M570" i="7"/>
  <c r="V570" i="7" s="1"/>
  <c r="S571" i="7"/>
  <c r="Y571" i="7" s="1"/>
  <c r="M572" i="7"/>
  <c r="V572" i="7" s="1"/>
  <c r="S573" i="7"/>
  <c r="Y573" i="7" s="1"/>
  <c r="AC573" i="7" s="1"/>
  <c r="M574" i="7"/>
  <c r="V574" i="7" s="1"/>
  <c r="S575" i="7"/>
  <c r="M576" i="7"/>
  <c r="V576" i="7" s="1"/>
  <c r="S577" i="7"/>
  <c r="M578" i="7"/>
  <c r="V578" i="7" s="1"/>
  <c r="S579" i="7"/>
  <c r="Y579" i="7" s="1"/>
  <c r="M580" i="7"/>
  <c r="V580" i="7" s="1"/>
  <c r="O590" i="7"/>
  <c r="Z590" i="7" s="1"/>
  <c r="P593" i="7"/>
  <c r="AA593" i="7" s="1"/>
  <c r="Q609" i="7"/>
  <c r="X609" i="7" s="1"/>
  <c r="P623" i="7"/>
  <c r="AA623" i="7" s="1"/>
  <c r="L629" i="7"/>
  <c r="U629" i="7" s="1"/>
  <c r="L630" i="7"/>
  <c r="U630" i="7" s="1"/>
  <c r="O636" i="7"/>
  <c r="Z636" i="7" s="1"/>
  <c r="O637" i="7"/>
  <c r="Z637" i="7" s="1"/>
  <c r="S684" i="7"/>
  <c r="S683" i="7"/>
  <c r="P738" i="7"/>
  <c r="AA738" i="7" s="1"/>
  <c r="P739" i="7"/>
  <c r="AA739" i="7" s="1"/>
  <c r="O508" i="7"/>
  <c r="Z508" i="7" s="1"/>
  <c r="N510" i="7"/>
  <c r="W510" i="7" s="1"/>
  <c r="K539" i="7"/>
  <c r="T539" i="7" s="1"/>
  <c r="S541" i="7"/>
  <c r="S544" i="7"/>
  <c r="M544" i="7"/>
  <c r="V544" i="7" s="1"/>
  <c r="Q550" i="7"/>
  <c r="X550" i="7" s="1"/>
  <c r="M554" i="7"/>
  <c r="V554" i="7" s="1"/>
  <c r="R555" i="7"/>
  <c r="S559" i="7"/>
  <c r="Y559" i="7" s="1"/>
  <c r="N580" i="7"/>
  <c r="W580" i="7" s="1"/>
  <c r="N581" i="7"/>
  <c r="W581" i="7" s="1"/>
  <c r="M583" i="7"/>
  <c r="V583" i="7" s="1"/>
  <c r="N586" i="7"/>
  <c r="W586" i="7" s="1"/>
  <c r="K594" i="7"/>
  <c r="T594" i="7" s="1"/>
  <c r="O597" i="7"/>
  <c r="Z597" i="7" s="1"/>
  <c r="O675" i="7"/>
  <c r="Z675" i="7" s="1"/>
  <c r="K723" i="7"/>
  <c r="T723" i="7" s="1"/>
  <c r="K724" i="7"/>
  <c r="T724" i="7" s="1"/>
  <c r="L506" i="7"/>
  <c r="U506" i="7" s="1"/>
  <c r="L509" i="7"/>
  <c r="U509" i="7" s="1"/>
  <c r="P521" i="7"/>
  <c r="AA521" i="7" s="1"/>
  <c r="N530" i="7"/>
  <c r="W530" i="7" s="1"/>
  <c r="N535" i="7"/>
  <c r="W535" i="7" s="1"/>
  <c r="R537" i="7"/>
  <c r="S555" i="7"/>
  <c r="M558" i="7"/>
  <c r="V558" i="7" s="1"/>
  <c r="O562" i="7"/>
  <c r="Z562" i="7" s="1"/>
  <c r="O564" i="7"/>
  <c r="Z564" i="7" s="1"/>
  <c r="O566" i="7"/>
  <c r="Z566" i="7" s="1"/>
  <c r="O568" i="7"/>
  <c r="Z568" i="7" s="1"/>
  <c r="O570" i="7"/>
  <c r="Z570" i="7" s="1"/>
  <c r="O572" i="7"/>
  <c r="Z572" i="7" s="1"/>
  <c r="O574" i="7"/>
  <c r="Z574" i="7" s="1"/>
  <c r="O576" i="7"/>
  <c r="Z576" i="7" s="1"/>
  <c r="O578" i="7"/>
  <c r="Z578" i="7" s="1"/>
  <c r="O580" i="7"/>
  <c r="Z580" i="7" s="1"/>
  <c r="L584" i="7"/>
  <c r="U584" i="7" s="1"/>
  <c r="O586" i="7"/>
  <c r="Z586" i="7" s="1"/>
  <c r="P597" i="7"/>
  <c r="AA597" i="7" s="1"/>
  <c r="Q602" i="7"/>
  <c r="X602" i="7" s="1"/>
  <c r="Q601" i="7"/>
  <c r="X601" i="7" s="1"/>
  <c r="O621" i="7"/>
  <c r="Z621" i="7" s="1"/>
  <c r="N656" i="7"/>
  <c r="W656" i="7" s="1"/>
  <c r="N657" i="7"/>
  <c r="W657" i="7" s="1"/>
  <c r="N699" i="7"/>
  <c r="W699" i="7" s="1"/>
  <c r="N700" i="7"/>
  <c r="W700" i="7" s="1"/>
  <c r="O717" i="7"/>
  <c r="Z717" i="7" s="1"/>
  <c r="O718" i="7"/>
  <c r="Z718" i="7" s="1"/>
  <c r="R736" i="7"/>
  <c r="R735" i="7"/>
  <c r="S493" i="7"/>
  <c r="S496" i="7"/>
  <c r="Q499" i="7"/>
  <c r="X499" i="7" s="1"/>
  <c r="L501" i="7"/>
  <c r="U501" i="7" s="1"/>
  <c r="L522" i="7"/>
  <c r="U522" i="7" s="1"/>
  <c r="P524" i="7"/>
  <c r="AA524" i="7" s="1"/>
  <c r="P527" i="7"/>
  <c r="AA527" i="7" s="1"/>
  <c r="L533" i="7"/>
  <c r="U533" i="7" s="1"/>
  <c r="Q536" i="7"/>
  <c r="X536" i="7" s="1"/>
  <c r="S538" i="7"/>
  <c r="M539" i="7"/>
  <c r="V539" i="7" s="1"/>
  <c r="M549" i="7"/>
  <c r="V549" i="7" s="1"/>
  <c r="S550" i="7"/>
  <c r="Q552" i="7"/>
  <c r="X552" i="7" s="1"/>
  <c r="M556" i="7"/>
  <c r="V556" i="7" s="1"/>
  <c r="R557" i="7"/>
  <c r="P580" i="7"/>
  <c r="AA580" i="7" s="1"/>
  <c r="S582" i="7"/>
  <c r="N592" i="7"/>
  <c r="W592" i="7" s="1"/>
  <c r="R602" i="7"/>
  <c r="Y602" i="7" s="1"/>
  <c r="N607" i="7"/>
  <c r="W607" i="7" s="1"/>
  <c r="N608" i="7"/>
  <c r="W608" i="7" s="1"/>
  <c r="P620" i="7"/>
  <c r="AA620" i="7" s="1"/>
  <c r="P621" i="7"/>
  <c r="AA621" i="7" s="1"/>
  <c r="L631" i="7"/>
  <c r="U631" i="7" s="1"/>
  <c r="L632" i="7"/>
  <c r="U632" i="7" s="1"/>
  <c r="N638" i="7"/>
  <c r="W638" i="7" s="1"/>
  <c r="N639" i="7"/>
  <c r="W639" i="7" s="1"/>
  <c r="N644" i="7"/>
  <c r="W644" i="7" s="1"/>
  <c r="N645" i="7"/>
  <c r="W645" i="7" s="1"/>
  <c r="N650" i="7"/>
  <c r="W650" i="7" s="1"/>
  <c r="N651" i="7"/>
  <c r="W651" i="7" s="1"/>
  <c r="S660" i="7"/>
  <c r="S662" i="7"/>
  <c r="S661" i="7"/>
  <c r="O699" i="7"/>
  <c r="Z699" i="7" s="1"/>
  <c r="O700" i="7"/>
  <c r="Z700" i="7" s="1"/>
  <c r="Q492" i="7"/>
  <c r="X492" i="7" s="1"/>
  <c r="L494" i="7"/>
  <c r="U494" i="7" s="1"/>
  <c r="R499" i="7"/>
  <c r="Q502" i="7"/>
  <c r="X502" i="7" s="1"/>
  <c r="N508" i="7"/>
  <c r="W508" i="7" s="1"/>
  <c r="R515" i="7"/>
  <c r="N519" i="7"/>
  <c r="W519" i="7" s="1"/>
  <c r="R521" i="7"/>
  <c r="P530" i="7"/>
  <c r="AA530" i="7" s="1"/>
  <c r="P535" i="7"/>
  <c r="AA535" i="7" s="1"/>
  <c r="L536" i="7"/>
  <c r="U536" i="7" s="1"/>
  <c r="Q538" i="7"/>
  <c r="X538" i="7" s="1"/>
  <c r="Q546" i="7"/>
  <c r="X546" i="7" s="1"/>
  <c r="S548" i="7"/>
  <c r="M551" i="7"/>
  <c r="V551" i="7" s="1"/>
  <c r="S557" i="7"/>
  <c r="O559" i="7"/>
  <c r="Z559" i="7" s="1"/>
  <c r="Q560" i="7"/>
  <c r="X560" i="7" s="1"/>
  <c r="Q564" i="7"/>
  <c r="X564" i="7" s="1"/>
  <c r="Q570" i="7"/>
  <c r="X570" i="7" s="1"/>
  <c r="Q576" i="7"/>
  <c r="X576" i="7" s="1"/>
  <c r="M581" i="7"/>
  <c r="V581" i="7" s="1"/>
  <c r="O587" i="7"/>
  <c r="Z587" i="7" s="1"/>
  <c r="P589" i="7"/>
  <c r="AA589" i="7" s="1"/>
  <c r="O592" i="7"/>
  <c r="Z592" i="7" s="1"/>
  <c r="P595" i="7"/>
  <c r="AA595" i="7" s="1"/>
  <c r="N598" i="7"/>
  <c r="W598" i="7" s="1"/>
  <c r="K632" i="7"/>
  <c r="T632" i="7" s="1"/>
  <c r="K633" i="7"/>
  <c r="T633" i="7" s="1"/>
  <c r="K634" i="7"/>
  <c r="T634" i="7" s="1"/>
  <c r="Y673" i="7"/>
  <c r="N623" i="7"/>
  <c r="W623" i="7" s="1"/>
  <c r="M636" i="7"/>
  <c r="V636" i="7" s="1"/>
  <c r="R637" i="7"/>
  <c r="Y637" i="7" s="1"/>
  <c r="K688" i="7"/>
  <c r="T688" i="7" s="1"/>
  <c r="R713" i="7"/>
  <c r="Y713" i="7" s="1"/>
  <c r="R712" i="7"/>
  <c r="Y712" i="7" s="1"/>
  <c r="Y715" i="7"/>
  <c r="P715" i="7"/>
  <c r="AA715" i="7" s="1"/>
  <c r="P716" i="7"/>
  <c r="AA716" i="7" s="1"/>
  <c r="R731" i="7"/>
  <c r="Y731" i="7" s="1"/>
  <c r="R730" i="7"/>
  <c r="Y730" i="7" s="1"/>
  <c r="P733" i="7"/>
  <c r="AA733" i="7" s="1"/>
  <c r="P734" i="7"/>
  <c r="AA734" i="7" s="1"/>
  <c r="O738" i="7"/>
  <c r="Z738" i="7" s="1"/>
  <c r="O739" i="7"/>
  <c r="Z739" i="7" s="1"/>
  <c r="P825" i="7"/>
  <c r="AA825" i="7" s="1"/>
  <c r="R580" i="7"/>
  <c r="Y580" i="7" s="1"/>
  <c r="R582" i="7"/>
  <c r="R586" i="7"/>
  <c r="Y586" i="7" s="1"/>
  <c r="R588" i="7"/>
  <c r="Y588" i="7" s="1"/>
  <c r="AC588" i="7" s="1"/>
  <c r="R592" i="7"/>
  <c r="R594" i="7"/>
  <c r="L606" i="7"/>
  <c r="U606" i="7" s="1"/>
  <c r="R606" i="7"/>
  <c r="L607" i="7"/>
  <c r="U607" i="7" s="1"/>
  <c r="Y608" i="7"/>
  <c r="O610" i="7"/>
  <c r="Z610" i="7" s="1"/>
  <c r="Q615" i="7"/>
  <c r="X615" i="7" s="1"/>
  <c r="R616" i="7"/>
  <c r="Q621" i="7"/>
  <c r="X621" i="7" s="1"/>
  <c r="S630" i="7"/>
  <c r="M631" i="7"/>
  <c r="V631" i="7" s="1"/>
  <c r="S632" i="7"/>
  <c r="Y632" i="7" s="1"/>
  <c r="R634" i="7"/>
  <c r="O664" i="7"/>
  <c r="Z664" i="7" s="1"/>
  <c r="Q665" i="7"/>
  <c r="X665" i="7" s="1"/>
  <c r="K667" i="7"/>
  <c r="T667" i="7" s="1"/>
  <c r="K671" i="7"/>
  <c r="T671" i="7" s="1"/>
  <c r="Q671" i="7"/>
  <c r="X671" i="7" s="1"/>
  <c r="K672" i="7"/>
  <c r="T672" i="7" s="1"/>
  <c r="S672" i="7"/>
  <c r="P674" i="7"/>
  <c r="AA674" i="7" s="1"/>
  <c r="K679" i="7"/>
  <c r="T679" i="7" s="1"/>
  <c r="M683" i="7"/>
  <c r="V683" i="7" s="1"/>
  <c r="N687" i="7"/>
  <c r="W687" i="7" s="1"/>
  <c r="O714" i="7"/>
  <c r="Z714" i="7" s="1"/>
  <c r="K727" i="7"/>
  <c r="T727" i="7" s="1"/>
  <c r="Y733" i="7"/>
  <c r="S735" i="7"/>
  <c r="S736" i="7"/>
  <c r="L764" i="7"/>
  <c r="U764" i="7" s="1"/>
  <c r="L765" i="7"/>
  <c r="U765" i="7" s="1"/>
  <c r="L772" i="7"/>
  <c r="U772" i="7" s="1"/>
  <c r="L773" i="7"/>
  <c r="U773" i="7" s="1"/>
  <c r="S794" i="7"/>
  <c r="S795" i="7"/>
  <c r="Y795" i="7" s="1"/>
  <c r="Y592" i="7"/>
  <c r="Y594" i="7"/>
  <c r="AC594" i="7" s="1"/>
  <c r="R611" i="7"/>
  <c r="R620" i="7"/>
  <c r="M633" i="7"/>
  <c r="V633" i="7" s="1"/>
  <c r="Q636" i="7"/>
  <c r="X636" i="7" s="1"/>
  <c r="O661" i="7"/>
  <c r="Z661" i="7" s="1"/>
  <c r="P664" i="7"/>
  <c r="AA664" i="7" s="1"/>
  <c r="P677" i="7"/>
  <c r="AA677" i="7" s="1"/>
  <c r="M691" i="7"/>
  <c r="V691" i="7" s="1"/>
  <c r="S696" i="7"/>
  <c r="Y717" i="7"/>
  <c r="L761" i="7"/>
  <c r="U761" i="7" s="1"/>
  <c r="L762" i="7"/>
  <c r="U762" i="7" s="1"/>
  <c r="R787" i="7"/>
  <c r="R786" i="7"/>
  <c r="S620" i="7"/>
  <c r="R662" i="7"/>
  <c r="P666" i="7"/>
  <c r="AA666" i="7" s="1"/>
  <c r="Q669" i="7"/>
  <c r="X669" i="7" s="1"/>
  <c r="O687" i="7"/>
  <c r="Z687" i="7" s="1"/>
  <c r="O686" i="7"/>
  <c r="Z686" i="7" s="1"/>
  <c r="O722" i="7"/>
  <c r="Z722" i="7" s="1"/>
  <c r="O723" i="7"/>
  <c r="Z723" i="7" s="1"/>
  <c r="L755" i="7"/>
  <c r="U755" i="7" s="1"/>
  <c r="L756" i="7"/>
  <c r="U756" i="7" s="1"/>
  <c r="M779" i="7"/>
  <c r="V779" i="7" s="1"/>
  <c r="S786" i="7"/>
  <c r="S787" i="7"/>
  <c r="K793" i="7"/>
  <c r="T793" i="7" s="1"/>
  <c r="K794" i="7"/>
  <c r="T794" i="7" s="1"/>
  <c r="M816" i="7"/>
  <c r="V816" i="7" s="1"/>
  <c r="M817" i="7"/>
  <c r="V817" i="7" s="1"/>
  <c r="K605" i="7"/>
  <c r="T605" i="7" s="1"/>
  <c r="P604" i="7"/>
  <c r="AA604" i="7" s="1"/>
  <c r="K615" i="7"/>
  <c r="T615" i="7" s="1"/>
  <c r="M619" i="7"/>
  <c r="V619" i="7" s="1"/>
  <c r="R625" i="7"/>
  <c r="Y625" i="7" s="1"/>
  <c r="M626" i="7"/>
  <c r="V626" i="7" s="1"/>
  <c r="S627" i="7"/>
  <c r="Y627" i="7" s="1"/>
  <c r="R638" i="7"/>
  <c r="R640" i="7"/>
  <c r="R642" i="7"/>
  <c r="Y642" i="7" s="1"/>
  <c r="R644" i="7"/>
  <c r="R646" i="7"/>
  <c r="R648" i="7"/>
  <c r="R650" i="7"/>
  <c r="R652" i="7"/>
  <c r="R654" i="7"/>
  <c r="R656" i="7"/>
  <c r="Y656" i="7" s="1"/>
  <c r="AC656" i="7" s="1"/>
  <c r="R658" i="7"/>
  <c r="K661" i="7"/>
  <c r="T661" i="7" s="1"/>
  <c r="Q663" i="7"/>
  <c r="X663" i="7" s="1"/>
  <c r="N691" i="7"/>
  <c r="W691" i="7" s="1"/>
  <c r="N690" i="7"/>
  <c r="W690" i="7" s="1"/>
  <c r="O725" i="7"/>
  <c r="Z725" i="7" s="1"/>
  <c r="O726" i="7"/>
  <c r="Z726" i="7" s="1"/>
  <c r="K734" i="7"/>
  <c r="T734" i="7" s="1"/>
  <c r="K735" i="7"/>
  <c r="T735" i="7" s="1"/>
  <c r="R740" i="7"/>
  <c r="Y740" i="7" s="1"/>
  <c r="AC740" i="7" s="1"/>
  <c r="R741" i="7"/>
  <c r="Y741" i="7" s="1"/>
  <c r="N772" i="7"/>
  <c r="W772" i="7" s="1"/>
  <c r="N771" i="7"/>
  <c r="W771" i="7" s="1"/>
  <c r="N779" i="7"/>
  <c r="W779" i="7" s="1"/>
  <c r="O814" i="7"/>
  <c r="Z814" i="7" s="1"/>
  <c r="O813" i="7"/>
  <c r="Z813" i="7" s="1"/>
  <c r="K601" i="7"/>
  <c r="T601" i="7" s="1"/>
  <c r="R609" i="7"/>
  <c r="P624" i="7"/>
  <c r="AA624" i="7" s="1"/>
  <c r="R629" i="7"/>
  <c r="Q631" i="7"/>
  <c r="X631" i="7" s="1"/>
  <c r="M637" i="7"/>
  <c r="V637" i="7" s="1"/>
  <c r="S638" i="7"/>
  <c r="S640" i="7"/>
  <c r="M641" i="7"/>
  <c r="V641" i="7" s="1"/>
  <c r="S642" i="7"/>
  <c r="M643" i="7"/>
  <c r="V643" i="7" s="1"/>
  <c r="S644" i="7"/>
  <c r="S646" i="7"/>
  <c r="S648" i="7"/>
  <c r="S650" i="7"/>
  <c r="S652" i="7"/>
  <c r="M653" i="7"/>
  <c r="V653" i="7" s="1"/>
  <c r="S654" i="7"/>
  <c r="Y654" i="7" s="1"/>
  <c r="M655" i="7"/>
  <c r="V655" i="7" s="1"/>
  <c r="S656" i="7"/>
  <c r="S658" i="7"/>
  <c r="L661" i="7"/>
  <c r="U661" i="7" s="1"/>
  <c r="R663" i="7"/>
  <c r="R666" i="7"/>
  <c r="L668" i="7"/>
  <c r="U668" i="7" s="1"/>
  <c r="S676" i="7"/>
  <c r="N678" i="7"/>
  <c r="W678" i="7" s="1"/>
  <c r="O698" i="7"/>
  <c r="Z698" i="7" s="1"/>
  <c r="O710" i="7"/>
  <c r="Z710" i="7" s="1"/>
  <c r="S743" i="7"/>
  <c r="Y743" i="7" s="1"/>
  <c r="AC743" i="7" s="1"/>
  <c r="S742" i="7"/>
  <c r="Y742" i="7" s="1"/>
  <c r="O748" i="7"/>
  <c r="Z748" i="7" s="1"/>
  <c r="O747" i="7"/>
  <c r="Z747" i="7" s="1"/>
  <c r="P813" i="7"/>
  <c r="AA813" i="7" s="1"/>
  <c r="P814" i="7"/>
  <c r="AA814" i="7" s="1"/>
  <c r="Q585" i="7"/>
  <c r="X585" i="7" s="1"/>
  <c r="Q591" i="7"/>
  <c r="X591" i="7" s="1"/>
  <c r="Q597" i="7"/>
  <c r="X597" i="7" s="1"/>
  <c r="R603" i="7"/>
  <c r="M604" i="7"/>
  <c r="V604" i="7" s="1"/>
  <c r="K607" i="7"/>
  <c r="T607" i="7" s="1"/>
  <c r="L608" i="7"/>
  <c r="U608" i="7" s="1"/>
  <c r="M614" i="7"/>
  <c r="V614" i="7" s="1"/>
  <c r="Q624" i="7"/>
  <c r="X624" i="7" s="1"/>
  <c r="R631" i="7"/>
  <c r="Q633" i="7"/>
  <c r="X633" i="7" s="1"/>
  <c r="M661" i="7"/>
  <c r="V661" i="7" s="1"/>
  <c r="S663" i="7"/>
  <c r="L677" i="7"/>
  <c r="U677" i="7" s="1"/>
  <c r="O678" i="7"/>
  <c r="Z678" i="7" s="1"/>
  <c r="O679" i="7"/>
  <c r="Z679" i="7" s="1"/>
  <c r="S682" i="7"/>
  <c r="Y682" i="7" s="1"/>
  <c r="S681" i="7"/>
  <c r="P690" i="7"/>
  <c r="AA690" i="7" s="1"/>
  <c r="N705" i="7"/>
  <c r="W705" i="7" s="1"/>
  <c r="S722" i="7"/>
  <c r="Y722" i="7" s="1"/>
  <c r="S721" i="7"/>
  <c r="Y721" i="7" s="1"/>
  <c r="O761" i="7"/>
  <c r="Z761" i="7" s="1"/>
  <c r="O760" i="7"/>
  <c r="Z760" i="7" s="1"/>
  <c r="O777" i="7"/>
  <c r="Z777" i="7" s="1"/>
  <c r="R846" i="7"/>
  <c r="R845" i="7"/>
  <c r="S864" i="7"/>
  <c r="S600" i="7"/>
  <c r="R605" i="7"/>
  <c r="L613" i="7"/>
  <c r="U613" i="7" s="1"/>
  <c r="R615" i="7"/>
  <c r="R623" i="7"/>
  <c r="M624" i="7"/>
  <c r="V624" i="7" s="1"/>
  <c r="R633" i="7"/>
  <c r="Q635" i="7"/>
  <c r="X635" i="7" s="1"/>
  <c r="L676" i="7"/>
  <c r="U676" i="7" s="1"/>
  <c r="P678" i="7"/>
  <c r="AA678" i="7" s="1"/>
  <c r="M703" i="7"/>
  <c r="V703" i="7" s="1"/>
  <c r="O705" i="7"/>
  <c r="Z705" i="7" s="1"/>
  <c r="O754" i="7"/>
  <c r="Z754" i="7" s="1"/>
  <c r="O755" i="7"/>
  <c r="Z755" i="7" s="1"/>
  <c r="S808" i="7"/>
  <c r="Y808" i="7" s="1"/>
  <c r="S809" i="7"/>
  <c r="S810" i="7"/>
  <c r="Y810" i="7" s="1"/>
  <c r="S811" i="7"/>
  <c r="S845" i="7"/>
  <c r="S846" i="7"/>
  <c r="K854" i="7"/>
  <c r="T854" i="7" s="1"/>
  <c r="K855" i="7"/>
  <c r="T855" i="7" s="1"/>
  <c r="Q878" i="7"/>
  <c r="X878" i="7" s="1"/>
  <c r="Q879" i="7"/>
  <c r="X879" i="7" s="1"/>
  <c r="M584" i="7"/>
  <c r="V584" i="7" s="1"/>
  <c r="S585" i="7"/>
  <c r="Y585" i="7" s="1"/>
  <c r="M586" i="7"/>
  <c r="V586" i="7" s="1"/>
  <c r="S587" i="7"/>
  <c r="M588" i="7"/>
  <c r="V588" i="7" s="1"/>
  <c r="S589" i="7"/>
  <c r="Y589" i="7" s="1"/>
  <c r="M591" i="7"/>
  <c r="V591" i="7" s="1"/>
  <c r="S591" i="7"/>
  <c r="Y591" i="7" s="1"/>
  <c r="M593" i="7"/>
  <c r="V593" i="7" s="1"/>
  <c r="S593" i="7"/>
  <c r="M595" i="7"/>
  <c r="V595" i="7" s="1"/>
  <c r="S595" i="7"/>
  <c r="Y595" i="7" s="1"/>
  <c r="S597" i="7"/>
  <c r="Y597" i="7" s="1"/>
  <c r="O599" i="7"/>
  <c r="Z599" i="7" s="1"/>
  <c r="M606" i="7"/>
  <c r="V606" i="7" s="1"/>
  <c r="R617" i="7"/>
  <c r="Q620" i="7"/>
  <c r="X620" i="7" s="1"/>
  <c r="R621" i="7"/>
  <c r="S623" i="7"/>
  <c r="R635" i="7"/>
  <c r="Y635" i="7" s="1"/>
  <c r="AC635" i="7" s="1"/>
  <c r="K662" i="7"/>
  <c r="T662" i="7" s="1"/>
  <c r="L665" i="7"/>
  <c r="U665" i="7" s="1"/>
  <c r="R670" i="7"/>
  <c r="Y670" i="7" s="1"/>
  <c r="M681" i="7"/>
  <c r="V681" i="7" s="1"/>
  <c r="O685" i="7"/>
  <c r="Z685" i="7" s="1"/>
  <c r="N688" i="7"/>
  <c r="W688" i="7" s="1"/>
  <c r="O694" i="7"/>
  <c r="Z694" i="7" s="1"/>
  <c r="O693" i="7"/>
  <c r="Z693" i="7" s="1"/>
  <c r="R728" i="7"/>
  <c r="R727" i="7"/>
  <c r="Y727" i="7" s="1"/>
  <c r="S767" i="7"/>
  <c r="N790" i="7"/>
  <c r="W790" i="7" s="1"/>
  <c r="O790" i="7"/>
  <c r="Z790" i="7" s="1"/>
  <c r="O791" i="7"/>
  <c r="Z791" i="7" s="1"/>
  <c r="O838" i="7"/>
  <c r="Z838" i="7" s="1"/>
  <c r="O839" i="7"/>
  <c r="Z839" i="7" s="1"/>
  <c r="L603" i="7"/>
  <c r="U603" i="7" s="1"/>
  <c r="R619" i="7"/>
  <c r="S621" i="7"/>
  <c r="R626" i="7"/>
  <c r="Q639" i="7"/>
  <c r="X639" i="7" s="1"/>
  <c r="Q641" i="7"/>
  <c r="X641" i="7" s="1"/>
  <c r="Q643" i="7"/>
  <c r="X643" i="7" s="1"/>
  <c r="Q645" i="7"/>
  <c r="X645" i="7" s="1"/>
  <c r="Q647" i="7"/>
  <c r="X647" i="7" s="1"/>
  <c r="Q649" i="7"/>
  <c r="X649" i="7" s="1"/>
  <c r="Q651" i="7"/>
  <c r="X651" i="7" s="1"/>
  <c r="Q653" i="7"/>
  <c r="X653" i="7" s="1"/>
  <c r="AC653" i="7" s="1"/>
  <c r="Q655" i="7"/>
  <c r="X655" i="7" s="1"/>
  <c r="Q657" i="7"/>
  <c r="X657" i="7" s="1"/>
  <c r="Q659" i="7"/>
  <c r="X659" i="7" s="1"/>
  <c r="S664" i="7"/>
  <c r="S668" i="7"/>
  <c r="Y668" i="7" s="1"/>
  <c r="P668" i="7"/>
  <c r="AA668" i="7" s="1"/>
  <c r="K669" i="7"/>
  <c r="T669" i="7" s="1"/>
  <c r="L674" i="7"/>
  <c r="U674" i="7" s="1"/>
  <c r="R675" i="7"/>
  <c r="Y675" i="7" s="1"/>
  <c r="K677" i="7"/>
  <c r="T677" i="7" s="1"/>
  <c r="O677" i="7"/>
  <c r="Z677" i="7" s="1"/>
  <c r="Y678" i="7"/>
  <c r="AC678" i="7" s="1"/>
  <c r="M708" i="7"/>
  <c r="V708" i="7" s="1"/>
  <c r="S725" i="7"/>
  <c r="Y725" i="7" s="1"/>
  <c r="S724" i="7"/>
  <c r="Y724" i="7" s="1"/>
  <c r="K740" i="7"/>
  <c r="T740" i="7" s="1"/>
  <c r="O744" i="7"/>
  <c r="Z744" i="7" s="1"/>
  <c r="N768" i="7"/>
  <c r="W768" i="7" s="1"/>
  <c r="K833" i="7"/>
  <c r="T833" i="7" s="1"/>
  <c r="K832" i="7"/>
  <c r="T832" i="7" s="1"/>
  <c r="P720" i="7"/>
  <c r="AA720" i="7" s="1"/>
  <c r="Y728" i="7"/>
  <c r="O752" i="7"/>
  <c r="Z752" i="7" s="1"/>
  <c r="L758" i="7"/>
  <c r="U758" i="7" s="1"/>
  <c r="K780" i="7"/>
  <c r="T780" i="7" s="1"/>
  <c r="M790" i="7"/>
  <c r="V790" i="7" s="1"/>
  <c r="L797" i="7"/>
  <c r="U797" i="7" s="1"/>
  <c r="Q811" i="7"/>
  <c r="X811" i="7" s="1"/>
  <c r="Q810" i="7"/>
  <c r="X810" i="7" s="1"/>
  <c r="N814" i="7"/>
  <c r="W814" i="7" s="1"/>
  <c r="O825" i="7"/>
  <c r="Z825" i="7" s="1"/>
  <c r="M829" i="7"/>
  <c r="V829" i="7" s="1"/>
  <c r="S835" i="7"/>
  <c r="Y835" i="7" s="1"/>
  <c r="AC835" i="7" s="1"/>
  <c r="AD835" i="7" s="1"/>
  <c r="S834" i="7"/>
  <c r="K852" i="7"/>
  <c r="T852" i="7" s="1"/>
  <c r="K853" i="7"/>
  <c r="T853" i="7" s="1"/>
  <c r="S856" i="7"/>
  <c r="S855" i="7"/>
  <c r="S861" i="7"/>
  <c r="S860" i="7"/>
  <c r="Y860" i="7" s="1"/>
  <c r="S868" i="7"/>
  <c r="S873" i="7"/>
  <c r="S872" i="7"/>
  <c r="Y872" i="7" s="1"/>
  <c r="K882" i="7"/>
  <c r="T882" i="7" s="1"/>
  <c r="K883" i="7"/>
  <c r="T883" i="7" s="1"/>
  <c r="R893" i="7"/>
  <c r="Y701" i="7"/>
  <c r="N703" i="7"/>
  <c r="W703" i="7" s="1"/>
  <c r="P714" i="7"/>
  <c r="AA714" i="7" s="1"/>
  <c r="Y718" i="7"/>
  <c r="Y723" i="7"/>
  <c r="Y726" i="7"/>
  <c r="Y739" i="7"/>
  <c r="P747" i="7"/>
  <c r="AA747" i="7" s="1"/>
  <c r="M748" i="7"/>
  <c r="V748" i="7" s="1"/>
  <c r="K762" i="7"/>
  <c r="T762" i="7" s="1"/>
  <c r="K765" i="7"/>
  <c r="T765" i="7" s="1"/>
  <c r="Q770" i="7"/>
  <c r="X770" i="7" s="1"/>
  <c r="M772" i="7"/>
  <c r="V772" i="7" s="1"/>
  <c r="K773" i="7"/>
  <c r="T773" i="7" s="1"/>
  <c r="P777" i="7"/>
  <c r="AA777" i="7" s="1"/>
  <c r="O778" i="7"/>
  <c r="Z778" i="7" s="1"/>
  <c r="M791" i="7"/>
  <c r="V791" i="7" s="1"/>
  <c r="Q801" i="7"/>
  <c r="X801" i="7" s="1"/>
  <c r="Q821" i="7"/>
  <c r="X821" i="7" s="1"/>
  <c r="O828" i="7"/>
  <c r="Z828" i="7" s="1"/>
  <c r="O829" i="7"/>
  <c r="Z829" i="7" s="1"/>
  <c r="Q838" i="7"/>
  <c r="X838" i="7" s="1"/>
  <c r="Q848" i="7"/>
  <c r="X848" i="7" s="1"/>
  <c r="Q849" i="7"/>
  <c r="X849" i="7" s="1"/>
  <c r="Q690" i="7"/>
  <c r="X690" i="7" s="1"/>
  <c r="S693" i="7"/>
  <c r="K695" i="7"/>
  <c r="T695" i="7" s="1"/>
  <c r="P697" i="7"/>
  <c r="AA697" i="7" s="1"/>
  <c r="K698" i="7"/>
  <c r="T698" i="7" s="1"/>
  <c r="R699" i="7"/>
  <c r="P707" i="7"/>
  <c r="AA707" i="7" s="1"/>
  <c r="K711" i="7"/>
  <c r="T711" i="7" s="1"/>
  <c r="K712" i="7"/>
  <c r="T712" i="7" s="1"/>
  <c r="R716" i="7"/>
  <c r="M718" i="7"/>
  <c r="V718" i="7" s="1"/>
  <c r="Q722" i="7"/>
  <c r="X722" i="7" s="1"/>
  <c r="Q725" i="7"/>
  <c r="X725" i="7" s="1"/>
  <c r="M726" i="7"/>
  <c r="V726" i="7" s="1"/>
  <c r="L729" i="7"/>
  <c r="U729" i="7" s="1"/>
  <c r="L732" i="7"/>
  <c r="U732" i="7" s="1"/>
  <c r="N734" i="7"/>
  <c r="W734" i="7" s="1"/>
  <c r="M739" i="7"/>
  <c r="V739" i="7" s="1"/>
  <c r="Q743" i="7"/>
  <c r="X743" i="7" s="1"/>
  <c r="L744" i="7"/>
  <c r="U744" i="7" s="1"/>
  <c r="S745" i="7"/>
  <c r="Q747" i="7"/>
  <c r="X747" i="7" s="1"/>
  <c r="L750" i="7"/>
  <c r="U750" i="7" s="1"/>
  <c r="R760" i="7"/>
  <c r="Q767" i="7"/>
  <c r="X767" i="7" s="1"/>
  <c r="R770" i="7"/>
  <c r="R776" i="7"/>
  <c r="P778" i="7"/>
  <c r="AA778" i="7" s="1"/>
  <c r="M784" i="7"/>
  <c r="V784" i="7" s="1"/>
  <c r="M793" i="7"/>
  <c r="V793" i="7" s="1"/>
  <c r="M794" i="7"/>
  <c r="V794" i="7" s="1"/>
  <c r="Q794" i="7"/>
  <c r="X794" i="7" s="1"/>
  <c r="L798" i="7"/>
  <c r="U798" i="7" s="1"/>
  <c r="Y802" i="7"/>
  <c r="M806" i="7"/>
  <c r="V806" i="7" s="1"/>
  <c r="S824" i="7"/>
  <c r="R837" i="7"/>
  <c r="Y837" i="7" s="1"/>
  <c r="R838" i="7"/>
  <c r="Y838" i="7" s="1"/>
  <c r="AC838" i="7" s="1"/>
  <c r="K844" i="7"/>
  <c r="T844" i="7" s="1"/>
  <c r="K845" i="7"/>
  <c r="T845" i="7" s="1"/>
  <c r="L862" i="7"/>
  <c r="U862" i="7" s="1"/>
  <c r="L863" i="7"/>
  <c r="U863" i="7" s="1"/>
  <c r="R905" i="7"/>
  <c r="R904" i="7"/>
  <c r="Q674" i="7"/>
  <c r="X674" i="7" s="1"/>
  <c r="Q676" i="7"/>
  <c r="X676" i="7" s="1"/>
  <c r="S685" i="7"/>
  <c r="P687" i="7"/>
  <c r="AA687" i="7" s="1"/>
  <c r="K692" i="7"/>
  <c r="T692" i="7" s="1"/>
  <c r="P694" i="7"/>
  <c r="AA694" i="7" s="1"/>
  <c r="Q697" i="7"/>
  <c r="X697" i="7" s="1"/>
  <c r="S699" i="7"/>
  <c r="P702" i="7"/>
  <c r="AA702" i="7" s="1"/>
  <c r="K703" i="7"/>
  <c r="T703" i="7" s="1"/>
  <c r="AC703" i="7" s="1"/>
  <c r="S704" i="7"/>
  <c r="Q707" i="7"/>
  <c r="X707" i="7" s="1"/>
  <c r="P710" i="7"/>
  <c r="AA710" i="7" s="1"/>
  <c r="S714" i="7"/>
  <c r="Y714" i="7" s="1"/>
  <c r="S716" i="7"/>
  <c r="Y716" i="7" s="1"/>
  <c r="N718" i="7"/>
  <c r="W718" i="7" s="1"/>
  <c r="O719" i="7"/>
  <c r="Z719" i="7" s="1"/>
  <c r="N723" i="7"/>
  <c r="W723" i="7" s="1"/>
  <c r="N726" i="7"/>
  <c r="W726" i="7" s="1"/>
  <c r="Q728" i="7"/>
  <c r="X728" i="7" s="1"/>
  <c r="M729" i="7"/>
  <c r="V729" i="7" s="1"/>
  <c r="Q731" i="7"/>
  <c r="X731" i="7" s="1"/>
  <c r="M732" i="7"/>
  <c r="V732" i="7" s="1"/>
  <c r="Q736" i="7"/>
  <c r="X736" i="7" s="1"/>
  <c r="L737" i="7"/>
  <c r="U737" i="7" s="1"/>
  <c r="N739" i="7"/>
  <c r="W739" i="7" s="1"/>
  <c r="K751" i="7"/>
  <c r="T751" i="7" s="1"/>
  <c r="M758" i="7"/>
  <c r="V758" i="7" s="1"/>
  <c r="S760" i="7"/>
  <c r="Y760" i="7" s="1"/>
  <c r="M762" i="7"/>
  <c r="V762" i="7" s="1"/>
  <c r="M765" i="7"/>
  <c r="V765" i="7" s="1"/>
  <c r="R767" i="7"/>
  <c r="M768" i="7"/>
  <c r="V768" i="7" s="1"/>
  <c r="M773" i="7"/>
  <c r="V773" i="7" s="1"/>
  <c r="K774" i="7"/>
  <c r="T774" i="7" s="1"/>
  <c r="S781" i="7"/>
  <c r="Y781" i="7" s="1"/>
  <c r="K802" i="7"/>
  <c r="T802" i="7" s="1"/>
  <c r="Q804" i="7"/>
  <c r="X804" i="7" s="1"/>
  <c r="Q805" i="7"/>
  <c r="X805" i="7" s="1"/>
  <c r="S813" i="7"/>
  <c r="Y813" i="7" s="1"/>
  <c r="P816" i="7"/>
  <c r="AA816" i="7" s="1"/>
  <c r="P815" i="7"/>
  <c r="AA815" i="7" s="1"/>
  <c r="K843" i="7"/>
  <c r="T843" i="7" s="1"/>
  <c r="Q687" i="7"/>
  <c r="X687" i="7" s="1"/>
  <c r="S690" i="7"/>
  <c r="P691" i="7"/>
  <c r="AA691" i="7" s="1"/>
  <c r="Q694" i="7"/>
  <c r="X694" i="7" s="1"/>
  <c r="R697" i="7"/>
  <c r="M699" i="7"/>
  <c r="V699" i="7" s="1"/>
  <c r="O701" i="7"/>
  <c r="Z701" i="7" s="1"/>
  <c r="Q702" i="7"/>
  <c r="X702" i="7" s="1"/>
  <c r="M704" i="7"/>
  <c r="V704" i="7" s="1"/>
  <c r="K706" i="7"/>
  <c r="T706" i="7" s="1"/>
  <c r="R707" i="7"/>
  <c r="Q710" i="7"/>
  <c r="X710" i="7" s="1"/>
  <c r="M711" i="7"/>
  <c r="V711" i="7" s="1"/>
  <c r="N714" i="7"/>
  <c r="W714" i="7" s="1"/>
  <c r="N716" i="7"/>
  <c r="W716" i="7" s="1"/>
  <c r="L721" i="7"/>
  <c r="U721" i="7" s="1"/>
  <c r="N729" i="7"/>
  <c r="W729" i="7" s="1"/>
  <c r="N732" i="7"/>
  <c r="W732" i="7" s="1"/>
  <c r="O733" i="7"/>
  <c r="Z733" i="7" s="1"/>
  <c r="M737" i="7"/>
  <c r="V737" i="7" s="1"/>
  <c r="P740" i="7"/>
  <c r="AA740" i="7" s="1"/>
  <c r="Q741" i="7"/>
  <c r="X741" i="7" s="1"/>
  <c r="L742" i="7"/>
  <c r="U742" i="7" s="1"/>
  <c r="N744" i="7"/>
  <c r="W744" i="7" s="1"/>
  <c r="Y747" i="7"/>
  <c r="N751" i="7"/>
  <c r="W751" i="7" s="1"/>
  <c r="R757" i="7"/>
  <c r="Q761" i="7"/>
  <c r="X761" i="7" s="1"/>
  <c r="O763" i="7"/>
  <c r="Z763" i="7" s="1"/>
  <c r="Q764" i="7"/>
  <c r="X764" i="7" s="1"/>
  <c r="K766" i="7"/>
  <c r="T766" i="7" s="1"/>
  <c r="S775" i="7"/>
  <c r="K781" i="7"/>
  <c r="T781" i="7" s="1"/>
  <c r="AC781" i="7" s="1"/>
  <c r="Q784" i="7"/>
  <c r="X784" i="7" s="1"/>
  <c r="Q783" i="7"/>
  <c r="X783" i="7" s="1"/>
  <c r="K787" i="7"/>
  <c r="T787" i="7" s="1"/>
  <c r="R796" i="7"/>
  <c r="Y796" i="7" s="1"/>
  <c r="K800" i="7"/>
  <c r="T800" i="7" s="1"/>
  <c r="AC800" i="7" s="1"/>
  <c r="Q816" i="7"/>
  <c r="X816" i="7" s="1"/>
  <c r="Q815" i="7"/>
  <c r="X815" i="7" s="1"/>
  <c r="K822" i="7"/>
  <c r="T822" i="7" s="1"/>
  <c r="R687" i="7"/>
  <c r="K689" i="7"/>
  <c r="T689" i="7" s="1"/>
  <c r="R694" i="7"/>
  <c r="S697" i="7"/>
  <c r="Y697" i="7" s="1"/>
  <c r="AC697" i="7" s="1"/>
  <c r="P700" i="7"/>
  <c r="AA700" i="7" s="1"/>
  <c r="K701" i="7"/>
  <c r="T701" i="7" s="1"/>
  <c r="P705" i="7"/>
  <c r="AA705" i="7" s="1"/>
  <c r="L707" i="7"/>
  <c r="U707" i="7" s="1"/>
  <c r="S707" i="7"/>
  <c r="Y707" i="7" s="1"/>
  <c r="AC707" i="7" s="1"/>
  <c r="N711" i="7"/>
  <c r="W711" i="7" s="1"/>
  <c r="Q720" i="7"/>
  <c r="X720" i="7" s="1"/>
  <c r="M721" i="7"/>
  <c r="V721" i="7" s="1"/>
  <c r="L724" i="7"/>
  <c r="U724" i="7" s="1"/>
  <c r="Q734" i="7"/>
  <c r="X734" i="7" s="1"/>
  <c r="L735" i="7"/>
  <c r="U735" i="7" s="1"/>
  <c r="N737" i="7"/>
  <c r="W737" i="7" s="1"/>
  <c r="O745" i="7"/>
  <c r="Z745" i="7" s="1"/>
  <c r="N754" i="7"/>
  <c r="W754" i="7" s="1"/>
  <c r="Q755" i="7"/>
  <c r="X755" i="7" s="1"/>
  <c r="K763" i="7"/>
  <c r="T763" i="7" s="1"/>
  <c r="R764" i="7"/>
  <c r="K769" i="7"/>
  <c r="T769" i="7" s="1"/>
  <c r="Q782" i="7"/>
  <c r="X782" i="7" s="1"/>
  <c r="Q788" i="7"/>
  <c r="X788" i="7" s="1"/>
  <c r="L794" i="7"/>
  <c r="U794" i="7" s="1"/>
  <c r="Y804" i="7"/>
  <c r="R830" i="7"/>
  <c r="Y830" i="7" s="1"/>
  <c r="R831" i="7"/>
  <c r="Y831" i="7" s="1"/>
  <c r="P841" i="7"/>
  <c r="AA841" i="7" s="1"/>
  <c r="P842" i="7"/>
  <c r="AA842" i="7" s="1"/>
  <c r="Q851" i="7"/>
  <c r="X851" i="7" s="1"/>
  <c r="Q852" i="7"/>
  <c r="X852" i="7" s="1"/>
  <c r="N895" i="7"/>
  <c r="W895" i="7" s="1"/>
  <c r="N896" i="7"/>
  <c r="W896" i="7" s="1"/>
  <c r="P679" i="7"/>
  <c r="AA679" i="7" s="1"/>
  <c r="P681" i="7"/>
  <c r="AA681" i="7" s="1"/>
  <c r="P683" i="7"/>
  <c r="AA683" i="7" s="1"/>
  <c r="P685" i="7"/>
  <c r="AA685" i="7" s="1"/>
  <c r="K686" i="7"/>
  <c r="T686" i="7" s="1"/>
  <c r="S688" i="7"/>
  <c r="L690" i="7"/>
  <c r="U690" i="7" s="1"/>
  <c r="S694" i="7"/>
  <c r="L697" i="7"/>
  <c r="U697" i="7" s="1"/>
  <c r="Q700" i="7"/>
  <c r="X700" i="7" s="1"/>
  <c r="L702" i="7"/>
  <c r="U702" i="7" s="1"/>
  <c r="S702" i="7"/>
  <c r="Q705" i="7"/>
  <c r="X705" i="7" s="1"/>
  <c r="P708" i="7"/>
  <c r="AA708" i="7" s="1"/>
  <c r="K709" i="7"/>
  <c r="T709" i="7" s="1"/>
  <c r="Q718" i="7"/>
  <c r="X718" i="7" s="1"/>
  <c r="Q739" i="7"/>
  <c r="X739" i="7" s="1"/>
  <c r="L740" i="7"/>
  <c r="U740" i="7" s="1"/>
  <c r="N742" i="7"/>
  <c r="W742" i="7" s="1"/>
  <c r="R753" i="7"/>
  <c r="Y753" i="7" s="1"/>
  <c r="R756" i="7"/>
  <c r="M756" i="7"/>
  <c r="V756" i="7" s="1"/>
  <c r="P762" i="7"/>
  <c r="AA762" i="7" s="1"/>
  <c r="S764" i="7"/>
  <c r="M766" i="7"/>
  <c r="V766" i="7" s="1"/>
  <c r="P768" i="7"/>
  <c r="AA768" i="7" s="1"/>
  <c r="R772" i="7"/>
  <c r="P773" i="7"/>
  <c r="AA773" i="7" s="1"/>
  <c r="Y782" i="7"/>
  <c r="Q792" i="7"/>
  <c r="X792" i="7" s="1"/>
  <c r="L795" i="7"/>
  <c r="U795" i="7" s="1"/>
  <c r="K796" i="7"/>
  <c r="T796" i="7" s="1"/>
  <c r="Y827" i="7"/>
  <c r="Q841" i="7"/>
  <c r="X841" i="7" s="1"/>
  <c r="Q840" i="7"/>
  <c r="X840" i="7" s="1"/>
  <c r="R881" i="7"/>
  <c r="Q679" i="7"/>
  <c r="X679" i="7" s="1"/>
  <c r="Q681" i="7"/>
  <c r="X681" i="7" s="1"/>
  <c r="Q683" i="7"/>
  <c r="X683" i="7" s="1"/>
  <c r="K684" i="7"/>
  <c r="T684" i="7" s="1"/>
  <c r="Q685" i="7"/>
  <c r="X685" i="7" s="1"/>
  <c r="L687" i="7"/>
  <c r="U687" i="7" s="1"/>
  <c r="Q688" i="7"/>
  <c r="X688" i="7" s="1"/>
  <c r="S691" i="7"/>
  <c r="Y691" i="7" s="1"/>
  <c r="L694" i="7"/>
  <c r="U694" i="7" s="1"/>
  <c r="P698" i="7"/>
  <c r="AA698" i="7" s="1"/>
  <c r="K699" i="7"/>
  <c r="T699" i="7" s="1"/>
  <c r="R705" i="7"/>
  <c r="L710" i="7"/>
  <c r="U710" i="7" s="1"/>
  <c r="P712" i="7"/>
  <c r="AA712" i="7" s="1"/>
  <c r="Q714" i="7"/>
  <c r="X714" i="7" s="1"/>
  <c r="Q716" i="7"/>
  <c r="X716" i="7" s="1"/>
  <c r="N724" i="7"/>
  <c r="W724" i="7" s="1"/>
  <c r="Q729" i="7"/>
  <c r="X729" i="7" s="1"/>
  <c r="Q732" i="7"/>
  <c r="X732" i="7" s="1"/>
  <c r="L733" i="7"/>
  <c r="U733" i="7" s="1"/>
  <c r="N735" i="7"/>
  <c r="W735" i="7" s="1"/>
  <c r="L746" i="7"/>
  <c r="U746" i="7" s="1"/>
  <c r="K755" i="7"/>
  <c r="T755" i="7" s="1"/>
  <c r="M763" i="7"/>
  <c r="V763" i="7" s="1"/>
  <c r="Q765" i="7"/>
  <c r="X765" i="7" s="1"/>
  <c r="Q768" i="7"/>
  <c r="X768" i="7" s="1"/>
  <c r="M769" i="7"/>
  <c r="V769" i="7" s="1"/>
  <c r="K770" i="7"/>
  <c r="T770" i="7" s="1"/>
  <c r="Q773" i="7"/>
  <c r="X773" i="7" s="1"/>
  <c r="O774" i="7"/>
  <c r="Z774" i="7" s="1"/>
  <c r="M775" i="7"/>
  <c r="V775" i="7" s="1"/>
  <c r="K782" i="7"/>
  <c r="T782" i="7" s="1"/>
  <c r="K783" i="7"/>
  <c r="T783" i="7" s="1"/>
  <c r="N786" i="7"/>
  <c r="W786" i="7" s="1"/>
  <c r="S792" i="7"/>
  <c r="S791" i="7"/>
  <c r="R792" i="7"/>
  <c r="M795" i="7"/>
  <c r="V795" i="7" s="1"/>
  <c r="M796" i="7"/>
  <c r="V796" i="7" s="1"/>
  <c r="P797" i="7"/>
  <c r="AA797" i="7" s="1"/>
  <c r="Q798" i="7"/>
  <c r="X798" i="7" s="1"/>
  <c r="Q799" i="7"/>
  <c r="X799" i="7" s="1"/>
  <c r="O809" i="7"/>
  <c r="Z809" i="7" s="1"/>
  <c r="O808" i="7"/>
  <c r="Z808" i="7" s="1"/>
  <c r="Y817" i="7"/>
  <c r="Q839" i="7"/>
  <c r="X839" i="7" s="1"/>
  <c r="R840" i="7"/>
  <c r="Y840" i="7" s="1"/>
  <c r="AC840" i="7" s="1"/>
  <c r="R841" i="7"/>
  <c r="Y841" i="7" s="1"/>
  <c r="Y851" i="7"/>
  <c r="S881" i="7"/>
  <c r="P675" i="7"/>
  <c r="AA675" i="7" s="1"/>
  <c r="R677" i="7"/>
  <c r="Y677" i="7" s="1"/>
  <c r="R683" i="7"/>
  <c r="Y683" i="7" s="1"/>
  <c r="AC683" i="7" s="1"/>
  <c r="R685" i="7"/>
  <c r="K690" i="7"/>
  <c r="T690" i="7" s="1"/>
  <c r="P692" i="7"/>
  <c r="AA692" i="7" s="1"/>
  <c r="Q695" i="7"/>
  <c r="X695" i="7" s="1"/>
  <c r="Q698" i="7"/>
  <c r="X698" i="7" s="1"/>
  <c r="L700" i="7"/>
  <c r="U700" i="7" s="1"/>
  <c r="S700" i="7"/>
  <c r="P703" i="7"/>
  <c r="AA703" i="7" s="1"/>
  <c r="L705" i="7"/>
  <c r="U705" i="7" s="1"/>
  <c r="S705" i="7"/>
  <c r="N719" i="7"/>
  <c r="W719" i="7" s="1"/>
  <c r="N727" i="7"/>
  <c r="W727" i="7" s="1"/>
  <c r="N730" i="7"/>
  <c r="W730" i="7" s="1"/>
  <c r="Q737" i="7"/>
  <c r="X737" i="7" s="1"/>
  <c r="L738" i="7"/>
  <c r="U738" i="7" s="1"/>
  <c r="N740" i="7"/>
  <c r="W740" i="7" s="1"/>
  <c r="R745" i="7"/>
  <c r="M747" i="7"/>
  <c r="V747" i="7" s="1"/>
  <c r="R750" i="7"/>
  <c r="M751" i="7"/>
  <c r="V751" i="7" s="1"/>
  <c r="R758" i="7"/>
  <c r="R762" i="7"/>
  <c r="R765" i="7"/>
  <c r="K767" i="7"/>
  <c r="T767" i="7" s="1"/>
  <c r="R768" i="7"/>
  <c r="R773" i="7"/>
  <c r="Y773" i="7" s="1"/>
  <c r="R780" i="7"/>
  <c r="Y780" i="7" s="1"/>
  <c r="O781" i="7"/>
  <c r="Z781" i="7" s="1"/>
  <c r="Q797" i="7"/>
  <c r="X797" i="7" s="1"/>
  <c r="O801" i="7"/>
  <c r="Z801" i="7" s="1"/>
  <c r="O800" i="7"/>
  <c r="Z800" i="7" s="1"/>
  <c r="K829" i="7"/>
  <c r="T829" i="7" s="1"/>
  <c r="K830" i="7"/>
  <c r="T830" i="7" s="1"/>
  <c r="P843" i="7"/>
  <c r="AA843" i="7" s="1"/>
  <c r="P844" i="7"/>
  <c r="AA844" i="7" s="1"/>
  <c r="Q865" i="7"/>
  <c r="X865" i="7" s="1"/>
  <c r="S689" i="7"/>
  <c r="L691" i="7"/>
  <c r="U691" i="7" s="1"/>
  <c r="Y758" i="7"/>
  <c r="O770" i="7"/>
  <c r="Z770" i="7" s="1"/>
  <c r="R784" i="7"/>
  <c r="Y784" i="7" s="1"/>
  <c r="AC784" i="7" s="1"/>
  <c r="O793" i="7"/>
  <c r="Z793" i="7" s="1"/>
  <c r="S797" i="7"/>
  <c r="K805" i="7"/>
  <c r="T805" i="7" s="1"/>
  <c r="K806" i="7"/>
  <c r="T806" i="7" s="1"/>
  <c r="P811" i="7"/>
  <c r="AA811" i="7" s="1"/>
  <c r="P812" i="7"/>
  <c r="AA812" i="7" s="1"/>
  <c r="AC812" i="7" s="1"/>
  <c r="S818" i="7"/>
  <c r="Y818" i="7" s="1"/>
  <c r="Y843" i="7"/>
  <c r="Y852" i="7"/>
  <c r="Q876" i="7"/>
  <c r="X876" i="7" s="1"/>
  <c r="Q877" i="7"/>
  <c r="X877" i="7" s="1"/>
  <c r="M908" i="7"/>
  <c r="V908" i="7" s="1"/>
  <c r="P821" i="7"/>
  <c r="AA821" i="7" s="1"/>
  <c r="S833" i="7"/>
  <c r="Y833" i="7" s="1"/>
  <c r="Q854" i="7"/>
  <c r="X854" i="7" s="1"/>
  <c r="K859" i="7"/>
  <c r="T859" i="7" s="1"/>
  <c r="L866" i="7"/>
  <c r="U866" i="7" s="1"/>
  <c r="L871" i="7"/>
  <c r="U871" i="7" s="1"/>
  <c r="L875" i="7"/>
  <c r="U875" i="7" s="1"/>
  <c r="P884" i="7"/>
  <c r="AA884" i="7" s="1"/>
  <c r="Y800" i="7"/>
  <c r="Q806" i="7"/>
  <c r="X806" i="7" s="1"/>
  <c r="Q807" i="7"/>
  <c r="X807" i="7" s="1"/>
  <c r="M810" i="7"/>
  <c r="V810" i="7" s="1"/>
  <c r="O817" i="7"/>
  <c r="Z817" i="7" s="1"/>
  <c r="O832" i="7"/>
  <c r="Z832" i="7" s="1"/>
  <c r="O834" i="7"/>
  <c r="Z834" i="7" s="1"/>
  <c r="Y844" i="7"/>
  <c r="M854" i="7"/>
  <c r="V854" i="7" s="1"/>
  <c r="AC854" i="7" s="1"/>
  <c r="O865" i="7"/>
  <c r="Z865" i="7" s="1"/>
  <c r="K871" i="7"/>
  <c r="T871" i="7" s="1"/>
  <c r="K872" i="7"/>
  <c r="T872" i="7" s="1"/>
  <c r="Q873" i="7"/>
  <c r="X873" i="7" s="1"/>
  <c r="O874" i="7"/>
  <c r="Z874" i="7" s="1"/>
  <c r="S892" i="7"/>
  <c r="Y892" i="7" s="1"/>
  <c r="S899" i="7"/>
  <c r="N907" i="7"/>
  <c r="W907" i="7" s="1"/>
  <c r="R856" i="7"/>
  <c r="P865" i="7"/>
  <c r="AA865" i="7" s="1"/>
  <c r="M866" i="7"/>
  <c r="V866" i="7" s="1"/>
  <c r="Q869" i="7"/>
  <c r="X869" i="7" s="1"/>
  <c r="P874" i="7"/>
  <c r="AA874" i="7" s="1"/>
  <c r="N901" i="7"/>
  <c r="W901" i="7" s="1"/>
  <c r="O779" i="7"/>
  <c r="Z779" i="7" s="1"/>
  <c r="M782" i="7"/>
  <c r="V782" i="7" s="1"/>
  <c r="K785" i="7"/>
  <c r="T785" i="7" s="1"/>
  <c r="N787" i="7"/>
  <c r="W787" i="7" s="1"/>
  <c r="R789" i="7"/>
  <c r="Y789" i="7" s="1"/>
  <c r="N799" i="7"/>
  <c r="W799" i="7" s="1"/>
  <c r="M804" i="7"/>
  <c r="V804" i="7" s="1"/>
  <c r="N805" i="7"/>
  <c r="W805" i="7" s="1"/>
  <c r="L812" i="7"/>
  <c r="U812" i="7" s="1"/>
  <c r="K817" i="7"/>
  <c r="T817" i="7" s="1"/>
  <c r="AC817" i="7" s="1"/>
  <c r="O820" i="7"/>
  <c r="Z820" i="7" s="1"/>
  <c r="L826" i="7"/>
  <c r="U826" i="7" s="1"/>
  <c r="P829" i="7"/>
  <c r="AA829" i="7" s="1"/>
  <c r="Q832" i="7"/>
  <c r="X832" i="7" s="1"/>
  <c r="R834" i="7"/>
  <c r="S842" i="7"/>
  <c r="Y842" i="7" s="1"/>
  <c r="L850" i="7"/>
  <c r="U850" i="7" s="1"/>
  <c r="O855" i="7"/>
  <c r="Z855" i="7" s="1"/>
  <c r="O854" i="7"/>
  <c r="Z854" i="7" s="1"/>
  <c r="P858" i="7"/>
  <c r="AA858" i="7" s="1"/>
  <c r="M872" i="7"/>
  <c r="V872" i="7" s="1"/>
  <c r="M878" i="7"/>
  <c r="V878" i="7" s="1"/>
  <c r="Q884" i="7"/>
  <c r="X884" i="7" s="1"/>
  <c r="L897" i="7"/>
  <c r="U897" i="7" s="1"/>
  <c r="P904" i="7"/>
  <c r="AA904" i="7" s="1"/>
  <c r="P907" i="7"/>
  <c r="AA907" i="7" s="1"/>
  <c r="P908" i="7"/>
  <c r="AA908" i="7" s="1"/>
  <c r="L909" i="7"/>
  <c r="U909" i="7" s="1"/>
  <c r="P779" i="7"/>
  <c r="AA779" i="7" s="1"/>
  <c r="M780" i="7"/>
  <c r="V780" i="7" s="1"/>
  <c r="O787" i="7"/>
  <c r="Z787" i="7" s="1"/>
  <c r="K788" i="7"/>
  <c r="T788" i="7" s="1"/>
  <c r="P803" i="7"/>
  <c r="AA803" i="7" s="1"/>
  <c r="N807" i="7"/>
  <c r="W807" i="7" s="1"/>
  <c r="AC807" i="7" s="1"/>
  <c r="K810" i="7"/>
  <c r="T810" i="7" s="1"/>
  <c r="R811" i="7"/>
  <c r="R816" i="7"/>
  <c r="Y816" i="7" s="1"/>
  <c r="L817" i="7"/>
  <c r="U817" i="7" s="1"/>
  <c r="N819" i="7"/>
  <c r="W819" i="7" s="1"/>
  <c r="M822" i="7"/>
  <c r="V822" i="7" s="1"/>
  <c r="M826" i="7"/>
  <c r="V826" i="7" s="1"/>
  <c r="Q830" i="7"/>
  <c r="X830" i="7" s="1"/>
  <c r="R832" i="7"/>
  <c r="Y832" i="7" s="1"/>
  <c r="L834" i="7"/>
  <c r="U834" i="7" s="1"/>
  <c r="N836" i="7"/>
  <c r="W836" i="7" s="1"/>
  <c r="M842" i="7"/>
  <c r="V842" i="7" s="1"/>
  <c r="O843" i="7"/>
  <c r="Z843" i="7" s="1"/>
  <c r="N847" i="7"/>
  <c r="W847" i="7" s="1"/>
  <c r="P848" i="7"/>
  <c r="AA848" i="7" s="1"/>
  <c r="P852" i="7"/>
  <c r="AA852" i="7" s="1"/>
  <c r="R857" i="7"/>
  <c r="P862" i="7"/>
  <c r="AA862" i="7" s="1"/>
  <c r="O866" i="7"/>
  <c r="Z866" i="7" s="1"/>
  <c r="O877" i="7"/>
  <c r="Z877" i="7" s="1"/>
  <c r="K880" i="7"/>
  <c r="T880" i="7" s="1"/>
  <c r="M886" i="7"/>
  <c r="V886" i="7" s="1"/>
  <c r="M885" i="7"/>
  <c r="V885" i="7" s="1"/>
  <c r="Y894" i="7"/>
  <c r="Q907" i="7"/>
  <c r="X907" i="7" s="1"/>
  <c r="K776" i="7"/>
  <c r="T776" i="7" s="1"/>
  <c r="O782" i="7"/>
  <c r="Z782" i="7" s="1"/>
  <c r="L791" i="7"/>
  <c r="U791" i="7" s="1"/>
  <c r="P804" i="7"/>
  <c r="AA804" i="7" s="1"/>
  <c r="L810" i="7"/>
  <c r="U810" i="7" s="1"/>
  <c r="K815" i="7"/>
  <c r="T815" i="7" s="1"/>
  <c r="N822" i="7"/>
  <c r="W822" i="7" s="1"/>
  <c r="Q824" i="7"/>
  <c r="X824" i="7" s="1"/>
  <c r="R825" i="7"/>
  <c r="Y825" i="7" s="1"/>
  <c r="R828" i="7"/>
  <c r="Y828" i="7" s="1"/>
  <c r="L830" i="7"/>
  <c r="U830" i="7" s="1"/>
  <c r="N832" i="7"/>
  <c r="W832" i="7" s="1"/>
  <c r="N842" i="7"/>
  <c r="W842" i="7" s="1"/>
  <c r="N850" i="7"/>
  <c r="W850" i="7" s="1"/>
  <c r="O859" i="7"/>
  <c r="Z859" i="7" s="1"/>
  <c r="Q861" i="7"/>
  <c r="X861" i="7" s="1"/>
  <c r="M863" i="7"/>
  <c r="V863" i="7" s="1"/>
  <c r="K869" i="7"/>
  <c r="T869" i="7" s="1"/>
  <c r="Q870" i="7"/>
  <c r="X870" i="7" s="1"/>
  <c r="O875" i="7"/>
  <c r="Z875" i="7" s="1"/>
  <c r="K878" i="7"/>
  <c r="T878" i="7" s="1"/>
  <c r="R879" i="7"/>
  <c r="Y879" i="7" s="1"/>
  <c r="AC879" i="7" s="1"/>
  <c r="P891" i="7"/>
  <c r="AA891" i="7" s="1"/>
  <c r="P890" i="7"/>
  <c r="AA890" i="7" s="1"/>
  <c r="P896" i="7"/>
  <c r="AA896" i="7" s="1"/>
  <c r="S906" i="7"/>
  <c r="S908" i="7"/>
  <c r="Y908" i="7" s="1"/>
  <c r="O909" i="7"/>
  <c r="Z909" i="7" s="1"/>
  <c r="N911" i="7"/>
  <c r="W911" i="7" s="1"/>
  <c r="R797" i="7"/>
  <c r="R801" i="7"/>
  <c r="L802" i="7"/>
  <c r="U802" i="7" s="1"/>
  <c r="R803" i="7"/>
  <c r="Y803" i="7" s="1"/>
  <c r="L804" i="7"/>
  <c r="U804" i="7" s="1"/>
  <c r="K809" i="7"/>
  <c r="T809" i="7" s="1"/>
  <c r="R814" i="7"/>
  <c r="Y814" i="7" s="1"/>
  <c r="L815" i="7"/>
  <c r="U815" i="7" s="1"/>
  <c r="N817" i="7"/>
  <c r="W817" i="7" s="1"/>
  <c r="L820" i="7"/>
  <c r="U820" i="7" s="1"/>
  <c r="K823" i="7"/>
  <c r="T823" i="7" s="1"/>
  <c r="O827" i="7"/>
  <c r="Z827" i="7" s="1"/>
  <c r="P836" i="7"/>
  <c r="AA836" i="7" s="1"/>
  <c r="L840" i="7"/>
  <c r="U840" i="7" s="1"/>
  <c r="L848" i="7"/>
  <c r="U848" i="7" s="1"/>
  <c r="S849" i="7"/>
  <c r="Y849" i="7" s="1"/>
  <c r="R862" i="7"/>
  <c r="Y862" i="7" s="1"/>
  <c r="N863" i="7"/>
  <c r="W863" i="7" s="1"/>
  <c r="P875" i="7"/>
  <c r="AA875" i="7" s="1"/>
  <c r="M880" i="7"/>
  <c r="V880" i="7" s="1"/>
  <c r="M883" i="7"/>
  <c r="V883" i="7" s="1"/>
  <c r="P888" i="7"/>
  <c r="AA888" i="7" s="1"/>
  <c r="S909" i="7"/>
  <c r="Y909" i="7" s="1"/>
  <c r="O911" i="7"/>
  <c r="Z911" i="7" s="1"/>
  <c r="K777" i="7"/>
  <c r="T777" i="7" s="1"/>
  <c r="O785" i="7"/>
  <c r="Z785" i="7" s="1"/>
  <c r="N791" i="7"/>
  <c r="W791" i="7" s="1"/>
  <c r="R793" i="7"/>
  <c r="Y793" i="7" s="1"/>
  <c r="M798" i="7"/>
  <c r="V798" i="7" s="1"/>
  <c r="R799" i="7"/>
  <c r="Y799" i="7" s="1"/>
  <c r="L800" i="7"/>
  <c r="U800" i="7" s="1"/>
  <c r="S801" i="7"/>
  <c r="R805" i="7"/>
  <c r="Y805" i="7" s="1"/>
  <c r="K807" i="7"/>
  <c r="T807" i="7" s="1"/>
  <c r="N810" i="7"/>
  <c r="W810" i="7" s="1"/>
  <c r="K813" i="7"/>
  <c r="T813" i="7" s="1"/>
  <c r="K818" i="7"/>
  <c r="T818" i="7" s="1"/>
  <c r="S821" i="7"/>
  <c r="Y821" i="7" s="1"/>
  <c r="L823" i="7"/>
  <c r="U823" i="7" s="1"/>
  <c r="P826" i="7"/>
  <c r="AA826" i="7" s="1"/>
  <c r="L827" i="7"/>
  <c r="U827" i="7" s="1"/>
  <c r="M837" i="7"/>
  <c r="V837" i="7" s="1"/>
  <c r="P838" i="7"/>
  <c r="AA838" i="7" s="1"/>
  <c r="M840" i="7"/>
  <c r="V840" i="7" s="1"/>
  <c r="Q847" i="7"/>
  <c r="X847" i="7" s="1"/>
  <c r="M848" i="7"/>
  <c r="V848" i="7" s="1"/>
  <c r="N853" i="7"/>
  <c r="W853" i="7" s="1"/>
  <c r="N855" i="7"/>
  <c r="W855" i="7" s="1"/>
  <c r="Q859" i="7"/>
  <c r="X859" i="7" s="1"/>
  <c r="N860" i="7"/>
  <c r="W860" i="7" s="1"/>
  <c r="K861" i="7"/>
  <c r="T861" i="7" s="1"/>
  <c r="R866" i="7"/>
  <c r="M869" i="7"/>
  <c r="V869" i="7" s="1"/>
  <c r="N880" i="7"/>
  <c r="W880" i="7" s="1"/>
  <c r="R882" i="7"/>
  <c r="P897" i="7"/>
  <c r="AA897" i="7" s="1"/>
  <c r="P898" i="7"/>
  <c r="AA898" i="7" s="1"/>
  <c r="M899" i="7"/>
  <c r="V899" i="7" s="1"/>
  <c r="P900" i="7"/>
  <c r="AA900" i="7" s="1"/>
  <c r="L905" i="7"/>
  <c r="U905" i="7" s="1"/>
  <c r="N796" i="7"/>
  <c r="W796" i="7" s="1"/>
  <c r="M800" i="7"/>
  <c r="V800" i="7" s="1"/>
  <c r="N802" i="7"/>
  <c r="W802" i="7" s="1"/>
  <c r="N804" i="7"/>
  <c r="W804" i="7" s="1"/>
  <c r="R807" i="7"/>
  <c r="Y807" i="7" s="1"/>
  <c r="N815" i="7"/>
  <c r="W815" i="7" s="1"/>
  <c r="L818" i="7"/>
  <c r="U818" i="7" s="1"/>
  <c r="R819" i="7"/>
  <c r="Y819" i="7" s="1"/>
  <c r="N820" i="7"/>
  <c r="W820" i="7" s="1"/>
  <c r="M823" i="7"/>
  <c r="V823" i="7" s="1"/>
  <c r="L825" i="7"/>
  <c r="U825" i="7" s="1"/>
  <c r="M827" i="7"/>
  <c r="V827" i="7" s="1"/>
  <c r="N837" i="7"/>
  <c r="W837" i="7" s="1"/>
  <c r="O845" i="7"/>
  <c r="Z845" i="7" s="1"/>
  <c r="N848" i="7"/>
  <c r="W848" i="7" s="1"/>
  <c r="R859" i="7"/>
  <c r="O860" i="7"/>
  <c r="Z860" i="7" s="1"/>
  <c r="M864" i="7"/>
  <c r="V864" i="7" s="1"/>
  <c r="O872" i="7"/>
  <c r="Z872" i="7" s="1"/>
  <c r="Q874" i="7"/>
  <c r="X874" i="7" s="1"/>
  <c r="Q885" i="7"/>
  <c r="X885" i="7" s="1"/>
  <c r="N892" i="7"/>
  <c r="W892" i="7" s="1"/>
  <c r="Y896" i="7"/>
  <c r="S900" i="7"/>
  <c r="Y900" i="7" s="1"/>
  <c r="Y911" i="7"/>
  <c r="M792" i="7"/>
  <c r="V792" i="7" s="1"/>
  <c r="L805" i="7"/>
  <c r="U805" i="7" s="1"/>
  <c r="R822" i="7"/>
  <c r="Y822" i="7" s="1"/>
  <c r="L838" i="7"/>
  <c r="U838" i="7" s="1"/>
  <c r="M861" i="7"/>
  <c r="V861" i="7" s="1"/>
  <c r="Q863" i="7"/>
  <c r="X863" i="7" s="1"/>
  <c r="K865" i="7"/>
  <c r="T865" i="7" s="1"/>
  <c r="Q867" i="7"/>
  <c r="X867" i="7" s="1"/>
  <c r="N890" i="7"/>
  <c r="W890" i="7" s="1"/>
  <c r="R902" i="7"/>
  <c r="Y902" i="7" s="1"/>
  <c r="K909" i="7"/>
  <c r="T909" i="7" s="1"/>
  <c r="K908" i="7"/>
  <c r="T908" i="7" s="1"/>
  <c r="N909" i="7"/>
  <c r="W909" i="7" s="1"/>
  <c r="R910" i="7"/>
  <c r="L807" i="7"/>
  <c r="U807" i="7" s="1"/>
  <c r="L809" i="7"/>
  <c r="U809" i="7" s="1"/>
  <c r="AC809" i="7" s="1"/>
  <c r="R809" i="7"/>
  <c r="Y809" i="7" s="1"/>
  <c r="N812" i="7"/>
  <c r="W812" i="7" s="1"/>
  <c r="K819" i="7"/>
  <c r="T819" i="7" s="1"/>
  <c r="R820" i="7"/>
  <c r="L821" i="7"/>
  <c r="U821" i="7" s="1"/>
  <c r="O823" i="7"/>
  <c r="Z823" i="7" s="1"/>
  <c r="N824" i="7"/>
  <c r="W824" i="7" s="1"/>
  <c r="N827" i="7"/>
  <c r="W827" i="7" s="1"/>
  <c r="N834" i="7"/>
  <c r="W834" i="7" s="1"/>
  <c r="N839" i="7"/>
  <c r="W839" i="7" s="1"/>
  <c r="L842" i="7"/>
  <c r="U842" i="7" s="1"/>
  <c r="N844" i="7"/>
  <c r="W844" i="7" s="1"/>
  <c r="AC844" i="7" s="1"/>
  <c r="K857" i="7"/>
  <c r="T857" i="7" s="1"/>
  <c r="N865" i="7"/>
  <c r="W865" i="7" s="1"/>
  <c r="N868" i="7"/>
  <c r="W868" i="7" s="1"/>
  <c r="N871" i="7"/>
  <c r="W871" i="7" s="1"/>
  <c r="N874" i="7"/>
  <c r="W874" i="7" s="1"/>
  <c r="P877" i="7"/>
  <c r="AA877" i="7" s="1"/>
  <c r="P880" i="7"/>
  <c r="AA880" i="7" s="1"/>
  <c r="K888" i="7"/>
  <c r="T888" i="7" s="1"/>
  <c r="O890" i="7"/>
  <c r="Z890" i="7" s="1"/>
  <c r="S893" i="7"/>
  <c r="Y893" i="7" s="1"/>
  <c r="O901" i="7"/>
  <c r="Z901" i="7" s="1"/>
  <c r="E8" i="9"/>
  <c r="O1145" i="15"/>
  <c r="O1151" i="15"/>
  <c r="O1157" i="15"/>
  <c r="O1163" i="15"/>
  <c r="O1169" i="15"/>
  <c r="O1175" i="15"/>
  <c r="O1181" i="15"/>
  <c r="O1187" i="15"/>
  <c r="O1193" i="15"/>
  <c r="O1199" i="15"/>
  <c r="O1205" i="15"/>
  <c r="O1211" i="15"/>
  <c r="O1217" i="15"/>
  <c r="O1223" i="15"/>
  <c r="O1229" i="15"/>
  <c r="O1235" i="15"/>
  <c r="O1241" i="15"/>
  <c r="O1247" i="15"/>
  <c r="Q901" i="7"/>
  <c r="X901" i="7" s="1"/>
  <c r="K906" i="7"/>
  <c r="T906" i="7" s="1"/>
  <c r="E4" i="9"/>
  <c r="L31" i="15"/>
  <c r="P876" i="7"/>
  <c r="AA876" i="7" s="1"/>
  <c r="P879" i="7"/>
  <c r="AA879" i="7" s="1"/>
  <c r="S882" i="7"/>
  <c r="L885" i="7"/>
  <c r="U885" i="7" s="1"/>
  <c r="K893" i="7"/>
  <c r="T893" i="7" s="1"/>
  <c r="S895" i="7"/>
  <c r="Y895" i="7" s="1"/>
  <c r="Y901" i="7"/>
  <c r="L27" i="15"/>
  <c r="M858" i="7"/>
  <c r="V858" i="7" s="1"/>
  <c r="R860" i="7"/>
  <c r="P866" i="7"/>
  <c r="AA866" i="7" s="1"/>
  <c r="P869" i="7"/>
  <c r="AA869" i="7" s="1"/>
  <c r="P872" i="7"/>
  <c r="AA872" i="7" s="1"/>
  <c r="N878" i="7"/>
  <c r="W878" i="7" s="1"/>
  <c r="K890" i="7"/>
  <c r="T890" i="7" s="1"/>
  <c r="M893" i="7"/>
  <c r="V893" i="7" s="1"/>
  <c r="E6" i="9"/>
  <c r="L30" i="15"/>
  <c r="O980" i="15"/>
  <c r="P910" i="7"/>
  <c r="AA910" i="7" s="1"/>
  <c r="L26" i="15"/>
  <c r="C59" i="15"/>
  <c r="C61" i="15" s="1"/>
  <c r="AK253" i="7"/>
  <c r="AK252" i="7"/>
  <c r="AK251" i="7"/>
  <c r="AK250" i="7"/>
  <c r="AK249" i="7"/>
  <c r="AK248" i="7"/>
  <c r="AK247" i="7"/>
  <c r="AK246" i="7"/>
  <c r="AK245" i="7"/>
  <c r="AK244" i="7"/>
  <c r="AK243" i="7"/>
  <c r="AK242" i="7"/>
  <c r="AK241" i="7"/>
  <c r="AK240" i="7"/>
  <c r="AK239" i="7"/>
  <c r="AK238" i="7"/>
  <c r="AK237" i="7"/>
  <c r="AK236" i="7"/>
  <c r="AK235" i="7"/>
  <c r="AK234" i="7"/>
  <c r="AK233" i="7"/>
  <c r="AK232" i="7"/>
  <c r="AK231" i="7"/>
  <c r="AK230" i="7"/>
  <c r="AJ253" i="7"/>
  <c r="AJ252" i="7"/>
  <c r="AJ251" i="7"/>
  <c r="AJ250" i="7"/>
  <c r="AJ249" i="7"/>
  <c r="AJ248" i="7"/>
  <c r="AJ247" i="7"/>
  <c r="AJ246" i="7"/>
  <c r="AJ245" i="7"/>
  <c r="AJ244" i="7"/>
  <c r="AJ243" i="7"/>
  <c r="AJ242" i="7"/>
  <c r="AJ241" i="7"/>
  <c r="AJ240" i="7"/>
  <c r="AJ239" i="7"/>
  <c r="AJ238" i="7"/>
  <c r="AJ237" i="7"/>
  <c r="AJ236" i="7"/>
  <c r="AJ235" i="7"/>
  <c r="AJ234" i="7"/>
  <c r="AJ233" i="7"/>
  <c r="AJ232" i="7"/>
  <c r="AK228" i="7"/>
  <c r="AK224" i="7"/>
  <c r="AK220" i="7"/>
  <c r="AK217" i="7"/>
  <c r="AJ212" i="7"/>
  <c r="AJ228" i="7"/>
  <c r="AJ224" i="7"/>
  <c r="AJ220" i="7"/>
  <c r="AJ217" i="7"/>
  <c r="AK214" i="7"/>
  <c r="AJ214" i="7"/>
  <c r="AK227" i="7"/>
  <c r="AK223" i="7"/>
  <c r="AJ227" i="7"/>
  <c r="AJ223" i="7"/>
  <c r="AK219" i="7"/>
  <c r="AK216" i="7"/>
  <c r="AK211" i="7"/>
  <c r="AJ219" i="7"/>
  <c r="AJ216" i="7"/>
  <c r="AJ211" i="7"/>
  <c r="AK226" i="7"/>
  <c r="AK222" i="7"/>
  <c r="AK213" i="7"/>
  <c r="AJ231" i="7"/>
  <c r="AJ226" i="7"/>
  <c r="AJ222" i="7"/>
  <c r="AJ213" i="7"/>
  <c r="AK209" i="7"/>
  <c r="AK208" i="7"/>
  <c r="AK207" i="7"/>
  <c r="AK206" i="7"/>
  <c r="AK205" i="7"/>
  <c r="AK204" i="7"/>
  <c r="AK203" i="7"/>
  <c r="AK202" i="7"/>
  <c r="AK201" i="7"/>
  <c r="AK200" i="7"/>
  <c r="AK199" i="7"/>
  <c r="AK198" i="7"/>
  <c r="AK197" i="7"/>
  <c r="AK196" i="7"/>
  <c r="AK195" i="7"/>
  <c r="AK194" i="7"/>
  <c r="AK193" i="7"/>
  <c r="AK192" i="7"/>
  <c r="AK191" i="7"/>
  <c r="AK190" i="7"/>
  <c r="AK189" i="7"/>
  <c r="AK188" i="7"/>
  <c r="AK187" i="7"/>
  <c r="AK186" i="7"/>
  <c r="AJ230" i="7"/>
  <c r="AK218" i="7"/>
  <c r="AK215" i="7"/>
  <c r="AJ209" i="7"/>
  <c r="AJ208" i="7"/>
  <c r="AJ207" i="7"/>
  <c r="AJ206" i="7"/>
  <c r="AJ205" i="7"/>
  <c r="AJ204" i="7"/>
  <c r="AJ203" i="7"/>
  <c r="AJ202" i="7"/>
  <c r="AJ201" i="7"/>
  <c r="AJ200" i="7"/>
  <c r="AJ199" i="7"/>
  <c r="AJ198" i="7"/>
  <c r="AJ197" i="7"/>
  <c r="AJ196" i="7"/>
  <c r="AJ195" i="7"/>
  <c r="AJ194" i="7"/>
  <c r="AJ193" i="7"/>
  <c r="AJ192" i="7"/>
  <c r="AJ191" i="7"/>
  <c r="AJ190" i="7"/>
  <c r="AJ189" i="7"/>
  <c r="AJ188" i="7"/>
  <c r="AJ187" i="7"/>
  <c r="AJ186" i="7"/>
  <c r="AJ185" i="7"/>
  <c r="AJ184" i="7"/>
  <c r="AJ183" i="7"/>
  <c r="AJ182" i="7"/>
  <c r="AJ181" i="7"/>
  <c r="AJ180" i="7"/>
  <c r="AJ179" i="7"/>
  <c r="AJ178" i="7"/>
  <c r="AJ177" i="7"/>
  <c r="AJ176" i="7"/>
  <c r="AJ175" i="7"/>
  <c r="AJ174" i="7"/>
  <c r="AJ173" i="7"/>
  <c r="AJ172" i="7"/>
  <c r="AK212" i="7"/>
  <c r="AK185" i="7"/>
  <c r="AK181" i="7"/>
  <c r="AJ171" i="7"/>
  <c r="AJ168" i="7"/>
  <c r="AJ165" i="7"/>
  <c r="AJ162" i="7"/>
  <c r="AK157" i="7"/>
  <c r="AK156" i="7"/>
  <c r="AK155" i="7"/>
  <c r="AK154" i="7"/>
  <c r="AK153" i="7"/>
  <c r="AK152" i="7"/>
  <c r="AK151" i="7"/>
  <c r="AK150" i="7"/>
  <c r="AK149" i="7"/>
  <c r="AK148" i="7"/>
  <c r="AK147" i="7"/>
  <c r="AK146" i="7"/>
  <c r="AK145" i="7"/>
  <c r="AK144" i="7"/>
  <c r="AK143" i="7"/>
  <c r="AK142" i="7"/>
  <c r="AK141" i="7"/>
  <c r="AK140" i="7"/>
  <c r="AK139" i="7"/>
  <c r="AK138" i="7"/>
  <c r="AK137" i="7"/>
  <c r="AK136" i="7"/>
  <c r="AK135" i="7"/>
  <c r="AK134" i="7"/>
  <c r="AK133" i="7"/>
  <c r="AK132" i="7"/>
  <c r="AK131" i="7"/>
  <c r="AK130" i="7"/>
  <c r="AK129" i="7"/>
  <c r="AK128" i="7"/>
  <c r="AK127" i="7"/>
  <c r="AK126" i="7"/>
  <c r="AK125" i="7"/>
  <c r="AK124" i="7"/>
  <c r="AK123" i="7"/>
  <c r="AK122" i="7"/>
  <c r="AK121" i="7"/>
  <c r="AK120" i="7"/>
  <c r="AK119" i="7"/>
  <c r="AK118" i="7"/>
  <c r="AK117" i="7"/>
  <c r="AK116" i="7"/>
  <c r="AK115" i="7"/>
  <c r="AK114" i="7"/>
  <c r="AK113" i="7"/>
  <c r="AK112" i="7"/>
  <c r="AK111" i="7"/>
  <c r="AK221" i="7"/>
  <c r="AK158" i="7"/>
  <c r="AJ157" i="7"/>
  <c r="AJ156" i="7"/>
  <c r="AJ155" i="7"/>
  <c r="AJ154" i="7"/>
  <c r="AJ153" i="7"/>
  <c r="AJ152" i="7"/>
  <c r="AJ151" i="7"/>
  <c r="AJ150" i="7"/>
  <c r="AJ149" i="7"/>
  <c r="AJ148" i="7"/>
  <c r="AJ147" i="7"/>
  <c r="AJ146" i="7"/>
  <c r="AJ145" i="7"/>
  <c r="AJ144" i="7"/>
  <c r="AJ143" i="7"/>
  <c r="AJ142" i="7"/>
  <c r="AJ141" i="7"/>
  <c r="AJ140" i="7"/>
  <c r="AJ139" i="7"/>
  <c r="AJ138" i="7"/>
  <c r="AJ137" i="7"/>
  <c r="AJ136" i="7"/>
  <c r="AJ135" i="7"/>
  <c r="AJ134" i="7"/>
  <c r="AJ133" i="7"/>
  <c r="AJ132" i="7"/>
  <c r="AJ131" i="7"/>
  <c r="AJ130" i="7"/>
  <c r="AJ129" i="7"/>
  <c r="AJ128" i="7"/>
  <c r="AJ127" i="7"/>
  <c r="AJ126" i="7"/>
  <c r="AJ125" i="7"/>
  <c r="AJ124" i="7"/>
  <c r="AJ123" i="7"/>
  <c r="AJ122" i="7"/>
  <c r="AJ121" i="7"/>
  <c r="AJ120" i="7"/>
  <c r="AJ119" i="7"/>
  <c r="AJ118" i="7"/>
  <c r="AJ117" i="7"/>
  <c r="AJ116" i="7"/>
  <c r="AJ115" i="7"/>
  <c r="AJ221" i="7"/>
  <c r="AK210" i="7"/>
  <c r="AK182" i="7"/>
  <c r="AK170" i="7"/>
  <c r="AK167" i="7"/>
  <c r="AK164" i="7"/>
  <c r="AK161" i="7"/>
  <c r="AJ158" i="7"/>
  <c r="AK229" i="7"/>
  <c r="AJ210" i="7"/>
  <c r="AJ170" i="7"/>
  <c r="AJ167" i="7"/>
  <c r="AJ164" i="7"/>
  <c r="AJ161" i="7"/>
  <c r="AK159" i="7"/>
  <c r="AJ229" i="7"/>
  <c r="AJ159" i="7"/>
  <c r="AK183" i="7"/>
  <c r="AK169" i="7"/>
  <c r="AK166" i="7"/>
  <c r="AK163" i="7"/>
  <c r="AK160" i="7"/>
  <c r="AK225" i="7"/>
  <c r="AK184" i="7"/>
  <c r="AK180" i="7"/>
  <c r="AK179" i="7"/>
  <c r="AK178" i="7"/>
  <c r="AK177" i="7"/>
  <c r="AK176" i="7"/>
  <c r="AK175" i="7"/>
  <c r="AK174" i="7"/>
  <c r="AK173" i="7"/>
  <c r="AK172" i="7"/>
  <c r="AJ215" i="7"/>
  <c r="AK171" i="7"/>
  <c r="AK168" i="7"/>
  <c r="AK165" i="7"/>
  <c r="AK162" i="7"/>
  <c r="AK107" i="7"/>
  <c r="AK103" i="7"/>
  <c r="AJ107" i="7"/>
  <c r="AJ103" i="7"/>
  <c r="AJ225" i="7"/>
  <c r="AJ169" i="7"/>
  <c r="AK99" i="7"/>
  <c r="AK106" i="7"/>
  <c r="AK102" i="7"/>
  <c r="AJ99" i="7"/>
  <c r="AJ166" i="7"/>
  <c r="AJ111" i="7"/>
  <c r="AJ106" i="7"/>
  <c r="AJ102" i="7"/>
  <c r="AJ112" i="7"/>
  <c r="AK110" i="7"/>
  <c r="AJ218" i="7"/>
  <c r="AJ163" i="7"/>
  <c r="AJ160" i="7"/>
  <c r="AJ113" i="7"/>
  <c r="AJ110" i="7"/>
  <c r="AK105" i="7"/>
  <c r="AK101" i="7"/>
  <c r="AK98" i="7"/>
  <c r="AK96" i="7"/>
  <c r="AK95" i="7"/>
  <c r="AK94" i="7"/>
  <c r="AK93" i="7"/>
  <c r="AK92" i="7"/>
  <c r="AK91" i="7"/>
  <c r="AK90" i="7"/>
  <c r="AK89" i="7"/>
  <c r="AK88" i="7"/>
  <c r="AK87" i="7"/>
  <c r="AK86" i="7"/>
  <c r="AK85" i="7"/>
  <c r="AK84" i="7"/>
  <c r="AK83" i="7"/>
  <c r="AK82" i="7"/>
  <c r="AK81" i="7"/>
  <c r="AK80" i="7"/>
  <c r="AK79" i="7"/>
  <c r="AK78" i="7"/>
  <c r="AK77" i="7"/>
  <c r="AK76" i="7"/>
  <c r="AK75" i="7"/>
  <c r="AK74" i="7"/>
  <c r="AK73" i="7"/>
  <c r="AK72" i="7"/>
  <c r="AK71" i="7"/>
  <c r="AK70" i="7"/>
  <c r="AK69" i="7"/>
  <c r="AK68" i="7"/>
  <c r="AK67" i="7"/>
  <c r="AK66" i="7"/>
  <c r="AK65" i="7"/>
  <c r="AK64" i="7"/>
  <c r="AK63" i="7"/>
  <c r="AK62" i="7"/>
  <c r="AK61" i="7"/>
  <c r="AK60" i="7"/>
  <c r="AK59" i="7"/>
  <c r="AK58" i="7"/>
  <c r="AK57" i="7"/>
  <c r="AK56" i="7"/>
  <c r="AK55" i="7"/>
  <c r="AK54" i="7"/>
  <c r="AK53" i="7"/>
  <c r="AK52" i="7"/>
  <c r="AK51" i="7"/>
  <c r="AK50" i="7"/>
  <c r="AK49" i="7"/>
  <c r="AK48" i="7"/>
  <c r="AK47" i="7"/>
  <c r="AK46" i="7"/>
  <c r="AK45" i="7"/>
  <c r="AK44" i="7"/>
  <c r="AK43" i="7"/>
  <c r="AK42" i="7"/>
  <c r="AK41" i="7"/>
  <c r="AK40" i="7"/>
  <c r="AK39" i="7"/>
  <c r="AK38" i="7"/>
  <c r="AK37" i="7"/>
  <c r="AK36" i="7"/>
  <c r="AK35" i="7"/>
  <c r="AK34" i="7"/>
  <c r="AK33" i="7"/>
  <c r="AK32" i="7"/>
  <c r="AK31" i="7"/>
  <c r="AK30" i="7"/>
  <c r="AJ114" i="7"/>
  <c r="AK109" i="7"/>
  <c r="AJ105" i="7"/>
  <c r="AJ101" i="7"/>
  <c r="AJ98" i="7"/>
  <c r="AJ96" i="7"/>
  <c r="AJ95" i="7"/>
  <c r="AJ94" i="7"/>
  <c r="AJ93" i="7"/>
  <c r="AJ92" i="7"/>
  <c r="AJ91" i="7"/>
  <c r="AJ90" i="7"/>
  <c r="AJ89" i="7"/>
  <c r="AJ88" i="7"/>
  <c r="AJ87" i="7"/>
  <c r="AJ86" i="7"/>
  <c r="AJ85" i="7"/>
  <c r="AJ84" i="7"/>
  <c r="AJ83" i="7"/>
  <c r="AJ82" i="7"/>
  <c r="AJ81" i="7"/>
  <c r="AJ80" i="7"/>
  <c r="AJ79" i="7"/>
  <c r="AJ78" i="7"/>
  <c r="AJ77" i="7"/>
  <c r="AJ76" i="7"/>
  <c r="AJ75" i="7"/>
  <c r="AJ74" i="7"/>
  <c r="AJ73" i="7"/>
  <c r="AJ72" i="7"/>
  <c r="AJ71" i="7"/>
  <c r="AJ70" i="7"/>
  <c r="AJ69" i="7"/>
  <c r="AJ68" i="7"/>
  <c r="AJ67" i="7"/>
  <c r="AJ66" i="7"/>
  <c r="AJ65" i="7"/>
  <c r="AJ64" i="7"/>
  <c r="AJ63" i="7"/>
  <c r="AJ62" i="7"/>
  <c r="AJ61" i="7"/>
  <c r="AJ60" i="7"/>
  <c r="AJ59" i="7"/>
  <c r="AJ58" i="7"/>
  <c r="AJ57" i="7"/>
  <c r="AJ56" i="7"/>
  <c r="AJ55" i="7"/>
  <c r="AJ54" i="7"/>
  <c r="AJ53" i="7"/>
  <c r="AJ52" i="7"/>
  <c r="AJ51" i="7"/>
  <c r="AJ50" i="7"/>
  <c r="AJ49" i="7"/>
  <c r="AJ48" i="7"/>
  <c r="AJ47" i="7"/>
  <c r="AJ46" i="7"/>
  <c r="AJ45" i="7"/>
  <c r="AJ44" i="7"/>
  <c r="AJ43" i="7"/>
  <c r="AJ42" i="7"/>
  <c r="AJ41" i="7"/>
  <c r="AJ40" i="7"/>
  <c r="AJ39" i="7"/>
  <c r="AJ38" i="7"/>
  <c r="AJ37" i="7"/>
  <c r="AJ36" i="7"/>
  <c r="AJ35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J13" i="7"/>
  <c r="AJ12" i="7"/>
  <c r="AJ109" i="7"/>
  <c r="AK108" i="7"/>
  <c r="AK104" i="7"/>
  <c r="AK6" i="7"/>
  <c r="AJ7" i="7"/>
  <c r="Q11" i="7"/>
  <c r="X11" i="7" s="1"/>
  <c r="P12" i="7"/>
  <c r="AA12" i="7" s="1"/>
  <c r="P13" i="7"/>
  <c r="AA13" i="7" s="1"/>
  <c r="P14" i="7"/>
  <c r="AA14" i="7" s="1"/>
  <c r="P15" i="7"/>
  <c r="AA15" i="7" s="1"/>
  <c r="P16" i="7"/>
  <c r="AA16" i="7" s="1"/>
  <c r="P17" i="7"/>
  <c r="AA17" i="7" s="1"/>
  <c r="P18" i="7"/>
  <c r="AA18" i="7" s="1"/>
  <c r="P19" i="7"/>
  <c r="AA19" i="7" s="1"/>
  <c r="P20" i="7"/>
  <c r="AA20" i="7" s="1"/>
  <c r="P21" i="7"/>
  <c r="AA21" i="7" s="1"/>
  <c r="P22" i="7"/>
  <c r="AA22" i="7" s="1"/>
  <c r="P23" i="7"/>
  <c r="AA23" i="7" s="1"/>
  <c r="P24" i="7"/>
  <c r="AA24" i="7" s="1"/>
  <c r="P25" i="7"/>
  <c r="AA25" i="7" s="1"/>
  <c r="P26" i="7"/>
  <c r="AA26" i="7" s="1"/>
  <c r="P27" i="7"/>
  <c r="AA27" i="7" s="1"/>
  <c r="P28" i="7"/>
  <c r="AA28" i="7" s="1"/>
  <c r="AJ97" i="7"/>
  <c r="AJ104" i="7"/>
  <c r="Y3" i="7"/>
  <c r="AC3" i="7" s="1"/>
  <c r="AK7" i="7"/>
  <c r="AJ8" i="7"/>
  <c r="Q12" i="7"/>
  <c r="X12" i="7" s="1"/>
  <c r="Q13" i="7"/>
  <c r="X13" i="7" s="1"/>
  <c r="Q14" i="7"/>
  <c r="X14" i="7" s="1"/>
  <c r="Q15" i="7"/>
  <c r="X15" i="7" s="1"/>
  <c r="Q16" i="7"/>
  <c r="X16" i="7" s="1"/>
  <c r="Q17" i="7"/>
  <c r="X17" i="7" s="1"/>
  <c r="Q18" i="7"/>
  <c r="X18" i="7" s="1"/>
  <c r="Q19" i="7"/>
  <c r="X19" i="7" s="1"/>
  <c r="Q20" i="7"/>
  <c r="X20" i="7" s="1"/>
  <c r="Q21" i="7"/>
  <c r="X21" i="7" s="1"/>
  <c r="AC21" i="7" s="1"/>
  <c r="Q22" i="7"/>
  <c r="X22" i="7" s="1"/>
  <c r="AC22" i="7" s="1"/>
  <c r="Q23" i="7"/>
  <c r="X23" i="7" s="1"/>
  <c r="Q24" i="7"/>
  <c r="X24" i="7" s="1"/>
  <c r="Q25" i="7"/>
  <c r="X25" i="7" s="1"/>
  <c r="Q26" i="7"/>
  <c r="X26" i="7" s="1"/>
  <c r="Q27" i="7"/>
  <c r="X27" i="7" s="1"/>
  <c r="Q28" i="7"/>
  <c r="X28" i="7" s="1"/>
  <c r="AC28" i="7" s="1"/>
  <c r="AK29" i="7"/>
  <c r="Q32" i="7"/>
  <c r="X32" i="7" s="1"/>
  <c r="AC32" i="7" s="1"/>
  <c r="Q35" i="7"/>
  <c r="X35" i="7" s="1"/>
  <c r="Q38" i="7"/>
  <c r="X38" i="7" s="1"/>
  <c r="AC38" i="7" s="1"/>
  <c r="AC40" i="7"/>
  <c r="Q41" i="7"/>
  <c r="X41" i="7" s="1"/>
  <c r="Q44" i="7"/>
  <c r="X44" i="7" s="1"/>
  <c r="AC46" i="7"/>
  <c r="Q47" i="7"/>
  <c r="X47" i="7" s="1"/>
  <c r="AC47" i="7" s="1"/>
  <c r="Q50" i="7"/>
  <c r="X50" i="7" s="1"/>
  <c r="AC52" i="7"/>
  <c r="Q53" i="7"/>
  <c r="X53" i="7" s="1"/>
  <c r="Q56" i="7"/>
  <c r="X56" i="7" s="1"/>
  <c r="AC56" i="7" s="1"/>
  <c r="Q59" i="7"/>
  <c r="X59" i="7" s="1"/>
  <c r="Q62" i="7"/>
  <c r="X62" i="7" s="1"/>
  <c r="AC64" i="7"/>
  <c r="Q65" i="7"/>
  <c r="X65" i="7" s="1"/>
  <c r="P94" i="7"/>
  <c r="AA94" i="7" s="1"/>
  <c r="P97" i="7"/>
  <c r="AA97" i="7" s="1"/>
  <c r="P98" i="7"/>
  <c r="AA98" i="7" s="1"/>
  <c r="AK97" i="7"/>
  <c r="AC4" i="7"/>
  <c r="AK8" i="7"/>
  <c r="AJ9" i="7"/>
  <c r="Q97" i="7"/>
  <c r="X97" i="7" s="1"/>
  <c r="Q98" i="7"/>
  <c r="X98" i="7" s="1"/>
  <c r="AK9" i="7"/>
  <c r="AJ10" i="7"/>
  <c r="AK28" i="7"/>
  <c r="Y66" i="7"/>
  <c r="Y78" i="7"/>
  <c r="Y90" i="7"/>
  <c r="AJ100" i="7"/>
  <c r="N273" i="7"/>
  <c r="W273" i="7" s="1"/>
  <c r="N274" i="7"/>
  <c r="W274" i="7" s="1"/>
  <c r="AK10" i="7"/>
  <c r="AJ11" i="7"/>
  <c r="Y30" i="7"/>
  <c r="Y33" i="7"/>
  <c r="Y36" i="7"/>
  <c r="Y42" i="7"/>
  <c r="Y45" i="7"/>
  <c r="Y48" i="7"/>
  <c r="Y54" i="7"/>
  <c r="Y57" i="7"/>
  <c r="Y60" i="7"/>
  <c r="Y73" i="7"/>
  <c r="AC73" i="7" s="1"/>
  <c r="Y85" i="7"/>
  <c r="Y95" i="7"/>
  <c r="AK100" i="7"/>
  <c r="L101" i="7"/>
  <c r="U101" i="7" s="1"/>
  <c r="P103" i="7"/>
  <c r="AA103" i="7" s="1"/>
  <c r="P102" i="7"/>
  <c r="AA102" i="7" s="1"/>
  <c r="AJ359" i="7"/>
  <c r="AK359" i="7"/>
  <c r="K108" i="7"/>
  <c r="T108" i="7" s="1"/>
  <c r="N117" i="7"/>
  <c r="W117" i="7" s="1"/>
  <c r="N118" i="7"/>
  <c r="W118" i="7" s="1"/>
  <c r="Y8" i="7"/>
  <c r="AC8" i="7" s="1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Y68" i="7"/>
  <c r="AC68" i="7" s="1"/>
  <c r="P69" i="7"/>
  <c r="AA69" i="7" s="1"/>
  <c r="Q74" i="7"/>
  <c r="X74" i="7" s="1"/>
  <c r="Y80" i="7"/>
  <c r="P81" i="7"/>
  <c r="AA81" i="7" s="1"/>
  <c r="Q86" i="7"/>
  <c r="X86" i="7" s="1"/>
  <c r="Y92" i="7"/>
  <c r="AC92" i="7" s="1"/>
  <c r="P93" i="7"/>
  <c r="AA93" i="7" s="1"/>
  <c r="AJ370" i="7"/>
  <c r="AK370" i="7"/>
  <c r="K119" i="7"/>
  <c r="T119" i="7" s="1"/>
  <c r="N122" i="7"/>
  <c r="W122" i="7" s="1"/>
  <c r="N123" i="7"/>
  <c r="W123" i="7" s="1"/>
  <c r="Q10" i="7"/>
  <c r="X10" i="7" s="1"/>
  <c r="Q5" i="7"/>
  <c r="X5" i="7" s="1"/>
  <c r="P6" i="7"/>
  <c r="AA6" i="7" s="1"/>
  <c r="Y9" i="7"/>
  <c r="AC9" i="7" s="1"/>
  <c r="Q69" i="7"/>
  <c r="X69" i="7" s="1"/>
  <c r="Y75" i="7"/>
  <c r="AC75" i="7" s="1"/>
  <c r="P76" i="7"/>
  <c r="AA76" i="7" s="1"/>
  <c r="Q81" i="7"/>
  <c r="X81" i="7" s="1"/>
  <c r="Y87" i="7"/>
  <c r="P88" i="7"/>
  <c r="AA88" i="7" s="1"/>
  <c r="Q93" i="7"/>
  <c r="X93" i="7" s="1"/>
  <c r="Q96" i="7"/>
  <c r="X96" i="7" s="1"/>
  <c r="AC96" i="7" s="1"/>
  <c r="P11" i="7"/>
  <c r="AA11" i="7" s="1"/>
  <c r="Q6" i="7"/>
  <c r="X6" i="7" s="1"/>
  <c r="P7" i="7"/>
  <c r="AA7" i="7" s="1"/>
  <c r="Y10" i="7"/>
  <c r="Y70" i="7"/>
  <c r="P71" i="7"/>
  <c r="AA71" i="7" s="1"/>
  <c r="Q76" i="7"/>
  <c r="X76" i="7" s="1"/>
  <c r="Y82" i="7"/>
  <c r="AC82" i="7" s="1"/>
  <c r="P83" i="7"/>
  <c r="AA83" i="7" s="1"/>
  <c r="Q88" i="7"/>
  <c r="X88" i="7" s="1"/>
  <c r="AJ355" i="7"/>
  <c r="AK355" i="7"/>
  <c r="K104" i="7"/>
  <c r="T104" i="7" s="1"/>
  <c r="N113" i="7"/>
  <c r="W113" i="7" s="1"/>
  <c r="AJ3" i="7"/>
  <c r="P30" i="7"/>
  <c r="AA30" i="7" s="1"/>
  <c r="P33" i="7"/>
  <c r="AA33" i="7" s="1"/>
  <c r="P36" i="7"/>
  <c r="AA36" i="7" s="1"/>
  <c r="P39" i="7"/>
  <c r="AA39" i="7" s="1"/>
  <c r="P42" i="7"/>
  <c r="AA42" i="7" s="1"/>
  <c r="Y44" i="7"/>
  <c r="P45" i="7"/>
  <c r="AA45" i="7" s="1"/>
  <c r="Y47" i="7"/>
  <c r="P48" i="7"/>
  <c r="AA48" i="7" s="1"/>
  <c r="Y50" i="7"/>
  <c r="P51" i="7"/>
  <c r="AA51" i="7" s="1"/>
  <c r="Y53" i="7"/>
  <c r="P54" i="7"/>
  <c r="AA54" i="7" s="1"/>
  <c r="Y56" i="7"/>
  <c r="P57" i="7"/>
  <c r="AA57" i="7" s="1"/>
  <c r="P60" i="7"/>
  <c r="AA60" i="7" s="1"/>
  <c r="Y62" i="7"/>
  <c r="AC62" i="7" s="1"/>
  <c r="P63" i="7"/>
  <c r="AA63" i="7" s="1"/>
  <c r="Y65" i="7"/>
  <c r="P66" i="7"/>
  <c r="AA66" i="7" s="1"/>
  <c r="Q71" i="7"/>
  <c r="X71" i="7" s="1"/>
  <c r="Y77" i="7"/>
  <c r="P78" i="7"/>
  <c r="AA78" i="7" s="1"/>
  <c r="Q83" i="7"/>
  <c r="X83" i="7" s="1"/>
  <c r="AC83" i="7" s="1"/>
  <c r="Y89" i="7"/>
  <c r="P90" i="7"/>
  <c r="AA90" i="7" s="1"/>
  <c r="Y94" i="7"/>
  <c r="AC94" i="7" s="1"/>
  <c r="K109" i="7"/>
  <c r="T109" i="7" s="1"/>
  <c r="AK3" i="7"/>
  <c r="AJ4" i="7"/>
  <c r="Q30" i="7"/>
  <c r="X30" i="7" s="1"/>
  <c r="Q33" i="7"/>
  <c r="X33" i="7" s="1"/>
  <c r="Q36" i="7"/>
  <c r="X36" i="7" s="1"/>
  <c r="AC36" i="7" s="1"/>
  <c r="Q39" i="7"/>
  <c r="X39" i="7" s="1"/>
  <c r="AC39" i="7" s="1"/>
  <c r="Q42" i="7"/>
  <c r="X42" i="7" s="1"/>
  <c r="Q45" i="7"/>
  <c r="X45" i="7" s="1"/>
  <c r="Q48" i="7"/>
  <c r="X48" i="7" s="1"/>
  <c r="AC48" i="7" s="1"/>
  <c r="Q51" i="7"/>
  <c r="X51" i="7" s="1"/>
  <c r="Q54" i="7"/>
  <c r="X54" i="7" s="1"/>
  <c r="Q57" i="7"/>
  <c r="X57" i="7" s="1"/>
  <c r="Q60" i="7"/>
  <c r="X60" i="7" s="1"/>
  <c r="Q63" i="7"/>
  <c r="X63" i="7" s="1"/>
  <c r="Q66" i="7"/>
  <c r="X66" i="7" s="1"/>
  <c r="Y72" i="7"/>
  <c r="AC72" i="7" s="1"/>
  <c r="P73" i="7"/>
  <c r="AA73" i="7" s="1"/>
  <c r="Q78" i="7"/>
  <c r="X78" i="7" s="1"/>
  <c r="Y84" i="7"/>
  <c r="P85" i="7"/>
  <c r="AA85" i="7" s="1"/>
  <c r="AC89" i="7"/>
  <c r="Q90" i="7"/>
  <c r="X90" i="7" s="1"/>
  <c r="P95" i="7"/>
  <c r="AA95" i="7" s="1"/>
  <c r="AJ108" i="7"/>
  <c r="AC111" i="7"/>
  <c r="N101" i="7"/>
  <c r="W101" i="7" s="1"/>
  <c r="Y103" i="7"/>
  <c r="AC103" i="7" s="1"/>
  <c r="L105" i="7"/>
  <c r="U105" i="7" s="1"/>
  <c r="Y107" i="7"/>
  <c r="L109" i="7"/>
  <c r="U109" i="7" s="1"/>
  <c r="AJ367" i="7"/>
  <c r="AK367" i="7"/>
  <c r="K116" i="7"/>
  <c r="T116" i="7" s="1"/>
  <c r="AD2" i="7"/>
  <c r="AK349" i="7"/>
  <c r="AJ349" i="7"/>
  <c r="O98" i="7"/>
  <c r="Z98" i="7" s="1"/>
  <c r="Y100" i="7"/>
  <c r="AC100" i="7" s="1"/>
  <c r="AJ352" i="7"/>
  <c r="AK352" i="7"/>
  <c r="M104" i="7"/>
  <c r="V104" i="7" s="1"/>
  <c r="M108" i="7"/>
  <c r="V108" i="7" s="1"/>
  <c r="AJ372" i="7"/>
  <c r="AK372" i="7"/>
  <c r="K121" i="7"/>
  <c r="T121" i="7" s="1"/>
  <c r="AJ356" i="7"/>
  <c r="AK356" i="7"/>
  <c r="K106" i="7"/>
  <c r="T106" i="7" s="1"/>
  <c r="AJ360" i="7"/>
  <c r="AK360" i="7"/>
  <c r="L127" i="7"/>
  <c r="U127" i="7" s="1"/>
  <c r="N129" i="7"/>
  <c r="W129" i="7" s="1"/>
  <c r="L139" i="7"/>
  <c r="U139" i="7" s="1"/>
  <c r="N141" i="7"/>
  <c r="W141" i="7" s="1"/>
  <c r="L151" i="7"/>
  <c r="U151" i="7" s="1"/>
  <c r="N153" i="7"/>
  <c r="W153" i="7" s="1"/>
  <c r="O161" i="7"/>
  <c r="Z161" i="7" s="1"/>
  <c r="O160" i="7"/>
  <c r="Z160" i="7" s="1"/>
  <c r="M101" i="7"/>
  <c r="V101" i="7" s="1"/>
  <c r="N114" i="7"/>
  <c r="W114" i="7" s="1"/>
  <c r="AJ374" i="7"/>
  <c r="AK374" i="7"/>
  <c r="K123" i="7"/>
  <c r="T123" i="7" s="1"/>
  <c r="L132" i="7"/>
  <c r="U132" i="7" s="1"/>
  <c r="N134" i="7"/>
  <c r="W134" i="7" s="1"/>
  <c r="L144" i="7"/>
  <c r="U144" i="7" s="1"/>
  <c r="N146" i="7"/>
  <c r="W146" i="7" s="1"/>
  <c r="L156" i="7"/>
  <c r="U156" i="7" s="1"/>
  <c r="N158" i="7"/>
  <c r="W158" i="7" s="1"/>
  <c r="R98" i="7"/>
  <c r="M105" i="7"/>
  <c r="V105" i="7" s="1"/>
  <c r="M109" i="7"/>
  <c r="V109" i="7" s="1"/>
  <c r="AJ361" i="7"/>
  <c r="AK361" i="7"/>
  <c r="AJ366" i="7"/>
  <c r="AK366" i="7"/>
  <c r="K115" i="7"/>
  <c r="T115" i="7" s="1"/>
  <c r="AJ369" i="7"/>
  <c r="AK369" i="7"/>
  <c r="K118" i="7"/>
  <c r="T118" i="7" s="1"/>
  <c r="L123" i="7"/>
  <c r="U123" i="7" s="1"/>
  <c r="L125" i="7"/>
  <c r="U125" i="7" s="1"/>
  <c r="N127" i="7"/>
  <c r="W127" i="7" s="1"/>
  <c r="L137" i="7"/>
  <c r="U137" i="7" s="1"/>
  <c r="N139" i="7"/>
  <c r="W139" i="7" s="1"/>
  <c r="L149" i="7"/>
  <c r="U149" i="7" s="1"/>
  <c r="N151" i="7"/>
  <c r="W151" i="7" s="1"/>
  <c r="S243" i="7"/>
  <c r="Y243" i="7" s="1"/>
  <c r="S244" i="7"/>
  <c r="Y244" i="7" s="1"/>
  <c r="AK254" i="7"/>
  <c r="AJ254" i="7"/>
  <c r="AK255" i="7"/>
  <c r="AJ255" i="7"/>
  <c r="AK256" i="7"/>
  <c r="AJ256" i="7"/>
  <c r="AK257" i="7"/>
  <c r="AJ257" i="7"/>
  <c r="AK258" i="7"/>
  <c r="AJ258" i="7"/>
  <c r="AK259" i="7"/>
  <c r="AJ259" i="7"/>
  <c r="AK260" i="7"/>
  <c r="AJ260" i="7"/>
  <c r="AK261" i="7"/>
  <c r="AJ261" i="7"/>
  <c r="AK262" i="7"/>
  <c r="AJ262" i="7"/>
  <c r="AK263" i="7"/>
  <c r="AJ263" i="7"/>
  <c r="AK264" i="7"/>
  <c r="AJ264" i="7"/>
  <c r="AK265" i="7"/>
  <c r="AJ265" i="7"/>
  <c r="AK266" i="7"/>
  <c r="AJ266" i="7"/>
  <c r="AK267" i="7"/>
  <c r="AJ267" i="7"/>
  <c r="AK268" i="7"/>
  <c r="AJ268" i="7"/>
  <c r="AK269" i="7"/>
  <c r="AJ269" i="7"/>
  <c r="AK270" i="7"/>
  <c r="AJ270" i="7"/>
  <c r="AK271" i="7"/>
  <c r="AJ271" i="7"/>
  <c r="AK272" i="7"/>
  <c r="AJ272" i="7"/>
  <c r="AK273" i="7"/>
  <c r="AJ273" i="7"/>
  <c r="AK274" i="7"/>
  <c r="AJ274" i="7"/>
  <c r="AK275" i="7"/>
  <c r="AJ275" i="7"/>
  <c r="AK276" i="7"/>
  <c r="AJ276" i="7"/>
  <c r="AJ277" i="7"/>
  <c r="AK278" i="7"/>
  <c r="AJ278" i="7"/>
  <c r="AJ279" i="7"/>
  <c r="AK279" i="7"/>
  <c r="AK280" i="7"/>
  <c r="AJ280" i="7"/>
  <c r="AK281" i="7"/>
  <c r="AJ281" i="7"/>
  <c r="AJ282" i="7"/>
  <c r="AK282" i="7"/>
  <c r="AK283" i="7"/>
  <c r="AJ283" i="7"/>
  <c r="AK284" i="7"/>
  <c r="AJ284" i="7"/>
  <c r="AJ285" i="7"/>
  <c r="AK285" i="7"/>
  <c r="AK286" i="7"/>
  <c r="AJ286" i="7"/>
  <c r="AK287" i="7"/>
  <c r="AJ287" i="7"/>
  <c r="AJ288" i="7"/>
  <c r="AK288" i="7"/>
  <c r="AK289" i="7"/>
  <c r="AJ289" i="7"/>
  <c r="AK290" i="7"/>
  <c r="AJ290" i="7"/>
  <c r="AJ291" i="7"/>
  <c r="AK291" i="7"/>
  <c r="AK292" i="7"/>
  <c r="AJ292" i="7"/>
  <c r="AK293" i="7"/>
  <c r="AJ293" i="7"/>
  <c r="AJ294" i="7"/>
  <c r="AK294" i="7"/>
  <c r="AJ295" i="7"/>
  <c r="AK295" i="7"/>
  <c r="AJ296" i="7"/>
  <c r="AK296" i="7"/>
  <c r="AJ297" i="7"/>
  <c r="AK297" i="7"/>
  <c r="AJ298" i="7"/>
  <c r="AK298" i="7"/>
  <c r="AJ299" i="7"/>
  <c r="AK299" i="7"/>
  <c r="AJ300" i="7"/>
  <c r="AK300" i="7"/>
  <c r="AJ301" i="7"/>
  <c r="AK301" i="7"/>
  <c r="AK302" i="7"/>
  <c r="AJ302" i="7"/>
  <c r="AK303" i="7"/>
  <c r="AJ303" i="7"/>
  <c r="AK304" i="7"/>
  <c r="AJ304" i="7"/>
  <c r="AK305" i="7"/>
  <c r="AJ305" i="7"/>
  <c r="AK306" i="7"/>
  <c r="AJ306" i="7"/>
  <c r="AK307" i="7"/>
  <c r="AJ307" i="7"/>
  <c r="AK308" i="7"/>
  <c r="AJ308" i="7"/>
  <c r="AK309" i="7"/>
  <c r="AJ309" i="7"/>
  <c r="AK310" i="7"/>
  <c r="AJ310" i="7"/>
  <c r="AK311" i="7"/>
  <c r="AJ311" i="7"/>
  <c r="AK312" i="7"/>
  <c r="AJ312" i="7"/>
  <c r="AK313" i="7"/>
  <c r="AJ313" i="7"/>
  <c r="AK314" i="7"/>
  <c r="AJ314" i="7"/>
  <c r="AK315" i="7"/>
  <c r="AJ315" i="7"/>
  <c r="AK316" i="7"/>
  <c r="AJ316" i="7"/>
  <c r="AK317" i="7"/>
  <c r="AJ317" i="7"/>
  <c r="AK318" i="7"/>
  <c r="AJ318" i="7"/>
  <c r="AK319" i="7"/>
  <c r="AJ319" i="7"/>
  <c r="AK320" i="7"/>
  <c r="AJ320" i="7"/>
  <c r="AK321" i="7"/>
  <c r="AJ321" i="7"/>
  <c r="AK322" i="7"/>
  <c r="AJ322" i="7"/>
  <c r="AK323" i="7"/>
  <c r="AJ323" i="7"/>
  <c r="AK324" i="7"/>
  <c r="AJ324" i="7"/>
  <c r="AK325" i="7"/>
  <c r="AJ325" i="7"/>
  <c r="AK326" i="7"/>
  <c r="AJ326" i="7"/>
  <c r="AK327" i="7"/>
  <c r="AJ327" i="7"/>
  <c r="AK328" i="7"/>
  <c r="AJ328" i="7"/>
  <c r="AK329" i="7"/>
  <c r="AJ329" i="7"/>
  <c r="AK330" i="7"/>
  <c r="AJ330" i="7"/>
  <c r="AK331" i="7"/>
  <c r="AJ331" i="7"/>
  <c r="AK332" i="7"/>
  <c r="AJ332" i="7"/>
  <c r="AK333" i="7"/>
  <c r="AJ333" i="7"/>
  <c r="AJ334" i="7"/>
  <c r="AK334" i="7"/>
  <c r="AK335" i="7"/>
  <c r="AJ335" i="7"/>
  <c r="AK336" i="7"/>
  <c r="AJ336" i="7"/>
  <c r="AK337" i="7"/>
  <c r="AJ337" i="7"/>
  <c r="AK338" i="7"/>
  <c r="AJ338" i="7"/>
  <c r="AK339" i="7"/>
  <c r="AJ339" i="7"/>
  <c r="AJ340" i="7"/>
  <c r="AK340" i="7"/>
  <c r="AK341" i="7"/>
  <c r="AJ341" i="7"/>
  <c r="AK342" i="7"/>
  <c r="AJ342" i="7"/>
  <c r="AK343" i="7"/>
  <c r="AJ343" i="7"/>
  <c r="AK344" i="7"/>
  <c r="AJ344" i="7"/>
  <c r="AK345" i="7"/>
  <c r="AJ345" i="7"/>
  <c r="AK346" i="7"/>
  <c r="AJ346" i="7"/>
  <c r="AK347" i="7"/>
  <c r="AJ347" i="7"/>
  <c r="AK348" i="7"/>
  <c r="AJ348" i="7"/>
  <c r="Y98" i="7"/>
  <c r="AJ350" i="7"/>
  <c r="AK350" i="7"/>
  <c r="O99" i="7"/>
  <c r="Z99" i="7" s="1"/>
  <c r="Y101" i="7"/>
  <c r="AJ353" i="7"/>
  <c r="AK353" i="7"/>
  <c r="AJ357" i="7"/>
  <c r="AK357" i="7"/>
  <c r="AJ365" i="7"/>
  <c r="AK365" i="7"/>
  <c r="L115" i="7"/>
  <c r="U115" i="7" s="1"/>
  <c r="L118" i="7"/>
  <c r="U118" i="7" s="1"/>
  <c r="L130" i="7"/>
  <c r="U130" i="7" s="1"/>
  <c r="N132" i="7"/>
  <c r="W132" i="7" s="1"/>
  <c r="L142" i="7"/>
  <c r="U142" i="7" s="1"/>
  <c r="N144" i="7"/>
  <c r="W144" i="7" s="1"/>
  <c r="L154" i="7"/>
  <c r="U154" i="7" s="1"/>
  <c r="N156" i="7"/>
  <c r="W156" i="7" s="1"/>
  <c r="AJ362" i="7"/>
  <c r="AK362" i="7"/>
  <c r="AJ364" i="7"/>
  <c r="AK364" i="7"/>
  <c r="AJ371" i="7"/>
  <c r="AK371" i="7"/>
  <c r="K120" i="7"/>
  <c r="T120" i="7" s="1"/>
  <c r="N125" i="7"/>
  <c r="W125" i="7" s="1"/>
  <c r="L135" i="7"/>
  <c r="U135" i="7" s="1"/>
  <c r="N137" i="7"/>
  <c r="W137" i="7" s="1"/>
  <c r="L147" i="7"/>
  <c r="U147" i="7" s="1"/>
  <c r="N149" i="7"/>
  <c r="W149" i="7" s="1"/>
  <c r="L159" i="7"/>
  <c r="U159" i="7" s="1"/>
  <c r="AK277" i="7"/>
  <c r="M99" i="7"/>
  <c r="V99" i="7" s="1"/>
  <c r="M102" i="7"/>
  <c r="V102" i="7" s="1"/>
  <c r="M106" i="7"/>
  <c r="V106" i="7" s="1"/>
  <c r="AJ363" i="7"/>
  <c r="AK363" i="7"/>
  <c r="L113" i="7"/>
  <c r="U113" i="7" s="1"/>
  <c r="L120" i="7"/>
  <c r="U120" i="7" s="1"/>
  <c r="L128" i="7"/>
  <c r="U128" i="7" s="1"/>
  <c r="N130" i="7"/>
  <c r="W130" i="7" s="1"/>
  <c r="L140" i="7"/>
  <c r="U140" i="7" s="1"/>
  <c r="N142" i="7"/>
  <c r="W142" i="7" s="1"/>
  <c r="L152" i="7"/>
  <c r="U152" i="7" s="1"/>
  <c r="N154" i="7"/>
  <c r="W154" i="7" s="1"/>
  <c r="M159" i="7"/>
  <c r="V159" i="7" s="1"/>
  <c r="M160" i="7"/>
  <c r="V160" i="7" s="1"/>
  <c r="AJ354" i="7"/>
  <c r="AK354" i="7"/>
  <c r="AJ358" i="7"/>
  <c r="AK358" i="7"/>
  <c r="AJ368" i="7"/>
  <c r="AK368" i="7"/>
  <c r="K117" i="7"/>
  <c r="T117" i="7" s="1"/>
  <c r="AJ373" i="7"/>
  <c r="AK373" i="7"/>
  <c r="K122" i="7"/>
  <c r="T122" i="7" s="1"/>
  <c r="L133" i="7"/>
  <c r="U133" i="7" s="1"/>
  <c r="N135" i="7"/>
  <c r="W135" i="7" s="1"/>
  <c r="L145" i="7"/>
  <c r="U145" i="7" s="1"/>
  <c r="N147" i="7"/>
  <c r="W147" i="7" s="1"/>
  <c r="L157" i="7"/>
  <c r="U157" i="7" s="1"/>
  <c r="N159" i="7"/>
  <c r="W159" i="7" s="1"/>
  <c r="AJ351" i="7"/>
  <c r="AK351" i="7"/>
  <c r="AJ375" i="7"/>
  <c r="AK375" i="7"/>
  <c r="AJ376" i="7"/>
  <c r="AK376" i="7"/>
  <c r="AJ377" i="7"/>
  <c r="AK377" i="7"/>
  <c r="AJ378" i="7"/>
  <c r="AK378" i="7"/>
  <c r="AJ379" i="7"/>
  <c r="AK379" i="7"/>
  <c r="AJ380" i="7"/>
  <c r="AK380" i="7"/>
  <c r="AJ381" i="7"/>
  <c r="AK381" i="7"/>
  <c r="AJ382" i="7"/>
  <c r="AK382" i="7"/>
  <c r="AJ383" i="7"/>
  <c r="AK383" i="7"/>
  <c r="AJ384" i="7"/>
  <c r="AK384" i="7"/>
  <c r="AJ385" i="7"/>
  <c r="AK385" i="7"/>
  <c r="AJ386" i="7"/>
  <c r="AK386" i="7"/>
  <c r="AJ387" i="7"/>
  <c r="AK387" i="7"/>
  <c r="AJ388" i="7"/>
  <c r="AK388" i="7"/>
  <c r="AJ389" i="7"/>
  <c r="AK389" i="7"/>
  <c r="AJ390" i="7"/>
  <c r="AK390" i="7"/>
  <c r="AJ391" i="7"/>
  <c r="AK391" i="7"/>
  <c r="AK392" i="7"/>
  <c r="AJ392" i="7"/>
  <c r="AK393" i="7"/>
  <c r="AJ393" i="7"/>
  <c r="AK394" i="7"/>
  <c r="AJ394" i="7"/>
  <c r="AJ395" i="7"/>
  <c r="AK395" i="7"/>
  <c r="AK396" i="7"/>
  <c r="AJ396" i="7"/>
  <c r="AK397" i="7"/>
  <c r="AJ397" i="7"/>
  <c r="AK398" i="7"/>
  <c r="AJ398" i="7"/>
  <c r="AK399" i="7"/>
  <c r="AJ399" i="7"/>
  <c r="AK400" i="7"/>
  <c r="AJ400" i="7"/>
  <c r="AJ401" i="7"/>
  <c r="AK401" i="7"/>
  <c r="AJ402" i="7"/>
  <c r="AK402" i="7"/>
  <c r="AK403" i="7"/>
  <c r="AJ403" i="7"/>
  <c r="AJ404" i="7"/>
  <c r="AK404" i="7"/>
  <c r="AK405" i="7"/>
  <c r="AJ405" i="7"/>
  <c r="AK406" i="7"/>
  <c r="AJ406" i="7"/>
  <c r="AK407" i="7"/>
  <c r="AJ407" i="7"/>
  <c r="AK408" i="7"/>
  <c r="AJ408" i="7"/>
  <c r="AK409" i="7"/>
  <c r="AJ409" i="7"/>
  <c r="Q161" i="7"/>
  <c r="X161" i="7" s="1"/>
  <c r="S174" i="7"/>
  <c r="S175" i="7"/>
  <c r="S176" i="7"/>
  <c r="S177" i="7"/>
  <c r="S178" i="7"/>
  <c r="S179" i="7"/>
  <c r="S180" i="7"/>
  <c r="S181" i="7"/>
  <c r="S185" i="7"/>
  <c r="AK414" i="7"/>
  <c r="AJ414" i="7"/>
  <c r="AK417" i="7"/>
  <c r="AJ417" i="7"/>
  <c r="AK420" i="7"/>
  <c r="AJ420" i="7"/>
  <c r="AK423" i="7"/>
  <c r="AJ423" i="7"/>
  <c r="R184" i="7"/>
  <c r="Y184" i="7" s="1"/>
  <c r="AC184" i="7" s="1"/>
  <c r="S190" i="7"/>
  <c r="Y190" i="7" s="1"/>
  <c r="R197" i="7"/>
  <c r="Y197" i="7" s="1"/>
  <c r="S202" i="7"/>
  <c r="Y202" i="7" s="1"/>
  <c r="R209" i="7"/>
  <c r="Y209" i="7" s="1"/>
  <c r="AK480" i="7"/>
  <c r="AJ480" i="7"/>
  <c r="K229" i="7"/>
  <c r="T229" i="7" s="1"/>
  <c r="N277" i="7"/>
  <c r="W277" i="7" s="1"/>
  <c r="N278" i="7"/>
  <c r="W278" i="7" s="1"/>
  <c r="Q162" i="7"/>
  <c r="X162" i="7" s="1"/>
  <c r="Q165" i="7"/>
  <c r="X165" i="7" s="1"/>
  <c r="Q168" i="7"/>
  <c r="X168" i="7" s="1"/>
  <c r="Q171" i="7"/>
  <c r="X171" i="7" s="1"/>
  <c r="K173" i="7"/>
  <c r="T173" i="7" s="1"/>
  <c r="R187" i="7"/>
  <c r="Y187" i="7" s="1"/>
  <c r="AC187" i="7" s="1"/>
  <c r="Y192" i="7"/>
  <c r="AC192" i="7" s="1"/>
  <c r="Y204" i="7"/>
  <c r="AC204" i="7" s="1"/>
  <c r="AK472" i="7"/>
  <c r="AJ472" i="7"/>
  <c r="K221" i="7"/>
  <c r="T221" i="7" s="1"/>
  <c r="S249" i="7"/>
  <c r="S250" i="7"/>
  <c r="Y250" i="7" s="1"/>
  <c r="AC250" i="7" s="1"/>
  <c r="S160" i="7"/>
  <c r="Y160" i="7" s="1"/>
  <c r="R162" i="7"/>
  <c r="R165" i="7"/>
  <c r="R168" i="7"/>
  <c r="R171" i="7"/>
  <c r="R183" i="7"/>
  <c r="Y199" i="7"/>
  <c r="AC199" i="7" s="1"/>
  <c r="AC207" i="7"/>
  <c r="S255" i="7"/>
  <c r="Y255" i="7" s="1"/>
  <c r="S256" i="7"/>
  <c r="Y256" i="7" s="1"/>
  <c r="AK412" i="7"/>
  <c r="AJ412" i="7"/>
  <c r="N161" i="7"/>
  <c r="W161" i="7" s="1"/>
  <c r="S162" i="7"/>
  <c r="AK415" i="7"/>
  <c r="AJ415" i="7"/>
  <c r="S165" i="7"/>
  <c r="Y165" i="7" s="1"/>
  <c r="AK418" i="7"/>
  <c r="AJ418" i="7"/>
  <c r="S168" i="7"/>
  <c r="AK421" i="7"/>
  <c r="AJ421" i="7"/>
  <c r="S171" i="7"/>
  <c r="S183" i="7"/>
  <c r="AC190" i="7"/>
  <c r="S220" i="7"/>
  <c r="Y220" i="7" s="1"/>
  <c r="K230" i="7"/>
  <c r="T230" i="7" s="1"/>
  <c r="S261" i="7"/>
  <c r="S262" i="7"/>
  <c r="Y262" i="7" s="1"/>
  <c r="AC262" i="7" s="1"/>
  <c r="S159" i="7"/>
  <c r="Y159" i="7" s="1"/>
  <c r="L160" i="7"/>
  <c r="U160" i="7" s="1"/>
  <c r="K171" i="7"/>
  <c r="T171" i="7" s="1"/>
  <c r="S189" i="7"/>
  <c r="Y189" i="7" s="1"/>
  <c r="AC189" i="7" s="1"/>
  <c r="R196" i="7"/>
  <c r="S201" i="7"/>
  <c r="Y201" i="7" s="1"/>
  <c r="R208" i="7"/>
  <c r="AK464" i="7"/>
  <c r="AJ464" i="7"/>
  <c r="K213" i="7"/>
  <c r="T213" i="7" s="1"/>
  <c r="K214" i="7"/>
  <c r="T214" i="7" s="1"/>
  <c r="N275" i="7"/>
  <c r="W275" i="7" s="1"/>
  <c r="N276" i="7"/>
  <c r="W276" i="7" s="1"/>
  <c r="K159" i="7"/>
  <c r="T159" i="7" s="1"/>
  <c r="R191" i="7"/>
  <c r="S196" i="7"/>
  <c r="R203" i="7"/>
  <c r="S208" i="7"/>
  <c r="K222" i="7"/>
  <c r="T222" i="7" s="1"/>
  <c r="S235" i="7"/>
  <c r="Y235" i="7" s="1"/>
  <c r="K124" i="7"/>
  <c r="T124" i="7" s="1"/>
  <c r="AC124" i="7" s="1"/>
  <c r="K125" i="7"/>
  <c r="T125" i="7" s="1"/>
  <c r="K126" i="7"/>
  <c r="T126" i="7" s="1"/>
  <c r="AC126" i="7" s="1"/>
  <c r="K127" i="7"/>
  <c r="T127" i="7" s="1"/>
  <c r="K128" i="7"/>
  <c r="T128" i="7" s="1"/>
  <c r="K129" i="7"/>
  <c r="T129" i="7" s="1"/>
  <c r="K130" i="7"/>
  <c r="T130" i="7" s="1"/>
  <c r="K131" i="7"/>
  <c r="T131" i="7" s="1"/>
  <c r="K132" i="7"/>
  <c r="T132" i="7" s="1"/>
  <c r="K133" i="7"/>
  <c r="T133" i="7" s="1"/>
  <c r="K134" i="7"/>
  <c r="T134" i="7" s="1"/>
  <c r="K135" i="7"/>
  <c r="T135" i="7" s="1"/>
  <c r="K136" i="7"/>
  <c r="T136" i="7" s="1"/>
  <c r="K137" i="7"/>
  <c r="T137" i="7" s="1"/>
  <c r="K138" i="7"/>
  <c r="T138" i="7" s="1"/>
  <c r="K139" i="7"/>
  <c r="T139" i="7" s="1"/>
  <c r="K140" i="7"/>
  <c r="T140" i="7" s="1"/>
  <c r="AC140" i="7" s="1"/>
  <c r="K141" i="7"/>
  <c r="T141" i="7" s="1"/>
  <c r="AC141" i="7" s="1"/>
  <c r="K142" i="7"/>
  <c r="T142" i="7" s="1"/>
  <c r="K143" i="7"/>
  <c r="T143" i="7" s="1"/>
  <c r="K144" i="7"/>
  <c r="T144" i="7" s="1"/>
  <c r="K145" i="7"/>
  <c r="T145" i="7" s="1"/>
  <c r="K146" i="7"/>
  <c r="T146" i="7" s="1"/>
  <c r="K147" i="7"/>
  <c r="T147" i="7" s="1"/>
  <c r="K148" i="7"/>
  <c r="T148" i="7" s="1"/>
  <c r="K149" i="7"/>
  <c r="T149" i="7" s="1"/>
  <c r="K150" i="7"/>
  <c r="T150" i="7" s="1"/>
  <c r="AC150" i="7" s="1"/>
  <c r="K151" i="7"/>
  <c r="T151" i="7" s="1"/>
  <c r="K152" i="7"/>
  <c r="T152" i="7" s="1"/>
  <c r="K153" i="7"/>
  <c r="T153" i="7" s="1"/>
  <c r="K154" i="7"/>
  <c r="T154" i="7" s="1"/>
  <c r="K155" i="7"/>
  <c r="T155" i="7" s="1"/>
  <c r="AC155" i="7" s="1"/>
  <c r="K156" i="7"/>
  <c r="T156" i="7" s="1"/>
  <c r="K157" i="7"/>
  <c r="T157" i="7" s="1"/>
  <c r="AC157" i="7" s="1"/>
  <c r="K158" i="7"/>
  <c r="T158" i="7" s="1"/>
  <c r="AK411" i="7"/>
  <c r="AJ411" i="7"/>
  <c r="R163" i="7"/>
  <c r="R166" i="7"/>
  <c r="R169" i="7"/>
  <c r="R172" i="7"/>
  <c r="S182" i="7"/>
  <c r="Y182" i="7" s="1"/>
  <c r="AC182" i="7" s="1"/>
  <c r="S186" i="7"/>
  <c r="S191" i="7"/>
  <c r="R198" i="7"/>
  <c r="S203" i="7"/>
  <c r="R210" i="7"/>
  <c r="AK476" i="7"/>
  <c r="AJ476" i="7"/>
  <c r="K225" i="7"/>
  <c r="T225" i="7" s="1"/>
  <c r="S232" i="7"/>
  <c r="Y232" i="7" s="1"/>
  <c r="N279" i="7"/>
  <c r="W279" i="7" s="1"/>
  <c r="N280" i="7"/>
  <c r="W280" i="7" s="1"/>
  <c r="AK413" i="7"/>
  <c r="AJ413" i="7"/>
  <c r="S163" i="7"/>
  <c r="Y163" i="7" s="1"/>
  <c r="AK416" i="7"/>
  <c r="AJ416" i="7"/>
  <c r="S166" i="7"/>
  <c r="AK419" i="7"/>
  <c r="AJ419" i="7"/>
  <c r="S169" i="7"/>
  <c r="AK422" i="7"/>
  <c r="AJ422" i="7"/>
  <c r="S172" i="7"/>
  <c r="Q173" i="7"/>
  <c r="X173" i="7" s="1"/>
  <c r="Q174" i="7"/>
  <c r="X174" i="7" s="1"/>
  <c r="Q175" i="7"/>
  <c r="X175" i="7" s="1"/>
  <c r="Q176" i="7"/>
  <c r="X176" i="7" s="1"/>
  <c r="Q177" i="7"/>
  <c r="X177" i="7" s="1"/>
  <c r="Q178" i="7"/>
  <c r="X178" i="7" s="1"/>
  <c r="Q179" i="7"/>
  <c r="X179" i="7" s="1"/>
  <c r="Q180" i="7"/>
  <c r="X180" i="7" s="1"/>
  <c r="Q181" i="7"/>
  <c r="X181" i="7" s="1"/>
  <c r="R193" i="7"/>
  <c r="AC194" i="7"/>
  <c r="S198" i="7"/>
  <c r="R205" i="7"/>
  <c r="S210" i="7"/>
  <c r="AD263" i="7"/>
  <c r="AK410" i="7"/>
  <c r="AJ410" i="7"/>
  <c r="K163" i="7"/>
  <c r="T163" i="7" s="1"/>
  <c r="K166" i="7"/>
  <c r="T166" i="7" s="1"/>
  <c r="K169" i="7"/>
  <c r="T169" i="7" s="1"/>
  <c r="K172" i="7"/>
  <c r="T172" i="7" s="1"/>
  <c r="R173" i="7"/>
  <c r="Y173" i="7" s="1"/>
  <c r="R174" i="7"/>
  <c r="R175" i="7"/>
  <c r="R176" i="7"/>
  <c r="R177" i="7"/>
  <c r="R178" i="7"/>
  <c r="R179" i="7"/>
  <c r="R180" i="7"/>
  <c r="R181" i="7"/>
  <c r="R185" i="7"/>
  <c r="R188" i="7"/>
  <c r="Y188" i="7" s="1"/>
  <c r="S193" i="7"/>
  <c r="R200" i="7"/>
  <c r="Y200" i="7" s="1"/>
  <c r="AC200" i="7" s="1"/>
  <c r="S205" i="7"/>
  <c r="Y205" i="7" s="1"/>
  <c r="AC205" i="7" s="1"/>
  <c r="AK469" i="7"/>
  <c r="AJ469" i="7"/>
  <c r="K218" i="7"/>
  <c r="T218" i="7" s="1"/>
  <c r="Y260" i="7"/>
  <c r="AK466" i="7"/>
  <c r="AJ466" i="7"/>
  <c r="Q233" i="7"/>
  <c r="X233" i="7" s="1"/>
  <c r="P242" i="7"/>
  <c r="AA242" i="7" s="1"/>
  <c r="P248" i="7"/>
  <c r="AA248" i="7" s="1"/>
  <c r="P254" i="7"/>
  <c r="AA254" i="7" s="1"/>
  <c r="AC254" i="7" s="1"/>
  <c r="P260" i="7"/>
  <c r="AA260" i="7" s="1"/>
  <c r="P266" i="7"/>
  <c r="AA266" i="7" s="1"/>
  <c r="M211" i="7"/>
  <c r="V211" i="7" s="1"/>
  <c r="Q212" i="7"/>
  <c r="X212" i="7" s="1"/>
  <c r="L216" i="7"/>
  <c r="U216" i="7" s="1"/>
  <c r="S218" i="7"/>
  <c r="S221" i="7"/>
  <c r="Y221" i="7" s="1"/>
  <c r="P224" i="7"/>
  <c r="AA224" i="7" s="1"/>
  <c r="P228" i="7"/>
  <c r="AA228" i="7" s="1"/>
  <c r="Q241" i="7"/>
  <c r="X241" i="7" s="1"/>
  <c r="AC241" i="7" s="1"/>
  <c r="Q247" i="7"/>
  <c r="X247" i="7" s="1"/>
  <c r="Q253" i="7"/>
  <c r="X253" i="7" s="1"/>
  <c r="Q259" i="7"/>
  <c r="X259" i="7" s="1"/>
  <c r="Q265" i="7"/>
  <c r="X265" i="7" s="1"/>
  <c r="N337" i="7"/>
  <c r="W337" i="7" s="1"/>
  <c r="N338" i="7"/>
  <c r="W338" i="7" s="1"/>
  <c r="AK462" i="7"/>
  <c r="AJ462" i="7"/>
  <c r="AK473" i="7"/>
  <c r="AJ473" i="7"/>
  <c r="K223" i="7"/>
  <c r="T223" i="7" s="1"/>
  <c r="Q224" i="7"/>
  <c r="X224" i="7" s="1"/>
  <c r="AK477" i="7"/>
  <c r="AJ477" i="7"/>
  <c r="K227" i="7"/>
  <c r="T227" i="7" s="1"/>
  <c r="Q228" i="7"/>
  <c r="X228" i="7" s="1"/>
  <c r="AC228" i="7" s="1"/>
  <c r="AK481" i="7"/>
  <c r="AJ481" i="7"/>
  <c r="S236" i="7"/>
  <c r="Y236" i="7" s="1"/>
  <c r="S269" i="7"/>
  <c r="Y269" i="7" s="1"/>
  <c r="P271" i="7"/>
  <c r="AA271" i="7" s="1"/>
  <c r="P272" i="7"/>
  <c r="AA272" i="7" s="1"/>
  <c r="AK525" i="7"/>
  <c r="AJ525" i="7"/>
  <c r="K275" i="7"/>
  <c r="T275" i="7" s="1"/>
  <c r="Q275" i="7"/>
  <c r="X275" i="7" s="1"/>
  <c r="Q276" i="7"/>
  <c r="X276" i="7" s="1"/>
  <c r="AK527" i="7"/>
  <c r="AJ527" i="7"/>
  <c r="K277" i="7"/>
  <c r="T277" i="7" s="1"/>
  <c r="Q277" i="7"/>
  <c r="X277" i="7" s="1"/>
  <c r="Q278" i="7"/>
  <c r="X278" i="7" s="1"/>
  <c r="AK529" i="7"/>
  <c r="AJ529" i="7"/>
  <c r="K279" i="7"/>
  <c r="T279" i="7" s="1"/>
  <c r="P215" i="7"/>
  <c r="AA215" i="7" s="1"/>
  <c r="AK467" i="7"/>
  <c r="AJ467" i="7"/>
  <c r="AK470" i="7"/>
  <c r="AJ470" i="7"/>
  <c r="AK482" i="7"/>
  <c r="AJ482" i="7"/>
  <c r="Q271" i="7"/>
  <c r="X271" i="7" s="1"/>
  <c r="Q272" i="7"/>
  <c r="X272" i="7" s="1"/>
  <c r="Q273" i="7"/>
  <c r="X273" i="7" s="1"/>
  <c r="Q274" i="7"/>
  <c r="X274" i="7" s="1"/>
  <c r="AC281" i="7"/>
  <c r="Y299" i="7"/>
  <c r="AK424" i="7"/>
  <c r="AJ424" i="7"/>
  <c r="AK425" i="7"/>
  <c r="AJ425" i="7"/>
  <c r="AK426" i="7"/>
  <c r="AJ426" i="7"/>
  <c r="AK427" i="7"/>
  <c r="AJ427" i="7"/>
  <c r="AK428" i="7"/>
  <c r="AJ428" i="7"/>
  <c r="AK429" i="7"/>
  <c r="AJ429" i="7"/>
  <c r="AK430" i="7"/>
  <c r="AJ430" i="7"/>
  <c r="AK431" i="7"/>
  <c r="AJ431" i="7"/>
  <c r="AK432" i="7"/>
  <c r="AJ432" i="7"/>
  <c r="AK433" i="7"/>
  <c r="AJ433" i="7"/>
  <c r="AK434" i="7"/>
  <c r="AJ434" i="7"/>
  <c r="AK435" i="7"/>
  <c r="AJ435" i="7"/>
  <c r="AK436" i="7"/>
  <c r="AJ436" i="7"/>
  <c r="AK437" i="7"/>
  <c r="AJ437" i="7"/>
  <c r="AK438" i="7"/>
  <c r="AJ438" i="7"/>
  <c r="AK439" i="7"/>
  <c r="AJ439" i="7"/>
  <c r="AK440" i="7"/>
  <c r="AJ440" i="7"/>
  <c r="AK441" i="7"/>
  <c r="AJ441" i="7"/>
  <c r="AK442" i="7"/>
  <c r="AJ442" i="7"/>
  <c r="AK443" i="7"/>
  <c r="AJ443" i="7"/>
  <c r="AK444" i="7"/>
  <c r="AJ444" i="7"/>
  <c r="AK445" i="7"/>
  <c r="AJ445" i="7"/>
  <c r="AK446" i="7"/>
  <c r="AJ446" i="7"/>
  <c r="AK447" i="7"/>
  <c r="AJ447" i="7"/>
  <c r="AK448" i="7"/>
  <c r="AJ448" i="7"/>
  <c r="AK449" i="7"/>
  <c r="AJ449" i="7"/>
  <c r="AK450" i="7"/>
  <c r="AJ450" i="7"/>
  <c r="AK451" i="7"/>
  <c r="AJ451" i="7"/>
  <c r="AK452" i="7"/>
  <c r="AJ452" i="7"/>
  <c r="AK453" i="7"/>
  <c r="AJ453" i="7"/>
  <c r="AK454" i="7"/>
  <c r="AJ454" i="7"/>
  <c r="AK455" i="7"/>
  <c r="AJ455" i="7"/>
  <c r="AK456" i="7"/>
  <c r="AJ456" i="7"/>
  <c r="AK457" i="7"/>
  <c r="AJ457" i="7"/>
  <c r="AK458" i="7"/>
  <c r="AJ458" i="7"/>
  <c r="AK459" i="7"/>
  <c r="AJ459" i="7"/>
  <c r="AK460" i="7"/>
  <c r="AJ460" i="7"/>
  <c r="AK461" i="7"/>
  <c r="AJ461" i="7"/>
  <c r="K212" i="7"/>
  <c r="T212" i="7" s="1"/>
  <c r="Q215" i="7"/>
  <c r="X215" i="7" s="1"/>
  <c r="K217" i="7"/>
  <c r="T217" i="7" s="1"/>
  <c r="P218" i="7"/>
  <c r="AA218" i="7" s="1"/>
  <c r="K220" i="7"/>
  <c r="T220" i="7" s="1"/>
  <c r="P221" i="7"/>
  <c r="AA221" i="7" s="1"/>
  <c r="AK523" i="7"/>
  <c r="AJ523" i="7"/>
  <c r="K273" i="7"/>
  <c r="T273" i="7" s="1"/>
  <c r="P213" i="7"/>
  <c r="AA213" i="7" s="1"/>
  <c r="AK465" i="7"/>
  <c r="AJ465" i="7"/>
  <c r="Q218" i="7"/>
  <c r="X218" i="7" s="1"/>
  <c r="Q221" i="7"/>
  <c r="X221" i="7" s="1"/>
  <c r="AK474" i="7"/>
  <c r="AJ474" i="7"/>
  <c r="Q225" i="7"/>
  <c r="X225" i="7" s="1"/>
  <c r="AK478" i="7"/>
  <c r="AJ478" i="7"/>
  <c r="Q229" i="7"/>
  <c r="X229" i="7" s="1"/>
  <c r="P237" i="7"/>
  <c r="AA237" i="7" s="1"/>
  <c r="Q238" i="7"/>
  <c r="X238" i="7" s="1"/>
  <c r="AC238" i="7" s="1"/>
  <c r="P270" i="7"/>
  <c r="AA270" i="7" s="1"/>
  <c r="AC270" i="7" s="1"/>
  <c r="S271" i="7"/>
  <c r="M283" i="7"/>
  <c r="V283" i="7" s="1"/>
  <c r="S242" i="7"/>
  <c r="Y242" i="7" s="1"/>
  <c r="S248" i="7"/>
  <c r="Y248" i="7" s="1"/>
  <c r="AC248" i="7" s="1"/>
  <c r="AK463" i="7"/>
  <c r="AJ463" i="7"/>
  <c r="K215" i="7"/>
  <c r="T215" i="7" s="1"/>
  <c r="AK468" i="7"/>
  <c r="AJ468" i="7"/>
  <c r="AK471" i="7"/>
  <c r="AJ471" i="7"/>
  <c r="P222" i="7"/>
  <c r="AA222" i="7" s="1"/>
  <c r="P226" i="7"/>
  <c r="AA226" i="7" s="1"/>
  <c r="P230" i="7"/>
  <c r="AA230" i="7" s="1"/>
  <c r="P235" i="7"/>
  <c r="AA235" i="7" s="1"/>
  <c r="Q236" i="7"/>
  <c r="X236" i="7" s="1"/>
  <c r="P268" i="7"/>
  <c r="AA268" i="7" s="1"/>
  <c r="Q269" i="7"/>
  <c r="X269" i="7" s="1"/>
  <c r="AC287" i="7"/>
  <c r="Y294" i="7"/>
  <c r="Q211" i="7"/>
  <c r="X211" i="7" s="1"/>
  <c r="P216" i="7"/>
  <c r="AA216" i="7" s="1"/>
  <c r="P219" i="7"/>
  <c r="AA219" i="7" s="1"/>
  <c r="AK475" i="7"/>
  <c r="AJ475" i="7"/>
  <c r="AK479" i="7"/>
  <c r="AJ479" i="7"/>
  <c r="P243" i="7"/>
  <c r="AA243" i="7" s="1"/>
  <c r="P249" i="7"/>
  <c r="AA249" i="7" s="1"/>
  <c r="P255" i="7"/>
  <c r="AA255" i="7" s="1"/>
  <c r="P261" i="7"/>
  <c r="AA261" i="7" s="1"/>
  <c r="P267" i="7"/>
  <c r="AA267" i="7" s="1"/>
  <c r="R211" i="7"/>
  <c r="Y211" i="7" s="1"/>
  <c r="Q216" i="7"/>
  <c r="X216" i="7" s="1"/>
  <c r="Q219" i="7"/>
  <c r="X219" i="7" s="1"/>
  <c r="Q231" i="7"/>
  <c r="X231" i="7" s="1"/>
  <c r="P232" i="7"/>
  <c r="AA232" i="7" s="1"/>
  <c r="P233" i="7"/>
  <c r="AA233" i="7" s="1"/>
  <c r="Q234" i="7"/>
  <c r="X234" i="7" s="1"/>
  <c r="AC234" i="7" s="1"/>
  <c r="Q243" i="7"/>
  <c r="X243" i="7" s="1"/>
  <c r="AC243" i="7" s="1"/>
  <c r="Q249" i="7"/>
  <c r="X249" i="7" s="1"/>
  <c r="Q255" i="7"/>
  <c r="X255" i="7" s="1"/>
  <c r="AC255" i="7" s="1"/>
  <c r="Q261" i="7"/>
  <c r="X261" i="7" s="1"/>
  <c r="Q267" i="7"/>
  <c r="X267" i="7" s="1"/>
  <c r="Q300" i="7"/>
  <c r="X300" i="7" s="1"/>
  <c r="R301" i="7"/>
  <c r="S302" i="7"/>
  <c r="S306" i="7"/>
  <c r="S310" i="7"/>
  <c r="S314" i="7"/>
  <c r="S318" i="7"/>
  <c r="AK596" i="7"/>
  <c r="AJ596" i="7"/>
  <c r="K345" i="7"/>
  <c r="T345" i="7" s="1"/>
  <c r="R271" i="7"/>
  <c r="AK531" i="7"/>
  <c r="AJ531" i="7"/>
  <c r="AK534" i="7"/>
  <c r="AJ534" i="7"/>
  <c r="AK537" i="7"/>
  <c r="AJ537" i="7"/>
  <c r="AK540" i="7"/>
  <c r="AJ540" i="7"/>
  <c r="AK543" i="7"/>
  <c r="AJ543" i="7"/>
  <c r="AK546" i="7"/>
  <c r="AJ546" i="7"/>
  <c r="S297" i="7"/>
  <c r="Y297" i="7" s="1"/>
  <c r="R298" i="7"/>
  <c r="Y298" i="7" s="1"/>
  <c r="R299" i="7"/>
  <c r="S300" i="7"/>
  <c r="Y300" i="7" s="1"/>
  <c r="Q320" i="7"/>
  <c r="X320" i="7" s="1"/>
  <c r="Q323" i="7"/>
  <c r="X323" i="7" s="1"/>
  <c r="Q326" i="7"/>
  <c r="X326" i="7" s="1"/>
  <c r="AC326" i="7" s="1"/>
  <c r="Q329" i="7"/>
  <c r="X329" i="7" s="1"/>
  <c r="Q332" i="7"/>
  <c r="X332" i="7" s="1"/>
  <c r="O339" i="7"/>
  <c r="Z339" i="7" s="1"/>
  <c r="AK607" i="7"/>
  <c r="AJ607" i="7"/>
  <c r="K356" i="7"/>
  <c r="T356" i="7" s="1"/>
  <c r="AK616" i="7"/>
  <c r="AJ616" i="7"/>
  <c r="K365" i="7"/>
  <c r="T365" i="7" s="1"/>
  <c r="Q282" i="7"/>
  <c r="X282" i="7" s="1"/>
  <c r="Q285" i="7"/>
  <c r="X285" i="7" s="1"/>
  <c r="Q288" i="7"/>
  <c r="X288" i="7" s="1"/>
  <c r="AC288" i="7" s="1"/>
  <c r="Q291" i="7"/>
  <c r="X291" i="7" s="1"/>
  <c r="Q294" i="7"/>
  <c r="X294" i="7" s="1"/>
  <c r="Q304" i="7"/>
  <c r="X304" i="7" s="1"/>
  <c r="Q308" i="7"/>
  <c r="X308" i="7" s="1"/>
  <c r="Q312" i="7"/>
  <c r="X312" i="7" s="1"/>
  <c r="Y320" i="7"/>
  <c r="Y323" i="7"/>
  <c r="Y326" i="7"/>
  <c r="Y329" i="7"/>
  <c r="Y332" i="7"/>
  <c r="AK587" i="7"/>
  <c r="AJ587" i="7"/>
  <c r="K336" i="7"/>
  <c r="T336" i="7" s="1"/>
  <c r="M338" i="7"/>
  <c r="V338" i="7" s="1"/>
  <c r="R282" i="7"/>
  <c r="R285" i="7"/>
  <c r="R288" i="7"/>
  <c r="Y288" i="7" s="1"/>
  <c r="R291" i="7"/>
  <c r="Y291" i="7" s="1"/>
  <c r="R294" i="7"/>
  <c r="AK547" i="7"/>
  <c r="AJ547" i="7"/>
  <c r="K296" i="7"/>
  <c r="T296" i="7" s="1"/>
  <c r="L336" i="7"/>
  <c r="U336" i="7" s="1"/>
  <c r="L337" i="7"/>
  <c r="U337" i="7" s="1"/>
  <c r="R339" i="7"/>
  <c r="R340" i="7"/>
  <c r="Y340" i="7" s="1"/>
  <c r="AK532" i="7"/>
  <c r="AJ532" i="7"/>
  <c r="AK535" i="7"/>
  <c r="AJ535" i="7"/>
  <c r="AK538" i="7"/>
  <c r="AJ538" i="7"/>
  <c r="AJ541" i="7"/>
  <c r="AK541" i="7"/>
  <c r="AK544" i="7"/>
  <c r="AJ544" i="7"/>
  <c r="AK548" i="7"/>
  <c r="AJ548" i="7"/>
  <c r="K297" i="7"/>
  <c r="T297" i="7" s="1"/>
  <c r="AK610" i="7"/>
  <c r="AJ610" i="7"/>
  <c r="K359" i="7"/>
  <c r="T359" i="7" s="1"/>
  <c r="AK483" i="7"/>
  <c r="AJ483" i="7"/>
  <c r="AK484" i="7"/>
  <c r="AJ484" i="7"/>
  <c r="AK485" i="7"/>
  <c r="AJ485" i="7"/>
  <c r="AK486" i="7"/>
  <c r="AJ486" i="7"/>
  <c r="AK487" i="7"/>
  <c r="AJ487" i="7"/>
  <c r="AK488" i="7"/>
  <c r="AJ488" i="7"/>
  <c r="AK489" i="7"/>
  <c r="AJ489" i="7"/>
  <c r="AK490" i="7"/>
  <c r="AJ490" i="7"/>
  <c r="AK491" i="7"/>
  <c r="AJ491" i="7"/>
  <c r="AK492" i="7"/>
  <c r="AJ492" i="7"/>
  <c r="AK493" i="7"/>
  <c r="AJ493" i="7"/>
  <c r="AK494" i="7"/>
  <c r="AJ494" i="7"/>
  <c r="AK495" i="7"/>
  <c r="AJ495" i="7"/>
  <c r="AK496" i="7"/>
  <c r="AJ496" i="7"/>
  <c r="AK497" i="7"/>
  <c r="AJ497" i="7"/>
  <c r="AK498" i="7"/>
  <c r="AJ498" i="7"/>
  <c r="AK499" i="7"/>
  <c r="AJ499" i="7"/>
  <c r="AK500" i="7"/>
  <c r="AJ500" i="7"/>
  <c r="AK501" i="7"/>
  <c r="AJ501" i="7"/>
  <c r="AJ502" i="7"/>
  <c r="AK502" i="7"/>
  <c r="AK503" i="7"/>
  <c r="AJ503" i="7"/>
  <c r="AJ504" i="7"/>
  <c r="AK504" i="7"/>
  <c r="AK505" i="7"/>
  <c r="AJ505" i="7"/>
  <c r="AK506" i="7"/>
  <c r="AJ506" i="7"/>
  <c r="AK507" i="7"/>
  <c r="AJ507" i="7"/>
  <c r="AK508" i="7"/>
  <c r="AJ508" i="7"/>
  <c r="AK509" i="7"/>
  <c r="AJ509" i="7"/>
  <c r="AK510" i="7"/>
  <c r="AJ510" i="7"/>
  <c r="AK511" i="7"/>
  <c r="AJ511" i="7"/>
  <c r="AK512" i="7"/>
  <c r="AJ512" i="7"/>
  <c r="AK513" i="7"/>
  <c r="AJ513" i="7"/>
  <c r="AK514" i="7"/>
  <c r="AJ514" i="7"/>
  <c r="AK515" i="7"/>
  <c r="AJ515" i="7"/>
  <c r="AK516" i="7"/>
  <c r="AJ516" i="7"/>
  <c r="AK517" i="7"/>
  <c r="AJ517" i="7"/>
  <c r="AK518" i="7"/>
  <c r="AJ518" i="7"/>
  <c r="AK519" i="7"/>
  <c r="AJ519" i="7"/>
  <c r="AK520" i="7"/>
  <c r="AJ520" i="7"/>
  <c r="AK521" i="7"/>
  <c r="AJ521" i="7"/>
  <c r="AK522" i="7"/>
  <c r="AJ522" i="7"/>
  <c r="AK549" i="7"/>
  <c r="AJ549" i="7"/>
  <c r="K298" i="7"/>
  <c r="T298" i="7" s="1"/>
  <c r="K299" i="7"/>
  <c r="T299" i="7" s="1"/>
  <c r="P338" i="7"/>
  <c r="AA338" i="7" s="1"/>
  <c r="P339" i="7"/>
  <c r="AA339" i="7" s="1"/>
  <c r="Q280" i="7"/>
  <c r="X280" i="7" s="1"/>
  <c r="Q283" i="7"/>
  <c r="X283" i="7" s="1"/>
  <c r="Q286" i="7"/>
  <c r="X286" i="7" s="1"/>
  <c r="Q289" i="7"/>
  <c r="X289" i="7" s="1"/>
  <c r="Q292" i="7"/>
  <c r="X292" i="7" s="1"/>
  <c r="Q295" i="7"/>
  <c r="X295" i="7" s="1"/>
  <c r="Y319" i="7"/>
  <c r="Y322" i="7"/>
  <c r="Y325" i="7"/>
  <c r="Y328" i="7"/>
  <c r="AC328" i="7" s="1"/>
  <c r="Y331" i="7"/>
  <c r="AC331" i="7" s="1"/>
  <c r="AK524" i="7"/>
  <c r="AJ524" i="7"/>
  <c r="AK526" i="7"/>
  <c r="AJ526" i="7"/>
  <c r="AK528" i="7"/>
  <c r="AJ528" i="7"/>
  <c r="AK530" i="7"/>
  <c r="AJ530" i="7"/>
  <c r="R280" i="7"/>
  <c r="R283" i="7"/>
  <c r="R286" i="7"/>
  <c r="R289" i="7"/>
  <c r="R292" i="7"/>
  <c r="R295" i="7"/>
  <c r="S303" i="7"/>
  <c r="Y303" i="7" s="1"/>
  <c r="AC303" i="7" s="1"/>
  <c r="S307" i="7"/>
  <c r="Y307" i="7" s="1"/>
  <c r="S311" i="7"/>
  <c r="Y311" i="7" s="1"/>
  <c r="S315" i="7"/>
  <c r="Y315" i="7" s="1"/>
  <c r="R272" i="7"/>
  <c r="R274" i="7"/>
  <c r="R276" i="7"/>
  <c r="R278" i="7"/>
  <c r="AK533" i="7"/>
  <c r="AJ533" i="7"/>
  <c r="S283" i="7"/>
  <c r="AJ536" i="7"/>
  <c r="AK536" i="7"/>
  <c r="S286" i="7"/>
  <c r="AK539" i="7"/>
  <c r="AJ539" i="7"/>
  <c r="S289" i="7"/>
  <c r="AJ542" i="7"/>
  <c r="AK542" i="7"/>
  <c r="S292" i="7"/>
  <c r="AK545" i="7"/>
  <c r="AJ545" i="7"/>
  <c r="S295" i="7"/>
  <c r="Y295" i="7" s="1"/>
  <c r="Q306" i="7"/>
  <c r="X306" i="7" s="1"/>
  <c r="Q310" i="7"/>
  <c r="X310" i="7" s="1"/>
  <c r="Q314" i="7"/>
  <c r="X314" i="7" s="1"/>
  <c r="Q318" i="7"/>
  <c r="X318" i="7" s="1"/>
  <c r="Q321" i="7"/>
  <c r="X321" i="7" s="1"/>
  <c r="Q324" i="7"/>
  <c r="X324" i="7" s="1"/>
  <c r="Q327" i="7"/>
  <c r="X327" i="7" s="1"/>
  <c r="Q330" i="7"/>
  <c r="X330" i="7" s="1"/>
  <c r="Q333" i="7"/>
  <c r="X333" i="7" s="1"/>
  <c r="Q334" i="7"/>
  <c r="X334" i="7" s="1"/>
  <c r="K337" i="7"/>
  <c r="T337" i="7" s="1"/>
  <c r="AK604" i="7"/>
  <c r="AJ604" i="7"/>
  <c r="K353" i="7"/>
  <c r="T353" i="7" s="1"/>
  <c r="AK613" i="7"/>
  <c r="AJ613" i="7"/>
  <c r="K362" i="7"/>
  <c r="T362" i="7" s="1"/>
  <c r="S272" i="7"/>
  <c r="S274" i="7"/>
  <c r="S276" i="7"/>
  <c r="S278" i="7"/>
  <c r="K280" i="7"/>
  <c r="T280" i="7" s="1"/>
  <c r="K283" i="7"/>
  <c r="T283" i="7" s="1"/>
  <c r="K286" i="7"/>
  <c r="T286" i="7" s="1"/>
  <c r="K289" i="7"/>
  <c r="T289" i="7" s="1"/>
  <c r="K292" i="7"/>
  <c r="T292" i="7" s="1"/>
  <c r="K295" i="7"/>
  <c r="T295" i="7" s="1"/>
  <c r="Q296" i="7"/>
  <c r="X296" i="7" s="1"/>
  <c r="Q301" i="7"/>
  <c r="X301" i="7" s="1"/>
  <c r="R302" i="7"/>
  <c r="R306" i="7"/>
  <c r="R310" i="7"/>
  <c r="R314" i="7"/>
  <c r="R318" i="7"/>
  <c r="R321" i="7"/>
  <c r="Y321" i="7" s="1"/>
  <c r="R324" i="7"/>
  <c r="Y324" i="7" s="1"/>
  <c r="R327" i="7"/>
  <c r="Y327" i="7" s="1"/>
  <c r="R330" i="7"/>
  <c r="Y330" i="7" s="1"/>
  <c r="R333" i="7"/>
  <c r="R334" i="7"/>
  <c r="Y334" i="7" s="1"/>
  <c r="S341" i="7"/>
  <c r="Y341" i="7" s="1"/>
  <c r="N345" i="7"/>
  <c r="W345" i="7" s="1"/>
  <c r="AK586" i="7"/>
  <c r="AJ586" i="7"/>
  <c r="AK592" i="7"/>
  <c r="AJ592" i="7"/>
  <c r="Y371" i="7"/>
  <c r="Y383" i="7"/>
  <c r="AK654" i="7"/>
  <c r="AJ654" i="7"/>
  <c r="K403" i="7"/>
  <c r="T403" i="7" s="1"/>
  <c r="O342" i="7"/>
  <c r="Z342" i="7" s="1"/>
  <c r="S347" i="7"/>
  <c r="Y347" i="7" s="1"/>
  <c r="R348" i="7"/>
  <c r="Y348" i="7" s="1"/>
  <c r="AC348" i="7" s="1"/>
  <c r="Y366" i="7"/>
  <c r="Y378" i="7"/>
  <c r="AC378" i="7" s="1"/>
  <c r="Y390" i="7"/>
  <c r="AK701" i="7"/>
  <c r="AJ701" i="7"/>
  <c r="K451" i="7"/>
  <c r="T451" i="7" s="1"/>
  <c r="K450" i="7"/>
  <c r="T450" i="7" s="1"/>
  <c r="AK585" i="7"/>
  <c r="AJ585" i="7"/>
  <c r="AK591" i="7"/>
  <c r="AJ591" i="7"/>
  <c r="AK597" i="7"/>
  <c r="AJ597" i="7"/>
  <c r="K347" i="7"/>
  <c r="T347" i="7" s="1"/>
  <c r="AK603" i="7"/>
  <c r="AJ603" i="7"/>
  <c r="K352" i="7"/>
  <c r="T352" i="7" s="1"/>
  <c r="AK606" i="7"/>
  <c r="AJ606" i="7"/>
  <c r="K355" i="7"/>
  <c r="T355" i="7" s="1"/>
  <c r="AC355" i="7" s="1"/>
  <c r="AJ609" i="7"/>
  <c r="AK609" i="7"/>
  <c r="K358" i="7"/>
  <c r="T358" i="7" s="1"/>
  <c r="AK612" i="7"/>
  <c r="AJ612" i="7"/>
  <c r="K361" i="7"/>
  <c r="T361" i="7" s="1"/>
  <c r="AC361" i="7" s="1"/>
  <c r="AK615" i="7"/>
  <c r="AJ615" i="7"/>
  <c r="K364" i="7"/>
  <c r="T364" i="7" s="1"/>
  <c r="AC364" i="7" s="1"/>
  <c r="AC369" i="7"/>
  <c r="AC381" i="7"/>
  <c r="K404" i="7"/>
  <c r="T404" i="7" s="1"/>
  <c r="AK594" i="7"/>
  <c r="AJ594" i="7"/>
  <c r="N343" i="7"/>
  <c r="W343" i="7" s="1"/>
  <c r="R344" i="7"/>
  <c r="S349" i="7"/>
  <c r="Y349" i="7" s="1"/>
  <c r="AC349" i="7" s="1"/>
  <c r="R350" i="7"/>
  <c r="Y350" i="7" s="1"/>
  <c r="Y368" i="7"/>
  <c r="AC368" i="7" s="1"/>
  <c r="AC376" i="7"/>
  <c r="Y380" i="7"/>
  <c r="AJ659" i="7"/>
  <c r="AK659" i="7"/>
  <c r="K408" i="7"/>
  <c r="T408" i="7" s="1"/>
  <c r="AJ550" i="7"/>
  <c r="AK550" i="7"/>
  <c r="AJ551" i="7"/>
  <c r="AK551" i="7"/>
  <c r="AK552" i="7"/>
  <c r="AJ552" i="7"/>
  <c r="AJ553" i="7"/>
  <c r="AK553" i="7"/>
  <c r="AK554" i="7"/>
  <c r="AJ554" i="7"/>
  <c r="AK555" i="7"/>
  <c r="AJ555" i="7"/>
  <c r="AK556" i="7"/>
  <c r="AJ556" i="7"/>
  <c r="AK557" i="7"/>
  <c r="AJ557" i="7"/>
  <c r="AK558" i="7"/>
  <c r="AJ558" i="7"/>
  <c r="AK559" i="7"/>
  <c r="AJ559" i="7"/>
  <c r="AK560" i="7"/>
  <c r="AJ560" i="7"/>
  <c r="AK561" i="7"/>
  <c r="AJ561" i="7"/>
  <c r="AK562" i="7"/>
  <c r="AJ562" i="7"/>
  <c r="AK563" i="7"/>
  <c r="AJ563" i="7"/>
  <c r="AK564" i="7"/>
  <c r="AJ564" i="7"/>
  <c r="AK565" i="7"/>
  <c r="AJ565" i="7"/>
  <c r="AK566" i="7"/>
  <c r="AJ566" i="7"/>
  <c r="AK567" i="7"/>
  <c r="AJ567" i="7"/>
  <c r="AK568" i="7"/>
  <c r="AJ568" i="7"/>
  <c r="AK569" i="7"/>
  <c r="AJ569" i="7"/>
  <c r="AK570" i="7"/>
  <c r="AJ570" i="7"/>
  <c r="AK571" i="7"/>
  <c r="AJ571" i="7"/>
  <c r="AK572" i="7"/>
  <c r="AJ572" i="7"/>
  <c r="AK573" i="7"/>
  <c r="AJ573" i="7"/>
  <c r="AK574" i="7"/>
  <c r="AJ574" i="7"/>
  <c r="AK575" i="7"/>
  <c r="AJ575" i="7"/>
  <c r="AK576" i="7"/>
  <c r="AJ576" i="7"/>
  <c r="AK577" i="7"/>
  <c r="AJ577" i="7"/>
  <c r="AK578" i="7"/>
  <c r="AJ578" i="7"/>
  <c r="AK579" i="7"/>
  <c r="AJ579" i="7"/>
  <c r="AK580" i="7"/>
  <c r="AJ580" i="7"/>
  <c r="AK581" i="7"/>
  <c r="AJ581" i="7"/>
  <c r="AK582" i="7"/>
  <c r="AJ582" i="7"/>
  <c r="AK583" i="7"/>
  <c r="AJ583" i="7"/>
  <c r="AK584" i="7"/>
  <c r="AJ584" i="7"/>
  <c r="AK590" i="7"/>
  <c r="AJ590" i="7"/>
  <c r="S344" i="7"/>
  <c r="AC383" i="7"/>
  <c r="AK691" i="7"/>
  <c r="AJ691" i="7"/>
  <c r="K441" i="7"/>
  <c r="T441" i="7" s="1"/>
  <c r="K440" i="7"/>
  <c r="T440" i="7" s="1"/>
  <c r="AK598" i="7"/>
  <c r="AJ598" i="7"/>
  <c r="K366" i="7"/>
  <c r="T366" i="7" s="1"/>
  <c r="AC366" i="7" s="1"/>
  <c r="S370" i="7"/>
  <c r="Y370" i="7" s="1"/>
  <c r="S382" i="7"/>
  <c r="Y382" i="7" s="1"/>
  <c r="AC382" i="7" s="1"/>
  <c r="P394" i="7"/>
  <c r="AA394" i="7" s="1"/>
  <c r="AK589" i="7"/>
  <c r="AJ589" i="7"/>
  <c r="K342" i="7"/>
  <c r="T342" i="7" s="1"/>
  <c r="R345" i="7"/>
  <c r="AJ599" i="7"/>
  <c r="AK599" i="7"/>
  <c r="AK602" i="7"/>
  <c r="AJ602" i="7"/>
  <c r="K351" i="7"/>
  <c r="T351" i="7" s="1"/>
  <c r="S353" i="7"/>
  <c r="AK605" i="7"/>
  <c r="AJ605" i="7"/>
  <c r="K354" i="7"/>
  <c r="T354" i="7" s="1"/>
  <c r="AC354" i="7" s="1"/>
  <c r="S356" i="7"/>
  <c r="Y356" i="7" s="1"/>
  <c r="AK608" i="7"/>
  <c r="AJ608" i="7"/>
  <c r="K357" i="7"/>
  <c r="T357" i="7" s="1"/>
  <c r="AC357" i="7" s="1"/>
  <c r="S359" i="7"/>
  <c r="Y359" i="7" s="1"/>
  <c r="AK611" i="7"/>
  <c r="AJ611" i="7"/>
  <c r="K360" i="7"/>
  <c r="T360" i="7" s="1"/>
  <c r="S362" i="7"/>
  <c r="AK614" i="7"/>
  <c r="AJ614" i="7"/>
  <c r="K363" i="7"/>
  <c r="T363" i="7" s="1"/>
  <c r="S365" i="7"/>
  <c r="Y365" i="7" s="1"/>
  <c r="S377" i="7"/>
  <c r="Y377" i="7" s="1"/>
  <c r="S389" i="7"/>
  <c r="AK643" i="7"/>
  <c r="AJ643" i="7"/>
  <c r="K393" i="7"/>
  <c r="T393" i="7" s="1"/>
  <c r="K392" i="7"/>
  <c r="T392" i="7" s="1"/>
  <c r="O343" i="7"/>
  <c r="Z343" i="7" s="1"/>
  <c r="S345" i="7"/>
  <c r="AK600" i="7"/>
  <c r="AJ600" i="7"/>
  <c r="S372" i="7"/>
  <c r="Y372" i="7" s="1"/>
  <c r="AC372" i="7" s="1"/>
  <c r="S384" i="7"/>
  <c r="Y384" i="7" s="1"/>
  <c r="M443" i="7"/>
  <c r="V443" i="7" s="1"/>
  <c r="M444" i="7"/>
  <c r="V444" i="7" s="1"/>
  <c r="AK588" i="7"/>
  <c r="AJ588" i="7"/>
  <c r="P343" i="7"/>
  <c r="AA343" i="7" s="1"/>
  <c r="AK595" i="7"/>
  <c r="AJ595" i="7"/>
  <c r="AJ601" i="7"/>
  <c r="AK601" i="7"/>
  <c r="S367" i="7"/>
  <c r="Y367" i="7" s="1"/>
  <c r="AC367" i="7" s="1"/>
  <c r="S379" i="7"/>
  <c r="Y379" i="7" s="1"/>
  <c r="S391" i="7"/>
  <c r="Y391" i="7" s="1"/>
  <c r="S392" i="7"/>
  <c r="K335" i="7"/>
  <c r="T335" i="7" s="1"/>
  <c r="AC335" i="7" s="1"/>
  <c r="K341" i="7"/>
  <c r="T341" i="7" s="1"/>
  <c r="AK593" i="7"/>
  <c r="AJ593" i="7"/>
  <c r="R346" i="7"/>
  <c r="Y346" i="7" s="1"/>
  <c r="S374" i="7"/>
  <c r="S386" i="7"/>
  <c r="Y386" i="7" s="1"/>
  <c r="AC386" i="7" s="1"/>
  <c r="L402" i="7"/>
  <c r="U402" i="7" s="1"/>
  <c r="L403" i="7"/>
  <c r="U403" i="7" s="1"/>
  <c r="AK646" i="7"/>
  <c r="AJ646" i="7"/>
  <c r="AK652" i="7"/>
  <c r="AJ652" i="7"/>
  <c r="Q407" i="7"/>
  <c r="X407" i="7" s="1"/>
  <c r="AK660" i="7"/>
  <c r="AJ660" i="7"/>
  <c r="Q411" i="7"/>
  <c r="X411" i="7" s="1"/>
  <c r="Q415" i="7"/>
  <c r="X415" i="7" s="1"/>
  <c r="Q419" i="7"/>
  <c r="X419" i="7" s="1"/>
  <c r="Q423" i="7"/>
  <c r="X423" i="7" s="1"/>
  <c r="Q427" i="7"/>
  <c r="X427" i="7" s="1"/>
  <c r="Q431" i="7"/>
  <c r="X431" i="7" s="1"/>
  <c r="Q435" i="7"/>
  <c r="X435" i="7" s="1"/>
  <c r="Q439" i="7"/>
  <c r="X439" i="7" s="1"/>
  <c r="AK697" i="7"/>
  <c r="AJ697" i="7"/>
  <c r="K447" i="7"/>
  <c r="T447" i="7" s="1"/>
  <c r="N392" i="7"/>
  <c r="W392" i="7" s="1"/>
  <c r="Q393" i="7"/>
  <c r="X393" i="7" s="1"/>
  <c r="M395" i="7"/>
  <c r="V395" i="7" s="1"/>
  <c r="Y395" i="7"/>
  <c r="AK647" i="7"/>
  <c r="AJ647" i="7"/>
  <c r="L397" i="7"/>
  <c r="U397" i="7" s="1"/>
  <c r="Q399" i="7"/>
  <c r="X399" i="7" s="1"/>
  <c r="M401" i="7"/>
  <c r="V401" i="7" s="1"/>
  <c r="AK653" i="7"/>
  <c r="AJ653" i="7"/>
  <c r="P410" i="7"/>
  <c r="AA410" i="7" s="1"/>
  <c r="P414" i="7"/>
  <c r="AA414" i="7" s="1"/>
  <c r="P418" i="7"/>
  <c r="AA418" i="7" s="1"/>
  <c r="P422" i="7"/>
  <c r="AA422" i="7" s="1"/>
  <c r="P426" i="7"/>
  <c r="AA426" i="7" s="1"/>
  <c r="P430" i="7"/>
  <c r="AA430" i="7" s="1"/>
  <c r="P434" i="7"/>
  <c r="AA434" i="7" s="1"/>
  <c r="P438" i="7"/>
  <c r="AA438" i="7" s="1"/>
  <c r="AK693" i="7"/>
  <c r="AJ693" i="7"/>
  <c r="K443" i="7"/>
  <c r="T443" i="7" s="1"/>
  <c r="AK648" i="7"/>
  <c r="AJ648" i="7"/>
  <c r="Y403" i="7"/>
  <c r="AK655" i="7"/>
  <c r="AJ655" i="7"/>
  <c r="AC453" i="7"/>
  <c r="AK617" i="7"/>
  <c r="AJ617" i="7"/>
  <c r="AK618" i="7"/>
  <c r="AJ618" i="7"/>
  <c r="AK619" i="7"/>
  <c r="AJ619" i="7"/>
  <c r="AK620" i="7"/>
  <c r="AJ620" i="7"/>
  <c r="AJ621" i="7"/>
  <c r="AK621" i="7"/>
  <c r="AJ622" i="7"/>
  <c r="AK622" i="7"/>
  <c r="AK623" i="7"/>
  <c r="AJ623" i="7"/>
  <c r="AK624" i="7"/>
  <c r="AJ624" i="7"/>
  <c r="AK625" i="7"/>
  <c r="AJ625" i="7"/>
  <c r="AK626" i="7"/>
  <c r="AJ626" i="7"/>
  <c r="AK627" i="7"/>
  <c r="AJ627" i="7"/>
  <c r="AK628" i="7"/>
  <c r="AJ628" i="7"/>
  <c r="AK629" i="7"/>
  <c r="AJ629" i="7"/>
  <c r="AK630" i="7"/>
  <c r="AJ630" i="7"/>
  <c r="AK631" i="7"/>
  <c r="AJ631" i="7"/>
  <c r="AK632" i="7"/>
  <c r="AJ632" i="7"/>
  <c r="AK633" i="7"/>
  <c r="AJ633" i="7"/>
  <c r="AJ634" i="7"/>
  <c r="AK634" i="7"/>
  <c r="AK635" i="7"/>
  <c r="AJ635" i="7"/>
  <c r="AK636" i="7"/>
  <c r="AJ636" i="7"/>
  <c r="AK637" i="7"/>
  <c r="AJ637" i="7"/>
  <c r="AK638" i="7"/>
  <c r="AJ638" i="7"/>
  <c r="AK639" i="7"/>
  <c r="AJ639" i="7"/>
  <c r="AK640" i="7"/>
  <c r="AJ640" i="7"/>
  <c r="AK641" i="7"/>
  <c r="AJ641" i="7"/>
  <c r="AK642" i="7"/>
  <c r="AJ642" i="7"/>
  <c r="AK656" i="7"/>
  <c r="AJ656" i="7"/>
  <c r="AK699" i="7"/>
  <c r="AJ699" i="7"/>
  <c r="K449" i="7"/>
  <c r="T449" i="7" s="1"/>
  <c r="Q395" i="7"/>
  <c r="X395" i="7" s="1"/>
  <c r="M397" i="7"/>
  <c r="V397" i="7" s="1"/>
  <c r="AK649" i="7"/>
  <c r="AJ649" i="7"/>
  <c r="Q401" i="7"/>
  <c r="X401" i="7" s="1"/>
  <c r="Y405" i="7"/>
  <c r="AK657" i="7"/>
  <c r="AJ657" i="7"/>
  <c r="AK658" i="7"/>
  <c r="AJ658" i="7"/>
  <c r="Q409" i="7"/>
  <c r="X409" i="7" s="1"/>
  <c r="AK662" i="7"/>
  <c r="AJ662" i="7"/>
  <c r="Y411" i="7"/>
  <c r="Q413" i="7"/>
  <c r="X413" i="7" s="1"/>
  <c r="Q417" i="7"/>
  <c r="X417" i="7" s="1"/>
  <c r="Y419" i="7"/>
  <c r="Q421" i="7"/>
  <c r="X421" i="7" s="1"/>
  <c r="AC421" i="7" s="1"/>
  <c r="Y423" i="7"/>
  <c r="Q425" i="7"/>
  <c r="X425" i="7" s="1"/>
  <c r="Y427" i="7"/>
  <c r="Q429" i="7"/>
  <c r="X429" i="7" s="1"/>
  <c r="Q433" i="7"/>
  <c r="X433" i="7" s="1"/>
  <c r="Q437" i="7"/>
  <c r="X437" i="7" s="1"/>
  <c r="M445" i="7"/>
  <c r="V445" i="7" s="1"/>
  <c r="M446" i="7"/>
  <c r="V446" i="7" s="1"/>
  <c r="P402" i="7"/>
  <c r="AA402" i="7" s="1"/>
  <c r="Y406" i="7"/>
  <c r="L407" i="7"/>
  <c r="U407" i="7" s="1"/>
  <c r="AK695" i="7"/>
  <c r="AJ695" i="7"/>
  <c r="K445" i="7"/>
  <c r="T445" i="7" s="1"/>
  <c r="AK644" i="7"/>
  <c r="AJ644" i="7"/>
  <c r="Y398" i="7"/>
  <c r="AK650" i="7"/>
  <c r="AJ650" i="7"/>
  <c r="K395" i="7"/>
  <c r="T395" i="7" s="1"/>
  <c r="K401" i="7"/>
  <c r="T401" i="7" s="1"/>
  <c r="Q403" i="7"/>
  <c r="X403" i="7" s="1"/>
  <c r="P404" i="7"/>
  <c r="AA404" i="7" s="1"/>
  <c r="Q408" i="7"/>
  <c r="X408" i="7" s="1"/>
  <c r="K409" i="7"/>
  <c r="T409" i="7" s="1"/>
  <c r="AK661" i="7"/>
  <c r="AJ661" i="7"/>
  <c r="Q412" i="7"/>
  <c r="X412" i="7" s="1"/>
  <c r="AC412" i="7" s="1"/>
  <c r="Y414" i="7"/>
  <c r="AC414" i="7" s="1"/>
  <c r="Q416" i="7"/>
  <c r="X416" i="7" s="1"/>
  <c r="Y418" i="7"/>
  <c r="AC418" i="7" s="1"/>
  <c r="Q420" i="7"/>
  <c r="X420" i="7" s="1"/>
  <c r="AC420" i="7" s="1"/>
  <c r="Q424" i="7"/>
  <c r="X424" i="7" s="1"/>
  <c r="Q428" i="7"/>
  <c r="X428" i="7" s="1"/>
  <c r="AC428" i="7" s="1"/>
  <c r="Y430" i="7"/>
  <c r="AC430" i="7" s="1"/>
  <c r="Q432" i="7"/>
  <c r="X432" i="7" s="1"/>
  <c r="Y434" i="7"/>
  <c r="Q436" i="7"/>
  <c r="X436" i="7" s="1"/>
  <c r="Y438" i="7"/>
  <c r="M441" i="7"/>
  <c r="V441" i="7" s="1"/>
  <c r="M442" i="7"/>
  <c r="V442" i="7" s="1"/>
  <c r="K446" i="7"/>
  <c r="T446" i="7" s="1"/>
  <c r="R496" i="7"/>
  <c r="Y496" i="7" s="1"/>
  <c r="AC496" i="7" s="1"/>
  <c r="L507" i="7"/>
  <c r="U507" i="7" s="1"/>
  <c r="L508" i="7"/>
  <c r="U508" i="7" s="1"/>
  <c r="R392" i="7"/>
  <c r="M393" i="7"/>
  <c r="V393" i="7" s="1"/>
  <c r="Y393" i="7"/>
  <c r="AK645" i="7"/>
  <c r="AJ645" i="7"/>
  <c r="Y399" i="7"/>
  <c r="AC399" i="7" s="1"/>
  <c r="AK651" i="7"/>
  <c r="AJ651" i="7"/>
  <c r="L456" i="7"/>
  <c r="U456" i="7" s="1"/>
  <c r="R484" i="7"/>
  <c r="K396" i="7"/>
  <c r="T396" i="7" s="1"/>
  <c r="K402" i="7"/>
  <c r="T402" i="7" s="1"/>
  <c r="Q405" i="7"/>
  <c r="X405" i="7" s="1"/>
  <c r="P406" i="7"/>
  <c r="AA406" i="7" s="1"/>
  <c r="P407" i="7"/>
  <c r="AA407" i="7" s="1"/>
  <c r="P411" i="7"/>
  <c r="AA411" i="7" s="1"/>
  <c r="P415" i="7"/>
  <c r="AA415" i="7" s="1"/>
  <c r="P419" i="7"/>
  <c r="AA419" i="7" s="1"/>
  <c r="P423" i="7"/>
  <c r="AA423" i="7" s="1"/>
  <c r="P427" i="7"/>
  <c r="AA427" i="7" s="1"/>
  <c r="P431" i="7"/>
  <c r="AA431" i="7" s="1"/>
  <c r="P435" i="7"/>
  <c r="AA435" i="7" s="1"/>
  <c r="P439" i="7"/>
  <c r="AA439" i="7" s="1"/>
  <c r="P440" i="7"/>
  <c r="AA440" i="7" s="1"/>
  <c r="K442" i="7"/>
  <c r="T442" i="7" s="1"/>
  <c r="M447" i="7"/>
  <c r="V447" i="7" s="1"/>
  <c r="M448" i="7"/>
  <c r="V448" i="7" s="1"/>
  <c r="L440" i="7"/>
  <c r="U440" i="7" s="1"/>
  <c r="R482" i="7"/>
  <c r="S483" i="7"/>
  <c r="Y483" i="7" s="1"/>
  <c r="R494" i="7"/>
  <c r="S495" i="7"/>
  <c r="Y495" i="7" s="1"/>
  <c r="AC495" i="7" s="1"/>
  <c r="S439" i="7"/>
  <c r="Y439" i="7" s="1"/>
  <c r="R481" i="7"/>
  <c r="S482" i="7"/>
  <c r="Y482" i="7" s="1"/>
  <c r="R493" i="7"/>
  <c r="Y493" i="7" s="1"/>
  <c r="S494" i="7"/>
  <c r="Q454" i="7"/>
  <c r="X454" i="7" s="1"/>
  <c r="Q457" i="7"/>
  <c r="X457" i="7" s="1"/>
  <c r="R460" i="7"/>
  <c r="Q461" i="7"/>
  <c r="X461" i="7" s="1"/>
  <c r="AC461" i="7" s="1"/>
  <c r="R479" i="7"/>
  <c r="S480" i="7"/>
  <c r="Y480" i="7" s="1"/>
  <c r="R491" i="7"/>
  <c r="S492" i="7"/>
  <c r="Y492" i="7" s="1"/>
  <c r="AC492" i="7" s="1"/>
  <c r="S441" i="7"/>
  <c r="Y441" i="7" s="1"/>
  <c r="S443" i="7"/>
  <c r="Y443" i="7" s="1"/>
  <c r="S445" i="7"/>
  <c r="Y445" i="7" s="1"/>
  <c r="S447" i="7"/>
  <c r="S449" i="7"/>
  <c r="Y449" i="7" s="1"/>
  <c r="S451" i="7"/>
  <c r="Y451" i="7" s="1"/>
  <c r="R454" i="7"/>
  <c r="R457" i="7"/>
  <c r="S460" i="7"/>
  <c r="R478" i="7"/>
  <c r="Y478" i="7" s="1"/>
  <c r="S479" i="7"/>
  <c r="R490" i="7"/>
  <c r="Y490" i="7" s="1"/>
  <c r="AC490" i="7" s="1"/>
  <c r="S491" i="7"/>
  <c r="R502" i="7"/>
  <c r="R503" i="7"/>
  <c r="AK754" i="7"/>
  <c r="AJ754" i="7"/>
  <c r="K503" i="7"/>
  <c r="T503" i="7" s="1"/>
  <c r="K504" i="7"/>
  <c r="T504" i="7" s="1"/>
  <c r="AK875" i="7"/>
  <c r="AJ875" i="7"/>
  <c r="K624" i="7"/>
  <c r="T624" i="7" s="1"/>
  <c r="K625" i="7"/>
  <c r="T625" i="7" s="1"/>
  <c r="AJ663" i="7"/>
  <c r="AK663" i="7"/>
  <c r="AK664" i="7"/>
  <c r="AJ664" i="7"/>
  <c r="AK665" i="7"/>
  <c r="AJ665" i="7"/>
  <c r="AK666" i="7"/>
  <c r="AJ666" i="7"/>
  <c r="AK667" i="7"/>
  <c r="AJ667" i="7"/>
  <c r="AK668" i="7"/>
  <c r="AJ668" i="7"/>
  <c r="AJ669" i="7"/>
  <c r="AK669" i="7"/>
  <c r="AK670" i="7"/>
  <c r="AJ670" i="7"/>
  <c r="AK671" i="7"/>
  <c r="AJ671" i="7"/>
  <c r="AK672" i="7"/>
  <c r="AJ672" i="7"/>
  <c r="AK673" i="7"/>
  <c r="AJ673" i="7"/>
  <c r="AK674" i="7"/>
  <c r="AJ674" i="7"/>
  <c r="AK675" i="7"/>
  <c r="AJ675" i="7"/>
  <c r="AJ676" i="7"/>
  <c r="AK676" i="7"/>
  <c r="AJ677" i="7"/>
  <c r="AK677" i="7"/>
  <c r="AK678" i="7"/>
  <c r="AJ678" i="7"/>
  <c r="AK679" i="7"/>
  <c r="AJ679" i="7"/>
  <c r="AK680" i="7"/>
  <c r="AJ680" i="7"/>
  <c r="AK681" i="7"/>
  <c r="AJ681" i="7"/>
  <c r="AK682" i="7"/>
  <c r="AJ682" i="7"/>
  <c r="AK683" i="7"/>
  <c r="AJ683" i="7"/>
  <c r="AK684" i="7"/>
  <c r="AJ684" i="7"/>
  <c r="AK685" i="7"/>
  <c r="AJ685" i="7"/>
  <c r="AK686" i="7"/>
  <c r="AJ686" i="7"/>
  <c r="AK687" i="7"/>
  <c r="AJ687" i="7"/>
  <c r="AK688" i="7"/>
  <c r="AJ688" i="7"/>
  <c r="AK689" i="7"/>
  <c r="AJ689" i="7"/>
  <c r="AK690" i="7"/>
  <c r="AJ690" i="7"/>
  <c r="S454" i="7"/>
  <c r="S457" i="7"/>
  <c r="S502" i="7"/>
  <c r="S503" i="7"/>
  <c r="Y513" i="7"/>
  <c r="R514" i="7"/>
  <c r="Y514" i="7" s="1"/>
  <c r="Y515" i="7"/>
  <c r="R516" i="7"/>
  <c r="Y516" i="7" s="1"/>
  <c r="Y517" i="7"/>
  <c r="R518" i="7"/>
  <c r="Y518" i="7" s="1"/>
  <c r="S462" i="7"/>
  <c r="Y462" i="7" s="1"/>
  <c r="AC462" i="7" s="1"/>
  <c r="R463" i="7"/>
  <c r="Y463" i="7" s="1"/>
  <c r="AC463" i="7" s="1"/>
  <c r="Q464" i="7"/>
  <c r="X464" i="7" s="1"/>
  <c r="Q465" i="7"/>
  <c r="X465" i="7" s="1"/>
  <c r="Q466" i="7"/>
  <c r="X466" i="7" s="1"/>
  <c r="Q467" i="7"/>
  <c r="X467" i="7" s="1"/>
  <c r="Q468" i="7"/>
  <c r="X468" i="7" s="1"/>
  <c r="Q469" i="7"/>
  <c r="X469" i="7" s="1"/>
  <c r="Q470" i="7"/>
  <c r="X470" i="7" s="1"/>
  <c r="Q471" i="7"/>
  <c r="X471" i="7" s="1"/>
  <c r="Q472" i="7"/>
  <c r="X472" i="7" s="1"/>
  <c r="Q473" i="7"/>
  <c r="X473" i="7" s="1"/>
  <c r="Q474" i="7"/>
  <c r="X474" i="7" s="1"/>
  <c r="Q475" i="7"/>
  <c r="X475" i="7" s="1"/>
  <c r="R476" i="7"/>
  <c r="Y476" i="7" s="1"/>
  <c r="AC476" i="7" s="1"/>
  <c r="S477" i="7"/>
  <c r="Y477" i="7" s="1"/>
  <c r="AC477" i="7" s="1"/>
  <c r="R488" i="7"/>
  <c r="S489" i="7"/>
  <c r="Y489" i="7" s="1"/>
  <c r="AC489" i="7" s="1"/>
  <c r="R500" i="7"/>
  <c r="S501" i="7"/>
  <c r="Y501" i="7" s="1"/>
  <c r="AC501" i="7" s="1"/>
  <c r="O505" i="7"/>
  <c r="Z505" i="7" s="1"/>
  <c r="Q452" i="7"/>
  <c r="X452" i="7" s="1"/>
  <c r="R465" i="7"/>
  <c r="R466" i="7"/>
  <c r="R467" i="7"/>
  <c r="R468" i="7"/>
  <c r="R469" i="7"/>
  <c r="R470" i="7"/>
  <c r="R471" i="7"/>
  <c r="R472" i="7"/>
  <c r="R473" i="7"/>
  <c r="R474" i="7"/>
  <c r="R475" i="7"/>
  <c r="AC482" i="7"/>
  <c r="Q440" i="7"/>
  <c r="X440" i="7" s="1"/>
  <c r="AK692" i="7"/>
  <c r="AJ692" i="7"/>
  <c r="Q442" i="7"/>
  <c r="X442" i="7" s="1"/>
  <c r="AK694" i="7"/>
  <c r="AJ694" i="7"/>
  <c r="Q444" i="7"/>
  <c r="X444" i="7" s="1"/>
  <c r="AK696" i="7"/>
  <c r="AJ696" i="7"/>
  <c r="Q446" i="7"/>
  <c r="X446" i="7" s="1"/>
  <c r="AK698" i="7"/>
  <c r="AJ698" i="7"/>
  <c r="Q448" i="7"/>
  <c r="X448" i="7" s="1"/>
  <c r="AK700" i="7"/>
  <c r="AJ700" i="7"/>
  <c r="Q450" i="7"/>
  <c r="X450" i="7" s="1"/>
  <c r="AK702" i="7"/>
  <c r="AJ702" i="7"/>
  <c r="S464" i="7"/>
  <c r="Y464" i="7" s="1"/>
  <c r="S465" i="7"/>
  <c r="S466" i="7"/>
  <c r="S467" i="7"/>
  <c r="S468" i="7"/>
  <c r="S469" i="7"/>
  <c r="S470" i="7"/>
  <c r="S471" i="7"/>
  <c r="S472" i="7"/>
  <c r="S473" i="7"/>
  <c r="S474" i="7"/>
  <c r="S475" i="7"/>
  <c r="Y487" i="7"/>
  <c r="AC487" i="7" s="1"/>
  <c r="Y499" i="7"/>
  <c r="AC499" i="7" s="1"/>
  <c r="R440" i="7"/>
  <c r="Y440" i="7" s="1"/>
  <c r="R442" i="7"/>
  <c r="R444" i="7"/>
  <c r="Y444" i="7" s="1"/>
  <c r="R446" i="7"/>
  <c r="R448" i="7"/>
  <c r="R450" i="7"/>
  <c r="Y450" i="7" s="1"/>
  <c r="S452" i="7"/>
  <c r="S455" i="7"/>
  <c r="Y455" i="7" s="1"/>
  <c r="AC455" i="7" s="1"/>
  <c r="S458" i="7"/>
  <c r="Y458" i="7" s="1"/>
  <c r="AC458" i="7" s="1"/>
  <c r="R485" i="7"/>
  <c r="Y485" i="7" s="1"/>
  <c r="S486" i="7"/>
  <c r="Y486" i="7" s="1"/>
  <c r="R497" i="7"/>
  <c r="Y497" i="7" s="1"/>
  <c r="AC497" i="7" s="1"/>
  <c r="S498" i="7"/>
  <c r="Y498" i="7" s="1"/>
  <c r="AC498" i="7" s="1"/>
  <c r="Y510" i="7"/>
  <c r="AC510" i="7" s="1"/>
  <c r="AK792" i="7"/>
  <c r="AJ792" i="7"/>
  <c r="K541" i="7"/>
  <c r="T541" i="7" s="1"/>
  <c r="R519" i="7"/>
  <c r="P504" i="7"/>
  <c r="AA504" i="7" s="1"/>
  <c r="P510" i="7"/>
  <c r="AA510" i="7" s="1"/>
  <c r="L460" i="7"/>
  <c r="U460" i="7" s="1"/>
  <c r="N511" i="7"/>
  <c r="W511" i="7" s="1"/>
  <c r="L521" i="7"/>
  <c r="U521" i="7" s="1"/>
  <c r="Y521" i="7"/>
  <c r="N523" i="7"/>
  <c r="W523" i="7" s="1"/>
  <c r="R525" i="7"/>
  <c r="Y525" i="7" s="1"/>
  <c r="Q503" i="7"/>
  <c r="X503" i="7" s="1"/>
  <c r="R510" i="7"/>
  <c r="Q599" i="7"/>
  <c r="X599" i="7" s="1"/>
  <c r="Q598" i="7"/>
  <c r="X598" i="7" s="1"/>
  <c r="AK703" i="7"/>
  <c r="AJ703" i="7"/>
  <c r="AK704" i="7"/>
  <c r="AJ704" i="7"/>
  <c r="AK705" i="7"/>
  <c r="AJ705" i="7"/>
  <c r="AK706" i="7"/>
  <c r="AJ706" i="7"/>
  <c r="AK707" i="7"/>
  <c r="AJ707" i="7"/>
  <c r="AK708" i="7"/>
  <c r="AJ708" i="7"/>
  <c r="AK709" i="7"/>
  <c r="AJ709" i="7"/>
  <c r="AK710" i="7"/>
  <c r="AJ710" i="7"/>
  <c r="AK711" i="7"/>
  <c r="AJ711" i="7"/>
  <c r="AK712" i="7"/>
  <c r="AJ712" i="7"/>
  <c r="AK713" i="7"/>
  <c r="AJ713" i="7"/>
  <c r="AK714" i="7"/>
  <c r="AJ714" i="7"/>
  <c r="AJ715" i="7"/>
  <c r="AK715" i="7"/>
  <c r="AJ716" i="7"/>
  <c r="AK716" i="7"/>
  <c r="AK717" i="7"/>
  <c r="AJ717" i="7"/>
  <c r="AK718" i="7"/>
  <c r="AJ718" i="7"/>
  <c r="AK719" i="7"/>
  <c r="AJ719" i="7"/>
  <c r="AK720" i="7"/>
  <c r="AJ720" i="7"/>
  <c r="AK721" i="7"/>
  <c r="AJ721" i="7"/>
  <c r="AK722" i="7"/>
  <c r="AJ722" i="7"/>
  <c r="AK723" i="7"/>
  <c r="AJ723" i="7"/>
  <c r="AK724" i="7"/>
  <c r="AJ724" i="7"/>
  <c r="AK725" i="7"/>
  <c r="AJ725" i="7"/>
  <c r="AK726" i="7"/>
  <c r="AJ726" i="7"/>
  <c r="AK727" i="7"/>
  <c r="AJ727" i="7"/>
  <c r="AK728" i="7"/>
  <c r="AJ728" i="7"/>
  <c r="AK729" i="7"/>
  <c r="AJ729" i="7"/>
  <c r="AK730" i="7"/>
  <c r="AJ730" i="7"/>
  <c r="AK731" i="7"/>
  <c r="AJ731" i="7"/>
  <c r="AK732" i="7"/>
  <c r="AJ732" i="7"/>
  <c r="AK733" i="7"/>
  <c r="AJ733" i="7"/>
  <c r="AK734" i="7"/>
  <c r="AJ734" i="7"/>
  <c r="AK735" i="7"/>
  <c r="AJ735" i="7"/>
  <c r="AK736" i="7"/>
  <c r="AJ736" i="7"/>
  <c r="AK737" i="7"/>
  <c r="AJ737" i="7"/>
  <c r="AK738" i="7"/>
  <c r="AJ738" i="7"/>
  <c r="AK739" i="7"/>
  <c r="AJ739" i="7"/>
  <c r="AK740" i="7"/>
  <c r="AJ740" i="7"/>
  <c r="AK741" i="7"/>
  <c r="AJ741" i="7"/>
  <c r="AK742" i="7"/>
  <c r="AJ742" i="7"/>
  <c r="AK743" i="7"/>
  <c r="AJ743" i="7"/>
  <c r="AK744" i="7"/>
  <c r="AJ744" i="7"/>
  <c r="AK745" i="7"/>
  <c r="AJ745" i="7"/>
  <c r="AK746" i="7"/>
  <c r="AJ746" i="7"/>
  <c r="AK747" i="7"/>
  <c r="AJ747" i="7"/>
  <c r="AK748" i="7"/>
  <c r="AJ748" i="7"/>
  <c r="AK749" i="7"/>
  <c r="AJ749" i="7"/>
  <c r="AK750" i="7"/>
  <c r="AJ750" i="7"/>
  <c r="AJ751" i="7"/>
  <c r="AK751" i="7"/>
  <c r="AK752" i="7"/>
  <c r="AJ752" i="7"/>
  <c r="AK753" i="7"/>
  <c r="AJ753" i="7"/>
  <c r="N505" i="7"/>
  <c r="W505" i="7" s="1"/>
  <c r="P507" i="7"/>
  <c r="AA507" i="7" s="1"/>
  <c r="P511" i="7"/>
  <c r="AA511" i="7" s="1"/>
  <c r="L519" i="7"/>
  <c r="U519" i="7" s="1"/>
  <c r="Y519" i="7"/>
  <c r="N521" i="7"/>
  <c r="W521" i="7" s="1"/>
  <c r="P523" i="7"/>
  <c r="AA523" i="7" s="1"/>
  <c r="Y533" i="7"/>
  <c r="N512" i="7"/>
  <c r="W512" i="7" s="1"/>
  <c r="L513" i="7"/>
  <c r="U513" i="7" s="1"/>
  <c r="L514" i="7"/>
  <c r="U514" i="7" s="1"/>
  <c r="L515" i="7"/>
  <c r="U515" i="7" s="1"/>
  <c r="L516" i="7"/>
  <c r="U516" i="7" s="1"/>
  <c r="L517" i="7"/>
  <c r="U517" i="7" s="1"/>
  <c r="L518" i="7"/>
  <c r="U518" i="7" s="1"/>
  <c r="R534" i="7"/>
  <c r="Y534" i="7" s="1"/>
  <c r="AC534" i="7" s="1"/>
  <c r="P536" i="7"/>
  <c r="AA536" i="7" s="1"/>
  <c r="AJ793" i="7"/>
  <c r="AK793" i="7"/>
  <c r="K542" i="7"/>
  <c r="T542" i="7" s="1"/>
  <c r="P505" i="7"/>
  <c r="AA505" i="7" s="1"/>
  <c r="R507" i="7"/>
  <c r="Y507" i="7" s="1"/>
  <c r="R511" i="7"/>
  <c r="Y511" i="7" s="1"/>
  <c r="AC527" i="7"/>
  <c r="R529" i="7"/>
  <c r="Y529" i="7" s="1"/>
  <c r="P531" i="7"/>
  <c r="AA531" i="7" s="1"/>
  <c r="L538" i="7"/>
  <c r="U538" i="7" s="1"/>
  <c r="L537" i="7"/>
  <c r="U537" i="7" s="1"/>
  <c r="P508" i="7"/>
  <c r="AA508" i="7" s="1"/>
  <c r="P512" i="7"/>
  <c r="AA512" i="7" s="1"/>
  <c r="N513" i="7"/>
  <c r="W513" i="7" s="1"/>
  <c r="N514" i="7"/>
  <c r="W514" i="7" s="1"/>
  <c r="N515" i="7"/>
  <c r="W515" i="7" s="1"/>
  <c r="N516" i="7"/>
  <c r="W516" i="7" s="1"/>
  <c r="N517" i="7"/>
  <c r="W517" i="7" s="1"/>
  <c r="N518" i="7"/>
  <c r="W518" i="7" s="1"/>
  <c r="P520" i="7"/>
  <c r="AA520" i="7" s="1"/>
  <c r="R522" i="7"/>
  <c r="Y522" i="7" s="1"/>
  <c r="AC522" i="7" s="1"/>
  <c r="P526" i="7"/>
  <c r="AA526" i="7" s="1"/>
  <c r="Y530" i="7"/>
  <c r="AC530" i="7" s="1"/>
  <c r="R536" i="7"/>
  <c r="Y536" i="7" s="1"/>
  <c r="AC536" i="7" s="1"/>
  <c r="Q539" i="7"/>
  <c r="X539" i="7" s="1"/>
  <c r="N509" i="7"/>
  <c r="W509" i="7" s="1"/>
  <c r="L525" i="7"/>
  <c r="U525" i="7" s="1"/>
  <c r="R531" i="7"/>
  <c r="Y531" i="7" s="1"/>
  <c r="P533" i="7"/>
  <c r="AA533" i="7" s="1"/>
  <c r="AK859" i="7"/>
  <c r="AJ859" i="7"/>
  <c r="K608" i="7"/>
  <c r="T608" i="7" s="1"/>
  <c r="N506" i="7"/>
  <c r="W506" i="7" s="1"/>
  <c r="AC506" i="7" s="1"/>
  <c r="R508" i="7"/>
  <c r="Y508" i="7" s="1"/>
  <c r="R512" i="7"/>
  <c r="Y512" i="7" s="1"/>
  <c r="P513" i="7"/>
  <c r="AA513" i="7" s="1"/>
  <c r="P514" i="7"/>
  <c r="AA514" i="7" s="1"/>
  <c r="P515" i="7"/>
  <c r="AA515" i="7" s="1"/>
  <c r="P516" i="7"/>
  <c r="AA516" i="7" s="1"/>
  <c r="P517" i="7"/>
  <c r="AA517" i="7" s="1"/>
  <c r="P518" i="7"/>
  <c r="AA518" i="7" s="1"/>
  <c r="R520" i="7"/>
  <c r="Y520" i="7" s="1"/>
  <c r="AC520" i="7" s="1"/>
  <c r="R526" i="7"/>
  <c r="Y526" i="7" s="1"/>
  <c r="P528" i="7"/>
  <c r="AA528" i="7" s="1"/>
  <c r="Y532" i="7"/>
  <c r="AC532" i="7" s="1"/>
  <c r="Y553" i="7"/>
  <c r="R554" i="7"/>
  <c r="Y554" i="7" s="1"/>
  <c r="Q555" i="7"/>
  <c r="X555" i="7" s="1"/>
  <c r="Y537" i="7"/>
  <c r="AK788" i="7"/>
  <c r="AJ788" i="7"/>
  <c r="R538" i="7"/>
  <c r="Y538" i="7" s="1"/>
  <c r="R544" i="7"/>
  <c r="Y544" i="7" s="1"/>
  <c r="AC544" i="7" s="1"/>
  <c r="Q545" i="7"/>
  <c r="X545" i="7" s="1"/>
  <c r="Y555" i="7"/>
  <c r="R556" i="7"/>
  <c r="Q557" i="7"/>
  <c r="X557" i="7" s="1"/>
  <c r="R558" i="7"/>
  <c r="Y558" i="7" s="1"/>
  <c r="AC558" i="7" s="1"/>
  <c r="R598" i="7"/>
  <c r="Y598" i="7" s="1"/>
  <c r="R539" i="7"/>
  <c r="Y539" i="7" s="1"/>
  <c r="Y545" i="7"/>
  <c r="R546" i="7"/>
  <c r="Y546" i="7" s="1"/>
  <c r="Q547" i="7"/>
  <c r="X547" i="7" s="1"/>
  <c r="Y557" i="7"/>
  <c r="Q540" i="7"/>
  <c r="X540" i="7" s="1"/>
  <c r="M542" i="7"/>
  <c r="V542" i="7" s="1"/>
  <c r="AJ794" i="7"/>
  <c r="AK794" i="7"/>
  <c r="AK787" i="7"/>
  <c r="AJ787" i="7"/>
  <c r="R540" i="7"/>
  <c r="Y540" i="7" s="1"/>
  <c r="AC540" i="7" s="1"/>
  <c r="K546" i="7"/>
  <c r="T546" i="7" s="1"/>
  <c r="Y547" i="7"/>
  <c r="R548" i="7"/>
  <c r="Y548" i="7" s="1"/>
  <c r="Q549" i="7"/>
  <c r="X549" i="7" s="1"/>
  <c r="AK860" i="7"/>
  <c r="AJ860" i="7"/>
  <c r="K609" i="7"/>
  <c r="T609" i="7" s="1"/>
  <c r="Y620" i="7"/>
  <c r="Y647" i="7"/>
  <c r="AK789" i="7"/>
  <c r="AJ789" i="7"/>
  <c r="Q541" i="7"/>
  <c r="X541" i="7" s="1"/>
  <c r="M543" i="7"/>
  <c r="V543" i="7" s="1"/>
  <c r="AC543" i="7" s="1"/>
  <c r="AK795" i="7"/>
  <c r="AJ795" i="7"/>
  <c r="Q563" i="7"/>
  <c r="X563" i="7" s="1"/>
  <c r="Q566" i="7"/>
  <c r="X566" i="7" s="1"/>
  <c r="Q569" i="7"/>
  <c r="X569" i="7" s="1"/>
  <c r="Q572" i="7"/>
  <c r="X572" i="7" s="1"/>
  <c r="Q575" i="7"/>
  <c r="X575" i="7" s="1"/>
  <c r="Q578" i="7"/>
  <c r="X578" i="7" s="1"/>
  <c r="Q581" i="7"/>
  <c r="X581" i="7" s="1"/>
  <c r="Q584" i="7"/>
  <c r="X584" i="7" s="1"/>
  <c r="Q587" i="7"/>
  <c r="X587" i="7" s="1"/>
  <c r="Q590" i="7"/>
  <c r="X590" i="7" s="1"/>
  <c r="Q593" i="7"/>
  <c r="X593" i="7" s="1"/>
  <c r="Q596" i="7"/>
  <c r="X596" i="7" s="1"/>
  <c r="L609" i="7"/>
  <c r="U609" i="7" s="1"/>
  <c r="S613" i="7"/>
  <c r="Y613" i="7" s="1"/>
  <c r="M627" i="7"/>
  <c r="V627" i="7" s="1"/>
  <c r="AK755" i="7"/>
  <c r="AJ755" i="7"/>
  <c r="AJ756" i="7"/>
  <c r="AK756" i="7"/>
  <c r="AK757" i="7"/>
  <c r="AJ757" i="7"/>
  <c r="AK758" i="7"/>
  <c r="AJ758" i="7"/>
  <c r="AJ759" i="7"/>
  <c r="AK759" i="7"/>
  <c r="AK760" i="7"/>
  <c r="AJ760" i="7"/>
  <c r="AK761" i="7"/>
  <c r="AJ761" i="7"/>
  <c r="AK762" i="7"/>
  <c r="AJ762" i="7"/>
  <c r="AK763" i="7"/>
  <c r="AJ763" i="7"/>
  <c r="AK764" i="7"/>
  <c r="AJ764" i="7"/>
  <c r="AK765" i="7"/>
  <c r="AJ765" i="7"/>
  <c r="AK766" i="7"/>
  <c r="AJ766" i="7"/>
  <c r="AK767" i="7"/>
  <c r="AJ767" i="7"/>
  <c r="AK768" i="7"/>
  <c r="AJ768" i="7"/>
  <c r="AK769" i="7"/>
  <c r="AJ769" i="7"/>
  <c r="AK770" i="7"/>
  <c r="AJ770" i="7"/>
  <c r="AK771" i="7"/>
  <c r="AJ771" i="7"/>
  <c r="AK772" i="7"/>
  <c r="AJ772" i="7"/>
  <c r="AK773" i="7"/>
  <c r="AJ773" i="7"/>
  <c r="AK774" i="7"/>
  <c r="AJ774" i="7"/>
  <c r="AK775" i="7"/>
  <c r="AJ775" i="7"/>
  <c r="AK776" i="7"/>
  <c r="AJ776" i="7"/>
  <c r="AK777" i="7"/>
  <c r="AJ777" i="7"/>
  <c r="AK778" i="7"/>
  <c r="AJ778" i="7"/>
  <c r="AJ779" i="7"/>
  <c r="AK779" i="7"/>
  <c r="AK780" i="7"/>
  <c r="AJ780" i="7"/>
  <c r="AK781" i="7"/>
  <c r="AJ781" i="7"/>
  <c r="AJ782" i="7"/>
  <c r="AK782" i="7"/>
  <c r="AK783" i="7"/>
  <c r="AJ783" i="7"/>
  <c r="AK784" i="7"/>
  <c r="AJ784" i="7"/>
  <c r="AJ785" i="7"/>
  <c r="AK785" i="7"/>
  <c r="AK786" i="7"/>
  <c r="AJ786" i="7"/>
  <c r="R541" i="7"/>
  <c r="AJ796" i="7"/>
  <c r="AK796" i="7"/>
  <c r="K548" i="7"/>
  <c r="T548" i="7" s="1"/>
  <c r="Y549" i="7"/>
  <c r="R550" i="7"/>
  <c r="Y550" i="7" s="1"/>
  <c r="AC550" i="7" s="1"/>
  <c r="Q551" i="7"/>
  <c r="X551" i="7" s="1"/>
  <c r="R560" i="7"/>
  <c r="Y560" i="7" s="1"/>
  <c r="AC560" i="7" s="1"/>
  <c r="R563" i="7"/>
  <c r="Y563" i="7" s="1"/>
  <c r="R566" i="7"/>
  <c r="Y566" i="7" s="1"/>
  <c r="R569" i="7"/>
  <c r="Y569" i="7" s="1"/>
  <c r="R572" i="7"/>
  <c r="Y572" i="7" s="1"/>
  <c r="R575" i="7"/>
  <c r="Y575" i="7" s="1"/>
  <c r="R578" i="7"/>
  <c r="Y578" i="7" s="1"/>
  <c r="AC578" i="7" s="1"/>
  <c r="R581" i="7"/>
  <c r="R584" i="7"/>
  <c r="Y584" i="7" s="1"/>
  <c r="R587" i="7"/>
  <c r="Y587" i="7" s="1"/>
  <c r="R590" i="7"/>
  <c r="R593" i="7"/>
  <c r="R596" i="7"/>
  <c r="AK790" i="7"/>
  <c r="AJ790" i="7"/>
  <c r="AJ797" i="7"/>
  <c r="AK797" i="7"/>
  <c r="Y590" i="7"/>
  <c r="Y593" i="7"/>
  <c r="Y596" i="7"/>
  <c r="S633" i="7"/>
  <c r="Y633" i="7" s="1"/>
  <c r="M545" i="7"/>
  <c r="V545" i="7" s="1"/>
  <c r="AJ798" i="7"/>
  <c r="AK798" i="7"/>
  <c r="Y551" i="7"/>
  <c r="R552" i="7"/>
  <c r="Y552" i="7" s="1"/>
  <c r="AC552" i="7" s="1"/>
  <c r="Q553" i="7"/>
  <c r="X553" i="7" s="1"/>
  <c r="Q559" i="7"/>
  <c r="X559" i="7" s="1"/>
  <c r="AC564" i="7"/>
  <c r="AC567" i="7"/>
  <c r="AC570" i="7"/>
  <c r="AC576" i="7"/>
  <c r="AC579" i="7"/>
  <c r="AC585" i="7"/>
  <c r="M602" i="7"/>
  <c r="V602" i="7" s="1"/>
  <c r="M607" i="7"/>
  <c r="V607" i="7" s="1"/>
  <c r="AK791" i="7"/>
  <c r="AJ791" i="7"/>
  <c r="AJ799" i="7"/>
  <c r="AK799" i="7"/>
  <c r="Q562" i="7"/>
  <c r="X562" i="7" s="1"/>
  <c r="AC562" i="7" s="1"/>
  <c r="Q565" i="7"/>
  <c r="X565" i="7" s="1"/>
  <c r="Q568" i="7"/>
  <c r="X568" i="7" s="1"/>
  <c r="AC568" i="7" s="1"/>
  <c r="Q571" i="7"/>
  <c r="X571" i="7" s="1"/>
  <c r="AC571" i="7" s="1"/>
  <c r="Q574" i="7"/>
  <c r="X574" i="7" s="1"/>
  <c r="Q577" i="7"/>
  <c r="X577" i="7" s="1"/>
  <c r="Q580" i="7"/>
  <c r="X580" i="7" s="1"/>
  <c r="Q583" i="7"/>
  <c r="X583" i="7" s="1"/>
  <c r="AC583" i="7" s="1"/>
  <c r="Q586" i="7"/>
  <c r="X586" i="7" s="1"/>
  <c r="Q589" i="7"/>
  <c r="X589" i="7" s="1"/>
  <c r="AC589" i="7" s="1"/>
  <c r="Q592" i="7"/>
  <c r="X592" i="7" s="1"/>
  <c r="AC592" i="7" s="1"/>
  <c r="Q595" i="7"/>
  <c r="X595" i="7" s="1"/>
  <c r="AC595" i="7" s="1"/>
  <c r="N601" i="7"/>
  <c r="W601" i="7" s="1"/>
  <c r="N602" i="7"/>
  <c r="W602" i="7" s="1"/>
  <c r="AK851" i="7"/>
  <c r="AJ851" i="7"/>
  <c r="AK853" i="7"/>
  <c r="AJ853" i="7"/>
  <c r="S603" i="7"/>
  <c r="Y603" i="7" s="1"/>
  <c r="M608" i="7"/>
  <c r="V608" i="7" s="1"/>
  <c r="AK861" i="7"/>
  <c r="AJ861" i="7"/>
  <c r="S614" i="7"/>
  <c r="Y614" i="7" s="1"/>
  <c r="AC614" i="7" s="1"/>
  <c r="Y619" i="7"/>
  <c r="AK874" i="7"/>
  <c r="AJ874" i="7"/>
  <c r="Y631" i="7"/>
  <c r="AC631" i="7" s="1"/>
  <c r="AC739" i="7"/>
  <c r="O600" i="7"/>
  <c r="Z600" i="7" s="1"/>
  <c r="K603" i="7"/>
  <c r="T603" i="7" s="1"/>
  <c r="M609" i="7"/>
  <c r="V609" i="7" s="1"/>
  <c r="AJ862" i="7"/>
  <c r="AK862" i="7"/>
  <c r="S615" i="7"/>
  <c r="Y615" i="7" s="1"/>
  <c r="S616" i="7"/>
  <c r="Y616" i="7" s="1"/>
  <c r="S617" i="7"/>
  <c r="Y617" i="7" s="1"/>
  <c r="S618" i="7"/>
  <c r="Y618" i="7" s="1"/>
  <c r="AK873" i="7"/>
  <c r="AJ873" i="7"/>
  <c r="Y630" i="7"/>
  <c r="Y639" i="7"/>
  <c r="Y649" i="7"/>
  <c r="Y663" i="7"/>
  <c r="L669" i="7"/>
  <c r="U669" i="7" s="1"/>
  <c r="S604" i="7"/>
  <c r="Y604" i="7" s="1"/>
  <c r="M610" i="7"/>
  <c r="V610" i="7" s="1"/>
  <c r="AK863" i="7"/>
  <c r="AJ863" i="7"/>
  <c r="AK872" i="7"/>
  <c r="AJ872" i="7"/>
  <c r="M623" i="7"/>
  <c r="V623" i="7" s="1"/>
  <c r="S629" i="7"/>
  <c r="Y629" i="7" s="1"/>
  <c r="AC629" i="7" s="1"/>
  <c r="M635" i="7"/>
  <c r="V635" i="7" s="1"/>
  <c r="Y644" i="7"/>
  <c r="AC644" i="7" s="1"/>
  <c r="L662" i="7"/>
  <c r="U662" i="7" s="1"/>
  <c r="AC675" i="7"/>
  <c r="M590" i="7"/>
  <c r="V590" i="7" s="1"/>
  <c r="AC590" i="7" s="1"/>
  <c r="S605" i="7"/>
  <c r="Y605" i="7" s="1"/>
  <c r="M611" i="7"/>
  <c r="V611" i="7" s="1"/>
  <c r="AK864" i="7"/>
  <c r="AJ864" i="7"/>
  <c r="AK871" i="7"/>
  <c r="AJ871" i="7"/>
  <c r="M622" i="7"/>
  <c r="V622" i="7" s="1"/>
  <c r="S628" i="7"/>
  <c r="Y628" i="7" s="1"/>
  <c r="M634" i="7"/>
  <c r="V634" i="7" s="1"/>
  <c r="M645" i="7"/>
  <c r="V645" i="7" s="1"/>
  <c r="M657" i="7"/>
  <c r="V657" i="7" s="1"/>
  <c r="AJ800" i="7"/>
  <c r="AK800" i="7"/>
  <c r="AJ801" i="7"/>
  <c r="AK801" i="7"/>
  <c r="AJ802" i="7"/>
  <c r="AK802" i="7"/>
  <c r="AJ803" i="7"/>
  <c r="AK803" i="7"/>
  <c r="AJ804" i="7"/>
  <c r="AK804" i="7"/>
  <c r="AJ805" i="7"/>
  <c r="AK805" i="7"/>
  <c r="AJ806" i="7"/>
  <c r="AK806" i="7"/>
  <c r="AJ807" i="7"/>
  <c r="AK807" i="7"/>
  <c r="AJ808" i="7"/>
  <c r="AK808" i="7"/>
  <c r="AJ809" i="7"/>
  <c r="AK809" i="7"/>
  <c r="AJ810" i="7"/>
  <c r="AK810" i="7"/>
  <c r="AJ811" i="7"/>
  <c r="AK811" i="7"/>
  <c r="AJ812" i="7"/>
  <c r="AK812" i="7"/>
  <c r="AJ813" i="7"/>
  <c r="AK813" i="7"/>
  <c r="AJ814" i="7"/>
  <c r="AK814" i="7"/>
  <c r="AJ815" i="7"/>
  <c r="AK815" i="7"/>
  <c r="AJ816" i="7"/>
  <c r="AK816" i="7"/>
  <c r="AJ817" i="7"/>
  <c r="AK817" i="7"/>
  <c r="AJ818" i="7"/>
  <c r="AK818" i="7"/>
  <c r="AJ819" i="7"/>
  <c r="AK819" i="7"/>
  <c r="AJ820" i="7"/>
  <c r="AK820" i="7"/>
  <c r="AJ821" i="7"/>
  <c r="AK821" i="7"/>
  <c r="AK822" i="7"/>
  <c r="AJ822" i="7"/>
  <c r="AJ823" i="7"/>
  <c r="AK823" i="7"/>
  <c r="AK824" i="7"/>
  <c r="AJ824" i="7"/>
  <c r="AK825" i="7"/>
  <c r="AJ825" i="7"/>
  <c r="AK826" i="7"/>
  <c r="AJ826" i="7"/>
  <c r="AK827" i="7"/>
  <c r="AJ827" i="7"/>
  <c r="AJ828" i="7"/>
  <c r="AK828" i="7"/>
  <c r="AK829" i="7"/>
  <c r="AJ829" i="7"/>
  <c r="AK830" i="7"/>
  <c r="AJ830" i="7"/>
  <c r="AK831" i="7"/>
  <c r="AJ831" i="7"/>
  <c r="AK832" i="7"/>
  <c r="AJ832" i="7"/>
  <c r="AK833" i="7"/>
  <c r="AJ833" i="7"/>
  <c r="AK834" i="7"/>
  <c r="AJ834" i="7"/>
  <c r="AK835" i="7"/>
  <c r="AJ835" i="7"/>
  <c r="AK836" i="7"/>
  <c r="AJ836" i="7"/>
  <c r="AK837" i="7"/>
  <c r="AJ837" i="7"/>
  <c r="AK838" i="7"/>
  <c r="AJ838" i="7"/>
  <c r="AK839" i="7"/>
  <c r="AJ839" i="7"/>
  <c r="AK840" i="7"/>
  <c r="AJ840" i="7"/>
  <c r="AK841" i="7"/>
  <c r="AJ841" i="7"/>
  <c r="AK842" i="7"/>
  <c r="AJ842" i="7"/>
  <c r="AK843" i="7"/>
  <c r="AJ843" i="7"/>
  <c r="AK844" i="7"/>
  <c r="AJ844" i="7"/>
  <c r="AK845" i="7"/>
  <c r="AJ845" i="7"/>
  <c r="AK846" i="7"/>
  <c r="AJ846" i="7"/>
  <c r="AK847" i="7"/>
  <c r="AJ847" i="7"/>
  <c r="AK848" i="7"/>
  <c r="AJ848" i="7"/>
  <c r="AK849" i="7"/>
  <c r="AJ849" i="7"/>
  <c r="AK850" i="7"/>
  <c r="AJ850" i="7"/>
  <c r="S601" i="7"/>
  <c r="Y601" i="7" s="1"/>
  <c r="AK854" i="7"/>
  <c r="AJ854" i="7"/>
  <c r="S606" i="7"/>
  <c r="Y606" i="7" s="1"/>
  <c r="M612" i="7"/>
  <c r="V612" i="7" s="1"/>
  <c r="AK865" i="7"/>
  <c r="AJ865" i="7"/>
  <c r="AK870" i="7"/>
  <c r="AJ870" i="7"/>
  <c r="AC665" i="7"/>
  <c r="L667" i="7"/>
  <c r="U667" i="7" s="1"/>
  <c r="L605" i="7"/>
  <c r="U605" i="7" s="1"/>
  <c r="K606" i="7"/>
  <c r="T606" i="7" s="1"/>
  <c r="S607" i="7"/>
  <c r="Y607" i="7" s="1"/>
  <c r="AC607" i="7" s="1"/>
  <c r="M613" i="7"/>
  <c r="V613" i="7" s="1"/>
  <c r="AK866" i="7"/>
  <c r="AJ866" i="7"/>
  <c r="AK867" i="7"/>
  <c r="AJ867" i="7"/>
  <c r="AK868" i="7"/>
  <c r="AJ868" i="7"/>
  <c r="AK869" i="7"/>
  <c r="AJ869" i="7"/>
  <c r="M620" i="7"/>
  <c r="V620" i="7" s="1"/>
  <c r="S626" i="7"/>
  <c r="Y626" i="7" s="1"/>
  <c r="AC627" i="7"/>
  <c r="M632" i="7"/>
  <c r="V632" i="7" s="1"/>
  <c r="AC632" i="7" s="1"/>
  <c r="M647" i="7"/>
  <c r="V647" i="7" s="1"/>
  <c r="M659" i="7"/>
  <c r="V659" i="7" s="1"/>
  <c r="AC663" i="7"/>
  <c r="AK855" i="7"/>
  <c r="AJ855" i="7"/>
  <c r="AC641" i="7"/>
  <c r="M642" i="7"/>
  <c r="V642" i="7" s="1"/>
  <c r="Y648" i="7"/>
  <c r="AC648" i="7" s="1"/>
  <c r="M654" i="7"/>
  <c r="V654" i="7" s="1"/>
  <c r="AC654" i="7" s="1"/>
  <c r="S666" i="7"/>
  <c r="Y666" i="7" s="1"/>
  <c r="S667" i="7"/>
  <c r="Y667" i="7" s="1"/>
  <c r="AC677" i="7"/>
  <c r="R600" i="7"/>
  <c r="AK856" i="7"/>
  <c r="AJ856" i="7"/>
  <c r="S609" i="7"/>
  <c r="Y609" i="7" s="1"/>
  <c r="M615" i="7"/>
  <c r="V615" i="7" s="1"/>
  <c r="M616" i="7"/>
  <c r="V616" i="7" s="1"/>
  <c r="M617" i="7"/>
  <c r="V617" i="7" s="1"/>
  <c r="M618" i="7"/>
  <c r="V618" i="7" s="1"/>
  <c r="S624" i="7"/>
  <c r="Y624" i="7" s="1"/>
  <c r="M630" i="7"/>
  <c r="V630" i="7" s="1"/>
  <c r="AC630" i="7" s="1"/>
  <c r="S636" i="7"/>
  <c r="Y636" i="7" s="1"/>
  <c r="AC636" i="7" s="1"/>
  <c r="M639" i="7"/>
  <c r="V639" i="7" s="1"/>
  <c r="Y643" i="7"/>
  <c r="AC643" i="7" s="1"/>
  <c r="M649" i="7"/>
  <c r="V649" i="7" s="1"/>
  <c r="AC649" i="7" s="1"/>
  <c r="Y655" i="7"/>
  <c r="S599" i="7"/>
  <c r="Y599" i="7" s="1"/>
  <c r="AC599" i="7" s="1"/>
  <c r="AK852" i="7"/>
  <c r="AJ852" i="7"/>
  <c r="AK857" i="7"/>
  <c r="AJ857" i="7"/>
  <c r="AC655" i="7"/>
  <c r="K600" i="7"/>
  <c r="T600" i="7" s="1"/>
  <c r="K602" i="7"/>
  <c r="T602" i="7" s="1"/>
  <c r="M605" i="7"/>
  <c r="V605" i="7" s="1"/>
  <c r="AK858" i="7"/>
  <c r="AJ858" i="7"/>
  <c r="K610" i="7"/>
  <c r="T610" i="7" s="1"/>
  <c r="S611" i="7"/>
  <c r="S622" i="7"/>
  <c r="Y622" i="7" s="1"/>
  <c r="K623" i="7"/>
  <c r="T623" i="7" s="1"/>
  <c r="M628" i="7"/>
  <c r="V628" i="7" s="1"/>
  <c r="S634" i="7"/>
  <c r="Y645" i="7"/>
  <c r="M651" i="7"/>
  <c r="V651" i="7" s="1"/>
  <c r="AC651" i="7" s="1"/>
  <c r="Y657" i="7"/>
  <c r="M660" i="7"/>
  <c r="V660" i="7" s="1"/>
  <c r="K664" i="7"/>
  <c r="T664" i="7" s="1"/>
  <c r="K668" i="7"/>
  <c r="T668" i="7" s="1"/>
  <c r="AC668" i="7" s="1"/>
  <c r="Y694" i="7"/>
  <c r="P669" i="7"/>
  <c r="AA669" i="7" s="1"/>
  <c r="R671" i="7"/>
  <c r="Y671" i="7" s="1"/>
  <c r="K673" i="7"/>
  <c r="T673" i="7" s="1"/>
  <c r="R692" i="7"/>
  <c r="Y692" i="7" s="1"/>
  <c r="AC692" i="7" s="1"/>
  <c r="AK876" i="7"/>
  <c r="AJ876" i="7"/>
  <c r="AK877" i="7"/>
  <c r="AJ877" i="7"/>
  <c r="AK878" i="7"/>
  <c r="AJ878" i="7"/>
  <c r="AK879" i="7"/>
  <c r="AJ879" i="7"/>
  <c r="AK880" i="7"/>
  <c r="AJ880" i="7"/>
  <c r="AK881" i="7"/>
  <c r="AJ881" i="7"/>
  <c r="AK882" i="7"/>
  <c r="AJ882" i="7"/>
  <c r="AK883" i="7"/>
  <c r="AJ883" i="7"/>
  <c r="AK884" i="7"/>
  <c r="AJ884" i="7"/>
  <c r="AK885" i="7"/>
  <c r="AJ885" i="7"/>
  <c r="AK886" i="7"/>
  <c r="AJ886" i="7"/>
  <c r="AK887" i="7"/>
  <c r="AJ887" i="7"/>
  <c r="AK888" i="7"/>
  <c r="AJ888" i="7"/>
  <c r="AK889" i="7"/>
  <c r="AJ889" i="7"/>
  <c r="AK890" i="7"/>
  <c r="AJ890" i="7"/>
  <c r="AJ891" i="7"/>
  <c r="AK891" i="7"/>
  <c r="AJ892" i="7"/>
  <c r="AK892" i="7"/>
  <c r="AJ893" i="7"/>
  <c r="AK893" i="7"/>
  <c r="AJ894" i="7"/>
  <c r="AK894" i="7"/>
  <c r="AJ895" i="7"/>
  <c r="AK895" i="7"/>
  <c r="AJ896" i="7"/>
  <c r="AK896" i="7"/>
  <c r="AJ897" i="7"/>
  <c r="AK897" i="7"/>
  <c r="AJ898" i="7"/>
  <c r="AK898" i="7"/>
  <c r="AJ899" i="7"/>
  <c r="AK899" i="7"/>
  <c r="AJ900" i="7"/>
  <c r="AK900" i="7"/>
  <c r="AJ901" i="7"/>
  <c r="AK901" i="7"/>
  <c r="AK902" i="7"/>
  <c r="AJ902" i="7"/>
  <c r="AK903" i="7"/>
  <c r="AJ903" i="7"/>
  <c r="AK904" i="7"/>
  <c r="AJ904" i="7"/>
  <c r="AK905" i="7"/>
  <c r="AJ905" i="7"/>
  <c r="AK906" i="7"/>
  <c r="AJ906" i="7"/>
  <c r="AK907" i="7"/>
  <c r="AJ907" i="7"/>
  <c r="Q662" i="7"/>
  <c r="X662" i="7" s="1"/>
  <c r="L673" i="7"/>
  <c r="U673" i="7" s="1"/>
  <c r="R674" i="7"/>
  <c r="Y674" i="7" s="1"/>
  <c r="AC674" i="7" s="1"/>
  <c r="K681" i="7"/>
  <c r="T681" i="7" s="1"/>
  <c r="Y686" i="7"/>
  <c r="AC686" i="7" s="1"/>
  <c r="Q660" i="7"/>
  <c r="X660" i="7" s="1"/>
  <c r="M663" i="7"/>
  <c r="V663" i="7" s="1"/>
  <c r="P667" i="7"/>
  <c r="AA667" i="7" s="1"/>
  <c r="R669" i="7"/>
  <c r="Y669" i="7" s="1"/>
  <c r="AC669" i="7" s="1"/>
  <c r="R690" i="7"/>
  <c r="P672" i="7"/>
  <c r="AA672" i="7" s="1"/>
  <c r="AC694" i="7"/>
  <c r="R695" i="7"/>
  <c r="Y695" i="7" s="1"/>
  <c r="AC695" i="7" s="1"/>
  <c r="R661" i="7"/>
  <c r="R667" i="7"/>
  <c r="Q672" i="7"/>
  <c r="X672" i="7" s="1"/>
  <c r="R688" i="7"/>
  <c r="Q664" i="7"/>
  <c r="X664" i="7" s="1"/>
  <c r="P670" i="7"/>
  <c r="AA670" i="7" s="1"/>
  <c r="AC670" i="7" s="1"/>
  <c r="R672" i="7"/>
  <c r="Y672" i="7" s="1"/>
  <c r="R676" i="7"/>
  <c r="Y676" i="7" s="1"/>
  <c r="AC676" i="7" s="1"/>
  <c r="R684" i="7"/>
  <c r="Y684" i="7" s="1"/>
  <c r="AC684" i="7" s="1"/>
  <c r="K685" i="7"/>
  <c r="T685" i="7" s="1"/>
  <c r="Y689" i="7"/>
  <c r="AC689" i="7" s="1"/>
  <c r="R693" i="7"/>
  <c r="Y693" i="7" s="1"/>
  <c r="AC693" i="7" s="1"/>
  <c r="R660" i="7"/>
  <c r="Y660" i="7" s="1"/>
  <c r="R664" i="7"/>
  <c r="Y664" i="7" s="1"/>
  <c r="Q670" i="7"/>
  <c r="X670" i="7" s="1"/>
  <c r="Y685" i="7"/>
  <c r="R686" i="7"/>
  <c r="L711" i="7"/>
  <c r="U711" i="7" s="1"/>
  <c r="L712" i="7"/>
  <c r="U712" i="7" s="1"/>
  <c r="Y687" i="7"/>
  <c r="AC687" i="7" s="1"/>
  <c r="AC701" i="7"/>
  <c r="R659" i="7"/>
  <c r="Y659" i="7" s="1"/>
  <c r="Q666" i="7"/>
  <c r="X666" i="7" s="1"/>
  <c r="Q668" i="7"/>
  <c r="X668" i="7" s="1"/>
  <c r="P673" i="7"/>
  <c r="AA673" i="7" s="1"/>
  <c r="R679" i="7"/>
  <c r="Y679" i="7" s="1"/>
  <c r="AC679" i="7" s="1"/>
  <c r="R680" i="7"/>
  <c r="R681" i="7"/>
  <c r="Y681" i="7" s="1"/>
  <c r="K682" i="7"/>
  <c r="T682" i="7" s="1"/>
  <c r="R696" i="7"/>
  <c r="Y696" i="7" s="1"/>
  <c r="R698" i="7"/>
  <c r="Y698" i="7" s="1"/>
  <c r="AC698" i="7" s="1"/>
  <c r="R700" i="7"/>
  <c r="Y700" i="7" s="1"/>
  <c r="R702" i="7"/>
  <c r="Y702" i="7" s="1"/>
  <c r="AC702" i="7" s="1"/>
  <c r="R704" i="7"/>
  <c r="Y704" i="7" s="1"/>
  <c r="AC704" i="7" s="1"/>
  <c r="R706" i="7"/>
  <c r="Y706" i="7" s="1"/>
  <c r="AC706" i="7" s="1"/>
  <c r="R708" i="7"/>
  <c r="Y708" i="7" s="1"/>
  <c r="AC708" i="7" s="1"/>
  <c r="R710" i="7"/>
  <c r="Y710" i="7" s="1"/>
  <c r="R711" i="7"/>
  <c r="Y711" i="7" s="1"/>
  <c r="S709" i="7"/>
  <c r="Y709" i="7" s="1"/>
  <c r="AC709" i="7" s="1"/>
  <c r="M719" i="7"/>
  <c r="V719" i="7" s="1"/>
  <c r="P750" i="7"/>
  <c r="AA750" i="7" s="1"/>
  <c r="P751" i="7"/>
  <c r="AA751" i="7" s="1"/>
  <c r="AC732" i="7"/>
  <c r="M744" i="7"/>
  <c r="V744" i="7" s="1"/>
  <c r="M745" i="7"/>
  <c r="V745" i="7" s="1"/>
  <c r="S750" i="7"/>
  <c r="Y750" i="7" s="1"/>
  <c r="Y761" i="7"/>
  <c r="L696" i="7"/>
  <c r="U696" i="7" s="1"/>
  <c r="L722" i="7"/>
  <c r="U722" i="7" s="1"/>
  <c r="M742" i="7"/>
  <c r="V742" i="7" s="1"/>
  <c r="AC742" i="7" s="1"/>
  <c r="M716" i="7"/>
  <c r="V716" i="7" s="1"/>
  <c r="AC716" i="7" s="1"/>
  <c r="M722" i="7"/>
  <c r="V722" i="7" s="1"/>
  <c r="L727" i="7"/>
  <c r="U727" i="7" s="1"/>
  <c r="M735" i="7"/>
  <c r="V735" i="7" s="1"/>
  <c r="M712" i="7"/>
  <c r="V712" i="7" s="1"/>
  <c r="M713" i="7"/>
  <c r="V713" i="7" s="1"/>
  <c r="M714" i="7"/>
  <c r="V714" i="7" s="1"/>
  <c r="M715" i="7"/>
  <c r="V715" i="7" s="1"/>
  <c r="AC715" i="7" s="1"/>
  <c r="M727" i="7"/>
  <c r="V727" i="7" s="1"/>
  <c r="M730" i="7"/>
  <c r="V730" i="7" s="1"/>
  <c r="M740" i="7"/>
  <c r="V740" i="7" s="1"/>
  <c r="Y765" i="7"/>
  <c r="N712" i="7"/>
  <c r="W712" i="7" s="1"/>
  <c r="N713" i="7"/>
  <c r="W713" i="7" s="1"/>
  <c r="L719" i="7"/>
  <c r="U719" i="7" s="1"/>
  <c r="M720" i="7"/>
  <c r="V720" i="7" s="1"/>
  <c r="AC720" i="7" s="1"/>
  <c r="AC721" i="7"/>
  <c r="L725" i="7"/>
  <c r="U725" i="7" s="1"/>
  <c r="M733" i="7"/>
  <c r="V733" i="7" s="1"/>
  <c r="K746" i="7"/>
  <c r="T746" i="7" s="1"/>
  <c r="K747" i="7"/>
  <c r="T747" i="7" s="1"/>
  <c r="S754" i="7"/>
  <c r="Y754" i="7" s="1"/>
  <c r="M710" i="7"/>
  <c r="V710" i="7" s="1"/>
  <c r="AC718" i="7"/>
  <c r="M725" i="7"/>
  <c r="V725" i="7" s="1"/>
  <c r="AC726" i="7"/>
  <c r="M738" i="7"/>
  <c r="V738" i="7" s="1"/>
  <c r="AC738" i="7" s="1"/>
  <c r="S759" i="7"/>
  <c r="Y759" i="7" s="1"/>
  <c r="AC759" i="7" s="1"/>
  <c r="L723" i="7"/>
  <c r="U723" i="7" s="1"/>
  <c r="L728" i="7"/>
  <c r="U728" i="7" s="1"/>
  <c r="AC729" i="7"/>
  <c r="M743" i="7"/>
  <c r="V743" i="7" s="1"/>
  <c r="K756" i="7"/>
  <c r="T756" i="7" s="1"/>
  <c r="K757" i="7"/>
  <c r="T757" i="7" s="1"/>
  <c r="Q712" i="7"/>
  <c r="X712" i="7" s="1"/>
  <c r="Q713" i="7"/>
  <c r="X713" i="7" s="1"/>
  <c r="AC717" i="7"/>
  <c r="M723" i="7"/>
  <c r="V723" i="7" s="1"/>
  <c r="AC724" i="7"/>
  <c r="M728" i="7"/>
  <c r="V728" i="7" s="1"/>
  <c r="M731" i="7"/>
  <c r="V731" i="7" s="1"/>
  <c r="M736" i="7"/>
  <c r="V736" i="7" s="1"/>
  <c r="Q779" i="7"/>
  <c r="X779" i="7" s="1"/>
  <c r="Q778" i="7"/>
  <c r="X778" i="7" s="1"/>
  <c r="P748" i="7"/>
  <c r="AA748" i="7" s="1"/>
  <c r="K749" i="7"/>
  <c r="T749" i="7" s="1"/>
  <c r="K753" i="7"/>
  <c r="T753" i="7" s="1"/>
  <c r="K758" i="7"/>
  <c r="T758" i="7" s="1"/>
  <c r="Q760" i="7"/>
  <c r="X760" i="7" s="1"/>
  <c r="P764" i="7"/>
  <c r="AA764" i="7" s="1"/>
  <c r="P746" i="7"/>
  <c r="AA746" i="7" s="1"/>
  <c r="S748" i="7"/>
  <c r="Y748" i="7" s="1"/>
  <c r="L749" i="7"/>
  <c r="U749" i="7" s="1"/>
  <c r="S762" i="7"/>
  <c r="Y762" i="7" s="1"/>
  <c r="S766" i="7"/>
  <c r="Y766" i="7" s="1"/>
  <c r="S746" i="7"/>
  <c r="Y746" i="7" s="1"/>
  <c r="M752" i="7"/>
  <c r="V752" i="7" s="1"/>
  <c r="P755" i="7"/>
  <c r="AA755" i="7" s="1"/>
  <c r="Y772" i="7"/>
  <c r="Q776" i="7"/>
  <c r="X776" i="7" s="1"/>
  <c r="Q744" i="7"/>
  <c r="X744" i="7" s="1"/>
  <c r="L745" i="7"/>
  <c r="U745" i="7" s="1"/>
  <c r="L747" i="7"/>
  <c r="U747" i="7" s="1"/>
  <c r="P771" i="7"/>
  <c r="AA771" i="7" s="1"/>
  <c r="Y775" i="7"/>
  <c r="AC775" i="7" s="1"/>
  <c r="Y778" i="7"/>
  <c r="P756" i="7"/>
  <c r="AA756" i="7" s="1"/>
  <c r="Y770" i="7"/>
  <c r="AC770" i="7" s="1"/>
  <c r="Q771" i="7"/>
  <c r="X771" i="7" s="1"/>
  <c r="L789" i="7"/>
  <c r="U789" i="7" s="1"/>
  <c r="L790" i="7"/>
  <c r="U790" i="7" s="1"/>
  <c r="N745" i="7"/>
  <c r="W745" i="7" s="1"/>
  <c r="Q746" i="7"/>
  <c r="X746" i="7" s="1"/>
  <c r="Q748" i="7"/>
  <c r="X748" i="7" s="1"/>
  <c r="M749" i="7"/>
  <c r="V749" i="7" s="1"/>
  <c r="M753" i="7"/>
  <c r="V753" i="7" s="1"/>
  <c r="Q756" i="7"/>
  <c r="X756" i="7" s="1"/>
  <c r="Y768" i="7"/>
  <c r="P769" i="7"/>
  <c r="AA769" i="7" s="1"/>
  <c r="P774" i="7"/>
  <c r="AA774" i="7" s="1"/>
  <c r="Q752" i="7"/>
  <c r="X752" i="7" s="1"/>
  <c r="P757" i="7"/>
  <c r="AA757" i="7" s="1"/>
  <c r="K760" i="7"/>
  <c r="T760" i="7" s="1"/>
  <c r="Q769" i="7"/>
  <c r="X769" i="7" s="1"/>
  <c r="Q774" i="7"/>
  <c r="X774" i="7" s="1"/>
  <c r="Q777" i="7"/>
  <c r="X777" i="7" s="1"/>
  <c r="AC777" i="7" s="1"/>
  <c r="Y785" i="7"/>
  <c r="Q757" i="7"/>
  <c r="X757" i="7" s="1"/>
  <c r="Q762" i="7"/>
  <c r="X762" i="7" s="1"/>
  <c r="Q766" i="7"/>
  <c r="X766" i="7" s="1"/>
  <c r="AC766" i="7" s="1"/>
  <c r="Y776" i="7"/>
  <c r="Y779" i="7"/>
  <c r="M750" i="7"/>
  <c r="V750" i="7" s="1"/>
  <c r="M754" i="7"/>
  <c r="V754" i="7" s="1"/>
  <c r="P758" i="7"/>
  <c r="AA758" i="7" s="1"/>
  <c r="P772" i="7"/>
  <c r="AA772" i="7" s="1"/>
  <c r="Q749" i="7"/>
  <c r="X749" i="7" s="1"/>
  <c r="Q753" i="7"/>
  <c r="X753" i="7" s="1"/>
  <c r="Q758" i="7"/>
  <c r="X758" i="7" s="1"/>
  <c r="P761" i="7"/>
  <c r="AA761" i="7" s="1"/>
  <c r="P765" i="7"/>
  <c r="AA765" i="7" s="1"/>
  <c r="Y771" i="7"/>
  <c r="Q772" i="7"/>
  <c r="X772" i="7" s="1"/>
  <c r="M785" i="7"/>
  <c r="V785" i="7" s="1"/>
  <c r="L793" i="7"/>
  <c r="U793" i="7" s="1"/>
  <c r="AC793" i="7" s="1"/>
  <c r="N789" i="7"/>
  <c r="W789" i="7" s="1"/>
  <c r="AC810" i="7"/>
  <c r="AC816" i="7"/>
  <c r="AC818" i="7"/>
  <c r="R788" i="7"/>
  <c r="Y788" i="7" s="1"/>
  <c r="P789" i="7"/>
  <c r="AA789" i="7" s="1"/>
  <c r="K790" i="7"/>
  <c r="T790" i="7" s="1"/>
  <c r="R867" i="7"/>
  <c r="Y867" i="7" s="1"/>
  <c r="R868" i="7"/>
  <c r="Y868" i="7" s="1"/>
  <c r="AC868" i="7" s="1"/>
  <c r="N792" i="7"/>
  <c r="W792" i="7" s="1"/>
  <c r="AC803" i="7"/>
  <c r="L829" i="7"/>
  <c r="U829" i="7" s="1"/>
  <c r="N793" i="7"/>
  <c r="W793" i="7" s="1"/>
  <c r="P780" i="7"/>
  <c r="AA780" i="7" s="1"/>
  <c r="L782" i="7"/>
  <c r="U782" i="7" s="1"/>
  <c r="P783" i="7"/>
  <c r="AA783" i="7" s="1"/>
  <c r="AC783" i="7" s="1"/>
  <c r="L785" i="7"/>
  <c r="U785" i="7" s="1"/>
  <c r="P786" i="7"/>
  <c r="AA786" i="7" s="1"/>
  <c r="L788" i="7"/>
  <c r="U788" i="7" s="1"/>
  <c r="R791" i="7"/>
  <c r="Y791" i="7" s="1"/>
  <c r="AC791" i="7" s="1"/>
  <c r="N795" i="7"/>
  <c r="W795" i="7" s="1"/>
  <c r="AC795" i="7" s="1"/>
  <c r="N798" i="7"/>
  <c r="W798" i="7" s="1"/>
  <c r="AC819" i="7"/>
  <c r="N797" i="7"/>
  <c r="W797" i="7" s="1"/>
  <c r="M802" i="7"/>
  <c r="V802" i="7" s="1"/>
  <c r="AC806" i="7"/>
  <c r="R755" i="7"/>
  <c r="Y755" i="7" s="1"/>
  <c r="AC755" i="7" s="1"/>
  <c r="AC799" i="7"/>
  <c r="AC822" i="7"/>
  <c r="P823" i="7"/>
  <c r="AA823" i="7" s="1"/>
  <c r="K824" i="7"/>
  <c r="T824" i="7" s="1"/>
  <c r="P828" i="7"/>
  <c r="AA828" i="7" s="1"/>
  <c r="L855" i="7"/>
  <c r="U855" i="7" s="1"/>
  <c r="L856" i="7"/>
  <c r="U856" i="7" s="1"/>
  <c r="R864" i="7"/>
  <c r="Y864" i="7" s="1"/>
  <c r="R865" i="7"/>
  <c r="R823" i="7"/>
  <c r="Y823" i="7" s="1"/>
  <c r="M828" i="7"/>
  <c r="V828" i="7" s="1"/>
  <c r="M836" i="7"/>
  <c r="V836" i="7" s="1"/>
  <c r="AC836" i="7" s="1"/>
  <c r="R870" i="7"/>
  <c r="Y870" i="7" s="1"/>
  <c r="R871" i="7"/>
  <c r="Y871" i="7" s="1"/>
  <c r="AC871" i="7" s="1"/>
  <c r="O824" i="7"/>
  <c r="Z824" i="7" s="1"/>
  <c r="N828" i="7"/>
  <c r="W828" i="7" s="1"/>
  <c r="R873" i="7"/>
  <c r="Y873" i="7" s="1"/>
  <c r="R874" i="7"/>
  <c r="Y874" i="7" s="1"/>
  <c r="AC869" i="7"/>
  <c r="M824" i="7"/>
  <c r="V824" i="7" s="1"/>
  <c r="N829" i="7"/>
  <c r="W829" i="7" s="1"/>
  <c r="Y829" i="7"/>
  <c r="P834" i="7"/>
  <c r="AA834" i="7" s="1"/>
  <c r="N861" i="7"/>
  <c r="W861" i="7" s="1"/>
  <c r="M830" i="7"/>
  <c r="V830" i="7" s="1"/>
  <c r="Y824" i="7"/>
  <c r="O826" i="7"/>
  <c r="Z826" i="7" s="1"/>
  <c r="N830" i="7"/>
  <c r="W830" i="7" s="1"/>
  <c r="M831" i="7"/>
  <c r="V831" i="7" s="1"/>
  <c r="P882" i="7"/>
  <c r="AA882" i="7" s="1"/>
  <c r="P883" i="7"/>
  <c r="AA883" i="7" s="1"/>
  <c r="M825" i="7"/>
  <c r="V825" i="7" s="1"/>
  <c r="N831" i="7"/>
  <c r="W831" i="7" s="1"/>
  <c r="M832" i="7"/>
  <c r="V832" i="7" s="1"/>
  <c r="M834" i="7"/>
  <c r="V834" i="7" s="1"/>
  <c r="L837" i="7"/>
  <c r="U837" i="7" s="1"/>
  <c r="R858" i="7"/>
  <c r="Y858" i="7" s="1"/>
  <c r="L839" i="7"/>
  <c r="U839" i="7" s="1"/>
  <c r="L841" i="7"/>
  <c r="U841" i="7" s="1"/>
  <c r="L843" i="7"/>
  <c r="U843" i="7" s="1"/>
  <c r="L845" i="7"/>
  <c r="U845" i="7" s="1"/>
  <c r="L847" i="7"/>
  <c r="U847" i="7" s="1"/>
  <c r="L849" i="7"/>
  <c r="U849" i="7" s="1"/>
  <c r="L851" i="7"/>
  <c r="U851" i="7" s="1"/>
  <c r="N833" i="7"/>
  <c r="W833" i="7" s="1"/>
  <c r="AC833" i="7" s="1"/>
  <c r="M839" i="7"/>
  <c r="V839" i="7" s="1"/>
  <c r="M841" i="7"/>
  <c r="V841" i="7" s="1"/>
  <c r="M843" i="7"/>
  <c r="V843" i="7" s="1"/>
  <c r="M845" i="7"/>
  <c r="V845" i="7" s="1"/>
  <c r="M847" i="7"/>
  <c r="V847" i="7" s="1"/>
  <c r="M849" i="7"/>
  <c r="V849" i="7" s="1"/>
  <c r="AC849" i="7" s="1"/>
  <c r="M851" i="7"/>
  <c r="V851" i="7" s="1"/>
  <c r="L853" i="7"/>
  <c r="U853" i="7" s="1"/>
  <c r="P859" i="7"/>
  <c r="AA859" i="7" s="1"/>
  <c r="S889" i="7"/>
  <c r="Y889" i="7" s="1"/>
  <c r="S890" i="7"/>
  <c r="Y890" i="7" s="1"/>
  <c r="N826" i="7"/>
  <c r="W826" i="7" s="1"/>
  <c r="AC842" i="7"/>
  <c r="AC848" i="7"/>
  <c r="AC850" i="7"/>
  <c r="M853" i="7"/>
  <c r="V853" i="7" s="1"/>
  <c r="L888" i="7"/>
  <c r="U888" i="7" s="1"/>
  <c r="AC888" i="7" s="1"/>
  <c r="L889" i="7"/>
  <c r="U889" i="7" s="1"/>
  <c r="P860" i="7"/>
  <c r="AA860" i="7" s="1"/>
  <c r="O861" i="7"/>
  <c r="Z861" i="7" s="1"/>
  <c r="N862" i="7"/>
  <c r="W862" i="7" s="1"/>
  <c r="Y875" i="7"/>
  <c r="AC875" i="7" s="1"/>
  <c r="O876" i="7"/>
  <c r="Z876" i="7" s="1"/>
  <c r="S887" i="7"/>
  <c r="Y887" i="7" s="1"/>
  <c r="S888" i="7"/>
  <c r="Y888" i="7" s="1"/>
  <c r="Y855" i="7"/>
  <c r="P861" i="7"/>
  <c r="AA861" i="7" s="1"/>
  <c r="O862" i="7"/>
  <c r="Z862" i="7" s="1"/>
  <c r="P863" i="7"/>
  <c r="AA863" i="7" s="1"/>
  <c r="Y865" i="7"/>
  <c r="N881" i="7"/>
  <c r="W881" i="7" s="1"/>
  <c r="N882" i="7"/>
  <c r="W882" i="7" s="1"/>
  <c r="Y882" i="7"/>
  <c r="P855" i="7"/>
  <c r="AA855" i="7" s="1"/>
  <c r="AC855" i="7" s="1"/>
  <c r="O881" i="7"/>
  <c r="Z881" i="7" s="1"/>
  <c r="O882" i="7"/>
  <c r="Z882" i="7" s="1"/>
  <c r="O894" i="7"/>
  <c r="Z894" i="7" s="1"/>
  <c r="K898" i="7"/>
  <c r="T898" i="7" s="1"/>
  <c r="O886" i="7"/>
  <c r="Z886" i="7" s="1"/>
  <c r="O887" i="7"/>
  <c r="Z887" i="7" s="1"/>
  <c r="P894" i="7"/>
  <c r="AA894" i="7" s="1"/>
  <c r="S903" i="7"/>
  <c r="Y903" i="7" s="1"/>
  <c r="AC903" i="7" s="1"/>
  <c r="S904" i="7"/>
  <c r="Y904" i="7" s="1"/>
  <c r="Y856" i="7"/>
  <c r="O880" i="7"/>
  <c r="Z880" i="7" s="1"/>
  <c r="AC880" i="7" s="1"/>
  <c r="M856" i="7"/>
  <c r="V856" i="7" s="1"/>
  <c r="Y857" i="7"/>
  <c r="K885" i="7"/>
  <c r="T885" i="7" s="1"/>
  <c r="AC885" i="7" s="1"/>
  <c r="K886" i="7"/>
  <c r="T886" i="7" s="1"/>
  <c r="N856" i="7"/>
  <c r="W856" i="7" s="1"/>
  <c r="Y878" i="7"/>
  <c r="O856" i="7"/>
  <c r="Z856" i="7" s="1"/>
  <c r="N857" i="7"/>
  <c r="W857" i="7" s="1"/>
  <c r="Y859" i="7"/>
  <c r="N864" i="7"/>
  <c r="W864" i="7" s="1"/>
  <c r="N867" i="7"/>
  <c r="W867" i="7" s="1"/>
  <c r="N870" i="7"/>
  <c r="W870" i="7" s="1"/>
  <c r="N873" i="7"/>
  <c r="W873" i="7" s="1"/>
  <c r="R883" i="7"/>
  <c r="R884" i="7"/>
  <c r="L890" i="7"/>
  <c r="U890" i="7" s="1"/>
  <c r="L891" i="7"/>
  <c r="U891" i="7" s="1"/>
  <c r="P856" i="7"/>
  <c r="AA856" i="7" s="1"/>
  <c r="O857" i="7"/>
  <c r="Z857" i="7" s="1"/>
  <c r="N858" i="7"/>
  <c r="W858" i="7" s="1"/>
  <c r="O864" i="7"/>
  <c r="Z864" i="7" s="1"/>
  <c r="O867" i="7"/>
  <c r="Z867" i="7" s="1"/>
  <c r="O870" i="7"/>
  <c r="Z870" i="7" s="1"/>
  <c r="O873" i="7"/>
  <c r="Z873" i="7" s="1"/>
  <c r="Y877" i="7"/>
  <c r="O878" i="7"/>
  <c r="Z878" i="7" s="1"/>
  <c r="S883" i="7"/>
  <c r="S884" i="7"/>
  <c r="M896" i="7"/>
  <c r="V896" i="7" s="1"/>
  <c r="AC901" i="7"/>
  <c r="P857" i="7"/>
  <c r="AA857" i="7" s="1"/>
  <c r="O858" i="7"/>
  <c r="Z858" i="7" s="1"/>
  <c r="N859" i="7"/>
  <c r="W859" i="7" s="1"/>
  <c r="Y861" i="7"/>
  <c r="Y863" i="7"/>
  <c r="Y866" i="7"/>
  <c r="Y869" i="7"/>
  <c r="N877" i="7"/>
  <c r="W877" i="7" s="1"/>
  <c r="AC877" i="7" s="1"/>
  <c r="Y906" i="7"/>
  <c r="Q893" i="7"/>
  <c r="X893" i="7" s="1"/>
  <c r="AC893" i="7" s="1"/>
  <c r="O895" i="7"/>
  <c r="Z895" i="7" s="1"/>
  <c r="AC895" i="7" s="1"/>
  <c r="M897" i="7"/>
  <c r="V897" i="7" s="1"/>
  <c r="Y898" i="7"/>
  <c r="K899" i="7"/>
  <c r="T899" i="7" s="1"/>
  <c r="Q881" i="7"/>
  <c r="X881" i="7" s="1"/>
  <c r="Q894" i="7"/>
  <c r="X894" i="7" s="1"/>
  <c r="O896" i="7"/>
  <c r="Z896" i="7" s="1"/>
  <c r="M898" i="7"/>
  <c r="V898" i="7" s="1"/>
  <c r="Y899" i="7"/>
  <c r="K900" i="7"/>
  <c r="T900" i="7" s="1"/>
  <c r="K904" i="7"/>
  <c r="T904" i="7" s="1"/>
  <c r="Y905" i="7"/>
  <c r="AC905" i="7" s="1"/>
  <c r="M906" i="7"/>
  <c r="V906" i="7" s="1"/>
  <c r="O889" i="7"/>
  <c r="Z889" i="7" s="1"/>
  <c r="Q896" i="7"/>
  <c r="X896" i="7" s="1"/>
  <c r="O898" i="7"/>
  <c r="Z898" i="7" s="1"/>
  <c r="M900" i="7"/>
  <c r="V900" i="7" s="1"/>
  <c r="K902" i="7"/>
  <c r="T902" i="7" s="1"/>
  <c r="M904" i="7"/>
  <c r="V904" i="7" s="1"/>
  <c r="O906" i="7"/>
  <c r="Z906" i="7" s="1"/>
  <c r="P887" i="7"/>
  <c r="AA887" i="7" s="1"/>
  <c r="M891" i="7"/>
  <c r="V891" i="7" s="1"/>
  <c r="L886" i="7"/>
  <c r="U886" i="7" s="1"/>
  <c r="M889" i="7"/>
  <c r="V889" i="7" s="1"/>
  <c r="K892" i="7"/>
  <c r="T892" i="7" s="1"/>
  <c r="Q898" i="7"/>
  <c r="X898" i="7" s="1"/>
  <c r="O900" i="7"/>
  <c r="Z900" i="7" s="1"/>
  <c r="M902" i="7"/>
  <c r="V902" i="7" s="1"/>
  <c r="O904" i="7"/>
  <c r="Z904" i="7" s="1"/>
  <c r="Q906" i="7"/>
  <c r="X906" i="7" s="1"/>
  <c r="M867" i="7"/>
  <c r="V867" i="7" s="1"/>
  <c r="O891" i="7"/>
  <c r="Z891" i="7" s="1"/>
  <c r="Y910" i="7"/>
  <c r="AC910" i="7" s="1"/>
  <c r="M892" i="7"/>
  <c r="V892" i="7" s="1"/>
  <c r="K894" i="7"/>
  <c r="T894" i="7" s="1"/>
  <c r="Q900" i="7"/>
  <c r="X900" i="7" s="1"/>
  <c r="O902" i="7"/>
  <c r="Z902" i="7" s="1"/>
  <c r="Q904" i="7"/>
  <c r="X904" i="7" s="1"/>
  <c r="Q891" i="7"/>
  <c r="X891" i="7" s="1"/>
  <c r="Q883" i="7"/>
  <c r="X883" i="7" s="1"/>
  <c r="Q887" i="7"/>
  <c r="X887" i="7" s="1"/>
  <c r="Q889" i="7"/>
  <c r="X889" i="7" s="1"/>
  <c r="O892" i="7"/>
  <c r="Z892" i="7" s="1"/>
  <c r="M894" i="7"/>
  <c r="V894" i="7" s="1"/>
  <c r="K896" i="7"/>
  <c r="T896" i="7" s="1"/>
  <c r="Q902" i="7"/>
  <c r="X902" i="7" s="1"/>
  <c r="O921" i="15"/>
  <c r="O927" i="15"/>
  <c r="O933" i="15"/>
  <c r="O939" i="15"/>
  <c r="O945" i="15"/>
  <c r="O951" i="15"/>
  <c r="O957" i="15"/>
  <c r="O963" i="15"/>
  <c r="O967" i="15"/>
  <c r="O971" i="15"/>
  <c r="O983" i="15"/>
  <c r="O914" i="15"/>
  <c r="O920" i="15"/>
  <c r="O926" i="15"/>
  <c r="O932" i="15"/>
  <c r="O938" i="15"/>
  <c r="O944" i="15"/>
  <c r="O950" i="15"/>
  <c r="O956" i="15"/>
  <c r="O962" i="15"/>
  <c r="O977" i="15"/>
  <c r="O999" i="15"/>
  <c r="O1035" i="15"/>
  <c r="O1071" i="15"/>
  <c r="O1107" i="15"/>
  <c r="O966" i="15"/>
  <c r="O970" i="15"/>
  <c r="O925" i="15"/>
  <c r="O931" i="15"/>
  <c r="O937" i="15"/>
  <c r="O943" i="15"/>
  <c r="O949" i="15"/>
  <c r="O955" i="15"/>
  <c r="O961" i="15"/>
  <c r="O973" i="15"/>
  <c r="O969" i="15"/>
  <c r="O976" i="15"/>
  <c r="O918" i="15"/>
  <c r="O924" i="15"/>
  <c r="O930" i="15"/>
  <c r="O936" i="15"/>
  <c r="O942" i="15"/>
  <c r="O948" i="15"/>
  <c r="O954" i="15"/>
  <c r="O960" i="15"/>
  <c r="O1011" i="15"/>
  <c r="O1047" i="15"/>
  <c r="O1083" i="15"/>
  <c r="O1119" i="15"/>
  <c r="O965" i="15"/>
  <c r="O975" i="15"/>
  <c r="O917" i="15"/>
  <c r="O923" i="15"/>
  <c r="O929" i="15"/>
  <c r="O935" i="15"/>
  <c r="O941" i="15"/>
  <c r="O947" i="15"/>
  <c r="O953" i="15"/>
  <c r="O959" i="15"/>
  <c r="O968" i="15"/>
  <c r="O972" i="15"/>
  <c r="O981" i="15"/>
  <c r="O989" i="15"/>
  <c r="O1017" i="15"/>
  <c r="O1053" i="15"/>
  <c r="O1089" i="15"/>
  <c r="O986" i="15"/>
  <c r="O916" i="15"/>
  <c r="O922" i="15"/>
  <c r="O928" i="15"/>
  <c r="O934" i="15"/>
  <c r="O940" i="15"/>
  <c r="O946" i="15"/>
  <c r="O952" i="15"/>
  <c r="O958" i="15"/>
  <c r="O964" i="15"/>
  <c r="O1023" i="15"/>
  <c r="O1059" i="15"/>
  <c r="O1095" i="15"/>
  <c r="O1135" i="15"/>
  <c r="O974" i="15"/>
  <c r="O993" i="15"/>
  <c r="O1124" i="15"/>
  <c r="O1132" i="15"/>
  <c r="O1127" i="15"/>
  <c r="O992" i="15"/>
  <c r="O998" i="15"/>
  <c r="O1004" i="15"/>
  <c r="O1010" i="15"/>
  <c r="O1016" i="15"/>
  <c r="O1022" i="15"/>
  <c r="O1028" i="15"/>
  <c r="O1034" i="15"/>
  <c r="O1040" i="15"/>
  <c r="O1046" i="15"/>
  <c r="O1052" i="15"/>
  <c r="O1058" i="15"/>
  <c r="O1064" i="15"/>
  <c r="O1070" i="15"/>
  <c r="O1076" i="15"/>
  <c r="O1082" i="15"/>
  <c r="O1088" i="15"/>
  <c r="O1094" i="15"/>
  <c r="O1100" i="15"/>
  <c r="O1106" i="15"/>
  <c r="O1112" i="15"/>
  <c r="O1118" i="15"/>
  <c r="O1123" i="15"/>
  <c r="O1131" i="15"/>
  <c r="O979" i="15"/>
  <c r="O985" i="15"/>
  <c r="O991" i="15"/>
  <c r="O997" i="15"/>
  <c r="O1003" i="15"/>
  <c r="O1009" i="15"/>
  <c r="O1015" i="15"/>
  <c r="O1021" i="15"/>
  <c r="O1027" i="15"/>
  <c r="O1033" i="15"/>
  <c r="O1039" i="15"/>
  <c r="O1045" i="15"/>
  <c r="O1051" i="15"/>
  <c r="O1057" i="15"/>
  <c r="O1063" i="15"/>
  <c r="O1069" i="15"/>
  <c r="O1075" i="15"/>
  <c r="O1081" i="15"/>
  <c r="O1087" i="15"/>
  <c r="O1093" i="15"/>
  <c r="O1099" i="15"/>
  <c r="O1105" i="15"/>
  <c r="O1111" i="15"/>
  <c r="O1117" i="15"/>
  <c r="O1126" i="15"/>
  <c r="O1130" i="15"/>
  <c r="O978" i="15"/>
  <c r="O984" i="15"/>
  <c r="O990" i="15"/>
  <c r="O996" i="15"/>
  <c r="O1002" i="15"/>
  <c r="O1008" i="15"/>
  <c r="O1014" i="15"/>
  <c r="O1020" i="15"/>
  <c r="O1026" i="15"/>
  <c r="O1032" i="15"/>
  <c r="O1038" i="15"/>
  <c r="O1044" i="15"/>
  <c r="O1050" i="15"/>
  <c r="O1056" i="15"/>
  <c r="O1062" i="15"/>
  <c r="O1068" i="15"/>
  <c r="O1074" i="15"/>
  <c r="O1080" i="15"/>
  <c r="O1086" i="15"/>
  <c r="O1092" i="15"/>
  <c r="O1098" i="15"/>
  <c r="O1104" i="15"/>
  <c r="O1110" i="15"/>
  <c r="O1116" i="15"/>
  <c r="O1121" i="15"/>
  <c r="O1133" i="15"/>
  <c r="O995" i="15"/>
  <c r="O1001" i="15"/>
  <c r="O1007" i="15"/>
  <c r="O1013" i="15"/>
  <c r="O1019" i="15"/>
  <c r="O1025" i="15"/>
  <c r="O1031" i="15"/>
  <c r="O1037" i="15"/>
  <c r="O1043" i="15"/>
  <c r="O1049" i="15"/>
  <c r="O1055" i="15"/>
  <c r="O1061" i="15"/>
  <c r="O1067" i="15"/>
  <c r="O1073" i="15"/>
  <c r="O1079" i="15"/>
  <c r="O1085" i="15"/>
  <c r="O1091" i="15"/>
  <c r="O1097" i="15"/>
  <c r="O1103" i="15"/>
  <c r="O1109" i="15"/>
  <c r="O1115" i="15"/>
  <c r="O1125" i="15"/>
  <c r="O1129" i="15"/>
  <c r="O1141" i="15"/>
  <c r="O982" i="15"/>
  <c r="O988" i="15"/>
  <c r="O994" i="15"/>
  <c r="O1000" i="15"/>
  <c r="O1006" i="15"/>
  <c r="O1012" i="15"/>
  <c r="O1018" i="15"/>
  <c r="O1024" i="15"/>
  <c r="O1030" i="15"/>
  <c r="O1036" i="15"/>
  <c r="O1042" i="15"/>
  <c r="O1048" i="15"/>
  <c r="O1054" i="15"/>
  <c r="O1060" i="15"/>
  <c r="O1066" i="15"/>
  <c r="O1072" i="15"/>
  <c r="O1078" i="15"/>
  <c r="O1084" i="15"/>
  <c r="O1090" i="15"/>
  <c r="O1096" i="15"/>
  <c r="O1102" i="15"/>
  <c r="O1108" i="15"/>
  <c r="O1114" i="15"/>
  <c r="O1120" i="15"/>
  <c r="O1122" i="15"/>
  <c r="O1128" i="15"/>
  <c r="O1134" i="15"/>
  <c r="O1140" i="15"/>
  <c r="O1146" i="15"/>
  <c r="O1152" i="15"/>
  <c r="O1158" i="15"/>
  <c r="O1164" i="15"/>
  <c r="O1170" i="15"/>
  <c r="O1176" i="15"/>
  <c r="O1182" i="15"/>
  <c r="O1188" i="15"/>
  <c r="O1194" i="15"/>
  <c r="O1200" i="15"/>
  <c r="O1206" i="15"/>
  <c r="O1212" i="15"/>
  <c r="O1218" i="15"/>
  <c r="O1224" i="15"/>
  <c r="O1230" i="15"/>
  <c r="O1236" i="15"/>
  <c r="O1242" i="15"/>
  <c r="O1248" i="15"/>
  <c r="L28" i="15"/>
  <c r="O1144" i="15"/>
  <c r="O1150" i="15"/>
  <c r="O1156" i="15"/>
  <c r="O1162" i="15"/>
  <c r="O1168" i="15"/>
  <c r="O1174" i="15"/>
  <c r="O1180" i="15"/>
  <c r="O1186" i="15"/>
  <c r="O1192" i="15"/>
  <c r="O1198" i="15"/>
  <c r="O1204" i="15"/>
  <c r="O1210" i="15"/>
  <c r="O1216" i="15"/>
  <c r="O1222" i="15"/>
  <c r="O1228" i="15"/>
  <c r="O1234" i="15"/>
  <c r="O1240" i="15"/>
  <c r="O1246" i="15"/>
  <c r="O1137" i="15"/>
  <c r="O1143" i="15"/>
  <c r="O1149" i="15"/>
  <c r="O1155" i="15"/>
  <c r="O1161" i="15"/>
  <c r="O1167" i="15"/>
  <c r="O1173" i="15"/>
  <c r="O1179" i="15"/>
  <c r="O1185" i="15"/>
  <c r="O1191" i="15"/>
  <c r="O1197" i="15"/>
  <c r="O1203" i="15"/>
  <c r="O1209" i="15"/>
  <c r="O1215" i="15"/>
  <c r="O1221" i="15"/>
  <c r="O1227" i="15"/>
  <c r="O1233" i="15"/>
  <c r="O1239" i="15"/>
  <c r="O1245" i="15"/>
  <c r="L33" i="15"/>
  <c r="O1136" i="15"/>
  <c r="O1142" i="15"/>
  <c r="O1148" i="15"/>
  <c r="O1154" i="15"/>
  <c r="O1160" i="15"/>
  <c r="O1166" i="15"/>
  <c r="O1172" i="15"/>
  <c r="O1178" i="15"/>
  <c r="O1184" i="15"/>
  <c r="O1190" i="15"/>
  <c r="O1196" i="15"/>
  <c r="O1202" i="15"/>
  <c r="O1208" i="15"/>
  <c r="O1214" i="15"/>
  <c r="O1220" i="15"/>
  <c r="O1226" i="15"/>
  <c r="O1232" i="15"/>
  <c r="O1238" i="15"/>
  <c r="O1244" i="15"/>
  <c r="O1250" i="15"/>
  <c r="F21" i="15"/>
  <c r="L29" i="15"/>
  <c r="L32" i="15"/>
  <c r="O1147" i="15"/>
  <c r="O1153" i="15"/>
  <c r="O1159" i="15"/>
  <c r="O1165" i="15"/>
  <c r="O1171" i="15"/>
  <c r="O1177" i="15"/>
  <c r="O1183" i="15"/>
  <c r="O1189" i="15"/>
  <c r="O1195" i="15"/>
  <c r="O1201" i="15"/>
  <c r="O1207" i="15"/>
  <c r="O1213" i="15"/>
  <c r="O1219" i="15"/>
  <c r="O1225" i="15"/>
  <c r="O1231" i="15"/>
  <c r="O1237" i="15"/>
  <c r="O1243" i="15"/>
  <c r="O1249" i="15"/>
  <c r="CD904" i="17" l="1"/>
  <c r="CD605" i="17"/>
  <c r="CD299" i="17"/>
  <c r="CD259" i="17"/>
  <c r="CD780" i="17"/>
  <c r="CD761" i="17"/>
  <c r="CD823" i="17"/>
  <c r="CD690" i="17"/>
  <c r="CD470" i="17"/>
  <c r="CD532" i="17"/>
  <c r="CD573" i="17"/>
  <c r="CD313" i="17"/>
  <c r="CD344" i="17"/>
  <c r="CD844" i="17"/>
  <c r="CD944" i="17"/>
  <c r="CD779" i="17"/>
  <c r="CD830" i="17"/>
  <c r="CD777" i="17"/>
  <c r="CD593" i="17"/>
  <c r="CD488" i="17"/>
  <c r="CD549" i="17"/>
  <c r="CD475" i="17"/>
  <c r="CD680" i="17"/>
  <c r="CD482" i="17"/>
  <c r="CD603" i="17"/>
  <c r="CD305" i="17"/>
  <c r="CD463" i="17"/>
  <c r="CD336" i="17"/>
  <c r="CD634" i="17"/>
  <c r="CD968" i="17"/>
  <c r="CD457" i="17"/>
  <c r="CD346" i="17"/>
  <c r="CD387" i="17"/>
  <c r="CD507" i="17"/>
  <c r="CD636" i="17"/>
  <c r="CD695" i="17"/>
  <c r="CD434" i="17"/>
  <c r="CD263" i="17"/>
  <c r="CD383" i="17"/>
  <c r="CD374" i="17"/>
  <c r="CD300" i="17"/>
  <c r="CD684" i="17"/>
  <c r="CD340" i="17"/>
  <c r="CD719" i="17"/>
  <c r="CD660" i="17"/>
  <c r="CD632" i="17"/>
  <c r="CD735" i="17"/>
  <c r="CD1031" i="17"/>
  <c r="CD1133" i="17"/>
  <c r="CD741" i="17"/>
  <c r="CD772" i="17"/>
  <c r="CD891" i="17"/>
  <c r="CD658" i="17"/>
  <c r="CD814" i="17"/>
  <c r="CD917" i="17"/>
  <c r="CD819" i="17"/>
  <c r="CD766" i="17"/>
  <c r="CD921" i="17"/>
  <c r="CD811" i="17"/>
  <c r="CD893" i="17"/>
  <c r="CD1012" i="17"/>
  <c r="CD894" i="17"/>
  <c r="CD873" i="17"/>
  <c r="CD783" i="17"/>
  <c r="CD791" i="17"/>
  <c r="CD771" i="17"/>
  <c r="CD621" i="17"/>
  <c r="CD501" i="17"/>
  <c r="CD750" i="17"/>
  <c r="CD705" i="17"/>
  <c r="CD572" i="17"/>
  <c r="CD559" i="17"/>
  <c r="CD775" i="17"/>
  <c r="CD631" i="17"/>
  <c r="CD518" i="17"/>
  <c r="CD500" i="17"/>
  <c r="CD617" i="17"/>
  <c r="CD693" i="17"/>
  <c r="CD585" i="17"/>
  <c r="CD540" i="17"/>
  <c r="CD675" i="17"/>
  <c r="CD531" i="17"/>
  <c r="CD479" i="17"/>
  <c r="CD514" i="17"/>
  <c r="CD494" i="17"/>
  <c r="CD481" i="17"/>
  <c r="CD615" i="17"/>
  <c r="CD520" i="17"/>
  <c r="CD469" i="17"/>
  <c r="CD737" i="17"/>
  <c r="CD508" i="17"/>
  <c r="CD624" i="17"/>
  <c r="CD578" i="17"/>
  <c r="CD551" i="17"/>
  <c r="CD436" i="17"/>
  <c r="CD438" i="17"/>
  <c r="CD396" i="17"/>
  <c r="CD350" i="17"/>
  <c r="CD433" i="17"/>
  <c r="CD391" i="17"/>
  <c r="CD381" i="17"/>
  <c r="CD347" i="17"/>
  <c r="CD337" i="17"/>
  <c r="CD635" i="17"/>
  <c r="CD307" i="17"/>
  <c r="CD298" i="17"/>
  <c r="CD256" i="17"/>
  <c r="CD373" i="17"/>
  <c r="CD295" i="17"/>
  <c r="CD560" i="17"/>
  <c r="CD359" i="17"/>
  <c r="CD322" i="17"/>
  <c r="CD293" i="17"/>
  <c r="CD462" i="17"/>
  <c r="CD441" i="17"/>
  <c r="CD399" i="17"/>
  <c r="CD328" i="17"/>
  <c r="CD260" i="17"/>
  <c r="CD419" i="17"/>
  <c r="CD372" i="17"/>
  <c r="CD290" i="17"/>
  <c r="CD283" i="17"/>
  <c r="CD473" i="17"/>
  <c r="CD415" i="17"/>
  <c r="CD363" i="17"/>
  <c r="CD320" i="17"/>
  <c r="CD312" i="17"/>
  <c r="CD278" i="17"/>
  <c r="CD270" i="17"/>
  <c r="CD476" i="17"/>
  <c r="CD422" i="17"/>
  <c r="CD511" i="17"/>
  <c r="CD460" i="17"/>
  <c r="CD339" i="17"/>
  <c r="CD280" i="17"/>
  <c r="CD360" i="17"/>
  <c r="CD351" i="17"/>
  <c r="CD338" i="17"/>
  <c r="CD471" i="17"/>
  <c r="CD815" i="17"/>
  <c r="CD835" i="17"/>
  <c r="CD808" i="17"/>
  <c r="CD731" i="17"/>
  <c r="CD930" i="17"/>
  <c r="CD946" i="17"/>
  <c r="CD878" i="17"/>
  <c r="CD864" i="17"/>
  <c r="CD589" i="17"/>
  <c r="CD506" i="17"/>
  <c r="CD262" i="17"/>
  <c r="CD273" i="17"/>
  <c r="CD674" i="17"/>
  <c r="CD607" i="17"/>
  <c r="CD512" i="17"/>
  <c r="CD480" i="17"/>
  <c r="CD515" i="17"/>
  <c r="CD416" i="17"/>
  <c r="CD268" i="17"/>
  <c r="CD306" i="17"/>
  <c r="CD455" i="17"/>
  <c r="CD264" i="17"/>
  <c r="CD431" i="17"/>
  <c r="CD327" i="17"/>
  <c r="CD285" i="17"/>
  <c r="CD276" i="17"/>
  <c r="CD900" i="17"/>
  <c r="CD964" i="17"/>
  <c r="CD863" i="17"/>
  <c r="CD644" i="17"/>
  <c r="CD430" i="17"/>
  <c r="CD324" i="17"/>
  <c r="CD287" i="17"/>
  <c r="CD592" i="17"/>
  <c r="CD576" i="17"/>
  <c r="CD687" i="17"/>
  <c r="CD1294" i="17"/>
  <c r="CD1150" i="17"/>
  <c r="CD905" i="17"/>
  <c r="CD854" i="17"/>
  <c r="CD955" i="17"/>
  <c r="CD831" i="17"/>
  <c r="CD820" i="17"/>
  <c r="CD792" i="17"/>
  <c r="CD784" i="17"/>
  <c r="CD1006" i="17"/>
  <c r="CD857" i="17"/>
  <c r="CD895" i="17"/>
  <c r="CD887" i="17"/>
  <c r="CD996" i="17"/>
  <c r="CD972" i="17"/>
  <c r="CD924" i="17"/>
  <c r="CD619" i="17"/>
  <c r="CD558" i="17"/>
  <c r="CD728" i="17"/>
  <c r="CD594" i="17"/>
  <c r="CD738" i="17"/>
  <c r="CD833" i="17"/>
  <c r="CD824" i="17"/>
  <c r="CD265" i="17"/>
  <c r="CD841" i="17"/>
  <c r="CD257" i="17"/>
  <c r="CD552" i="17"/>
  <c r="CD1144" i="17"/>
  <c r="CD856" i="17"/>
  <c r="CD711" i="17"/>
  <c r="CD1085" i="17"/>
  <c r="CD1249" i="17"/>
  <c r="CD1019" i="17"/>
  <c r="CD994" i="17"/>
  <c r="CD970" i="17"/>
  <c r="CD922" i="17"/>
  <c r="CD858" i="17"/>
  <c r="CD842" i="17"/>
  <c r="CD885" i="17"/>
  <c r="CD798" i="17"/>
  <c r="CD557" i="17"/>
  <c r="CD606" i="17"/>
  <c r="CD646" i="17"/>
  <c r="CD691" i="17"/>
  <c r="CD304" i="17"/>
  <c r="CD453" i="17"/>
  <c r="CD258" i="17"/>
  <c r="CD988" i="17"/>
  <c r="CD940" i="17"/>
  <c r="CD916" i="17"/>
  <c r="CD725" i="17"/>
  <c r="CD852" i="17"/>
  <c r="CD959" i="17"/>
  <c r="CD935" i="17"/>
  <c r="CD888" i="17"/>
  <c r="CD794" i="17"/>
  <c r="CD870" i="17"/>
  <c r="CD880" i="17"/>
  <c r="CD799" i="17"/>
  <c r="CD976" i="17"/>
  <c r="CD952" i="17"/>
  <c r="CD928" i="17"/>
  <c r="CD848" i="17"/>
  <c r="CD734" i="17"/>
  <c r="CD723" i="17"/>
  <c r="CD714" i="17"/>
  <c r="CD517" i="17"/>
  <c r="CD628" i="17"/>
  <c r="CD651" i="17"/>
  <c r="CD656" i="17"/>
  <c r="CD669" i="17"/>
  <c r="CD671" i="17"/>
  <c r="CD389" i="17"/>
  <c r="CD367" i="17"/>
  <c r="CD983" i="17"/>
  <c r="CD884" i="17"/>
  <c r="CD699" i="17"/>
  <c r="CD1082" i="17"/>
  <c r="CD1284" i="17"/>
  <c r="CD1001" i="17"/>
  <c r="CD907" i="17"/>
  <c r="CD1288" i="17"/>
  <c r="CD727" i="17"/>
  <c r="CD1134" i="17"/>
  <c r="CD1004" i="17"/>
  <c r="CD850" i="17"/>
  <c r="CD749" i="17"/>
  <c r="CD1140" i="17"/>
  <c r="CD1289" i="17"/>
  <c r="CD1287" i="17"/>
  <c r="CD1105" i="17"/>
  <c r="CD1145" i="17"/>
  <c r="CD969" i="17"/>
  <c r="CD945" i="17"/>
  <c r="CD957" i="17"/>
  <c r="CD713" i="17"/>
  <c r="CD862" i="17"/>
  <c r="CD990" i="17"/>
  <c r="CD966" i="17"/>
  <c r="CD942" i="17"/>
  <c r="CD918" i="17"/>
  <c r="CD901" i="17"/>
  <c r="CD882" i="17"/>
  <c r="CD992" i="17"/>
  <c r="CD920" i="17"/>
  <c r="CD874" i="17"/>
  <c r="CD796" i="17"/>
  <c r="CD980" i="17"/>
  <c r="CD956" i="17"/>
  <c r="CD932" i="17"/>
  <c r="CD758" i="17"/>
  <c r="CD708" i="17"/>
  <c r="CD701" i="17"/>
  <c r="CD787" i="17"/>
  <c r="CD683" i="17"/>
  <c r="CD548" i="17"/>
  <c r="CD732" i="17"/>
  <c r="CD502" i="17"/>
  <c r="CD673" i="17"/>
  <c r="CD588" i="17"/>
  <c r="CD537" i="17"/>
  <c r="CD641" i="17"/>
  <c r="CD760" i="17"/>
  <c r="CD629" i="17"/>
  <c r="CD556" i="17"/>
  <c r="CD541" i="17"/>
  <c r="CD491" i="17"/>
  <c r="CD698" i="17"/>
  <c r="CD659" i="17"/>
  <c r="CD533" i="17"/>
  <c r="CD582" i="17"/>
  <c r="CD567" i="17"/>
  <c r="CD672" i="17"/>
  <c r="CD751" i="17"/>
  <c r="CD645" i="17"/>
  <c r="CD626" i="17"/>
  <c r="CD414" i="17"/>
  <c r="CD334" i="17"/>
  <c r="CD420" i="17"/>
  <c r="CD345" i="17"/>
  <c r="CD406" i="17"/>
  <c r="CD343" i="17"/>
  <c r="CD382" i="17"/>
  <c r="CD1131" i="17"/>
  <c r="CD412" i="17"/>
  <c r="CD452" i="17"/>
  <c r="CD1020" i="17"/>
  <c r="CD1158" i="17"/>
  <c r="CD762" i="17"/>
  <c r="CD1187" i="17"/>
  <c r="CD1015" i="17"/>
  <c r="CD1227" i="17"/>
  <c r="CD836" i="17"/>
  <c r="CD977" i="17"/>
  <c r="CD953" i="17"/>
  <c r="CD929" i="17"/>
  <c r="CD845" i="17"/>
  <c r="CD716" i="17"/>
  <c r="CD886" i="17"/>
  <c r="CD865" i="17"/>
  <c r="CD843" i="17"/>
  <c r="CD903" i="17"/>
  <c r="CD872" i="17"/>
  <c r="CD1219" i="17"/>
  <c r="CD971" i="17"/>
  <c r="CD947" i="17"/>
  <c r="CD923" i="17"/>
  <c r="CD855" i="17"/>
  <c r="CD797" i="17"/>
  <c r="CD788" i="17"/>
  <c r="CD829" i="17"/>
  <c r="CD800" i="17"/>
  <c r="CD1163" i="17"/>
  <c r="CD1103" i="17"/>
  <c r="CD1018" i="17"/>
  <c r="CD813" i="17"/>
  <c r="CD915" i="17"/>
  <c r="CD906" i="17"/>
  <c r="CD730" i="17"/>
  <c r="CD826" i="17"/>
  <c r="CD816" i="17"/>
  <c r="CD755" i="17"/>
  <c r="CD652" i="17"/>
  <c r="CD611" i="17"/>
  <c r="CD516" i="17"/>
  <c r="CD1269" i="17"/>
  <c r="CD949" i="17"/>
  <c r="CD1147" i="17"/>
  <c r="CD908" i="17"/>
  <c r="CD1000" i="17"/>
  <c r="CD883" i="17"/>
  <c r="CD1176" i="17"/>
  <c r="CD1128" i="17"/>
  <c r="CD1070" i="17"/>
  <c r="CD1234" i="17"/>
  <c r="CD1244" i="17"/>
  <c r="CD1196" i="17"/>
  <c r="CD1172" i="17"/>
  <c r="CD1100" i="17"/>
  <c r="CD1076" i="17"/>
  <c r="CD1052" i="17"/>
  <c r="CD1028" i="17"/>
  <c r="CD1302" i="17"/>
  <c r="CD1278" i="17"/>
  <c r="CD1254" i="17"/>
  <c r="CD1230" i="17"/>
  <c r="CD1206" i="17"/>
  <c r="CD1182" i="17"/>
  <c r="CD1110" i="17"/>
  <c r="CD1086" i="17"/>
  <c r="CD1062" i="17"/>
  <c r="CD1038" i="17"/>
  <c r="CD1014" i="17"/>
  <c r="CD812" i="17"/>
  <c r="CD1039" i="17"/>
  <c r="CD802" i="17"/>
  <c r="CD1121" i="17"/>
  <c r="CD867" i="17"/>
  <c r="CD789" i="17"/>
  <c r="CD897" i="17"/>
  <c r="CD1265" i="17"/>
  <c r="CD1045" i="17"/>
  <c r="CD1205" i="17"/>
  <c r="CD1061" i="17"/>
  <c r="CD1298" i="17"/>
  <c r="CD1250" i="17"/>
  <c r="CD877" i="17"/>
  <c r="CD1171" i="17"/>
  <c r="CD892" i="17"/>
  <c r="CD879" i="17"/>
  <c r="CD1017" i="17"/>
  <c r="CD1083" i="17"/>
  <c r="CD1087" i="17"/>
  <c r="CD1165" i="17"/>
  <c r="CD525" i="17"/>
  <c r="CD467" i="17"/>
  <c r="CD303" i="17"/>
  <c r="CD385" i="17"/>
  <c r="CD370" i="17"/>
  <c r="CD542" i="17"/>
  <c r="CD740" i="17"/>
  <c r="CD707" i="17"/>
  <c r="CD616" i="17"/>
  <c r="CD545" i="17"/>
  <c r="CD676" i="17"/>
  <c r="CD608" i="17"/>
  <c r="CD584" i="17"/>
  <c r="CD569" i="17"/>
  <c r="CD539" i="17"/>
  <c r="CD529" i="17"/>
  <c r="CD497" i="17"/>
  <c r="CD484" i="17"/>
  <c r="CD806" i="17"/>
  <c r="CD664" i="17"/>
  <c r="CD638" i="17"/>
  <c r="CD522" i="17"/>
  <c r="CD498" i="17"/>
  <c r="CD781" i="17"/>
  <c r="CD637" i="17"/>
  <c r="CD534" i="17"/>
  <c r="CD492" i="17"/>
  <c r="CD768" i="17"/>
  <c r="CD744" i="17"/>
  <c r="CD688" i="17"/>
  <c r="CD662" i="17"/>
  <c r="CD752" i="17"/>
  <c r="CD694" i="17"/>
  <c r="CD667" i="17"/>
  <c r="CD579" i="17"/>
  <c r="CD807" i="17"/>
  <c r="CD642" i="17"/>
  <c r="CD597" i="17"/>
  <c r="CD577" i="17"/>
  <c r="CD496" i="17"/>
  <c r="CD465" i="17"/>
  <c r="CD411" i="17"/>
  <c r="CD266" i="17"/>
  <c r="CD524" i="17"/>
  <c r="CD309" i="17"/>
  <c r="CD747" i="17"/>
  <c r="CD521" i="17"/>
  <c r="CD403" i="17"/>
  <c r="CD332" i="17"/>
  <c r="CD670" i="17"/>
  <c r="CD335" i="17"/>
  <c r="CD715" i="17"/>
  <c r="CD598" i="17"/>
  <c r="CD451" i="17"/>
  <c r="CD435" i="17"/>
  <c r="CD301" i="17"/>
  <c r="CD294" i="17"/>
  <c r="CD365" i="17"/>
  <c r="CD291" i="17"/>
  <c r="CD487" i="17"/>
  <c r="CD378" i="17"/>
  <c r="CD369" i="17"/>
  <c r="CD317" i="17"/>
  <c r="CD474" i="17"/>
  <c r="CD461" i="17"/>
  <c r="CD428" i="17"/>
  <c r="CD418" i="17"/>
  <c r="CD408" i="17"/>
  <c r="CD371" i="17"/>
  <c r="CD361" i="17"/>
  <c r="CD289" i="17"/>
  <c r="CD281" i="17"/>
  <c r="CD271" i="17"/>
  <c r="CD448" i="17"/>
  <c r="CD400" i="17"/>
  <c r="CD311" i="17"/>
  <c r="CD269" i="17"/>
  <c r="CD910" i="17"/>
  <c r="CD450" i="17"/>
  <c r="CD439" i="17"/>
  <c r="CD395" i="17"/>
  <c r="CD490" i="17"/>
  <c r="CD459" i="17"/>
  <c r="CD407" i="17"/>
  <c r="CD356" i="17"/>
  <c r="CD314" i="17"/>
  <c r="CD267" i="17"/>
  <c r="CD375" i="17"/>
  <c r="CD325" i="17"/>
  <c r="CD315" i="17"/>
  <c r="CD1231" i="17"/>
  <c r="CD1181" i="17"/>
  <c r="CD1059" i="17"/>
  <c r="CD1035" i="17"/>
  <c r="CD1221" i="17"/>
  <c r="CD1191" i="17"/>
  <c r="CD1203" i="17"/>
  <c r="CD1057" i="17"/>
  <c r="CD1275" i="17"/>
  <c r="CD1189" i="17"/>
  <c r="CD1075" i="17"/>
  <c r="CD1273" i="17"/>
  <c r="CD1151" i="17"/>
  <c r="CD1029" i="17"/>
  <c r="CD1291" i="17"/>
  <c r="CD1267" i="17"/>
  <c r="CD1263" i="17"/>
  <c r="CD1207" i="17"/>
  <c r="CD1063" i="17"/>
  <c r="CD1117" i="17"/>
  <c r="CD1261" i="17"/>
  <c r="CD1237" i="17"/>
  <c r="CD1065" i="17"/>
  <c r="CD991" i="17"/>
  <c r="CD1037" i="17"/>
  <c r="CD1193" i="17"/>
  <c r="CD1021" i="17"/>
  <c r="CD1243" i="17"/>
  <c r="CD1099" i="17"/>
  <c r="CD1011" i="17"/>
  <c r="CD1301" i="17"/>
  <c r="CD1245" i="17"/>
  <c r="CD1215" i="17"/>
  <c r="CD1157" i="17"/>
  <c r="CD1129" i="17"/>
  <c r="CD1101" i="17"/>
  <c r="CD1043" i="17"/>
  <c r="CD1013" i="17"/>
  <c r="CD1276" i="17"/>
  <c r="CD1252" i="17"/>
  <c r="CD1228" i="17"/>
  <c r="CD1204" i="17"/>
  <c r="CD1156" i="17"/>
  <c r="CD1132" i="17"/>
  <c r="CD1108" i="17"/>
  <c r="CD1084" i="17"/>
  <c r="CD1060" i="17"/>
  <c r="CD1162" i="17"/>
  <c r="CD1242" i="17"/>
  <c r="CD1098" i="17"/>
  <c r="CD1262" i="17"/>
  <c r="CD1214" i="17"/>
  <c r="CD1190" i="17"/>
  <c r="CD1166" i="17"/>
  <c r="CD1118" i="17"/>
  <c r="CD1296" i="17"/>
  <c r="CD1272" i="17"/>
  <c r="CD1248" i="17"/>
  <c r="CD1224" i="17"/>
  <c r="CD1200" i="17"/>
  <c r="CD1152" i="17"/>
  <c r="CD1104" i="17"/>
  <c r="CD1080" i="17"/>
  <c r="CD1056" i="17"/>
  <c r="CD1032" i="17"/>
  <c r="CD1282" i="17"/>
  <c r="CD1258" i="17"/>
  <c r="CD1210" i="17"/>
  <c r="CD1186" i="17"/>
  <c r="CD1138" i="17"/>
  <c r="CD1114" i="17"/>
  <c r="CD1090" i="17"/>
  <c r="CD1066" i="17"/>
  <c r="CD1042" i="17"/>
  <c r="CD1259" i="17"/>
  <c r="CD1115" i="17"/>
  <c r="CD1007" i="17"/>
  <c r="CD890" i="17"/>
  <c r="CD774" i="17"/>
  <c r="CD709" i="17"/>
  <c r="CD963" i="17"/>
  <c r="CD939" i="17"/>
  <c r="CD818" i="17"/>
  <c r="CD810" i="17"/>
  <c r="CD765" i="17"/>
  <c r="CD1143" i="17"/>
  <c r="CD1119" i="17"/>
  <c r="CD999" i="17"/>
  <c r="CD989" i="17"/>
  <c r="CD967" i="17"/>
  <c r="CD943" i="17"/>
  <c r="CD919" i="17"/>
  <c r="CD739" i="17"/>
  <c r="CD712" i="17"/>
  <c r="CD703" i="17"/>
  <c r="CD975" i="17"/>
  <c r="CD951" i="17"/>
  <c r="CD927" i="17"/>
  <c r="CD710" i="17"/>
  <c r="CD1229" i="17"/>
  <c r="CD981" i="17"/>
  <c r="CD933" i="17"/>
  <c r="CD909" i="17"/>
  <c r="CD853" i="17"/>
  <c r="CD961" i="17"/>
  <c r="CD860" i="17"/>
  <c r="CD851" i="17"/>
  <c r="CD832" i="17"/>
  <c r="CD785" i="17"/>
  <c r="CD1008" i="17"/>
  <c r="CD984" i="17"/>
  <c r="CD960" i="17"/>
  <c r="CD936" i="17"/>
  <c r="CD912" i="17"/>
  <c r="CD889" i="17"/>
  <c r="CD876" i="17"/>
  <c r="CD868" i="17"/>
  <c r="CD840" i="17"/>
  <c r="CD896" i="17"/>
  <c r="CD828" i="17"/>
  <c r="CD805" i="17"/>
  <c r="CD795" i="17"/>
  <c r="CD786" i="17"/>
  <c r="CD1010" i="17"/>
  <c r="CD871" i="17"/>
  <c r="CD782" i="17"/>
  <c r="CD1022" i="17"/>
  <c r="CD998" i="17"/>
  <c r="CD974" i="17"/>
  <c r="CD950" i="17"/>
  <c r="CD926" i="17"/>
  <c r="CD881" i="17"/>
  <c r="CD839" i="17"/>
  <c r="CD821" i="17"/>
  <c r="CD803" i="17"/>
  <c r="CD790" i="17"/>
  <c r="CD1002" i="17"/>
  <c r="CD978" i="17"/>
  <c r="CD954" i="17"/>
  <c r="CD898" i="17"/>
  <c r="CD849" i="17"/>
  <c r="CD822" i="17"/>
  <c r="CD778" i="17"/>
  <c r="CD859" i="17"/>
  <c r="CD770" i="17"/>
  <c r="CD706" i="17"/>
  <c r="CD564" i="17"/>
  <c r="CD466" i="17"/>
  <c r="CD757" i="17"/>
  <c r="CD726" i="17"/>
  <c r="CD704" i="17"/>
  <c r="CD640" i="17"/>
  <c r="CD620" i="17"/>
  <c r="CD571" i="17"/>
  <c r="CD546" i="17"/>
  <c r="CD485" i="17"/>
  <c r="CD756" i="17"/>
  <c r="CD729" i="17"/>
  <c r="CD718" i="17"/>
  <c r="CD653" i="17"/>
  <c r="CD612" i="17"/>
  <c r="CD547" i="17"/>
  <c r="CD538" i="17"/>
  <c r="CD483" i="17"/>
  <c r="CD759" i="17"/>
  <c r="CD681" i="17"/>
  <c r="CD586" i="17"/>
  <c r="CD555" i="17"/>
  <c r="CD543" i="17"/>
  <c r="CD535" i="17"/>
  <c r="CD602" i="17"/>
  <c r="CD587" i="17"/>
  <c r="CD536" i="17"/>
  <c r="CD776" i="17"/>
  <c r="CD677" i="17"/>
  <c r="CD609" i="17"/>
  <c r="CD570" i="17"/>
  <c r="CD554" i="17"/>
  <c r="CD530" i="17"/>
  <c r="CD523" i="17"/>
  <c r="CD489" i="17"/>
  <c r="CD696" i="17"/>
  <c r="CD665" i="17"/>
  <c r="CD657" i="17"/>
  <c r="CD639" i="17"/>
  <c r="CD600" i="17"/>
  <c r="CD581" i="17"/>
  <c r="CD568" i="17"/>
  <c r="CD553" i="17"/>
  <c r="CD686" i="17"/>
  <c r="CD661" i="17"/>
  <c r="CD654" i="17"/>
  <c r="CD627" i="17"/>
  <c r="CD599" i="17"/>
  <c r="CD566" i="17"/>
  <c r="CD527" i="17"/>
  <c r="CD513" i="17"/>
  <c r="CD948" i="17"/>
  <c r="CD493" i="17"/>
  <c r="CD769" i="17"/>
  <c r="CD745" i="17"/>
  <c r="CD689" i="17"/>
  <c r="CD663" i="17"/>
  <c r="CD655" i="17"/>
  <c r="CD614" i="17"/>
  <c r="CD528" i="17"/>
  <c r="CD468" i="17"/>
  <c r="CD753" i="17"/>
  <c r="CD746" i="17"/>
  <c r="CD736" i="17"/>
  <c r="CD724" i="17"/>
  <c r="CD685" i="17"/>
  <c r="CD668" i="17"/>
  <c r="CD625" i="17"/>
  <c r="CD613" i="17"/>
  <c r="CD596" i="17"/>
  <c r="CD580" i="17"/>
  <c r="CD505" i="17"/>
  <c r="CD748" i="17"/>
  <c r="CD722" i="17"/>
  <c r="CD682" i="17"/>
  <c r="CD666" i="17"/>
  <c r="CD643" i="17"/>
  <c r="CD623" i="17"/>
  <c r="CD565" i="17"/>
  <c r="CD550" i="17"/>
  <c r="CD519" i="17"/>
  <c r="CD504" i="17"/>
  <c r="CD486" i="17"/>
  <c r="CD445" i="17"/>
  <c r="CD437" i="17"/>
  <c r="CD394" i="17"/>
  <c r="CD353" i="17"/>
  <c r="CD342" i="17"/>
  <c r="CD458" i="17"/>
  <c r="CD429" i="17"/>
  <c r="CD388" i="17"/>
  <c r="CD349" i="17"/>
  <c r="CD341" i="17"/>
  <c r="CD333" i="17"/>
  <c r="CD310" i="17"/>
  <c r="CD595" i="17"/>
  <c r="CD405" i="17"/>
  <c r="CD390" i="17"/>
  <c r="CD380" i="17"/>
  <c r="CD348" i="17"/>
  <c r="CD330" i="17"/>
  <c r="CD297" i="17"/>
  <c r="CD255" i="17"/>
  <c r="CD697" i="17"/>
  <c r="CD456" i="17"/>
  <c r="CD323" i="17"/>
  <c r="CD302" i="17"/>
  <c r="CD286" i="17"/>
  <c r="CD253" i="17"/>
  <c r="CD432" i="17"/>
  <c r="CD404" i="17"/>
  <c r="CD384" i="17"/>
  <c r="CD366" i="17"/>
  <c r="CD329" i="17"/>
  <c r="CD321" i="17"/>
  <c r="CD292" i="17"/>
  <c r="CD427" i="17"/>
  <c r="CD410" i="17"/>
  <c r="CD398" i="17"/>
  <c r="CD379" i="17"/>
  <c r="CD622" i="17"/>
  <c r="CD477" i="17"/>
  <c r="CD409" i="17"/>
  <c r="CD352" i="17"/>
  <c r="CD316" i="17"/>
  <c r="CD282" i="17"/>
  <c r="CD272" i="17"/>
  <c r="CD254" i="17"/>
  <c r="CD472" i="17"/>
  <c r="CD449" i="17"/>
  <c r="CD424" i="17"/>
  <c r="CD401" i="17"/>
  <c r="CD362" i="17"/>
  <c r="CD319" i="17"/>
  <c r="CD277" i="17"/>
  <c r="CD440" i="17"/>
  <c r="CD421" i="17"/>
  <c r="CD1277" i="17"/>
  <c r="CD1201" i="17"/>
  <c r="CD1303" i="17"/>
  <c r="CD1279" i="17"/>
  <c r="CD1295" i="17"/>
  <c r="CD1247" i="17"/>
  <c r="CD1077" i="17"/>
  <c r="CD1003" i="17"/>
  <c r="CD1297" i="17"/>
  <c r="CD1211" i="17"/>
  <c r="CD1183" i="17"/>
  <c r="CD1153" i="17"/>
  <c r="CD1125" i="17"/>
  <c r="CD1095" i="17"/>
  <c r="CD1067" i="17"/>
  <c r="CD1009" i="17"/>
  <c r="CD1073" i="17"/>
  <c r="CD1293" i="17"/>
  <c r="CD1235" i="17"/>
  <c r="CD1177" i="17"/>
  <c r="CD1149" i="17"/>
  <c r="CD1091" i="17"/>
  <c r="CD1033" i="17"/>
  <c r="CD1005" i="17"/>
  <c r="CD1306" i="17"/>
  <c r="CD1307" i="17"/>
  <c r="CD1161" i="17"/>
  <c r="CD1305" i="17"/>
  <c r="CD1233" i="17"/>
  <c r="CD1209" i="17"/>
  <c r="CD1159" i="17"/>
  <c r="CD1135" i="17"/>
  <c r="CD1281" i="17"/>
  <c r="CD1251" i="17"/>
  <c r="CD1047" i="17"/>
  <c r="CD1299" i="17"/>
  <c r="CD1271" i="17"/>
  <c r="CD1241" i="17"/>
  <c r="CD1213" i="17"/>
  <c r="CD1185" i="17"/>
  <c r="CD1155" i="17"/>
  <c r="CD1127" i="17"/>
  <c r="CD1097" i="17"/>
  <c r="CD1069" i="17"/>
  <c r="CD1041" i="17"/>
  <c r="CD1256" i="17"/>
  <c r="CD1112" i="17"/>
  <c r="CD1264" i="17"/>
  <c r="CD1240" i="17"/>
  <c r="CD1216" i="17"/>
  <c r="CD1192" i="17"/>
  <c r="CD1168" i="17"/>
  <c r="CD1120" i="17"/>
  <c r="CD1096" i="17"/>
  <c r="CD1072" i="17"/>
  <c r="CD1048" i="17"/>
  <c r="CD1024" i="17"/>
  <c r="CD1260" i="17"/>
  <c r="CD1236" i="17"/>
  <c r="CD1212" i="17"/>
  <c r="CD1188" i="17"/>
  <c r="CD1164" i="17"/>
  <c r="CD1116" i="17"/>
  <c r="CD1092" i="17"/>
  <c r="CD1068" i="17"/>
  <c r="CD1044" i="17"/>
  <c r="CD1270" i="17"/>
  <c r="CD1246" i="17"/>
  <c r="CD1222" i="17"/>
  <c r="CD1198" i="17"/>
  <c r="CD1174" i="17"/>
  <c r="CD1126" i="17"/>
  <c r="CD1102" i="17"/>
  <c r="CD1078" i="17"/>
  <c r="CD1054" i="17"/>
  <c r="CD1030" i="17"/>
  <c r="CD1304" i="17"/>
  <c r="CD1280" i="17"/>
  <c r="CD1232" i="17"/>
  <c r="CD1208" i="17"/>
  <c r="CD1184" i="17"/>
  <c r="CD1160" i="17"/>
  <c r="CD1136" i="17"/>
  <c r="CD1088" i="17"/>
  <c r="CD1064" i="17"/>
  <c r="CD1040" i="17"/>
  <c r="CD1016" i="17"/>
  <c r="CD1089" i="17"/>
  <c r="CD1175" i="17"/>
  <c r="CD1093" i="17"/>
  <c r="CD1071" i="17"/>
  <c r="CD1049" i="17"/>
  <c r="CD986" i="17"/>
  <c r="CD962" i="17"/>
  <c r="CD938" i="17"/>
  <c r="CD914" i="17"/>
  <c r="CD742" i="17"/>
  <c r="CD985" i="17"/>
  <c r="CD937" i="17"/>
  <c r="CD913" i="17"/>
  <c r="CD809" i="17"/>
  <c r="CD764" i="17"/>
  <c r="CD987" i="17"/>
  <c r="CD965" i="17"/>
  <c r="CD941" i="17"/>
  <c r="CD827" i="17"/>
  <c r="CD702" i="17"/>
  <c r="CD973" i="17"/>
  <c r="CD925" i="17"/>
  <c r="CD869" i="17"/>
  <c r="CD847" i="17"/>
  <c r="CD834" i="17"/>
  <c r="CD1217" i="17"/>
  <c r="CD979" i="17"/>
  <c r="CD931" i="17"/>
  <c r="CD899" i="17"/>
  <c r="CD861" i="17"/>
  <c r="CD804" i="17"/>
  <c r="CD902" i="17"/>
  <c r="CD958" i="17"/>
  <c r="CD1179" i="17"/>
  <c r="CD1300" i="17"/>
  <c r="CD1255" i="17"/>
  <c r="CD1111" i="17"/>
  <c r="CD1285" i="17"/>
  <c r="CD1257" i="17"/>
  <c r="CD1199" i="17"/>
  <c r="CD1169" i="17"/>
  <c r="CD1141" i="17"/>
  <c r="CD1113" i="17"/>
  <c r="CD1055" i="17"/>
  <c r="CD1025" i="17"/>
  <c r="CD997" i="17"/>
  <c r="CD1286" i="17"/>
  <c r="CD1238" i="17"/>
  <c r="CD1142" i="17"/>
  <c r="CD1094" i="17"/>
  <c r="CD1046" i="17"/>
  <c r="CD1292" i="17"/>
  <c r="CD1268" i="17"/>
  <c r="CD1220" i="17"/>
  <c r="CD1148" i="17"/>
  <c r="CD1124" i="17"/>
  <c r="CD1180" i="17"/>
  <c r="CD1036" i="17"/>
  <c r="CD1223" i="17"/>
  <c r="CD1195" i="17"/>
  <c r="CD1137" i="17"/>
  <c r="CD1107" i="17"/>
  <c r="CD1079" i="17"/>
  <c r="CD1051" i="17"/>
  <c r="CD993" i="17"/>
  <c r="CD1283" i="17"/>
  <c r="CD1253" i="17"/>
  <c r="CD1225" i="17"/>
  <c r="CD1197" i="17"/>
  <c r="CD1167" i="17"/>
  <c r="CD1139" i="17"/>
  <c r="CD1109" i="17"/>
  <c r="CD1081" i="17"/>
  <c r="CD1053" i="17"/>
  <c r="CD1023" i="17"/>
  <c r="CD995" i="17"/>
  <c r="CD1290" i="17"/>
  <c r="CD1146" i="17"/>
  <c r="CD1274" i="17"/>
  <c r="CD1226" i="17"/>
  <c r="CD1202" i="17"/>
  <c r="CD1178" i="17"/>
  <c r="CD1154" i="17"/>
  <c r="CD1130" i="17"/>
  <c r="CD1106" i="17"/>
  <c r="CD1058" i="17"/>
  <c r="CD1034" i="17"/>
  <c r="CD1266" i="17"/>
  <c r="CD1218" i="17"/>
  <c r="CD1194" i="17"/>
  <c r="CD1170" i="17"/>
  <c r="CD1122" i="17"/>
  <c r="CD1074" i="17"/>
  <c r="CD1050" i="17"/>
  <c r="CD1026" i="17"/>
  <c r="CD1123" i="17"/>
  <c r="CD767" i="17"/>
  <c r="AC897" i="7"/>
  <c r="AC713" i="7"/>
  <c r="AC750" i="7"/>
  <c r="AC666" i="7"/>
  <c r="AC548" i="7"/>
  <c r="AC547" i="7"/>
  <c r="Y460" i="7"/>
  <c r="AC427" i="7"/>
  <c r="AC390" i="7"/>
  <c r="AD390" i="7" s="1"/>
  <c r="AC65" i="7"/>
  <c r="AC93" i="7"/>
  <c r="AC911" i="7"/>
  <c r="AC820" i="7"/>
  <c r="AC245" i="7"/>
  <c r="AC41" i="7"/>
  <c r="Y790" i="7"/>
  <c r="Y581" i="7"/>
  <c r="AC529" i="7"/>
  <c r="AD529" i="7" s="1"/>
  <c r="AC267" i="7"/>
  <c r="AC127" i="7"/>
  <c r="AC51" i="7"/>
  <c r="Y459" i="7"/>
  <c r="AC459" i="7" s="1"/>
  <c r="Y258" i="7"/>
  <c r="AC258" i="7" s="1"/>
  <c r="AD258" i="7" s="1"/>
  <c r="AC425" i="7"/>
  <c r="AC227" i="7"/>
  <c r="AC751" i="7"/>
  <c r="Y690" i="7"/>
  <c r="AC690" i="7" s="1"/>
  <c r="Y661" i="7"/>
  <c r="AC661" i="7" s="1"/>
  <c r="AD661" i="7" s="1"/>
  <c r="AC239" i="7"/>
  <c r="AC422" i="7"/>
  <c r="AC240" i="7"/>
  <c r="AC209" i="7"/>
  <c r="AC42" i="7"/>
  <c r="AC906" i="7"/>
  <c r="Y883" i="7"/>
  <c r="AC830" i="7"/>
  <c r="AC874" i="7"/>
  <c r="AC769" i="7"/>
  <c r="AC719" i="7"/>
  <c r="AC727" i="7"/>
  <c r="AD727" i="7" s="1"/>
  <c r="AC657" i="7"/>
  <c r="AC398" i="7"/>
  <c r="AC394" i="7"/>
  <c r="AC330" i="7"/>
  <c r="Y280" i="7"/>
  <c r="AC308" i="7"/>
  <c r="AC269" i="7"/>
  <c r="Y169" i="7"/>
  <c r="AC214" i="7"/>
  <c r="Y261" i="7"/>
  <c r="AC261" i="7" s="1"/>
  <c r="AD261" i="7" s="1"/>
  <c r="AC202" i="7"/>
  <c r="AC119" i="7"/>
  <c r="AC25" i="7"/>
  <c r="AC852" i="7"/>
  <c r="Y277" i="7"/>
  <c r="AC257" i="7"/>
  <c r="Y230" i="7"/>
  <c r="Y167" i="7"/>
  <c r="AC167" i="7" s="1"/>
  <c r="AC79" i="7"/>
  <c r="Y116" i="7"/>
  <c r="AC116" i="7" s="1"/>
  <c r="AD116" i="7" s="1"/>
  <c r="Y763" i="7"/>
  <c r="AC837" i="7"/>
  <c r="AD837" i="7" s="1"/>
  <c r="AC891" i="7"/>
  <c r="AC760" i="7"/>
  <c r="AC436" i="7"/>
  <c r="Y374" i="7"/>
  <c r="AC374" i="7" s="1"/>
  <c r="AC319" i="7"/>
  <c r="AC268" i="7"/>
  <c r="AC169" i="7"/>
  <c r="AC148" i="7"/>
  <c r="AC136" i="7"/>
  <c r="AC197" i="7"/>
  <c r="AC45" i="7"/>
  <c r="AD45" i="7" s="1"/>
  <c r="AC81" i="7"/>
  <c r="AC24" i="7"/>
  <c r="AC808" i="7"/>
  <c r="AC782" i="7"/>
  <c r="AC691" i="7"/>
  <c r="AC827" i="7"/>
  <c r="Y699" i="7"/>
  <c r="AC699" i="7" s="1"/>
  <c r="AD699" i="7" s="1"/>
  <c r="AC734" i="7"/>
  <c r="AC206" i="7"/>
  <c r="Y388" i="7"/>
  <c r="AC388" i="7" s="1"/>
  <c r="AC138" i="7"/>
  <c r="AC612" i="7"/>
  <c r="AD612" i="7" s="1"/>
  <c r="AC559" i="7"/>
  <c r="AC843" i="7"/>
  <c r="AC639" i="7"/>
  <c r="AC647" i="7"/>
  <c r="AC553" i="7"/>
  <c r="AC509" i="7"/>
  <c r="AC521" i="7"/>
  <c r="AC464" i="7"/>
  <c r="Y447" i="7"/>
  <c r="AC434" i="7"/>
  <c r="AC346" i="7"/>
  <c r="AC340" i="7"/>
  <c r="AD340" i="7" s="1"/>
  <c r="AC236" i="7"/>
  <c r="AC220" i="7"/>
  <c r="AC135" i="7"/>
  <c r="AC107" i="7"/>
  <c r="AC90" i="7"/>
  <c r="AC95" i="7"/>
  <c r="AC23" i="7"/>
  <c r="AC814" i="7"/>
  <c r="Y811" i="7"/>
  <c r="AC811" i="7" s="1"/>
  <c r="AC773" i="7"/>
  <c r="AC737" i="7"/>
  <c r="AC796" i="7"/>
  <c r="AD796" i="7" s="1"/>
  <c r="Y658" i="7"/>
  <c r="AC658" i="7" s="1"/>
  <c r="Y268" i="7"/>
  <c r="Y296" i="7"/>
  <c r="Y122" i="7"/>
  <c r="AC122" i="7" s="1"/>
  <c r="AD122" i="7" s="1"/>
  <c r="Y121" i="7"/>
  <c r="AC121" i="7" s="1"/>
  <c r="AD121" i="7" s="1"/>
  <c r="Y907" i="7"/>
  <c r="AC907" i="7" s="1"/>
  <c r="AC876" i="7"/>
  <c r="AC798" i="7"/>
  <c r="AC752" i="7"/>
  <c r="AC613" i="7"/>
  <c r="AC513" i="7"/>
  <c r="AC485" i="7"/>
  <c r="AD485" i="7" s="1"/>
  <c r="AC315" i="7"/>
  <c r="Y339" i="7"/>
  <c r="AC339" i="7" s="1"/>
  <c r="AC329" i="7"/>
  <c r="AC279" i="7"/>
  <c r="Y166" i="7"/>
  <c r="AC134" i="7"/>
  <c r="AC70" i="7"/>
  <c r="Y223" i="7"/>
  <c r="AC223" i="7" s="1"/>
  <c r="AD223" i="7" s="1"/>
  <c r="Y149" i="7"/>
  <c r="AC149" i="7" s="1"/>
  <c r="AD149" i="7" s="1"/>
  <c r="AC67" i="7"/>
  <c r="Y610" i="7"/>
  <c r="AC610" i="7" s="1"/>
  <c r="AD610" i="7" s="1"/>
  <c r="Y313" i="7"/>
  <c r="AC313" i="7" s="1"/>
  <c r="AC861" i="7"/>
  <c r="AC870" i="7"/>
  <c r="Y680" i="7"/>
  <c r="AC680" i="7" s="1"/>
  <c r="Y634" i="7"/>
  <c r="AC626" i="7"/>
  <c r="AC533" i="7"/>
  <c r="AC341" i="7"/>
  <c r="AC323" i="7"/>
  <c r="AC144" i="7"/>
  <c r="AC201" i="7"/>
  <c r="AD201" i="7" s="1"/>
  <c r="Y249" i="7"/>
  <c r="AC66" i="7"/>
  <c r="AC97" i="7"/>
  <c r="AC813" i="7"/>
  <c r="AC637" i="7"/>
  <c r="AC741" i="7"/>
  <c r="AC619" i="7"/>
  <c r="Y577" i="7"/>
  <c r="AC577" i="7" s="1"/>
  <c r="AD577" i="7" s="1"/>
  <c r="Y565" i="7"/>
  <c r="AC565" i="7" s="1"/>
  <c r="AD565" i="7" s="1"/>
  <c r="AC322" i="7"/>
  <c r="AC370" i="7"/>
  <c r="AD370" i="7" s="1"/>
  <c r="Y275" i="7"/>
  <c r="AC26" i="7"/>
  <c r="AC49" i="7"/>
  <c r="AC59" i="7"/>
  <c r="AC13" i="7"/>
  <c r="Y404" i="7"/>
  <c r="AC851" i="7"/>
  <c r="AC779" i="7"/>
  <c r="AC320" i="7"/>
  <c r="AC143" i="7"/>
  <c r="AC802" i="7"/>
  <c r="AC805" i="7"/>
  <c r="AD805" i="7" s="1"/>
  <c r="AC597" i="7"/>
  <c r="AC604" i="7"/>
  <c r="AC862" i="7"/>
  <c r="AC628" i="7"/>
  <c r="AC424" i="7"/>
  <c r="AC407" i="7"/>
  <c r="AC439" i="7"/>
  <c r="AC768" i="7"/>
  <c r="AC778" i="7"/>
  <c r="AC671" i="7"/>
  <c r="AC617" i="7"/>
  <c r="AC574" i="7"/>
  <c r="AD574" i="7" s="1"/>
  <c r="AC625" i="7"/>
  <c r="AC380" i="7"/>
  <c r="AC352" i="7"/>
  <c r="Y186" i="7"/>
  <c r="AC186" i="7" s="1"/>
  <c r="AC154" i="7"/>
  <c r="AC117" i="7"/>
  <c r="AC105" i="7"/>
  <c r="AC114" i="7"/>
  <c r="AC60" i="7"/>
  <c r="AC80" i="7"/>
  <c r="AC866" i="7"/>
  <c r="AC909" i="7"/>
  <c r="O911" i="15" s="1"/>
  <c r="AC860" i="7"/>
  <c r="AC821" i="7"/>
  <c r="AC832" i="7"/>
  <c r="AC804" i="7"/>
  <c r="AD804" i="7" s="1"/>
  <c r="Y652" i="7"/>
  <c r="AC652" i="7" s="1"/>
  <c r="Y794" i="7"/>
  <c r="Y448" i="7"/>
  <c r="AC486" i="7"/>
  <c r="Y358" i="7"/>
  <c r="AC358" i="7" s="1"/>
  <c r="AD358" i="7" s="1"/>
  <c r="Y505" i="7"/>
  <c r="AC246" i="7"/>
  <c r="AD246" i="7" s="1"/>
  <c r="AC91" i="7"/>
  <c r="AD91" i="7" s="1"/>
  <c r="Y55" i="7"/>
  <c r="AC55" i="7" s="1"/>
  <c r="AD55" i="7" s="1"/>
  <c r="Y74" i="7"/>
  <c r="AC74" i="7" s="1"/>
  <c r="AD74" i="7" s="1"/>
  <c r="Y20" i="7"/>
  <c r="AC20" i="7" s="1"/>
  <c r="AD20" i="7" s="1"/>
  <c r="Y88" i="7"/>
  <c r="Y137" i="7"/>
  <c r="AC137" i="7" s="1"/>
  <c r="AD137" i="7" s="1"/>
  <c r="Y688" i="7"/>
  <c r="AC688" i="7" s="1"/>
  <c r="AC823" i="7"/>
  <c r="AC785" i="7"/>
  <c r="AC633" i="7"/>
  <c r="AC526" i="7"/>
  <c r="Y502" i="7"/>
  <c r="AC502" i="7" s="1"/>
  <c r="AD502" i="7" s="1"/>
  <c r="AC478" i="7"/>
  <c r="AC480" i="7"/>
  <c r="AC397" i="7"/>
  <c r="AC431" i="7"/>
  <c r="AC391" i="7"/>
  <c r="AC384" i="7"/>
  <c r="AC371" i="7"/>
  <c r="Y283" i="7"/>
  <c r="Y301" i="7"/>
  <c r="AC153" i="7"/>
  <c r="AC129" i="7"/>
  <c r="AC57" i="7"/>
  <c r="AD57" i="7" s="1"/>
  <c r="AC908" i="7"/>
  <c r="AD908" i="7" s="1"/>
  <c r="Y792" i="7"/>
  <c r="AC872" i="7"/>
  <c r="AC591" i="7"/>
  <c r="AC528" i="7"/>
  <c r="Y481" i="7"/>
  <c r="AC481" i="7" s="1"/>
  <c r="Y351" i="7"/>
  <c r="AC43" i="7"/>
  <c r="AC84" i="7"/>
  <c r="Y128" i="7"/>
  <c r="AC128" i="7" s="1"/>
  <c r="AD128" i="7" s="1"/>
  <c r="Y58" i="7"/>
  <c r="AC58" i="7" s="1"/>
  <c r="AD58" i="7" s="1"/>
  <c r="D15" i="17"/>
  <c r="C14" i="17"/>
  <c r="D14" i="17"/>
  <c r="C15" i="17"/>
  <c r="E15" i="17"/>
  <c r="F15" i="17"/>
  <c r="G15" i="17"/>
  <c r="AW2" i="17"/>
  <c r="AX2" i="17" s="1"/>
  <c r="CD2" i="17"/>
  <c r="CE2" i="17" s="1"/>
  <c r="H15" i="17"/>
  <c r="CA3" i="17"/>
  <c r="CB2" i="17"/>
  <c r="F14" i="17"/>
  <c r="H14" i="17"/>
  <c r="E14" i="17"/>
  <c r="G14" i="17"/>
  <c r="BU3" i="17"/>
  <c r="BV2" i="17"/>
  <c r="E13" i="17"/>
  <c r="C13" i="17"/>
  <c r="G13" i="17"/>
  <c r="D13" i="17"/>
  <c r="F13" i="17"/>
  <c r="E12" i="17"/>
  <c r="C12" i="17"/>
  <c r="D12" i="17"/>
  <c r="BO3" i="17"/>
  <c r="BP2" i="17"/>
  <c r="H13" i="17"/>
  <c r="G12" i="17"/>
  <c r="H12" i="17"/>
  <c r="D11" i="17"/>
  <c r="G11" i="17"/>
  <c r="H11" i="17"/>
  <c r="C11" i="17"/>
  <c r="F12" i="17"/>
  <c r="BI3" i="17"/>
  <c r="BJ2" i="17"/>
  <c r="E11" i="17"/>
  <c r="F11" i="17"/>
  <c r="C10" i="17"/>
  <c r="F10" i="17"/>
  <c r="BC3" i="17"/>
  <c r="BD2" i="17"/>
  <c r="E10" i="17"/>
  <c r="G10" i="17"/>
  <c r="H10" i="17"/>
  <c r="G16" i="17"/>
  <c r="D10" i="17"/>
  <c r="AC253" i="7"/>
  <c r="AC435" i="7"/>
  <c r="AC426" i="7"/>
  <c r="AD426" i="7" s="1"/>
  <c r="O913" i="15"/>
  <c r="AD911" i="7"/>
  <c r="AC37" i="7"/>
  <c r="AC794" i="7"/>
  <c r="AD794" i="7" s="1"/>
  <c r="AC251" i="7"/>
  <c r="AD251" i="7" s="1"/>
  <c r="AC841" i="7"/>
  <c r="AD841" i="7" s="1"/>
  <c r="AC857" i="7"/>
  <c r="AC789" i="7"/>
  <c r="AD789" i="7" s="1"/>
  <c r="AC748" i="7"/>
  <c r="AC761" i="7"/>
  <c r="AD761" i="7" s="1"/>
  <c r="AC711" i="7"/>
  <c r="AC572" i="7"/>
  <c r="Y467" i="7"/>
  <c r="AC467" i="7" s="1"/>
  <c r="AD467" i="7" s="1"/>
  <c r="Y457" i="7"/>
  <c r="AC457" i="7" s="1"/>
  <c r="AD457" i="7" s="1"/>
  <c r="AC396" i="7"/>
  <c r="AC438" i="7"/>
  <c r="AD438" i="7" s="1"/>
  <c r="AC406" i="7"/>
  <c r="AD406" i="7" s="1"/>
  <c r="AC377" i="7"/>
  <c r="AC451" i="7"/>
  <c r="AD451" i="7" s="1"/>
  <c r="AC294" i="7"/>
  <c r="AD294" i="7" s="1"/>
  <c r="AC332" i="7"/>
  <c r="AC249" i="7"/>
  <c r="AC260" i="7"/>
  <c r="AC125" i="7"/>
  <c r="AD125" i="7" s="1"/>
  <c r="Y168" i="7"/>
  <c r="AC165" i="7"/>
  <c r="Y180" i="7"/>
  <c r="AC180" i="7" s="1"/>
  <c r="AD180" i="7" s="1"/>
  <c r="C10" i="5"/>
  <c r="E10" i="5" s="1"/>
  <c r="AC101" i="7"/>
  <c r="AC27" i="7"/>
  <c r="Y638" i="7"/>
  <c r="AC638" i="7" s="1"/>
  <c r="AD638" i="7" s="1"/>
  <c r="Y363" i="7"/>
  <c r="AC363" i="7" s="1"/>
  <c r="AD363" i="7" s="1"/>
  <c r="Y61" i="7"/>
  <c r="AC61" i="7" s="1"/>
  <c r="Y611" i="7"/>
  <c r="AC611" i="7" s="1"/>
  <c r="AC545" i="7"/>
  <c r="AD545" i="7" s="1"/>
  <c r="AC511" i="7"/>
  <c r="AD511" i="7" s="1"/>
  <c r="Y484" i="7"/>
  <c r="AC484" i="7" s="1"/>
  <c r="AC410" i="7"/>
  <c r="AC417" i="7"/>
  <c r="AD417" i="7" s="1"/>
  <c r="AC311" i="7"/>
  <c r="AD311" i="7" s="1"/>
  <c r="AC265" i="7"/>
  <c r="AD265" i="7" s="1"/>
  <c r="F8" i="5"/>
  <c r="AC763" i="7"/>
  <c r="AD763" i="7" s="1"/>
  <c r="Y662" i="7"/>
  <c r="Y387" i="7"/>
  <c r="AC387" i="7" s="1"/>
  <c r="Y14" i="7"/>
  <c r="Y179" i="7"/>
  <c r="AC179" i="7" s="1"/>
  <c r="AD179" i="7" s="1"/>
  <c r="AC618" i="7"/>
  <c r="AC586" i="7"/>
  <c r="AC539" i="7"/>
  <c r="AD539" i="7" s="1"/>
  <c r="AC531" i="7"/>
  <c r="AD531" i="7" s="1"/>
  <c r="AC460" i="7"/>
  <c r="AD460" i="7" s="1"/>
  <c r="AC504" i="7"/>
  <c r="AD504" i="7" s="1"/>
  <c r="AC456" i="7"/>
  <c r="AD456" i="7" s="1"/>
  <c r="AC307" i="7"/>
  <c r="AC266" i="7"/>
  <c r="AC146" i="7"/>
  <c r="AC235" i="7"/>
  <c r="AC87" i="7"/>
  <c r="AD87" i="7" s="1"/>
  <c r="AC767" i="7"/>
  <c r="AD767" i="7" s="1"/>
  <c r="AC12" i="7"/>
  <c r="AC14" i="7"/>
  <c r="AC765" i="7"/>
  <c r="AD765" i="7" s="1"/>
  <c r="AC826" i="7"/>
  <c r="AD826" i="7" s="1"/>
  <c r="AC731" i="7"/>
  <c r="AD731" i="7" s="1"/>
  <c r="AC890" i="7"/>
  <c r="AD890" i="7" s="1"/>
  <c r="AC780" i="7"/>
  <c r="AC776" i="7"/>
  <c r="AC728" i="7"/>
  <c r="AC645" i="7"/>
  <c r="Y475" i="7"/>
  <c r="AC475" i="7" s="1"/>
  <c r="AD475" i="7" s="1"/>
  <c r="AC437" i="7"/>
  <c r="AD437" i="7" s="1"/>
  <c r="AC413" i="7"/>
  <c r="AD413" i="7" s="1"/>
  <c r="AC280" i="7"/>
  <c r="AC296" i="7"/>
  <c r="AC133" i="7"/>
  <c r="AD133" i="7" s="1"/>
  <c r="AC33" i="7"/>
  <c r="AC85" i="7"/>
  <c r="AD85" i="7" s="1"/>
  <c r="AC53" i="7"/>
  <c r="AC35" i="7"/>
  <c r="Y650" i="7"/>
  <c r="AC650" i="7" s="1"/>
  <c r="Y756" i="7"/>
  <c r="Y264" i="7"/>
  <c r="AC264" i="7" s="1"/>
  <c r="AC291" i="7"/>
  <c r="AC662" i="7"/>
  <c r="AD662" i="7" s="1"/>
  <c r="AC867" i="7"/>
  <c r="AD867" i="7" s="1"/>
  <c r="AC744" i="7"/>
  <c r="AC887" i="7"/>
  <c r="AD887" i="7" s="1"/>
  <c r="AC883" i="7"/>
  <c r="AD883" i="7" s="1"/>
  <c r="AC902" i="7"/>
  <c r="AD902" i="7" s="1"/>
  <c r="AC865" i="7"/>
  <c r="AC889" i="7"/>
  <c r="AC873" i="7"/>
  <c r="AC762" i="7"/>
  <c r="AD762" i="7" s="1"/>
  <c r="AC772" i="7"/>
  <c r="AD772" i="7" s="1"/>
  <c r="AC723" i="7"/>
  <c r="AD723" i="7" s="1"/>
  <c r="AC730" i="7"/>
  <c r="AD730" i="7" s="1"/>
  <c r="AC580" i="7"/>
  <c r="AD580" i="7" s="1"/>
  <c r="AC551" i="7"/>
  <c r="AD551" i="7" s="1"/>
  <c r="AC566" i="7"/>
  <c r="AD566" i="7" s="1"/>
  <c r="AC598" i="7"/>
  <c r="AC525" i="7"/>
  <c r="AD525" i="7" s="1"/>
  <c r="AC517" i="7"/>
  <c r="AC519" i="7"/>
  <c r="AC423" i="7"/>
  <c r="AD423" i="7" s="1"/>
  <c r="AC444" i="7"/>
  <c r="Y292" i="7"/>
  <c r="AC292" i="7" s="1"/>
  <c r="AD292" i="7" s="1"/>
  <c r="AC231" i="7"/>
  <c r="AC242" i="7"/>
  <c r="AD242" i="7" s="1"/>
  <c r="AC224" i="7"/>
  <c r="AC247" i="7"/>
  <c r="AD247" i="7" s="1"/>
  <c r="AC132" i="7"/>
  <c r="AD132" i="7" s="1"/>
  <c r="AC230" i="7"/>
  <c r="AC54" i="7"/>
  <c r="AC30" i="7"/>
  <c r="AC77" i="7"/>
  <c r="AD77" i="7" s="1"/>
  <c r="Y797" i="7"/>
  <c r="AC797" i="7" s="1"/>
  <c r="Y705" i="7"/>
  <c r="AC705" i="7" s="1"/>
  <c r="Y757" i="7"/>
  <c r="Y343" i="7"/>
  <c r="Y400" i="7"/>
  <c r="AC400" i="7" s="1"/>
  <c r="Y123" i="7"/>
  <c r="AC123" i="7" s="1"/>
  <c r="AD123" i="7" s="1"/>
  <c r="AC882" i="7"/>
  <c r="AD882" i="7" s="1"/>
  <c r="AC847" i="7"/>
  <c r="AD847" i="7" s="1"/>
  <c r="AC771" i="7"/>
  <c r="AC733" i="7"/>
  <c r="AC722" i="7"/>
  <c r="AD722" i="7" s="1"/>
  <c r="AC700" i="7"/>
  <c r="AC642" i="7"/>
  <c r="AD642" i="7" s="1"/>
  <c r="AC606" i="7"/>
  <c r="AC634" i="7"/>
  <c r="AD634" i="7" s="1"/>
  <c r="AC563" i="7"/>
  <c r="AC555" i="7"/>
  <c r="AD555" i="7" s="1"/>
  <c r="Y452" i="7"/>
  <c r="AC452" i="7" s="1"/>
  <c r="AD452" i="7" s="1"/>
  <c r="Y473" i="7"/>
  <c r="AC473" i="7" s="1"/>
  <c r="AD473" i="7" s="1"/>
  <c r="AC419" i="7"/>
  <c r="Y362" i="7"/>
  <c r="Y353" i="7"/>
  <c r="AC353" i="7" s="1"/>
  <c r="AC350" i="7"/>
  <c r="AD350" i="7" s="1"/>
  <c r="AC219" i="7"/>
  <c r="AD219" i="7" s="1"/>
  <c r="AC217" i="7"/>
  <c r="Y191" i="7"/>
  <c r="AC191" i="7" s="1"/>
  <c r="AC131" i="7"/>
  <c r="F7" i="5"/>
  <c r="AC78" i="7"/>
  <c r="AD78" i="7" s="1"/>
  <c r="AC71" i="7"/>
  <c r="AD71" i="7" s="1"/>
  <c r="AC50" i="7"/>
  <c r="AC19" i="7"/>
  <c r="Y881" i="7"/>
  <c r="Y846" i="7"/>
  <c r="AC846" i="7" s="1"/>
  <c r="Y646" i="7"/>
  <c r="AC646" i="7" s="1"/>
  <c r="Y582" i="7"/>
  <c r="AC582" i="7" s="1"/>
  <c r="AC252" i="7"/>
  <c r="AD252" i="7" s="1"/>
  <c r="AC853" i="7"/>
  <c r="AC825" i="7"/>
  <c r="AC856" i="7"/>
  <c r="AD856" i="7" s="1"/>
  <c r="AC725" i="7"/>
  <c r="AD725" i="7" s="1"/>
  <c r="AC696" i="7"/>
  <c r="AD696" i="7" s="1"/>
  <c r="AC620" i="7"/>
  <c r="AC605" i="7"/>
  <c r="AD605" i="7" s="1"/>
  <c r="AC616" i="7"/>
  <c r="AD616" i="7" s="1"/>
  <c r="AC596" i="7"/>
  <c r="AD596" i="7" s="1"/>
  <c r="AC554" i="7"/>
  <c r="AC507" i="7"/>
  <c r="AD507" i="7" s="1"/>
  <c r="AC415" i="7"/>
  <c r="AC351" i="7"/>
  <c r="AC343" i="7"/>
  <c r="AC327" i="7"/>
  <c r="AD327" i="7" s="1"/>
  <c r="AC338" i="7"/>
  <c r="AD338" i="7" s="1"/>
  <c r="AC300" i="7"/>
  <c r="AD300" i="7" s="1"/>
  <c r="AC161" i="7"/>
  <c r="AD161" i="7" s="1"/>
  <c r="F13" i="5"/>
  <c r="AC69" i="7"/>
  <c r="AD69" i="7" s="1"/>
  <c r="AC18" i="7"/>
  <c r="Y801" i="7"/>
  <c r="AC801" i="7" s="1"/>
  <c r="AD801" i="7" s="1"/>
  <c r="Y767" i="7"/>
  <c r="Y623" i="7"/>
  <c r="AC623" i="7" s="1"/>
  <c r="AD623" i="7" s="1"/>
  <c r="Y845" i="7"/>
  <c r="Y375" i="7"/>
  <c r="AC375" i="7" s="1"/>
  <c r="Y304" i="7"/>
  <c r="AC304" i="7" s="1"/>
  <c r="AD304" i="7" s="1"/>
  <c r="Y226" i="7"/>
  <c r="AC226" i="7" s="1"/>
  <c r="AD226" i="7" s="1"/>
  <c r="AC102" i="7"/>
  <c r="AD102" i="7" s="1"/>
  <c r="AC881" i="7"/>
  <c r="AD881" i="7" s="1"/>
  <c r="AC863" i="7"/>
  <c r="AD863" i="7" s="1"/>
  <c r="AC792" i="7"/>
  <c r="AC714" i="7"/>
  <c r="AC622" i="7"/>
  <c r="AC615" i="7"/>
  <c r="AC593" i="7"/>
  <c r="AD593" i="7" s="1"/>
  <c r="Y556" i="7"/>
  <c r="AC556" i="7" s="1"/>
  <c r="AC505" i="7"/>
  <c r="AD505" i="7" s="1"/>
  <c r="Y471" i="7"/>
  <c r="AC471" i="7" s="1"/>
  <c r="AD471" i="7" s="1"/>
  <c r="AC493" i="7"/>
  <c r="AD493" i="7" s="1"/>
  <c r="AC448" i="7"/>
  <c r="AD448" i="7" s="1"/>
  <c r="AC429" i="7"/>
  <c r="AD429" i="7" s="1"/>
  <c r="AC411" i="7"/>
  <c r="AD411" i="7" s="1"/>
  <c r="Y344" i="7"/>
  <c r="AC344" i="7" s="1"/>
  <c r="AD344" i="7" s="1"/>
  <c r="Y289" i="7"/>
  <c r="AC299" i="7"/>
  <c r="AC359" i="7"/>
  <c r="AC233" i="7"/>
  <c r="AD233" i="7" s="1"/>
  <c r="Y183" i="7"/>
  <c r="AC183" i="7" s="1"/>
  <c r="AD183" i="7" s="1"/>
  <c r="C9" i="5"/>
  <c r="E9" i="5" s="1"/>
  <c r="C6" i="5"/>
  <c r="E6" i="5" s="1"/>
  <c r="AC6" i="7"/>
  <c r="AD6" i="7" s="1"/>
  <c r="AC7" i="7"/>
  <c r="AC316" i="7"/>
  <c r="AD316" i="7" s="1"/>
  <c r="Y432" i="7"/>
  <c r="AC432" i="7" s="1"/>
  <c r="Y86" i="7"/>
  <c r="AC86" i="7" s="1"/>
  <c r="AD86" i="7" s="1"/>
  <c r="AC667" i="7"/>
  <c r="AC581" i="7"/>
  <c r="Y446" i="7"/>
  <c r="AC446" i="7" s="1"/>
  <c r="AC408" i="7"/>
  <c r="AD408" i="7" s="1"/>
  <c r="AC362" i="7"/>
  <c r="AD362" i="7" s="1"/>
  <c r="AC325" i="7"/>
  <c r="AC312" i="7"/>
  <c r="AC188" i="7"/>
  <c r="AD188" i="7" s="1"/>
  <c r="AC152" i="7"/>
  <c r="AD152" i="7" s="1"/>
  <c r="AC113" i="7"/>
  <c r="F12" i="5"/>
  <c r="AC98" i="7"/>
  <c r="AD98" i="7" s="1"/>
  <c r="Y312" i="7"/>
  <c r="AC859" i="7"/>
  <c r="AD859" i="7" s="1"/>
  <c r="AC864" i="7"/>
  <c r="AD864" i="7" s="1"/>
  <c r="AC839" i="7"/>
  <c r="AD839" i="7" s="1"/>
  <c r="AC754" i="7"/>
  <c r="AC712" i="7"/>
  <c r="AD712" i="7" s="1"/>
  <c r="AC682" i="7"/>
  <c r="AD682" i="7" s="1"/>
  <c r="Y600" i="7"/>
  <c r="AC600" i="7" s="1"/>
  <c r="AC601" i="7"/>
  <c r="AD601" i="7" s="1"/>
  <c r="AC500" i="7"/>
  <c r="AD500" i="7" s="1"/>
  <c r="AC405" i="7"/>
  <c r="AD405" i="7" s="1"/>
  <c r="AC447" i="7"/>
  <c r="Y389" i="7"/>
  <c r="AC389" i="7" s="1"/>
  <c r="Y285" i="7"/>
  <c r="AC285" i="7" s="1"/>
  <c r="AD285" i="7" s="1"/>
  <c r="Y218" i="7"/>
  <c r="AC151" i="7"/>
  <c r="AD151" i="7" s="1"/>
  <c r="AC139" i="7"/>
  <c r="AD139" i="7" s="1"/>
  <c r="AC159" i="7"/>
  <c r="AD159" i="7" s="1"/>
  <c r="AC15" i="7"/>
  <c r="AD15" i="7" s="1"/>
  <c r="Y787" i="7"/>
  <c r="AC787" i="7" s="1"/>
  <c r="AD787" i="7" s="1"/>
  <c r="Y736" i="7"/>
  <c r="AC736" i="7" s="1"/>
  <c r="Y305" i="7"/>
  <c r="AC305" i="7" s="1"/>
  <c r="AD305" i="7" s="1"/>
  <c r="Y259" i="7"/>
  <c r="AC259" i="7" s="1"/>
  <c r="AD259" i="7" s="1"/>
  <c r="Y17" i="7"/>
  <c r="AC17" i="7" s="1"/>
  <c r="AC828" i="7"/>
  <c r="AC845" i="7"/>
  <c r="AC829" i="7"/>
  <c r="AC788" i="7"/>
  <c r="AD788" i="7" s="1"/>
  <c r="AC774" i="7"/>
  <c r="AC710" i="7"/>
  <c r="AD710" i="7" s="1"/>
  <c r="AC685" i="7"/>
  <c r="AD685" i="7" s="1"/>
  <c r="AC575" i="7"/>
  <c r="AD575" i="7" s="1"/>
  <c r="Y541" i="7"/>
  <c r="AC541" i="7" s="1"/>
  <c r="AC549" i="7"/>
  <c r="AD549" i="7" s="1"/>
  <c r="AC557" i="7"/>
  <c r="AD557" i="7" s="1"/>
  <c r="AC608" i="7"/>
  <c r="AC537" i="7"/>
  <c r="AC523" i="7"/>
  <c r="Y442" i="7"/>
  <c r="Y468" i="7"/>
  <c r="AC468" i="7" s="1"/>
  <c r="AD468" i="7" s="1"/>
  <c r="Y479" i="7"/>
  <c r="AC479" i="7" s="1"/>
  <c r="AD479" i="7" s="1"/>
  <c r="AC402" i="7"/>
  <c r="AD402" i="7" s="1"/>
  <c r="AC416" i="7"/>
  <c r="AD416" i="7" s="1"/>
  <c r="AC450" i="7"/>
  <c r="AD450" i="7" s="1"/>
  <c r="Y333" i="7"/>
  <c r="AC333" i="7" s="1"/>
  <c r="AD333" i="7" s="1"/>
  <c r="AC295" i="7"/>
  <c r="AD295" i="7" s="1"/>
  <c r="AC297" i="7"/>
  <c r="Y282" i="7"/>
  <c r="AC237" i="7"/>
  <c r="AD237" i="7" s="1"/>
  <c r="AC216" i="7"/>
  <c r="AD216" i="7" s="1"/>
  <c r="AC232" i="7"/>
  <c r="AD232" i="7" s="1"/>
  <c r="AC160" i="7"/>
  <c r="AD160" i="7" s="1"/>
  <c r="AC256" i="7"/>
  <c r="AD256" i="7" s="1"/>
  <c r="AC168" i="7"/>
  <c r="AD168" i="7" s="1"/>
  <c r="Y181" i="7"/>
  <c r="AC181" i="7" s="1"/>
  <c r="AD181" i="7" s="1"/>
  <c r="AC63" i="7"/>
  <c r="AC88" i="7"/>
  <c r="AD88" i="7" s="1"/>
  <c r="H13" i="5"/>
  <c r="AC16" i="7"/>
  <c r="Y764" i="7"/>
  <c r="AC764" i="7" s="1"/>
  <c r="Y745" i="7"/>
  <c r="AC745" i="7" s="1"/>
  <c r="AD745" i="7" s="1"/>
  <c r="Y834" i="7"/>
  <c r="AC834" i="7" s="1"/>
  <c r="Y621" i="7"/>
  <c r="AC621" i="7" s="1"/>
  <c r="AD621" i="7" s="1"/>
  <c r="Y640" i="7"/>
  <c r="AC640" i="7" s="1"/>
  <c r="AD640" i="7" s="1"/>
  <c r="Y786" i="7"/>
  <c r="AC786" i="7" s="1"/>
  <c r="AD786" i="7" s="1"/>
  <c r="Y735" i="7"/>
  <c r="AC735" i="7" s="1"/>
  <c r="Y433" i="7"/>
  <c r="AC433" i="7" s="1"/>
  <c r="AD433" i="7" s="1"/>
  <c r="Y360" i="7"/>
  <c r="AC360" i="7" s="1"/>
  <c r="AD360" i="7" s="1"/>
  <c r="Y76" i="7"/>
  <c r="AC76" i="7" s="1"/>
  <c r="AD708" i="7"/>
  <c r="AD589" i="7"/>
  <c r="AD528" i="7"/>
  <c r="AD487" i="7"/>
  <c r="AD484" i="7"/>
  <c r="AD410" i="7"/>
  <c r="AD371" i="7"/>
  <c r="AD288" i="7"/>
  <c r="AD234" i="7"/>
  <c r="AD262" i="7"/>
  <c r="AD199" i="7"/>
  <c r="AD95" i="7"/>
  <c r="AD833" i="7"/>
  <c r="AD773" i="7"/>
  <c r="AD752" i="7"/>
  <c r="AD716" i="7"/>
  <c r="AD744" i="7"/>
  <c r="AD706" i="7"/>
  <c r="AD693" i="7"/>
  <c r="AD599" i="7"/>
  <c r="AD618" i="7"/>
  <c r="AD657" i="7"/>
  <c r="AD590" i="7"/>
  <c r="AD669" i="7"/>
  <c r="AD586" i="7"/>
  <c r="AD540" i="7"/>
  <c r="AD464" i="7"/>
  <c r="AD461" i="7"/>
  <c r="AD397" i="7"/>
  <c r="AD431" i="7"/>
  <c r="AD307" i="7"/>
  <c r="AD323" i="7"/>
  <c r="AD266" i="7"/>
  <c r="AD235" i="7"/>
  <c r="AD83" i="7"/>
  <c r="AD903" i="7"/>
  <c r="AD871" i="7"/>
  <c r="AD874" i="7"/>
  <c r="AD823" i="7"/>
  <c r="AD766" i="7"/>
  <c r="AD776" i="7"/>
  <c r="AD728" i="7"/>
  <c r="AD704" i="7"/>
  <c r="AC660" i="7"/>
  <c r="AD617" i="7"/>
  <c r="AD645" i="7"/>
  <c r="AD583" i="7"/>
  <c r="AC569" i="7"/>
  <c r="AD458" i="7"/>
  <c r="AD391" i="7"/>
  <c r="AC334" i="7"/>
  <c r="AD303" i="7"/>
  <c r="AC282" i="7"/>
  <c r="AD320" i="7"/>
  <c r="AD248" i="7"/>
  <c r="AD205" i="7"/>
  <c r="AD11" i="7"/>
  <c r="AD53" i="7"/>
  <c r="AD35" i="7"/>
  <c r="AD18" i="7"/>
  <c r="AD872" i="7"/>
  <c r="AD889" i="7"/>
  <c r="AD702" i="7"/>
  <c r="AD695" i="7"/>
  <c r="AD598" i="7"/>
  <c r="AD526" i="7"/>
  <c r="AD224" i="7"/>
  <c r="AD254" i="7"/>
  <c r="AD70" i="7"/>
  <c r="AD798" i="7"/>
  <c r="AD771" i="7"/>
  <c r="AD733" i="7"/>
  <c r="AD651" i="7"/>
  <c r="AD626" i="7"/>
  <c r="AD563" i="7"/>
  <c r="AD348" i="7"/>
  <c r="AD241" i="7"/>
  <c r="AD204" i="7"/>
  <c r="AD51" i="7"/>
  <c r="AD50" i="7"/>
  <c r="AD19" i="7"/>
  <c r="AD738" i="7"/>
  <c r="AD715" i="7"/>
  <c r="AD649" i="7"/>
  <c r="AD620" i="7"/>
  <c r="AD554" i="7"/>
  <c r="AD343" i="7"/>
  <c r="AD103" i="7"/>
  <c r="AD792" i="7"/>
  <c r="AD622" i="7"/>
  <c r="AD615" i="7"/>
  <c r="AD559" i="7"/>
  <c r="AD422" i="7"/>
  <c r="AD374" i="7"/>
  <c r="AD384" i="7"/>
  <c r="AC324" i="7"/>
  <c r="AD328" i="7"/>
  <c r="AD182" i="7"/>
  <c r="AD187" i="7"/>
  <c r="AD105" i="7"/>
  <c r="AD114" i="7"/>
  <c r="AD100" i="7"/>
  <c r="AD66" i="7"/>
  <c r="AD29" i="7"/>
  <c r="AD865" i="7"/>
  <c r="AD231" i="7"/>
  <c r="AD520" i="7"/>
  <c r="AD419" i="7"/>
  <c r="AD698" i="7"/>
  <c r="AD656" i="7"/>
  <c r="AD578" i="7"/>
  <c r="AD768" i="7"/>
  <c r="AD861" i="7"/>
  <c r="AD828" i="7"/>
  <c r="AD868" i="7"/>
  <c r="AD720" i="7"/>
  <c r="AD713" i="7"/>
  <c r="AD692" i="7"/>
  <c r="AD667" i="7"/>
  <c r="AD568" i="7"/>
  <c r="AD553" i="7"/>
  <c r="AD581" i="7"/>
  <c r="AD420" i="7"/>
  <c r="AC301" i="7"/>
  <c r="AC321" i="7"/>
  <c r="AD325" i="7"/>
  <c r="AD312" i="7"/>
  <c r="AD267" i="7"/>
  <c r="AD270" i="7"/>
  <c r="AD209" i="7"/>
  <c r="AD113" i="7"/>
  <c r="AD754" i="7"/>
  <c r="AD719" i="7"/>
  <c r="AD689" i="7"/>
  <c r="AD686" i="7"/>
  <c r="AD639" i="7"/>
  <c r="AD629" i="7"/>
  <c r="AD560" i="7"/>
  <c r="AC587" i="7"/>
  <c r="AD543" i="7"/>
  <c r="AD506" i="7"/>
  <c r="AD530" i="7"/>
  <c r="AD477" i="7"/>
  <c r="AD490" i="7"/>
  <c r="AD492" i="7"/>
  <c r="AD399" i="7"/>
  <c r="AD425" i="7"/>
  <c r="AD346" i="7"/>
  <c r="AD372" i="7"/>
  <c r="AD389" i="7"/>
  <c r="AD308" i="7"/>
  <c r="AD202" i="7"/>
  <c r="AD9" i="7"/>
  <c r="AD700" i="7"/>
  <c r="AD48" i="7"/>
  <c r="AD498" i="7"/>
  <c r="AD497" i="7"/>
  <c r="AD319" i="7"/>
  <c r="AD255" i="7"/>
  <c r="AD197" i="7"/>
  <c r="AD96" i="7"/>
  <c r="AD16" i="7"/>
  <c r="AD862" i="7"/>
  <c r="AD742" i="7"/>
  <c r="AD770" i="7"/>
  <c r="AD895" i="7"/>
  <c r="AD550" i="7"/>
  <c r="AD711" i="7"/>
  <c r="AD690" i="7"/>
  <c r="AD636" i="7"/>
  <c r="AD595" i="7"/>
  <c r="AD552" i="7"/>
  <c r="AD572" i="7"/>
  <c r="AC538" i="7"/>
  <c r="AD534" i="7"/>
  <c r="AD558" i="7"/>
  <c r="AD478" i="7"/>
  <c r="AD414" i="7"/>
  <c r="AD421" i="7"/>
  <c r="AD377" i="7"/>
  <c r="AD332" i="7"/>
  <c r="AD249" i="7"/>
  <c r="AD268" i="7"/>
  <c r="AD260" i="7"/>
  <c r="AD250" i="7"/>
  <c r="AD165" i="7"/>
  <c r="AD80" i="7"/>
  <c r="AD101" i="7"/>
  <c r="AD27" i="7"/>
  <c r="AD873" i="7"/>
  <c r="AD607" i="7"/>
  <c r="AD519" i="7"/>
  <c r="AD455" i="7"/>
  <c r="AD428" i="7"/>
  <c r="AD444" i="7"/>
  <c r="AD394" i="7"/>
  <c r="AD107" i="7"/>
  <c r="AD54" i="7"/>
  <c r="AD759" i="7"/>
  <c r="AD688" i="7"/>
  <c r="AD509" i="7"/>
  <c r="AD386" i="7"/>
  <c r="AD330" i="7"/>
  <c r="AD200" i="7"/>
  <c r="AD32" i="7"/>
  <c r="AD825" i="7"/>
  <c r="AC672" i="7"/>
  <c r="AD424" i="7"/>
  <c r="AD415" i="7"/>
  <c r="AD192" i="7"/>
  <c r="O907" i="15"/>
  <c r="AD905" i="7"/>
  <c r="AD845" i="7"/>
  <c r="AD829" i="7"/>
  <c r="AD709" i="7"/>
  <c r="AC659" i="7"/>
  <c r="AD614" i="7"/>
  <c r="AD562" i="7"/>
  <c r="AC584" i="7"/>
  <c r="AD544" i="7"/>
  <c r="AD537" i="7"/>
  <c r="AD523" i="7"/>
  <c r="AD893" i="7"/>
  <c r="AD857" i="7"/>
  <c r="AD876" i="7"/>
  <c r="AD843" i="7"/>
  <c r="AD769" i="7"/>
  <c r="AD748" i="7"/>
  <c r="AD680" i="7"/>
  <c r="AD687" i="7"/>
  <c r="AD674" i="7"/>
  <c r="AD875" i="7"/>
  <c r="AD830" i="7"/>
  <c r="AD785" i="7"/>
  <c r="AD755" i="7"/>
  <c r="AD679" i="7"/>
  <c r="AD630" i="7"/>
  <c r="AD647" i="7"/>
  <c r="AD592" i="7"/>
  <c r="AD522" i="7"/>
  <c r="AD533" i="7"/>
  <c r="AD521" i="7"/>
  <c r="AD499" i="7"/>
  <c r="AD476" i="7"/>
  <c r="AD463" i="7"/>
  <c r="AD412" i="7"/>
  <c r="AD439" i="7"/>
  <c r="AD339" i="7"/>
  <c r="AD291" i="7"/>
  <c r="AD243" i="7"/>
  <c r="AD236" i="7"/>
  <c r="AD228" i="7"/>
  <c r="AC211" i="7"/>
  <c r="AD184" i="7"/>
  <c r="AD82" i="7"/>
  <c r="AD8" i="7"/>
  <c r="AD42" i="7"/>
  <c r="AD12" i="7"/>
  <c r="AC749" i="7"/>
  <c r="AD483" i="7"/>
  <c r="AD129" i="7"/>
  <c r="AD239" i="7"/>
  <c r="AC858" i="7"/>
  <c r="AD844" i="7"/>
  <c r="AD854" i="7"/>
  <c r="AD880" i="7"/>
  <c r="AD807" i="7"/>
  <c r="AD821" i="7"/>
  <c r="AD812" i="7"/>
  <c r="AD784" i="7"/>
  <c r="AC753" i="7"/>
  <c r="AD724" i="7"/>
  <c r="AD701" i="7"/>
  <c r="AD683" i="7"/>
  <c r="AD671" i="7"/>
  <c r="AD684" i="7"/>
  <c r="AD613" i="7"/>
  <c r="AD597" i="7"/>
  <c r="AD588" i="7"/>
  <c r="AC542" i="7"/>
  <c r="AC514" i="7"/>
  <c r="Y465" i="7"/>
  <c r="AC465" i="7" s="1"/>
  <c r="AC442" i="7"/>
  <c r="AD434" i="7"/>
  <c r="Y392" i="7"/>
  <c r="AD354" i="7"/>
  <c r="AD381" i="7"/>
  <c r="AD379" i="7"/>
  <c r="AC298" i="7"/>
  <c r="AD359" i="7"/>
  <c r="AC336" i="7"/>
  <c r="Y302" i="7"/>
  <c r="AC302" i="7" s="1"/>
  <c r="AD154" i="7"/>
  <c r="AC142" i="7"/>
  <c r="AC130" i="7"/>
  <c r="AD117" i="7"/>
  <c r="AC118" i="7"/>
  <c r="AD97" i="7"/>
  <c r="AD65" i="7"/>
  <c r="AD47" i="7"/>
  <c r="AD28" i="7"/>
  <c r="AD22" i="7"/>
  <c r="AD10" i="7"/>
  <c r="AD604" i="7"/>
  <c r="AD513" i="7"/>
  <c r="AD315" i="7"/>
  <c r="AD153" i="7"/>
  <c r="AD3" i="7"/>
  <c r="AE3" i="7"/>
  <c r="AC898" i="7"/>
  <c r="AD840" i="7"/>
  <c r="AD849" i="7"/>
  <c r="AD793" i="7"/>
  <c r="AD717" i="7"/>
  <c r="AD764" i="7"/>
  <c r="AD750" i="7"/>
  <c r="AD734" i="7"/>
  <c r="AD697" i="7"/>
  <c r="AD407" i="7"/>
  <c r="AD364" i="7"/>
  <c r="AD322" i="7"/>
  <c r="AD227" i="7"/>
  <c r="AD238" i="7"/>
  <c r="AD94" i="7"/>
  <c r="AD62" i="7"/>
  <c r="AD44" i="7"/>
  <c r="AD75" i="7"/>
  <c r="AD4" i="7"/>
  <c r="AD81" i="7"/>
  <c r="AD25" i="7"/>
  <c r="AD907" i="7"/>
  <c r="Y884" i="7"/>
  <c r="AC884" i="7" s="1"/>
  <c r="AD838" i="7"/>
  <c r="AC831" i="7"/>
  <c r="AD815" i="7"/>
  <c r="AD650" i="7"/>
  <c r="AC602" i="7"/>
  <c r="AD658" i="7"/>
  <c r="AD579" i="7"/>
  <c r="AC609" i="7"/>
  <c r="AD652" i="7"/>
  <c r="Y474" i="7"/>
  <c r="AC474" i="7" s="1"/>
  <c r="AC508" i="7"/>
  <c r="AC409" i="7"/>
  <c r="AC392" i="7"/>
  <c r="O379" i="15" s="1"/>
  <c r="AC289" i="7"/>
  <c r="AC215" i="7"/>
  <c r="AC273" i="7"/>
  <c r="AC275" i="7"/>
  <c r="Y193" i="7"/>
  <c r="AC193" i="7" s="1"/>
  <c r="AC225" i="7"/>
  <c r="AD127" i="7"/>
  <c r="AC222" i="7"/>
  <c r="Y178" i="7"/>
  <c r="AC178" i="7" s="1"/>
  <c r="AD170" i="7"/>
  <c r="AC115" i="7"/>
  <c r="AD164" i="7"/>
  <c r="AC106" i="7"/>
  <c r="AD23" i="7"/>
  <c r="AD13" i="7"/>
  <c r="C8" i="5"/>
  <c r="E8" i="5" s="1"/>
  <c r="AD49" i="7"/>
  <c r="AD31" i="7"/>
  <c r="H12" i="5"/>
  <c r="AD851" i="7"/>
  <c r="AD819" i="7"/>
  <c r="AD666" i="7"/>
  <c r="AD676" i="7"/>
  <c r="AD90" i="7"/>
  <c r="AD654" i="7"/>
  <c r="AC512" i="7"/>
  <c r="AD510" i="7"/>
  <c r="AD486" i="7"/>
  <c r="AD68" i="7"/>
  <c r="AD877" i="7"/>
  <c r="AD897" i="7"/>
  <c r="AD800" i="7"/>
  <c r="AD813" i="7"/>
  <c r="AC790" i="7"/>
  <c r="AD791" i="7"/>
  <c r="AD653" i="7"/>
  <c r="AD628" i="7"/>
  <c r="AD576" i="7"/>
  <c r="AD547" i="7"/>
  <c r="Y503" i="7"/>
  <c r="AC503" i="7" s="1"/>
  <c r="AD418" i="7"/>
  <c r="AD459" i="7"/>
  <c r="AC443" i="7"/>
  <c r="AD382" i="7"/>
  <c r="AD398" i="7"/>
  <c r="AC393" i="7"/>
  <c r="AD351" i="7"/>
  <c r="AC440" i="7"/>
  <c r="Y286" i="7"/>
  <c r="AC286" i="7" s="1"/>
  <c r="AD313" i="7"/>
  <c r="AD284" i="7"/>
  <c r="AD189" i="7"/>
  <c r="Y210" i="7"/>
  <c r="AC210" i="7" s="1"/>
  <c r="AD150" i="7"/>
  <c r="AD138" i="7"/>
  <c r="AD126" i="7"/>
  <c r="Y208" i="7"/>
  <c r="AC208" i="7" s="1"/>
  <c r="AD245" i="7"/>
  <c r="AD207" i="7"/>
  <c r="Y177" i="7"/>
  <c r="AC177" i="7" s="1"/>
  <c r="AD167" i="7"/>
  <c r="AD89" i="7"/>
  <c r="AD59" i="7"/>
  <c r="AD41" i="7"/>
  <c r="AD67" i="7"/>
  <c r="H7" i="5"/>
  <c r="H10" i="5"/>
  <c r="O908" i="15"/>
  <c r="AD906" i="7"/>
  <c r="AD870" i="7"/>
  <c r="AD810" i="7"/>
  <c r="AD782" i="7"/>
  <c r="AD585" i="7"/>
  <c r="AD548" i="7"/>
  <c r="AD253" i="7"/>
  <c r="AD119" i="7"/>
  <c r="AD891" i="7"/>
  <c r="AD571" i="7"/>
  <c r="AD191" i="7"/>
  <c r="AD888" i="7"/>
  <c r="AD855" i="7"/>
  <c r="AD811" i="7"/>
  <c r="AD778" i="7"/>
  <c r="AD751" i="7"/>
  <c r="AD691" i="7"/>
  <c r="AD635" i="7"/>
  <c r="AD655" i="7"/>
  <c r="AD646" i="7"/>
  <c r="AD632" i="7"/>
  <c r="AD573" i="7"/>
  <c r="AD608" i="7"/>
  <c r="AD532" i="7"/>
  <c r="Y472" i="7"/>
  <c r="AC472" i="7" s="1"/>
  <c r="AC441" i="7"/>
  <c r="AD388" i="7"/>
  <c r="AD361" i="7"/>
  <c r="AC283" i="7"/>
  <c r="AD297" i="7"/>
  <c r="AD279" i="7"/>
  <c r="AD169" i="7"/>
  <c r="AD206" i="7"/>
  <c r="Y162" i="7"/>
  <c r="Y176" i="7"/>
  <c r="AC176" i="7" s="1"/>
  <c r="AC109" i="7"/>
  <c r="AC99" i="7"/>
  <c r="AC108" i="7"/>
  <c r="AD64" i="7"/>
  <c r="AD46" i="7"/>
  <c r="F10" i="5"/>
  <c r="AD489" i="7"/>
  <c r="AD84" i="7"/>
  <c r="AD39" i="7"/>
  <c r="AD93" i="7"/>
  <c r="AD809" i="7"/>
  <c r="AD536" i="7"/>
  <c r="AC445" i="7"/>
  <c r="O912" i="15"/>
  <c r="AD910" i="7"/>
  <c r="AD740" i="7"/>
  <c r="AD631" i="7"/>
  <c r="AD633" i="7"/>
  <c r="AD570" i="7"/>
  <c r="AD527" i="7"/>
  <c r="AD535" i="7"/>
  <c r="AD496" i="7"/>
  <c r="AD462" i="7"/>
  <c r="AD447" i="7"/>
  <c r="AD380" i="7"/>
  <c r="AC347" i="7"/>
  <c r="AC403" i="7"/>
  <c r="AD280" i="7"/>
  <c r="AC365" i="7"/>
  <c r="AD244" i="7"/>
  <c r="AC166" i="7"/>
  <c r="AD148" i="7"/>
  <c r="AD136" i="7"/>
  <c r="AD124" i="7"/>
  <c r="AD190" i="7"/>
  <c r="AD195" i="7"/>
  <c r="AD240" i="7"/>
  <c r="Y175" i="7"/>
  <c r="AC175" i="7" s="1"/>
  <c r="AD56" i="7"/>
  <c r="AD38" i="7"/>
  <c r="AC104" i="7"/>
  <c r="AD92" i="7"/>
  <c r="AD60" i="7"/>
  <c r="H8" i="5"/>
  <c r="AD482" i="7"/>
  <c r="AD186" i="7"/>
  <c r="AD52" i="7"/>
  <c r="AD72" i="7"/>
  <c r="AD860" i="7"/>
  <c r="AD799" i="7"/>
  <c r="AD779" i="7"/>
  <c r="AD665" i="7"/>
  <c r="AD582" i="7"/>
  <c r="AD435" i="7"/>
  <c r="AD73" i="7"/>
  <c r="AD808" i="7"/>
  <c r="AD726" i="7"/>
  <c r="AC892" i="7"/>
  <c r="AD806" i="7"/>
  <c r="AC757" i="7"/>
  <c r="AC681" i="7"/>
  <c r="O676" i="15" s="1"/>
  <c r="AC673" i="7"/>
  <c r="AD641" i="7"/>
  <c r="AC603" i="7"/>
  <c r="AD567" i="7"/>
  <c r="Y470" i="7"/>
  <c r="AC470" i="7" s="1"/>
  <c r="AC401" i="7"/>
  <c r="AD376" i="7"/>
  <c r="Y278" i="7"/>
  <c r="AC278" i="7" s="1"/>
  <c r="AC337" i="7"/>
  <c r="Y271" i="7"/>
  <c r="AC271" i="7" s="1"/>
  <c r="AD220" i="7"/>
  <c r="AD293" i="7"/>
  <c r="AC163" i="7"/>
  <c r="Y198" i="7"/>
  <c r="AC198" i="7" s="1"/>
  <c r="Y203" i="7"/>
  <c r="AC203" i="7" s="1"/>
  <c r="AC147" i="7"/>
  <c r="AD135" i="7"/>
  <c r="Y196" i="7"/>
  <c r="AC196" i="7" s="1"/>
  <c r="AD214" i="7"/>
  <c r="Y174" i="7"/>
  <c r="AC174" i="7" s="1"/>
  <c r="AD79" i="7"/>
  <c r="AD61" i="7"/>
  <c r="AD43" i="7"/>
  <c r="AD112" i="7"/>
  <c r="F9" i="5"/>
  <c r="AC5" i="7"/>
  <c r="AD901" i="7"/>
  <c r="AD879" i="7"/>
  <c r="AD488" i="7"/>
  <c r="AD430" i="7"/>
  <c r="AD369" i="7"/>
  <c r="AD309" i="7"/>
  <c r="AD26" i="7"/>
  <c r="AD869" i="7"/>
  <c r="AD675" i="7"/>
  <c r="AD396" i="7"/>
  <c r="AD269" i="7"/>
  <c r="AD140" i="7"/>
  <c r="AD230" i="7"/>
  <c r="AD427" i="7"/>
  <c r="AD21" i="7"/>
  <c r="AC878" i="7"/>
  <c r="AC747" i="7"/>
  <c r="AC899" i="7"/>
  <c r="AD827" i="7"/>
  <c r="AC746" i="7"/>
  <c r="AD643" i="7"/>
  <c r="AD648" i="7"/>
  <c r="AC894" i="7"/>
  <c r="AC886" i="7"/>
  <c r="AD866" i="7"/>
  <c r="AC824" i="7"/>
  <c r="AD820" i="7"/>
  <c r="AD783" i="7"/>
  <c r="AC756" i="7"/>
  <c r="AD718" i="7"/>
  <c r="AD627" i="7"/>
  <c r="AD564" i="7"/>
  <c r="AC518" i="7"/>
  <c r="Y469" i="7"/>
  <c r="AC469" i="7" s="1"/>
  <c r="AD625" i="7"/>
  <c r="AC395" i="7"/>
  <c r="AC449" i="7"/>
  <c r="AD453" i="7"/>
  <c r="AD368" i="7"/>
  <c r="AD385" i="7"/>
  <c r="AD357" i="7"/>
  <c r="AD383" i="7"/>
  <c r="Y276" i="7"/>
  <c r="AC276" i="7" s="1"/>
  <c r="Y318" i="7"/>
  <c r="AC318" i="7" s="1"/>
  <c r="AC218" i="7"/>
  <c r="AD194" i="7"/>
  <c r="Y172" i="7"/>
  <c r="AC172" i="7" s="1"/>
  <c r="AC158" i="7"/>
  <c r="AD146" i="7"/>
  <c r="AD134" i="7"/>
  <c r="AC213" i="7"/>
  <c r="Y171" i="7"/>
  <c r="AC171" i="7" s="1"/>
  <c r="AC229" i="7"/>
  <c r="C7" i="5"/>
  <c r="E7" i="5" s="1"/>
  <c r="H9" i="5"/>
  <c r="AD842" i="7"/>
  <c r="AD795" i="7"/>
  <c r="AD668" i="7"/>
  <c r="AD663" i="7"/>
  <c r="AD481" i="7"/>
  <c r="AD836" i="7"/>
  <c r="AD287" i="7"/>
  <c r="AD24" i="7"/>
  <c r="AC896" i="7"/>
  <c r="AD885" i="7"/>
  <c r="AD850" i="7"/>
  <c r="AD853" i="7"/>
  <c r="AD832" i="7"/>
  <c r="AD818" i="7"/>
  <c r="AD781" i="7"/>
  <c r="AD743" i="7"/>
  <c r="AD775" i="7"/>
  <c r="AD741" i="7"/>
  <c r="AD707" i="7"/>
  <c r="AD637" i="7"/>
  <c r="AD677" i="7"/>
  <c r="AD606" i="7"/>
  <c r="AD739" i="7"/>
  <c r="AD561" i="7"/>
  <c r="AC546" i="7"/>
  <c r="AD517" i="7"/>
  <c r="AC624" i="7"/>
  <c r="Y491" i="7"/>
  <c r="AC491" i="7" s="1"/>
  <c r="Y274" i="7"/>
  <c r="AC274" i="7" s="1"/>
  <c r="AD329" i="7"/>
  <c r="AC356" i="7"/>
  <c r="Y314" i="7"/>
  <c r="AC314" i="7" s="1"/>
  <c r="AD217" i="7"/>
  <c r="AD281" i="7"/>
  <c r="AD157" i="7"/>
  <c r="AC145" i="7"/>
  <c r="AC173" i="7"/>
  <c r="AD111" i="7"/>
  <c r="C13" i="5"/>
  <c r="E13" i="5" s="1"/>
  <c r="AD40" i="7"/>
  <c r="AD644" i="7"/>
  <c r="AD366" i="7"/>
  <c r="AD737" i="7"/>
  <c r="AD670" i="7"/>
  <c r="AC904" i="7"/>
  <c r="AD848" i="7"/>
  <c r="AD802" i="7"/>
  <c r="AD816" i="7"/>
  <c r="AD760" i="7"/>
  <c r="AD777" i="7"/>
  <c r="AD721" i="7"/>
  <c r="AD732" i="7"/>
  <c r="AD694" i="7"/>
  <c r="AD678" i="7"/>
  <c r="AD619" i="7"/>
  <c r="AD594" i="7"/>
  <c r="AC516" i="7"/>
  <c r="AD495" i="7"/>
  <c r="AD501" i="7"/>
  <c r="AD341" i="7"/>
  <c r="AD373" i="7"/>
  <c r="AC342" i="7"/>
  <c r="Y272" i="7"/>
  <c r="AC272" i="7" s="1"/>
  <c r="AD326" i="7"/>
  <c r="Y310" i="7"/>
  <c r="AC310" i="7" s="1"/>
  <c r="AD290" i="7"/>
  <c r="AC277" i="7"/>
  <c r="AC156" i="7"/>
  <c r="AD144" i="7"/>
  <c r="AD264" i="7"/>
  <c r="AC120" i="7"/>
  <c r="C12" i="5"/>
  <c r="E12" i="5" s="1"/>
  <c r="H6" i="5"/>
  <c r="AD436" i="7"/>
  <c r="AD141" i="7"/>
  <c r="AD34" i="7"/>
  <c r="AD817" i="7"/>
  <c r="AD387" i="7"/>
  <c r="AD352" i="7"/>
  <c r="AD367" i="7"/>
  <c r="AD296" i="7"/>
  <c r="AD331" i="7"/>
  <c r="AD36" i="7"/>
  <c r="AC900" i="7"/>
  <c r="AD846" i="7"/>
  <c r="AD852" i="7"/>
  <c r="AD822" i="7"/>
  <c r="AD803" i="7"/>
  <c r="AD814" i="7"/>
  <c r="AC758" i="7"/>
  <c r="AD729" i="7"/>
  <c r="AD703" i="7"/>
  <c r="AC664" i="7"/>
  <c r="AD591" i="7"/>
  <c r="AD524" i="7"/>
  <c r="AC515" i="7"/>
  <c r="AD480" i="7"/>
  <c r="Y466" i="7"/>
  <c r="AC466" i="7" s="1"/>
  <c r="Y454" i="7"/>
  <c r="AC454" i="7" s="1"/>
  <c r="Y494" i="7"/>
  <c r="AC494" i="7" s="1"/>
  <c r="AD335" i="7"/>
  <c r="Y345" i="7"/>
  <c r="AC345" i="7" s="1"/>
  <c r="AD378" i="7"/>
  <c r="AD349" i="7"/>
  <c r="AC404" i="7"/>
  <c r="AD355" i="7"/>
  <c r="AD299" i="7"/>
  <c r="Y306" i="7"/>
  <c r="AC306" i="7" s="1"/>
  <c r="AC212" i="7"/>
  <c r="AD257" i="7"/>
  <c r="AD155" i="7"/>
  <c r="AD143" i="7"/>
  <c r="AD131" i="7"/>
  <c r="AC221" i="7"/>
  <c r="Y185" i="7"/>
  <c r="AC185" i="7" s="1"/>
  <c r="AD37" i="7"/>
  <c r="F6" i="5"/>
  <c r="AW3" i="17" l="1"/>
  <c r="AW4" i="17" s="1"/>
  <c r="I10" i="17"/>
  <c r="O519" i="15"/>
  <c r="O12" i="15"/>
  <c r="O609" i="15"/>
  <c r="O776" i="15"/>
  <c r="O371" i="15"/>
  <c r="O889" i="15"/>
  <c r="O558" i="15"/>
  <c r="O868" i="15"/>
  <c r="O10" i="15"/>
  <c r="O909" i="15"/>
  <c r="AD909" i="7"/>
  <c r="O910" i="15"/>
  <c r="O816" i="15"/>
  <c r="O535" i="15"/>
  <c r="O648" i="15"/>
  <c r="O18" i="15"/>
  <c r="O840" i="15"/>
  <c r="O784" i="15"/>
  <c r="O549" i="15"/>
  <c r="O560" i="15"/>
  <c r="O9" i="15"/>
  <c r="I15" i="17"/>
  <c r="I14" i="17"/>
  <c r="CB3" i="17"/>
  <c r="CC3" i="17" s="1"/>
  <c r="CE3" i="17"/>
  <c r="CF2" i="17"/>
  <c r="CG2" i="17" s="1"/>
  <c r="CA4" i="17"/>
  <c r="CC2" i="17"/>
  <c r="BV3" i="17"/>
  <c r="BW3" i="17" s="1"/>
  <c r="C16" i="17"/>
  <c r="BU4" i="17"/>
  <c r="BW2" i="17"/>
  <c r="I13" i="17"/>
  <c r="I12" i="17"/>
  <c r="BP3" i="17"/>
  <c r="BQ3" i="17" s="1"/>
  <c r="BO4" i="17"/>
  <c r="BQ2" i="17"/>
  <c r="I11" i="17"/>
  <c r="F16" i="17"/>
  <c r="C21" i="17" s="1"/>
  <c r="BJ3" i="17"/>
  <c r="BK3" i="17" s="1"/>
  <c r="BI4" i="17"/>
  <c r="BK2" i="17"/>
  <c r="BD3" i="17"/>
  <c r="BE3" i="17" s="1"/>
  <c r="BC4" i="17"/>
  <c r="BE2" i="17"/>
  <c r="AY2" i="17"/>
  <c r="O37" i="15"/>
  <c r="O680" i="15"/>
  <c r="O598" i="15"/>
  <c r="O555" i="15"/>
  <c r="O593" i="15"/>
  <c r="O600" i="15"/>
  <c r="AD400" i="7"/>
  <c r="O368" i="15"/>
  <c r="O380" i="15"/>
  <c r="O392" i="15"/>
  <c r="O400" i="15"/>
  <c r="O38" i="15"/>
  <c r="O40" i="15"/>
  <c r="O25" i="15"/>
  <c r="O27" i="15"/>
  <c r="O35" i="15"/>
  <c r="AD76" i="7"/>
  <c r="O735" i="15"/>
  <c r="O23" i="15"/>
  <c r="AD834" i="7"/>
  <c r="O814" i="15"/>
  <c r="O789" i="15"/>
  <c r="AD797" i="7"/>
  <c r="O798" i="15"/>
  <c r="O714" i="15"/>
  <c r="O581" i="15"/>
  <c r="O686" i="15"/>
  <c r="O612" i="15"/>
  <c r="AD611" i="7"/>
  <c r="AD432" i="7"/>
  <c r="O404" i="15"/>
  <c r="O32" i="15"/>
  <c r="O382" i="15"/>
  <c r="O684" i="15"/>
  <c r="AD736" i="7"/>
  <c r="O19" i="15"/>
  <c r="AD17" i="7"/>
  <c r="O15" i="15"/>
  <c r="O716" i="15"/>
  <c r="O779" i="15"/>
  <c r="O688" i="15"/>
  <c r="O793" i="15"/>
  <c r="O34" i="15"/>
  <c r="O383" i="15"/>
  <c r="O788" i="15"/>
  <c r="O17" i="15"/>
  <c r="O8" i="15"/>
  <c r="O903" i="15"/>
  <c r="O485" i="15"/>
  <c r="O26" i="15"/>
  <c r="O33" i="15"/>
  <c r="O828" i="15"/>
  <c r="O562" i="15"/>
  <c r="O687" i="15"/>
  <c r="O390" i="15"/>
  <c r="O211" i="15"/>
  <c r="AD375" i="7"/>
  <c r="AD774" i="7"/>
  <c r="O629" i="15"/>
  <c r="AD735" i="7"/>
  <c r="O781" i="15"/>
  <c r="AD14" i="7"/>
  <c r="O712" i="15"/>
  <c r="O11" i="15"/>
  <c r="AD714" i="7"/>
  <c r="O21" i="15"/>
  <c r="O13" i="15"/>
  <c r="O87" i="15"/>
  <c r="O573" i="15"/>
  <c r="O606" i="15"/>
  <c r="O659" i="15"/>
  <c r="O321" i="15"/>
  <c r="O408" i="15"/>
  <c r="AD63" i="7"/>
  <c r="O401" i="15"/>
  <c r="F11" i="5"/>
  <c r="O39" i="15"/>
  <c r="AD705" i="7"/>
  <c r="O546" i="15"/>
  <c r="O783" i="15"/>
  <c r="O5" i="15"/>
  <c r="O41" i="15"/>
  <c r="O16" i="15"/>
  <c r="O650" i="15"/>
  <c r="AD33" i="7"/>
  <c r="AD780" i="7"/>
  <c r="O375" i="15"/>
  <c r="O576" i="15"/>
  <c r="O370" i="15"/>
  <c r="O756" i="15"/>
  <c r="O199" i="15"/>
  <c r="O569" i="15"/>
  <c r="O678" i="15"/>
  <c r="O189" i="15"/>
  <c r="O24" i="15"/>
  <c r="O685" i="15"/>
  <c r="O14" i="15"/>
  <c r="O29" i="15"/>
  <c r="O31" i="15"/>
  <c r="O588" i="15"/>
  <c r="O846" i="15"/>
  <c r="O841" i="15"/>
  <c r="O30" i="15"/>
  <c r="O512" i="15"/>
  <c r="O679" i="15"/>
  <c r="O204" i="15"/>
  <c r="O364" i="15"/>
  <c r="O541" i="15"/>
  <c r="O539" i="15"/>
  <c r="O20" i="15"/>
  <c r="O36" i="15"/>
  <c r="O28" i="15"/>
  <c r="O795" i="15"/>
  <c r="O682" i="15"/>
  <c r="O216" i="15"/>
  <c r="O603" i="15"/>
  <c r="O557" i="15"/>
  <c r="AD7" i="7"/>
  <c r="AD556" i="7"/>
  <c r="O681" i="15"/>
  <c r="O22" i="15"/>
  <c r="AD30" i="7"/>
  <c r="O733" i="15"/>
  <c r="O770" i="15"/>
  <c r="O453" i="15"/>
  <c r="O80" i="15"/>
  <c r="O468" i="15"/>
  <c r="AD466" i="7"/>
  <c r="O176" i="15"/>
  <c r="AD174" i="7"/>
  <c r="O429" i="15"/>
  <c r="O476" i="15"/>
  <c r="AD474" i="7"/>
  <c r="O475" i="15"/>
  <c r="O472" i="15"/>
  <c r="AD470" i="7"/>
  <c r="O312" i="15"/>
  <c r="AD310" i="7"/>
  <c r="O311" i="15"/>
  <c r="O309" i="15"/>
  <c r="O310" i="15"/>
  <c r="O173" i="15"/>
  <c r="AD171" i="7"/>
  <c r="O170" i="15"/>
  <c r="O172" i="15"/>
  <c r="O169" i="15"/>
  <c r="O171" i="15"/>
  <c r="O467" i="15"/>
  <c r="AD465" i="7"/>
  <c r="O463" i="15"/>
  <c r="O464" i="15"/>
  <c r="O446" i="15"/>
  <c r="O458" i="15"/>
  <c r="O454" i="15"/>
  <c r="O461" i="15"/>
  <c r="O459" i="15"/>
  <c r="O427" i="15"/>
  <c r="O410" i="15"/>
  <c r="O457" i="15"/>
  <c r="O466" i="15"/>
  <c r="O465" i="15"/>
  <c r="O462" i="15"/>
  <c r="O460" i="15"/>
  <c r="O452" i="15"/>
  <c r="O278" i="15"/>
  <c r="AD276" i="7"/>
  <c r="O287" i="15"/>
  <c r="O505" i="15"/>
  <c r="AD503" i="7"/>
  <c r="O504" i="15"/>
  <c r="O500" i="15"/>
  <c r="O501" i="15"/>
  <c r="O497" i="15"/>
  <c r="O498" i="15"/>
  <c r="O499" i="15"/>
  <c r="O503" i="15"/>
  <c r="O502" i="15"/>
  <c r="O471" i="15"/>
  <c r="AD469" i="7"/>
  <c r="O470" i="15"/>
  <c r="O469" i="15"/>
  <c r="O308" i="15"/>
  <c r="AD306" i="7"/>
  <c r="O286" i="15"/>
  <c r="O297" i="15"/>
  <c r="O307" i="15"/>
  <c r="O282" i="15"/>
  <c r="O306" i="15"/>
  <c r="O292" i="15"/>
  <c r="O299" i="15"/>
  <c r="O298" i="15"/>
  <c r="O281" i="15"/>
  <c r="O301" i="15"/>
  <c r="O302" i="15"/>
  <c r="O294" i="15"/>
  <c r="O295" i="15"/>
  <c r="O283" i="15"/>
  <c r="O305" i="15"/>
  <c r="O221" i="15"/>
  <c r="O174" i="15"/>
  <c r="AD172" i="7"/>
  <c r="O421" i="15"/>
  <c r="O178" i="15"/>
  <c r="AD176" i="7"/>
  <c r="O180" i="15"/>
  <c r="AD178" i="7"/>
  <c r="O316" i="15"/>
  <c r="AD314" i="7"/>
  <c r="O313" i="15"/>
  <c r="O315" i="15"/>
  <c r="O314" i="15"/>
  <c r="O177" i="15"/>
  <c r="AD175" i="7"/>
  <c r="O347" i="15"/>
  <c r="AD345" i="7"/>
  <c r="O345" i="15"/>
  <c r="O346" i="15"/>
  <c r="O276" i="15"/>
  <c r="AD274" i="7"/>
  <c r="O273" i="15"/>
  <c r="AD271" i="7"/>
  <c r="O267" i="15"/>
  <c r="O256" i="15"/>
  <c r="O239" i="15"/>
  <c r="O235" i="15"/>
  <c r="O272" i="15"/>
  <c r="O246" i="15"/>
  <c r="O247" i="15"/>
  <c r="O265" i="15"/>
  <c r="O261" i="15"/>
  <c r="O240" i="15"/>
  <c r="O269" i="15"/>
  <c r="O263" i="15"/>
  <c r="O271" i="15"/>
  <c r="O264" i="15"/>
  <c r="O233" i="15"/>
  <c r="O252" i="15"/>
  <c r="O244" i="15"/>
  <c r="O241" i="15"/>
  <c r="O232" i="15"/>
  <c r="O242" i="15"/>
  <c r="O260" i="15"/>
  <c r="O250" i="15"/>
  <c r="O266" i="15"/>
  <c r="O258" i="15"/>
  <c r="O262" i="15"/>
  <c r="O268" i="15"/>
  <c r="O249" i="15"/>
  <c r="O255" i="15"/>
  <c r="O253" i="15"/>
  <c r="O234" i="15"/>
  <c r="O259" i="15"/>
  <c r="O243" i="15"/>
  <c r="O251" i="15"/>
  <c r="O248" i="15"/>
  <c r="O245" i="15"/>
  <c r="O254" i="15"/>
  <c r="O237" i="15"/>
  <c r="O270" i="15"/>
  <c r="O238" i="15"/>
  <c r="O236" i="15"/>
  <c r="O257" i="15"/>
  <c r="O230" i="15"/>
  <c r="O220" i="15"/>
  <c r="AD218" i="7"/>
  <c r="O638" i="15"/>
  <c r="O100" i="15"/>
  <c r="O53" i="15"/>
  <c r="O869" i="15"/>
  <c r="O231" i="15"/>
  <c r="AD229" i="7"/>
  <c r="O208" i="15"/>
  <c r="O210" i="15"/>
  <c r="AD208" i="7"/>
  <c r="O842" i="15"/>
  <c r="O544" i="15"/>
  <c r="AD542" i="7"/>
  <c r="O861" i="15"/>
  <c r="O336" i="15"/>
  <c r="AD334" i="7"/>
  <c r="O876" i="15"/>
  <c r="O85" i="15"/>
  <c r="O486" i="15"/>
  <c r="O547" i="15"/>
  <c r="AD156" i="7"/>
  <c r="O626" i="15"/>
  <c r="AD624" i="7"/>
  <c r="O898" i="15"/>
  <c r="AD896" i="7"/>
  <c r="O665" i="15"/>
  <c r="O455" i="15"/>
  <c r="O625" i="15"/>
  <c r="O896" i="15"/>
  <c r="AD894" i="7"/>
  <c r="O880" i="15"/>
  <c r="AD878" i="7"/>
  <c r="O398" i="15"/>
  <c r="O432" i="15"/>
  <c r="O45" i="15"/>
  <c r="O405" i="15"/>
  <c r="AD403" i="7"/>
  <c r="O86" i="15"/>
  <c r="AD109" i="7"/>
  <c r="O474" i="15"/>
  <c r="AD472" i="7"/>
  <c r="O657" i="15"/>
  <c r="O813" i="15"/>
  <c r="O893" i="15"/>
  <c r="O812" i="15"/>
  <c r="O668" i="15"/>
  <c r="O224" i="15"/>
  <c r="AD222" i="7"/>
  <c r="O355" i="15"/>
  <c r="AD353" i="7"/>
  <c r="O886" i="15"/>
  <c r="AD884" i="7"/>
  <c r="O900" i="15"/>
  <c r="AD898" i="7"/>
  <c r="O49" i="15"/>
  <c r="O304" i="15"/>
  <c r="AD302" i="7"/>
  <c r="O823" i="15"/>
  <c r="O524" i="15"/>
  <c r="O729" i="15"/>
  <c r="O689" i="15"/>
  <c r="O845" i="15"/>
  <c r="O790" i="15"/>
  <c r="O698" i="15"/>
  <c r="O202" i="15"/>
  <c r="O430" i="15"/>
  <c r="O103" i="15"/>
  <c r="O692" i="15"/>
  <c r="O897" i="15"/>
  <c r="O98" i="15"/>
  <c r="O559" i="15"/>
  <c r="O721" i="15"/>
  <c r="O700" i="15"/>
  <c r="O102" i="15"/>
  <c r="O330" i="15"/>
  <c r="O794" i="15"/>
  <c r="O717" i="15"/>
  <c r="O206" i="15"/>
  <c r="O773" i="15"/>
  <c r="O571" i="15"/>
  <c r="AD569" i="7"/>
  <c r="O837" i="15"/>
  <c r="O97" i="15"/>
  <c r="O344" i="15"/>
  <c r="AD342" i="7"/>
  <c r="O493" i="15"/>
  <c r="AD491" i="7"/>
  <c r="O749" i="15"/>
  <c r="AD747" i="7"/>
  <c r="O43" i="15"/>
  <c r="O51" i="15"/>
  <c r="O736" i="15"/>
  <c r="O414" i="15"/>
  <c r="O226" i="15"/>
  <c r="O891" i="15"/>
  <c r="O775" i="15"/>
  <c r="O214" i="15"/>
  <c r="AD212" i="7"/>
  <c r="O805" i="15"/>
  <c r="O762" i="15"/>
  <c r="O739" i="15"/>
  <c r="O219" i="15"/>
  <c r="O639" i="15"/>
  <c r="O820" i="15"/>
  <c r="O215" i="15"/>
  <c r="AD213" i="7"/>
  <c r="O451" i="15"/>
  <c r="AD449" i="7"/>
  <c r="O605" i="15"/>
  <c r="AD603" i="7"/>
  <c r="O737" i="15"/>
  <c r="O801" i="15"/>
  <c r="O484" i="15"/>
  <c r="O58" i="15"/>
  <c r="O349" i="15"/>
  <c r="AD347" i="7"/>
  <c r="O537" i="15"/>
  <c r="O61" i="15"/>
  <c r="O377" i="15"/>
  <c r="O567" i="15"/>
  <c r="O815" i="15"/>
  <c r="O291" i="15"/>
  <c r="AD289" i="7"/>
  <c r="O660" i="15"/>
  <c r="O46" i="15"/>
  <c r="O324" i="15"/>
  <c r="O752" i="15"/>
  <c r="AG3" i="7"/>
  <c r="AF4" i="7"/>
  <c r="AE4" i="7"/>
  <c r="AF3" i="7"/>
  <c r="O356" i="15"/>
  <c r="O579" i="15"/>
  <c r="O751" i="15"/>
  <c r="AD749" i="7"/>
  <c r="O84" i="15"/>
  <c r="O586" i="15"/>
  <c r="AD584" i="7"/>
  <c r="O417" i="15"/>
  <c r="O690" i="15"/>
  <c r="O732" i="15"/>
  <c r="O423" i="15"/>
  <c r="O536" i="15"/>
  <c r="O570" i="15"/>
  <c r="O830" i="15"/>
  <c r="O326" i="15"/>
  <c r="AD324" i="7"/>
  <c r="O424" i="15"/>
  <c r="O595" i="15"/>
  <c r="O335" i="15"/>
  <c r="O582" i="15"/>
  <c r="O874" i="15"/>
  <c r="O644" i="15"/>
  <c r="O393" i="15"/>
  <c r="O730" i="15"/>
  <c r="O873" i="15"/>
  <c r="O433" i="15"/>
  <c r="O671" i="15"/>
  <c r="O708" i="15"/>
  <c r="O290" i="15"/>
  <c r="O591" i="15"/>
  <c r="O187" i="15"/>
  <c r="AD185" i="7"/>
  <c r="O496" i="15"/>
  <c r="AD494" i="7"/>
  <c r="O666" i="15"/>
  <c r="AD664" i="7"/>
  <c r="O333" i="15"/>
  <c r="O819" i="15"/>
  <c r="O118" i="15"/>
  <c r="O185" i="15"/>
  <c r="O343" i="15"/>
  <c r="O670" i="15"/>
  <c r="O360" i="15"/>
  <c r="O397" i="15"/>
  <c r="AD395" i="7"/>
  <c r="O720" i="15"/>
  <c r="O640" i="15"/>
  <c r="O677" i="15"/>
  <c r="O490" i="15"/>
  <c r="O63" i="15"/>
  <c r="O222" i="15"/>
  <c r="O4" i="15"/>
  <c r="O447" i="15"/>
  <c r="AD445" i="7"/>
  <c r="O203" i="15"/>
  <c r="O534" i="15"/>
  <c r="O637" i="15"/>
  <c r="O857" i="15"/>
  <c r="O872" i="15"/>
  <c r="O514" i="15"/>
  <c r="AD512" i="7"/>
  <c r="O701" i="15"/>
  <c r="O394" i="15"/>
  <c r="AD392" i="7"/>
  <c r="O604" i="15"/>
  <c r="AD602" i="7"/>
  <c r="O67" i="15"/>
  <c r="O338" i="15"/>
  <c r="AD336" i="7"/>
  <c r="O809" i="15"/>
  <c r="O904" i="15"/>
  <c r="O594" i="15"/>
  <c r="O757" i="15"/>
  <c r="O878" i="15"/>
  <c r="O831" i="15"/>
  <c r="O727" i="15"/>
  <c r="O82" i="15"/>
  <c r="O540" i="15"/>
  <c r="AD538" i="7"/>
  <c r="O713" i="15"/>
  <c r="O772" i="15"/>
  <c r="O90" i="15"/>
  <c r="O551" i="15"/>
  <c r="O88" i="15"/>
  <c r="O407" i="15"/>
  <c r="O631" i="15"/>
  <c r="O327" i="15"/>
  <c r="O340" i="15"/>
  <c r="O47" i="15"/>
  <c r="O740" i="15"/>
  <c r="O565" i="15"/>
  <c r="O800" i="15"/>
  <c r="O207" i="15"/>
  <c r="O585" i="15"/>
  <c r="O839" i="15"/>
  <c r="O78" i="15"/>
  <c r="O658" i="15"/>
  <c r="O672" i="15"/>
  <c r="O431" i="15"/>
  <c r="O337" i="15"/>
  <c r="O279" i="15"/>
  <c r="AD277" i="7"/>
  <c r="O696" i="15"/>
  <c r="O175" i="15"/>
  <c r="AD173" i="7"/>
  <c r="O709" i="15"/>
  <c r="O728" i="15"/>
  <c r="O862" i="15"/>
  <c r="O91" i="15"/>
  <c r="O288" i="15"/>
  <c r="AD286" i="7"/>
  <c r="O802" i="15"/>
  <c r="O590" i="15"/>
  <c r="O426" i="15"/>
  <c r="O532" i="15"/>
  <c r="O669" i="15"/>
  <c r="O450" i="15"/>
  <c r="O561" i="15"/>
  <c r="O425" i="15"/>
  <c r="O663" i="15"/>
  <c r="O885" i="15"/>
  <c r="O415" i="15"/>
  <c r="O778" i="15"/>
  <c r="O905" i="15"/>
  <c r="O399" i="15"/>
  <c r="O531" i="15"/>
  <c r="O592" i="15"/>
  <c r="O746" i="15"/>
  <c r="O489" i="15"/>
  <c r="O664" i="15"/>
  <c r="O705" i="15"/>
  <c r="O289" i="15"/>
  <c r="O797" i="15"/>
  <c r="O385" i="15"/>
  <c r="O627" i="15"/>
  <c r="O871" i="15"/>
  <c r="O881" i="15"/>
  <c r="O59" i="15"/>
  <c r="O198" i="15"/>
  <c r="AD196" i="7"/>
  <c r="O339" i="15"/>
  <c r="AD337" i="7"/>
  <c r="O675" i="15"/>
  <c r="AD673" i="7"/>
  <c r="O168" i="15"/>
  <c r="AD166" i="7"/>
  <c r="O538" i="15"/>
  <c r="O491" i="15"/>
  <c r="O610" i="15"/>
  <c r="O693" i="15"/>
  <c r="O890" i="15"/>
  <c r="O442" i="15"/>
  <c r="AD440" i="7"/>
  <c r="O445" i="15"/>
  <c r="AD443" i="7"/>
  <c r="O656" i="15"/>
  <c r="O821" i="15"/>
  <c r="O510" i="15"/>
  <c r="AD508" i="7"/>
  <c r="O652" i="15"/>
  <c r="O99" i="15"/>
  <c r="O361" i="15"/>
  <c r="O836" i="15"/>
  <c r="O93" i="15"/>
  <c r="O293" i="15"/>
  <c r="O478" i="15"/>
  <c r="O613" i="15"/>
  <c r="O787" i="15"/>
  <c r="O763" i="15"/>
  <c r="O859" i="15"/>
  <c r="O847" i="15"/>
  <c r="O827" i="15"/>
  <c r="O332" i="15"/>
  <c r="O167" i="15"/>
  <c r="O334" i="15"/>
  <c r="O574" i="15"/>
  <c r="O791" i="15"/>
  <c r="O744" i="15"/>
  <c r="O65" i="15"/>
  <c r="O577" i="15"/>
  <c r="O391" i="15"/>
  <c r="O494" i="15"/>
  <c r="O641" i="15"/>
  <c r="O303" i="15"/>
  <c r="AD301" i="7"/>
  <c r="O329" i="15"/>
  <c r="O522" i="15"/>
  <c r="O68" i="15"/>
  <c r="O858" i="15"/>
  <c r="O350" i="15"/>
  <c r="O628" i="15"/>
  <c r="O72" i="15"/>
  <c r="O647" i="15"/>
  <c r="O835" i="15"/>
  <c r="O201" i="15"/>
  <c r="O901" i="15"/>
  <c r="AD899" i="7"/>
  <c r="O674" i="15"/>
  <c r="AD672" i="7"/>
  <c r="O443" i="15"/>
  <c r="AD441" i="7"/>
  <c r="O479" i="15"/>
  <c r="O642" i="15"/>
  <c r="O57" i="15"/>
  <c r="O223" i="15"/>
  <c r="AD221" i="7"/>
  <c r="O824" i="15"/>
  <c r="AD120" i="7"/>
  <c r="O818" i="15"/>
  <c r="O548" i="15"/>
  <c r="AD546" i="7"/>
  <c r="O758" i="15"/>
  <c r="AD756" i="7"/>
  <c r="O643" i="15"/>
  <c r="O481" i="15"/>
  <c r="O807" i="15"/>
  <c r="O529" i="15"/>
  <c r="O384" i="15"/>
  <c r="O578" i="15"/>
  <c r="O411" i="15"/>
  <c r="AD409" i="7"/>
  <c r="O64" i="15"/>
  <c r="O366" i="15"/>
  <c r="O365" i="15"/>
  <c r="O703" i="15"/>
  <c r="O104" i="15"/>
  <c r="O564" i="15"/>
  <c r="O323" i="15"/>
  <c r="AD321" i="7"/>
  <c r="O357" i="15"/>
  <c r="O804" i="15"/>
  <c r="O358" i="15"/>
  <c r="AD356" i="7"/>
  <c r="O803" i="15"/>
  <c r="O810" i="15"/>
  <c r="O630" i="15"/>
  <c r="O899" i="15"/>
  <c r="AD106" i="7"/>
  <c r="O96" i="15"/>
  <c r="O409" i="15"/>
  <c r="O719" i="15"/>
  <c r="AD118" i="7"/>
  <c r="O300" i="15"/>
  <c r="AD298" i="7"/>
  <c r="O599" i="15"/>
  <c r="O726" i="15"/>
  <c r="O186" i="15"/>
  <c r="O616" i="15"/>
  <c r="O509" i="15"/>
  <c r="O849" i="15"/>
  <c r="O521" i="15"/>
  <c r="O764" i="15"/>
  <c r="O416" i="15"/>
  <c r="O182" i="15"/>
  <c r="O508" i="15"/>
  <c r="O799" i="15"/>
  <c r="O694" i="15"/>
  <c r="O863" i="15"/>
  <c r="O386" i="15"/>
  <c r="O495" i="15"/>
  <c r="O617" i="15"/>
  <c r="O697" i="15"/>
  <c r="O738" i="15"/>
  <c r="O55" i="15"/>
  <c r="O439" i="15"/>
  <c r="O768" i="15"/>
  <c r="O892" i="15"/>
  <c r="O434" i="15"/>
  <c r="O533" i="15"/>
  <c r="O718" i="15"/>
  <c r="O373" i="15"/>
  <c r="O487" i="15"/>
  <c r="O710" i="15"/>
  <c r="O766" i="15"/>
  <c r="O761" i="15"/>
  <c r="O774" i="15"/>
  <c r="O843" i="15"/>
  <c r="O854" i="15"/>
  <c r="O707" i="15"/>
  <c r="O646" i="15"/>
  <c r="O563" i="15"/>
  <c r="O743" i="15"/>
  <c r="O785" i="15"/>
  <c r="O280" i="15"/>
  <c r="AD278" i="7"/>
  <c r="O683" i="15"/>
  <c r="AD681" i="7"/>
  <c r="O428" i="15"/>
  <c r="O74" i="15"/>
  <c r="O372" i="15"/>
  <c r="O572" i="15"/>
  <c r="O406" i="15"/>
  <c r="AD404" i="7"/>
  <c r="O482" i="15"/>
  <c r="O369" i="15"/>
  <c r="O838" i="15"/>
  <c r="O844" i="15"/>
  <c r="AD158" i="7"/>
  <c r="O359" i="15"/>
  <c r="O520" i="15"/>
  <c r="AD518" i="7"/>
  <c r="O645" i="15"/>
  <c r="O81" i="15"/>
  <c r="O759" i="15"/>
  <c r="AD757" i="7"/>
  <c r="O62" i="15"/>
  <c r="O225" i="15"/>
  <c r="O811" i="15"/>
  <c r="O285" i="15"/>
  <c r="AD283" i="7"/>
  <c r="O575" i="15"/>
  <c r="O753" i="15"/>
  <c r="O193" i="15"/>
  <c r="O550" i="15"/>
  <c r="O179" i="15"/>
  <c r="AD177" i="7"/>
  <c r="O212" i="15"/>
  <c r="AD210" i="7"/>
  <c r="O353" i="15"/>
  <c r="O92" i="15"/>
  <c r="O853" i="15"/>
  <c r="O796" i="15"/>
  <c r="H11" i="5"/>
  <c r="O436" i="15"/>
  <c r="O755" i="15"/>
  <c r="AD753" i="7"/>
  <c r="O882" i="15"/>
  <c r="AC162" i="7"/>
  <c r="O111" i="15" s="1"/>
  <c r="O341" i="15"/>
  <c r="O649" i="15"/>
  <c r="O832" i="15"/>
  <c r="O750" i="15"/>
  <c r="O895" i="15"/>
  <c r="O661" i="15"/>
  <c r="AD659" i="7"/>
  <c r="O388" i="15"/>
  <c r="O296" i="15"/>
  <c r="O554" i="15"/>
  <c r="O747" i="15"/>
  <c r="O418" i="15"/>
  <c r="O50" i="15"/>
  <c r="O374" i="15"/>
  <c r="O492" i="15"/>
  <c r="O190" i="15"/>
  <c r="O422" i="15"/>
  <c r="O769" i="15"/>
  <c r="O623" i="15"/>
  <c r="O556" i="15"/>
  <c r="O352" i="15"/>
  <c r="O653" i="15"/>
  <c r="O806" i="15"/>
  <c r="O614" i="15"/>
  <c r="O516" i="15"/>
  <c r="AD514" i="7"/>
  <c r="O621" i="15"/>
  <c r="O320" i="15"/>
  <c r="AD318" i="7"/>
  <c r="O318" i="15"/>
  <c r="O319" i="15"/>
  <c r="O229" i="15"/>
  <c r="O673" i="15"/>
  <c r="O870" i="15"/>
  <c r="O389" i="15"/>
  <c r="O655" i="15"/>
  <c r="O879" i="15"/>
  <c r="O166" i="15"/>
  <c r="O227" i="15"/>
  <c r="AD225" i="7"/>
  <c r="O83" i="15"/>
  <c r="O506" i="15"/>
  <c r="O317" i="15"/>
  <c r="C11" i="5"/>
  <c r="E11" i="5" s="1"/>
  <c r="E14" i="5" s="1"/>
  <c r="O444" i="15"/>
  <c r="AD442" i="7"/>
  <c r="O615" i="15"/>
  <c r="O44" i="15"/>
  <c r="O618" i="15"/>
  <c r="O568" i="15"/>
  <c r="O875" i="15"/>
  <c r="O440" i="15"/>
  <c r="O218" i="15"/>
  <c r="O545" i="15"/>
  <c r="O715" i="15"/>
  <c r="O376" i="15"/>
  <c r="O528" i="15"/>
  <c r="O704" i="15"/>
  <c r="O322" i="15"/>
  <c r="O473" i="15"/>
  <c r="O782" i="15"/>
  <c r="O620" i="15"/>
  <c r="O419" i="15"/>
  <c r="O513" i="15"/>
  <c r="O767" i="15"/>
  <c r="O865" i="15"/>
  <c r="O887" i="15"/>
  <c r="O101" i="15"/>
  <c r="AD99" i="7"/>
  <c r="O488" i="15"/>
  <c r="O860" i="15"/>
  <c r="AD858" i="7"/>
  <c r="O636" i="15"/>
  <c r="O695" i="15"/>
  <c r="O456" i="15"/>
  <c r="AD454" i="7"/>
  <c r="O834" i="15"/>
  <c r="O517" i="15"/>
  <c r="AD515" i="7"/>
  <c r="O848" i="15"/>
  <c r="O518" i="15"/>
  <c r="AD516" i="7"/>
  <c r="O734" i="15"/>
  <c r="O850" i="15"/>
  <c r="O42" i="15"/>
  <c r="O147" i="15"/>
  <c r="AD145" i="7"/>
  <c r="O331" i="15"/>
  <c r="O741" i="15"/>
  <c r="O777" i="15"/>
  <c r="O855" i="15"/>
  <c r="O748" i="15"/>
  <c r="AD746" i="7"/>
  <c r="O378" i="15"/>
  <c r="O584" i="15"/>
  <c r="O197" i="15"/>
  <c r="O449" i="15"/>
  <c r="O48" i="15"/>
  <c r="O354" i="15"/>
  <c r="O328" i="15"/>
  <c r="O387" i="15"/>
  <c r="O566" i="15"/>
  <c r="O826" i="15"/>
  <c r="AD824" i="7"/>
  <c r="O142" i="15"/>
  <c r="O205" i="15"/>
  <c r="AD203" i="7"/>
  <c r="O403" i="15"/>
  <c r="AD401" i="7"/>
  <c r="O402" i="15"/>
  <c r="O808" i="15"/>
  <c r="O94" i="15"/>
  <c r="O95" i="15"/>
  <c r="O363" i="15"/>
  <c r="O634" i="15"/>
  <c r="O780" i="15"/>
  <c r="O130" i="15"/>
  <c r="O587" i="15"/>
  <c r="O209" i="15"/>
  <c r="O362" i="15"/>
  <c r="O420" i="15"/>
  <c r="O602" i="15"/>
  <c r="AD600" i="7"/>
  <c r="O228" i="15"/>
  <c r="AD115" i="7"/>
  <c r="O195" i="15"/>
  <c r="AD193" i="7"/>
  <c r="O654" i="15"/>
  <c r="O817" i="15"/>
  <c r="O132" i="15"/>
  <c r="AD130" i="7"/>
  <c r="O786" i="15"/>
  <c r="O856" i="15"/>
  <c r="O131" i="15"/>
  <c r="O213" i="15"/>
  <c r="AD211" i="7"/>
  <c r="O523" i="15"/>
  <c r="O632" i="15"/>
  <c r="O877" i="15"/>
  <c r="O771" i="15"/>
  <c r="O525" i="15"/>
  <c r="O711" i="15"/>
  <c r="O194" i="15"/>
  <c r="O73" i="15"/>
  <c r="O396" i="15"/>
  <c r="O765" i="15"/>
  <c r="O181" i="15"/>
  <c r="O342" i="15"/>
  <c r="O597" i="15"/>
  <c r="O552" i="15"/>
  <c r="O864" i="15"/>
  <c r="O702" i="15"/>
  <c r="O183" i="15"/>
  <c r="O348" i="15"/>
  <c r="O589" i="15"/>
  <c r="AD587" i="7"/>
  <c r="O691" i="15"/>
  <c r="O580" i="15"/>
  <c r="O867" i="15"/>
  <c r="O184" i="15"/>
  <c r="O624" i="15"/>
  <c r="O622" i="15"/>
  <c r="O52" i="15"/>
  <c r="O435" i="15"/>
  <c r="O724" i="15"/>
  <c r="O284" i="15"/>
  <c r="AD282" i="7"/>
  <c r="O619" i="15"/>
  <c r="O883" i="15"/>
  <c r="O165" i="15"/>
  <c r="AD163" i="7"/>
  <c r="AD108" i="7"/>
  <c r="O275" i="15"/>
  <c r="AD273" i="7"/>
  <c r="O651" i="15"/>
  <c r="O71" i="15"/>
  <c r="O888" i="15"/>
  <c r="AD886" i="7"/>
  <c r="O742" i="15"/>
  <c r="O792" i="15"/>
  <c r="AD790" i="7"/>
  <c r="O217" i="15"/>
  <c r="AD215" i="7"/>
  <c r="O77" i="15"/>
  <c r="O76" i="15"/>
  <c r="O56" i="15"/>
  <c r="O706" i="15"/>
  <c r="O822" i="15"/>
  <c r="O7" i="15"/>
  <c r="AD5" i="7"/>
  <c r="O149" i="15"/>
  <c r="AD147" i="7"/>
  <c r="O75" i="15"/>
  <c r="O54" i="15"/>
  <c r="O635" i="15"/>
  <c r="O139" i="15"/>
  <c r="O351" i="15"/>
  <c r="O731" i="15"/>
  <c r="O902" i="15"/>
  <c r="AD900" i="7"/>
  <c r="O438" i="15"/>
  <c r="O906" i="15"/>
  <c r="AD904" i="7"/>
  <c r="O483" i="15"/>
  <c r="O157" i="15"/>
  <c r="O526" i="15"/>
  <c r="O760" i="15"/>
  <c r="AD758" i="7"/>
  <c r="O134" i="15"/>
  <c r="O274" i="15"/>
  <c r="AD272" i="7"/>
  <c r="O596" i="15"/>
  <c r="O723" i="15"/>
  <c r="O60" i="15"/>
  <c r="O159" i="15"/>
  <c r="O608" i="15"/>
  <c r="O745" i="15"/>
  <c r="O852" i="15"/>
  <c r="O196" i="15"/>
  <c r="O829" i="15"/>
  <c r="O200" i="15"/>
  <c r="AD198" i="7"/>
  <c r="O448" i="15"/>
  <c r="AD446" i="7"/>
  <c r="O894" i="15"/>
  <c r="AD892" i="7"/>
  <c r="O437" i="15"/>
  <c r="O667" i="15"/>
  <c r="O188" i="15"/>
  <c r="O106" i="15"/>
  <c r="AD104" i="7"/>
  <c r="O192" i="15"/>
  <c r="O367" i="15"/>
  <c r="AD365" i="7"/>
  <c r="O633" i="15"/>
  <c r="O66" i="15"/>
  <c r="O151" i="15"/>
  <c r="O69" i="15"/>
  <c r="O191" i="15"/>
  <c r="O395" i="15"/>
  <c r="AD393" i="7"/>
  <c r="O70" i="15"/>
  <c r="O277" i="15"/>
  <c r="AD275" i="7"/>
  <c r="O611" i="15"/>
  <c r="AD609" i="7"/>
  <c r="O833" i="15"/>
  <c r="AD831" i="7"/>
  <c r="O6" i="15"/>
  <c r="O154" i="15"/>
  <c r="O699" i="15"/>
  <c r="O851" i="15"/>
  <c r="O515" i="15"/>
  <c r="O144" i="15"/>
  <c r="AD142" i="7"/>
  <c r="O381" i="15"/>
  <c r="O543" i="15"/>
  <c r="AD541" i="7"/>
  <c r="O441" i="15"/>
  <c r="O607" i="15"/>
  <c r="O511" i="15"/>
  <c r="O79" i="15"/>
  <c r="O553" i="15"/>
  <c r="O480" i="15"/>
  <c r="O866" i="15"/>
  <c r="O583" i="15"/>
  <c r="O722" i="15"/>
  <c r="O413" i="15"/>
  <c r="O507" i="15"/>
  <c r="O527" i="15"/>
  <c r="O725" i="15"/>
  <c r="O477" i="15"/>
  <c r="O662" i="15"/>
  <c r="AD660" i="7"/>
  <c r="O825" i="15"/>
  <c r="O89" i="15"/>
  <c r="O325" i="15"/>
  <c r="O542" i="15"/>
  <c r="O601" i="15"/>
  <c r="O754" i="15"/>
  <c r="O412" i="15"/>
  <c r="O530" i="15"/>
  <c r="O884" i="15"/>
  <c r="AX3" i="17" l="1"/>
  <c r="AY3" i="17" s="1"/>
  <c r="O158" i="15"/>
  <c r="O133" i="15"/>
  <c r="O105" i="15"/>
  <c r="CE4" i="17"/>
  <c r="CF3" i="17"/>
  <c r="CA5" i="17"/>
  <c r="CB4" i="17"/>
  <c r="C22" i="17"/>
  <c r="D16" i="17"/>
  <c r="I16" i="17" s="1"/>
  <c r="BU5" i="17"/>
  <c r="BV4" i="17"/>
  <c r="BO5" i="17"/>
  <c r="E16" i="17"/>
  <c r="BP4" i="17"/>
  <c r="BI5" i="17"/>
  <c r="BJ4" i="17"/>
  <c r="BC5" i="17"/>
  <c r="BD4" i="17"/>
  <c r="AW5" i="17"/>
  <c r="O124" i="15"/>
  <c r="C14" i="5"/>
  <c r="O110" i="15"/>
  <c r="O117" i="15"/>
  <c r="O145" i="15"/>
  <c r="O153" i="15"/>
  <c r="O152" i="15"/>
  <c r="O141" i="15"/>
  <c r="O115" i="15"/>
  <c r="O138" i="15"/>
  <c r="O113" i="15"/>
  <c r="O116" i="15"/>
  <c r="O127" i="15"/>
  <c r="O129" i="15"/>
  <c r="O148" i="15"/>
  <c r="O160" i="15"/>
  <c r="O120" i="15"/>
  <c r="O107" i="15"/>
  <c r="O155" i="15"/>
  <c r="O136" i="15"/>
  <c r="O135" i="15"/>
  <c r="C47" i="15"/>
  <c r="E47" i="15" s="1"/>
  <c r="F47" i="15" s="1"/>
  <c r="C6" i="15"/>
  <c r="F11" i="2"/>
  <c r="O164" i="15"/>
  <c r="AD162" i="7"/>
  <c r="O156" i="15"/>
  <c r="O161" i="15"/>
  <c r="O126" i="15"/>
  <c r="O123" i="15"/>
  <c r="O163" i="15"/>
  <c r="O162" i="15"/>
  <c r="O125" i="15"/>
  <c r="O146" i="15"/>
  <c r="O114" i="15"/>
  <c r="O143" i="15"/>
  <c r="AE5" i="7"/>
  <c r="O128" i="15"/>
  <c r="O112" i="15"/>
  <c r="O140" i="15"/>
  <c r="O109" i="15"/>
  <c r="O108" i="15"/>
  <c r="O122" i="15"/>
  <c r="AH3" i="7"/>
  <c r="AG4" i="7"/>
  <c r="O119" i="15"/>
  <c r="O150" i="15"/>
  <c r="O137" i="15"/>
  <c r="O121" i="15"/>
  <c r="AX4" i="17" l="1"/>
  <c r="AX5" i="17" s="1"/>
  <c r="AY5" i="17" s="1"/>
  <c r="CF4" i="17"/>
  <c r="CG4" i="17" s="1"/>
  <c r="CB5" i="17"/>
  <c r="CC5" i="17" s="1"/>
  <c r="CG3" i="17"/>
  <c r="CE5" i="17"/>
  <c r="CC4" i="17"/>
  <c r="CA6" i="17"/>
  <c r="BV5" i="17"/>
  <c r="BW5" i="17" s="1"/>
  <c r="BP5" i="17"/>
  <c r="BQ5" i="17" s="1"/>
  <c r="BW4" i="17"/>
  <c r="BU6" i="17"/>
  <c r="BJ5" i="17"/>
  <c r="BK5" i="17" s="1"/>
  <c r="BQ4" i="17"/>
  <c r="BO6" i="17"/>
  <c r="BK4" i="17"/>
  <c r="BI6" i="17"/>
  <c r="BD5" i="17"/>
  <c r="BE5" i="17" s="1"/>
  <c r="BE4" i="17"/>
  <c r="BC6" i="17"/>
  <c r="AW6" i="17"/>
  <c r="C9" i="15"/>
  <c r="AH4" i="7"/>
  <c r="AG5" i="7"/>
  <c r="AE6" i="7"/>
  <c r="AF6" i="7"/>
  <c r="AF5" i="7"/>
  <c r="AY4" i="17" l="1"/>
  <c r="CE6" i="17"/>
  <c r="CF5" i="17"/>
  <c r="CA7" i="17"/>
  <c r="CB6" i="17"/>
  <c r="BU7" i="17"/>
  <c r="BV6" i="17"/>
  <c r="BO7" i="17"/>
  <c r="BP6" i="17"/>
  <c r="BI7" i="17"/>
  <c r="BJ6" i="17"/>
  <c r="BC7" i="17"/>
  <c r="BD6" i="17"/>
  <c r="AW7" i="17"/>
  <c r="AX6" i="17"/>
  <c r="AH5" i="7"/>
  <c r="AG6" i="7"/>
  <c r="AE7" i="7"/>
  <c r="AF7" i="7" s="1"/>
  <c r="CF6" i="17" l="1"/>
  <c r="CG6" i="17" s="1"/>
  <c r="BV7" i="17"/>
  <c r="BW7" i="17" s="1"/>
  <c r="CG5" i="17"/>
  <c r="CE7" i="17"/>
  <c r="CB7" i="17"/>
  <c r="CC7" i="17" s="1"/>
  <c r="CC6" i="17"/>
  <c r="CA8" i="17"/>
  <c r="BW6" i="17"/>
  <c r="BU8" i="17"/>
  <c r="BP7" i="17"/>
  <c r="BQ7" i="17" s="1"/>
  <c r="BQ6" i="17"/>
  <c r="BO8" i="17"/>
  <c r="BJ7" i="17"/>
  <c r="BK7" i="17" s="1"/>
  <c r="BD7" i="17"/>
  <c r="BE7" i="17" s="1"/>
  <c r="BK6" i="17"/>
  <c r="BI8" i="17"/>
  <c r="AX7" i="17"/>
  <c r="AY7" i="17" s="1"/>
  <c r="BE6" i="17"/>
  <c r="BC8" i="17"/>
  <c r="AY6" i="17"/>
  <c r="AW8" i="17"/>
  <c r="AE8" i="7"/>
  <c r="AF8" i="7"/>
  <c r="AH6" i="7"/>
  <c r="AG7" i="7"/>
  <c r="CE8" i="17" l="1"/>
  <c r="BP8" i="17"/>
  <c r="BQ8" i="17" s="1"/>
  <c r="CF7" i="17"/>
  <c r="CA9" i="17"/>
  <c r="CB8" i="17"/>
  <c r="BU9" i="17"/>
  <c r="BV8" i="17"/>
  <c r="BO9" i="17"/>
  <c r="AX8" i="17"/>
  <c r="AY8" i="17" s="1"/>
  <c r="BI9" i="17"/>
  <c r="BJ8" i="17"/>
  <c r="BC9" i="17"/>
  <c r="BD8" i="17"/>
  <c r="AW9" i="17"/>
  <c r="AH7" i="7"/>
  <c r="AG8" i="7"/>
  <c r="AE9" i="7"/>
  <c r="AF9" i="7" s="1"/>
  <c r="BP9" i="17" l="1"/>
  <c r="BQ9" i="17" s="1"/>
  <c r="CB9" i="17"/>
  <c r="CC9" i="17" s="1"/>
  <c r="CF8" i="17"/>
  <c r="CG8" i="17" s="1"/>
  <c r="CG7" i="17"/>
  <c r="CE9" i="17"/>
  <c r="CC8" i="17"/>
  <c r="AX9" i="17"/>
  <c r="AY9" i="17" s="1"/>
  <c r="CA10" i="17"/>
  <c r="BV9" i="17"/>
  <c r="BW9" i="17" s="1"/>
  <c r="BW8" i="17"/>
  <c r="BU10" i="17"/>
  <c r="BD9" i="17"/>
  <c r="BE9" i="17" s="1"/>
  <c r="BO10" i="17"/>
  <c r="BJ9" i="17"/>
  <c r="BK9" i="17" s="1"/>
  <c r="BK8" i="17"/>
  <c r="BI10" i="17"/>
  <c r="BE8" i="17"/>
  <c r="BC10" i="17"/>
  <c r="AW10" i="17"/>
  <c r="AH8" i="7"/>
  <c r="AG9" i="7"/>
  <c r="AE10" i="7"/>
  <c r="AX10" i="17" l="1"/>
  <c r="AY10" i="17" s="1"/>
  <c r="CF9" i="17"/>
  <c r="CG9" i="17" s="1"/>
  <c r="CE10" i="17"/>
  <c r="CA11" i="17"/>
  <c r="CB10" i="17"/>
  <c r="BU11" i="17"/>
  <c r="BV10" i="17"/>
  <c r="BO11" i="17"/>
  <c r="BP10" i="17"/>
  <c r="BI11" i="17"/>
  <c r="BJ10" i="17"/>
  <c r="BC11" i="17"/>
  <c r="BD10" i="17"/>
  <c r="AW11" i="17"/>
  <c r="AE11" i="7"/>
  <c r="AF10" i="7"/>
  <c r="AH9" i="7"/>
  <c r="AG10" i="7"/>
  <c r="AX11" i="17" l="1"/>
  <c r="AY11" i="17" s="1"/>
  <c r="CB11" i="17"/>
  <c r="CC11" i="17" s="1"/>
  <c r="CF10" i="17"/>
  <c r="CG10" i="17" s="1"/>
  <c r="CE11" i="17"/>
  <c r="CC10" i="17"/>
  <c r="CA12" i="17"/>
  <c r="BP11" i="17"/>
  <c r="BQ11" i="17" s="1"/>
  <c r="BV11" i="17"/>
  <c r="BW11" i="17" s="1"/>
  <c r="BW10" i="17"/>
  <c r="BU12" i="17"/>
  <c r="BQ10" i="17"/>
  <c r="BO12" i="17"/>
  <c r="BJ11" i="17"/>
  <c r="BK11" i="17" s="1"/>
  <c r="BK10" i="17"/>
  <c r="BI12" i="17"/>
  <c r="BD11" i="17"/>
  <c r="BE11" i="17" s="1"/>
  <c r="BE10" i="17"/>
  <c r="BC12" i="17"/>
  <c r="AW12" i="17"/>
  <c r="AH10" i="7"/>
  <c r="AG11" i="7"/>
  <c r="AE12" i="7"/>
  <c r="AF12" i="7" s="1"/>
  <c r="AF11" i="7"/>
  <c r="AX12" i="17" l="1"/>
  <c r="AY12" i="17" s="1"/>
  <c r="CF11" i="17"/>
  <c r="CG11" i="17" s="1"/>
  <c r="CE12" i="17"/>
  <c r="CA13" i="17"/>
  <c r="CB12" i="17"/>
  <c r="BV12" i="17"/>
  <c r="BW12" i="17" s="1"/>
  <c r="BU13" i="17"/>
  <c r="BJ12" i="17"/>
  <c r="BK12" i="17" s="1"/>
  <c r="BO13" i="17"/>
  <c r="BP12" i="17"/>
  <c r="BI13" i="17"/>
  <c r="BC13" i="17"/>
  <c r="BD12" i="17"/>
  <c r="AW13" i="17"/>
  <c r="AH11" i="7"/>
  <c r="AG12" i="7"/>
  <c r="AE13" i="7"/>
  <c r="CB13" i="17" l="1"/>
  <c r="CC13" i="17" s="1"/>
  <c r="CE13" i="17"/>
  <c r="CF12" i="17"/>
  <c r="BV13" i="17"/>
  <c r="BW13" i="17" s="1"/>
  <c r="CC12" i="17"/>
  <c r="CA14" i="17"/>
  <c r="BU14" i="17"/>
  <c r="BJ13" i="17"/>
  <c r="BK13" i="17" s="1"/>
  <c r="BP13" i="17"/>
  <c r="BQ13" i="17" s="1"/>
  <c r="BQ12" i="17"/>
  <c r="BO14" i="17"/>
  <c r="BD13" i="17"/>
  <c r="BE13" i="17" s="1"/>
  <c r="BI14" i="17"/>
  <c r="BE12" i="17"/>
  <c r="BC14" i="17"/>
  <c r="AW14" i="17"/>
  <c r="AX13" i="17"/>
  <c r="AE14" i="7"/>
  <c r="AH12" i="7"/>
  <c r="AG13" i="7"/>
  <c r="AF13" i="7"/>
  <c r="CF13" i="17" l="1"/>
  <c r="CG13" i="17" s="1"/>
  <c r="CG12" i="17"/>
  <c r="CE14" i="17"/>
  <c r="CA15" i="17"/>
  <c r="CB14" i="17"/>
  <c r="BU15" i="17"/>
  <c r="BV14" i="17"/>
  <c r="BO15" i="17"/>
  <c r="BP14" i="17"/>
  <c r="BI15" i="17"/>
  <c r="BJ14" i="17"/>
  <c r="AX14" i="17"/>
  <c r="AY14" i="17" s="1"/>
  <c r="BC15" i="17"/>
  <c r="BD14" i="17"/>
  <c r="AY13" i="17"/>
  <c r="AW15" i="17"/>
  <c r="AH13" i="7"/>
  <c r="AG14" i="7"/>
  <c r="AE15" i="7"/>
  <c r="AF14" i="7"/>
  <c r="CB15" i="17" l="1"/>
  <c r="CC15" i="17" s="1"/>
  <c r="CE15" i="17"/>
  <c r="CF14" i="17"/>
  <c r="BV15" i="17"/>
  <c r="AX15" i="17"/>
  <c r="CC14" i="17"/>
  <c r="CA16" i="17"/>
  <c r="BP15" i="17"/>
  <c r="BQ15" i="17" s="1"/>
  <c r="BW14" i="17"/>
  <c r="BU16" i="17"/>
  <c r="BW15" i="17"/>
  <c r="BJ15" i="17"/>
  <c r="BK15" i="17" s="1"/>
  <c r="BQ14" i="17"/>
  <c r="BO16" i="17"/>
  <c r="BD15" i="17"/>
  <c r="BE15" i="17" s="1"/>
  <c r="BK14" i="17"/>
  <c r="BI16" i="17"/>
  <c r="BE14" i="17"/>
  <c r="BC16" i="17"/>
  <c r="AW16" i="17"/>
  <c r="AX16" i="17" s="1"/>
  <c r="AY15" i="17"/>
  <c r="AE16" i="7"/>
  <c r="AH14" i="7"/>
  <c r="AG15" i="7"/>
  <c r="AF15" i="7"/>
  <c r="CF15" i="17" l="1"/>
  <c r="CG15" i="17" s="1"/>
  <c r="CG14" i="17"/>
  <c r="CE16" i="17"/>
  <c r="CA17" i="17"/>
  <c r="CB16" i="17"/>
  <c r="BU17" i="17"/>
  <c r="BV16" i="17"/>
  <c r="BO17" i="17"/>
  <c r="BP16" i="17"/>
  <c r="BI17" i="17"/>
  <c r="BJ16" i="17"/>
  <c r="BC17" i="17"/>
  <c r="BD16" i="17"/>
  <c r="AW17" i="17"/>
  <c r="AY16" i="17"/>
  <c r="AH15" i="7"/>
  <c r="AG16" i="7"/>
  <c r="AE17" i="7"/>
  <c r="AF17" i="7" s="1"/>
  <c r="AF16" i="7"/>
  <c r="CE17" i="17" l="1"/>
  <c r="CF16" i="17"/>
  <c r="CB17" i="17"/>
  <c r="CC17" i="17" s="1"/>
  <c r="CC16" i="17"/>
  <c r="CA18" i="17"/>
  <c r="BV17" i="17"/>
  <c r="BW17" i="17" s="1"/>
  <c r="BW16" i="17"/>
  <c r="BU18" i="17"/>
  <c r="BD17" i="17"/>
  <c r="BE17" i="17" s="1"/>
  <c r="BP17" i="17"/>
  <c r="BQ17" i="17" s="1"/>
  <c r="BQ16" i="17"/>
  <c r="BO18" i="17"/>
  <c r="BJ17" i="17"/>
  <c r="BK17" i="17" s="1"/>
  <c r="BK16" i="17"/>
  <c r="BI18" i="17"/>
  <c r="BE16" i="17"/>
  <c r="BC18" i="17"/>
  <c r="AW18" i="17"/>
  <c r="AX17" i="17"/>
  <c r="AE18" i="7"/>
  <c r="AH16" i="7"/>
  <c r="AG17" i="7"/>
  <c r="CF17" i="17" l="1"/>
  <c r="CG17" i="17" s="1"/>
  <c r="CG16" i="17"/>
  <c r="CE18" i="17"/>
  <c r="CA19" i="17"/>
  <c r="CB18" i="17"/>
  <c r="BU19" i="17"/>
  <c r="BV18" i="17"/>
  <c r="BO19" i="17"/>
  <c r="AX18" i="17"/>
  <c r="AY18" i="17" s="1"/>
  <c r="BP18" i="17"/>
  <c r="BI19" i="17"/>
  <c r="BJ18" i="17"/>
  <c r="BC19" i="17"/>
  <c r="BD18" i="17"/>
  <c r="AY17" i="17"/>
  <c r="AW19" i="17"/>
  <c r="AH17" i="7"/>
  <c r="AG18" i="7"/>
  <c r="AE19" i="7"/>
  <c r="AF18" i="7"/>
  <c r="CE19" i="17" l="1"/>
  <c r="CF18" i="17"/>
  <c r="CB19" i="17"/>
  <c r="CC19" i="17" s="1"/>
  <c r="CC18" i="17"/>
  <c r="CA20" i="17"/>
  <c r="BV19" i="17"/>
  <c r="BW19" i="17" s="1"/>
  <c r="BW18" i="17"/>
  <c r="BU20" i="17"/>
  <c r="BP19" i="17"/>
  <c r="BQ19" i="17" s="1"/>
  <c r="BJ19" i="17"/>
  <c r="BK19" i="17" s="1"/>
  <c r="BQ18" i="17"/>
  <c r="BO20" i="17"/>
  <c r="BK18" i="17"/>
  <c r="BD19" i="17"/>
  <c r="BE19" i="17" s="1"/>
  <c r="BI20" i="17"/>
  <c r="BE18" i="17"/>
  <c r="BC20" i="17"/>
  <c r="AW20" i="17"/>
  <c r="AX19" i="17"/>
  <c r="AE20" i="7"/>
  <c r="AH18" i="7"/>
  <c r="AG19" i="7"/>
  <c r="AF19" i="7"/>
  <c r="CF19" i="17" l="1"/>
  <c r="CG19" i="17" s="1"/>
  <c r="CG18" i="17"/>
  <c r="CE20" i="17"/>
  <c r="CA21" i="17"/>
  <c r="CB20" i="17"/>
  <c r="BU21" i="17"/>
  <c r="BV20" i="17"/>
  <c r="BO21" i="17"/>
  <c r="AX20" i="17"/>
  <c r="AY20" i="17" s="1"/>
  <c r="BP20" i="17"/>
  <c r="BI21" i="17"/>
  <c r="BJ20" i="17"/>
  <c r="BC21" i="17"/>
  <c r="BD20" i="17"/>
  <c r="AY19" i="17"/>
  <c r="AW21" i="17"/>
  <c r="AH19" i="7"/>
  <c r="AG20" i="7"/>
  <c r="AE21" i="7"/>
  <c r="AF20" i="7"/>
  <c r="CE21" i="17" l="1"/>
  <c r="CF20" i="17"/>
  <c r="CB21" i="17"/>
  <c r="BV21" i="17"/>
  <c r="BJ21" i="17"/>
  <c r="BK21" i="17" s="1"/>
  <c r="CC20" i="17"/>
  <c r="CA22" i="17"/>
  <c r="CC21" i="17"/>
  <c r="BW20" i="17"/>
  <c r="BU22" i="17"/>
  <c r="BW21" i="17"/>
  <c r="BP21" i="17"/>
  <c r="BQ21" i="17" s="1"/>
  <c r="BQ20" i="17"/>
  <c r="BO22" i="17"/>
  <c r="BK20" i="17"/>
  <c r="BI22" i="17"/>
  <c r="BD21" i="17"/>
  <c r="BE21" i="17" s="1"/>
  <c r="BE20" i="17"/>
  <c r="BC22" i="17"/>
  <c r="AW22" i="17"/>
  <c r="AX21" i="17"/>
  <c r="AE22" i="7"/>
  <c r="AF21" i="7"/>
  <c r="AH20" i="7"/>
  <c r="AG21" i="7"/>
  <c r="CF21" i="17" l="1"/>
  <c r="CG21" i="17" s="1"/>
  <c r="CG20" i="17"/>
  <c r="CE22" i="17"/>
  <c r="CA23" i="17"/>
  <c r="CB22" i="17"/>
  <c r="BU23" i="17"/>
  <c r="BV22" i="17"/>
  <c r="BO23" i="17"/>
  <c r="BP22" i="17"/>
  <c r="BI23" i="17"/>
  <c r="BJ22" i="17"/>
  <c r="BC23" i="17"/>
  <c r="BD22" i="17"/>
  <c r="AX22" i="17"/>
  <c r="AY22" i="17" s="1"/>
  <c r="AY21" i="17"/>
  <c r="AW23" i="17"/>
  <c r="AE23" i="7"/>
  <c r="AH21" i="7"/>
  <c r="AG22" i="7"/>
  <c r="AF22" i="7"/>
  <c r="CF22" i="17" l="1"/>
  <c r="CG22" i="17" s="1"/>
  <c r="CB23" i="17"/>
  <c r="CC23" i="17" s="1"/>
  <c r="BV23" i="17"/>
  <c r="BW23" i="17" s="1"/>
  <c r="CE23" i="17"/>
  <c r="BD23" i="17"/>
  <c r="BE23" i="17" s="1"/>
  <c r="CC22" i="17"/>
  <c r="CA24" i="17"/>
  <c r="BW22" i="17"/>
  <c r="BU24" i="17"/>
  <c r="BP23" i="17"/>
  <c r="BQ23" i="17" s="1"/>
  <c r="BQ22" i="17"/>
  <c r="BO24" i="17"/>
  <c r="BJ23" i="17"/>
  <c r="BK23" i="17" s="1"/>
  <c r="BK22" i="17"/>
  <c r="BI24" i="17"/>
  <c r="BE22" i="17"/>
  <c r="BC24" i="17"/>
  <c r="AW24" i="17"/>
  <c r="AX23" i="17"/>
  <c r="AH22" i="7"/>
  <c r="AG23" i="7"/>
  <c r="AE24" i="7"/>
  <c r="AF23" i="7"/>
  <c r="CF23" i="17" l="1"/>
  <c r="CG23" i="17" s="1"/>
  <c r="CE24" i="17"/>
  <c r="CA25" i="17"/>
  <c r="CB24" i="17"/>
  <c r="BU25" i="17"/>
  <c r="BV24" i="17"/>
  <c r="BO25" i="17"/>
  <c r="BP24" i="17"/>
  <c r="AX24" i="17"/>
  <c r="AY24" i="17" s="1"/>
  <c r="BI25" i="17"/>
  <c r="BJ24" i="17"/>
  <c r="BK24" i="17" s="1"/>
  <c r="BC25" i="17"/>
  <c r="BD24" i="17"/>
  <c r="AY23" i="17"/>
  <c r="AW25" i="17"/>
  <c r="AE25" i="7"/>
  <c r="AF24" i="7"/>
  <c r="AH23" i="7"/>
  <c r="AG24" i="7"/>
  <c r="BV25" i="17" l="1"/>
  <c r="BW25" i="17" s="1"/>
  <c r="CB25" i="17"/>
  <c r="CC25" i="17" s="1"/>
  <c r="BP25" i="17"/>
  <c r="BQ25" i="17" s="1"/>
  <c r="CE25" i="17"/>
  <c r="CF24" i="17"/>
  <c r="CA26" i="17"/>
  <c r="CC24" i="17"/>
  <c r="BW24" i="17"/>
  <c r="BU26" i="17"/>
  <c r="BQ24" i="17"/>
  <c r="BO26" i="17"/>
  <c r="BD25" i="17"/>
  <c r="BE25" i="17" s="1"/>
  <c r="BI26" i="17"/>
  <c r="BJ25" i="17"/>
  <c r="BE24" i="17"/>
  <c r="BC26" i="17"/>
  <c r="AW26" i="17"/>
  <c r="AX25" i="17"/>
  <c r="AE26" i="7"/>
  <c r="AH24" i="7"/>
  <c r="AG25" i="7"/>
  <c r="AF25" i="7"/>
  <c r="CF25" i="17" l="1"/>
  <c r="CG25" i="17" s="1"/>
  <c r="BV26" i="17"/>
  <c r="BW26" i="17" s="1"/>
  <c r="CB26" i="17"/>
  <c r="CC26" i="17" s="1"/>
  <c r="CG24" i="17"/>
  <c r="CE26" i="17"/>
  <c r="CA27" i="17"/>
  <c r="BU27" i="17"/>
  <c r="BO27" i="17"/>
  <c r="BP26" i="17"/>
  <c r="BD26" i="17"/>
  <c r="BE26" i="17" s="1"/>
  <c r="BJ26" i="17"/>
  <c r="BK26" i="17" s="1"/>
  <c r="AX26" i="17"/>
  <c r="AY26" i="17" s="1"/>
  <c r="BK25" i="17"/>
  <c r="BI27" i="17"/>
  <c r="BC27" i="17"/>
  <c r="AY25" i="17"/>
  <c r="AW27" i="17"/>
  <c r="AH25" i="7"/>
  <c r="AG26" i="7"/>
  <c r="AE27" i="7"/>
  <c r="AF26" i="7"/>
  <c r="BV27" i="17" l="1"/>
  <c r="BW27" i="17" s="1"/>
  <c r="CE27" i="17"/>
  <c r="CF26" i="17"/>
  <c r="CA28" i="17"/>
  <c r="BD27" i="17"/>
  <c r="BE27" i="17" s="1"/>
  <c r="CB27" i="17"/>
  <c r="BP27" i="17"/>
  <c r="BQ27" i="17" s="1"/>
  <c r="BU28" i="17"/>
  <c r="BQ26" i="17"/>
  <c r="AX27" i="17"/>
  <c r="AY27" i="17" s="1"/>
  <c r="BO28" i="17"/>
  <c r="BI28" i="17"/>
  <c r="BJ27" i="17"/>
  <c r="BC28" i="17"/>
  <c r="AW28" i="17"/>
  <c r="AE28" i="7"/>
  <c r="AF27" i="7"/>
  <c r="AH26" i="7"/>
  <c r="AG27" i="7"/>
  <c r="CB28" i="17" l="1"/>
  <c r="CC28" i="17" s="1"/>
  <c r="CF27" i="17"/>
  <c r="CG27" i="17" s="1"/>
  <c r="CG26" i="17"/>
  <c r="CE28" i="17"/>
  <c r="CC27" i="17"/>
  <c r="AX28" i="17"/>
  <c r="AY28" i="17" s="1"/>
  <c r="BD28" i="17"/>
  <c r="BE28" i="17" s="1"/>
  <c r="CA29" i="17"/>
  <c r="BU29" i="17"/>
  <c r="BV28" i="17"/>
  <c r="BJ28" i="17"/>
  <c r="BK28" i="17" s="1"/>
  <c r="BO29" i="17"/>
  <c r="BP28" i="17"/>
  <c r="BK27" i="17"/>
  <c r="BI29" i="17"/>
  <c r="BC29" i="17"/>
  <c r="AW29" i="17"/>
  <c r="AE29" i="7"/>
  <c r="AF29" i="7"/>
  <c r="AH27" i="7"/>
  <c r="AG28" i="7"/>
  <c r="AF28" i="7"/>
  <c r="CE29" i="17" l="1"/>
  <c r="CF28" i="17"/>
  <c r="CA30" i="17"/>
  <c r="CB29" i="17"/>
  <c r="BP29" i="17"/>
  <c r="BQ29" i="17" s="1"/>
  <c r="BV29" i="17"/>
  <c r="BW29" i="17" s="1"/>
  <c r="BW28" i="17"/>
  <c r="BU30" i="17"/>
  <c r="BQ28" i="17"/>
  <c r="BO30" i="17"/>
  <c r="BI30" i="17"/>
  <c r="BJ29" i="17"/>
  <c r="BC30" i="17"/>
  <c r="BD29" i="17"/>
  <c r="AW30" i="17"/>
  <c r="AX29" i="17"/>
  <c r="AH28" i="7"/>
  <c r="AG29" i="7"/>
  <c r="AE30" i="7"/>
  <c r="AF30" i="7" s="1"/>
  <c r="CF29" i="17" l="1"/>
  <c r="CG29" i="17" s="1"/>
  <c r="CG28" i="17"/>
  <c r="CE30" i="17"/>
  <c r="CB30" i="17"/>
  <c r="CC29" i="17"/>
  <c r="CA31" i="17"/>
  <c r="CC30" i="17"/>
  <c r="BU31" i="17"/>
  <c r="BV30" i="17"/>
  <c r="BO31" i="17"/>
  <c r="BP30" i="17"/>
  <c r="BJ30" i="17"/>
  <c r="BK30" i="17" s="1"/>
  <c r="BK29" i="17"/>
  <c r="BI31" i="17"/>
  <c r="AX30" i="17"/>
  <c r="AY30" i="17" s="1"/>
  <c r="BD30" i="17"/>
  <c r="BE30" i="17" s="1"/>
  <c r="BE29" i="17"/>
  <c r="BC31" i="17"/>
  <c r="AY29" i="17"/>
  <c r="AW31" i="17"/>
  <c r="AE31" i="7"/>
  <c r="AH29" i="7"/>
  <c r="AG30" i="7"/>
  <c r="CE31" i="17" l="1"/>
  <c r="CF30" i="17"/>
  <c r="CA32" i="17"/>
  <c r="CB31" i="17"/>
  <c r="BV31" i="17"/>
  <c r="BW31" i="17" s="1"/>
  <c r="BW30" i="17"/>
  <c r="BU32" i="17"/>
  <c r="BP31" i="17"/>
  <c r="BQ31" i="17" s="1"/>
  <c r="BQ30" i="17"/>
  <c r="BO32" i="17"/>
  <c r="BI32" i="17"/>
  <c r="BJ31" i="17"/>
  <c r="BC32" i="17"/>
  <c r="BD31" i="17"/>
  <c r="AW32" i="17"/>
  <c r="AX31" i="17"/>
  <c r="AE32" i="7"/>
  <c r="AH30" i="7"/>
  <c r="AG31" i="7"/>
  <c r="AF31" i="7"/>
  <c r="CF31" i="17" l="1"/>
  <c r="CG31" i="17" s="1"/>
  <c r="CB32" i="17"/>
  <c r="CC32" i="17" s="1"/>
  <c r="CG30" i="17"/>
  <c r="CE32" i="17"/>
  <c r="CC31" i="17"/>
  <c r="CA33" i="17"/>
  <c r="BU33" i="17"/>
  <c r="BV32" i="17"/>
  <c r="BP32" i="17"/>
  <c r="BQ32" i="17" s="1"/>
  <c r="BO33" i="17"/>
  <c r="BJ32" i="17"/>
  <c r="BK32" i="17" s="1"/>
  <c r="BD32" i="17"/>
  <c r="BE32" i="17" s="1"/>
  <c r="BK31" i="17"/>
  <c r="BI33" i="17"/>
  <c r="BE31" i="17"/>
  <c r="BC33" i="17"/>
  <c r="AX32" i="17"/>
  <c r="AY32" i="17" s="1"/>
  <c r="AY31" i="17"/>
  <c r="AW33" i="17"/>
  <c r="AH31" i="7"/>
  <c r="AG32" i="7"/>
  <c r="AE33" i="7"/>
  <c r="AF32" i="7"/>
  <c r="CE33" i="17" l="1"/>
  <c r="CF32" i="17"/>
  <c r="CA34" i="17"/>
  <c r="CB33" i="17"/>
  <c r="BV33" i="17"/>
  <c r="BW33" i="17" s="1"/>
  <c r="BW32" i="17"/>
  <c r="BP33" i="17"/>
  <c r="BQ33" i="17" s="1"/>
  <c r="BU34" i="17"/>
  <c r="BO34" i="17"/>
  <c r="BI34" i="17"/>
  <c r="BJ33" i="17"/>
  <c r="BC34" i="17"/>
  <c r="BD33" i="17"/>
  <c r="AW34" i="17"/>
  <c r="AX33" i="17"/>
  <c r="AE34" i="7"/>
  <c r="AH32" i="7"/>
  <c r="AG33" i="7"/>
  <c r="AF33" i="7"/>
  <c r="CB34" i="17" l="1"/>
  <c r="CC34" i="17" s="1"/>
  <c r="CF33" i="17"/>
  <c r="CG33" i="17" s="1"/>
  <c r="CG32" i="17"/>
  <c r="CE34" i="17"/>
  <c r="CC33" i="17"/>
  <c r="CA35" i="17"/>
  <c r="BU35" i="17"/>
  <c r="BV34" i="17"/>
  <c r="BJ34" i="17"/>
  <c r="BK34" i="17" s="1"/>
  <c r="BD34" i="17"/>
  <c r="BE34" i="17" s="1"/>
  <c r="BO35" i="17"/>
  <c r="BP34" i="17"/>
  <c r="BK33" i="17"/>
  <c r="BI35" i="17"/>
  <c r="BE33" i="17"/>
  <c r="AX34" i="17"/>
  <c r="AY34" i="17" s="1"/>
  <c r="BC35" i="17"/>
  <c r="AY33" i="17"/>
  <c r="AW35" i="17"/>
  <c r="AH33" i="7"/>
  <c r="AG34" i="7"/>
  <c r="AE35" i="7"/>
  <c r="AF34" i="7"/>
  <c r="BV35" i="17" l="1"/>
  <c r="BW35" i="17" s="1"/>
  <c r="BP35" i="17"/>
  <c r="BQ35" i="17" s="1"/>
  <c r="CE35" i="17"/>
  <c r="CF34" i="17"/>
  <c r="CA36" i="17"/>
  <c r="CB35" i="17"/>
  <c r="BW34" i="17"/>
  <c r="BU36" i="17"/>
  <c r="BQ34" i="17"/>
  <c r="BO36" i="17"/>
  <c r="BI36" i="17"/>
  <c r="BJ35" i="17"/>
  <c r="BC36" i="17"/>
  <c r="BD35" i="17"/>
  <c r="AW36" i="17"/>
  <c r="AX35" i="17"/>
  <c r="AE36" i="7"/>
  <c r="AF35" i="7"/>
  <c r="AH34" i="7"/>
  <c r="AG35" i="7"/>
  <c r="CF35" i="17" l="1"/>
  <c r="CG35" i="17" s="1"/>
  <c r="CG34" i="17"/>
  <c r="CE36" i="17"/>
  <c r="BJ36" i="17"/>
  <c r="BK36" i="17" s="1"/>
  <c r="CB36" i="17"/>
  <c r="CC36" i="17" s="1"/>
  <c r="CC35" i="17"/>
  <c r="CA37" i="17"/>
  <c r="BU37" i="17"/>
  <c r="BV36" i="17"/>
  <c r="BO37" i="17"/>
  <c r="BP36" i="17"/>
  <c r="BQ36" i="17" s="1"/>
  <c r="BK35" i="17"/>
  <c r="BI37" i="17"/>
  <c r="BD36" i="17"/>
  <c r="BE36" i="17" s="1"/>
  <c r="BE35" i="17"/>
  <c r="BC37" i="17"/>
  <c r="AX36" i="17"/>
  <c r="AY36" i="17" s="1"/>
  <c r="AY35" i="17"/>
  <c r="AW37" i="17"/>
  <c r="AH35" i="7"/>
  <c r="AG36" i="7"/>
  <c r="AE37" i="7"/>
  <c r="AF36" i="7"/>
  <c r="CE37" i="17" l="1"/>
  <c r="CF36" i="17"/>
  <c r="BV37" i="17"/>
  <c r="CA38" i="17"/>
  <c r="CB37" i="17"/>
  <c r="BW36" i="17"/>
  <c r="BU38" i="17"/>
  <c r="BW37" i="17"/>
  <c r="BP37" i="17"/>
  <c r="BQ37" i="17" s="1"/>
  <c r="BO38" i="17"/>
  <c r="BI38" i="17"/>
  <c r="BJ37" i="17"/>
  <c r="BC38" i="17"/>
  <c r="BD37" i="17"/>
  <c r="AW38" i="17"/>
  <c r="AX37" i="17"/>
  <c r="AE38" i="7"/>
  <c r="AF37" i="7"/>
  <c r="AH36" i="7"/>
  <c r="AG37" i="7"/>
  <c r="CF37" i="17" l="1"/>
  <c r="CG37" i="17" s="1"/>
  <c r="CG36" i="17"/>
  <c r="CE38" i="17"/>
  <c r="CB38" i="17"/>
  <c r="CC37" i="17"/>
  <c r="CA39" i="17"/>
  <c r="CC38" i="17"/>
  <c r="BU39" i="17"/>
  <c r="BV38" i="17"/>
  <c r="BJ38" i="17"/>
  <c r="BK38" i="17" s="1"/>
  <c r="BO39" i="17"/>
  <c r="BP38" i="17"/>
  <c r="BK37" i="17"/>
  <c r="BI39" i="17"/>
  <c r="BD38" i="17"/>
  <c r="BE38" i="17" s="1"/>
  <c r="BE37" i="17"/>
  <c r="BC39" i="17"/>
  <c r="AX38" i="17"/>
  <c r="AY38" i="17" s="1"/>
  <c r="AY37" i="17"/>
  <c r="AW39" i="17"/>
  <c r="AH37" i="7"/>
  <c r="AG38" i="7"/>
  <c r="AE39" i="7"/>
  <c r="AF39" i="7" s="1"/>
  <c r="AF38" i="7"/>
  <c r="BV39" i="17" l="1"/>
  <c r="BW39" i="17" s="1"/>
  <c r="CE39" i="17"/>
  <c r="CF38" i="17"/>
  <c r="BP39" i="17"/>
  <c r="CA40" i="17"/>
  <c r="CB39" i="17"/>
  <c r="BW38" i="17"/>
  <c r="BU40" i="17"/>
  <c r="BQ38" i="17"/>
  <c r="BO40" i="17"/>
  <c r="BQ39" i="17"/>
  <c r="BI40" i="17"/>
  <c r="BJ39" i="17"/>
  <c r="BC40" i="17"/>
  <c r="BD39" i="17"/>
  <c r="AW40" i="17"/>
  <c r="AX39" i="17"/>
  <c r="AE40" i="7"/>
  <c r="AH38" i="7"/>
  <c r="AG39" i="7"/>
  <c r="CF39" i="17" l="1"/>
  <c r="CG39" i="17" s="1"/>
  <c r="CB40" i="17"/>
  <c r="CC40" i="17" s="1"/>
  <c r="CG38" i="17"/>
  <c r="CE40" i="17"/>
  <c r="CC39" i="17"/>
  <c r="CA41" i="17"/>
  <c r="BU41" i="17"/>
  <c r="BV40" i="17"/>
  <c r="BW40" i="17" s="1"/>
  <c r="BO41" i="17"/>
  <c r="BP40" i="17"/>
  <c r="BJ40" i="17"/>
  <c r="BK40" i="17" s="1"/>
  <c r="BK39" i="17"/>
  <c r="BI41" i="17"/>
  <c r="BD40" i="17"/>
  <c r="BE40" i="17" s="1"/>
  <c r="BE39" i="17"/>
  <c r="BC41" i="17"/>
  <c r="AX40" i="17"/>
  <c r="AY40" i="17" s="1"/>
  <c r="AY39" i="17"/>
  <c r="AW41" i="17"/>
  <c r="AH39" i="7"/>
  <c r="AG40" i="7"/>
  <c r="AE41" i="7"/>
  <c r="AF40" i="7"/>
  <c r="CE41" i="17" l="1"/>
  <c r="CF40" i="17"/>
  <c r="BP41" i="17"/>
  <c r="CA42" i="17"/>
  <c r="CB41" i="17"/>
  <c r="BV41" i="17"/>
  <c r="BW41" i="17" s="1"/>
  <c r="BU42" i="17"/>
  <c r="BQ40" i="17"/>
  <c r="AX41" i="17"/>
  <c r="AY41" i="17" s="1"/>
  <c r="BO42" i="17"/>
  <c r="BQ41" i="17"/>
  <c r="BI42" i="17"/>
  <c r="BJ41" i="17"/>
  <c r="BC42" i="17"/>
  <c r="BD41" i="17"/>
  <c r="AW42" i="17"/>
  <c r="AE42" i="7"/>
  <c r="AF41" i="7"/>
  <c r="AH40" i="7"/>
  <c r="AG41" i="7"/>
  <c r="CB42" i="17" l="1"/>
  <c r="CC42" i="17" s="1"/>
  <c r="CF41" i="17"/>
  <c r="CG41" i="17" s="1"/>
  <c r="CG40" i="17"/>
  <c r="CE42" i="17"/>
  <c r="CC41" i="17"/>
  <c r="CA43" i="17"/>
  <c r="BU43" i="17"/>
  <c r="BV42" i="17"/>
  <c r="BO43" i="17"/>
  <c r="BP42" i="17"/>
  <c r="BJ42" i="17"/>
  <c r="BK42" i="17" s="1"/>
  <c r="BK41" i="17"/>
  <c r="BI43" i="17"/>
  <c r="BD42" i="17"/>
  <c r="BE42" i="17" s="1"/>
  <c r="BE41" i="17"/>
  <c r="BC43" i="17"/>
  <c r="AW43" i="17"/>
  <c r="AX42" i="17"/>
  <c r="AE43" i="7"/>
  <c r="AH41" i="7"/>
  <c r="AG42" i="7"/>
  <c r="AF42" i="7"/>
  <c r="BV43" i="17" l="1"/>
  <c r="BW43" i="17" s="1"/>
  <c r="CE43" i="17"/>
  <c r="CF42" i="17"/>
  <c r="CA44" i="17"/>
  <c r="CB43" i="17"/>
  <c r="BW42" i="17"/>
  <c r="BU44" i="17"/>
  <c r="BP43" i="17"/>
  <c r="BQ43" i="17" s="1"/>
  <c r="BQ42" i="17"/>
  <c r="BO44" i="17"/>
  <c r="BI44" i="17"/>
  <c r="BJ43" i="17"/>
  <c r="BC44" i="17"/>
  <c r="BD43" i="17"/>
  <c r="AX43" i="17"/>
  <c r="AY43" i="17" s="1"/>
  <c r="AY42" i="17"/>
  <c r="AW44" i="17"/>
  <c r="AH42" i="7"/>
  <c r="AG43" i="7"/>
  <c r="AE44" i="7"/>
  <c r="AF43" i="7"/>
  <c r="CF43" i="17" l="1"/>
  <c r="CG43" i="17" s="1"/>
  <c r="CG42" i="17"/>
  <c r="CE44" i="17"/>
  <c r="CB44" i="17"/>
  <c r="CC43" i="17"/>
  <c r="CA45" i="17"/>
  <c r="CC44" i="17"/>
  <c r="BJ44" i="17"/>
  <c r="BK44" i="17" s="1"/>
  <c r="BU45" i="17"/>
  <c r="BV44" i="17"/>
  <c r="BO45" i="17"/>
  <c r="BP44" i="17"/>
  <c r="BD44" i="17"/>
  <c r="BE44" i="17" s="1"/>
  <c r="BK43" i="17"/>
  <c r="BI45" i="17"/>
  <c r="BE43" i="17"/>
  <c r="BC45" i="17"/>
  <c r="AW45" i="17"/>
  <c r="AX44" i="17"/>
  <c r="AE45" i="7"/>
  <c r="AF44" i="7"/>
  <c r="AH43" i="7"/>
  <c r="AG44" i="7"/>
  <c r="CE45" i="17" l="1"/>
  <c r="BP45" i="17"/>
  <c r="BQ45" i="17" s="1"/>
  <c r="CF44" i="17"/>
  <c r="CA46" i="17"/>
  <c r="CB45" i="17"/>
  <c r="BV45" i="17"/>
  <c r="BW44" i="17"/>
  <c r="BU46" i="17"/>
  <c r="BW45" i="17"/>
  <c r="BQ44" i="17"/>
  <c r="BO46" i="17"/>
  <c r="BI46" i="17"/>
  <c r="BJ45" i="17"/>
  <c r="BC46" i="17"/>
  <c r="BD45" i="17"/>
  <c r="AX45" i="17"/>
  <c r="AY45" i="17" s="1"/>
  <c r="AY44" i="17"/>
  <c r="AW46" i="17"/>
  <c r="AH44" i="7"/>
  <c r="AG45" i="7"/>
  <c r="AE46" i="7"/>
  <c r="AF45" i="7"/>
  <c r="CF45" i="17" l="1"/>
  <c r="CG45" i="17" s="1"/>
  <c r="CG44" i="17"/>
  <c r="CE46" i="17"/>
  <c r="CB46" i="17"/>
  <c r="CC45" i="17"/>
  <c r="CA47" i="17"/>
  <c r="CC46" i="17"/>
  <c r="BU47" i="17"/>
  <c r="BV46" i="17"/>
  <c r="BO47" i="17"/>
  <c r="BP46" i="17"/>
  <c r="BD46" i="17"/>
  <c r="BE46" i="17" s="1"/>
  <c r="BJ46" i="17"/>
  <c r="BK46" i="17" s="1"/>
  <c r="BK45" i="17"/>
  <c r="BI47" i="17"/>
  <c r="BE45" i="17"/>
  <c r="BC47" i="17"/>
  <c r="AW47" i="17"/>
  <c r="AX46" i="17"/>
  <c r="AE47" i="7"/>
  <c r="AF46" i="7"/>
  <c r="AH45" i="7"/>
  <c r="AG46" i="7"/>
  <c r="CF46" i="17" l="1"/>
  <c r="CG46" i="17" s="1"/>
  <c r="BV47" i="17"/>
  <c r="BW47" i="17" s="1"/>
  <c r="CE47" i="17"/>
  <c r="CA48" i="17"/>
  <c r="CB47" i="17"/>
  <c r="BW46" i="17"/>
  <c r="BU48" i="17"/>
  <c r="BP47" i="17"/>
  <c r="BQ47" i="17" s="1"/>
  <c r="BQ46" i="17"/>
  <c r="BO48" i="17"/>
  <c r="BI48" i="17"/>
  <c r="BJ47" i="17"/>
  <c r="AX47" i="17"/>
  <c r="AY47" i="17" s="1"/>
  <c r="BC48" i="17"/>
  <c r="BD47" i="17"/>
  <c r="AY46" i="17"/>
  <c r="AW48" i="17"/>
  <c r="AH46" i="7"/>
  <c r="AG47" i="7"/>
  <c r="AE48" i="7"/>
  <c r="AF47" i="7"/>
  <c r="CF47" i="17" l="1"/>
  <c r="CG47" i="17" s="1"/>
  <c r="CB48" i="17"/>
  <c r="CC48" i="17" s="1"/>
  <c r="CE48" i="17"/>
  <c r="CC47" i="17"/>
  <c r="CA49" i="17"/>
  <c r="BU49" i="17"/>
  <c r="BV48" i="17"/>
  <c r="BO49" i="17"/>
  <c r="BP48" i="17"/>
  <c r="BJ48" i="17"/>
  <c r="BK48" i="17" s="1"/>
  <c r="BK47" i="17"/>
  <c r="BI49" i="17"/>
  <c r="BD48" i="17"/>
  <c r="BE48" i="17" s="1"/>
  <c r="BE47" i="17"/>
  <c r="BC49" i="17"/>
  <c r="AW49" i="17"/>
  <c r="AX48" i="17"/>
  <c r="AE49" i="7"/>
  <c r="AF48" i="7"/>
  <c r="AH47" i="7"/>
  <c r="AG48" i="7"/>
  <c r="BV49" i="17" l="1"/>
  <c r="BW49" i="17" s="1"/>
  <c r="BJ49" i="17"/>
  <c r="BK49" i="17" s="1"/>
  <c r="CE49" i="17"/>
  <c r="CF48" i="17"/>
  <c r="CA50" i="17"/>
  <c r="CB49" i="17"/>
  <c r="BW48" i="17"/>
  <c r="BU50" i="17"/>
  <c r="BP49" i="17"/>
  <c r="BQ49" i="17" s="1"/>
  <c r="BQ48" i="17"/>
  <c r="BO50" i="17"/>
  <c r="BI50" i="17"/>
  <c r="BC50" i="17"/>
  <c r="BD49" i="17"/>
  <c r="AX49" i="17"/>
  <c r="AY49" i="17" s="1"/>
  <c r="AY48" i="17"/>
  <c r="AW50" i="17"/>
  <c r="AH48" i="7"/>
  <c r="AG49" i="7"/>
  <c r="AE50" i="7"/>
  <c r="AF49" i="7"/>
  <c r="CF49" i="17" l="1"/>
  <c r="CG49" i="17" s="1"/>
  <c r="BJ50" i="17"/>
  <c r="BK50" i="17" s="1"/>
  <c r="CB50" i="17"/>
  <c r="CC50" i="17" s="1"/>
  <c r="CE50" i="17"/>
  <c r="CG48" i="17"/>
  <c r="CC49" i="17"/>
  <c r="CA51" i="17"/>
  <c r="BU51" i="17"/>
  <c r="BV50" i="17"/>
  <c r="BD50" i="17"/>
  <c r="BE50" i="17" s="1"/>
  <c r="BO51" i="17"/>
  <c r="BP50" i="17"/>
  <c r="BI51" i="17"/>
  <c r="BE49" i="17"/>
  <c r="BC51" i="17"/>
  <c r="AW51" i="17"/>
  <c r="AX50" i="17"/>
  <c r="AH49" i="7"/>
  <c r="AG50" i="7"/>
  <c r="AE51" i="7"/>
  <c r="AF51" i="7" s="1"/>
  <c r="AF50" i="7"/>
  <c r="CB51" i="17" l="1"/>
  <c r="CC51" i="17" s="1"/>
  <c r="CE51" i="17"/>
  <c r="CF50" i="17"/>
  <c r="BV51" i="17"/>
  <c r="BW51" i="17" s="1"/>
  <c r="CA52" i="17"/>
  <c r="BW50" i="17"/>
  <c r="BU52" i="17"/>
  <c r="BP51" i="17"/>
  <c r="BQ51" i="17" s="1"/>
  <c r="BQ50" i="17"/>
  <c r="BO52" i="17"/>
  <c r="BI52" i="17"/>
  <c r="BJ51" i="17"/>
  <c r="BC52" i="17"/>
  <c r="BD51" i="17"/>
  <c r="AX51" i="17"/>
  <c r="AY51" i="17" s="1"/>
  <c r="AY50" i="17"/>
  <c r="AW52" i="17"/>
  <c r="AE52" i="7"/>
  <c r="AH50" i="7"/>
  <c r="AG51" i="7"/>
  <c r="CF51" i="17" l="1"/>
  <c r="CG51" i="17" s="1"/>
  <c r="CG50" i="17"/>
  <c r="CE52" i="17"/>
  <c r="CA53" i="17"/>
  <c r="CB52" i="17"/>
  <c r="BU53" i="17"/>
  <c r="BV52" i="17"/>
  <c r="BO53" i="17"/>
  <c r="BP52" i="17"/>
  <c r="BJ52" i="17"/>
  <c r="BK52" i="17" s="1"/>
  <c r="BK51" i="17"/>
  <c r="BI53" i="17"/>
  <c r="BD52" i="17"/>
  <c r="BE52" i="17" s="1"/>
  <c r="BE51" i="17"/>
  <c r="BC53" i="17"/>
  <c r="AW53" i="17"/>
  <c r="AX52" i="17"/>
  <c r="AE53" i="7"/>
  <c r="AH51" i="7"/>
  <c r="AG52" i="7"/>
  <c r="AF52" i="7"/>
  <c r="CE53" i="17" l="1"/>
  <c r="CF52" i="17"/>
  <c r="CB53" i="17"/>
  <c r="CC53" i="17" s="1"/>
  <c r="CC52" i="17"/>
  <c r="CA54" i="17"/>
  <c r="BV53" i="17"/>
  <c r="BW53" i="17" s="1"/>
  <c r="BW52" i="17"/>
  <c r="BU54" i="17"/>
  <c r="BP53" i="17"/>
  <c r="BQ53" i="17" s="1"/>
  <c r="BQ52" i="17"/>
  <c r="BO54" i="17"/>
  <c r="BI54" i="17"/>
  <c r="BJ53" i="17"/>
  <c r="AX53" i="17"/>
  <c r="AY53" i="17" s="1"/>
  <c r="BC54" i="17"/>
  <c r="BD53" i="17"/>
  <c r="AY52" i="17"/>
  <c r="AW54" i="17"/>
  <c r="AH52" i="7"/>
  <c r="AG53" i="7"/>
  <c r="AE54" i="7"/>
  <c r="AF53" i="7"/>
  <c r="CF53" i="17" l="1"/>
  <c r="CG53" i="17" s="1"/>
  <c r="CG52" i="17"/>
  <c r="CE54" i="17"/>
  <c r="CA55" i="17"/>
  <c r="CB54" i="17"/>
  <c r="BU55" i="17"/>
  <c r="BV54" i="17"/>
  <c r="BO55" i="17"/>
  <c r="BP54" i="17"/>
  <c r="BJ54" i="17"/>
  <c r="BK54" i="17" s="1"/>
  <c r="BK53" i="17"/>
  <c r="BI55" i="17"/>
  <c r="BD54" i="17"/>
  <c r="BE54" i="17" s="1"/>
  <c r="BE53" i="17"/>
  <c r="BC55" i="17"/>
  <c r="AW55" i="17"/>
  <c r="AX54" i="17"/>
  <c r="AE55" i="7"/>
  <c r="AF54" i="7"/>
  <c r="AH53" i="7"/>
  <c r="AG54" i="7"/>
  <c r="CE55" i="17" l="1"/>
  <c r="CF54" i="17"/>
  <c r="CB55" i="17"/>
  <c r="CC55" i="17" s="1"/>
  <c r="CC54" i="17"/>
  <c r="CA56" i="17"/>
  <c r="BV55" i="17"/>
  <c r="BW55" i="17" s="1"/>
  <c r="BW54" i="17"/>
  <c r="BU56" i="17"/>
  <c r="BP55" i="17"/>
  <c r="BQ55" i="17" s="1"/>
  <c r="BQ54" i="17"/>
  <c r="BO56" i="17"/>
  <c r="BI56" i="17"/>
  <c r="BJ55" i="17"/>
  <c r="BC56" i="17"/>
  <c r="BD55" i="17"/>
  <c r="AX55" i="17"/>
  <c r="AY55" i="17" s="1"/>
  <c r="AY54" i="17"/>
  <c r="AW56" i="17"/>
  <c r="AH54" i="7"/>
  <c r="AG55" i="7"/>
  <c r="AE56" i="7"/>
  <c r="AF55" i="7"/>
  <c r="CB56" i="17" l="1"/>
  <c r="CC56" i="17" s="1"/>
  <c r="CF55" i="17"/>
  <c r="CG55" i="17" s="1"/>
  <c r="CG54" i="17"/>
  <c r="BP56" i="17"/>
  <c r="BQ56" i="17" s="1"/>
  <c r="CE56" i="17"/>
  <c r="BV56" i="17"/>
  <c r="BW56" i="17" s="1"/>
  <c r="CA57" i="17"/>
  <c r="BU57" i="17"/>
  <c r="BJ56" i="17"/>
  <c r="BK56" i="17" s="1"/>
  <c r="BO57" i="17"/>
  <c r="BD56" i="17"/>
  <c r="BE56" i="17" s="1"/>
  <c r="BK55" i="17"/>
  <c r="BI57" i="17"/>
  <c r="BE55" i="17"/>
  <c r="BC57" i="17"/>
  <c r="AW57" i="17"/>
  <c r="AX56" i="17"/>
  <c r="AE57" i="7"/>
  <c r="AH55" i="7"/>
  <c r="AG56" i="7"/>
  <c r="AF56" i="7"/>
  <c r="BV57" i="17" l="1"/>
  <c r="BW57" i="17" s="1"/>
  <c r="CE57" i="17"/>
  <c r="CF56" i="17"/>
  <c r="CA58" i="17"/>
  <c r="CB57" i="17"/>
  <c r="BU58" i="17"/>
  <c r="BO58" i="17"/>
  <c r="BP57" i="17"/>
  <c r="BI58" i="17"/>
  <c r="BJ57" i="17"/>
  <c r="AX57" i="17"/>
  <c r="AY57" i="17" s="1"/>
  <c r="BC58" i="17"/>
  <c r="BD57" i="17"/>
  <c r="AY56" i="17"/>
  <c r="AW58" i="17"/>
  <c r="AH56" i="7"/>
  <c r="AG57" i="7"/>
  <c r="AE58" i="7"/>
  <c r="AF57" i="7"/>
  <c r="CB58" i="17" l="1"/>
  <c r="CC58" i="17" s="1"/>
  <c r="CF57" i="17"/>
  <c r="CG57" i="17" s="1"/>
  <c r="CG56" i="17"/>
  <c r="CE58" i="17"/>
  <c r="CC57" i="17"/>
  <c r="CA59" i="17"/>
  <c r="BU59" i="17"/>
  <c r="BV58" i="17"/>
  <c r="BP58" i="17"/>
  <c r="BQ58" i="17" s="1"/>
  <c r="BQ57" i="17"/>
  <c r="BO59" i="17"/>
  <c r="BJ58" i="17"/>
  <c r="BK58" i="17" s="1"/>
  <c r="BD58" i="17"/>
  <c r="BE58" i="17" s="1"/>
  <c r="BK57" i="17"/>
  <c r="BI59" i="17"/>
  <c r="BE57" i="17"/>
  <c r="BC59" i="17"/>
  <c r="AW59" i="17"/>
  <c r="AX58" i="17"/>
  <c r="AE59" i="7"/>
  <c r="AF58" i="7"/>
  <c r="AH57" i="7"/>
  <c r="AG58" i="7"/>
  <c r="CB59" i="17" l="1"/>
  <c r="CC59" i="17" s="1"/>
  <c r="CF58" i="17"/>
  <c r="CG58" i="17" s="1"/>
  <c r="BV59" i="17"/>
  <c r="CE59" i="17"/>
  <c r="CA60" i="17"/>
  <c r="BW58" i="17"/>
  <c r="BU60" i="17"/>
  <c r="BW59" i="17"/>
  <c r="BO60" i="17"/>
  <c r="BP59" i="17"/>
  <c r="AX59" i="17"/>
  <c r="AY59" i="17" s="1"/>
  <c r="BI60" i="17"/>
  <c r="BJ59" i="17"/>
  <c r="BC60" i="17"/>
  <c r="BD59" i="17"/>
  <c r="AY58" i="17"/>
  <c r="AW60" i="17"/>
  <c r="AH58" i="7"/>
  <c r="AG59" i="7"/>
  <c r="AE60" i="7"/>
  <c r="AF60" i="7" s="1"/>
  <c r="AF59" i="7"/>
  <c r="CF59" i="17" l="1"/>
  <c r="CG59" i="17" s="1"/>
  <c r="CE60" i="17"/>
  <c r="CA61" i="17"/>
  <c r="CB60" i="17"/>
  <c r="BU61" i="17"/>
  <c r="BP60" i="17"/>
  <c r="BQ60" i="17" s="1"/>
  <c r="BV60" i="17"/>
  <c r="BJ60" i="17"/>
  <c r="BK60" i="17" s="1"/>
  <c r="BQ59" i="17"/>
  <c r="BO61" i="17"/>
  <c r="BI61" i="17"/>
  <c r="BK59" i="17"/>
  <c r="BD60" i="17"/>
  <c r="BE60" i="17" s="1"/>
  <c r="BE59" i="17"/>
  <c r="BC61" i="17"/>
  <c r="AW61" i="17"/>
  <c r="AX60" i="17"/>
  <c r="AH59" i="7"/>
  <c r="AG60" i="7"/>
  <c r="AE61" i="7"/>
  <c r="BP61" i="17" l="1"/>
  <c r="BQ61" i="17" s="1"/>
  <c r="CF60" i="17"/>
  <c r="CG60" i="17" s="1"/>
  <c r="BJ61" i="17"/>
  <c r="BK61" i="17" s="1"/>
  <c r="CE61" i="17"/>
  <c r="BV61" i="17"/>
  <c r="CB61" i="17"/>
  <c r="CC61" i="17" s="1"/>
  <c r="CC60" i="17"/>
  <c r="CA62" i="17"/>
  <c r="BW60" i="17"/>
  <c r="BU62" i="17"/>
  <c r="BW61" i="17"/>
  <c r="BO62" i="17"/>
  <c r="BI62" i="17"/>
  <c r="AX61" i="17"/>
  <c r="AY61" i="17" s="1"/>
  <c r="BC62" i="17"/>
  <c r="BD61" i="17"/>
  <c r="AY60" i="17"/>
  <c r="AW62" i="17"/>
  <c r="AE62" i="7"/>
  <c r="AF61" i="7"/>
  <c r="AH60" i="7"/>
  <c r="AG61" i="7"/>
  <c r="CE62" i="17" l="1"/>
  <c r="CF61" i="17"/>
  <c r="CA63" i="17"/>
  <c r="CB62" i="17"/>
  <c r="BU63" i="17"/>
  <c r="BV62" i="17"/>
  <c r="BO63" i="17"/>
  <c r="BP62" i="17"/>
  <c r="BI63" i="17"/>
  <c r="BJ62" i="17"/>
  <c r="BD62" i="17"/>
  <c r="BE62" i="17" s="1"/>
  <c r="BE61" i="17"/>
  <c r="BC63" i="17"/>
  <c r="AW63" i="17"/>
  <c r="AX62" i="17"/>
  <c r="AE63" i="7"/>
  <c r="AF63" i="7" s="1"/>
  <c r="AH61" i="7"/>
  <c r="AG62" i="7"/>
  <c r="AF62" i="7"/>
  <c r="CF62" i="17" l="1"/>
  <c r="CG62" i="17" s="1"/>
  <c r="CB63" i="17"/>
  <c r="CC63" i="17" s="1"/>
  <c r="CG61" i="17"/>
  <c r="CE63" i="17"/>
  <c r="BV63" i="17"/>
  <c r="CC62" i="17"/>
  <c r="CA64" i="17"/>
  <c r="BW62" i="17"/>
  <c r="BU64" i="17"/>
  <c r="BW63" i="17"/>
  <c r="BP63" i="17"/>
  <c r="BQ63" i="17" s="1"/>
  <c r="BQ62" i="17"/>
  <c r="BO64" i="17"/>
  <c r="AX63" i="17"/>
  <c r="AY63" i="17" s="1"/>
  <c r="BJ63" i="17"/>
  <c r="BK63" i="17" s="1"/>
  <c r="BK62" i="17"/>
  <c r="BI64" i="17"/>
  <c r="BC64" i="17"/>
  <c r="BD63" i="17"/>
  <c r="AY62" i="17"/>
  <c r="AW64" i="17"/>
  <c r="AH62" i="7"/>
  <c r="AG63" i="7"/>
  <c r="AE64" i="7"/>
  <c r="AF64" i="7" s="1"/>
  <c r="CF63" i="17" l="1"/>
  <c r="CG63" i="17" s="1"/>
  <c r="CE64" i="17"/>
  <c r="CA65" i="17"/>
  <c r="CB64" i="17"/>
  <c r="BU65" i="17"/>
  <c r="BV64" i="17"/>
  <c r="BO65" i="17"/>
  <c r="BP64" i="17"/>
  <c r="BI65" i="17"/>
  <c r="BJ64" i="17"/>
  <c r="BD64" i="17"/>
  <c r="BE64" i="17" s="1"/>
  <c r="BE63" i="17"/>
  <c r="BC65" i="17"/>
  <c r="AW65" i="17"/>
  <c r="AX64" i="17"/>
  <c r="AE65" i="7"/>
  <c r="AH63" i="7"/>
  <c r="AG64" i="7"/>
  <c r="CF64" i="17" l="1"/>
  <c r="CG64" i="17" s="1"/>
  <c r="CE65" i="17"/>
  <c r="CB65" i="17"/>
  <c r="CC65" i="17" s="1"/>
  <c r="CC64" i="17"/>
  <c r="CA66" i="17"/>
  <c r="BP65" i="17"/>
  <c r="BQ65" i="17" s="1"/>
  <c r="BV65" i="17"/>
  <c r="BW65" i="17" s="1"/>
  <c r="BW64" i="17"/>
  <c r="BU66" i="17"/>
  <c r="BQ64" i="17"/>
  <c r="BO66" i="17"/>
  <c r="BJ65" i="17"/>
  <c r="BK65" i="17" s="1"/>
  <c r="BK64" i="17"/>
  <c r="BI66" i="17"/>
  <c r="AX65" i="17"/>
  <c r="AY65" i="17" s="1"/>
  <c r="BC66" i="17"/>
  <c r="BD65" i="17"/>
  <c r="AY64" i="17"/>
  <c r="AW66" i="17"/>
  <c r="AE66" i="7"/>
  <c r="AH64" i="7"/>
  <c r="AG65" i="7"/>
  <c r="AF65" i="7"/>
  <c r="CE66" i="17" l="1"/>
  <c r="CF65" i="17"/>
  <c r="CA67" i="17"/>
  <c r="CB66" i="17"/>
  <c r="BU67" i="17"/>
  <c r="BV66" i="17"/>
  <c r="BO67" i="17"/>
  <c r="BP66" i="17"/>
  <c r="BI67" i="17"/>
  <c r="BJ66" i="17"/>
  <c r="BD66" i="17"/>
  <c r="BE66" i="17" s="1"/>
  <c r="BE65" i="17"/>
  <c r="BC67" i="17"/>
  <c r="AW67" i="17"/>
  <c r="AX66" i="17"/>
  <c r="AH65" i="7"/>
  <c r="AG66" i="7"/>
  <c r="AE67" i="7"/>
  <c r="AF66" i="7"/>
  <c r="CF66" i="17" l="1"/>
  <c r="CG66" i="17" s="1"/>
  <c r="CB67" i="17"/>
  <c r="CC67" i="17" s="1"/>
  <c r="CG65" i="17"/>
  <c r="CE67" i="17"/>
  <c r="CC66" i="17"/>
  <c r="CA68" i="17"/>
  <c r="BV67" i="17"/>
  <c r="BW67" i="17" s="1"/>
  <c r="BW66" i="17"/>
  <c r="BU68" i="17"/>
  <c r="BP67" i="17"/>
  <c r="BQ67" i="17" s="1"/>
  <c r="BQ66" i="17"/>
  <c r="BO68" i="17"/>
  <c r="BJ67" i="17"/>
  <c r="BK67" i="17" s="1"/>
  <c r="BK66" i="17"/>
  <c r="BI68" i="17"/>
  <c r="AX67" i="17"/>
  <c r="AY67" i="17" s="1"/>
  <c r="BC68" i="17"/>
  <c r="BD67" i="17"/>
  <c r="AY66" i="17"/>
  <c r="AW68" i="17"/>
  <c r="AH66" i="7"/>
  <c r="AG67" i="7"/>
  <c r="AE68" i="7"/>
  <c r="AF68" i="7" s="1"/>
  <c r="AF67" i="7"/>
  <c r="CE68" i="17" l="1"/>
  <c r="CF67" i="17"/>
  <c r="CA69" i="17"/>
  <c r="CB68" i="17"/>
  <c r="BU69" i="17"/>
  <c r="BV68" i="17"/>
  <c r="BO69" i="17"/>
  <c r="BP68" i="17"/>
  <c r="BI69" i="17"/>
  <c r="BJ68" i="17"/>
  <c r="BD68" i="17"/>
  <c r="BE68" i="17" s="1"/>
  <c r="BE67" i="17"/>
  <c r="BC69" i="17"/>
  <c r="AW69" i="17"/>
  <c r="AX68" i="17"/>
  <c r="AE69" i="7"/>
  <c r="AF69" i="7" s="1"/>
  <c r="AH67" i="7"/>
  <c r="AG68" i="7"/>
  <c r="CB69" i="17" l="1"/>
  <c r="CC69" i="17" s="1"/>
  <c r="CF68" i="17"/>
  <c r="CG68" i="17" s="1"/>
  <c r="CG67" i="17"/>
  <c r="CE69" i="17"/>
  <c r="CC68" i="17"/>
  <c r="CA70" i="17"/>
  <c r="BV69" i="17"/>
  <c r="BW69" i="17" s="1"/>
  <c r="BJ69" i="17"/>
  <c r="BK69" i="17" s="1"/>
  <c r="BW68" i="17"/>
  <c r="BU70" i="17"/>
  <c r="BP69" i="17"/>
  <c r="BQ69" i="17" s="1"/>
  <c r="BQ68" i="17"/>
  <c r="BO70" i="17"/>
  <c r="BK68" i="17"/>
  <c r="BI70" i="17"/>
  <c r="BC70" i="17"/>
  <c r="BD69" i="17"/>
  <c r="AX69" i="17"/>
  <c r="AY69" i="17" s="1"/>
  <c r="AY68" i="17"/>
  <c r="AW70" i="17"/>
  <c r="AE70" i="7"/>
  <c r="AF70" i="7" s="1"/>
  <c r="AH68" i="7"/>
  <c r="AG69" i="7"/>
  <c r="CE70" i="17" l="1"/>
  <c r="CF69" i="17"/>
  <c r="CA71" i="17"/>
  <c r="CB70" i="17"/>
  <c r="BU71" i="17"/>
  <c r="BV70" i="17"/>
  <c r="BO71" i="17"/>
  <c r="BP70" i="17"/>
  <c r="BI71" i="17"/>
  <c r="BJ70" i="17"/>
  <c r="BD70" i="17"/>
  <c r="BE70" i="17" s="1"/>
  <c r="BE69" i="17"/>
  <c r="BC71" i="17"/>
  <c r="AW71" i="17"/>
  <c r="AX70" i="17"/>
  <c r="AH69" i="7"/>
  <c r="AG70" i="7"/>
  <c r="AE71" i="7"/>
  <c r="CF70" i="17" l="1"/>
  <c r="CG70" i="17" s="1"/>
  <c r="BV71" i="17"/>
  <c r="BW71" i="17" s="1"/>
  <c r="CG69" i="17"/>
  <c r="CE71" i="17"/>
  <c r="CB71" i="17"/>
  <c r="CC70" i="17"/>
  <c r="CA72" i="17"/>
  <c r="CC71" i="17"/>
  <c r="BW70" i="17"/>
  <c r="BU72" i="17"/>
  <c r="BP71" i="17"/>
  <c r="BQ71" i="17" s="1"/>
  <c r="BQ70" i="17"/>
  <c r="BO72" i="17"/>
  <c r="AX71" i="17"/>
  <c r="AY71" i="17" s="1"/>
  <c r="BJ71" i="17"/>
  <c r="BK71" i="17" s="1"/>
  <c r="BK70" i="17"/>
  <c r="BI72" i="17"/>
  <c r="BC72" i="17"/>
  <c r="BD71" i="17"/>
  <c r="AY70" i="17"/>
  <c r="AW72" i="17"/>
  <c r="AE72" i="7"/>
  <c r="AH70" i="7"/>
  <c r="AG71" i="7"/>
  <c r="AF71" i="7"/>
  <c r="CE72" i="17" l="1"/>
  <c r="CF71" i="17"/>
  <c r="BP72" i="17"/>
  <c r="CA73" i="17"/>
  <c r="CB72" i="17"/>
  <c r="BU73" i="17"/>
  <c r="BV72" i="17"/>
  <c r="BO73" i="17"/>
  <c r="BP73" i="17" s="1"/>
  <c r="BQ72" i="17"/>
  <c r="BI73" i="17"/>
  <c r="BJ72" i="17"/>
  <c r="BD72" i="17"/>
  <c r="BE72" i="17" s="1"/>
  <c r="BE71" i="17"/>
  <c r="BC73" i="17"/>
  <c r="AW73" i="17"/>
  <c r="AX72" i="17"/>
  <c r="AH71" i="7"/>
  <c r="AG72" i="7"/>
  <c r="AE73" i="7"/>
  <c r="AF72" i="7"/>
  <c r="CF72" i="17" l="1"/>
  <c r="CG72" i="17" s="1"/>
  <c r="CG71" i="17"/>
  <c r="CE73" i="17"/>
  <c r="CB73" i="17"/>
  <c r="CC73" i="17" s="1"/>
  <c r="CC72" i="17"/>
  <c r="CA74" i="17"/>
  <c r="BV73" i="17"/>
  <c r="BW73" i="17" s="1"/>
  <c r="BW72" i="17"/>
  <c r="BU74" i="17"/>
  <c r="AX73" i="17"/>
  <c r="AY73" i="17" s="1"/>
  <c r="BO74" i="17"/>
  <c r="BQ73" i="17"/>
  <c r="BJ73" i="17"/>
  <c r="BK73" i="17" s="1"/>
  <c r="BK72" i="17"/>
  <c r="BI74" i="17"/>
  <c r="BC74" i="17"/>
  <c r="BD73" i="17"/>
  <c r="AY72" i="17"/>
  <c r="AW74" i="17"/>
  <c r="AE74" i="7"/>
  <c r="AF74" i="7" s="1"/>
  <c r="AH72" i="7"/>
  <c r="AG73" i="7"/>
  <c r="AF73" i="7"/>
  <c r="CE74" i="17" l="1"/>
  <c r="CF73" i="17"/>
  <c r="CA75" i="17"/>
  <c r="CB74" i="17"/>
  <c r="BU75" i="17"/>
  <c r="BV74" i="17"/>
  <c r="BO75" i="17"/>
  <c r="BP74" i="17"/>
  <c r="BI75" i="17"/>
  <c r="BJ74" i="17"/>
  <c r="BD74" i="17"/>
  <c r="BE74" i="17" s="1"/>
  <c r="BE73" i="17"/>
  <c r="BC75" i="17"/>
  <c r="AW75" i="17"/>
  <c r="AX74" i="17"/>
  <c r="AH73" i="7"/>
  <c r="AG74" i="7"/>
  <c r="AE75" i="7"/>
  <c r="CB75" i="17" l="1"/>
  <c r="CC75" i="17" s="1"/>
  <c r="CF74" i="17"/>
  <c r="CG74" i="17" s="1"/>
  <c r="CG73" i="17"/>
  <c r="CE75" i="17"/>
  <c r="CC74" i="17"/>
  <c r="CA76" i="17"/>
  <c r="BV75" i="17"/>
  <c r="BW75" i="17" s="1"/>
  <c r="BP75" i="17"/>
  <c r="BQ75" i="17" s="1"/>
  <c r="BW74" i="17"/>
  <c r="BU76" i="17"/>
  <c r="BJ75" i="17"/>
  <c r="BK75" i="17" s="1"/>
  <c r="BQ74" i="17"/>
  <c r="BO76" i="17"/>
  <c r="BK74" i="17"/>
  <c r="BI76" i="17"/>
  <c r="BC76" i="17"/>
  <c r="BD75" i="17"/>
  <c r="AX75" i="17"/>
  <c r="AY75" i="17" s="1"/>
  <c r="AY74" i="17"/>
  <c r="AW76" i="17"/>
  <c r="AE76" i="7"/>
  <c r="AF75" i="7"/>
  <c r="AH74" i="7"/>
  <c r="AG75" i="7"/>
  <c r="CE76" i="17" l="1"/>
  <c r="CF75" i="17"/>
  <c r="CA77" i="17"/>
  <c r="CB76" i="17"/>
  <c r="BU77" i="17"/>
  <c r="BV76" i="17"/>
  <c r="BO77" i="17"/>
  <c r="BP76" i="17"/>
  <c r="BI77" i="17"/>
  <c r="BJ76" i="17"/>
  <c r="BD76" i="17"/>
  <c r="BE76" i="17" s="1"/>
  <c r="BE75" i="17"/>
  <c r="BC77" i="17"/>
  <c r="AW77" i="17"/>
  <c r="AX76" i="17"/>
  <c r="AE77" i="7"/>
  <c r="AF77" i="7" s="1"/>
  <c r="AH75" i="7"/>
  <c r="AG76" i="7"/>
  <c r="AF76" i="7"/>
  <c r="CF76" i="17" l="1"/>
  <c r="CG76" i="17" s="1"/>
  <c r="CG75" i="17"/>
  <c r="CE77" i="17"/>
  <c r="BV77" i="17"/>
  <c r="CB77" i="17"/>
  <c r="CC77" i="17" s="1"/>
  <c r="CC76" i="17"/>
  <c r="CA78" i="17"/>
  <c r="BW76" i="17"/>
  <c r="BU78" i="17"/>
  <c r="BW77" i="17"/>
  <c r="BP77" i="17"/>
  <c r="BQ77" i="17" s="1"/>
  <c r="BQ76" i="17"/>
  <c r="BO78" i="17"/>
  <c r="BJ77" i="17"/>
  <c r="BK77" i="17" s="1"/>
  <c r="BK76" i="17"/>
  <c r="BI78" i="17"/>
  <c r="BC78" i="17"/>
  <c r="BD77" i="17"/>
  <c r="BE77" i="17" s="1"/>
  <c r="AX77" i="17"/>
  <c r="AY77" i="17" s="1"/>
  <c r="AY76" i="17"/>
  <c r="AW78" i="17"/>
  <c r="AH76" i="7"/>
  <c r="AG77" i="7"/>
  <c r="AE78" i="7"/>
  <c r="AF78" i="7" s="1"/>
  <c r="CE78" i="17" l="1"/>
  <c r="CF77" i="17"/>
  <c r="CA79" i="17"/>
  <c r="CB78" i="17"/>
  <c r="BU79" i="17"/>
  <c r="BV78" i="17"/>
  <c r="BO79" i="17"/>
  <c r="BP78" i="17"/>
  <c r="BI79" i="17"/>
  <c r="BJ78" i="17"/>
  <c r="BD78" i="17"/>
  <c r="BE78" i="17" s="1"/>
  <c r="BC79" i="17"/>
  <c r="AW79" i="17"/>
  <c r="AX78" i="17"/>
  <c r="AE79" i="7"/>
  <c r="AH77" i="7"/>
  <c r="AG78" i="7"/>
  <c r="CF78" i="17" l="1"/>
  <c r="CG78" i="17" s="1"/>
  <c r="CG77" i="17"/>
  <c r="CE79" i="17"/>
  <c r="CB79" i="17"/>
  <c r="CC79" i="17" s="1"/>
  <c r="CC78" i="17"/>
  <c r="CA80" i="17"/>
  <c r="BV79" i="17"/>
  <c r="BW79" i="17" s="1"/>
  <c r="BW78" i="17"/>
  <c r="BU80" i="17"/>
  <c r="BP79" i="17"/>
  <c r="BQ79" i="17" s="1"/>
  <c r="BQ78" i="17"/>
  <c r="BO80" i="17"/>
  <c r="BJ79" i="17"/>
  <c r="BK79" i="17" s="1"/>
  <c r="BK78" i="17"/>
  <c r="BI80" i="17"/>
  <c r="BC80" i="17"/>
  <c r="BD79" i="17"/>
  <c r="AX79" i="17"/>
  <c r="AY79" i="17" s="1"/>
  <c r="AY78" i="17"/>
  <c r="AW80" i="17"/>
  <c r="AH78" i="7"/>
  <c r="AG79" i="7"/>
  <c r="AE80" i="7"/>
  <c r="AF80" i="7"/>
  <c r="AF79" i="7"/>
  <c r="CE80" i="17" l="1"/>
  <c r="CF79" i="17"/>
  <c r="CA81" i="17"/>
  <c r="CB80" i="17"/>
  <c r="BU81" i="17"/>
  <c r="BV80" i="17"/>
  <c r="BO81" i="17"/>
  <c r="BP80" i="17"/>
  <c r="BI81" i="17"/>
  <c r="BJ80" i="17"/>
  <c r="BD80" i="17"/>
  <c r="BE80" i="17" s="1"/>
  <c r="BE79" i="17"/>
  <c r="BC81" i="17"/>
  <c r="AW81" i="17"/>
  <c r="AX80" i="17"/>
  <c r="AE81" i="7"/>
  <c r="AH79" i="7"/>
  <c r="AG80" i="7"/>
  <c r="BV81" i="17" l="1"/>
  <c r="BW81" i="17" s="1"/>
  <c r="CB81" i="17"/>
  <c r="CC81" i="17" s="1"/>
  <c r="CF80" i="17"/>
  <c r="BP81" i="17"/>
  <c r="BQ81" i="17" s="1"/>
  <c r="CG79" i="17"/>
  <c r="CE81" i="17"/>
  <c r="CF81" i="17" s="1"/>
  <c r="CG80" i="17"/>
  <c r="CC80" i="17"/>
  <c r="CA82" i="17"/>
  <c r="BW80" i="17"/>
  <c r="BU82" i="17"/>
  <c r="BQ80" i="17"/>
  <c r="BO82" i="17"/>
  <c r="BJ81" i="17"/>
  <c r="BK81" i="17" s="1"/>
  <c r="BK80" i="17"/>
  <c r="BI82" i="17"/>
  <c r="BC82" i="17"/>
  <c r="BD81" i="17"/>
  <c r="AX81" i="17"/>
  <c r="AY81" i="17" s="1"/>
  <c r="AY80" i="17"/>
  <c r="AW82" i="17"/>
  <c r="AH80" i="7"/>
  <c r="AG81" i="7"/>
  <c r="AE82" i="7"/>
  <c r="AF82" i="7" s="1"/>
  <c r="AF81" i="7"/>
  <c r="CE82" i="17" l="1"/>
  <c r="CG81" i="17"/>
  <c r="CA83" i="17"/>
  <c r="CB82" i="17"/>
  <c r="BU83" i="17"/>
  <c r="BV82" i="17"/>
  <c r="BO83" i="17"/>
  <c r="BP82" i="17"/>
  <c r="BI83" i="17"/>
  <c r="BJ82" i="17"/>
  <c r="BD82" i="17"/>
  <c r="BE82" i="17" s="1"/>
  <c r="BE81" i="17"/>
  <c r="BC83" i="17"/>
  <c r="AW83" i="17"/>
  <c r="AX82" i="17"/>
  <c r="AE83" i="7"/>
  <c r="AH81" i="7"/>
  <c r="AG82" i="7"/>
  <c r="CE83" i="17" l="1"/>
  <c r="CF82" i="17"/>
  <c r="CB83" i="17"/>
  <c r="CC83" i="17" s="1"/>
  <c r="CC82" i="17"/>
  <c r="CA84" i="17"/>
  <c r="BV83" i="17"/>
  <c r="BW83" i="17" s="1"/>
  <c r="BW82" i="17"/>
  <c r="BU84" i="17"/>
  <c r="BP83" i="17"/>
  <c r="BQ83" i="17" s="1"/>
  <c r="BJ83" i="17"/>
  <c r="BK83" i="17" s="1"/>
  <c r="BQ82" i="17"/>
  <c r="BO84" i="17"/>
  <c r="BK82" i="17"/>
  <c r="BI84" i="17"/>
  <c r="BC84" i="17"/>
  <c r="BD83" i="17"/>
  <c r="AX83" i="17"/>
  <c r="AY83" i="17" s="1"/>
  <c r="AY82" i="17"/>
  <c r="AW84" i="17"/>
  <c r="AH82" i="7"/>
  <c r="AG83" i="7"/>
  <c r="AE84" i="7"/>
  <c r="AF83" i="7"/>
  <c r="CF83" i="17" l="1"/>
  <c r="CG83" i="17" s="1"/>
  <c r="CG82" i="17"/>
  <c r="CE84" i="17"/>
  <c r="CA85" i="17"/>
  <c r="CB84" i="17"/>
  <c r="BU85" i="17"/>
  <c r="BV84" i="17"/>
  <c r="BO85" i="17"/>
  <c r="BP84" i="17"/>
  <c r="BI85" i="17"/>
  <c r="BJ84" i="17"/>
  <c r="BD84" i="17"/>
  <c r="BE84" i="17" s="1"/>
  <c r="BE83" i="17"/>
  <c r="BC85" i="17"/>
  <c r="AW85" i="17"/>
  <c r="AX84" i="17"/>
  <c r="AE85" i="7"/>
  <c r="AF85" i="7" s="1"/>
  <c r="AH83" i="7"/>
  <c r="AG84" i="7"/>
  <c r="AF84" i="7"/>
  <c r="BV85" i="17" l="1"/>
  <c r="BW85" i="17" s="1"/>
  <c r="BP85" i="17"/>
  <c r="BQ85" i="17" s="1"/>
  <c r="CE85" i="17"/>
  <c r="CB85" i="17"/>
  <c r="CC85" i="17" s="1"/>
  <c r="CF84" i="17"/>
  <c r="CF85" i="17" s="1"/>
  <c r="CC84" i="17"/>
  <c r="CA86" i="17"/>
  <c r="BJ85" i="17"/>
  <c r="BK85" i="17" s="1"/>
  <c r="BW84" i="17"/>
  <c r="BU86" i="17"/>
  <c r="BQ84" i="17"/>
  <c r="BO86" i="17"/>
  <c r="BK84" i="17"/>
  <c r="BI86" i="17"/>
  <c r="BC86" i="17"/>
  <c r="BD85" i="17"/>
  <c r="AX85" i="17"/>
  <c r="AY85" i="17" s="1"/>
  <c r="AY84" i="17"/>
  <c r="AW86" i="17"/>
  <c r="AH84" i="7"/>
  <c r="AG85" i="7"/>
  <c r="AE86" i="7"/>
  <c r="CG84" i="17" l="1"/>
  <c r="CE86" i="17"/>
  <c r="CG85" i="17"/>
  <c r="CA87" i="17"/>
  <c r="CB86" i="17"/>
  <c r="BU87" i="17"/>
  <c r="BV86" i="17"/>
  <c r="BD86" i="17"/>
  <c r="BE86" i="17" s="1"/>
  <c r="BO87" i="17"/>
  <c r="BP86" i="17"/>
  <c r="BI87" i="17"/>
  <c r="BJ86" i="17"/>
  <c r="BE85" i="17"/>
  <c r="BC87" i="17"/>
  <c r="AW87" i="17"/>
  <c r="AX86" i="17"/>
  <c r="AE87" i="7"/>
  <c r="AF87" i="7" s="1"/>
  <c r="AH85" i="7"/>
  <c r="AG86" i="7"/>
  <c r="AF86" i="7"/>
  <c r="CB87" i="17" l="1"/>
  <c r="CC87" i="17" s="1"/>
  <c r="CE87" i="17"/>
  <c r="CF86" i="17"/>
  <c r="CC86" i="17"/>
  <c r="CA88" i="17"/>
  <c r="BV87" i="17"/>
  <c r="BW87" i="17" s="1"/>
  <c r="BW86" i="17"/>
  <c r="BU88" i="17"/>
  <c r="BJ87" i="17"/>
  <c r="BK87" i="17" s="1"/>
  <c r="BO88" i="17"/>
  <c r="BP87" i="17"/>
  <c r="BQ86" i="17"/>
  <c r="BK86" i="17"/>
  <c r="BI88" i="17"/>
  <c r="AX87" i="17"/>
  <c r="AY87" i="17" s="1"/>
  <c r="BC88" i="17"/>
  <c r="BD87" i="17"/>
  <c r="AY86" i="17"/>
  <c r="AW88" i="17"/>
  <c r="AH86" i="7"/>
  <c r="AG87" i="7"/>
  <c r="AE88" i="7"/>
  <c r="CF87" i="17" l="1"/>
  <c r="CG87" i="17" s="1"/>
  <c r="CG86" i="17"/>
  <c r="CE88" i="17"/>
  <c r="CA89" i="17"/>
  <c r="CB88" i="17"/>
  <c r="BU89" i="17"/>
  <c r="BV88" i="17"/>
  <c r="BP88" i="17"/>
  <c r="BQ88" i="17" s="1"/>
  <c r="BQ87" i="17"/>
  <c r="BO89" i="17"/>
  <c r="BI89" i="17"/>
  <c r="BJ88" i="17"/>
  <c r="BD88" i="17"/>
  <c r="BE88" i="17" s="1"/>
  <c r="BE87" i="17"/>
  <c r="BC89" i="17"/>
  <c r="AW89" i="17"/>
  <c r="AX88" i="17"/>
  <c r="AE89" i="7"/>
  <c r="AH87" i="7"/>
  <c r="AG88" i="7"/>
  <c r="AF88" i="7"/>
  <c r="CE89" i="17" l="1"/>
  <c r="CF88" i="17"/>
  <c r="CB89" i="17"/>
  <c r="CC89" i="17" s="1"/>
  <c r="CC88" i="17"/>
  <c r="CA90" i="17"/>
  <c r="BJ89" i="17"/>
  <c r="BK89" i="17" s="1"/>
  <c r="BV89" i="17"/>
  <c r="BW89" i="17" s="1"/>
  <c r="BW88" i="17"/>
  <c r="BU90" i="17"/>
  <c r="BO90" i="17"/>
  <c r="BP89" i="17"/>
  <c r="BK88" i="17"/>
  <c r="BI90" i="17"/>
  <c r="BC90" i="17"/>
  <c r="BD89" i="17"/>
  <c r="AX89" i="17"/>
  <c r="AY89" i="17" s="1"/>
  <c r="AY88" i="17"/>
  <c r="AW90" i="17"/>
  <c r="AH88" i="7"/>
  <c r="AG89" i="7"/>
  <c r="AE90" i="7"/>
  <c r="AF89" i="7"/>
  <c r="CF89" i="17" l="1"/>
  <c r="CG89" i="17" s="1"/>
  <c r="CG88" i="17"/>
  <c r="CE90" i="17"/>
  <c r="CA91" i="17"/>
  <c r="CB90" i="17"/>
  <c r="BU91" i="17"/>
  <c r="BV90" i="17"/>
  <c r="BP90" i="17"/>
  <c r="BQ90" i="17" s="1"/>
  <c r="BQ89" i="17"/>
  <c r="BO91" i="17"/>
  <c r="BI91" i="17"/>
  <c r="BJ90" i="17"/>
  <c r="BD90" i="17"/>
  <c r="BE90" i="17" s="1"/>
  <c r="BE89" i="17"/>
  <c r="BC91" i="17"/>
  <c r="AW91" i="17"/>
  <c r="AX90" i="17"/>
  <c r="AE91" i="7"/>
  <c r="AH89" i="7"/>
  <c r="AG90" i="7"/>
  <c r="AF90" i="7"/>
  <c r="BV91" i="17" l="1"/>
  <c r="BW91" i="17" s="1"/>
  <c r="CE91" i="17"/>
  <c r="CF90" i="17"/>
  <c r="CB91" i="17"/>
  <c r="CC91" i="17" s="1"/>
  <c r="CC90" i="17"/>
  <c r="CA92" i="17"/>
  <c r="BW90" i="17"/>
  <c r="BU92" i="17"/>
  <c r="BO92" i="17"/>
  <c r="BP91" i="17"/>
  <c r="BJ91" i="17"/>
  <c r="BK91" i="17" s="1"/>
  <c r="BK90" i="17"/>
  <c r="BI92" i="17"/>
  <c r="BC92" i="17"/>
  <c r="BD91" i="17"/>
  <c r="AX91" i="17"/>
  <c r="AY91" i="17" s="1"/>
  <c r="AY90" i="17"/>
  <c r="AW92" i="17"/>
  <c r="AH90" i="7"/>
  <c r="AG91" i="7"/>
  <c r="AE92" i="7"/>
  <c r="AF92" i="7"/>
  <c r="AF91" i="7"/>
  <c r="CF91" i="17" l="1"/>
  <c r="CG91" i="17" s="1"/>
  <c r="CG90" i="17"/>
  <c r="CE92" i="17"/>
  <c r="CA93" i="17"/>
  <c r="CB92" i="17"/>
  <c r="BU93" i="17"/>
  <c r="BV92" i="17"/>
  <c r="BP92" i="17"/>
  <c r="BQ92" i="17" s="1"/>
  <c r="BQ91" i="17"/>
  <c r="BO93" i="17"/>
  <c r="BI93" i="17"/>
  <c r="BJ92" i="17"/>
  <c r="BD92" i="17"/>
  <c r="BE92" i="17" s="1"/>
  <c r="BE91" i="17"/>
  <c r="BC93" i="17"/>
  <c r="AW93" i="17"/>
  <c r="AX92" i="17"/>
  <c r="AH91" i="7"/>
  <c r="AG92" i="7"/>
  <c r="AE93" i="7"/>
  <c r="BV93" i="17" l="1"/>
  <c r="BW93" i="17" s="1"/>
  <c r="CE93" i="17"/>
  <c r="CF92" i="17"/>
  <c r="CB93" i="17"/>
  <c r="CC93" i="17" s="1"/>
  <c r="CC92" i="17"/>
  <c r="CA94" i="17"/>
  <c r="BW92" i="17"/>
  <c r="BU94" i="17"/>
  <c r="BO94" i="17"/>
  <c r="BP93" i="17"/>
  <c r="BJ93" i="17"/>
  <c r="BK93" i="17" s="1"/>
  <c r="BK92" i="17"/>
  <c r="BI94" i="17"/>
  <c r="BC94" i="17"/>
  <c r="BD93" i="17"/>
  <c r="AX93" i="17"/>
  <c r="AY93" i="17" s="1"/>
  <c r="AY92" i="17"/>
  <c r="AW94" i="17"/>
  <c r="AE94" i="7"/>
  <c r="AF93" i="7"/>
  <c r="AH92" i="7"/>
  <c r="AG93" i="7"/>
  <c r="CF93" i="17" l="1"/>
  <c r="CG93" i="17" s="1"/>
  <c r="CG92" i="17"/>
  <c r="CE94" i="17"/>
  <c r="CA95" i="17"/>
  <c r="CB94" i="17"/>
  <c r="BU95" i="17"/>
  <c r="BV94" i="17"/>
  <c r="BP94" i="17"/>
  <c r="BQ94" i="17" s="1"/>
  <c r="BQ93" i="17"/>
  <c r="BO95" i="17"/>
  <c r="BI95" i="17"/>
  <c r="BJ94" i="17"/>
  <c r="BD94" i="17"/>
  <c r="BE94" i="17" s="1"/>
  <c r="BE93" i="17"/>
  <c r="BC95" i="17"/>
  <c r="AW95" i="17"/>
  <c r="AX94" i="17"/>
  <c r="AE95" i="7"/>
  <c r="AF95" i="7"/>
  <c r="AH93" i="7"/>
  <c r="AG94" i="7"/>
  <c r="AF94" i="7"/>
  <c r="CB95" i="17" l="1"/>
  <c r="CC95" i="17" s="1"/>
  <c r="BV95" i="17"/>
  <c r="BW95" i="17" s="1"/>
  <c r="CE95" i="17"/>
  <c r="CF94" i="17"/>
  <c r="CF95" i="17" s="1"/>
  <c r="CC94" i="17"/>
  <c r="CA96" i="17"/>
  <c r="BJ95" i="17"/>
  <c r="BK95" i="17" s="1"/>
  <c r="BW94" i="17"/>
  <c r="BU96" i="17"/>
  <c r="BO96" i="17"/>
  <c r="BP95" i="17"/>
  <c r="BK94" i="17"/>
  <c r="BI96" i="17"/>
  <c r="BC96" i="17"/>
  <c r="BD95" i="17"/>
  <c r="AX95" i="17"/>
  <c r="AY95" i="17" s="1"/>
  <c r="AY94" i="17"/>
  <c r="AW96" i="17"/>
  <c r="AH94" i="7"/>
  <c r="AG95" i="7"/>
  <c r="AE96" i="7"/>
  <c r="CG94" i="17" l="1"/>
  <c r="CE96" i="17"/>
  <c r="CG95" i="17"/>
  <c r="CA97" i="17"/>
  <c r="CB96" i="17"/>
  <c r="BU97" i="17"/>
  <c r="BV96" i="17"/>
  <c r="BD96" i="17"/>
  <c r="BE96" i="17" s="1"/>
  <c r="BP96" i="17"/>
  <c r="BQ96" i="17" s="1"/>
  <c r="BQ95" i="17"/>
  <c r="BO97" i="17"/>
  <c r="BI97" i="17"/>
  <c r="BJ96" i="17"/>
  <c r="BE95" i="17"/>
  <c r="BC97" i="17"/>
  <c r="AW97" i="17"/>
  <c r="AX96" i="17"/>
  <c r="AE97" i="7"/>
  <c r="AF97" i="7" s="1"/>
  <c r="AH95" i="7"/>
  <c r="AG96" i="7"/>
  <c r="AF96" i="7"/>
  <c r="CB97" i="17" l="1"/>
  <c r="CC97" i="17" s="1"/>
  <c r="CE97" i="17"/>
  <c r="CF96" i="17"/>
  <c r="CC96" i="17"/>
  <c r="CA98" i="17"/>
  <c r="BV97" i="17"/>
  <c r="BW97" i="17" s="1"/>
  <c r="BW96" i="17"/>
  <c r="BU98" i="17"/>
  <c r="BO98" i="17"/>
  <c r="BP97" i="17"/>
  <c r="BJ97" i="17"/>
  <c r="BK97" i="17" s="1"/>
  <c r="BK96" i="17"/>
  <c r="BI98" i="17"/>
  <c r="BC98" i="17"/>
  <c r="BD97" i="17"/>
  <c r="AX97" i="17"/>
  <c r="AY97" i="17" s="1"/>
  <c r="AY96" i="17"/>
  <c r="AW98" i="17"/>
  <c r="AG97" i="7"/>
  <c r="AH96" i="7"/>
  <c r="AE98" i="7"/>
  <c r="CF97" i="17" l="1"/>
  <c r="CG97" i="17" s="1"/>
  <c r="BP98" i="17"/>
  <c r="BQ98" i="17" s="1"/>
  <c r="CG96" i="17"/>
  <c r="CE98" i="17"/>
  <c r="CA99" i="17"/>
  <c r="CB98" i="17"/>
  <c r="BU99" i="17"/>
  <c r="BV98" i="17"/>
  <c r="BQ97" i="17"/>
  <c r="BO99" i="17"/>
  <c r="BI99" i="17"/>
  <c r="BJ98" i="17"/>
  <c r="BD98" i="17"/>
  <c r="BE97" i="17"/>
  <c r="BC99" i="17"/>
  <c r="AW99" i="17"/>
  <c r="AX98" i="17"/>
  <c r="AE99" i="7"/>
  <c r="AF98" i="7"/>
  <c r="AH97" i="7"/>
  <c r="AG98" i="7"/>
  <c r="CB99" i="17" l="1"/>
  <c r="CC99" i="17" s="1"/>
  <c r="CE99" i="17"/>
  <c r="CF98" i="17"/>
  <c r="CC98" i="17"/>
  <c r="CA100" i="17"/>
  <c r="BV99" i="17"/>
  <c r="BW99" i="17" s="1"/>
  <c r="BW98" i="17"/>
  <c r="BU100" i="17"/>
  <c r="BJ99" i="17"/>
  <c r="BK99" i="17" s="1"/>
  <c r="BO100" i="17"/>
  <c r="BP99" i="17"/>
  <c r="BK98" i="17"/>
  <c r="BI100" i="17"/>
  <c r="AX99" i="17"/>
  <c r="AY99" i="17" s="1"/>
  <c r="BD99" i="17"/>
  <c r="BE99" i="17" s="1"/>
  <c r="BE98" i="17"/>
  <c r="BC100" i="17"/>
  <c r="AY98" i="17"/>
  <c r="AW100" i="17"/>
  <c r="AH98" i="7"/>
  <c r="AG99" i="7"/>
  <c r="AE100" i="7"/>
  <c r="AF99" i="7"/>
  <c r="CF99" i="17" l="1"/>
  <c r="CG99" i="17" s="1"/>
  <c r="CG98" i="17"/>
  <c r="CE100" i="17"/>
  <c r="CA101" i="17"/>
  <c r="CB100" i="17"/>
  <c r="BU101" i="17"/>
  <c r="BD100" i="17"/>
  <c r="BE100" i="17" s="1"/>
  <c r="BV100" i="17"/>
  <c r="BP100" i="17"/>
  <c r="BQ100" i="17" s="1"/>
  <c r="BQ99" i="17"/>
  <c r="BO101" i="17"/>
  <c r="BI101" i="17"/>
  <c r="BJ100" i="17"/>
  <c r="BC101" i="17"/>
  <c r="AW101" i="17"/>
  <c r="AX100" i="17"/>
  <c r="AE101" i="7"/>
  <c r="AF100" i="7"/>
  <c r="AH99" i="7"/>
  <c r="AG100" i="7"/>
  <c r="CE101" i="17" l="1"/>
  <c r="CF100" i="17"/>
  <c r="CB101" i="17"/>
  <c r="CC100" i="17"/>
  <c r="CA102" i="17"/>
  <c r="CC101" i="17"/>
  <c r="BV101" i="17"/>
  <c r="BW101" i="17" s="1"/>
  <c r="BW100" i="17"/>
  <c r="BU102" i="17"/>
  <c r="BJ101" i="17"/>
  <c r="BK101" i="17" s="1"/>
  <c r="BO102" i="17"/>
  <c r="BP101" i="17"/>
  <c r="BK100" i="17"/>
  <c r="BI102" i="17"/>
  <c r="BC102" i="17"/>
  <c r="BD101" i="17"/>
  <c r="AX101" i="17"/>
  <c r="AY101" i="17" s="1"/>
  <c r="AY100" i="17"/>
  <c r="AW102" i="17"/>
  <c r="AH100" i="7"/>
  <c r="AG101" i="7"/>
  <c r="AE102" i="7"/>
  <c r="AF102" i="7" s="1"/>
  <c r="AF101" i="7"/>
  <c r="CF101" i="17" l="1"/>
  <c r="CG101" i="17" s="1"/>
  <c r="CG100" i="17"/>
  <c r="CE102" i="17"/>
  <c r="CA103" i="17"/>
  <c r="CB102" i="17"/>
  <c r="BV102" i="17"/>
  <c r="BW102" i="17" s="1"/>
  <c r="BU103" i="17"/>
  <c r="BD102" i="17"/>
  <c r="BE102" i="17" s="1"/>
  <c r="BP102" i="17"/>
  <c r="BQ102" i="17" s="1"/>
  <c r="BQ101" i="17"/>
  <c r="BO103" i="17"/>
  <c r="BI103" i="17"/>
  <c r="BJ102" i="17"/>
  <c r="BE101" i="17"/>
  <c r="BC103" i="17"/>
  <c r="AX102" i="17"/>
  <c r="AY102" i="17" s="1"/>
  <c r="AW103" i="17"/>
  <c r="AE103" i="7"/>
  <c r="AH101" i="7"/>
  <c r="AG102" i="7"/>
  <c r="CE103" i="17" l="1"/>
  <c r="CB103" i="17"/>
  <c r="CC103" i="17" s="1"/>
  <c r="CF102" i="17"/>
  <c r="BD103" i="17"/>
  <c r="BE103" i="17" s="1"/>
  <c r="CC102" i="17"/>
  <c r="CA104" i="17"/>
  <c r="BU104" i="17"/>
  <c r="BV103" i="17"/>
  <c r="BO104" i="17"/>
  <c r="BP103" i="17"/>
  <c r="BJ103" i="17"/>
  <c r="BK103" i="17" s="1"/>
  <c r="BK102" i="17"/>
  <c r="BI104" i="17"/>
  <c r="BC104" i="17"/>
  <c r="AW104" i="17"/>
  <c r="AX103" i="17"/>
  <c r="AH102" i="7"/>
  <c r="AG103" i="7"/>
  <c r="AE104" i="7"/>
  <c r="AF103" i="7"/>
  <c r="CF103" i="17" l="1"/>
  <c r="CG103" i="17" s="1"/>
  <c r="BD104" i="17"/>
  <c r="BE104" i="17" s="1"/>
  <c r="CG102" i="17"/>
  <c r="CE104" i="17"/>
  <c r="CA105" i="17"/>
  <c r="CB104" i="17"/>
  <c r="BJ104" i="17"/>
  <c r="BK104" i="17" s="1"/>
  <c r="BV104" i="17"/>
  <c r="BW104" i="17" s="1"/>
  <c r="BW103" i="17"/>
  <c r="BU105" i="17"/>
  <c r="BP104" i="17"/>
  <c r="BQ104" i="17" s="1"/>
  <c r="BQ103" i="17"/>
  <c r="BO105" i="17"/>
  <c r="BI105" i="17"/>
  <c r="AX104" i="17"/>
  <c r="AY104" i="17" s="1"/>
  <c r="BC105" i="17"/>
  <c r="AY103" i="17"/>
  <c r="AW105" i="17"/>
  <c r="AE105" i="7"/>
  <c r="AF104" i="7"/>
  <c r="AH103" i="7"/>
  <c r="AG104" i="7"/>
  <c r="CB105" i="17" l="1"/>
  <c r="CC105" i="17" s="1"/>
  <c r="CE105" i="17"/>
  <c r="CF104" i="17"/>
  <c r="CC104" i="17"/>
  <c r="CA106" i="17"/>
  <c r="BU106" i="17"/>
  <c r="BV105" i="17"/>
  <c r="BO106" i="17"/>
  <c r="BP105" i="17"/>
  <c r="BI106" i="17"/>
  <c r="BJ105" i="17"/>
  <c r="BC106" i="17"/>
  <c r="BD105" i="17"/>
  <c r="AW106" i="17"/>
  <c r="AX105" i="17"/>
  <c r="AE106" i="7"/>
  <c r="AH104" i="7"/>
  <c r="AG105" i="7"/>
  <c r="AF105" i="7"/>
  <c r="CF105" i="17" l="1"/>
  <c r="CG105" i="17" s="1"/>
  <c r="CG104" i="17"/>
  <c r="CE106" i="17"/>
  <c r="BP106" i="17"/>
  <c r="BQ106" i="17" s="1"/>
  <c r="CA107" i="17"/>
  <c r="CB106" i="17"/>
  <c r="BV106" i="17"/>
  <c r="BW106" i="17" s="1"/>
  <c r="BW105" i="17"/>
  <c r="BU107" i="17"/>
  <c r="BQ105" i="17"/>
  <c r="BO107" i="17"/>
  <c r="BJ106" i="17"/>
  <c r="BK106" i="17" s="1"/>
  <c r="BD106" i="17"/>
  <c r="BE106" i="17" s="1"/>
  <c r="BK105" i="17"/>
  <c r="BI107" i="17"/>
  <c r="AX106" i="17"/>
  <c r="AY106" i="17" s="1"/>
  <c r="BE105" i="17"/>
  <c r="BC107" i="17"/>
  <c r="AY105" i="17"/>
  <c r="AW107" i="17"/>
  <c r="AH105" i="7"/>
  <c r="AG106" i="7"/>
  <c r="AE107" i="7"/>
  <c r="AF106" i="7"/>
  <c r="CB107" i="17" l="1"/>
  <c r="CC107" i="17" s="1"/>
  <c r="CE107" i="17"/>
  <c r="CF106" i="17"/>
  <c r="BP107" i="17"/>
  <c r="BQ107" i="17" s="1"/>
  <c r="CC106" i="17"/>
  <c r="CA108" i="17"/>
  <c r="BU108" i="17"/>
  <c r="BV107" i="17"/>
  <c r="BO108" i="17"/>
  <c r="BI108" i="17"/>
  <c r="BJ107" i="17"/>
  <c r="BK107" i="17" s="1"/>
  <c r="BC108" i="17"/>
  <c r="BD107" i="17"/>
  <c r="AW108" i="17"/>
  <c r="AX107" i="17"/>
  <c r="AE108" i="7"/>
  <c r="AF107" i="7"/>
  <c r="AH106" i="7"/>
  <c r="AG107" i="7"/>
  <c r="CF107" i="17" l="1"/>
  <c r="CG107" i="17" s="1"/>
  <c r="CG106" i="17"/>
  <c r="CE108" i="17"/>
  <c r="CA109" i="17"/>
  <c r="CB108" i="17"/>
  <c r="CC108" i="17" s="1"/>
  <c r="BV108" i="17"/>
  <c r="BW108" i="17" s="1"/>
  <c r="BW107" i="17"/>
  <c r="BU109" i="17"/>
  <c r="BD108" i="17"/>
  <c r="BE108" i="17" s="1"/>
  <c r="BO109" i="17"/>
  <c r="BP108" i="17"/>
  <c r="BJ108" i="17"/>
  <c r="BK108" i="17" s="1"/>
  <c r="BI109" i="17"/>
  <c r="BE107" i="17"/>
  <c r="BC109" i="17"/>
  <c r="AX108" i="17"/>
  <c r="AY108" i="17" s="1"/>
  <c r="AY107" i="17"/>
  <c r="AW109" i="17"/>
  <c r="AH107" i="7"/>
  <c r="AG108" i="7"/>
  <c r="AE109" i="7"/>
  <c r="AF109" i="7" s="1"/>
  <c r="AF108" i="7"/>
  <c r="CE109" i="17" l="1"/>
  <c r="CF108" i="17"/>
  <c r="CB109" i="17"/>
  <c r="CC109" i="17" s="1"/>
  <c r="CA110" i="17"/>
  <c r="BU110" i="17"/>
  <c r="BV109" i="17"/>
  <c r="BP109" i="17"/>
  <c r="BQ109" i="17" s="1"/>
  <c r="BO110" i="17"/>
  <c r="BQ108" i="17"/>
  <c r="BI110" i="17"/>
  <c r="BJ109" i="17"/>
  <c r="BC110" i="17"/>
  <c r="BD109" i="17"/>
  <c r="AW110" i="17"/>
  <c r="AX109" i="17"/>
  <c r="AE110" i="7"/>
  <c r="AF110" i="7" s="1"/>
  <c r="AH108" i="7"/>
  <c r="AG109" i="7"/>
  <c r="CF109" i="17" l="1"/>
  <c r="CG109" i="17" s="1"/>
  <c r="CG108" i="17"/>
  <c r="CE110" i="17"/>
  <c r="CA111" i="17"/>
  <c r="CB110" i="17"/>
  <c r="BV110" i="17"/>
  <c r="BW110" i="17" s="1"/>
  <c r="BW109" i="17"/>
  <c r="BU111" i="17"/>
  <c r="BO111" i="17"/>
  <c r="BP110" i="17"/>
  <c r="BJ110" i="17"/>
  <c r="BK110" i="17" s="1"/>
  <c r="BK109" i="17"/>
  <c r="BI111" i="17"/>
  <c r="BD110" i="17"/>
  <c r="BE110" i="17" s="1"/>
  <c r="BE109" i="17"/>
  <c r="BC111" i="17"/>
  <c r="AX110" i="17"/>
  <c r="AY110" i="17" s="1"/>
  <c r="AY109" i="17"/>
  <c r="AW111" i="17"/>
  <c r="AH109" i="7"/>
  <c r="AG110" i="7"/>
  <c r="AE111" i="7"/>
  <c r="CB111" i="17" l="1"/>
  <c r="CC111" i="17" s="1"/>
  <c r="CE111" i="17"/>
  <c r="CF110" i="17"/>
  <c r="CC110" i="17"/>
  <c r="CA112" i="17"/>
  <c r="BP111" i="17"/>
  <c r="BU112" i="17"/>
  <c r="BV111" i="17"/>
  <c r="BQ110" i="17"/>
  <c r="BO112" i="17"/>
  <c r="BQ111" i="17"/>
  <c r="BI112" i="17"/>
  <c r="BJ111" i="17"/>
  <c r="BC112" i="17"/>
  <c r="BD111" i="17"/>
  <c r="AW112" i="17"/>
  <c r="AX111" i="17"/>
  <c r="AE112" i="7"/>
  <c r="AF111" i="7"/>
  <c r="AH110" i="7"/>
  <c r="AG111" i="7"/>
  <c r="CF111" i="17" l="1"/>
  <c r="CG111" i="17" s="1"/>
  <c r="CG110" i="17"/>
  <c r="CE112" i="17"/>
  <c r="CA113" i="17"/>
  <c r="CB112" i="17"/>
  <c r="BV112" i="17"/>
  <c r="BW112" i="17" s="1"/>
  <c r="BW111" i="17"/>
  <c r="BU113" i="17"/>
  <c r="BJ112" i="17"/>
  <c r="BK112" i="17" s="1"/>
  <c r="BO113" i="17"/>
  <c r="BP112" i="17"/>
  <c r="BK111" i="17"/>
  <c r="BI113" i="17"/>
  <c r="BD112" i="17"/>
  <c r="BE112" i="17" s="1"/>
  <c r="BE111" i="17"/>
  <c r="BC113" i="17"/>
  <c r="AX112" i="17"/>
  <c r="AY112" i="17" s="1"/>
  <c r="AY111" i="17"/>
  <c r="AW113" i="17"/>
  <c r="AE113" i="7"/>
  <c r="AF113" i="7" s="1"/>
  <c r="AH111" i="7"/>
  <c r="AG112" i="7"/>
  <c r="AF112" i="7"/>
  <c r="CB113" i="17" l="1"/>
  <c r="CC113" i="17" s="1"/>
  <c r="CE113" i="17"/>
  <c r="CF112" i="17"/>
  <c r="CC112" i="17"/>
  <c r="CA114" i="17"/>
  <c r="BP113" i="17"/>
  <c r="BQ113" i="17" s="1"/>
  <c r="BU114" i="17"/>
  <c r="BV113" i="17"/>
  <c r="BD113" i="17"/>
  <c r="BE113" i="17" s="1"/>
  <c r="BQ112" i="17"/>
  <c r="BO114" i="17"/>
  <c r="BI114" i="17"/>
  <c r="BJ113" i="17"/>
  <c r="BC114" i="17"/>
  <c r="AW114" i="17"/>
  <c r="AX113" i="17"/>
  <c r="AH112" i="7"/>
  <c r="AG113" i="7"/>
  <c r="AE114" i="7"/>
  <c r="AF114" i="7" s="1"/>
  <c r="CF113" i="17" l="1"/>
  <c r="CG113" i="17" s="1"/>
  <c r="CG112" i="17"/>
  <c r="CE114" i="17"/>
  <c r="CA115" i="17"/>
  <c r="BD114" i="17"/>
  <c r="BE114" i="17" s="1"/>
  <c r="CB114" i="17"/>
  <c r="BV114" i="17"/>
  <c r="BW114" i="17" s="1"/>
  <c r="BW113" i="17"/>
  <c r="BU115" i="17"/>
  <c r="BJ114" i="17"/>
  <c r="BK114" i="17" s="1"/>
  <c r="BO115" i="17"/>
  <c r="BP114" i="17"/>
  <c r="AX114" i="17"/>
  <c r="AY114" i="17" s="1"/>
  <c r="BK113" i="17"/>
  <c r="BI115" i="17"/>
  <c r="BC115" i="17"/>
  <c r="AY113" i="17"/>
  <c r="AW115" i="17"/>
  <c r="AE115" i="7"/>
  <c r="AH113" i="7"/>
  <c r="AG114" i="7"/>
  <c r="CB115" i="17" l="1"/>
  <c r="CC115" i="17" s="1"/>
  <c r="CE115" i="17"/>
  <c r="CF114" i="17"/>
  <c r="BD115" i="17"/>
  <c r="BE115" i="17" s="1"/>
  <c r="CC114" i="17"/>
  <c r="CA116" i="17"/>
  <c r="BP115" i="17"/>
  <c r="BQ115" i="17" s="1"/>
  <c r="BU116" i="17"/>
  <c r="BV115" i="17"/>
  <c r="BQ114" i="17"/>
  <c r="BO116" i="17"/>
  <c r="BI116" i="17"/>
  <c r="BJ115" i="17"/>
  <c r="BC116" i="17"/>
  <c r="AW116" i="17"/>
  <c r="AX115" i="17"/>
  <c r="AH114" i="7"/>
  <c r="AG115" i="7"/>
  <c r="AE116" i="7"/>
  <c r="AF115" i="7"/>
  <c r="CF115" i="17" l="1"/>
  <c r="CG115" i="17" s="1"/>
  <c r="BD116" i="17"/>
  <c r="BE116" i="17" s="1"/>
  <c r="CG114" i="17"/>
  <c r="CE116" i="17"/>
  <c r="BV116" i="17"/>
  <c r="BW116" i="17" s="1"/>
  <c r="CA117" i="17"/>
  <c r="CB116" i="17"/>
  <c r="BW115" i="17"/>
  <c r="BU117" i="17"/>
  <c r="BO117" i="17"/>
  <c r="BP116" i="17"/>
  <c r="BJ116" i="17"/>
  <c r="BK116" i="17" s="1"/>
  <c r="BK115" i="17"/>
  <c r="BI117" i="17"/>
  <c r="BC117" i="17"/>
  <c r="AX116" i="17"/>
  <c r="AY116" i="17" s="1"/>
  <c r="AY115" i="17"/>
  <c r="AW117" i="17"/>
  <c r="AE117" i="7"/>
  <c r="AH115" i="7"/>
  <c r="AG116" i="7"/>
  <c r="AF116" i="7"/>
  <c r="CF116" i="17" l="1"/>
  <c r="CG116" i="17" s="1"/>
  <c r="CB117" i="17"/>
  <c r="CC117" i="17" s="1"/>
  <c r="CE117" i="17"/>
  <c r="CC116" i="17"/>
  <c r="CA118" i="17"/>
  <c r="BU118" i="17"/>
  <c r="BV117" i="17"/>
  <c r="BP117" i="17"/>
  <c r="BQ117" i="17" s="1"/>
  <c r="BQ116" i="17"/>
  <c r="BO118" i="17"/>
  <c r="BI118" i="17"/>
  <c r="BJ117" i="17"/>
  <c r="BC118" i="17"/>
  <c r="BD117" i="17"/>
  <c r="AW118" i="17"/>
  <c r="AX117" i="17"/>
  <c r="AE118" i="7"/>
  <c r="AH116" i="7"/>
  <c r="AG117" i="7"/>
  <c r="AF117" i="7"/>
  <c r="CE118" i="17" l="1"/>
  <c r="CF117" i="17"/>
  <c r="CA119" i="17"/>
  <c r="CB118" i="17"/>
  <c r="BV118" i="17"/>
  <c r="BW118" i="17" s="1"/>
  <c r="BJ118" i="17"/>
  <c r="BK118" i="17" s="1"/>
  <c r="BW117" i="17"/>
  <c r="BU119" i="17"/>
  <c r="BO119" i="17"/>
  <c r="BP118" i="17"/>
  <c r="AX118" i="17"/>
  <c r="AY118" i="17" s="1"/>
  <c r="BK117" i="17"/>
  <c r="BD118" i="17"/>
  <c r="BE118" i="17" s="1"/>
  <c r="BI119" i="17"/>
  <c r="BE117" i="17"/>
  <c r="BC119" i="17"/>
  <c r="AY117" i="17"/>
  <c r="AW119" i="17"/>
  <c r="AH117" i="7"/>
  <c r="AG118" i="7"/>
  <c r="AE119" i="7"/>
  <c r="AF118" i="7"/>
  <c r="CB119" i="17" l="1"/>
  <c r="CC119" i="17" s="1"/>
  <c r="CF118" i="17"/>
  <c r="CG118" i="17" s="1"/>
  <c r="CG117" i="17"/>
  <c r="CE119" i="17"/>
  <c r="CC118" i="17"/>
  <c r="CA120" i="17"/>
  <c r="BP119" i="17"/>
  <c r="BQ119" i="17" s="1"/>
  <c r="BU120" i="17"/>
  <c r="BD119" i="17"/>
  <c r="BE119" i="17" s="1"/>
  <c r="BV119" i="17"/>
  <c r="BQ118" i="17"/>
  <c r="BO120" i="17"/>
  <c r="BI120" i="17"/>
  <c r="BJ119" i="17"/>
  <c r="BC120" i="17"/>
  <c r="AW120" i="17"/>
  <c r="AX119" i="17"/>
  <c r="AE120" i="7"/>
  <c r="AF120" i="7" s="1"/>
  <c r="AF119" i="7"/>
  <c r="AH118" i="7"/>
  <c r="AG119" i="7"/>
  <c r="CE120" i="17" l="1"/>
  <c r="CF119" i="17"/>
  <c r="CA121" i="17"/>
  <c r="CB120" i="17"/>
  <c r="BV120" i="17"/>
  <c r="BW120" i="17" s="1"/>
  <c r="BW119" i="17"/>
  <c r="BU121" i="17"/>
  <c r="BO121" i="17"/>
  <c r="BP120" i="17"/>
  <c r="BJ120" i="17"/>
  <c r="BK120" i="17" s="1"/>
  <c r="BK119" i="17"/>
  <c r="BI121" i="17"/>
  <c r="AX120" i="17"/>
  <c r="AY120" i="17" s="1"/>
  <c r="BC121" i="17"/>
  <c r="BD120" i="17"/>
  <c r="AY119" i="17"/>
  <c r="AW121" i="17"/>
  <c r="AH119" i="7"/>
  <c r="AG120" i="7"/>
  <c r="AE121" i="7"/>
  <c r="CF120" i="17" l="1"/>
  <c r="CG120" i="17" s="1"/>
  <c r="CG119" i="17"/>
  <c r="BJ121" i="17"/>
  <c r="BK121" i="17" s="1"/>
  <c r="CE121" i="17"/>
  <c r="CB121" i="17"/>
  <c r="CC121" i="17" s="1"/>
  <c r="CC120" i="17"/>
  <c r="CA122" i="17"/>
  <c r="BU122" i="17"/>
  <c r="BV121" i="17"/>
  <c r="BP121" i="17"/>
  <c r="BQ121" i="17" s="1"/>
  <c r="BQ120" i="17"/>
  <c r="BO122" i="17"/>
  <c r="BI122" i="17"/>
  <c r="BD121" i="17"/>
  <c r="BE121" i="17" s="1"/>
  <c r="BE120" i="17"/>
  <c r="BC122" i="17"/>
  <c r="AW122" i="17"/>
  <c r="AX121" i="17"/>
  <c r="AE122" i="7"/>
  <c r="AH120" i="7"/>
  <c r="AG121" i="7"/>
  <c r="AF121" i="7"/>
  <c r="BJ122" i="17" l="1"/>
  <c r="BK122" i="17" s="1"/>
  <c r="CE122" i="17"/>
  <c r="CF121" i="17"/>
  <c r="CA123" i="17"/>
  <c r="CB122" i="17"/>
  <c r="BV122" i="17"/>
  <c r="BW122" i="17" s="1"/>
  <c r="BW121" i="17"/>
  <c r="BU123" i="17"/>
  <c r="BV123" i="17" s="1"/>
  <c r="BO123" i="17"/>
  <c r="BP122" i="17"/>
  <c r="BI123" i="17"/>
  <c r="BC123" i="17"/>
  <c r="BD122" i="17"/>
  <c r="AX122" i="17"/>
  <c r="AY122" i="17" s="1"/>
  <c r="AY121" i="17"/>
  <c r="AW123" i="17"/>
  <c r="AH121" i="7"/>
  <c r="AG122" i="7"/>
  <c r="AE123" i="7"/>
  <c r="AF123" i="7" s="1"/>
  <c r="AF122" i="7"/>
  <c r="CF122" i="17" l="1"/>
  <c r="CG122" i="17" s="1"/>
  <c r="CG121" i="17"/>
  <c r="CE123" i="17"/>
  <c r="CB123" i="17"/>
  <c r="CC122" i="17"/>
  <c r="CA124" i="17"/>
  <c r="CC123" i="17"/>
  <c r="BP123" i="17"/>
  <c r="BQ123" i="17" s="1"/>
  <c r="BU124" i="17"/>
  <c r="BW123" i="17"/>
  <c r="BQ122" i="17"/>
  <c r="BO124" i="17"/>
  <c r="BI124" i="17"/>
  <c r="BJ123" i="17"/>
  <c r="BD123" i="17"/>
  <c r="BE123" i="17" s="1"/>
  <c r="BE122" i="17"/>
  <c r="BC124" i="17"/>
  <c r="AW124" i="17"/>
  <c r="AX123" i="17"/>
  <c r="AE124" i="7"/>
  <c r="AH122" i="7"/>
  <c r="AG123" i="7"/>
  <c r="CF123" i="17" l="1"/>
  <c r="CG123" i="17" s="1"/>
  <c r="CE124" i="17"/>
  <c r="CA125" i="17"/>
  <c r="CB124" i="17"/>
  <c r="BU125" i="17"/>
  <c r="BV124" i="17"/>
  <c r="BO125" i="17"/>
  <c r="BP124" i="17"/>
  <c r="BJ124" i="17"/>
  <c r="BK124" i="17" s="1"/>
  <c r="BK123" i="17"/>
  <c r="BI125" i="17"/>
  <c r="BC125" i="17"/>
  <c r="BD124" i="17"/>
  <c r="AX124" i="17"/>
  <c r="AY124" i="17" s="1"/>
  <c r="AY123" i="17"/>
  <c r="AW125" i="17"/>
  <c r="AH123" i="7"/>
  <c r="AG124" i="7"/>
  <c r="AE125" i="7"/>
  <c r="AF124" i="7"/>
  <c r="CF124" i="17" l="1"/>
  <c r="CG124" i="17" s="1"/>
  <c r="BV125" i="17"/>
  <c r="BW125" i="17" s="1"/>
  <c r="CE125" i="17"/>
  <c r="CB125" i="17"/>
  <c r="CC125" i="17" s="1"/>
  <c r="CC124" i="17"/>
  <c r="CA126" i="17"/>
  <c r="BW124" i="17"/>
  <c r="BU126" i="17"/>
  <c r="BP125" i="17"/>
  <c r="BQ125" i="17" s="1"/>
  <c r="BQ124" i="17"/>
  <c r="BO126" i="17"/>
  <c r="BI126" i="17"/>
  <c r="BJ125" i="17"/>
  <c r="BD125" i="17"/>
  <c r="BE125" i="17" s="1"/>
  <c r="BE124" i="17"/>
  <c r="BC126" i="17"/>
  <c r="AW126" i="17"/>
  <c r="AX125" i="17"/>
  <c r="AE126" i="7"/>
  <c r="AH124" i="7"/>
  <c r="AG125" i="7"/>
  <c r="AF125" i="7"/>
  <c r="CF125" i="17" l="1"/>
  <c r="CG125" i="17" s="1"/>
  <c r="CE126" i="17"/>
  <c r="CA127" i="17"/>
  <c r="CB126" i="17"/>
  <c r="BU127" i="17"/>
  <c r="BV126" i="17"/>
  <c r="BP126" i="17"/>
  <c r="BQ126" i="17" s="1"/>
  <c r="BO127" i="17"/>
  <c r="BJ126" i="17"/>
  <c r="BK126" i="17" s="1"/>
  <c r="BK125" i="17"/>
  <c r="BI127" i="17"/>
  <c r="BC127" i="17"/>
  <c r="BD126" i="17"/>
  <c r="AX126" i="17"/>
  <c r="AY126" i="17" s="1"/>
  <c r="AY125" i="17"/>
  <c r="AW127" i="17"/>
  <c r="AH125" i="7"/>
  <c r="AG126" i="7"/>
  <c r="AE127" i="7"/>
  <c r="AF127" i="7" s="1"/>
  <c r="AF126" i="7"/>
  <c r="CF126" i="17" l="1"/>
  <c r="CG126" i="17" s="1"/>
  <c r="CB127" i="17"/>
  <c r="CC127" i="17" s="1"/>
  <c r="CE127" i="17"/>
  <c r="CC126" i="17"/>
  <c r="CA128" i="17"/>
  <c r="BV127" i="17"/>
  <c r="BW127" i="17" s="1"/>
  <c r="BW126" i="17"/>
  <c r="BU128" i="17"/>
  <c r="BO128" i="17"/>
  <c r="BP127" i="17"/>
  <c r="BI128" i="17"/>
  <c r="BJ127" i="17"/>
  <c r="BD127" i="17"/>
  <c r="BE127" i="17" s="1"/>
  <c r="BE126" i="17"/>
  <c r="BC128" i="17"/>
  <c r="AW128" i="17"/>
  <c r="AX127" i="17"/>
  <c r="AE128" i="7"/>
  <c r="AH126" i="7"/>
  <c r="AG127" i="7"/>
  <c r="BV128" i="17" l="1"/>
  <c r="BW128" i="17" s="1"/>
  <c r="CE128" i="17"/>
  <c r="CF127" i="17"/>
  <c r="CA129" i="17"/>
  <c r="CB128" i="17"/>
  <c r="BU129" i="17"/>
  <c r="BP128" i="17"/>
  <c r="BQ128" i="17" s="1"/>
  <c r="BQ127" i="17"/>
  <c r="BO129" i="17"/>
  <c r="BJ128" i="17"/>
  <c r="BK128" i="17" s="1"/>
  <c r="BK127" i="17"/>
  <c r="BI129" i="17"/>
  <c r="BC129" i="17"/>
  <c r="BD128" i="17"/>
  <c r="AX128" i="17"/>
  <c r="AY128" i="17" s="1"/>
  <c r="AY127" i="17"/>
  <c r="AW129" i="17"/>
  <c r="AH127" i="7"/>
  <c r="AG128" i="7"/>
  <c r="AE129" i="7"/>
  <c r="AF129" i="7" s="1"/>
  <c r="AF128" i="7"/>
  <c r="BV129" i="17" l="1"/>
  <c r="BW129" i="17" s="1"/>
  <c r="CF128" i="17"/>
  <c r="CG128" i="17" s="1"/>
  <c r="CB129" i="17"/>
  <c r="CC129" i="17" s="1"/>
  <c r="CG127" i="17"/>
  <c r="CE129" i="17"/>
  <c r="CC128" i="17"/>
  <c r="CA130" i="17"/>
  <c r="BU130" i="17"/>
  <c r="BO130" i="17"/>
  <c r="BP129" i="17"/>
  <c r="BD129" i="17"/>
  <c r="BE129" i="17" s="1"/>
  <c r="BI130" i="17"/>
  <c r="BJ129" i="17"/>
  <c r="BE128" i="17"/>
  <c r="BC130" i="17"/>
  <c r="AW130" i="17"/>
  <c r="AX129" i="17"/>
  <c r="AE130" i="7"/>
  <c r="AF130" i="7" s="1"/>
  <c r="AH128" i="7"/>
  <c r="AG129" i="7"/>
  <c r="CE130" i="17" l="1"/>
  <c r="CF129" i="17"/>
  <c r="CA131" i="17"/>
  <c r="CB130" i="17"/>
  <c r="BP130" i="17"/>
  <c r="BQ130" i="17" s="1"/>
  <c r="BU131" i="17"/>
  <c r="BV130" i="17"/>
  <c r="BQ129" i="17"/>
  <c r="BO131" i="17"/>
  <c r="BJ130" i="17"/>
  <c r="BK130" i="17" s="1"/>
  <c r="BK129" i="17"/>
  <c r="BI131" i="17"/>
  <c r="BC131" i="17"/>
  <c r="BD130" i="17"/>
  <c r="AX130" i="17"/>
  <c r="AY130" i="17" s="1"/>
  <c r="AY129" i="17"/>
  <c r="AW131" i="17"/>
  <c r="AH129" i="7"/>
  <c r="AG130" i="7"/>
  <c r="AE131" i="7"/>
  <c r="AF131" i="7" s="1"/>
  <c r="BP131" i="17" l="1"/>
  <c r="BQ131" i="17" s="1"/>
  <c r="CF130" i="17"/>
  <c r="CG130" i="17" s="1"/>
  <c r="CB131" i="17"/>
  <c r="CC131" i="17" s="1"/>
  <c r="CG129" i="17"/>
  <c r="CE131" i="17"/>
  <c r="BV131" i="17"/>
  <c r="CC130" i="17"/>
  <c r="CA132" i="17"/>
  <c r="BD131" i="17"/>
  <c r="BE131" i="17" s="1"/>
  <c r="BW130" i="17"/>
  <c r="BU132" i="17"/>
  <c r="BW131" i="17"/>
  <c r="BO132" i="17"/>
  <c r="BI132" i="17"/>
  <c r="BJ131" i="17"/>
  <c r="BE130" i="17"/>
  <c r="BC132" i="17"/>
  <c r="AW132" i="17"/>
  <c r="AX131" i="17"/>
  <c r="AE132" i="7"/>
  <c r="AH130" i="7"/>
  <c r="AG131" i="7"/>
  <c r="BP132" i="17" l="1"/>
  <c r="BQ132" i="17" s="1"/>
  <c r="CB132" i="17"/>
  <c r="CC132" i="17" s="1"/>
  <c r="CE132" i="17"/>
  <c r="CF131" i="17"/>
  <c r="CA133" i="17"/>
  <c r="BJ132" i="17"/>
  <c r="BK132" i="17" s="1"/>
  <c r="BU133" i="17"/>
  <c r="BV132" i="17"/>
  <c r="BO133" i="17"/>
  <c r="BK131" i="17"/>
  <c r="BI133" i="17"/>
  <c r="BC133" i="17"/>
  <c r="BD132" i="17"/>
  <c r="AW133" i="17"/>
  <c r="AX132" i="17"/>
  <c r="AY131" i="17"/>
  <c r="AE133" i="7"/>
  <c r="AH131" i="7"/>
  <c r="AG132" i="7"/>
  <c r="AF132" i="7"/>
  <c r="CF132" i="17" l="1"/>
  <c r="CG132" i="17" s="1"/>
  <c r="CG131" i="17"/>
  <c r="CE133" i="17"/>
  <c r="BV133" i="17"/>
  <c r="CA134" i="17"/>
  <c r="CB133" i="17"/>
  <c r="BW132" i="17"/>
  <c r="BU134" i="17"/>
  <c r="BW133" i="17"/>
  <c r="BO134" i="17"/>
  <c r="BP133" i="17"/>
  <c r="BI134" i="17"/>
  <c r="BJ133" i="17"/>
  <c r="AX133" i="17"/>
  <c r="AY133" i="17" s="1"/>
  <c r="BD133" i="17"/>
  <c r="BE133" i="17" s="1"/>
  <c r="BE132" i="17"/>
  <c r="BC134" i="17"/>
  <c r="AY132" i="17"/>
  <c r="AW134" i="17"/>
  <c r="AH132" i="7"/>
  <c r="AG133" i="7"/>
  <c r="AE134" i="7"/>
  <c r="AF133" i="7"/>
  <c r="CF133" i="17" l="1"/>
  <c r="CG133" i="17" s="1"/>
  <c r="CE134" i="17"/>
  <c r="CB134" i="17"/>
  <c r="CC133" i="17"/>
  <c r="CA135" i="17"/>
  <c r="CB135" i="17" s="1"/>
  <c r="CC134" i="17"/>
  <c r="BP134" i="17"/>
  <c r="BQ134" i="17" s="1"/>
  <c r="BU135" i="17"/>
  <c r="BV134" i="17"/>
  <c r="BQ133" i="17"/>
  <c r="BJ134" i="17"/>
  <c r="BK134" i="17" s="1"/>
  <c r="BO135" i="17"/>
  <c r="BK133" i="17"/>
  <c r="BI135" i="17"/>
  <c r="BC135" i="17"/>
  <c r="BD134" i="17"/>
  <c r="BE134" i="17" s="1"/>
  <c r="AW135" i="17"/>
  <c r="AX134" i="17"/>
  <c r="AE135" i="7"/>
  <c r="AF134" i="7"/>
  <c r="AH133" i="7"/>
  <c r="AG134" i="7"/>
  <c r="CF134" i="17" l="1"/>
  <c r="CG134" i="17" s="1"/>
  <c r="BV135" i="17"/>
  <c r="BW135" i="17" s="1"/>
  <c r="CE135" i="17"/>
  <c r="CA136" i="17"/>
  <c r="CC135" i="17"/>
  <c r="BW134" i="17"/>
  <c r="BU136" i="17"/>
  <c r="BO136" i="17"/>
  <c r="BP135" i="17"/>
  <c r="BI136" i="17"/>
  <c r="BJ135" i="17"/>
  <c r="BD135" i="17"/>
  <c r="BE135" i="17" s="1"/>
  <c r="BC136" i="17"/>
  <c r="AX135" i="17"/>
  <c r="AY135" i="17" s="1"/>
  <c r="AY134" i="17"/>
  <c r="AW136" i="17"/>
  <c r="AH134" i="7"/>
  <c r="AG135" i="7"/>
  <c r="AE136" i="7"/>
  <c r="AF135" i="7"/>
  <c r="BV136" i="17" l="1"/>
  <c r="BW136" i="17" s="1"/>
  <c r="CE136" i="17"/>
  <c r="CF135" i="17"/>
  <c r="CA137" i="17"/>
  <c r="CB136" i="17"/>
  <c r="BU137" i="17"/>
  <c r="BP136" i="17"/>
  <c r="BQ136" i="17" s="1"/>
  <c r="BQ135" i="17"/>
  <c r="BO137" i="17"/>
  <c r="BJ136" i="17"/>
  <c r="BK136" i="17" s="1"/>
  <c r="BK135" i="17"/>
  <c r="BI137" i="17"/>
  <c r="BC137" i="17"/>
  <c r="BD136" i="17"/>
  <c r="AW137" i="17"/>
  <c r="AX136" i="17"/>
  <c r="AE137" i="7"/>
  <c r="AF136" i="7"/>
  <c r="AH135" i="7"/>
  <c r="AG136" i="7"/>
  <c r="BV137" i="17" l="1"/>
  <c r="BW137" i="17" s="1"/>
  <c r="CF136" i="17"/>
  <c r="CG136" i="17" s="1"/>
  <c r="CB137" i="17"/>
  <c r="CG135" i="17"/>
  <c r="CE137" i="17"/>
  <c r="CC136" i="17"/>
  <c r="CA138" i="17"/>
  <c r="CC137" i="17"/>
  <c r="BU138" i="17"/>
  <c r="AX137" i="17"/>
  <c r="AY137" i="17" s="1"/>
  <c r="BO138" i="17"/>
  <c r="BP137" i="17"/>
  <c r="BD137" i="17"/>
  <c r="BE137" i="17" s="1"/>
  <c r="BI138" i="17"/>
  <c r="BJ137" i="17"/>
  <c r="BE136" i="17"/>
  <c r="BC138" i="17"/>
  <c r="AY136" i="17"/>
  <c r="AW138" i="17"/>
  <c r="AH136" i="7"/>
  <c r="AG137" i="7"/>
  <c r="AE138" i="7"/>
  <c r="AF138" i="7" s="1"/>
  <c r="AF137" i="7"/>
  <c r="CE138" i="17" l="1"/>
  <c r="CF137" i="17"/>
  <c r="CA139" i="17"/>
  <c r="CB138" i="17"/>
  <c r="BP138" i="17"/>
  <c r="BQ138" i="17" s="1"/>
  <c r="BU139" i="17"/>
  <c r="BV138" i="17"/>
  <c r="BJ138" i="17"/>
  <c r="BK138" i="17" s="1"/>
  <c r="BQ137" i="17"/>
  <c r="BO139" i="17"/>
  <c r="BK137" i="17"/>
  <c r="BI139" i="17"/>
  <c r="BC139" i="17"/>
  <c r="BD138" i="17"/>
  <c r="AW139" i="17"/>
  <c r="AX138" i="17"/>
  <c r="AE139" i="7"/>
  <c r="AH137" i="7"/>
  <c r="AG138" i="7"/>
  <c r="BP139" i="17" l="1"/>
  <c r="BQ139" i="17" s="1"/>
  <c r="CF138" i="17"/>
  <c r="CG138" i="17" s="1"/>
  <c r="CG137" i="17"/>
  <c r="CE139" i="17"/>
  <c r="BV139" i="17"/>
  <c r="CB139" i="17"/>
  <c r="CC139" i="17" s="1"/>
  <c r="CC138" i="17"/>
  <c r="CA140" i="17"/>
  <c r="BW138" i="17"/>
  <c r="BU140" i="17"/>
  <c r="BW139" i="17"/>
  <c r="BO140" i="17"/>
  <c r="BI140" i="17"/>
  <c r="BJ139" i="17"/>
  <c r="BD139" i="17"/>
  <c r="BE139" i="17" s="1"/>
  <c r="BE138" i="17"/>
  <c r="BC140" i="17"/>
  <c r="AW140" i="17"/>
  <c r="AX139" i="17"/>
  <c r="AY138" i="17"/>
  <c r="AH138" i="7"/>
  <c r="AG139" i="7"/>
  <c r="AE140" i="7"/>
  <c r="AF139" i="7"/>
  <c r="CE140" i="17" l="1"/>
  <c r="CF139" i="17"/>
  <c r="BJ140" i="17"/>
  <c r="BK140" i="17" s="1"/>
  <c r="CA141" i="17"/>
  <c r="CB140" i="17"/>
  <c r="BU141" i="17"/>
  <c r="BV140" i="17"/>
  <c r="BO141" i="17"/>
  <c r="BP140" i="17"/>
  <c r="BK139" i="17"/>
  <c r="BI141" i="17"/>
  <c r="AX140" i="17"/>
  <c r="AY140" i="17" s="1"/>
  <c r="BC141" i="17"/>
  <c r="BD140" i="17"/>
  <c r="AY139" i="17"/>
  <c r="AW141" i="17"/>
  <c r="AE141" i="7"/>
  <c r="AF140" i="7"/>
  <c r="AH139" i="7"/>
  <c r="AG140" i="7"/>
  <c r="CF140" i="17" l="1"/>
  <c r="CG140" i="17" s="1"/>
  <c r="CB141" i="17"/>
  <c r="CC141" i="17" s="1"/>
  <c r="CG139" i="17"/>
  <c r="CE141" i="17"/>
  <c r="CC140" i="17"/>
  <c r="CA142" i="17"/>
  <c r="BP141" i="17"/>
  <c r="BQ141" i="17" s="1"/>
  <c r="BV141" i="17"/>
  <c r="BW141" i="17" s="1"/>
  <c r="BW140" i="17"/>
  <c r="BU142" i="17"/>
  <c r="BQ140" i="17"/>
  <c r="BO142" i="17"/>
  <c r="BI142" i="17"/>
  <c r="BJ141" i="17"/>
  <c r="BD141" i="17"/>
  <c r="BE141" i="17" s="1"/>
  <c r="BE140" i="17"/>
  <c r="BC142" i="17"/>
  <c r="AW142" i="17"/>
  <c r="AX141" i="17"/>
  <c r="AH140" i="7"/>
  <c r="AG141" i="7"/>
  <c r="AE142" i="7"/>
  <c r="AF141" i="7"/>
  <c r="CE142" i="17" l="1"/>
  <c r="CF141" i="17"/>
  <c r="CA143" i="17"/>
  <c r="CB142" i="17"/>
  <c r="BJ142" i="17"/>
  <c r="BK142" i="17" s="1"/>
  <c r="BU143" i="17"/>
  <c r="BV142" i="17"/>
  <c r="BO143" i="17"/>
  <c r="BP142" i="17"/>
  <c r="BK141" i="17"/>
  <c r="BI143" i="17"/>
  <c r="BJ143" i="17" s="1"/>
  <c r="AX142" i="17"/>
  <c r="AY142" i="17" s="1"/>
  <c r="BC143" i="17"/>
  <c r="BD142" i="17"/>
  <c r="AY141" i="17"/>
  <c r="AW143" i="17"/>
  <c r="AH141" i="7"/>
  <c r="AG142" i="7"/>
  <c r="AE143" i="7"/>
  <c r="AF143" i="7" s="1"/>
  <c r="AF142" i="7"/>
  <c r="CF142" i="17" l="1"/>
  <c r="CG142" i="17" s="1"/>
  <c r="CG141" i="17"/>
  <c r="CE143" i="17"/>
  <c r="CB143" i="17"/>
  <c r="BP143" i="17"/>
  <c r="BQ143" i="17" s="1"/>
  <c r="CC142" i="17"/>
  <c r="BV143" i="17"/>
  <c r="BW143" i="17" s="1"/>
  <c r="CA144" i="17"/>
  <c r="CC143" i="17"/>
  <c r="BW142" i="17"/>
  <c r="BU144" i="17"/>
  <c r="BQ142" i="17"/>
  <c r="BO144" i="17"/>
  <c r="BI144" i="17"/>
  <c r="BK143" i="17"/>
  <c r="BD143" i="17"/>
  <c r="BE143" i="17" s="1"/>
  <c r="BE142" i="17"/>
  <c r="BC144" i="17"/>
  <c r="AW144" i="17"/>
  <c r="AX143" i="17"/>
  <c r="AH142" i="7"/>
  <c r="AG143" i="7"/>
  <c r="AE144" i="7"/>
  <c r="CE144" i="17" l="1"/>
  <c r="CF143" i="17"/>
  <c r="CA145" i="17"/>
  <c r="CB144" i="17"/>
  <c r="BU145" i="17"/>
  <c r="BV144" i="17"/>
  <c r="BO145" i="17"/>
  <c r="BP144" i="17"/>
  <c r="BI145" i="17"/>
  <c r="BJ144" i="17"/>
  <c r="BC145" i="17"/>
  <c r="BD144" i="17"/>
  <c r="AX144" i="17"/>
  <c r="AY144" i="17" s="1"/>
  <c r="AY143" i="17"/>
  <c r="AW145" i="17"/>
  <c r="AE145" i="7"/>
  <c r="AF144" i="7"/>
  <c r="AH143" i="7"/>
  <c r="AG144" i="7"/>
  <c r="CF144" i="17" l="1"/>
  <c r="CG144" i="17" s="1"/>
  <c r="CG143" i="17"/>
  <c r="CE145" i="17"/>
  <c r="CB145" i="17"/>
  <c r="CC145" i="17" s="1"/>
  <c r="CC144" i="17"/>
  <c r="CA146" i="17"/>
  <c r="BV145" i="17"/>
  <c r="BW145" i="17" s="1"/>
  <c r="BP145" i="17"/>
  <c r="BQ145" i="17" s="1"/>
  <c r="BW144" i="17"/>
  <c r="BU146" i="17"/>
  <c r="BV146" i="17" s="1"/>
  <c r="BQ144" i="17"/>
  <c r="BO146" i="17"/>
  <c r="BJ145" i="17"/>
  <c r="BK145" i="17" s="1"/>
  <c r="BK144" i="17"/>
  <c r="BI146" i="17"/>
  <c r="BD145" i="17"/>
  <c r="BE145" i="17" s="1"/>
  <c r="BE144" i="17"/>
  <c r="BC146" i="17"/>
  <c r="AW146" i="17"/>
  <c r="AX145" i="17"/>
  <c r="AH144" i="7"/>
  <c r="AG145" i="7"/>
  <c r="AE146" i="7"/>
  <c r="AF146" i="7" s="1"/>
  <c r="AF145" i="7"/>
  <c r="CF145" i="17" l="1"/>
  <c r="CE146" i="17"/>
  <c r="CA147" i="17"/>
  <c r="CB146" i="17"/>
  <c r="BU147" i="17"/>
  <c r="BW146" i="17"/>
  <c r="BO147" i="17"/>
  <c r="BP146" i="17"/>
  <c r="BI147" i="17"/>
  <c r="BJ146" i="17"/>
  <c r="BC147" i="17"/>
  <c r="BD146" i="17"/>
  <c r="AX146" i="17"/>
  <c r="AY146" i="17" s="1"/>
  <c r="AY145" i="17"/>
  <c r="AW147" i="17"/>
  <c r="AE147" i="7"/>
  <c r="AH145" i="7"/>
  <c r="AG146" i="7"/>
  <c r="CF146" i="17" l="1"/>
  <c r="CG146" i="17" s="1"/>
  <c r="CB147" i="17"/>
  <c r="CC147" i="17" s="1"/>
  <c r="CG145" i="17"/>
  <c r="CE147" i="17"/>
  <c r="CC146" i="17"/>
  <c r="CA148" i="17"/>
  <c r="BU148" i="17"/>
  <c r="BV147" i="17"/>
  <c r="BP147" i="17"/>
  <c r="BQ147" i="17" s="1"/>
  <c r="BQ146" i="17"/>
  <c r="BO148" i="17"/>
  <c r="BJ147" i="17"/>
  <c r="BK147" i="17" s="1"/>
  <c r="BK146" i="17"/>
  <c r="BI148" i="17"/>
  <c r="BD147" i="17"/>
  <c r="BE147" i="17" s="1"/>
  <c r="BE146" i="17"/>
  <c r="BC148" i="17"/>
  <c r="AW148" i="17"/>
  <c r="AX147" i="17"/>
  <c r="AH146" i="7"/>
  <c r="AG147" i="7"/>
  <c r="AE148" i="7"/>
  <c r="AF147" i="7"/>
  <c r="BV148" i="17" l="1"/>
  <c r="BW148" i="17" s="1"/>
  <c r="CE148" i="17"/>
  <c r="CF147" i="17"/>
  <c r="CA149" i="17"/>
  <c r="CB148" i="17"/>
  <c r="BW147" i="17"/>
  <c r="BU149" i="17"/>
  <c r="BO149" i="17"/>
  <c r="BP148" i="17"/>
  <c r="BI149" i="17"/>
  <c r="BJ148" i="17"/>
  <c r="BC149" i="17"/>
  <c r="BD148" i="17"/>
  <c r="AX148" i="17"/>
  <c r="AY148" i="17" s="1"/>
  <c r="AY147" i="17"/>
  <c r="AW149" i="17"/>
  <c r="AE149" i="7"/>
  <c r="AF148" i="7"/>
  <c r="AH147" i="7"/>
  <c r="AG148" i="7"/>
  <c r="CB149" i="17" l="1"/>
  <c r="CC149" i="17" s="1"/>
  <c r="CF148" i="17"/>
  <c r="CG148" i="17" s="1"/>
  <c r="CG147" i="17"/>
  <c r="CE149" i="17"/>
  <c r="CC148" i="17"/>
  <c r="CA150" i="17"/>
  <c r="BP149" i="17"/>
  <c r="BQ149" i="17" s="1"/>
  <c r="BU150" i="17"/>
  <c r="BV149" i="17"/>
  <c r="BW149" i="17" s="1"/>
  <c r="BD149" i="17"/>
  <c r="BE149" i="17" s="1"/>
  <c r="BQ148" i="17"/>
  <c r="BJ149" i="17"/>
  <c r="BK149" i="17" s="1"/>
  <c r="BO150" i="17"/>
  <c r="BK148" i="17"/>
  <c r="BI150" i="17"/>
  <c r="BE148" i="17"/>
  <c r="BC150" i="17"/>
  <c r="AW150" i="17"/>
  <c r="AX149" i="17"/>
  <c r="AH148" i="7"/>
  <c r="AG149" i="7"/>
  <c r="AE150" i="7"/>
  <c r="AF149" i="7"/>
  <c r="CE150" i="17" l="1"/>
  <c r="CF149" i="17"/>
  <c r="CA151" i="17"/>
  <c r="CB150" i="17"/>
  <c r="BV150" i="17"/>
  <c r="BU151" i="17"/>
  <c r="BO151" i="17"/>
  <c r="BP150" i="17"/>
  <c r="BI151" i="17"/>
  <c r="BJ150" i="17"/>
  <c r="BC151" i="17"/>
  <c r="BD150" i="17"/>
  <c r="AX150" i="17"/>
  <c r="AY150" i="17" s="1"/>
  <c r="AY149" i="17"/>
  <c r="AW151" i="17"/>
  <c r="AE151" i="7"/>
  <c r="AF150" i="7"/>
  <c r="AH149" i="7"/>
  <c r="AG150" i="7"/>
  <c r="CB151" i="17" l="1"/>
  <c r="CC151" i="17" s="1"/>
  <c r="CF150" i="17"/>
  <c r="CG150" i="17" s="1"/>
  <c r="CG149" i="17"/>
  <c r="CE151" i="17"/>
  <c r="CC150" i="17"/>
  <c r="CA152" i="17"/>
  <c r="BV151" i="17"/>
  <c r="BW151" i="17" s="1"/>
  <c r="BW150" i="17"/>
  <c r="BP151" i="17"/>
  <c r="BQ151" i="17" s="1"/>
  <c r="BU152" i="17"/>
  <c r="BQ150" i="17"/>
  <c r="BO152" i="17"/>
  <c r="BJ151" i="17"/>
  <c r="BK151" i="17" s="1"/>
  <c r="BD151" i="17"/>
  <c r="BE151" i="17" s="1"/>
  <c r="BK150" i="17"/>
  <c r="BI152" i="17"/>
  <c r="BE150" i="17"/>
  <c r="BC152" i="17"/>
  <c r="AW152" i="17"/>
  <c r="AX151" i="17"/>
  <c r="AE152" i="7"/>
  <c r="AH150" i="7"/>
  <c r="AG151" i="7"/>
  <c r="AF151" i="7"/>
  <c r="BV152" i="17" l="1"/>
  <c r="BW152" i="17" s="1"/>
  <c r="CE152" i="17"/>
  <c r="CF151" i="17"/>
  <c r="CA153" i="17"/>
  <c r="CB152" i="17"/>
  <c r="BU153" i="17"/>
  <c r="BO153" i="17"/>
  <c r="BP152" i="17"/>
  <c r="BI153" i="17"/>
  <c r="BJ152" i="17"/>
  <c r="BC153" i="17"/>
  <c r="BD152" i="17"/>
  <c r="AX152" i="17"/>
  <c r="AY152" i="17" s="1"/>
  <c r="AY151" i="17"/>
  <c r="AW153" i="17"/>
  <c r="AE153" i="7"/>
  <c r="AH151" i="7"/>
  <c r="AG152" i="7"/>
  <c r="AF152" i="7"/>
  <c r="BV153" i="17" l="1"/>
  <c r="BW153" i="17" s="1"/>
  <c r="CB153" i="17"/>
  <c r="CC153" i="17" s="1"/>
  <c r="CF152" i="17"/>
  <c r="CG152" i="17" s="1"/>
  <c r="CG151" i="17"/>
  <c r="CE153" i="17"/>
  <c r="CC152" i="17"/>
  <c r="CA154" i="17"/>
  <c r="BU154" i="17"/>
  <c r="BJ153" i="17"/>
  <c r="BK153" i="17" s="1"/>
  <c r="BP153" i="17"/>
  <c r="BQ153" i="17" s="1"/>
  <c r="BQ152" i="17"/>
  <c r="BO154" i="17"/>
  <c r="BD153" i="17"/>
  <c r="BE153" i="17" s="1"/>
  <c r="BK152" i="17"/>
  <c r="BI154" i="17"/>
  <c r="BE152" i="17"/>
  <c r="BC154" i="17"/>
  <c r="AW154" i="17"/>
  <c r="AX153" i="17"/>
  <c r="AH152" i="7"/>
  <c r="AG153" i="7"/>
  <c r="AE154" i="7"/>
  <c r="AF153" i="7"/>
  <c r="CF153" i="17" l="1"/>
  <c r="CG153" i="17" s="1"/>
  <c r="CE154" i="17"/>
  <c r="CA155" i="17"/>
  <c r="CB154" i="17"/>
  <c r="BU155" i="17"/>
  <c r="BV154" i="17"/>
  <c r="BO155" i="17"/>
  <c r="BP154" i="17"/>
  <c r="AX154" i="17"/>
  <c r="AY154" i="17" s="1"/>
  <c r="BI155" i="17"/>
  <c r="BJ154" i="17"/>
  <c r="BC155" i="17"/>
  <c r="BD154" i="17"/>
  <c r="AY153" i="17"/>
  <c r="AW155" i="17"/>
  <c r="AE155" i="7"/>
  <c r="AF155" i="7" s="1"/>
  <c r="AF154" i="7"/>
  <c r="AH153" i="7"/>
  <c r="AG154" i="7"/>
  <c r="CB155" i="17" l="1"/>
  <c r="CC155" i="17" s="1"/>
  <c r="CE155" i="17"/>
  <c r="CF154" i="17"/>
  <c r="CC154" i="17"/>
  <c r="CA156" i="17"/>
  <c r="BV155" i="17"/>
  <c r="BW155" i="17" s="1"/>
  <c r="BP155" i="17"/>
  <c r="BQ155" i="17" s="1"/>
  <c r="BW154" i="17"/>
  <c r="BU156" i="17"/>
  <c r="BJ155" i="17"/>
  <c r="BK155" i="17" s="1"/>
  <c r="BD155" i="17"/>
  <c r="BE155" i="17" s="1"/>
  <c r="BQ154" i="17"/>
  <c r="BO156" i="17"/>
  <c r="BK154" i="17"/>
  <c r="BI156" i="17"/>
  <c r="BE154" i="17"/>
  <c r="BC156" i="17"/>
  <c r="AW156" i="17"/>
  <c r="AX155" i="17"/>
  <c r="AH154" i="7"/>
  <c r="AG155" i="7"/>
  <c r="AE156" i="7"/>
  <c r="AF156" i="7" s="1"/>
  <c r="CF155" i="17" l="1"/>
  <c r="CG155" i="17" s="1"/>
  <c r="CG154" i="17"/>
  <c r="CE156" i="17"/>
  <c r="CA157" i="17"/>
  <c r="CB156" i="17"/>
  <c r="BU157" i="17"/>
  <c r="BV156" i="17"/>
  <c r="BO157" i="17"/>
  <c r="BP156" i="17"/>
  <c r="BI157" i="17"/>
  <c r="BJ156" i="17"/>
  <c r="BC157" i="17"/>
  <c r="BD156" i="17"/>
  <c r="AX156" i="17"/>
  <c r="AY156" i="17" s="1"/>
  <c r="AY155" i="17"/>
  <c r="AW157" i="17"/>
  <c r="AH155" i="7"/>
  <c r="AG156" i="7"/>
  <c r="AE157" i="7"/>
  <c r="AF157" i="7" s="1"/>
  <c r="CB157" i="17" l="1"/>
  <c r="CC157" i="17" s="1"/>
  <c r="CE157" i="17"/>
  <c r="CF156" i="17"/>
  <c r="BV157" i="17"/>
  <c r="CC156" i="17"/>
  <c r="CA158" i="17"/>
  <c r="BW156" i="17"/>
  <c r="BU158" i="17"/>
  <c r="BW157" i="17"/>
  <c r="BJ157" i="17"/>
  <c r="BK157" i="17" s="1"/>
  <c r="BP157" i="17"/>
  <c r="BQ157" i="17" s="1"/>
  <c r="BQ156" i="17"/>
  <c r="BO158" i="17"/>
  <c r="BD157" i="17"/>
  <c r="BE157" i="17" s="1"/>
  <c r="BK156" i="17"/>
  <c r="BI158" i="17"/>
  <c r="BE156" i="17"/>
  <c r="BC158" i="17"/>
  <c r="AW158" i="17"/>
  <c r="AX157" i="17"/>
  <c r="AE158" i="7"/>
  <c r="AF158" i="7" s="1"/>
  <c r="AH156" i="7"/>
  <c r="AG157" i="7"/>
  <c r="CF157" i="17" l="1"/>
  <c r="CG157" i="17" s="1"/>
  <c r="CG156" i="17"/>
  <c r="CE158" i="17"/>
  <c r="CA159" i="17"/>
  <c r="CB158" i="17"/>
  <c r="BU159" i="17"/>
  <c r="BV158" i="17"/>
  <c r="BO159" i="17"/>
  <c r="BP158" i="17"/>
  <c r="BI159" i="17"/>
  <c r="BJ158" i="17"/>
  <c r="BC159" i="17"/>
  <c r="BD158" i="17"/>
  <c r="AX158" i="17"/>
  <c r="AY158" i="17" s="1"/>
  <c r="AY157" i="17"/>
  <c r="AW159" i="17"/>
  <c r="AH157" i="7"/>
  <c r="AG158" i="7"/>
  <c r="AE159" i="7"/>
  <c r="AF159" i="7"/>
  <c r="CB159" i="17" l="1"/>
  <c r="CC159" i="17" s="1"/>
  <c r="CE159" i="17"/>
  <c r="CF158" i="17"/>
  <c r="CC158" i="17"/>
  <c r="CA160" i="17"/>
  <c r="BV159" i="17"/>
  <c r="BW159" i="17" s="1"/>
  <c r="BW158" i="17"/>
  <c r="BU160" i="17"/>
  <c r="BP159" i="17"/>
  <c r="BQ159" i="17" s="1"/>
  <c r="BQ158" i="17"/>
  <c r="BO160" i="17"/>
  <c r="BJ159" i="17"/>
  <c r="BK159" i="17" s="1"/>
  <c r="BD159" i="17"/>
  <c r="BE159" i="17" s="1"/>
  <c r="BK158" i="17"/>
  <c r="BI160" i="17"/>
  <c r="BE158" i="17"/>
  <c r="BC160" i="17"/>
  <c r="AW160" i="17"/>
  <c r="AX159" i="17"/>
  <c r="AE160" i="7"/>
  <c r="AF160" i="7" s="1"/>
  <c r="AH158" i="7"/>
  <c r="AG159" i="7"/>
  <c r="CF159" i="17" l="1"/>
  <c r="CG159" i="17" s="1"/>
  <c r="CG158" i="17"/>
  <c r="CE160" i="17"/>
  <c r="CA161" i="17"/>
  <c r="CB160" i="17"/>
  <c r="BU161" i="17"/>
  <c r="BV160" i="17"/>
  <c r="BO161" i="17"/>
  <c r="BP160" i="17"/>
  <c r="BI161" i="17"/>
  <c r="BJ160" i="17"/>
  <c r="BC161" i="17"/>
  <c r="BD160" i="17"/>
  <c r="AX160" i="17"/>
  <c r="AY160" i="17" s="1"/>
  <c r="AY159" i="17"/>
  <c r="AW161" i="17"/>
  <c r="AH159" i="7"/>
  <c r="AG160" i="7"/>
  <c r="AE161" i="7"/>
  <c r="AF161" i="7" s="1"/>
  <c r="BP161" i="17" l="1"/>
  <c r="BQ161" i="17" s="1"/>
  <c r="CE161" i="17"/>
  <c r="CF160" i="17"/>
  <c r="CB161" i="17"/>
  <c r="CC160" i="17"/>
  <c r="CA162" i="17"/>
  <c r="CC161" i="17"/>
  <c r="BV161" i="17"/>
  <c r="BW161" i="17" s="1"/>
  <c r="BW160" i="17"/>
  <c r="BU162" i="17"/>
  <c r="BQ160" i="17"/>
  <c r="BO162" i="17"/>
  <c r="BD161" i="17"/>
  <c r="BE161" i="17" s="1"/>
  <c r="BJ161" i="17"/>
  <c r="BK161" i="17" s="1"/>
  <c r="BK160" i="17"/>
  <c r="BI162" i="17"/>
  <c r="BE160" i="17"/>
  <c r="BC162" i="17"/>
  <c r="AW162" i="17"/>
  <c r="AX161" i="17"/>
  <c r="AE162" i="7"/>
  <c r="AF162" i="7"/>
  <c r="AG161" i="7"/>
  <c r="AH160" i="7"/>
  <c r="CF161" i="17" l="1"/>
  <c r="CG161" i="17" s="1"/>
  <c r="CG160" i="17"/>
  <c r="CE162" i="17"/>
  <c r="CA163" i="17"/>
  <c r="CB162" i="17"/>
  <c r="BU163" i="17"/>
  <c r="BV162" i="17"/>
  <c r="BO163" i="17"/>
  <c r="BP162" i="17"/>
  <c r="BI163" i="17"/>
  <c r="BJ162" i="17"/>
  <c r="BC163" i="17"/>
  <c r="BD162" i="17"/>
  <c r="AX162" i="17"/>
  <c r="AY162" i="17" s="1"/>
  <c r="AY161" i="17"/>
  <c r="AW163" i="17"/>
  <c r="AG162" i="7"/>
  <c r="AH161" i="7"/>
  <c r="AE163" i="7"/>
  <c r="CB163" i="17" l="1"/>
  <c r="CC163" i="17" s="1"/>
  <c r="BP163" i="17"/>
  <c r="BQ163" i="17" s="1"/>
  <c r="BV163" i="17"/>
  <c r="CE163" i="17"/>
  <c r="CF162" i="17"/>
  <c r="CC162" i="17"/>
  <c r="CA164" i="17"/>
  <c r="BW162" i="17"/>
  <c r="BU164" i="17"/>
  <c r="BW163" i="17"/>
  <c r="BJ163" i="17"/>
  <c r="BK163" i="17" s="1"/>
  <c r="BQ162" i="17"/>
  <c r="BO164" i="17"/>
  <c r="BK162" i="17"/>
  <c r="BI164" i="17"/>
  <c r="BD163" i="17"/>
  <c r="BE163" i="17" s="1"/>
  <c r="BE162" i="17"/>
  <c r="BC164" i="17"/>
  <c r="AW164" i="17"/>
  <c r="AX163" i="17"/>
  <c r="AE164" i="7"/>
  <c r="AF164" i="7"/>
  <c r="AF163" i="7"/>
  <c r="AH162" i="7"/>
  <c r="AG163" i="7"/>
  <c r="CB164" i="17" l="1"/>
  <c r="CC164" i="17" s="1"/>
  <c r="CF163" i="17"/>
  <c r="CG163" i="17" s="1"/>
  <c r="CG162" i="17"/>
  <c r="CE164" i="17"/>
  <c r="CA165" i="17"/>
  <c r="BU165" i="17"/>
  <c r="BV164" i="17"/>
  <c r="BO165" i="17"/>
  <c r="BP164" i="17"/>
  <c r="BI165" i="17"/>
  <c r="BJ164" i="17"/>
  <c r="BC165" i="17"/>
  <c r="BD164" i="17"/>
  <c r="AX164" i="17"/>
  <c r="AY164" i="17" s="1"/>
  <c r="AY163" i="17"/>
  <c r="AW165" i="17"/>
  <c r="AG164" i="7"/>
  <c r="AH163" i="7"/>
  <c r="AE165" i="7"/>
  <c r="AF165" i="7" s="1"/>
  <c r="BV165" i="17" l="1"/>
  <c r="BW165" i="17" s="1"/>
  <c r="CE165" i="17"/>
  <c r="CF164" i="17"/>
  <c r="CA166" i="17"/>
  <c r="CB165" i="17"/>
  <c r="BW164" i="17"/>
  <c r="BJ165" i="17"/>
  <c r="BK165" i="17" s="1"/>
  <c r="BU166" i="17"/>
  <c r="BP165" i="17"/>
  <c r="BQ165" i="17" s="1"/>
  <c r="BQ164" i="17"/>
  <c r="BO166" i="17"/>
  <c r="BK164" i="17"/>
  <c r="BI166" i="17"/>
  <c r="BD165" i="17"/>
  <c r="BE165" i="17" s="1"/>
  <c r="BE164" i="17"/>
  <c r="BC166" i="17"/>
  <c r="AW166" i="17"/>
  <c r="AX165" i="17"/>
  <c r="AE166" i="7"/>
  <c r="AF166" i="7" s="1"/>
  <c r="AG165" i="7"/>
  <c r="AH164" i="7"/>
  <c r="CF165" i="17" l="1"/>
  <c r="CG165" i="17" s="1"/>
  <c r="CB166" i="17"/>
  <c r="CC166" i="17" s="1"/>
  <c r="CG164" i="17"/>
  <c r="CE166" i="17"/>
  <c r="CC165" i="17"/>
  <c r="CA167" i="17"/>
  <c r="BU167" i="17"/>
  <c r="BV166" i="17"/>
  <c r="BO167" i="17"/>
  <c r="BP166" i="17"/>
  <c r="BI167" i="17"/>
  <c r="BJ166" i="17"/>
  <c r="BC167" i="17"/>
  <c r="BD166" i="17"/>
  <c r="AX166" i="17"/>
  <c r="AY166" i="17" s="1"/>
  <c r="AY165" i="17"/>
  <c r="AW167" i="17"/>
  <c r="AH165" i="7"/>
  <c r="AG166" i="7"/>
  <c r="AE167" i="7"/>
  <c r="AF167" i="7"/>
  <c r="CB167" i="17" l="1"/>
  <c r="CC167" i="17" s="1"/>
  <c r="CE167" i="17"/>
  <c r="CF166" i="17"/>
  <c r="BP167" i="17"/>
  <c r="BQ167" i="17" s="1"/>
  <c r="BV167" i="17"/>
  <c r="BW167" i="17" s="1"/>
  <c r="CA168" i="17"/>
  <c r="BW166" i="17"/>
  <c r="BU168" i="17"/>
  <c r="BJ167" i="17"/>
  <c r="BK167" i="17" s="1"/>
  <c r="BQ166" i="17"/>
  <c r="BO168" i="17"/>
  <c r="BK166" i="17"/>
  <c r="BI168" i="17"/>
  <c r="BD167" i="17"/>
  <c r="BE167" i="17" s="1"/>
  <c r="AX167" i="17"/>
  <c r="AY167" i="17" s="1"/>
  <c r="BE166" i="17"/>
  <c r="BC168" i="17"/>
  <c r="AW168" i="17"/>
  <c r="AE168" i="7"/>
  <c r="AF168" i="7"/>
  <c r="AG167" i="7"/>
  <c r="AH166" i="7"/>
  <c r="CF167" i="17" l="1"/>
  <c r="CG167" i="17" s="1"/>
  <c r="CG166" i="17"/>
  <c r="CE168" i="17"/>
  <c r="CA169" i="17"/>
  <c r="CB168" i="17"/>
  <c r="BU169" i="17"/>
  <c r="BV168" i="17"/>
  <c r="BO169" i="17"/>
  <c r="BP168" i="17"/>
  <c r="BI169" i="17"/>
  <c r="BJ168" i="17"/>
  <c r="AX168" i="17"/>
  <c r="AY168" i="17" s="1"/>
  <c r="BC169" i="17"/>
  <c r="BD168" i="17"/>
  <c r="AW169" i="17"/>
  <c r="AG168" i="7"/>
  <c r="AH167" i="7"/>
  <c r="AE169" i="7"/>
  <c r="BJ169" i="17" l="1"/>
  <c r="BK169" i="17" s="1"/>
  <c r="CE169" i="17"/>
  <c r="CF168" i="17"/>
  <c r="CB169" i="17"/>
  <c r="CC168" i="17"/>
  <c r="BV169" i="17"/>
  <c r="CA170" i="17"/>
  <c r="CC169" i="17"/>
  <c r="BP169" i="17"/>
  <c r="BQ169" i="17" s="1"/>
  <c r="BW168" i="17"/>
  <c r="BU170" i="17"/>
  <c r="BW169" i="17"/>
  <c r="BD169" i="17"/>
  <c r="BE169" i="17" s="1"/>
  <c r="BQ168" i="17"/>
  <c r="BO170" i="17"/>
  <c r="BK168" i="17"/>
  <c r="BI170" i="17"/>
  <c r="BE168" i="17"/>
  <c r="BC170" i="17"/>
  <c r="AW170" i="17"/>
  <c r="AX169" i="17"/>
  <c r="AE170" i="7"/>
  <c r="AF170" i="7" s="1"/>
  <c r="AF169" i="7"/>
  <c r="AH168" i="7"/>
  <c r="AG169" i="7"/>
  <c r="CF169" i="17" l="1"/>
  <c r="CG169" i="17" s="1"/>
  <c r="CG168" i="17"/>
  <c r="CE170" i="17"/>
  <c r="CA171" i="17"/>
  <c r="CB170" i="17"/>
  <c r="BU171" i="17"/>
  <c r="BV170" i="17"/>
  <c r="BO171" i="17"/>
  <c r="BP170" i="17"/>
  <c r="BI171" i="17"/>
  <c r="BJ170" i="17"/>
  <c r="AX170" i="17"/>
  <c r="AY170" i="17" s="1"/>
  <c r="BC171" i="17"/>
  <c r="BD170" i="17"/>
  <c r="AY169" i="17"/>
  <c r="AW171" i="17"/>
  <c r="AG170" i="7"/>
  <c r="AH169" i="7"/>
  <c r="AE171" i="7"/>
  <c r="AF171" i="7"/>
  <c r="CE171" i="17" l="1"/>
  <c r="CF170" i="17"/>
  <c r="CB171" i="17"/>
  <c r="CC171" i="17" s="1"/>
  <c r="CC170" i="17"/>
  <c r="BV171" i="17"/>
  <c r="CA172" i="17"/>
  <c r="BJ171" i="17"/>
  <c r="BK171" i="17" s="1"/>
  <c r="BW170" i="17"/>
  <c r="BU172" i="17"/>
  <c r="BW171" i="17"/>
  <c r="BP171" i="17"/>
  <c r="BQ171" i="17" s="1"/>
  <c r="BQ170" i="17"/>
  <c r="BO172" i="17"/>
  <c r="BK170" i="17"/>
  <c r="BD171" i="17"/>
  <c r="BE171" i="17" s="1"/>
  <c r="BI172" i="17"/>
  <c r="BE170" i="17"/>
  <c r="BC172" i="17"/>
  <c r="AW172" i="17"/>
  <c r="AX171" i="17"/>
  <c r="AE172" i="7"/>
  <c r="AF172" i="7" s="1"/>
  <c r="AG171" i="7"/>
  <c r="AH170" i="7"/>
  <c r="CF171" i="17" l="1"/>
  <c r="CG171" i="17" s="1"/>
  <c r="CG170" i="17"/>
  <c r="CE172" i="17"/>
  <c r="CA173" i="17"/>
  <c r="CB172" i="17"/>
  <c r="BU173" i="17"/>
  <c r="BV172" i="17"/>
  <c r="BO173" i="17"/>
  <c r="BP172" i="17"/>
  <c r="BI173" i="17"/>
  <c r="BJ172" i="17"/>
  <c r="AX172" i="17"/>
  <c r="AY172" i="17" s="1"/>
  <c r="BC173" i="17"/>
  <c r="BD172" i="17"/>
  <c r="AY171" i="17"/>
  <c r="AW173" i="17"/>
  <c r="AH171" i="7"/>
  <c r="AG172" i="7"/>
  <c r="AE173" i="7"/>
  <c r="CB173" i="17" l="1"/>
  <c r="CC173" i="17" s="1"/>
  <c r="CE173" i="17"/>
  <c r="CF172" i="17"/>
  <c r="CC172" i="17"/>
  <c r="CA174" i="17"/>
  <c r="BP173" i="17"/>
  <c r="BQ173" i="17" s="1"/>
  <c r="BV173" i="17"/>
  <c r="BW173" i="17" s="1"/>
  <c r="BW172" i="17"/>
  <c r="BU174" i="17"/>
  <c r="BQ172" i="17"/>
  <c r="BO174" i="17"/>
  <c r="BJ173" i="17"/>
  <c r="BK173" i="17" s="1"/>
  <c r="BK172" i="17"/>
  <c r="BI174" i="17"/>
  <c r="BD173" i="17"/>
  <c r="BE173" i="17" s="1"/>
  <c r="BE172" i="17"/>
  <c r="BC174" i="17"/>
  <c r="AW174" i="17"/>
  <c r="AX173" i="17"/>
  <c r="AE174" i="7"/>
  <c r="AF174" i="7" s="1"/>
  <c r="AF173" i="7"/>
  <c r="AG173" i="7"/>
  <c r="AH172" i="7"/>
  <c r="CF173" i="17" l="1"/>
  <c r="CG173" i="17" s="1"/>
  <c r="CG172" i="17"/>
  <c r="CE174" i="17"/>
  <c r="CA175" i="17"/>
  <c r="CB174" i="17"/>
  <c r="BU175" i="17"/>
  <c r="BV174" i="17"/>
  <c r="BO175" i="17"/>
  <c r="BP174" i="17"/>
  <c r="BI175" i="17"/>
  <c r="BJ174" i="17"/>
  <c r="BC175" i="17"/>
  <c r="BD174" i="17"/>
  <c r="AX174" i="17"/>
  <c r="AY174" i="17" s="1"/>
  <c r="AY173" i="17"/>
  <c r="AW175" i="17"/>
  <c r="AG174" i="7"/>
  <c r="AH173" i="7"/>
  <c r="AE175" i="7"/>
  <c r="CE175" i="17" l="1"/>
  <c r="CF174" i="17"/>
  <c r="CB175" i="17"/>
  <c r="CC175" i="17" s="1"/>
  <c r="CC174" i="17"/>
  <c r="CA176" i="17"/>
  <c r="BV175" i="17"/>
  <c r="BW175" i="17" s="1"/>
  <c r="BW174" i="17"/>
  <c r="BJ175" i="17"/>
  <c r="BK175" i="17" s="1"/>
  <c r="BU176" i="17"/>
  <c r="BP175" i="17"/>
  <c r="BQ175" i="17" s="1"/>
  <c r="BQ174" i="17"/>
  <c r="BO176" i="17"/>
  <c r="BD175" i="17"/>
  <c r="BE175" i="17" s="1"/>
  <c r="BK174" i="17"/>
  <c r="BI176" i="17"/>
  <c r="BE174" i="17"/>
  <c r="BC176" i="17"/>
  <c r="AW176" i="17"/>
  <c r="AX175" i="17"/>
  <c r="AE176" i="7"/>
  <c r="AF176" i="7" s="1"/>
  <c r="AF175" i="7"/>
  <c r="AG175" i="7"/>
  <c r="AH174" i="7"/>
  <c r="CF175" i="17" l="1"/>
  <c r="CG175" i="17" s="1"/>
  <c r="CG174" i="17"/>
  <c r="CE176" i="17"/>
  <c r="CA177" i="17"/>
  <c r="CB176" i="17"/>
  <c r="BU177" i="17"/>
  <c r="BV176" i="17"/>
  <c r="BO177" i="17"/>
  <c r="BP176" i="17"/>
  <c r="BI177" i="17"/>
  <c r="BJ176" i="17"/>
  <c r="BC177" i="17"/>
  <c r="BD176" i="17"/>
  <c r="AX176" i="17"/>
  <c r="AY176" i="17" s="1"/>
  <c r="AY175" i="17"/>
  <c r="AW177" i="17"/>
  <c r="AG176" i="7"/>
  <c r="AH175" i="7"/>
  <c r="AE177" i="7"/>
  <c r="AF177" i="7"/>
  <c r="CE177" i="17" l="1"/>
  <c r="CF176" i="17"/>
  <c r="CB177" i="17"/>
  <c r="CC176" i="17"/>
  <c r="CA178" i="17"/>
  <c r="CC177" i="17"/>
  <c r="BV177" i="17"/>
  <c r="BW177" i="17" s="1"/>
  <c r="BW176" i="17"/>
  <c r="BU178" i="17"/>
  <c r="BP177" i="17"/>
  <c r="BQ177" i="17" s="1"/>
  <c r="BQ176" i="17"/>
  <c r="BO178" i="17"/>
  <c r="BJ177" i="17"/>
  <c r="BK177" i="17" s="1"/>
  <c r="BD177" i="17"/>
  <c r="BE177" i="17" s="1"/>
  <c r="BK176" i="17"/>
  <c r="BI178" i="17"/>
  <c r="BE176" i="17"/>
  <c r="BC178" i="17"/>
  <c r="AW178" i="17"/>
  <c r="AX177" i="17"/>
  <c r="AE178" i="7"/>
  <c r="AF178" i="7" s="1"/>
  <c r="AG177" i="7"/>
  <c r="AH176" i="7"/>
  <c r="CF177" i="17" l="1"/>
  <c r="CG177" i="17" s="1"/>
  <c r="CG176" i="17"/>
  <c r="CE178" i="17"/>
  <c r="CA179" i="17"/>
  <c r="CB178" i="17"/>
  <c r="BU179" i="17"/>
  <c r="BV178" i="17"/>
  <c r="BO179" i="17"/>
  <c r="BP178" i="17"/>
  <c r="AX178" i="17"/>
  <c r="AY178" i="17" s="1"/>
  <c r="BI179" i="17"/>
  <c r="BJ178" i="17"/>
  <c r="BC179" i="17"/>
  <c r="BD178" i="17"/>
  <c r="AY177" i="17"/>
  <c r="AW179" i="17"/>
  <c r="AG178" i="7"/>
  <c r="AH177" i="7"/>
  <c r="AE179" i="7"/>
  <c r="AF179" i="7"/>
  <c r="CB179" i="17" l="1"/>
  <c r="CC179" i="17" s="1"/>
  <c r="BV179" i="17"/>
  <c r="BW179" i="17" s="1"/>
  <c r="CE179" i="17"/>
  <c r="CF178" i="17"/>
  <c r="CC178" i="17"/>
  <c r="CA180" i="17"/>
  <c r="BP179" i="17"/>
  <c r="BQ179" i="17" s="1"/>
  <c r="BW178" i="17"/>
  <c r="BU180" i="17"/>
  <c r="BQ178" i="17"/>
  <c r="BO180" i="17"/>
  <c r="BJ179" i="17"/>
  <c r="BK179" i="17" s="1"/>
  <c r="BK178" i="17"/>
  <c r="BI180" i="17"/>
  <c r="BD179" i="17"/>
  <c r="BE179" i="17" s="1"/>
  <c r="BE178" i="17"/>
  <c r="BC180" i="17"/>
  <c r="AW180" i="17"/>
  <c r="AX179" i="17"/>
  <c r="AE180" i="7"/>
  <c r="AF180" i="7"/>
  <c r="AG179" i="7"/>
  <c r="AH178" i="7"/>
  <c r="BP180" i="17" l="1"/>
  <c r="BQ180" i="17" s="1"/>
  <c r="CF179" i="17"/>
  <c r="CG179" i="17" s="1"/>
  <c r="CG178" i="17"/>
  <c r="CE180" i="17"/>
  <c r="CA181" i="17"/>
  <c r="CB180" i="17"/>
  <c r="BU181" i="17"/>
  <c r="BV180" i="17"/>
  <c r="BO181" i="17"/>
  <c r="BI181" i="17"/>
  <c r="BJ180" i="17"/>
  <c r="BC181" i="17"/>
  <c r="BD180" i="17"/>
  <c r="AX180" i="17"/>
  <c r="AY180" i="17" s="1"/>
  <c r="AY179" i="17"/>
  <c r="AW181" i="17"/>
  <c r="AG180" i="7"/>
  <c r="AH179" i="7"/>
  <c r="AE181" i="7"/>
  <c r="CE181" i="17" l="1"/>
  <c r="CF180" i="17"/>
  <c r="BV181" i="17"/>
  <c r="CB181" i="17"/>
  <c r="CC180" i="17"/>
  <c r="CA182" i="17"/>
  <c r="CC181" i="17"/>
  <c r="BW180" i="17"/>
  <c r="BU182" i="17"/>
  <c r="BW181" i="17"/>
  <c r="BO182" i="17"/>
  <c r="BP181" i="17"/>
  <c r="BJ181" i="17"/>
  <c r="BK181" i="17" s="1"/>
  <c r="BD181" i="17"/>
  <c r="BE181" i="17" s="1"/>
  <c r="BK180" i="17"/>
  <c r="BI182" i="17"/>
  <c r="BE180" i="17"/>
  <c r="BC182" i="17"/>
  <c r="AW182" i="17"/>
  <c r="AX181" i="17"/>
  <c r="AE182" i="7"/>
  <c r="AF182" i="7"/>
  <c r="AF181" i="7"/>
  <c r="AG181" i="7"/>
  <c r="AH180" i="7"/>
  <c r="CF181" i="17" l="1"/>
  <c r="CG181" i="17" s="1"/>
  <c r="CG180" i="17"/>
  <c r="CE182" i="17"/>
  <c r="CA183" i="17"/>
  <c r="CB182" i="17"/>
  <c r="BP182" i="17"/>
  <c r="BQ182" i="17" s="1"/>
  <c r="BU183" i="17"/>
  <c r="BV182" i="17"/>
  <c r="BQ181" i="17"/>
  <c r="BO183" i="17"/>
  <c r="BI183" i="17"/>
  <c r="BJ182" i="17"/>
  <c r="AX182" i="17"/>
  <c r="AY182" i="17" s="1"/>
  <c r="BC183" i="17"/>
  <c r="BD182" i="17"/>
  <c r="AY181" i="17"/>
  <c r="AW183" i="17"/>
  <c r="AH181" i="7"/>
  <c r="AG182" i="7"/>
  <c r="AE183" i="7"/>
  <c r="AF183" i="7"/>
  <c r="CF182" i="17" l="1"/>
  <c r="CG182" i="17" s="1"/>
  <c r="CB183" i="17"/>
  <c r="CC183" i="17" s="1"/>
  <c r="CE183" i="17"/>
  <c r="CC182" i="17"/>
  <c r="CA184" i="17"/>
  <c r="BV183" i="17"/>
  <c r="BW183" i="17" s="1"/>
  <c r="BW182" i="17"/>
  <c r="BU184" i="17"/>
  <c r="BO184" i="17"/>
  <c r="BP183" i="17"/>
  <c r="BJ183" i="17"/>
  <c r="BK183" i="17" s="1"/>
  <c r="BK182" i="17"/>
  <c r="BI184" i="17"/>
  <c r="BD183" i="17"/>
  <c r="BE183" i="17" s="1"/>
  <c r="BE182" i="17"/>
  <c r="BC184" i="17"/>
  <c r="AW184" i="17"/>
  <c r="AX183" i="17"/>
  <c r="AE184" i="7"/>
  <c r="AF184" i="7"/>
  <c r="AH182" i="7"/>
  <c r="AG183" i="7"/>
  <c r="CF183" i="17" l="1"/>
  <c r="CG183" i="17" s="1"/>
  <c r="CE184" i="17"/>
  <c r="CA185" i="17"/>
  <c r="CB184" i="17"/>
  <c r="BP184" i="17"/>
  <c r="BQ184" i="17" s="1"/>
  <c r="BU185" i="17"/>
  <c r="BV184" i="17"/>
  <c r="BQ183" i="17"/>
  <c r="BO185" i="17"/>
  <c r="BP185" i="17" s="1"/>
  <c r="BI185" i="17"/>
  <c r="BJ184" i="17"/>
  <c r="BC185" i="17"/>
  <c r="BD184" i="17"/>
  <c r="AX184" i="17"/>
  <c r="AY184" i="17" s="1"/>
  <c r="AY183" i="17"/>
  <c r="AW185" i="17"/>
  <c r="AH183" i="7"/>
  <c r="AG184" i="7"/>
  <c r="AE185" i="7"/>
  <c r="AF185" i="7" s="1"/>
  <c r="CE185" i="17" l="1"/>
  <c r="CF184" i="17"/>
  <c r="CB185" i="17"/>
  <c r="CC185" i="17" s="1"/>
  <c r="CC184" i="17"/>
  <c r="CA186" i="17"/>
  <c r="BV185" i="17"/>
  <c r="BW185" i="17" s="1"/>
  <c r="BW184" i="17"/>
  <c r="BU186" i="17"/>
  <c r="BJ185" i="17"/>
  <c r="BK185" i="17" s="1"/>
  <c r="BD185" i="17"/>
  <c r="BE185" i="17" s="1"/>
  <c r="BO186" i="17"/>
  <c r="BP186" i="17" s="1"/>
  <c r="BQ185" i="17"/>
  <c r="BK184" i="17"/>
  <c r="BI186" i="17"/>
  <c r="BE184" i="17"/>
  <c r="BC186" i="17"/>
  <c r="AW186" i="17"/>
  <c r="AX185" i="17"/>
  <c r="AE186" i="7"/>
  <c r="AF186" i="7" s="1"/>
  <c r="AG185" i="7"/>
  <c r="AH184" i="7"/>
  <c r="BV186" i="17" l="1"/>
  <c r="BW186" i="17" s="1"/>
  <c r="CF185" i="17"/>
  <c r="CG185" i="17" s="1"/>
  <c r="CG184" i="17"/>
  <c r="CE186" i="17"/>
  <c r="CA187" i="17"/>
  <c r="CB186" i="17"/>
  <c r="BU187" i="17"/>
  <c r="AX186" i="17"/>
  <c r="AY186" i="17" s="1"/>
  <c r="BO187" i="17"/>
  <c r="BQ186" i="17"/>
  <c r="BI187" i="17"/>
  <c r="BJ186" i="17"/>
  <c r="BC187" i="17"/>
  <c r="BD186" i="17"/>
  <c r="AY185" i="17"/>
  <c r="AW187" i="17"/>
  <c r="AH185" i="7"/>
  <c r="AG186" i="7"/>
  <c r="AE187" i="7"/>
  <c r="AF187" i="7"/>
  <c r="CB187" i="17" l="1"/>
  <c r="CC187" i="17" s="1"/>
  <c r="CE187" i="17"/>
  <c r="CF186" i="17"/>
  <c r="CC186" i="17"/>
  <c r="CA188" i="17"/>
  <c r="BU188" i="17"/>
  <c r="BV187" i="17"/>
  <c r="BO188" i="17"/>
  <c r="BP187" i="17"/>
  <c r="BJ187" i="17"/>
  <c r="BK187" i="17" s="1"/>
  <c r="BK186" i="17"/>
  <c r="BI188" i="17"/>
  <c r="BD187" i="17"/>
  <c r="BE187" i="17" s="1"/>
  <c r="BE186" i="17"/>
  <c r="BC188" i="17"/>
  <c r="AW188" i="17"/>
  <c r="AX187" i="17"/>
  <c r="AE188" i="7"/>
  <c r="AF188" i="7"/>
  <c r="AH186" i="7"/>
  <c r="AG187" i="7"/>
  <c r="CF187" i="17" l="1"/>
  <c r="CG187" i="17" s="1"/>
  <c r="CG186" i="17"/>
  <c r="CE188" i="17"/>
  <c r="BV188" i="17"/>
  <c r="CA189" i="17"/>
  <c r="CB188" i="17"/>
  <c r="BP188" i="17"/>
  <c r="BQ188" i="17" s="1"/>
  <c r="BW187" i="17"/>
  <c r="BU189" i="17"/>
  <c r="BW188" i="17"/>
  <c r="BQ187" i="17"/>
  <c r="BO189" i="17"/>
  <c r="BI189" i="17"/>
  <c r="BJ188" i="17"/>
  <c r="AX188" i="17"/>
  <c r="AY188" i="17" s="1"/>
  <c r="BC189" i="17"/>
  <c r="BD188" i="17"/>
  <c r="AY187" i="17"/>
  <c r="AW189" i="17"/>
  <c r="AG188" i="7"/>
  <c r="AH187" i="7"/>
  <c r="AE189" i="7"/>
  <c r="AF189" i="7"/>
  <c r="CB189" i="17" l="1"/>
  <c r="CC189" i="17" s="1"/>
  <c r="CE189" i="17"/>
  <c r="CF188" i="17"/>
  <c r="CC188" i="17"/>
  <c r="CA190" i="17"/>
  <c r="BU190" i="17"/>
  <c r="AX189" i="17"/>
  <c r="AY189" i="17" s="1"/>
  <c r="BV189" i="17"/>
  <c r="BO190" i="17"/>
  <c r="BP189" i="17"/>
  <c r="BJ189" i="17"/>
  <c r="BK189" i="17" s="1"/>
  <c r="BD189" i="17"/>
  <c r="BE189" i="17" s="1"/>
  <c r="BK188" i="17"/>
  <c r="BI190" i="17"/>
  <c r="BE188" i="17"/>
  <c r="BC190" i="17"/>
  <c r="AW190" i="17"/>
  <c r="AE190" i="7"/>
  <c r="AF190" i="7"/>
  <c r="AH188" i="7"/>
  <c r="AG189" i="7"/>
  <c r="CF189" i="17" l="1"/>
  <c r="CG189" i="17" s="1"/>
  <c r="CG188" i="17"/>
  <c r="CE190" i="17"/>
  <c r="BV190" i="17"/>
  <c r="CA191" i="17"/>
  <c r="CB190" i="17"/>
  <c r="AX190" i="17"/>
  <c r="AY190" i="17" s="1"/>
  <c r="BW189" i="17"/>
  <c r="BP190" i="17"/>
  <c r="BQ190" i="17" s="1"/>
  <c r="BU191" i="17"/>
  <c r="BW190" i="17"/>
  <c r="BQ189" i="17"/>
  <c r="BO191" i="17"/>
  <c r="BI191" i="17"/>
  <c r="BJ190" i="17"/>
  <c r="BC191" i="17"/>
  <c r="BD190" i="17"/>
  <c r="AW191" i="17"/>
  <c r="AG190" i="7"/>
  <c r="AH189" i="7"/>
  <c r="AE191" i="7"/>
  <c r="AF191" i="7"/>
  <c r="CB191" i="17" l="1"/>
  <c r="CC191" i="17" s="1"/>
  <c r="CE191" i="17"/>
  <c r="CF190" i="17"/>
  <c r="CC190" i="17"/>
  <c r="CA192" i="17"/>
  <c r="BU192" i="17"/>
  <c r="BV191" i="17"/>
  <c r="BO192" i="17"/>
  <c r="BP191" i="17"/>
  <c r="BJ191" i="17"/>
  <c r="BK191" i="17" s="1"/>
  <c r="BD191" i="17"/>
  <c r="BE191" i="17" s="1"/>
  <c r="BK190" i="17"/>
  <c r="BI192" i="17"/>
  <c r="BE190" i="17"/>
  <c r="BC192" i="17"/>
  <c r="AW192" i="17"/>
  <c r="AX191" i="17"/>
  <c r="AE192" i="7"/>
  <c r="AF192" i="7"/>
  <c r="AH190" i="7"/>
  <c r="AG191" i="7"/>
  <c r="CF191" i="17" l="1"/>
  <c r="CG191" i="17" s="1"/>
  <c r="CG190" i="17"/>
  <c r="CE192" i="17"/>
  <c r="BV192" i="17"/>
  <c r="BW192" i="17" s="1"/>
  <c r="CA193" i="17"/>
  <c r="CB192" i="17"/>
  <c r="BW191" i="17"/>
  <c r="BU193" i="17"/>
  <c r="BJ192" i="17"/>
  <c r="BK192" i="17" s="1"/>
  <c r="BP192" i="17"/>
  <c r="BQ192" i="17" s="1"/>
  <c r="BQ191" i="17"/>
  <c r="BO193" i="17"/>
  <c r="BI193" i="17"/>
  <c r="BC193" i="17"/>
  <c r="BD192" i="17"/>
  <c r="AX192" i="17"/>
  <c r="AY192" i="17" s="1"/>
  <c r="AY191" i="17"/>
  <c r="AW193" i="17"/>
  <c r="AH191" i="7"/>
  <c r="AG192" i="7"/>
  <c r="AE193" i="7"/>
  <c r="AF193" i="7" s="1"/>
  <c r="BJ193" i="17" l="1"/>
  <c r="BK193" i="17" s="1"/>
  <c r="CE193" i="17"/>
  <c r="CF192" i="17"/>
  <c r="CB193" i="17"/>
  <c r="CC193" i="17" s="1"/>
  <c r="CC192" i="17"/>
  <c r="CA194" i="17"/>
  <c r="BU194" i="17"/>
  <c r="BV193" i="17"/>
  <c r="BO194" i="17"/>
  <c r="BP193" i="17"/>
  <c r="BD193" i="17"/>
  <c r="BE193" i="17" s="1"/>
  <c r="BI194" i="17"/>
  <c r="BE192" i="17"/>
  <c r="BC194" i="17"/>
  <c r="AW194" i="17"/>
  <c r="AX193" i="17"/>
  <c r="AG193" i="7"/>
  <c r="AH192" i="7"/>
  <c r="AE194" i="7"/>
  <c r="AF194" i="7" s="1"/>
  <c r="BJ194" i="17" l="1"/>
  <c r="BK194" i="17" s="1"/>
  <c r="CF193" i="17"/>
  <c r="CG193" i="17" s="1"/>
  <c r="BP194" i="17"/>
  <c r="BQ194" i="17" s="1"/>
  <c r="BV194" i="17"/>
  <c r="CG192" i="17"/>
  <c r="CE194" i="17"/>
  <c r="CA195" i="17"/>
  <c r="CB194" i="17"/>
  <c r="BW193" i="17"/>
  <c r="BU195" i="17"/>
  <c r="BW194" i="17"/>
  <c r="BQ193" i="17"/>
  <c r="BO195" i="17"/>
  <c r="BI195" i="17"/>
  <c r="BJ195" i="17" s="1"/>
  <c r="AX194" i="17"/>
  <c r="AY194" i="17" s="1"/>
  <c r="BC195" i="17"/>
  <c r="BD194" i="17"/>
  <c r="AY193" i="17"/>
  <c r="AW195" i="17"/>
  <c r="AE195" i="7"/>
  <c r="AF195" i="7" s="1"/>
  <c r="AH193" i="7"/>
  <c r="AG194" i="7"/>
  <c r="CF194" i="17" l="1"/>
  <c r="CG194" i="17" s="1"/>
  <c r="CB195" i="17"/>
  <c r="CC195" i="17" s="1"/>
  <c r="CE195" i="17"/>
  <c r="CC194" i="17"/>
  <c r="CA196" i="17"/>
  <c r="BU196" i="17"/>
  <c r="BV195" i="17"/>
  <c r="BO196" i="17"/>
  <c r="BP195" i="17"/>
  <c r="BD195" i="17"/>
  <c r="BE195" i="17" s="1"/>
  <c r="BI196" i="17"/>
  <c r="BJ196" i="17" s="1"/>
  <c r="BK195" i="17"/>
  <c r="BE194" i="17"/>
  <c r="BC196" i="17"/>
  <c r="AW196" i="17"/>
  <c r="AX195" i="17"/>
  <c r="AG195" i="7"/>
  <c r="AH194" i="7"/>
  <c r="AE196" i="7"/>
  <c r="AF196" i="7"/>
  <c r="CF195" i="17" l="1"/>
  <c r="CG195" i="17" s="1"/>
  <c r="CE196" i="17"/>
  <c r="CA197" i="17"/>
  <c r="CB196" i="17"/>
  <c r="BV196" i="17"/>
  <c r="BW196" i="17" s="1"/>
  <c r="BW195" i="17"/>
  <c r="BU197" i="17"/>
  <c r="BP196" i="17"/>
  <c r="BQ196" i="17" s="1"/>
  <c r="BQ195" i="17"/>
  <c r="BO197" i="17"/>
  <c r="BI197" i="17"/>
  <c r="BK196" i="17"/>
  <c r="BC197" i="17"/>
  <c r="BD196" i="17"/>
  <c r="AX196" i="17"/>
  <c r="AY196" i="17" s="1"/>
  <c r="AY195" i="17"/>
  <c r="AW197" i="17"/>
  <c r="AE197" i="7"/>
  <c r="AF197" i="7"/>
  <c r="AH195" i="7"/>
  <c r="AG196" i="7"/>
  <c r="CF196" i="17" l="1"/>
  <c r="CG196" i="17" s="1"/>
  <c r="CE197" i="17"/>
  <c r="CB197" i="17"/>
  <c r="CC196" i="17"/>
  <c r="CA198" i="17"/>
  <c r="CC197" i="17"/>
  <c r="BU198" i="17"/>
  <c r="BV197" i="17"/>
  <c r="BO198" i="17"/>
  <c r="BP197" i="17"/>
  <c r="BD197" i="17"/>
  <c r="BE197" i="17" s="1"/>
  <c r="BI198" i="17"/>
  <c r="BJ197" i="17"/>
  <c r="BE196" i="17"/>
  <c r="BC198" i="17"/>
  <c r="AW198" i="17"/>
  <c r="AX197" i="17"/>
  <c r="AG197" i="7"/>
  <c r="AH196" i="7"/>
  <c r="AE198" i="7"/>
  <c r="AF198" i="7"/>
  <c r="CE198" i="17" l="1"/>
  <c r="CF197" i="17"/>
  <c r="CA199" i="17"/>
  <c r="CB198" i="17"/>
  <c r="BP198" i="17"/>
  <c r="BQ198" i="17" s="1"/>
  <c r="BV198" i="17"/>
  <c r="BW198" i="17" s="1"/>
  <c r="BW197" i="17"/>
  <c r="BU199" i="17"/>
  <c r="BJ198" i="17"/>
  <c r="BK198" i="17" s="1"/>
  <c r="BQ197" i="17"/>
  <c r="BO199" i="17"/>
  <c r="AX198" i="17"/>
  <c r="AY198" i="17" s="1"/>
  <c r="BK197" i="17"/>
  <c r="BI199" i="17"/>
  <c r="BC199" i="17"/>
  <c r="BD198" i="17"/>
  <c r="AY197" i="17"/>
  <c r="AW199" i="17"/>
  <c r="AE199" i="7"/>
  <c r="AF199" i="7" s="1"/>
  <c r="AG198" i="7"/>
  <c r="AH197" i="7"/>
  <c r="CB199" i="17" l="1"/>
  <c r="CC199" i="17" s="1"/>
  <c r="CF198" i="17"/>
  <c r="CG198" i="17" s="1"/>
  <c r="CG197" i="17"/>
  <c r="CE199" i="17"/>
  <c r="CC198" i="17"/>
  <c r="CA200" i="17"/>
  <c r="BU200" i="17"/>
  <c r="BV199" i="17"/>
  <c r="BO200" i="17"/>
  <c r="BP199" i="17"/>
  <c r="BI200" i="17"/>
  <c r="BJ199" i="17"/>
  <c r="BD199" i="17"/>
  <c r="BE199" i="17" s="1"/>
  <c r="BE198" i="17"/>
  <c r="BC200" i="17"/>
  <c r="AW200" i="17"/>
  <c r="AX199" i="17"/>
  <c r="AH198" i="7"/>
  <c r="AG199" i="7"/>
  <c r="AE200" i="7"/>
  <c r="AF200" i="7"/>
  <c r="CE200" i="17" l="1"/>
  <c r="CF199" i="17"/>
  <c r="CA201" i="17"/>
  <c r="CB200" i="17"/>
  <c r="BV200" i="17"/>
  <c r="BW200" i="17" s="1"/>
  <c r="BW199" i="17"/>
  <c r="BU201" i="17"/>
  <c r="BP200" i="17"/>
  <c r="BQ200" i="17" s="1"/>
  <c r="BQ199" i="17"/>
  <c r="BO201" i="17"/>
  <c r="BJ200" i="17"/>
  <c r="BK200" i="17" s="1"/>
  <c r="BK199" i="17"/>
  <c r="BI201" i="17"/>
  <c r="AX200" i="17"/>
  <c r="AY200" i="17" s="1"/>
  <c r="BC201" i="17"/>
  <c r="BD200" i="17"/>
  <c r="AY199" i="17"/>
  <c r="AW201" i="17"/>
  <c r="AE201" i="7"/>
  <c r="AF201" i="7" s="1"/>
  <c r="AG200" i="7"/>
  <c r="AH199" i="7"/>
  <c r="CB201" i="17" l="1"/>
  <c r="CF200" i="17"/>
  <c r="CG200" i="17" s="1"/>
  <c r="CG199" i="17"/>
  <c r="CE201" i="17"/>
  <c r="CC200" i="17"/>
  <c r="CA202" i="17"/>
  <c r="CC201" i="17"/>
  <c r="BU202" i="17"/>
  <c r="BV201" i="17"/>
  <c r="BO202" i="17"/>
  <c r="BP201" i="17"/>
  <c r="BI202" i="17"/>
  <c r="BJ201" i="17"/>
  <c r="BD201" i="17"/>
  <c r="BE201" i="17" s="1"/>
  <c r="BE200" i="17"/>
  <c r="BC202" i="17"/>
  <c r="AW202" i="17"/>
  <c r="AX201" i="17"/>
  <c r="AH200" i="7"/>
  <c r="AG201" i="7"/>
  <c r="AE202" i="7"/>
  <c r="AF202" i="7" s="1"/>
  <c r="CE202" i="17" l="1"/>
  <c r="CF201" i="17"/>
  <c r="CA203" i="17"/>
  <c r="CB202" i="17"/>
  <c r="BV202" i="17"/>
  <c r="BW202" i="17" s="1"/>
  <c r="BP202" i="17"/>
  <c r="BQ202" i="17" s="1"/>
  <c r="BW201" i="17"/>
  <c r="BU203" i="17"/>
  <c r="BJ202" i="17"/>
  <c r="BK202" i="17" s="1"/>
  <c r="BQ201" i="17"/>
  <c r="BO203" i="17"/>
  <c r="BK201" i="17"/>
  <c r="BI203" i="17"/>
  <c r="AX202" i="17"/>
  <c r="AY202" i="17" s="1"/>
  <c r="BC203" i="17"/>
  <c r="BD202" i="17"/>
  <c r="AY201" i="17"/>
  <c r="AW203" i="17"/>
  <c r="AG202" i="7"/>
  <c r="AH201" i="7"/>
  <c r="AE203" i="7"/>
  <c r="AF203" i="7" s="1"/>
  <c r="CF202" i="17" l="1"/>
  <c r="CG202" i="17" s="1"/>
  <c r="CG201" i="17"/>
  <c r="CE203" i="17"/>
  <c r="CB203" i="17"/>
  <c r="BJ203" i="17"/>
  <c r="BK203" i="17" s="1"/>
  <c r="CC202" i="17"/>
  <c r="CA204" i="17"/>
  <c r="CC203" i="17"/>
  <c r="BU204" i="17"/>
  <c r="BV203" i="17"/>
  <c r="BO204" i="17"/>
  <c r="BD203" i="17"/>
  <c r="BE203" i="17" s="1"/>
  <c r="BP203" i="17"/>
  <c r="BI204" i="17"/>
  <c r="BE202" i="17"/>
  <c r="BC204" i="17"/>
  <c r="AW204" i="17"/>
  <c r="AX203" i="17"/>
  <c r="AE204" i="7"/>
  <c r="AF204" i="7"/>
  <c r="AH202" i="7"/>
  <c r="AG203" i="7"/>
  <c r="BJ204" i="17" l="1"/>
  <c r="BK204" i="17" s="1"/>
  <c r="CE204" i="17"/>
  <c r="CF203" i="17"/>
  <c r="CA205" i="17"/>
  <c r="CB204" i="17"/>
  <c r="BV204" i="17"/>
  <c r="BW204" i="17" s="1"/>
  <c r="BP204" i="17"/>
  <c r="BQ204" i="17" s="1"/>
  <c r="BW203" i="17"/>
  <c r="BU205" i="17"/>
  <c r="BQ203" i="17"/>
  <c r="BO205" i="17"/>
  <c r="BI205" i="17"/>
  <c r="BC205" i="17"/>
  <c r="BD204" i="17"/>
  <c r="AX204" i="17"/>
  <c r="AY203" i="17"/>
  <c r="AW205" i="17"/>
  <c r="AH203" i="7"/>
  <c r="AG204" i="7"/>
  <c r="AE205" i="7"/>
  <c r="AF205" i="7" s="1"/>
  <c r="CF204" i="17" l="1"/>
  <c r="CG204" i="17" s="1"/>
  <c r="CG203" i="17"/>
  <c r="CE205" i="17"/>
  <c r="CB205" i="17"/>
  <c r="CC204" i="17"/>
  <c r="CA206" i="17"/>
  <c r="CB206" i="17" s="1"/>
  <c r="CC205" i="17"/>
  <c r="BU206" i="17"/>
  <c r="BV205" i="17"/>
  <c r="BO206" i="17"/>
  <c r="BP205" i="17"/>
  <c r="BD205" i="17"/>
  <c r="BE205" i="17" s="1"/>
  <c r="BI206" i="17"/>
  <c r="BJ205" i="17"/>
  <c r="BE204" i="17"/>
  <c r="BC206" i="17"/>
  <c r="AX205" i="17"/>
  <c r="AY205" i="17" s="1"/>
  <c r="AW206" i="17"/>
  <c r="AY204" i="17"/>
  <c r="AE206" i="7"/>
  <c r="AF206" i="7" s="1"/>
  <c r="AG205" i="7"/>
  <c r="AH204" i="7"/>
  <c r="CE206" i="17" l="1"/>
  <c r="CF205" i="17"/>
  <c r="BP206" i="17"/>
  <c r="BQ206" i="17" s="1"/>
  <c r="CA207" i="17"/>
  <c r="CC206" i="17"/>
  <c r="BV206" i="17"/>
  <c r="BW206" i="17" s="1"/>
  <c r="BW205" i="17"/>
  <c r="BU207" i="17"/>
  <c r="BQ205" i="17"/>
  <c r="BJ206" i="17"/>
  <c r="BK206" i="17" s="1"/>
  <c r="BO207" i="17"/>
  <c r="BK205" i="17"/>
  <c r="BI207" i="17"/>
  <c r="BC207" i="17"/>
  <c r="BD206" i="17"/>
  <c r="AX206" i="17"/>
  <c r="AY206" i="17" s="1"/>
  <c r="AW207" i="17"/>
  <c r="AH205" i="7"/>
  <c r="AG206" i="7"/>
  <c r="AE207" i="7"/>
  <c r="AF207" i="7"/>
  <c r="BV207" i="17" l="1"/>
  <c r="BW207" i="17" s="1"/>
  <c r="CF206" i="17"/>
  <c r="CG206" i="17" s="1"/>
  <c r="CG205" i="17"/>
  <c r="CE207" i="17"/>
  <c r="CA208" i="17"/>
  <c r="CB207" i="17"/>
  <c r="BU208" i="17"/>
  <c r="BD207" i="17"/>
  <c r="BE207" i="17" s="1"/>
  <c r="BO208" i="17"/>
  <c r="BP207" i="17"/>
  <c r="BI208" i="17"/>
  <c r="BJ207" i="17"/>
  <c r="BE206" i="17"/>
  <c r="BC208" i="17"/>
  <c r="AX207" i="17"/>
  <c r="AY207" i="17" s="1"/>
  <c r="AW208" i="17"/>
  <c r="AE208" i="7"/>
  <c r="AF208" i="7"/>
  <c r="AG207" i="7"/>
  <c r="AH206" i="7"/>
  <c r="BV208" i="17" l="1"/>
  <c r="BW208" i="17" s="1"/>
  <c r="CE208" i="17"/>
  <c r="CF207" i="17"/>
  <c r="CG207" i="17" s="1"/>
  <c r="CB208" i="17"/>
  <c r="CC207" i="17"/>
  <c r="CA209" i="17"/>
  <c r="CC208" i="17"/>
  <c r="AX208" i="17"/>
  <c r="AY208" i="17" s="1"/>
  <c r="BU209" i="17"/>
  <c r="BP208" i="17"/>
  <c r="BQ208" i="17" s="1"/>
  <c r="BQ207" i="17"/>
  <c r="BO209" i="17"/>
  <c r="BJ208" i="17"/>
  <c r="BK208" i="17" s="1"/>
  <c r="BK207" i="17"/>
  <c r="BI209" i="17"/>
  <c r="BC209" i="17"/>
  <c r="BD208" i="17"/>
  <c r="AW209" i="17"/>
  <c r="AH207" i="7"/>
  <c r="AG208" i="7"/>
  <c r="AE209" i="7"/>
  <c r="AF209" i="7" s="1"/>
  <c r="CF208" i="17" l="1"/>
  <c r="CG208" i="17" s="1"/>
  <c r="CE209" i="17"/>
  <c r="CA210" i="17"/>
  <c r="CB209" i="17"/>
  <c r="BU210" i="17"/>
  <c r="BV209" i="17"/>
  <c r="BO210" i="17"/>
  <c r="BP209" i="17"/>
  <c r="BD209" i="17"/>
  <c r="BE209" i="17" s="1"/>
  <c r="BI210" i="17"/>
  <c r="BJ209" i="17"/>
  <c r="BE208" i="17"/>
  <c r="BC210" i="17"/>
  <c r="AW210" i="17"/>
  <c r="AX209" i="17"/>
  <c r="AG209" i="7"/>
  <c r="AH208" i="7"/>
  <c r="AE210" i="7"/>
  <c r="CB210" i="17" l="1"/>
  <c r="CC210" i="17" s="1"/>
  <c r="CE210" i="17"/>
  <c r="CF209" i="17"/>
  <c r="CC209" i="17"/>
  <c r="CA211" i="17"/>
  <c r="BV210" i="17"/>
  <c r="BW210" i="17" s="1"/>
  <c r="BW209" i="17"/>
  <c r="BU211" i="17"/>
  <c r="BP210" i="17"/>
  <c r="BQ210" i="17" s="1"/>
  <c r="BJ210" i="17"/>
  <c r="BK210" i="17" s="1"/>
  <c r="BQ209" i="17"/>
  <c r="BO211" i="17"/>
  <c r="BK209" i="17"/>
  <c r="BI211" i="17"/>
  <c r="BC211" i="17"/>
  <c r="BD210" i="17"/>
  <c r="AX210" i="17"/>
  <c r="AY210" i="17" s="1"/>
  <c r="AY209" i="17"/>
  <c r="AW211" i="17"/>
  <c r="AE211" i="7"/>
  <c r="AF210" i="7"/>
  <c r="AG210" i="7"/>
  <c r="AH209" i="7"/>
  <c r="CB211" i="17" l="1"/>
  <c r="CC211" i="17" s="1"/>
  <c r="CF210" i="17"/>
  <c r="CG210" i="17" s="1"/>
  <c r="CG209" i="17"/>
  <c r="CE211" i="17"/>
  <c r="CA212" i="17"/>
  <c r="BU212" i="17"/>
  <c r="BV211" i="17"/>
  <c r="BD211" i="17"/>
  <c r="BE211" i="17" s="1"/>
  <c r="BO212" i="17"/>
  <c r="BP211" i="17"/>
  <c r="BI212" i="17"/>
  <c r="BJ211" i="17"/>
  <c r="BE210" i="17"/>
  <c r="BC212" i="17"/>
  <c r="AW212" i="17"/>
  <c r="AX211" i="17"/>
  <c r="AG211" i="7"/>
  <c r="AH210" i="7"/>
  <c r="AE212" i="7"/>
  <c r="AF211" i="7"/>
  <c r="CB212" i="17" l="1"/>
  <c r="CC212" i="17" s="1"/>
  <c r="CE212" i="17"/>
  <c r="CF211" i="17"/>
  <c r="CA213" i="17"/>
  <c r="BP212" i="17"/>
  <c r="BQ212" i="17" s="1"/>
  <c r="BV212" i="17"/>
  <c r="BW212" i="17" s="1"/>
  <c r="BW211" i="17"/>
  <c r="BU213" i="17"/>
  <c r="BJ212" i="17"/>
  <c r="BK212" i="17" s="1"/>
  <c r="BQ211" i="17"/>
  <c r="BO213" i="17"/>
  <c r="BK211" i="17"/>
  <c r="BI213" i="17"/>
  <c r="AX212" i="17"/>
  <c r="AY212" i="17" s="1"/>
  <c r="BC213" i="17"/>
  <c r="BD212" i="17"/>
  <c r="AY211" i="17"/>
  <c r="AW213" i="17"/>
  <c r="AE213" i="7"/>
  <c r="AF212" i="7"/>
  <c r="AG212" i="7"/>
  <c r="AH211" i="7"/>
  <c r="CF212" i="17" l="1"/>
  <c r="CG212" i="17" s="1"/>
  <c r="CG211" i="17"/>
  <c r="CE213" i="17"/>
  <c r="CA214" i="17"/>
  <c r="CB213" i="17"/>
  <c r="BV213" i="17"/>
  <c r="BW213" i="17" s="1"/>
  <c r="BU214" i="17"/>
  <c r="BO214" i="17"/>
  <c r="BP213" i="17"/>
  <c r="BD213" i="17"/>
  <c r="BE213" i="17" s="1"/>
  <c r="BI214" i="17"/>
  <c r="BJ213" i="17"/>
  <c r="BE212" i="17"/>
  <c r="BC214" i="17"/>
  <c r="AW214" i="17"/>
  <c r="AX213" i="17"/>
  <c r="AE214" i="7"/>
  <c r="AG213" i="7"/>
  <c r="AH212" i="7"/>
  <c r="AF213" i="7"/>
  <c r="CB214" i="17" l="1"/>
  <c r="CC214" i="17" s="1"/>
  <c r="CE214" i="17"/>
  <c r="CF213" i="17"/>
  <c r="CC213" i="17"/>
  <c r="CA215" i="17"/>
  <c r="BJ214" i="17"/>
  <c r="BK214" i="17" s="1"/>
  <c r="BU215" i="17"/>
  <c r="BV214" i="17"/>
  <c r="BP214" i="17"/>
  <c r="BQ214" i="17" s="1"/>
  <c r="BQ213" i="17"/>
  <c r="BO215" i="17"/>
  <c r="BK213" i="17"/>
  <c r="BI215" i="17"/>
  <c r="BC215" i="17"/>
  <c r="BD214" i="17"/>
  <c r="AX214" i="17"/>
  <c r="AY214" i="17" s="1"/>
  <c r="AY213" i="17"/>
  <c r="AW215" i="17"/>
  <c r="AG214" i="7"/>
  <c r="AH213" i="7"/>
  <c r="AE215" i="7"/>
  <c r="AF215" i="7"/>
  <c r="AF214" i="7"/>
  <c r="CF214" i="17" l="1"/>
  <c r="CG214" i="17" s="1"/>
  <c r="BV215" i="17"/>
  <c r="BW215" i="17" s="1"/>
  <c r="CG213" i="17"/>
  <c r="CE215" i="17"/>
  <c r="CA216" i="17"/>
  <c r="CB215" i="17"/>
  <c r="BW214" i="17"/>
  <c r="BU216" i="17"/>
  <c r="BO216" i="17"/>
  <c r="BP215" i="17"/>
  <c r="BD215" i="17"/>
  <c r="BE215" i="17" s="1"/>
  <c r="BI216" i="17"/>
  <c r="BJ215" i="17"/>
  <c r="BE214" i="17"/>
  <c r="BC216" i="17"/>
  <c r="AW216" i="17"/>
  <c r="AX215" i="17"/>
  <c r="AE216" i="7"/>
  <c r="AG215" i="7"/>
  <c r="AH214" i="7"/>
  <c r="CE216" i="17" l="1"/>
  <c r="CF215" i="17"/>
  <c r="CB216" i="17"/>
  <c r="CC216" i="17" s="1"/>
  <c r="CC215" i="17"/>
  <c r="CA217" i="17"/>
  <c r="BU217" i="17"/>
  <c r="BV216" i="17"/>
  <c r="BP216" i="17"/>
  <c r="BQ216" i="17" s="1"/>
  <c r="BQ215" i="17"/>
  <c r="BO217" i="17"/>
  <c r="BJ216" i="17"/>
  <c r="BK216" i="17" s="1"/>
  <c r="BK215" i="17"/>
  <c r="BI217" i="17"/>
  <c r="AX216" i="17"/>
  <c r="AY216" i="17" s="1"/>
  <c r="BC217" i="17"/>
  <c r="BD216" i="17"/>
  <c r="AY215" i="17"/>
  <c r="AW217" i="17"/>
  <c r="AG216" i="7"/>
  <c r="AH215" i="7"/>
  <c r="AE217" i="7"/>
  <c r="AF216" i="7"/>
  <c r="CF216" i="17" l="1"/>
  <c r="CG216" i="17" s="1"/>
  <c r="CG215" i="17"/>
  <c r="CE217" i="17"/>
  <c r="BV217" i="17"/>
  <c r="CA218" i="17"/>
  <c r="CB217" i="17"/>
  <c r="BW216" i="17"/>
  <c r="BU218" i="17"/>
  <c r="BW217" i="17"/>
  <c r="BO218" i="17"/>
  <c r="BP217" i="17"/>
  <c r="BI218" i="17"/>
  <c r="BJ217" i="17"/>
  <c r="BD217" i="17"/>
  <c r="BE217" i="17" s="1"/>
  <c r="BE216" i="17"/>
  <c r="BC218" i="17"/>
  <c r="AW218" i="17"/>
  <c r="AX217" i="17"/>
  <c r="AE218" i="7"/>
  <c r="AF218" i="7"/>
  <c r="AF217" i="7"/>
  <c r="AG217" i="7"/>
  <c r="AH216" i="7"/>
  <c r="CE218" i="17" l="1"/>
  <c r="CF217" i="17"/>
  <c r="CB218" i="17"/>
  <c r="CC217" i="17"/>
  <c r="BD218" i="17"/>
  <c r="BE218" i="17" s="1"/>
  <c r="CA219" i="17"/>
  <c r="CC218" i="17"/>
  <c r="BP218" i="17"/>
  <c r="BQ218" i="17" s="1"/>
  <c r="BU219" i="17"/>
  <c r="BV218" i="17"/>
  <c r="BQ217" i="17"/>
  <c r="BO219" i="17"/>
  <c r="BJ218" i="17"/>
  <c r="BK218" i="17" s="1"/>
  <c r="BK217" i="17"/>
  <c r="BI219" i="17"/>
  <c r="BC219" i="17"/>
  <c r="AX218" i="17"/>
  <c r="AY218" i="17" s="1"/>
  <c r="AY217" i="17"/>
  <c r="AW219" i="17"/>
  <c r="AG218" i="7"/>
  <c r="AH217" i="7"/>
  <c r="AE219" i="7"/>
  <c r="CF218" i="17" l="1"/>
  <c r="CG218" i="17" s="1"/>
  <c r="BD219" i="17"/>
  <c r="BE219" i="17" s="1"/>
  <c r="CG217" i="17"/>
  <c r="CE219" i="17"/>
  <c r="CA220" i="17"/>
  <c r="CB219" i="17"/>
  <c r="BV219" i="17"/>
  <c r="BW219" i="17" s="1"/>
  <c r="BW218" i="17"/>
  <c r="BU220" i="17"/>
  <c r="BO220" i="17"/>
  <c r="BP219" i="17"/>
  <c r="BI220" i="17"/>
  <c r="BJ219" i="17"/>
  <c r="BC220" i="17"/>
  <c r="AW220" i="17"/>
  <c r="AX219" i="17"/>
  <c r="AE220" i="7"/>
  <c r="AF219" i="7"/>
  <c r="AG219" i="7"/>
  <c r="AH218" i="7"/>
  <c r="CF219" i="17" l="1"/>
  <c r="CG219" i="17" s="1"/>
  <c r="BD220" i="17"/>
  <c r="BE220" i="17" s="1"/>
  <c r="CE220" i="17"/>
  <c r="BJ220" i="17"/>
  <c r="BK220" i="17" s="1"/>
  <c r="CB220" i="17"/>
  <c r="CC220" i="17" s="1"/>
  <c r="CC219" i="17"/>
  <c r="CA221" i="17"/>
  <c r="BU221" i="17"/>
  <c r="BV220" i="17"/>
  <c r="BP220" i="17"/>
  <c r="BQ220" i="17" s="1"/>
  <c r="BQ219" i="17"/>
  <c r="BO221" i="17"/>
  <c r="BK219" i="17"/>
  <c r="BI221" i="17"/>
  <c r="AX220" i="17"/>
  <c r="AY220" i="17" s="1"/>
  <c r="BC221" i="17"/>
  <c r="AY219" i="17"/>
  <c r="AW221" i="17"/>
  <c r="AG220" i="7"/>
  <c r="AH219" i="7"/>
  <c r="AE221" i="7"/>
  <c r="AF221" i="7" s="1"/>
  <c r="AF220" i="7"/>
  <c r="BJ221" i="17" l="1"/>
  <c r="BK221" i="17" s="1"/>
  <c r="BV221" i="17"/>
  <c r="BW221" i="17" s="1"/>
  <c r="CE221" i="17"/>
  <c r="CF220" i="17"/>
  <c r="CA222" i="17"/>
  <c r="CB221" i="17"/>
  <c r="AX221" i="17"/>
  <c r="AY221" i="17" s="1"/>
  <c r="BW220" i="17"/>
  <c r="BU222" i="17"/>
  <c r="BO222" i="17"/>
  <c r="BP221" i="17"/>
  <c r="BI222" i="17"/>
  <c r="BJ222" i="17" s="1"/>
  <c r="BC222" i="17"/>
  <c r="BD221" i="17"/>
  <c r="AW222" i="17"/>
  <c r="AE222" i="7"/>
  <c r="AF222" i="7" s="1"/>
  <c r="AG221" i="7"/>
  <c r="AH220" i="7"/>
  <c r="BV222" i="17" l="1"/>
  <c r="BW222" i="17" s="1"/>
  <c r="CB222" i="17"/>
  <c r="CC222" i="17" s="1"/>
  <c r="CF221" i="17"/>
  <c r="CG221" i="17" s="1"/>
  <c r="CG220" i="17"/>
  <c r="CE222" i="17"/>
  <c r="AX222" i="17"/>
  <c r="AY222" i="17" s="1"/>
  <c r="CC221" i="17"/>
  <c r="CA223" i="17"/>
  <c r="BP222" i="17"/>
  <c r="BQ222" i="17" s="1"/>
  <c r="BU223" i="17"/>
  <c r="BQ221" i="17"/>
  <c r="BO223" i="17"/>
  <c r="BI223" i="17"/>
  <c r="BK222" i="17"/>
  <c r="BD222" i="17"/>
  <c r="BE222" i="17" s="1"/>
  <c r="BE221" i="17"/>
  <c r="BC223" i="17"/>
  <c r="AW223" i="17"/>
  <c r="AG222" i="7"/>
  <c r="AH221" i="7"/>
  <c r="AE223" i="7"/>
  <c r="CE223" i="17" l="1"/>
  <c r="CF222" i="17"/>
  <c r="CA224" i="17"/>
  <c r="CB223" i="17"/>
  <c r="BU224" i="17"/>
  <c r="BV223" i="17"/>
  <c r="BO224" i="17"/>
  <c r="BP223" i="17"/>
  <c r="BI224" i="17"/>
  <c r="BJ223" i="17"/>
  <c r="BC224" i="17"/>
  <c r="BD223" i="17"/>
  <c r="AW224" i="17"/>
  <c r="AX223" i="17"/>
  <c r="AE224" i="7"/>
  <c r="AF224" i="7" s="1"/>
  <c r="AF223" i="7"/>
  <c r="AG223" i="7"/>
  <c r="AH222" i="7"/>
  <c r="CF223" i="17" l="1"/>
  <c r="CG223" i="17" s="1"/>
  <c r="BV224" i="17"/>
  <c r="BW224" i="17" s="1"/>
  <c r="CG222" i="17"/>
  <c r="CE224" i="17"/>
  <c r="BP224" i="17"/>
  <c r="BQ224" i="17" s="1"/>
  <c r="CB224" i="17"/>
  <c r="CC224" i="17" s="1"/>
  <c r="CC223" i="17"/>
  <c r="CA225" i="17"/>
  <c r="BW223" i="17"/>
  <c r="BU225" i="17"/>
  <c r="BQ223" i="17"/>
  <c r="BO225" i="17"/>
  <c r="BD224" i="17"/>
  <c r="BE224" i="17" s="1"/>
  <c r="BJ224" i="17"/>
  <c r="BK224" i="17" s="1"/>
  <c r="BK223" i="17"/>
  <c r="BI225" i="17"/>
  <c r="AX224" i="17"/>
  <c r="AY224" i="17" s="1"/>
  <c r="BE223" i="17"/>
  <c r="BC225" i="17"/>
  <c r="AY223" i="17"/>
  <c r="AW225" i="17"/>
  <c r="AG224" i="7"/>
  <c r="AH223" i="7"/>
  <c r="AE225" i="7"/>
  <c r="AF225" i="7" s="1"/>
  <c r="BV225" i="17" l="1"/>
  <c r="BW225" i="17" s="1"/>
  <c r="CE225" i="17"/>
  <c r="CF224" i="17"/>
  <c r="CB225" i="17"/>
  <c r="CA226" i="17"/>
  <c r="CC225" i="17"/>
  <c r="BD225" i="17"/>
  <c r="BE225" i="17" s="1"/>
  <c r="BU226" i="17"/>
  <c r="BO226" i="17"/>
  <c r="BP225" i="17"/>
  <c r="BI226" i="17"/>
  <c r="BJ225" i="17"/>
  <c r="BC226" i="17"/>
  <c r="AW226" i="17"/>
  <c r="AX225" i="17"/>
  <c r="AE226" i="7"/>
  <c r="AG225" i="7"/>
  <c r="AH224" i="7"/>
  <c r="CB226" i="17" l="1"/>
  <c r="CC226" i="17" s="1"/>
  <c r="CF225" i="17"/>
  <c r="CG225" i="17" s="1"/>
  <c r="CG224" i="17"/>
  <c r="CE226" i="17"/>
  <c r="CA227" i="17"/>
  <c r="BU227" i="17"/>
  <c r="BV226" i="17"/>
  <c r="BJ226" i="17"/>
  <c r="BK226" i="17" s="1"/>
  <c r="BP226" i="17"/>
  <c r="BQ226" i="17" s="1"/>
  <c r="BQ225" i="17"/>
  <c r="BO227" i="17"/>
  <c r="AX226" i="17"/>
  <c r="AY226" i="17" s="1"/>
  <c r="BK225" i="17"/>
  <c r="BI227" i="17"/>
  <c r="BC227" i="17"/>
  <c r="BD226" i="17"/>
  <c r="AY225" i="17"/>
  <c r="AW227" i="17"/>
  <c r="AG226" i="7"/>
  <c r="AH225" i="7"/>
  <c r="AE227" i="7"/>
  <c r="AF227" i="7" s="1"/>
  <c r="AF226" i="7"/>
  <c r="BV227" i="17" l="1"/>
  <c r="BW227" i="17" s="1"/>
  <c r="CF226" i="17"/>
  <c r="CG226" i="17" s="1"/>
  <c r="CE227" i="17"/>
  <c r="CA228" i="17"/>
  <c r="CB227" i="17"/>
  <c r="AX227" i="17"/>
  <c r="AY227" i="17" s="1"/>
  <c r="BW226" i="17"/>
  <c r="BU228" i="17"/>
  <c r="BO228" i="17"/>
  <c r="BP227" i="17"/>
  <c r="BI228" i="17"/>
  <c r="BJ227" i="17"/>
  <c r="BD227" i="17"/>
  <c r="BE227" i="17" s="1"/>
  <c r="BE226" i="17"/>
  <c r="BC228" i="17"/>
  <c r="AW228" i="17"/>
  <c r="AE228" i="7"/>
  <c r="AG227" i="7"/>
  <c r="AH226" i="7"/>
  <c r="CE228" i="17" l="1"/>
  <c r="CF227" i="17"/>
  <c r="CB228" i="17"/>
  <c r="CC227" i="17"/>
  <c r="CA229" i="17"/>
  <c r="CC228" i="17"/>
  <c r="BP228" i="17"/>
  <c r="BQ228" i="17" s="1"/>
  <c r="BU229" i="17"/>
  <c r="BV228" i="17"/>
  <c r="BQ227" i="17"/>
  <c r="BO229" i="17"/>
  <c r="BJ228" i="17"/>
  <c r="BK228" i="17" s="1"/>
  <c r="BK227" i="17"/>
  <c r="BI229" i="17"/>
  <c r="BC229" i="17"/>
  <c r="BD228" i="17"/>
  <c r="AW229" i="17"/>
  <c r="AX228" i="17"/>
  <c r="AG228" i="7"/>
  <c r="AH227" i="7"/>
  <c r="AE229" i="7"/>
  <c r="AF229" i="7" s="1"/>
  <c r="AF228" i="7"/>
  <c r="CF228" i="17" l="1"/>
  <c r="CG228" i="17" s="1"/>
  <c r="CG227" i="17"/>
  <c r="CE229" i="17"/>
  <c r="CB229" i="17"/>
  <c r="CC229" i="17" s="1"/>
  <c r="BV229" i="17"/>
  <c r="CA230" i="17"/>
  <c r="BW228" i="17"/>
  <c r="BU230" i="17"/>
  <c r="BW229" i="17"/>
  <c r="BO230" i="17"/>
  <c r="BP229" i="17"/>
  <c r="BD229" i="17"/>
  <c r="BE229" i="17" s="1"/>
  <c r="BI230" i="17"/>
  <c r="BJ229" i="17"/>
  <c r="AX229" i="17"/>
  <c r="AY229" i="17" s="1"/>
  <c r="BE228" i="17"/>
  <c r="BC230" i="17"/>
  <c r="AY228" i="17"/>
  <c r="AW230" i="17"/>
  <c r="AE230" i="7"/>
  <c r="AF230" i="7" s="1"/>
  <c r="AG229" i="7"/>
  <c r="AH228" i="7"/>
  <c r="CF229" i="17" l="1"/>
  <c r="CG229" i="17" s="1"/>
  <c r="CE230" i="17"/>
  <c r="BP230" i="17"/>
  <c r="BQ230" i="17" s="1"/>
  <c r="CA231" i="17"/>
  <c r="CB230" i="17"/>
  <c r="BU231" i="17"/>
  <c r="BV230" i="17"/>
  <c r="BQ229" i="17"/>
  <c r="BO231" i="17"/>
  <c r="BJ230" i="17"/>
  <c r="BK230" i="17" s="1"/>
  <c r="BK229" i="17"/>
  <c r="BI231" i="17"/>
  <c r="BC231" i="17"/>
  <c r="BD230" i="17"/>
  <c r="AW231" i="17"/>
  <c r="AX230" i="17"/>
  <c r="AG230" i="7"/>
  <c r="AH229" i="7"/>
  <c r="AE231" i="7"/>
  <c r="CB231" i="17" l="1"/>
  <c r="CC231" i="17" s="1"/>
  <c r="CE231" i="17"/>
  <c r="CF230" i="17"/>
  <c r="BV231" i="17"/>
  <c r="CC230" i="17"/>
  <c r="CA232" i="17"/>
  <c r="BW230" i="17"/>
  <c r="BU232" i="17"/>
  <c r="BW231" i="17"/>
  <c r="BO232" i="17"/>
  <c r="BP231" i="17"/>
  <c r="BI232" i="17"/>
  <c r="BJ231" i="17"/>
  <c r="BD231" i="17"/>
  <c r="BE231" i="17" s="1"/>
  <c r="AX231" i="17"/>
  <c r="AY231" i="17" s="1"/>
  <c r="BE230" i="17"/>
  <c r="BC232" i="17"/>
  <c r="AY230" i="17"/>
  <c r="AW232" i="17"/>
  <c r="AE232" i="7"/>
  <c r="AF231" i="7"/>
  <c r="AG231" i="7"/>
  <c r="AH230" i="7"/>
  <c r="CF231" i="17" l="1"/>
  <c r="CG231" i="17" s="1"/>
  <c r="CG230" i="17"/>
  <c r="CE232" i="17"/>
  <c r="CA233" i="17"/>
  <c r="CB232" i="17"/>
  <c r="BU233" i="17"/>
  <c r="BV232" i="17"/>
  <c r="BP232" i="17"/>
  <c r="BQ232" i="17" s="1"/>
  <c r="BQ231" i="17"/>
  <c r="BO233" i="17"/>
  <c r="BJ232" i="17"/>
  <c r="BK232" i="17" s="1"/>
  <c r="BK231" i="17"/>
  <c r="BI233" i="17"/>
  <c r="BC233" i="17"/>
  <c r="BD232" i="17"/>
  <c r="AW233" i="17"/>
  <c r="AX232" i="17"/>
  <c r="AE233" i="7"/>
  <c r="AG232" i="7"/>
  <c r="AH231" i="7"/>
  <c r="AF232" i="7"/>
  <c r="CE233" i="17" l="1"/>
  <c r="CF232" i="17"/>
  <c r="CB233" i="17"/>
  <c r="CC233" i="17" s="1"/>
  <c r="CC232" i="17"/>
  <c r="CA234" i="17"/>
  <c r="BV233" i="17"/>
  <c r="BW233" i="17" s="1"/>
  <c r="BW232" i="17"/>
  <c r="BU234" i="17"/>
  <c r="BO234" i="17"/>
  <c r="BP233" i="17"/>
  <c r="BI234" i="17"/>
  <c r="BJ233" i="17"/>
  <c r="BD233" i="17"/>
  <c r="BE233" i="17" s="1"/>
  <c r="BE232" i="17"/>
  <c r="BC234" i="17"/>
  <c r="AX233" i="17"/>
  <c r="AY233" i="17" s="1"/>
  <c r="AY232" i="17"/>
  <c r="AW234" i="17"/>
  <c r="AE234" i="7"/>
  <c r="AF234" i="7"/>
  <c r="AG233" i="7"/>
  <c r="AH232" i="7"/>
  <c r="AF233" i="7"/>
  <c r="BD234" i="17" l="1"/>
  <c r="BE234" i="17" s="1"/>
  <c r="CF233" i="17"/>
  <c r="CG233" i="17" s="1"/>
  <c r="CG232" i="17"/>
  <c r="CE234" i="17"/>
  <c r="CA235" i="17"/>
  <c r="CB234" i="17"/>
  <c r="BP234" i="17"/>
  <c r="BQ234" i="17" s="1"/>
  <c r="BU235" i="17"/>
  <c r="BV234" i="17"/>
  <c r="BJ234" i="17"/>
  <c r="BK234" i="17" s="1"/>
  <c r="BQ233" i="17"/>
  <c r="BO235" i="17"/>
  <c r="BK233" i="17"/>
  <c r="BI235" i="17"/>
  <c r="BC235" i="17"/>
  <c r="AW235" i="17"/>
  <c r="AX234" i="17"/>
  <c r="AG234" i="7"/>
  <c r="AH233" i="7"/>
  <c r="AE235" i="7"/>
  <c r="AF235" i="7" s="1"/>
  <c r="BP235" i="17" l="1"/>
  <c r="BQ235" i="17" s="1"/>
  <c r="CB235" i="17"/>
  <c r="CC235" i="17" s="1"/>
  <c r="CE235" i="17"/>
  <c r="CF234" i="17"/>
  <c r="BV235" i="17"/>
  <c r="BW235" i="17" s="1"/>
  <c r="CC234" i="17"/>
  <c r="CA236" i="17"/>
  <c r="BW234" i="17"/>
  <c r="BU236" i="17"/>
  <c r="BO236" i="17"/>
  <c r="BI236" i="17"/>
  <c r="BJ235" i="17"/>
  <c r="AX235" i="17"/>
  <c r="AY235" i="17" s="1"/>
  <c r="BC236" i="17"/>
  <c r="BD235" i="17"/>
  <c r="AY234" i="17"/>
  <c r="AW236" i="17"/>
  <c r="AE236" i="7"/>
  <c r="AF236" i="7" s="1"/>
  <c r="AG235" i="7"/>
  <c r="AH234" i="7"/>
  <c r="CF235" i="17" l="1"/>
  <c r="CG235" i="17" s="1"/>
  <c r="CE236" i="17"/>
  <c r="CG234" i="17"/>
  <c r="CA237" i="17"/>
  <c r="CB236" i="17"/>
  <c r="BU237" i="17"/>
  <c r="BV236" i="17"/>
  <c r="BD236" i="17"/>
  <c r="BE236" i="17" s="1"/>
  <c r="BO237" i="17"/>
  <c r="BP236" i="17"/>
  <c r="BJ236" i="17"/>
  <c r="BK236" i="17" s="1"/>
  <c r="BK235" i="17"/>
  <c r="BI237" i="17"/>
  <c r="BE235" i="17"/>
  <c r="BC237" i="17"/>
  <c r="AW237" i="17"/>
  <c r="AX236" i="17"/>
  <c r="AG236" i="7"/>
  <c r="AH235" i="7"/>
  <c r="AE237" i="7"/>
  <c r="AF237" i="7" s="1"/>
  <c r="CB237" i="17" l="1"/>
  <c r="CC237" i="17" s="1"/>
  <c r="CE237" i="17"/>
  <c r="CF236" i="17"/>
  <c r="BV237" i="17"/>
  <c r="CC236" i="17"/>
  <c r="CA238" i="17"/>
  <c r="BW236" i="17"/>
  <c r="BU238" i="17"/>
  <c r="BW237" i="17"/>
  <c r="BP237" i="17"/>
  <c r="BQ237" i="17" s="1"/>
  <c r="BO238" i="17"/>
  <c r="BQ236" i="17"/>
  <c r="BI238" i="17"/>
  <c r="BJ237" i="17"/>
  <c r="BC238" i="17"/>
  <c r="BD237" i="17"/>
  <c r="AX237" i="17"/>
  <c r="AY237" i="17" s="1"/>
  <c r="AY236" i="17"/>
  <c r="AW238" i="17"/>
  <c r="AE238" i="7"/>
  <c r="AG237" i="7"/>
  <c r="AH236" i="7"/>
  <c r="CF237" i="17" l="1"/>
  <c r="CG237" i="17" s="1"/>
  <c r="CG236" i="17"/>
  <c r="CE238" i="17"/>
  <c r="CA239" i="17"/>
  <c r="CB238" i="17"/>
  <c r="BJ238" i="17"/>
  <c r="BK238" i="17" s="1"/>
  <c r="BU239" i="17"/>
  <c r="BV238" i="17"/>
  <c r="BO239" i="17"/>
  <c r="BP238" i="17"/>
  <c r="BD238" i="17"/>
  <c r="BE238" i="17" s="1"/>
  <c r="BK237" i="17"/>
  <c r="BI239" i="17"/>
  <c r="BE237" i="17"/>
  <c r="BC239" i="17"/>
  <c r="AW239" i="17"/>
  <c r="AX238" i="17"/>
  <c r="AE239" i="7"/>
  <c r="AG238" i="7"/>
  <c r="AH237" i="7"/>
  <c r="AF238" i="7"/>
  <c r="CB239" i="17" l="1"/>
  <c r="CC239" i="17" s="1"/>
  <c r="CE239" i="17"/>
  <c r="CF238" i="17"/>
  <c r="CC238" i="17"/>
  <c r="CA240" i="17"/>
  <c r="BV239" i="17"/>
  <c r="BW239" i="17" s="1"/>
  <c r="BW238" i="17"/>
  <c r="BU240" i="17"/>
  <c r="BP239" i="17"/>
  <c r="BQ239" i="17" s="1"/>
  <c r="BQ238" i="17"/>
  <c r="BO240" i="17"/>
  <c r="BI240" i="17"/>
  <c r="BJ239" i="17"/>
  <c r="AX239" i="17"/>
  <c r="AY239" i="17" s="1"/>
  <c r="BC240" i="17"/>
  <c r="BD239" i="17"/>
  <c r="AY238" i="17"/>
  <c r="AW240" i="17"/>
  <c r="AG239" i="7"/>
  <c r="AH238" i="7"/>
  <c r="AE240" i="7"/>
  <c r="AF239" i="7"/>
  <c r="CE240" i="17" l="1"/>
  <c r="CF239" i="17"/>
  <c r="CG238" i="17"/>
  <c r="CA241" i="17"/>
  <c r="CB240" i="17"/>
  <c r="BU241" i="17"/>
  <c r="BV240" i="17"/>
  <c r="BD240" i="17"/>
  <c r="BE240" i="17" s="1"/>
  <c r="BO241" i="17"/>
  <c r="BP240" i="17"/>
  <c r="BI241" i="17"/>
  <c r="BJ240" i="17"/>
  <c r="BK239" i="17"/>
  <c r="BE239" i="17"/>
  <c r="BC241" i="17"/>
  <c r="AW241" i="17"/>
  <c r="AX240" i="17"/>
  <c r="AE241" i="7"/>
  <c r="AF240" i="7"/>
  <c r="AG240" i="7"/>
  <c r="AH239" i="7"/>
  <c r="CF240" i="17" l="1"/>
  <c r="CG240" i="17" s="1"/>
  <c r="CG239" i="17"/>
  <c r="CE241" i="17"/>
  <c r="CB241" i="17"/>
  <c r="CC240" i="17"/>
  <c r="CA242" i="17"/>
  <c r="CC241" i="17"/>
  <c r="BV241" i="17"/>
  <c r="BW241" i="17" s="1"/>
  <c r="BP241" i="17"/>
  <c r="BQ241" i="17" s="1"/>
  <c r="BW240" i="17"/>
  <c r="BU242" i="17"/>
  <c r="BJ241" i="17"/>
  <c r="BK241" i="17" s="1"/>
  <c r="BQ240" i="17"/>
  <c r="BO242" i="17"/>
  <c r="BK240" i="17"/>
  <c r="BI242" i="17"/>
  <c r="BC242" i="17"/>
  <c r="BD241" i="17"/>
  <c r="AX241" i="17"/>
  <c r="AY241" i="17" s="1"/>
  <c r="AY240" i="17"/>
  <c r="AW242" i="17"/>
  <c r="AE242" i="7"/>
  <c r="AG241" i="7"/>
  <c r="AH240" i="7"/>
  <c r="AF241" i="7"/>
  <c r="CB242" i="17" l="1"/>
  <c r="CC242" i="17" s="1"/>
  <c r="CE242" i="17"/>
  <c r="CF241" i="17"/>
  <c r="CA243" i="17"/>
  <c r="BU243" i="17"/>
  <c r="BV242" i="17"/>
  <c r="BO243" i="17"/>
  <c r="BP242" i="17"/>
  <c r="BD242" i="17"/>
  <c r="BE242" i="17" s="1"/>
  <c r="BI243" i="17"/>
  <c r="BJ242" i="17"/>
  <c r="BE241" i="17"/>
  <c r="BC243" i="17"/>
  <c r="AW243" i="17"/>
  <c r="AX242" i="17"/>
  <c r="AG242" i="7"/>
  <c r="AH241" i="7"/>
  <c r="AE243" i="7"/>
  <c r="AF243" i="7" s="1"/>
  <c r="AF242" i="7"/>
  <c r="CF242" i="17" l="1"/>
  <c r="CG242" i="17" s="1"/>
  <c r="CG241" i="17"/>
  <c r="CE243" i="17"/>
  <c r="CA244" i="17"/>
  <c r="CB243" i="17"/>
  <c r="BP243" i="17"/>
  <c r="BQ243" i="17" s="1"/>
  <c r="BV243" i="17"/>
  <c r="BW243" i="17" s="1"/>
  <c r="BW242" i="17"/>
  <c r="BU244" i="17"/>
  <c r="BJ243" i="17"/>
  <c r="BK243" i="17" s="1"/>
  <c r="BQ242" i="17"/>
  <c r="BO244" i="17"/>
  <c r="AX243" i="17"/>
  <c r="AY243" i="17" s="1"/>
  <c r="BK242" i="17"/>
  <c r="BI244" i="17"/>
  <c r="BC244" i="17"/>
  <c r="BD243" i="17"/>
  <c r="AY242" i="17"/>
  <c r="AW244" i="17"/>
  <c r="AE244" i="7"/>
  <c r="AG243" i="7"/>
  <c r="AH242" i="7"/>
  <c r="CB244" i="17" l="1"/>
  <c r="CC244" i="17" s="1"/>
  <c r="CE244" i="17"/>
  <c r="CF243" i="17"/>
  <c r="CC243" i="17"/>
  <c r="CA245" i="17"/>
  <c r="BU245" i="17"/>
  <c r="BV244" i="17"/>
  <c r="BO245" i="17"/>
  <c r="BP244" i="17"/>
  <c r="BD244" i="17"/>
  <c r="BE244" i="17" s="1"/>
  <c r="BI245" i="17"/>
  <c r="BJ244" i="17"/>
  <c r="BE243" i="17"/>
  <c r="BC245" i="17"/>
  <c r="AW245" i="17"/>
  <c r="AX244" i="17"/>
  <c r="AE245" i="7"/>
  <c r="AG244" i="7"/>
  <c r="AH243" i="7"/>
  <c r="AF244" i="7"/>
  <c r="BV245" i="17" l="1"/>
  <c r="BW245" i="17" s="1"/>
  <c r="CF244" i="17"/>
  <c r="CG244" i="17" s="1"/>
  <c r="CG243" i="17"/>
  <c r="CE245" i="17"/>
  <c r="CA246" i="17"/>
  <c r="CB245" i="17"/>
  <c r="BP245" i="17"/>
  <c r="BQ245" i="17" s="1"/>
  <c r="BW244" i="17"/>
  <c r="BU246" i="17"/>
  <c r="BQ244" i="17"/>
  <c r="BO246" i="17"/>
  <c r="BJ245" i="17"/>
  <c r="BK245" i="17" s="1"/>
  <c r="BK244" i="17"/>
  <c r="BI246" i="17"/>
  <c r="BC246" i="17"/>
  <c r="BD245" i="17"/>
  <c r="AX245" i="17"/>
  <c r="AY245" i="17" s="1"/>
  <c r="AY244" i="17"/>
  <c r="AW246" i="17"/>
  <c r="AG245" i="7"/>
  <c r="AH244" i="7"/>
  <c r="AE246" i="7"/>
  <c r="AF245" i="7"/>
  <c r="BV246" i="17" l="1"/>
  <c r="BW246" i="17" s="1"/>
  <c r="BP246" i="17"/>
  <c r="BQ246" i="17" s="1"/>
  <c r="CE246" i="17"/>
  <c r="CF245" i="17"/>
  <c r="CB246" i="17"/>
  <c r="CC246" i="17" s="1"/>
  <c r="CC245" i="17"/>
  <c r="CA247" i="17"/>
  <c r="BU247" i="17"/>
  <c r="BO247" i="17"/>
  <c r="BI247" i="17"/>
  <c r="BJ246" i="17"/>
  <c r="BK246" i="17" s="1"/>
  <c r="BD246" i="17"/>
  <c r="BE246" i="17" s="1"/>
  <c r="BE245" i="17"/>
  <c r="BC247" i="17"/>
  <c r="AW247" i="17"/>
  <c r="AX246" i="17"/>
  <c r="AE247" i="7"/>
  <c r="AF246" i="7"/>
  <c r="AG246" i="7"/>
  <c r="AH245" i="7"/>
  <c r="BP247" i="17" l="1"/>
  <c r="BQ247" i="17" s="1"/>
  <c r="CF246" i="17"/>
  <c r="CG246" i="17" s="1"/>
  <c r="CG245" i="17"/>
  <c r="CE247" i="17"/>
  <c r="CA248" i="17"/>
  <c r="CB247" i="17"/>
  <c r="BU248" i="17"/>
  <c r="BV247" i="17"/>
  <c r="BO248" i="17"/>
  <c r="BJ247" i="17"/>
  <c r="BK247" i="17" s="1"/>
  <c r="BI248" i="17"/>
  <c r="BC248" i="17"/>
  <c r="BD247" i="17"/>
  <c r="AX247" i="17"/>
  <c r="AY247" i="17" s="1"/>
  <c r="AY246" i="17"/>
  <c r="AW248" i="17"/>
  <c r="AG247" i="7"/>
  <c r="AH246" i="7"/>
  <c r="AE248" i="7"/>
  <c r="AF248" i="7" s="1"/>
  <c r="AF247" i="7"/>
  <c r="BP248" i="17" l="1"/>
  <c r="BQ248" i="17" s="1"/>
  <c r="CF247" i="17"/>
  <c r="CG247" i="17" s="1"/>
  <c r="CB248" i="17"/>
  <c r="CC248" i="17" s="1"/>
  <c r="CE248" i="17"/>
  <c r="CC247" i="17"/>
  <c r="CA249" i="17"/>
  <c r="BV248" i="17"/>
  <c r="BW248" i="17" s="1"/>
  <c r="BW247" i="17"/>
  <c r="BU249" i="17"/>
  <c r="BO249" i="17"/>
  <c r="BI249" i="17"/>
  <c r="BJ248" i="17"/>
  <c r="BD248" i="17"/>
  <c r="BE248" i="17" s="1"/>
  <c r="BE247" i="17"/>
  <c r="BC249" i="17"/>
  <c r="AW249" i="17"/>
  <c r="AX248" i="17"/>
  <c r="AE249" i="7"/>
  <c r="AF249" i="7"/>
  <c r="AG248" i="7"/>
  <c r="AH247" i="7"/>
  <c r="CE249" i="17" l="1"/>
  <c r="CF248" i="17"/>
  <c r="CA250" i="17"/>
  <c r="CB249" i="17"/>
  <c r="BU250" i="17"/>
  <c r="BV249" i="17"/>
  <c r="BJ249" i="17"/>
  <c r="BK249" i="17" s="1"/>
  <c r="BO250" i="17"/>
  <c r="BP249" i="17"/>
  <c r="BK248" i="17"/>
  <c r="BI250" i="17"/>
  <c r="BC250" i="17"/>
  <c r="BD249" i="17"/>
  <c r="AX249" i="17"/>
  <c r="AY249" i="17" s="1"/>
  <c r="AY248" i="17"/>
  <c r="AW250" i="17"/>
  <c r="AG249" i="7"/>
  <c r="AH248" i="7"/>
  <c r="AE250" i="7"/>
  <c r="CF249" i="17" l="1"/>
  <c r="CG249" i="17" s="1"/>
  <c r="CB250" i="17"/>
  <c r="CC250" i="17" s="1"/>
  <c r="CG248" i="17"/>
  <c r="CE250" i="17"/>
  <c r="CC249" i="17"/>
  <c r="CA251" i="17"/>
  <c r="BV250" i="17"/>
  <c r="BW250" i="17" s="1"/>
  <c r="BW249" i="17"/>
  <c r="BU251" i="17"/>
  <c r="BP250" i="17"/>
  <c r="BQ250" i="17" s="1"/>
  <c r="BQ249" i="17"/>
  <c r="BO251" i="17"/>
  <c r="BI251" i="17"/>
  <c r="BJ250" i="17"/>
  <c r="BD250" i="17"/>
  <c r="BE250" i="17" s="1"/>
  <c r="BE249" i="17"/>
  <c r="BC251" i="17"/>
  <c r="AW251" i="17"/>
  <c r="AX250" i="17"/>
  <c r="AE251" i="7"/>
  <c r="AF250" i="7"/>
  <c r="AG250" i="7"/>
  <c r="AH249" i="7"/>
  <c r="CE251" i="17" l="1"/>
  <c r="CF250" i="17"/>
  <c r="CA252" i="17"/>
  <c r="CB251" i="17"/>
  <c r="BU252" i="17"/>
  <c r="BV251" i="17"/>
  <c r="BO252" i="17"/>
  <c r="BP251" i="17"/>
  <c r="BJ251" i="17"/>
  <c r="BK251" i="17" s="1"/>
  <c r="BK250" i="17"/>
  <c r="BI252" i="17"/>
  <c r="BC252" i="17"/>
  <c r="BD251" i="17"/>
  <c r="AX251" i="17"/>
  <c r="AY251" i="17" s="1"/>
  <c r="AY250" i="17"/>
  <c r="AW252" i="17"/>
  <c r="AG251" i="7"/>
  <c r="AH250" i="7"/>
  <c r="AE252" i="7"/>
  <c r="AF252" i="7" s="1"/>
  <c r="AF251" i="7"/>
  <c r="CF251" i="17" l="1"/>
  <c r="CG251" i="17" s="1"/>
  <c r="CB252" i="17"/>
  <c r="CC252" i="17" s="1"/>
  <c r="CG250" i="17"/>
  <c r="CE252" i="17"/>
  <c r="CC251" i="17"/>
  <c r="CA253" i="17"/>
  <c r="BP252" i="17"/>
  <c r="BQ252" i="17" s="1"/>
  <c r="BV252" i="17"/>
  <c r="BW252" i="17" s="1"/>
  <c r="BW251" i="17"/>
  <c r="BU253" i="17"/>
  <c r="BQ251" i="17"/>
  <c r="BO253" i="17"/>
  <c r="BD252" i="17"/>
  <c r="BE252" i="17" s="1"/>
  <c r="BI253" i="17"/>
  <c r="BJ252" i="17"/>
  <c r="BE251" i="17"/>
  <c r="BC253" i="17"/>
  <c r="AW253" i="17"/>
  <c r="AX252" i="17"/>
  <c r="AE253" i="7"/>
  <c r="AG252" i="7"/>
  <c r="AH251" i="7"/>
  <c r="CE253" i="17" l="1"/>
  <c r="CF252" i="17"/>
  <c r="CA254" i="17"/>
  <c r="CB253" i="17"/>
  <c r="BU254" i="17"/>
  <c r="BV253" i="17"/>
  <c r="BO254" i="17"/>
  <c r="BP253" i="17"/>
  <c r="BJ253" i="17"/>
  <c r="BK253" i="17" s="1"/>
  <c r="BK252" i="17"/>
  <c r="BI254" i="17"/>
  <c r="BC254" i="17"/>
  <c r="BD253" i="17"/>
  <c r="AX253" i="17"/>
  <c r="AY253" i="17" s="1"/>
  <c r="AY252" i="17"/>
  <c r="AW254" i="17"/>
  <c r="AE254" i="7"/>
  <c r="AG253" i="7"/>
  <c r="AH252" i="7"/>
  <c r="AF253" i="7"/>
  <c r="CB254" i="17" l="1"/>
  <c r="CC254" i="17" s="1"/>
  <c r="CF253" i="17"/>
  <c r="CG253" i="17" s="1"/>
  <c r="BV254" i="17"/>
  <c r="BW254" i="17" s="1"/>
  <c r="CG252" i="17"/>
  <c r="BJ254" i="17"/>
  <c r="BK254" i="17" s="1"/>
  <c r="CE254" i="17"/>
  <c r="CC253" i="17"/>
  <c r="CA255" i="17"/>
  <c r="BW253" i="17"/>
  <c r="BU255" i="17"/>
  <c r="BP254" i="17"/>
  <c r="BQ254" i="17" s="1"/>
  <c r="BQ253" i="17"/>
  <c r="BO255" i="17"/>
  <c r="BI255" i="17"/>
  <c r="BD254" i="17"/>
  <c r="BE254" i="17" s="1"/>
  <c r="BE253" i="17"/>
  <c r="BC255" i="17"/>
  <c r="AW255" i="17"/>
  <c r="AX254" i="17"/>
  <c r="AG254" i="7"/>
  <c r="AH253" i="7"/>
  <c r="AE255" i="7"/>
  <c r="AF255" i="7"/>
  <c r="AF254" i="7"/>
  <c r="BJ255" i="17" l="1"/>
  <c r="BK255" i="17" s="1"/>
  <c r="CE255" i="17"/>
  <c r="CF254" i="17"/>
  <c r="CA256" i="17"/>
  <c r="CB255" i="17"/>
  <c r="BU256" i="17"/>
  <c r="BV255" i="17"/>
  <c r="BO256" i="17"/>
  <c r="BP255" i="17"/>
  <c r="BI256" i="17"/>
  <c r="BC256" i="17"/>
  <c r="BD255" i="17"/>
  <c r="AX255" i="17"/>
  <c r="AY255" i="17" s="1"/>
  <c r="AY254" i="17"/>
  <c r="AW256" i="17"/>
  <c r="AE256" i="7"/>
  <c r="AF256" i="7" s="1"/>
  <c r="AG255" i="7"/>
  <c r="AH254" i="7"/>
  <c r="CB256" i="17" l="1"/>
  <c r="CC256" i="17" s="1"/>
  <c r="CF255" i="17"/>
  <c r="CG255" i="17" s="1"/>
  <c r="CG254" i="17"/>
  <c r="CE256" i="17"/>
  <c r="CC255" i="17"/>
  <c r="CA257" i="17"/>
  <c r="BP256" i="17"/>
  <c r="BQ256" i="17" s="1"/>
  <c r="BV256" i="17"/>
  <c r="BW256" i="17" s="1"/>
  <c r="BW255" i="17"/>
  <c r="BU257" i="17"/>
  <c r="BD256" i="17"/>
  <c r="BE256" i="17" s="1"/>
  <c r="BQ255" i="17"/>
  <c r="BO257" i="17"/>
  <c r="BI257" i="17"/>
  <c r="BJ256" i="17"/>
  <c r="BE255" i="17"/>
  <c r="BC257" i="17"/>
  <c r="AW257" i="17"/>
  <c r="AX256" i="17"/>
  <c r="AE257" i="7"/>
  <c r="AG256" i="7"/>
  <c r="AH255" i="7"/>
  <c r="CE257" i="17" l="1"/>
  <c r="CF256" i="17"/>
  <c r="CA258" i="17"/>
  <c r="CB257" i="17"/>
  <c r="BU258" i="17"/>
  <c r="BV257" i="17"/>
  <c r="BJ257" i="17"/>
  <c r="BK257" i="17" s="1"/>
  <c r="BO258" i="17"/>
  <c r="BP257" i="17"/>
  <c r="BK256" i="17"/>
  <c r="BI258" i="17"/>
  <c r="BC258" i="17"/>
  <c r="BD257" i="17"/>
  <c r="AX257" i="17"/>
  <c r="AY257" i="17" s="1"/>
  <c r="AY256" i="17"/>
  <c r="AW258" i="17"/>
  <c r="AE258" i="7"/>
  <c r="AG257" i="7"/>
  <c r="AH256" i="7"/>
  <c r="AF257" i="7"/>
  <c r="CF257" i="17" l="1"/>
  <c r="CG257" i="17" s="1"/>
  <c r="CB258" i="17"/>
  <c r="CC258" i="17" s="1"/>
  <c r="CG256" i="17"/>
  <c r="CE258" i="17"/>
  <c r="BV258" i="17"/>
  <c r="CC257" i="17"/>
  <c r="CA259" i="17"/>
  <c r="BW257" i="17"/>
  <c r="BU259" i="17"/>
  <c r="BW258" i="17"/>
  <c r="BP258" i="17"/>
  <c r="BQ258" i="17" s="1"/>
  <c r="BO259" i="17"/>
  <c r="BQ257" i="17"/>
  <c r="BD258" i="17"/>
  <c r="BE258" i="17" s="1"/>
  <c r="BI259" i="17"/>
  <c r="BJ258" i="17"/>
  <c r="BE257" i="17"/>
  <c r="BC259" i="17"/>
  <c r="AW259" i="17"/>
  <c r="AX258" i="17"/>
  <c r="AG258" i="7"/>
  <c r="AH257" i="7"/>
  <c r="AE259" i="7"/>
  <c r="AF259" i="7" s="1"/>
  <c r="AF258" i="7"/>
  <c r="CB259" i="17" l="1"/>
  <c r="CC259" i="17" s="1"/>
  <c r="CE259" i="17"/>
  <c r="BP259" i="17"/>
  <c r="CF258" i="17"/>
  <c r="BD259" i="17"/>
  <c r="BE259" i="17" s="1"/>
  <c r="CA260" i="17"/>
  <c r="BU260" i="17"/>
  <c r="BV259" i="17"/>
  <c r="BO260" i="17"/>
  <c r="BQ259" i="17"/>
  <c r="BJ259" i="17"/>
  <c r="BK259" i="17" s="1"/>
  <c r="BK258" i="17"/>
  <c r="BI260" i="17"/>
  <c r="AX259" i="17"/>
  <c r="AY259" i="17" s="1"/>
  <c r="BC260" i="17"/>
  <c r="AY258" i="17"/>
  <c r="AW260" i="17"/>
  <c r="AE260" i="7"/>
  <c r="AG259" i="7"/>
  <c r="AH258" i="7"/>
  <c r="CF259" i="17" l="1"/>
  <c r="CG259" i="17" s="1"/>
  <c r="BV260" i="17"/>
  <c r="BW260" i="17" s="1"/>
  <c r="BD260" i="17"/>
  <c r="BE260" i="17" s="1"/>
  <c r="CG258" i="17"/>
  <c r="CE260" i="17"/>
  <c r="CA261" i="17"/>
  <c r="CB260" i="17"/>
  <c r="BW259" i="17"/>
  <c r="BU261" i="17"/>
  <c r="BO261" i="17"/>
  <c r="BP260" i="17"/>
  <c r="BI261" i="17"/>
  <c r="BJ260" i="17"/>
  <c r="BC261" i="17"/>
  <c r="AW261" i="17"/>
  <c r="AX260" i="17"/>
  <c r="AG260" i="7"/>
  <c r="AH259" i="7"/>
  <c r="AE261" i="7"/>
  <c r="AF261" i="7"/>
  <c r="AF260" i="7"/>
  <c r="CE261" i="17" l="1"/>
  <c r="CF260" i="17"/>
  <c r="CB261" i="17"/>
  <c r="CC260" i="17"/>
  <c r="CA262" i="17"/>
  <c r="CC261" i="17"/>
  <c r="BU262" i="17"/>
  <c r="BV261" i="17"/>
  <c r="BP261" i="17"/>
  <c r="BQ261" i="17" s="1"/>
  <c r="BQ260" i="17"/>
  <c r="BO262" i="17"/>
  <c r="BJ261" i="17"/>
  <c r="BK261" i="17" s="1"/>
  <c r="BK260" i="17"/>
  <c r="BI262" i="17"/>
  <c r="AX261" i="17"/>
  <c r="AY261" i="17" s="1"/>
  <c r="BC262" i="17"/>
  <c r="BD261" i="17"/>
  <c r="AY260" i="17"/>
  <c r="AW262" i="17"/>
  <c r="AE262" i="7"/>
  <c r="AF262" i="7" s="1"/>
  <c r="AG261" i="7"/>
  <c r="AH260" i="7"/>
  <c r="CF261" i="17" l="1"/>
  <c r="CG261" i="17" s="1"/>
  <c r="CG260" i="17"/>
  <c r="CE262" i="17"/>
  <c r="BV262" i="17"/>
  <c r="CA263" i="17"/>
  <c r="CB262" i="17"/>
  <c r="BW261" i="17"/>
  <c r="BU263" i="17"/>
  <c r="BW262" i="17"/>
  <c r="BO263" i="17"/>
  <c r="BP262" i="17"/>
  <c r="BD262" i="17"/>
  <c r="BE262" i="17" s="1"/>
  <c r="BI263" i="17"/>
  <c r="BJ262" i="17"/>
  <c r="BE261" i="17"/>
  <c r="BC263" i="17"/>
  <c r="AW263" i="17"/>
  <c r="AX262" i="17"/>
  <c r="AG262" i="7"/>
  <c r="AH261" i="7"/>
  <c r="AE263" i="7"/>
  <c r="AF263" i="7" s="1"/>
  <c r="CB263" i="17" l="1"/>
  <c r="CC263" i="17" s="1"/>
  <c r="CE263" i="17"/>
  <c r="CF262" i="17"/>
  <c r="CC262" i="17"/>
  <c r="CA264" i="17"/>
  <c r="BU264" i="17"/>
  <c r="BV263" i="17"/>
  <c r="BJ263" i="17"/>
  <c r="BK263" i="17" s="1"/>
  <c r="BP263" i="17"/>
  <c r="BQ263" i="17" s="1"/>
  <c r="BQ262" i="17"/>
  <c r="BO264" i="17"/>
  <c r="BK262" i="17"/>
  <c r="BI264" i="17"/>
  <c r="BC264" i="17"/>
  <c r="BD263" i="17"/>
  <c r="AX263" i="17"/>
  <c r="AY263" i="17" s="1"/>
  <c r="AY262" i="17"/>
  <c r="AW264" i="17"/>
  <c r="AE264" i="7"/>
  <c r="AF264" i="7" s="1"/>
  <c r="AG263" i="7"/>
  <c r="AH262" i="7"/>
  <c r="CF263" i="17" l="1"/>
  <c r="CG263" i="17" s="1"/>
  <c r="BJ264" i="17"/>
  <c r="BK264" i="17" s="1"/>
  <c r="CG262" i="17"/>
  <c r="CE264" i="17"/>
  <c r="CA265" i="17"/>
  <c r="CB264" i="17"/>
  <c r="BV264" i="17"/>
  <c r="BW264" i="17" s="1"/>
  <c r="BW263" i="17"/>
  <c r="BU265" i="17"/>
  <c r="BO265" i="17"/>
  <c r="BP264" i="17"/>
  <c r="BI265" i="17"/>
  <c r="BD264" i="17"/>
  <c r="BE264" i="17" s="1"/>
  <c r="BE263" i="17"/>
  <c r="BC265" i="17"/>
  <c r="AW265" i="17"/>
  <c r="AX264" i="17"/>
  <c r="AG264" i="7"/>
  <c r="AH263" i="7"/>
  <c r="AE265" i="7"/>
  <c r="AF265" i="7" s="1"/>
  <c r="CB265" i="17" l="1"/>
  <c r="CC265" i="17" s="1"/>
  <c r="CE265" i="17"/>
  <c r="CF264" i="17"/>
  <c r="CC264" i="17"/>
  <c r="CA266" i="17"/>
  <c r="BU266" i="17"/>
  <c r="BV265" i="17"/>
  <c r="BP265" i="17"/>
  <c r="BQ265" i="17" s="1"/>
  <c r="BQ264" i="17"/>
  <c r="BO266" i="17"/>
  <c r="AX265" i="17"/>
  <c r="AY265" i="17" s="1"/>
  <c r="BI266" i="17"/>
  <c r="BJ265" i="17"/>
  <c r="BC266" i="17"/>
  <c r="BD265" i="17"/>
  <c r="AY264" i="17"/>
  <c r="AW266" i="17"/>
  <c r="AE266" i="7"/>
  <c r="AG265" i="7"/>
  <c r="AH264" i="7"/>
  <c r="CF265" i="17" l="1"/>
  <c r="CG265" i="17" s="1"/>
  <c r="CG264" i="17"/>
  <c r="CE266" i="17"/>
  <c r="CA267" i="17"/>
  <c r="CB266" i="17"/>
  <c r="BV266" i="17"/>
  <c r="BW266" i="17" s="1"/>
  <c r="BW265" i="17"/>
  <c r="BU267" i="17"/>
  <c r="BJ266" i="17"/>
  <c r="BK266" i="17" s="1"/>
  <c r="BO267" i="17"/>
  <c r="BP266" i="17"/>
  <c r="BD266" i="17"/>
  <c r="BE266" i="17" s="1"/>
  <c r="BK265" i="17"/>
  <c r="BI267" i="17"/>
  <c r="BE265" i="17"/>
  <c r="BC267" i="17"/>
  <c r="AW267" i="17"/>
  <c r="AX266" i="17"/>
  <c r="AG266" i="7"/>
  <c r="AH265" i="7"/>
  <c r="AE267" i="7"/>
  <c r="AF267" i="7"/>
  <c r="AF266" i="7"/>
  <c r="CB267" i="17" l="1"/>
  <c r="CC267" i="17" s="1"/>
  <c r="CE267" i="17"/>
  <c r="CF266" i="17"/>
  <c r="CC266" i="17"/>
  <c r="BJ267" i="17"/>
  <c r="BK267" i="17" s="1"/>
  <c r="CA268" i="17"/>
  <c r="BP267" i="17"/>
  <c r="BQ267" i="17" s="1"/>
  <c r="BU268" i="17"/>
  <c r="BV267" i="17"/>
  <c r="BQ266" i="17"/>
  <c r="BO268" i="17"/>
  <c r="BI268" i="17"/>
  <c r="AX267" i="17"/>
  <c r="AY267" i="17" s="1"/>
  <c r="BC268" i="17"/>
  <c r="BD267" i="17"/>
  <c r="AY266" i="17"/>
  <c r="AW268" i="17"/>
  <c r="AE268" i="7"/>
  <c r="AF268" i="7" s="1"/>
  <c r="AG267" i="7"/>
  <c r="AH266" i="7"/>
  <c r="CF267" i="17" l="1"/>
  <c r="CG267" i="17" s="1"/>
  <c r="CG266" i="17"/>
  <c r="CE268" i="17"/>
  <c r="CA269" i="17"/>
  <c r="CB268" i="17"/>
  <c r="BV268" i="17"/>
  <c r="BW268" i="17" s="1"/>
  <c r="BW267" i="17"/>
  <c r="BU269" i="17"/>
  <c r="BO269" i="17"/>
  <c r="BP268" i="17"/>
  <c r="BI269" i="17"/>
  <c r="BJ268" i="17"/>
  <c r="BD268" i="17"/>
  <c r="BE268" i="17" s="1"/>
  <c r="BE267" i="17"/>
  <c r="BC269" i="17"/>
  <c r="AW269" i="17"/>
  <c r="AX268" i="17"/>
  <c r="AG268" i="7"/>
  <c r="AH267" i="7"/>
  <c r="AE269" i="7"/>
  <c r="CB269" i="17" l="1"/>
  <c r="CC269" i="17" s="1"/>
  <c r="CE269" i="17"/>
  <c r="CF268" i="17"/>
  <c r="CC268" i="17"/>
  <c r="CA270" i="17"/>
  <c r="BP269" i="17"/>
  <c r="BQ269" i="17" s="1"/>
  <c r="BU270" i="17"/>
  <c r="BV269" i="17"/>
  <c r="BQ268" i="17"/>
  <c r="BO270" i="17"/>
  <c r="BJ269" i="17"/>
  <c r="BK269" i="17" s="1"/>
  <c r="BK268" i="17"/>
  <c r="BI270" i="17"/>
  <c r="AX269" i="17"/>
  <c r="AY269" i="17" s="1"/>
  <c r="BC270" i="17"/>
  <c r="BD269" i="17"/>
  <c r="AY268" i="17"/>
  <c r="AW270" i="17"/>
  <c r="AE270" i="7"/>
  <c r="AF269" i="7"/>
  <c r="AG269" i="7"/>
  <c r="AH268" i="7"/>
  <c r="CF269" i="17" l="1"/>
  <c r="CG269" i="17" s="1"/>
  <c r="CG268" i="17"/>
  <c r="CE270" i="17"/>
  <c r="CA271" i="17"/>
  <c r="CB270" i="17"/>
  <c r="BV270" i="17"/>
  <c r="BW270" i="17" s="1"/>
  <c r="BW269" i="17"/>
  <c r="BU271" i="17"/>
  <c r="BO271" i="17"/>
  <c r="BP270" i="17"/>
  <c r="BI271" i="17"/>
  <c r="BJ270" i="17"/>
  <c r="BD270" i="17"/>
  <c r="BE270" i="17" s="1"/>
  <c r="BE269" i="17"/>
  <c r="BC271" i="17"/>
  <c r="AW271" i="17"/>
  <c r="AX270" i="17"/>
  <c r="AG270" i="7"/>
  <c r="AH269" i="7"/>
  <c r="AE271" i="7"/>
  <c r="AF271" i="7"/>
  <c r="AF270" i="7"/>
  <c r="CB271" i="17" l="1"/>
  <c r="CC271" i="17" s="1"/>
  <c r="CE271" i="17"/>
  <c r="CF270" i="17"/>
  <c r="CC270" i="17"/>
  <c r="CA272" i="17"/>
  <c r="BP271" i="17"/>
  <c r="BQ271" i="17" s="1"/>
  <c r="BU272" i="17"/>
  <c r="BV271" i="17"/>
  <c r="BJ271" i="17"/>
  <c r="BK271" i="17" s="1"/>
  <c r="BQ270" i="17"/>
  <c r="BO272" i="17"/>
  <c r="BK270" i="17"/>
  <c r="BI272" i="17"/>
  <c r="BC272" i="17"/>
  <c r="BD271" i="17"/>
  <c r="AX271" i="17"/>
  <c r="AY271" i="17" s="1"/>
  <c r="AY270" i="17"/>
  <c r="AW272" i="17"/>
  <c r="AE272" i="7"/>
  <c r="AF272" i="7"/>
  <c r="AG271" i="7"/>
  <c r="AH270" i="7"/>
  <c r="CF271" i="17" l="1"/>
  <c r="CG271" i="17" s="1"/>
  <c r="CG270" i="17"/>
  <c r="CE272" i="17"/>
  <c r="CA273" i="17"/>
  <c r="CB272" i="17"/>
  <c r="BV272" i="17"/>
  <c r="BW272" i="17" s="1"/>
  <c r="BW271" i="17"/>
  <c r="BU273" i="17"/>
  <c r="BO273" i="17"/>
  <c r="BP272" i="17"/>
  <c r="BI273" i="17"/>
  <c r="BJ272" i="17"/>
  <c r="BD272" i="17"/>
  <c r="BE272" i="17" s="1"/>
  <c r="BE271" i="17"/>
  <c r="BC273" i="17"/>
  <c r="AW273" i="17"/>
  <c r="AX272" i="17"/>
  <c r="AH271" i="7"/>
  <c r="AG272" i="7"/>
  <c r="AE273" i="7"/>
  <c r="AF273" i="7"/>
  <c r="BV273" i="17" l="1"/>
  <c r="BW273" i="17" s="1"/>
  <c r="BP273" i="17"/>
  <c r="BQ273" i="17" s="1"/>
  <c r="CE273" i="17"/>
  <c r="CF272" i="17"/>
  <c r="CB273" i="17"/>
  <c r="CC273" i="17" s="1"/>
  <c r="CC272" i="17"/>
  <c r="CA274" i="17"/>
  <c r="BU274" i="17"/>
  <c r="BJ273" i="17"/>
  <c r="BK273" i="17" s="1"/>
  <c r="BQ272" i="17"/>
  <c r="BO274" i="17"/>
  <c r="BK272" i="17"/>
  <c r="BI274" i="17"/>
  <c r="BC274" i="17"/>
  <c r="BD273" i="17"/>
  <c r="AX273" i="17"/>
  <c r="AY273" i="17" s="1"/>
  <c r="AY272" i="17"/>
  <c r="AW274" i="17"/>
  <c r="AE274" i="7"/>
  <c r="AF274" i="7" s="1"/>
  <c r="AG273" i="7"/>
  <c r="AH272" i="7"/>
  <c r="BP274" i="17" l="1"/>
  <c r="BQ274" i="17" s="1"/>
  <c r="CF273" i="17"/>
  <c r="CG273" i="17" s="1"/>
  <c r="CG272" i="17"/>
  <c r="CE274" i="17"/>
  <c r="CA275" i="17"/>
  <c r="CB274" i="17"/>
  <c r="BU275" i="17"/>
  <c r="BV274" i="17"/>
  <c r="BO275" i="17"/>
  <c r="AX274" i="17"/>
  <c r="AY274" i="17" s="1"/>
  <c r="BD274" i="17"/>
  <c r="BE274" i="17" s="1"/>
  <c r="BI275" i="17"/>
  <c r="BJ274" i="17"/>
  <c r="BE273" i="17"/>
  <c r="BC275" i="17"/>
  <c r="AW275" i="17"/>
  <c r="AH273" i="7"/>
  <c r="AG274" i="7"/>
  <c r="AE275" i="7"/>
  <c r="AF275" i="7"/>
  <c r="CB275" i="17" l="1"/>
  <c r="CC275" i="17" s="1"/>
  <c r="BV275" i="17"/>
  <c r="BW275" i="17" s="1"/>
  <c r="CE275" i="17"/>
  <c r="CF274" i="17"/>
  <c r="CC274" i="17"/>
  <c r="CA276" i="17"/>
  <c r="BW274" i="17"/>
  <c r="AX275" i="17"/>
  <c r="AY275" i="17" s="1"/>
  <c r="BU276" i="17"/>
  <c r="BJ275" i="17"/>
  <c r="BK275" i="17" s="1"/>
  <c r="BO276" i="17"/>
  <c r="BP275" i="17"/>
  <c r="BK274" i="17"/>
  <c r="BI276" i="17"/>
  <c r="BC276" i="17"/>
  <c r="BD275" i="17"/>
  <c r="AW276" i="17"/>
  <c r="AG275" i="7"/>
  <c r="AH274" i="7"/>
  <c r="AE276" i="7"/>
  <c r="AF276" i="7" s="1"/>
  <c r="CF275" i="17" l="1"/>
  <c r="CG275" i="17" s="1"/>
  <c r="CE276" i="17"/>
  <c r="CG274" i="17"/>
  <c r="CA277" i="17"/>
  <c r="CB276" i="17"/>
  <c r="AX276" i="17"/>
  <c r="AY276" i="17" s="1"/>
  <c r="BU277" i="17"/>
  <c r="BV276" i="17"/>
  <c r="BP276" i="17"/>
  <c r="BQ276" i="17" s="1"/>
  <c r="BQ275" i="17"/>
  <c r="BO277" i="17"/>
  <c r="BD276" i="17"/>
  <c r="BE276" i="17" s="1"/>
  <c r="BI277" i="17"/>
  <c r="BJ276" i="17"/>
  <c r="BE275" i="17"/>
  <c r="BC277" i="17"/>
  <c r="AW277" i="17"/>
  <c r="AE277" i="7"/>
  <c r="AF277" i="7" s="1"/>
  <c r="AH275" i="7"/>
  <c r="AG276" i="7"/>
  <c r="CF276" i="17" l="1"/>
  <c r="CG276" i="17" s="1"/>
  <c r="CB277" i="17"/>
  <c r="CC277" i="17" s="1"/>
  <c r="CE277" i="17"/>
  <c r="CC276" i="17"/>
  <c r="CA278" i="17"/>
  <c r="BV277" i="17"/>
  <c r="BW277" i="17" s="1"/>
  <c r="BW276" i="17"/>
  <c r="BU278" i="17"/>
  <c r="BO278" i="17"/>
  <c r="BP277" i="17"/>
  <c r="BJ277" i="17"/>
  <c r="BK277" i="17" s="1"/>
  <c r="BK276" i="17"/>
  <c r="BI278" i="17"/>
  <c r="BC278" i="17"/>
  <c r="BD277" i="17"/>
  <c r="AW278" i="17"/>
  <c r="AX277" i="17"/>
  <c r="AG277" i="7"/>
  <c r="AH276" i="7"/>
  <c r="AE278" i="7"/>
  <c r="AF278" i="7" s="1"/>
  <c r="CE278" i="17" l="1"/>
  <c r="CF277" i="17"/>
  <c r="BP278" i="17"/>
  <c r="CA279" i="17"/>
  <c r="CB278" i="17"/>
  <c r="BU279" i="17"/>
  <c r="BV278" i="17"/>
  <c r="BQ277" i="17"/>
  <c r="BO279" i="17"/>
  <c r="BQ278" i="17"/>
  <c r="BI279" i="17"/>
  <c r="BJ278" i="17"/>
  <c r="BD278" i="17"/>
  <c r="BE278" i="17" s="1"/>
  <c r="BE277" i="17"/>
  <c r="BC279" i="17"/>
  <c r="AX278" i="17"/>
  <c r="AY278" i="17" s="1"/>
  <c r="AY277" i="17"/>
  <c r="AW279" i="17"/>
  <c r="AE279" i="7"/>
  <c r="AF279" i="7"/>
  <c r="AH277" i="7"/>
  <c r="AG278" i="7"/>
  <c r="CF278" i="17" l="1"/>
  <c r="CG278" i="17" s="1"/>
  <c r="CB279" i="17"/>
  <c r="CC279" i="17" s="1"/>
  <c r="CG277" i="17"/>
  <c r="CE279" i="17"/>
  <c r="CC278" i="17"/>
  <c r="CA280" i="17"/>
  <c r="BV279" i="17"/>
  <c r="BW279" i="17" s="1"/>
  <c r="BW278" i="17"/>
  <c r="BU280" i="17"/>
  <c r="BJ279" i="17"/>
  <c r="BK279" i="17" s="1"/>
  <c r="BO280" i="17"/>
  <c r="BP279" i="17"/>
  <c r="BK278" i="17"/>
  <c r="BI280" i="17"/>
  <c r="BC280" i="17"/>
  <c r="BD279" i="17"/>
  <c r="AW280" i="17"/>
  <c r="AX279" i="17"/>
  <c r="AG279" i="7"/>
  <c r="AH278" i="7"/>
  <c r="AE280" i="7"/>
  <c r="AF280" i="7" s="1"/>
  <c r="CE280" i="17" l="1"/>
  <c r="CF279" i="17"/>
  <c r="CA281" i="17"/>
  <c r="CB280" i="17"/>
  <c r="BP280" i="17"/>
  <c r="BU281" i="17"/>
  <c r="BV280" i="17"/>
  <c r="BD280" i="17"/>
  <c r="BE280" i="17" s="1"/>
  <c r="BQ279" i="17"/>
  <c r="BO281" i="17"/>
  <c r="BQ280" i="17"/>
  <c r="BI281" i="17"/>
  <c r="BJ280" i="17"/>
  <c r="AX280" i="17"/>
  <c r="AY280" i="17" s="1"/>
  <c r="BE279" i="17"/>
  <c r="BC281" i="17"/>
  <c r="AY279" i="17"/>
  <c r="AW281" i="17"/>
  <c r="AE281" i="7"/>
  <c r="AF281" i="7"/>
  <c r="AH279" i="7"/>
  <c r="AG280" i="7"/>
  <c r="CF280" i="17" l="1"/>
  <c r="CG280" i="17" s="1"/>
  <c r="CG279" i="17"/>
  <c r="CE281" i="17"/>
  <c r="CA282" i="17"/>
  <c r="CB281" i="17"/>
  <c r="CC280" i="17"/>
  <c r="BV281" i="17"/>
  <c r="BW281" i="17" s="1"/>
  <c r="BW280" i="17"/>
  <c r="BU282" i="17"/>
  <c r="BO282" i="17"/>
  <c r="BP281" i="17"/>
  <c r="BJ281" i="17"/>
  <c r="BK281" i="17" s="1"/>
  <c r="BK280" i="17"/>
  <c r="BI282" i="17"/>
  <c r="AX281" i="17"/>
  <c r="AY281" i="17" s="1"/>
  <c r="BC282" i="17"/>
  <c r="BD281" i="17"/>
  <c r="AW282" i="17"/>
  <c r="AG281" i="7"/>
  <c r="AH280" i="7"/>
  <c r="AE282" i="7"/>
  <c r="CE282" i="17" l="1"/>
  <c r="CF281" i="17"/>
  <c r="CB282" i="17"/>
  <c r="BP282" i="17"/>
  <c r="BQ282" i="17" s="1"/>
  <c r="CC281" i="17"/>
  <c r="CA283" i="17"/>
  <c r="CC282" i="17"/>
  <c r="BU283" i="17"/>
  <c r="BV282" i="17"/>
  <c r="BQ281" i="17"/>
  <c r="BO283" i="17"/>
  <c r="BI283" i="17"/>
  <c r="BJ282" i="17"/>
  <c r="AX282" i="17"/>
  <c r="AY282" i="17" s="1"/>
  <c r="BD282" i="17"/>
  <c r="BE282" i="17" s="1"/>
  <c r="BE281" i="17"/>
  <c r="BC283" i="17"/>
  <c r="AW283" i="17"/>
  <c r="AE283" i="7"/>
  <c r="AF283" i="7"/>
  <c r="AF282" i="7"/>
  <c r="AG282" i="7"/>
  <c r="AH281" i="7"/>
  <c r="BV283" i="17" l="1"/>
  <c r="BW283" i="17" s="1"/>
  <c r="CF282" i="17"/>
  <c r="CG282" i="17" s="1"/>
  <c r="CG281" i="17"/>
  <c r="CE283" i="17"/>
  <c r="BJ283" i="17"/>
  <c r="BK283" i="17" s="1"/>
  <c r="CA284" i="17"/>
  <c r="CB283" i="17"/>
  <c r="AX283" i="17"/>
  <c r="AY283" i="17" s="1"/>
  <c r="BW282" i="17"/>
  <c r="BU284" i="17"/>
  <c r="BO284" i="17"/>
  <c r="BP283" i="17"/>
  <c r="BK282" i="17"/>
  <c r="BI284" i="17"/>
  <c r="BC284" i="17"/>
  <c r="BD283" i="17"/>
  <c r="AW284" i="17"/>
  <c r="AH282" i="7"/>
  <c r="AG283" i="7"/>
  <c r="AE284" i="7"/>
  <c r="AF284" i="7"/>
  <c r="BV284" i="17" l="1"/>
  <c r="BW284" i="17" s="1"/>
  <c r="CB284" i="17"/>
  <c r="CC284" i="17" s="1"/>
  <c r="CE284" i="17"/>
  <c r="CF283" i="17"/>
  <c r="CC283" i="17"/>
  <c r="CA285" i="17"/>
  <c r="AX284" i="17"/>
  <c r="AY284" i="17" s="1"/>
  <c r="BU285" i="17"/>
  <c r="BP284" i="17"/>
  <c r="BQ284" i="17" s="1"/>
  <c r="BQ283" i="17"/>
  <c r="BO285" i="17"/>
  <c r="BI285" i="17"/>
  <c r="BJ284" i="17"/>
  <c r="BD284" i="17"/>
  <c r="BE284" i="17" s="1"/>
  <c r="BE283" i="17"/>
  <c r="BC285" i="17"/>
  <c r="AW285" i="17"/>
  <c r="AE285" i="7"/>
  <c r="AF285" i="7"/>
  <c r="AG284" i="7"/>
  <c r="AH283" i="7"/>
  <c r="BV285" i="17" l="1"/>
  <c r="BW285" i="17" s="1"/>
  <c r="CF284" i="17"/>
  <c r="CG284" i="17" s="1"/>
  <c r="CG283" i="17"/>
  <c r="CE285" i="17"/>
  <c r="CA286" i="17"/>
  <c r="CB285" i="17"/>
  <c r="BU286" i="17"/>
  <c r="BJ285" i="17"/>
  <c r="BK285" i="17" s="1"/>
  <c r="BO286" i="17"/>
  <c r="BP285" i="17"/>
  <c r="BK284" i="17"/>
  <c r="BI286" i="17"/>
  <c r="BC286" i="17"/>
  <c r="BD285" i="17"/>
  <c r="AW286" i="17"/>
  <c r="AX285" i="17"/>
  <c r="AG285" i="7"/>
  <c r="AH284" i="7"/>
  <c r="AE286" i="7"/>
  <c r="AF286" i="7" s="1"/>
  <c r="CE286" i="17" l="1"/>
  <c r="CF285" i="17"/>
  <c r="CB286" i="17"/>
  <c r="CC286" i="17" s="1"/>
  <c r="CC285" i="17"/>
  <c r="CA287" i="17"/>
  <c r="BU287" i="17"/>
  <c r="BV286" i="17"/>
  <c r="BP286" i="17"/>
  <c r="BQ286" i="17" s="1"/>
  <c r="BQ285" i="17"/>
  <c r="BO287" i="17"/>
  <c r="BI287" i="17"/>
  <c r="BJ286" i="17"/>
  <c r="BD286" i="17"/>
  <c r="BE286" i="17" s="1"/>
  <c r="BE285" i="17"/>
  <c r="BC287" i="17"/>
  <c r="AX286" i="17"/>
  <c r="AY286" i="17" s="1"/>
  <c r="AY285" i="17"/>
  <c r="AW287" i="17"/>
  <c r="AE287" i="7"/>
  <c r="AF287" i="7"/>
  <c r="AH285" i="7"/>
  <c r="AG286" i="7"/>
  <c r="CF286" i="17" l="1"/>
  <c r="CG286" i="17" s="1"/>
  <c r="CG285" i="17"/>
  <c r="CE287" i="17"/>
  <c r="CA288" i="17"/>
  <c r="CB287" i="17"/>
  <c r="BV287" i="17"/>
  <c r="BW287" i="17" s="1"/>
  <c r="BW286" i="17"/>
  <c r="BU288" i="17"/>
  <c r="BJ287" i="17"/>
  <c r="BK287" i="17" s="1"/>
  <c r="BO288" i="17"/>
  <c r="BP287" i="17"/>
  <c r="BK286" i="17"/>
  <c r="BI288" i="17"/>
  <c r="BC288" i="17"/>
  <c r="BD287" i="17"/>
  <c r="AW288" i="17"/>
  <c r="AX287" i="17"/>
  <c r="AG287" i="7"/>
  <c r="AH286" i="7"/>
  <c r="AE288" i="7"/>
  <c r="AF288" i="7"/>
  <c r="CB288" i="17" l="1"/>
  <c r="CC288" i="17" s="1"/>
  <c r="CE288" i="17"/>
  <c r="CF287" i="17"/>
  <c r="CC287" i="17"/>
  <c r="CA289" i="17"/>
  <c r="BD288" i="17"/>
  <c r="BE288" i="17" s="1"/>
  <c r="BP288" i="17"/>
  <c r="BQ288" i="17" s="1"/>
  <c r="BU289" i="17"/>
  <c r="BV288" i="17"/>
  <c r="BQ287" i="17"/>
  <c r="BO289" i="17"/>
  <c r="BI289" i="17"/>
  <c r="BJ288" i="17"/>
  <c r="AX288" i="17"/>
  <c r="AY288" i="17" s="1"/>
  <c r="BE287" i="17"/>
  <c r="BC289" i="17"/>
  <c r="AY287" i="17"/>
  <c r="AW289" i="17"/>
  <c r="AE289" i="7"/>
  <c r="AF289" i="7"/>
  <c r="AG288" i="7"/>
  <c r="AH287" i="7"/>
  <c r="CF288" i="17" l="1"/>
  <c r="CG288" i="17" s="1"/>
  <c r="BV289" i="17"/>
  <c r="BW289" i="17" s="1"/>
  <c r="CG287" i="17"/>
  <c r="CE289" i="17"/>
  <c r="CA290" i="17"/>
  <c r="CB289" i="17"/>
  <c r="BU290" i="17"/>
  <c r="BW288" i="17"/>
  <c r="BJ289" i="17"/>
  <c r="BK289" i="17" s="1"/>
  <c r="BO290" i="17"/>
  <c r="BP289" i="17"/>
  <c r="BK288" i="17"/>
  <c r="BI290" i="17"/>
  <c r="BC290" i="17"/>
  <c r="BD289" i="17"/>
  <c r="AW290" i="17"/>
  <c r="AX289" i="17"/>
  <c r="AH288" i="7"/>
  <c r="AG289" i="7"/>
  <c r="AE290" i="7"/>
  <c r="AF290" i="7"/>
  <c r="BV290" i="17" l="1"/>
  <c r="BW290" i="17" s="1"/>
  <c r="CF289" i="17"/>
  <c r="CG289" i="17" s="1"/>
  <c r="BJ290" i="17"/>
  <c r="BK290" i="17" s="1"/>
  <c r="CE290" i="17"/>
  <c r="CB290" i="17"/>
  <c r="CC290" i="17" s="1"/>
  <c r="CC289" i="17"/>
  <c r="CA291" i="17"/>
  <c r="BU291" i="17"/>
  <c r="BP290" i="17"/>
  <c r="BQ290" i="17" s="1"/>
  <c r="BQ289" i="17"/>
  <c r="BO291" i="17"/>
  <c r="BD290" i="17"/>
  <c r="BE290" i="17" s="1"/>
  <c r="BI291" i="17"/>
  <c r="BE289" i="17"/>
  <c r="BC291" i="17"/>
  <c r="AX290" i="17"/>
  <c r="AY290" i="17" s="1"/>
  <c r="AY289" i="17"/>
  <c r="AW291" i="17"/>
  <c r="AE291" i="7"/>
  <c r="AF291" i="7" s="1"/>
  <c r="AG290" i="7"/>
  <c r="AH289" i="7"/>
  <c r="BJ291" i="17" l="1"/>
  <c r="BK291" i="17" s="1"/>
  <c r="CE291" i="17"/>
  <c r="CF290" i="17"/>
  <c r="CA292" i="17"/>
  <c r="CB291" i="17"/>
  <c r="BU292" i="17"/>
  <c r="BV291" i="17"/>
  <c r="BO292" i="17"/>
  <c r="BP291" i="17"/>
  <c r="BI292" i="17"/>
  <c r="BC292" i="17"/>
  <c r="BD291" i="17"/>
  <c r="AW292" i="17"/>
  <c r="AX291" i="17"/>
  <c r="AG291" i="7"/>
  <c r="AH290" i="7"/>
  <c r="AE292" i="7"/>
  <c r="AF292" i="7" s="1"/>
  <c r="CF291" i="17" l="1"/>
  <c r="CG291" i="17" s="1"/>
  <c r="CG290" i="17"/>
  <c r="CE292" i="17"/>
  <c r="CB292" i="17"/>
  <c r="CC292" i="17" s="1"/>
  <c r="CC291" i="17"/>
  <c r="BV292" i="17"/>
  <c r="CA293" i="17"/>
  <c r="CB293" i="17" s="1"/>
  <c r="BW291" i="17"/>
  <c r="BU293" i="17"/>
  <c r="BV293" i="17" s="1"/>
  <c r="BW292" i="17"/>
  <c r="BP292" i="17"/>
  <c r="BQ292" i="17" s="1"/>
  <c r="BQ291" i="17"/>
  <c r="BO293" i="17"/>
  <c r="BI293" i="17"/>
  <c r="BJ292" i="17"/>
  <c r="BD292" i="17"/>
  <c r="BE292" i="17" s="1"/>
  <c r="BE291" i="17"/>
  <c r="BC293" i="17"/>
  <c r="AX292" i="17"/>
  <c r="AY292" i="17" s="1"/>
  <c r="AY291" i="17"/>
  <c r="AW293" i="17"/>
  <c r="AE293" i="7"/>
  <c r="AF293" i="7" s="1"/>
  <c r="AH291" i="7"/>
  <c r="AG292" i="7"/>
  <c r="CE293" i="17" l="1"/>
  <c r="CF292" i="17"/>
  <c r="CA294" i="17"/>
  <c r="CC293" i="17"/>
  <c r="BU294" i="17"/>
  <c r="BW293" i="17"/>
  <c r="BD293" i="17"/>
  <c r="BE293" i="17" s="1"/>
  <c r="BO294" i="17"/>
  <c r="BP293" i="17"/>
  <c r="BJ293" i="17"/>
  <c r="BK293" i="17" s="1"/>
  <c r="BK292" i="17"/>
  <c r="BI294" i="17"/>
  <c r="BC294" i="17"/>
  <c r="AW294" i="17"/>
  <c r="AX293" i="17"/>
  <c r="AG293" i="7"/>
  <c r="AH292" i="7"/>
  <c r="AE294" i="7"/>
  <c r="AF294" i="7" s="1"/>
  <c r="CF293" i="17" l="1"/>
  <c r="CG293" i="17" s="1"/>
  <c r="BD294" i="17"/>
  <c r="BE294" i="17" s="1"/>
  <c r="CG292" i="17"/>
  <c r="CE294" i="17"/>
  <c r="CA295" i="17"/>
  <c r="CB294" i="17"/>
  <c r="BP294" i="17"/>
  <c r="BQ294" i="17" s="1"/>
  <c r="BU295" i="17"/>
  <c r="BV294" i="17"/>
  <c r="BQ293" i="17"/>
  <c r="BO295" i="17"/>
  <c r="BI295" i="17"/>
  <c r="BJ294" i="17"/>
  <c r="BC295" i="17"/>
  <c r="AX294" i="17"/>
  <c r="AY294" i="17" s="1"/>
  <c r="AY293" i="17"/>
  <c r="AW295" i="17"/>
  <c r="AE295" i="7"/>
  <c r="AF295" i="7"/>
  <c r="AG294" i="7"/>
  <c r="AH293" i="7"/>
  <c r="BD295" i="17" l="1"/>
  <c r="BE295" i="17" s="1"/>
  <c r="CB295" i="17"/>
  <c r="CC295" i="17" s="1"/>
  <c r="CE295" i="17"/>
  <c r="CF294" i="17"/>
  <c r="BJ295" i="17"/>
  <c r="BK295" i="17" s="1"/>
  <c r="BV295" i="17"/>
  <c r="CC294" i="17"/>
  <c r="CA296" i="17"/>
  <c r="BW294" i="17"/>
  <c r="BU296" i="17"/>
  <c r="BV296" i="17" s="1"/>
  <c r="BW295" i="17"/>
  <c r="BO296" i="17"/>
  <c r="BP295" i="17"/>
  <c r="BK294" i="17"/>
  <c r="BI296" i="17"/>
  <c r="BC296" i="17"/>
  <c r="AW296" i="17"/>
  <c r="AX295" i="17"/>
  <c r="AH294" i="7"/>
  <c r="AG295" i="7"/>
  <c r="AE296" i="7"/>
  <c r="AF296" i="7"/>
  <c r="BD296" i="17" l="1"/>
  <c r="BE296" i="17" s="1"/>
  <c r="CF295" i="17"/>
  <c r="CG295" i="17" s="1"/>
  <c r="CG294" i="17"/>
  <c r="CE296" i="17"/>
  <c r="CA297" i="17"/>
  <c r="CB296" i="17"/>
  <c r="BP296" i="17"/>
  <c r="BQ296" i="17" s="1"/>
  <c r="BU297" i="17"/>
  <c r="BW296" i="17"/>
  <c r="BQ295" i="17"/>
  <c r="BO297" i="17"/>
  <c r="BI297" i="17"/>
  <c r="BJ296" i="17"/>
  <c r="BC297" i="17"/>
  <c r="AW297" i="17"/>
  <c r="AX296" i="17"/>
  <c r="AY295" i="17"/>
  <c r="AE297" i="7"/>
  <c r="AF297" i="7"/>
  <c r="AG296" i="7"/>
  <c r="AH295" i="7"/>
  <c r="CB297" i="17" l="1"/>
  <c r="CC297" i="17" s="1"/>
  <c r="CE297" i="17"/>
  <c r="CF296" i="17"/>
  <c r="CC296" i="17"/>
  <c r="CA298" i="17"/>
  <c r="BU298" i="17"/>
  <c r="BV297" i="17"/>
  <c r="BJ297" i="17"/>
  <c r="BK297" i="17" s="1"/>
  <c r="BO298" i="17"/>
  <c r="BP297" i="17"/>
  <c r="BK296" i="17"/>
  <c r="BI298" i="17"/>
  <c r="BC298" i="17"/>
  <c r="BD297" i="17"/>
  <c r="AX297" i="17"/>
  <c r="AY297" i="17" s="1"/>
  <c r="AY296" i="17"/>
  <c r="AW298" i="17"/>
  <c r="AH296" i="7"/>
  <c r="AG297" i="7"/>
  <c r="AE298" i="7"/>
  <c r="AF298" i="7"/>
  <c r="CB298" i="17" l="1"/>
  <c r="CC298" i="17" s="1"/>
  <c r="CF297" i="17"/>
  <c r="CG297" i="17" s="1"/>
  <c r="BV298" i="17"/>
  <c r="BW298" i="17" s="1"/>
  <c r="CG296" i="17"/>
  <c r="CE298" i="17"/>
  <c r="BP298" i="17"/>
  <c r="BQ298" i="17" s="1"/>
  <c r="CA299" i="17"/>
  <c r="BW297" i="17"/>
  <c r="BU299" i="17"/>
  <c r="BQ297" i="17"/>
  <c r="BO299" i="17"/>
  <c r="BD298" i="17"/>
  <c r="BE298" i="17" s="1"/>
  <c r="BI299" i="17"/>
  <c r="BJ298" i="17"/>
  <c r="BE297" i="17"/>
  <c r="BC299" i="17"/>
  <c r="AX298" i="17"/>
  <c r="AY298" i="17" s="1"/>
  <c r="AW299" i="17"/>
  <c r="AE299" i="7"/>
  <c r="AF299" i="7"/>
  <c r="AH297" i="7"/>
  <c r="AG298" i="7"/>
  <c r="CE299" i="17" l="1"/>
  <c r="CF298" i="17"/>
  <c r="CA300" i="17"/>
  <c r="CB299" i="17"/>
  <c r="BU300" i="17"/>
  <c r="BV299" i="17"/>
  <c r="BO300" i="17"/>
  <c r="BP299" i="17"/>
  <c r="BJ299" i="17"/>
  <c r="BK299" i="17" s="1"/>
  <c r="BK298" i="17"/>
  <c r="BI300" i="17"/>
  <c r="BC300" i="17"/>
  <c r="BD299" i="17"/>
  <c r="AW300" i="17"/>
  <c r="AX299" i="17"/>
  <c r="AH298" i="7"/>
  <c r="AG299" i="7"/>
  <c r="AE300" i="7"/>
  <c r="AF300" i="7"/>
  <c r="BJ300" i="17" l="1"/>
  <c r="CF299" i="17"/>
  <c r="CG299" i="17" s="1"/>
  <c r="BV300" i="17"/>
  <c r="BW300" i="17" s="1"/>
  <c r="CG298" i="17"/>
  <c r="CE300" i="17"/>
  <c r="CB300" i="17"/>
  <c r="CC300" i="17" s="1"/>
  <c r="CC299" i="17"/>
  <c r="CA301" i="17"/>
  <c r="BP300" i="17"/>
  <c r="BQ300" i="17" s="1"/>
  <c r="BW299" i="17"/>
  <c r="BU301" i="17"/>
  <c r="BQ299" i="17"/>
  <c r="BO301" i="17"/>
  <c r="BD300" i="17"/>
  <c r="BE300" i="17" s="1"/>
  <c r="BI301" i="17"/>
  <c r="BK300" i="17"/>
  <c r="AX300" i="17"/>
  <c r="AY300" i="17" s="1"/>
  <c r="BE299" i="17"/>
  <c r="BC301" i="17"/>
  <c r="AY299" i="17"/>
  <c r="AW301" i="17"/>
  <c r="AE301" i="7"/>
  <c r="AF301" i="7" s="1"/>
  <c r="AG300" i="7"/>
  <c r="AH299" i="7"/>
  <c r="CE301" i="17" l="1"/>
  <c r="CF300" i="17"/>
  <c r="CA302" i="17"/>
  <c r="CB301" i="17"/>
  <c r="BU302" i="17"/>
  <c r="BV301" i="17"/>
  <c r="BO302" i="17"/>
  <c r="BP301" i="17"/>
  <c r="BI302" i="17"/>
  <c r="BJ301" i="17"/>
  <c r="BC302" i="17"/>
  <c r="BD301" i="17"/>
  <c r="AW302" i="17"/>
  <c r="AX301" i="17"/>
  <c r="AH300" i="7"/>
  <c r="AG301" i="7"/>
  <c r="AE302" i="7"/>
  <c r="CF301" i="17" l="1"/>
  <c r="CG301" i="17" s="1"/>
  <c r="CB302" i="17"/>
  <c r="CC302" i="17" s="1"/>
  <c r="CG300" i="17"/>
  <c r="CE302" i="17"/>
  <c r="CC301" i="17"/>
  <c r="CA303" i="17"/>
  <c r="BV302" i="17"/>
  <c r="BW302" i="17" s="1"/>
  <c r="BP302" i="17"/>
  <c r="BQ302" i="17" s="1"/>
  <c r="BW301" i="17"/>
  <c r="BU303" i="17"/>
  <c r="BQ301" i="17"/>
  <c r="BO303" i="17"/>
  <c r="BD302" i="17"/>
  <c r="BE302" i="17" s="1"/>
  <c r="BJ302" i="17"/>
  <c r="BK302" i="17" s="1"/>
  <c r="BK301" i="17"/>
  <c r="BI303" i="17"/>
  <c r="BE301" i="17"/>
  <c r="BC303" i="17"/>
  <c r="AX302" i="17"/>
  <c r="AY302" i="17" s="1"/>
  <c r="AY301" i="17"/>
  <c r="AW303" i="17"/>
  <c r="AE303" i="7"/>
  <c r="AF303" i="7" s="1"/>
  <c r="AF302" i="7"/>
  <c r="AG302" i="7"/>
  <c r="AH301" i="7"/>
  <c r="CE303" i="17" l="1"/>
  <c r="CF302" i="17"/>
  <c r="CA304" i="17"/>
  <c r="CB303" i="17"/>
  <c r="BU304" i="17"/>
  <c r="BV303" i="17"/>
  <c r="BO304" i="17"/>
  <c r="BP303" i="17"/>
  <c r="BI304" i="17"/>
  <c r="BJ303" i="17"/>
  <c r="BC304" i="17"/>
  <c r="BD303" i="17"/>
  <c r="AW304" i="17"/>
  <c r="AX303" i="17"/>
  <c r="AH302" i="7"/>
  <c r="AG303" i="7"/>
  <c r="AE304" i="7"/>
  <c r="AF304" i="7"/>
  <c r="CB304" i="17" l="1"/>
  <c r="CC304" i="17" s="1"/>
  <c r="CF303" i="17"/>
  <c r="CG303" i="17" s="1"/>
  <c r="CG302" i="17"/>
  <c r="CE304" i="17"/>
  <c r="CC303" i="17"/>
  <c r="BV304" i="17"/>
  <c r="BW304" i="17" s="1"/>
  <c r="CA305" i="17"/>
  <c r="BP304" i="17"/>
  <c r="BQ304" i="17" s="1"/>
  <c r="BW303" i="17"/>
  <c r="BU305" i="17"/>
  <c r="BJ304" i="17"/>
  <c r="BK304" i="17" s="1"/>
  <c r="BQ303" i="17"/>
  <c r="BO305" i="17"/>
  <c r="BK303" i="17"/>
  <c r="BI305" i="17"/>
  <c r="AX304" i="17"/>
  <c r="AY304" i="17" s="1"/>
  <c r="BD304" i="17"/>
  <c r="BE304" i="17" s="1"/>
  <c r="BE303" i="17"/>
  <c r="BC305" i="17"/>
  <c r="AY303" i="17"/>
  <c r="AW305" i="17"/>
  <c r="AE305" i="7"/>
  <c r="AF305" i="7"/>
  <c r="AH303" i="7"/>
  <c r="AG304" i="7"/>
  <c r="CE305" i="17" l="1"/>
  <c r="CF304" i="17"/>
  <c r="CA306" i="17"/>
  <c r="CB305" i="17"/>
  <c r="BU306" i="17"/>
  <c r="BV305" i="17"/>
  <c r="BO306" i="17"/>
  <c r="BP305" i="17"/>
  <c r="BI306" i="17"/>
  <c r="BJ305" i="17"/>
  <c r="BC306" i="17"/>
  <c r="BD305" i="17"/>
  <c r="AW306" i="17"/>
  <c r="AX305" i="17"/>
  <c r="AH304" i="7"/>
  <c r="AG305" i="7"/>
  <c r="AE306" i="7"/>
  <c r="CF305" i="17" l="1"/>
  <c r="CG305" i="17" s="1"/>
  <c r="CG304" i="17"/>
  <c r="CE306" i="17"/>
  <c r="CB306" i="17"/>
  <c r="CC305" i="17"/>
  <c r="BV306" i="17"/>
  <c r="BW306" i="17" s="1"/>
  <c r="CA307" i="17"/>
  <c r="CC306" i="17"/>
  <c r="BP306" i="17"/>
  <c r="BQ306" i="17" s="1"/>
  <c r="BW305" i="17"/>
  <c r="BU307" i="17"/>
  <c r="BJ306" i="17"/>
  <c r="BK306" i="17" s="1"/>
  <c r="BQ305" i="17"/>
  <c r="BO307" i="17"/>
  <c r="BK305" i="17"/>
  <c r="BI307" i="17"/>
  <c r="BD306" i="17"/>
  <c r="BE306" i="17" s="1"/>
  <c r="AX306" i="17"/>
  <c r="AY306" i="17" s="1"/>
  <c r="BE305" i="17"/>
  <c r="BC307" i="17"/>
  <c r="AY305" i="17"/>
  <c r="AW307" i="17"/>
  <c r="AE307" i="7"/>
  <c r="AF307" i="7" s="1"/>
  <c r="AG306" i="7"/>
  <c r="AH305" i="7"/>
  <c r="AF306" i="7"/>
  <c r="CE307" i="17" l="1"/>
  <c r="CF306" i="17"/>
  <c r="CA308" i="17"/>
  <c r="CB307" i="17"/>
  <c r="BU308" i="17"/>
  <c r="BV307" i="17"/>
  <c r="BO308" i="17"/>
  <c r="BP307" i="17"/>
  <c r="BI308" i="17"/>
  <c r="BJ307" i="17"/>
  <c r="BC308" i="17"/>
  <c r="BD307" i="17"/>
  <c r="AW308" i="17"/>
  <c r="AX307" i="17"/>
  <c r="AH306" i="7"/>
  <c r="AG307" i="7"/>
  <c r="AE308" i="7"/>
  <c r="AF308" i="7"/>
  <c r="CF307" i="17" l="1"/>
  <c r="CG307" i="17" s="1"/>
  <c r="BV308" i="17"/>
  <c r="BW308" i="17" s="1"/>
  <c r="CB308" i="17"/>
  <c r="CG306" i="17"/>
  <c r="CE308" i="17"/>
  <c r="BP308" i="17"/>
  <c r="BQ308" i="17" s="1"/>
  <c r="CC307" i="17"/>
  <c r="CA309" i="17"/>
  <c r="CB309" i="17" s="1"/>
  <c r="CC308" i="17"/>
  <c r="BW307" i="17"/>
  <c r="BU309" i="17"/>
  <c r="BJ308" i="17"/>
  <c r="BK308" i="17" s="1"/>
  <c r="BQ307" i="17"/>
  <c r="BO309" i="17"/>
  <c r="BK307" i="17"/>
  <c r="BI309" i="17"/>
  <c r="BD308" i="17"/>
  <c r="BE308" i="17" s="1"/>
  <c r="BE307" i="17"/>
  <c r="BC309" i="17"/>
  <c r="AX308" i="17"/>
  <c r="AY308" i="17" s="1"/>
  <c r="AY307" i="17"/>
  <c r="AW309" i="17"/>
  <c r="AE309" i="7"/>
  <c r="AF309" i="7"/>
  <c r="AH307" i="7"/>
  <c r="AG308" i="7"/>
  <c r="CE309" i="17" l="1"/>
  <c r="CF308" i="17"/>
  <c r="CA310" i="17"/>
  <c r="CC309" i="17"/>
  <c r="BU310" i="17"/>
  <c r="BV309" i="17"/>
  <c r="BD309" i="17"/>
  <c r="BE309" i="17" s="1"/>
  <c r="BO310" i="17"/>
  <c r="BP309" i="17"/>
  <c r="BI310" i="17"/>
  <c r="BJ309" i="17"/>
  <c r="BC310" i="17"/>
  <c r="AW310" i="17"/>
  <c r="AX309" i="17"/>
  <c r="AH308" i="7"/>
  <c r="AG309" i="7"/>
  <c r="AE310" i="7"/>
  <c r="AF310" i="7"/>
  <c r="CF309" i="17" l="1"/>
  <c r="CG309" i="17" s="1"/>
  <c r="CG308" i="17"/>
  <c r="BD310" i="17"/>
  <c r="BE310" i="17" s="1"/>
  <c r="CE310" i="17"/>
  <c r="CA311" i="17"/>
  <c r="CB310" i="17"/>
  <c r="BP310" i="17"/>
  <c r="BQ310" i="17" s="1"/>
  <c r="BV310" i="17"/>
  <c r="BW310" i="17" s="1"/>
  <c r="BW309" i="17"/>
  <c r="BU311" i="17"/>
  <c r="BJ310" i="17"/>
  <c r="BK310" i="17" s="1"/>
  <c r="BQ309" i="17"/>
  <c r="BO311" i="17"/>
  <c r="BK309" i="17"/>
  <c r="BI311" i="17"/>
  <c r="BC311" i="17"/>
  <c r="AX310" i="17"/>
  <c r="AY310" i="17" s="1"/>
  <c r="AY309" i="17"/>
  <c r="AW311" i="17"/>
  <c r="AG310" i="7"/>
  <c r="AH309" i="7"/>
  <c r="AE311" i="7"/>
  <c r="AF311" i="7" s="1"/>
  <c r="CB311" i="17" l="1"/>
  <c r="CC311" i="17" s="1"/>
  <c r="CE311" i="17"/>
  <c r="CF310" i="17"/>
  <c r="CC310" i="17"/>
  <c r="CA312" i="17"/>
  <c r="BU312" i="17"/>
  <c r="BV311" i="17"/>
  <c r="BO312" i="17"/>
  <c r="BP311" i="17"/>
  <c r="BI312" i="17"/>
  <c r="BJ311" i="17"/>
  <c r="BC312" i="17"/>
  <c r="BD311" i="17"/>
  <c r="AW312" i="17"/>
  <c r="AX311" i="17"/>
  <c r="AE312" i="7"/>
  <c r="AF312" i="7" s="1"/>
  <c r="AH310" i="7"/>
  <c r="AG311" i="7"/>
  <c r="CF311" i="17" l="1"/>
  <c r="CG311" i="17" s="1"/>
  <c r="CG310" i="17"/>
  <c r="CE312" i="17"/>
  <c r="CA313" i="17"/>
  <c r="CB312" i="17"/>
  <c r="BV312" i="17"/>
  <c r="BW312" i="17" s="1"/>
  <c r="BW311" i="17"/>
  <c r="BU313" i="17"/>
  <c r="BJ312" i="17"/>
  <c r="BK312" i="17" s="1"/>
  <c r="BP312" i="17"/>
  <c r="BQ312" i="17" s="1"/>
  <c r="BQ311" i="17"/>
  <c r="BO313" i="17"/>
  <c r="BK311" i="17"/>
  <c r="BI313" i="17"/>
  <c r="BD312" i="17"/>
  <c r="BE312" i="17" s="1"/>
  <c r="BE311" i="17"/>
  <c r="BC313" i="17"/>
  <c r="AX312" i="17"/>
  <c r="AY312" i="17" s="1"/>
  <c r="AY311" i="17"/>
  <c r="AW313" i="17"/>
  <c r="AH311" i="7"/>
  <c r="AG312" i="7"/>
  <c r="AE313" i="7"/>
  <c r="AF313" i="7" s="1"/>
  <c r="CE313" i="17" l="1"/>
  <c r="CF312" i="17"/>
  <c r="CB313" i="17"/>
  <c r="CC312" i="17"/>
  <c r="CA314" i="17"/>
  <c r="CC313" i="17"/>
  <c r="BU314" i="17"/>
  <c r="BV313" i="17"/>
  <c r="BO314" i="17"/>
  <c r="BP313" i="17"/>
  <c r="BI314" i="17"/>
  <c r="BJ313" i="17"/>
  <c r="BC314" i="17"/>
  <c r="BD313" i="17"/>
  <c r="AW314" i="17"/>
  <c r="AX313" i="17"/>
  <c r="AE314" i="7"/>
  <c r="AF314" i="7" s="1"/>
  <c r="AH312" i="7"/>
  <c r="AG313" i="7"/>
  <c r="CF313" i="17" l="1"/>
  <c r="CG313" i="17" s="1"/>
  <c r="CG312" i="17"/>
  <c r="CE314" i="17"/>
  <c r="CA315" i="17"/>
  <c r="CB314" i="17"/>
  <c r="BV314" i="17"/>
  <c r="BW313" i="17"/>
  <c r="BU315" i="17"/>
  <c r="BW314" i="17"/>
  <c r="BP314" i="17"/>
  <c r="BQ314" i="17" s="1"/>
  <c r="BQ313" i="17"/>
  <c r="BO315" i="17"/>
  <c r="BJ314" i="17"/>
  <c r="BK314" i="17" s="1"/>
  <c r="BK313" i="17"/>
  <c r="BI315" i="17"/>
  <c r="BD314" i="17"/>
  <c r="BE314" i="17" s="1"/>
  <c r="BE313" i="17"/>
  <c r="AX314" i="17"/>
  <c r="AY314" i="17" s="1"/>
  <c r="BC315" i="17"/>
  <c r="AY313" i="17"/>
  <c r="AW315" i="17"/>
  <c r="AG314" i="7"/>
  <c r="AH313" i="7"/>
  <c r="AE315" i="7"/>
  <c r="AF315" i="7" s="1"/>
  <c r="CB315" i="17" l="1"/>
  <c r="CC315" i="17" s="1"/>
  <c r="CE315" i="17"/>
  <c r="CF314" i="17"/>
  <c r="CC314" i="17"/>
  <c r="CA316" i="17"/>
  <c r="BU316" i="17"/>
  <c r="BV315" i="17"/>
  <c r="BO316" i="17"/>
  <c r="BP315" i="17"/>
  <c r="BI316" i="17"/>
  <c r="BJ315" i="17"/>
  <c r="BC316" i="17"/>
  <c r="BD315" i="17"/>
  <c r="AW316" i="17"/>
  <c r="AX315" i="17"/>
  <c r="AE316" i="7"/>
  <c r="AF316" i="7"/>
  <c r="AH314" i="7"/>
  <c r="AG315" i="7"/>
  <c r="CF315" i="17" l="1"/>
  <c r="CG315" i="17" s="1"/>
  <c r="CG314" i="17"/>
  <c r="CE316" i="17"/>
  <c r="BV316" i="17"/>
  <c r="BW316" i="17" s="1"/>
  <c r="CA317" i="17"/>
  <c r="CB316" i="17"/>
  <c r="BJ316" i="17"/>
  <c r="BK316" i="17" s="1"/>
  <c r="BP316" i="17"/>
  <c r="BQ316" i="17" s="1"/>
  <c r="BW315" i="17"/>
  <c r="BU317" i="17"/>
  <c r="BQ315" i="17"/>
  <c r="BO317" i="17"/>
  <c r="BD316" i="17"/>
  <c r="BE316" i="17" s="1"/>
  <c r="BK315" i="17"/>
  <c r="BI317" i="17"/>
  <c r="BE315" i="17"/>
  <c r="BC317" i="17"/>
  <c r="AX316" i="17"/>
  <c r="AY316" i="17" s="1"/>
  <c r="AY315" i="17"/>
  <c r="AW317" i="17"/>
  <c r="AH315" i="7"/>
  <c r="AG316" i="7"/>
  <c r="AE317" i="7"/>
  <c r="AF317" i="7" s="1"/>
  <c r="CE317" i="17" l="1"/>
  <c r="CF316" i="17"/>
  <c r="CB317" i="17"/>
  <c r="CA318" i="17"/>
  <c r="CB318" i="17" s="1"/>
  <c r="CC317" i="17"/>
  <c r="CC316" i="17"/>
  <c r="BU318" i="17"/>
  <c r="BV317" i="17"/>
  <c r="BO318" i="17"/>
  <c r="BP317" i="17"/>
  <c r="BI318" i="17"/>
  <c r="BJ317" i="17"/>
  <c r="BC318" i="17"/>
  <c r="BD317" i="17"/>
  <c r="AW318" i="17"/>
  <c r="AX317" i="17"/>
  <c r="AH316" i="7"/>
  <c r="AG317" i="7"/>
  <c r="AE318" i="7"/>
  <c r="AF318" i="7" s="1"/>
  <c r="CF317" i="17" l="1"/>
  <c r="CG317" i="17" s="1"/>
  <c r="CG316" i="17"/>
  <c r="CE318" i="17"/>
  <c r="BP318" i="17"/>
  <c r="BQ318" i="17" s="1"/>
  <c r="CA319" i="17"/>
  <c r="CC318" i="17"/>
  <c r="BV318" i="17"/>
  <c r="BJ318" i="17"/>
  <c r="BK318" i="17" s="1"/>
  <c r="BW317" i="17"/>
  <c r="BU319" i="17"/>
  <c r="BW318" i="17"/>
  <c r="BQ317" i="17"/>
  <c r="BO319" i="17"/>
  <c r="BK317" i="17"/>
  <c r="BI319" i="17"/>
  <c r="BD318" i="17"/>
  <c r="BE318" i="17" s="1"/>
  <c r="AX318" i="17"/>
  <c r="AY318" i="17" s="1"/>
  <c r="BE317" i="17"/>
  <c r="BC319" i="17"/>
  <c r="AY317" i="17"/>
  <c r="AW319" i="17"/>
  <c r="AG318" i="7"/>
  <c r="AH317" i="7"/>
  <c r="AE319" i="7"/>
  <c r="AF319" i="7" s="1"/>
  <c r="CE319" i="17" l="1"/>
  <c r="CF318" i="17"/>
  <c r="CA320" i="17"/>
  <c r="CB319" i="17"/>
  <c r="BU320" i="17"/>
  <c r="BV319" i="17"/>
  <c r="BO320" i="17"/>
  <c r="BP319" i="17"/>
  <c r="BI320" i="17"/>
  <c r="BJ319" i="17"/>
  <c r="BC320" i="17"/>
  <c r="BD319" i="17"/>
  <c r="AW320" i="17"/>
  <c r="AX319" i="17"/>
  <c r="AE320" i="7"/>
  <c r="AF320" i="7"/>
  <c r="AH318" i="7"/>
  <c r="AG319" i="7"/>
  <c r="CF319" i="17" l="1"/>
  <c r="CG319" i="17" s="1"/>
  <c r="CB320" i="17"/>
  <c r="BV320" i="17"/>
  <c r="BW320" i="17" s="1"/>
  <c r="CG318" i="17"/>
  <c r="CE320" i="17"/>
  <c r="CC319" i="17"/>
  <c r="CA321" i="17"/>
  <c r="CC320" i="17"/>
  <c r="BJ320" i="17"/>
  <c r="BK320" i="17" s="1"/>
  <c r="BP320" i="17"/>
  <c r="BQ320" i="17" s="1"/>
  <c r="BW319" i="17"/>
  <c r="BU321" i="17"/>
  <c r="BQ319" i="17"/>
  <c r="BO321" i="17"/>
  <c r="BK319" i="17"/>
  <c r="BI321" i="17"/>
  <c r="BD320" i="17"/>
  <c r="BE320" i="17" s="1"/>
  <c r="BE319" i="17"/>
  <c r="BC321" i="17"/>
  <c r="AX320" i="17"/>
  <c r="AY320" i="17" s="1"/>
  <c r="AY319" i="17"/>
  <c r="AW321" i="17"/>
  <c r="AH319" i="7"/>
  <c r="AG320" i="7"/>
  <c r="AE321" i="7"/>
  <c r="AF321" i="7" s="1"/>
  <c r="CE321" i="17" l="1"/>
  <c r="CF320" i="17"/>
  <c r="CA322" i="17"/>
  <c r="CB321" i="17"/>
  <c r="BU322" i="17"/>
  <c r="BV321" i="17"/>
  <c r="BO322" i="17"/>
  <c r="BP321" i="17"/>
  <c r="BI322" i="17"/>
  <c r="BJ321" i="17"/>
  <c r="BC322" i="17"/>
  <c r="BD321" i="17"/>
  <c r="AW322" i="17"/>
  <c r="AX321" i="17"/>
  <c r="AH320" i="7"/>
  <c r="AG321" i="7"/>
  <c r="AE322" i="7"/>
  <c r="AF322" i="7"/>
  <c r="CF321" i="17" l="1"/>
  <c r="CG321" i="17" s="1"/>
  <c r="CG320" i="17"/>
  <c r="CB322" i="17"/>
  <c r="CC322" i="17" s="1"/>
  <c r="CE322" i="17"/>
  <c r="CC321" i="17"/>
  <c r="CA323" i="17"/>
  <c r="BV322" i="17"/>
  <c r="BW322" i="17" s="1"/>
  <c r="BW321" i="17"/>
  <c r="BU323" i="17"/>
  <c r="BJ322" i="17"/>
  <c r="BK322" i="17" s="1"/>
  <c r="BP322" i="17"/>
  <c r="BQ322" i="17" s="1"/>
  <c r="BQ321" i="17"/>
  <c r="BO323" i="17"/>
  <c r="BK321" i="17"/>
  <c r="BI323" i="17"/>
  <c r="BD322" i="17"/>
  <c r="BE322" i="17" s="1"/>
  <c r="BE321" i="17"/>
  <c r="BC323" i="17"/>
  <c r="AX322" i="17"/>
  <c r="AY322" i="17" s="1"/>
  <c r="AY321" i="17"/>
  <c r="AW323" i="17"/>
  <c r="AE323" i="7"/>
  <c r="AF323" i="7"/>
  <c r="AH321" i="7"/>
  <c r="AG322" i="7"/>
  <c r="CE323" i="17" l="1"/>
  <c r="CF322" i="17"/>
  <c r="CA324" i="17"/>
  <c r="CB323" i="17"/>
  <c r="BU324" i="17"/>
  <c r="BV323" i="17"/>
  <c r="BO324" i="17"/>
  <c r="BP323" i="17"/>
  <c r="BI324" i="17"/>
  <c r="BJ323" i="17"/>
  <c r="BC324" i="17"/>
  <c r="BD323" i="17"/>
  <c r="AW324" i="17"/>
  <c r="AX323" i="17"/>
  <c r="AH322" i="7"/>
  <c r="AG323" i="7"/>
  <c r="AE324" i="7"/>
  <c r="AF324" i="7"/>
  <c r="CF323" i="17" l="1"/>
  <c r="CG323" i="17" s="1"/>
  <c r="CG322" i="17"/>
  <c r="CE324" i="17"/>
  <c r="CB324" i="17"/>
  <c r="CC323" i="17"/>
  <c r="CA325" i="17"/>
  <c r="CC324" i="17"/>
  <c r="BV324" i="17"/>
  <c r="BW324" i="17" s="1"/>
  <c r="BW323" i="17"/>
  <c r="BP324" i="17"/>
  <c r="BQ324" i="17" s="1"/>
  <c r="BU325" i="17"/>
  <c r="BQ323" i="17"/>
  <c r="BO325" i="17"/>
  <c r="BJ324" i="17"/>
  <c r="BK324" i="17" s="1"/>
  <c r="BK323" i="17"/>
  <c r="BI325" i="17"/>
  <c r="BD324" i="17"/>
  <c r="BE324" i="17" s="1"/>
  <c r="BE323" i="17"/>
  <c r="BC325" i="17"/>
  <c r="AX324" i="17"/>
  <c r="AY324" i="17" s="1"/>
  <c r="AY323" i="17"/>
  <c r="AW325" i="17"/>
  <c r="AH323" i="7"/>
  <c r="AG324" i="7"/>
  <c r="AE325" i="7"/>
  <c r="AF325" i="7" s="1"/>
  <c r="BV325" i="17" l="1"/>
  <c r="BW325" i="17" s="1"/>
  <c r="CE325" i="17"/>
  <c r="CF324" i="17"/>
  <c r="CA326" i="17"/>
  <c r="CB325" i="17"/>
  <c r="BU326" i="17"/>
  <c r="BO326" i="17"/>
  <c r="BP325" i="17"/>
  <c r="BI326" i="17"/>
  <c r="BJ325" i="17"/>
  <c r="BC326" i="17"/>
  <c r="BD325" i="17"/>
  <c r="AW326" i="17"/>
  <c r="AX325" i="17"/>
  <c r="AE326" i="7"/>
  <c r="AF326" i="7"/>
  <c r="AH324" i="7"/>
  <c r="AG325" i="7"/>
  <c r="CF325" i="17" l="1"/>
  <c r="CG325" i="17" s="1"/>
  <c r="CB326" i="17"/>
  <c r="CC326" i="17" s="1"/>
  <c r="CG324" i="17"/>
  <c r="CE326" i="17"/>
  <c r="CC325" i="17"/>
  <c r="BP326" i="17"/>
  <c r="BQ326" i="17" s="1"/>
  <c r="CA327" i="17"/>
  <c r="BU327" i="17"/>
  <c r="BV326" i="17"/>
  <c r="BD326" i="17"/>
  <c r="BE326" i="17" s="1"/>
  <c r="BQ325" i="17"/>
  <c r="BO327" i="17"/>
  <c r="BJ326" i="17"/>
  <c r="BK326" i="17" s="1"/>
  <c r="BK325" i="17"/>
  <c r="BI327" i="17"/>
  <c r="BE325" i="17"/>
  <c r="BC327" i="17"/>
  <c r="AX326" i="17"/>
  <c r="AY326" i="17" s="1"/>
  <c r="AY325" i="17"/>
  <c r="AW327" i="17"/>
  <c r="AH325" i="7"/>
  <c r="AG326" i="7"/>
  <c r="AE327" i="7"/>
  <c r="AF327" i="7" s="1"/>
  <c r="CE327" i="17" l="1"/>
  <c r="CF326" i="17"/>
  <c r="BV327" i="17"/>
  <c r="BW327" i="17" s="1"/>
  <c r="CA328" i="17"/>
  <c r="CB327" i="17"/>
  <c r="BW326" i="17"/>
  <c r="BU328" i="17"/>
  <c r="BO328" i="17"/>
  <c r="BP327" i="17"/>
  <c r="BI328" i="17"/>
  <c r="BJ327" i="17"/>
  <c r="BC328" i="17"/>
  <c r="BD327" i="17"/>
  <c r="AW328" i="17"/>
  <c r="AX327" i="17"/>
  <c r="AH326" i="7"/>
  <c r="AG327" i="7"/>
  <c r="AE328" i="7"/>
  <c r="CF327" i="17" l="1"/>
  <c r="CG327" i="17" s="1"/>
  <c r="CB328" i="17"/>
  <c r="CC328" i="17" s="1"/>
  <c r="CG326" i="17"/>
  <c r="CE328" i="17"/>
  <c r="CC327" i="17"/>
  <c r="CA329" i="17"/>
  <c r="BP328" i="17"/>
  <c r="BQ328" i="17" s="1"/>
  <c r="BU329" i="17"/>
  <c r="BV328" i="17"/>
  <c r="BQ327" i="17"/>
  <c r="BO329" i="17"/>
  <c r="BD328" i="17"/>
  <c r="BE328" i="17" s="1"/>
  <c r="BJ328" i="17"/>
  <c r="BK328" i="17" s="1"/>
  <c r="BK327" i="17"/>
  <c r="BI329" i="17"/>
  <c r="BE327" i="17"/>
  <c r="BC329" i="17"/>
  <c r="AW329" i="17"/>
  <c r="AX328" i="17"/>
  <c r="AY327" i="17"/>
  <c r="AE329" i="7"/>
  <c r="AF329" i="7" s="1"/>
  <c r="AH327" i="7"/>
  <c r="AG328" i="7"/>
  <c r="AF328" i="7"/>
  <c r="CB329" i="17" l="1"/>
  <c r="CC329" i="17" s="1"/>
  <c r="CE329" i="17"/>
  <c r="CF328" i="17"/>
  <c r="CA330" i="17"/>
  <c r="BV329" i="17"/>
  <c r="BW329" i="17" s="1"/>
  <c r="BW328" i="17"/>
  <c r="BU330" i="17"/>
  <c r="BO330" i="17"/>
  <c r="BP329" i="17"/>
  <c r="BI330" i="17"/>
  <c r="BJ329" i="17"/>
  <c r="BC330" i="17"/>
  <c r="BD329" i="17"/>
  <c r="AX329" i="17"/>
  <c r="AY329" i="17" s="1"/>
  <c r="AY328" i="17"/>
  <c r="AW330" i="17"/>
  <c r="AH328" i="7"/>
  <c r="AG329" i="7"/>
  <c r="AE330" i="7"/>
  <c r="CB330" i="17" l="1"/>
  <c r="CC330" i="17" s="1"/>
  <c r="CF329" i="17"/>
  <c r="CG329" i="17" s="1"/>
  <c r="CG328" i="17"/>
  <c r="CE330" i="17"/>
  <c r="BP330" i="17"/>
  <c r="BQ330" i="17" s="1"/>
  <c r="CA331" i="17"/>
  <c r="BU331" i="17"/>
  <c r="BV330" i="17"/>
  <c r="BJ330" i="17"/>
  <c r="BK330" i="17" s="1"/>
  <c r="BQ329" i="17"/>
  <c r="BO331" i="17"/>
  <c r="BK329" i="17"/>
  <c r="BI331" i="17"/>
  <c r="BD330" i="17"/>
  <c r="BE330" i="17" s="1"/>
  <c r="BE329" i="17"/>
  <c r="BC331" i="17"/>
  <c r="AW331" i="17"/>
  <c r="AX330" i="17"/>
  <c r="AE331" i="7"/>
  <c r="AF331" i="7"/>
  <c r="AF330" i="7"/>
  <c r="AH329" i="7"/>
  <c r="AG330" i="7"/>
  <c r="CB331" i="17" l="1"/>
  <c r="CE331" i="17"/>
  <c r="CF330" i="17"/>
  <c r="CA332" i="17"/>
  <c r="CB332" i="17" s="1"/>
  <c r="CC331" i="17"/>
  <c r="BV331" i="17"/>
  <c r="BW331" i="17" s="1"/>
  <c r="BW330" i="17"/>
  <c r="BU332" i="17"/>
  <c r="BO332" i="17"/>
  <c r="BP331" i="17"/>
  <c r="BI332" i="17"/>
  <c r="BJ331" i="17"/>
  <c r="BC332" i="17"/>
  <c r="BD331" i="17"/>
  <c r="AX331" i="17"/>
  <c r="AY331" i="17" s="1"/>
  <c r="AY330" i="17"/>
  <c r="AW332" i="17"/>
  <c r="AH330" i="7"/>
  <c r="AG331" i="7"/>
  <c r="AE332" i="7"/>
  <c r="AF332" i="7" s="1"/>
  <c r="CF331" i="17" l="1"/>
  <c r="CG331" i="17" s="1"/>
  <c r="CG330" i="17"/>
  <c r="CE332" i="17"/>
  <c r="CA333" i="17"/>
  <c r="CC332" i="17"/>
  <c r="BU333" i="17"/>
  <c r="BV332" i="17"/>
  <c r="BD332" i="17"/>
  <c r="BE332" i="17" s="1"/>
  <c r="BP332" i="17"/>
  <c r="BQ332" i="17" s="1"/>
  <c r="BQ331" i="17"/>
  <c r="BO333" i="17"/>
  <c r="BJ332" i="17"/>
  <c r="BK332" i="17" s="1"/>
  <c r="BK331" i="17"/>
  <c r="BI333" i="17"/>
  <c r="BE331" i="17"/>
  <c r="BC333" i="17"/>
  <c r="AW333" i="17"/>
  <c r="AX332" i="17"/>
  <c r="AH331" i="7"/>
  <c r="AG332" i="7"/>
  <c r="AE333" i="7"/>
  <c r="CF332" i="17" l="1"/>
  <c r="CG332" i="17" s="1"/>
  <c r="CE333" i="17"/>
  <c r="CA334" i="17"/>
  <c r="CB333" i="17"/>
  <c r="BV333" i="17"/>
  <c r="BW333" i="17" s="1"/>
  <c r="BW332" i="17"/>
  <c r="BU334" i="17"/>
  <c r="BO334" i="17"/>
  <c r="BP333" i="17"/>
  <c r="AX333" i="17"/>
  <c r="AY333" i="17" s="1"/>
  <c r="BI334" i="17"/>
  <c r="BJ333" i="17"/>
  <c r="BC334" i="17"/>
  <c r="BD333" i="17"/>
  <c r="AY332" i="17"/>
  <c r="AW334" i="17"/>
  <c r="AE334" i="7"/>
  <c r="AG333" i="7"/>
  <c r="AH332" i="7"/>
  <c r="AF333" i="7"/>
  <c r="CE334" i="17" l="1"/>
  <c r="CF333" i="17"/>
  <c r="CB334" i="17"/>
  <c r="CC334" i="17" s="1"/>
  <c r="BP334" i="17"/>
  <c r="BQ334" i="17" s="1"/>
  <c r="CC333" i="17"/>
  <c r="CA335" i="17"/>
  <c r="BV334" i="17"/>
  <c r="BW334" i="17" s="1"/>
  <c r="BU335" i="17"/>
  <c r="BQ333" i="17"/>
  <c r="BO335" i="17"/>
  <c r="BJ334" i="17"/>
  <c r="BK334" i="17" s="1"/>
  <c r="BK333" i="17"/>
  <c r="BI335" i="17"/>
  <c r="BD334" i="17"/>
  <c r="BE334" i="17" s="1"/>
  <c r="BE333" i="17"/>
  <c r="BC335" i="17"/>
  <c r="AW335" i="17"/>
  <c r="AX334" i="17"/>
  <c r="AG334" i="7"/>
  <c r="AH333" i="7"/>
  <c r="AE335" i="7"/>
  <c r="AF334" i="7"/>
  <c r="CF334" i="17" l="1"/>
  <c r="CG334" i="17" s="1"/>
  <c r="CG333" i="17"/>
  <c r="CE335" i="17"/>
  <c r="CA336" i="17"/>
  <c r="CB335" i="17"/>
  <c r="BU336" i="17"/>
  <c r="BV335" i="17"/>
  <c r="BO336" i="17"/>
  <c r="BP335" i="17"/>
  <c r="BI336" i="17"/>
  <c r="BJ335" i="17"/>
  <c r="BC336" i="17"/>
  <c r="BD335" i="17"/>
  <c r="AX335" i="17"/>
  <c r="AY335" i="17" s="1"/>
  <c r="AY334" i="17"/>
  <c r="AW336" i="17"/>
  <c r="AE336" i="7"/>
  <c r="AF335" i="7"/>
  <c r="AH334" i="7"/>
  <c r="AG335" i="7"/>
  <c r="CF335" i="17" l="1"/>
  <c r="CG335" i="17" s="1"/>
  <c r="BV336" i="17"/>
  <c r="BW336" i="17" s="1"/>
  <c r="CE336" i="17"/>
  <c r="CB336" i="17"/>
  <c r="CC336" i="17" s="1"/>
  <c r="CC335" i="17"/>
  <c r="CA337" i="17"/>
  <c r="BP336" i="17"/>
  <c r="BQ336" i="17" s="1"/>
  <c r="BW335" i="17"/>
  <c r="BU337" i="17"/>
  <c r="BQ335" i="17"/>
  <c r="BO337" i="17"/>
  <c r="BJ336" i="17"/>
  <c r="BK336" i="17" s="1"/>
  <c r="BK335" i="17"/>
  <c r="BI337" i="17"/>
  <c r="BD336" i="17"/>
  <c r="BE336" i="17" s="1"/>
  <c r="BE335" i="17"/>
  <c r="BC337" i="17"/>
  <c r="AW337" i="17"/>
  <c r="AX336" i="17"/>
  <c r="AE337" i="7"/>
  <c r="AH335" i="7"/>
  <c r="AG336" i="7"/>
  <c r="AF336" i="7"/>
  <c r="CE337" i="17" l="1"/>
  <c r="CF336" i="17"/>
  <c r="CA338" i="17"/>
  <c r="CB337" i="17"/>
  <c r="BU338" i="17"/>
  <c r="BV337" i="17"/>
  <c r="BO338" i="17"/>
  <c r="BP337" i="17"/>
  <c r="BI338" i="17"/>
  <c r="BJ337" i="17"/>
  <c r="AX337" i="17"/>
  <c r="AY337" i="17" s="1"/>
  <c r="BC338" i="17"/>
  <c r="BD337" i="17"/>
  <c r="AY336" i="17"/>
  <c r="AW338" i="17"/>
  <c r="AH336" i="7"/>
  <c r="AG337" i="7"/>
  <c r="AE338" i="7"/>
  <c r="AF337" i="7"/>
  <c r="CF337" i="17" l="1"/>
  <c r="CG337" i="17" s="1"/>
  <c r="CB338" i="17"/>
  <c r="CC338" i="17" s="1"/>
  <c r="CG336" i="17"/>
  <c r="CE338" i="17"/>
  <c r="CC337" i="17"/>
  <c r="CA339" i="17"/>
  <c r="BV338" i="17"/>
  <c r="BW338" i="17" s="1"/>
  <c r="BP338" i="17"/>
  <c r="BQ338" i="17" s="1"/>
  <c r="BW337" i="17"/>
  <c r="BU339" i="17"/>
  <c r="BQ337" i="17"/>
  <c r="BO339" i="17"/>
  <c r="BJ338" i="17"/>
  <c r="BK338" i="17" s="1"/>
  <c r="BK337" i="17"/>
  <c r="BI339" i="17"/>
  <c r="BD338" i="17"/>
  <c r="BE338" i="17" s="1"/>
  <c r="BE337" i="17"/>
  <c r="BC339" i="17"/>
  <c r="AW339" i="17"/>
  <c r="AX338" i="17"/>
  <c r="AE339" i="7"/>
  <c r="AF338" i="7"/>
  <c r="AH337" i="7"/>
  <c r="AG338" i="7"/>
  <c r="CE339" i="17" l="1"/>
  <c r="CF338" i="17"/>
  <c r="CA340" i="17"/>
  <c r="CB339" i="17"/>
  <c r="BU340" i="17"/>
  <c r="BV339" i="17"/>
  <c r="BO340" i="17"/>
  <c r="BP339" i="17"/>
  <c r="BI340" i="17"/>
  <c r="BJ339" i="17"/>
  <c r="AX339" i="17"/>
  <c r="AY339" i="17" s="1"/>
  <c r="BC340" i="17"/>
  <c r="BD339" i="17"/>
  <c r="AY338" i="17"/>
  <c r="AW340" i="17"/>
  <c r="AG339" i="7"/>
  <c r="AH338" i="7"/>
  <c r="AE340" i="7"/>
  <c r="AF339" i="7"/>
  <c r="CF339" i="17" l="1"/>
  <c r="CG339" i="17" s="1"/>
  <c r="CG338" i="17"/>
  <c r="CE340" i="17"/>
  <c r="CB340" i="17"/>
  <c r="BV340" i="17"/>
  <c r="BW340" i="17" s="1"/>
  <c r="CC339" i="17"/>
  <c r="CA341" i="17"/>
  <c r="CC340" i="17"/>
  <c r="BP340" i="17"/>
  <c r="BQ340" i="17" s="1"/>
  <c r="BW339" i="17"/>
  <c r="BU341" i="17"/>
  <c r="BD340" i="17"/>
  <c r="BE340" i="17" s="1"/>
  <c r="BQ339" i="17"/>
  <c r="BO341" i="17"/>
  <c r="BI341" i="17"/>
  <c r="BJ340" i="17"/>
  <c r="BK339" i="17"/>
  <c r="BE339" i="17"/>
  <c r="BC341" i="17"/>
  <c r="AW341" i="17"/>
  <c r="AX340" i="17"/>
  <c r="AE341" i="7"/>
  <c r="AF340" i="7"/>
  <c r="AG340" i="7"/>
  <c r="AH339" i="7"/>
  <c r="BP341" i="17" l="1"/>
  <c r="BQ341" i="17" s="1"/>
  <c r="CE341" i="17"/>
  <c r="CF340" i="17"/>
  <c r="CA342" i="17"/>
  <c r="CB341" i="17"/>
  <c r="BU342" i="17"/>
  <c r="BV341" i="17"/>
  <c r="BJ341" i="17"/>
  <c r="BK341" i="17" s="1"/>
  <c r="BO342" i="17"/>
  <c r="BK340" i="17"/>
  <c r="BI342" i="17"/>
  <c r="BC342" i="17"/>
  <c r="BD341" i="17"/>
  <c r="AX341" i="17"/>
  <c r="AY341" i="17" s="1"/>
  <c r="AY340" i="17"/>
  <c r="AW342" i="17"/>
  <c r="AE342" i="7"/>
  <c r="AH340" i="7"/>
  <c r="AG341" i="7"/>
  <c r="AF341" i="7"/>
  <c r="CF341" i="17" l="1"/>
  <c r="CG341" i="17" s="1"/>
  <c r="CB342" i="17"/>
  <c r="CC342" i="17" s="1"/>
  <c r="CE342" i="17"/>
  <c r="BV342" i="17"/>
  <c r="BW342" i="17" s="1"/>
  <c r="CG340" i="17"/>
  <c r="CC341" i="17"/>
  <c r="CA343" i="17"/>
  <c r="BW341" i="17"/>
  <c r="BU343" i="17"/>
  <c r="BD342" i="17"/>
  <c r="BE342" i="17" s="1"/>
  <c r="BO343" i="17"/>
  <c r="BP342" i="17"/>
  <c r="BI343" i="17"/>
  <c r="BJ342" i="17"/>
  <c r="BE341" i="17"/>
  <c r="BC343" i="17"/>
  <c r="AW343" i="17"/>
  <c r="AX342" i="17"/>
  <c r="AH341" i="7"/>
  <c r="AG342" i="7"/>
  <c r="AE343" i="7"/>
  <c r="AF342" i="7"/>
  <c r="CF342" i="17" l="1"/>
  <c r="CG342" i="17" s="1"/>
  <c r="CE343" i="17"/>
  <c r="BP343" i="17"/>
  <c r="CA344" i="17"/>
  <c r="CB343" i="17"/>
  <c r="BU344" i="17"/>
  <c r="BV343" i="17"/>
  <c r="BQ342" i="17"/>
  <c r="BO344" i="17"/>
  <c r="BQ343" i="17"/>
  <c r="BJ343" i="17"/>
  <c r="BK343" i="17" s="1"/>
  <c r="BK342" i="17"/>
  <c r="BI344" i="17"/>
  <c r="AX343" i="17"/>
  <c r="AY343" i="17" s="1"/>
  <c r="BC344" i="17"/>
  <c r="BD343" i="17"/>
  <c r="AY342" i="17"/>
  <c r="AW344" i="17"/>
  <c r="AE344" i="7"/>
  <c r="AF343" i="7"/>
  <c r="AG343" i="7"/>
  <c r="AH342" i="7"/>
  <c r="CB344" i="17" l="1"/>
  <c r="CC344" i="17" s="1"/>
  <c r="CE344" i="17"/>
  <c r="CF343" i="17"/>
  <c r="CC343" i="17"/>
  <c r="CA345" i="17"/>
  <c r="BV344" i="17"/>
  <c r="BW344" i="17" s="1"/>
  <c r="BW343" i="17"/>
  <c r="BU345" i="17"/>
  <c r="BO345" i="17"/>
  <c r="BP344" i="17"/>
  <c r="BI345" i="17"/>
  <c r="BJ344" i="17"/>
  <c r="BD344" i="17"/>
  <c r="BE344" i="17" s="1"/>
  <c r="BE343" i="17"/>
  <c r="BC345" i="17"/>
  <c r="AW345" i="17"/>
  <c r="AX344" i="17"/>
  <c r="AG344" i="7"/>
  <c r="AH343" i="7"/>
  <c r="AE345" i="7"/>
  <c r="AF344" i="7"/>
  <c r="CF344" i="17" l="1"/>
  <c r="CG344" i="17" s="1"/>
  <c r="CG343" i="17"/>
  <c r="CE345" i="17"/>
  <c r="BP345" i="17"/>
  <c r="CA346" i="17"/>
  <c r="CB345" i="17"/>
  <c r="BU346" i="17"/>
  <c r="BV345" i="17"/>
  <c r="BQ344" i="17"/>
  <c r="BO346" i="17"/>
  <c r="BP346" i="17" s="1"/>
  <c r="BQ345" i="17"/>
  <c r="BJ345" i="17"/>
  <c r="BK345" i="17" s="1"/>
  <c r="BK344" i="17"/>
  <c r="BI346" i="17"/>
  <c r="BC346" i="17"/>
  <c r="BD345" i="17"/>
  <c r="AX345" i="17"/>
  <c r="AY345" i="17" s="1"/>
  <c r="AY344" i="17"/>
  <c r="AW346" i="17"/>
  <c r="AE346" i="7"/>
  <c r="AF346" i="7" s="1"/>
  <c r="AF345" i="7"/>
  <c r="AG345" i="7"/>
  <c r="AH344" i="7"/>
  <c r="CB346" i="17" l="1"/>
  <c r="CC346" i="17" s="1"/>
  <c r="CF345" i="17"/>
  <c r="CG345" i="17" s="1"/>
  <c r="BV346" i="17"/>
  <c r="BW346" i="17" s="1"/>
  <c r="CE346" i="17"/>
  <c r="CC345" i="17"/>
  <c r="CA347" i="17"/>
  <c r="BW345" i="17"/>
  <c r="BU347" i="17"/>
  <c r="BO347" i="17"/>
  <c r="BQ346" i="17"/>
  <c r="BI347" i="17"/>
  <c r="BJ346" i="17"/>
  <c r="BD346" i="17"/>
  <c r="BE346" i="17" s="1"/>
  <c r="BE345" i="17"/>
  <c r="BC347" i="17"/>
  <c r="AW347" i="17"/>
  <c r="AX346" i="17"/>
  <c r="AG346" i="7"/>
  <c r="AH345" i="7"/>
  <c r="AE347" i="7"/>
  <c r="CE347" i="17" l="1"/>
  <c r="CF346" i="17"/>
  <c r="BJ347" i="17"/>
  <c r="BK347" i="17" s="1"/>
  <c r="CA348" i="17"/>
  <c r="CB347" i="17"/>
  <c r="BU348" i="17"/>
  <c r="BV347" i="17"/>
  <c r="BO348" i="17"/>
  <c r="BP347" i="17"/>
  <c r="BK346" i="17"/>
  <c r="BI348" i="17"/>
  <c r="AX347" i="17"/>
  <c r="AY347" i="17" s="1"/>
  <c r="BC348" i="17"/>
  <c r="BD347" i="17"/>
  <c r="AY346" i="17"/>
  <c r="AW348" i="17"/>
  <c r="AE348" i="7"/>
  <c r="AF347" i="7"/>
  <c r="AG347" i="7"/>
  <c r="AH346" i="7"/>
  <c r="CF347" i="17" l="1"/>
  <c r="CG347" i="17" s="1"/>
  <c r="BV348" i="17"/>
  <c r="BW348" i="17" s="1"/>
  <c r="CG346" i="17"/>
  <c r="CE348" i="17"/>
  <c r="CB348" i="17"/>
  <c r="CC348" i="17" s="1"/>
  <c r="CC347" i="17"/>
  <c r="CA349" i="17"/>
  <c r="BP348" i="17"/>
  <c r="BQ348" i="17" s="1"/>
  <c r="BW347" i="17"/>
  <c r="BU349" i="17"/>
  <c r="BQ347" i="17"/>
  <c r="BO349" i="17"/>
  <c r="BI349" i="17"/>
  <c r="BJ348" i="17"/>
  <c r="BD348" i="17"/>
  <c r="BE348" i="17" s="1"/>
  <c r="BE347" i="17"/>
  <c r="BC349" i="17"/>
  <c r="AW349" i="17"/>
  <c r="AX348" i="17"/>
  <c r="AG348" i="7"/>
  <c r="AH347" i="7"/>
  <c r="AE349" i="7"/>
  <c r="AF348" i="7"/>
  <c r="CE349" i="17" l="1"/>
  <c r="CF348" i="17"/>
  <c r="CA350" i="17"/>
  <c r="CB349" i="17"/>
  <c r="BJ349" i="17"/>
  <c r="BK349" i="17" s="1"/>
  <c r="BU350" i="17"/>
  <c r="BV349" i="17"/>
  <c r="BO350" i="17"/>
  <c r="BP349" i="17"/>
  <c r="BK348" i="17"/>
  <c r="BI350" i="17"/>
  <c r="BC350" i="17"/>
  <c r="BD349" i="17"/>
  <c r="AX349" i="17"/>
  <c r="AY349" i="17" s="1"/>
  <c r="AY348" i="17"/>
  <c r="AW350" i="17"/>
  <c r="AE350" i="7"/>
  <c r="AF349" i="7"/>
  <c r="AG349" i="7"/>
  <c r="AH348" i="7"/>
  <c r="CB350" i="17" l="1"/>
  <c r="CC350" i="17" s="1"/>
  <c r="CF349" i="17"/>
  <c r="CG349" i="17" s="1"/>
  <c r="CG348" i="17"/>
  <c r="CE350" i="17"/>
  <c r="CC349" i="17"/>
  <c r="CA351" i="17"/>
  <c r="BV350" i="17"/>
  <c r="BW350" i="17" s="1"/>
  <c r="BW349" i="17"/>
  <c r="BU351" i="17"/>
  <c r="BP350" i="17"/>
  <c r="BQ350" i="17" s="1"/>
  <c r="BQ349" i="17"/>
  <c r="BO351" i="17"/>
  <c r="BI351" i="17"/>
  <c r="BJ350" i="17"/>
  <c r="BD350" i="17"/>
  <c r="BE350" i="17" s="1"/>
  <c r="BE349" i="17"/>
  <c r="BC351" i="17"/>
  <c r="AW351" i="17"/>
  <c r="AX350" i="17"/>
  <c r="AG350" i="7"/>
  <c r="AH349" i="7"/>
  <c r="AE351" i="7"/>
  <c r="AF350" i="7"/>
  <c r="CB351" i="17" l="1"/>
  <c r="CC351" i="17" s="1"/>
  <c r="CE351" i="17"/>
  <c r="CF350" i="17"/>
  <c r="CA352" i="17"/>
  <c r="BU352" i="17"/>
  <c r="BV351" i="17"/>
  <c r="BJ351" i="17"/>
  <c r="BK351" i="17" s="1"/>
  <c r="BO352" i="17"/>
  <c r="BP351" i="17"/>
  <c r="BK350" i="17"/>
  <c r="BI352" i="17"/>
  <c r="BC352" i="17"/>
  <c r="BD351" i="17"/>
  <c r="AX351" i="17"/>
  <c r="AY351" i="17" s="1"/>
  <c r="AY350" i="17"/>
  <c r="AW352" i="17"/>
  <c r="AE352" i="7"/>
  <c r="AF351" i="7"/>
  <c r="AG351" i="7"/>
  <c r="AH350" i="7"/>
  <c r="CF351" i="17" l="1"/>
  <c r="CG351" i="17" s="1"/>
  <c r="BV352" i="17"/>
  <c r="BW352" i="17" s="1"/>
  <c r="CG350" i="17"/>
  <c r="CE352" i="17"/>
  <c r="BP352" i="17"/>
  <c r="BQ352" i="17" s="1"/>
  <c r="CA353" i="17"/>
  <c r="CB352" i="17"/>
  <c r="BW351" i="17"/>
  <c r="BU353" i="17"/>
  <c r="BQ351" i="17"/>
  <c r="BO353" i="17"/>
  <c r="BI353" i="17"/>
  <c r="BJ352" i="17"/>
  <c r="BD352" i="17"/>
  <c r="BE352" i="17" s="1"/>
  <c r="BE351" i="17"/>
  <c r="BC353" i="17"/>
  <c r="AW353" i="17"/>
  <c r="AX352" i="17"/>
  <c r="AE353" i="7"/>
  <c r="AF353" i="7" s="1"/>
  <c r="AG352" i="7"/>
  <c r="AH351" i="7"/>
  <c r="AF352" i="7"/>
  <c r="CE353" i="17" l="1"/>
  <c r="CB353" i="17"/>
  <c r="CC353" i="17" s="1"/>
  <c r="CF352" i="17"/>
  <c r="CC352" i="17"/>
  <c r="CA354" i="17"/>
  <c r="BU354" i="17"/>
  <c r="BV353" i="17"/>
  <c r="BO354" i="17"/>
  <c r="BP353" i="17"/>
  <c r="BJ353" i="17"/>
  <c r="BK353" i="17" s="1"/>
  <c r="BK352" i="17"/>
  <c r="BI354" i="17"/>
  <c r="AX353" i="17"/>
  <c r="AY353" i="17" s="1"/>
  <c r="BC354" i="17"/>
  <c r="BD353" i="17"/>
  <c r="AY352" i="17"/>
  <c r="AW354" i="17"/>
  <c r="AG353" i="7"/>
  <c r="AH352" i="7"/>
  <c r="AE354" i="7"/>
  <c r="CF353" i="17" l="1"/>
  <c r="CG353" i="17" s="1"/>
  <c r="CG352" i="17"/>
  <c r="CE354" i="17"/>
  <c r="CA355" i="17"/>
  <c r="CB354" i="17"/>
  <c r="BV354" i="17"/>
  <c r="BW354" i="17" s="1"/>
  <c r="BW353" i="17"/>
  <c r="BU355" i="17"/>
  <c r="BP354" i="17"/>
  <c r="BQ354" i="17" s="1"/>
  <c r="BQ353" i="17"/>
  <c r="BO355" i="17"/>
  <c r="BD354" i="17"/>
  <c r="BE354" i="17" s="1"/>
  <c r="BI355" i="17"/>
  <c r="BJ354" i="17"/>
  <c r="BE353" i="17"/>
  <c r="BC355" i="17"/>
  <c r="AW355" i="17"/>
  <c r="AX354" i="17"/>
  <c r="AE355" i="7"/>
  <c r="AF355" i="7" s="1"/>
  <c r="AF354" i="7"/>
  <c r="AG354" i="7"/>
  <c r="AH353" i="7"/>
  <c r="CE355" i="17" l="1"/>
  <c r="CF354" i="17"/>
  <c r="CB355" i="17"/>
  <c r="BD355" i="17"/>
  <c r="BE355" i="17" s="1"/>
  <c r="CC354" i="17"/>
  <c r="CA356" i="17"/>
  <c r="CC355" i="17"/>
  <c r="BU356" i="17"/>
  <c r="BV355" i="17"/>
  <c r="BO356" i="17"/>
  <c r="BP355" i="17"/>
  <c r="BJ355" i="17"/>
  <c r="BK355" i="17" s="1"/>
  <c r="BK354" i="17"/>
  <c r="BI356" i="17"/>
  <c r="BC356" i="17"/>
  <c r="AX355" i="17"/>
  <c r="AY355" i="17" s="1"/>
  <c r="AY354" i="17"/>
  <c r="AW356" i="17"/>
  <c r="AG355" i="7"/>
  <c r="AH354" i="7"/>
  <c r="AE356" i="7"/>
  <c r="CF355" i="17" l="1"/>
  <c r="CG355" i="17" s="1"/>
  <c r="BJ356" i="17"/>
  <c r="BK356" i="17" s="1"/>
  <c r="CG354" i="17"/>
  <c r="CE356" i="17"/>
  <c r="CA357" i="17"/>
  <c r="CB356" i="17"/>
  <c r="BV356" i="17"/>
  <c r="BW356" i="17" s="1"/>
  <c r="BW355" i="17"/>
  <c r="BU357" i="17"/>
  <c r="BP356" i="17"/>
  <c r="BQ356" i="17" s="1"/>
  <c r="BQ355" i="17"/>
  <c r="BO357" i="17"/>
  <c r="BI357" i="17"/>
  <c r="BC357" i="17"/>
  <c r="BD356" i="17"/>
  <c r="AW357" i="17"/>
  <c r="AX356" i="17"/>
  <c r="AE357" i="7"/>
  <c r="AF356" i="7"/>
  <c r="AG356" i="7"/>
  <c r="AH355" i="7"/>
  <c r="CB357" i="17" l="1"/>
  <c r="CC357" i="17" s="1"/>
  <c r="BJ357" i="17"/>
  <c r="BK357" i="17" s="1"/>
  <c r="CE357" i="17"/>
  <c r="CF356" i="17"/>
  <c r="CC356" i="17"/>
  <c r="CA358" i="17"/>
  <c r="BV357" i="17"/>
  <c r="BW357" i="17" s="1"/>
  <c r="BU358" i="17"/>
  <c r="BO358" i="17"/>
  <c r="BP357" i="17"/>
  <c r="BD357" i="17"/>
  <c r="BE357" i="17" s="1"/>
  <c r="BI358" i="17"/>
  <c r="AX357" i="17"/>
  <c r="AY357" i="17" s="1"/>
  <c r="BE356" i="17"/>
  <c r="BC358" i="17"/>
  <c r="AY356" i="17"/>
  <c r="AW358" i="17"/>
  <c r="AG357" i="7"/>
  <c r="AH356" i="7"/>
  <c r="AE358" i="7"/>
  <c r="AF357" i="7"/>
  <c r="BV358" i="17" l="1"/>
  <c r="BW358" i="17" s="1"/>
  <c r="CF357" i="17"/>
  <c r="CG357" i="17" s="1"/>
  <c r="BJ358" i="17"/>
  <c r="BK358" i="17" s="1"/>
  <c r="CG356" i="17"/>
  <c r="CE358" i="17"/>
  <c r="CA359" i="17"/>
  <c r="CB358" i="17"/>
  <c r="BU359" i="17"/>
  <c r="BP358" i="17"/>
  <c r="BQ358" i="17" s="1"/>
  <c r="BQ357" i="17"/>
  <c r="BO359" i="17"/>
  <c r="BI359" i="17"/>
  <c r="BC359" i="17"/>
  <c r="BD358" i="17"/>
  <c r="AW359" i="17"/>
  <c r="AX358" i="17"/>
  <c r="AE359" i="7"/>
  <c r="AF359" i="7" s="1"/>
  <c r="AF358" i="7"/>
  <c r="AG358" i="7"/>
  <c r="AH357" i="7"/>
  <c r="BJ359" i="17" l="1"/>
  <c r="BK359" i="17" s="1"/>
  <c r="CB359" i="17"/>
  <c r="CC359" i="17" s="1"/>
  <c r="CE359" i="17"/>
  <c r="CF358" i="17"/>
  <c r="CC358" i="17"/>
  <c r="CA360" i="17"/>
  <c r="BU360" i="17"/>
  <c r="AX359" i="17"/>
  <c r="AY359" i="17" s="1"/>
  <c r="BV359" i="17"/>
  <c r="BO360" i="17"/>
  <c r="BP359" i="17"/>
  <c r="BI360" i="17"/>
  <c r="BD359" i="17"/>
  <c r="BE359" i="17" s="1"/>
  <c r="BE358" i="17"/>
  <c r="BC360" i="17"/>
  <c r="AY358" i="17"/>
  <c r="AW360" i="17"/>
  <c r="AG359" i="7"/>
  <c r="AH358" i="7"/>
  <c r="AE360" i="7"/>
  <c r="AF360" i="7" s="1"/>
  <c r="CF359" i="17" l="1"/>
  <c r="CG359" i="17" s="1"/>
  <c r="CG358" i="17"/>
  <c r="CE360" i="17"/>
  <c r="BP360" i="17"/>
  <c r="BQ360" i="17" s="1"/>
  <c r="CA361" i="17"/>
  <c r="CB360" i="17"/>
  <c r="BV360" i="17"/>
  <c r="BW360" i="17" s="1"/>
  <c r="BW359" i="17"/>
  <c r="BU361" i="17"/>
  <c r="BQ359" i="17"/>
  <c r="BO361" i="17"/>
  <c r="BI361" i="17"/>
  <c r="BJ360" i="17"/>
  <c r="BC361" i="17"/>
  <c r="BD360" i="17"/>
  <c r="AW361" i="17"/>
  <c r="AX360" i="17"/>
  <c r="AE361" i="7"/>
  <c r="AG360" i="7"/>
  <c r="AH359" i="7"/>
  <c r="BD361" i="17" l="1"/>
  <c r="BE361" i="17" s="1"/>
  <c r="CE361" i="17"/>
  <c r="CF360" i="17"/>
  <c r="CB361" i="17"/>
  <c r="CC361" i="17" s="1"/>
  <c r="CC360" i="17"/>
  <c r="CA362" i="17"/>
  <c r="BJ361" i="17"/>
  <c r="BK361" i="17" s="1"/>
  <c r="BU362" i="17"/>
  <c r="BV361" i="17"/>
  <c r="BO362" i="17"/>
  <c r="BP361" i="17"/>
  <c r="BK360" i="17"/>
  <c r="BI362" i="17"/>
  <c r="AX361" i="17"/>
  <c r="AY361" i="17" s="1"/>
  <c r="BE360" i="17"/>
  <c r="BC362" i="17"/>
  <c r="AY360" i="17"/>
  <c r="AW362" i="17"/>
  <c r="AE362" i="7"/>
  <c r="AG361" i="7"/>
  <c r="AH360" i="7"/>
  <c r="AF361" i="7"/>
  <c r="CF361" i="17" l="1"/>
  <c r="CG361" i="17" s="1"/>
  <c r="BV362" i="17"/>
  <c r="BW362" i="17" s="1"/>
  <c r="CG360" i="17"/>
  <c r="CE362" i="17"/>
  <c r="CA363" i="17"/>
  <c r="CB362" i="17"/>
  <c r="BP362" i="17"/>
  <c r="BQ362" i="17" s="1"/>
  <c r="AX362" i="17"/>
  <c r="AY362" i="17" s="1"/>
  <c r="BW361" i="17"/>
  <c r="BU363" i="17"/>
  <c r="BQ361" i="17"/>
  <c r="BO363" i="17"/>
  <c r="BI363" i="17"/>
  <c r="BJ362" i="17"/>
  <c r="BC363" i="17"/>
  <c r="BD362" i="17"/>
  <c r="AW363" i="17"/>
  <c r="AG362" i="7"/>
  <c r="AH361" i="7"/>
  <c r="AE363" i="7"/>
  <c r="AF363" i="7" s="1"/>
  <c r="AF362" i="7"/>
  <c r="CE363" i="17" l="1"/>
  <c r="CF362" i="17"/>
  <c r="CB363" i="17"/>
  <c r="CC363" i="17" s="1"/>
  <c r="CC362" i="17"/>
  <c r="CA364" i="17"/>
  <c r="AX363" i="17"/>
  <c r="AY363" i="17" s="1"/>
  <c r="BU364" i="17"/>
  <c r="BV363" i="17"/>
  <c r="BJ363" i="17"/>
  <c r="BK363" i="17" s="1"/>
  <c r="BO364" i="17"/>
  <c r="BP363" i="17"/>
  <c r="BK362" i="17"/>
  <c r="BI364" i="17"/>
  <c r="BD363" i="17"/>
  <c r="BE363" i="17" s="1"/>
  <c r="BE362" i="17"/>
  <c r="BC364" i="17"/>
  <c r="AW364" i="17"/>
  <c r="AE364" i="7"/>
  <c r="AF364" i="7" s="1"/>
  <c r="AG363" i="7"/>
  <c r="AH362" i="7"/>
  <c r="CF363" i="17" l="1"/>
  <c r="CG363" i="17" s="1"/>
  <c r="CG362" i="17"/>
  <c r="CE364" i="17"/>
  <c r="AX364" i="17"/>
  <c r="CA365" i="17"/>
  <c r="CB364" i="17"/>
  <c r="BP364" i="17"/>
  <c r="BQ364" i="17" s="1"/>
  <c r="BV364" i="17"/>
  <c r="BW364" i="17" s="1"/>
  <c r="BW363" i="17"/>
  <c r="BU365" i="17"/>
  <c r="BQ363" i="17"/>
  <c r="BO365" i="17"/>
  <c r="BI365" i="17"/>
  <c r="BJ364" i="17"/>
  <c r="BC365" i="17"/>
  <c r="BD364" i="17"/>
  <c r="AW365" i="17"/>
  <c r="AY364" i="17"/>
  <c r="AG364" i="7"/>
  <c r="AH363" i="7"/>
  <c r="AE365" i="7"/>
  <c r="AX365" i="17" l="1"/>
  <c r="AY365" i="17" s="1"/>
  <c r="CF364" i="17"/>
  <c r="CB365" i="17"/>
  <c r="CC365" i="17" s="1"/>
  <c r="CE365" i="17"/>
  <c r="CC364" i="17"/>
  <c r="CA366" i="17"/>
  <c r="BU366" i="17"/>
  <c r="BV365" i="17"/>
  <c r="BO366" i="17"/>
  <c r="BP365" i="17"/>
  <c r="BJ365" i="17"/>
  <c r="BK365" i="17" s="1"/>
  <c r="BK364" i="17"/>
  <c r="BI366" i="17"/>
  <c r="BD365" i="17"/>
  <c r="BE365" i="17" s="1"/>
  <c r="BE364" i="17"/>
  <c r="BC366" i="17"/>
  <c r="AW366" i="17"/>
  <c r="AE366" i="7"/>
  <c r="AF365" i="7"/>
  <c r="AG365" i="7"/>
  <c r="AH364" i="7"/>
  <c r="CF365" i="17" l="1"/>
  <c r="CG365" i="17" s="1"/>
  <c r="CG364" i="17"/>
  <c r="CE366" i="17"/>
  <c r="CA367" i="17"/>
  <c r="CB366" i="17"/>
  <c r="BV366" i="17"/>
  <c r="BW366" i="17" s="1"/>
  <c r="BW365" i="17"/>
  <c r="BU367" i="17"/>
  <c r="BP366" i="17"/>
  <c r="BQ366" i="17" s="1"/>
  <c r="BQ365" i="17"/>
  <c r="BO367" i="17"/>
  <c r="BI367" i="17"/>
  <c r="BJ366" i="17"/>
  <c r="BC367" i="17"/>
  <c r="BD366" i="17"/>
  <c r="AW367" i="17"/>
  <c r="AX366" i="17"/>
  <c r="AG366" i="7"/>
  <c r="AH365" i="7"/>
  <c r="AE367" i="7"/>
  <c r="AF366" i="7"/>
  <c r="BV367" i="17" l="1"/>
  <c r="BW367" i="17" s="1"/>
  <c r="CB367" i="17"/>
  <c r="CC367" i="17" s="1"/>
  <c r="CE367" i="17"/>
  <c r="CF366" i="17"/>
  <c r="CC366" i="17"/>
  <c r="CA368" i="17"/>
  <c r="BU368" i="17"/>
  <c r="BJ367" i="17"/>
  <c r="BK367" i="17" s="1"/>
  <c r="BO368" i="17"/>
  <c r="BP367" i="17"/>
  <c r="BD367" i="17"/>
  <c r="BE367" i="17" s="1"/>
  <c r="BK366" i="17"/>
  <c r="BI368" i="17"/>
  <c r="BE366" i="17"/>
  <c r="BC368" i="17"/>
  <c r="AX367" i="17"/>
  <c r="AY367" i="17" s="1"/>
  <c r="AY366" i="17"/>
  <c r="AW368" i="17"/>
  <c r="AE368" i="7"/>
  <c r="AF367" i="7"/>
  <c r="AG367" i="7"/>
  <c r="AH366" i="7"/>
  <c r="CF367" i="17" l="1"/>
  <c r="CG367" i="17" s="1"/>
  <c r="CG366" i="17"/>
  <c r="CE368" i="17"/>
  <c r="CA369" i="17"/>
  <c r="CB368" i="17"/>
  <c r="BP368" i="17"/>
  <c r="BQ368" i="17" s="1"/>
  <c r="BU369" i="17"/>
  <c r="BV368" i="17"/>
  <c r="BQ367" i="17"/>
  <c r="BO369" i="17"/>
  <c r="BI369" i="17"/>
  <c r="BJ368" i="17"/>
  <c r="BC369" i="17"/>
  <c r="BD368" i="17"/>
  <c r="AW369" i="17"/>
  <c r="AX368" i="17"/>
  <c r="AG368" i="7"/>
  <c r="AH367" i="7"/>
  <c r="AE369" i="7"/>
  <c r="AF368" i="7"/>
  <c r="CB369" i="17" l="1"/>
  <c r="CC369" i="17" s="1"/>
  <c r="CE369" i="17"/>
  <c r="CF368" i="17"/>
  <c r="CC368" i="17"/>
  <c r="CA370" i="17"/>
  <c r="BV369" i="17"/>
  <c r="BW369" i="17" s="1"/>
  <c r="BW368" i="17"/>
  <c r="BU370" i="17"/>
  <c r="BO370" i="17"/>
  <c r="BP369" i="17"/>
  <c r="BJ369" i="17"/>
  <c r="BK369" i="17" s="1"/>
  <c r="BK368" i="17"/>
  <c r="BI370" i="17"/>
  <c r="BD369" i="17"/>
  <c r="BE369" i="17" s="1"/>
  <c r="BE368" i="17"/>
  <c r="BC370" i="17"/>
  <c r="AX369" i="17"/>
  <c r="AY369" i="17" s="1"/>
  <c r="AY368" i="17"/>
  <c r="AW370" i="17"/>
  <c r="AE370" i="7"/>
  <c r="AF369" i="7"/>
  <c r="AG369" i="7"/>
  <c r="AH368" i="7"/>
  <c r="CF369" i="17" l="1"/>
  <c r="CG369" i="17" s="1"/>
  <c r="CG368" i="17"/>
  <c r="CE370" i="17"/>
  <c r="CA371" i="17"/>
  <c r="CB370" i="17"/>
  <c r="BU371" i="17"/>
  <c r="BV370" i="17"/>
  <c r="BP370" i="17"/>
  <c r="BQ370" i="17" s="1"/>
  <c r="BQ369" i="17"/>
  <c r="BO371" i="17"/>
  <c r="BI371" i="17"/>
  <c r="BJ370" i="17"/>
  <c r="BC371" i="17"/>
  <c r="BD370" i="17"/>
  <c r="AW371" i="17"/>
  <c r="AX370" i="17"/>
  <c r="AG370" i="7"/>
  <c r="AH369" i="7"/>
  <c r="AE371" i="7"/>
  <c r="AF370" i="7"/>
  <c r="CB371" i="17" l="1"/>
  <c r="CC371" i="17" s="1"/>
  <c r="CE371" i="17"/>
  <c r="CF370" i="17"/>
  <c r="CC370" i="17"/>
  <c r="CA372" i="17"/>
  <c r="BV371" i="17"/>
  <c r="BW371" i="17" s="1"/>
  <c r="BW370" i="17"/>
  <c r="BU372" i="17"/>
  <c r="BJ371" i="17"/>
  <c r="BK371" i="17" s="1"/>
  <c r="BO372" i="17"/>
  <c r="BP371" i="17"/>
  <c r="BK370" i="17"/>
  <c r="BI372" i="17"/>
  <c r="BD371" i="17"/>
  <c r="BE371" i="17" s="1"/>
  <c r="AX371" i="17"/>
  <c r="AY371" i="17" s="1"/>
  <c r="BE370" i="17"/>
  <c r="BC372" i="17"/>
  <c r="AY370" i="17"/>
  <c r="AW372" i="17"/>
  <c r="AE372" i="7"/>
  <c r="AF372" i="7" s="1"/>
  <c r="AF371" i="7"/>
  <c r="AG371" i="7"/>
  <c r="AH370" i="7"/>
  <c r="CF371" i="17" l="1"/>
  <c r="CG371" i="17" s="1"/>
  <c r="CG370" i="17"/>
  <c r="CE372" i="17"/>
  <c r="CA373" i="17"/>
  <c r="CB372" i="17"/>
  <c r="BU373" i="17"/>
  <c r="BV372" i="17"/>
  <c r="BP372" i="17"/>
  <c r="BQ372" i="17" s="1"/>
  <c r="BQ371" i="17"/>
  <c r="BO373" i="17"/>
  <c r="BI373" i="17"/>
  <c r="BJ372" i="17"/>
  <c r="BC373" i="17"/>
  <c r="BD372" i="17"/>
  <c r="AW373" i="17"/>
  <c r="AX372" i="17"/>
  <c r="AG372" i="7"/>
  <c r="AH371" i="7"/>
  <c r="AE373" i="7"/>
  <c r="AF373" i="7" s="1"/>
  <c r="CE373" i="17" l="1"/>
  <c r="CF372" i="17"/>
  <c r="CB373" i="17"/>
  <c r="CC373" i="17" s="1"/>
  <c r="CC372" i="17"/>
  <c r="CA374" i="17"/>
  <c r="BV373" i="17"/>
  <c r="BW373" i="17" s="1"/>
  <c r="BW372" i="17"/>
  <c r="BU374" i="17"/>
  <c r="BO374" i="17"/>
  <c r="BP373" i="17"/>
  <c r="BJ373" i="17"/>
  <c r="BK373" i="17" s="1"/>
  <c r="BD373" i="17"/>
  <c r="BE373" i="17" s="1"/>
  <c r="BK372" i="17"/>
  <c r="BI374" i="17"/>
  <c r="BE372" i="17"/>
  <c r="BC374" i="17"/>
  <c r="AX373" i="17"/>
  <c r="AY373" i="17" s="1"/>
  <c r="AY372" i="17"/>
  <c r="AW374" i="17"/>
  <c r="AE374" i="7"/>
  <c r="AG373" i="7"/>
  <c r="AH372" i="7"/>
  <c r="CF373" i="17" l="1"/>
  <c r="CG373" i="17" s="1"/>
  <c r="CG372" i="17"/>
  <c r="CE374" i="17"/>
  <c r="BP374" i="17"/>
  <c r="BQ374" i="17" s="1"/>
  <c r="CA375" i="17"/>
  <c r="CB374" i="17"/>
  <c r="BU375" i="17"/>
  <c r="BD374" i="17"/>
  <c r="BE374" i="17" s="1"/>
  <c r="BV374" i="17"/>
  <c r="BQ373" i="17"/>
  <c r="BO375" i="17"/>
  <c r="BI375" i="17"/>
  <c r="BJ374" i="17"/>
  <c r="BC375" i="17"/>
  <c r="AW375" i="17"/>
  <c r="AX374" i="17"/>
  <c r="AE375" i="7"/>
  <c r="AG374" i="7"/>
  <c r="AH373" i="7"/>
  <c r="AF374" i="7"/>
  <c r="CB375" i="17" l="1"/>
  <c r="CC375" i="17" s="1"/>
  <c r="BD375" i="17"/>
  <c r="BE375" i="17" s="1"/>
  <c r="CE375" i="17"/>
  <c r="CF374" i="17"/>
  <c r="CF375" i="17" s="1"/>
  <c r="CC374" i="17"/>
  <c r="BV375" i="17"/>
  <c r="CA376" i="17"/>
  <c r="BJ375" i="17"/>
  <c r="BK375" i="17" s="1"/>
  <c r="BW374" i="17"/>
  <c r="BU376" i="17"/>
  <c r="BW375" i="17"/>
  <c r="BO376" i="17"/>
  <c r="BP375" i="17"/>
  <c r="BK374" i="17"/>
  <c r="BI376" i="17"/>
  <c r="BC376" i="17"/>
  <c r="AX375" i="17"/>
  <c r="AY375" i="17" s="1"/>
  <c r="AY374" i="17"/>
  <c r="AW376" i="17"/>
  <c r="AG375" i="7"/>
  <c r="AH374" i="7"/>
  <c r="AE376" i="7"/>
  <c r="AF375" i="7"/>
  <c r="CE376" i="17" l="1"/>
  <c r="CF376" i="17" s="1"/>
  <c r="CG375" i="17"/>
  <c r="CG374" i="17"/>
  <c r="BP376" i="17"/>
  <c r="CA377" i="17"/>
  <c r="CB376" i="17"/>
  <c r="BU377" i="17"/>
  <c r="BV376" i="17"/>
  <c r="BQ375" i="17"/>
  <c r="BO377" i="17"/>
  <c r="BQ376" i="17"/>
  <c r="BI377" i="17"/>
  <c r="BJ376" i="17"/>
  <c r="BC377" i="17"/>
  <c r="BD376" i="17"/>
  <c r="AW377" i="17"/>
  <c r="AX376" i="17"/>
  <c r="AE377" i="7"/>
  <c r="AF376" i="7"/>
  <c r="AG376" i="7"/>
  <c r="AH375" i="7"/>
  <c r="CE377" i="17" l="1"/>
  <c r="CF377" i="17" s="1"/>
  <c r="CG376" i="17"/>
  <c r="CB377" i="17"/>
  <c r="CC377" i="17" s="1"/>
  <c r="CA378" i="17"/>
  <c r="CB378" i="17" s="1"/>
  <c r="CC376" i="17"/>
  <c r="BD377" i="17"/>
  <c r="BE377" i="17" s="1"/>
  <c r="BV377" i="17"/>
  <c r="BW377" i="17" s="1"/>
  <c r="BW376" i="17"/>
  <c r="BU378" i="17"/>
  <c r="BJ377" i="17"/>
  <c r="BK377" i="17" s="1"/>
  <c r="BO378" i="17"/>
  <c r="BP377" i="17"/>
  <c r="BK376" i="17"/>
  <c r="BI378" i="17"/>
  <c r="BE376" i="17"/>
  <c r="BC378" i="17"/>
  <c r="AX377" i="17"/>
  <c r="AY377" i="17" s="1"/>
  <c r="AY376" i="17"/>
  <c r="AW378" i="17"/>
  <c r="AG377" i="7"/>
  <c r="AH376" i="7"/>
  <c r="AE378" i="7"/>
  <c r="AF377" i="7"/>
  <c r="CE378" i="17" l="1"/>
  <c r="CF378" i="17" s="1"/>
  <c r="CG377" i="17"/>
  <c r="CA379" i="17"/>
  <c r="CC378" i="17"/>
  <c r="BU379" i="17"/>
  <c r="BV378" i="17"/>
  <c r="BP378" i="17"/>
  <c r="BQ378" i="17" s="1"/>
  <c r="BQ377" i="17"/>
  <c r="BO379" i="17"/>
  <c r="BI379" i="17"/>
  <c r="BJ378" i="17"/>
  <c r="BC379" i="17"/>
  <c r="BD378" i="17"/>
  <c r="AW379" i="17"/>
  <c r="AX378" i="17"/>
  <c r="AE379" i="7"/>
  <c r="AF378" i="7"/>
  <c r="AG378" i="7"/>
  <c r="AH377" i="7"/>
  <c r="CE379" i="17" l="1"/>
  <c r="CG378" i="17"/>
  <c r="CA380" i="17"/>
  <c r="CB379" i="17"/>
  <c r="BV379" i="17"/>
  <c r="BW379" i="17" s="1"/>
  <c r="BW378" i="17"/>
  <c r="BU380" i="17"/>
  <c r="BO380" i="17"/>
  <c r="BP379" i="17"/>
  <c r="BJ379" i="17"/>
  <c r="BK379" i="17" s="1"/>
  <c r="AX379" i="17"/>
  <c r="AY379" i="17" s="1"/>
  <c r="BK378" i="17"/>
  <c r="BI380" i="17"/>
  <c r="BD379" i="17"/>
  <c r="BE379" i="17" s="1"/>
  <c r="BE378" i="17"/>
  <c r="BC380" i="17"/>
  <c r="AY378" i="17"/>
  <c r="AW380" i="17"/>
  <c r="AG379" i="7"/>
  <c r="AH378" i="7"/>
  <c r="AE380" i="7"/>
  <c r="AF379" i="7"/>
  <c r="CE380" i="17" l="1"/>
  <c r="CF379" i="17"/>
  <c r="CB380" i="17"/>
  <c r="CC380" i="17" s="1"/>
  <c r="CC379" i="17"/>
  <c r="CA381" i="17"/>
  <c r="BJ380" i="17"/>
  <c r="BK380" i="17" s="1"/>
  <c r="BU381" i="17"/>
  <c r="BV380" i="17"/>
  <c r="BP380" i="17"/>
  <c r="BQ380" i="17" s="1"/>
  <c r="BQ379" i="17"/>
  <c r="BO381" i="17"/>
  <c r="BI381" i="17"/>
  <c r="BC381" i="17"/>
  <c r="BD380" i="17"/>
  <c r="AW381" i="17"/>
  <c r="AX380" i="17"/>
  <c r="AE381" i="7"/>
  <c r="AF380" i="7"/>
  <c r="AG380" i="7"/>
  <c r="AH379" i="7"/>
  <c r="CF380" i="17" l="1"/>
  <c r="CG380" i="17" s="1"/>
  <c r="CG379" i="17"/>
  <c r="CE381" i="17"/>
  <c r="CA382" i="17"/>
  <c r="CB381" i="17"/>
  <c r="BV381" i="17"/>
  <c r="BW381" i="17" s="1"/>
  <c r="BW380" i="17"/>
  <c r="BU382" i="17"/>
  <c r="BO382" i="17"/>
  <c r="BP381" i="17"/>
  <c r="BD381" i="17"/>
  <c r="BE381" i="17" s="1"/>
  <c r="BI382" i="17"/>
  <c r="BJ381" i="17"/>
  <c r="AX381" i="17"/>
  <c r="AY381" i="17" s="1"/>
  <c r="BE380" i="17"/>
  <c r="BC382" i="17"/>
  <c r="AY380" i="17"/>
  <c r="AW382" i="17"/>
  <c r="AG381" i="7"/>
  <c r="AH380" i="7"/>
  <c r="AE382" i="7"/>
  <c r="AF382" i="7" s="1"/>
  <c r="AF381" i="7"/>
  <c r="BV382" i="17" l="1"/>
  <c r="BW382" i="17" s="1"/>
  <c r="CE382" i="17"/>
  <c r="CF381" i="17"/>
  <c r="CB382" i="17"/>
  <c r="CC382" i="17" s="1"/>
  <c r="CC381" i="17"/>
  <c r="CA383" i="17"/>
  <c r="BP382" i="17"/>
  <c r="BQ382" i="17" s="1"/>
  <c r="BU383" i="17"/>
  <c r="BQ381" i="17"/>
  <c r="BO383" i="17"/>
  <c r="BJ382" i="17"/>
  <c r="BK382" i="17" s="1"/>
  <c r="BK381" i="17"/>
  <c r="BI383" i="17"/>
  <c r="BC383" i="17"/>
  <c r="BD382" i="17"/>
  <c r="AW383" i="17"/>
  <c r="AX382" i="17"/>
  <c r="AE383" i="7"/>
  <c r="AG382" i="7"/>
  <c r="AH381" i="7"/>
  <c r="CF382" i="17" l="1"/>
  <c r="CG382" i="17" s="1"/>
  <c r="CG381" i="17"/>
  <c r="CE383" i="17"/>
  <c r="CA384" i="17"/>
  <c r="CB383" i="17"/>
  <c r="BU384" i="17"/>
  <c r="BV383" i="17"/>
  <c r="BO384" i="17"/>
  <c r="BP383" i="17"/>
  <c r="BD383" i="17"/>
  <c r="BE383" i="17" s="1"/>
  <c r="BI384" i="17"/>
  <c r="BJ383" i="17"/>
  <c r="BE382" i="17"/>
  <c r="BC384" i="17"/>
  <c r="AX383" i="17"/>
  <c r="AY383" i="17" s="1"/>
  <c r="AY382" i="17"/>
  <c r="AW384" i="17"/>
  <c r="AG383" i="7"/>
  <c r="AH382" i="7"/>
  <c r="AE384" i="7"/>
  <c r="AF384" i="7" s="1"/>
  <c r="AF383" i="7"/>
  <c r="BP384" i="17" l="1"/>
  <c r="BQ384" i="17" s="1"/>
  <c r="CB384" i="17"/>
  <c r="CC384" i="17" s="1"/>
  <c r="CE384" i="17"/>
  <c r="CF383" i="17"/>
  <c r="CC383" i="17"/>
  <c r="CA385" i="17"/>
  <c r="BV384" i="17"/>
  <c r="BW384" i="17" s="1"/>
  <c r="BW383" i="17"/>
  <c r="BU385" i="17"/>
  <c r="BQ383" i="17"/>
  <c r="BO385" i="17"/>
  <c r="BJ384" i="17"/>
  <c r="BK384" i="17" s="1"/>
  <c r="BK383" i="17"/>
  <c r="BI385" i="17"/>
  <c r="BC385" i="17"/>
  <c r="BD384" i="17"/>
  <c r="AW385" i="17"/>
  <c r="AX384" i="17"/>
  <c r="AE385" i="7"/>
  <c r="AG384" i="7"/>
  <c r="AH383" i="7"/>
  <c r="CF384" i="17" l="1"/>
  <c r="CG384" i="17" s="1"/>
  <c r="CG383" i="17"/>
  <c r="CE385" i="17"/>
  <c r="CA386" i="17"/>
  <c r="CB385" i="17"/>
  <c r="BU386" i="17"/>
  <c r="BV385" i="17"/>
  <c r="BO386" i="17"/>
  <c r="BP385" i="17"/>
  <c r="BD385" i="17"/>
  <c r="BE385" i="17" s="1"/>
  <c r="BI386" i="17"/>
  <c r="BJ385" i="17"/>
  <c r="BE384" i="17"/>
  <c r="BC386" i="17"/>
  <c r="AX385" i="17"/>
  <c r="AY385" i="17" s="1"/>
  <c r="AY384" i="17"/>
  <c r="AW386" i="17"/>
  <c r="AG385" i="7"/>
  <c r="AH384" i="7"/>
  <c r="AE386" i="7"/>
  <c r="AF385" i="7"/>
  <c r="CB386" i="17" l="1"/>
  <c r="CC386" i="17" s="1"/>
  <c r="CE386" i="17"/>
  <c r="CF385" i="17"/>
  <c r="CC385" i="17"/>
  <c r="CA387" i="17"/>
  <c r="BV386" i="17"/>
  <c r="BW386" i="17" s="1"/>
  <c r="BW385" i="17"/>
  <c r="BU387" i="17"/>
  <c r="BP386" i="17"/>
  <c r="BQ386" i="17" s="1"/>
  <c r="BQ385" i="17"/>
  <c r="BO387" i="17"/>
  <c r="BJ386" i="17"/>
  <c r="BK386" i="17" s="1"/>
  <c r="BK385" i="17"/>
  <c r="BI387" i="17"/>
  <c r="BC387" i="17"/>
  <c r="BD386" i="17"/>
  <c r="AW387" i="17"/>
  <c r="AX386" i="17"/>
  <c r="AE387" i="7"/>
  <c r="AF387" i="7" s="1"/>
  <c r="AF386" i="7"/>
  <c r="AG386" i="7"/>
  <c r="AH385" i="7"/>
  <c r="CF386" i="17" l="1"/>
  <c r="CG386" i="17" s="1"/>
  <c r="CG385" i="17"/>
  <c r="CE387" i="17"/>
  <c r="CA388" i="17"/>
  <c r="CB387" i="17"/>
  <c r="BU388" i="17"/>
  <c r="BV387" i="17"/>
  <c r="BJ387" i="17"/>
  <c r="BK387" i="17" s="1"/>
  <c r="BO388" i="17"/>
  <c r="BP387" i="17"/>
  <c r="BD387" i="17"/>
  <c r="BE387" i="17" s="1"/>
  <c r="BI388" i="17"/>
  <c r="AX387" i="17"/>
  <c r="AY387" i="17" s="1"/>
  <c r="BE386" i="17"/>
  <c r="BC388" i="17"/>
  <c r="AY386" i="17"/>
  <c r="AW388" i="17"/>
  <c r="AG387" i="7"/>
  <c r="AH386" i="7"/>
  <c r="AE388" i="7"/>
  <c r="AF388" i="7" s="1"/>
  <c r="CF387" i="17" l="1"/>
  <c r="CG387" i="17" s="1"/>
  <c r="CB388" i="17"/>
  <c r="CC388" i="17" s="1"/>
  <c r="CE388" i="17"/>
  <c r="CC387" i="17"/>
  <c r="CA389" i="17"/>
  <c r="BV388" i="17"/>
  <c r="BW388" i="17" s="1"/>
  <c r="BW387" i="17"/>
  <c r="BU389" i="17"/>
  <c r="BP388" i="17"/>
  <c r="BQ388" i="17" s="1"/>
  <c r="BQ387" i="17"/>
  <c r="BO389" i="17"/>
  <c r="BI389" i="17"/>
  <c r="BJ388" i="17"/>
  <c r="BC389" i="17"/>
  <c r="BD388" i="17"/>
  <c r="AW389" i="17"/>
  <c r="AX388" i="17"/>
  <c r="AE389" i="7"/>
  <c r="AF389" i="7" s="1"/>
  <c r="AG388" i="7"/>
  <c r="AH387" i="7"/>
  <c r="CE389" i="17" l="1"/>
  <c r="CF388" i="17"/>
  <c r="CA390" i="17"/>
  <c r="CB389" i="17"/>
  <c r="BU390" i="17"/>
  <c r="BV389" i="17"/>
  <c r="BD389" i="17"/>
  <c r="BE389" i="17" s="1"/>
  <c r="BO390" i="17"/>
  <c r="BP389" i="17"/>
  <c r="AX389" i="17"/>
  <c r="AY389" i="17" s="1"/>
  <c r="BJ389" i="17"/>
  <c r="BK389" i="17" s="1"/>
  <c r="BK388" i="17"/>
  <c r="BI390" i="17"/>
  <c r="BE388" i="17"/>
  <c r="BC390" i="17"/>
  <c r="AY388" i="17"/>
  <c r="AW390" i="17"/>
  <c r="AG389" i="7"/>
  <c r="AH388" i="7"/>
  <c r="AE390" i="7"/>
  <c r="CF389" i="17" l="1"/>
  <c r="CG389" i="17" s="1"/>
  <c r="CG388" i="17"/>
  <c r="CE390" i="17"/>
  <c r="CB390" i="17"/>
  <c r="CC390" i="17" s="1"/>
  <c r="BP390" i="17"/>
  <c r="BQ390" i="17" s="1"/>
  <c r="CC389" i="17"/>
  <c r="CA391" i="17"/>
  <c r="BV390" i="17"/>
  <c r="BW390" i="17" s="1"/>
  <c r="BW389" i="17"/>
  <c r="BU391" i="17"/>
  <c r="BQ389" i="17"/>
  <c r="BO391" i="17"/>
  <c r="BI391" i="17"/>
  <c r="BJ390" i="17"/>
  <c r="BC391" i="17"/>
  <c r="BD390" i="17"/>
  <c r="AW391" i="17"/>
  <c r="AX390" i="17"/>
  <c r="AE391" i="7"/>
  <c r="AF390" i="7"/>
  <c r="AG390" i="7"/>
  <c r="AH389" i="7"/>
  <c r="CB391" i="17" l="1"/>
  <c r="CC391" i="17" s="1"/>
  <c r="CE391" i="17"/>
  <c r="CF390" i="17"/>
  <c r="CA392" i="17"/>
  <c r="BU392" i="17"/>
  <c r="BV391" i="17"/>
  <c r="BJ391" i="17"/>
  <c r="BK391" i="17" s="1"/>
  <c r="BO392" i="17"/>
  <c r="BP391" i="17"/>
  <c r="BK390" i="17"/>
  <c r="BI392" i="17"/>
  <c r="BD391" i="17"/>
  <c r="BE391" i="17" s="1"/>
  <c r="BE390" i="17"/>
  <c r="BC392" i="17"/>
  <c r="AX391" i="17"/>
  <c r="AY391" i="17" s="1"/>
  <c r="AY390" i="17"/>
  <c r="AW392" i="17"/>
  <c r="AG391" i="7"/>
  <c r="AH390" i="7"/>
  <c r="AE392" i="7"/>
  <c r="AF391" i="7"/>
  <c r="CF391" i="17" l="1"/>
  <c r="CG391" i="17" s="1"/>
  <c r="CG390" i="17"/>
  <c r="CE392" i="17"/>
  <c r="CA393" i="17"/>
  <c r="CB392" i="17"/>
  <c r="BV392" i="17"/>
  <c r="BW392" i="17" s="1"/>
  <c r="BW391" i="17"/>
  <c r="BU393" i="17"/>
  <c r="BP392" i="17"/>
  <c r="BQ392" i="17" s="1"/>
  <c r="BQ391" i="17"/>
  <c r="BO393" i="17"/>
  <c r="BI393" i="17"/>
  <c r="BJ392" i="17"/>
  <c r="BC393" i="17"/>
  <c r="BD392" i="17"/>
  <c r="AW393" i="17"/>
  <c r="AX392" i="17"/>
  <c r="AE393" i="7"/>
  <c r="AF392" i="7"/>
  <c r="AH391" i="7"/>
  <c r="AG392" i="7"/>
  <c r="CB393" i="17" l="1"/>
  <c r="CC393" i="17" s="1"/>
  <c r="CE393" i="17"/>
  <c r="CF392" i="17"/>
  <c r="CC392" i="17"/>
  <c r="CA394" i="17"/>
  <c r="BU394" i="17"/>
  <c r="AX393" i="17"/>
  <c r="AY393" i="17" s="1"/>
  <c r="BV393" i="17"/>
  <c r="BO394" i="17"/>
  <c r="BP393" i="17"/>
  <c r="BD393" i="17"/>
  <c r="BE393" i="17" s="1"/>
  <c r="BJ393" i="17"/>
  <c r="BK393" i="17" s="1"/>
  <c r="BK392" i="17"/>
  <c r="BI394" i="17"/>
  <c r="BE392" i="17"/>
  <c r="BC394" i="17"/>
  <c r="AY392" i="17"/>
  <c r="AW394" i="17"/>
  <c r="AH392" i="7"/>
  <c r="AG393" i="7"/>
  <c r="AE394" i="7"/>
  <c r="AF394" i="7" s="1"/>
  <c r="AF393" i="7"/>
  <c r="CF393" i="17" l="1"/>
  <c r="CG393" i="17" s="1"/>
  <c r="CE394" i="17"/>
  <c r="CG392" i="17"/>
  <c r="CA395" i="17"/>
  <c r="CB394" i="17"/>
  <c r="BV394" i="17"/>
  <c r="BW394" i="17" s="1"/>
  <c r="BP394" i="17"/>
  <c r="BQ394" i="17" s="1"/>
  <c r="BW393" i="17"/>
  <c r="BU395" i="17"/>
  <c r="BQ393" i="17"/>
  <c r="BO395" i="17"/>
  <c r="BI395" i="17"/>
  <c r="BJ394" i="17"/>
  <c r="BC395" i="17"/>
  <c r="BD394" i="17"/>
  <c r="AW395" i="17"/>
  <c r="AX394" i="17"/>
  <c r="AE395" i="7"/>
  <c r="AF395" i="7" s="1"/>
  <c r="AH393" i="7"/>
  <c r="AG394" i="7"/>
  <c r="CB395" i="17" l="1"/>
  <c r="CC395" i="17" s="1"/>
  <c r="CF394" i="17"/>
  <c r="CG394" i="17" s="1"/>
  <c r="CE395" i="17"/>
  <c r="CC394" i="17"/>
  <c r="CA396" i="17"/>
  <c r="BJ395" i="17"/>
  <c r="BK395" i="17" s="1"/>
  <c r="BU396" i="17"/>
  <c r="BV395" i="17"/>
  <c r="BO396" i="17"/>
  <c r="BP395" i="17"/>
  <c r="AX395" i="17"/>
  <c r="AY395" i="17" s="1"/>
  <c r="BD395" i="17"/>
  <c r="BE395" i="17" s="1"/>
  <c r="BK394" i="17"/>
  <c r="BI396" i="17"/>
  <c r="BE394" i="17"/>
  <c r="BC396" i="17"/>
  <c r="AY394" i="17"/>
  <c r="AW396" i="17"/>
  <c r="AH394" i="7"/>
  <c r="AG395" i="7"/>
  <c r="AE396" i="7"/>
  <c r="AF396" i="7"/>
  <c r="BV396" i="17" l="1"/>
  <c r="BW396" i="17" s="1"/>
  <c r="CE396" i="17"/>
  <c r="CF395" i="17"/>
  <c r="BP396" i="17"/>
  <c r="CA397" i="17"/>
  <c r="CB396" i="17"/>
  <c r="BW395" i="17"/>
  <c r="BU397" i="17"/>
  <c r="BQ395" i="17"/>
  <c r="BO397" i="17"/>
  <c r="BQ396" i="17"/>
  <c r="BI397" i="17"/>
  <c r="BJ396" i="17"/>
  <c r="BC397" i="17"/>
  <c r="BD396" i="17"/>
  <c r="AW397" i="17"/>
  <c r="AX396" i="17"/>
  <c r="AE397" i="7"/>
  <c r="AH395" i="7"/>
  <c r="AG396" i="7"/>
  <c r="CF396" i="17" l="1"/>
  <c r="CG396" i="17" s="1"/>
  <c r="CB397" i="17"/>
  <c r="CC397" i="17" s="1"/>
  <c r="CG395" i="17"/>
  <c r="CE397" i="17"/>
  <c r="CC396" i="17"/>
  <c r="CA398" i="17"/>
  <c r="BU398" i="17"/>
  <c r="BV397" i="17"/>
  <c r="BO398" i="17"/>
  <c r="BP397" i="17"/>
  <c r="BJ397" i="17"/>
  <c r="BK397" i="17" s="1"/>
  <c r="BK396" i="17"/>
  <c r="BI398" i="17"/>
  <c r="BD397" i="17"/>
  <c r="BE397" i="17" s="1"/>
  <c r="BE396" i="17"/>
  <c r="BC398" i="17"/>
  <c r="AX397" i="17"/>
  <c r="AY397" i="17" s="1"/>
  <c r="AY396" i="17"/>
  <c r="AW398" i="17"/>
  <c r="AH396" i="7"/>
  <c r="AG397" i="7"/>
  <c r="AE398" i="7"/>
  <c r="AF397" i="7"/>
  <c r="BV398" i="17" l="1"/>
  <c r="BW398" i="17" s="1"/>
  <c r="CE398" i="17"/>
  <c r="CF397" i="17"/>
  <c r="BD398" i="17"/>
  <c r="BE398" i="17" s="1"/>
  <c r="CA399" i="17"/>
  <c r="CB398" i="17"/>
  <c r="BW397" i="17"/>
  <c r="BU399" i="17"/>
  <c r="BP398" i="17"/>
  <c r="BQ398" i="17" s="1"/>
  <c r="BQ397" i="17"/>
  <c r="BO399" i="17"/>
  <c r="BI399" i="17"/>
  <c r="BJ398" i="17"/>
  <c r="BC399" i="17"/>
  <c r="AW399" i="17"/>
  <c r="AX398" i="17"/>
  <c r="AE399" i="7"/>
  <c r="AF398" i="7"/>
  <c r="AH397" i="7"/>
  <c r="AG398" i="7"/>
  <c r="CB399" i="17" l="1"/>
  <c r="CC399" i="17" s="1"/>
  <c r="CF398" i="17"/>
  <c r="CG398" i="17" s="1"/>
  <c r="BD399" i="17"/>
  <c r="BE399" i="17" s="1"/>
  <c r="CG397" i="17"/>
  <c r="CE399" i="17"/>
  <c r="CC398" i="17"/>
  <c r="CA400" i="17"/>
  <c r="BJ399" i="17"/>
  <c r="BK399" i="17" s="1"/>
  <c r="BU400" i="17"/>
  <c r="BV399" i="17"/>
  <c r="BO400" i="17"/>
  <c r="BP399" i="17"/>
  <c r="AX399" i="17"/>
  <c r="AY399" i="17" s="1"/>
  <c r="BK398" i="17"/>
  <c r="BI400" i="17"/>
  <c r="BC400" i="17"/>
  <c r="AY398" i="17"/>
  <c r="AW400" i="17"/>
  <c r="AE400" i="7"/>
  <c r="AH398" i="7"/>
  <c r="AG399" i="7"/>
  <c r="AF399" i="7"/>
  <c r="CE400" i="17" l="1"/>
  <c r="CF399" i="17"/>
  <c r="CA401" i="17"/>
  <c r="CB400" i="17"/>
  <c r="BV400" i="17"/>
  <c r="BW400" i="17" s="1"/>
  <c r="AX400" i="17"/>
  <c r="AY400" i="17" s="1"/>
  <c r="BU401" i="17"/>
  <c r="BP400" i="17"/>
  <c r="BQ400" i="17" s="1"/>
  <c r="BW399" i="17"/>
  <c r="BQ399" i="17"/>
  <c r="BO401" i="17"/>
  <c r="BI401" i="17"/>
  <c r="BJ400" i="17"/>
  <c r="BC401" i="17"/>
  <c r="BD400" i="17"/>
  <c r="AW401" i="17"/>
  <c r="AH399" i="7"/>
  <c r="AG400" i="7"/>
  <c r="AE401" i="7"/>
  <c r="AF400" i="7"/>
  <c r="BV401" i="17" l="1"/>
  <c r="BW401" i="17" s="1"/>
  <c r="CF400" i="17"/>
  <c r="CG400" i="17" s="1"/>
  <c r="CB401" i="17"/>
  <c r="AX401" i="17"/>
  <c r="CG399" i="17"/>
  <c r="CE401" i="17"/>
  <c r="CC400" i="17"/>
  <c r="CA402" i="17"/>
  <c r="CC401" i="17"/>
  <c r="BU402" i="17"/>
  <c r="BO402" i="17"/>
  <c r="BP401" i="17"/>
  <c r="BJ401" i="17"/>
  <c r="BK401" i="17" s="1"/>
  <c r="BD401" i="17"/>
  <c r="BE401" i="17" s="1"/>
  <c r="BK400" i="17"/>
  <c r="BI402" i="17"/>
  <c r="BE400" i="17"/>
  <c r="BC402" i="17"/>
  <c r="AW402" i="17"/>
  <c r="AY401" i="17"/>
  <c r="AE402" i="7"/>
  <c r="AF401" i="7"/>
  <c r="AH400" i="7"/>
  <c r="AG401" i="7"/>
  <c r="BV402" i="17" l="1"/>
  <c r="BW402" i="17" s="1"/>
  <c r="CF401" i="17"/>
  <c r="CG401" i="17" s="1"/>
  <c r="CE402" i="17"/>
  <c r="BD402" i="17"/>
  <c r="BE402" i="17" s="1"/>
  <c r="CA403" i="17"/>
  <c r="CB402" i="17"/>
  <c r="BU403" i="17"/>
  <c r="BP402" i="17"/>
  <c r="BQ402" i="17" s="1"/>
  <c r="BQ401" i="17"/>
  <c r="BO403" i="17"/>
  <c r="BI403" i="17"/>
  <c r="BJ402" i="17"/>
  <c r="BC403" i="17"/>
  <c r="AW403" i="17"/>
  <c r="AX402" i="17"/>
  <c r="AH401" i="7"/>
  <c r="AG402" i="7"/>
  <c r="AE403" i="7"/>
  <c r="AF403" i="7"/>
  <c r="AF402" i="7"/>
  <c r="CE403" i="17" l="1"/>
  <c r="CF402" i="17"/>
  <c r="CB403" i="17"/>
  <c r="CC402" i="17"/>
  <c r="CA404" i="17"/>
  <c r="CC403" i="17"/>
  <c r="BU404" i="17"/>
  <c r="BV403" i="17"/>
  <c r="BO404" i="17"/>
  <c r="BP403" i="17"/>
  <c r="AX403" i="17"/>
  <c r="AY403" i="17" s="1"/>
  <c r="BJ403" i="17"/>
  <c r="BK403" i="17" s="1"/>
  <c r="BK402" i="17"/>
  <c r="BI404" i="17"/>
  <c r="BC404" i="17"/>
  <c r="BD403" i="17"/>
  <c r="AY402" i="17"/>
  <c r="AW404" i="17"/>
  <c r="AE404" i="7"/>
  <c r="AF404" i="7"/>
  <c r="AH402" i="7"/>
  <c r="AG403" i="7"/>
  <c r="CF403" i="17" l="1"/>
  <c r="CG403" i="17" s="1"/>
  <c r="BV404" i="17"/>
  <c r="BW404" i="17" s="1"/>
  <c r="CG402" i="17"/>
  <c r="CE404" i="17"/>
  <c r="CA405" i="17"/>
  <c r="CB404" i="17"/>
  <c r="BW403" i="17"/>
  <c r="BU405" i="17"/>
  <c r="BP404" i="17"/>
  <c r="BQ404" i="17" s="1"/>
  <c r="BQ403" i="17"/>
  <c r="BO405" i="17"/>
  <c r="BD404" i="17"/>
  <c r="BE404" i="17" s="1"/>
  <c r="BI405" i="17"/>
  <c r="BJ404" i="17"/>
  <c r="BE403" i="17"/>
  <c r="BC405" i="17"/>
  <c r="AW405" i="17"/>
  <c r="AX404" i="17"/>
  <c r="AH403" i="7"/>
  <c r="AG404" i="7"/>
  <c r="AE405" i="7"/>
  <c r="AF405" i="7" s="1"/>
  <c r="BP405" i="17" l="1"/>
  <c r="BQ405" i="17" s="1"/>
  <c r="CB405" i="17"/>
  <c r="CC405" i="17" s="1"/>
  <c r="CE405" i="17"/>
  <c r="CF404" i="17"/>
  <c r="CC404" i="17"/>
  <c r="CA406" i="17"/>
  <c r="BU406" i="17"/>
  <c r="BD405" i="17"/>
  <c r="BE405" i="17" s="1"/>
  <c r="BV405" i="17"/>
  <c r="BJ405" i="17"/>
  <c r="BK405" i="17" s="1"/>
  <c r="BO406" i="17"/>
  <c r="BK404" i="17"/>
  <c r="BI406" i="17"/>
  <c r="BC406" i="17"/>
  <c r="AX405" i="17"/>
  <c r="AY405" i="17" s="1"/>
  <c r="AY404" i="17"/>
  <c r="AW406" i="17"/>
  <c r="AH404" i="7"/>
  <c r="AG405" i="7"/>
  <c r="AE406" i="7"/>
  <c r="AF406" i="7" s="1"/>
  <c r="CF405" i="17" l="1"/>
  <c r="CG405" i="17" s="1"/>
  <c r="BP406" i="17"/>
  <c r="BQ406" i="17" s="1"/>
  <c r="BV406" i="17"/>
  <c r="BJ406" i="17"/>
  <c r="BK406" i="17" s="1"/>
  <c r="CG404" i="17"/>
  <c r="CE406" i="17"/>
  <c r="BD406" i="17"/>
  <c r="BE406" i="17" s="1"/>
  <c r="CA407" i="17"/>
  <c r="CB406" i="17"/>
  <c r="BW405" i="17"/>
  <c r="BU407" i="17"/>
  <c r="BW406" i="17"/>
  <c r="BO407" i="17"/>
  <c r="BI407" i="17"/>
  <c r="BC407" i="17"/>
  <c r="AW407" i="17"/>
  <c r="AX406" i="17"/>
  <c r="AE407" i="7"/>
  <c r="AF407" i="7"/>
  <c r="AH405" i="7"/>
  <c r="AG406" i="7"/>
  <c r="BJ407" i="17" l="1"/>
  <c r="BK407" i="17" s="1"/>
  <c r="CB407" i="17"/>
  <c r="CC407" i="17" s="1"/>
  <c r="CE407" i="17"/>
  <c r="CF406" i="17"/>
  <c r="CC406" i="17"/>
  <c r="CA408" i="17"/>
  <c r="BU408" i="17"/>
  <c r="BV407" i="17"/>
  <c r="BO408" i="17"/>
  <c r="BP407" i="17"/>
  <c r="BI408" i="17"/>
  <c r="BC408" i="17"/>
  <c r="BD407" i="17"/>
  <c r="AX407" i="17"/>
  <c r="AY407" i="17" s="1"/>
  <c r="AY406" i="17"/>
  <c r="AW408" i="17"/>
  <c r="AH406" i="7"/>
  <c r="AG407" i="7"/>
  <c r="AE408" i="7"/>
  <c r="AF408" i="7" s="1"/>
  <c r="CB408" i="17" l="1"/>
  <c r="CC408" i="17" s="1"/>
  <c r="CF407" i="17"/>
  <c r="CG407" i="17" s="1"/>
  <c r="CG406" i="17"/>
  <c r="CE408" i="17"/>
  <c r="CA409" i="17"/>
  <c r="BU409" i="17"/>
  <c r="BV408" i="17"/>
  <c r="BW407" i="17"/>
  <c r="BP408" i="17"/>
  <c r="BQ408" i="17" s="1"/>
  <c r="BQ407" i="17"/>
  <c r="BO409" i="17"/>
  <c r="BI409" i="17"/>
  <c r="BJ408" i="17"/>
  <c r="BD408" i="17"/>
  <c r="BE408" i="17" s="1"/>
  <c r="BE407" i="17"/>
  <c r="BC409" i="17"/>
  <c r="AW409" i="17"/>
  <c r="AX408" i="17"/>
  <c r="AE409" i="7"/>
  <c r="AH407" i="7"/>
  <c r="AG408" i="7"/>
  <c r="BV409" i="17" l="1"/>
  <c r="BW409" i="17" s="1"/>
  <c r="CE409" i="17"/>
  <c r="CF408" i="17"/>
  <c r="CA410" i="17"/>
  <c r="CB409" i="17"/>
  <c r="BW408" i="17"/>
  <c r="BU410" i="17"/>
  <c r="BO410" i="17"/>
  <c r="BP409" i="17"/>
  <c r="BJ409" i="17"/>
  <c r="BK409" i="17" s="1"/>
  <c r="BK408" i="17"/>
  <c r="BI410" i="17"/>
  <c r="BC410" i="17"/>
  <c r="BD409" i="17"/>
  <c r="AX409" i="17"/>
  <c r="AY409" i="17" s="1"/>
  <c r="AY408" i="17"/>
  <c r="AW410" i="17"/>
  <c r="AH408" i="7"/>
  <c r="AG409" i="7"/>
  <c r="AE410" i="7"/>
  <c r="AF410" i="7"/>
  <c r="AF409" i="7"/>
  <c r="CF409" i="17" l="1"/>
  <c r="CG409" i="17" s="1"/>
  <c r="CG408" i="17"/>
  <c r="CE410" i="17"/>
  <c r="CB410" i="17"/>
  <c r="BP410" i="17"/>
  <c r="BQ410" i="17" s="1"/>
  <c r="CC409" i="17"/>
  <c r="CA411" i="17"/>
  <c r="CC410" i="17"/>
  <c r="BU411" i="17"/>
  <c r="BV410" i="17"/>
  <c r="BD410" i="17"/>
  <c r="BE410" i="17" s="1"/>
  <c r="BQ409" i="17"/>
  <c r="BO411" i="17"/>
  <c r="BI411" i="17"/>
  <c r="BJ410" i="17"/>
  <c r="BE409" i="17"/>
  <c r="BC411" i="17"/>
  <c r="AW411" i="17"/>
  <c r="AX410" i="17"/>
  <c r="AE411" i="7"/>
  <c r="AF411" i="7"/>
  <c r="AH409" i="7"/>
  <c r="AG410" i="7"/>
  <c r="CE411" i="17" l="1"/>
  <c r="CF410" i="17"/>
  <c r="CA412" i="17"/>
  <c r="CB411" i="17"/>
  <c r="BV411" i="17"/>
  <c r="BW410" i="17"/>
  <c r="BU412" i="17"/>
  <c r="BW411" i="17"/>
  <c r="BJ411" i="17"/>
  <c r="BK411" i="17" s="1"/>
  <c r="BO412" i="17"/>
  <c r="BP411" i="17"/>
  <c r="BK410" i="17"/>
  <c r="BI412" i="17"/>
  <c r="BC412" i="17"/>
  <c r="BD411" i="17"/>
  <c r="AX411" i="17"/>
  <c r="AY411" i="17" s="1"/>
  <c r="AY410" i="17"/>
  <c r="AW412" i="17"/>
  <c r="AH410" i="7"/>
  <c r="AG411" i="7"/>
  <c r="AE412" i="7"/>
  <c r="CB412" i="17" l="1"/>
  <c r="CC412" i="17" s="1"/>
  <c r="CF411" i="17"/>
  <c r="CG411" i="17" s="1"/>
  <c r="BJ412" i="17"/>
  <c r="BK412" i="17" s="1"/>
  <c r="CG410" i="17"/>
  <c r="CE412" i="17"/>
  <c r="CC411" i="17"/>
  <c r="CA413" i="17"/>
  <c r="BU413" i="17"/>
  <c r="BV412" i="17"/>
  <c r="BP412" i="17"/>
  <c r="BQ412" i="17" s="1"/>
  <c r="BO413" i="17"/>
  <c r="BQ411" i="17"/>
  <c r="BI413" i="17"/>
  <c r="BD412" i="17"/>
  <c r="BE412" i="17" s="1"/>
  <c r="BE411" i="17"/>
  <c r="BC413" i="17"/>
  <c r="AW413" i="17"/>
  <c r="AX412" i="17"/>
  <c r="AE413" i="7"/>
  <c r="AF412" i="7"/>
  <c r="AH411" i="7"/>
  <c r="AG412" i="7"/>
  <c r="BJ413" i="17" l="1"/>
  <c r="BK413" i="17" s="1"/>
  <c r="BP413" i="17"/>
  <c r="BQ413" i="17" s="1"/>
  <c r="CE413" i="17"/>
  <c r="CF412" i="17"/>
  <c r="CF413" i="17" s="1"/>
  <c r="CA414" i="17"/>
  <c r="CB413" i="17"/>
  <c r="BV413" i="17"/>
  <c r="BW413" i="17" s="1"/>
  <c r="BW412" i="17"/>
  <c r="BU414" i="17"/>
  <c r="BO414" i="17"/>
  <c r="BI414" i="17"/>
  <c r="BC414" i="17"/>
  <c r="BD413" i="17"/>
  <c r="AX413" i="17"/>
  <c r="AY413" i="17" s="1"/>
  <c r="AY412" i="17"/>
  <c r="AW414" i="17"/>
  <c r="AH412" i="7"/>
  <c r="AG413" i="7"/>
  <c r="AE414" i="7"/>
  <c r="AF414" i="7"/>
  <c r="AF413" i="7"/>
  <c r="CG412" i="17" l="1"/>
  <c r="CE414" i="17"/>
  <c r="CG413" i="17"/>
  <c r="CB414" i="17"/>
  <c r="CC414" i="17" s="1"/>
  <c r="CC413" i="17"/>
  <c r="CA415" i="17"/>
  <c r="BU415" i="17"/>
  <c r="BV414" i="17"/>
  <c r="BO415" i="17"/>
  <c r="BP414" i="17"/>
  <c r="BI415" i="17"/>
  <c r="BJ414" i="17"/>
  <c r="BD414" i="17"/>
  <c r="BE414" i="17" s="1"/>
  <c r="BE413" i="17"/>
  <c r="BC415" i="17"/>
  <c r="AW415" i="17"/>
  <c r="AX414" i="17"/>
  <c r="AE415" i="7"/>
  <c r="AF415" i="7"/>
  <c r="AH413" i="7"/>
  <c r="AG414" i="7"/>
  <c r="CE415" i="17" l="1"/>
  <c r="CF414" i="17"/>
  <c r="CA416" i="17"/>
  <c r="CB415" i="17"/>
  <c r="BV415" i="17"/>
  <c r="BW414" i="17"/>
  <c r="BU416" i="17"/>
  <c r="BW415" i="17"/>
  <c r="BP415" i="17"/>
  <c r="BQ415" i="17" s="1"/>
  <c r="BQ414" i="17"/>
  <c r="BO416" i="17"/>
  <c r="BJ415" i="17"/>
  <c r="BK415" i="17" s="1"/>
  <c r="BK414" i="17"/>
  <c r="BI416" i="17"/>
  <c r="BC416" i="17"/>
  <c r="BD415" i="17"/>
  <c r="AX415" i="17"/>
  <c r="AY415" i="17" s="1"/>
  <c r="AY414" i="17"/>
  <c r="AW416" i="17"/>
  <c r="AH414" i="7"/>
  <c r="AG415" i="7"/>
  <c r="AE416" i="7"/>
  <c r="CB416" i="17" l="1"/>
  <c r="CC416" i="17" s="1"/>
  <c r="CF415" i="17"/>
  <c r="CG415" i="17" s="1"/>
  <c r="CG414" i="17"/>
  <c r="CE416" i="17"/>
  <c r="CC415" i="17"/>
  <c r="CA417" i="17"/>
  <c r="BU417" i="17"/>
  <c r="BV416" i="17"/>
  <c r="BO417" i="17"/>
  <c r="BP416" i="17"/>
  <c r="BI417" i="17"/>
  <c r="BJ416" i="17"/>
  <c r="BD416" i="17"/>
  <c r="BE416" i="17" s="1"/>
  <c r="BE415" i="17"/>
  <c r="BC417" i="17"/>
  <c r="AW417" i="17"/>
  <c r="AX416" i="17"/>
  <c r="AE417" i="7"/>
  <c r="AF417" i="7" s="1"/>
  <c r="AF416" i="7"/>
  <c r="AH415" i="7"/>
  <c r="AG416" i="7"/>
  <c r="CB417" i="17" l="1"/>
  <c r="CC417" i="17" s="1"/>
  <c r="CE417" i="17"/>
  <c r="CF416" i="17"/>
  <c r="BV417" i="17"/>
  <c r="CA418" i="17"/>
  <c r="BW416" i="17"/>
  <c r="BU418" i="17"/>
  <c r="BW417" i="17"/>
  <c r="BP417" i="17"/>
  <c r="BQ417" i="17" s="1"/>
  <c r="BJ417" i="17"/>
  <c r="BK417" i="17" s="1"/>
  <c r="BQ416" i="17"/>
  <c r="BO418" i="17"/>
  <c r="BK416" i="17"/>
  <c r="BI418" i="17"/>
  <c r="AX417" i="17"/>
  <c r="AY417" i="17" s="1"/>
  <c r="BC418" i="17"/>
  <c r="BD417" i="17"/>
  <c r="AY416" i="17"/>
  <c r="AW418" i="17"/>
  <c r="AH416" i="7"/>
  <c r="AG417" i="7"/>
  <c r="AE418" i="7"/>
  <c r="AF418" i="7"/>
  <c r="CF417" i="17" l="1"/>
  <c r="CG417" i="17" s="1"/>
  <c r="CG416" i="17"/>
  <c r="CE418" i="17"/>
  <c r="CA419" i="17"/>
  <c r="CB418" i="17"/>
  <c r="BU419" i="17"/>
  <c r="BV418" i="17"/>
  <c r="BO419" i="17"/>
  <c r="BP418" i="17"/>
  <c r="BI419" i="17"/>
  <c r="BJ418" i="17"/>
  <c r="BD418" i="17"/>
  <c r="BE418" i="17" s="1"/>
  <c r="BE417" i="17"/>
  <c r="BC419" i="17"/>
  <c r="AW419" i="17"/>
  <c r="AX418" i="17"/>
  <c r="AE419" i="7"/>
  <c r="AF419" i="7" s="1"/>
  <c r="AH417" i="7"/>
  <c r="AG418" i="7"/>
  <c r="CB419" i="17" l="1"/>
  <c r="CC419" i="17" s="1"/>
  <c r="CE419" i="17"/>
  <c r="CF418" i="17"/>
  <c r="CC418" i="17"/>
  <c r="CA420" i="17"/>
  <c r="BV419" i="17"/>
  <c r="BW419" i="17" s="1"/>
  <c r="BW418" i="17"/>
  <c r="BU420" i="17"/>
  <c r="BP419" i="17"/>
  <c r="BQ419" i="17" s="1"/>
  <c r="BQ418" i="17"/>
  <c r="BO420" i="17"/>
  <c r="BI420" i="17"/>
  <c r="BJ419" i="17"/>
  <c r="BK418" i="17"/>
  <c r="AX419" i="17"/>
  <c r="AY419" i="17" s="1"/>
  <c r="BC420" i="17"/>
  <c r="BD419" i="17"/>
  <c r="AY418" i="17"/>
  <c r="AW420" i="17"/>
  <c r="AH418" i="7"/>
  <c r="AG419" i="7"/>
  <c r="AE420" i="7"/>
  <c r="AF420" i="7" s="1"/>
  <c r="CF419" i="17" l="1"/>
  <c r="CG419" i="17" s="1"/>
  <c r="CG418" i="17"/>
  <c r="CE420" i="17"/>
  <c r="CA421" i="17"/>
  <c r="CB420" i="17"/>
  <c r="BU421" i="17"/>
  <c r="BV420" i="17"/>
  <c r="AX420" i="17"/>
  <c r="AY420" i="17" s="1"/>
  <c r="BO421" i="17"/>
  <c r="BP420" i="17"/>
  <c r="BJ420" i="17"/>
  <c r="BK420" i="17" s="1"/>
  <c r="BD420" i="17"/>
  <c r="BE420" i="17" s="1"/>
  <c r="BK419" i="17"/>
  <c r="BI421" i="17"/>
  <c r="BE419" i="17"/>
  <c r="BC421" i="17"/>
  <c r="AW421" i="17"/>
  <c r="AE421" i="7"/>
  <c r="AH419" i="7"/>
  <c r="AG420" i="7"/>
  <c r="CB421" i="17" l="1"/>
  <c r="CC421" i="17" s="1"/>
  <c r="CE421" i="17"/>
  <c r="CF420" i="17"/>
  <c r="CC420" i="17"/>
  <c r="CA422" i="17"/>
  <c r="BJ421" i="17"/>
  <c r="BK421" i="17" s="1"/>
  <c r="BV421" i="17"/>
  <c r="BW421" i="17" s="1"/>
  <c r="BP421" i="17"/>
  <c r="BQ421" i="17" s="1"/>
  <c r="AX421" i="17"/>
  <c r="AY421" i="17" s="1"/>
  <c r="BW420" i="17"/>
  <c r="BU422" i="17"/>
  <c r="BQ420" i="17"/>
  <c r="BO422" i="17"/>
  <c r="BI422" i="17"/>
  <c r="BC422" i="17"/>
  <c r="BD421" i="17"/>
  <c r="AW422" i="17"/>
  <c r="AH420" i="7"/>
  <c r="AG421" i="7"/>
  <c r="AE422" i="7"/>
  <c r="AF422" i="7" s="1"/>
  <c r="AF421" i="7"/>
  <c r="CF421" i="17" l="1"/>
  <c r="CG421" i="17" s="1"/>
  <c r="CG420" i="17"/>
  <c r="CE422" i="17"/>
  <c r="CA423" i="17"/>
  <c r="BJ422" i="17"/>
  <c r="BK422" i="17" s="1"/>
  <c r="CB422" i="17"/>
  <c r="BU423" i="17"/>
  <c r="BV422" i="17"/>
  <c r="BD422" i="17"/>
  <c r="BE422" i="17" s="1"/>
  <c r="BO423" i="17"/>
  <c r="BP422" i="17"/>
  <c r="BI423" i="17"/>
  <c r="BE421" i="17"/>
  <c r="BC423" i="17"/>
  <c r="AW423" i="17"/>
  <c r="AX422" i="17"/>
  <c r="AE423" i="7"/>
  <c r="AF423" i="7"/>
  <c r="AH421" i="7"/>
  <c r="AG422" i="7"/>
  <c r="CB423" i="17" l="1"/>
  <c r="CC423" i="17" s="1"/>
  <c r="CE423" i="17"/>
  <c r="CF422" i="17"/>
  <c r="BV423" i="17"/>
  <c r="CC422" i="17"/>
  <c r="CA424" i="17"/>
  <c r="BP423" i="17"/>
  <c r="BQ423" i="17" s="1"/>
  <c r="BW422" i="17"/>
  <c r="BU424" i="17"/>
  <c r="BW423" i="17"/>
  <c r="BQ422" i="17"/>
  <c r="BO424" i="17"/>
  <c r="BI424" i="17"/>
  <c r="BJ423" i="17"/>
  <c r="AX423" i="17"/>
  <c r="AY423" i="17" s="1"/>
  <c r="BC424" i="17"/>
  <c r="BD423" i="17"/>
  <c r="AY422" i="17"/>
  <c r="AW424" i="17"/>
  <c r="AH422" i="7"/>
  <c r="AG423" i="7"/>
  <c r="AE424" i="7"/>
  <c r="CF423" i="17" l="1"/>
  <c r="CG423" i="17" s="1"/>
  <c r="CG422" i="17"/>
  <c r="CE424" i="17"/>
  <c r="CA425" i="17"/>
  <c r="CB424" i="17"/>
  <c r="BU425" i="17"/>
  <c r="BV424" i="17"/>
  <c r="BO425" i="17"/>
  <c r="BP424" i="17"/>
  <c r="BJ424" i="17"/>
  <c r="BK424" i="17" s="1"/>
  <c r="BK423" i="17"/>
  <c r="BI425" i="17"/>
  <c r="BD424" i="17"/>
  <c r="BE423" i="17"/>
  <c r="BC425" i="17"/>
  <c r="AW425" i="17"/>
  <c r="AX424" i="17"/>
  <c r="AE425" i="7"/>
  <c r="AF424" i="7"/>
  <c r="AH423" i="7"/>
  <c r="AG424" i="7"/>
  <c r="CF424" i="17" l="1"/>
  <c r="CG424" i="17" s="1"/>
  <c r="CE425" i="17"/>
  <c r="CB425" i="17"/>
  <c r="CC424" i="17"/>
  <c r="CA426" i="17"/>
  <c r="BP425" i="17"/>
  <c r="BQ425" i="17" s="1"/>
  <c r="BV425" i="17"/>
  <c r="BW425" i="17" s="1"/>
  <c r="BW424" i="17"/>
  <c r="BU426" i="17"/>
  <c r="BQ424" i="17"/>
  <c r="BO426" i="17"/>
  <c r="BI426" i="17"/>
  <c r="BJ425" i="17"/>
  <c r="BD425" i="17"/>
  <c r="BE425" i="17" s="1"/>
  <c r="BE424" i="17"/>
  <c r="BC426" i="17"/>
  <c r="AX425" i="17"/>
  <c r="AY425" i="17" s="1"/>
  <c r="AY424" i="17"/>
  <c r="AW426" i="17"/>
  <c r="AH424" i="7"/>
  <c r="AG425" i="7"/>
  <c r="AE426" i="7"/>
  <c r="AF425" i="7"/>
  <c r="CF425" i="17" l="1"/>
  <c r="CG425" i="17" s="1"/>
  <c r="BV426" i="17"/>
  <c r="BW426" i="17" s="1"/>
  <c r="CE426" i="17"/>
  <c r="CB426" i="17"/>
  <c r="CC426" i="17" s="1"/>
  <c r="CA427" i="17"/>
  <c r="CC425" i="17"/>
  <c r="BD426" i="17"/>
  <c r="BE426" i="17" s="1"/>
  <c r="BU427" i="17"/>
  <c r="BO427" i="17"/>
  <c r="BP426" i="17"/>
  <c r="AX426" i="17"/>
  <c r="AY426" i="17" s="1"/>
  <c r="BJ426" i="17"/>
  <c r="BK426" i="17" s="1"/>
  <c r="BK425" i="17"/>
  <c r="BI427" i="17"/>
  <c r="BC427" i="17"/>
  <c r="AW427" i="17"/>
  <c r="AE427" i="7"/>
  <c r="AF427" i="7"/>
  <c r="AF426" i="7"/>
  <c r="AH425" i="7"/>
  <c r="AG426" i="7"/>
  <c r="CB427" i="17" l="1"/>
  <c r="CC427" i="17" s="1"/>
  <c r="CF426" i="17"/>
  <c r="CG426" i="17" s="1"/>
  <c r="CE427" i="17"/>
  <c r="CA428" i="17"/>
  <c r="BP427" i="17"/>
  <c r="BQ427" i="17" s="1"/>
  <c r="BU428" i="17"/>
  <c r="BV427" i="17"/>
  <c r="BQ426" i="17"/>
  <c r="BO428" i="17"/>
  <c r="BI428" i="17"/>
  <c r="BJ427" i="17"/>
  <c r="BC428" i="17"/>
  <c r="BD427" i="17"/>
  <c r="AW428" i="17"/>
  <c r="AX427" i="17"/>
  <c r="AH426" i="7"/>
  <c r="AG427" i="7"/>
  <c r="AE428" i="7"/>
  <c r="CF427" i="17" l="1"/>
  <c r="CG427" i="17" s="1"/>
  <c r="CE428" i="17"/>
  <c r="CA429" i="17"/>
  <c r="CB428" i="17"/>
  <c r="BV428" i="17"/>
  <c r="BW427" i="17"/>
  <c r="BU429" i="17"/>
  <c r="BW428" i="17"/>
  <c r="BD428" i="17"/>
  <c r="BE428" i="17" s="1"/>
  <c r="BO429" i="17"/>
  <c r="BP428" i="17"/>
  <c r="BJ428" i="17"/>
  <c r="BK428" i="17" s="1"/>
  <c r="BK427" i="17"/>
  <c r="BI429" i="17"/>
  <c r="BE427" i="17"/>
  <c r="BC429" i="17"/>
  <c r="AX428" i="17"/>
  <c r="AY428" i="17" s="1"/>
  <c r="AY427" i="17"/>
  <c r="AW429" i="17"/>
  <c r="AE429" i="7"/>
  <c r="AH427" i="7"/>
  <c r="AG428" i="7"/>
  <c r="AF428" i="7"/>
  <c r="CF428" i="17" l="1"/>
  <c r="CG428" i="17" s="1"/>
  <c r="CB429" i="17"/>
  <c r="CC429" i="17" s="1"/>
  <c r="CE429" i="17"/>
  <c r="CC428" i="17"/>
  <c r="CA430" i="17"/>
  <c r="BU430" i="17"/>
  <c r="BV429" i="17"/>
  <c r="BP429" i="17"/>
  <c r="BQ429" i="17" s="1"/>
  <c r="BQ428" i="17"/>
  <c r="BO430" i="17"/>
  <c r="BI430" i="17"/>
  <c r="BJ429" i="17"/>
  <c r="BC430" i="17"/>
  <c r="BD429" i="17"/>
  <c r="AW430" i="17"/>
  <c r="AX429" i="17"/>
  <c r="AH428" i="7"/>
  <c r="AG429" i="7"/>
  <c r="AE430" i="7"/>
  <c r="AF430" i="7"/>
  <c r="AF429" i="7"/>
  <c r="CF429" i="17" l="1"/>
  <c r="CG429" i="17" s="1"/>
  <c r="BV430" i="17"/>
  <c r="BW430" i="17" s="1"/>
  <c r="CE430" i="17"/>
  <c r="CA431" i="17"/>
  <c r="CB430" i="17"/>
  <c r="BW429" i="17"/>
  <c r="BU431" i="17"/>
  <c r="BD430" i="17"/>
  <c r="BE430" i="17" s="1"/>
  <c r="BO431" i="17"/>
  <c r="BP430" i="17"/>
  <c r="BJ430" i="17"/>
  <c r="BK430" i="17" s="1"/>
  <c r="BK429" i="17"/>
  <c r="BI431" i="17"/>
  <c r="BE429" i="17"/>
  <c r="BC431" i="17"/>
  <c r="AX430" i="17"/>
  <c r="AY430" i="17" s="1"/>
  <c r="AY429" i="17"/>
  <c r="AW431" i="17"/>
  <c r="AE431" i="7"/>
  <c r="AF431" i="7"/>
  <c r="AH429" i="7"/>
  <c r="AG430" i="7"/>
  <c r="CF430" i="17" l="1"/>
  <c r="CG430" i="17" s="1"/>
  <c r="CB431" i="17"/>
  <c r="CC431" i="17" s="1"/>
  <c r="CE431" i="17"/>
  <c r="CC430" i="17"/>
  <c r="CA432" i="17"/>
  <c r="BU432" i="17"/>
  <c r="BP431" i="17"/>
  <c r="BQ431" i="17" s="1"/>
  <c r="BV431" i="17"/>
  <c r="BQ430" i="17"/>
  <c r="BO432" i="17"/>
  <c r="BI432" i="17"/>
  <c r="BJ431" i="17"/>
  <c r="BC432" i="17"/>
  <c r="BD431" i="17"/>
  <c r="AW432" i="17"/>
  <c r="AX431" i="17"/>
  <c r="AH430" i="7"/>
  <c r="AG431" i="7"/>
  <c r="AE432" i="7"/>
  <c r="CF431" i="17" l="1"/>
  <c r="CG431" i="17" s="1"/>
  <c r="CE432" i="17"/>
  <c r="CA433" i="17"/>
  <c r="CB432" i="17"/>
  <c r="BV432" i="17"/>
  <c r="BW432" i="17" s="1"/>
  <c r="BW431" i="17"/>
  <c r="BU433" i="17"/>
  <c r="BO433" i="17"/>
  <c r="BP432" i="17"/>
  <c r="BJ432" i="17"/>
  <c r="BK432" i="17" s="1"/>
  <c r="BK431" i="17"/>
  <c r="BI433" i="17"/>
  <c r="BD432" i="17"/>
  <c r="BE432" i="17" s="1"/>
  <c r="BE431" i="17"/>
  <c r="BC433" i="17"/>
  <c r="AX432" i="17"/>
  <c r="AY432" i="17" s="1"/>
  <c r="AY431" i="17"/>
  <c r="AW433" i="17"/>
  <c r="AE433" i="7"/>
  <c r="AF432" i="7"/>
  <c r="AH431" i="7"/>
  <c r="AG432" i="7"/>
  <c r="CE433" i="17" l="1"/>
  <c r="CF432" i="17"/>
  <c r="CB433" i="17"/>
  <c r="CC433" i="17" s="1"/>
  <c r="CC432" i="17"/>
  <c r="CA434" i="17"/>
  <c r="BU434" i="17"/>
  <c r="BV433" i="17"/>
  <c r="BP433" i="17"/>
  <c r="BQ433" i="17" s="1"/>
  <c r="BQ432" i="17"/>
  <c r="BO434" i="17"/>
  <c r="BI434" i="17"/>
  <c r="BJ433" i="17"/>
  <c r="BC434" i="17"/>
  <c r="BD433" i="17"/>
  <c r="AW434" i="17"/>
  <c r="AX433" i="17"/>
  <c r="AE434" i="7"/>
  <c r="AF434" i="7" s="1"/>
  <c r="AH432" i="7"/>
  <c r="AG433" i="7"/>
  <c r="AF433" i="7"/>
  <c r="CF433" i="17" l="1"/>
  <c r="CG433" i="17" s="1"/>
  <c r="CG432" i="17"/>
  <c r="CE434" i="17"/>
  <c r="CA435" i="17"/>
  <c r="CB434" i="17"/>
  <c r="BV434" i="17"/>
  <c r="BW434" i="17" s="1"/>
  <c r="BW433" i="17"/>
  <c r="BU435" i="17"/>
  <c r="BO435" i="17"/>
  <c r="BP434" i="17"/>
  <c r="BJ434" i="17"/>
  <c r="BK434" i="17" s="1"/>
  <c r="BK433" i="17"/>
  <c r="BI435" i="17"/>
  <c r="BD434" i="17"/>
  <c r="BE434" i="17" s="1"/>
  <c r="BE433" i="17"/>
  <c r="BC435" i="17"/>
  <c r="AX434" i="17"/>
  <c r="AY434" i="17" s="1"/>
  <c r="AY433" i="17"/>
  <c r="AW435" i="17"/>
  <c r="AH433" i="7"/>
  <c r="AG434" i="7"/>
  <c r="AE435" i="7"/>
  <c r="AF435" i="7"/>
  <c r="CB435" i="17" l="1"/>
  <c r="CC435" i="17" s="1"/>
  <c r="CE435" i="17"/>
  <c r="CF434" i="17"/>
  <c r="CC434" i="17"/>
  <c r="CA436" i="17"/>
  <c r="BU436" i="17"/>
  <c r="BV435" i="17"/>
  <c r="BP435" i="17"/>
  <c r="BQ435" i="17" s="1"/>
  <c r="AX435" i="17"/>
  <c r="AY435" i="17" s="1"/>
  <c r="BQ434" i="17"/>
  <c r="BO436" i="17"/>
  <c r="BI436" i="17"/>
  <c r="BJ435" i="17"/>
  <c r="BC436" i="17"/>
  <c r="BD435" i="17"/>
  <c r="AW436" i="17"/>
  <c r="AH434" i="7"/>
  <c r="AG435" i="7"/>
  <c r="AE436" i="7"/>
  <c r="CF435" i="17" l="1"/>
  <c r="CG435" i="17" s="1"/>
  <c r="CG434" i="17"/>
  <c r="CE436" i="17"/>
  <c r="CA437" i="17"/>
  <c r="AX436" i="17"/>
  <c r="AY436" i="17" s="1"/>
  <c r="CB436" i="17"/>
  <c r="BV436" i="17"/>
  <c r="BW436" i="17" s="1"/>
  <c r="BW435" i="17"/>
  <c r="BU437" i="17"/>
  <c r="BJ436" i="17"/>
  <c r="BK436" i="17" s="1"/>
  <c r="BO437" i="17"/>
  <c r="BP436" i="17"/>
  <c r="BK435" i="17"/>
  <c r="BI437" i="17"/>
  <c r="BD436" i="17"/>
  <c r="BE436" i="17" s="1"/>
  <c r="BE435" i="17"/>
  <c r="BC437" i="17"/>
  <c r="AW437" i="17"/>
  <c r="AE437" i="7"/>
  <c r="AF436" i="7"/>
  <c r="AH435" i="7"/>
  <c r="AG436" i="7"/>
  <c r="CB437" i="17" l="1"/>
  <c r="CC437" i="17" s="1"/>
  <c r="CE437" i="17"/>
  <c r="CF436" i="17"/>
  <c r="CC436" i="17"/>
  <c r="CA438" i="17"/>
  <c r="BP437" i="17"/>
  <c r="BQ437" i="17" s="1"/>
  <c r="BU438" i="17"/>
  <c r="BV437" i="17"/>
  <c r="BQ436" i="17"/>
  <c r="BO438" i="17"/>
  <c r="BI438" i="17"/>
  <c r="BJ437" i="17"/>
  <c r="BC438" i="17"/>
  <c r="BD437" i="17"/>
  <c r="AW438" i="17"/>
  <c r="AX437" i="17"/>
  <c r="AH436" i="7"/>
  <c r="AG437" i="7"/>
  <c r="AE438" i="7"/>
  <c r="AF438" i="7" s="1"/>
  <c r="AF437" i="7"/>
  <c r="CF437" i="17" l="1"/>
  <c r="CG437" i="17" s="1"/>
  <c r="CG436" i="17"/>
  <c r="CE438" i="17"/>
  <c r="CA439" i="17"/>
  <c r="CB438" i="17"/>
  <c r="BV438" i="17"/>
  <c r="BW438" i="17" s="1"/>
  <c r="BW437" i="17"/>
  <c r="BU439" i="17"/>
  <c r="BJ438" i="17"/>
  <c r="BK438" i="17" s="1"/>
  <c r="BO439" i="17"/>
  <c r="BP438" i="17"/>
  <c r="BK437" i="17"/>
  <c r="BI439" i="17"/>
  <c r="BD438" i="17"/>
  <c r="BE438" i="17" s="1"/>
  <c r="BE437" i="17"/>
  <c r="BC439" i="17"/>
  <c r="AX438" i="17"/>
  <c r="AY438" i="17" s="1"/>
  <c r="AY437" i="17"/>
  <c r="AW439" i="17"/>
  <c r="AE439" i="7"/>
  <c r="AF439" i="7"/>
  <c r="AH437" i="7"/>
  <c r="AG438" i="7"/>
  <c r="CB439" i="17" l="1"/>
  <c r="CC439" i="17" s="1"/>
  <c r="CE439" i="17"/>
  <c r="CF438" i="17"/>
  <c r="CC438" i="17"/>
  <c r="CA440" i="17"/>
  <c r="BV439" i="17"/>
  <c r="BW439" i="17" s="1"/>
  <c r="BU440" i="17"/>
  <c r="BP439" i="17"/>
  <c r="BQ439" i="17" s="1"/>
  <c r="BQ438" i="17"/>
  <c r="BO440" i="17"/>
  <c r="BI440" i="17"/>
  <c r="BJ439" i="17"/>
  <c r="BC440" i="17"/>
  <c r="BD439" i="17"/>
  <c r="AW440" i="17"/>
  <c r="AX439" i="17"/>
  <c r="AY439" i="17" s="1"/>
  <c r="AG439" i="7"/>
  <c r="AH438" i="7"/>
  <c r="AE440" i="7"/>
  <c r="AF440" i="7" s="1"/>
  <c r="CF439" i="17" l="1"/>
  <c r="CG439" i="17" s="1"/>
  <c r="CG438" i="17"/>
  <c r="CE440" i="17"/>
  <c r="CA441" i="17"/>
  <c r="CB440" i="17"/>
  <c r="BU441" i="17"/>
  <c r="BV440" i="17"/>
  <c r="BJ440" i="17"/>
  <c r="BK440" i="17" s="1"/>
  <c r="BO441" i="17"/>
  <c r="BP440" i="17"/>
  <c r="BK439" i="17"/>
  <c r="BI441" i="17"/>
  <c r="BD440" i="17"/>
  <c r="BE440" i="17" s="1"/>
  <c r="BE439" i="17"/>
  <c r="BC441" i="17"/>
  <c r="AX440" i="17"/>
  <c r="AY440" i="17" s="1"/>
  <c r="AW441" i="17"/>
  <c r="AE441" i="7"/>
  <c r="AF441" i="7" s="1"/>
  <c r="AG440" i="7"/>
  <c r="AH439" i="7"/>
  <c r="CE441" i="17" l="1"/>
  <c r="CF440" i="17"/>
  <c r="CB441" i="17"/>
  <c r="CC441" i="17" s="1"/>
  <c r="CC440" i="17"/>
  <c r="CA442" i="17"/>
  <c r="BV441" i="17"/>
  <c r="BW441" i="17" s="1"/>
  <c r="BW440" i="17"/>
  <c r="BU442" i="17"/>
  <c r="BP441" i="17"/>
  <c r="BQ441" i="17" s="1"/>
  <c r="BQ440" i="17"/>
  <c r="BO442" i="17"/>
  <c r="BI442" i="17"/>
  <c r="BJ441" i="17"/>
  <c r="BC442" i="17"/>
  <c r="BD441" i="17"/>
  <c r="AW442" i="17"/>
  <c r="AX441" i="17"/>
  <c r="AG441" i="7"/>
  <c r="AH440" i="7"/>
  <c r="AE442" i="7"/>
  <c r="AF442" i="7"/>
  <c r="CF441" i="17" l="1"/>
  <c r="CG441" i="17" s="1"/>
  <c r="CG440" i="17"/>
  <c r="CE442" i="17"/>
  <c r="CA443" i="17"/>
  <c r="CB442" i="17"/>
  <c r="BU443" i="17"/>
  <c r="BV442" i="17"/>
  <c r="BO443" i="17"/>
  <c r="BP442" i="17"/>
  <c r="BJ442" i="17"/>
  <c r="BK442" i="17" s="1"/>
  <c r="BD442" i="17"/>
  <c r="BE442" i="17" s="1"/>
  <c r="BK441" i="17"/>
  <c r="BI443" i="17"/>
  <c r="BE441" i="17"/>
  <c r="BC443" i="17"/>
  <c r="AX442" i="17"/>
  <c r="AY442" i="17" s="1"/>
  <c r="AY441" i="17"/>
  <c r="AW443" i="17"/>
  <c r="AE443" i="7"/>
  <c r="AF443" i="7"/>
  <c r="AG442" i="7"/>
  <c r="AH441" i="7"/>
  <c r="CB443" i="17" l="1"/>
  <c r="CC443" i="17" s="1"/>
  <c r="CF442" i="17"/>
  <c r="CG442" i="17" s="1"/>
  <c r="CE443" i="17"/>
  <c r="CC442" i="17"/>
  <c r="CA444" i="17"/>
  <c r="BP443" i="17"/>
  <c r="BQ443" i="17" s="1"/>
  <c r="BV443" i="17"/>
  <c r="BW443" i="17" s="1"/>
  <c r="BW442" i="17"/>
  <c r="BU444" i="17"/>
  <c r="BQ442" i="17"/>
  <c r="BO444" i="17"/>
  <c r="BI444" i="17"/>
  <c r="BJ443" i="17"/>
  <c r="BC444" i="17"/>
  <c r="BD443" i="17"/>
  <c r="AW444" i="17"/>
  <c r="AX443" i="17"/>
  <c r="AG443" i="7"/>
  <c r="AH442" i="7"/>
  <c r="AE444" i="7"/>
  <c r="AF444" i="7"/>
  <c r="CF443" i="17" l="1"/>
  <c r="CG443" i="17" s="1"/>
  <c r="CE444" i="17"/>
  <c r="CA445" i="17"/>
  <c r="CB444" i="17"/>
  <c r="BU445" i="17"/>
  <c r="BV444" i="17"/>
  <c r="BO445" i="17"/>
  <c r="BP444" i="17"/>
  <c r="BJ444" i="17"/>
  <c r="BK444" i="17" s="1"/>
  <c r="BK443" i="17"/>
  <c r="BI445" i="17"/>
  <c r="BD444" i="17"/>
  <c r="BE444" i="17" s="1"/>
  <c r="BE443" i="17"/>
  <c r="BC445" i="17"/>
  <c r="AX444" i="17"/>
  <c r="AY444" i="17" s="1"/>
  <c r="AY443" i="17"/>
  <c r="AW445" i="17"/>
  <c r="AE445" i="7"/>
  <c r="AF445" i="7" s="1"/>
  <c r="AG444" i="7"/>
  <c r="AH443" i="7"/>
  <c r="CB445" i="17" l="1"/>
  <c r="CC445" i="17" s="1"/>
  <c r="CE445" i="17"/>
  <c r="CF444" i="17"/>
  <c r="BP445" i="17"/>
  <c r="BQ445" i="17" s="1"/>
  <c r="CC444" i="17"/>
  <c r="CA446" i="17"/>
  <c r="BV445" i="17"/>
  <c r="BW445" i="17" s="1"/>
  <c r="BW444" i="17"/>
  <c r="BU446" i="17"/>
  <c r="BQ444" i="17"/>
  <c r="BO446" i="17"/>
  <c r="BI446" i="17"/>
  <c r="BJ445" i="17"/>
  <c r="BC446" i="17"/>
  <c r="BD445" i="17"/>
  <c r="AW446" i="17"/>
  <c r="AX445" i="17"/>
  <c r="AG445" i="7"/>
  <c r="AH444" i="7"/>
  <c r="AE446" i="7"/>
  <c r="AF446" i="7"/>
  <c r="CF445" i="17" l="1"/>
  <c r="CG445" i="17" s="1"/>
  <c r="CG444" i="17"/>
  <c r="CE446" i="17"/>
  <c r="CA447" i="17"/>
  <c r="CB446" i="17"/>
  <c r="CC446" i="17" s="1"/>
  <c r="BU447" i="17"/>
  <c r="BV446" i="17"/>
  <c r="BO447" i="17"/>
  <c r="BP446" i="17"/>
  <c r="BJ446" i="17"/>
  <c r="BK446" i="17" s="1"/>
  <c r="BK445" i="17"/>
  <c r="BI447" i="17"/>
  <c r="BD446" i="17"/>
  <c r="BE446" i="17" s="1"/>
  <c r="BE445" i="17"/>
  <c r="BC447" i="17"/>
  <c r="AX446" i="17"/>
  <c r="AY446" i="17" s="1"/>
  <c r="AY445" i="17"/>
  <c r="AW447" i="17"/>
  <c r="AE447" i="7"/>
  <c r="AF447" i="7" s="1"/>
  <c r="AG446" i="7"/>
  <c r="AH445" i="7"/>
  <c r="BV447" i="17" l="1"/>
  <c r="BW447" i="17" s="1"/>
  <c r="CE447" i="17"/>
  <c r="CF446" i="17"/>
  <c r="CB447" i="17"/>
  <c r="CC447" i="17" s="1"/>
  <c r="CA448" i="17"/>
  <c r="BW446" i="17"/>
  <c r="BU448" i="17"/>
  <c r="BP447" i="17"/>
  <c r="BQ447" i="17" s="1"/>
  <c r="BQ446" i="17"/>
  <c r="BO448" i="17"/>
  <c r="BI448" i="17"/>
  <c r="BJ447" i="17"/>
  <c r="BC448" i="17"/>
  <c r="BD447" i="17"/>
  <c r="AW448" i="17"/>
  <c r="AX447" i="17"/>
  <c r="AG447" i="7"/>
  <c r="AH446" i="7"/>
  <c r="AE448" i="7"/>
  <c r="AF448" i="7" s="1"/>
  <c r="CF447" i="17" l="1"/>
  <c r="CG447" i="17" s="1"/>
  <c r="CG446" i="17"/>
  <c r="CE448" i="17"/>
  <c r="CA449" i="17"/>
  <c r="CB448" i="17"/>
  <c r="BU449" i="17"/>
  <c r="BV448" i="17"/>
  <c r="BO449" i="17"/>
  <c r="BP448" i="17"/>
  <c r="BJ448" i="17"/>
  <c r="BK448" i="17" s="1"/>
  <c r="BK447" i="17"/>
  <c r="BI449" i="17"/>
  <c r="BD448" i="17"/>
  <c r="BE448" i="17" s="1"/>
  <c r="BE447" i="17"/>
  <c r="BC449" i="17"/>
  <c r="AX448" i="17"/>
  <c r="AY448" i="17" s="1"/>
  <c r="AY447" i="17"/>
  <c r="AW449" i="17"/>
  <c r="AE449" i="7"/>
  <c r="AF449" i="7" s="1"/>
  <c r="AG448" i="7"/>
  <c r="AH447" i="7"/>
  <c r="CB449" i="17" l="1"/>
  <c r="CC449" i="17" s="1"/>
  <c r="CE449" i="17"/>
  <c r="CF448" i="17"/>
  <c r="CG448" i="17" s="1"/>
  <c r="BP449" i="17"/>
  <c r="BQ449" i="17" s="1"/>
  <c r="CC448" i="17"/>
  <c r="CA450" i="17"/>
  <c r="BV449" i="17"/>
  <c r="BW449" i="17" s="1"/>
  <c r="BW448" i="17"/>
  <c r="BU450" i="17"/>
  <c r="BQ448" i="17"/>
  <c r="BO450" i="17"/>
  <c r="BP450" i="17" s="1"/>
  <c r="BI450" i="17"/>
  <c r="BJ449" i="17"/>
  <c r="BC450" i="17"/>
  <c r="BD449" i="17"/>
  <c r="AW450" i="17"/>
  <c r="AX449" i="17"/>
  <c r="AG449" i="7"/>
  <c r="AH448" i="7"/>
  <c r="AE450" i="7"/>
  <c r="AF450" i="7"/>
  <c r="CF449" i="17" l="1"/>
  <c r="CG449" i="17" s="1"/>
  <c r="CE450" i="17"/>
  <c r="CA451" i="17"/>
  <c r="CB450" i="17"/>
  <c r="BU451" i="17"/>
  <c r="BV450" i="17"/>
  <c r="BW450" i="17" s="1"/>
  <c r="BJ450" i="17"/>
  <c r="BK450" i="17" s="1"/>
  <c r="BO451" i="17"/>
  <c r="BP451" i="17" s="1"/>
  <c r="BQ450" i="17"/>
  <c r="BD450" i="17"/>
  <c r="BE450" i="17" s="1"/>
  <c r="BK449" i="17"/>
  <c r="BI451" i="17"/>
  <c r="BE449" i="17"/>
  <c r="BC451" i="17"/>
  <c r="AX450" i="17"/>
  <c r="AY450" i="17" s="1"/>
  <c r="AY449" i="17"/>
  <c r="AW451" i="17"/>
  <c r="AE451" i="7"/>
  <c r="AF451" i="7" s="1"/>
  <c r="AG450" i="7"/>
  <c r="AH449" i="7"/>
  <c r="CB451" i="17" l="1"/>
  <c r="CC451" i="17" s="1"/>
  <c r="CE451" i="17"/>
  <c r="BJ451" i="17"/>
  <c r="BK451" i="17" s="1"/>
  <c r="CF450" i="17"/>
  <c r="CC450" i="17"/>
  <c r="CA452" i="17"/>
  <c r="BV451" i="17"/>
  <c r="BW451" i="17" s="1"/>
  <c r="BU452" i="17"/>
  <c r="BO452" i="17"/>
  <c r="BQ451" i="17"/>
  <c r="BI452" i="17"/>
  <c r="BC452" i="17"/>
  <c r="BD451" i="17"/>
  <c r="AW452" i="17"/>
  <c r="AX451" i="17"/>
  <c r="AG451" i="7"/>
  <c r="AH450" i="7"/>
  <c r="AE452" i="7"/>
  <c r="AF452" i="7" s="1"/>
  <c r="CF451" i="17" l="1"/>
  <c r="CG451" i="17" s="1"/>
  <c r="CG450" i="17"/>
  <c r="CE452" i="17"/>
  <c r="CA453" i="17"/>
  <c r="CB452" i="17"/>
  <c r="BU453" i="17"/>
  <c r="BV452" i="17"/>
  <c r="BD452" i="17"/>
  <c r="BE452" i="17" s="1"/>
  <c r="BO453" i="17"/>
  <c r="BP452" i="17"/>
  <c r="BI453" i="17"/>
  <c r="BJ452" i="17"/>
  <c r="BE451" i="17"/>
  <c r="BC453" i="17"/>
  <c r="AW453" i="17"/>
  <c r="AX452" i="17"/>
  <c r="AY451" i="17"/>
  <c r="AE453" i="7"/>
  <c r="AF453" i="7"/>
  <c r="AH451" i="7"/>
  <c r="AG452" i="7"/>
  <c r="CB453" i="17" l="1"/>
  <c r="CC453" i="17" s="1"/>
  <c r="CE453" i="17"/>
  <c r="CF452" i="17"/>
  <c r="CC452" i="17"/>
  <c r="CA454" i="17"/>
  <c r="BV453" i="17"/>
  <c r="BW453" i="17" s="1"/>
  <c r="BW452" i="17"/>
  <c r="BU454" i="17"/>
  <c r="BP453" i="17"/>
  <c r="BQ453" i="17" s="1"/>
  <c r="BJ453" i="17"/>
  <c r="BK453" i="17" s="1"/>
  <c r="BQ452" i="17"/>
  <c r="BO454" i="17"/>
  <c r="BK452" i="17"/>
  <c r="BI454" i="17"/>
  <c r="BC454" i="17"/>
  <c r="BD453" i="17"/>
  <c r="AX453" i="17"/>
  <c r="AY453" i="17" s="1"/>
  <c r="AY452" i="17"/>
  <c r="AW454" i="17"/>
  <c r="AG453" i="7"/>
  <c r="AH452" i="7"/>
  <c r="AE454" i="7"/>
  <c r="AF454" i="7" s="1"/>
  <c r="CB454" i="17" l="1"/>
  <c r="CC454" i="17" s="1"/>
  <c r="CF453" i="17"/>
  <c r="CG453" i="17" s="1"/>
  <c r="CG452" i="17"/>
  <c r="CE454" i="17"/>
  <c r="CA455" i="17"/>
  <c r="BU455" i="17"/>
  <c r="BV454" i="17"/>
  <c r="BO455" i="17"/>
  <c r="BP454" i="17"/>
  <c r="BD454" i="17"/>
  <c r="BE454" i="17" s="1"/>
  <c r="BI455" i="17"/>
  <c r="BJ454" i="17"/>
  <c r="BE453" i="17"/>
  <c r="BC455" i="17"/>
  <c r="AW455" i="17"/>
  <c r="AX454" i="17"/>
  <c r="AE455" i="7"/>
  <c r="AF455" i="7" s="1"/>
  <c r="AG454" i="7"/>
  <c r="AH453" i="7"/>
  <c r="CB455" i="17" l="1"/>
  <c r="CC455" i="17" s="1"/>
  <c r="CE455" i="17"/>
  <c r="CF454" i="17"/>
  <c r="CA456" i="17"/>
  <c r="BV455" i="17"/>
  <c r="BW455" i="17" s="1"/>
  <c r="BW454" i="17"/>
  <c r="BP455" i="17"/>
  <c r="BQ455" i="17" s="1"/>
  <c r="BU456" i="17"/>
  <c r="BQ454" i="17"/>
  <c r="BO456" i="17"/>
  <c r="BJ455" i="17"/>
  <c r="BK455" i="17" s="1"/>
  <c r="BK454" i="17"/>
  <c r="BI456" i="17"/>
  <c r="BC456" i="17"/>
  <c r="BD455" i="17"/>
  <c r="AX455" i="17"/>
  <c r="AY455" i="17" s="1"/>
  <c r="AY454" i="17"/>
  <c r="AW456" i="17"/>
  <c r="AH454" i="7"/>
  <c r="AG455" i="7"/>
  <c r="AE456" i="7"/>
  <c r="AF456" i="7"/>
  <c r="CB456" i="17" l="1"/>
  <c r="CC456" i="17" s="1"/>
  <c r="CF455" i="17"/>
  <c r="CG455" i="17" s="1"/>
  <c r="CG454" i="17"/>
  <c r="CE456" i="17"/>
  <c r="CA457" i="17"/>
  <c r="BU457" i="17"/>
  <c r="BV456" i="17"/>
  <c r="BO457" i="17"/>
  <c r="AX456" i="17"/>
  <c r="AY456" i="17" s="1"/>
  <c r="BP456" i="17"/>
  <c r="BI457" i="17"/>
  <c r="BJ456" i="17"/>
  <c r="BD456" i="17"/>
  <c r="BE456" i="17" s="1"/>
  <c r="BE455" i="17"/>
  <c r="BC457" i="17"/>
  <c r="AW457" i="17"/>
  <c r="AE457" i="7"/>
  <c r="AF457" i="7" s="1"/>
  <c r="AG456" i="7"/>
  <c r="AH455" i="7"/>
  <c r="CF456" i="17" l="1"/>
  <c r="CG456" i="17" s="1"/>
  <c r="BV457" i="17"/>
  <c r="BW457" i="17" s="1"/>
  <c r="CE457" i="17"/>
  <c r="CA458" i="17"/>
  <c r="CB457" i="17"/>
  <c r="BP457" i="17"/>
  <c r="BQ457" i="17" s="1"/>
  <c r="BW456" i="17"/>
  <c r="BU458" i="17"/>
  <c r="BQ456" i="17"/>
  <c r="BO458" i="17"/>
  <c r="BJ457" i="17"/>
  <c r="BK457" i="17" s="1"/>
  <c r="BK456" i="17"/>
  <c r="BI458" i="17"/>
  <c r="BC458" i="17"/>
  <c r="BD457" i="17"/>
  <c r="AW458" i="17"/>
  <c r="AX457" i="17"/>
  <c r="AG457" i="7"/>
  <c r="AH456" i="7"/>
  <c r="AE458" i="7"/>
  <c r="AF458" i="7"/>
  <c r="CE458" i="17" l="1"/>
  <c r="CF457" i="17"/>
  <c r="CB458" i="17"/>
  <c r="CC457" i="17"/>
  <c r="CA459" i="17"/>
  <c r="CC458" i="17"/>
  <c r="BU459" i="17"/>
  <c r="BV458" i="17"/>
  <c r="BJ458" i="17"/>
  <c r="BK458" i="17" s="1"/>
  <c r="BO459" i="17"/>
  <c r="BP458" i="17"/>
  <c r="BI459" i="17"/>
  <c r="BD458" i="17"/>
  <c r="BE458" i="17" s="1"/>
  <c r="BE457" i="17"/>
  <c r="BC459" i="17"/>
  <c r="AX458" i="17"/>
  <c r="AY458" i="17" s="1"/>
  <c r="AY457" i="17"/>
  <c r="AW459" i="17"/>
  <c r="AE459" i="7"/>
  <c r="AF459" i="7" s="1"/>
  <c r="AH457" i="7"/>
  <c r="AG458" i="7"/>
  <c r="CF458" i="17" l="1"/>
  <c r="CG458" i="17" s="1"/>
  <c r="CG457" i="17"/>
  <c r="BJ459" i="17"/>
  <c r="BK459" i="17" s="1"/>
  <c r="CE459" i="17"/>
  <c r="CA460" i="17"/>
  <c r="CB459" i="17"/>
  <c r="BV459" i="17"/>
  <c r="BW459" i="17" s="1"/>
  <c r="BW458" i="17"/>
  <c r="BU460" i="17"/>
  <c r="BP459" i="17"/>
  <c r="BQ459" i="17" s="1"/>
  <c r="BQ458" i="17"/>
  <c r="BO460" i="17"/>
  <c r="AX459" i="17"/>
  <c r="AY459" i="17" s="1"/>
  <c r="BI460" i="17"/>
  <c r="BC460" i="17"/>
  <c r="BD459" i="17"/>
  <c r="AW460" i="17"/>
  <c r="AG459" i="7"/>
  <c r="AH458" i="7"/>
  <c r="AE460" i="7"/>
  <c r="AF460" i="7"/>
  <c r="CE460" i="17" l="1"/>
  <c r="CF459" i="17"/>
  <c r="CB460" i="17"/>
  <c r="CC459" i="17"/>
  <c r="CA461" i="17"/>
  <c r="CC460" i="17"/>
  <c r="BU461" i="17"/>
  <c r="BV460" i="17"/>
  <c r="BD460" i="17"/>
  <c r="BE460" i="17" s="1"/>
  <c r="BO461" i="17"/>
  <c r="BP460" i="17"/>
  <c r="BI461" i="17"/>
  <c r="BJ460" i="17"/>
  <c r="BE459" i="17"/>
  <c r="BC461" i="17"/>
  <c r="AW461" i="17"/>
  <c r="AX460" i="17"/>
  <c r="AE461" i="7"/>
  <c r="AF461" i="7" s="1"/>
  <c r="AG460" i="7"/>
  <c r="AH459" i="7"/>
  <c r="CF460" i="17" l="1"/>
  <c r="CG460" i="17" s="1"/>
  <c r="CG459" i="17"/>
  <c r="CE461" i="17"/>
  <c r="CA462" i="17"/>
  <c r="BV461" i="17"/>
  <c r="BW461" i="17" s="1"/>
  <c r="CB461" i="17"/>
  <c r="BW460" i="17"/>
  <c r="BU462" i="17"/>
  <c r="BP461" i="17"/>
  <c r="BQ461" i="17" s="1"/>
  <c r="BQ460" i="17"/>
  <c r="BO462" i="17"/>
  <c r="BI462" i="17"/>
  <c r="BJ461" i="17"/>
  <c r="BK460" i="17"/>
  <c r="AX461" i="17"/>
  <c r="AY461" i="17" s="1"/>
  <c r="BC462" i="17"/>
  <c r="BD461" i="17"/>
  <c r="AY460" i="17"/>
  <c r="AW462" i="17"/>
  <c r="AG461" i="7"/>
  <c r="AH460" i="7"/>
  <c r="AE462" i="7"/>
  <c r="CE462" i="17" l="1"/>
  <c r="CF461" i="17"/>
  <c r="CB462" i="17"/>
  <c r="CC461" i="17"/>
  <c r="CA463" i="17"/>
  <c r="CC462" i="17"/>
  <c r="BJ462" i="17"/>
  <c r="BK462" i="17" s="1"/>
  <c r="BU463" i="17"/>
  <c r="BV462" i="17"/>
  <c r="BO463" i="17"/>
  <c r="BP462" i="17"/>
  <c r="BK461" i="17"/>
  <c r="BI463" i="17"/>
  <c r="BD462" i="17"/>
  <c r="BE462" i="17" s="1"/>
  <c r="BE461" i="17"/>
  <c r="BC463" i="17"/>
  <c r="AW463" i="17"/>
  <c r="AX462" i="17"/>
  <c r="AE463" i="7"/>
  <c r="AF463" i="7"/>
  <c r="AF462" i="7"/>
  <c r="AG462" i="7"/>
  <c r="AH461" i="7"/>
  <c r="CF462" i="17" l="1"/>
  <c r="CG462" i="17" s="1"/>
  <c r="BJ463" i="17"/>
  <c r="BK463" i="17" s="1"/>
  <c r="CG461" i="17"/>
  <c r="CE463" i="17"/>
  <c r="CA464" i="17"/>
  <c r="CB463" i="17"/>
  <c r="BV463" i="17"/>
  <c r="BW463" i="17" s="1"/>
  <c r="BP463" i="17"/>
  <c r="BQ463" i="17" s="1"/>
  <c r="BW462" i="17"/>
  <c r="BU464" i="17"/>
  <c r="BQ462" i="17"/>
  <c r="BO464" i="17"/>
  <c r="AX463" i="17"/>
  <c r="AY463" i="17" s="1"/>
  <c r="BI464" i="17"/>
  <c r="BC464" i="17"/>
  <c r="BD463" i="17"/>
  <c r="AY462" i="17"/>
  <c r="AW464" i="17"/>
  <c r="AG463" i="7"/>
  <c r="AH462" i="7"/>
  <c r="AE464" i="7"/>
  <c r="BJ464" i="17" l="1"/>
  <c r="BK464" i="17" s="1"/>
  <c r="CE464" i="17"/>
  <c r="CF463" i="17"/>
  <c r="CB464" i="17"/>
  <c r="CC463" i="17"/>
  <c r="CA465" i="17"/>
  <c r="CC464" i="17"/>
  <c r="BU465" i="17"/>
  <c r="BV464" i="17"/>
  <c r="BO465" i="17"/>
  <c r="BP464" i="17"/>
  <c r="BI465" i="17"/>
  <c r="BD464" i="17"/>
  <c r="BE464" i="17" s="1"/>
  <c r="BE463" i="17"/>
  <c r="BC465" i="17"/>
  <c r="AW465" i="17"/>
  <c r="AX464" i="17"/>
  <c r="AE465" i="7"/>
  <c r="AF465" i="7"/>
  <c r="AF464" i="7"/>
  <c r="AG464" i="7"/>
  <c r="AH463" i="7"/>
  <c r="CF464" i="17" l="1"/>
  <c r="CG464" i="17" s="1"/>
  <c r="CG463" i="17"/>
  <c r="CE465" i="17"/>
  <c r="BV465" i="17"/>
  <c r="CA466" i="17"/>
  <c r="CB465" i="17"/>
  <c r="BW464" i="17"/>
  <c r="BU466" i="17"/>
  <c r="BW465" i="17"/>
  <c r="BP465" i="17"/>
  <c r="BQ465" i="17" s="1"/>
  <c r="BQ464" i="17"/>
  <c r="BO466" i="17"/>
  <c r="BI466" i="17"/>
  <c r="BJ465" i="17"/>
  <c r="BC466" i="17"/>
  <c r="BD465" i="17"/>
  <c r="AX465" i="17"/>
  <c r="AY465" i="17" s="1"/>
  <c r="AY464" i="17"/>
  <c r="AW466" i="17"/>
  <c r="AG465" i="7"/>
  <c r="AH464" i="7"/>
  <c r="AE466" i="7"/>
  <c r="CB466" i="17" l="1"/>
  <c r="CC466" i="17" s="1"/>
  <c r="CE466" i="17"/>
  <c r="CF465" i="17"/>
  <c r="CC465" i="17"/>
  <c r="CA467" i="17"/>
  <c r="BU467" i="17"/>
  <c r="BV466" i="17"/>
  <c r="BD466" i="17"/>
  <c r="BE466" i="17" s="1"/>
  <c r="BO467" i="17"/>
  <c r="BP466" i="17"/>
  <c r="BJ466" i="17"/>
  <c r="BK466" i="17" s="1"/>
  <c r="BK465" i="17"/>
  <c r="BI467" i="17"/>
  <c r="BE465" i="17"/>
  <c r="BC467" i="17"/>
  <c r="AW467" i="17"/>
  <c r="AX466" i="17"/>
  <c r="AE467" i="7"/>
  <c r="AF467" i="7" s="1"/>
  <c r="AF466" i="7"/>
  <c r="AG466" i="7"/>
  <c r="AH465" i="7"/>
  <c r="CF466" i="17" l="1"/>
  <c r="CG466" i="17" s="1"/>
  <c r="BV467" i="17"/>
  <c r="BW467" i="17" s="1"/>
  <c r="CG465" i="17"/>
  <c r="CE467" i="17"/>
  <c r="BP467" i="17"/>
  <c r="BQ467" i="17" s="1"/>
  <c r="CA468" i="17"/>
  <c r="CB467" i="17"/>
  <c r="BW466" i="17"/>
  <c r="BU468" i="17"/>
  <c r="BQ466" i="17"/>
  <c r="BO468" i="17"/>
  <c r="BI468" i="17"/>
  <c r="BJ467" i="17"/>
  <c r="BK467" i="17" s="1"/>
  <c r="AX467" i="17"/>
  <c r="AY467" i="17" s="1"/>
  <c r="BC468" i="17"/>
  <c r="BD467" i="17"/>
  <c r="AY466" i="17"/>
  <c r="AW468" i="17"/>
  <c r="AG467" i="7"/>
  <c r="AH466" i="7"/>
  <c r="AE468" i="7"/>
  <c r="AF468" i="7" s="1"/>
  <c r="CB468" i="17" l="1"/>
  <c r="CC468" i="17" s="1"/>
  <c r="CE468" i="17"/>
  <c r="CF467" i="17"/>
  <c r="CC467" i="17"/>
  <c r="CA469" i="17"/>
  <c r="BU469" i="17"/>
  <c r="BV468" i="17"/>
  <c r="BO469" i="17"/>
  <c r="BP468" i="17"/>
  <c r="BD468" i="17"/>
  <c r="BE468" i="17" s="1"/>
  <c r="BJ468" i="17"/>
  <c r="BK468" i="17" s="1"/>
  <c r="BI469" i="17"/>
  <c r="BE467" i="17"/>
  <c r="BC469" i="17"/>
  <c r="AW469" i="17"/>
  <c r="AX468" i="17"/>
  <c r="AE469" i="7"/>
  <c r="AF469" i="7" s="1"/>
  <c r="AG468" i="7"/>
  <c r="AH467" i="7"/>
  <c r="CF468" i="17" l="1"/>
  <c r="CG468" i="17" s="1"/>
  <c r="CE469" i="17"/>
  <c r="CG467" i="17"/>
  <c r="BP469" i="17"/>
  <c r="BQ469" i="17" s="1"/>
  <c r="CA470" i="17"/>
  <c r="CB469" i="17"/>
  <c r="BV469" i="17"/>
  <c r="BW469" i="17" s="1"/>
  <c r="BW468" i="17"/>
  <c r="BU470" i="17"/>
  <c r="BQ468" i="17"/>
  <c r="BO470" i="17"/>
  <c r="BI470" i="17"/>
  <c r="BJ469" i="17"/>
  <c r="BC470" i="17"/>
  <c r="BD469" i="17"/>
  <c r="AW470" i="17"/>
  <c r="AX469" i="17"/>
  <c r="AY468" i="17"/>
  <c r="AG469" i="7"/>
  <c r="AH468" i="7"/>
  <c r="AE470" i="7"/>
  <c r="AF470" i="7" s="1"/>
  <c r="CF469" i="17" l="1"/>
  <c r="CG469" i="17" s="1"/>
  <c r="CB470" i="17"/>
  <c r="CC470" i="17" s="1"/>
  <c r="CE470" i="17"/>
  <c r="CC469" i="17"/>
  <c r="CA471" i="17"/>
  <c r="BU471" i="17"/>
  <c r="BV470" i="17"/>
  <c r="BO471" i="17"/>
  <c r="BP470" i="17"/>
  <c r="BJ470" i="17"/>
  <c r="BK470" i="17" s="1"/>
  <c r="BK469" i="17"/>
  <c r="BI471" i="17"/>
  <c r="AX470" i="17"/>
  <c r="AY470" i="17" s="1"/>
  <c r="BD470" i="17"/>
  <c r="BE470" i="17" s="1"/>
  <c r="BE469" i="17"/>
  <c r="BC471" i="17"/>
  <c r="AY469" i="17"/>
  <c r="AW471" i="17"/>
  <c r="AE471" i="7"/>
  <c r="AF471" i="7"/>
  <c r="AG470" i="7"/>
  <c r="AH469" i="7"/>
  <c r="CE471" i="17" l="1"/>
  <c r="CF470" i="17"/>
  <c r="BV471" i="17"/>
  <c r="CA472" i="17"/>
  <c r="CB471" i="17"/>
  <c r="BP471" i="17"/>
  <c r="BQ471" i="17" s="1"/>
  <c r="BW470" i="17"/>
  <c r="BU472" i="17"/>
  <c r="BW471" i="17"/>
  <c r="BQ470" i="17"/>
  <c r="BO472" i="17"/>
  <c r="BI472" i="17"/>
  <c r="BJ471" i="17"/>
  <c r="BC472" i="17"/>
  <c r="BD471" i="17"/>
  <c r="AW472" i="17"/>
  <c r="AX471" i="17"/>
  <c r="AG471" i="7"/>
  <c r="AH470" i="7"/>
  <c r="AE472" i="7"/>
  <c r="CB472" i="17" l="1"/>
  <c r="CC472" i="17" s="1"/>
  <c r="CF471" i="17"/>
  <c r="CG471" i="17" s="1"/>
  <c r="CG470" i="17"/>
  <c r="CE472" i="17"/>
  <c r="CC471" i="17"/>
  <c r="CA473" i="17"/>
  <c r="BU473" i="17"/>
  <c r="BV472" i="17"/>
  <c r="BO473" i="17"/>
  <c r="BP472" i="17"/>
  <c r="BD472" i="17"/>
  <c r="BE472" i="17" s="1"/>
  <c r="BJ472" i="17"/>
  <c r="BK472" i="17" s="1"/>
  <c r="BK471" i="17"/>
  <c r="BI473" i="17"/>
  <c r="AX472" i="17"/>
  <c r="AY472" i="17" s="1"/>
  <c r="BE471" i="17"/>
  <c r="BC473" i="17"/>
  <c r="AY471" i="17"/>
  <c r="AW473" i="17"/>
  <c r="AE473" i="7"/>
  <c r="AF473" i="7" s="1"/>
  <c r="AF472" i="7"/>
  <c r="AG472" i="7"/>
  <c r="AH471" i="7"/>
  <c r="CE473" i="17" l="1"/>
  <c r="CF472" i="17"/>
  <c r="CA474" i="17"/>
  <c r="CB473" i="17"/>
  <c r="BV473" i="17"/>
  <c r="BW473" i="17" s="1"/>
  <c r="BW472" i="17"/>
  <c r="BU474" i="17"/>
  <c r="BP473" i="17"/>
  <c r="BQ473" i="17" s="1"/>
  <c r="BQ472" i="17"/>
  <c r="BO474" i="17"/>
  <c r="BI474" i="17"/>
  <c r="BJ473" i="17"/>
  <c r="BC474" i="17"/>
  <c r="BD473" i="17"/>
  <c r="AW474" i="17"/>
  <c r="AX473" i="17"/>
  <c r="AG473" i="7"/>
  <c r="AH472" i="7"/>
  <c r="AE474" i="7"/>
  <c r="AF474" i="7" s="1"/>
  <c r="CF473" i="17" l="1"/>
  <c r="CG473" i="17" s="1"/>
  <c r="CG472" i="17"/>
  <c r="CE474" i="17"/>
  <c r="CB474" i="17"/>
  <c r="CC474" i="17" s="1"/>
  <c r="CC473" i="17"/>
  <c r="CA475" i="17"/>
  <c r="BJ474" i="17"/>
  <c r="BK474" i="17" s="1"/>
  <c r="BP474" i="17"/>
  <c r="BQ474" i="17" s="1"/>
  <c r="BU475" i="17"/>
  <c r="BV474" i="17"/>
  <c r="BO475" i="17"/>
  <c r="BK473" i="17"/>
  <c r="BI475" i="17"/>
  <c r="AX474" i="17"/>
  <c r="AY474" i="17" s="1"/>
  <c r="BD474" i="17"/>
  <c r="BE474" i="17" s="1"/>
  <c r="BE473" i="17"/>
  <c r="BC475" i="17"/>
  <c r="AY473" i="17"/>
  <c r="AW475" i="17"/>
  <c r="AE475" i="7"/>
  <c r="AF475" i="7" s="1"/>
  <c r="AG474" i="7"/>
  <c r="AH473" i="7"/>
  <c r="CE475" i="17" l="1"/>
  <c r="CF474" i="17"/>
  <c r="BV475" i="17"/>
  <c r="BW475" i="17" s="1"/>
  <c r="CA476" i="17"/>
  <c r="CB475" i="17"/>
  <c r="BW474" i="17"/>
  <c r="BU476" i="17"/>
  <c r="BO476" i="17"/>
  <c r="BP475" i="17"/>
  <c r="BI476" i="17"/>
  <c r="BJ475" i="17"/>
  <c r="BC476" i="17"/>
  <c r="BD475" i="17"/>
  <c r="AW476" i="17"/>
  <c r="AX475" i="17"/>
  <c r="AG475" i="7"/>
  <c r="AH474" i="7"/>
  <c r="AE476" i="7"/>
  <c r="AF476" i="7" s="1"/>
  <c r="BV476" i="17" l="1"/>
  <c r="BW476" i="17" s="1"/>
  <c r="CF475" i="17"/>
  <c r="CG475" i="17" s="1"/>
  <c r="CG474" i="17"/>
  <c r="CE476" i="17"/>
  <c r="CB476" i="17"/>
  <c r="CC476" i="17" s="1"/>
  <c r="CC475" i="17"/>
  <c r="CA477" i="17"/>
  <c r="BU477" i="17"/>
  <c r="BP476" i="17"/>
  <c r="BQ476" i="17" s="1"/>
  <c r="BQ475" i="17"/>
  <c r="BJ476" i="17"/>
  <c r="BK476" i="17" s="1"/>
  <c r="BO477" i="17"/>
  <c r="BK475" i="17"/>
  <c r="BI477" i="17"/>
  <c r="BD476" i="17"/>
  <c r="BE476" i="17" s="1"/>
  <c r="BE475" i="17"/>
  <c r="BC477" i="17"/>
  <c r="AX476" i="17"/>
  <c r="AY476" i="17" s="1"/>
  <c r="AY475" i="17"/>
  <c r="AW477" i="17"/>
  <c r="AE477" i="7"/>
  <c r="AF477" i="7"/>
  <c r="AH475" i="7"/>
  <c r="AG476" i="7"/>
  <c r="CE477" i="17" l="1"/>
  <c r="CF476" i="17"/>
  <c r="CA478" i="17"/>
  <c r="CB477" i="17"/>
  <c r="BU478" i="17"/>
  <c r="BV477" i="17"/>
  <c r="BO478" i="17"/>
  <c r="BP477" i="17"/>
  <c r="BI478" i="17"/>
  <c r="BJ477" i="17"/>
  <c r="BC478" i="17"/>
  <c r="BD477" i="17"/>
  <c r="AW478" i="17"/>
  <c r="AX477" i="17"/>
  <c r="AH476" i="7"/>
  <c r="AG477" i="7"/>
  <c r="AE478" i="7"/>
  <c r="AF478" i="7"/>
  <c r="CB478" i="17" l="1"/>
  <c r="CC478" i="17" s="1"/>
  <c r="CF477" i="17"/>
  <c r="CG477" i="17" s="1"/>
  <c r="BV478" i="17"/>
  <c r="CG476" i="17"/>
  <c r="CE478" i="17"/>
  <c r="CC477" i="17"/>
  <c r="CA479" i="17"/>
  <c r="BW477" i="17"/>
  <c r="BU479" i="17"/>
  <c r="BW478" i="17"/>
  <c r="BP478" i="17"/>
  <c r="BQ478" i="17" s="1"/>
  <c r="BJ478" i="17"/>
  <c r="BK478" i="17" s="1"/>
  <c r="BQ477" i="17"/>
  <c r="BO479" i="17"/>
  <c r="BK477" i="17"/>
  <c r="BI479" i="17"/>
  <c r="BD478" i="17"/>
  <c r="BE478" i="17" s="1"/>
  <c r="BE477" i="17"/>
  <c r="BC479" i="17"/>
  <c r="AX478" i="17"/>
  <c r="AY478" i="17" s="1"/>
  <c r="AY477" i="17"/>
  <c r="AW479" i="17"/>
  <c r="AE479" i="7"/>
  <c r="AF479" i="7" s="1"/>
  <c r="AH477" i="7"/>
  <c r="AG478" i="7"/>
  <c r="CE479" i="17" l="1"/>
  <c r="CF478" i="17"/>
  <c r="CA480" i="17"/>
  <c r="CB479" i="17"/>
  <c r="BU480" i="17"/>
  <c r="BV479" i="17"/>
  <c r="BO480" i="17"/>
  <c r="BP479" i="17"/>
  <c r="BI480" i="17"/>
  <c r="BJ479" i="17"/>
  <c r="BC480" i="17"/>
  <c r="BD479" i="17"/>
  <c r="AW480" i="17"/>
  <c r="AX479" i="17"/>
  <c r="AH478" i="7"/>
  <c r="AG479" i="7"/>
  <c r="AE480" i="7"/>
  <c r="AF480" i="7" s="1"/>
  <c r="CF479" i="17" l="1"/>
  <c r="CG479" i="17" s="1"/>
  <c r="CG478" i="17"/>
  <c r="CE480" i="17"/>
  <c r="CB480" i="17"/>
  <c r="CC480" i="17" s="1"/>
  <c r="BP480" i="17"/>
  <c r="BQ480" i="17" s="1"/>
  <c r="CC479" i="17"/>
  <c r="CA481" i="17"/>
  <c r="CB481" i="17" s="1"/>
  <c r="BV480" i="17"/>
  <c r="BW480" i="17" s="1"/>
  <c r="BW479" i="17"/>
  <c r="BU481" i="17"/>
  <c r="BQ479" i="17"/>
  <c r="BO481" i="17"/>
  <c r="BJ480" i="17"/>
  <c r="BK480" i="17" s="1"/>
  <c r="BD480" i="17"/>
  <c r="BE480" i="17" s="1"/>
  <c r="BK479" i="17"/>
  <c r="BI481" i="17"/>
  <c r="AX480" i="17"/>
  <c r="AY480" i="17" s="1"/>
  <c r="BE479" i="17"/>
  <c r="BC481" i="17"/>
  <c r="AY479" i="17"/>
  <c r="AW481" i="17"/>
  <c r="AE481" i="7"/>
  <c r="AF481" i="7" s="1"/>
  <c r="AH479" i="7"/>
  <c r="AG480" i="7"/>
  <c r="CE481" i="17" l="1"/>
  <c r="CF480" i="17"/>
  <c r="CA482" i="17"/>
  <c r="CC481" i="17"/>
  <c r="BJ481" i="17"/>
  <c r="BK481" i="17" s="1"/>
  <c r="BU482" i="17"/>
  <c r="BV481" i="17"/>
  <c r="BO482" i="17"/>
  <c r="BP481" i="17"/>
  <c r="BI482" i="17"/>
  <c r="BC482" i="17"/>
  <c r="BD481" i="17"/>
  <c r="AW482" i="17"/>
  <c r="AX481" i="17"/>
  <c r="AH480" i="7"/>
  <c r="AG481" i="7"/>
  <c r="AE482" i="7"/>
  <c r="AF482" i="7"/>
  <c r="BV482" i="17" l="1"/>
  <c r="BW482" i="17" s="1"/>
  <c r="CF481" i="17"/>
  <c r="CG481" i="17" s="1"/>
  <c r="CG480" i="17"/>
  <c r="CE482" i="17"/>
  <c r="CA483" i="17"/>
  <c r="CB482" i="17"/>
  <c r="BW481" i="17"/>
  <c r="BU483" i="17"/>
  <c r="BP482" i="17"/>
  <c r="BQ482" i="17" s="1"/>
  <c r="BQ481" i="17"/>
  <c r="BO483" i="17"/>
  <c r="BI483" i="17"/>
  <c r="BJ482" i="17"/>
  <c r="BD482" i="17"/>
  <c r="BE482" i="17" s="1"/>
  <c r="AX482" i="17"/>
  <c r="AY482" i="17" s="1"/>
  <c r="BE481" i="17"/>
  <c r="BC483" i="17"/>
  <c r="AY481" i="17"/>
  <c r="AW483" i="17"/>
  <c r="AE483" i="7"/>
  <c r="AF483" i="7" s="1"/>
  <c r="AH481" i="7"/>
  <c r="AG482" i="7"/>
  <c r="CB483" i="17" l="1"/>
  <c r="CC483" i="17" s="1"/>
  <c r="CE483" i="17"/>
  <c r="CF482" i="17"/>
  <c r="CC482" i="17"/>
  <c r="CA484" i="17"/>
  <c r="BU484" i="17"/>
  <c r="BV483" i="17"/>
  <c r="BJ483" i="17"/>
  <c r="BK483" i="17" s="1"/>
  <c r="BO484" i="17"/>
  <c r="BP483" i="17"/>
  <c r="BK482" i="17"/>
  <c r="BI484" i="17"/>
  <c r="BC484" i="17"/>
  <c r="BD483" i="17"/>
  <c r="AW484" i="17"/>
  <c r="AX483" i="17"/>
  <c r="AG483" i="7"/>
  <c r="AH482" i="7"/>
  <c r="AE484" i="7"/>
  <c r="AF484" i="7"/>
  <c r="CF483" i="17" l="1"/>
  <c r="CG483" i="17" s="1"/>
  <c r="BV484" i="17"/>
  <c r="BW484" i="17" s="1"/>
  <c r="CG482" i="17"/>
  <c r="CE484" i="17"/>
  <c r="CA485" i="17"/>
  <c r="CB484" i="17"/>
  <c r="BW483" i="17"/>
  <c r="BU485" i="17"/>
  <c r="BD484" i="17"/>
  <c r="BE484" i="17" s="1"/>
  <c r="BP484" i="17"/>
  <c r="BQ484" i="17" s="1"/>
  <c r="BQ483" i="17"/>
  <c r="BO485" i="17"/>
  <c r="BI485" i="17"/>
  <c r="BJ484" i="17"/>
  <c r="AX484" i="17"/>
  <c r="AY484" i="17" s="1"/>
  <c r="BE483" i="17"/>
  <c r="BC485" i="17"/>
  <c r="AY483" i="17"/>
  <c r="AW485" i="17"/>
  <c r="AE485" i="7"/>
  <c r="AF485" i="7"/>
  <c r="AH483" i="7"/>
  <c r="AG484" i="7"/>
  <c r="CF484" i="17" l="1"/>
  <c r="CG484" i="17" s="1"/>
  <c r="CE485" i="17"/>
  <c r="CB485" i="17"/>
  <c r="CC485" i="17" s="1"/>
  <c r="CC484" i="17"/>
  <c r="CA486" i="17"/>
  <c r="BU486" i="17"/>
  <c r="BV485" i="17"/>
  <c r="BO486" i="17"/>
  <c r="BP485" i="17"/>
  <c r="BJ485" i="17"/>
  <c r="BK485" i="17" s="1"/>
  <c r="BK484" i="17"/>
  <c r="BI486" i="17"/>
  <c r="BC486" i="17"/>
  <c r="BD485" i="17"/>
  <c r="AW486" i="17"/>
  <c r="AX485" i="17"/>
  <c r="AH484" i="7"/>
  <c r="AG485" i="7"/>
  <c r="AE486" i="7"/>
  <c r="AF486" i="7"/>
  <c r="CE486" i="17" l="1"/>
  <c r="CF485" i="17"/>
  <c r="CA487" i="17"/>
  <c r="CB486" i="17"/>
  <c r="BV486" i="17"/>
  <c r="BW485" i="17"/>
  <c r="BU487" i="17"/>
  <c r="BW486" i="17"/>
  <c r="BP486" i="17"/>
  <c r="BQ486" i="17" s="1"/>
  <c r="BQ485" i="17"/>
  <c r="BO487" i="17"/>
  <c r="BD486" i="17"/>
  <c r="BE486" i="17" s="1"/>
  <c r="BI487" i="17"/>
  <c r="BJ486" i="17"/>
  <c r="BE485" i="17"/>
  <c r="BC487" i="17"/>
  <c r="AX486" i="17"/>
  <c r="AY486" i="17" s="1"/>
  <c r="AY485" i="17"/>
  <c r="AW487" i="17"/>
  <c r="AE487" i="7"/>
  <c r="AF487" i="7"/>
  <c r="AG486" i="7"/>
  <c r="AH485" i="7"/>
  <c r="CF486" i="17" l="1"/>
  <c r="CG486" i="17" s="1"/>
  <c r="CB487" i="17"/>
  <c r="CC487" i="17" s="1"/>
  <c r="CG485" i="17"/>
  <c r="CE487" i="17"/>
  <c r="CC486" i="17"/>
  <c r="CA488" i="17"/>
  <c r="BU488" i="17"/>
  <c r="BV487" i="17"/>
  <c r="BJ487" i="17"/>
  <c r="BK487" i="17" s="1"/>
  <c r="BO488" i="17"/>
  <c r="BP487" i="17"/>
  <c r="BK486" i="17"/>
  <c r="BI488" i="17"/>
  <c r="BC488" i="17"/>
  <c r="BD487" i="17"/>
  <c r="AW488" i="17"/>
  <c r="AX487" i="17"/>
  <c r="AG487" i="7"/>
  <c r="AH486" i="7"/>
  <c r="AE488" i="7"/>
  <c r="AF488" i="7" s="1"/>
  <c r="CE488" i="17" l="1"/>
  <c r="CF487" i="17"/>
  <c r="BV488" i="17"/>
  <c r="CA489" i="17"/>
  <c r="CB488" i="17"/>
  <c r="BW487" i="17"/>
  <c r="BU489" i="17"/>
  <c r="BW488" i="17"/>
  <c r="BP488" i="17"/>
  <c r="BQ488" i="17" s="1"/>
  <c r="BQ487" i="17"/>
  <c r="BD488" i="17"/>
  <c r="BE488" i="17" s="1"/>
  <c r="BO489" i="17"/>
  <c r="BI489" i="17"/>
  <c r="BJ488" i="17"/>
  <c r="BK488" i="17" s="1"/>
  <c r="BE487" i="17"/>
  <c r="BC489" i="17"/>
  <c r="AX488" i="17"/>
  <c r="AY488" i="17" s="1"/>
  <c r="AY487" i="17"/>
  <c r="AW489" i="17"/>
  <c r="AE489" i="7"/>
  <c r="AF489" i="7"/>
  <c r="AH487" i="7"/>
  <c r="AG488" i="7"/>
  <c r="CF488" i="17" l="1"/>
  <c r="CG488" i="17" s="1"/>
  <c r="CB489" i="17"/>
  <c r="CC489" i="17" s="1"/>
  <c r="CG487" i="17"/>
  <c r="CE489" i="17"/>
  <c r="CA490" i="17"/>
  <c r="CC488" i="17"/>
  <c r="BU490" i="17"/>
  <c r="BV489" i="17"/>
  <c r="BO490" i="17"/>
  <c r="BP489" i="17"/>
  <c r="BJ489" i="17"/>
  <c r="BK489" i="17" s="1"/>
  <c r="BI490" i="17"/>
  <c r="BC490" i="17"/>
  <c r="BD489" i="17"/>
  <c r="AW490" i="17"/>
  <c r="AX489" i="17"/>
  <c r="AH488" i="7"/>
  <c r="AG489" i="7"/>
  <c r="AE490" i="7"/>
  <c r="AF490" i="7"/>
  <c r="CE490" i="17" l="1"/>
  <c r="BV490" i="17"/>
  <c r="BW490" i="17" s="1"/>
  <c r="CF489" i="17"/>
  <c r="CA491" i="17"/>
  <c r="BP490" i="17"/>
  <c r="BQ490" i="17" s="1"/>
  <c r="CB490" i="17"/>
  <c r="BW489" i="17"/>
  <c r="BU491" i="17"/>
  <c r="BQ489" i="17"/>
  <c r="BO491" i="17"/>
  <c r="BD490" i="17"/>
  <c r="BE490" i="17" s="1"/>
  <c r="BI491" i="17"/>
  <c r="BJ490" i="17"/>
  <c r="BE489" i="17"/>
  <c r="BC491" i="17"/>
  <c r="AX490" i="17"/>
  <c r="AY490" i="17" s="1"/>
  <c r="AY489" i="17"/>
  <c r="AW491" i="17"/>
  <c r="AE491" i="7"/>
  <c r="AF491" i="7" s="1"/>
  <c r="AH489" i="7"/>
  <c r="AG490" i="7"/>
  <c r="CB491" i="17" l="1"/>
  <c r="CC491" i="17" s="1"/>
  <c r="CF490" i="17"/>
  <c r="CG490" i="17" s="1"/>
  <c r="CG489" i="17"/>
  <c r="CE491" i="17"/>
  <c r="CC490" i="17"/>
  <c r="CA492" i="17"/>
  <c r="BU492" i="17"/>
  <c r="BV491" i="17"/>
  <c r="BJ491" i="17"/>
  <c r="BK491" i="17" s="1"/>
  <c r="BO492" i="17"/>
  <c r="BP491" i="17"/>
  <c r="BK490" i="17"/>
  <c r="BI492" i="17"/>
  <c r="BC492" i="17"/>
  <c r="BD491" i="17"/>
  <c r="AW492" i="17"/>
  <c r="AX491" i="17"/>
  <c r="AH490" i="7"/>
  <c r="AG491" i="7"/>
  <c r="AE492" i="7"/>
  <c r="AF492" i="7"/>
  <c r="CF491" i="17" l="1"/>
  <c r="CG491" i="17" s="1"/>
  <c r="CE492" i="17"/>
  <c r="CF492" i="17" s="1"/>
  <c r="CA493" i="17"/>
  <c r="CB492" i="17"/>
  <c r="BV492" i="17"/>
  <c r="BW492" i="17" s="1"/>
  <c r="BW491" i="17"/>
  <c r="BU493" i="17"/>
  <c r="BP492" i="17"/>
  <c r="BQ492" i="17" s="1"/>
  <c r="BQ491" i="17"/>
  <c r="BO493" i="17"/>
  <c r="BI493" i="17"/>
  <c r="BJ492" i="17"/>
  <c r="AX492" i="17"/>
  <c r="AY492" i="17" s="1"/>
  <c r="BD492" i="17"/>
  <c r="BE492" i="17" s="1"/>
  <c r="BE491" i="17"/>
  <c r="BC493" i="17"/>
  <c r="AY491" i="17"/>
  <c r="AW493" i="17"/>
  <c r="AE493" i="7"/>
  <c r="AF493" i="7"/>
  <c r="AH491" i="7"/>
  <c r="AG492" i="7"/>
  <c r="CE493" i="17" l="1"/>
  <c r="CG492" i="17"/>
  <c r="CB493" i="17"/>
  <c r="CC493" i="17" s="1"/>
  <c r="CC492" i="17"/>
  <c r="CA494" i="17"/>
  <c r="BU494" i="17"/>
  <c r="BD493" i="17"/>
  <c r="BE493" i="17" s="1"/>
  <c r="BV493" i="17"/>
  <c r="BJ493" i="17"/>
  <c r="BK493" i="17" s="1"/>
  <c r="BO494" i="17"/>
  <c r="BP493" i="17"/>
  <c r="BK492" i="17"/>
  <c r="BI494" i="17"/>
  <c r="BC494" i="17"/>
  <c r="AW494" i="17"/>
  <c r="AX493" i="17"/>
  <c r="AH492" i="7"/>
  <c r="AG493" i="7"/>
  <c r="AE494" i="7"/>
  <c r="CE494" i="17" l="1"/>
  <c r="CF493" i="17"/>
  <c r="CA495" i="17"/>
  <c r="BD494" i="17"/>
  <c r="BE494" i="17" s="1"/>
  <c r="CB494" i="17"/>
  <c r="BV494" i="17"/>
  <c r="BW494" i="17" s="1"/>
  <c r="BW493" i="17"/>
  <c r="BU495" i="17"/>
  <c r="BP494" i="17"/>
  <c r="BQ494" i="17" s="1"/>
  <c r="BQ493" i="17"/>
  <c r="BO495" i="17"/>
  <c r="BI495" i="17"/>
  <c r="BJ494" i="17"/>
  <c r="BC495" i="17"/>
  <c r="AX494" i="17"/>
  <c r="AY494" i="17" s="1"/>
  <c r="AY493" i="17"/>
  <c r="AW495" i="17"/>
  <c r="AE495" i="7"/>
  <c r="AF495" i="7"/>
  <c r="AF494" i="7"/>
  <c r="AH493" i="7"/>
  <c r="AG494" i="7"/>
  <c r="CF494" i="17" l="1"/>
  <c r="CG494" i="17" s="1"/>
  <c r="CB495" i="17"/>
  <c r="CC495" i="17" s="1"/>
  <c r="CG493" i="17"/>
  <c r="CE495" i="17"/>
  <c r="CC494" i="17"/>
  <c r="CA496" i="17"/>
  <c r="BV495" i="17"/>
  <c r="BW495" i="17" s="1"/>
  <c r="BU496" i="17"/>
  <c r="BO496" i="17"/>
  <c r="BP495" i="17"/>
  <c r="BJ495" i="17"/>
  <c r="BK495" i="17" s="1"/>
  <c r="BK494" i="17"/>
  <c r="BI496" i="17"/>
  <c r="BC496" i="17"/>
  <c r="BD495" i="17"/>
  <c r="AW496" i="17"/>
  <c r="AX495" i="17"/>
  <c r="AG495" i="7"/>
  <c r="AH494" i="7"/>
  <c r="AE496" i="7"/>
  <c r="CB496" i="17" l="1"/>
  <c r="CC496" i="17" s="1"/>
  <c r="CF495" i="17"/>
  <c r="CG495" i="17" s="1"/>
  <c r="BV496" i="17"/>
  <c r="BW496" i="17" s="1"/>
  <c r="CE496" i="17"/>
  <c r="CA497" i="17"/>
  <c r="BU497" i="17"/>
  <c r="BP496" i="17"/>
  <c r="BQ496" i="17" s="1"/>
  <c r="BQ495" i="17"/>
  <c r="BD496" i="17"/>
  <c r="BE496" i="17" s="1"/>
  <c r="BO497" i="17"/>
  <c r="AX496" i="17"/>
  <c r="AY496" i="17" s="1"/>
  <c r="BI497" i="17"/>
  <c r="BJ496" i="17"/>
  <c r="BE495" i="17"/>
  <c r="BC497" i="17"/>
  <c r="AY495" i="17"/>
  <c r="AW497" i="17"/>
  <c r="AE497" i="7"/>
  <c r="AF497" i="7" s="1"/>
  <c r="AF496" i="7"/>
  <c r="AH495" i="7"/>
  <c r="AG496" i="7"/>
  <c r="CE497" i="17" l="1"/>
  <c r="CF496" i="17"/>
  <c r="CA498" i="17"/>
  <c r="CB497" i="17"/>
  <c r="BU498" i="17"/>
  <c r="BV497" i="17"/>
  <c r="BO498" i="17"/>
  <c r="BP497" i="17"/>
  <c r="BJ497" i="17"/>
  <c r="BK497" i="17" s="1"/>
  <c r="BK496" i="17"/>
  <c r="BI498" i="17"/>
  <c r="BC498" i="17"/>
  <c r="BD497" i="17"/>
  <c r="AW498" i="17"/>
  <c r="AX497" i="17"/>
  <c r="AH496" i="7"/>
  <c r="AG497" i="7"/>
  <c r="AE498" i="7"/>
  <c r="AF498" i="7" s="1"/>
  <c r="CF497" i="17" l="1"/>
  <c r="CG497" i="17" s="1"/>
  <c r="CB498" i="17"/>
  <c r="CC498" i="17" s="1"/>
  <c r="CG496" i="17"/>
  <c r="CE498" i="17"/>
  <c r="CC497" i="17"/>
  <c r="CA499" i="17"/>
  <c r="BV498" i="17"/>
  <c r="BW498" i="17" s="1"/>
  <c r="BW497" i="17"/>
  <c r="BU499" i="17"/>
  <c r="BP498" i="17"/>
  <c r="BQ497" i="17"/>
  <c r="BO499" i="17"/>
  <c r="BI499" i="17"/>
  <c r="BJ498" i="17"/>
  <c r="BD498" i="17"/>
  <c r="BE498" i="17" s="1"/>
  <c r="AX498" i="17"/>
  <c r="AY498" i="17" s="1"/>
  <c r="BE497" i="17"/>
  <c r="BC499" i="17"/>
  <c r="AY497" i="17"/>
  <c r="AW499" i="17"/>
  <c r="AE499" i="7"/>
  <c r="AF499" i="7" s="1"/>
  <c r="AG498" i="7"/>
  <c r="AH497" i="7"/>
  <c r="CE499" i="17" l="1"/>
  <c r="CF498" i="17"/>
  <c r="CA500" i="17"/>
  <c r="CB499" i="17"/>
  <c r="BU500" i="17"/>
  <c r="BV499" i="17"/>
  <c r="BJ499" i="17"/>
  <c r="BK499" i="17" s="1"/>
  <c r="BP499" i="17"/>
  <c r="BQ499" i="17" s="1"/>
  <c r="BO500" i="17"/>
  <c r="BQ498" i="17"/>
  <c r="BK498" i="17"/>
  <c r="BI500" i="17"/>
  <c r="BC500" i="17"/>
  <c r="BD499" i="17"/>
  <c r="AW500" i="17"/>
  <c r="AX499" i="17"/>
  <c r="AG499" i="7"/>
  <c r="AH498" i="7"/>
  <c r="AE500" i="7"/>
  <c r="CB500" i="17" l="1"/>
  <c r="CC500" i="17" s="1"/>
  <c r="CF499" i="17"/>
  <c r="CG499" i="17" s="1"/>
  <c r="BV500" i="17"/>
  <c r="BW500" i="17" s="1"/>
  <c r="BP500" i="17"/>
  <c r="BQ500" i="17" s="1"/>
  <c r="CG498" i="17"/>
  <c r="CE500" i="17"/>
  <c r="CC499" i="17"/>
  <c r="CA501" i="17"/>
  <c r="BW499" i="17"/>
  <c r="BU501" i="17"/>
  <c r="BO501" i="17"/>
  <c r="BI501" i="17"/>
  <c r="BJ500" i="17"/>
  <c r="BD500" i="17"/>
  <c r="BE500" i="17" s="1"/>
  <c r="BE499" i="17"/>
  <c r="BC501" i="17"/>
  <c r="AX500" i="17"/>
  <c r="AY500" i="17" s="1"/>
  <c r="AY499" i="17"/>
  <c r="AW501" i="17"/>
  <c r="AE501" i="7"/>
  <c r="AF501" i="7" s="1"/>
  <c r="AF500" i="7"/>
  <c r="AH499" i="7"/>
  <c r="AG500" i="7"/>
  <c r="CE501" i="17" l="1"/>
  <c r="CF500" i="17"/>
  <c r="CA502" i="17"/>
  <c r="CB501" i="17"/>
  <c r="BU502" i="17"/>
  <c r="BV501" i="17"/>
  <c r="BJ501" i="17"/>
  <c r="BK501" i="17" s="1"/>
  <c r="BO502" i="17"/>
  <c r="BP501" i="17"/>
  <c r="BK500" i="17"/>
  <c r="BI502" i="17"/>
  <c r="BC502" i="17"/>
  <c r="BD501" i="17"/>
  <c r="AW502" i="17"/>
  <c r="AX501" i="17"/>
  <c r="AH500" i="7"/>
  <c r="AG501" i="7"/>
  <c r="AE502" i="7"/>
  <c r="CB502" i="17" l="1"/>
  <c r="CC502" i="17" s="1"/>
  <c r="CF501" i="17"/>
  <c r="CG501" i="17" s="1"/>
  <c r="BV502" i="17"/>
  <c r="CG500" i="17"/>
  <c r="CE502" i="17"/>
  <c r="CC501" i="17"/>
  <c r="CA503" i="17"/>
  <c r="BW501" i="17"/>
  <c r="BU503" i="17"/>
  <c r="BW502" i="17"/>
  <c r="BP502" i="17"/>
  <c r="BQ502" i="17" s="1"/>
  <c r="BQ501" i="17"/>
  <c r="BO503" i="17"/>
  <c r="BI503" i="17"/>
  <c r="BJ502" i="17"/>
  <c r="BD502" i="17"/>
  <c r="BE502" i="17" s="1"/>
  <c r="BE501" i="17"/>
  <c r="BC503" i="17"/>
  <c r="AX502" i="17"/>
  <c r="AY502" i="17" s="1"/>
  <c r="AY501" i="17"/>
  <c r="AW503" i="17"/>
  <c r="AE503" i="7"/>
  <c r="AF502" i="7"/>
  <c r="AG502" i="7"/>
  <c r="AH501" i="7"/>
  <c r="CF502" i="17" l="1"/>
  <c r="CG502" i="17" s="1"/>
  <c r="CE503" i="17"/>
  <c r="CA504" i="17"/>
  <c r="CB503" i="17"/>
  <c r="BU504" i="17"/>
  <c r="BV503" i="17"/>
  <c r="BO504" i="17"/>
  <c r="BP503" i="17"/>
  <c r="BJ503" i="17"/>
  <c r="BK503" i="17" s="1"/>
  <c r="BK502" i="17"/>
  <c r="BI504" i="17"/>
  <c r="BC504" i="17"/>
  <c r="BD503" i="17"/>
  <c r="AW504" i="17"/>
  <c r="AX503" i="17"/>
  <c r="AH502" i="7"/>
  <c r="AG503" i="7"/>
  <c r="AE504" i="7"/>
  <c r="AF503" i="7"/>
  <c r="BV504" i="17" l="1"/>
  <c r="BW504" i="17" s="1"/>
  <c r="CE504" i="17"/>
  <c r="CF503" i="17"/>
  <c r="CB504" i="17"/>
  <c r="CC504" i="17" s="1"/>
  <c r="CC503" i="17"/>
  <c r="CA505" i="17"/>
  <c r="BW503" i="17"/>
  <c r="BU505" i="17"/>
  <c r="BP504" i="17"/>
  <c r="BQ504" i="17" s="1"/>
  <c r="BQ503" i="17"/>
  <c r="BO505" i="17"/>
  <c r="BD504" i="17"/>
  <c r="BE504" i="17" s="1"/>
  <c r="BI505" i="17"/>
  <c r="BJ504" i="17"/>
  <c r="AX504" i="17"/>
  <c r="AY504" i="17" s="1"/>
  <c r="BE503" i="17"/>
  <c r="BC505" i="17"/>
  <c r="AY503" i="17"/>
  <c r="AW505" i="17"/>
  <c r="AE505" i="7"/>
  <c r="AF504" i="7"/>
  <c r="AH503" i="7"/>
  <c r="AG504" i="7"/>
  <c r="CF504" i="17" l="1"/>
  <c r="CG504" i="17" s="1"/>
  <c r="CG503" i="17"/>
  <c r="CE505" i="17"/>
  <c r="CA506" i="17"/>
  <c r="CB505" i="17"/>
  <c r="BU506" i="17"/>
  <c r="BD505" i="17"/>
  <c r="BE505" i="17" s="1"/>
  <c r="BV505" i="17"/>
  <c r="BP505" i="17"/>
  <c r="BQ505" i="17" s="1"/>
  <c r="BO506" i="17"/>
  <c r="BJ505" i="17"/>
  <c r="BK505" i="17" s="1"/>
  <c r="BK504" i="17"/>
  <c r="BI506" i="17"/>
  <c r="BC506" i="17"/>
  <c r="AW506" i="17"/>
  <c r="AX505" i="17"/>
  <c r="AH504" i="7"/>
  <c r="AG505" i="7"/>
  <c r="AE506" i="7"/>
  <c r="AF506" i="7" s="1"/>
  <c r="AF505" i="7"/>
  <c r="CF505" i="17" l="1"/>
  <c r="CG505" i="17" s="1"/>
  <c r="BV506" i="17"/>
  <c r="BW506" i="17" s="1"/>
  <c r="CE506" i="17"/>
  <c r="CB506" i="17"/>
  <c r="CC505" i="17"/>
  <c r="CA507" i="17"/>
  <c r="CC506" i="17"/>
  <c r="BW505" i="17"/>
  <c r="BU507" i="17"/>
  <c r="BO507" i="17"/>
  <c r="BP506" i="17"/>
  <c r="BI507" i="17"/>
  <c r="BJ506" i="17"/>
  <c r="AX506" i="17"/>
  <c r="AY506" i="17" s="1"/>
  <c r="BC507" i="17"/>
  <c r="BD506" i="17"/>
  <c r="AY505" i="17"/>
  <c r="AW507" i="17"/>
  <c r="AE507" i="7"/>
  <c r="AH505" i="7"/>
  <c r="AG506" i="7"/>
  <c r="CF506" i="17" l="1"/>
  <c r="CG506" i="17" s="1"/>
  <c r="CE507" i="17"/>
  <c r="CA508" i="17"/>
  <c r="CB507" i="17"/>
  <c r="BJ507" i="17"/>
  <c r="BK507" i="17" s="1"/>
  <c r="BU508" i="17"/>
  <c r="BV507" i="17"/>
  <c r="BP507" i="17"/>
  <c r="BQ507" i="17" s="1"/>
  <c r="BQ506" i="17"/>
  <c r="BO508" i="17"/>
  <c r="BK506" i="17"/>
  <c r="BI508" i="17"/>
  <c r="BD507" i="17"/>
  <c r="BE507" i="17" s="1"/>
  <c r="BE506" i="17"/>
  <c r="BC508" i="17"/>
  <c r="AW508" i="17"/>
  <c r="AX507" i="17"/>
  <c r="AH506" i="7"/>
  <c r="AG507" i="7"/>
  <c r="AE508" i="7"/>
  <c r="AF507" i="7"/>
  <c r="CF507" i="17" l="1"/>
  <c r="CG507" i="17" s="1"/>
  <c r="CB508" i="17"/>
  <c r="CC508" i="17" s="1"/>
  <c r="CE508" i="17"/>
  <c r="BV508" i="17"/>
  <c r="BW508" i="17" s="1"/>
  <c r="CC507" i="17"/>
  <c r="CA509" i="17"/>
  <c r="BW507" i="17"/>
  <c r="BU509" i="17"/>
  <c r="BO509" i="17"/>
  <c r="BP508" i="17"/>
  <c r="BI509" i="17"/>
  <c r="BJ508" i="17"/>
  <c r="AX508" i="17"/>
  <c r="AY508" i="17" s="1"/>
  <c r="BC509" i="17"/>
  <c r="BD508" i="17"/>
  <c r="AY507" i="17"/>
  <c r="AW509" i="17"/>
  <c r="AE509" i="7"/>
  <c r="AH507" i="7"/>
  <c r="AG508" i="7"/>
  <c r="AF508" i="7"/>
  <c r="CF508" i="17" l="1"/>
  <c r="CG508" i="17" s="1"/>
  <c r="BV509" i="17"/>
  <c r="BW509" i="17" s="1"/>
  <c r="CE509" i="17"/>
  <c r="CA510" i="17"/>
  <c r="CB509" i="17"/>
  <c r="BU510" i="17"/>
  <c r="BP509" i="17"/>
  <c r="BQ509" i="17" s="1"/>
  <c r="BQ508" i="17"/>
  <c r="BO510" i="17"/>
  <c r="BJ509" i="17"/>
  <c r="BK509" i="17" s="1"/>
  <c r="BK508" i="17"/>
  <c r="BI510" i="17"/>
  <c r="BD509" i="17"/>
  <c r="BE509" i="17" s="1"/>
  <c r="BE508" i="17"/>
  <c r="BC510" i="17"/>
  <c r="AW510" i="17"/>
  <c r="AX509" i="17"/>
  <c r="AH508" i="7"/>
  <c r="AG509" i="7"/>
  <c r="AE510" i="7"/>
  <c r="AF509" i="7"/>
  <c r="BV510" i="17" l="1"/>
  <c r="BW510" i="17" s="1"/>
  <c r="CB510" i="17"/>
  <c r="CC510" i="17" s="1"/>
  <c r="CE510" i="17"/>
  <c r="CF509" i="17"/>
  <c r="CC509" i="17"/>
  <c r="CA511" i="17"/>
  <c r="BU511" i="17"/>
  <c r="BO511" i="17"/>
  <c r="BP510" i="17"/>
  <c r="BI511" i="17"/>
  <c r="BJ510" i="17"/>
  <c r="BC511" i="17"/>
  <c r="BD510" i="17"/>
  <c r="AX510" i="17"/>
  <c r="AY510" i="17" s="1"/>
  <c r="AY509" i="17"/>
  <c r="AW511" i="17"/>
  <c r="AE511" i="7"/>
  <c r="AF511" i="7" s="1"/>
  <c r="AF510" i="7"/>
  <c r="AH509" i="7"/>
  <c r="AG510" i="7"/>
  <c r="CF510" i="17" l="1"/>
  <c r="CG510" i="17" s="1"/>
  <c r="CG509" i="17"/>
  <c r="CE511" i="17"/>
  <c r="CA512" i="17"/>
  <c r="CB511" i="17"/>
  <c r="BD511" i="17"/>
  <c r="BE511" i="17" s="1"/>
  <c r="BP511" i="17"/>
  <c r="BQ511" i="17" s="1"/>
  <c r="BU512" i="17"/>
  <c r="BV511" i="17"/>
  <c r="BJ511" i="17"/>
  <c r="BK511" i="17" s="1"/>
  <c r="BQ510" i="17"/>
  <c r="BO512" i="17"/>
  <c r="BK510" i="17"/>
  <c r="BI512" i="17"/>
  <c r="BE510" i="17"/>
  <c r="BC512" i="17"/>
  <c r="AW512" i="17"/>
  <c r="AX511" i="17"/>
  <c r="AH510" i="7"/>
  <c r="AG511" i="7"/>
  <c r="AE512" i="7"/>
  <c r="CE512" i="17" l="1"/>
  <c r="CF511" i="17"/>
  <c r="BV512" i="17"/>
  <c r="BW512" i="17" s="1"/>
  <c r="CB512" i="17"/>
  <c r="CC512" i="17" s="1"/>
  <c r="CC511" i="17"/>
  <c r="CA513" i="17"/>
  <c r="BW511" i="17"/>
  <c r="BU513" i="17"/>
  <c r="BO513" i="17"/>
  <c r="BP512" i="17"/>
  <c r="BI513" i="17"/>
  <c r="BJ512" i="17"/>
  <c r="BC513" i="17"/>
  <c r="BD512" i="17"/>
  <c r="AX512" i="17"/>
  <c r="AY512" i="17" s="1"/>
  <c r="AY511" i="17"/>
  <c r="AW513" i="17"/>
  <c r="AE513" i="7"/>
  <c r="AF512" i="7"/>
  <c r="AH511" i="7"/>
  <c r="AG512" i="7"/>
  <c r="CF512" i="17" l="1"/>
  <c r="CG512" i="17" s="1"/>
  <c r="CG511" i="17"/>
  <c r="CE513" i="17"/>
  <c r="CA514" i="17"/>
  <c r="CB513" i="17"/>
  <c r="BU514" i="17"/>
  <c r="BV513" i="17"/>
  <c r="BP513" i="17"/>
  <c r="BQ513" i="17" s="1"/>
  <c r="BQ512" i="17"/>
  <c r="BO514" i="17"/>
  <c r="BJ513" i="17"/>
  <c r="BK513" i="17" s="1"/>
  <c r="BK512" i="17"/>
  <c r="BI514" i="17"/>
  <c r="BD513" i="17"/>
  <c r="BE513" i="17" s="1"/>
  <c r="BE512" i="17"/>
  <c r="BC514" i="17"/>
  <c r="AW514" i="17"/>
  <c r="AX513" i="17"/>
  <c r="AH512" i="7"/>
  <c r="AG513" i="7"/>
  <c r="AE514" i="7"/>
  <c r="AF513" i="7"/>
  <c r="CB514" i="17" l="1"/>
  <c r="CC514" i="17" s="1"/>
  <c r="CE514" i="17"/>
  <c r="CF513" i="17"/>
  <c r="CC513" i="17"/>
  <c r="CA515" i="17"/>
  <c r="BV514" i="17"/>
  <c r="BW514" i="17" s="1"/>
  <c r="BW513" i="17"/>
  <c r="BU515" i="17"/>
  <c r="BO515" i="17"/>
  <c r="BP514" i="17"/>
  <c r="BI515" i="17"/>
  <c r="BJ514" i="17"/>
  <c r="BC515" i="17"/>
  <c r="BD514" i="17"/>
  <c r="AX514" i="17"/>
  <c r="AY514" i="17" s="1"/>
  <c r="AY513" i="17"/>
  <c r="AW515" i="17"/>
  <c r="AE515" i="7"/>
  <c r="AF514" i="7"/>
  <c r="AH513" i="7"/>
  <c r="AG514" i="7"/>
  <c r="CF514" i="17" l="1"/>
  <c r="CG514" i="17" s="1"/>
  <c r="CG513" i="17"/>
  <c r="CE515" i="17"/>
  <c r="CA516" i="17"/>
  <c r="CB515" i="17"/>
  <c r="BV515" i="17"/>
  <c r="BW515" i="17" s="1"/>
  <c r="BP515" i="17"/>
  <c r="BQ515" i="17" s="1"/>
  <c r="BU516" i="17"/>
  <c r="BQ514" i="17"/>
  <c r="BO516" i="17"/>
  <c r="BJ515" i="17"/>
  <c r="BK515" i="17" s="1"/>
  <c r="BK514" i="17"/>
  <c r="BI516" i="17"/>
  <c r="BD515" i="17"/>
  <c r="BE515" i="17" s="1"/>
  <c r="BE514" i="17"/>
  <c r="BC516" i="17"/>
  <c r="AW516" i="17"/>
  <c r="AX515" i="17"/>
  <c r="AH514" i="7"/>
  <c r="AG515" i="7"/>
  <c r="AE516" i="7"/>
  <c r="AF516" i="7" s="1"/>
  <c r="AF515" i="7"/>
  <c r="BV516" i="17" l="1"/>
  <c r="BW516" i="17" s="1"/>
  <c r="CE516" i="17"/>
  <c r="CF515" i="17"/>
  <c r="CB516" i="17"/>
  <c r="CC516" i="17" s="1"/>
  <c r="CC515" i="17"/>
  <c r="CA517" i="17"/>
  <c r="BU517" i="17"/>
  <c r="BO517" i="17"/>
  <c r="BP516" i="17"/>
  <c r="BI517" i="17"/>
  <c r="BJ516" i="17"/>
  <c r="BC517" i="17"/>
  <c r="BD516" i="17"/>
  <c r="AX516" i="17"/>
  <c r="AY516" i="17" s="1"/>
  <c r="AY515" i="17"/>
  <c r="AW517" i="17"/>
  <c r="AE517" i="7"/>
  <c r="AH515" i="7"/>
  <c r="AG516" i="7"/>
  <c r="CB517" i="17" l="1"/>
  <c r="CC517" i="17" s="1"/>
  <c r="CF516" i="17"/>
  <c r="CG516" i="17" s="1"/>
  <c r="BP517" i="17"/>
  <c r="BQ517" i="17" s="1"/>
  <c r="CG515" i="17"/>
  <c r="CE517" i="17"/>
  <c r="CA518" i="17"/>
  <c r="BU518" i="17"/>
  <c r="BV517" i="17"/>
  <c r="BD517" i="17"/>
  <c r="BE517" i="17" s="1"/>
  <c r="BQ516" i="17"/>
  <c r="BO518" i="17"/>
  <c r="BJ517" i="17"/>
  <c r="BK517" i="17" s="1"/>
  <c r="BK516" i="17"/>
  <c r="BI518" i="17"/>
  <c r="BE516" i="17"/>
  <c r="BC518" i="17"/>
  <c r="AW518" i="17"/>
  <c r="AX517" i="17"/>
  <c r="AH516" i="7"/>
  <c r="AG517" i="7"/>
  <c r="AE518" i="7"/>
  <c r="AF517" i="7"/>
  <c r="BV518" i="17" l="1"/>
  <c r="BW518" i="17" s="1"/>
  <c r="CE518" i="17"/>
  <c r="CF517" i="17"/>
  <c r="CA519" i="17"/>
  <c r="CB518" i="17"/>
  <c r="BW517" i="17"/>
  <c r="BU519" i="17"/>
  <c r="BO519" i="17"/>
  <c r="BP518" i="17"/>
  <c r="BI519" i="17"/>
  <c r="BJ518" i="17"/>
  <c r="BC519" i="17"/>
  <c r="BD518" i="17"/>
  <c r="AX518" i="17"/>
  <c r="AY518" i="17" s="1"/>
  <c r="AY517" i="17"/>
  <c r="AW519" i="17"/>
  <c r="AH517" i="7"/>
  <c r="AG518" i="7"/>
  <c r="AE519" i="7"/>
  <c r="AF518" i="7"/>
  <c r="CF518" i="17" l="1"/>
  <c r="CG518" i="17" s="1"/>
  <c r="CB519" i="17"/>
  <c r="CC519" i="17" s="1"/>
  <c r="CG517" i="17"/>
  <c r="CE519" i="17"/>
  <c r="BP519" i="17"/>
  <c r="BQ519" i="17" s="1"/>
  <c r="CC518" i="17"/>
  <c r="CA520" i="17"/>
  <c r="BU520" i="17"/>
  <c r="BV519" i="17"/>
  <c r="BQ518" i="17"/>
  <c r="BO520" i="17"/>
  <c r="BJ519" i="17"/>
  <c r="BK519" i="17" s="1"/>
  <c r="BD519" i="17"/>
  <c r="BE519" i="17" s="1"/>
  <c r="BK518" i="17"/>
  <c r="BI520" i="17"/>
  <c r="BE518" i="17"/>
  <c r="BC520" i="17"/>
  <c r="AW520" i="17"/>
  <c r="AX519" i="17"/>
  <c r="AE520" i="7"/>
  <c r="AH518" i="7"/>
  <c r="AG519" i="7"/>
  <c r="AF519" i="7"/>
  <c r="CE520" i="17" l="1"/>
  <c r="CF519" i="17"/>
  <c r="CA521" i="17"/>
  <c r="CB520" i="17"/>
  <c r="BV520" i="17"/>
  <c r="BW520" i="17" s="1"/>
  <c r="BW519" i="17"/>
  <c r="BU521" i="17"/>
  <c r="BO521" i="17"/>
  <c r="BP520" i="17"/>
  <c r="BI521" i="17"/>
  <c r="BJ520" i="17"/>
  <c r="AX520" i="17"/>
  <c r="AY520" i="17" s="1"/>
  <c r="BC521" i="17"/>
  <c r="BD520" i="17"/>
  <c r="AY519" i="17"/>
  <c r="AW521" i="17"/>
  <c r="AH519" i="7"/>
  <c r="AG520" i="7"/>
  <c r="AE521" i="7"/>
  <c r="AF520" i="7"/>
  <c r="CB521" i="17" l="1"/>
  <c r="CC521" i="17" s="1"/>
  <c r="CF520" i="17"/>
  <c r="CG520" i="17" s="1"/>
  <c r="CG519" i="17"/>
  <c r="CE521" i="17"/>
  <c r="CC520" i="17"/>
  <c r="CA522" i="17"/>
  <c r="BP521" i="17"/>
  <c r="BQ521" i="17" s="1"/>
  <c r="BU522" i="17"/>
  <c r="BV521" i="17"/>
  <c r="BQ520" i="17"/>
  <c r="BO522" i="17"/>
  <c r="BJ521" i="17"/>
  <c r="BK521" i="17" s="1"/>
  <c r="BK520" i="17"/>
  <c r="BI522" i="17"/>
  <c r="BD521" i="17"/>
  <c r="BE521" i="17" s="1"/>
  <c r="BE520" i="17"/>
  <c r="BC522" i="17"/>
  <c r="AW522" i="17"/>
  <c r="AX521" i="17"/>
  <c r="AE522" i="7"/>
  <c r="AF521" i="7"/>
  <c r="AH520" i="7"/>
  <c r="AG521" i="7"/>
  <c r="CB522" i="17" l="1"/>
  <c r="CC522" i="17" s="1"/>
  <c r="BV522" i="17"/>
  <c r="BW522" i="17" s="1"/>
  <c r="CE522" i="17"/>
  <c r="CF521" i="17"/>
  <c r="CA523" i="17"/>
  <c r="BW521" i="17"/>
  <c r="BU523" i="17"/>
  <c r="BO523" i="17"/>
  <c r="BP522" i="17"/>
  <c r="BI523" i="17"/>
  <c r="BJ522" i="17"/>
  <c r="BD522" i="17"/>
  <c r="BE522" i="17" s="1"/>
  <c r="AX522" i="17"/>
  <c r="AY522" i="17" s="1"/>
  <c r="BC523" i="17"/>
  <c r="AY521" i="17"/>
  <c r="AW523" i="17"/>
  <c r="AH521" i="7"/>
  <c r="AG522" i="7"/>
  <c r="AE523" i="7"/>
  <c r="AF522" i="7"/>
  <c r="CB523" i="17" l="1"/>
  <c r="CC523" i="17" s="1"/>
  <c r="CF522" i="17"/>
  <c r="CG522" i="17" s="1"/>
  <c r="CG521" i="17"/>
  <c r="CE523" i="17"/>
  <c r="CA524" i="17"/>
  <c r="BU524" i="17"/>
  <c r="BV523" i="17"/>
  <c r="BJ523" i="17"/>
  <c r="BK523" i="17" s="1"/>
  <c r="BP523" i="17"/>
  <c r="BQ523" i="17" s="1"/>
  <c r="BQ522" i="17"/>
  <c r="BO524" i="17"/>
  <c r="BK522" i="17"/>
  <c r="BI524" i="17"/>
  <c r="BD523" i="17"/>
  <c r="BE523" i="17" s="1"/>
  <c r="BC524" i="17"/>
  <c r="AW524" i="17"/>
  <c r="AX523" i="17"/>
  <c r="AE524" i="7"/>
  <c r="AF523" i="7"/>
  <c r="AH522" i="7"/>
  <c r="AG523" i="7"/>
  <c r="CB524" i="17" l="1"/>
  <c r="CC524" i="17" s="1"/>
  <c r="BV524" i="17"/>
  <c r="BW524" i="17" s="1"/>
  <c r="CE524" i="17"/>
  <c r="CF523" i="17"/>
  <c r="CA525" i="17"/>
  <c r="BW523" i="17"/>
  <c r="BU525" i="17"/>
  <c r="BO525" i="17"/>
  <c r="BP524" i="17"/>
  <c r="BI525" i="17"/>
  <c r="BJ524" i="17"/>
  <c r="BC525" i="17"/>
  <c r="BD524" i="17"/>
  <c r="AX524" i="17"/>
  <c r="AY524" i="17" s="1"/>
  <c r="AY523" i="17"/>
  <c r="AW525" i="17"/>
  <c r="AH523" i="7"/>
  <c r="AG524" i="7"/>
  <c r="AE525" i="7"/>
  <c r="AF524" i="7"/>
  <c r="CF524" i="17" l="1"/>
  <c r="CG524" i="17" s="1"/>
  <c r="CG523" i="17"/>
  <c r="CE525" i="17"/>
  <c r="CA526" i="17"/>
  <c r="CB525" i="17"/>
  <c r="BP525" i="17"/>
  <c r="BQ525" i="17" s="1"/>
  <c r="BU526" i="17"/>
  <c r="BV525" i="17"/>
  <c r="BQ524" i="17"/>
  <c r="BO526" i="17"/>
  <c r="BJ525" i="17"/>
  <c r="BK525" i="17" s="1"/>
  <c r="BK524" i="17"/>
  <c r="BI526" i="17"/>
  <c r="BD525" i="17"/>
  <c r="BE525" i="17" s="1"/>
  <c r="BE524" i="17"/>
  <c r="BC526" i="17"/>
  <c r="AW526" i="17"/>
  <c r="AX525" i="17"/>
  <c r="AE526" i="7"/>
  <c r="AF525" i="7"/>
  <c r="AH524" i="7"/>
  <c r="AG525" i="7"/>
  <c r="CB526" i="17" l="1"/>
  <c r="CC526" i="17" s="1"/>
  <c r="CE526" i="17"/>
  <c r="CF525" i="17"/>
  <c r="CC525" i="17"/>
  <c r="CA527" i="17"/>
  <c r="BV526" i="17"/>
  <c r="BW526" i="17" s="1"/>
  <c r="BW525" i="17"/>
  <c r="BD526" i="17"/>
  <c r="BE526" i="17" s="1"/>
  <c r="BU527" i="17"/>
  <c r="BO527" i="17"/>
  <c r="BP526" i="17"/>
  <c r="BI527" i="17"/>
  <c r="BJ526" i="17"/>
  <c r="BC527" i="17"/>
  <c r="AX526" i="17"/>
  <c r="AY526" i="17" s="1"/>
  <c r="AY525" i="17"/>
  <c r="AW527" i="17"/>
  <c r="AH525" i="7"/>
  <c r="AG526" i="7"/>
  <c r="AE527" i="7"/>
  <c r="AF526" i="7"/>
  <c r="CF526" i="17" l="1"/>
  <c r="CG526" i="17" s="1"/>
  <c r="CG525" i="17"/>
  <c r="CE527" i="17"/>
  <c r="CA528" i="17"/>
  <c r="CB527" i="17"/>
  <c r="BU528" i="17"/>
  <c r="BV527" i="17"/>
  <c r="BP527" i="17"/>
  <c r="BQ527" i="17" s="1"/>
  <c r="BQ526" i="17"/>
  <c r="BO528" i="17"/>
  <c r="BJ527" i="17"/>
  <c r="BK527" i="17" s="1"/>
  <c r="BK526" i="17"/>
  <c r="BI528" i="17"/>
  <c r="BC528" i="17"/>
  <c r="BD527" i="17"/>
  <c r="AW528" i="17"/>
  <c r="AX527" i="17"/>
  <c r="AE528" i="7"/>
  <c r="AF527" i="7"/>
  <c r="AH526" i="7"/>
  <c r="AG527" i="7"/>
  <c r="BV528" i="17" l="1"/>
  <c r="BW528" i="17" s="1"/>
  <c r="CB528" i="17"/>
  <c r="CC528" i="17" s="1"/>
  <c r="CE528" i="17"/>
  <c r="CF527" i="17"/>
  <c r="CC527" i="17"/>
  <c r="CA529" i="17"/>
  <c r="BW527" i="17"/>
  <c r="BU529" i="17"/>
  <c r="BO529" i="17"/>
  <c r="BP528" i="17"/>
  <c r="BD528" i="17"/>
  <c r="BE528" i="17" s="1"/>
  <c r="BI529" i="17"/>
  <c r="BJ528" i="17"/>
  <c r="AX528" i="17"/>
  <c r="AY528" i="17" s="1"/>
  <c r="BE527" i="17"/>
  <c r="BC529" i="17"/>
  <c r="AY527" i="17"/>
  <c r="AW529" i="17"/>
  <c r="AH527" i="7"/>
  <c r="AG528" i="7"/>
  <c r="AE529" i="7"/>
  <c r="AF528" i="7"/>
  <c r="CF528" i="17" l="1"/>
  <c r="CG528" i="17" s="1"/>
  <c r="CG527" i="17"/>
  <c r="CE529" i="17"/>
  <c r="CA530" i="17"/>
  <c r="CB529" i="17"/>
  <c r="BP529" i="17"/>
  <c r="BU530" i="17"/>
  <c r="BV529" i="17"/>
  <c r="BQ528" i="17"/>
  <c r="BO530" i="17"/>
  <c r="BQ529" i="17"/>
  <c r="BJ529" i="17"/>
  <c r="BK529" i="17" s="1"/>
  <c r="BK528" i="17"/>
  <c r="BI530" i="17"/>
  <c r="BC530" i="17"/>
  <c r="BD529" i="17"/>
  <c r="AW530" i="17"/>
  <c r="AX529" i="17"/>
  <c r="AE530" i="7"/>
  <c r="AF529" i="7"/>
  <c r="AH528" i="7"/>
  <c r="AG529" i="7"/>
  <c r="CB530" i="17" l="1"/>
  <c r="CC530" i="17" s="1"/>
  <c r="CE530" i="17"/>
  <c r="CF529" i="17"/>
  <c r="CC529" i="17"/>
  <c r="CA531" i="17"/>
  <c r="BV530" i="17"/>
  <c r="BW530" i="17" s="1"/>
  <c r="BW529" i="17"/>
  <c r="BU531" i="17"/>
  <c r="BD530" i="17"/>
  <c r="BE530" i="17" s="1"/>
  <c r="BO531" i="17"/>
  <c r="BP530" i="17"/>
  <c r="BI531" i="17"/>
  <c r="BJ530" i="17"/>
  <c r="BE529" i="17"/>
  <c r="BC531" i="17"/>
  <c r="AX530" i="17"/>
  <c r="AY530" i="17" s="1"/>
  <c r="AY529" i="17"/>
  <c r="AW531" i="17"/>
  <c r="AH529" i="7"/>
  <c r="AG530" i="7"/>
  <c r="AE531" i="7"/>
  <c r="AF530" i="7"/>
  <c r="CF530" i="17" l="1"/>
  <c r="CG530" i="17" s="1"/>
  <c r="CG529" i="17"/>
  <c r="CE531" i="17"/>
  <c r="CA532" i="17"/>
  <c r="CB531" i="17"/>
  <c r="BU532" i="17"/>
  <c r="BV531" i="17"/>
  <c r="BP531" i="17"/>
  <c r="BQ531" i="17" s="1"/>
  <c r="BQ530" i="17"/>
  <c r="BO532" i="17"/>
  <c r="BJ531" i="17"/>
  <c r="BK531" i="17" s="1"/>
  <c r="BK530" i="17"/>
  <c r="BI532" i="17"/>
  <c r="BC532" i="17"/>
  <c r="BD531" i="17"/>
  <c r="AW532" i="17"/>
  <c r="AX531" i="17"/>
  <c r="AH530" i="7"/>
  <c r="AG531" i="7"/>
  <c r="AE532" i="7"/>
  <c r="AF531" i="7"/>
  <c r="CE532" i="17" l="1"/>
  <c r="CF531" i="17"/>
  <c r="CB532" i="17"/>
  <c r="CC532" i="17" s="1"/>
  <c r="BV532" i="17"/>
  <c r="CC531" i="17"/>
  <c r="CA533" i="17"/>
  <c r="BW531" i="17"/>
  <c r="BU533" i="17"/>
  <c r="BV533" i="17" s="1"/>
  <c r="BW532" i="17"/>
  <c r="BO533" i="17"/>
  <c r="BP532" i="17"/>
  <c r="BD532" i="17"/>
  <c r="BE532" i="17" s="1"/>
  <c r="BI533" i="17"/>
  <c r="BJ532" i="17"/>
  <c r="AX532" i="17"/>
  <c r="AY532" i="17" s="1"/>
  <c r="BE531" i="17"/>
  <c r="BC533" i="17"/>
  <c r="AY531" i="17"/>
  <c r="AW533" i="17"/>
  <c r="AE533" i="7"/>
  <c r="AF532" i="7"/>
  <c r="AH531" i="7"/>
  <c r="AG532" i="7"/>
  <c r="CF532" i="17" l="1"/>
  <c r="CG532" i="17" s="1"/>
  <c r="CG531" i="17"/>
  <c r="CE533" i="17"/>
  <c r="CA534" i="17"/>
  <c r="BD533" i="17"/>
  <c r="BE533" i="17" s="1"/>
  <c r="CB533" i="17"/>
  <c r="BP533" i="17"/>
  <c r="BQ533" i="17" s="1"/>
  <c r="BU534" i="17"/>
  <c r="BV534" i="17" s="1"/>
  <c r="BW533" i="17"/>
  <c r="BQ532" i="17"/>
  <c r="BO534" i="17"/>
  <c r="BJ533" i="17"/>
  <c r="BK533" i="17" s="1"/>
  <c r="BK532" i="17"/>
  <c r="BI534" i="17"/>
  <c r="BC534" i="17"/>
  <c r="AW534" i="17"/>
  <c r="AX533" i="17"/>
  <c r="AH532" i="7"/>
  <c r="AG533" i="7"/>
  <c r="AE534" i="7"/>
  <c r="AF533" i="7"/>
  <c r="CB534" i="17" l="1"/>
  <c r="CC534" i="17" s="1"/>
  <c r="CE534" i="17"/>
  <c r="CF533" i="17"/>
  <c r="CC533" i="17"/>
  <c r="CA535" i="17"/>
  <c r="BU535" i="17"/>
  <c r="BW534" i="17"/>
  <c r="BO535" i="17"/>
  <c r="BP534" i="17"/>
  <c r="BI535" i="17"/>
  <c r="BJ534" i="17"/>
  <c r="AX534" i="17"/>
  <c r="AY534" i="17" s="1"/>
  <c r="BC535" i="17"/>
  <c r="BD534" i="17"/>
  <c r="AY533" i="17"/>
  <c r="AW535" i="17"/>
  <c r="AE535" i="7"/>
  <c r="AF535" i="7"/>
  <c r="AH533" i="7"/>
  <c r="AG534" i="7"/>
  <c r="AF534" i="7"/>
  <c r="CF534" i="17" l="1"/>
  <c r="CG534" i="17" s="1"/>
  <c r="CG533" i="17"/>
  <c r="CE535" i="17"/>
  <c r="BP535" i="17"/>
  <c r="BQ535" i="17" s="1"/>
  <c r="CA536" i="17"/>
  <c r="CB535" i="17"/>
  <c r="BU536" i="17"/>
  <c r="BV535" i="17"/>
  <c r="BJ535" i="17"/>
  <c r="BK535" i="17" s="1"/>
  <c r="BQ534" i="17"/>
  <c r="BO536" i="17"/>
  <c r="BK534" i="17"/>
  <c r="BI536" i="17"/>
  <c r="BD535" i="17"/>
  <c r="BE535" i="17" s="1"/>
  <c r="BE534" i="17"/>
  <c r="BC536" i="17"/>
  <c r="AW536" i="17"/>
  <c r="AX535" i="17"/>
  <c r="AH534" i="7"/>
  <c r="AG535" i="7"/>
  <c r="AE536" i="7"/>
  <c r="AF536" i="7"/>
  <c r="CF535" i="17" l="1"/>
  <c r="CG535" i="17" s="1"/>
  <c r="CB536" i="17"/>
  <c r="CC536" i="17" s="1"/>
  <c r="CE536" i="17"/>
  <c r="CC535" i="17"/>
  <c r="CA537" i="17"/>
  <c r="BV536" i="17"/>
  <c r="BW536" i="17" s="1"/>
  <c r="BW535" i="17"/>
  <c r="BU537" i="17"/>
  <c r="BO537" i="17"/>
  <c r="BP536" i="17"/>
  <c r="AX536" i="17"/>
  <c r="AY536" i="17" s="1"/>
  <c r="BI537" i="17"/>
  <c r="BJ536" i="17"/>
  <c r="BC537" i="17"/>
  <c r="BD536" i="17"/>
  <c r="AY535" i="17"/>
  <c r="AW537" i="17"/>
  <c r="AE537" i="7"/>
  <c r="AF537" i="7" s="1"/>
  <c r="AH535" i="7"/>
  <c r="AG536" i="7"/>
  <c r="CF536" i="17" l="1"/>
  <c r="CG536" i="17" s="1"/>
  <c r="CE537" i="17"/>
  <c r="BP537" i="17"/>
  <c r="BQ537" i="17" s="1"/>
  <c r="CA538" i="17"/>
  <c r="CB537" i="17"/>
  <c r="BU538" i="17"/>
  <c r="AX537" i="17"/>
  <c r="AY537" i="17" s="1"/>
  <c r="BV537" i="17"/>
  <c r="BJ537" i="17"/>
  <c r="BK537" i="17" s="1"/>
  <c r="BQ536" i="17"/>
  <c r="BO538" i="17"/>
  <c r="BD537" i="17"/>
  <c r="BE537" i="17" s="1"/>
  <c r="BK536" i="17"/>
  <c r="BI538" i="17"/>
  <c r="BE536" i="17"/>
  <c r="BC538" i="17"/>
  <c r="AW538" i="17"/>
  <c r="AE538" i="7"/>
  <c r="AF538" i="7"/>
  <c r="AH536" i="7"/>
  <c r="AG537" i="7"/>
  <c r="CB538" i="17" l="1"/>
  <c r="CC538" i="17" s="1"/>
  <c r="BV538" i="17"/>
  <c r="BW538" i="17" s="1"/>
  <c r="CE538" i="17"/>
  <c r="CF537" i="17"/>
  <c r="CC537" i="17"/>
  <c r="BJ538" i="17"/>
  <c r="BK538" i="17" s="1"/>
  <c r="CA539" i="17"/>
  <c r="BW537" i="17"/>
  <c r="BU539" i="17"/>
  <c r="BO539" i="17"/>
  <c r="BP538" i="17"/>
  <c r="BI539" i="17"/>
  <c r="BC539" i="17"/>
  <c r="BD538" i="17"/>
  <c r="AW539" i="17"/>
  <c r="AX538" i="17"/>
  <c r="AH537" i="7"/>
  <c r="AG538" i="7"/>
  <c r="AE539" i="7"/>
  <c r="AF539" i="7"/>
  <c r="CF538" i="17" l="1"/>
  <c r="CG538" i="17" s="1"/>
  <c r="CG537" i="17"/>
  <c r="CE539" i="17"/>
  <c r="BP539" i="17"/>
  <c r="CA540" i="17"/>
  <c r="CB539" i="17"/>
  <c r="BU540" i="17"/>
  <c r="BV539" i="17"/>
  <c r="BQ538" i="17"/>
  <c r="BO540" i="17"/>
  <c r="BQ539" i="17"/>
  <c r="BD539" i="17"/>
  <c r="BE539" i="17" s="1"/>
  <c r="BI540" i="17"/>
  <c r="BJ539" i="17"/>
  <c r="AX539" i="17"/>
  <c r="AY539" i="17" s="1"/>
  <c r="BE538" i="17"/>
  <c r="BC540" i="17"/>
  <c r="AY538" i="17"/>
  <c r="AW540" i="17"/>
  <c r="AH538" i="7"/>
  <c r="AG539" i="7"/>
  <c r="AE540" i="7"/>
  <c r="AF540" i="7"/>
  <c r="CB540" i="17" l="1"/>
  <c r="CC540" i="17" s="1"/>
  <c r="CE540" i="17"/>
  <c r="CF539" i="17"/>
  <c r="BV540" i="17"/>
  <c r="BW540" i="17" s="1"/>
  <c r="CC539" i="17"/>
  <c r="CA541" i="17"/>
  <c r="BW539" i="17"/>
  <c r="BU541" i="17"/>
  <c r="BV541" i="17" s="1"/>
  <c r="BO541" i="17"/>
  <c r="BP540" i="17"/>
  <c r="BJ540" i="17"/>
  <c r="BK540" i="17" s="1"/>
  <c r="BK539" i="17"/>
  <c r="BI541" i="17"/>
  <c r="BC541" i="17"/>
  <c r="BD540" i="17"/>
  <c r="AW541" i="17"/>
  <c r="AX540" i="17"/>
  <c r="AE541" i="7"/>
  <c r="AF541" i="7"/>
  <c r="AH539" i="7"/>
  <c r="AG540" i="7"/>
  <c r="CF540" i="17" l="1"/>
  <c r="CG540" i="17" s="1"/>
  <c r="CB541" i="17"/>
  <c r="CC541" i="17" s="1"/>
  <c r="CG539" i="17"/>
  <c r="CE541" i="17"/>
  <c r="CA542" i="17"/>
  <c r="BU542" i="17"/>
  <c r="BW541" i="17"/>
  <c r="BP541" i="17"/>
  <c r="BQ541" i="17" s="1"/>
  <c r="BQ540" i="17"/>
  <c r="BO542" i="17"/>
  <c r="BD541" i="17"/>
  <c r="BE541" i="17" s="1"/>
  <c r="BI542" i="17"/>
  <c r="BJ541" i="17"/>
  <c r="AX541" i="17"/>
  <c r="AY541" i="17" s="1"/>
  <c r="BE540" i="17"/>
  <c r="BC542" i="17"/>
  <c r="AY540" i="17"/>
  <c r="AW542" i="17"/>
  <c r="AH540" i="7"/>
  <c r="AG541" i="7"/>
  <c r="AE542" i="7"/>
  <c r="AF542" i="7" s="1"/>
  <c r="CE542" i="17" l="1"/>
  <c r="CF541" i="17"/>
  <c r="CA543" i="17"/>
  <c r="CB542" i="17"/>
  <c r="BU543" i="17"/>
  <c r="BV542" i="17"/>
  <c r="BO543" i="17"/>
  <c r="BP542" i="17"/>
  <c r="BJ542" i="17"/>
  <c r="BK542" i="17" s="1"/>
  <c r="BK541" i="17"/>
  <c r="BI543" i="17"/>
  <c r="BC543" i="17"/>
  <c r="BD542" i="17"/>
  <c r="AW543" i="17"/>
  <c r="AX542" i="17"/>
  <c r="AY542" i="17" s="1"/>
  <c r="AH541" i="7"/>
  <c r="AG542" i="7"/>
  <c r="AE543" i="7"/>
  <c r="AF543" i="7"/>
  <c r="CF542" i="17" l="1"/>
  <c r="CG542" i="17" s="1"/>
  <c r="CG541" i="17"/>
  <c r="CE543" i="17"/>
  <c r="CB543" i="17"/>
  <c r="CC543" i="17" s="1"/>
  <c r="BP543" i="17"/>
  <c r="BQ543" i="17" s="1"/>
  <c r="CC542" i="17"/>
  <c r="CA544" i="17"/>
  <c r="BV543" i="17"/>
  <c r="BW543" i="17" s="1"/>
  <c r="BW542" i="17"/>
  <c r="BU544" i="17"/>
  <c r="BQ542" i="17"/>
  <c r="BO544" i="17"/>
  <c r="BD543" i="17"/>
  <c r="BE543" i="17" s="1"/>
  <c r="BI544" i="17"/>
  <c r="BJ543" i="17"/>
  <c r="BE542" i="17"/>
  <c r="BC544" i="17"/>
  <c r="AX543" i="17"/>
  <c r="AY543" i="17" s="1"/>
  <c r="AW544" i="17"/>
  <c r="AE544" i="7"/>
  <c r="AF544" i="7"/>
  <c r="AH542" i="7"/>
  <c r="AG543" i="7"/>
  <c r="CE544" i="17" l="1"/>
  <c r="CF543" i="17"/>
  <c r="CB544" i="17"/>
  <c r="CC544" i="17" s="1"/>
  <c r="CA545" i="17"/>
  <c r="BU545" i="17"/>
  <c r="BV544" i="17"/>
  <c r="BJ544" i="17"/>
  <c r="BK544" i="17" s="1"/>
  <c r="BO545" i="17"/>
  <c r="BP544" i="17"/>
  <c r="BK543" i="17"/>
  <c r="BI545" i="17"/>
  <c r="BC545" i="17"/>
  <c r="BD544" i="17"/>
  <c r="AW545" i="17"/>
  <c r="AX544" i="17"/>
  <c r="AH543" i="7"/>
  <c r="AG544" i="7"/>
  <c r="AE545" i="7"/>
  <c r="AF545" i="7"/>
  <c r="BV545" i="17" l="1"/>
  <c r="BW545" i="17" s="1"/>
  <c r="CF544" i="17"/>
  <c r="CG544" i="17" s="1"/>
  <c r="CG543" i="17"/>
  <c r="CE545" i="17"/>
  <c r="CA546" i="17"/>
  <c r="CB545" i="17"/>
  <c r="BW544" i="17"/>
  <c r="BU546" i="17"/>
  <c r="BP545" i="17"/>
  <c r="BQ545" i="17" s="1"/>
  <c r="BQ544" i="17"/>
  <c r="BO546" i="17"/>
  <c r="AX545" i="17"/>
  <c r="AY545" i="17" s="1"/>
  <c r="BD545" i="17"/>
  <c r="BE545" i="17" s="1"/>
  <c r="BI546" i="17"/>
  <c r="BJ545" i="17"/>
  <c r="BE544" i="17"/>
  <c r="BC546" i="17"/>
  <c r="AY544" i="17"/>
  <c r="AW546" i="17"/>
  <c r="AE546" i="7"/>
  <c r="AF546" i="7" s="1"/>
  <c r="AH544" i="7"/>
  <c r="AG545" i="7"/>
  <c r="CB546" i="17" l="1"/>
  <c r="CC546" i="17" s="1"/>
  <c r="CE546" i="17"/>
  <c r="CF545" i="17"/>
  <c r="CC545" i="17"/>
  <c r="CA547" i="17"/>
  <c r="BU547" i="17"/>
  <c r="BV546" i="17"/>
  <c r="BO547" i="17"/>
  <c r="BP546" i="17"/>
  <c r="BJ546" i="17"/>
  <c r="BK546" i="17" s="1"/>
  <c r="BK545" i="17"/>
  <c r="BI547" i="17"/>
  <c r="BC547" i="17"/>
  <c r="BD546" i="17"/>
  <c r="AW547" i="17"/>
  <c r="AX546" i="17"/>
  <c r="AH545" i="7"/>
  <c r="AG546" i="7"/>
  <c r="AE547" i="7"/>
  <c r="AF547" i="7"/>
  <c r="CF546" i="17" l="1"/>
  <c r="CG546" i="17" s="1"/>
  <c r="CG545" i="17"/>
  <c r="CE547" i="17"/>
  <c r="CA548" i="17"/>
  <c r="CB547" i="17"/>
  <c r="BV547" i="17"/>
  <c r="BW547" i="17" s="1"/>
  <c r="BP547" i="17"/>
  <c r="BQ547" i="17" s="1"/>
  <c r="BW546" i="17"/>
  <c r="BU548" i="17"/>
  <c r="BV548" i="17" s="1"/>
  <c r="BQ546" i="17"/>
  <c r="BO548" i="17"/>
  <c r="BD547" i="17"/>
  <c r="BE547" i="17" s="1"/>
  <c r="BI548" i="17"/>
  <c r="BJ547" i="17"/>
  <c r="AX547" i="17"/>
  <c r="AY547" i="17" s="1"/>
  <c r="BE546" i="17"/>
  <c r="BC548" i="17"/>
  <c r="AY546" i="17"/>
  <c r="AW548" i="17"/>
  <c r="AE548" i="7"/>
  <c r="AF548" i="7" s="1"/>
  <c r="AH546" i="7"/>
  <c r="AG547" i="7"/>
  <c r="CE548" i="17" l="1"/>
  <c r="CF547" i="17"/>
  <c r="CB548" i="17"/>
  <c r="CC547" i="17"/>
  <c r="CA549" i="17"/>
  <c r="CC548" i="17"/>
  <c r="BU549" i="17"/>
  <c r="BW548" i="17"/>
  <c r="BJ548" i="17"/>
  <c r="BK548" i="17" s="1"/>
  <c r="BO549" i="17"/>
  <c r="BP548" i="17"/>
  <c r="BK547" i="17"/>
  <c r="BI549" i="17"/>
  <c r="BC549" i="17"/>
  <c r="BD548" i="17"/>
  <c r="AW549" i="17"/>
  <c r="AX548" i="17"/>
  <c r="AH547" i="7"/>
  <c r="AG548" i="7"/>
  <c r="AE549" i="7"/>
  <c r="AF549" i="7" s="1"/>
  <c r="CF548" i="17" l="1"/>
  <c r="CG548" i="17" s="1"/>
  <c r="BJ549" i="17"/>
  <c r="BK549" i="17" s="1"/>
  <c r="CG547" i="17"/>
  <c r="CE549" i="17"/>
  <c r="CA550" i="17"/>
  <c r="CB549" i="17"/>
  <c r="BP549" i="17"/>
  <c r="BQ549" i="17" s="1"/>
  <c r="BU550" i="17"/>
  <c r="BV549" i="17"/>
  <c r="BD549" i="17"/>
  <c r="BE549" i="17" s="1"/>
  <c r="BQ548" i="17"/>
  <c r="BO550" i="17"/>
  <c r="BI550" i="17"/>
  <c r="AX549" i="17"/>
  <c r="AY549" i="17" s="1"/>
  <c r="BE548" i="17"/>
  <c r="BC550" i="17"/>
  <c r="AY548" i="17"/>
  <c r="AW550" i="17"/>
  <c r="AH548" i="7"/>
  <c r="AG549" i="7"/>
  <c r="AE550" i="7"/>
  <c r="AF550" i="7"/>
  <c r="CB550" i="17" l="1"/>
  <c r="CC550" i="17" s="1"/>
  <c r="CE550" i="17"/>
  <c r="CF549" i="17"/>
  <c r="CC549" i="17"/>
  <c r="CA551" i="17"/>
  <c r="BV550" i="17"/>
  <c r="BW550" i="17" s="1"/>
  <c r="BW549" i="17"/>
  <c r="BU551" i="17"/>
  <c r="BO551" i="17"/>
  <c r="BP550" i="17"/>
  <c r="BI551" i="17"/>
  <c r="BJ550" i="17"/>
  <c r="BC551" i="17"/>
  <c r="BD550" i="17"/>
  <c r="AW551" i="17"/>
  <c r="AX550" i="17"/>
  <c r="AE551" i="7"/>
  <c r="AF551" i="7"/>
  <c r="AH549" i="7"/>
  <c r="AG550" i="7"/>
  <c r="BV551" i="17" l="1"/>
  <c r="BW551" i="17" s="1"/>
  <c r="CF550" i="17"/>
  <c r="CG550" i="17" s="1"/>
  <c r="CG549" i="17"/>
  <c r="CE551" i="17"/>
  <c r="CA552" i="17"/>
  <c r="CB551" i="17"/>
  <c r="BD551" i="17"/>
  <c r="BE551" i="17" s="1"/>
  <c r="BU552" i="17"/>
  <c r="BJ551" i="17"/>
  <c r="BK551" i="17" s="1"/>
  <c r="BP551" i="17"/>
  <c r="BQ551" i="17" s="1"/>
  <c r="BQ550" i="17"/>
  <c r="BO552" i="17"/>
  <c r="BK550" i="17"/>
  <c r="BI552" i="17"/>
  <c r="BE550" i="17"/>
  <c r="BC552" i="17"/>
  <c r="AX551" i="17"/>
  <c r="AY551" i="17" s="1"/>
  <c r="AY550" i="17"/>
  <c r="AW552" i="17"/>
  <c r="AH550" i="7"/>
  <c r="AG551" i="7"/>
  <c r="AE552" i="7"/>
  <c r="AF552" i="7"/>
  <c r="CB552" i="17" l="1"/>
  <c r="CC552" i="17" s="1"/>
  <c r="CE552" i="17"/>
  <c r="CF551" i="17"/>
  <c r="CC551" i="17"/>
  <c r="CA553" i="17"/>
  <c r="BU553" i="17"/>
  <c r="BV552" i="17"/>
  <c r="BO553" i="17"/>
  <c r="BP552" i="17"/>
  <c r="BI553" i="17"/>
  <c r="BJ552" i="17"/>
  <c r="BC553" i="17"/>
  <c r="BD552" i="17"/>
  <c r="AW553" i="17"/>
  <c r="AX552" i="17"/>
  <c r="AH551" i="7"/>
  <c r="AG552" i="7"/>
  <c r="AE553" i="7"/>
  <c r="CF552" i="17" l="1"/>
  <c r="CG552" i="17" s="1"/>
  <c r="CG551" i="17"/>
  <c r="CE553" i="17"/>
  <c r="BV553" i="17"/>
  <c r="CA554" i="17"/>
  <c r="CB553" i="17"/>
  <c r="BP553" i="17"/>
  <c r="BQ553" i="17" s="1"/>
  <c r="BW552" i="17"/>
  <c r="BU554" i="17"/>
  <c r="BW553" i="17"/>
  <c r="BQ552" i="17"/>
  <c r="BO554" i="17"/>
  <c r="BJ553" i="17"/>
  <c r="BK553" i="17" s="1"/>
  <c r="BK552" i="17"/>
  <c r="BI554" i="17"/>
  <c r="BD553" i="17"/>
  <c r="BE553" i="17" s="1"/>
  <c r="BE552" i="17"/>
  <c r="BC554" i="17"/>
  <c r="AX553" i="17"/>
  <c r="AY553" i="17" s="1"/>
  <c r="AY552" i="17"/>
  <c r="AW554" i="17"/>
  <c r="AE554" i="7"/>
  <c r="AF554" i="7" s="1"/>
  <c r="AH552" i="7"/>
  <c r="AG553" i="7"/>
  <c r="AF553" i="7"/>
  <c r="CE554" i="17" l="1"/>
  <c r="CF553" i="17"/>
  <c r="CB554" i="17"/>
  <c r="CC554" i="17" s="1"/>
  <c r="CC553" i="17"/>
  <c r="CA555" i="17"/>
  <c r="BU555" i="17"/>
  <c r="BD554" i="17"/>
  <c r="BE554" i="17" s="1"/>
  <c r="BV554" i="17"/>
  <c r="BO555" i="17"/>
  <c r="BP554" i="17"/>
  <c r="BI555" i="17"/>
  <c r="BJ554" i="17"/>
  <c r="BC555" i="17"/>
  <c r="AW555" i="17"/>
  <c r="AX554" i="17"/>
  <c r="AH553" i="7"/>
  <c r="AG554" i="7"/>
  <c r="AE555" i="7"/>
  <c r="AF555" i="7" s="1"/>
  <c r="CF554" i="17" l="1"/>
  <c r="CG554" i="17" s="1"/>
  <c r="BD555" i="17"/>
  <c r="BE555" i="17" s="1"/>
  <c r="CG553" i="17"/>
  <c r="CE555" i="17"/>
  <c r="CA556" i="17"/>
  <c r="CB555" i="17"/>
  <c r="BV555" i="17"/>
  <c r="BW555" i="17" s="1"/>
  <c r="BW554" i="17"/>
  <c r="BU556" i="17"/>
  <c r="BP555" i="17"/>
  <c r="BQ555" i="17" s="1"/>
  <c r="BJ555" i="17"/>
  <c r="BK555" i="17" s="1"/>
  <c r="BQ554" i="17"/>
  <c r="BO556" i="17"/>
  <c r="BK554" i="17"/>
  <c r="BI556" i="17"/>
  <c r="AX555" i="17"/>
  <c r="AY555" i="17" s="1"/>
  <c r="BC556" i="17"/>
  <c r="AY554" i="17"/>
  <c r="AW556" i="17"/>
  <c r="AE556" i="7"/>
  <c r="AF556" i="7" s="1"/>
  <c r="AH554" i="7"/>
  <c r="AG555" i="7"/>
  <c r="BD556" i="17" l="1"/>
  <c r="BE556" i="17" s="1"/>
  <c r="CB556" i="17"/>
  <c r="CC556" i="17" s="1"/>
  <c r="CE556" i="17"/>
  <c r="CF555" i="17"/>
  <c r="CC555" i="17"/>
  <c r="CA557" i="17"/>
  <c r="BU557" i="17"/>
  <c r="BV556" i="17"/>
  <c r="BO557" i="17"/>
  <c r="BP556" i="17"/>
  <c r="BI557" i="17"/>
  <c r="BJ556" i="17"/>
  <c r="BC557" i="17"/>
  <c r="BD557" i="17" s="1"/>
  <c r="AW557" i="17"/>
  <c r="AX556" i="17"/>
  <c r="AH555" i="7"/>
  <c r="AG556" i="7"/>
  <c r="AE557" i="7"/>
  <c r="AF557" i="7" s="1"/>
  <c r="CB557" i="17" l="1"/>
  <c r="CC557" i="17" s="1"/>
  <c r="CF556" i="17"/>
  <c r="CG556" i="17" s="1"/>
  <c r="CG555" i="17"/>
  <c r="CE557" i="17"/>
  <c r="BV557" i="17"/>
  <c r="CA558" i="17"/>
  <c r="BP557" i="17"/>
  <c r="BQ557" i="17" s="1"/>
  <c r="BW556" i="17"/>
  <c r="BU558" i="17"/>
  <c r="BW557" i="17"/>
  <c r="BQ556" i="17"/>
  <c r="BO558" i="17"/>
  <c r="BI558" i="17"/>
  <c r="BJ557" i="17"/>
  <c r="BK556" i="17"/>
  <c r="BC558" i="17"/>
  <c r="BE557" i="17"/>
  <c r="AX557" i="17"/>
  <c r="AY557" i="17" s="1"/>
  <c r="AY556" i="17"/>
  <c r="AW558" i="17"/>
  <c r="AE558" i="7"/>
  <c r="AF558" i="7"/>
  <c r="AH556" i="7"/>
  <c r="AG557" i="7"/>
  <c r="CE558" i="17" l="1"/>
  <c r="CF557" i="17"/>
  <c r="CA559" i="17"/>
  <c r="CB558" i="17"/>
  <c r="BU559" i="17"/>
  <c r="BV558" i="17"/>
  <c r="BO559" i="17"/>
  <c r="BP558" i="17"/>
  <c r="BJ558" i="17"/>
  <c r="BK558" i="17" s="1"/>
  <c r="BK557" i="17"/>
  <c r="BI559" i="17"/>
  <c r="BC559" i="17"/>
  <c r="BD558" i="17"/>
  <c r="AW559" i="17"/>
  <c r="AX558" i="17"/>
  <c r="AH557" i="7"/>
  <c r="AG558" i="7"/>
  <c r="AE559" i="7"/>
  <c r="AF559" i="7" s="1"/>
  <c r="CF558" i="17" l="1"/>
  <c r="CG558" i="17" s="1"/>
  <c r="CG557" i="17"/>
  <c r="CE559" i="17"/>
  <c r="CB559" i="17"/>
  <c r="CC559" i="17" s="1"/>
  <c r="CC558" i="17"/>
  <c r="CA560" i="17"/>
  <c r="BV559" i="17"/>
  <c r="BW559" i="17" s="1"/>
  <c r="BW558" i="17"/>
  <c r="BU560" i="17"/>
  <c r="BP559" i="17"/>
  <c r="BQ559" i="17" s="1"/>
  <c r="BD559" i="17"/>
  <c r="BE559" i="17" s="1"/>
  <c r="BQ558" i="17"/>
  <c r="BO560" i="17"/>
  <c r="BI560" i="17"/>
  <c r="BJ559" i="17"/>
  <c r="BE558" i="17"/>
  <c r="BC560" i="17"/>
  <c r="AX559" i="17"/>
  <c r="AY559" i="17" s="1"/>
  <c r="AY558" i="17"/>
  <c r="AW560" i="17"/>
  <c r="AE560" i="7"/>
  <c r="AF560" i="7" s="1"/>
  <c r="AH558" i="7"/>
  <c r="AG559" i="7"/>
  <c r="CE560" i="17" l="1"/>
  <c r="CF559" i="17"/>
  <c r="CA561" i="17"/>
  <c r="CB560" i="17"/>
  <c r="BU561" i="17"/>
  <c r="BV560" i="17"/>
  <c r="BO561" i="17"/>
  <c r="BP560" i="17"/>
  <c r="BJ560" i="17"/>
  <c r="BK560" i="17" s="1"/>
  <c r="BK559" i="17"/>
  <c r="BI561" i="17"/>
  <c r="BC561" i="17"/>
  <c r="BD560" i="17"/>
  <c r="AW561" i="17"/>
  <c r="AX560" i="17"/>
  <c r="AH559" i="7"/>
  <c r="AG560" i="7"/>
  <c r="AE561" i="7"/>
  <c r="AF561" i="7"/>
  <c r="BV561" i="17" l="1"/>
  <c r="BW561" i="17" s="1"/>
  <c r="CF560" i="17"/>
  <c r="CG560" i="17" s="1"/>
  <c r="CG559" i="17"/>
  <c r="CE561" i="17"/>
  <c r="CB561" i="17"/>
  <c r="CC561" i="17" s="1"/>
  <c r="CC560" i="17"/>
  <c r="CA562" i="17"/>
  <c r="BP561" i="17"/>
  <c r="BQ561" i="17" s="1"/>
  <c r="BW560" i="17"/>
  <c r="BU562" i="17"/>
  <c r="BQ560" i="17"/>
  <c r="BO562" i="17"/>
  <c r="BD561" i="17"/>
  <c r="BE561" i="17" s="1"/>
  <c r="BI562" i="17"/>
  <c r="BJ561" i="17"/>
  <c r="BE560" i="17"/>
  <c r="BC562" i="17"/>
  <c r="AX561" i="17"/>
  <c r="AY561" i="17" s="1"/>
  <c r="AY560" i="17"/>
  <c r="AW562" i="17"/>
  <c r="AE562" i="7"/>
  <c r="AF562" i="7" s="1"/>
  <c r="AH560" i="7"/>
  <c r="AG561" i="7"/>
  <c r="CB562" i="17" l="1"/>
  <c r="CC562" i="17" s="1"/>
  <c r="CE562" i="17"/>
  <c r="CF561" i="17"/>
  <c r="BD562" i="17"/>
  <c r="BE562" i="17" s="1"/>
  <c r="CA563" i="17"/>
  <c r="BU563" i="17"/>
  <c r="BV562" i="17"/>
  <c r="BO563" i="17"/>
  <c r="BP562" i="17"/>
  <c r="BJ562" i="17"/>
  <c r="BK562" i="17" s="1"/>
  <c r="BK561" i="17"/>
  <c r="BI563" i="17"/>
  <c r="BC563" i="17"/>
  <c r="AW563" i="17"/>
  <c r="AX562" i="17"/>
  <c r="AH561" i="7"/>
  <c r="AG562" i="7"/>
  <c r="AE563" i="7"/>
  <c r="AF563" i="7" s="1"/>
  <c r="CB563" i="17" l="1"/>
  <c r="CC563" i="17" s="1"/>
  <c r="CF562" i="17"/>
  <c r="CG562" i="17" s="1"/>
  <c r="BD563" i="17"/>
  <c r="BE563" i="17" s="1"/>
  <c r="BV563" i="17"/>
  <c r="CG561" i="17"/>
  <c r="CE563" i="17"/>
  <c r="CA564" i="17"/>
  <c r="BW562" i="17"/>
  <c r="BU564" i="17"/>
  <c r="BW563" i="17"/>
  <c r="BP563" i="17"/>
  <c r="BQ563" i="17" s="1"/>
  <c r="BQ562" i="17"/>
  <c r="BO564" i="17"/>
  <c r="BI564" i="17"/>
  <c r="BJ563" i="17"/>
  <c r="BC564" i="17"/>
  <c r="AX563" i="17"/>
  <c r="AY563" i="17" s="1"/>
  <c r="AY562" i="17"/>
  <c r="AW564" i="17"/>
  <c r="AE564" i="7"/>
  <c r="AF564" i="7" s="1"/>
  <c r="AH562" i="7"/>
  <c r="AG563" i="7"/>
  <c r="CE564" i="17" l="1"/>
  <c r="CF563" i="17"/>
  <c r="CA565" i="17"/>
  <c r="CB564" i="17"/>
  <c r="BU565" i="17"/>
  <c r="BV564" i="17"/>
  <c r="BJ564" i="17"/>
  <c r="BK564" i="17" s="1"/>
  <c r="BO565" i="17"/>
  <c r="BP564" i="17"/>
  <c r="BK563" i="17"/>
  <c r="BI565" i="17"/>
  <c r="BC565" i="17"/>
  <c r="BD564" i="17"/>
  <c r="AW565" i="17"/>
  <c r="AX564" i="17"/>
  <c r="AH563" i="7"/>
  <c r="AG564" i="7"/>
  <c r="AE565" i="7"/>
  <c r="AF565" i="7"/>
  <c r="CF564" i="17" l="1"/>
  <c r="CG564" i="17" s="1"/>
  <c r="CG563" i="17"/>
  <c r="CE565" i="17"/>
  <c r="CB565" i="17"/>
  <c r="BP565" i="17"/>
  <c r="BQ565" i="17" s="1"/>
  <c r="CC564" i="17"/>
  <c r="CA566" i="17"/>
  <c r="CC565" i="17"/>
  <c r="BV565" i="17"/>
  <c r="BW565" i="17" s="1"/>
  <c r="BW564" i="17"/>
  <c r="BU566" i="17"/>
  <c r="BQ564" i="17"/>
  <c r="BO566" i="17"/>
  <c r="BD565" i="17"/>
  <c r="BE565" i="17" s="1"/>
  <c r="BI566" i="17"/>
  <c r="BJ565" i="17"/>
  <c r="AX565" i="17"/>
  <c r="AY565" i="17" s="1"/>
  <c r="BE564" i="17"/>
  <c r="BC566" i="17"/>
  <c r="AY564" i="17"/>
  <c r="AW566" i="17"/>
  <c r="AH564" i="7"/>
  <c r="AG565" i="7"/>
  <c r="AE566" i="7"/>
  <c r="AF566" i="7" s="1"/>
  <c r="CE566" i="17" l="1"/>
  <c r="CF565" i="17"/>
  <c r="CA567" i="17"/>
  <c r="CB566" i="17"/>
  <c r="BU567" i="17"/>
  <c r="BV566" i="17"/>
  <c r="BJ566" i="17"/>
  <c r="BK566" i="17" s="1"/>
  <c r="BO567" i="17"/>
  <c r="BP566" i="17"/>
  <c r="BK565" i="17"/>
  <c r="BI567" i="17"/>
  <c r="BC567" i="17"/>
  <c r="BD566" i="17"/>
  <c r="AW567" i="17"/>
  <c r="AX566" i="17"/>
  <c r="AE567" i="7"/>
  <c r="AH565" i="7"/>
  <c r="AG566" i="7"/>
  <c r="CF566" i="17" l="1"/>
  <c r="CG566" i="17" s="1"/>
  <c r="CB567" i="17"/>
  <c r="CC567" i="17" s="1"/>
  <c r="CG565" i="17"/>
  <c r="CE567" i="17"/>
  <c r="CC566" i="17"/>
  <c r="CA568" i="17"/>
  <c r="BV567" i="17"/>
  <c r="BW567" i="17" s="1"/>
  <c r="BW566" i="17"/>
  <c r="BU568" i="17"/>
  <c r="BP567" i="17"/>
  <c r="BQ567" i="17" s="1"/>
  <c r="BQ566" i="17"/>
  <c r="BO568" i="17"/>
  <c r="BD567" i="17"/>
  <c r="BE567" i="17" s="1"/>
  <c r="BI568" i="17"/>
  <c r="BJ567" i="17"/>
  <c r="BE566" i="17"/>
  <c r="BC568" i="17"/>
  <c r="AX567" i="17"/>
  <c r="AY567" i="17" s="1"/>
  <c r="AY566" i="17"/>
  <c r="AW568" i="17"/>
  <c r="AE568" i="7"/>
  <c r="AF568" i="7"/>
  <c r="AH566" i="7"/>
  <c r="AG567" i="7"/>
  <c r="AF567" i="7"/>
  <c r="CE568" i="17" l="1"/>
  <c r="CF567" i="17"/>
  <c r="CA569" i="17"/>
  <c r="CB568" i="17"/>
  <c r="BU569" i="17"/>
  <c r="BV568" i="17"/>
  <c r="BJ568" i="17"/>
  <c r="BK568" i="17" s="1"/>
  <c r="BO569" i="17"/>
  <c r="BP568" i="17"/>
  <c r="BK567" i="17"/>
  <c r="BI569" i="17"/>
  <c r="BC569" i="17"/>
  <c r="BD568" i="17"/>
  <c r="AW569" i="17"/>
  <c r="AX568" i="17"/>
  <c r="AH567" i="7"/>
  <c r="AG568" i="7"/>
  <c r="AE569" i="7"/>
  <c r="AF569" i="7"/>
  <c r="CF568" i="17" l="1"/>
  <c r="CG568" i="17" s="1"/>
  <c r="BV569" i="17"/>
  <c r="BW569" i="17" s="1"/>
  <c r="CG567" i="17"/>
  <c r="CE569" i="17"/>
  <c r="CB569" i="17"/>
  <c r="CC568" i="17"/>
  <c r="CA570" i="17"/>
  <c r="CC569" i="17"/>
  <c r="BW568" i="17"/>
  <c r="BU570" i="17"/>
  <c r="BD569" i="17"/>
  <c r="BE569" i="17" s="1"/>
  <c r="BP569" i="17"/>
  <c r="BQ569" i="17" s="1"/>
  <c r="BQ568" i="17"/>
  <c r="BO570" i="17"/>
  <c r="BI570" i="17"/>
  <c r="BJ569" i="17"/>
  <c r="BE568" i="17"/>
  <c r="BC570" i="17"/>
  <c r="AX569" i="17"/>
  <c r="AY569" i="17" s="1"/>
  <c r="AY568" i="17"/>
  <c r="AW570" i="17"/>
  <c r="AE570" i="7"/>
  <c r="AF570" i="7"/>
  <c r="AH568" i="7"/>
  <c r="AG569" i="7"/>
  <c r="BP570" i="17" l="1"/>
  <c r="BQ570" i="17" s="1"/>
  <c r="CE570" i="17"/>
  <c r="CF569" i="17"/>
  <c r="CG569" i="17" s="1"/>
  <c r="CA571" i="17"/>
  <c r="CB570" i="17"/>
  <c r="BU571" i="17"/>
  <c r="BV570" i="17"/>
  <c r="BJ570" i="17"/>
  <c r="BK570" i="17" s="1"/>
  <c r="BO571" i="17"/>
  <c r="BK569" i="17"/>
  <c r="BI571" i="17"/>
  <c r="BC571" i="17"/>
  <c r="BD570" i="17"/>
  <c r="AW571" i="17"/>
  <c r="AX570" i="17"/>
  <c r="AH569" i="7"/>
  <c r="AG570" i="7"/>
  <c r="AE571" i="7"/>
  <c r="AF571" i="7" s="1"/>
  <c r="BP571" i="17" l="1"/>
  <c r="BQ571" i="17" s="1"/>
  <c r="CF570" i="17"/>
  <c r="CG570" i="17" s="1"/>
  <c r="CE571" i="17"/>
  <c r="CB571" i="17"/>
  <c r="CC571" i="17" s="1"/>
  <c r="CC570" i="17"/>
  <c r="CA572" i="17"/>
  <c r="BV571" i="17"/>
  <c r="BW571" i="17" s="1"/>
  <c r="BW570" i="17"/>
  <c r="BU572" i="17"/>
  <c r="BO572" i="17"/>
  <c r="BD571" i="17"/>
  <c r="BE571" i="17" s="1"/>
  <c r="BI572" i="17"/>
  <c r="BJ571" i="17"/>
  <c r="BE570" i="17"/>
  <c r="BC572" i="17"/>
  <c r="AX571" i="17"/>
  <c r="AY571" i="17" s="1"/>
  <c r="AY570" i="17"/>
  <c r="AW572" i="17"/>
  <c r="AH570" i="7"/>
  <c r="AG571" i="7"/>
  <c r="AE572" i="7"/>
  <c r="AF572" i="7" s="1"/>
  <c r="CE572" i="17" l="1"/>
  <c r="CF571" i="17"/>
  <c r="CA573" i="17"/>
  <c r="CB572" i="17"/>
  <c r="BU573" i="17"/>
  <c r="BV572" i="17"/>
  <c r="BO573" i="17"/>
  <c r="BP572" i="17"/>
  <c r="BJ572" i="17"/>
  <c r="BK572" i="17" s="1"/>
  <c r="BK571" i="17"/>
  <c r="BI573" i="17"/>
  <c r="BC573" i="17"/>
  <c r="BD572" i="17"/>
  <c r="AX572" i="17"/>
  <c r="AY572" i="17" s="1"/>
  <c r="AW573" i="17"/>
  <c r="AE573" i="7"/>
  <c r="AF573" i="7"/>
  <c r="AH571" i="7"/>
  <c r="AG572" i="7"/>
  <c r="CF572" i="17" l="1"/>
  <c r="CG572" i="17" s="1"/>
  <c r="CG571" i="17"/>
  <c r="CE573" i="17"/>
  <c r="CB573" i="17"/>
  <c r="CC572" i="17"/>
  <c r="CA574" i="17"/>
  <c r="CB574" i="17" s="1"/>
  <c r="CC573" i="17"/>
  <c r="BV573" i="17"/>
  <c r="BW573" i="17" s="1"/>
  <c r="BP573" i="17"/>
  <c r="BQ573" i="17" s="1"/>
  <c r="BW572" i="17"/>
  <c r="AX573" i="17"/>
  <c r="AY573" i="17" s="1"/>
  <c r="BU574" i="17"/>
  <c r="BQ572" i="17"/>
  <c r="BO574" i="17"/>
  <c r="BI574" i="17"/>
  <c r="BJ573" i="17"/>
  <c r="BD573" i="17"/>
  <c r="BE573" i="17" s="1"/>
  <c r="BE572" i="17"/>
  <c r="BC574" i="17"/>
  <c r="AW574" i="17"/>
  <c r="AH572" i="7"/>
  <c r="AG573" i="7"/>
  <c r="AE574" i="7"/>
  <c r="AF574" i="7" s="1"/>
  <c r="CE574" i="17" l="1"/>
  <c r="CF573" i="17"/>
  <c r="CA575" i="17"/>
  <c r="CC574" i="17"/>
  <c r="BU575" i="17"/>
  <c r="BV574" i="17"/>
  <c r="BO575" i="17"/>
  <c r="BP574" i="17"/>
  <c r="BJ574" i="17"/>
  <c r="BK574" i="17" s="1"/>
  <c r="BK573" i="17"/>
  <c r="BI575" i="17"/>
  <c r="BC575" i="17"/>
  <c r="BD574" i="17"/>
  <c r="AW575" i="17"/>
  <c r="AX574" i="17"/>
  <c r="AE575" i="7"/>
  <c r="AF575" i="7"/>
  <c r="AH573" i="7"/>
  <c r="AG574" i="7"/>
  <c r="BV575" i="17" l="1"/>
  <c r="BW575" i="17" s="1"/>
  <c r="CF574" i="17"/>
  <c r="CG574" i="17" s="1"/>
  <c r="CG573" i="17"/>
  <c r="CE575" i="17"/>
  <c r="CA576" i="17"/>
  <c r="CB575" i="17"/>
  <c r="BP575" i="17"/>
  <c r="BQ575" i="17" s="1"/>
  <c r="BW574" i="17"/>
  <c r="BU576" i="17"/>
  <c r="BQ574" i="17"/>
  <c r="BO576" i="17"/>
  <c r="BI576" i="17"/>
  <c r="BJ575" i="17"/>
  <c r="BD575" i="17"/>
  <c r="BE575" i="17" s="1"/>
  <c r="BE574" i="17"/>
  <c r="BC576" i="17"/>
  <c r="AX575" i="17"/>
  <c r="AY575" i="17" s="1"/>
  <c r="AY574" i="17"/>
  <c r="AW576" i="17"/>
  <c r="AH574" i="7"/>
  <c r="AG575" i="7"/>
  <c r="AE576" i="7"/>
  <c r="AF576" i="7"/>
  <c r="CB576" i="17" l="1"/>
  <c r="CC576" i="17" s="1"/>
  <c r="CE576" i="17"/>
  <c r="CF575" i="17"/>
  <c r="CC575" i="17"/>
  <c r="CA577" i="17"/>
  <c r="BU577" i="17"/>
  <c r="BV576" i="17"/>
  <c r="BO577" i="17"/>
  <c r="BP576" i="17"/>
  <c r="BJ576" i="17"/>
  <c r="BK576" i="17" s="1"/>
  <c r="BK575" i="17"/>
  <c r="BI577" i="17"/>
  <c r="BC577" i="17"/>
  <c r="BD576" i="17"/>
  <c r="AW577" i="17"/>
  <c r="AX576" i="17"/>
  <c r="AH575" i="7"/>
  <c r="AG576" i="7"/>
  <c r="AE577" i="7"/>
  <c r="AF577" i="7" s="1"/>
  <c r="CF576" i="17" l="1"/>
  <c r="CG576" i="17" s="1"/>
  <c r="CG575" i="17"/>
  <c r="CE577" i="17"/>
  <c r="CA578" i="17"/>
  <c r="CB577" i="17"/>
  <c r="BV577" i="17"/>
  <c r="BW577" i="17" s="1"/>
  <c r="BW576" i="17"/>
  <c r="BU578" i="17"/>
  <c r="BP577" i="17"/>
  <c r="BQ577" i="17" s="1"/>
  <c r="BQ576" i="17"/>
  <c r="BO578" i="17"/>
  <c r="BD577" i="17"/>
  <c r="BE577" i="17" s="1"/>
  <c r="BI578" i="17"/>
  <c r="BJ577" i="17"/>
  <c r="BE576" i="17"/>
  <c r="BC578" i="17"/>
  <c r="AX577" i="17"/>
  <c r="AY577" i="17" s="1"/>
  <c r="AY576" i="17"/>
  <c r="AW578" i="17"/>
  <c r="AH576" i="7"/>
  <c r="AG577" i="7"/>
  <c r="AE578" i="7"/>
  <c r="AF578" i="7" s="1"/>
  <c r="CB578" i="17" l="1"/>
  <c r="CC578" i="17" s="1"/>
  <c r="CE578" i="17"/>
  <c r="CF577" i="17"/>
  <c r="CC577" i="17"/>
  <c r="CA579" i="17"/>
  <c r="BU579" i="17"/>
  <c r="BV578" i="17"/>
  <c r="BO579" i="17"/>
  <c r="BP578" i="17"/>
  <c r="BJ578" i="17"/>
  <c r="BK578" i="17" s="1"/>
  <c r="BK577" i="17"/>
  <c r="BI579" i="17"/>
  <c r="BC579" i="17"/>
  <c r="BD578" i="17"/>
  <c r="AW579" i="17"/>
  <c r="AX578" i="17"/>
  <c r="AE579" i="7"/>
  <c r="AF579" i="7"/>
  <c r="AH577" i="7"/>
  <c r="AG578" i="7"/>
  <c r="CF578" i="17" l="1"/>
  <c r="CG578" i="17" s="1"/>
  <c r="BV579" i="17"/>
  <c r="BW579" i="17" s="1"/>
  <c r="CG577" i="17"/>
  <c r="CE579" i="17"/>
  <c r="CA580" i="17"/>
  <c r="CB579" i="17"/>
  <c r="BW578" i="17"/>
  <c r="BU580" i="17"/>
  <c r="BP579" i="17"/>
  <c r="BQ579" i="17" s="1"/>
  <c r="BQ578" i="17"/>
  <c r="BO580" i="17"/>
  <c r="BI580" i="17"/>
  <c r="BJ579" i="17"/>
  <c r="BD579" i="17"/>
  <c r="BE579" i="17" s="1"/>
  <c r="AX579" i="17"/>
  <c r="AY579" i="17" s="1"/>
  <c r="BE578" i="17"/>
  <c r="BC580" i="17"/>
  <c r="AY578" i="17"/>
  <c r="AW580" i="17"/>
  <c r="AH578" i="7"/>
  <c r="AG579" i="7"/>
  <c r="AE580" i="7"/>
  <c r="AF580" i="7"/>
  <c r="CB580" i="17" l="1"/>
  <c r="CC580" i="17" s="1"/>
  <c r="CE580" i="17"/>
  <c r="CF579" i="17"/>
  <c r="CC579" i="17"/>
  <c r="CA581" i="17"/>
  <c r="BU581" i="17"/>
  <c r="BV580" i="17"/>
  <c r="BO581" i="17"/>
  <c r="BP580" i="17"/>
  <c r="BJ580" i="17"/>
  <c r="BK580" i="17" s="1"/>
  <c r="BK579" i="17"/>
  <c r="BI581" i="17"/>
  <c r="BC581" i="17"/>
  <c r="BD580" i="17"/>
  <c r="AW581" i="17"/>
  <c r="AX580" i="17"/>
  <c r="AE581" i="7"/>
  <c r="AF581" i="7"/>
  <c r="AH579" i="7"/>
  <c r="AG580" i="7"/>
  <c r="CF580" i="17" l="1"/>
  <c r="CG580" i="17" s="1"/>
  <c r="CG579" i="17"/>
  <c r="CE581" i="17"/>
  <c r="CA582" i="17"/>
  <c r="CB581" i="17"/>
  <c r="BV581" i="17"/>
  <c r="BW581" i="17" s="1"/>
  <c r="BW580" i="17"/>
  <c r="BU582" i="17"/>
  <c r="BP581" i="17"/>
  <c r="BQ581" i="17" s="1"/>
  <c r="BD581" i="17"/>
  <c r="BE581" i="17" s="1"/>
  <c r="BQ580" i="17"/>
  <c r="BO582" i="17"/>
  <c r="BI582" i="17"/>
  <c r="BJ581" i="17"/>
  <c r="AX581" i="17"/>
  <c r="AY581" i="17" s="1"/>
  <c r="BE580" i="17"/>
  <c r="BC582" i="17"/>
  <c r="AY580" i="17"/>
  <c r="AW582" i="17"/>
  <c r="AH580" i="7"/>
  <c r="AG581" i="7"/>
  <c r="AE582" i="7"/>
  <c r="CB582" i="17" l="1"/>
  <c r="CC582" i="17" s="1"/>
  <c r="CE582" i="17"/>
  <c r="CF581" i="17"/>
  <c r="CC581" i="17"/>
  <c r="CA583" i="17"/>
  <c r="BU583" i="17"/>
  <c r="BV582" i="17"/>
  <c r="BJ582" i="17"/>
  <c r="BK582" i="17" s="1"/>
  <c r="BO583" i="17"/>
  <c r="BP582" i="17"/>
  <c r="BK581" i="17"/>
  <c r="BI583" i="17"/>
  <c r="BC583" i="17"/>
  <c r="BD582" i="17"/>
  <c r="AW583" i="17"/>
  <c r="AX582" i="17"/>
  <c r="AE583" i="7"/>
  <c r="AF583" i="7" s="1"/>
  <c r="AH581" i="7"/>
  <c r="AG582" i="7"/>
  <c r="AF582" i="7"/>
  <c r="CF582" i="17" l="1"/>
  <c r="CG582" i="17" s="1"/>
  <c r="BV583" i="17"/>
  <c r="BW583" i="17" s="1"/>
  <c r="CE583" i="17"/>
  <c r="CG581" i="17"/>
  <c r="CA584" i="17"/>
  <c r="CB583" i="17"/>
  <c r="BW582" i="17"/>
  <c r="BU584" i="17"/>
  <c r="BP583" i="17"/>
  <c r="BQ583" i="17" s="1"/>
  <c r="BQ582" i="17"/>
  <c r="BO584" i="17"/>
  <c r="BD583" i="17"/>
  <c r="BE583" i="17" s="1"/>
  <c r="BI584" i="17"/>
  <c r="BJ583" i="17"/>
  <c r="BE582" i="17"/>
  <c r="BC584" i="17"/>
  <c r="AX583" i="17"/>
  <c r="AY583" i="17" s="1"/>
  <c r="AY582" i="17"/>
  <c r="AW584" i="17"/>
  <c r="AH582" i="7"/>
  <c r="AG583" i="7"/>
  <c r="AE584" i="7"/>
  <c r="AF584" i="7" s="1"/>
  <c r="CE584" i="17" l="1"/>
  <c r="CF583" i="17"/>
  <c r="CB584" i="17"/>
  <c r="CC584" i="17" s="1"/>
  <c r="CC583" i="17"/>
  <c r="CA585" i="17"/>
  <c r="BU585" i="17"/>
  <c r="BV584" i="17"/>
  <c r="BO585" i="17"/>
  <c r="BP584" i="17"/>
  <c r="BJ584" i="17"/>
  <c r="BK584" i="17" s="1"/>
  <c r="BK583" i="17"/>
  <c r="BI585" i="17"/>
  <c r="BC585" i="17"/>
  <c r="BD584" i="17"/>
  <c r="AW585" i="17"/>
  <c r="AX584" i="17"/>
  <c r="AE585" i="7"/>
  <c r="AF585" i="7"/>
  <c r="AH583" i="7"/>
  <c r="AG584" i="7"/>
  <c r="CF584" i="17" l="1"/>
  <c r="CG584" i="17" s="1"/>
  <c r="CG583" i="17"/>
  <c r="CE585" i="17"/>
  <c r="BV585" i="17"/>
  <c r="CA586" i="17"/>
  <c r="CB585" i="17"/>
  <c r="BW584" i="17"/>
  <c r="BU586" i="17"/>
  <c r="BW585" i="17"/>
  <c r="BP585" i="17"/>
  <c r="BQ585" i="17" s="1"/>
  <c r="BQ584" i="17"/>
  <c r="BO586" i="17"/>
  <c r="BI586" i="17"/>
  <c r="BJ585" i="17"/>
  <c r="BD585" i="17"/>
  <c r="BE585" i="17" s="1"/>
  <c r="AX585" i="17"/>
  <c r="AY585" i="17" s="1"/>
  <c r="BE584" i="17"/>
  <c r="BC586" i="17"/>
  <c r="AY584" i="17"/>
  <c r="AW586" i="17"/>
  <c r="AH584" i="7"/>
  <c r="AG585" i="7"/>
  <c r="AE586" i="7"/>
  <c r="AF586" i="7" s="1"/>
  <c r="CB586" i="17" l="1"/>
  <c r="CC586" i="17" s="1"/>
  <c r="CE586" i="17"/>
  <c r="CF585" i="17"/>
  <c r="CC585" i="17"/>
  <c r="CA587" i="17"/>
  <c r="BU587" i="17"/>
  <c r="BV586" i="17"/>
  <c r="BJ586" i="17"/>
  <c r="BK586" i="17" s="1"/>
  <c r="BO587" i="17"/>
  <c r="BP586" i="17"/>
  <c r="BK585" i="17"/>
  <c r="BI587" i="17"/>
  <c r="BC587" i="17"/>
  <c r="BD586" i="17"/>
  <c r="AW587" i="17"/>
  <c r="AX586" i="17"/>
  <c r="AE587" i="7"/>
  <c r="AF587" i="7"/>
  <c r="AH585" i="7"/>
  <c r="AG586" i="7"/>
  <c r="CF586" i="17" l="1"/>
  <c r="CG586" i="17" s="1"/>
  <c r="BV587" i="17"/>
  <c r="BW587" i="17" s="1"/>
  <c r="CG585" i="17"/>
  <c r="CE587" i="17"/>
  <c r="CA588" i="17"/>
  <c r="CB587" i="17"/>
  <c r="BP587" i="17"/>
  <c r="BQ587" i="17" s="1"/>
  <c r="BW586" i="17"/>
  <c r="BU588" i="17"/>
  <c r="BQ586" i="17"/>
  <c r="BO588" i="17"/>
  <c r="BD587" i="17"/>
  <c r="BE587" i="17" s="1"/>
  <c r="BI588" i="17"/>
  <c r="BJ587" i="17"/>
  <c r="BE586" i="17"/>
  <c r="BC588" i="17"/>
  <c r="AX587" i="17"/>
  <c r="AY587" i="17" s="1"/>
  <c r="AY586" i="17"/>
  <c r="AW588" i="17"/>
  <c r="AH586" i="7"/>
  <c r="AG587" i="7"/>
  <c r="AE588" i="7"/>
  <c r="CE588" i="17" l="1"/>
  <c r="CF587" i="17"/>
  <c r="CB588" i="17"/>
  <c r="CC588" i="17" s="1"/>
  <c r="CC587" i="17"/>
  <c r="CA589" i="17"/>
  <c r="BU589" i="17"/>
  <c r="BV588" i="17"/>
  <c r="BO589" i="17"/>
  <c r="BP588" i="17"/>
  <c r="BJ588" i="17"/>
  <c r="BK588" i="17" s="1"/>
  <c r="BK587" i="17"/>
  <c r="BI589" i="17"/>
  <c r="BC589" i="17"/>
  <c r="BD588" i="17"/>
  <c r="AW589" i="17"/>
  <c r="AX588" i="17"/>
  <c r="AE589" i="7"/>
  <c r="AF589" i="7" s="1"/>
  <c r="AF588" i="7"/>
  <c r="AH587" i="7"/>
  <c r="AG588" i="7"/>
  <c r="CB589" i="17" l="1"/>
  <c r="CC589" i="17" s="1"/>
  <c r="CF588" i="17"/>
  <c r="CG588" i="17" s="1"/>
  <c r="CG587" i="17"/>
  <c r="CE589" i="17"/>
  <c r="BV589" i="17"/>
  <c r="CA590" i="17"/>
  <c r="BW588" i="17"/>
  <c r="BU590" i="17"/>
  <c r="BW589" i="17"/>
  <c r="BP589" i="17"/>
  <c r="BQ589" i="17" s="1"/>
  <c r="BQ588" i="17"/>
  <c r="BO590" i="17"/>
  <c r="BI590" i="17"/>
  <c r="BJ589" i="17"/>
  <c r="BD589" i="17"/>
  <c r="BE589" i="17" s="1"/>
  <c r="BE588" i="17"/>
  <c r="BC590" i="17"/>
  <c r="AX589" i="17"/>
  <c r="AY589" i="17" s="1"/>
  <c r="AY588" i="17"/>
  <c r="AW590" i="17"/>
  <c r="AH588" i="7"/>
  <c r="AG589" i="7"/>
  <c r="AE590" i="7"/>
  <c r="AF590" i="7" s="1"/>
  <c r="CE590" i="17" l="1"/>
  <c r="CF589" i="17"/>
  <c r="CA591" i="17"/>
  <c r="CB590" i="17"/>
  <c r="BU591" i="17"/>
  <c r="BV590" i="17"/>
  <c r="BO591" i="17"/>
  <c r="BP590" i="17"/>
  <c r="BJ590" i="17"/>
  <c r="BK590" i="17" s="1"/>
  <c r="BK589" i="17"/>
  <c r="BI591" i="17"/>
  <c r="BC591" i="17"/>
  <c r="BD590" i="17"/>
  <c r="AW591" i="17"/>
  <c r="AX590" i="17"/>
  <c r="AE591" i="7"/>
  <c r="AF591" i="7" s="1"/>
  <c r="AH589" i="7"/>
  <c r="AG590" i="7"/>
  <c r="CB591" i="17" l="1"/>
  <c r="CC591" i="17" s="1"/>
  <c r="CF590" i="17"/>
  <c r="CG590" i="17" s="1"/>
  <c r="BV591" i="17"/>
  <c r="CG589" i="17"/>
  <c r="CE591" i="17"/>
  <c r="CC590" i="17"/>
  <c r="CA592" i="17"/>
  <c r="BW590" i="17"/>
  <c r="BU592" i="17"/>
  <c r="BV592" i="17" s="1"/>
  <c r="BW591" i="17"/>
  <c r="BP591" i="17"/>
  <c r="BQ591" i="17" s="1"/>
  <c r="BQ590" i="17"/>
  <c r="BO592" i="17"/>
  <c r="BI592" i="17"/>
  <c r="BJ591" i="17"/>
  <c r="BD591" i="17"/>
  <c r="BE591" i="17" s="1"/>
  <c r="BE590" i="17"/>
  <c r="BC592" i="17"/>
  <c r="AX591" i="17"/>
  <c r="AY591" i="17" s="1"/>
  <c r="AY590" i="17"/>
  <c r="AW592" i="17"/>
  <c r="AH590" i="7"/>
  <c r="AG591" i="7"/>
  <c r="AE592" i="7"/>
  <c r="AF592" i="7"/>
  <c r="CE592" i="17" l="1"/>
  <c r="CF591" i="17"/>
  <c r="CA593" i="17"/>
  <c r="CB592" i="17"/>
  <c r="BU593" i="17"/>
  <c r="BV593" i="17" s="1"/>
  <c r="BW592" i="17"/>
  <c r="BJ592" i="17"/>
  <c r="BK592" i="17" s="1"/>
  <c r="BO593" i="17"/>
  <c r="BP592" i="17"/>
  <c r="BK591" i="17"/>
  <c r="BI593" i="17"/>
  <c r="BC593" i="17"/>
  <c r="BD592" i="17"/>
  <c r="AW593" i="17"/>
  <c r="AX592" i="17"/>
  <c r="AE593" i="7"/>
  <c r="AF593" i="7" s="1"/>
  <c r="AH591" i="7"/>
  <c r="AG592" i="7"/>
  <c r="CF592" i="17" l="1"/>
  <c r="CG592" i="17" s="1"/>
  <c r="CG591" i="17"/>
  <c r="CE593" i="17"/>
  <c r="CB593" i="17"/>
  <c r="CC593" i="17" s="1"/>
  <c r="CC592" i="17"/>
  <c r="CA594" i="17"/>
  <c r="BU594" i="17"/>
  <c r="BW593" i="17"/>
  <c r="BP593" i="17"/>
  <c r="BQ593" i="17" s="1"/>
  <c r="BQ592" i="17"/>
  <c r="BO594" i="17"/>
  <c r="BD593" i="17"/>
  <c r="BE593" i="17" s="1"/>
  <c r="BI594" i="17"/>
  <c r="BJ593" i="17"/>
  <c r="BE592" i="17"/>
  <c r="BC594" i="17"/>
  <c r="AX593" i="17"/>
  <c r="AY593" i="17" s="1"/>
  <c r="AY592" i="17"/>
  <c r="AW594" i="17"/>
  <c r="AH592" i="7"/>
  <c r="AG593" i="7"/>
  <c r="AE594" i="7"/>
  <c r="CE594" i="17" l="1"/>
  <c r="CF593" i="17"/>
  <c r="CA595" i="17"/>
  <c r="CB594" i="17"/>
  <c r="BU595" i="17"/>
  <c r="BV594" i="17"/>
  <c r="BO595" i="17"/>
  <c r="BP594" i="17"/>
  <c r="BJ594" i="17"/>
  <c r="BK594" i="17" s="1"/>
  <c r="BK593" i="17"/>
  <c r="BI595" i="17"/>
  <c r="BC595" i="17"/>
  <c r="BD594" i="17"/>
  <c r="AW595" i="17"/>
  <c r="AX594" i="17"/>
  <c r="AE595" i="7"/>
  <c r="AF595" i="7" s="1"/>
  <c r="AF594" i="7"/>
  <c r="AH593" i="7"/>
  <c r="AG594" i="7"/>
  <c r="CB595" i="17" l="1"/>
  <c r="CC595" i="17" s="1"/>
  <c r="CF594" i="17"/>
  <c r="CG594" i="17" s="1"/>
  <c r="CG593" i="17"/>
  <c r="CE595" i="17"/>
  <c r="BV595" i="17"/>
  <c r="BW595" i="17" s="1"/>
  <c r="CC594" i="17"/>
  <c r="CA596" i="17"/>
  <c r="BP595" i="17"/>
  <c r="BQ595" i="17" s="1"/>
  <c r="BW594" i="17"/>
  <c r="BU596" i="17"/>
  <c r="BQ594" i="17"/>
  <c r="BO596" i="17"/>
  <c r="BD595" i="17"/>
  <c r="BE595" i="17" s="1"/>
  <c r="BI596" i="17"/>
  <c r="BJ595" i="17"/>
  <c r="BE594" i="17"/>
  <c r="BC596" i="17"/>
  <c r="AX595" i="17"/>
  <c r="AY595" i="17" s="1"/>
  <c r="AY594" i="17"/>
  <c r="AW596" i="17"/>
  <c r="AH594" i="7"/>
  <c r="AG595" i="7"/>
  <c r="AE596" i="7"/>
  <c r="CE596" i="17" l="1"/>
  <c r="BP596" i="17"/>
  <c r="BQ596" i="17" s="1"/>
  <c r="CF595" i="17"/>
  <c r="CA597" i="17"/>
  <c r="CB596" i="17"/>
  <c r="BU597" i="17"/>
  <c r="BV596" i="17"/>
  <c r="BO597" i="17"/>
  <c r="BJ596" i="17"/>
  <c r="BK596" i="17" s="1"/>
  <c r="BK595" i="17"/>
  <c r="BI597" i="17"/>
  <c r="BC597" i="17"/>
  <c r="BD596" i="17"/>
  <c r="AW597" i="17"/>
  <c r="AX596" i="17"/>
  <c r="AE597" i="7"/>
  <c r="AF597" i="7"/>
  <c r="AF596" i="7"/>
  <c r="AH595" i="7"/>
  <c r="AG596" i="7"/>
  <c r="CF596" i="17" l="1"/>
  <c r="CG596" i="17" s="1"/>
  <c r="CG595" i="17"/>
  <c r="CE597" i="17"/>
  <c r="BV597" i="17"/>
  <c r="CB597" i="17"/>
  <c r="CC596" i="17"/>
  <c r="CA598" i="17"/>
  <c r="CC597" i="17"/>
  <c r="BW596" i="17"/>
  <c r="BU598" i="17"/>
  <c r="BV598" i="17" s="1"/>
  <c r="BW597" i="17"/>
  <c r="BO598" i="17"/>
  <c r="BP597" i="17"/>
  <c r="BD597" i="17"/>
  <c r="BE597" i="17" s="1"/>
  <c r="BI598" i="17"/>
  <c r="BJ597" i="17"/>
  <c r="BE596" i="17"/>
  <c r="BC598" i="17"/>
  <c r="AX597" i="17"/>
  <c r="AY597" i="17" s="1"/>
  <c r="AY596" i="17"/>
  <c r="AW598" i="17"/>
  <c r="AH596" i="7"/>
  <c r="AG597" i="7"/>
  <c r="AE598" i="7"/>
  <c r="CE598" i="17" l="1"/>
  <c r="CF597" i="17"/>
  <c r="CA599" i="17"/>
  <c r="CB598" i="17"/>
  <c r="BU599" i="17"/>
  <c r="BW598" i="17"/>
  <c r="BP598" i="17"/>
  <c r="BQ598" i="17" s="1"/>
  <c r="BQ597" i="17"/>
  <c r="BO599" i="17"/>
  <c r="BJ598" i="17"/>
  <c r="BK598" i="17" s="1"/>
  <c r="BK597" i="17"/>
  <c r="BI599" i="17"/>
  <c r="BC599" i="17"/>
  <c r="BD598" i="17"/>
  <c r="AW599" i="17"/>
  <c r="AX598" i="17"/>
  <c r="AE599" i="7"/>
  <c r="AF598" i="7"/>
  <c r="AH597" i="7"/>
  <c r="AG598" i="7"/>
  <c r="CF598" i="17" l="1"/>
  <c r="CG598" i="17" s="1"/>
  <c r="CG597" i="17"/>
  <c r="CE599" i="17"/>
  <c r="CB599" i="17"/>
  <c r="CC598" i="17"/>
  <c r="CA600" i="17"/>
  <c r="CC599" i="17"/>
  <c r="BU600" i="17"/>
  <c r="BV599" i="17"/>
  <c r="BO600" i="17"/>
  <c r="BP599" i="17"/>
  <c r="BD599" i="17"/>
  <c r="BE599" i="17" s="1"/>
  <c r="BI600" i="17"/>
  <c r="BJ599" i="17"/>
  <c r="BE598" i="17"/>
  <c r="BC600" i="17"/>
  <c r="AX599" i="17"/>
  <c r="AY599" i="17" s="1"/>
  <c r="AY598" i="17"/>
  <c r="AW600" i="17"/>
  <c r="AG599" i="7"/>
  <c r="AH598" i="7"/>
  <c r="AE600" i="7"/>
  <c r="AF599" i="7"/>
  <c r="CE600" i="17" l="1"/>
  <c r="CF599" i="17"/>
  <c r="BP600" i="17"/>
  <c r="BQ600" i="17" s="1"/>
  <c r="CA601" i="17"/>
  <c r="CB600" i="17"/>
  <c r="BV600" i="17"/>
  <c r="BW600" i="17" s="1"/>
  <c r="BW599" i="17"/>
  <c r="BU601" i="17"/>
  <c r="BQ599" i="17"/>
  <c r="BO601" i="17"/>
  <c r="BJ600" i="17"/>
  <c r="BK600" i="17" s="1"/>
  <c r="BK599" i="17"/>
  <c r="BI601" i="17"/>
  <c r="BC601" i="17"/>
  <c r="BD600" i="17"/>
  <c r="AW601" i="17"/>
  <c r="AX600" i="17"/>
  <c r="AE601" i="7"/>
  <c r="AF600" i="7"/>
  <c r="AH599" i="7"/>
  <c r="AG600" i="7"/>
  <c r="CF600" i="17" l="1"/>
  <c r="CG600" i="17" s="1"/>
  <c r="CG599" i="17"/>
  <c r="CE601" i="17"/>
  <c r="CB601" i="17"/>
  <c r="CC601" i="17" s="1"/>
  <c r="CC600" i="17"/>
  <c r="CA602" i="17"/>
  <c r="BU602" i="17"/>
  <c r="BV601" i="17"/>
  <c r="BO602" i="17"/>
  <c r="BP601" i="17"/>
  <c r="BJ601" i="17"/>
  <c r="BK601" i="17" s="1"/>
  <c r="BD601" i="17"/>
  <c r="BE601" i="17" s="1"/>
  <c r="BI602" i="17"/>
  <c r="BE600" i="17"/>
  <c r="BC602" i="17"/>
  <c r="AX601" i="17"/>
  <c r="AY601" i="17" s="1"/>
  <c r="AY600" i="17"/>
  <c r="AW602" i="17"/>
  <c r="AG601" i="7"/>
  <c r="AH600" i="7"/>
  <c r="AE602" i="7"/>
  <c r="AF602" i="7" s="1"/>
  <c r="AF601" i="7"/>
  <c r="CF601" i="17" l="1"/>
  <c r="CG601" i="17" s="1"/>
  <c r="CE602" i="17"/>
  <c r="BV602" i="17"/>
  <c r="CA603" i="17"/>
  <c r="CB602" i="17"/>
  <c r="BW601" i="17"/>
  <c r="BU603" i="17"/>
  <c r="BW602" i="17"/>
  <c r="BP602" i="17"/>
  <c r="BQ602" i="17" s="1"/>
  <c r="BQ601" i="17"/>
  <c r="BO603" i="17"/>
  <c r="BI603" i="17"/>
  <c r="BJ602" i="17"/>
  <c r="BC603" i="17"/>
  <c r="BD602" i="17"/>
  <c r="AW603" i="17"/>
  <c r="AX602" i="17"/>
  <c r="AE603" i="7"/>
  <c r="AG602" i="7"/>
  <c r="AH601" i="7"/>
  <c r="CB603" i="17" l="1"/>
  <c r="CC603" i="17" s="1"/>
  <c r="CE603" i="17"/>
  <c r="CF602" i="17"/>
  <c r="CC602" i="17"/>
  <c r="CA604" i="17"/>
  <c r="BU604" i="17"/>
  <c r="BV603" i="17"/>
  <c r="BO604" i="17"/>
  <c r="AX603" i="17"/>
  <c r="AY603" i="17" s="1"/>
  <c r="BP603" i="17"/>
  <c r="BJ603" i="17"/>
  <c r="BK603" i="17" s="1"/>
  <c r="BD603" i="17"/>
  <c r="BE603" i="17" s="1"/>
  <c r="BK602" i="17"/>
  <c r="BI604" i="17"/>
  <c r="BE602" i="17"/>
  <c r="BC604" i="17"/>
  <c r="AY602" i="17"/>
  <c r="AW604" i="17"/>
  <c r="AG603" i="7"/>
  <c r="AH602" i="7"/>
  <c r="AE604" i="7"/>
  <c r="AF604" i="7" s="1"/>
  <c r="AF603" i="7"/>
  <c r="CF603" i="17" l="1"/>
  <c r="CG603" i="17" s="1"/>
  <c r="BV604" i="17"/>
  <c r="BW604" i="17" s="1"/>
  <c r="CG602" i="17"/>
  <c r="CE604" i="17"/>
  <c r="CA605" i="17"/>
  <c r="CB604" i="17"/>
  <c r="BW603" i="17"/>
  <c r="BU605" i="17"/>
  <c r="BP604" i="17"/>
  <c r="BQ604" i="17" s="1"/>
  <c r="BQ603" i="17"/>
  <c r="BO605" i="17"/>
  <c r="BI605" i="17"/>
  <c r="BJ604" i="17"/>
  <c r="BC605" i="17"/>
  <c r="BD604" i="17"/>
  <c r="AW605" i="17"/>
  <c r="AX604" i="17"/>
  <c r="AE605" i="7"/>
  <c r="AG604" i="7"/>
  <c r="AH603" i="7"/>
  <c r="BP605" i="17" l="1"/>
  <c r="BQ605" i="17" s="1"/>
  <c r="BJ605" i="17"/>
  <c r="BK605" i="17" s="1"/>
  <c r="CE605" i="17"/>
  <c r="CF604" i="17"/>
  <c r="CF605" i="17" s="1"/>
  <c r="CB605" i="17"/>
  <c r="CC605" i="17" s="1"/>
  <c r="CC604" i="17"/>
  <c r="CA606" i="17"/>
  <c r="BU606" i="17"/>
  <c r="BV605" i="17"/>
  <c r="BO606" i="17"/>
  <c r="BK604" i="17"/>
  <c r="BI606" i="17"/>
  <c r="BD605" i="17"/>
  <c r="BE605" i="17" s="1"/>
  <c r="BE604" i="17"/>
  <c r="BC606" i="17"/>
  <c r="AX605" i="17"/>
  <c r="AY605" i="17" s="1"/>
  <c r="AY604" i="17"/>
  <c r="AW606" i="17"/>
  <c r="AE606" i="7"/>
  <c r="AG605" i="7"/>
  <c r="AH604" i="7"/>
  <c r="AF605" i="7"/>
  <c r="CG604" i="17" l="1"/>
  <c r="CE606" i="17"/>
  <c r="CG605" i="17"/>
  <c r="CA607" i="17"/>
  <c r="CB606" i="17"/>
  <c r="BV606" i="17"/>
  <c r="BW606" i="17" s="1"/>
  <c r="BW605" i="17"/>
  <c r="BU607" i="17"/>
  <c r="BO607" i="17"/>
  <c r="BP606" i="17"/>
  <c r="BI607" i="17"/>
  <c r="BJ606" i="17"/>
  <c r="BC607" i="17"/>
  <c r="BD606" i="17"/>
  <c r="AW607" i="17"/>
  <c r="AX606" i="17"/>
  <c r="AE607" i="7"/>
  <c r="AG606" i="7"/>
  <c r="AH605" i="7"/>
  <c r="AF606" i="7"/>
  <c r="CE607" i="17" l="1"/>
  <c r="CF606" i="17"/>
  <c r="CB607" i="17"/>
  <c r="CC606" i="17"/>
  <c r="CA608" i="17"/>
  <c r="CC607" i="17"/>
  <c r="BU608" i="17"/>
  <c r="BV607" i="17"/>
  <c r="BP607" i="17"/>
  <c r="BQ607" i="17" s="1"/>
  <c r="BD607" i="17"/>
  <c r="BE607" i="17" s="1"/>
  <c r="BJ607" i="17"/>
  <c r="BK607" i="17" s="1"/>
  <c r="BQ606" i="17"/>
  <c r="BO608" i="17"/>
  <c r="BK606" i="17"/>
  <c r="BI608" i="17"/>
  <c r="BE606" i="17"/>
  <c r="BC608" i="17"/>
  <c r="AX607" i="17"/>
  <c r="AY607" i="17" s="1"/>
  <c r="AY606" i="17"/>
  <c r="AW608" i="17"/>
  <c r="AG607" i="7"/>
  <c r="AH606" i="7"/>
  <c r="AE608" i="7"/>
  <c r="AF607" i="7"/>
  <c r="CF607" i="17" l="1"/>
  <c r="CG607" i="17" s="1"/>
  <c r="CG606" i="17"/>
  <c r="CE608" i="17"/>
  <c r="CB608" i="17"/>
  <c r="CC608" i="17" s="1"/>
  <c r="CA609" i="17"/>
  <c r="CB609" i="17" s="1"/>
  <c r="BV608" i="17"/>
  <c r="BW608" i="17" s="1"/>
  <c r="BW607" i="17"/>
  <c r="BU609" i="17"/>
  <c r="BO609" i="17"/>
  <c r="BP608" i="17"/>
  <c r="BI609" i="17"/>
  <c r="BJ608" i="17"/>
  <c r="BC609" i="17"/>
  <c r="BD608" i="17"/>
  <c r="AW609" i="17"/>
  <c r="AX608" i="17"/>
  <c r="AE609" i="7"/>
  <c r="AF608" i="7"/>
  <c r="AG608" i="7"/>
  <c r="AH607" i="7"/>
  <c r="CE609" i="17" l="1"/>
  <c r="CF608" i="17"/>
  <c r="CA610" i="17"/>
  <c r="CC609" i="17"/>
  <c r="BU610" i="17"/>
  <c r="BV609" i="17"/>
  <c r="BP609" i="17"/>
  <c r="BQ609" i="17" s="1"/>
  <c r="BJ609" i="17"/>
  <c r="BK609" i="17" s="1"/>
  <c r="BQ608" i="17"/>
  <c r="BO610" i="17"/>
  <c r="BD609" i="17"/>
  <c r="BE609" i="17" s="1"/>
  <c r="BK608" i="17"/>
  <c r="BI610" i="17"/>
  <c r="AX609" i="17"/>
  <c r="AY609" i="17" s="1"/>
  <c r="BE608" i="17"/>
  <c r="BC610" i="17"/>
  <c r="AY608" i="17"/>
  <c r="AW610" i="17"/>
  <c r="AG609" i="7"/>
  <c r="AH608" i="7"/>
  <c r="AE610" i="7"/>
  <c r="AF610" i="7" s="1"/>
  <c r="AF609" i="7"/>
  <c r="CF609" i="17" l="1"/>
  <c r="CG609" i="17" s="1"/>
  <c r="CG608" i="17"/>
  <c r="CE610" i="17"/>
  <c r="CA611" i="17"/>
  <c r="CB610" i="17"/>
  <c r="BV610" i="17"/>
  <c r="BW610" i="17" s="1"/>
  <c r="BD610" i="17"/>
  <c r="BE610" i="17" s="1"/>
  <c r="BW609" i="17"/>
  <c r="BU611" i="17"/>
  <c r="BO611" i="17"/>
  <c r="BP610" i="17"/>
  <c r="BI611" i="17"/>
  <c r="BJ610" i="17"/>
  <c r="BC611" i="17"/>
  <c r="AW611" i="17"/>
  <c r="AX610" i="17"/>
  <c r="AE611" i="7"/>
  <c r="AG610" i="7"/>
  <c r="AH609" i="7"/>
  <c r="CB611" i="17" l="1"/>
  <c r="CC611" i="17" s="1"/>
  <c r="CE611" i="17"/>
  <c r="CF610" i="17"/>
  <c r="CC610" i="17"/>
  <c r="CA612" i="17"/>
  <c r="BP611" i="17"/>
  <c r="BQ611" i="17" s="1"/>
  <c r="BU612" i="17"/>
  <c r="BV611" i="17"/>
  <c r="BQ610" i="17"/>
  <c r="BO612" i="17"/>
  <c r="BJ611" i="17"/>
  <c r="BK611" i="17" s="1"/>
  <c r="BK610" i="17"/>
  <c r="BI612" i="17"/>
  <c r="BC612" i="17"/>
  <c r="BD611" i="17"/>
  <c r="AX611" i="17"/>
  <c r="AY611" i="17" s="1"/>
  <c r="AY610" i="17"/>
  <c r="AW612" i="17"/>
  <c r="AG611" i="7"/>
  <c r="AH610" i="7"/>
  <c r="AE612" i="7"/>
  <c r="AF611" i="7"/>
  <c r="CB612" i="17" l="1"/>
  <c r="CC612" i="17" s="1"/>
  <c r="CF611" i="17"/>
  <c r="CG611" i="17" s="1"/>
  <c r="CG610" i="17"/>
  <c r="CE612" i="17"/>
  <c r="CA613" i="17"/>
  <c r="BV612" i="17"/>
  <c r="BW612" i="17" s="1"/>
  <c r="BW611" i="17"/>
  <c r="BU613" i="17"/>
  <c r="BO613" i="17"/>
  <c r="BP612" i="17"/>
  <c r="BI613" i="17"/>
  <c r="BJ612" i="17"/>
  <c r="BD612" i="17"/>
  <c r="BE612" i="17" s="1"/>
  <c r="BE611" i="17"/>
  <c r="BC613" i="17"/>
  <c r="AW613" i="17"/>
  <c r="AX612" i="17"/>
  <c r="AE613" i="7"/>
  <c r="AF612" i="7"/>
  <c r="AG612" i="7"/>
  <c r="AH611" i="7"/>
  <c r="CF612" i="17" l="1"/>
  <c r="CG612" i="17" s="1"/>
  <c r="CE613" i="17"/>
  <c r="CA614" i="17"/>
  <c r="CB613" i="17"/>
  <c r="BJ613" i="17"/>
  <c r="BK613" i="17" s="1"/>
  <c r="BU614" i="17"/>
  <c r="BV613" i="17"/>
  <c r="BP613" i="17"/>
  <c r="BQ613" i="17" s="1"/>
  <c r="BQ612" i="17"/>
  <c r="BO614" i="17"/>
  <c r="BK612" i="17"/>
  <c r="BI614" i="17"/>
  <c r="BC614" i="17"/>
  <c r="BD613" i="17"/>
  <c r="AX613" i="17"/>
  <c r="AY613" i="17" s="1"/>
  <c r="AY612" i="17"/>
  <c r="AW614" i="17"/>
  <c r="AG613" i="7"/>
  <c r="AH612" i="7"/>
  <c r="AE614" i="7"/>
  <c r="AF614" i="7" s="1"/>
  <c r="AF613" i="7"/>
  <c r="CB614" i="17" l="1"/>
  <c r="CC614" i="17" s="1"/>
  <c r="CE614" i="17"/>
  <c r="CF613" i="17"/>
  <c r="CC613" i="17"/>
  <c r="CA615" i="17"/>
  <c r="BV614" i="17"/>
  <c r="BW614" i="17" s="1"/>
  <c r="BW613" i="17"/>
  <c r="BU615" i="17"/>
  <c r="BO615" i="17"/>
  <c r="BP614" i="17"/>
  <c r="BI615" i="17"/>
  <c r="BJ614" i="17"/>
  <c r="BD614" i="17"/>
  <c r="BE614" i="17" s="1"/>
  <c r="BE613" i="17"/>
  <c r="BC615" i="17"/>
  <c r="AW615" i="17"/>
  <c r="AX614" i="17"/>
  <c r="AE615" i="7"/>
  <c r="AG614" i="7"/>
  <c r="AH613" i="7"/>
  <c r="CF614" i="17" l="1"/>
  <c r="CG614" i="17" s="1"/>
  <c r="CG613" i="17"/>
  <c r="CE615" i="17"/>
  <c r="CA616" i="17"/>
  <c r="CB615" i="17"/>
  <c r="BJ615" i="17"/>
  <c r="BK615" i="17" s="1"/>
  <c r="BU616" i="17"/>
  <c r="BV615" i="17"/>
  <c r="BP615" i="17"/>
  <c r="BQ615" i="17" s="1"/>
  <c r="BQ614" i="17"/>
  <c r="BO616" i="17"/>
  <c r="BK614" i="17"/>
  <c r="BI616" i="17"/>
  <c r="BC616" i="17"/>
  <c r="BD615" i="17"/>
  <c r="AX615" i="17"/>
  <c r="AY615" i="17" s="1"/>
  <c r="AY614" i="17"/>
  <c r="AW616" i="17"/>
  <c r="AG615" i="7"/>
  <c r="AH614" i="7"/>
  <c r="AE616" i="7"/>
  <c r="AF615" i="7"/>
  <c r="CB616" i="17" l="1"/>
  <c r="CC616" i="17" s="1"/>
  <c r="BV616" i="17"/>
  <c r="BW616" i="17" s="1"/>
  <c r="CE616" i="17"/>
  <c r="CF615" i="17"/>
  <c r="CC615" i="17"/>
  <c r="CA617" i="17"/>
  <c r="BW615" i="17"/>
  <c r="BU617" i="17"/>
  <c r="BO617" i="17"/>
  <c r="BP616" i="17"/>
  <c r="BI617" i="17"/>
  <c r="BJ616" i="17"/>
  <c r="BD616" i="17"/>
  <c r="BE616" i="17" s="1"/>
  <c r="BE615" i="17"/>
  <c r="BC617" i="17"/>
  <c r="AW617" i="17"/>
  <c r="AX616" i="17"/>
  <c r="AE617" i="7"/>
  <c r="AF616" i="7"/>
  <c r="AG616" i="7"/>
  <c r="AH615" i="7"/>
  <c r="CF616" i="17" l="1"/>
  <c r="CG616" i="17" s="1"/>
  <c r="CG615" i="17"/>
  <c r="CE617" i="17"/>
  <c r="CA618" i="17"/>
  <c r="CB617" i="17"/>
  <c r="BU618" i="17"/>
  <c r="BV617" i="17"/>
  <c r="BW617" i="17" s="1"/>
  <c r="BP617" i="17"/>
  <c r="BQ617" i="17" s="1"/>
  <c r="BJ617" i="17"/>
  <c r="BK617" i="17" s="1"/>
  <c r="BQ616" i="17"/>
  <c r="BO618" i="17"/>
  <c r="BK616" i="17"/>
  <c r="BI618" i="17"/>
  <c r="AX617" i="17"/>
  <c r="AY617" i="17" s="1"/>
  <c r="BC618" i="17"/>
  <c r="BD617" i="17"/>
  <c r="AY616" i="17"/>
  <c r="AW618" i="17"/>
  <c r="AG617" i="7"/>
  <c r="AH616" i="7"/>
  <c r="AE618" i="7"/>
  <c r="AF617" i="7"/>
  <c r="CB618" i="17" l="1"/>
  <c r="CC618" i="17" s="1"/>
  <c r="CE618" i="17"/>
  <c r="CF617" i="17"/>
  <c r="CC617" i="17"/>
  <c r="CA619" i="17"/>
  <c r="BV618" i="17"/>
  <c r="BW618" i="17" s="1"/>
  <c r="BU619" i="17"/>
  <c r="BO619" i="17"/>
  <c r="BP618" i="17"/>
  <c r="BI619" i="17"/>
  <c r="BJ618" i="17"/>
  <c r="BD618" i="17"/>
  <c r="BE618" i="17" s="1"/>
  <c r="BE617" i="17"/>
  <c r="BC619" i="17"/>
  <c r="AW619" i="17"/>
  <c r="AX618" i="17"/>
  <c r="AE619" i="7"/>
  <c r="AF619" i="7" s="1"/>
  <c r="AF618" i="7"/>
  <c r="AG618" i="7"/>
  <c r="AH617" i="7"/>
  <c r="CF618" i="17" l="1"/>
  <c r="CG618" i="17" s="1"/>
  <c r="CG617" i="17"/>
  <c r="CE619" i="17"/>
  <c r="CA620" i="17"/>
  <c r="CB619" i="17"/>
  <c r="BP619" i="17"/>
  <c r="BU620" i="17"/>
  <c r="BV619" i="17"/>
  <c r="BQ618" i="17"/>
  <c r="BO620" i="17"/>
  <c r="BQ619" i="17"/>
  <c r="BJ619" i="17"/>
  <c r="BK619" i="17" s="1"/>
  <c r="BK618" i="17"/>
  <c r="BI620" i="17"/>
  <c r="BC620" i="17"/>
  <c r="BD619" i="17"/>
  <c r="AX619" i="17"/>
  <c r="AY619" i="17" s="1"/>
  <c r="AY618" i="17"/>
  <c r="AW620" i="17"/>
  <c r="AG619" i="7"/>
  <c r="AH618" i="7"/>
  <c r="AE620" i="7"/>
  <c r="BP620" i="17" l="1"/>
  <c r="BQ620" i="17" s="1"/>
  <c r="CF619" i="17"/>
  <c r="CG619" i="17" s="1"/>
  <c r="CE620" i="17"/>
  <c r="CB620" i="17"/>
  <c r="CC619" i="17"/>
  <c r="CA621" i="17"/>
  <c r="CC620" i="17"/>
  <c r="BV620" i="17"/>
  <c r="BW620" i="17" s="1"/>
  <c r="BW619" i="17"/>
  <c r="BU621" i="17"/>
  <c r="BO621" i="17"/>
  <c r="BI621" i="17"/>
  <c r="BJ620" i="17"/>
  <c r="BD620" i="17"/>
  <c r="BE620" i="17" s="1"/>
  <c r="BE619" i="17"/>
  <c r="BC621" i="17"/>
  <c r="AW621" i="17"/>
  <c r="AX620" i="17"/>
  <c r="AE621" i="7"/>
  <c r="AF620" i="7"/>
  <c r="AG620" i="7"/>
  <c r="AH619" i="7"/>
  <c r="CE621" i="17" l="1"/>
  <c r="CF620" i="17"/>
  <c r="CA622" i="17"/>
  <c r="CB621" i="17"/>
  <c r="BU622" i="17"/>
  <c r="BV621" i="17"/>
  <c r="BO622" i="17"/>
  <c r="BP621" i="17"/>
  <c r="BJ621" i="17"/>
  <c r="BK621" i="17" s="1"/>
  <c r="BK620" i="17"/>
  <c r="BI622" i="17"/>
  <c r="BC622" i="17"/>
  <c r="BD621" i="17"/>
  <c r="AX621" i="17"/>
  <c r="AY621" i="17" s="1"/>
  <c r="AY620" i="17"/>
  <c r="AW622" i="17"/>
  <c r="AG621" i="7"/>
  <c r="AH620" i="7"/>
  <c r="AE622" i="7"/>
  <c r="AF621" i="7"/>
  <c r="CF621" i="17" l="1"/>
  <c r="CG621" i="17" s="1"/>
  <c r="BV622" i="17"/>
  <c r="BW622" i="17" s="1"/>
  <c r="CG620" i="17"/>
  <c r="CE622" i="17"/>
  <c r="CB622" i="17"/>
  <c r="CC621" i="17"/>
  <c r="CA623" i="17"/>
  <c r="CC622" i="17"/>
  <c r="BP622" i="17"/>
  <c r="BQ622" i="17" s="1"/>
  <c r="BW621" i="17"/>
  <c r="BU623" i="17"/>
  <c r="BQ621" i="17"/>
  <c r="BO623" i="17"/>
  <c r="BD622" i="17"/>
  <c r="BE622" i="17" s="1"/>
  <c r="BI623" i="17"/>
  <c r="BJ622" i="17"/>
  <c r="BE621" i="17"/>
  <c r="BC623" i="17"/>
  <c r="AW623" i="17"/>
  <c r="AX622" i="17"/>
  <c r="AE623" i="7"/>
  <c r="AF622" i="7"/>
  <c r="AG622" i="7"/>
  <c r="AH621" i="7"/>
  <c r="CE623" i="17" l="1"/>
  <c r="CF622" i="17"/>
  <c r="CA624" i="17"/>
  <c r="CB623" i="17"/>
  <c r="BU624" i="17"/>
  <c r="BV623" i="17"/>
  <c r="BO624" i="17"/>
  <c r="BP623" i="17"/>
  <c r="BJ623" i="17"/>
  <c r="BK623" i="17" s="1"/>
  <c r="BK622" i="17"/>
  <c r="BI624" i="17"/>
  <c r="BC624" i="17"/>
  <c r="BD623" i="17"/>
  <c r="BE623" i="17" s="1"/>
  <c r="AX623" i="17"/>
  <c r="AY623" i="17" s="1"/>
  <c r="AY622" i="17"/>
  <c r="AW624" i="17"/>
  <c r="AG623" i="7"/>
  <c r="AH622" i="7"/>
  <c r="AE624" i="7"/>
  <c r="AF624" i="7" s="1"/>
  <c r="AF623" i="7"/>
  <c r="CF623" i="17" l="1"/>
  <c r="CG623" i="17" s="1"/>
  <c r="CB624" i="17"/>
  <c r="CC624" i="17" s="1"/>
  <c r="CG622" i="17"/>
  <c r="CE624" i="17"/>
  <c r="CC623" i="17"/>
  <c r="BP624" i="17"/>
  <c r="BQ624" i="17" s="1"/>
  <c r="BV624" i="17"/>
  <c r="BW624" i="17" s="1"/>
  <c r="CA625" i="17"/>
  <c r="BW623" i="17"/>
  <c r="BU625" i="17"/>
  <c r="BQ623" i="17"/>
  <c r="BO625" i="17"/>
  <c r="BI625" i="17"/>
  <c r="BJ624" i="17"/>
  <c r="BD624" i="17"/>
  <c r="BE624" i="17" s="1"/>
  <c r="BC625" i="17"/>
  <c r="AW625" i="17"/>
  <c r="AX624" i="17"/>
  <c r="AE625" i="7"/>
  <c r="AG624" i="7"/>
  <c r="AH623" i="7"/>
  <c r="CE625" i="17" l="1"/>
  <c r="CF624" i="17"/>
  <c r="CA626" i="17"/>
  <c r="CB625" i="17"/>
  <c r="BU626" i="17"/>
  <c r="BV625" i="17"/>
  <c r="BJ625" i="17"/>
  <c r="BK625" i="17" s="1"/>
  <c r="BO626" i="17"/>
  <c r="BP625" i="17"/>
  <c r="BK624" i="17"/>
  <c r="BI626" i="17"/>
  <c r="AX625" i="17"/>
  <c r="AY625" i="17" s="1"/>
  <c r="BC626" i="17"/>
  <c r="BD625" i="17"/>
  <c r="AY624" i="17"/>
  <c r="AW626" i="17"/>
  <c r="AG625" i="7"/>
  <c r="AH624" i="7"/>
  <c r="AE626" i="7"/>
  <c r="AF626" i="7" s="1"/>
  <c r="AF625" i="7"/>
  <c r="CF625" i="17" l="1"/>
  <c r="CG625" i="17" s="1"/>
  <c r="BV626" i="17"/>
  <c r="BW626" i="17" s="1"/>
  <c r="CG624" i="17"/>
  <c r="CE626" i="17"/>
  <c r="CB626" i="17"/>
  <c r="CC625" i="17"/>
  <c r="CA627" i="17"/>
  <c r="CC626" i="17"/>
  <c r="BW625" i="17"/>
  <c r="BU627" i="17"/>
  <c r="BP626" i="17"/>
  <c r="BQ626" i="17" s="1"/>
  <c r="BQ625" i="17"/>
  <c r="BO627" i="17"/>
  <c r="BI627" i="17"/>
  <c r="BJ626" i="17"/>
  <c r="BD626" i="17"/>
  <c r="BE626" i="17" s="1"/>
  <c r="BE625" i="17"/>
  <c r="BC627" i="17"/>
  <c r="AW627" i="17"/>
  <c r="AX626" i="17"/>
  <c r="AE627" i="7"/>
  <c r="AG626" i="7"/>
  <c r="AH625" i="7"/>
  <c r="CE627" i="17" l="1"/>
  <c r="CF626" i="17"/>
  <c r="CA628" i="17"/>
  <c r="CB627" i="17"/>
  <c r="BU628" i="17"/>
  <c r="BV627" i="17"/>
  <c r="BO628" i="17"/>
  <c r="BP627" i="17"/>
  <c r="BJ627" i="17"/>
  <c r="BK627" i="17" s="1"/>
  <c r="BK626" i="17"/>
  <c r="BI628" i="17"/>
  <c r="BC628" i="17"/>
  <c r="BD627" i="17"/>
  <c r="AX627" i="17"/>
  <c r="AY627" i="17" s="1"/>
  <c r="AY626" i="17"/>
  <c r="AW628" i="17"/>
  <c r="AG627" i="7"/>
  <c r="AH626" i="7"/>
  <c r="AE628" i="7"/>
  <c r="AF627" i="7"/>
  <c r="CF627" i="17" l="1"/>
  <c r="CG627" i="17" s="1"/>
  <c r="CB628" i="17"/>
  <c r="CC628" i="17" s="1"/>
  <c r="CG626" i="17"/>
  <c r="CE628" i="17"/>
  <c r="BP628" i="17"/>
  <c r="BQ628" i="17" s="1"/>
  <c r="BV628" i="17"/>
  <c r="BW628" i="17" s="1"/>
  <c r="CC627" i="17"/>
  <c r="CA629" i="17"/>
  <c r="BW627" i="17"/>
  <c r="BU629" i="17"/>
  <c r="BQ627" i="17"/>
  <c r="BO629" i="17"/>
  <c r="BD628" i="17"/>
  <c r="BE628" i="17" s="1"/>
  <c r="BI629" i="17"/>
  <c r="BJ628" i="17"/>
  <c r="BE627" i="17"/>
  <c r="BC629" i="17"/>
  <c r="AW629" i="17"/>
  <c r="AX628" i="17"/>
  <c r="AE629" i="7"/>
  <c r="AF629" i="7" s="1"/>
  <c r="AF628" i="7"/>
  <c r="AG628" i="7"/>
  <c r="AH627" i="7"/>
  <c r="CB629" i="17" l="1"/>
  <c r="CC629" i="17" s="1"/>
  <c r="CE629" i="17"/>
  <c r="CF628" i="17"/>
  <c r="CA630" i="17"/>
  <c r="BU630" i="17"/>
  <c r="BV629" i="17"/>
  <c r="BO630" i="17"/>
  <c r="BP629" i="17"/>
  <c r="BJ629" i="17"/>
  <c r="BK629" i="17" s="1"/>
  <c r="BK628" i="17"/>
  <c r="BI630" i="17"/>
  <c r="BC630" i="17"/>
  <c r="BD629" i="17"/>
  <c r="AW630" i="17"/>
  <c r="AX629" i="17"/>
  <c r="AY628" i="17"/>
  <c r="AG629" i="7"/>
  <c r="AH628" i="7"/>
  <c r="AE630" i="7"/>
  <c r="CF629" i="17" l="1"/>
  <c r="CG629" i="17" s="1"/>
  <c r="BV630" i="17"/>
  <c r="BW630" i="17" s="1"/>
  <c r="CG628" i="17"/>
  <c r="CE630" i="17"/>
  <c r="CA631" i="17"/>
  <c r="CB630" i="17"/>
  <c r="BP630" i="17"/>
  <c r="BQ630" i="17" s="1"/>
  <c r="BW629" i="17"/>
  <c r="BU631" i="17"/>
  <c r="BD630" i="17"/>
  <c r="BE630" i="17" s="1"/>
  <c r="BQ629" i="17"/>
  <c r="BO631" i="17"/>
  <c r="BI631" i="17"/>
  <c r="BJ630" i="17"/>
  <c r="BE629" i="17"/>
  <c r="BC631" i="17"/>
  <c r="AX630" i="17"/>
  <c r="AY630" i="17" s="1"/>
  <c r="AY629" i="17"/>
  <c r="AW631" i="17"/>
  <c r="AE631" i="7"/>
  <c r="AF630" i="7"/>
  <c r="AG630" i="7"/>
  <c r="AH629" i="7"/>
  <c r="CB631" i="17" l="1"/>
  <c r="CC631" i="17" s="1"/>
  <c r="CE631" i="17"/>
  <c r="CF630" i="17"/>
  <c r="CC630" i="17"/>
  <c r="CA632" i="17"/>
  <c r="AX631" i="17"/>
  <c r="AY631" i="17" s="1"/>
  <c r="BU632" i="17"/>
  <c r="BV631" i="17"/>
  <c r="BO632" i="17"/>
  <c r="BP631" i="17"/>
  <c r="BJ631" i="17"/>
  <c r="BK631" i="17" s="1"/>
  <c r="BK630" i="17"/>
  <c r="BI632" i="17"/>
  <c r="BC632" i="17"/>
  <c r="BD631" i="17"/>
  <c r="AW632" i="17"/>
  <c r="AG631" i="7"/>
  <c r="AH630" i="7"/>
  <c r="AE632" i="7"/>
  <c r="AF631" i="7"/>
  <c r="CF631" i="17" l="1"/>
  <c r="CG631" i="17" s="1"/>
  <c r="CG630" i="17"/>
  <c r="CE632" i="17"/>
  <c r="CA633" i="17"/>
  <c r="CB632" i="17"/>
  <c r="BV632" i="17"/>
  <c r="BW632" i="17" s="1"/>
  <c r="BP632" i="17"/>
  <c r="BQ632" i="17" s="1"/>
  <c r="BW631" i="17"/>
  <c r="BU633" i="17"/>
  <c r="BQ631" i="17"/>
  <c r="BO633" i="17"/>
  <c r="BD632" i="17"/>
  <c r="BE632" i="17" s="1"/>
  <c r="BI633" i="17"/>
  <c r="BJ632" i="17"/>
  <c r="BE631" i="17"/>
  <c r="BC633" i="17"/>
  <c r="AW633" i="17"/>
  <c r="AX632" i="17"/>
  <c r="AE633" i="7"/>
  <c r="AF632" i="7"/>
  <c r="AG632" i="7"/>
  <c r="AH631" i="7"/>
  <c r="CB633" i="17" l="1"/>
  <c r="CC633" i="17" s="1"/>
  <c r="CE633" i="17"/>
  <c r="CF632" i="17"/>
  <c r="CC632" i="17"/>
  <c r="CA634" i="17"/>
  <c r="BJ633" i="17"/>
  <c r="BK633" i="17" s="1"/>
  <c r="BU634" i="17"/>
  <c r="BV633" i="17"/>
  <c r="BO634" i="17"/>
  <c r="BP633" i="17"/>
  <c r="AX633" i="17"/>
  <c r="AY633" i="17" s="1"/>
  <c r="BK632" i="17"/>
  <c r="BI634" i="17"/>
  <c r="BC634" i="17"/>
  <c r="BD633" i="17"/>
  <c r="AY632" i="17"/>
  <c r="AW634" i="17"/>
  <c r="AG633" i="7"/>
  <c r="AH632" i="7"/>
  <c r="AE634" i="7"/>
  <c r="AF633" i="7"/>
  <c r="CF633" i="17" l="1"/>
  <c r="CG633" i="17" s="1"/>
  <c r="BV634" i="17"/>
  <c r="BW634" i="17" s="1"/>
  <c r="CG632" i="17"/>
  <c r="CE634" i="17"/>
  <c r="BP634" i="17"/>
  <c r="BQ634" i="17" s="1"/>
  <c r="CA635" i="17"/>
  <c r="CB634" i="17"/>
  <c r="BD634" i="17"/>
  <c r="BE634" i="17" s="1"/>
  <c r="BW633" i="17"/>
  <c r="BU635" i="17"/>
  <c r="BQ633" i="17"/>
  <c r="BO635" i="17"/>
  <c r="BI635" i="17"/>
  <c r="BJ634" i="17"/>
  <c r="BE633" i="17"/>
  <c r="BC635" i="17"/>
  <c r="AW635" i="17"/>
  <c r="AX634" i="17"/>
  <c r="AE635" i="7"/>
  <c r="AF634" i="7"/>
  <c r="AG634" i="7"/>
  <c r="AH633" i="7"/>
  <c r="CE635" i="17" l="1"/>
  <c r="CF634" i="17"/>
  <c r="CB635" i="17"/>
  <c r="BD635" i="17"/>
  <c r="BE635" i="17" s="1"/>
  <c r="CC634" i="17"/>
  <c r="CA636" i="17"/>
  <c r="CC635" i="17"/>
  <c r="BJ635" i="17"/>
  <c r="BK635" i="17" s="1"/>
  <c r="BU636" i="17"/>
  <c r="BV635" i="17"/>
  <c r="BO636" i="17"/>
  <c r="BP635" i="17"/>
  <c r="BK634" i="17"/>
  <c r="BI636" i="17"/>
  <c r="AX635" i="17"/>
  <c r="AY635" i="17" s="1"/>
  <c r="BC636" i="17"/>
  <c r="AY634" i="17"/>
  <c r="AW636" i="17"/>
  <c r="AG635" i="7"/>
  <c r="AH634" i="7"/>
  <c r="AE636" i="7"/>
  <c r="AF635" i="7"/>
  <c r="CF635" i="17" l="1"/>
  <c r="CG635" i="17" s="1"/>
  <c r="CG634" i="17"/>
  <c r="CE636" i="17"/>
  <c r="CA637" i="17"/>
  <c r="CB636" i="17"/>
  <c r="BV636" i="17"/>
  <c r="BW636" i="17" s="1"/>
  <c r="BU637" i="17"/>
  <c r="BW635" i="17"/>
  <c r="BP636" i="17"/>
  <c r="BQ636" i="17" s="1"/>
  <c r="BQ635" i="17"/>
  <c r="BO637" i="17"/>
  <c r="BI637" i="17"/>
  <c r="BJ636" i="17"/>
  <c r="BC637" i="17"/>
  <c r="BD636" i="17"/>
  <c r="AW637" i="17"/>
  <c r="AX636" i="17"/>
  <c r="AE637" i="7"/>
  <c r="AF636" i="7"/>
  <c r="AG636" i="7"/>
  <c r="AH635" i="7"/>
  <c r="CB637" i="17" l="1"/>
  <c r="CC637" i="17" s="1"/>
  <c r="CE637" i="17"/>
  <c r="CF636" i="17"/>
  <c r="CC636" i="17"/>
  <c r="CA638" i="17"/>
  <c r="BU638" i="17"/>
  <c r="BV637" i="17"/>
  <c r="BO638" i="17"/>
  <c r="BP637" i="17"/>
  <c r="BJ637" i="17"/>
  <c r="BK637" i="17" s="1"/>
  <c r="BK636" i="17"/>
  <c r="BI638" i="17"/>
  <c r="BD637" i="17"/>
  <c r="BE637" i="17" s="1"/>
  <c r="AX637" i="17"/>
  <c r="AY637" i="17" s="1"/>
  <c r="BE636" i="17"/>
  <c r="BC638" i="17"/>
  <c r="AY636" i="17"/>
  <c r="AW638" i="17"/>
  <c r="AG637" i="7"/>
  <c r="AH636" i="7"/>
  <c r="AE638" i="7"/>
  <c r="AF637" i="7"/>
  <c r="CF637" i="17" l="1"/>
  <c r="CG637" i="17" s="1"/>
  <c r="BP638" i="17"/>
  <c r="BQ638" i="17" s="1"/>
  <c r="CG636" i="17"/>
  <c r="CE638" i="17"/>
  <c r="BV638" i="17"/>
  <c r="CA639" i="17"/>
  <c r="CB638" i="17"/>
  <c r="BJ638" i="17"/>
  <c r="BK638" i="17" s="1"/>
  <c r="BW637" i="17"/>
  <c r="BU639" i="17"/>
  <c r="BW638" i="17"/>
  <c r="BQ637" i="17"/>
  <c r="BO639" i="17"/>
  <c r="BI639" i="17"/>
  <c r="BC639" i="17"/>
  <c r="BD638" i="17"/>
  <c r="AW639" i="17"/>
  <c r="AX638" i="17"/>
  <c r="AE639" i="7"/>
  <c r="AF638" i="7"/>
  <c r="AG638" i="7"/>
  <c r="AH637" i="7"/>
  <c r="CB639" i="17" l="1"/>
  <c r="CC639" i="17" s="1"/>
  <c r="CE639" i="17"/>
  <c r="CF638" i="17"/>
  <c r="CC638" i="17"/>
  <c r="CA640" i="17"/>
  <c r="BU640" i="17"/>
  <c r="BV639" i="17"/>
  <c r="BO640" i="17"/>
  <c r="BP639" i="17"/>
  <c r="BI640" i="17"/>
  <c r="BJ639" i="17"/>
  <c r="BD639" i="17"/>
  <c r="BE639" i="17" s="1"/>
  <c r="BE638" i="17"/>
  <c r="BC640" i="17"/>
  <c r="AX639" i="17"/>
  <c r="AY639" i="17" s="1"/>
  <c r="AY638" i="17"/>
  <c r="AW640" i="17"/>
  <c r="AG639" i="7"/>
  <c r="AH638" i="7"/>
  <c r="AE640" i="7"/>
  <c r="AF639" i="7"/>
  <c r="CF639" i="17" l="1"/>
  <c r="CG639" i="17" s="1"/>
  <c r="CG638" i="17"/>
  <c r="CE640" i="17"/>
  <c r="CA641" i="17"/>
  <c r="CB640" i="17"/>
  <c r="BP640" i="17"/>
  <c r="BQ640" i="17" s="1"/>
  <c r="BV640" i="17"/>
  <c r="BW640" i="17" s="1"/>
  <c r="BW639" i="17"/>
  <c r="BU641" i="17"/>
  <c r="BJ640" i="17"/>
  <c r="BK640" i="17" s="1"/>
  <c r="BQ639" i="17"/>
  <c r="BO641" i="17"/>
  <c r="BK639" i="17"/>
  <c r="BI641" i="17"/>
  <c r="BC641" i="17"/>
  <c r="BD640" i="17"/>
  <c r="AW641" i="17"/>
  <c r="AX640" i="17"/>
  <c r="AE641" i="7"/>
  <c r="AF640" i="7"/>
  <c r="AG640" i="7"/>
  <c r="AH639" i="7"/>
  <c r="CE641" i="17" l="1"/>
  <c r="CB641" i="17"/>
  <c r="CC641" i="17" s="1"/>
  <c r="CF640" i="17"/>
  <c r="CC640" i="17"/>
  <c r="CA642" i="17"/>
  <c r="BU642" i="17"/>
  <c r="BV641" i="17"/>
  <c r="BO642" i="17"/>
  <c r="BP641" i="17"/>
  <c r="BD641" i="17"/>
  <c r="BE641" i="17" s="1"/>
  <c r="BI642" i="17"/>
  <c r="BJ641" i="17"/>
  <c r="BE640" i="17"/>
  <c r="BC642" i="17"/>
  <c r="AX641" i="17"/>
  <c r="AY641" i="17" s="1"/>
  <c r="AY640" i="17"/>
  <c r="AW642" i="17"/>
  <c r="AG641" i="7"/>
  <c r="AH640" i="7"/>
  <c r="AE642" i="7"/>
  <c r="AF642" i="7" s="1"/>
  <c r="AF641" i="7"/>
  <c r="CB642" i="17" l="1"/>
  <c r="CC642" i="17" s="1"/>
  <c r="CF641" i="17"/>
  <c r="CG641" i="17" s="1"/>
  <c r="CG640" i="17"/>
  <c r="CE642" i="17"/>
  <c r="CA643" i="17"/>
  <c r="BV642" i="17"/>
  <c r="BW642" i="17" s="1"/>
  <c r="BW641" i="17"/>
  <c r="BU643" i="17"/>
  <c r="BP642" i="17"/>
  <c r="BQ642" i="17" s="1"/>
  <c r="BJ642" i="17"/>
  <c r="BK642" i="17" s="1"/>
  <c r="BQ641" i="17"/>
  <c r="BO643" i="17"/>
  <c r="BK641" i="17"/>
  <c r="BI643" i="17"/>
  <c r="BC643" i="17"/>
  <c r="BD642" i="17"/>
  <c r="AW643" i="17"/>
  <c r="AX642" i="17"/>
  <c r="AE643" i="7"/>
  <c r="AG642" i="7"/>
  <c r="AH641" i="7"/>
  <c r="BP643" i="17" l="1"/>
  <c r="BQ643" i="17" s="1"/>
  <c r="CE643" i="17"/>
  <c r="CF642" i="17"/>
  <c r="CA644" i="17"/>
  <c r="CB643" i="17"/>
  <c r="BU644" i="17"/>
  <c r="BD643" i="17"/>
  <c r="BE643" i="17" s="1"/>
  <c r="BV643" i="17"/>
  <c r="BO644" i="17"/>
  <c r="BI644" i="17"/>
  <c r="BJ643" i="17"/>
  <c r="BE642" i="17"/>
  <c r="BC644" i="17"/>
  <c r="AX643" i="17"/>
  <c r="AY643" i="17" s="1"/>
  <c r="AY642" i="17"/>
  <c r="AW644" i="17"/>
  <c r="AG643" i="7"/>
  <c r="AH642" i="7"/>
  <c r="AE644" i="7"/>
  <c r="AF643" i="7"/>
  <c r="CB644" i="17" l="1"/>
  <c r="CC644" i="17" s="1"/>
  <c r="CF643" i="17"/>
  <c r="CG643" i="17" s="1"/>
  <c r="CG642" i="17"/>
  <c r="CE644" i="17"/>
  <c r="BV644" i="17"/>
  <c r="BW644" i="17" s="1"/>
  <c r="CC643" i="17"/>
  <c r="CA645" i="17"/>
  <c r="BW643" i="17"/>
  <c r="BU645" i="17"/>
  <c r="BO645" i="17"/>
  <c r="BP644" i="17"/>
  <c r="BJ644" i="17"/>
  <c r="BK644" i="17" s="1"/>
  <c r="BK643" i="17"/>
  <c r="BI645" i="17"/>
  <c r="BC645" i="17"/>
  <c r="BD644" i="17"/>
  <c r="AW645" i="17"/>
  <c r="AX644" i="17"/>
  <c r="AE645" i="7"/>
  <c r="AF644" i="7"/>
  <c r="AG644" i="7"/>
  <c r="AH643" i="7"/>
  <c r="CF644" i="17" l="1"/>
  <c r="CG644" i="17" s="1"/>
  <c r="CE645" i="17"/>
  <c r="CA646" i="17"/>
  <c r="CB645" i="17"/>
  <c r="BU646" i="17"/>
  <c r="BP645" i="17"/>
  <c r="BQ645" i="17" s="1"/>
  <c r="BV645" i="17"/>
  <c r="BQ644" i="17"/>
  <c r="BO646" i="17"/>
  <c r="BD645" i="17"/>
  <c r="BE645" i="17" s="1"/>
  <c r="BI646" i="17"/>
  <c r="BJ645" i="17"/>
  <c r="AX645" i="17"/>
  <c r="AY645" i="17" s="1"/>
  <c r="BE644" i="17"/>
  <c r="BC646" i="17"/>
  <c r="AY644" i="17"/>
  <c r="AW646" i="17"/>
  <c r="AG645" i="7"/>
  <c r="AH644" i="7"/>
  <c r="AE646" i="7"/>
  <c r="AF646" i="7" s="1"/>
  <c r="AF645" i="7"/>
  <c r="BV646" i="17" l="1"/>
  <c r="BW646" i="17" s="1"/>
  <c r="CE646" i="17"/>
  <c r="CF645" i="17"/>
  <c r="CB646" i="17"/>
  <c r="CC646" i="17" s="1"/>
  <c r="CC645" i="17"/>
  <c r="CA647" i="17"/>
  <c r="BW645" i="17"/>
  <c r="BU647" i="17"/>
  <c r="BJ646" i="17"/>
  <c r="BK646" i="17" s="1"/>
  <c r="BO647" i="17"/>
  <c r="BP646" i="17"/>
  <c r="BK645" i="17"/>
  <c r="BI647" i="17"/>
  <c r="BC647" i="17"/>
  <c r="BD646" i="17"/>
  <c r="AW647" i="17"/>
  <c r="AX646" i="17"/>
  <c r="AE647" i="7"/>
  <c r="AG646" i="7"/>
  <c r="AH645" i="7"/>
  <c r="CF646" i="17" l="1"/>
  <c r="CG646" i="17" s="1"/>
  <c r="CG645" i="17"/>
  <c r="CE647" i="17"/>
  <c r="CA648" i="17"/>
  <c r="CB647" i="17"/>
  <c r="BP647" i="17"/>
  <c r="BU648" i="17"/>
  <c r="BV647" i="17"/>
  <c r="BO648" i="17"/>
  <c r="BP648" i="17" s="1"/>
  <c r="BQ647" i="17"/>
  <c r="BQ646" i="17"/>
  <c r="BI648" i="17"/>
  <c r="BJ647" i="17"/>
  <c r="BD647" i="17"/>
  <c r="BE647" i="17" s="1"/>
  <c r="BE646" i="17"/>
  <c r="BC648" i="17"/>
  <c r="AX647" i="17"/>
  <c r="AY647" i="17" s="1"/>
  <c r="AY646" i="17"/>
  <c r="AW648" i="17"/>
  <c r="AG647" i="7"/>
  <c r="AH646" i="7"/>
  <c r="AE648" i="7"/>
  <c r="AF647" i="7"/>
  <c r="BV648" i="17" l="1"/>
  <c r="BW648" i="17" s="1"/>
  <c r="CE648" i="17"/>
  <c r="CF647" i="17"/>
  <c r="CB648" i="17"/>
  <c r="CC647" i="17"/>
  <c r="CA649" i="17"/>
  <c r="CC648" i="17"/>
  <c r="BJ648" i="17"/>
  <c r="BK648" i="17" s="1"/>
  <c r="BW647" i="17"/>
  <c r="BU649" i="17"/>
  <c r="BO649" i="17"/>
  <c r="BQ648" i="17"/>
  <c r="BK647" i="17"/>
  <c r="BI649" i="17"/>
  <c r="BC649" i="17"/>
  <c r="BD648" i="17"/>
  <c r="AW649" i="17"/>
  <c r="AX648" i="17"/>
  <c r="AE649" i="7"/>
  <c r="AF648" i="7"/>
  <c r="AG648" i="7"/>
  <c r="AH647" i="7"/>
  <c r="BV649" i="17" l="1"/>
  <c r="BW649" i="17" s="1"/>
  <c r="CF648" i="17"/>
  <c r="CG648" i="17" s="1"/>
  <c r="CG647" i="17"/>
  <c r="CE649" i="17"/>
  <c r="CA650" i="17"/>
  <c r="BJ649" i="17"/>
  <c r="BK649" i="17" s="1"/>
  <c r="CB649" i="17"/>
  <c r="BU650" i="17"/>
  <c r="BD649" i="17"/>
  <c r="BE649" i="17" s="1"/>
  <c r="BO650" i="17"/>
  <c r="BP649" i="17"/>
  <c r="BI650" i="17"/>
  <c r="BE648" i="17"/>
  <c r="BC650" i="17"/>
  <c r="AX649" i="17"/>
  <c r="AY649" i="17" s="1"/>
  <c r="AY648" i="17"/>
  <c r="AW650" i="17"/>
  <c r="AG649" i="7"/>
  <c r="AH648" i="7"/>
  <c r="AE650" i="7"/>
  <c r="AF649" i="7"/>
  <c r="CF649" i="17" l="1"/>
  <c r="CG649" i="17" s="1"/>
  <c r="CE650" i="17"/>
  <c r="BJ650" i="17"/>
  <c r="BK650" i="17" s="1"/>
  <c r="CB650" i="17"/>
  <c r="CC649" i="17"/>
  <c r="CA651" i="17"/>
  <c r="CC650" i="17"/>
  <c r="BP650" i="17"/>
  <c r="BQ650" i="17" s="1"/>
  <c r="BU651" i="17"/>
  <c r="BV650" i="17"/>
  <c r="BQ649" i="17"/>
  <c r="BO651" i="17"/>
  <c r="BI651" i="17"/>
  <c r="BC651" i="17"/>
  <c r="BD650" i="17"/>
  <c r="AW651" i="17"/>
  <c r="AX650" i="17"/>
  <c r="AE651" i="7"/>
  <c r="AF650" i="7"/>
  <c r="AG650" i="7"/>
  <c r="AH649" i="7"/>
  <c r="CF650" i="17" l="1"/>
  <c r="CG650" i="17" s="1"/>
  <c r="CE651" i="17"/>
  <c r="CA652" i="17"/>
  <c r="CB651" i="17"/>
  <c r="BD651" i="17"/>
  <c r="BE651" i="17" s="1"/>
  <c r="BV651" i="17"/>
  <c r="BW651" i="17" s="1"/>
  <c r="BW650" i="17"/>
  <c r="BU652" i="17"/>
  <c r="BO652" i="17"/>
  <c r="BP651" i="17"/>
  <c r="BI652" i="17"/>
  <c r="BJ651" i="17"/>
  <c r="AX651" i="17"/>
  <c r="AY651" i="17" s="1"/>
  <c r="BE650" i="17"/>
  <c r="BC652" i="17"/>
  <c r="AY650" i="17"/>
  <c r="AW652" i="17"/>
  <c r="AE652" i="7"/>
  <c r="AG651" i="7"/>
  <c r="AH650" i="7"/>
  <c r="AF651" i="7"/>
  <c r="CE652" i="17" l="1"/>
  <c r="CF651" i="17"/>
  <c r="CB652" i="17"/>
  <c r="CC651" i="17"/>
  <c r="CA653" i="17"/>
  <c r="CC652" i="17"/>
  <c r="BU653" i="17"/>
  <c r="BV652" i="17"/>
  <c r="BP652" i="17"/>
  <c r="BQ652" i="17" s="1"/>
  <c r="BQ651" i="17"/>
  <c r="BO653" i="17"/>
  <c r="BJ652" i="17"/>
  <c r="BK652" i="17" s="1"/>
  <c r="BK651" i="17"/>
  <c r="BI653" i="17"/>
  <c r="BC653" i="17"/>
  <c r="BD652" i="17"/>
  <c r="AW653" i="17"/>
  <c r="AX652" i="17"/>
  <c r="AG652" i="7"/>
  <c r="AH651" i="7"/>
  <c r="AF653" i="7"/>
  <c r="AE653" i="7"/>
  <c r="AF652" i="7"/>
  <c r="CF652" i="17" l="1"/>
  <c r="CG652" i="17" s="1"/>
  <c r="CG651" i="17"/>
  <c r="CE653" i="17"/>
  <c r="BV653" i="17"/>
  <c r="CA654" i="17"/>
  <c r="CB653" i="17"/>
  <c r="BW652" i="17"/>
  <c r="BU654" i="17"/>
  <c r="BW653" i="17"/>
  <c r="BO654" i="17"/>
  <c r="BP653" i="17"/>
  <c r="AX653" i="17"/>
  <c r="AY653" i="17" s="1"/>
  <c r="BD653" i="17"/>
  <c r="BE653" i="17" s="1"/>
  <c r="BI654" i="17"/>
  <c r="BJ653" i="17"/>
  <c r="BE652" i="17"/>
  <c r="BC654" i="17"/>
  <c r="AY652" i="17"/>
  <c r="AW654" i="17"/>
  <c r="AE654" i="7"/>
  <c r="AG653" i="7"/>
  <c r="AH652" i="7"/>
  <c r="CB654" i="17" l="1"/>
  <c r="CC654" i="17" s="1"/>
  <c r="CE654" i="17"/>
  <c r="CF653" i="17"/>
  <c r="CC653" i="17"/>
  <c r="CA655" i="17"/>
  <c r="BU655" i="17"/>
  <c r="BV654" i="17"/>
  <c r="BP654" i="17"/>
  <c r="BQ654" i="17" s="1"/>
  <c r="BQ653" i="17"/>
  <c r="BO655" i="17"/>
  <c r="BJ654" i="17"/>
  <c r="BK654" i="17" s="1"/>
  <c r="BK653" i="17"/>
  <c r="BI655" i="17"/>
  <c r="BC655" i="17"/>
  <c r="BD654" i="17"/>
  <c r="AW655" i="17"/>
  <c r="AX654" i="17"/>
  <c r="AG654" i="7"/>
  <c r="AH653" i="7"/>
  <c r="AE655" i="7"/>
  <c r="AF654" i="7"/>
  <c r="CF654" i="17" l="1"/>
  <c r="CG654" i="17" s="1"/>
  <c r="CG653" i="17"/>
  <c r="CE655" i="17"/>
  <c r="CA656" i="17"/>
  <c r="CB655" i="17"/>
  <c r="BV655" i="17"/>
  <c r="BW655" i="17" s="1"/>
  <c r="BW654" i="17"/>
  <c r="BU656" i="17"/>
  <c r="BD655" i="17"/>
  <c r="BE655" i="17" s="1"/>
  <c r="BO656" i="17"/>
  <c r="BP655" i="17"/>
  <c r="BI656" i="17"/>
  <c r="BJ655" i="17"/>
  <c r="BE654" i="17"/>
  <c r="BC656" i="17"/>
  <c r="AX655" i="17"/>
  <c r="AY655" i="17" s="1"/>
  <c r="AY654" i="17"/>
  <c r="AW656" i="17"/>
  <c r="AE656" i="7"/>
  <c r="AF655" i="7"/>
  <c r="AG655" i="7"/>
  <c r="AH654" i="7"/>
  <c r="CB656" i="17" l="1"/>
  <c r="CC656" i="17" s="1"/>
  <c r="CE656" i="17"/>
  <c r="CF655" i="17"/>
  <c r="BP656" i="17"/>
  <c r="CC655" i="17"/>
  <c r="CA657" i="17"/>
  <c r="BU657" i="17"/>
  <c r="BV656" i="17"/>
  <c r="BQ655" i="17"/>
  <c r="BO657" i="17"/>
  <c r="BQ656" i="17"/>
  <c r="BJ656" i="17"/>
  <c r="BK656" i="17" s="1"/>
  <c r="BK655" i="17"/>
  <c r="BI657" i="17"/>
  <c r="BC657" i="17"/>
  <c r="BD656" i="17"/>
  <c r="AW657" i="17"/>
  <c r="AX656" i="17"/>
  <c r="AG656" i="7"/>
  <c r="AH655" i="7"/>
  <c r="AE657" i="7"/>
  <c r="AF656" i="7"/>
  <c r="CF656" i="17" l="1"/>
  <c r="CG656" i="17" s="1"/>
  <c r="CG655" i="17"/>
  <c r="CE657" i="17"/>
  <c r="CA658" i="17"/>
  <c r="CB657" i="17"/>
  <c r="BV657" i="17"/>
  <c r="BW657" i="17" s="1"/>
  <c r="BW656" i="17"/>
  <c r="BU658" i="17"/>
  <c r="BO658" i="17"/>
  <c r="BP657" i="17"/>
  <c r="BI658" i="17"/>
  <c r="BJ657" i="17"/>
  <c r="BD657" i="17"/>
  <c r="BE657" i="17" s="1"/>
  <c r="AX657" i="17"/>
  <c r="AY657" i="17" s="1"/>
  <c r="BE656" i="17"/>
  <c r="BC658" i="17"/>
  <c r="AY656" i="17"/>
  <c r="AW658" i="17"/>
  <c r="AE658" i="7"/>
  <c r="AF657" i="7"/>
  <c r="AG657" i="7"/>
  <c r="AH656" i="7"/>
  <c r="CB658" i="17" l="1"/>
  <c r="CC658" i="17" s="1"/>
  <c r="CE658" i="17"/>
  <c r="CF657" i="17"/>
  <c r="CC657" i="17"/>
  <c r="CA659" i="17"/>
  <c r="BJ658" i="17"/>
  <c r="BK658" i="17" s="1"/>
  <c r="BU659" i="17"/>
  <c r="BV658" i="17"/>
  <c r="BP658" i="17"/>
  <c r="BQ658" i="17" s="1"/>
  <c r="BQ657" i="17"/>
  <c r="BO659" i="17"/>
  <c r="BK657" i="17"/>
  <c r="BI659" i="17"/>
  <c r="BC659" i="17"/>
  <c r="BD658" i="17"/>
  <c r="AW659" i="17"/>
  <c r="AX658" i="17"/>
  <c r="AE659" i="7"/>
  <c r="AG658" i="7"/>
  <c r="AH657" i="7"/>
  <c r="AF658" i="7"/>
  <c r="CF658" i="17" l="1"/>
  <c r="CG658" i="17" s="1"/>
  <c r="CG657" i="17"/>
  <c r="CE659" i="17"/>
  <c r="BV659" i="17"/>
  <c r="CA660" i="17"/>
  <c r="CB659" i="17"/>
  <c r="BW658" i="17"/>
  <c r="BU660" i="17"/>
  <c r="BV660" i="17" s="1"/>
  <c r="BW659" i="17"/>
  <c r="BO660" i="17"/>
  <c r="BP659" i="17"/>
  <c r="BD659" i="17"/>
  <c r="BE659" i="17" s="1"/>
  <c r="BI660" i="17"/>
  <c r="BJ659" i="17"/>
  <c r="BE658" i="17"/>
  <c r="BC660" i="17"/>
  <c r="AX659" i="17"/>
  <c r="AY659" i="17" s="1"/>
  <c r="AY658" i="17"/>
  <c r="AW660" i="17"/>
  <c r="AE660" i="7"/>
  <c r="AF660" i="7"/>
  <c r="AG659" i="7"/>
  <c r="AH658" i="7"/>
  <c r="AF659" i="7"/>
  <c r="CB660" i="17" l="1"/>
  <c r="CC660" i="17" s="1"/>
  <c r="CE660" i="17"/>
  <c r="CF659" i="17"/>
  <c r="CC659" i="17"/>
  <c r="CA661" i="17"/>
  <c r="BU661" i="17"/>
  <c r="BW660" i="17"/>
  <c r="BP660" i="17"/>
  <c r="BQ660" i="17" s="1"/>
  <c r="BQ659" i="17"/>
  <c r="BO661" i="17"/>
  <c r="BJ660" i="17"/>
  <c r="BK660" i="17" s="1"/>
  <c r="BI661" i="17"/>
  <c r="BK659" i="17"/>
  <c r="AX660" i="17"/>
  <c r="AY660" i="17" s="1"/>
  <c r="BC661" i="17"/>
  <c r="BD660" i="17"/>
  <c r="AW661" i="17"/>
  <c r="AH659" i="7"/>
  <c r="AG660" i="7"/>
  <c r="AE661" i="7"/>
  <c r="CF660" i="17" l="1"/>
  <c r="CG660" i="17" s="1"/>
  <c r="CG659" i="17"/>
  <c r="CE661" i="17"/>
  <c r="CA662" i="17"/>
  <c r="CB661" i="17"/>
  <c r="AX661" i="17"/>
  <c r="AY661" i="17" s="1"/>
  <c r="BU662" i="17"/>
  <c r="BV661" i="17"/>
  <c r="BO662" i="17"/>
  <c r="BP661" i="17"/>
  <c r="BI662" i="17"/>
  <c r="BJ661" i="17"/>
  <c r="BD661" i="17"/>
  <c r="BE661" i="17" s="1"/>
  <c r="BE660" i="17"/>
  <c r="BC662" i="17"/>
  <c r="AW662" i="17"/>
  <c r="AE662" i="7"/>
  <c r="AF662" i="7"/>
  <c r="AF661" i="7"/>
  <c r="AH660" i="7"/>
  <c r="AG661" i="7"/>
  <c r="CF661" i="17" l="1"/>
  <c r="CG661" i="17" s="1"/>
  <c r="CE662" i="17"/>
  <c r="CB662" i="17"/>
  <c r="CC662" i="17" s="1"/>
  <c r="AX662" i="17"/>
  <c r="CC661" i="17"/>
  <c r="CA663" i="17"/>
  <c r="BP662" i="17"/>
  <c r="BQ662" i="17" s="1"/>
  <c r="BV662" i="17"/>
  <c r="BW662" i="17" s="1"/>
  <c r="BW661" i="17"/>
  <c r="BU663" i="17"/>
  <c r="BQ661" i="17"/>
  <c r="BJ662" i="17"/>
  <c r="BK662" i="17" s="1"/>
  <c r="BO663" i="17"/>
  <c r="BK661" i="17"/>
  <c r="BI663" i="17"/>
  <c r="BC663" i="17"/>
  <c r="BD662" i="17"/>
  <c r="AW663" i="17"/>
  <c r="AY662" i="17"/>
  <c r="AG662" i="7"/>
  <c r="AH661" i="7"/>
  <c r="AE663" i="7"/>
  <c r="AF663" i="7" s="1"/>
  <c r="CE663" i="17" l="1"/>
  <c r="CF662" i="17"/>
  <c r="CA664" i="17"/>
  <c r="CB663" i="17"/>
  <c r="BP663" i="17"/>
  <c r="BU664" i="17"/>
  <c r="BV663" i="17"/>
  <c r="BO664" i="17"/>
  <c r="BQ663" i="17"/>
  <c r="BI664" i="17"/>
  <c r="BJ663" i="17"/>
  <c r="BD663" i="17"/>
  <c r="BE663" i="17" s="1"/>
  <c r="BE662" i="17"/>
  <c r="BC664" i="17"/>
  <c r="AW664" i="17"/>
  <c r="AX663" i="17"/>
  <c r="AE664" i="7"/>
  <c r="AG663" i="7"/>
  <c r="AH662" i="7"/>
  <c r="CF663" i="17" l="1"/>
  <c r="CG663" i="17" s="1"/>
  <c r="CB664" i="17"/>
  <c r="CC664" i="17" s="1"/>
  <c r="CG662" i="17"/>
  <c r="CE664" i="17"/>
  <c r="CC663" i="17"/>
  <c r="CA665" i="17"/>
  <c r="BV664" i="17"/>
  <c r="BW664" i="17" s="1"/>
  <c r="BW663" i="17"/>
  <c r="BU665" i="17"/>
  <c r="BO665" i="17"/>
  <c r="BP664" i="17"/>
  <c r="BJ664" i="17"/>
  <c r="BK664" i="17" s="1"/>
  <c r="BK663" i="17"/>
  <c r="BI665" i="17"/>
  <c r="BC665" i="17"/>
  <c r="BD664" i="17"/>
  <c r="AX664" i="17"/>
  <c r="AY664" i="17" s="1"/>
  <c r="AY663" i="17"/>
  <c r="AW665" i="17"/>
  <c r="AE665" i="7"/>
  <c r="AF665" i="7" s="1"/>
  <c r="AH663" i="7"/>
  <c r="AG664" i="7"/>
  <c r="AF664" i="7"/>
  <c r="CE665" i="17" l="1"/>
  <c r="CF664" i="17"/>
  <c r="CA666" i="17"/>
  <c r="CB665" i="17"/>
  <c r="BD665" i="17"/>
  <c r="BE665" i="17" s="1"/>
  <c r="BP665" i="17"/>
  <c r="BQ665" i="17" s="1"/>
  <c r="BU666" i="17"/>
  <c r="BV665" i="17"/>
  <c r="BQ664" i="17"/>
  <c r="BO666" i="17"/>
  <c r="BI666" i="17"/>
  <c r="BJ665" i="17"/>
  <c r="BE664" i="17"/>
  <c r="BC666" i="17"/>
  <c r="AW666" i="17"/>
  <c r="AX665" i="17"/>
  <c r="AG665" i="7"/>
  <c r="AH664" i="7"/>
  <c r="AE666" i="7"/>
  <c r="AF666" i="7"/>
  <c r="CF665" i="17" l="1"/>
  <c r="CG665" i="17" s="1"/>
  <c r="BV666" i="17"/>
  <c r="BW666" i="17" s="1"/>
  <c r="CG664" i="17"/>
  <c r="CE666" i="17"/>
  <c r="CB666" i="17"/>
  <c r="CC666" i="17" s="1"/>
  <c r="CC665" i="17"/>
  <c r="CA667" i="17"/>
  <c r="BJ666" i="17"/>
  <c r="BK666" i="17" s="1"/>
  <c r="BW665" i="17"/>
  <c r="BU667" i="17"/>
  <c r="BO667" i="17"/>
  <c r="BP666" i="17"/>
  <c r="BK665" i="17"/>
  <c r="BI667" i="17"/>
  <c r="BC667" i="17"/>
  <c r="BD666" i="17"/>
  <c r="AX666" i="17"/>
  <c r="AY666" i="17" s="1"/>
  <c r="AY665" i="17"/>
  <c r="AW667" i="17"/>
  <c r="AE667" i="7"/>
  <c r="AF667" i="7" s="1"/>
  <c r="AG666" i="7"/>
  <c r="AH665" i="7"/>
  <c r="CE667" i="17" l="1"/>
  <c r="CF666" i="17"/>
  <c r="CA668" i="17"/>
  <c r="CB667" i="17"/>
  <c r="BP667" i="17"/>
  <c r="BQ667" i="17" s="1"/>
  <c r="BU668" i="17"/>
  <c r="BV667" i="17"/>
  <c r="BQ666" i="17"/>
  <c r="BO668" i="17"/>
  <c r="BI668" i="17"/>
  <c r="BJ667" i="17"/>
  <c r="BD667" i="17"/>
  <c r="BE667" i="17" s="1"/>
  <c r="BE666" i="17"/>
  <c r="BC668" i="17"/>
  <c r="AW668" i="17"/>
  <c r="AX667" i="17"/>
  <c r="AH666" i="7"/>
  <c r="AG667" i="7"/>
  <c r="AE668" i="7"/>
  <c r="AF668" i="7" s="1"/>
  <c r="CF667" i="17" l="1"/>
  <c r="CG667" i="17" s="1"/>
  <c r="CB668" i="17"/>
  <c r="CC668" i="17" s="1"/>
  <c r="CG666" i="17"/>
  <c r="CE668" i="17"/>
  <c r="CC667" i="17"/>
  <c r="CA669" i="17"/>
  <c r="BV668" i="17"/>
  <c r="BW668" i="17" s="1"/>
  <c r="BW667" i="17"/>
  <c r="BU669" i="17"/>
  <c r="BO669" i="17"/>
  <c r="BP668" i="17"/>
  <c r="BI669" i="17"/>
  <c r="BJ668" i="17"/>
  <c r="BK667" i="17"/>
  <c r="AX668" i="17"/>
  <c r="AY668" i="17" s="1"/>
  <c r="BC669" i="17"/>
  <c r="BD668" i="17"/>
  <c r="AY667" i="17"/>
  <c r="AW669" i="17"/>
  <c r="AH667" i="7"/>
  <c r="AG668" i="7"/>
  <c r="AE669" i="7"/>
  <c r="CE669" i="17" l="1"/>
  <c r="CF668" i="17"/>
  <c r="CA670" i="17"/>
  <c r="CB669" i="17"/>
  <c r="BJ669" i="17"/>
  <c r="BK669" i="17" s="1"/>
  <c r="BU670" i="17"/>
  <c r="BV669" i="17"/>
  <c r="BP669" i="17"/>
  <c r="BQ669" i="17" s="1"/>
  <c r="BQ668" i="17"/>
  <c r="BO670" i="17"/>
  <c r="BK668" i="17"/>
  <c r="BI670" i="17"/>
  <c r="BD669" i="17"/>
  <c r="BE669" i="17" s="1"/>
  <c r="BE668" i="17"/>
  <c r="BC670" i="17"/>
  <c r="AW670" i="17"/>
  <c r="AX669" i="17"/>
  <c r="AE670" i="7"/>
  <c r="AH668" i="7"/>
  <c r="AG669" i="7"/>
  <c r="AF669" i="7"/>
  <c r="CF669" i="17" l="1"/>
  <c r="CG669" i="17" s="1"/>
  <c r="CG668" i="17"/>
  <c r="CE670" i="17"/>
  <c r="CA671" i="17"/>
  <c r="CB670" i="17"/>
  <c r="CC669" i="17"/>
  <c r="BV670" i="17"/>
  <c r="BW670" i="17" s="1"/>
  <c r="BU671" i="17"/>
  <c r="BW669" i="17"/>
  <c r="BO671" i="17"/>
  <c r="BP670" i="17"/>
  <c r="BI671" i="17"/>
  <c r="BJ670" i="17"/>
  <c r="AX670" i="17"/>
  <c r="AY670" i="17" s="1"/>
  <c r="BC671" i="17"/>
  <c r="BD670" i="17"/>
  <c r="AY669" i="17"/>
  <c r="AW671" i="17"/>
  <c r="AH669" i="7"/>
  <c r="AG670" i="7"/>
  <c r="AE671" i="7"/>
  <c r="AF671" i="7" s="1"/>
  <c r="AF670" i="7"/>
  <c r="CB671" i="17" l="1"/>
  <c r="CC671" i="17" s="1"/>
  <c r="CE671" i="17"/>
  <c r="CF670" i="17"/>
  <c r="CC670" i="17"/>
  <c r="CA672" i="17"/>
  <c r="BP671" i="17"/>
  <c r="BQ671" i="17" s="1"/>
  <c r="BU672" i="17"/>
  <c r="BV671" i="17"/>
  <c r="BQ670" i="17"/>
  <c r="BO672" i="17"/>
  <c r="BJ671" i="17"/>
  <c r="BK671" i="17" s="1"/>
  <c r="BK670" i="17"/>
  <c r="BI672" i="17"/>
  <c r="BD671" i="17"/>
  <c r="BE671" i="17" s="1"/>
  <c r="BE670" i="17"/>
  <c r="BC672" i="17"/>
  <c r="AW672" i="17"/>
  <c r="AX671" i="17"/>
  <c r="AH670" i="7"/>
  <c r="AG671" i="7"/>
  <c r="AE672" i="7"/>
  <c r="AF672" i="7" s="1"/>
  <c r="CF671" i="17" l="1"/>
  <c r="CG671" i="17" s="1"/>
  <c r="CG670" i="17"/>
  <c r="CE672" i="17"/>
  <c r="BV672" i="17"/>
  <c r="BW672" i="17" s="1"/>
  <c r="CA673" i="17"/>
  <c r="CB672" i="17"/>
  <c r="BW671" i="17"/>
  <c r="BU673" i="17"/>
  <c r="BO673" i="17"/>
  <c r="BP672" i="17"/>
  <c r="AX672" i="17"/>
  <c r="AY672" i="17" s="1"/>
  <c r="BI673" i="17"/>
  <c r="BJ672" i="17"/>
  <c r="BC673" i="17"/>
  <c r="BD672" i="17"/>
  <c r="AY671" i="17"/>
  <c r="AW673" i="17"/>
  <c r="AE673" i="7"/>
  <c r="AH671" i="7"/>
  <c r="AG672" i="7"/>
  <c r="CB673" i="17" l="1"/>
  <c r="CC673" i="17" s="1"/>
  <c r="CE673" i="17"/>
  <c r="CF672" i="17"/>
  <c r="CA674" i="17"/>
  <c r="CC672" i="17"/>
  <c r="BU674" i="17"/>
  <c r="BV673" i="17"/>
  <c r="BP673" i="17"/>
  <c r="BQ673" i="17" s="1"/>
  <c r="BQ672" i="17"/>
  <c r="BO674" i="17"/>
  <c r="BJ673" i="17"/>
  <c r="BK673" i="17" s="1"/>
  <c r="BK672" i="17"/>
  <c r="BD673" i="17"/>
  <c r="BE673" i="17" s="1"/>
  <c r="BI674" i="17"/>
  <c r="BE672" i="17"/>
  <c r="BC674" i="17"/>
  <c r="AW674" i="17"/>
  <c r="AX673" i="17"/>
  <c r="AH672" i="7"/>
  <c r="AG673" i="7"/>
  <c r="AE674" i="7"/>
  <c r="AF673" i="7"/>
  <c r="CB674" i="17" l="1"/>
  <c r="CC674" i="17" s="1"/>
  <c r="CF673" i="17"/>
  <c r="CG673" i="17" s="1"/>
  <c r="CG672" i="17"/>
  <c r="CE674" i="17"/>
  <c r="BV674" i="17"/>
  <c r="BW674" i="17" s="1"/>
  <c r="CA675" i="17"/>
  <c r="BW673" i="17"/>
  <c r="BU675" i="17"/>
  <c r="BO675" i="17"/>
  <c r="BP674" i="17"/>
  <c r="BI675" i="17"/>
  <c r="BJ674" i="17"/>
  <c r="AX674" i="17"/>
  <c r="AY674" i="17" s="1"/>
  <c r="BC675" i="17"/>
  <c r="BD674" i="17"/>
  <c r="AY673" i="17"/>
  <c r="AW675" i="17"/>
  <c r="AE675" i="7"/>
  <c r="AH673" i="7"/>
  <c r="AG674" i="7"/>
  <c r="AF674" i="7"/>
  <c r="CE675" i="17" l="1"/>
  <c r="CF674" i="17"/>
  <c r="CA676" i="17"/>
  <c r="CB675" i="17"/>
  <c r="BU676" i="17"/>
  <c r="BV675" i="17"/>
  <c r="BP675" i="17"/>
  <c r="BQ675" i="17" s="1"/>
  <c r="BQ674" i="17"/>
  <c r="BO676" i="17"/>
  <c r="BJ675" i="17"/>
  <c r="BK675" i="17" s="1"/>
  <c r="BK674" i="17"/>
  <c r="BI676" i="17"/>
  <c r="BD675" i="17"/>
  <c r="BE675" i="17" s="1"/>
  <c r="BE674" i="17"/>
  <c r="BC676" i="17"/>
  <c r="AW676" i="17"/>
  <c r="AX675" i="17"/>
  <c r="AH674" i="7"/>
  <c r="AG675" i="7"/>
  <c r="AE676" i="7"/>
  <c r="AF675" i="7"/>
  <c r="CB676" i="17" l="1"/>
  <c r="CC676" i="17" s="1"/>
  <c r="CF675" i="17"/>
  <c r="CG675" i="17" s="1"/>
  <c r="CG674" i="17"/>
  <c r="CE676" i="17"/>
  <c r="CC675" i="17"/>
  <c r="CA677" i="17"/>
  <c r="BV676" i="17"/>
  <c r="BW676" i="17" s="1"/>
  <c r="BW675" i="17"/>
  <c r="BU677" i="17"/>
  <c r="BO677" i="17"/>
  <c r="BP676" i="17"/>
  <c r="AX676" i="17"/>
  <c r="AY676" i="17" s="1"/>
  <c r="BI677" i="17"/>
  <c r="BJ676" i="17"/>
  <c r="BC677" i="17"/>
  <c r="BD676" i="17"/>
  <c r="AY675" i="17"/>
  <c r="AW677" i="17"/>
  <c r="AE677" i="7"/>
  <c r="AH675" i="7"/>
  <c r="AG676" i="7"/>
  <c r="AF676" i="7"/>
  <c r="CB677" i="17" l="1"/>
  <c r="CC677" i="17" s="1"/>
  <c r="CF676" i="17"/>
  <c r="CG676" i="17" s="1"/>
  <c r="CE677" i="17"/>
  <c r="BP677" i="17"/>
  <c r="CA678" i="17"/>
  <c r="BU678" i="17"/>
  <c r="BV677" i="17"/>
  <c r="BQ676" i="17"/>
  <c r="BO678" i="17"/>
  <c r="BQ677" i="17"/>
  <c r="BJ677" i="17"/>
  <c r="BK677" i="17" s="1"/>
  <c r="BK676" i="17"/>
  <c r="BI678" i="17"/>
  <c r="BD677" i="17"/>
  <c r="BE677" i="17" s="1"/>
  <c r="BE676" i="17"/>
  <c r="BC678" i="17"/>
  <c r="AW678" i="17"/>
  <c r="AX677" i="17"/>
  <c r="AH676" i="7"/>
  <c r="AG677" i="7"/>
  <c r="AE678" i="7"/>
  <c r="AF678" i="7" s="1"/>
  <c r="AF677" i="7"/>
  <c r="CF677" i="17" l="1"/>
  <c r="CG677" i="17" s="1"/>
  <c r="BV678" i="17"/>
  <c r="BW678" i="17" s="1"/>
  <c r="CE678" i="17"/>
  <c r="CA679" i="17"/>
  <c r="CB678" i="17"/>
  <c r="BW677" i="17"/>
  <c r="BU679" i="17"/>
  <c r="BO679" i="17"/>
  <c r="BP678" i="17"/>
  <c r="BI679" i="17"/>
  <c r="BJ678" i="17"/>
  <c r="BC679" i="17"/>
  <c r="BD678" i="17"/>
  <c r="AX678" i="17"/>
  <c r="AY678" i="17" s="1"/>
  <c r="AY677" i="17"/>
  <c r="AW679" i="17"/>
  <c r="AH677" i="7"/>
  <c r="AG678" i="7"/>
  <c r="AE679" i="7"/>
  <c r="CB679" i="17" l="1"/>
  <c r="CC679" i="17" s="1"/>
  <c r="CE679" i="17"/>
  <c r="CF678" i="17"/>
  <c r="CC678" i="17"/>
  <c r="CA680" i="17"/>
  <c r="BJ679" i="17"/>
  <c r="BK679" i="17" s="1"/>
  <c r="BP679" i="17"/>
  <c r="BQ679" i="17" s="1"/>
  <c r="BU680" i="17"/>
  <c r="BV679" i="17"/>
  <c r="BQ678" i="17"/>
  <c r="BO680" i="17"/>
  <c r="BD679" i="17"/>
  <c r="BE679" i="17" s="1"/>
  <c r="BK678" i="17"/>
  <c r="BI680" i="17"/>
  <c r="BE678" i="17"/>
  <c r="BC680" i="17"/>
  <c r="AW680" i="17"/>
  <c r="AX679" i="17"/>
  <c r="AE680" i="7"/>
  <c r="AH678" i="7"/>
  <c r="AG679" i="7"/>
  <c r="AF679" i="7"/>
  <c r="CB680" i="17" l="1"/>
  <c r="CC680" i="17" s="1"/>
  <c r="CF679" i="17"/>
  <c r="CG679" i="17" s="1"/>
  <c r="CG678" i="17"/>
  <c r="CE680" i="17"/>
  <c r="BV680" i="17"/>
  <c r="CA681" i="17"/>
  <c r="BW679" i="17"/>
  <c r="BU681" i="17"/>
  <c r="BW680" i="17"/>
  <c r="BO681" i="17"/>
  <c r="BP680" i="17"/>
  <c r="BI681" i="17"/>
  <c r="BJ680" i="17"/>
  <c r="BC681" i="17"/>
  <c r="BD680" i="17"/>
  <c r="AX680" i="17"/>
  <c r="AY680" i="17" s="1"/>
  <c r="AY679" i="17"/>
  <c r="AW681" i="17"/>
  <c r="AH679" i="7"/>
  <c r="AG680" i="7"/>
  <c r="AE681" i="7"/>
  <c r="AF681" i="7" s="1"/>
  <c r="AF680" i="7"/>
  <c r="CE681" i="17" l="1"/>
  <c r="CF680" i="17"/>
  <c r="CA682" i="17"/>
  <c r="CB681" i="17"/>
  <c r="BU682" i="17"/>
  <c r="BV681" i="17"/>
  <c r="BP681" i="17"/>
  <c r="BQ681" i="17" s="1"/>
  <c r="BQ680" i="17"/>
  <c r="BO682" i="17"/>
  <c r="BJ681" i="17"/>
  <c r="BK681" i="17" s="1"/>
  <c r="BK680" i="17"/>
  <c r="BI682" i="17"/>
  <c r="BC682" i="17"/>
  <c r="BD681" i="17"/>
  <c r="BE680" i="17"/>
  <c r="AW682" i="17"/>
  <c r="AX681" i="17"/>
  <c r="AH680" i="7"/>
  <c r="AG681" i="7"/>
  <c r="AE682" i="7"/>
  <c r="AF682" i="7" s="1"/>
  <c r="CF681" i="17" l="1"/>
  <c r="CG681" i="17" s="1"/>
  <c r="CB682" i="17"/>
  <c r="CC682" i="17" s="1"/>
  <c r="CG680" i="17"/>
  <c r="CE682" i="17"/>
  <c r="CC681" i="17"/>
  <c r="CA683" i="17"/>
  <c r="BV682" i="17"/>
  <c r="BW682" i="17" s="1"/>
  <c r="BW681" i="17"/>
  <c r="BU683" i="17"/>
  <c r="BO683" i="17"/>
  <c r="BP682" i="17"/>
  <c r="BQ682" i="17" s="1"/>
  <c r="BI683" i="17"/>
  <c r="BJ682" i="17"/>
  <c r="BD682" i="17"/>
  <c r="BE682" i="17" s="1"/>
  <c r="AX682" i="17"/>
  <c r="AY682" i="17" s="1"/>
  <c r="BE681" i="17"/>
  <c r="BC683" i="17"/>
  <c r="AY681" i="17"/>
  <c r="AW683" i="17"/>
  <c r="AH681" i="7"/>
  <c r="AG682" i="7"/>
  <c r="AE683" i="7"/>
  <c r="AF683" i="7" s="1"/>
  <c r="CE683" i="17" l="1"/>
  <c r="CF682" i="17"/>
  <c r="CA684" i="17"/>
  <c r="CB683" i="17"/>
  <c r="BU684" i="17"/>
  <c r="BV683" i="17"/>
  <c r="BP683" i="17"/>
  <c r="BQ683" i="17" s="1"/>
  <c r="BO684" i="17"/>
  <c r="BJ683" i="17"/>
  <c r="BK683" i="17" s="1"/>
  <c r="BK682" i="17"/>
  <c r="BI684" i="17"/>
  <c r="BC684" i="17"/>
  <c r="BD683" i="17"/>
  <c r="AW684" i="17"/>
  <c r="AX683" i="17"/>
  <c r="AH682" i="7"/>
  <c r="AG683" i="7"/>
  <c r="AE684" i="7"/>
  <c r="CF683" i="17" l="1"/>
  <c r="CG683" i="17" s="1"/>
  <c r="CB684" i="17"/>
  <c r="CC684" i="17" s="1"/>
  <c r="CG682" i="17"/>
  <c r="BV684" i="17"/>
  <c r="CE684" i="17"/>
  <c r="CC683" i="17"/>
  <c r="CA685" i="17"/>
  <c r="BW683" i="17"/>
  <c r="BU685" i="17"/>
  <c r="BW684" i="17"/>
  <c r="BO685" i="17"/>
  <c r="BP684" i="17"/>
  <c r="BD684" i="17"/>
  <c r="BE684" i="17" s="1"/>
  <c r="BI685" i="17"/>
  <c r="BJ684" i="17"/>
  <c r="BE683" i="17"/>
  <c r="BC685" i="17"/>
  <c r="AX684" i="17"/>
  <c r="AY684" i="17" s="1"/>
  <c r="AY683" i="17"/>
  <c r="AW685" i="17"/>
  <c r="AH683" i="7"/>
  <c r="AG684" i="7"/>
  <c r="AE685" i="7"/>
  <c r="AF685" i="7" s="1"/>
  <c r="AF684" i="7"/>
  <c r="CF684" i="17" l="1"/>
  <c r="CG684" i="17" s="1"/>
  <c r="CE685" i="17"/>
  <c r="BP685" i="17"/>
  <c r="BQ685" i="17" s="1"/>
  <c r="CA686" i="17"/>
  <c r="CB685" i="17"/>
  <c r="AX685" i="17"/>
  <c r="AY685" i="17" s="1"/>
  <c r="BU686" i="17"/>
  <c r="BV685" i="17"/>
  <c r="BJ685" i="17"/>
  <c r="BK685" i="17" s="1"/>
  <c r="BQ684" i="17"/>
  <c r="BO686" i="17"/>
  <c r="BK684" i="17"/>
  <c r="BI686" i="17"/>
  <c r="BC686" i="17"/>
  <c r="BD685" i="17"/>
  <c r="AW686" i="17"/>
  <c r="AE686" i="7"/>
  <c r="AH684" i="7"/>
  <c r="AG685" i="7"/>
  <c r="CB686" i="17" l="1"/>
  <c r="CC686" i="17" s="1"/>
  <c r="CE686" i="17"/>
  <c r="CF685" i="17"/>
  <c r="AX686" i="17"/>
  <c r="CC685" i="17"/>
  <c r="CA687" i="17"/>
  <c r="BV686" i="17"/>
  <c r="BW686" i="17" s="1"/>
  <c r="BW685" i="17"/>
  <c r="BU687" i="17"/>
  <c r="BO687" i="17"/>
  <c r="BP686" i="17"/>
  <c r="BI687" i="17"/>
  <c r="BJ686" i="17"/>
  <c r="BD686" i="17"/>
  <c r="BE686" i="17" s="1"/>
  <c r="BE685" i="17"/>
  <c r="BC687" i="17"/>
  <c r="AW687" i="17"/>
  <c r="AY686" i="17"/>
  <c r="AE687" i="7"/>
  <c r="AH685" i="7"/>
  <c r="AG686" i="7"/>
  <c r="AF686" i="7"/>
  <c r="CF686" i="17" l="1"/>
  <c r="CG686" i="17" s="1"/>
  <c r="CG685" i="17"/>
  <c r="CE687" i="17"/>
  <c r="CA688" i="17"/>
  <c r="CB687" i="17"/>
  <c r="BU688" i="17"/>
  <c r="BV687" i="17"/>
  <c r="BP687" i="17"/>
  <c r="BQ687" i="17" s="1"/>
  <c r="BQ686" i="17"/>
  <c r="BO688" i="17"/>
  <c r="BJ687" i="17"/>
  <c r="BK687" i="17" s="1"/>
  <c r="BK686" i="17"/>
  <c r="BI688" i="17"/>
  <c r="BC688" i="17"/>
  <c r="BD687" i="17"/>
  <c r="AW688" i="17"/>
  <c r="AX687" i="17"/>
  <c r="AH686" i="7"/>
  <c r="AG687" i="7"/>
  <c r="AE688" i="7"/>
  <c r="AF688" i="7" s="1"/>
  <c r="AF687" i="7"/>
  <c r="BP688" i="17" l="1"/>
  <c r="BQ688" i="17" s="1"/>
  <c r="BV688" i="17"/>
  <c r="BW688" i="17" s="1"/>
  <c r="CB688" i="17"/>
  <c r="CC688" i="17" s="1"/>
  <c r="CE688" i="17"/>
  <c r="CF687" i="17"/>
  <c r="CC687" i="17"/>
  <c r="CA689" i="17"/>
  <c r="BW687" i="17"/>
  <c r="BU689" i="17"/>
  <c r="BO689" i="17"/>
  <c r="BD688" i="17"/>
  <c r="BE688" i="17" s="1"/>
  <c r="BI689" i="17"/>
  <c r="BJ688" i="17"/>
  <c r="BE687" i="17"/>
  <c r="BC689" i="17"/>
  <c r="AX688" i="17"/>
  <c r="AY688" i="17" s="1"/>
  <c r="AY687" i="17"/>
  <c r="AW689" i="17"/>
  <c r="AH687" i="7"/>
  <c r="AG688" i="7"/>
  <c r="AE689" i="7"/>
  <c r="CF688" i="17" l="1"/>
  <c r="CG688" i="17" s="1"/>
  <c r="CG687" i="17"/>
  <c r="CE689" i="17"/>
  <c r="CA690" i="17"/>
  <c r="CB689" i="17"/>
  <c r="BU690" i="17"/>
  <c r="BV689" i="17"/>
  <c r="BO690" i="17"/>
  <c r="BP689" i="17"/>
  <c r="BJ689" i="17"/>
  <c r="BK689" i="17" s="1"/>
  <c r="BK688" i="17"/>
  <c r="BI690" i="17"/>
  <c r="BC690" i="17"/>
  <c r="BD689" i="17"/>
  <c r="AW690" i="17"/>
  <c r="AX689" i="17"/>
  <c r="AE690" i="7"/>
  <c r="AF689" i="7"/>
  <c r="AH688" i="7"/>
  <c r="AG689" i="7"/>
  <c r="CB690" i="17" l="1"/>
  <c r="CC690" i="17" s="1"/>
  <c r="CE690" i="17"/>
  <c r="CF689" i="17"/>
  <c r="CC689" i="17"/>
  <c r="BV690" i="17"/>
  <c r="CA691" i="17"/>
  <c r="BW689" i="17"/>
  <c r="BU691" i="17"/>
  <c r="BW690" i="17"/>
  <c r="BP690" i="17"/>
  <c r="BQ690" i="17" s="1"/>
  <c r="BQ689" i="17"/>
  <c r="BO691" i="17"/>
  <c r="BI691" i="17"/>
  <c r="BJ690" i="17"/>
  <c r="BD690" i="17"/>
  <c r="BE690" i="17" s="1"/>
  <c r="BE689" i="17"/>
  <c r="BC691" i="17"/>
  <c r="AX690" i="17"/>
  <c r="AY690" i="17" s="1"/>
  <c r="AY689" i="17"/>
  <c r="AW691" i="17"/>
  <c r="AE691" i="7"/>
  <c r="AH689" i="7"/>
  <c r="AG690" i="7"/>
  <c r="AF690" i="7"/>
  <c r="CF690" i="17" l="1"/>
  <c r="CG690" i="17" s="1"/>
  <c r="CE691" i="17"/>
  <c r="CG689" i="17"/>
  <c r="CA692" i="17"/>
  <c r="CB691" i="17"/>
  <c r="BU692" i="17"/>
  <c r="BV691" i="17"/>
  <c r="BJ691" i="17"/>
  <c r="BK691" i="17" s="1"/>
  <c r="BO692" i="17"/>
  <c r="BP691" i="17"/>
  <c r="BK690" i="17"/>
  <c r="BI692" i="17"/>
  <c r="BC692" i="17"/>
  <c r="BD691" i="17"/>
  <c r="AW692" i="17"/>
  <c r="AX691" i="17"/>
  <c r="AH690" i="7"/>
  <c r="AG691" i="7"/>
  <c r="AE692" i="7"/>
  <c r="AF691" i="7"/>
  <c r="CE692" i="17" l="1"/>
  <c r="CF691" i="17"/>
  <c r="CB692" i="17"/>
  <c r="BV692" i="17"/>
  <c r="CC691" i="17"/>
  <c r="CA693" i="17"/>
  <c r="CC692" i="17"/>
  <c r="BP692" i="17"/>
  <c r="BQ692" i="17" s="1"/>
  <c r="BW691" i="17"/>
  <c r="BU693" i="17"/>
  <c r="BW692" i="17"/>
  <c r="BQ691" i="17"/>
  <c r="BO693" i="17"/>
  <c r="AX692" i="17"/>
  <c r="AY692" i="17" s="1"/>
  <c r="BI693" i="17"/>
  <c r="BJ692" i="17"/>
  <c r="BD692" i="17"/>
  <c r="BE692" i="17" s="1"/>
  <c r="BE691" i="17"/>
  <c r="BC693" i="17"/>
  <c r="AY691" i="17"/>
  <c r="AW693" i="17"/>
  <c r="AE693" i="7"/>
  <c r="AF692" i="7"/>
  <c r="AH691" i="7"/>
  <c r="AG692" i="7"/>
  <c r="CF692" i="17" l="1"/>
  <c r="CG692" i="17" s="1"/>
  <c r="CG691" i="17"/>
  <c r="CE693" i="17"/>
  <c r="CA694" i="17"/>
  <c r="CB693" i="17"/>
  <c r="BU694" i="17"/>
  <c r="BV693" i="17"/>
  <c r="BJ693" i="17"/>
  <c r="BK693" i="17" s="1"/>
  <c r="BO694" i="17"/>
  <c r="BP693" i="17"/>
  <c r="BK692" i="17"/>
  <c r="BI694" i="17"/>
  <c r="BC694" i="17"/>
  <c r="BD693" i="17"/>
  <c r="AW694" i="17"/>
  <c r="AX693" i="17"/>
  <c r="AH692" i="7"/>
  <c r="AG693" i="7"/>
  <c r="AE694" i="7"/>
  <c r="AF693" i="7"/>
  <c r="CB694" i="17" l="1"/>
  <c r="CC694" i="17" s="1"/>
  <c r="BV694" i="17"/>
  <c r="BW694" i="17" s="1"/>
  <c r="CE694" i="17"/>
  <c r="CF693" i="17"/>
  <c r="CC693" i="17"/>
  <c r="CA695" i="17"/>
  <c r="BW693" i="17"/>
  <c r="BU695" i="17"/>
  <c r="BP694" i="17"/>
  <c r="BQ694" i="17" s="1"/>
  <c r="BQ693" i="17"/>
  <c r="BO695" i="17"/>
  <c r="BI695" i="17"/>
  <c r="BJ694" i="17"/>
  <c r="AX694" i="17"/>
  <c r="AY694" i="17" s="1"/>
  <c r="BD694" i="17"/>
  <c r="BE694" i="17" s="1"/>
  <c r="BE693" i="17"/>
  <c r="BC695" i="17"/>
  <c r="AY693" i="17"/>
  <c r="AW695" i="17"/>
  <c r="AE695" i="7"/>
  <c r="AH693" i="7"/>
  <c r="AG694" i="7"/>
  <c r="AF694" i="7"/>
  <c r="CF694" i="17" l="1"/>
  <c r="CG694" i="17" s="1"/>
  <c r="CG693" i="17"/>
  <c r="CE695" i="17"/>
  <c r="CA696" i="17"/>
  <c r="CB695" i="17"/>
  <c r="BU696" i="17"/>
  <c r="BV695" i="17"/>
  <c r="BO696" i="17"/>
  <c r="BP695" i="17"/>
  <c r="BJ695" i="17"/>
  <c r="BK695" i="17" s="1"/>
  <c r="BK694" i="17"/>
  <c r="BI696" i="17"/>
  <c r="BC696" i="17"/>
  <c r="BD695" i="17"/>
  <c r="AW696" i="17"/>
  <c r="AX695" i="17"/>
  <c r="AH694" i="7"/>
  <c r="AG695" i="7"/>
  <c r="AE696" i="7"/>
  <c r="AF696" i="7" s="1"/>
  <c r="AF695" i="7"/>
  <c r="CE696" i="17" l="1"/>
  <c r="CF695" i="17"/>
  <c r="BV696" i="17"/>
  <c r="BW696" i="17" s="1"/>
  <c r="CB696" i="17"/>
  <c r="BP696" i="17"/>
  <c r="BQ696" i="17" s="1"/>
  <c r="CC695" i="17"/>
  <c r="CA697" i="17"/>
  <c r="CC696" i="17"/>
  <c r="BW695" i="17"/>
  <c r="BU697" i="17"/>
  <c r="BQ695" i="17"/>
  <c r="BO697" i="17"/>
  <c r="BI697" i="17"/>
  <c r="BJ696" i="17"/>
  <c r="BD696" i="17"/>
  <c r="BE696" i="17" s="1"/>
  <c r="AX696" i="17"/>
  <c r="AY696" i="17" s="1"/>
  <c r="BE695" i="17"/>
  <c r="BC697" i="17"/>
  <c r="AY695" i="17"/>
  <c r="AW697" i="17"/>
  <c r="AE697" i="7"/>
  <c r="AH695" i="7"/>
  <c r="AG696" i="7"/>
  <c r="CF696" i="17" l="1"/>
  <c r="CG696" i="17" s="1"/>
  <c r="CG695" i="17"/>
  <c r="CE697" i="17"/>
  <c r="CA698" i="17"/>
  <c r="CB697" i="17"/>
  <c r="BU698" i="17"/>
  <c r="BV697" i="17"/>
  <c r="BO698" i="17"/>
  <c r="BP697" i="17"/>
  <c r="BJ697" i="17"/>
  <c r="BK697" i="17" s="1"/>
  <c r="BK696" i="17"/>
  <c r="BI698" i="17"/>
  <c r="BC698" i="17"/>
  <c r="BD697" i="17"/>
  <c r="AW698" i="17"/>
  <c r="AX697" i="17"/>
  <c r="AH696" i="7"/>
  <c r="AG697" i="7"/>
  <c r="AE698" i="7"/>
  <c r="AF697" i="7"/>
  <c r="BV698" i="17" l="1"/>
  <c r="BW698" i="17" s="1"/>
  <c r="CB698" i="17"/>
  <c r="CC698" i="17" s="1"/>
  <c r="CE698" i="17"/>
  <c r="CF697" i="17"/>
  <c r="CF698" i="17" s="1"/>
  <c r="CC697" i="17"/>
  <c r="CA699" i="17"/>
  <c r="BW697" i="17"/>
  <c r="BU699" i="17"/>
  <c r="BP698" i="17"/>
  <c r="BQ698" i="17" s="1"/>
  <c r="BQ697" i="17"/>
  <c r="BO699" i="17"/>
  <c r="BD698" i="17"/>
  <c r="BE698" i="17" s="1"/>
  <c r="BI699" i="17"/>
  <c r="BJ698" i="17"/>
  <c r="AX698" i="17"/>
  <c r="AY698" i="17" s="1"/>
  <c r="BE697" i="17"/>
  <c r="BC699" i="17"/>
  <c r="AY697" i="17"/>
  <c r="AW699" i="17"/>
  <c r="AE699" i="7"/>
  <c r="AH697" i="7"/>
  <c r="AG698" i="7"/>
  <c r="AF698" i="7"/>
  <c r="CG697" i="17" l="1"/>
  <c r="CE699" i="17"/>
  <c r="CG698" i="17"/>
  <c r="CA700" i="17"/>
  <c r="CB699" i="17"/>
  <c r="BU700" i="17"/>
  <c r="BV699" i="17"/>
  <c r="BO700" i="17"/>
  <c r="BP699" i="17"/>
  <c r="BJ699" i="17"/>
  <c r="BK699" i="17" s="1"/>
  <c r="BK698" i="17"/>
  <c r="BI700" i="17"/>
  <c r="BC700" i="17"/>
  <c r="BD699" i="17"/>
  <c r="AW700" i="17"/>
  <c r="AX699" i="17"/>
  <c r="AH698" i="7"/>
  <c r="AG699" i="7"/>
  <c r="AE700" i="7"/>
  <c r="AF699" i="7"/>
  <c r="CE700" i="17" l="1"/>
  <c r="CF699" i="17"/>
  <c r="CB700" i="17"/>
  <c r="CC700" i="17" s="1"/>
  <c r="CC699" i="17"/>
  <c r="CA701" i="17"/>
  <c r="BV700" i="17"/>
  <c r="BW700" i="17" s="1"/>
  <c r="BW699" i="17"/>
  <c r="BU701" i="17"/>
  <c r="BP700" i="17"/>
  <c r="BQ700" i="17" s="1"/>
  <c r="BD700" i="17"/>
  <c r="BE700" i="17" s="1"/>
  <c r="BQ699" i="17"/>
  <c r="BO701" i="17"/>
  <c r="BI701" i="17"/>
  <c r="BJ700" i="17"/>
  <c r="BE699" i="17"/>
  <c r="BC701" i="17"/>
  <c r="AX700" i="17"/>
  <c r="AY700" i="17" s="1"/>
  <c r="AY699" i="17"/>
  <c r="AW701" i="17"/>
  <c r="AE701" i="7"/>
  <c r="AF700" i="7"/>
  <c r="AH699" i="7"/>
  <c r="AG700" i="7"/>
  <c r="CF700" i="17" l="1"/>
  <c r="CG700" i="17" s="1"/>
  <c r="CG699" i="17"/>
  <c r="CE701" i="17"/>
  <c r="CA702" i="17"/>
  <c r="CB701" i="17"/>
  <c r="BU702" i="17"/>
  <c r="BV701" i="17"/>
  <c r="BJ701" i="17"/>
  <c r="BK701" i="17" s="1"/>
  <c r="BO702" i="17"/>
  <c r="BP701" i="17"/>
  <c r="BK700" i="17"/>
  <c r="BI702" i="17"/>
  <c r="BC702" i="17"/>
  <c r="BD701" i="17"/>
  <c r="AW702" i="17"/>
  <c r="AX701" i="17"/>
  <c r="AH700" i="7"/>
  <c r="AG701" i="7"/>
  <c r="AE702" i="7"/>
  <c r="AF701" i="7"/>
  <c r="CB702" i="17" l="1"/>
  <c r="CC702" i="17" s="1"/>
  <c r="CE702" i="17"/>
  <c r="CF701" i="17"/>
  <c r="BV702" i="17"/>
  <c r="CC701" i="17"/>
  <c r="CA703" i="17"/>
  <c r="BP702" i="17"/>
  <c r="BQ702" i="17" s="1"/>
  <c r="BW701" i="17"/>
  <c r="BU703" i="17"/>
  <c r="BW702" i="17"/>
  <c r="BQ701" i="17"/>
  <c r="BO703" i="17"/>
  <c r="BI703" i="17"/>
  <c r="BJ702" i="17"/>
  <c r="BD702" i="17"/>
  <c r="BE702" i="17" s="1"/>
  <c r="BE701" i="17"/>
  <c r="BC703" i="17"/>
  <c r="AX702" i="17"/>
  <c r="AY702" i="17" s="1"/>
  <c r="AY701" i="17"/>
  <c r="AW703" i="17"/>
  <c r="AE703" i="7"/>
  <c r="AF702" i="7"/>
  <c r="AH701" i="7"/>
  <c r="AG702" i="7"/>
  <c r="CF702" i="17" l="1"/>
  <c r="CG702" i="17" s="1"/>
  <c r="CG701" i="17"/>
  <c r="CE703" i="17"/>
  <c r="CA704" i="17"/>
  <c r="BJ703" i="17"/>
  <c r="BK703" i="17" s="1"/>
  <c r="CB703" i="17"/>
  <c r="BU704" i="17"/>
  <c r="BV703" i="17"/>
  <c r="BO704" i="17"/>
  <c r="BP703" i="17"/>
  <c r="BK702" i="17"/>
  <c r="BI704" i="17"/>
  <c r="BC704" i="17"/>
  <c r="BD703" i="17"/>
  <c r="AW704" i="17"/>
  <c r="AX703" i="17"/>
  <c r="AH702" i="7"/>
  <c r="AG703" i="7"/>
  <c r="AE704" i="7"/>
  <c r="AF704" i="7" s="1"/>
  <c r="AF703" i="7"/>
  <c r="CF703" i="17" l="1"/>
  <c r="CG703" i="17" s="1"/>
  <c r="CB704" i="17"/>
  <c r="CC704" i="17" s="1"/>
  <c r="CE704" i="17"/>
  <c r="BJ704" i="17"/>
  <c r="BK704" i="17" s="1"/>
  <c r="CC703" i="17"/>
  <c r="CA705" i="17"/>
  <c r="BV704" i="17"/>
  <c r="BW704" i="17" s="1"/>
  <c r="BW703" i="17"/>
  <c r="BU705" i="17"/>
  <c r="BP704" i="17"/>
  <c r="BQ704" i="17" s="1"/>
  <c r="BQ703" i="17"/>
  <c r="BO705" i="17"/>
  <c r="BD704" i="17"/>
  <c r="BE704" i="17" s="1"/>
  <c r="BI705" i="17"/>
  <c r="AX704" i="17"/>
  <c r="AY704" i="17" s="1"/>
  <c r="BE703" i="17"/>
  <c r="BC705" i="17"/>
  <c r="AY703" i="17"/>
  <c r="AW705" i="17"/>
  <c r="AH703" i="7"/>
  <c r="AG704" i="7"/>
  <c r="AE705" i="7"/>
  <c r="BJ705" i="17" l="1"/>
  <c r="BK705" i="17" s="1"/>
  <c r="CE705" i="17"/>
  <c r="CF704" i="17"/>
  <c r="CA706" i="17"/>
  <c r="CB705" i="17"/>
  <c r="BU706" i="17"/>
  <c r="BV705" i="17"/>
  <c r="BO706" i="17"/>
  <c r="BP705" i="17"/>
  <c r="BI706" i="17"/>
  <c r="BC706" i="17"/>
  <c r="BD705" i="17"/>
  <c r="AW706" i="17"/>
  <c r="AX705" i="17"/>
  <c r="AH704" i="7"/>
  <c r="AG705" i="7"/>
  <c r="AE706" i="7"/>
  <c r="AF705" i="7"/>
  <c r="CF705" i="17" l="1"/>
  <c r="CG705" i="17" s="1"/>
  <c r="CG704" i="17"/>
  <c r="CE706" i="17"/>
  <c r="CB706" i="17"/>
  <c r="CC706" i="17" s="1"/>
  <c r="CC705" i="17"/>
  <c r="CA707" i="17"/>
  <c r="BV706" i="17"/>
  <c r="BW706" i="17" s="1"/>
  <c r="BP706" i="17"/>
  <c r="BQ706" i="17" s="1"/>
  <c r="BW705" i="17"/>
  <c r="BU707" i="17"/>
  <c r="BD706" i="17"/>
  <c r="BE706" i="17" s="1"/>
  <c r="BQ705" i="17"/>
  <c r="BO707" i="17"/>
  <c r="BI707" i="17"/>
  <c r="BJ706" i="17"/>
  <c r="AX706" i="17"/>
  <c r="AY706" i="17" s="1"/>
  <c r="BE705" i="17"/>
  <c r="BC707" i="17"/>
  <c r="AY705" i="17"/>
  <c r="AW707" i="17"/>
  <c r="AE707" i="7"/>
  <c r="AF706" i="7"/>
  <c r="AH705" i="7"/>
  <c r="AG706" i="7"/>
  <c r="CE707" i="17" l="1"/>
  <c r="CF706" i="17"/>
  <c r="CA708" i="17"/>
  <c r="CB707" i="17"/>
  <c r="BU708" i="17"/>
  <c r="BV707" i="17"/>
  <c r="BO708" i="17"/>
  <c r="BP707" i="17"/>
  <c r="BJ707" i="17"/>
  <c r="BK707" i="17" s="1"/>
  <c r="BK706" i="17"/>
  <c r="BI708" i="17"/>
  <c r="BC708" i="17"/>
  <c r="BD707" i="17"/>
  <c r="AW708" i="17"/>
  <c r="AX707" i="17"/>
  <c r="AE708" i="7"/>
  <c r="AH706" i="7"/>
  <c r="AG707" i="7"/>
  <c r="AF707" i="7"/>
  <c r="CF707" i="17" l="1"/>
  <c r="CG707" i="17" s="1"/>
  <c r="CG706" i="17"/>
  <c r="CE708" i="17"/>
  <c r="CB708" i="17"/>
  <c r="CC707" i="17"/>
  <c r="CA709" i="17"/>
  <c r="CC708" i="17"/>
  <c r="BU709" i="17"/>
  <c r="BV708" i="17"/>
  <c r="BW707" i="17"/>
  <c r="BP708" i="17"/>
  <c r="BQ708" i="17" s="1"/>
  <c r="BQ707" i="17"/>
  <c r="BO709" i="17"/>
  <c r="BD708" i="17"/>
  <c r="BE708" i="17" s="1"/>
  <c r="BI709" i="17"/>
  <c r="BJ708" i="17"/>
  <c r="AX708" i="17"/>
  <c r="AY708" i="17" s="1"/>
  <c r="BE707" i="17"/>
  <c r="BC709" i="17"/>
  <c r="AY707" i="17"/>
  <c r="AW709" i="17"/>
  <c r="AH707" i="7"/>
  <c r="AG708" i="7"/>
  <c r="AE709" i="7"/>
  <c r="AF708" i="7"/>
  <c r="CE709" i="17" l="1"/>
  <c r="CF708" i="17"/>
  <c r="BV709" i="17"/>
  <c r="CA710" i="17"/>
  <c r="CB709" i="17"/>
  <c r="BJ709" i="17"/>
  <c r="BK709" i="17" s="1"/>
  <c r="BW708" i="17"/>
  <c r="BU710" i="17"/>
  <c r="BW709" i="17"/>
  <c r="BO710" i="17"/>
  <c r="AX709" i="17"/>
  <c r="AY709" i="17" s="1"/>
  <c r="BP709" i="17"/>
  <c r="BK708" i="17"/>
  <c r="BI710" i="17"/>
  <c r="BC710" i="17"/>
  <c r="BD709" i="17"/>
  <c r="AW710" i="17"/>
  <c r="AE710" i="7"/>
  <c r="AH708" i="7"/>
  <c r="AG709" i="7"/>
  <c r="AF709" i="7"/>
  <c r="CF709" i="17" l="1"/>
  <c r="CG709" i="17" s="1"/>
  <c r="CB710" i="17"/>
  <c r="CC710" i="17" s="1"/>
  <c r="CG708" i="17"/>
  <c r="CE710" i="17"/>
  <c r="CC709" i="17"/>
  <c r="CA711" i="17"/>
  <c r="AX710" i="17"/>
  <c r="AY710" i="17" s="1"/>
  <c r="BU711" i="17"/>
  <c r="BV710" i="17"/>
  <c r="BP710" i="17"/>
  <c r="BQ710" i="17" s="1"/>
  <c r="BQ709" i="17"/>
  <c r="BO711" i="17"/>
  <c r="BI711" i="17"/>
  <c r="BJ710" i="17"/>
  <c r="BD710" i="17"/>
  <c r="BE710" i="17" s="1"/>
  <c r="BE709" i="17"/>
  <c r="BC711" i="17"/>
  <c r="AW711" i="17"/>
  <c r="AG710" i="7"/>
  <c r="AH709" i="7"/>
  <c r="AE711" i="7"/>
  <c r="AF711" i="7" s="1"/>
  <c r="AF710" i="7"/>
  <c r="BV711" i="17" l="1"/>
  <c r="BW711" i="17" s="1"/>
  <c r="CE711" i="17"/>
  <c r="CF710" i="17"/>
  <c r="CA712" i="17"/>
  <c r="CB711" i="17"/>
  <c r="BW710" i="17"/>
  <c r="BU712" i="17"/>
  <c r="BO712" i="17"/>
  <c r="BP711" i="17"/>
  <c r="BJ711" i="17"/>
  <c r="BK711" i="17" s="1"/>
  <c r="BK710" i="17"/>
  <c r="BI712" i="17"/>
  <c r="BC712" i="17"/>
  <c r="BD711" i="17"/>
  <c r="AW712" i="17"/>
  <c r="AX711" i="17"/>
  <c r="AE712" i="7"/>
  <c r="AH710" i="7"/>
  <c r="AG711" i="7"/>
  <c r="CB712" i="17" l="1"/>
  <c r="CC712" i="17" s="1"/>
  <c r="CF711" i="17"/>
  <c r="CG711" i="17" s="1"/>
  <c r="CG710" i="17"/>
  <c r="CE712" i="17"/>
  <c r="CC711" i="17"/>
  <c r="CA713" i="17"/>
  <c r="BP712" i="17"/>
  <c r="BQ712" i="17" s="1"/>
  <c r="BU713" i="17"/>
  <c r="BV712" i="17"/>
  <c r="BQ711" i="17"/>
  <c r="BO713" i="17"/>
  <c r="BP713" i="17" s="1"/>
  <c r="BI713" i="17"/>
  <c r="BJ712" i="17"/>
  <c r="BD712" i="17"/>
  <c r="BE712" i="17" s="1"/>
  <c r="BE711" i="17"/>
  <c r="BC713" i="17"/>
  <c r="AX712" i="17"/>
  <c r="AY712" i="17" s="1"/>
  <c r="AY711" i="17"/>
  <c r="AW713" i="17"/>
  <c r="AH711" i="7"/>
  <c r="AG712" i="7"/>
  <c r="AE713" i="7"/>
  <c r="AF712" i="7"/>
  <c r="BV713" i="17" l="1"/>
  <c r="BW713" i="17" s="1"/>
  <c r="CE713" i="17"/>
  <c r="CF712" i="17"/>
  <c r="CA714" i="17"/>
  <c r="CB713" i="17"/>
  <c r="BW712" i="17"/>
  <c r="BU714" i="17"/>
  <c r="BJ713" i="17"/>
  <c r="BK713" i="17" s="1"/>
  <c r="BO714" i="17"/>
  <c r="BQ713" i="17"/>
  <c r="BK712" i="17"/>
  <c r="BI714" i="17"/>
  <c r="BC714" i="17"/>
  <c r="BD713" i="17"/>
  <c r="AW714" i="17"/>
  <c r="AX713" i="17"/>
  <c r="AH712" i="7"/>
  <c r="AG713" i="7"/>
  <c r="AE714" i="7"/>
  <c r="AF713" i="7"/>
  <c r="CF713" i="17" l="1"/>
  <c r="CG713" i="17" s="1"/>
  <c r="CB714" i="17"/>
  <c r="CC714" i="17" s="1"/>
  <c r="CG712" i="17"/>
  <c r="CE714" i="17"/>
  <c r="CC713" i="17"/>
  <c r="CA715" i="17"/>
  <c r="BU715" i="17"/>
  <c r="BV714" i="17"/>
  <c r="BO715" i="17"/>
  <c r="BP714" i="17"/>
  <c r="BI715" i="17"/>
  <c r="BJ714" i="17"/>
  <c r="BD714" i="17"/>
  <c r="BE714" i="17" s="1"/>
  <c r="BE713" i="17"/>
  <c r="BC715" i="17"/>
  <c r="AX714" i="17"/>
  <c r="AY714" i="17" s="1"/>
  <c r="AY713" i="17"/>
  <c r="AW715" i="17"/>
  <c r="AE715" i="7"/>
  <c r="AF714" i="7"/>
  <c r="AH713" i="7"/>
  <c r="AG714" i="7"/>
  <c r="CF714" i="17" l="1"/>
  <c r="CG714" i="17" s="1"/>
  <c r="CE715" i="17"/>
  <c r="BV715" i="17"/>
  <c r="CA716" i="17"/>
  <c r="CB715" i="17"/>
  <c r="BW714" i="17"/>
  <c r="BU716" i="17"/>
  <c r="BW715" i="17"/>
  <c r="BP715" i="17"/>
  <c r="BQ715" i="17" s="1"/>
  <c r="BQ714" i="17"/>
  <c r="BO716" i="17"/>
  <c r="BJ715" i="17"/>
  <c r="BK715" i="17" s="1"/>
  <c r="BK714" i="17"/>
  <c r="BI716" i="17"/>
  <c r="BC716" i="17"/>
  <c r="BD715" i="17"/>
  <c r="AW716" i="17"/>
  <c r="AX715" i="17"/>
  <c r="AH714" i="7"/>
  <c r="AG715" i="7"/>
  <c r="AE716" i="7"/>
  <c r="AF716" i="7" s="1"/>
  <c r="AF715" i="7"/>
  <c r="CF715" i="17" l="1"/>
  <c r="CG715" i="17" s="1"/>
  <c r="CB716" i="17"/>
  <c r="CC716" i="17" s="1"/>
  <c r="CE716" i="17"/>
  <c r="CC715" i="17"/>
  <c r="CA717" i="17"/>
  <c r="BU717" i="17"/>
  <c r="BV716" i="17"/>
  <c r="BO717" i="17"/>
  <c r="BP716" i="17"/>
  <c r="BD716" i="17"/>
  <c r="BE716" i="17" s="1"/>
  <c r="BI717" i="17"/>
  <c r="BJ716" i="17"/>
  <c r="BE715" i="17"/>
  <c r="BC717" i="17"/>
  <c r="AX716" i="17"/>
  <c r="AY716" i="17" s="1"/>
  <c r="AY715" i="17"/>
  <c r="AW717" i="17"/>
  <c r="AE717" i="7"/>
  <c r="AH715" i="7"/>
  <c r="AG716" i="7"/>
  <c r="CF716" i="17" l="1"/>
  <c r="CG716" i="17" s="1"/>
  <c r="BV717" i="17"/>
  <c r="BW717" i="17" s="1"/>
  <c r="CE717" i="17"/>
  <c r="CA718" i="17"/>
  <c r="CB717" i="17"/>
  <c r="BW716" i="17"/>
  <c r="BU718" i="17"/>
  <c r="BP717" i="17"/>
  <c r="BQ717" i="17" s="1"/>
  <c r="BQ716" i="17"/>
  <c r="BO718" i="17"/>
  <c r="BJ717" i="17"/>
  <c r="BK717" i="17" s="1"/>
  <c r="BK716" i="17"/>
  <c r="BI718" i="17"/>
  <c r="BC718" i="17"/>
  <c r="BD717" i="17"/>
  <c r="AW718" i="17"/>
  <c r="AX717" i="17"/>
  <c r="AE718" i="7"/>
  <c r="AH716" i="7"/>
  <c r="AG717" i="7"/>
  <c r="AF717" i="7"/>
  <c r="CB718" i="17" l="1"/>
  <c r="CC718" i="17" s="1"/>
  <c r="CE718" i="17"/>
  <c r="CF717" i="17"/>
  <c r="CC717" i="17"/>
  <c r="CA719" i="17"/>
  <c r="BU719" i="17"/>
  <c r="BV718" i="17"/>
  <c r="BO719" i="17"/>
  <c r="BP718" i="17"/>
  <c r="BI719" i="17"/>
  <c r="BJ718" i="17"/>
  <c r="AX718" i="17"/>
  <c r="AY718" i="17" s="1"/>
  <c r="BD718" i="17"/>
  <c r="BE718" i="17" s="1"/>
  <c r="BE717" i="17"/>
  <c r="BC719" i="17"/>
  <c r="AY717" i="17"/>
  <c r="AW719" i="17"/>
  <c r="AH717" i="7"/>
  <c r="AG718" i="7"/>
  <c r="AE719" i="7"/>
  <c r="AF718" i="7"/>
  <c r="CF718" i="17" l="1"/>
  <c r="CG718" i="17" s="1"/>
  <c r="CG717" i="17"/>
  <c r="CE719" i="17"/>
  <c r="BV719" i="17"/>
  <c r="BW719" i="17" s="1"/>
  <c r="CA720" i="17"/>
  <c r="CB719" i="17"/>
  <c r="BP719" i="17"/>
  <c r="BQ719" i="17" s="1"/>
  <c r="BW718" i="17"/>
  <c r="BU720" i="17"/>
  <c r="BJ719" i="17"/>
  <c r="BK719" i="17" s="1"/>
  <c r="BQ718" i="17"/>
  <c r="BO720" i="17"/>
  <c r="BK718" i="17"/>
  <c r="BI720" i="17"/>
  <c r="BC720" i="17"/>
  <c r="BD719" i="17"/>
  <c r="AW720" i="17"/>
  <c r="AX719" i="17"/>
  <c r="AH718" i="7"/>
  <c r="AG719" i="7"/>
  <c r="AE720" i="7"/>
  <c r="AF719" i="7"/>
  <c r="CB720" i="17" l="1"/>
  <c r="CC720" i="17" s="1"/>
  <c r="CE720" i="17"/>
  <c r="CF719" i="17"/>
  <c r="CC719" i="17"/>
  <c r="CA721" i="17"/>
  <c r="BU721" i="17"/>
  <c r="BV720" i="17"/>
  <c r="BO721" i="17"/>
  <c r="BP720" i="17"/>
  <c r="BI721" i="17"/>
  <c r="BJ720" i="17"/>
  <c r="BD720" i="17"/>
  <c r="BE720" i="17" s="1"/>
  <c r="BE719" i="17"/>
  <c r="BC721" i="17"/>
  <c r="AX720" i="17"/>
  <c r="AY720" i="17" s="1"/>
  <c r="AY719" i="17"/>
  <c r="AW721" i="17"/>
  <c r="AE721" i="7"/>
  <c r="AF720" i="7"/>
  <c r="AH719" i="7"/>
  <c r="AG720" i="7"/>
  <c r="CF720" i="17" l="1"/>
  <c r="CG720" i="17" s="1"/>
  <c r="CG719" i="17"/>
  <c r="CE721" i="17"/>
  <c r="CA722" i="17"/>
  <c r="CB721" i="17"/>
  <c r="BV721" i="17"/>
  <c r="BW721" i="17" s="1"/>
  <c r="BW720" i="17"/>
  <c r="BU722" i="17"/>
  <c r="BV722" i="17" s="1"/>
  <c r="BP721" i="17"/>
  <c r="BQ721" i="17" s="1"/>
  <c r="BJ721" i="17"/>
  <c r="BK721" i="17" s="1"/>
  <c r="BQ720" i="17"/>
  <c r="BO722" i="17"/>
  <c r="BK720" i="17"/>
  <c r="BI722" i="17"/>
  <c r="BC722" i="17"/>
  <c r="BD721" i="17"/>
  <c r="AW722" i="17"/>
  <c r="AX721" i="17"/>
  <c r="AH720" i="7"/>
  <c r="AG721" i="7"/>
  <c r="AE722" i="7"/>
  <c r="AF721" i="7"/>
  <c r="CB722" i="17" l="1"/>
  <c r="CC722" i="17" s="1"/>
  <c r="CE722" i="17"/>
  <c r="BP722" i="17"/>
  <c r="BQ722" i="17" s="1"/>
  <c r="CF721" i="17"/>
  <c r="CC721" i="17"/>
  <c r="CA723" i="17"/>
  <c r="BU723" i="17"/>
  <c r="BW722" i="17"/>
  <c r="BO723" i="17"/>
  <c r="BI723" i="17"/>
  <c r="BJ722" i="17"/>
  <c r="AX722" i="17"/>
  <c r="AY722" i="17" s="1"/>
  <c r="BD722" i="17"/>
  <c r="BE722" i="17" s="1"/>
  <c r="BE721" i="17"/>
  <c r="BC723" i="17"/>
  <c r="AY721" i="17"/>
  <c r="AW723" i="17"/>
  <c r="AE723" i="7"/>
  <c r="AF722" i="7"/>
  <c r="AH721" i="7"/>
  <c r="AG722" i="7"/>
  <c r="CF722" i="17" l="1"/>
  <c r="CG722" i="17" s="1"/>
  <c r="CG721" i="17"/>
  <c r="CE723" i="17"/>
  <c r="CA724" i="17"/>
  <c r="CB723" i="17"/>
  <c r="BJ723" i="17"/>
  <c r="BK723" i="17" s="1"/>
  <c r="BU724" i="17"/>
  <c r="BV723" i="17"/>
  <c r="BO724" i="17"/>
  <c r="BP723" i="17"/>
  <c r="BK722" i="17"/>
  <c r="BI724" i="17"/>
  <c r="BC724" i="17"/>
  <c r="BD723" i="17"/>
  <c r="AW724" i="17"/>
  <c r="AX723" i="17"/>
  <c r="AH722" i="7"/>
  <c r="AG723" i="7"/>
  <c r="AE724" i="7"/>
  <c r="AF723" i="7"/>
  <c r="CB724" i="17" l="1"/>
  <c r="CC724" i="17" s="1"/>
  <c r="CE724" i="17"/>
  <c r="CF723" i="17"/>
  <c r="CC723" i="17"/>
  <c r="CA725" i="17"/>
  <c r="BV724" i="17"/>
  <c r="BW724" i="17" s="1"/>
  <c r="BW723" i="17"/>
  <c r="BU725" i="17"/>
  <c r="BP724" i="17"/>
  <c r="BQ724" i="17" s="1"/>
  <c r="BD724" i="17"/>
  <c r="BE724" i="17" s="1"/>
  <c r="BQ723" i="17"/>
  <c r="BO725" i="17"/>
  <c r="BI725" i="17"/>
  <c r="BJ724" i="17"/>
  <c r="BE723" i="17"/>
  <c r="BC725" i="17"/>
  <c r="AX724" i="17"/>
  <c r="AY724" i="17" s="1"/>
  <c r="AY723" i="17"/>
  <c r="AW725" i="17"/>
  <c r="AE725" i="7"/>
  <c r="AF724" i="7"/>
  <c r="AH723" i="7"/>
  <c r="AG724" i="7"/>
  <c r="BV725" i="17" l="1"/>
  <c r="BW725" i="17" s="1"/>
  <c r="CF724" i="17"/>
  <c r="CG724" i="17" s="1"/>
  <c r="CG723" i="17"/>
  <c r="CE725" i="17"/>
  <c r="CA726" i="17"/>
  <c r="CB725" i="17"/>
  <c r="BU726" i="17"/>
  <c r="BO726" i="17"/>
  <c r="BP725" i="17"/>
  <c r="BJ725" i="17"/>
  <c r="BK725" i="17" s="1"/>
  <c r="BK724" i="17"/>
  <c r="BI726" i="17"/>
  <c r="BC726" i="17"/>
  <c r="BD725" i="17"/>
  <c r="AW726" i="17"/>
  <c r="AX725" i="17"/>
  <c r="AH724" i="7"/>
  <c r="AG725" i="7"/>
  <c r="AE726" i="7"/>
  <c r="AF726" i="7" s="1"/>
  <c r="AF725" i="7"/>
  <c r="CF725" i="17" l="1"/>
  <c r="CG725" i="17" s="1"/>
  <c r="CB726" i="17"/>
  <c r="CC726" i="17" s="1"/>
  <c r="CE726" i="17"/>
  <c r="CC725" i="17"/>
  <c r="CA727" i="17"/>
  <c r="BP726" i="17"/>
  <c r="BQ726" i="17" s="1"/>
  <c r="BU727" i="17"/>
  <c r="BV726" i="17"/>
  <c r="BQ725" i="17"/>
  <c r="BO727" i="17"/>
  <c r="BI727" i="17"/>
  <c r="BD726" i="17"/>
  <c r="BE726" i="17" s="1"/>
  <c r="BJ726" i="17"/>
  <c r="AX726" i="17"/>
  <c r="AY726" i="17" s="1"/>
  <c r="BE725" i="17"/>
  <c r="BC727" i="17"/>
  <c r="AY725" i="17"/>
  <c r="AW727" i="17"/>
  <c r="AE727" i="7"/>
  <c r="AH725" i="7"/>
  <c r="AG726" i="7"/>
  <c r="CF726" i="17" l="1"/>
  <c r="CG726" i="17" s="1"/>
  <c r="CE727" i="17"/>
  <c r="BV727" i="17"/>
  <c r="CA728" i="17"/>
  <c r="CB727" i="17"/>
  <c r="BJ727" i="17"/>
  <c r="BK727" i="17" s="1"/>
  <c r="BW726" i="17"/>
  <c r="BU728" i="17"/>
  <c r="BV728" i="17" s="1"/>
  <c r="BW727" i="17"/>
  <c r="BO728" i="17"/>
  <c r="BP727" i="17"/>
  <c r="BK726" i="17"/>
  <c r="BI728" i="17"/>
  <c r="BC728" i="17"/>
  <c r="BD727" i="17"/>
  <c r="AW728" i="17"/>
  <c r="AX727" i="17"/>
  <c r="AH726" i="7"/>
  <c r="AG727" i="7"/>
  <c r="AE728" i="7"/>
  <c r="AF727" i="7"/>
  <c r="CB728" i="17" l="1"/>
  <c r="CC728" i="17" s="1"/>
  <c r="CE728" i="17"/>
  <c r="CF727" i="17"/>
  <c r="CC727" i="17"/>
  <c r="CA729" i="17"/>
  <c r="BU729" i="17"/>
  <c r="BW728" i="17"/>
  <c r="BD728" i="17"/>
  <c r="BE728" i="17" s="1"/>
  <c r="BP728" i="17"/>
  <c r="BQ728" i="17" s="1"/>
  <c r="BQ727" i="17"/>
  <c r="BO729" i="17"/>
  <c r="AX728" i="17"/>
  <c r="AY728" i="17" s="1"/>
  <c r="BI729" i="17"/>
  <c r="BJ728" i="17"/>
  <c r="BE727" i="17"/>
  <c r="BC729" i="17"/>
  <c r="AY727" i="17"/>
  <c r="AW729" i="17"/>
  <c r="AE729" i="7"/>
  <c r="AF728" i="7"/>
  <c r="AH727" i="7"/>
  <c r="AG728" i="7"/>
  <c r="CF728" i="17" l="1"/>
  <c r="CG728" i="17" s="1"/>
  <c r="CG727" i="17"/>
  <c r="CE729" i="17"/>
  <c r="CA730" i="17"/>
  <c r="CB729" i="17"/>
  <c r="BU730" i="17"/>
  <c r="BV729" i="17"/>
  <c r="BO730" i="17"/>
  <c r="BP729" i="17"/>
  <c r="BJ729" i="17"/>
  <c r="BK729" i="17" s="1"/>
  <c r="BK728" i="17"/>
  <c r="BI730" i="17"/>
  <c r="BC730" i="17"/>
  <c r="BD729" i="17"/>
  <c r="AW730" i="17"/>
  <c r="AX729" i="17"/>
  <c r="AH728" i="7"/>
  <c r="AG729" i="7"/>
  <c r="AE730" i="7"/>
  <c r="AF729" i="7"/>
  <c r="CB730" i="17" l="1"/>
  <c r="CC730" i="17" s="1"/>
  <c r="CE730" i="17"/>
  <c r="CF729" i="17"/>
  <c r="CC729" i="17"/>
  <c r="CA731" i="17"/>
  <c r="BV730" i="17"/>
  <c r="BW730" i="17" s="1"/>
  <c r="BW729" i="17"/>
  <c r="BU731" i="17"/>
  <c r="BP730" i="17"/>
  <c r="BQ730" i="17" s="1"/>
  <c r="BQ729" i="17"/>
  <c r="BO731" i="17"/>
  <c r="BD730" i="17"/>
  <c r="BE730" i="17" s="1"/>
  <c r="BI731" i="17"/>
  <c r="BJ730" i="17"/>
  <c r="BE729" i="17"/>
  <c r="BC731" i="17"/>
  <c r="AX730" i="17"/>
  <c r="AY730" i="17" s="1"/>
  <c r="AY729" i="17"/>
  <c r="AW731" i="17"/>
  <c r="AE731" i="7"/>
  <c r="AF730" i="7"/>
  <c r="AH729" i="7"/>
  <c r="AG730" i="7"/>
  <c r="CF730" i="17" l="1"/>
  <c r="CG730" i="17" s="1"/>
  <c r="CG729" i="17"/>
  <c r="CE731" i="17"/>
  <c r="CA732" i="17"/>
  <c r="CB731" i="17"/>
  <c r="BU732" i="17"/>
  <c r="BD731" i="17"/>
  <c r="BE731" i="17" s="1"/>
  <c r="BV731" i="17"/>
  <c r="BJ731" i="17"/>
  <c r="BK731" i="17" s="1"/>
  <c r="BO732" i="17"/>
  <c r="BP731" i="17"/>
  <c r="BK730" i="17"/>
  <c r="BI732" i="17"/>
  <c r="BC732" i="17"/>
  <c r="AW732" i="17"/>
  <c r="AX731" i="17"/>
  <c r="AE732" i="7"/>
  <c r="AH730" i="7"/>
  <c r="AG731" i="7"/>
  <c r="AF731" i="7"/>
  <c r="BV732" i="17" l="1"/>
  <c r="BW732" i="17" s="1"/>
  <c r="CE732" i="17"/>
  <c r="CF731" i="17"/>
  <c r="CB732" i="17"/>
  <c r="CC731" i="17"/>
  <c r="BD732" i="17"/>
  <c r="BE732" i="17" s="1"/>
  <c r="CA733" i="17"/>
  <c r="CC732" i="17"/>
  <c r="BW731" i="17"/>
  <c r="BU733" i="17"/>
  <c r="BP732" i="17"/>
  <c r="BQ732" i="17" s="1"/>
  <c r="BQ731" i="17"/>
  <c r="BO733" i="17"/>
  <c r="BI733" i="17"/>
  <c r="BJ732" i="17"/>
  <c r="BC733" i="17"/>
  <c r="AX732" i="17"/>
  <c r="AY732" i="17" s="1"/>
  <c r="AY731" i="17"/>
  <c r="AW733" i="17"/>
  <c r="AH731" i="7"/>
  <c r="AG732" i="7"/>
  <c r="AE733" i="7"/>
  <c r="AF732" i="7"/>
  <c r="BV733" i="17" l="1"/>
  <c r="BW733" i="17" s="1"/>
  <c r="CF732" i="17"/>
  <c r="CG732" i="17" s="1"/>
  <c r="CG731" i="17"/>
  <c r="CE733" i="17"/>
  <c r="CA734" i="17"/>
  <c r="CB733" i="17"/>
  <c r="BJ733" i="17"/>
  <c r="BK733" i="17" s="1"/>
  <c r="BU734" i="17"/>
  <c r="BO734" i="17"/>
  <c r="BP733" i="17"/>
  <c r="BK732" i="17"/>
  <c r="BI734" i="17"/>
  <c r="BC734" i="17"/>
  <c r="BD733" i="17"/>
  <c r="AW734" i="17"/>
  <c r="AX733" i="17"/>
  <c r="AE734" i="7"/>
  <c r="AF733" i="7"/>
  <c r="AH732" i="7"/>
  <c r="AG733" i="7"/>
  <c r="BV734" i="17" l="1"/>
  <c r="BW734" i="17" s="1"/>
  <c r="BP734" i="17"/>
  <c r="BQ734" i="17" s="1"/>
  <c r="CE734" i="17"/>
  <c r="CF733" i="17"/>
  <c r="CB734" i="17"/>
  <c r="CC733" i="17"/>
  <c r="CA735" i="17"/>
  <c r="CC734" i="17"/>
  <c r="BU735" i="17"/>
  <c r="BQ733" i="17"/>
  <c r="BO735" i="17"/>
  <c r="BD734" i="17"/>
  <c r="BE734" i="17" s="1"/>
  <c r="AX734" i="17"/>
  <c r="AY734" i="17" s="1"/>
  <c r="BI735" i="17"/>
  <c r="BJ734" i="17"/>
  <c r="BE733" i="17"/>
  <c r="BC735" i="17"/>
  <c r="AY733" i="17"/>
  <c r="AW735" i="17"/>
  <c r="AH733" i="7"/>
  <c r="AG734" i="7"/>
  <c r="AE735" i="7"/>
  <c r="AF734" i="7"/>
  <c r="BV735" i="17" l="1"/>
  <c r="BW735" i="17" s="1"/>
  <c r="CF734" i="17"/>
  <c r="CG734" i="17" s="1"/>
  <c r="CE735" i="17"/>
  <c r="CG733" i="17"/>
  <c r="CA736" i="17"/>
  <c r="CB735" i="17"/>
  <c r="BU736" i="17"/>
  <c r="BO736" i="17"/>
  <c r="BP735" i="17"/>
  <c r="BJ735" i="17"/>
  <c r="BK735" i="17" s="1"/>
  <c r="BK734" i="17"/>
  <c r="BI736" i="17"/>
  <c r="BC736" i="17"/>
  <c r="BD735" i="17"/>
  <c r="AW736" i="17"/>
  <c r="AX735" i="17"/>
  <c r="AE736" i="7"/>
  <c r="AF735" i="7"/>
  <c r="AH734" i="7"/>
  <c r="AG735" i="7"/>
  <c r="CB736" i="17" l="1"/>
  <c r="CC736" i="17" s="1"/>
  <c r="CE736" i="17"/>
  <c r="CF735" i="17"/>
  <c r="CC735" i="17"/>
  <c r="CA737" i="17"/>
  <c r="BP736" i="17"/>
  <c r="BU737" i="17"/>
  <c r="BV736" i="17"/>
  <c r="BQ735" i="17"/>
  <c r="BO737" i="17"/>
  <c r="BQ736" i="17"/>
  <c r="BI737" i="17"/>
  <c r="BJ736" i="17"/>
  <c r="AX736" i="17"/>
  <c r="AY736" i="17" s="1"/>
  <c r="BD736" i="17"/>
  <c r="BE736" i="17" s="1"/>
  <c r="BE735" i="17"/>
  <c r="BC737" i="17"/>
  <c r="AY735" i="17"/>
  <c r="AW737" i="17"/>
  <c r="AH735" i="7"/>
  <c r="AG736" i="7"/>
  <c r="AE737" i="7"/>
  <c r="AF736" i="7"/>
  <c r="CF736" i="17" l="1"/>
  <c r="CG736" i="17" s="1"/>
  <c r="CG735" i="17"/>
  <c r="CE737" i="17"/>
  <c r="CA738" i="17"/>
  <c r="CB737" i="17"/>
  <c r="BV737" i="17"/>
  <c r="BW737" i="17" s="1"/>
  <c r="BU738" i="17"/>
  <c r="BW736" i="17"/>
  <c r="BO738" i="17"/>
  <c r="BP737" i="17"/>
  <c r="BJ737" i="17"/>
  <c r="BK737" i="17" s="1"/>
  <c r="BK736" i="17"/>
  <c r="BI738" i="17"/>
  <c r="BC738" i="17"/>
  <c r="BD737" i="17"/>
  <c r="AW738" i="17"/>
  <c r="AX737" i="17"/>
  <c r="AE738" i="7"/>
  <c r="AF737" i="7"/>
  <c r="AH736" i="7"/>
  <c r="AG737" i="7"/>
  <c r="CB738" i="17" l="1"/>
  <c r="CC738" i="17" s="1"/>
  <c r="CE738" i="17"/>
  <c r="CF737" i="17"/>
  <c r="CC737" i="17"/>
  <c r="CA739" i="17"/>
  <c r="BV738" i="17"/>
  <c r="BW738" i="17" s="1"/>
  <c r="BP738" i="17"/>
  <c r="BQ738" i="17" s="1"/>
  <c r="BU739" i="17"/>
  <c r="BQ737" i="17"/>
  <c r="BO739" i="17"/>
  <c r="BI739" i="17"/>
  <c r="BJ738" i="17"/>
  <c r="BD738" i="17"/>
  <c r="BE738" i="17" s="1"/>
  <c r="AX738" i="17"/>
  <c r="AY738" i="17" s="1"/>
  <c r="BE737" i="17"/>
  <c r="BC739" i="17"/>
  <c r="AY737" i="17"/>
  <c r="AW739" i="17"/>
  <c r="AH737" i="7"/>
  <c r="AG738" i="7"/>
  <c r="AE739" i="7"/>
  <c r="AF739" i="7" s="1"/>
  <c r="AF738" i="7"/>
  <c r="BP739" i="17" l="1"/>
  <c r="BQ739" i="17" s="1"/>
  <c r="CF738" i="17"/>
  <c r="CG738" i="17" s="1"/>
  <c r="CG737" i="17"/>
  <c r="CE739" i="17"/>
  <c r="CA740" i="17"/>
  <c r="CB739" i="17"/>
  <c r="BU740" i="17"/>
  <c r="BV739" i="17"/>
  <c r="BO740" i="17"/>
  <c r="AX739" i="17"/>
  <c r="AY739" i="17" s="1"/>
  <c r="BJ739" i="17"/>
  <c r="BK739" i="17" s="1"/>
  <c r="BK738" i="17"/>
  <c r="BI740" i="17"/>
  <c r="BC740" i="17"/>
  <c r="BD739" i="17"/>
  <c r="AW740" i="17"/>
  <c r="AE740" i="7"/>
  <c r="AH738" i="7"/>
  <c r="AG739" i="7"/>
  <c r="CB740" i="17" l="1"/>
  <c r="CC740" i="17" s="1"/>
  <c r="CE740" i="17"/>
  <c r="CF739" i="17"/>
  <c r="CC739" i="17"/>
  <c r="CA741" i="17"/>
  <c r="BV740" i="17"/>
  <c r="BW740" i="17" s="1"/>
  <c r="BW739" i="17"/>
  <c r="AX740" i="17"/>
  <c r="AY740" i="17" s="1"/>
  <c r="BU741" i="17"/>
  <c r="BO741" i="17"/>
  <c r="BP740" i="17"/>
  <c r="BI741" i="17"/>
  <c r="BD740" i="17"/>
  <c r="BE740" i="17" s="1"/>
  <c r="BJ740" i="17"/>
  <c r="BE739" i="17"/>
  <c r="BC741" i="17"/>
  <c r="AW741" i="17"/>
  <c r="AH739" i="7"/>
  <c r="AG740" i="7"/>
  <c r="AE741" i="7"/>
  <c r="AF740" i="7"/>
  <c r="CF740" i="17" l="1"/>
  <c r="CG740" i="17" s="1"/>
  <c r="CG739" i="17"/>
  <c r="CE741" i="17"/>
  <c r="BD741" i="17"/>
  <c r="BE741" i="17" s="1"/>
  <c r="CA742" i="17"/>
  <c r="BJ741" i="17"/>
  <c r="BK741" i="17" s="1"/>
  <c r="CB741" i="17"/>
  <c r="BU742" i="17"/>
  <c r="BV741" i="17"/>
  <c r="BP741" i="17"/>
  <c r="BQ741" i="17" s="1"/>
  <c r="BQ740" i="17"/>
  <c r="BO742" i="17"/>
  <c r="BK740" i="17"/>
  <c r="BI742" i="17"/>
  <c r="BC742" i="17"/>
  <c r="AW742" i="17"/>
  <c r="AX741" i="17"/>
  <c r="AE742" i="7"/>
  <c r="AF741" i="7"/>
  <c r="AH740" i="7"/>
  <c r="AG741" i="7"/>
  <c r="CB742" i="17" l="1"/>
  <c r="CC742" i="17" s="1"/>
  <c r="BD742" i="17"/>
  <c r="BE742" i="17" s="1"/>
  <c r="CE742" i="17"/>
  <c r="CF741" i="17"/>
  <c r="CF742" i="17" s="1"/>
  <c r="CC741" i="17"/>
  <c r="CA743" i="17"/>
  <c r="BV742" i="17"/>
  <c r="BW742" i="17" s="1"/>
  <c r="BW741" i="17"/>
  <c r="BU743" i="17"/>
  <c r="BO743" i="17"/>
  <c r="BP742" i="17"/>
  <c r="BI743" i="17"/>
  <c r="BJ742" i="17"/>
  <c r="AX742" i="17"/>
  <c r="AY742" i="17" s="1"/>
  <c r="BC743" i="17"/>
  <c r="AY741" i="17"/>
  <c r="AW743" i="17"/>
  <c r="AH741" i="7"/>
  <c r="AG742" i="7"/>
  <c r="AE743" i="7"/>
  <c r="AF742" i="7"/>
  <c r="CG741" i="17" l="1"/>
  <c r="CE743" i="17"/>
  <c r="CG742" i="17"/>
  <c r="CA744" i="17"/>
  <c r="CB743" i="17"/>
  <c r="BU744" i="17"/>
  <c r="BV743" i="17"/>
  <c r="BP743" i="17"/>
  <c r="BQ743" i="17" s="1"/>
  <c r="BQ742" i="17"/>
  <c r="BO744" i="17"/>
  <c r="BJ743" i="17"/>
  <c r="BK743" i="17" s="1"/>
  <c r="BK742" i="17"/>
  <c r="BI744" i="17"/>
  <c r="BC744" i="17"/>
  <c r="BD743" i="17"/>
  <c r="AW744" i="17"/>
  <c r="AX743" i="17"/>
  <c r="AE744" i="7"/>
  <c r="AF743" i="7"/>
  <c r="AH742" i="7"/>
  <c r="AG743" i="7"/>
  <c r="BV744" i="17" l="1"/>
  <c r="BW744" i="17" s="1"/>
  <c r="CE744" i="17"/>
  <c r="CF743" i="17"/>
  <c r="CB744" i="17"/>
  <c r="CC743" i="17"/>
  <c r="CA745" i="17"/>
  <c r="CC744" i="17"/>
  <c r="BW743" i="17"/>
  <c r="BU745" i="17"/>
  <c r="BO745" i="17"/>
  <c r="BP744" i="17"/>
  <c r="BD744" i="17"/>
  <c r="BE744" i="17" s="1"/>
  <c r="BI745" i="17"/>
  <c r="BJ744" i="17"/>
  <c r="AX744" i="17"/>
  <c r="AY744" i="17" s="1"/>
  <c r="BE743" i="17"/>
  <c r="BC745" i="17"/>
  <c r="AY743" i="17"/>
  <c r="AW745" i="17"/>
  <c r="AG744" i="7"/>
  <c r="AH743" i="7"/>
  <c r="AE745" i="7"/>
  <c r="AF745" i="7" s="1"/>
  <c r="AF744" i="7"/>
  <c r="CF744" i="17" l="1"/>
  <c r="CG744" i="17" s="1"/>
  <c r="CG743" i="17"/>
  <c r="CE745" i="17"/>
  <c r="BD745" i="17"/>
  <c r="BE745" i="17" s="1"/>
  <c r="CA746" i="17"/>
  <c r="CB745" i="17"/>
  <c r="BJ745" i="17"/>
  <c r="BK745" i="17" s="1"/>
  <c r="BP745" i="17"/>
  <c r="BQ745" i="17" s="1"/>
  <c r="BU746" i="17"/>
  <c r="BV745" i="17"/>
  <c r="BQ744" i="17"/>
  <c r="BO746" i="17"/>
  <c r="BK744" i="17"/>
  <c r="BI746" i="17"/>
  <c r="BC746" i="17"/>
  <c r="AW746" i="17"/>
  <c r="AX745" i="17"/>
  <c r="AE746" i="7"/>
  <c r="AG745" i="7"/>
  <c r="AH744" i="7"/>
  <c r="CB746" i="17" l="1"/>
  <c r="CC746" i="17" s="1"/>
  <c r="CE746" i="17"/>
  <c r="CF745" i="17"/>
  <c r="CC745" i="17"/>
  <c r="CA747" i="17"/>
  <c r="BV746" i="17"/>
  <c r="BW746" i="17" s="1"/>
  <c r="BW745" i="17"/>
  <c r="BU747" i="17"/>
  <c r="BO747" i="17"/>
  <c r="BP746" i="17"/>
  <c r="BI747" i="17"/>
  <c r="BJ746" i="17"/>
  <c r="BC747" i="17"/>
  <c r="BD746" i="17"/>
  <c r="AX746" i="17"/>
  <c r="AY746" i="17" s="1"/>
  <c r="AY745" i="17"/>
  <c r="AW747" i="17"/>
  <c r="AG746" i="7"/>
  <c r="AH745" i="7"/>
  <c r="AE747" i="7"/>
  <c r="AF746" i="7"/>
  <c r="CB747" i="17" l="1"/>
  <c r="CC747" i="17" s="1"/>
  <c r="CF746" i="17"/>
  <c r="CG746" i="17" s="1"/>
  <c r="CG745" i="17"/>
  <c r="CE747" i="17"/>
  <c r="CA748" i="17"/>
  <c r="BJ747" i="17"/>
  <c r="BK747" i="17" s="1"/>
  <c r="BU748" i="17"/>
  <c r="BV747" i="17"/>
  <c r="BP747" i="17"/>
  <c r="BQ747" i="17" s="1"/>
  <c r="BQ746" i="17"/>
  <c r="BO748" i="17"/>
  <c r="BD747" i="17"/>
  <c r="BE747" i="17" s="1"/>
  <c r="BK746" i="17"/>
  <c r="BI748" i="17"/>
  <c r="BE746" i="17"/>
  <c r="BC748" i="17"/>
  <c r="AW748" i="17"/>
  <c r="AX747" i="17"/>
  <c r="AE748" i="7"/>
  <c r="AF748" i="7" s="1"/>
  <c r="AF747" i="7"/>
  <c r="AG747" i="7"/>
  <c r="AH746" i="7"/>
  <c r="CB748" i="17" l="1"/>
  <c r="CC748" i="17" s="1"/>
  <c r="BP748" i="17"/>
  <c r="BQ748" i="17" s="1"/>
  <c r="BV748" i="17"/>
  <c r="BW748" i="17" s="1"/>
  <c r="CE748" i="17"/>
  <c r="CF747" i="17"/>
  <c r="CA749" i="17"/>
  <c r="BW747" i="17"/>
  <c r="BU749" i="17"/>
  <c r="BO749" i="17"/>
  <c r="BI749" i="17"/>
  <c r="BJ748" i="17"/>
  <c r="AX748" i="17"/>
  <c r="AY748" i="17" s="1"/>
  <c r="BC749" i="17"/>
  <c r="BD748" i="17"/>
  <c r="AY747" i="17"/>
  <c r="AW749" i="17"/>
  <c r="AG748" i="7"/>
  <c r="AH747" i="7"/>
  <c r="AE749" i="7"/>
  <c r="CF748" i="17" l="1"/>
  <c r="CG748" i="17" s="1"/>
  <c r="CG747" i="17"/>
  <c r="CE749" i="17"/>
  <c r="CA750" i="17"/>
  <c r="CB749" i="17"/>
  <c r="BJ749" i="17"/>
  <c r="BK749" i="17" s="1"/>
  <c r="BU750" i="17"/>
  <c r="BV749" i="17"/>
  <c r="BO750" i="17"/>
  <c r="BP749" i="17"/>
  <c r="BD749" i="17"/>
  <c r="BE749" i="17" s="1"/>
  <c r="BK748" i="17"/>
  <c r="BI750" i="17"/>
  <c r="BE748" i="17"/>
  <c r="BC750" i="17"/>
  <c r="AW750" i="17"/>
  <c r="AX749" i="17"/>
  <c r="AE750" i="7"/>
  <c r="AF749" i="7"/>
  <c r="AG749" i="7"/>
  <c r="AH748" i="7"/>
  <c r="CB750" i="17" l="1"/>
  <c r="CC750" i="17" s="1"/>
  <c r="BV750" i="17"/>
  <c r="BW750" i="17" s="1"/>
  <c r="BP750" i="17"/>
  <c r="BQ750" i="17" s="1"/>
  <c r="CE750" i="17"/>
  <c r="CF749" i="17"/>
  <c r="CF750" i="17" s="1"/>
  <c r="CC749" i="17"/>
  <c r="CA751" i="17"/>
  <c r="BW749" i="17"/>
  <c r="BU751" i="17"/>
  <c r="BQ749" i="17"/>
  <c r="BO751" i="17"/>
  <c r="BI751" i="17"/>
  <c r="BJ750" i="17"/>
  <c r="BC751" i="17"/>
  <c r="BD750" i="17"/>
  <c r="AX750" i="17"/>
  <c r="AY750" i="17" s="1"/>
  <c r="AY749" i="17"/>
  <c r="AW751" i="17"/>
  <c r="AG750" i="7"/>
  <c r="AH749" i="7"/>
  <c r="AE751" i="7"/>
  <c r="AF750" i="7"/>
  <c r="CG749" i="17" l="1"/>
  <c r="CE751" i="17"/>
  <c r="CG750" i="17"/>
  <c r="CA752" i="17"/>
  <c r="CB751" i="17"/>
  <c r="BU752" i="17"/>
  <c r="BV751" i="17"/>
  <c r="BO752" i="17"/>
  <c r="BP751" i="17"/>
  <c r="BJ751" i="17"/>
  <c r="BK751" i="17" s="1"/>
  <c r="BD751" i="17"/>
  <c r="BE751" i="17" s="1"/>
  <c r="BK750" i="17"/>
  <c r="BI752" i="17"/>
  <c r="BE750" i="17"/>
  <c r="BC752" i="17"/>
  <c r="AW752" i="17"/>
  <c r="AX751" i="17"/>
  <c r="AE752" i="7"/>
  <c r="AF752" i="7"/>
  <c r="AF751" i="7"/>
  <c r="AG751" i="7"/>
  <c r="AH750" i="7"/>
  <c r="CB752" i="17" l="1"/>
  <c r="CC752" i="17" s="1"/>
  <c r="CE752" i="17"/>
  <c r="CF751" i="17"/>
  <c r="BP752" i="17"/>
  <c r="BQ752" i="17" s="1"/>
  <c r="BV752" i="17"/>
  <c r="CC751" i="17"/>
  <c r="CA753" i="17"/>
  <c r="BW751" i="17"/>
  <c r="BU753" i="17"/>
  <c r="BW752" i="17"/>
  <c r="BQ751" i="17"/>
  <c r="BO753" i="17"/>
  <c r="BI753" i="17"/>
  <c r="BJ752" i="17"/>
  <c r="BC753" i="17"/>
  <c r="BD752" i="17"/>
  <c r="AX752" i="17"/>
  <c r="AY752" i="17" s="1"/>
  <c r="AY751" i="17"/>
  <c r="AW753" i="17"/>
  <c r="AG752" i="7"/>
  <c r="AH751" i="7"/>
  <c r="AE753" i="7"/>
  <c r="CB753" i="17" l="1"/>
  <c r="CC753" i="17" s="1"/>
  <c r="CF752" i="17"/>
  <c r="CG752" i="17" s="1"/>
  <c r="CG751" i="17"/>
  <c r="CE753" i="17"/>
  <c r="CA754" i="17"/>
  <c r="BU754" i="17"/>
  <c r="BV753" i="17"/>
  <c r="BJ753" i="17"/>
  <c r="BK753" i="17" s="1"/>
  <c r="BO754" i="17"/>
  <c r="BP753" i="17"/>
  <c r="BK752" i="17"/>
  <c r="BI754" i="17"/>
  <c r="BD753" i="17"/>
  <c r="BE753" i="17" s="1"/>
  <c r="BE752" i="17"/>
  <c r="BC754" i="17"/>
  <c r="AW754" i="17"/>
  <c r="AX753" i="17"/>
  <c r="AE754" i="7"/>
  <c r="AF753" i="7"/>
  <c r="AG753" i="7"/>
  <c r="AH752" i="7"/>
  <c r="CF753" i="17" l="1"/>
  <c r="CG753" i="17" s="1"/>
  <c r="CE754" i="17"/>
  <c r="CA755" i="17"/>
  <c r="CB754" i="17"/>
  <c r="BV754" i="17"/>
  <c r="BW754" i="17" s="1"/>
  <c r="BP754" i="17"/>
  <c r="BQ754" i="17" s="1"/>
  <c r="BW753" i="17"/>
  <c r="BU755" i="17"/>
  <c r="BQ753" i="17"/>
  <c r="BO755" i="17"/>
  <c r="BI755" i="17"/>
  <c r="BJ754" i="17"/>
  <c r="BC755" i="17"/>
  <c r="BD754" i="17"/>
  <c r="AX754" i="17"/>
  <c r="AY754" i="17" s="1"/>
  <c r="AY753" i="17"/>
  <c r="AW755" i="17"/>
  <c r="AG754" i="7"/>
  <c r="AH753" i="7"/>
  <c r="AE755" i="7"/>
  <c r="AF754" i="7"/>
  <c r="CF754" i="17" l="1"/>
  <c r="CG754" i="17" s="1"/>
  <c r="CB755" i="17"/>
  <c r="CC755" i="17" s="1"/>
  <c r="CE755" i="17"/>
  <c r="CC754" i="17"/>
  <c r="CA756" i="17"/>
  <c r="BU756" i="17"/>
  <c r="BV755" i="17"/>
  <c r="BJ755" i="17"/>
  <c r="BK755" i="17" s="1"/>
  <c r="BO756" i="17"/>
  <c r="BP755" i="17"/>
  <c r="BD755" i="17"/>
  <c r="BE755" i="17" s="1"/>
  <c r="BK754" i="17"/>
  <c r="BI756" i="17"/>
  <c r="AX755" i="17"/>
  <c r="AY755" i="17" s="1"/>
  <c r="BE754" i="17"/>
  <c r="BC756" i="17"/>
  <c r="AW756" i="17"/>
  <c r="AE756" i="7"/>
  <c r="AF755" i="7"/>
  <c r="AG755" i="7"/>
  <c r="AH754" i="7"/>
  <c r="CF755" i="17" l="1"/>
  <c r="CG755" i="17" s="1"/>
  <c r="BP756" i="17"/>
  <c r="BQ756" i="17" s="1"/>
  <c r="CE756" i="17"/>
  <c r="BV756" i="17"/>
  <c r="CA757" i="17"/>
  <c r="CB756" i="17"/>
  <c r="BW755" i="17"/>
  <c r="BD756" i="17"/>
  <c r="BE756" i="17" s="1"/>
  <c r="BU757" i="17"/>
  <c r="BW756" i="17"/>
  <c r="BQ755" i="17"/>
  <c r="BO757" i="17"/>
  <c r="AX756" i="17"/>
  <c r="AY756" i="17" s="1"/>
  <c r="BI757" i="17"/>
  <c r="BJ756" i="17"/>
  <c r="BC757" i="17"/>
  <c r="AW757" i="17"/>
  <c r="AG756" i="7"/>
  <c r="AH755" i="7"/>
  <c r="AE757" i="7"/>
  <c r="AF756" i="7"/>
  <c r="CF756" i="17" l="1"/>
  <c r="CG756" i="17" s="1"/>
  <c r="CB757" i="17"/>
  <c r="CC757" i="17" s="1"/>
  <c r="CE757" i="17"/>
  <c r="BD757" i="17"/>
  <c r="BE757" i="17" s="1"/>
  <c r="CC756" i="17"/>
  <c r="CA758" i="17"/>
  <c r="BU758" i="17"/>
  <c r="BV757" i="17"/>
  <c r="BO758" i="17"/>
  <c r="BP757" i="17"/>
  <c r="BJ757" i="17"/>
  <c r="BK757" i="17" s="1"/>
  <c r="BK756" i="17"/>
  <c r="BI758" i="17"/>
  <c r="BC758" i="17"/>
  <c r="AW758" i="17"/>
  <c r="AX757" i="17"/>
  <c r="AE758" i="7"/>
  <c r="AF757" i="7"/>
  <c r="AG757" i="7"/>
  <c r="AH756" i="7"/>
  <c r="CE758" i="17" l="1"/>
  <c r="CF757" i="17"/>
  <c r="BV758" i="17"/>
  <c r="BP758" i="17"/>
  <c r="BQ758" i="17" s="1"/>
  <c r="CA759" i="17"/>
  <c r="CB758" i="17"/>
  <c r="BW757" i="17"/>
  <c r="BU759" i="17"/>
  <c r="BW758" i="17"/>
  <c r="BQ757" i="17"/>
  <c r="BO759" i="17"/>
  <c r="BI759" i="17"/>
  <c r="BJ758" i="17"/>
  <c r="BC759" i="17"/>
  <c r="BD758" i="17"/>
  <c r="AX758" i="17"/>
  <c r="AY758" i="17" s="1"/>
  <c r="AY757" i="17"/>
  <c r="AW759" i="17"/>
  <c r="AG758" i="7"/>
  <c r="AH757" i="7"/>
  <c r="AE759" i="7"/>
  <c r="AF759" i="7" s="1"/>
  <c r="AF758" i="7"/>
  <c r="BP759" i="17" l="1"/>
  <c r="CF758" i="17"/>
  <c r="CG758" i="17" s="1"/>
  <c r="CG757" i="17"/>
  <c r="CE759" i="17"/>
  <c r="CB759" i="17"/>
  <c r="CC758" i="17"/>
  <c r="BD759" i="17"/>
  <c r="BE759" i="17" s="1"/>
  <c r="CA760" i="17"/>
  <c r="CC759" i="17"/>
  <c r="BU760" i="17"/>
  <c r="BV759" i="17"/>
  <c r="BJ759" i="17"/>
  <c r="BK759" i="17" s="1"/>
  <c r="BO760" i="17"/>
  <c r="BQ759" i="17"/>
  <c r="BK758" i="17"/>
  <c r="BI760" i="17"/>
  <c r="BE758" i="17"/>
  <c r="BC760" i="17"/>
  <c r="AW760" i="17"/>
  <c r="AX759" i="17"/>
  <c r="AE760" i="7"/>
  <c r="AG759" i="7"/>
  <c r="AH758" i="7"/>
  <c r="CE760" i="17" l="1"/>
  <c r="CF759" i="17"/>
  <c r="BV760" i="17"/>
  <c r="CA761" i="17"/>
  <c r="CB760" i="17"/>
  <c r="BW759" i="17"/>
  <c r="BU761" i="17"/>
  <c r="BV761" i="17" s="1"/>
  <c r="BW760" i="17"/>
  <c r="BO761" i="17"/>
  <c r="BP760" i="17"/>
  <c r="BI761" i="17"/>
  <c r="BJ760" i="17"/>
  <c r="BC761" i="17"/>
  <c r="BD760" i="17"/>
  <c r="AX760" i="17"/>
  <c r="AY760" i="17" s="1"/>
  <c r="AY759" i="17"/>
  <c r="AW761" i="17"/>
  <c r="AE761" i="7"/>
  <c r="AF761" i="7"/>
  <c r="AG760" i="7"/>
  <c r="AH759" i="7"/>
  <c r="AF760" i="7"/>
  <c r="CF760" i="17" l="1"/>
  <c r="CG760" i="17" s="1"/>
  <c r="CB761" i="17"/>
  <c r="CC761" i="17" s="1"/>
  <c r="CG759" i="17"/>
  <c r="CE761" i="17"/>
  <c r="CC760" i="17"/>
  <c r="CA762" i="17"/>
  <c r="BP761" i="17"/>
  <c r="BQ761" i="17" s="1"/>
  <c r="BU762" i="17"/>
  <c r="BW761" i="17"/>
  <c r="BQ760" i="17"/>
  <c r="BJ761" i="17"/>
  <c r="BK761" i="17" s="1"/>
  <c r="BO762" i="17"/>
  <c r="BD761" i="17"/>
  <c r="BE761" i="17" s="1"/>
  <c r="BK760" i="17"/>
  <c r="BI762" i="17"/>
  <c r="BE760" i="17"/>
  <c r="BC762" i="17"/>
  <c r="AW762" i="17"/>
  <c r="AX761" i="17"/>
  <c r="AG761" i="7"/>
  <c r="AH760" i="7"/>
  <c r="AE762" i="7"/>
  <c r="AF762" i="7" s="1"/>
  <c r="CE762" i="17" l="1"/>
  <c r="CF761" i="17"/>
  <c r="CA763" i="17"/>
  <c r="CB762" i="17"/>
  <c r="BU763" i="17"/>
  <c r="BV762" i="17"/>
  <c r="BO763" i="17"/>
  <c r="BP762" i="17"/>
  <c r="BI763" i="17"/>
  <c r="BJ762" i="17"/>
  <c r="BC763" i="17"/>
  <c r="BD762" i="17"/>
  <c r="AX762" i="17"/>
  <c r="AY762" i="17" s="1"/>
  <c r="AY761" i="17"/>
  <c r="AW763" i="17"/>
  <c r="AE763" i="7"/>
  <c r="AG762" i="7"/>
  <c r="AH761" i="7"/>
  <c r="CB763" i="17" l="1"/>
  <c r="CC763" i="17" s="1"/>
  <c r="CF762" i="17"/>
  <c r="CG762" i="17" s="1"/>
  <c r="BV763" i="17"/>
  <c r="CG761" i="17"/>
  <c r="CE763" i="17"/>
  <c r="CC762" i="17"/>
  <c r="CA764" i="17"/>
  <c r="BW762" i="17"/>
  <c r="BU764" i="17"/>
  <c r="BW763" i="17"/>
  <c r="BP763" i="17"/>
  <c r="BQ763" i="17" s="1"/>
  <c r="BQ762" i="17"/>
  <c r="BO764" i="17"/>
  <c r="BJ763" i="17"/>
  <c r="BK763" i="17" s="1"/>
  <c r="BK762" i="17"/>
  <c r="BI764" i="17"/>
  <c r="BD763" i="17"/>
  <c r="BE763" i="17" s="1"/>
  <c r="BE762" i="17"/>
  <c r="BC764" i="17"/>
  <c r="AW764" i="17"/>
  <c r="AX763" i="17"/>
  <c r="AG763" i="7"/>
  <c r="AH762" i="7"/>
  <c r="AE764" i="7"/>
  <c r="AF763" i="7"/>
  <c r="CE764" i="17" l="1"/>
  <c r="CF763" i="17"/>
  <c r="CA765" i="17"/>
  <c r="CB764" i="17"/>
  <c r="BU765" i="17"/>
  <c r="BV764" i="17"/>
  <c r="BO765" i="17"/>
  <c r="BP764" i="17"/>
  <c r="BI765" i="17"/>
  <c r="BJ764" i="17"/>
  <c r="BC765" i="17"/>
  <c r="BD764" i="17"/>
  <c r="AX764" i="17"/>
  <c r="AY764" i="17" s="1"/>
  <c r="AY763" i="17"/>
  <c r="AW765" i="17"/>
  <c r="AE765" i="7"/>
  <c r="AF765" i="7"/>
  <c r="AF764" i="7"/>
  <c r="AG764" i="7"/>
  <c r="AH763" i="7"/>
  <c r="CB765" i="17" l="1"/>
  <c r="CC765" i="17" s="1"/>
  <c r="CF764" i="17"/>
  <c r="CG764" i="17" s="1"/>
  <c r="BV765" i="17"/>
  <c r="BW765" i="17" s="1"/>
  <c r="CG763" i="17"/>
  <c r="CE765" i="17"/>
  <c r="CC764" i="17"/>
  <c r="CA766" i="17"/>
  <c r="BP765" i="17"/>
  <c r="BQ765" i="17" s="1"/>
  <c r="BW764" i="17"/>
  <c r="BU766" i="17"/>
  <c r="BJ765" i="17"/>
  <c r="BK765" i="17" s="1"/>
  <c r="BD765" i="17"/>
  <c r="BE765" i="17" s="1"/>
  <c r="BQ764" i="17"/>
  <c r="BO766" i="17"/>
  <c r="BK764" i="17"/>
  <c r="BI766" i="17"/>
  <c r="BE764" i="17"/>
  <c r="BC766" i="17"/>
  <c r="AX765" i="17"/>
  <c r="AY765" i="17" s="1"/>
  <c r="AW766" i="17"/>
  <c r="AG765" i="7"/>
  <c r="AH764" i="7"/>
  <c r="AE766" i="7"/>
  <c r="AF766" i="7" s="1"/>
  <c r="BP766" i="17" l="1"/>
  <c r="BQ766" i="17" s="1"/>
  <c r="CE766" i="17"/>
  <c r="CF765" i="17"/>
  <c r="CA767" i="17"/>
  <c r="CB766" i="17"/>
  <c r="BU767" i="17"/>
  <c r="BV766" i="17"/>
  <c r="BO767" i="17"/>
  <c r="AX766" i="17"/>
  <c r="AY766" i="17" s="1"/>
  <c r="BI767" i="17"/>
  <c r="BJ766" i="17"/>
  <c r="BC767" i="17"/>
  <c r="BD766" i="17"/>
  <c r="AW767" i="17"/>
  <c r="AE767" i="7"/>
  <c r="AG766" i="7"/>
  <c r="AH765" i="7"/>
  <c r="CB767" i="17" l="1"/>
  <c r="CC767" i="17" s="1"/>
  <c r="CF766" i="17"/>
  <c r="CG766" i="17" s="1"/>
  <c r="BV767" i="17"/>
  <c r="BW767" i="17" s="1"/>
  <c r="CE767" i="17"/>
  <c r="CG765" i="17"/>
  <c r="CC766" i="17"/>
  <c r="CA768" i="17"/>
  <c r="BJ767" i="17"/>
  <c r="BK767" i="17" s="1"/>
  <c r="BW766" i="17"/>
  <c r="BU768" i="17"/>
  <c r="BO768" i="17"/>
  <c r="BP767" i="17"/>
  <c r="BD767" i="17"/>
  <c r="BE767" i="17" s="1"/>
  <c r="BK766" i="17"/>
  <c r="BI768" i="17"/>
  <c r="BE766" i="17"/>
  <c r="BC768" i="17"/>
  <c r="AW768" i="17"/>
  <c r="AX767" i="17"/>
  <c r="AG767" i="7"/>
  <c r="AH766" i="7"/>
  <c r="AE768" i="7"/>
  <c r="AF768" i="7" s="1"/>
  <c r="AF767" i="7"/>
  <c r="CF767" i="17" l="1"/>
  <c r="CG767" i="17" s="1"/>
  <c r="CE768" i="17"/>
  <c r="CA769" i="17"/>
  <c r="CB768" i="17"/>
  <c r="BP768" i="17"/>
  <c r="BQ768" i="17" s="1"/>
  <c r="BU769" i="17"/>
  <c r="BV768" i="17"/>
  <c r="BQ767" i="17"/>
  <c r="BO769" i="17"/>
  <c r="BI769" i="17"/>
  <c r="BJ768" i="17"/>
  <c r="AX768" i="17"/>
  <c r="AY768" i="17" s="1"/>
  <c r="BC769" i="17"/>
  <c r="BD768" i="17"/>
  <c r="AY767" i="17"/>
  <c r="AW769" i="17"/>
  <c r="AE769" i="7"/>
  <c r="AH767" i="7"/>
  <c r="AG768" i="7"/>
  <c r="CB769" i="17" l="1"/>
  <c r="CC769" i="17" s="1"/>
  <c r="CE769" i="17"/>
  <c r="CF768" i="17"/>
  <c r="CC768" i="17"/>
  <c r="BV769" i="17"/>
  <c r="BW769" i="17" s="1"/>
  <c r="CA770" i="17"/>
  <c r="BW768" i="17"/>
  <c r="BU770" i="17"/>
  <c r="BV770" i="17" s="1"/>
  <c r="BO770" i="17"/>
  <c r="BP769" i="17"/>
  <c r="BJ769" i="17"/>
  <c r="BK769" i="17" s="1"/>
  <c r="BK768" i="17"/>
  <c r="BI770" i="17"/>
  <c r="BD769" i="17"/>
  <c r="BE769" i="17" s="1"/>
  <c r="BE768" i="17"/>
  <c r="BC770" i="17"/>
  <c r="AW770" i="17"/>
  <c r="AX769" i="17"/>
  <c r="AH768" i="7"/>
  <c r="AG769" i="7"/>
  <c r="AE770" i="7"/>
  <c r="AF770" i="7" s="1"/>
  <c r="AF769" i="7"/>
  <c r="CF769" i="17" l="1"/>
  <c r="CG769" i="17" s="1"/>
  <c r="CE770" i="17"/>
  <c r="CG768" i="17"/>
  <c r="CA771" i="17"/>
  <c r="CB770" i="17"/>
  <c r="BU771" i="17"/>
  <c r="BW770" i="17"/>
  <c r="BP770" i="17"/>
  <c r="BQ770" i="17" s="1"/>
  <c r="BQ769" i="17"/>
  <c r="BO771" i="17"/>
  <c r="AX770" i="17"/>
  <c r="AY770" i="17" s="1"/>
  <c r="BI771" i="17"/>
  <c r="BJ770" i="17"/>
  <c r="BC771" i="17"/>
  <c r="BD770" i="17"/>
  <c r="AY769" i="17"/>
  <c r="AW771" i="17"/>
  <c r="AH769" i="7"/>
  <c r="AG770" i="7"/>
  <c r="AE771" i="7"/>
  <c r="BP771" i="17" l="1"/>
  <c r="BQ771" i="17" s="1"/>
  <c r="CB771" i="17"/>
  <c r="CC771" i="17" s="1"/>
  <c r="CE771" i="17"/>
  <c r="CF770" i="17"/>
  <c r="CC770" i="17"/>
  <c r="CA772" i="17"/>
  <c r="BU772" i="17"/>
  <c r="BV771" i="17"/>
  <c r="BJ771" i="17"/>
  <c r="BK771" i="17" s="1"/>
  <c r="BO772" i="17"/>
  <c r="BK770" i="17"/>
  <c r="BI772" i="17"/>
  <c r="BD771" i="17"/>
  <c r="BE771" i="17" s="1"/>
  <c r="BE770" i="17"/>
  <c r="BC772" i="17"/>
  <c r="AW772" i="17"/>
  <c r="AX771" i="17"/>
  <c r="AE772" i="7"/>
  <c r="AF771" i="7"/>
  <c r="AH770" i="7"/>
  <c r="AG771" i="7"/>
  <c r="CF771" i="17" l="1"/>
  <c r="CG771" i="17" s="1"/>
  <c r="CG770" i="17"/>
  <c r="CE772" i="17"/>
  <c r="BD772" i="17"/>
  <c r="BE772" i="17" s="1"/>
  <c r="CA773" i="17"/>
  <c r="CB772" i="17"/>
  <c r="BV772" i="17"/>
  <c r="BW772" i="17" s="1"/>
  <c r="BW771" i="17"/>
  <c r="BU773" i="17"/>
  <c r="BO773" i="17"/>
  <c r="BP772" i="17"/>
  <c r="BI773" i="17"/>
  <c r="BJ772" i="17"/>
  <c r="BC773" i="17"/>
  <c r="AX772" i="17"/>
  <c r="AY772" i="17" s="1"/>
  <c r="AY771" i="17"/>
  <c r="AW773" i="17"/>
  <c r="AH771" i="7"/>
  <c r="AG772" i="7"/>
  <c r="AE773" i="7"/>
  <c r="AF772" i="7"/>
  <c r="CB773" i="17" l="1"/>
  <c r="CC773" i="17" s="1"/>
  <c r="CE773" i="17"/>
  <c r="CF772" i="17"/>
  <c r="CC772" i="17"/>
  <c r="CA774" i="17"/>
  <c r="BJ773" i="17"/>
  <c r="BK773" i="17" s="1"/>
  <c r="BU774" i="17"/>
  <c r="BV773" i="17"/>
  <c r="BP773" i="17"/>
  <c r="BQ773" i="17" s="1"/>
  <c r="BQ772" i="17"/>
  <c r="BO774" i="17"/>
  <c r="BK772" i="17"/>
  <c r="BI774" i="17"/>
  <c r="BC774" i="17"/>
  <c r="BD773" i="17"/>
  <c r="AW774" i="17"/>
  <c r="AX773" i="17"/>
  <c r="AE774" i="7"/>
  <c r="AF774" i="7" s="1"/>
  <c r="AF773" i="7"/>
  <c r="AH772" i="7"/>
  <c r="AG773" i="7"/>
  <c r="CF773" i="17" l="1"/>
  <c r="CG773" i="17" s="1"/>
  <c r="CG772" i="17"/>
  <c r="CE774" i="17"/>
  <c r="BV774" i="17"/>
  <c r="CA775" i="17"/>
  <c r="CB774" i="17"/>
  <c r="BW773" i="17"/>
  <c r="BU775" i="17"/>
  <c r="BW774" i="17"/>
  <c r="BD774" i="17"/>
  <c r="BE774" i="17" s="1"/>
  <c r="BO775" i="17"/>
  <c r="BP774" i="17"/>
  <c r="BI775" i="17"/>
  <c r="BJ774" i="17"/>
  <c r="BE773" i="17"/>
  <c r="AX774" i="17"/>
  <c r="AY774" i="17" s="1"/>
  <c r="BC775" i="17"/>
  <c r="AY773" i="17"/>
  <c r="AW775" i="17"/>
  <c r="AH773" i="7"/>
  <c r="AG774" i="7"/>
  <c r="AE775" i="7"/>
  <c r="AF775" i="7"/>
  <c r="CB775" i="17" l="1"/>
  <c r="CC775" i="17" s="1"/>
  <c r="CE775" i="17"/>
  <c r="CF774" i="17"/>
  <c r="CC774" i="17"/>
  <c r="CA776" i="17"/>
  <c r="BP775" i="17"/>
  <c r="BQ775" i="17" s="1"/>
  <c r="AX775" i="17"/>
  <c r="AY775" i="17" s="1"/>
  <c r="BU776" i="17"/>
  <c r="BV775" i="17"/>
  <c r="BQ774" i="17"/>
  <c r="BO776" i="17"/>
  <c r="BJ775" i="17"/>
  <c r="BK775" i="17" s="1"/>
  <c r="BK774" i="17"/>
  <c r="BI776" i="17"/>
  <c r="BC776" i="17"/>
  <c r="BD775" i="17"/>
  <c r="AW776" i="17"/>
  <c r="AH774" i="7"/>
  <c r="AG775" i="7"/>
  <c r="AE776" i="7"/>
  <c r="AF776" i="7"/>
  <c r="CF775" i="17" l="1"/>
  <c r="CG775" i="17" s="1"/>
  <c r="AX776" i="17"/>
  <c r="AY776" i="17" s="1"/>
  <c r="CG774" i="17"/>
  <c r="CE776" i="17"/>
  <c r="CA777" i="17"/>
  <c r="CB776" i="17"/>
  <c r="BV776" i="17"/>
  <c r="BW776" i="17" s="1"/>
  <c r="BU777" i="17"/>
  <c r="BW775" i="17"/>
  <c r="BD776" i="17"/>
  <c r="BE776" i="17" s="1"/>
  <c r="BO777" i="17"/>
  <c r="BP776" i="17"/>
  <c r="BI777" i="17"/>
  <c r="BJ776" i="17"/>
  <c r="BE775" i="17"/>
  <c r="BC777" i="17"/>
  <c r="AW777" i="17"/>
  <c r="AE777" i="7"/>
  <c r="AF777" i="7"/>
  <c r="AH775" i="7"/>
  <c r="AG776" i="7"/>
  <c r="AX777" i="17" l="1"/>
  <c r="AY777" i="17" s="1"/>
  <c r="BV777" i="17"/>
  <c r="BW777" i="17" s="1"/>
  <c r="CB777" i="17"/>
  <c r="CC777" i="17" s="1"/>
  <c r="CE777" i="17"/>
  <c r="CF776" i="17"/>
  <c r="CF777" i="17" s="1"/>
  <c r="CC776" i="17"/>
  <c r="CA778" i="17"/>
  <c r="BU778" i="17"/>
  <c r="BJ777" i="17"/>
  <c r="BK777" i="17" s="1"/>
  <c r="BP777" i="17"/>
  <c r="BQ777" i="17" s="1"/>
  <c r="BQ776" i="17"/>
  <c r="BO778" i="17"/>
  <c r="BK776" i="17"/>
  <c r="BI778" i="17"/>
  <c r="BC778" i="17"/>
  <c r="BD777" i="17"/>
  <c r="AW778" i="17"/>
  <c r="AH776" i="7"/>
  <c r="AG777" i="7"/>
  <c r="AE778" i="7"/>
  <c r="AF778" i="7"/>
  <c r="CG776" i="17" l="1"/>
  <c r="CE778" i="17"/>
  <c r="CG777" i="17"/>
  <c r="CA779" i="17"/>
  <c r="CB778" i="17"/>
  <c r="BU779" i="17"/>
  <c r="BV778" i="17"/>
  <c r="BO779" i="17"/>
  <c r="BP778" i="17"/>
  <c r="BI779" i="17"/>
  <c r="BJ778" i="17"/>
  <c r="BD778" i="17"/>
  <c r="BE778" i="17" s="1"/>
  <c r="BE777" i="17"/>
  <c r="BC779" i="17"/>
  <c r="AW779" i="17"/>
  <c r="AX778" i="17"/>
  <c r="AH777" i="7"/>
  <c r="AG778" i="7"/>
  <c r="AE779" i="7"/>
  <c r="AF779" i="7" s="1"/>
  <c r="BV779" i="17" l="1"/>
  <c r="BW779" i="17" s="1"/>
  <c r="CB779" i="17"/>
  <c r="CC779" i="17" s="1"/>
  <c r="CE779" i="17"/>
  <c r="CF778" i="17"/>
  <c r="CF779" i="17" s="1"/>
  <c r="CC778" i="17"/>
  <c r="CA780" i="17"/>
  <c r="BW778" i="17"/>
  <c r="BU780" i="17"/>
  <c r="BJ779" i="17"/>
  <c r="BK779" i="17" s="1"/>
  <c r="BP779" i="17"/>
  <c r="BQ779" i="17" s="1"/>
  <c r="BQ778" i="17"/>
  <c r="BO780" i="17"/>
  <c r="BK778" i="17"/>
  <c r="BI780" i="17"/>
  <c r="AX779" i="17"/>
  <c r="AY779" i="17" s="1"/>
  <c r="BC780" i="17"/>
  <c r="BD779" i="17"/>
  <c r="AY778" i="17"/>
  <c r="AW780" i="17"/>
  <c r="AG779" i="7"/>
  <c r="AH778" i="7"/>
  <c r="AE780" i="7"/>
  <c r="BV780" i="17" l="1"/>
  <c r="BW780" i="17" s="1"/>
  <c r="CG778" i="17"/>
  <c r="CE780" i="17"/>
  <c r="CG779" i="17"/>
  <c r="CA781" i="17"/>
  <c r="CB780" i="17"/>
  <c r="BU781" i="17"/>
  <c r="AX780" i="17"/>
  <c r="AY780" i="17" s="1"/>
  <c r="BO781" i="17"/>
  <c r="BP780" i="17"/>
  <c r="BI781" i="17"/>
  <c r="BJ780" i="17"/>
  <c r="BD780" i="17"/>
  <c r="BE780" i="17" s="1"/>
  <c r="BE779" i="17"/>
  <c r="BC781" i="17"/>
  <c r="AW781" i="17"/>
  <c r="AE781" i="7"/>
  <c r="AF780" i="7"/>
  <c r="AH779" i="7"/>
  <c r="AG780" i="7"/>
  <c r="CB781" i="17" l="1"/>
  <c r="CC781" i="17" s="1"/>
  <c r="CE781" i="17"/>
  <c r="CF780" i="17"/>
  <c r="CC780" i="17"/>
  <c r="CA782" i="17"/>
  <c r="BP781" i="17"/>
  <c r="BQ781" i="17" s="1"/>
  <c r="BU782" i="17"/>
  <c r="BV781" i="17"/>
  <c r="BJ781" i="17"/>
  <c r="BK781" i="17" s="1"/>
  <c r="BQ780" i="17"/>
  <c r="BO782" i="17"/>
  <c r="BK780" i="17"/>
  <c r="BI782" i="17"/>
  <c r="BC782" i="17"/>
  <c r="BD781" i="17"/>
  <c r="AW782" i="17"/>
  <c r="AX781" i="17"/>
  <c r="AH780" i="7"/>
  <c r="AG781" i="7"/>
  <c r="AE782" i="7"/>
  <c r="AF782" i="7" s="1"/>
  <c r="AF781" i="7"/>
  <c r="CF781" i="17" l="1"/>
  <c r="CG781" i="17" s="1"/>
  <c r="CG780" i="17"/>
  <c r="CE782" i="17"/>
  <c r="CA783" i="17"/>
  <c r="CB782" i="17"/>
  <c r="BV782" i="17"/>
  <c r="BW782" i="17" s="1"/>
  <c r="BW781" i="17"/>
  <c r="BU783" i="17"/>
  <c r="BO783" i="17"/>
  <c r="BP782" i="17"/>
  <c r="BI783" i="17"/>
  <c r="BJ782" i="17"/>
  <c r="BD782" i="17"/>
  <c r="BE782" i="17" s="1"/>
  <c r="BE781" i="17"/>
  <c r="BC783" i="17"/>
  <c r="AX782" i="17"/>
  <c r="AY782" i="17" s="1"/>
  <c r="AY781" i="17"/>
  <c r="AW783" i="17"/>
  <c r="AH781" i="7"/>
  <c r="AG782" i="7"/>
  <c r="AE783" i="7"/>
  <c r="CB783" i="17" l="1"/>
  <c r="CC783" i="17" s="1"/>
  <c r="CE783" i="17"/>
  <c r="CF782" i="17"/>
  <c r="CC782" i="17"/>
  <c r="CA784" i="17"/>
  <c r="BU784" i="17"/>
  <c r="BV783" i="17"/>
  <c r="BP783" i="17"/>
  <c r="BQ783" i="17" s="1"/>
  <c r="BJ783" i="17"/>
  <c r="BK783" i="17" s="1"/>
  <c r="BQ782" i="17"/>
  <c r="BO784" i="17"/>
  <c r="BK782" i="17"/>
  <c r="BI784" i="17"/>
  <c r="BC784" i="17"/>
  <c r="BD783" i="17"/>
  <c r="AW784" i="17"/>
  <c r="AX783" i="17"/>
  <c r="AE784" i="7"/>
  <c r="AF783" i="7"/>
  <c r="AH782" i="7"/>
  <c r="AG783" i="7"/>
  <c r="BP784" i="17" l="1"/>
  <c r="BQ784" i="17" s="1"/>
  <c r="CF783" i="17"/>
  <c r="CG783" i="17" s="1"/>
  <c r="CG782" i="17"/>
  <c r="CE784" i="17"/>
  <c r="BV784" i="17"/>
  <c r="CA785" i="17"/>
  <c r="CB784" i="17"/>
  <c r="BW783" i="17"/>
  <c r="BD784" i="17"/>
  <c r="BE784" i="17" s="1"/>
  <c r="BU785" i="17"/>
  <c r="BW784" i="17"/>
  <c r="AX784" i="17"/>
  <c r="AY784" i="17" s="1"/>
  <c r="BO785" i="17"/>
  <c r="BP785" i="17" s="1"/>
  <c r="BI785" i="17"/>
  <c r="BJ784" i="17"/>
  <c r="BE783" i="17"/>
  <c r="BC785" i="17"/>
  <c r="AY783" i="17"/>
  <c r="AW785" i="17"/>
  <c r="AH783" i="7"/>
  <c r="AG784" i="7"/>
  <c r="AE785" i="7"/>
  <c r="AF785" i="7" s="1"/>
  <c r="AF784" i="7"/>
  <c r="CB785" i="17" l="1"/>
  <c r="CC785" i="17" s="1"/>
  <c r="CE785" i="17"/>
  <c r="CF784" i="17"/>
  <c r="CC784" i="17"/>
  <c r="BD785" i="17"/>
  <c r="BE785" i="17" s="1"/>
  <c r="CA786" i="17"/>
  <c r="BU786" i="17"/>
  <c r="BV785" i="17"/>
  <c r="BO786" i="17"/>
  <c r="BQ785" i="17"/>
  <c r="BJ785" i="17"/>
  <c r="BK785" i="17" s="1"/>
  <c r="BK784" i="17"/>
  <c r="BI786" i="17"/>
  <c r="BC786" i="17"/>
  <c r="AW786" i="17"/>
  <c r="AX785" i="17"/>
  <c r="AE786" i="7"/>
  <c r="AH784" i="7"/>
  <c r="AG785" i="7"/>
  <c r="CF785" i="17" l="1"/>
  <c r="CG785" i="17" s="1"/>
  <c r="BD786" i="17"/>
  <c r="BE786" i="17" s="1"/>
  <c r="CG784" i="17"/>
  <c r="CE786" i="17"/>
  <c r="BV786" i="17"/>
  <c r="BW786" i="17" s="1"/>
  <c r="CA787" i="17"/>
  <c r="CB786" i="17"/>
  <c r="BW785" i="17"/>
  <c r="BU787" i="17"/>
  <c r="BO787" i="17"/>
  <c r="BP786" i="17"/>
  <c r="BI787" i="17"/>
  <c r="BJ786" i="17"/>
  <c r="AX786" i="17"/>
  <c r="AY786" i="17" s="1"/>
  <c r="BC787" i="17"/>
  <c r="AY785" i="17"/>
  <c r="AW787" i="17"/>
  <c r="AH785" i="7"/>
  <c r="AG786" i="7"/>
  <c r="AE787" i="7"/>
  <c r="AF787" i="7" s="1"/>
  <c r="AF786" i="7"/>
  <c r="CB787" i="17" l="1"/>
  <c r="CC787" i="17" s="1"/>
  <c r="CE787" i="17"/>
  <c r="CF786" i="17"/>
  <c r="CC786" i="17"/>
  <c r="CA788" i="17"/>
  <c r="BU788" i="17"/>
  <c r="BV787" i="17"/>
  <c r="BP787" i="17"/>
  <c r="BQ787" i="17" s="1"/>
  <c r="BQ786" i="17"/>
  <c r="BO788" i="17"/>
  <c r="BJ787" i="17"/>
  <c r="BK787" i="17" s="1"/>
  <c r="BK786" i="17"/>
  <c r="BI788" i="17"/>
  <c r="BC788" i="17"/>
  <c r="BD787" i="17"/>
  <c r="AW788" i="17"/>
  <c r="AX787" i="17"/>
  <c r="AH786" i="7"/>
  <c r="AG787" i="7"/>
  <c r="AE788" i="7"/>
  <c r="CF787" i="17" l="1"/>
  <c r="CG787" i="17" s="1"/>
  <c r="CG786" i="17"/>
  <c r="CE788" i="17"/>
  <c r="CA789" i="17"/>
  <c r="CB788" i="17"/>
  <c r="BV788" i="17"/>
  <c r="BW788" i="17" s="1"/>
  <c r="BW787" i="17"/>
  <c r="BU789" i="17"/>
  <c r="BO789" i="17"/>
  <c r="BP788" i="17"/>
  <c r="BI789" i="17"/>
  <c r="BJ788" i="17"/>
  <c r="BD788" i="17"/>
  <c r="BE788" i="17" s="1"/>
  <c r="BE787" i="17"/>
  <c r="BC789" i="17"/>
  <c r="AX788" i="17"/>
  <c r="AY788" i="17" s="1"/>
  <c r="AY787" i="17"/>
  <c r="AW789" i="17"/>
  <c r="AE789" i="7"/>
  <c r="AF788" i="7"/>
  <c r="AH787" i="7"/>
  <c r="AG788" i="7"/>
  <c r="CB789" i="17" l="1"/>
  <c r="CC789" i="17" s="1"/>
  <c r="CE789" i="17"/>
  <c r="CF788" i="17"/>
  <c r="CC788" i="17"/>
  <c r="CA790" i="17"/>
  <c r="BP789" i="17"/>
  <c r="BQ789" i="17" s="1"/>
  <c r="BU790" i="17"/>
  <c r="BV789" i="17"/>
  <c r="BQ788" i="17"/>
  <c r="BO790" i="17"/>
  <c r="BJ789" i="17"/>
  <c r="BK789" i="17" s="1"/>
  <c r="BK788" i="17"/>
  <c r="BI790" i="17"/>
  <c r="BC790" i="17"/>
  <c r="BD789" i="17"/>
  <c r="AW790" i="17"/>
  <c r="AX789" i="17"/>
  <c r="AH788" i="7"/>
  <c r="AG789" i="7"/>
  <c r="AF790" i="7"/>
  <c r="AE790" i="7"/>
  <c r="AF789" i="7"/>
  <c r="CF789" i="17" l="1"/>
  <c r="CG789" i="17" s="1"/>
  <c r="CG788" i="17"/>
  <c r="CE790" i="17"/>
  <c r="CA791" i="17"/>
  <c r="CB790" i="17"/>
  <c r="BV790" i="17"/>
  <c r="BW790" i="17" s="1"/>
  <c r="BW789" i="17"/>
  <c r="BU791" i="17"/>
  <c r="BO791" i="17"/>
  <c r="BP790" i="17"/>
  <c r="BD790" i="17"/>
  <c r="BE790" i="17" s="1"/>
  <c r="BI791" i="17"/>
  <c r="BJ790" i="17"/>
  <c r="BE789" i="17"/>
  <c r="BC791" i="17"/>
  <c r="AW791" i="17"/>
  <c r="AX790" i="17"/>
  <c r="AY789" i="17"/>
  <c r="AE791" i="7"/>
  <c r="AF791" i="7" s="1"/>
  <c r="AH789" i="7"/>
  <c r="AG790" i="7"/>
  <c r="CB791" i="17" l="1"/>
  <c r="CC791" i="17" s="1"/>
  <c r="CE791" i="17"/>
  <c r="CF790" i="17"/>
  <c r="CC790" i="17"/>
  <c r="CA792" i="17"/>
  <c r="BJ791" i="17"/>
  <c r="BK791" i="17" s="1"/>
  <c r="BU792" i="17"/>
  <c r="BV791" i="17"/>
  <c r="BP791" i="17"/>
  <c r="BQ791" i="17" s="1"/>
  <c r="BQ790" i="17"/>
  <c r="BO792" i="17"/>
  <c r="AX791" i="17"/>
  <c r="AY791" i="17" s="1"/>
  <c r="BK790" i="17"/>
  <c r="BI792" i="17"/>
  <c r="BC792" i="17"/>
  <c r="BD791" i="17"/>
  <c r="AY790" i="17"/>
  <c r="AW792" i="17"/>
  <c r="AH790" i="7"/>
  <c r="AG791" i="7"/>
  <c r="AE792" i="7"/>
  <c r="CF791" i="17" l="1"/>
  <c r="CG791" i="17" s="1"/>
  <c r="CG790" i="17"/>
  <c r="CE792" i="17"/>
  <c r="CA793" i="17"/>
  <c r="CB792" i="17"/>
  <c r="BV792" i="17"/>
  <c r="BW792" i="17" s="1"/>
  <c r="BW791" i="17"/>
  <c r="BU793" i="17"/>
  <c r="BO793" i="17"/>
  <c r="BP792" i="17"/>
  <c r="BI793" i="17"/>
  <c r="BJ792" i="17"/>
  <c r="BD792" i="17"/>
  <c r="BE792" i="17" s="1"/>
  <c r="BE791" i="17"/>
  <c r="BC793" i="17"/>
  <c r="AW793" i="17"/>
  <c r="AX792" i="17"/>
  <c r="AE793" i="7"/>
  <c r="AF792" i="7"/>
  <c r="AH791" i="7"/>
  <c r="AG792" i="7"/>
  <c r="BV793" i="17" l="1"/>
  <c r="BW793" i="17" s="1"/>
  <c r="CB793" i="17"/>
  <c r="CC793" i="17" s="1"/>
  <c r="CE793" i="17"/>
  <c r="CF792" i="17"/>
  <c r="CF793" i="17" s="1"/>
  <c r="CC792" i="17"/>
  <c r="CA794" i="17"/>
  <c r="BP793" i="17"/>
  <c r="BQ793" i="17" s="1"/>
  <c r="BU794" i="17"/>
  <c r="BQ792" i="17"/>
  <c r="BO794" i="17"/>
  <c r="BJ793" i="17"/>
  <c r="BK793" i="17" s="1"/>
  <c r="BK792" i="17"/>
  <c r="BI794" i="17"/>
  <c r="BC794" i="17"/>
  <c r="BD793" i="17"/>
  <c r="AX793" i="17"/>
  <c r="AY793" i="17" s="1"/>
  <c r="AY792" i="17"/>
  <c r="AW794" i="17"/>
  <c r="AH792" i="7"/>
  <c r="AG793" i="7"/>
  <c r="AE794" i="7"/>
  <c r="AF794" i="7" s="1"/>
  <c r="AF793" i="7"/>
  <c r="BP794" i="17" l="1"/>
  <c r="BQ794" i="17" s="1"/>
  <c r="CG792" i="17"/>
  <c r="CE794" i="17"/>
  <c r="CG793" i="17"/>
  <c r="CA795" i="17"/>
  <c r="CB794" i="17"/>
  <c r="BU795" i="17"/>
  <c r="BV794" i="17"/>
  <c r="BO795" i="17"/>
  <c r="BI795" i="17"/>
  <c r="BJ794" i="17"/>
  <c r="BD794" i="17"/>
  <c r="BE794" i="17" s="1"/>
  <c r="BE793" i="17"/>
  <c r="BC795" i="17"/>
  <c r="AW795" i="17"/>
  <c r="AX794" i="17"/>
  <c r="AH793" i="7"/>
  <c r="AG794" i="7"/>
  <c r="AE795" i="7"/>
  <c r="CB795" i="17" l="1"/>
  <c r="CC795" i="17" s="1"/>
  <c r="CE795" i="17"/>
  <c r="CF794" i="17"/>
  <c r="CC794" i="17"/>
  <c r="CA796" i="17"/>
  <c r="BV795" i="17"/>
  <c r="BW795" i="17" s="1"/>
  <c r="BJ795" i="17"/>
  <c r="BK795" i="17" s="1"/>
  <c r="BW794" i="17"/>
  <c r="BU796" i="17"/>
  <c r="BO796" i="17"/>
  <c r="BP795" i="17"/>
  <c r="BK794" i="17"/>
  <c r="BI796" i="17"/>
  <c r="BC796" i="17"/>
  <c r="BD795" i="17"/>
  <c r="AX795" i="17"/>
  <c r="AY795" i="17" s="1"/>
  <c r="AY794" i="17"/>
  <c r="AW796" i="17"/>
  <c r="AE796" i="7"/>
  <c r="AF796" i="7" s="1"/>
  <c r="AF795" i="7"/>
  <c r="AH794" i="7"/>
  <c r="AG795" i="7"/>
  <c r="CF795" i="17" l="1"/>
  <c r="CG795" i="17" s="1"/>
  <c r="CG794" i="17"/>
  <c r="CE796" i="17"/>
  <c r="CA797" i="17"/>
  <c r="CB796" i="17"/>
  <c r="BU797" i="17"/>
  <c r="BV796" i="17"/>
  <c r="BP796" i="17"/>
  <c r="BQ796" i="17" s="1"/>
  <c r="BQ795" i="17"/>
  <c r="BO797" i="17"/>
  <c r="BI797" i="17"/>
  <c r="BJ796" i="17"/>
  <c r="BD796" i="17"/>
  <c r="BE796" i="17" s="1"/>
  <c r="BE795" i="17"/>
  <c r="BC797" i="17"/>
  <c r="AW797" i="17"/>
  <c r="AX796" i="17"/>
  <c r="AH795" i="7"/>
  <c r="AG796" i="7"/>
  <c r="AE797" i="7"/>
  <c r="AF797" i="7" s="1"/>
  <c r="BP797" i="17" l="1"/>
  <c r="BQ797" i="17" s="1"/>
  <c r="BV797" i="17"/>
  <c r="BW797" i="17" s="1"/>
  <c r="CE797" i="17"/>
  <c r="CF796" i="17"/>
  <c r="CF797" i="17" s="1"/>
  <c r="CB797" i="17"/>
  <c r="CC796" i="17"/>
  <c r="CA798" i="17"/>
  <c r="CC797" i="17"/>
  <c r="BW796" i="17"/>
  <c r="BU798" i="17"/>
  <c r="BO798" i="17"/>
  <c r="BJ797" i="17"/>
  <c r="BK797" i="17" s="1"/>
  <c r="BK796" i="17"/>
  <c r="BI798" i="17"/>
  <c r="AX797" i="17"/>
  <c r="AY797" i="17" s="1"/>
  <c r="BC798" i="17"/>
  <c r="BD797" i="17"/>
  <c r="AY796" i="17"/>
  <c r="AW798" i="17"/>
  <c r="AE798" i="7"/>
  <c r="AH796" i="7"/>
  <c r="AG797" i="7"/>
  <c r="BV798" i="17" l="1"/>
  <c r="BW798" i="17" s="1"/>
  <c r="BP798" i="17"/>
  <c r="BQ798" i="17" s="1"/>
  <c r="CG796" i="17"/>
  <c r="CE798" i="17"/>
  <c r="CG797" i="17"/>
  <c r="CA799" i="17"/>
  <c r="CB798" i="17"/>
  <c r="BU799" i="17"/>
  <c r="BO799" i="17"/>
  <c r="BD798" i="17"/>
  <c r="BE798" i="17" s="1"/>
  <c r="BI799" i="17"/>
  <c r="BJ798" i="17"/>
  <c r="BE797" i="17"/>
  <c r="BC799" i="17"/>
  <c r="AW799" i="17"/>
  <c r="AX798" i="17"/>
  <c r="AH797" i="7"/>
  <c r="AG798" i="7"/>
  <c r="AE799" i="7"/>
  <c r="AF798" i="7"/>
  <c r="CB799" i="17" l="1"/>
  <c r="CC799" i="17" s="1"/>
  <c r="CE799" i="17"/>
  <c r="CF798" i="17"/>
  <c r="CC798" i="17"/>
  <c r="CA800" i="17"/>
  <c r="BJ799" i="17"/>
  <c r="BK799" i="17" s="1"/>
  <c r="BU800" i="17"/>
  <c r="BV799" i="17"/>
  <c r="BO800" i="17"/>
  <c r="BP799" i="17"/>
  <c r="AX799" i="17"/>
  <c r="AY799" i="17" s="1"/>
  <c r="BK798" i="17"/>
  <c r="BI800" i="17"/>
  <c r="BC800" i="17"/>
  <c r="BD799" i="17"/>
  <c r="AY798" i="17"/>
  <c r="AW800" i="17"/>
  <c r="AE800" i="7"/>
  <c r="AF799" i="7"/>
  <c r="AH798" i="7"/>
  <c r="AG799" i="7"/>
  <c r="CF799" i="17" l="1"/>
  <c r="CG799" i="17" s="1"/>
  <c r="CG798" i="17"/>
  <c r="CE800" i="17"/>
  <c r="CA801" i="17"/>
  <c r="CB800" i="17"/>
  <c r="BJ800" i="17"/>
  <c r="BK800" i="17" s="1"/>
  <c r="BV800" i="17"/>
  <c r="BW800" i="17" s="1"/>
  <c r="BW799" i="17"/>
  <c r="BU801" i="17"/>
  <c r="BP800" i="17"/>
  <c r="BQ800" i="17" s="1"/>
  <c r="BQ799" i="17"/>
  <c r="BO801" i="17"/>
  <c r="BD800" i="17"/>
  <c r="BE800" i="17" s="1"/>
  <c r="BI801" i="17"/>
  <c r="BE799" i="17"/>
  <c r="BC801" i="17"/>
  <c r="AW801" i="17"/>
  <c r="AX800" i="17"/>
  <c r="AH799" i="7"/>
  <c r="AG800" i="7"/>
  <c r="AE801" i="7"/>
  <c r="AF800" i="7"/>
  <c r="CB801" i="17" l="1"/>
  <c r="CC801" i="17" s="1"/>
  <c r="CE801" i="17"/>
  <c r="CF800" i="17"/>
  <c r="BJ801" i="17"/>
  <c r="BK801" i="17" s="1"/>
  <c r="CC800" i="17"/>
  <c r="CA802" i="17"/>
  <c r="BU802" i="17"/>
  <c r="BV801" i="17"/>
  <c r="BO802" i="17"/>
  <c r="BP801" i="17"/>
  <c r="BI802" i="17"/>
  <c r="AX801" i="17"/>
  <c r="AY801" i="17" s="1"/>
  <c r="BC802" i="17"/>
  <c r="BD801" i="17"/>
  <c r="AY800" i="17"/>
  <c r="AW802" i="17"/>
  <c r="AH800" i="7"/>
  <c r="AG801" i="7"/>
  <c r="AE802" i="7"/>
  <c r="AF801" i="7"/>
  <c r="CB802" i="17" l="1"/>
  <c r="CC802" i="17" s="1"/>
  <c r="CF801" i="17"/>
  <c r="CG801" i="17" s="1"/>
  <c r="BP802" i="17"/>
  <c r="BQ802" i="17" s="1"/>
  <c r="CG800" i="17"/>
  <c r="CE802" i="17"/>
  <c r="CA803" i="17"/>
  <c r="BV802" i="17"/>
  <c r="BW802" i="17" s="1"/>
  <c r="BW801" i="17"/>
  <c r="BU803" i="17"/>
  <c r="BQ801" i="17"/>
  <c r="BO803" i="17"/>
  <c r="BI803" i="17"/>
  <c r="BJ802" i="17"/>
  <c r="BD802" i="17"/>
  <c r="BE802" i="17" s="1"/>
  <c r="BE801" i="17"/>
  <c r="BC803" i="17"/>
  <c r="AW803" i="17"/>
  <c r="AX802" i="17"/>
  <c r="AE803" i="7"/>
  <c r="AF802" i="7"/>
  <c r="AH801" i="7"/>
  <c r="AG802" i="7"/>
  <c r="CB803" i="17" l="1"/>
  <c r="CC803" i="17" s="1"/>
  <c r="CF802" i="17"/>
  <c r="CG802" i="17" s="1"/>
  <c r="CE803" i="17"/>
  <c r="CA804" i="17"/>
  <c r="BU804" i="17"/>
  <c r="BV803" i="17"/>
  <c r="BO804" i="17"/>
  <c r="BP803" i="17"/>
  <c r="BD803" i="17"/>
  <c r="BE803" i="17" s="1"/>
  <c r="BJ803" i="17"/>
  <c r="BK803" i="17" s="1"/>
  <c r="BK802" i="17"/>
  <c r="BI804" i="17"/>
  <c r="BC804" i="17"/>
  <c r="AX803" i="17"/>
  <c r="AY803" i="17" s="1"/>
  <c r="AY802" i="17"/>
  <c r="AW804" i="17"/>
  <c r="AH802" i="7"/>
  <c r="AG803" i="7"/>
  <c r="AE804" i="7"/>
  <c r="AF804" i="7" s="1"/>
  <c r="AF803" i="7"/>
  <c r="BD804" i="17" l="1"/>
  <c r="BE804" i="17" s="1"/>
  <c r="CE804" i="17"/>
  <c r="CF803" i="17"/>
  <c r="CA805" i="17"/>
  <c r="CB804" i="17"/>
  <c r="BP804" i="17"/>
  <c r="BQ804" i="17" s="1"/>
  <c r="BV804" i="17"/>
  <c r="BW804" i="17" s="1"/>
  <c r="BW803" i="17"/>
  <c r="BU805" i="17"/>
  <c r="BQ803" i="17"/>
  <c r="BO805" i="17"/>
  <c r="BI805" i="17"/>
  <c r="BJ804" i="17"/>
  <c r="BC805" i="17"/>
  <c r="AW805" i="17"/>
  <c r="AX804" i="17"/>
  <c r="AE805" i="7"/>
  <c r="AH803" i="7"/>
  <c r="AG804" i="7"/>
  <c r="CF804" i="17" l="1"/>
  <c r="CG804" i="17" s="1"/>
  <c r="CG803" i="17"/>
  <c r="CE805" i="17"/>
  <c r="CB805" i="17"/>
  <c r="CC805" i="17" s="1"/>
  <c r="CC804" i="17"/>
  <c r="CA806" i="17"/>
  <c r="BU806" i="17"/>
  <c r="BV805" i="17"/>
  <c r="BO806" i="17"/>
  <c r="BP805" i="17"/>
  <c r="BJ805" i="17"/>
  <c r="BK805" i="17" s="1"/>
  <c r="BK804" i="17"/>
  <c r="BI806" i="17"/>
  <c r="AX805" i="17"/>
  <c r="AY805" i="17" s="1"/>
  <c r="BC806" i="17"/>
  <c r="BD805" i="17"/>
  <c r="AY804" i="17"/>
  <c r="AW806" i="17"/>
  <c r="AH804" i="7"/>
  <c r="AG805" i="7"/>
  <c r="AE806" i="7"/>
  <c r="AF805" i="7"/>
  <c r="CE806" i="17" l="1"/>
  <c r="CF805" i="17"/>
  <c r="CA807" i="17"/>
  <c r="CB806" i="17"/>
  <c r="BV806" i="17"/>
  <c r="BP806" i="17"/>
  <c r="BQ806" i="17" s="1"/>
  <c r="AX806" i="17"/>
  <c r="AY806" i="17" s="1"/>
  <c r="BW805" i="17"/>
  <c r="BU807" i="17"/>
  <c r="BW806" i="17"/>
  <c r="BQ805" i="17"/>
  <c r="BO807" i="17"/>
  <c r="BI807" i="17"/>
  <c r="BJ806" i="17"/>
  <c r="BD806" i="17"/>
  <c r="BE806" i="17" s="1"/>
  <c r="BE805" i="17"/>
  <c r="BC807" i="17"/>
  <c r="AW807" i="17"/>
  <c r="AE807" i="7"/>
  <c r="AF806" i="7"/>
  <c r="AH805" i="7"/>
  <c r="AG806" i="7"/>
  <c r="CB807" i="17" l="1"/>
  <c r="CC807" i="17" s="1"/>
  <c r="CF806" i="17"/>
  <c r="CG806" i="17" s="1"/>
  <c r="AX807" i="17"/>
  <c r="AY807" i="17" s="1"/>
  <c r="CG805" i="17"/>
  <c r="BP807" i="17"/>
  <c r="BQ807" i="17" s="1"/>
  <c r="CE807" i="17"/>
  <c r="CC806" i="17"/>
  <c r="CA808" i="17"/>
  <c r="BU808" i="17"/>
  <c r="BD807" i="17"/>
  <c r="BE807" i="17" s="1"/>
  <c r="BV807" i="17"/>
  <c r="BO808" i="17"/>
  <c r="BJ807" i="17"/>
  <c r="BK807" i="17" s="1"/>
  <c r="BK806" i="17"/>
  <c r="BI808" i="17"/>
  <c r="BC808" i="17"/>
  <c r="AW808" i="17"/>
  <c r="AH806" i="7"/>
  <c r="AG807" i="7"/>
  <c r="AE808" i="7"/>
  <c r="AF807" i="7"/>
  <c r="CF807" i="17" l="1"/>
  <c r="CG807" i="17" s="1"/>
  <c r="BP808" i="17"/>
  <c r="BQ808" i="17" s="1"/>
  <c r="CE808" i="17"/>
  <c r="CA809" i="17"/>
  <c r="CB808" i="17"/>
  <c r="BV808" i="17"/>
  <c r="BW808" i="17" s="1"/>
  <c r="BW807" i="17"/>
  <c r="BU809" i="17"/>
  <c r="BO809" i="17"/>
  <c r="BI809" i="17"/>
  <c r="BJ808" i="17"/>
  <c r="BC809" i="17"/>
  <c r="BD808" i="17"/>
  <c r="AW809" i="17"/>
  <c r="AX808" i="17"/>
  <c r="AH807" i="7"/>
  <c r="AG808" i="7"/>
  <c r="AE809" i="7"/>
  <c r="AF808" i="7"/>
  <c r="CB809" i="17" l="1"/>
  <c r="CC809" i="17" s="1"/>
  <c r="CE809" i="17"/>
  <c r="CF808" i="17"/>
  <c r="CC808" i="17"/>
  <c r="CA810" i="17"/>
  <c r="BU810" i="17"/>
  <c r="BV809" i="17"/>
  <c r="BJ809" i="17"/>
  <c r="BK809" i="17" s="1"/>
  <c r="BO810" i="17"/>
  <c r="BP809" i="17"/>
  <c r="BD809" i="17"/>
  <c r="BE809" i="17" s="1"/>
  <c r="BK808" i="17"/>
  <c r="BI810" i="17"/>
  <c r="AX809" i="17"/>
  <c r="AY809" i="17" s="1"/>
  <c r="BE808" i="17"/>
  <c r="BC810" i="17"/>
  <c r="AY808" i="17"/>
  <c r="AW810" i="17"/>
  <c r="AE810" i="7"/>
  <c r="AF809" i="7"/>
  <c r="AH808" i="7"/>
  <c r="AG809" i="7"/>
  <c r="CF809" i="17" l="1"/>
  <c r="CG809" i="17" s="1"/>
  <c r="CE810" i="17"/>
  <c r="CG808" i="17"/>
  <c r="CA811" i="17"/>
  <c r="CB810" i="17"/>
  <c r="BV810" i="17"/>
  <c r="BW810" i="17" s="1"/>
  <c r="BU811" i="17"/>
  <c r="BW809" i="17"/>
  <c r="BP810" i="17"/>
  <c r="BQ810" i="17" s="1"/>
  <c r="BQ809" i="17"/>
  <c r="BO811" i="17"/>
  <c r="AX810" i="17"/>
  <c r="AY810" i="17" s="1"/>
  <c r="BI811" i="17"/>
  <c r="BJ810" i="17"/>
  <c r="BC811" i="17"/>
  <c r="BD810" i="17"/>
  <c r="AW811" i="17"/>
  <c r="AH809" i="7"/>
  <c r="AG810" i="7"/>
  <c r="AE811" i="7"/>
  <c r="AF810" i="7"/>
  <c r="CF810" i="17" l="1"/>
  <c r="CG810" i="17" s="1"/>
  <c r="CB811" i="17"/>
  <c r="CC811" i="17" s="1"/>
  <c r="CE811" i="17"/>
  <c r="CC810" i="17"/>
  <c r="CA812" i="17"/>
  <c r="AX811" i="17"/>
  <c r="AY811" i="17" s="1"/>
  <c r="BU812" i="17"/>
  <c r="BV811" i="17"/>
  <c r="BJ811" i="17"/>
  <c r="BK811" i="17" s="1"/>
  <c r="BO812" i="17"/>
  <c r="BP811" i="17"/>
  <c r="BK810" i="17"/>
  <c r="BI812" i="17"/>
  <c r="BD811" i="17"/>
  <c r="BE811" i="17" s="1"/>
  <c r="BE810" i="17"/>
  <c r="BC812" i="17"/>
  <c r="AW812" i="17"/>
  <c r="AE812" i="7"/>
  <c r="AF811" i="7"/>
  <c r="AH810" i="7"/>
  <c r="AG811" i="7"/>
  <c r="CF811" i="17" l="1"/>
  <c r="CG811" i="17" s="1"/>
  <c r="CE812" i="17"/>
  <c r="BP812" i="17"/>
  <c r="CA813" i="17"/>
  <c r="CB812" i="17"/>
  <c r="BV812" i="17"/>
  <c r="BW812" i="17" s="1"/>
  <c r="BW811" i="17"/>
  <c r="BU813" i="17"/>
  <c r="BQ811" i="17"/>
  <c r="BO813" i="17"/>
  <c r="BQ812" i="17"/>
  <c r="BI813" i="17"/>
  <c r="BJ812" i="17"/>
  <c r="BC813" i="17"/>
  <c r="BD812" i="17"/>
  <c r="AW813" i="17"/>
  <c r="AX812" i="17"/>
  <c r="AH811" i="7"/>
  <c r="AG812" i="7"/>
  <c r="AE813" i="7"/>
  <c r="AF813" i="7" s="1"/>
  <c r="AF812" i="7"/>
  <c r="CF812" i="17" l="1"/>
  <c r="CG812" i="17" s="1"/>
  <c r="CE813" i="17"/>
  <c r="CB813" i="17"/>
  <c r="CC813" i="17" s="1"/>
  <c r="CC812" i="17"/>
  <c r="CA814" i="17"/>
  <c r="CB814" i="17" s="1"/>
  <c r="BU814" i="17"/>
  <c r="BV813" i="17"/>
  <c r="BO814" i="17"/>
  <c r="BP813" i="17"/>
  <c r="BI814" i="17"/>
  <c r="BD813" i="17"/>
  <c r="BE813" i="17" s="1"/>
  <c r="BJ813" i="17"/>
  <c r="BK812" i="17"/>
  <c r="BE812" i="17"/>
  <c r="BC814" i="17"/>
  <c r="AX813" i="17"/>
  <c r="AY813" i="17" s="1"/>
  <c r="AY812" i="17"/>
  <c r="AW814" i="17"/>
  <c r="AE814" i="7"/>
  <c r="AH812" i="7"/>
  <c r="AG813" i="7"/>
  <c r="CF813" i="17" l="1"/>
  <c r="BV814" i="17"/>
  <c r="BW814" i="17" s="1"/>
  <c r="CE814" i="17"/>
  <c r="CF814" i="17" s="1"/>
  <c r="CG813" i="17"/>
  <c r="CA815" i="17"/>
  <c r="CC814" i="17"/>
  <c r="BP814" i="17"/>
  <c r="BQ814" i="17" s="1"/>
  <c r="BW813" i="17"/>
  <c r="BU815" i="17"/>
  <c r="BQ813" i="17"/>
  <c r="BO815" i="17"/>
  <c r="BJ814" i="17"/>
  <c r="BK814" i="17" s="1"/>
  <c r="BK813" i="17"/>
  <c r="BI815" i="17"/>
  <c r="BC815" i="17"/>
  <c r="BD814" i="17"/>
  <c r="AW815" i="17"/>
  <c r="AX814" i="17"/>
  <c r="AE815" i="7"/>
  <c r="AH813" i="7"/>
  <c r="AG814" i="7"/>
  <c r="AF814" i="7"/>
  <c r="CE815" i="17" l="1"/>
  <c r="CG814" i="17"/>
  <c r="CA816" i="17"/>
  <c r="CB815" i="17"/>
  <c r="BU816" i="17"/>
  <c r="BV815" i="17"/>
  <c r="BO816" i="17"/>
  <c r="BP815" i="17"/>
  <c r="BI816" i="17"/>
  <c r="BJ815" i="17"/>
  <c r="BD815" i="17"/>
  <c r="BE815" i="17" s="1"/>
  <c r="BE814" i="17"/>
  <c r="BC816" i="17"/>
  <c r="AX815" i="17"/>
  <c r="AY815" i="17" s="1"/>
  <c r="AY814" i="17"/>
  <c r="AW816" i="17"/>
  <c r="AH814" i="7"/>
  <c r="AG815" i="7"/>
  <c r="AE816" i="7"/>
  <c r="AF815" i="7"/>
  <c r="CB816" i="17" l="1"/>
  <c r="CC816" i="17" s="1"/>
  <c r="CE816" i="17"/>
  <c r="CF815" i="17"/>
  <c r="BJ816" i="17"/>
  <c r="BK816" i="17" s="1"/>
  <c r="CC815" i="17"/>
  <c r="CA817" i="17"/>
  <c r="BV816" i="17"/>
  <c r="BW816" i="17" s="1"/>
  <c r="BW815" i="17"/>
  <c r="BU817" i="17"/>
  <c r="BP816" i="17"/>
  <c r="BQ816" i="17" s="1"/>
  <c r="BQ815" i="17"/>
  <c r="BO817" i="17"/>
  <c r="BK815" i="17"/>
  <c r="BI817" i="17"/>
  <c r="BC817" i="17"/>
  <c r="BD816" i="17"/>
  <c r="AW817" i="17"/>
  <c r="AX816" i="17"/>
  <c r="AE817" i="7"/>
  <c r="AF816" i="7"/>
  <c r="AH815" i="7"/>
  <c r="AG816" i="7"/>
  <c r="CF816" i="17" l="1"/>
  <c r="CG816" i="17" s="1"/>
  <c r="CG815" i="17"/>
  <c r="CE817" i="17"/>
  <c r="CA818" i="17"/>
  <c r="CB817" i="17"/>
  <c r="BU818" i="17"/>
  <c r="BV817" i="17"/>
  <c r="BO818" i="17"/>
  <c r="BP817" i="17"/>
  <c r="BD817" i="17"/>
  <c r="BE817" i="17" s="1"/>
  <c r="BI818" i="17"/>
  <c r="BJ817" i="17"/>
  <c r="AX817" i="17"/>
  <c r="AY817" i="17" s="1"/>
  <c r="BE816" i="17"/>
  <c r="BC818" i="17"/>
  <c r="AY816" i="17"/>
  <c r="AW818" i="17"/>
  <c r="AH816" i="7"/>
  <c r="AG817" i="7"/>
  <c r="AE818" i="7"/>
  <c r="AF817" i="7"/>
  <c r="CB818" i="17" l="1"/>
  <c r="CC818" i="17" s="1"/>
  <c r="CE818" i="17"/>
  <c r="CF817" i="17"/>
  <c r="CG817" i="17" s="1"/>
  <c r="BV818" i="17"/>
  <c r="CC817" i="17"/>
  <c r="CA819" i="17"/>
  <c r="BP818" i="17"/>
  <c r="BQ818" i="17" s="1"/>
  <c r="BW817" i="17"/>
  <c r="BU819" i="17"/>
  <c r="BV819" i="17" s="1"/>
  <c r="BW818" i="17"/>
  <c r="BJ818" i="17"/>
  <c r="BK818" i="17" s="1"/>
  <c r="BQ817" i="17"/>
  <c r="BO819" i="17"/>
  <c r="BI819" i="17"/>
  <c r="BK817" i="17"/>
  <c r="BC819" i="17"/>
  <c r="BD818" i="17"/>
  <c r="AW819" i="17"/>
  <c r="AX818" i="17"/>
  <c r="AE819" i="7"/>
  <c r="AF818" i="7"/>
  <c r="AH817" i="7"/>
  <c r="AG818" i="7"/>
  <c r="CF818" i="17" l="1"/>
  <c r="CG818" i="17" s="1"/>
  <c r="CE819" i="17"/>
  <c r="CA820" i="17"/>
  <c r="CB819" i="17"/>
  <c r="BU820" i="17"/>
  <c r="BV820" i="17" s="1"/>
  <c r="BW819" i="17"/>
  <c r="BO820" i="17"/>
  <c r="BP819" i="17"/>
  <c r="BI820" i="17"/>
  <c r="BJ819" i="17"/>
  <c r="BD819" i="17"/>
  <c r="BE819" i="17" s="1"/>
  <c r="BE818" i="17"/>
  <c r="BC820" i="17"/>
  <c r="AX819" i="17"/>
  <c r="AY819" i="17" s="1"/>
  <c r="AY818" i="17"/>
  <c r="AW820" i="17"/>
  <c r="AH818" i="7"/>
  <c r="AG819" i="7"/>
  <c r="AE820" i="7"/>
  <c r="AF819" i="7"/>
  <c r="CB820" i="17" l="1"/>
  <c r="CC820" i="17" s="1"/>
  <c r="CE820" i="17"/>
  <c r="CF819" i="17"/>
  <c r="CC819" i="17"/>
  <c r="CA821" i="17"/>
  <c r="BU821" i="17"/>
  <c r="BW820" i="17"/>
  <c r="BP820" i="17"/>
  <c r="BQ820" i="17" s="1"/>
  <c r="BQ819" i="17"/>
  <c r="BO821" i="17"/>
  <c r="BJ820" i="17"/>
  <c r="BK820" i="17" s="1"/>
  <c r="BK819" i="17"/>
  <c r="BI821" i="17"/>
  <c r="BC821" i="17"/>
  <c r="BD820" i="17"/>
  <c r="AW821" i="17"/>
  <c r="AX820" i="17"/>
  <c r="AE821" i="7"/>
  <c r="AH819" i="7"/>
  <c r="AG820" i="7"/>
  <c r="AF820" i="7"/>
  <c r="CF820" i="17" l="1"/>
  <c r="CG820" i="17" s="1"/>
  <c r="CG819" i="17"/>
  <c r="CE821" i="17"/>
  <c r="CA822" i="17"/>
  <c r="CB821" i="17"/>
  <c r="BU822" i="17"/>
  <c r="BV821" i="17"/>
  <c r="BO822" i="17"/>
  <c r="BP821" i="17"/>
  <c r="BI822" i="17"/>
  <c r="BJ821" i="17"/>
  <c r="BD821" i="17"/>
  <c r="BE821" i="17" s="1"/>
  <c r="BE820" i="17"/>
  <c r="BC822" i="17"/>
  <c r="AX821" i="17"/>
  <c r="AY821" i="17" s="1"/>
  <c r="AY820" i="17"/>
  <c r="AW822" i="17"/>
  <c r="AH820" i="7"/>
  <c r="AG821" i="7"/>
  <c r="AE822" i="7"/>
  <c r="AF822" i="7" s="1"/>
  <c r="AF821" i="7"/>
  <c r="CB822" i="17" l="1"/>
  <c r="CC822" i="17" s="1"/>
  <c r="CE822" i="17"/>
  <c r="CF821" i="17"/>
  <c r="BV822" i="17"/>
  <c r="CC821" i="17"/>
  <c r="CA823" i="17"/>
  <c r="BJ822" i="17"/>
  <c r="BK822" i="17" s="1"/>
  <c r="BW821" i="17"/>
  <c r="BU823" i="17"/>
  <c r="BW822" i="17"/>
  <c r="BP822" i="17"/>
  <c r="BQ822" i="17" s="1"/>
  <c r="BQ821" i="17"/>
  <c r="BO823" i="17"/>
  <c r="BK821" i="17"/>
  <c r="BI823" i="17"/>
  <c r="BC823" i="17"/>
  <c r="BD822" i="17"/>
  <c r="AW823" i="17"/>
  <c r="AX822" i="17"/>
  <c r="AE823" i="7"/>
  <c r="AG822" i="7"/>
  <c r="AH821" i="7"/>
  <c r="CF822" i="17" l="1"/>
  <c r="CG822" i="17" s="1"/>
  <c r="CG821" i="17"/>
  <c r="CE823" i="17"/>
  <c r="CA824" i="17"/>
  <c r="CB823" i="17"/>
  <c r="BU824" i="17"/>
  <c r="BV823" i="17"/>
  <c r="BO824" i="17"/>
  <c r="BP823" i="17"/>
  <c r="BD823" i="17"/>
  <c r="BE823" i="17" s="1"/>
  <c r="BI824" i="17"/>
  <c r="BJ823" i="17"/>
  <c r="BE822" i="17"/>
  <c r="BC824" i="17"/>
  <c r="AX823" i="17"/>
  <c r="AY823" i="17" s="1"/>
  <c r="AY822" i="17"/>
  <c r="AW824" i="17"/>
  <c r="AH822" i="7"/>
  <c r="AG823" i="7"/>
  <c r="AE824" i="7"/>
  <c r="AF823" i="7"/>
  <c r="CB824" i="17" l="1"/>
  <c r="CC824" i="17" s="1"/>
  <c r="CE824" i="17"/>
  <c r="CF823" i="17"/>
  <c r="BV824" i="17"/>
  <c r="BJ824" i="17"/>
  <c r="BK824" i="17" s="1"/>
  <c r="CC823" i="17"/>
  <c r="CA825" i="17"/>
  <c r="BP824" i="17"/>
  <c r="BQ824" i="17" s="1"/>
  <c r="BW823" i="17"/>
  <c r="BU825" i="17"/>
  <c r="BW824" i="17"/>
  <c r="BQ823" i="17"/>
  <c r="BO825" i="17"/>
  <c r="BK823" i="17"/>
  <c r="BI825" i="17"/>
  <c r="BC825" i="17"/>
  <c r="BD824" i="17"/>
  <c r="AW825" i="17"/>
  <c r="AX824" i="17"/>
  <c r="AE825" i="7"/>
  <c r="AH823" i="7"/>
  <c r="AG824" i="7"/>
  <c r="AF824" i="7"/>
  <c r="CF824" i="17" l="1"/>
  <c r="CG824" i="17" s="1"/>
  <c r="BJ825" i="17"/>
  <c r="BK825" i="17" s="1"/>
  <c r="CG823" i="17"/>
  <c r="CE825" i="17"/>
  <c r="CA826" i="17"/>
  <c r="CB825" i="17"/>
  <c r="BU826" i="17"/>
  <c r="BV825" i="17"/>
  <c r="BO826" i="17"/>
  <c r="BP825" i="17"/>
  <c r="BI826" i="17"/>
  <c r="AX825" i="17"/>
  <c r="AY825" i="17" s="1"/>
  <c r="BD825" i="17"/>
  <c r="BE825" i="17" s="1"/>
  <c r="BE824" i="17"/>
  <c r="BC826" i="17"/>
  <c r="AY824" i="17"/>
  <c r="AW826" i="17"/>
  <c r="AE826" i="7"/>
  <c r="AF826" i="7" s="1"/>
  <c r="AH824" i="7"/>
  <c r="AG825" i="7"/>
  <c r="AF825" i="7"/>
  <c r="CE826" i="17" l="1"/>
  <c r="CF825" i="17"/>
  <c r="CB826" i="17"/>
  <c r="CC826" i="17" s="1"/>
  <c r="CC825" i="17"/>
  <c r="CA827" i="17"/>
  <c r="BV826" i="17"/>
  <c r="BW826" i="17" s="1"/>
  <c r="BW825" i="17"/>
  <c r="BP826" i="17"/>
  <c r="BQ826" i="17" s="1"/>
  <c r="BU827" i="17"/>
  <c r="BQ825" i="17"/>
  <c r="BO827" i="17"/>
  <c r="BI827" i="17"/>
  <c r="BJ826" i="17"/>
  <c r="BC827" i="17"/>
  <c r="BD826" i="17"/>
  <c r="AW827" i="17"/>
  <c r="AX826" i="17"/>
  <c r="AH825" i="7"/>
  <c r="AG826" i="7"/>
  <c r="AE827" i="7"/>
  <c r="CF826" i="17" l="1"/>
  <c r="CG826" i="17" s="1"/>
  <c r="CG825" i="17"/>
  <c r="CE827" i="17"/>
  <c r="CA828" i="17"/>
  <c r="CB827" i="17"/>
  <c r="BU828" i="17"/>
  <c r="BV827" i="17"/>
  <c r="BO828" i="17"/>
  <c r="BP827" i="17"/>
  <c r="BD827" i="17"/>
  <c r="BE827" i="17" s="1"/>
  <c r="BJ827" i="17"/>
  <c r="BK827" i="17" s="1"/>
  <c r="BK826" i="17"/>
  <c r="BI828" i="17"/>
  <c r="BE826" i="17"/>
  <c r="BC828" i="17"/>
  <c r="AX827" i="17"/>
  <c r="AY827" i="17" s="1"/>
  <c r="AY826" i="17"/>
  <c r="AW828" i="17"/>
  <c r="AE828" i="7"/>
  <c r="AF828" i="7" s="1"/>
  <c r="AF827" i="7"/>
  <c r="AH826" i="7"/>
  <c r="AG827" i="7"/>
  <c r="BV828" i="17" l="1"/>
  <c r="BW828" i="17" s="1"/>
  <c r="CB828" i="17"/>
  <c r="CC828" i="17" s="1"/>
  <c r="CE828" i="17"/>
  <c r="CF827" i="17"/>
  <c r="CC827" i="17"/>
  <c r="CA829" i="17"/>
  <c r="BP828" i="17"/>
  <c r="BQ828" i="17" s="1"/>
  <c r="BW827" i="17"/>
  <c r="BU829" i="17"/>
  <c r="BQ827" i="17"/>
  <c r="BO829" i="17"/>
  <c r="BI829" i="17"/>
  <c r="BJ828" i="17"/>
  <c r="BC829" i="17"/>
  <c r="BD828" i="17"/>
  <c r="AW829" i="17"/>
  <c r="AX828" i="17"/>
  <c r="AH827" i="7"/>
  <c r="AG828" i="7"/>
  <c r="AE829" i="7"/>
  <c r="AF829" i="7" s="1"/>
  <c r="CF828" i="17" l="1"/>
  <c r="CG828" i="17" s="1"/>
  <c r="CG827" i="17"/>
  <c r="CE829" i="17"/>
  <c r="CA830" i="17"/>
  <c r="CB829" i="17"/>
  <c r="BU830" i="17"/>
  <c r="BV829" i="17"/>
  <c r="BO830" i="17"/>
  <c r="BP829" i="17"/>
  <c r="BJ829" i="17"/>
  <c r="BK829" i="17" s="1"/>
  <c r="BK828" i="17"/>
  <c r="BI830" i="17"/>
  <c r="BD829" i="17"/>
  <c r="BE829" i="17" s="1"/>
  <c r="BE828" i="17"/>
  <c r="BC830" i="17"/>
  <c r="AX829" i="17"/>
  <c r="AY829" i="17" s="1"/>
  <c r="AY828" i="17"/>
  <c r="AW830" i="17"/>
  <c r="AH828" i="7"/>
  <c r="AG829" i="7"/>
  <c r="AE830" i="7"/>
  <c r="AF830" i="7" s="1"/>
  <c r="CB830" i="17" l="1"/>
  <c r="CC830" i="17" s="1"/>
  <c r="CE830" i="17"/>
  <c r="BJ830" i="17"/>
  <c r="BK830" i="17" s="1"/>
  <c r="CF829" i="17"/>
  <c r="CC829" i="17"/>
  <c r="CA831" i="17"/>
  <c r="BV830" i="17"/>
  <c r="BW830" i="17" s="1"/>
  <c r="BW829" i="17"/>
  <c r="BU831" i="17"/>
  <c r="BP830" i="17"/>
  <c r="BQ830" i="17" s="1"/>
  <c r="BQ829" i="17"/>
  <c r="BO831" i="17"/>
  <c r="BI831" i="17"/>
  <c r="BC831" i="17"/>
  <c r="BD830" i="17"/>
  <c r="AX830" i="17"/>
  <c r="AY830" i="17" s="1"/>
  <c r="AW831" i="17"/>
  <c r="AE831" i="7"/>
  <c r="AH829" i="7"/>
  <c r="AG830" i="7"/>
  <c r="BJ831" i="17" l="1"/>
  <c r="BK831" i="17" s="1"/>
  <c r="CF830" i="17"/>
  <c r="CG830" i="17" s="1"/>
  <c r="AX831" i="17"/>
  <c r="AY831" i="17" s="1"/>
  <c r="CG829" i="17"/>
  <c r="CE831" i="17"/>
  <c r="CA832" i="17"/>
  <c r="CB831" i="17"/>
  <c r="BV831" i="17"/>
  <c r="BW831" i="17" s="1"/>
  <c r="BU832" i="17"/>
  <c r="BO832" i="17"/>
  <c r="BP831" i="17"/>
  <c r="BD831" i="17"/>
  <c r="BE831" i="17" s="1"/>
  <c r="BI832" i="17"/>
  <c r="BE830" i="17"/>
  <c r="BC832" i="17"/>
  <c r="AW832" i="17"/>
  <c r="AE832" i="7"/>
  <c r="AH830" i="7"/>
  <c r="AG831" i="7"/>
  <c r="AF831" i="7"/>
  <c r="BV832" i="17" l="1"/>
  <c r="BW832" i="17" s="1"/>
  <c r="CB832" i="17"/>
  <c r="CC832" i="17" s="1"/>
  <c r="CE832" i="17"/>
  <c r="CF831" i="17"/>
  <c r="CC831" i="17"/>
  <c r="CA833" i="17"/>
  <c r="BP832" i="17"/>
  <c r="BQ832" i="17" s="1"/>
  <c r="BU833" i="17"/>
  <c r="BQ831" i="17"/>
  <c r="BO833" i="17"/>
  <c r="BI833" i="17"/>
  <c r="BJ832" i="17"/>
  <c r="BC833" i="17"/>
  <c r="BD832" i="17"/>
  <c r="AW833" i="17"/>
  <c r="AX832" i="17"/>
  <c r="AH831" i="7"/>
  <c r="AG832" i="7"/>
  <c r="AE833" i="7"/>
  <c r="AF832" i="7"/>
  <c r="CF832" i="17" l="1"/>
  <c r="CG832" i="17" s="1"/>
  <c r="CG831" i="17"/>
  <c r="CE833" i="17"/>
  <c r="CA834" i="17"/>
  <c r="CB833" i="17"/>
  <c r="BU834" i="17"/>
  <c r="BV833" i="17"/>
  <c r="BJ833" i="17"/>
  <c r="BK833" i="17" s="1"/>
  <c r="BO834" i="17"/>
  <c r="BP833" i="17"/>
  <c r="BK832" i="17"/>
  <c r="BI834" i="17"/>
  <c r="BD833" i="17"/>
  <c r="BE833" i="17" s="1"/>
  <c r="BE832" i="17"/>
  <c r="BC834" i="17"/>
  <c r="AW834" i="17"/>
  <c r="AX833" i="17"/>
  <c r="AY832" i="17"/>
  <c r="AH832" i="7"/>
  <c r="AG833" i="7"/>
  <c r="AE834" i="7"/>
  <c r="AF833" i="7"/>
  <c r="CB834" i="17" l="1"/>
  <c r="CC834" i="17" s="1"/>
  <c r="BV834" i="17"/>
  <c r="BW834" i="17" s="1"/>
  <c r="CE834" i="17"/>
  <c r="CF833" i="17"/>
  <c r="CC833" i="17"/>
  <c r="CA835" i="17"/>
  <c r="BW833" i="17"/>
  <c r="BU835" i="17"/>
  <c r="BP834" i="17"/>
  <c r="BQ834" i="17" s="1"/>
  <c r="BQ833" i="17"/>
  <c r="BO835" i="17"/>
  <c r="BI835" i="17"/>
  <c r="BJ834" i="17"/>
  <c r="AX834" i="17"/>
  <c r="AY834" i="17" s="1"/>
  <c r="BC835" i="17"/>
  <c r="BD834" i="17"/>
  <c r="AY833" i="17"/>
  <c r="AW835" i="17"/>
  <c r="AH833" i="7"/>
  <c r="AG834" i="7"/>
  <c r="AE835" i="7"/>
  <c r="AF834" i="7"/>
  <c r="CF834" i="17" l="1"/>
  <c r="CG834" i="17" s="1"/>
  <c r="CG833" i="17"/>
  <c r="CE835" i="17"/>
  <c r="BP835" i="17"/>
  <c r="CA836" i="17"/>
  <c r="CB835" i="17"/>
  <c r="BU836" i="17"/>
  <c r="BV835" i="17"/>
  <c r="BJ835" i="17"/>
  <c r="BK835" i="17" s="1"/>
  <c r="BO836" i="17"/>
  <c r="BP836" i="17" s="1"/>
  <c r="BQ835" i="17"/>
  <c r="BK834" i="17"/>
  <c r="BI836" i="17"/>
  <c r="BD835" i="17"/>
  <c r="BE835" i="17" s="1"/>
  <c r="BE834" i="17"/>
  <c r="BC836" i="17"/>
  <c r="AW836" i="17"/>
  <c r="AX835" i="17"/>
  <c r="AE836" i="7"/>
  <c r="AH834" i="7"/>
  <c r="AG835" i="7"/>
  <c r="AF835" i="7"/>
  <c r="CB836" i="17" l="1"/>
  <c r="CE836" i="17"/>
  <c r="CF835" i="17"/>
  <c r="CC835" i="17"/>
  <c r="CA837" i="17"/>
  <c r="CC836" i="17"/>
  <c r="BV836" i="17"/>
  <c r="BW836" i="17" s="1"/>
  <c r="BW835" i="17"/>
  <c r="BU837" i="17"/>
  <c r="BO837" i="17"/>
  <c r="BQ836" i="17"/>
  <c r="BI837" i="17"/>
  <c r="BJ836" i="17"/>
  <c r="BC837" i="17"/>
  <c r="BD836" i="17"/>
  <c r="AX836" i="17"/>
  <c r="AY836" i="17" s="1"/>
  <c r="AY835" i="17"/>
  <c r="AW837" i="17"/>
  <c r="AH835" i="7"/>
  <c r="AG836" i="7"/>
  <c r="AE837" i="7"/>
  <c r="AF836" i="7"/>
  <c r="CF836" i="17" l="1"/>
  <c r="CG836" i="17" s="1"/>
  <c r="CG835" i="17"/>
  <c r="CE837" i="17"/>
  <c r="CA838" i="17"/>
  <c r="CB837" i="17"/>
  <c r="BU838" i="17"/>
  <c r="BJ837" i="17"/>
  <c r="BK837" i="17" s="1"/>
  <c r="BV837" i="17"/>
  <c r="BO838" i="17"/>
  <c r="BP837" i="17"/>
  <c r="BK836" i="17"/>
  <c r="BI838" i="17"/>
  <c r="BD837" i="17"/>
  <c r="BE837" i="17" s="1"/>
  <c r="BE836" i="17"/>
  <c r="BC838" i="17"/>
  <c r="AW838" i="17"/>
  <c r="AX837" i="17"/>
  <c r="AE838" i="7"/>
  <c r="AF837" i="7"/>
  <c r="AH836" i="7"/>
  <c r="AG837" i="7"/>
  <c r="CE838" i="17" l="1"/>
  <c r="CF837" i="17"/>
  <c r="CB838" i="17"/>
  <c r="CC838" i="17" s="1"/>
  <c r="CC837" i="17"/>
  <c r="CA839" i="17"/>
  <c r="BP838" i="17"/>
  <c r="BQ838" i="17" s="1"/>
  <c r="BV838" i="17"/>
  <c r="BW838" i="17" s="1"/>
  <c r="BW837" i="17"/>
  <c r="BU839" i="17"/>
  <c r="BQ837" i="17"/>
  <c r="BO839" i="17"/>
  <c r="AX838" i="17"/>
  <c r="AY838" i="17" s="1"/>
  <c r="BI839" i="17"/>
  <c r="BJ838" i="17"/>
  <c r="BC839" i="17"/>
  <c r="BD838" i="17"/>
  <c r="AY837" i="17"/>
  <c r="AW839" i="17"/>
  <c r="AH837" i="7"/>
  <c r="AG838" i="7"/>
  <c r="AE839" i="7"/>
  <c r="AF838" i="7"/>
  <c r="CF838" i="17" l="1"/>
  <c r="CG838" i="17" s="1"/>
  <c r="CG837" i="17"/>
  <c r="CE839" i="17"/>
  <c r="CA840" i="17"/>
  <c r="CB839" i="17"/>
  <c r="BU840" i="17"/>
  <c r="BV839" i="17"/>
  <c r="BJ839" i="17"/>
  <c r="BK839" i="17" s="1"/>
  <c r="BO840" i="17"/>
  <c r="BP839" i="17"/>
  <c r="BK838" i="17"/>
  <c r="BI840" i="17"/>
  <c r="BD839" i="17"/>
  <c r="BE839" i="17" s="1"/>
  <c r="BE838" i="17"/>
  <c r="BC840" i="17"/>
  <c r="AW840" i="17"/>
  <c r="AX839" i="17"/>
  <c r="AE840" i="7"/>
  <c r="AF840" i="7" s="1"/>
  <c r="AF839" i="7"/>
  <c r="AH838" i="7"/>
  <c r="AG839" i="7"/>
  <c r="CB840" i="17" l="1"/>
  <c r="CC840" i="17" s="1"/>
  <c r="CE840" i="17"/>
  <c r="CF839" i="17"/>
  <c r="CC839" i="17"/>
  <c r="CA841" i="17"/>
  <c r="BP840" i="17"/>
  <c r="BQ840" i="17" s="1"/>
  <c r="BV840" i="17"/>
  <c r="BW840" i="17" s="1"/>
  <c r="BW839" i="17"/>
  <c r="BU841" i="17"/>
  <c r="BQ839" i="17"/>
  <c r="BO841" i="17"/>
  <c r="BI841" i="17"/>
  <c r="BJ840" i="17"/>
  <c r="BC841" i="17"/>
  <c r="BD840" i="17"/>
  <c r="AX840" i="17"/>
  <c r="AY840" i="17" s="1"/>
  <c r="AY839" i="17"/>
  <c r="AW841" i="17"/>
  <c r="AH839" i="7"/>
  <c r="AG840" i="7"/>
  <c r="AE841" i="7"/>
  <c r="AF841" i="7" s="1"/>
  <c r="CF840" i="17" l="1"/>
  <c r="CG840" i="17" s="1"/>
  <c r="CG839" i="17"/>
  <c r="CE841" i="17"/>
  <c r="CA842" i="17"/>
  <c r="CB841" i="17"/>
  <c r="BU842" i="17"/>
  <c r="BV841" i="17"/>
  <c r="BO842" i="17"/>
  <c r="BP841" i="17"/>
  <c r="BJ841" i="17"/>
  <c r="BK841" i="17" s="1"/>
  <c r="BK840" i="17"/>
  <c r="BI842" i="17"/>
  <c r="BD841" i="17"/>
  <c r="BE841" i="17" s="1"/>
  <c r="BE840" i="17"/>
  <c r="BC842" i="17"/>
  <c r="AW842" i="17"/>
  <c r="AX841" i="17"/>
  <c r="AE842" i="7"/>
  <c r="AH840" i="7"/>
  <c r="AG841" i="7"/>
  <c r="BV842" i="17" l="1"/>
  <c r="BW842" i="17" s="1"/>
  <c r="CE842" i="17"/>
  <c r="CF841" i="17"/>
  <c r="CB842" i="17"/>
  <c r="CC841" i="17"/>
  <c r="CA843" i="17"/>
  <c r="CC842" i="17"/>
  <c r="BW841" i="17"/>
  <c r="BU843" i="17"/>
  <c r="BP842" i="17"/>
  <c r="BQ842" i="17" s="1"/>
  <c r="BQ841" i="17"/>
  <c r="BO843" i="17"/>
  <c r="BI843" i="17"/>
  <c r="BJ842" i="17"/>
  <c r="AX842" i="17"/>
  <c r="AY842" i="17" s="1"/>
  <c r="BC843" i="17"/>
  <c r="BD842" i="17"/>
  <c r="AY841" i="17"/>
  <c r="AW843" i="17"/>
  <c r="AE843" i="7"/>
  <c r="AH841" i="7"/>
  <c r="AG842" i="7"/>
  <c r="AF842" i="7"/>
  <c r="BV843" i="17" l="1"/>
  <c r="BW843" i="17" s="1"/>
  <c r="CF842" i="17"/>
  <c r="CG842" i="17" s="1"/>
  <c r="CG841" i="17"/>
  <c r="CE843" i="17"/>
  <c r="CA844" i="17"/>
  <c r="CB843" i="17"/>
  <c r="BU844" i="17"/>
  <c r="BJ843" i="17"/>
  <c r="BK843" i="17" s="1"/>
  <c r="BO844" i="17"/>
  <c r="BP843" i="17"/>
  <c r="BD843" i="17"/>
  <c r="BE843" i="17" s="1"/>
  <c r="BK842" i="17"/>
  <c r="BI844" i="17"/>
  <c r="BE842" i="17"/>
  <c r="BC844" i="17"/>
  <c r="AW844" i="17"/>
  <c r="AX843" i="17"/>
  <c r="AH842" i="7"/>
  <c r="AG843" i="7"/>
  <c r="AE844" i="7"/>
  <c r="AF843" i="7"/>
  <c r="CB844" i="17" l="1"/>
  <c r="CC844" i="17" s="1"/>
  <c r="CE844" i="17"/>
  <c r="CF843" i="17"/>
  <c r="BP844" i="17"/>
  <c r="CC843" i="17"/>
  <c r="CA845" i="17"/>
  <c r="BU845" i="17"/>
  <c r="BV844" i="17"/>
  <c r="BQ843" i="17"/>
  <c r="BO845" i="17"/>
  <c r="BQ844" i="17"/>
  <c r="BI845" i="17"/>
  <c r="BJ844" i="17"/>
  <c r="BC845" i="17"/>
  <c r="BD844" i="17"/>
  <c r="AX844" i="17"/>
  <c r="AY844" i="17" s="1"/>
  <c r="AY843" i="17"/>
  <c r="AW845" i="17"/>
  <c r="AE845" i="7"/>
  <c r="AF845" i="7" s="1"/>
  <c r="AF844" i="7"/>
  <c r="AH843" i="7"/>
  <c r="AG844" i="7"/>
  <c r="CF844" i="17" l="1"/>
  <c r="CG844" i="17" s="1"/>
  <c r="CG843" i="17"/>
  <c r="CE845" i="17"/>
  <c r="CA846" i="17"/>
  <c r="CB845" i="17"/>
  <c r="BV845" i="17"/>
  <c r="BW845" i="17" s="1"/>
  <c r="BW844" i="17"/>
  <c r="BU846" i="17"/>
  <c r="BJ845" i="17"/>
  <c r="BK845" i="17" s="1"/>
  <c r="BO846" i="17"/>
  <c r="BP845" i="17"/>
  <c r="BK844" i="17"/>
  <c r="BI846" i="17"/>
  <c r="BD845" i="17"/>
  <c r="BE845" i="17" s="1"/>
  <c r="BE844" i="17"/>
  <c r="BC846" i="17"/>
  <c r="AX845" i="17"/>
  <c r="AY845" i="17" s="1"/>
  <c r="AW846" i="17"/>
  <c r="AH844" i="7"/>
  <c r="AG845" i="7"/>
  <c r="AE846" i="7"/>
  <c r="CE846" i="17" l="1"/>
  <c r="CF845" i="17"/>
  <c r="CB846" i="17"/>
  <c r="CC845" i="17"/>
  <c r="CA847" i="17"/>
  <c r="CC846" i="17"/>
  <c r="BP846" i="17"/>
  <c r="BQ846" i="17" s="1"/>
  <c r="BU847" i="17"/>
  <c r="BV846" i="17"/>
  <c r="BQ845" i="17"/>
  <c r="BO847" i="17"/>
  <c r="BI847" i="17"/>
  <c r="BJ846" i="17"/>
  <c r="BC847" i="17"/>
  <c r="BD846" i="17"/>
  <c r="AW847" i="17"/>
  <c r="AX846" i="17"/>
  <c r="AE847" i="7"/>
  <c r="AF847" i="7" s="1"/>
  <c r="AF846" i="7"/>
  <c r="AH845" i="7"/>
  <c r="AG846" i="7"/>
  <c r="CF846" i="17" l="1"/>
  <c r="CG846" i="17" s="1"/>
  <c r="CG845" i="17"/>
  <c r="CE847" i="17"/>
  <c r="CA848" i="17"/>
  <c r="CB847" i="17"/>
  <c r="BV847" i="17"/>
  <c r="BW847" i="17" s="1"/>
  <c r="BJ847" i="17"/>
  <c r="BK847" i="17" s="1"/>
  <c r="BU848" i="17"/>
  <c r="BW846" i="17"/>
  <c r="BO848" i="17"/>
  <c r="BP847" i="17"/>
  <c r="BK846" i="17"/>
  <c r="BI848" i="17"/>
  <c r="BD847" i="17"/>
  <c r="BE847" i="17" s="1"/>
  <c r="AX847" i="17"/>
  <c r="AY847" i="17" s="1"/>
  <c r="BE846" i="17"/>
  <c r="BC848" i="17"/>
  <c r="AY846" i="17"/>
  <c r="AW848" i="17"/>
  <c r="AH846" i="7"/>
  <c r="AG847" i="7"/>
  <c r="AE848" i="7"/>
  <c r="CB848" i="17" l="1"/>
  <c r="CC848" i="17" s="1"/>
  <c r="BV848" i="17"/>
  <c r="BW848" i="17" s="1"/>
  <c r="CE848" i="17"/>
  <c r="CF847" i="17"/>
  <c r="CF848" i="17" s="1"/>
  <c r="CC847" i="17"/>
  <c r="CA849" i="17"/>
  <c r="BP848" i="17"/>
  <c r="BQ848" i="17" s="1"/>
  <c r="BU849" i="17"/>
  <c r="BQ847" i="17"/>
  <c r="BO849" i="17"/>
  <c r="BI849" i="17"/>
  <c r="BJ848" i="17"/>
  <c r="BC849" i="17"/>
  <c r="BD848" i="17"/>
  <c r="AW849" i="17"/>
  <c r="AX848" i="17"/>
  <c r="AE849" i="7"/>
  <c r="AH847" i="7"/>
  <c r="AG848" i="7"/>
  <c r="AF848" i="7"/>
  <c r="CG847" i="17" l="1"/>
  <c r="CE849" i="17"/>
  <c r="CG848" i="17"/>
  <c r="CA850" i="17"/>
  <c r="CB849" i="17"/>
  <c r="BU850" i="17"/>
  <c r="BV849" i="17"/>
  <c r="BJ849" i="17"/>
  <c r="BK849" i="17" s="1"/>
  <c r="BO850" i="17"/>
  <c r="BP849" i="17"/>
  <c r="BK848" i="17"/>
  <c r="BI850" i="17"/>
  <c r="BD849" i="17"/>
  <c r="BE849" i="17" s="1"/>
  <c r="BE848" i="17"/>
  <c r="BC850" i="17"/>
  <c r="AX849" i="17"/>
  <c r="AY849" i="17" s="1"/>
  <c r="AY848" i="17"/>
  <c r="AW850" i="17"/>
  <c r="AH848" i="7"/>
  <c r="AG849" i="7"/>
  <c r="AE850" i="7"/>
  <c r="AF850" i="7" s="1"/>
  <c r="AF849" i="7"/>
  <c r="CE850" i="17" l="1"/>
  <c r="CF849" i="17"/>
  <c r="CB850" i="17"/>
  <c r="CC850" i="17" s="1"/>
  <c r="CC849" i="17"/>
  <c r="CA851" i="17"/>
  <c r="BP850" i="17"/>
  <c r="BQ850" i="17" s="1"/>
  <c r="BV850" i="17"/>
  <c r="BW850" i="17" s="1"/>
  <c r="BW849" i="17"/>
  <c r="BU851" i="17"/>
  <c r="BQ849" i="17"/>
  <c r="BO851" i="17"/>
  <c r="BI851" i="17"/>
  <c r="BJ850" i="17"/>
  <c r="BC851" i="17"/>
  <c r="BD850" i="17"/>
  <c r="AW851" i="17"/>
  <c r="AX850" i="17"/>
  <c r="AE851" i="7"/>
  <c r="AH849" i="7"/>
  <c r="AG850" i="7"/>
  <c r="CF850" i="17" l="1"/>
  <c r="CG850" i="17" s="1"/>
  <c r="CG849" i="17"/>
  <c r="BP851" i="17"/>
  <c r="BQ851" i="17" s="1"/>
  <c r="CE851" i="17"/>
  <c r="CA852" i="17"/>
  <c r="CB851" i="17"/>
  <c r="BU852" i="17"/>
  <c r="BV851" i="17"/>
  <c r="BD851" i="17"/>
  <c r="BE851" i="17" s="1"/>
  <c r="BO852" i="17"/>
  <c r="BI852" i="17"/>
  <c r="AX851" i="17"/>
  <c r="AY851" i="17" s="1"/>
  <c r="BJ851" i="17"/>
  <c r="BK850" i="17"/>
  <c r="BE850" i="17"/>
  <c r="BC852" i="17"/>
  <c r="AY850" i="17"/>
  <c r="AW852" i="17"/>
  <c r="AH850" i="7"/>
  <c r="AG851" i="7"/>
  <c r="AE852" i="7"/>
  <c r="AF852" i="7" s="1"/>
  <c r="AF851" i="7"/>
  <c r="CF851" i="17" l="1"/>
  <c r="CG851" i="17" s="1"/>
  <c r="BV852" i="17"/>
  <c r="BW852" i="17" s="1"/>
  <c r="CB852" i="17"/>
  <c r="CE852" i="17"/>
  <c r="CC851" i="17"/>
  <c r="CA853" i="17"/>
  <c r="CC852" i="17"/>
  <c r="BJ852" i="17"/>
  <c r="BK852" i="17" s="1"/>
  <c r="BW851" i="17"/>
  <c r="BU853" i="17"/>
  <c r="BO853" i="17"/>
  <c r="BP852" i="17"/>
  <c r="BK851" i="17"/>
  <c r="BI853" i="17"/>
  <c r="BC853" i="17"/>
  <c r="BD852" i="17"/>
  <c r="AW853" i="17"/>
  <c r="AX852" i="17"/>
  <c r="AE853" i="7"/>
  <c r="AH851" i="7"/>
  <c r="AG852" i="7"/>
  <c r="BP853" i="17" l="1"/>
  <c r="BQ853" i="17" s="1"/>
  <c r="CE853" i="17"/>
  <c r="CF852" i="17"/>
  <c r="CA854" i="17"/>
  <c r="CB853" i="17"/>
  <c r="BU854" i="17"/>
  <c r="BV853" i="17"/>
  <c r="BQ852" i="17"/>
  <c r="BO854" i="17"/>
  <c r="BD853" i="17"/>
  <c r="BE853" i="17" s="1"/>
  <c r="BI854" i="17"/>
  <c r="BJ853" i="17"/>
  <c r="AX853" i="17"/>
  <c r="AY853" i="17" s="1"/>
  <c r="BE852" i="17"/>
  <c r="BC854" i="17"/>
  <c r="AY852" i="17"/>
  <c r="AW854" i="17"/>
  <c r="AH852" i="7"/>
  <c r="AG853" i="7"/>
  <c r="AE854" i="7"/>
  <c r="AF854" i="7" s="1"/>
  <c r="AF853" i="7"/>
  <c r="CF853" i="17" l="1"/>
  <c r="CG853" i="17" s="1"/>
  <c r="CB854" i="17"/>
  <c r="CC854" i="17" s="1"/>
  <c r="CG852" i="17"/>
  <c r="CE854" i="17"/>
  <c r="CC853" i="17"/>
  <c r="CA855" i="17"/>
  <c r="BV854" i="17"/>
  <c r="BW854" i="17" s="1"/>
  <c r="BJ854" i="17"/>
  <c r="BK854" i="17" s="1"/>
  <c r="BW853" i="17"/>
  <c r="BU855" i="17"/>
  <c r="BO855" i="17"/>
  <c r="BP854" i="17"/>
  <c r="BK853" i="17"/>
  <c r="BI855" i="17"/>
  <c r="BC855" i="17"/>
  <c r="BD854" i="17"/>
  <c r="AW855" i="17"/>
  <c r="AX854" i="17"/>
  <c r="AH853" i="7"/>
  <c r="AG854" i="7"/>
  <c r="AE855" i="7"/>
  <c r="CE855" i="17" l="1"/>
  <c r="CF854" i="17"/>
  <c r="CA856" i="17"/>
  <c r="CB855" i="17"/>
  <c r="BV855" i="17"/>
  <c r="BW855" i="17" s="1"/>
  <c r="BU856" i="17"/>
  <c r="BP855" i="17"/>
  <c r="BQ855" i="17" s="1"/>
  <c r="BQ854" i="17"/>
  <c r="BO856" i="17"/>
  <c r="BI856" i="17"/>
  <c r="BJ855" i="17"/>
  <c r="BD855" i="17"/>
  <c r="BE855" i="17" s="1"/>
  <c r="BE854" i="17"/>
  <c r="BC856" i="17"/>
  <c r="AX855" i="17"/>
  <c r="AY855" i="17" s="1"/>
  <c r="AY854" i="17"/>
  <c r="AW856" i="17"/>
  <c r="AE856" i="7"/>
  <c r="AH854" i="7"/>
  <c r="AG855" i="7"/>
  <c r="AF855" i="7"/>
  <c r="CB856" i="17" l="1"/>
  <c r="CF855" i="17"/>
  <c r="CG855" i="17" s="1"/>
  <c r="CG854" i="17"/>
  <c r="CE856" i="17"/>
  <c r="CC855" i="17"/>
  <c r="CA857" i="17"/>
  <c r="CC856" i="17"/>
  <c r="BU857" i="17"/>
  <c r="BV856" i="17"/>
  <c r="BO857" i="17"/>
  <c r="BP856" i="17"/>
  <c r="BJ856" i="17"/>
  <c r="BK856" i="17" s="1"/>
  <c r="BK855" i="17"/>
  <c r="BI857" i="17"/>
  <c r="BC857" i="17"/>
  <c r="BD856" i="17"/>
  <c r="AW857" i="17"/>
  <c r="AX856" i="17"/>
  <c r="AE857" i="7"/>
  <c r="AH855" i="7"/>
  <c r="AG856" i="7"/>
  <c r="AF856" i="7"/>
  <c r="CE857" i="17" l="1"/>
  <c r="CF856" i="17"/>
  <c r="CA858" i="17"/>
  <c r="CB857" i="17"/>
  <c r="BP857" i="17"/>
  <c r="BQ857" i="17" s="1"/>
  <c r="BV857" i="17"/>
  <c r="BW857" i="17" s="1"/>
  <c r="BW856" i="17"/>
  <c r="BU858" i="17"/>
  <c r="BQ856" i="17"/>
  <c r="BO858" i="17"/>
  <c r="BI858" i="17"/>
  <c r="BJ857" i="17"/>
  <c r="BD857" i="17"/>
  <c r="BE857" i="17" s="1"/>
  <c r="BE856" i="17"/>
  <c r="BC858" i="17"/>
  <c r="AX857" i="17"/>
  <c r="AY857" i="17" s="1"/>
  <c r="AY856" i="17"/>
  <c r="AW858" i="17"/>
  <c r="AH856" i="7"/>
  <c r="AG857" i="7"/>
  <c r="AE858" i="7"/>
  <c r="AF858" i="7" s="1"/>
  <c r="AF857" i="7"/>
  <c r="CF857" i="17" l="1"/>
  <c r="CG857" i="17" s="1"/>
  <c r="CG856" i="17"/>
  <c r="CE858" i="17"/>
  <c r="CB858" i="17"/>
  <c r="CC857" i="17"/>
  <c r="CA859" i="17"/>
  <c r="CC858" i="17"/>
  <c r="BU859" i="17"/>
  <c r="BV858" i="17"/>
  <c r="BO859" i="17"/>
  <c r="BP858" i="17"/>
  <c r="BJ858" i="17"/>
  <c r="BK858" i="17" s="1"/>
  <c r="BK857" i="17"/>
  <c r="BI859" i="17"/>
  <c r="BC859" i="17"/>
  <c r="BD858" i="17"/>
  <c r="AW859" i="17"/>
  <c r="AX858" i="17"/>
  <c r="AH857" i="7"/>
  <c r="AG858" i="7"/>
  <c r="AE859" i="7"/>
  <c r="CE859" i="17" l="1"/>
  <c r="CF858" i="17"/>
  <c r="CA860" i="17"/>
  <c r="CB859" i="17"/>
  <c r="BV859" i="17"/>
  <c r="BW859" i="17" s="1"/>
  <c r="BW858" i="17"/>
  <c r="BU860" i="17"/>
  <c r="BP859" i="17"/>
  <c r="BQ859" i="17" s="1"/>
  <c r="BQ858" i="17"/>
  <c r="BO860" i="17"/>
  <c r="BI860" i="17"/>
  <c r="BJ859" i="17"/>
  <c r="AX859" i="17"/>
  <c r="AY859" i="17" s="1"/>
  <c r="BD859" i="17"/>
  <c r="BE859" i="17" s="1"/>
  <c r="BE858" i="17"/>
  <c r="BC860" i="17"/>
  <c r="AY858" i="17"/>
  <c r="AW860" i="17"/>
  <c r="AE860" i="7"/>
  <c r="AH858" i="7"/>
  <c r="AG859" i="7"/>
  <c r="AF859" i="7"/>
  <c r="CF859" i="17" l="1"/>
  <c r="CG859" i="17" s="1"/>
  <c r="CB860" i="17"/>
  <c r="CC860" i="17" s="1"/>
  <c r="CG858" i="17"/>
  <c r="CE860" i="17"/>
  <c r="CC859" i="17"/>
  <c r="CA861" i="17"/>
  <c r="BU861" i="17"/>
  <c r="BV860" i="17"/>
  <c r="BJ860" i="17"/>
  <c r="BK860" i="17" s="1"/>
  <c r="BO861" i="17"/>
  <c r="BP860" i="17"/>
  <c r="BK859" i="17"/>
  <c r="BI861" i="17"/>
  <c r="BC861" i="17"/>
  <c r="BD860" i="17"/>
  <c r="AW861" i="17"/>
  <c r="AX860" i="17"/>
  <c r="AH859" i="7"/>
  <c r="AG860" i="7"/>
  <c r="AE861" i="7"/>
  <c r="AF861" i="7" s="1"/>
  <c r="AF860" i="7"/>
  <c r="CE861" i="17" l="1"/>
  <c r="CF860" i="17"/>
  <c r="BV861" i="17"/>
  <c r="CA862" i="17"/>
  <c r="CB861" i="17"/>
  <c r="BW860" i="17"/>
  <c r="BU862" i="17"/>
  <c r="BW861" i="17"/>
  <c r="BP861" i="17"/>
  <c r="BQ861" i="17" s="1"/>
  <c r="BQ860" i="17"/>
  <c r="BO862" i="17"/>
  <c r="BD861" i="17"/>
  <c r="BE861" i="17" s="1"/>
  <c r="BI862" i="17"/>
  <c r="BJ861" i="17"/>
  <c r="BE860" i="17"/>
  <c r="BC862" i="17"/>
  <c r="AX861" i="17"/>
  <c r="AY861" i="17" s="1"/>
  <c r="AY860" i="17"/>
  <c r="AW862" i="17"/>
  <c r="AE862" i="7"/>
  <c r="AH860" i="7"/>
  <c r="AG861" i="7"/>
  <c r="CF861" i="17" l="1"/>
  <c r="CG861" i="17" s="1"/>
  <c r="CG860" i="17"/>
  <c r="CE862" i="17"/>
  <c r="CB862" i="17"/>
  <c r="CC861" i="17"/>
  <c r="CA863" i="17"/>
  <c r="CC862" i="17"/>
  <c r="BU863" i="17"/>
  <c r="BV862" i="17"/>
  <c r="BO863" i="17"/>
  <c r="BP862" i="17"/>
  <c r="BJ862" i="17"/>
  <c r="BK862" i="17" s="1"/>
  <c r="BK861" i="17"/>
  <c r="BI863" i="17"/>
  <c r="BC863" i="17"/>
  <c r="BD862" i="17"/>
  <c r="AW863" i="17"/>
  <c r="AX862" i="17"/>
  <c r="AH861" i="7"/>
  <c r="AG862" i="7"/>
  <c r="AE863" i="7"/>
  <c r="AF863" i="7" s="1"/>
  <c r="AF862" i="7"/>
  <c r="CB863" i="17" l="1"/>
  <c r="CC863" i="17" s="1"/>
  <c r="CE863" i="17"/>
  <c r="CF862" i="17"/>
  <c r="CA864" i="17"/>
  <c r="BV863" i="17"/>
  <c r="BW862" i="17"/>
  <c r="BU864" i="17"/>
  <c r="BW863" i="17"/>
  <c r="BP863" i="17"/>
  <c r="BQ863" i="17" s="1"/>
  <c r="BQ862" i="17"/>
  <c r="BO864" i="17"/>
  <c r="BI864" i="17"/>
  <c r="BJ863" i="17"/>
  <c r="BD863" i="17"/>
  <c r="BE863" i="17" s="1"/>
  <c r="BE862" i="17"/>
  <c r="BC864" i="17"/>
  <c r="AX863" i="17"/>
  <c r="AY863" i="17" s="1"/>
  <c r="AY862" i="17"/>
  <c r="AW864" i="17"/>
  <c r="AH862" i="7"/>
  <c r="AG863" i="7"/>
  <c r="AE864" i="7"/>
  <c r="CF863" i="17" l="1"/>
  <c r="CG863" i="17" s="1"/>
  <c r="CG862" i="17"/>
  <c r="CE864" i="17"/>
  <c r="CA865" i="17"/>
  <c r="CB864" i="17"/>
  <c r="BU865" i="17"/>
  <c r="BV864" i="17"/>
  <c r="BD864" i="17"/>
  <c r="BE864" i="17" s="1"/>
  <c r="BO865" i="17"/>
  <c r="BP864" i="17"/>
  <c r="BJ864" i="17"/>
  <c r="BK864" i="17" s="1"/>
  <c r="BK863" i="17"/>
  <c r="BI865" i="17"/>
  <c r="BC865" i="17"/>
  <c r="AW865" i="17"/>
  <c r="AX864" i="17"/>
  <c r="AH863" i="7"/>
  <c r="AG864" i="7"/>
  <c r="AE865" i="7"/>
  <c r="AF865" i="7" s="1"/>
  <c r="AF864" i="7"/>
  <c r="BV865" i="17" l="1"/>
  <c r="BW865" i="17" s="1"/>
  <c r="CE865" i="17"/>
  <c r="CF864" i="17"/>
  <c r="CB865" i="17"/>
  <c r="CC864" i="17"/>
  <c r="CA866" i="17"/>
  <c r="CC865" i="17"/>
  <c r="BW864" i="17"/>
  <c r="BU866" i="17"/>
  <c r="BP865" i="17"/>
  <c r="BQ865" i="17" s="1"/>
  <c r="BQ864" i="17"/>
  <c r="BO866" i="17"/>
  <c r="BI866" i="17"/>
  <c r="BJ865" i="17"/>
  <c r="BC866" i="17"/>
  <c r="BD865" i="17"/>
  <c r="AX865" i="17"/>
  <c r="AY865" i="17" s="1"/>
  <c r="AY864" i="17"/>
  <c r="AW866" i="17"/>
  <c r="AH864" i="7"/>
  <c r="AG865" i="7"/>
  <c r="AE866" i="7"/>
  <c r="AF866" i="7" s="1"/>
  <c r="CF865" i="17" l="1"/>
  <c r="CG865" i="17" s="1"/>
  <c r="CG864" i="17"/>
  <c r="CE866" i="17"/>
  <c r="CA867" i="17"/>
  <c r="CB866" i="17"/>
  <c r="BU867" i="17"/>
  <c r="BV866" i="17"/>
  <c r="BJ866" i="17"/>
  <c r="BK866" i="17" s="1"/>
  <c r="BO867" i="17"/>
  <c r="BP866" i="17"/>
  <c r="BD866" i="17"/>
  <c r="BE866" i="17" s="1"/>
  <c r="BK865" i="17"/>
  <c r="BI867" i="17"/>
  <c r="BE865" i="17"/>
  <c r="BC867" i="17"/>
  <c r="AW867" i="17"/>
  <c r="AX866" i="17"/>
  <c r="AE867" i="7"/>
  <c r="AH865" i="7"/>
  <c r="AG866" i="7"/>
  <c r="CE867" i="17" l="1"/>
  <c r="CF866" i="17"/>
  <c r="CB867" i="17"/>
  <c r="CC866" i="17"/>
  <c r="CA868" i="17"/>
  <c r="CC867" i="17"/>
  <c r="BV867" i="17"/>
  <c r="BW867" i="17" s="1"/>
  <c r="BW866" i="17"/>
  <c r="BU868" i="17"/>
  <c r="BP867" i="17"/>
  <c r="BQ867" i="17" s="1"/>
  <c r="BQ866" i="17"/>
  <c r="BO868" i="17"/>
  <c r="BI868" i="17"/>
  <c r="BJ867" i="17"/>
  <c r="AX867" i="17"/>
  <c r="AY867" i="17" s="1"/>
  <c r="BC868" i="17"/>
  <c r="BD867" i="17"/>
  <c r="AY866" i="17"/>
  <c r="AW868" i="17"/>
  <c r="AH866" i="7"/>
  <c r="AG867" i="7"/>
  <c r="AE868" i="7"/>
  <c r="AF868" i="7" s="1"/>
  <c r="AF867" i="7"/>
  <c r="CF867" i="17" l="1"/>
  <c r="CG867" i="17" s="1"/>
  <c r="CG866" i="17"/>
  <c r="CE868" i="17"/>
  <c r="CA869" i="17"/>
  <c r="CB868" i="17"/>
  <c r="BU869" i="17"/>
  <c r="BV868" i="17"/>
  <c r="BJ868" i="17"/>
  <c r="BK868" i="17" s="1"/>
  <c r="BO869" i="17"/>
  <c r="BP868" i="17"/>
  <c r="BK867" i="17"/>
  <c r="BI869" i="17"/>
  <c r="BD868" i="17"/>
  <c r="BE868" i="17" s="1"/>
  <c r="BE867" i="17"/>
  <c r="BC869" i="17"/>
  <c r="AW869" i="17"/>
  <c r="AX868" i="17"/>
  <c r="AE869" i="7"/>
  <c r="AH867" i="7"/>
  <c r="AG868" i="7"/>
  <c r="CB869" i="17" l="1"/>
  <c r="CC869" i="17" s="1"/>
  <c r="BV869" i="17"/>
  <c r="BW869" i="17" s="1"/>
  <c r="CE869" i="17"/>
  <c r="CF868" i="17"/>
  <c r="CC868" i="17"/>
  <c r="CA870" i="17"/>
  <c r="BP869" i="17"/>
  <c r="BQ869" i="17" s="1"/>
  <c r="BW868" i="17"/>
  <c r="BU870" i="17"/>
  <c r="BO870" i="17"/>
  <c r="BQ868" i="17"/>
  <c r="BI870" i="17"/>
  <c r="BJ869" i="17"/>
  <c r="BC870" i="17"/>
  <c r="BD869" i="17"/>
  <c r="AX869" i="17"/>
  <c r="AY869" i="17" s="1"/>
  <c r="AY868" i="17"/>
  <c r="AW870" i="17"/>
  <c r="AH868" i="7"/>
  <c r="AG869" i="7"/>
  <c r="AE870" i="7"/>
  <c r="AF870" i="7" s="1"/>
  <c r="AF869" i="7"/>
  <c r="BP870" i="17" l="1"/>
  <c r="BQ870" i="17" s="1"/>
  <c r="CF869" i="17"/>
  <c r="CG869" i="17" s="1"/>
  <c r="CG868" i="17"/>
  <c r="CE870" i="17"/>
  <c r="CA871" i="17"/>
  <c r="CB870" i="17"/>
  <c r="BJ870" i="17"/>
  <c r="BK870" i="17" s="1"/>
  <c r="BU871" i="17"/>
  <c r="BV870" i="17"/>
  <c r="BO871" i="17"/>
  <c r="BK869" i="17"/>
  <c r="BI871" i="17"/>
  <c r="BD870" i="17"/>
  <c r="BE870" i="17" s="1"/>
  <c r="BE869" i="17"/>
  <c r="BC871" i="17"/>
  <c r="AW871" i="17"/>
  <c r="AX870" i="17"/>
  <c r="AE871" i="7"/>
  <c r="AH869" i="7"/>
  <c r="AG870" i="7"/>
  <c r="CB871" i="17" l="1"/>
  <c r="CC871" i="17" s="1"/>
  <c r="CE871" i="17"/>
  <c r="CF870" i="17"/>
  <c r="CC870" i="17"/>
  <c r="CA872" i="17"/>
  <c r="BV871" i="17"/>
  <c r="BW871" i="17" s="1"/>
  <c r="BW870" i="17"/>
  <c r="BU872" i="17"/>
  <c r="BO872" i="17"/>
  <c r="BP871" i="17"/>
  <c r="BI872" i="17"/>
  <c r="BJ871" i="17"/>
  <c r="AX871" i="17"/>
  <c r="AY871" i="17" s="1"/>
  <c r="BC872" i="17"/>
  <c r="BD871" i="17"/>
  <c r="AY870" i="17"/>
  <c r="AW872" i="17"/>
  <c r="AH870" i="7"/>
  <c r="AG871" i="7"/>
  <c r="AE872" i="7"/>
  <c r="AF871" i="7"/>
  <c r="CF871" i="17" l="1"/>
  <c r="CG871" i="17" s="1"/>
  <c r="CG870" i="17"/>
  <c r="CE872" i="17"/>
  <c r="CA873" i="17"/>
  <c r="CB872" i="17"/>
  <c r="BU873" i="17"/>
  <c r="BV872" i="17"/>
  <c r="BP872" i="17"/>
  <c r="BQ872" i="17" s="1"/>
  <c r="BJ872" i="17"/>
  <c r="BK872" i="17" s="1"/>
  <c r="BQ871" i="17"/>
  <c r="BO873" i="17"/>
  <c r="BK871" i="17"/>
  <c r="BI873" i="17"/>
  <c r="BD872" i="17"/>
  <c r="BE872" i="17" s="1"/>
  <c r="BE871" i="17"/>
  <c r="BC873" i="17"/>
  <c r="AW873" i="17"/>
  <c r="AX872" i="17"/>
  <c r="AE873" i="7"/>
  <c r="AF872" i="7"/>
  <c r="AH871" i="7"/>
  <c r="AG872" i="7"/>
  <c r="CB873" i="17" l="1"/>
  <c r="CC873" i="17" s="1"/>
  <c r="BV873" i="17"/>
  <c r="CE873" i="17"/>
  <c r="CF872" i="17"/>
  <c r="CF873" i="17" s="1"/>
  <c r="CC872" i="17"/>
  <c r="CA874" i="17"/>
  <c r="BW872" i="17"/>
  <c r="BU874" i="17"/>
  <c r="BW873" i="17"/>
  <c r="BO874" i="17"/>
  <c r="BP873" i="17"/>
  <c r="BI874" i="17"/>
  <c r="BJ873" i="17"/>
  <c r="BC874" i="17"/>
  <c r="BD873" i="17"/>
  <c r="AX873" i="17"/>
  <c r="AY873" i="17" s="1"/>
  <c r="AY872" i="17"/>
  <c r="AW874" i="17"/>
  <c r="AH872" i="7"/>
  <c r="AG873" i="7"/>
  <c r="AE874" i="7"/>
  <c r="AF873" i="7"/>
  <c r="CG872" i="17" l="1"/>
  <c r="CE874" i="17"/>
  <c r="CG873" i="17"/>
  <c r="CA875" i="17"/>
  <c r="CB874" i="17"/>
  <c r="BU875" i="17"/>
  <c r="BV874" i="17"/>
  <c r="BP874" i="17"/>
  <c r="BQ874" i="17" s="1"/>
  <c r="BD874" i="17"/>
  <c r="BE874" i="17" s="1"/>
  <c r="BQ873" i="17"/>
  <c r="BO875" i="17"/>
  <c r="BJ874" i="17"/>
  <c r="BK874" i="17" s="1"/>
  <c r="BK873" i="17"/>
  <c r="BI875" i="17"/>
  <c r="BE873" i="17"/>
  <c r="BC875" i="17"/>
  <c r="AW875" i="17"/>
  <c r="AX874" i="17"/>
  <c r="AE875" i="7"/>
  <c r="AH873" i="7"/>
  <c r="AG874" i="7"/>
  <c r="AF874" i="7"/>
  <c r="CB875" i="17" l="1"/>
  <c r="CC875" i="17" s="1"/>
  <c r="BV875" i="17"/>
  <c r="BW875" i="17" s="1"/>
  <c r="CE875" i="17"/>
  <c r="CF874" i="17"/>
  <c r="CC874" i="17"/>
  <c r="CA876" i="17"/>
  <c r="BW874" i="17"/>
  <c r="BU876" i="17"/>
  <c r="BO876" i="17"/>
  <c r="BP875" i="17"/>
  <c r="AX875" i="17"/>
  <c r="AY875" i="17" s="1"/>
  <c r="BI876" i="17"/>
  <c r="BJ875" i="17"/>
  <c r="BC876" i="17"/>
  <c r="BD875" i="17"/>
  <c r="AY874" i="17"/>
  <c r="AW876" i="17"/>
  <c r="AH874" i="7"/>
  <c r="AG875" i="7"/>
  <c r="AE876" i="7"/>
  <c r="AF875" i="7"/>
  <c r="CF875" i="17" l="1"/>
  <c r="CG875" i="17" s="1"/>
  <c r="BP876" i="17"/>
  <c r="BQ876" i="17" s="1"/>
  <c r="CG874" i="17"/>
  <c r="CE876" i="17"/>
  <c r="CA877" i="17"/>
  <c r="CB876" i="17"/>
  <c r="BU877" i="17"/>
  <c r="BV876" i="17"/>
  <c r="BQ875" i="17"/>
  <c r="BO877" i="17"/>
  <c r="BJ876" i="17"/>
  <c r="BK876" i="17" s="1"/>
  <c r="BK875" i="17"/>
  <c r="BI877" i="17"/>
  <c r="BD876" i="17"/>
  <c r="BE876" i="17" s="1"/>
  <c r="BE875" i="17"/>
  <c r="BC877" i="17"/>
  <c r="AW877" i="17"/>
  <c r="AX876" i="17"/>
  <c r="AE877" i="7"/>
  <c r="AF876" i="7"/>
  <c r="AH875" i="7"/>
  <c r="AG876" i="7"/>
  <c r="BP877" i="17" l="1"/>
  <c r="CB877" i="17"/>
  <c r="CC877" i="17" s="1"/>
  <c r="CE877" i="17"/>
  <c r="CF876" i="17"/>
  <c r="CC876" i="17"/>
  <c r="CA878" i="17"/>
  <c r="BV877" i="17"/>
  <c r="BW877" i="17" s="1"/>
  <c r="BW876" i="17"/>
  <c r="BU878" i="17"/>
  <c r="BO878" i="17"/>
  <c r="BQ877" i="17"/>
  <c r="BI878" i="17"/>
  <c r="BJ877" i="17"/>
  <c r="AX877" i="17"/>
  <c r="AY877" i="17" s="1"/>
  <c r="BC878" i="17"/>
  <c r="BD877" i="17"/>
  <c r="AY876" i="17"/>
  <c r="AW878" i="17"/>
  <c r="AH876" i="7"/>
  <c r="AG877" i="7"/>
  <c r="AE878" i="7"/>
  <c r="AF877" i="7"/>
  <c r="CF877" i="17" l="1"/>
  <c r="CG877" i="17" s="1"/>
  <c r="CG876" i="17"/>
  <c r="CE878" i="17"/>
  <c r="CA879" i="17"/>
  <c r="CB878" i="17"/>
  <c r="BJ878" i="17"/>
  <c r="BK878" i="17" s="1"/>
  <c r="BU879" i="17"/>
  <c r="BV878" i="17"/>
  <c r="BO879" i="17"/>
  <c r="BP878" i="17"/>
  <c r="BD878" i="17"/>
  <c r="BE878" i="17" s="1"/>
  <c r="BK877" i="17"/>
  <c r="BI879" i="17"/>
  <c r="BE877" i="17"/>
  <c r="BC879" i="17"/>
  <c r="AW879" i="17"/>
  <c r="AX878" i="17"/>
  <c r="AE879" i="7"/>
  <c r="AF878" i="7"/>
  <c r="AH877" i="7"/>
  <c r="AG878" i="7"/>
  <c r="CE879" i="17" l="1"/>
  <c r="CF878" i="17"/>
  <c r="CB879" i="17"/>
  <c r="CC879" i="17" s="1"/>
  <c r="CC878" i="17"/>
  <c r="CA880" i="17"/>
  <c r="BV879" i="17"/>
  <c r="BW879" i="17" s="1"/>
  <c r="BW878" i="17"/>
  <c r="BU880" i="17"/>
  <c r="BP879" i="17"/>
  <c r="BQ879" i="17" s="1"/>
  <c r="BQ878" i="17"/>
  <c r="BO880" i="17"/>
  <c r="BI880" i="17"/>
  <c r="BJ879" i="17"/>
  <c r="BC880" i="17"/>
  <c r="BD879" i="17"/>
  <c r="AX879" i="17"/>
  <c r="AY879" i="17" s="1"/>
  <c r="AY878" i="17"/>
  <c r="AW880" i="17"/>
  <c r="AH878" i="7"/>
  <c r="AG879" i="7"/>
  <c r="AE880" i="7"/>
  <c r="AF880" i="7" s="1"/>
  <c r="AF879" i="7"/>
  <c r="CF879" i="17" l="1"/>
  <c r="CG879" i="17" s="1"/>
  <c r="CG878" i="17"/>
  <c r="CE880" i="17"/>
  <c r="CA881" i="17"/>
  <c r="CB880" i="17"/>
  <c r="BU881" i="17"/>
  <c r="BV880" i="17"/>
  <c r="BO881" i="17"/>
  <c r="BP880" i="17"/>
  <c r="BJ880" i="17"/>
  <c r="BK880" i="17" s="1"/>
  <c r="BK879" i="17"/>
  <c r="BI881" i="17"/>
  <c r="BD880" i="17"/>
  <c r="BE880" i="17" s="1"/>
  <c r="BE879" i="17"/>
  <c r="BC881" i="17"/>
  <c r="AW881" i="17"/>
  <c r="AX880" i="17"/>
  <c r="AE881" i="7"/>
  <c r="AH879" i="7"/>
  <c r="AG880" i="7"/>
  <c r="CB881" i="17" l="1"/>
  <c r="CC881" i="17" s="1"/>
  <c r="BV881" i="17"/>
  <c r="BW881" i="17" s="1"/>
  <c r="CE881" i="17"/>
  <c r="CF880" i="17"/>
  <c r="CC880" i="17"/>
  <c r="CA882" i="17"/>
  <c r="BW880" i="17"/>
  <c r="BU882" i="17"/>
  <c r="BP881" i="17"/>
  <c r="BQ881" i="17" s="1"/>
  <c r="BQ880" i="17"/>
  <c r="BO882" i="17"/>
  <c r="BI882" i="17"/>
  <c r="BJ881" i="17"/>
  <c r="BC882" i="17"/>
  <c r="BD881" i="17"/>
  <c r="AX881" i="17"/>
  <c r="AY881" i="17" s="1"/>
  <c r="AY880" i="17"/>
  <c r="AW882" i="17"/>
  <c r="AH880" i="7"/>
  <c r="AG881" i="7"/>
  <c r="AE882" i="7"/>
  <c r="AF882" i="7" s="1"/>
  <c r="AF881" i="7"/>
  <c r="CB882" i="17" l="1"/>
  <c r="CC882" i="17" s="1"/>
  <c r="CF881" i="17"/>
  <c r="CG880" i="17"/>
  <c r="CE882" i="17"/>
  <c r="CA883" i="17"/>
  <c r="BU883" i="17"/>
  <c r="BV882" i="17"/>
  <c r="BO883" i="17"/>
  <c r="BP882" i="17"/>
  <c r="BJ882" i="17"/>
  <c r="BK882" i="17" s="1"/>
  <c r="BK881" i="17"/>
  <c r="BI883" i="17"/>
  <c r="BD882" i="17"/>
  <c r="BE882" i="17" s="1"/>
  <c r="BE881" i="17"/>
  <c r="BC883" i="17"/>
  <c r="AW883" i="17"/>
  <c r="AX882" i="17"/>
  <c r="AE883" i="7"/>
  <c r="AH881" i="7"/>
  <c r="AG882" i="7"/>
  <c r="CF882" i="17" l="1"/>
  <c r="CG882" i="17" s="1"/>
  <c r="CG881" i="17"/>
  <c r="BV883" i="17"/>
  <c r="CE883" i="17"/>
  <c r="CA884" i="17"/>
  <c r="CB883" i="17"/>
  <c r="BW882" i="17"/>
  <c r="BU884" i="17"/>
  <c r="BW883" i="17"/>
  <c r="BP883" i="17"/>
  <c r="BQ883" i="17" s="1"/>
  <c r="BQ882" i="17"/>
  <c r="BO884" i="17"/>
  <c r="BI884" i="17"/>
  <c r="BJ883" i="17"/>
  <c r="BC884" i="17"/>
  <c r="BD883" i="17"/>
  <c r="AX883" i="17"/>
  <c r="AY883" i="17" s="1"/>
  <c r="AY882" i="17"/>
  <c r="AW884" i="17"/>
  <c r="AE884" i="7"/>
  <c r="AG883" i="7"/>
  <c r="AH882" i="7"/>
  <c r="AF883" i="7"/>
  <c r="CE884" i="17" l="1"/>
  <c r="CF883" i="17"/>
  <c r="CB884" i="17"/>
  <c r="CC883" i="17"/>
  <c r="CA885" i="17"/>
  <c r="CC884" i="17"/>
  <c r="BU885" i="17"/>
  <c r="BV884" i="17"/>
  <c r="BJ884" i="17"/>
  <c r="BK884" i="17" s="1"/>
  <c r="BO885" i="17"/>
  <c r="BP884" i="17"/>
  <c r="BK883" i="17"/>
  <c r="BI885" i="17"/>
  <c r="BD884" i="17"/>
  <c r="BE884" i="17" s="1"/>
  <c r="BE883" i="17"/>
  <c r="BC885" i="17"/>
  <c r="AW885" i="17"/>
  <c r="AX884" i="17"/>
  <c r="AY884" i="17" s="1"/>
  <c r="AE885" i="7"/>
  <c r="AH883" i="7"/>
  <c r="AG884" i="7"/>
  <c r="AF884" i="7"/>
  <c r="CF884" i="17" l="1"/>
  <c r="BP885" i="17"/>
  <c r="BQ885" i="17" s="1"/>
  <c r="BV885" i="17"/>
  <c r="BW885" i="17" s="1"/>
  <c r="CG883" i="17"/>
  <c r="CE885" i="17"/>
  <c r="CG884" i="17"/>
  <c r="CA886" i="17"/>
  <c r="CB885" i="17"/>
  <c r="BW884" i="17"/>
  <c r="BU886" i="17"/>
  <c r="BO886" i="17"/>
  <c r="BQ884" i="17"/>
  <c r="BI886" i="17"/>
  <c r="BJ885" i="17"/>
  <c r="BC886" i="17"/>
  <c r="BD885" i="17"/>
  <c r="AX885" i="17"/>
  <c r="AY885" i="17" s="1"/>
  <c r="AW886" i="17"/>
  <c r="AG885" i="7"/>
  <c r="AH884" i="7"/>
  <c r="AE886" i="7"/>
  <c r="AF886" i="7"/>
  <c r="AF885" i="7"/>
  <c r="CB886" i="17" l="1"/>
  <c r="CC886" i="17" s="1"/>
  <c r="CE886" i="17"/>
  <c r="CF885" i="17"/>
  <c r="CC885" i="17"/>
  <c r="CA887" i="17"/>
  <c r="BJ886" i="17"/>
  <c r="BK886" i="17" s="1"/>
  <c r="BU887" i="17"/>
  <c r="BV886" i="17"/>
  <c r="BD886" i="17"/>
  <c r="BE886" i="17" s="1"/>
  <c r="BO887" i="17"/>
  <c r="BP886" i="17"/>
  <c r="BK885" i="17"/>
  <c r="BI887" i="17"/>
  <c r="BE885" i="17"/>
  <c r="BC887" i="17"/>
  <c r="AW887" i="17"/>
  <c r="AX886" i="17"/>
  <c r="AE887" i="7"/>
  <c r="AG886" i="7"/>
  <c r="AH885" i="7"/>
  <c r="CF886" i="17" l="1"/>
  <c r="CG886" i="17" s="1"/>
  <c r="CG885" i="17"/>
  <c r="CE887" i="17"/>
  <c r="BV887" i="17"/>
  <c r="CA888" i="17"/>
  <c r="CB887" i="17"/>
  <c r="BW886" i="17"/>
  <c r="BU888" i="17"/>
  <c r="BW887" i="17"/>
  <c r="BP887" i="17"/>
  <c r="BQ887" i="17" s="1"/>
  <c r="BQ886" i="17"/>
  <c r="BO888" i="17"/>
  <c r="BI888" i="17"/>
  <c r="BJ887" i="17"/>
  <c r="AX887" i="17"/>
  <c r="AY887" i="17" s="1"/>
  <c r="BC888" i="17"/>
  <c r="BD887" i="17"/>
  <c r="AY886" i="17"/>
  <c r="AW888" i="17"/>
  <c r="AE888" i="7"/>
  <c r="AF888" i="7"/>
  <c r="AG887" i="7"/>
  <c r="AH886" i="7"/>
  <c r="AF887" i="7"/>
  <c r="CE888" i="17" l="1"/>
  <c r="CF887" i="17"/>
  <c r="CB888" i="17"/>
  <c r="CC888" i="17" s="1"/>
  <c r="CC887" i="17"/>
  <c r="CA889" i="17"/>
  <c r="BJ888" i="17"/>
  <c r="BK888" i="17" s="1"/>
  <c r="BU889" i="17"/>
  <c r="BV888" i="17"/>
  <c r="BO889" i="17"/>
  <c r="BP888" i="17"/>
  <c r="BD888" i="17"/>
  <c r="BE888" i="17" s="1"/>
  <c r="BK887" i="17"/>
  <c r="BI889" i="17"/>
  <c r="BE887" i="17"/>
  <c r="BC889" i="17"/>
  <c r="AW889" i="17"/>
  <c r="AX888" i="17"/>
  <c r="AG888" i="7"/>
  <c r="AH887" i="7"/>
  <c r="AE889" i="7"/>
  <c r="AF889" i="7" s="1"/>
  <c r="CF888" i="17" l="1"/>
  <c r="CG888" i="17" s="1"/>
  <c r="CG887" i="17"/>
  <c r="BJ889" i="17"/>
  <c r="BK889" i="17" s="1"/>
  <c r="CE889" i="17"/>
  <c r="BP889" i="17"/>
  <c r="BQ889" i="17" s="1"/>
  <c r="BV889" i="17"/>
  <c r="BW889" i="17" s="1"/>
  <c r="BD889" i="17"/>
  <c r="BE889" i="17" s="1"/>
  <c r="CA890" i="17"/>
  <c r="CB889" i="17"/>
  <c r="BW888" i="17"/>
  <c r="BU890" i="17"/>
  <c r="BQ888" i="17"/>
  <c r="BO890" i="17"/>
  <c r="BI890" i="17"/>
  <c r="AX889" i="17"/>
  <c r="AY889" i="17" s="1"/>
  <c r="BC890" i="17"/>
  <c r="AY888" i="17"/>
  <c r="AW890" i="17"/>
  <c r="AE890" i="7"/>
  <c r="AG889" i="7"/>
  <c r="AH888" i="7"/>
  <c r="CB890" i="17" l="1"/>
  <c r="CC890" i="17" s="1"/>
  <c r="CE890" i="17"/>
  <c r="CF889" i="17"/>
  <c r="CC889" i="17"/>
  <c r="CA891" i="17"/>
  <c r="BU891" i="17"/>
  <c r="BV890" i="17"/>
  <c r="BO891" i="17"/>
  <c r="BP890" i="17"/>
  <c r="BI891" i="17"/>
  <c r="BJ890" i="17"/>
  <c r="BC891" i="17"/>
  <c r="BD890" i="17"/>
  <c r="AW891" i="17"/>
  <c r="AX890" i="17"/>
  <c r="AG890" i="7"/>
  <c r="AH889" i="7"/>
  <c r="AE891" i="7"/>
  <c r="AF891" i="7" s="1"/>
  <c r="AF890" i="7"/>
  <c r="CF890" i="17" l="1"/>
  <c r="CG890" i="17" s="1"/>
  <c r="CG889" i="17"/>
  <c r="CE891" i="17"/>
  <c r="BV891" i="17"/>
  <c r="BW891" i="17" s="1"/>
  <c r="CA892" i="17"/>
  <c r="CB891" i="17"/>
  <c r="BW890" i="17"/>
  <c r="BU892" i="17"/>
  <c r="BP891" i="17"/>
  <c r="BQ891" i="17" s="1"/>
  <c r="BD891" i="17"/>
  <c r="BE891" i="17" s="1"/>
  <c r="BQ890" i="17"/>
  <c r="BO892" i="17"/>
  <c r="BJ891" i="17"/>
  <c r="BK891" i="17" s="1"/>
  <c r="BK890" i="17"/>
  <c r="BI892" i="17"/>
  <c r="BE890" i="17"/>
  <c r="BC892" i="17"/>
  <c r="AX891" i="17"/>
  <c r="AY891" i="17" s="1"/>
  <c r="AY890" i="17"/>
  <c r="AW892" i="17"/>
  <c r="AE892" i="7"/>
  <c r="AG891" i="7"/>
  <c r="AH890" i="7"/>
  <c r="CB892" i="17" l="1"/>
  <c r="CC892" i="17" s="1"/>
  <c r="CE892" i="17"/>
  <c r="CF891" i="17"/>
  <c r="CC891" i="17"/>
  <c r="CA893" i="17"/>
  <c r="BU893" i="17"/>
  <c r="BV892" i="17"/>
  <c r="BP892" i="17"/>
  <c r="BQ892" i="17" s="1"/>
  <c r="BO893" i="17"/>
  <c r="BI893" i="17"/>
  <c r="BJ892" i="17"/>
  <c r="BC893" i="17"/>
  <c r="BD892" i="17"/>
  <c r="AW893" i="17"/>
  <c r="AX892" i="17"/>
  <c r="AE893" i="7"/>
  <c r="AG892" i="7"/>
  <c r="AH891" i="7"/>
  <c r="AF892" i="7"/>
  <c r="CF892" i="17" l="1"/>
  <c r="CG892" i="17" s="1"/>
  <c r="BV893" i="17"/>
  <c r="BW893" i="17" s="1"/>
  <c r="CG891" i="17"/>
  <c r="CE893" i="17"/>
  <c r="CA894" i="17"/>
  <c r="CB893" i="17"/>
  <c r="BW892" i="17"/>
  <c r="BU894" i="17"/>
  <c r="BJ893" i="17"/>
  <c r="BK893" i="17" s="1"/>
  <c r="BO894" i="17"/>
  <c r="BP893" i="17"/>
  <c r="BD893" i="17"/>
  <c r="BE893" i="17" s="1"/>
  <c r="BK892" i="17"/>
  <c r="BI894" i="17"/>
  <c r="BE892" i="17"/>
  <c r="BC894" i="17"/>
  <c r="AX893" i="17"/>
  <c r="AY893" i="17" s="1"/>
  <c r="AY892" i="17"/>
  <c r="AW894" i="17"/>
  <c r="AE894" i="7"/>
  <c r="AG893" i="7"/>
  <c r="AH892" i="7"/>
  <c r="AF893" i="7"/>
  <c r="CE894" i="17" l="1"/>
  <c r="CF893" i="17"/>
  <c r="CB894" i="17"/>
  <c r="CC894" i="17" s="1"/>
  <c r="CC893" i="17"/>
  <c r="CA895" i="17"/>
  <c r="BU895" i="17"/>
  <c r="BV894" i="17"/>
  <c r="BP894" i="17"/>
  <c r="BQ894" i="17" s="1"/>
  <c r="BQ893" i="17"/>
  <c r="BO895" i="17"/>
  <c r="BI895" i="17"/>
  <c r="BJ894" i="17"/>
  <c r="BC895" i="17"/>
  <c r="BD894" i="17"/>
  <c r="AW895" i="17"/>
  <c r="AX894" i="17"/>
  <c r="AE895" i="7"/>
  <c r="AG894" i="7"/>
  <c r="AH893" i="7"/>
  <c r="AF894" i="7"/>
  <c r="CF894" i="17" l="1"/>
  <c r="CG894" i="17" s="1"/>
  <c r="BV895" i="17"/>
  <c r="BW895" i="17" s="1"/>
  <c r="CG893" i="17"/>
  <c r="CE895" i="17"/>
  <c r="CA896" i="17"/>
  <c r="CB895" i="17"/>
  <c r="BW894" i="17"/>
  <c r="BU896" i="17"/>
  <c r="BO896" i="17"/>
  <c r="BP895" i="17"/>
  <c r="BQ895" i="17" s="1"/>
  <c r="BD895" i="17"/>
  <c r="BE895" i="17" s="1"/>
  <c r="BJ895" i="17"/>
  <c r="BK895" i="17" s="1"/>
  <c r="BK894" i="17"/>
  <c r="BI896" i="17"/>
  <c r="AX895" i="17"/>
  <c r="AY895" i="17" s="1"/>
  <c r="BE894" i="17"/>
  <c r="BC896" i="17"/>
  <c r="AY894" i="17"/>
  <c r="AW896" i="17"/>
  <c r="AE896" i="7"/>
  <c r="AG895" i="7"/>
  <c r="AH894" i="7"/>
  <c r="AF895" i="7"/>
  <c r="CB896" i="17" l="1"/>
  <c r="CC896" i="17" s="1"/>
  <c r="CE896" i="17"/>
  <c r="CF895" i="17"/>
  <c r="CC895" i="17"/>
  <c r="CA897" i="17"/>
  <c r="BU897" i="17"/>
  <c r="BV896" i="17"/>
  <c r="BP896" i="17"/>
  <c r="BQ896" i="17" s="1"/>
  <c r="BO897" i="17"/>
  <c r="BI897" i="17"/>
  <c r="BJ896" i="17"/>
  <c r="BC897" i="17"/>
  <c r="BD896" i="17"/>
  <c r="AW897" i="17"/>
  <c r="AX896" i="17"/>
  <c r="AE897" i="7"/>
  <c r="AG896" i="7"/>
  <c r="AH895" i="7"/>
  <c r="AF896" i="7"/>
  <c r="CF896" i="17" l="1"/>
  <c r="CG896" i="17" s="1"/>
  <c r="CG895" i="17"/>
  <c r="CE897" i="17"/>
  <c r="CA898" i="17"/>
  <c r="BV897" i="17"/>
  <c r="CB897" i="17"/>
  <c r="BW896" i="17"/>
  <c r="BU898" i="17"/>
  <c r="BW897" i="17"/>
  <c r="BJ897" i="17"/>
  <c r="BK897" i="17" s="1"/>
  <c r="BO898" i="17"/>
  <c r="BP897" i="17"/>
  <c r="BK896" i="17"/>
  <c r="BI898" i="17"/>
  <c r="AX897" i="17"/>
  <c r="AY897" i="17" s="1"/>
  <c r="BD897" i="17"/>
  <c r="BE897" i="17" s="1"/>
  <c r="BE896" i="17"/>
  <c r="BC898" i="17"/>
  <c r="AY896" i="17"/>
  <c r="AW898" i="17"/>
  <c r="AG897" i="7"/>
  <c r="AH896" i="7"/>
  <c r="AE898" i="7"/>
  <c r="AF897" i="7"/>
  <c r="CB898" i="17" l="1"/>
  <c r="CC898" i="17" s="1"/>
  <c r="CE898" i="17"/>
  <c r="CF897" i="17"/>
  <c r="CC897" i="17"/>
  <c r="CA899" i="17"/>
  <c r="BP898" i="17"/>
  <c r="BQ898" i="17" s="1"/>
  <c r="BU899" i="17"/>
  <c r="BV898" i="17"/>
  <c r="BQ897" i="17"/>
  <c r="BO899" i="17"/>
  <c r="BP899" i="17" s="1"/>
  <c r="BI899" i="17"/>
  <c r="BJ898" i="17"/>
  <c r="BC899" i="17"/>
  <c r="BD898" i="17"/>
  <c r="AW899" i="17"/>
  <c r="AX898" i="17"/>
  <c r="AE899" i="7"/>
  <c r="AF898" i="7"/>
  <c r="AG898" i="7"/>
  <c r="AH897" i="7"/>
  <c r="CF898" i="17" l="1"/>
  <c r="CG898" i="17" s="1"/>
  <c r="CG897" i="17"/>
  <c r="CE899" i="17"/>
  <c r="BV899" i="17"/>
  <c r="CA900" i="17"/>
  <c r="CB899" i="17"/>
  <c r="BW898" i="17"/>
  <c r="BU900" i="17"/>
  <c r="BW899" i="17"/>
  <c r="BO900" i="17"/>
  <c r="BP900" i="17" s="1"/>
  <c r="BQ899" i="17"/>
  <c r="BJ899" i="17"/>
  <c r="BK899" i="17" s="1"/>
  <c r="BK898" i="17"/>
  <c r="BI900" i="17"/>
  <c r="BD899" i="17"/>
  <c r="BE899" i="17" s="1"/>
  <c r="BE898" i="17"/>
  <c r="BC900" i="17"/>
  <c r="AX899" i="17"/>
  <c r="AY899" i="17" s="1"/>
  <c r="AY898" i="17"/>
  <c r="AW900" i="17"/>
  <c r="AG899" i="7"/>
  <c r="AH898" i="7"/>
  <c r="AE900" i="7"/>
  <c r="AF899" i="7"/>
  <c r="CB900" i="17" l="1"/>
  <c r="CC900" i="17" s="1"/>
  <c r="CE900" i="17"/>
  <c r="CF899" i="17"/>
  <c r="CC899" i="17"/>
  <c r="CA901" i="17"/>
  <c r="BU901" i="17"/>
  <c r="BV900" i="17"/>
  <c r="BO901" i="17"/>
  <c r="BQ900" i="17"/>
  <c r="BI901" i="17"/>
  <c r="BJ900" i="17"/>
  <c r="AX900" i="17"/>
  <c r="AY900" i="17" s="1"/>
  <c r="BC901" i="17"/>
  <c r="BD900" i="17"/>
  <c r="AW901" i="17"/>
  <c r="AE901" i="7"/>
  <c r="AF900" i="7"/>
  <c r="AG900" i="7"/>
  <c r="AH899" i="7"/>
  <c r="CF900" i="17" l="1"/>
  <c r="CG900" i="17" s="1"/>
  <c r="CG899" i="17"/>
  <c r="CE901" i="17"/>
  <c r="BV901" i="17"/>
  <c r="AX901" i="17"/>
  <c r="CA902" i="17"/>
  <c r="CB901" i="17"/>
  <c r="BW900" i="17"/>
  <c r="BU902" i="17"/>
  <c r="BW901" i="17"/>
  <c r="BO902" i="17"/>
  <c r="BP901" i="17"/>
  <c r="BJ901" i="17"/>
  <c r="BK901" i="17" s="1"/>
  <c r="BK900" i="17"/>
  <c r="BI902" i="17"/>
  <c r="BD901" i="17"/>
  <c r="BE901" i="17" s="1"/>
  <c r="BE900" i="17"/>
  <c r="BC902" i="17"/>
  <c r="AW902" i="17"/>
  <c r="AY901" i="17"/>
  <c r="AG901" i="7"/>
  <c r="AH900" i="7"/>
  <c r="AE902" i="7"/>
  <c r="AF901" i="7"/>
  <c r="CB902" i="17" l="1"/>
  <c r="CC902" i="17" s="1"/>
  <c r="CE902" i="17"/>
  <c r="CF901" i="17"/>
  <c r="CC901" i="17"/>
  <c r="CA903" i="17"/>
  <c r="BU903" i="17"/>
  <c r="BV902" i="17"/>
  <c r="BP902" i="17"/>
  <c r="BQ902" i="17" s="1"/>
  <c r="BQ901" i="17"/>
  <c r="BO903" i="17"/>
  <c r="BI903" i="17"/>
  <c r="BJ902" i="17"/>
  <c r="BC903" i="17"/>
  <c r="BD902" i="17"/>
  <c r="AW903" i="17"/>
  <c r="AX902" i="17"/>
  <c r="AE903" i="7"/>
  <c r="AF903" i="7" s="1"/>
  <c r="AF902" i="7"/>
  <c r="AG902" i="7"/>
  <c r="AH901" i="7"/>
  <c r="CF902" i="17" l="1"/>
  <c r="CG902" i="17" s="1"/>
  <c r="CB903" i="17"/>
  <c r="CC903" i="17" s="1"/>
  <c r="CG901" i="17"/>
  <c r="CE903" i="17"/>
  <c r="CA904" i="17"/>
  <c r="CB904" i="17" s="1"/>
  <c r="BV903" i="17"/>
  <c r="BW903" i="17" s="1"/>
  <c r="BW902" i="17"/>
  <c r="BU904" i="17"/>
  <c r="BO904" i="17"/>
  <c r="BP903" i="17"/>
  <c r="BD903" i="17"/>
  <c r="BE903" i="17" s="1"/>
  <c r="BJ903" i="17"/>
  <c r="BK903" i="17" s="1"/>
  <c r="BK902" i="17"/>
  <c r="BI904" i="17"/>
  <c r="BE902" i="17"/>
  <c r="BC904" i="17"/>
  <c r="AX903" i="17"/>
  <c r="AY903" i="17" s="1"/>
  <c r="AY902" i="17"/>
  <c r="AW904" i="17"/>
  <c r="AG903" i="7"/>
  <c r="AH902" i="7"/>
  <c r="AE904" i="7"/>
  <c r="AF904" i="7" s="1"/>
  <c r="CF903" i="17" l="1"/>
  <c r="CG903" i="17" s="1"/>
  <c r="CE904" i="17"/>
  <c r="CA905" i="17"/>
  <c r="CC904" i="17"/>
  <c r="BU905" i="17"/>
  <c r="BV904" i="17"/>
  <c r="BP904" i="17"/>
  <c r="BQ904" i="17" s="1"/>
  <c r="BQ903" i="17"/>
  <c r="BO905" i="17"/>
  <c r="BI905" i="17"/>
  <c r="BJ904" i="17"/>
  <c r="BC905" i="17"/>
  <c r="BD904" i="17"/>
  <c r="AW905" i="17"/>
  <c r="AX904" i="17"/>
  <c r="AE905" i="7"/>
  <c r="AG904" i="7"/>
  <c r="AH903" i="7"/>
  <c r="CF904" i="17" l="1"/>
  <c r="CG904" i="17" s="1"/>
  <c r="CE905" i="17"/>
  <c r="CA906" i="17"/>
  <c r="CB905" i="17"/>
  <c r="BV905" i="17"/>
  <c r="BW905" i="17" s="1"/>
  <c r="BW904" i="17"/>
  <c r="BU906" i="17"/>
  <c r="BJ905" i="17"/>
  <c r="BK905" i="17" s="1"/>
  <c r="BO906" i="17"/>
  <c r="BP905" i="17"/>
  <c r="BK904" i="17"/>
  <c r="BI906" i="17"/>
  <c r="BD905" i="17"/>
  <c r="BE905" i="17" s="1"/>
  <c r="BE904" i="17"/>
  <c r="BC906" i="17"/>
  <c r="AX905" i="17"/>
  <c r="AY905" i="17" s="1"/>
  <c r="AY904" i="17"/>
  <c r="AW906" i="17"/>
  <c r="AG905" i="7"/>
  <c r="AH904" i="7"/>
  <c r="AE906" i="7"/>
  <c r="AF906" i="7" s="1"/>
  <c r="AF905" i="7"/>
  <c r="CB906" i="17" l="1"/>
  <c r="CC906" i="17" s="1"/>
  <c r="CE906" i="17"/>
  <c r="CF905" i="17"/>
  <c r="CC905" i="17"/>
  <c r="CA907" i="17"/>
  <c r="BP906" i="17"/>
  <c r="BQ906" i="17" s="1"/>
  <c r="BU907" i="17"/>
  <c r="BV906" i="17"/>
  <c r="BQ905" i="17"/>
  <c r="BO907" i="17"/>
  <c r="BI907" i="17"/>
  <c r="BJ906" i="17"/>
  <c r="BC907" i="17"/>
  <c r="BD906" i="17"/>
  <c r="AW907" i="17"/>
  <c r="AX906" i="17"/>
  <c r="AE907" i="7"/>
  <c r="AG906" i="7"/>
  <c r="AH905" i="7"/>
  <c r="CF906" i="17" l="1"/>
  <c r="CG906" i="17" s="1"/>
  <c r="CG905" i="17"/>
  <c r="CE907" i="17"/>
  <c r="CA908" i="17"/>
  <c r="CB907" i="17"/>
  <c r="BV907" i="17"/>
  <c r="BW907" i="17" s="1"/>
  <c r="BW906" i="17"/>
  <c r="BU908" i="17"/>
  <c r="BO908" i="17"/>
  <c r="BP907" i="17"/>
  <c r="BJ907" i="17"/>
  <c r="BK907" i="17" s="1"/>
  <c r="BK906" i="17"/>
  <c r="BI908" i="17"/>
  <c r="BD907" i="17"/>
  <c r="BE907" i="17" s="1"/>
  <c r="AX907" i="17"/>
  <c r="AY907" i="17" s="1"/>
  <c r="BE906" i="17"/>
  <c r="BC908" i="17"/>
  <c r="AY906" i="17"/>
  <c r="AW908" i="17"/>
  <c r="AG907" i="7"/>
  <c r="AH906" i="7"/>
  <c r="AE908" i="7"/>
  <c r="AF908" i="7" s="1"/>
  <c r="AF907" i="7"/>
  <c r="CB908" i="17" l="1"/>
  <c r="CC908" i="17" s="1"/>
  <c r="CE908" i="17"/>
  <c r="CF907" i="17"/>
  <c r="CC907" i="17"/>
  <c r="CA909" i="17"/>
  <c r="BU909" i="17"/>
  <c r="BV908" i="17"/>
  <c r="BP908" i="17"/>
  <c r="BQ908" i="17" s="1"/>
  <c r="BQ907" i="17"/>
  <c r="BO909" i="17"/>
  <c r="BI909" i="17"/>
  <c r="BJ908" i="17"/>
  <c r="BC909" i="17"/>
  <c r="BD908" i="17"/>
  <c r="AW909" i="17"/>
  <c r="AX908" i="17"/>
  <c r="AE909" i="7"/>
  <c r="AG908" i="7"/>
  <c r="AH907" i="7"/>
  <c r="CB909" i="17" l="1"/>
  <c r="CC909" i="17" s="1"/>
  <c r="CF908" i="17"/>
  <c r="CG908" i="17" s="1"/>
  <c r="CG907" i="17"/>
  <c r="CE909" i="17"/>
  <c r="BV909" i="17"/>
  <c r="CA910" i="17"/>
  <c r="BJ909" i="17"/>
  <c r="BK909" i="17" s="1"/>
  <c r="BW908" i="17"/>
  <c r="BU910" i="17"/>
  <c r="BW909" i="17"/>
  <c r="BD909" i="17"/>
  <c r="BE909" i="17" s="1"/>
  <c r="BO910" i="17"/>
  <c r="BP909" i="17"/>
  <c r="BK908" i="17"/>
  <c r="BI910" i="17"/>
  <c r="AX909" i="17"/>
  <c r="AY909" i="17" s="1"/>
  <c r="BE908" i="17"/>
  <c r="BC910" i="17"/>
  <c r="AY908" i="17"/>
  <c r="AW910" i="17"/>
  <c r="AE910" i="7"/>
  <c r="AG909" i="7"/>
  <c r="AH908" i="7"/>
  <c r="AF909" i="7"/>
  <c r="CB910" i="17" l="1"/>
  <c r="CC910" i="17" s="1"/>
  <c r="CE910" i="17"/>
  <c r="CF909" i="17"/>
  <c r="CA911" i="17"/>
  <c r="BU911" i="17"/>
  <c r="BV910" i="17"/>
  <c r="BP910" i="17"/>
  <c r="BQ910" i="17" s="1"/>
  <c r="BQ909" i="17"/>
  <c r="BO911" i="17"/>
  <c r="BI911" i="17"/>
  <c r="BJ910" i="17"/>
  <c r="BC911" i="17"/>
  <c r="BD910" i="17"/>
  <c r="AW911" i="17"/>
  <c r="AX910" i="17"/>
  <c r="AG910" i="7"/>
  <c r="AH909" i="7"/>
  <c r="AE911" i="7"/>
  <c r="AF911" i="7" s="1"/>
  <c r="AF910" i="7"/>
  <c r="CB911" i="17" l="1"/>
  <c r="CC911" i="17" s="1"/>
  <c r="CF910" i="17"/>
  <c r="CG910" i="17" s="1"/>
  <c r="CG909" i="17"/>
  <c r="CE911" i="17"/>
  <c r="BV911" i="17"/>
  <c r="CA912" i="17"/>
  <c r="BW910" i="17"/>
  <c r="BU912" i="17"/>
  <c r="BW911" i="17"/>
  <c r="BJ911" i="17"/>
  <c r="BK911" i="17" s="1"/>
  <c r="BO912" i="17"/>
  <c r="BP911" i="17"/>
  <c r="BK910" i="17"/>
  <c r="BI912" i="17"/>
  <c r="AX911" i="17"/>
  <c r="AY911" i="17" s="1"/>
  <c r="BD911" i="17"/>
  <c r="BE911" i="17" s="1"/>
  <c r="BE910" i="17"/>
  <c r="BC912" i="17"/>
  <c r="AY910" i="17"/>
  <c r="AW912" i="17"/>
  <c r="M33" i="15"/>
  <c r="F9" i="2"/>
  <c r="M28" i="15"/>
  <c r="M30" i="15"/>
  <c r="C53" i="15"/>
  <c r="E53" i="15" s="1"/>
  <c r="F53" i="15" s="1"/>
  <c r="F22" i="15"/>
  <c r="M32" i="15"/>
  <c r="M26" i="15"/>
  <c r="M29" i="15"/>
  <c r="D9" i="2"/>
  <c r="B9" i="2"/>
  <c r="M27" i="15"/>
  <c r="M31" i="15"/>
  <c r="AF912" i="7"/>
  <c r="AE912" i="7"/>
  <c r="AH910" i="7"/>
  <c r="AG911" i="7"/>
  <c r="CB912" i="17" l="1"/>
  <c r="CC912" i="17" s="1"/>
  <c r="CE912" i="17"/>
  <c r="CF911" i="17"/>
  <c r="CA913" i="17"/>
  <c r="BU913" i="17"/>
  <c r="BV912" i="17"/>
  <c r="BP912" i="17"/>
  <c r="BQ912" i="17" s="1"/>
  <c r="BQ911" i="17"/>
  <c r="BO913" i="17"/>
  <c r="BI913" i="17"/>
  <c r="BJ912" i="17"/>
  <c r="BC913" i="17"/>
  <c r="BD912" i="17"/>
  <c r="AW913" i="17"/>
  <c r="AX912" i="17"/>
  <c r="AH911" i="7"/>
  <c r="AG912" i="7"/>
  <c r="AF913" i="7"/>
  <c r="AE913" i="7"/>
  <c r="CF912" i="17" l="1"/>
  <c r="CG912" i="17" s="1"/>
  <c r="CG911" i="17"/>
  <c r="CE913" i="17"/>
  <c r="BV913" i="17"/>
  <c r="CA914" i="17"/>
  <c r="CB913" i="17"/>
  <c r="BW912" i="17"/>
  <c r="BU914" i="17"/>
  <c r="BW913" i="17"/>
  <c r="BO914" i="17"/>
  <c r="BP913" i="17"/>
  <c r="BJ913" i="17"/>
  <c r="BK913" i="17" s="1"/>
  <c r="BD913" i="17"/>
  <c r="BE913" i="17" s="1"/>
  <c r="BK912" i="17"/>
  <c r="BI914" i="17"/>
  <c r="BE912" i="17"/>
  <c r="BC914" i="17"/>
  <c r="AX913" i="17"/>
  <c r="AY913" i="17" s="1"/>
  <c r="AY912" i="17"/>
  <c r="AW914" i="17"/>
  <c r="AE914" i="7"/>
  <c r="AF914" i="7"/>
  <c r="AH912" i="7"/>
  <c r="AG913" i="7"/>
  <c r="CB914" i="17" l="1"/>
  <c r="CC914" i="17" s="1"/>
  <c r="CE914" i="17"/>
  <c r="CF913" i="17"/>
  <c r="CC913" i="17"/>
  <c r="CA915" i="17"/>
  <c r="BU915" i="17"/>
  <c r="BV914" i="17"/>
  <c r="BP914" i="17"/>
  <c r="BQ914" i="17" s="1"/>
  <c r="BQ913" i="17"/>
  <c r="BO915" i="17"/>
  <c r="BI915" i="17"/>
  <c r="BJ914" i="17"/>
  <c r="BC915" i="17"/>
  <c r="BD914" i="17"/>
  <c r="AW915" i="17"/>
  <c r="AX914" i="17"/>
  <c r="AH913" i="7"/>
  <c r="AG914" i="7"/>
  <c r="AF915" i="7"/>
  <c r="AE915" i="7"/>
  <c r="CF914" i="17" l="1"/>
  <c r="CG914" i="17" s="1"/>
  <c r="CG913" i="17"/>
  <c r="CE915" i="17"/>
  <c r="CA916" i="17"/>
  <c r="CB915" i="17"/>
  <c r="BV915" i="17"/>
  <c r="BW915" i="17" s="1"/>
  <c r="BW914" i="17"/>
  <c r="BU916" i="17"/>
  <c r="BD915" i="17"/>
  <c r="BE915" i="17" s="1"/>
  <c r="BO916" i="17"/>
  <c r="BP915" i="17"/>
  <c r="BJ915" i="17"/>
  <c r="BK915" i="17" s="1"/>
  <c r="BK914" i="17"/>
  <c r="BI916" i="17"/>
  <c r="AX915" i="17"/>
  <c r="AY915" i="17" s="1"/>
  <c r="BE914" i="17"/>
  <c r="BC916" i="17"/>
  <c r="AY914" i="17"/>
  <c r="AW916" i="17"/>
  <c r="AF916" i="7"/>
  <c r="AE916" i="7"/>
  <c r="AH914" i="7"/>
  <c r="AG915" i="7"/>
  <c r="CE916" i="17" l="1"/>
  <c r="CF915" i="17"/>
  <c r="CB916" i="17"/>
  <c r="CC916" i="17" s="1"/>
  <c r="CC915" i="17"/>
  <c r="CA917" i="17"/>
  <c r="BU917" i="17"/>
  <c r="BP916" i="17"/>
  <c r="BQ916" i="17" s="1"/>
  <c r="BV916" i="17"/>
  <c r="BO917" i="17"/>
  <c r="BQ915" i="17"/>
  <c r="BI917" i="17"/>
  <c r="BJ916" i="17"/>
  <c r="BC917" i="17"/>
  <c r="BD916" i="17"/>
  <c r="AW917" i="17"/>
  <c r="AX916" i="17"/>
  <c r="AG916" i="7"/>
  <c r="AH915" i="7"/>
  <c r="AF917" i="7"/>
  <c r="AE917" i="7"/>
  <c r="BP917" i="17" l="1"/>
  <c r="BQ917" i="17" s="1"/>
  <c r="CF916" i="17"/>
  <c r="CG916" i="17" s="1"/>
  <c r="CG915" i="17"/>
  <c r="CE917" i="17"/>
  <c r="CA918" i="17"/>
  <c r="CB917" i="17"/>
  <c r="BV917" i="17"/>
  <c r="BW917" i="17" s="1"/>
  <c r="BW916" i="17"/>
  <c r="BU918" i="17"/>
  <c r="BJ917" i="17"/>
  <c r="BK917" i="17" s="1"/>
  <c r="BO918" i="17"/>
  <c r="BK916" i="17"/>
  <c r="BI918" i="17"/>
  <c r="BD917" i="17"/>
  <c r="BE917" i="17" s="1"/>
  <c r="BE916" i="17"/>
  <c r="BC918" i="17"/>
  <c r="AX917" i="17"/>
  <c r="AY917" i="17" s="1"/>
  <c r="AY916" i="17"/>
  <c r="AW918" i="17"/>
  <c r="AF918" i="7"/>
  <c r="AE918" i="7"/>
  <c r="AH916" i="7"/>
  <c r="AG917" i="7"/>
  <c r="CE918" i="17" l="1"/>
  <c r="CF917" i="17"/>
  <c r="CB918" i="17"/>
  <c r="CC918" i="17" s="1"/>
  <c r="CC917" i="17"/>
  <c r="CA919" i="17"/>
  <c r="BU919" i="17"/>
  <c r="BV918" i="17"/>
  <c r="BO919" i="17"/>
  <c r="BP918" i="17"/>
  <c r="BI919" i="17"/>
  <c r="BJ918" i="17"/>
  <c r="BC919" i="17"/>
  <c r="BD918" i="17"/>
  <c r="AW919" i="17"/>
  <c r="AX918" i="17"/>
  <c r="AH917" i="7"/>
  <c r="AG918" i="7"/>
  <c r="AF919" i="7"/>
  <c r="AE919" i="7"/>
  <c r="CF918" i="17" l="1"/>
  <c r="CG918" i="17" s="1"/>
  <c r="CG917" i="17"/>
  <c r="CE919" i="17"/>
  <c r="CA920" i="17"/>
  <c r="CB919" i="17"/>
  <c r="BV919" i="17"/>
  <c r="BW919" i="17" s="1"/>
  <c r="BW918" i="17"/>
  <c r="BU920" i="17"/>
  <c r="BP919" i="17"/>
  <c r="BQ919" i="17" s="1"/>
  <c r="BQ918" i="17"/>
  <c r="BO920" i="17"/>
  <c r="BJ919" i="17"/>
  <c r="BK919" i="17" s="1"/>
  <c r="BK918" i="17"/>
  <c r="BI920" i="17"/>
  <c r="BD919" i="17"/>
  <c r="BE919" i="17" s="1"/>
  <c r="BE918" i="17"/>
  <c r="BC920" i="17"/>
  <c r="AX919" i="17"/>
  <c r="AY919" i="17" s="1"/>
  <c r="AY918" i="17"/>
  <c r="AW920" i="17"/>
  <c r="AE920" i="7"/>
  <c r="AF920" i="7"/>
  <c r="AH918" i="7"/>
  <c r="AG919" i="7"/>
  <c r="CE920" i="17" l="1"/>
  <c r="CF919" i="17"/>
  <c r="CB920" i="17"/>
  <c r="CC919" i="17"/>
  <c r="CA921" i="17"/>
  <c r="CC920" i="17"/>
  <c r="BU921" i="17"/>
  <c r="BV920" i="17"/>
  <c r="BO921" i="17"/>
  <c r="BP920" i="17"/>
  <c r="BI921" i="17"/>
  <c r="BJ920" i="17"/>
  <c r="BC921" i="17"/>
  <c r="BD920" i="17"/>
  <c r="AW921" i="17"/>
  <c r="AX920" i="17"/>
  <c r="AH919" i="7"/>
  <c r="AG920" i="7"/>
  <c r="AF921" i="7"/>
  <c r="AE921" i="7"/>
  <c r="CF920" i="17" l="1"/>
  <c r="CG920" i="17" s="1"/>
  <c r="BP921" i="17"/>
  <c r="BQ921" i="17" s="1"/>
  <c r="CG919" i="17"/>
  <c r="CE921" i="17"/>
  <c r="CA922" i="17"/>
  <c r="CB921" i="17"/>
  <c r="BV921" i="17"/>
  <c r="BW921" i="17" s="1"/>
  <c r="BW920" i="17"/>
  <c r="BU922" i="17"/>
  <c r="BJ921" i="17"/>
  <c r="BK921" i="17" s="1"/>
  <c r="BQ920" i="17"/>
  <c r="BO922" i="17"/>
  <c r="BD921" i="17"/>
  <c r="BE921" i="17" s="1"/>
  <c r="BK920" i="17"/>
  <c r="BI922" i="17"/>
  <c r="BE920" i="17"/>
  <c r="BC922" i="17"/>
  <c r="AX921" i="17"/>
  <c r="AY921" i="17" s="1"/>
  <c r="AY920" i="17"/>
  <c r="AW922" i="17"/>
  <c r="AF922" i="7"/>
  <c r="AE922" i="7"/>
  <c r="AH920" i="7"/>
  <c r="AG921" i="7"/>
  <c r="BP922" i="17" l="1"/>
  <c r="BQ922" i="17" s="1"/>
  <c r="CB922" i="17"/>
  <c r="CC922" i="17" s="1"/>
  <c r="CE922" i="17"/>
  <c r="CF921" i="17"/>
  <c r="CC921" i="17"/>
  <c r="CA923" i="17"/>
  <c r="BU923" i="17"/>
  <c r="BV922" i="17"/>
  <c r="BO923" i="17"/>
  <c r="BI923" i="17"/>
  <c r="BJ922" i="17"/>
  <c r="BC923" i="17"/>
  <c r="BD922" i="17"/>
  <c r="AW923" i="17"/>
  <c r="AX922" i="17"/>
  <c r="AG922" i="7"/>
  <c r="AH921" i="7"/>
  <c r="AF923" i="7"/>
  <c r="AE923" i="7"/>
  <c r="CF922" i="17" l="1"/>
  <c r="CG922" i="17" s="1"/>
  <c r="CG921" i="17"/>
  <c r="CE923" i="17"/>
  <c r="CA924" i="17"/>
  <c r="CB923" i="17"/>
  <c r="BV923" i="17"/>
  <c r="BW923" i="17" s="1"/>
  <c r="BW922" i="17"/>
  <c r="BU924" i="17"/>
  <c r="BO924" i="17"/>
  <c r="BP923" i="17"/>
  <c r="BJ923" i="17"/>
  <c r="BK923" i="17" s="1"/>
  <c r="BK922" i="17"/>
  <c r="BI924" i="17"/>
  <c r="AX923" i="17"/>
  <c r="AY923" i="17" s="1"/>
  <c r="BD923" i="17"/>
  <c r="BE923" i="17" s="1"/>
  <c r="BE922" i="17"/>
  <c r="BC924" i="17"/>
  <c r="AY922" i="17"/>
  <c r="AW924" i="17"/>
  <c r="AF924" i="7"/>
  <c r="AE924" i="7"/>
  <c r="AH922" i="7"/>
  <c r="AG923" i="7"/>
  <c r="BV924" i="17" l="1"/>
  <c r="CE924" i="17"/>
  <c r="CF923" i="17"/>
  <c r="CB924" i="17"/>
  <c r="CC924" i="17" s="1"/>
  <c r="CC923" i="17"/>
  <c r="CA925" i="17"/>
  <c r="BP924" i="17"/>
  <c r="BQ924" i="17" s="1"/>
  <c r="BU925" i="17"/>
  <c r="BW924" i="17"/>
  <c r="BQ923" i="17"/>
  <c r="BO925" i="17"/>
  <c r="BI925" i="17"/>
  <c r="BJ924" i="17"/>
  <c r="BC925" i="17"/>
  <c r="BD924" i="17"/>
  <c r="BE924" i="17" s="1"/>
  <c r="AW925" i="17"/>
  <c r="AX924" i="17"/>
  <c r="AH923" i="7"/>
  <c r="AG924" i="7"/>
  <c r="AF925" i="7"/>
  <c r="AE925" i="7"/>
  <c r="CF924" i="17" l="1"/>
  <c r="CG924" i="17" s="1"/>
  <c r="CG923" i="17"/>
  <c r="CE925" i="17"/>
  <c r="CA926" i="17"/>
  <c r="CB925" i="17"/>
  <c r="BU926" i="17"/>
  <c r="BV925" i="17"/>
  <c r="BJ925" i="17"/>
  <c r="BK925" i="17" s="1"/>
  <c r="BO926" i="17"/>
  <c r="BP925" i="17"/>
  <c r="BK924" i="17"/>
  <c r="BI926" i="17"/>
  <c r="AX925" i="17"/>
  <c r="AY925" i="17" s="1"/>
  <c r="BD925" i="17"/>
  <c r="BE925" i="17" s="1"/>
  <c r="BC926" i="17"/>
  <c r="AY924" i="17"/>
  <c r="AW926" i="17"/>
  <c r="AE926" i="7"/>
  <c r="AF926" i="7"/>
  <c r="AH924" i="7"/>
  <c r="AG925" i="7"/>
  <c r="CE926" i="17" l="1"/>
  <c r="CF925" i="17"/>
  <c r="CB926" i="17"/>
  <c r="CC926" i="17" s="1"/>
  <c r="CC925" i="17"/>
  <c r="CA927" i="17"/>
  <c r="BV926" i="17"/>
  <c r="BW926" i="17" s="1"/>
  <c r="BW925" i="17"/>
  <c r="BU927" i="17"/>
  <c r="BP926" i="17"/>
  <c r="BQ926" i="17" s="1"/>
  <c r="BQ925" i="17"/>
  <c r="BO927" i="17"/>
  <c r="BI927" i="17"/>
  <c r="BJ926" i="17"/>
  <c r="BC927" i="17"/>
  <c r="BD926" i="17"/>
  <c r="AW927" i="17"/>
  <c r="AX926" i="17"/>
  <c r="AH925" i="7"/>
  <c r="AG926" i="7"/>
  <c r="AF927" i="7"/>
  <c r="AE927" i="7"/>
  <c r="CF926" i="17" l="1"/>
  <c r="CG926" i="17" s="1"/>
  <c r="CG925" i="17"/>
  <c r="CE927" i="17"/>
  <c r="CA928" i="17"/>
  <c r="CB927" i="17"/>
  <c r="BJ927" i="17"/>
  <c r="BK927" i="17" s="1"/>
  <c r="BU928" i="17"/>
  <c r="BV927" i="17"/>
  <c r="BO928" i="17"/>
  <c r="BP927" i="17"/>
  <c r="AX927" i="17"/>
  <c r="AY927" i="17" s="1"/>
  <c r="BD927" i="17"/>
  <c r="BE927" i="17" s="1"/>
  <c r="BK926" i="17"/>
  <c r="BI928" i="17"/>
  <c r="BE926" i="17"/>
  <c r="BC928" i="17"/>
  <c r="AY926" i="17"/>
  <c r="AW928" i="17"/>
  <c r="AF928" i="7"/>
  <c r="AE928" i="7"/>
  <c r="AH926" i="7"/>
  <c r="AG927" i="7"/>
  <c r="CB928" i="17" l="1"/>
  <c r="CC928" i="17" s="1"/>
  <c r="BV928" i="17"/>
  <c r="BW928" i="17" s="1"/>
  <c r="CE928" i="17"/>
  <c r="BJ928" i="17"/>
  <c r="BK928" i="17" s="1"/>
  <c r="CF927" i="17"/>
  <c r="CF928" i="17" s="1"/>
  <c r="CC927" i="17"/>
  <c r="CA929" i="17"/>
  <c r="BP928" i="17"/>
  <c r="BQ928" i="17" s="1"/>
  <c r="BW927" i="17"/>
  <c r="BU929" i="17"/>
  <c r="BQ927" i="17"/>
  <c r="BO929" i="17"/>
  <c r="BI929" i="17"/>
  <c r="BC929" i="17"/>
  <c r="BD928" i="17"/>
  <c r="AW929" i="17"/>
  <c r="AX928" i="17"/>
  <c r="AG928" i="7"/>
  <c r="AH927" i="7"/>
  <c r="AF929" i="7"/>
  <c r="AE929" i="7"/>
  <c r="CG927" i="17" l="1"/>
  <c r="CE929" i="17"/>
  <c r="CG928" i="17"/>
  <c r="CA930" i="17"/>
  <c r="CB929" i="17"/>
  <c r="BU930" i="17"/>
  <c r="BV929" i="17"/>
  <c r="BO930" i="17"/>
  <c r="BP929" i="17"/>
  <c r="BD929" i="17"/>
  <c r="BE929" i="17" s="1"/>
  <c r="BI930" i="17"/>
  <c r="BJ929" i="17"/>
  <c r="BE928" i="17"/>
  <c r="BC930" i="17"/>
  <c r="AX929" i="17"/>
  <c r="AY929" i="17" s="1"/>
  <c r="AY928" i="17"/>
  <c r="AW930" i="17"/>
  <c r="AF930" i="7"/>
  <c r="AE930" i="7"/>
  <c r="AH928" i="7"/>
  <c r="AG929" i="7"/>
  <c r="CE930" i="17" l="1"/>
  <c r="CF929" i="17"/>
  <c r="CB930" i="17"/>
  <c r="BP930" i="17"/>
  <c r="BQ930" i="17" s="1"/>
  <c r="CC929" i="17"/>
  <c r="CA931" i="17"/>
  <c r="CC930" i="17"/>
  <c r="BV930" i="17"/>
  <c r="BW930" i="17" s="1"/>
  <c r="BJ930" i="17"/>
  <c r="BK930" i="17" s="1"/>
  <c r="BW929" i="17"/>
  <c r="BU931" i="17"/>
  <c r="BQ929" i="17"/>
  <c r="BO931" i="17"/>
  <c r="BK929" i="17"/>
  <c r="BI931" i="17"/>
  <c r="BC931" i="17"/>
  <c r="BD930" i="17"/>
  <c r="AW931" i="17"/>
  <c r="AX930" i="17"/>
  <c r="AH929" i="7"/>
  <c r="AG930" i="7"/>
  <c r="AF931" i="7"/>
  <c r="AE931" i="7"/>
  <c r="CF930" i="17" l="1"/>
  <c r="CG930" i="17" s="1"/>
  <c r="CG929" i="17"/>
  <c r="CE931" i="17"/>
  <c r="CA932" i="17"/>
  <c r="BJ931" i="17"/>
  <c r="BK931" i="17" s="1"/>
  <c r="CB931" i="17"/>
  <c r="BU932" i="17"/>
  <c r="BV931" i="17"/>
  <c r="BO932" i="17"/>
  <c r="BP931" i="17"/>
  <c r="BD931" i="17"/>
  <c r="BE931" i="17" s="1"/>
  <c r="BI932" i="17"/>
  <c r="BE930" i="17"/>
  <c r="BC932" i="17"/>
  <c r="AX931" i="17"/>
  <c r="AY931" i="17" s="1"/>
  <c r="AY930" i="17"/>
  <c r="AW932" i="17"/>
  <c r="AE932" i="7"/>
  <c r="AF932" i="7"/>
  <c r="AH930" i="7"/>
  <c r="AG931" i="7"/>
  <c r="CE932" i="17" l="1"/>
  <c r="CF931" i="17"/>
  <c r="CB932" i="17"/>
  <c r="CC932" i="17" s="1"/>
  <c r="CC931" i="17"/>
  <c r="CA933" i="17"/>
  <c r="BV932" i="17"/>
  <c r="BW932" i="17" s="1"/>
  <c r="BP932" i="17"/>
  <c r="BQ932" i="17" s="1"/>
  <c r="BW931" i="17"/>
  <c r="BU933" i="17"/>
  <c r="BQ931" i="17"/>
  <c r="BO933" i="17"/>
  <c r="BI933" i="17"/>
  <c r="BJ932" i="17"/>
  <c r="BC933" i="17"/>
  <c r="BD932" i="17"/>
  <c r="AW933" i="17"/>
  <c r="AX932" i="17"/>
  <c r="AH931" i="7"/>
  <c r="AG932" i="7"/>
  <c r="AF933" i="7"/>
  <c r="AE933" i="7"/>
  <c r="CB933" i="17" l="1"/>
  <c r="CF932" i="17"/>
  <c r="CG932" i="17" s="1"/>
  <c r="CG931" i="17"/>
  <c r="CE933" i="17"/>
  <c r="CA934" i="17"/>
  <c r="CC933" i="17"/>
  <c r="BJ933" i="17"/>
  <c r="BK933" i="17" s="1"/>
  <c r="BU934" i="17"/>
  <c r="BV933" i="17"/>
  <c r="BO934" i="17"/>
  <c r="BP933" i="17"/>
  <c r="BK932" i="17"/>
  <c r="BI934" i="17"/>
  <c r="BD933" i="17"/>
  <c r="BE933" i="17" s="1"/>
  <c r="AX933" i="17"/>
  <c r="AY933" i="17" s="1"/>
  <c r="BE932" i="17"/>
  <c r="BC934" i="17"/>
  <c r="AY932" i="17"/>
  <c r="AW934" i="17"/>
  <c r="AF934" i="7"/>
  <c r="AE934" i="7"/>
  <c r="AH932" i="7"/>
  <c r="AG933" i="7"/>
  <c r="BV934" i="17" l="1"/>
  <c r="BW934" i="17" s="1"/>
  <c r="CF933" i="17"/>
  <c r="CG933" i="17" s="1"/>
  <c r="BJ934" i="17"/>
  <c r="BK934" i="17" s="1"/>
  <c r="CE934" i="17"/>
  <c r="CA935" i="17"/>
  <c r="CB934" i="17"/>
  <c r="BW933" i="17"/>
  <c r="BU935" i="17"/>
  <c r="BP934" i="17"/>
  <c r="BQ934" i="17" s="1"/>
  <c r="BQ933" i="17"/>
  <c r="BO935" i="17"/>
  <c r="BI935" i="17"/>
  <c r="BC935" i="17"/>
  <c r="BD934" i="17"/>
  <c r="AW935" i="17"/>
  <c r="AX934" i="17"/>
  <c r="AG934" i="7"/>
  <c r="AH933" i="7"/>
  <c r="AF935" i="7"/>
  <c r="AE935" i="7"/>
  <c r="CF934" i="17" l="1"/>
  <c r="CG934" i="17" s="1"/>
  <c r="BJ935" i="17"/>
  <c r="BK935" i="17" s="1"/>
  <c r="CE935" i="17"/>
  <c r="CB935" i="17"/>
  <c r="CC935" i="17" s="1"/>
  <c r="CC934" i="17"/>
  <c r="CA936" i="17"/>
  <c r="BU936" i="17"/>
  <c r="BV935" i="17"/>
  <c r="BD935" i="17"/>
  <c r="BE935" i="17" s="1"/>
  <c r="BO936" i="17"/>
  <c r="BP935" i="17"/>
  <c r="BI936" i="17"/>
  <c r="BE934" i="17"/>
  <c r="BC936" i="17"/>
  <c r="AX935" i="17"/>
  <c r="AY935" i="17" s="1"/>
  <c r="AY934" i="17"/>
  <c r="AW936" i="17"/>
  <c r="AF936" i="7"/>
  <c r="AE936" i="7"/>
  <c r="AH934" i="7"/>
  <c r="AG935" i="7"/>
  <c r="CE936" i="17" l="1"/>
  <c r="CF935" i="17"/>
  <c r="CA937" i="17"/>
  <c r="CB936" i="17"/>
  <c r="CC936" i="17" s="1"/>
  <c r="BP936" i="17"/>
  <c r="BQ936" i="17" s="1"/>
  <c r="BV936" i="17"/>
  <c r="BW936" i="17" s="1"/>
  <c r="BW935" i="17"/>
  <c r="BU937" i="17"/>
  <c r="BQ935" i="17"/>
  <c r="BO937" i="17"/>
  <c r="BI937" i="17"/>
  <c r="BJ936" i="17"/>
  <c r="BC937" i="17"/>
  <c r="BD936" i="17"/>
  <c r="AW937" i="17"/>
  <c r="AX936" i="17"/>
  <c r="AH935" i="7"/>
  <c r="AG936" i="7"/>
  <c r="AF937" i="7"/>
  <c r="AE937" i="7"/>
  <c r="CF936" i="17" l="1"/>
  <c r="CG936" i="17" s="1"/>
  <c r="CG935" i="17"/>
  <c r="CE937" i="17"/>
  <c r="CB937" i="17"/>
  <c r="CA938" i="17"/>
  <c r="CC937" i="17"/>
  <c r="BJ937" i="17"/>
  <c r="BK937" i="17" s="1"/>
  <c r="BU938" i="17"/>
  <c r="BV937" i="17"/>
  <c r="BO938" i="17"/>
  <c r="BP937" i="17"/>
  <c r="BK936" i="17"/>
  <c r="BI938" i="17"/>
  <c r="BD937" i="17"/>
  <c r="BE937" i="17" s="1"/>
  <c r="BE936" i="17"/>
  <c r="BC938" i="17"/>
  <c r="AX937" i="17"/>
  <c r="AY937" i="17" s="1"/>
  <c r="AY936" i="17"/>
  <c r="AW938" i="17"/>
  <c r="AE938" i="7"/>
  <c r="AF938" i="7"/>
  <c r="AH936" i="7"/>
  <c r="AG937" i="7"/>
  <c r="CE938" i="17" l="1"/>
  <c r="CF937" i="17"/>
  <c r="BP938" i="17"/>
  <c r="BQ938" i="17" s="1"/>
  <c r="CA939" i="17"/>
  <c r="CB938" i="17"/>
  <c r="BV938" i="17"/>
  <c r="BW938" i="17" s="1"/>
  <c r="BW937" i="17"/>
  <c r="BU939" i="17"/>
  <c r="BQ937" i="17"/>
  <c r="BO939" i="17"/>
  <c r="BI939" i="17"/>
  <c r="BJ938" i="17"/>
  <c r="BC939" i="17"/>
  <c r="BD938" i="17"/>
  <c r="AW939" i="17"/>
  <c r="AX938" i="17"/>
  <c r="AH937" i="7"/>
  <c r="AG938" i="7"/>
  <c r="AF939" i="7"/>
  <c r="AE939" i="7"/>
  <c r="CF938" i="17" l="1"/>
  <c r="CG938" i="17" s="1"/>
  <c r="CG937" i="17"/>
  <c r="CE939" i="17"/>
  <c r="CB939" i="17"/>
  <c r="CC939" i="17" s="1"/>
  <c r="CC938" i="17"/>
  <c r="CA940" i="17"/>
  <c r="BU940" i="17"/>
  <c r="BV939" i="17"/>
  <c r="BO940" i="17"/>
  <c r="BP939" i="17"/>
  <c r="BJ939" i="17"/>
  <c r="BK939" i="17" s="1"/>
  <c r="AX939" i="17"/>
  <c r="AY939" i="17" s="1"/>
  <c r="BK938" i="17"/>
  <c r="BI940" i="17"/>
  <c r="BC940" i="17"/>
  <c r="BD939" i="17"/>
  <c r="BE938" i="17"/>
  <c r="AY938" i="17"/>
  <c r="AW940" i="17"/>
  <c r="AF940" i="7"/>
  <c r="AE940" i="7"/>
  <c r="AH938" i="7"/>
  <c r="AG939" i="7"/>
  <c r="BV940" i="17" l="1"/>
  <c r="BW940" i="17" s="1"/>
  <c r="CE940" i="17"/>
  <c r="CF939" i="17"/>
  <c r="CA941" i="17"/>
  <c r="CB940" i="17"/>
  <c r="BW939" i="17"/>
  <c r="BU941" i="17"/>
  <c r="BP940" i="17"/>
  <c r="BQ940" i="17" s="1"/>
  <c r="BQ939" i="17"/>
  <c r="BO941" i="17"/>
  <c r="BD940" i="17"/>
  <c r="BE940" i="17" s="1"/>
  <c r="BI941" i="17"/>
  <c r="BJ940" i="17"/>
  <c r="BE939" i="17"/>
  <c r="BC941" i="17"/>
  <c r="AW941" i="17"/>
  <c r="AX940" i="17"/>
  <c r="AG940" i="7"/>
  <c r="AH939" i="7"/>
  <c r="AF941" i="7"/>
  <c r="AE941" i="7"/>
  <c r="CF940" i="17" l="1"/>
  <c r="CG940" i="17" s="1"/>
  <c r="CG939" i="17"/>
  <c r="CE941" i="17"/>
  <c r="CB941" i="17"/>
  <c r="CC941" i="17" s="1"/>
  <c r="CC940" i="17"/>
  <c r="CA942" i="17"/>
  <c r="BU942" i="17"/>
  <c r="BV941" i="17"/>
  <c r="BJ941" i="17"/>
  <c r="BK941" i="17" s="1"/>
  <c r="BO942" i="17"/>
  <c r="BP941" i="17"/>
  <c r="BK940" i="17"/>
  <c r="BI942" i="17"/>
  <c r="BC942" i="17"/>
  <c r="BD941" i="17"/>
  <c r="AX941" i="17"/>
  <c r="AY941" i="17" s="1"/>
  <c r="AY940" i="17"/>
  <c r="AW942" i="17"/>
  <c r="AF942" i="7"/>
  <c r="AE942" i="7"/>
  <c r="AH940" i="7"/>
  <c r="AG941" i="7"/>
  <c r="BV942" i="17" l="1"/>
  <c r="BW942" i="17" s="1"/>
  <c r="CE942" i="17"/>
  <c r="CF941" i="17"/>
  <c r="CG941" i="17" s="1"/>
  <c r="CA943" i="17"/>
  <c r="CB942" i="17"/>
  <c r="BW941" i="17"/>
  <c r="BU943" i="17"/>
  <c r="BP942" i="17"/>
  <c r="BQ942" i="17" s="1"/>
  <c r="BQ941" i="17"/>
  <c r="BO943" i="17"/>
  <c r="BP943" i="17" s="1"/>
  <c r="BI943" i="17"/>
  <c r="BJ942" i="17"/>
  <c r="BD942" i="17"/>
  <c r="BE942" i="17" s="1"/>
  <c r="BE941" i="17"/>
  <c r="BC943" i="17"/>
  <c r="AW943" i="17"/>
  <c r="AX942" i="17"/>
  <c r="AH941" i="7"/>
  <c r="AG942" i="7"/>
  <c r="AF943" i="7"/>
  <c r="AE943" i="7"/>
  <c r="CB943" i="17" l="1"/>
  <c r="CC943" i="17" s="1"/>
  <c r="CF942" i="17"/>
  <c r="CG942" i="17" s="1"/>
  <c r="CE943" i="17"/>
  <c r="CC942" i="17"/>
  <c r="CA944" i="17"/>
  <c r="BU944" i="17"/>
  <c r="BV943" i="17"/>
  <c r="BO944" i="17"/>
  <c r="BQ943" i="17"/>
  <c r="BJ943" i="17"/>
  <c r="BK943" i="17" s="1"/>
  <c r="BK942" i="17"/>
  <c r="BI944" i="17"/>
  <c r="BC944" i="17"/>
  <c r="BD943" i="17"/>
  <c r="AX943" i="17"/>
  <c r="AY943" i="17" s="1"/>
  <c r="AY942" i="17"/>
  <c r="AW944" i="17"/>
  <c r="AE944" i="7"/>
  <c r="AF944" i="7"/>
  <c r="AH942" i="7"/>
  <c r="AG943" i="7"/>
  <c r="CF943" i="17" l="1"/>
  <c r="CG943" i="17" s="1"/>
  <c r="CE944" i="17"/>
  <c r="CA945" i="17"/>
  <c r="BV944" i="17"/>
  <c r="BW944" i="17" s="1"/>
  <c r="CB944" i="17"/>
  <c r="BW943" i="17"/>
  <c r="BU945" i="17"/>
  <c r="BO945" i="17"/>
  <c r="BP944" i="17"/>
  <c r="BD944" i="17"/>
  <c r="BE944" i="17" s="1"/>
  <c r="BI945" i="17"/>
  <c r="BJ944" i="17"/>
  <c r="BE943" i="17"/>
  <c r="BC945" i="17"/>
  <c r="AW945" i="17"/>
  <c r="AX944" i="17"/>
  <c r="AH943" i="7"/>
  <c r="AG944" i="7"/>
  <c r="AF945" i="7"/>
  <c r="AE945" i="7"/>
  <c r="CB945" i="17" l="1"/>
  <c r="CC945" i="17" s="1"/>
  <c r="CF944" i="17"/>
  <c r="CG944" i="17" s="1"/>
  <c r="CE945" i="17"/>
  <c r="CC944" i="17"/>
  <c r="CA946" i="17"/>
  <c r="BU946" i="17"/>
  <c r="BV945" i="17"/>
  <c r="BP945" i="17"/>
  <c r="BQ945" i="17" s="1"/>
  <c r="BQ944" i="17"/>
  <c r="BO946" i="17"/>
  <c r="BJ945" i="17"/>
  <c r="BK945" i="17" s="1"/>
  <c r="BK944" i="17"/>
  <c r="BI946" i="17"/>
  <c r="BC946" i="17"/>
  <c r="BD945" i="17"/>
  <c r="AX945" i="17"/>
  <c r="AY945" i="17" s="1"/>
  <c r="AY944" i="17"/>
  <c r="AW946" i="17"/>
  <c r="AF946" i="7"/>
  <c r="AE946" i="7"/>
  <c r="AH944" i="7"/>
  <c r="AG945" i="7"/>
  <c r="BV946" i="17" l="1"/>
  <c r="BW946" i="17" s="1"/>
  <c r="CE946" i="17"/>
  <c r="CF945" i="17"/>
  <c r="CA947" i="17"/>
  <c r="CB946" i="17"/>
  <c r="BW945" i="17"/>
  <c r="BU947" i="17"/>
  <c r="BO947" i="17"/>
  <c r="BP946" i="17"/>
  <c r="BI947" i="17"/>
  <c r="BJ946" i="17"/>
  <c r="BD946" i="17"/>
  <c r="BE946" i="17" s="1"/>
  <c r="BE945" i="17"/>
  <c r="BC947" i="17"/>
  <c r="AW947" i="17"/>
  <c r="AX946" i="17"/>
  <c r="AF947" i="7"/>
  <c r="AE947" i="7"/>
  <c r="AG946" i="7"/>
  <c r="AH945" i="7"/>
  <c r="BV947" i="17" l="1"/>
  <c r="CF946" i="17"/>
  <c r="CG946" i="17" s="1"/>
  <c r="CG945" i="17"/>
  <c r="CE947" i="17"/>
  <c r="CB947" i="17"/>
  <c r="CC946" i="17"/>
  <c r="CA948" i="17"/>
  <c r="CC947" i="17"/>
  <c r="BP947" i="17"/>
  <c r="BQ947" i="17" s="1"/>
  <c r="BU948" i="17"/>
  <c r="BW947" i="17"/>
  <c r="BJ947" i="17"/>
  <c r="BK947" i="17" s="1"/>
  <c r="BQ946" i="17"/>
  <c r="BO948" i="17"/>
  <c r="BK946" i="17"/>
  <c r="BI948" i="17"/>
  <c r="BC948" i="17"/>
  <c r="BD947" i="17"/>
  <c r="AX947" i="17"/>
  <c r="AY947" i="17" s="1"/>
  <c r="AY946" i="17"/>
  <c r="AW948" i="17"/>
  <c r="AH946" i="7"/>
  <c r="AG947" i="7"/>
  <c r="AF948" i="7"/>
  <c r="AE948" i="7"/>
  <c r="CF947" i="17" l="1"/>
  <c r="CG947" i="17" s="1"/>
  <c r="CE948" i="17"/>
  <c r="CA949" i="17"/>
  <c r="CB948" i="17"/>
  <c r="BU949" i="17"/>
  <c r="BV948" i="17"/>
  <c r="BO949" i="17"/>
  <c r="BP948" i="17"/>
  <c r="BI949" i="17"/>
  <c r="BJ948" i="17"/>
  <c r="BD948" i="17"/>
  <c r="BE948" i="17" s="1"/>
  <c r="BE947" i="17"/>
  <c r="BC949" i="17"/>
  <c r="AW949" i="17"/>
  <c r="AX948" i="17"/>
  <c r="AF949" i="7"/>
  <c r="AE949" i="7"/>
  <c r="AH947" i="7"/>
  <c r="AG948" i="7"/>
  <c r="CF948" i="17" l="1"/>
  <c r="CG948" i="17" s="1"/>
  <c r="CB949" i="17"/>
  <c r="CC949" i="17" s="1"/>
  <c r="CE949" i="17"/>
  <c r="BP949" i="17"/>
  <c r="BQ949" i="17" s="1"/>
  <c r="CC948" i="17"/>
  <c r="CA950" i="17"/>
  <c r="BV949" i="17"/>
  <c r="BW949" i="17" s="1"/>
  <c r="BW948" i="17"/>
  <c r="BU950" i="17"/>
  <c r="BQ948" i="17"/>
  <c r="BO950" i="17"/>
  <c r="BJ949" i="17"/>
  <c r="BK949" i="17" s="1"/>
  <c r="BK948" i="17"/>
  <c r="BI950" i="17"/>
  <c r="BC950" i="17"/>
  <c r="BD949" i="17"/>
  <c r="AX949" i="17"/>
  <c r="AY949" i="17" s="1"/>
  <c r="AY948" i="17"/>
  <c r="AW950" i="17"/>
  <c r="AH948" i="7"/>
  <c r="AG949" i="7"/>
  <c r="AE950" i="7"/>
  <c r="AF950" i="7"/>
  <c r="CF949" i="17" l="1"/>
  <c r="CG949" i="17" s="1"/>
  <c r="CE950" i="17"/>
  <c r="CA951" i="17"/>
  <c r="CB950" i="17"/>
  <c r="BU951" i="17"/>
  <c r="BV950" i="17"/>
  <c r="BO951" i="17"/>
  <c r="BP950" i="17"/>
  <c r="BD950" i="17"/>
  <c r="BE950" i="17" s="1"/>
  <c r="BI951" i="17"/>
  <c r="BJ950" i="17"/>
  <c r="BE949" i="17"/>
  <c r="BC951" i="17"/>
  <c r="AW951" i="17"/>
  <c r="AX950" i="17"/>
  <c r="AH949" i="7"/>
  <c r="AG950" i="7"/>
  <c r="AF951" i="7"/>
  <c r="AE951" i="7"/>
  <c r="CB951" i="17" l="1"/>
  <c r="CC951" i="17" s="1"/>
  <c r="CE951" i="17"/>
  <c r="CF950" i="17"/>
  <c r="BV951" i="17"/>
  <c r="CC950" i="17"/>
  <c r="CA952" i="17"/>
  <c r="BW950" i="17"/>
  <c r="BU952" i="17"/>
  <c r="BW951" i="17"/>
  <c r="BP951" i="17"/>
  <c r="BQ951" i="17" s="1"/>
  <c r="BQ950" i="17"/>
  <c r="BJ951" i="17"/>
  <c r="BK951" i="17" s="1"/>
  <c r="BO952" i="17"/>
  <c r="BK950" i="17"/>
  <c r="BI952" i="17"/>
  <c r="AX951" i="17"/>
  <c r="AY951" i="17" s="1"/>
  <c r="BC952" i="17"/>
  <c r="BD951" i="17"/>
  <c r="AY950" i="17"/>
  <c r="AW952" i="17"/>
  <c r="AF952" i="7"/>
  <c r="AE952" i="7"/>
  <c r="AH950" i="7"/>
  <c r="AG951" i="7"/>
  <c r="CF951" i="17" l="1"/>
  <c r="CG951" i="17" s="1"/>
  <c r="CG950" i="17"/>
  <c r="CE952" i="17"/>
  <c r="CA953" i="17"/>
  <c r="CB952" i="17"/>
  <c r="BU953" i="17"/>
  <c r="BV952" i="17"/>
  <c r="BO953" i="17"/>
  <c r="BP952" i="17"/>
  <c r="BD952" i="17"/>
  <c r="BE952" i="17" s="1"/>
  <c r="BI953" i="17"/>
  <c r="BJ952" i="17"/>
  <c r="BE951" i="17"/>
  <c r="BC953" i="17"/>
  <c r="AW953" i="17"/>
  <c r="AX952" i="17"/>
  <c r="AG952" i="7"/>
  <c r="AH951" i="7"/>
  <c r="AF953" i="7"/>
  <c r="AE953" i="7"/>
  <c r="CF952" i="17" l="1"/>
  <c r="CG952" i="17" s="1"/>
  <c r="CB953" i="17"/>
  <c r="CC953" i="17" s="1"/>
  <c r="CE953" i="17"/>
  <c r="CC952" i="17"/>
  <c r="CA954" i="17"/>
  <c r="BV953" i="17"/>
  <c r="BW953" i="17" s="1"/>
  <c r="BW952" i="17"/>
  <c r="BU954" i="17"/>
  <c r="BP953" i="17"/>
  <c r="BQ953" i="17" s="1"/>
  <c r="BQ952" i="17"/>
  <c r="BO954" i="17"/>
  <c r="BJ953" i="17"/>
  <c r="BK953" i="17" s="1"/>
  <c r="BK952" i="17"/>
  <c r="BI954" i="17"/>
  <c r="BC954" i="17"/>
  <c r="BD953" i="17"/>
  <c r="AX953" i="17"/>
  <c r="AY953" i="17" s="1"/>
  <c r="AY952" i="17"/>
  <c r="AW954" i="17"/>
  <c r="AF954" i="7"/>
  <c r="AE954" i="7"/>
  <c r="AH952" i="7"/>
  <c r="AG953" i="7"/>
  <c r="CE954" i="17" l="1"/>
  <c r="CF953" i="17"/>
  <c r="CA955" i="17"/>
  <c r="CB954" i="17"/>
  <c r="BU955" i="17"/>
  <c r="BV954" i="17"/>
  <c r="BO955" i="17"/>
  <c r="BP954" i="17"/>
  <c r="BI955" i="17"/>
  <c r="BJ954" i="17"/>
  <c r="BD954" i="17"/>
  <c r="BE954" i="17" s="1"/>
  <c r="BE953" i="17"/>
  <c r="BC955" i="17"/>
  <c r="AW955" i="17"/>
  <c r="AX954" i="17"/>
  <c r="AH953" i="7"/>
  <c r="AG954" i="7"/>
  <c r="AF955" i="7"/>
  <c r="AE955" i="7"/>
  <c r="CF954" i="17" l="1"/>
  <c r="CG954" i="17" s="1"/>
  <c r="BJ955" i="17"/>
  <c r="BK955" i="17" s="1"/>
  <c r="CB955" i="17"/>
  <c r="CC955" i="17" s="1"/>
  <c r="CG953" i="17"/>
  <c r="CE955" i="17"/>
  <c r="CC954" i="17"/>
  <c r="CA956" i="17"/>
  <c r="BV955" i="17"/>
  <c r="BW955" i="17" s="1"/>
  <c r="BW954" i="17"/>
  <c r="BU956" i="17"/>
  <c r="BP955" i="17"/>
  <c r="BQ955" i="17" s="1"/>
  <c r="BQ954" i="17"/>
  <c r="BO956" i="17"/>
  <c r="BK954" i="17"/>
  <c r="BI956" i="17"/>
  <c r="AX955" i="17"/>
  <c r="AY955" i="17" s="1"/>
  <c r="BC956" i="17"/>
  <c r="BD955" i="17"/>
  <c r="AY954" i="17"/>
  <c r="AW956" i="17"/>
  <c r="AE956" i="7"/>
  <c r="AF956" i="7"/>
  <c r="AH954" i="7"/>
  <c r="AG955" i="7"/>
  <c r="BJ956" i="17" l="1"/>
  <c r="BK956" i="17" s="1"/>
  <c r="CE956" i="17"/>
  <c r="CF955" i="17"/>
  <c r="CA957" i="17"/>
  <c r="CB956" i="17"/>
  <c r="BU957" i="17"/>
  <c r="BV956" i="17"/>
  <c r="BO957" i="17"/>
  <c r="BP956" i="17"/>
  <c r="BI957" i="17"/>
  <c r="BD956" i="17"/>
  <c r="BE956" i="17" s="1"/>
  <c r="BE955" i="17"/>
  <c r="BC957" i="17"/>
  <c r="AW957" i="17"/>
  <c r="AX956" i="17"/>
  <c r="AH955" i="7"/>
  <c r="AG956" i="7"/>
  <c r="AF957" i="7"/>
  <c r="AE957" i="7"/>
  <c r="BJ957" i="17" l="1"/>
  <c r="BK957" i="17" s="1"/>
  <c r="CB957" i="17"/>
  <c r="CC957" i="17" s="1"/>
  <c r="CF956" i="17"/>
  <c r="BV957" i="17"/>
  <c r="BW957" i="17" s="1"/>
  <c r="CG955" i="17"/>
  <c r="CE957" i="17"/>
  <c r="CG956" i="17"/>
  <c r="CC956" i="17"/>
  <c r="CA958" i="17"/>
  <c r="BW956" i="17"/>
  <c r="BU958" i="17"/>
  <c r="BP957" i="17"/>
  <c r="BQ957" i="17" s="1"/>
  <c r="BQ956" i="17"/>
  <c r="BO958" i="17"/>
  <c r="BI958" i="17"/>
  <c r="BC958" i="17"/>
  <c r="BD957" i="17"/>
  <c r="AX957" i="17"/>
  <c r="AY957" i="17" s="1"/>
  <c r="AY956" i="17"/>
  <c r="AW958" i="17"/>
  <c r="AF958" i="7"/>
  <c r="AE958" i="7"/>
  <c r="AH956" i="7"/>
  <c r="AG957" i="7"/>
  <c r="CB958" i="17" l="1"/>
  <c r="CF957" i="17"/>
  <c r="CE958" i="17"/>
  <c r="CF958" i="17" s="1"/>
  <c r="CG957" i="17"/>
  <c r="CA959" i="17"/>
  <c r="CC958" i="17"/>
  <c r="BU959" i="17"/>
  <c r="BV958" i="17"/>
  <c r="BD958" i="17"/>
  <c r="BE958" i="17" s="1"/>
  <c r="BO959" i="17"/>
  <c r="BP958" i="17"/>
  <c r="BI959" i="17"/>
  <c r="BJ958" i="17"/>
  <c r="BE957" i="17"/>
  <c r="BC959" i="17"/>
  <c r="AW959" i="17"/>
  <c r="AX958" i="17"/>
  <c r="AY958" i="17" s="1"/>
  <c r="AF959" i="7"/>
  <c r="AE959" i="7"/>
  <c r="AG958" i="7"/>
  <c r="AH957" i="7"/>
  <c r="BV959" i="17" l="1"/>
  <c r="BW959" i="17" s="1"/>
  <c r="CE959" i="17"/>
  <c r="CG958" i="17"/>
  <c r="CA960" i="17"/>
  <c r="BP959" i="17"/>
  <c r="BQ959" i="17" s="1"/>
  <c r="CB959" i="17"/>
  <c r="BW958" i="17"/>
  <c r="BU960" i="17"/>
  <c r="BJ959" i="17"/>
  <c r="BK959" i="17" s="1"/>
  <c r="BQ958" i="17"/>
  <c r="BO960" i="17"/>
  <c r="BK958" i="17"/>
  <c r="BI960" i="17"/>
  <c r="BC960" i="17"/>
  <c r="BD959" i="17"/>
  <c r="AX959" i="17"/>
  <c r="AY959" i="17" s="1"/>
  <c r="AW960" i="17"/>
  <c r="AH958" i="7"/>
  <c r="AG959" i="7"/>
  <c r="AF960" i="7"/>
  <c r="AE960" i="7"/>
  <c r="CE960" i="17" l="1"/>
  <c r="CF959" i="17"/>
  <c r="CB960" i="17"/>
  <c r="CC959" i="17"/>
  <c r="CA961" i="17"/>
  <c r="CC960" i="17"/>
  <c r="BU961" i="17"/>
  <c r="BV960" i="17"/>
  <c r="BO961" i="17"/>
  <c r="BP960" i="17"/>
  <c r="BI961" i="17"/>
  <c r="BJ960" i="17"/>
  <c r="BD960" i="17"/>
  <c r="BE960" i="17" s="1"/>
  <c r="BE959" i="17"/>
  <c r="BC961" i="17"/>
  <c r="AW961" i="17"/>
  <c r="AX960" i="17"/>
  <c r="AH959" i="7"/>
  <c r="AG960" i="7"/>
  <c r="AF961" i="7"/>
  <c r="AE961" i="7"/>
  <c r="CF960" i="17" l="1"/>
  <c r="CG960" i="17" s="1"/>
  <c r="CG959" i="17"/>
  <c r="CE961" i="17"/>
  <c r="CA962" i="17"/>
  <c r="CB961" i="17"/>
  <c r="BV961" i="17"/>
  <c r="BW960" i="17"/>
  <c r="BU962" i="17"/>
  <c r="BW961" i="17"/>
  <c r="BP961" i="17"/>
  <c r="BQ961" i="17" s="1"/>
  <c r="BQ960" i="17"/>
  <c r="BO962" i="17"/>
  <c r="BJ961" i="17"/>
  <c r="BK961" i="17" s="1"/>
  <c r="BK960" i="17"/>
  <c r="BI962" i="17"/>
  <c r="BC962" i="17"/>
  <c r="BD961" i="17"/>
  <c r="AX961" i="17"/>
  <c r="AY961" i="17" s="1"/>
  <c r="AY960" i="17"/>
  <c r="AW962" i="17"/>
  <c r="AF962" i="7"/>
  <c r="AE962" i="7"/>
  <c r="AH960" i="7"/>
  <c r="AG961" i="7"/>
  <c r="CB962" i="17" l="1"/>
  <c r="CC962" i="17" s="1"/>
  <c r="CE962" i="17"/>
  <c r="CF961" i="17"/>
  <c r="CC961" i="17"/>
  <c r="CA963" i="17"/>
  <c r="BU963" i="17"/>
  <c r="BV962" i="17"/>
  <c r="BO963" i="17"/>
  <c r="BP962" i="17"/>
  <c r="BI963" i="17"/>
  <c r="BJ962" i="17"/>
  <c r="BD962" i="17"/>
  <c r="BE962" i="17" s="1"/>
  <c r="BE961" i="17"/>
  <c r="BC963" i="17"/>
  <c r="AW963" i="17"/>
  <c r="AX962" i="17"/>
  <c r="AF963" i="7"/>
  <c r="AE963" i="7"/>
  <c r="AH961" i="7"/>
  <c r="AG962" i="7"/>
  <c r="CF962" i="17" l="1"/>
  <c r="CG961" i="17"/>
  <c r="CE963" i="17"/>
  <c r="CA964" i="17"/>
  <c r="CB963" i="17"/>
  <c r="BV963" i="17"/>
  <c r="BW963" i="17" s="1"/>
  <c r="BW962" i="17"/>
  <c r="BU964" i="17"/>
  <c r="BJ963" i="17"/>
  <c r="BK963" i="17" s="1"/>
  <c r="BP963" i="17"/>
  <c r="BQ963" i="17" s="1"/>
  <c r="BQ962" i="17"/>
  <c r="BO964" i="17"/>
  <c r="BK962" i="17"/>
  <c r="BI964" i="17"/>
  <c r="BC964" i="17"/>
  <c r="BD963" i="17"/>
  <c r="AX963" i="17"/>
  <c r="AY963" i="17" s="1"/>
  <c r="AY962" i="17"/>
  <c r="AW964" i="17"/>
  <c r="AG963" i="7"/>
  <c r="AH962" i="7"/>
  <c r="AF964" i="7"/>
  <c r="AE964" i="7"/>
  <c r="CF963" i="17" l="1"/>
  <c r="CG963" i="17" s="1"/>
  <c r="CG962" i="17"/>
  <c r="CE964" i="17"/>
  <c r="CB964" i="17"/>
  <c r="CC963" i="17"/>
  <c r="CA965" i="17"/>
  <c r="CC964" i="17"/>
  <c r="BU965" i="17"/>
  <c r="BV964" i="17"/>
  <c r="BD964" i="17"/>
  <c r="BE964" i="17" s="1"/>
  <c r="BO965" i="17"/>
  <c r="BP964" i="17"/>
  <c r="BI965" i="17"/>
  <c r="BJ964" i="17"/>
  <c r="BE963" i="17"/>
  <c r="BC965" i="17"/>
  <c r="AW965" i="17"/>
  <c r="AX964" i="17"/>
  <c r="AF965" i="7"/>
  <c r="AE965" i="7"/>
  <c r="AH963" i="7"/>
  <c r="AG964" i="7"/>
  <c r="CF964" i="17" l="1"/>
  <c r="CG964" i="17" s="1"/>
  <c r="BV965" i="17"/>
  <c r="BW965" i="17" s="1"/>
  <c r="CE965" i="17"/>
  <c r="CA966" i="17"/>
  <c r="CB965" i="17"/>
  <c r="BP965" i="17"/>
  <c r="BQ965" i="17" s="1"/>
  <c r="BW964" i="17"/>
  <c r="BU966" i="17"/>
  <c r="BQ964" i="17"/>
  <c r="BO966" i="17"/>
  <c r="BJ965" i="17"/>
  <c r="BK965" i="17" s="1"/>
  <c r="BK964" i="17"/>
  <c r="BI966" i="17"/>
  <c r="AX965" i="17"/>
  <c r="AY965" i="17" s="1"/>
  <c r="BC966" i="17"/>
  <c r="BD965" i="17"/>
  <c r="AY964" i="17"/>
  <c r="AW966" i="17"/>
  <c r="AH964" i="7"/>
  <c r="AG965" i="7"/>
  <c r="AF966" i="7"/>
  <c r="AE966" i="7"/>
  <c r="CF965" i="17" l="1"/>
  <c r="CG965" i="17" s="1"/>
  <c r="CE966" i="17"/>
  <c r="CB966" i="17"/>
  <c r="CC965" i="17"/>
  <c r="CA967" i="17"/>
  <c r="CC966" i="17"/>
  <c r="BD966" i="17"/>
  <c r="BE966" i="17" s="1"/>
  <c r="BU967" i="17"/>
  <c r="BV966" i="17"/>
  <c r="BO967" i="17"/>
  <c r="BP966" i="17"/>
  <c r="BI967" i="17"/>
  <c r="BJ966" i="17"/>
  <c r="BE965" i="17"/>
  <c r="BC967" i="17"/>
  <c r="AW967" i="17"/>
  <c r="AX966" i="17"/>
  <c r="AF967" i="7"/>
  <c r="AE967" i="7"/>
  <c r="AH965" i="7"/>
  <c r="AG966" i="7"/>
  <c r="CF966" i="17" l="1"/>
  <c r="CG966" i="17" s="1"/>
  <c r="BV967" i="17"/>
  <c r="BW967" i="17" s="1"/>
  <c r="CE967" i="17"/>
  <c r="CA968" i="17"/>
  <c r="CB967" i="17"/>
  <c r="BJ967" i="17"/>
  <c r="BK967" i="17" s="1"/>
  <c r="BW966" i="17"/>
  <c r="BU968" i="17"/>
  <c r="BP967" i="17"/>
  <c r="BQ967" i="17" s="1"/>
  <c r="AX967" i="17"/>
  <c r="AY967" i="17" s="1"/>
  <c r="BQ966" i="17"/>
  <c r="BO968" i="17"/>
  <c r="BK966" i="17"/>
  <c r="BI968" i="17"/>
  <c r="BC968" i="17"/>
  <c r="BD967" i="17"/>
  <c r="AY966" i="17"/>
  <c r="AW968" i="17"/>
  <c r="AH966" i="7"/>
  <c r="AG967" i="7"/>
  <c r="AF968" i="7"/>
  <c r="AE968" i="7"/>
  <c r="CB968" i="17" l="1"/>
  <c r="CE968" i="17"/>
  <c r="CF967" i="17"/>
  <c r="CC967" i="17"/>
  <c r="CA969" i="17"/>
  <c r="CB969" i="17" s="1"/>
  <c r="CC968" i="17"/>
  <c r="BU969" i="17"/>
  <c r="BV968" i="17"/>
  <c r="BO969" i="17"/>
  <c r="BP968" i="17"/>
  <c r="BI969" i="17"/>
  <c r="BJ968" i="17"/>
  <c r="BD968" i="17"/>
  <c r="BE968" i="17" s="1"/>
  <c r="BE967" i="17"/>
  <c r="BC969" i="17"/>
  <c r="AW969" i="17"/>
  <c r="AX968" i="17"/>
  <c r="AF969" i="7"/>
  <c r="AE969" i="7"/>
  <c r="AH967" i="7"/>
  <c r="AG968" i="7"/>
  <c r="CF968" i="17" l="1"/>
  <c r="CG968" i="17" s="1"/>
  <c r="CG967" i="17"/>
  <c r="CE969" i="17"/>
  <c r="CA970" i="17"/>
  <c r="CC969" i="17"/>
  <c r="BV969" i="17"/>
  <c r="BW969" i="17" s="1"/>
  <c r="BW968" i="17"/>
  <c r="BU970" i="17"/>
  <c r="BJ969" i="17"/>
  <c r="BK969" i="17" s="1"/>
  <c r="BP969" i="17"/>
  <c r="BQ969" i="17" s="1"/>
  <c r="BQ968" i="17"/>
  <c r="BO970" i="17"/>
  <c r="BK968" i="17"/>
  <c r="BI970" i="17"/>
  <c r="BC970" i="17"/>
  <c r="BD969" i="17"/>
  <c r="AX969" i="17"/>
  <c r="AY969" i="17" s="1"/>
  <c r="AY968" i="17"/>
  <c r="AW970" i="17"/>
  <c r="AH968" i="7"/>
  <c r="AG969" i="7"/>
  <c r="AF970" i="7"/>
  <c r="AE970" i="7"/>
  <c r="CE970" i="17" l="1"/>
  <c r="CF969" i="17"/>
  <c r="CA971" i="17"/>
  <c r="CB970" i="17"/>
  <c r="BU971" i="17"/>
  <c r="BV970" i="17"/>
  <c r="BD970" i="17"/>
  <c r="BE970" i="17" s="1"/>
  <c r="BO971" i="17"/>
  <c r="BP970" i="17"/>
  <c r="BI971" i="17"/>
  <c r="BJ970" i="17"/>
  <c r="BE969" i="17"/>
  <c r="BC971" i="17"/>
  <c r="AW971" i="17"/>
  <c r="AX970" i="17"/>
  <c r="AF971" i="7"/>
  <c r="AE971" i="7"/>
  <c r="AH969" i="7"/>
  <c r="AG970" i="7"/>
  <c r="CF970" i="17" l="1"/>
  <c r="CG970" i="17" s="1"/>
  <c r="CG969" i="17"/>
  <c r="CE971" i="17"/>
  <c r="CB971" i="17"/>
  <c r="CC971" i="17" s="1"/>
  <c r="CC970" i="17"/>
  <c r="CA972" i="17"/>
  <c r="BV971" i="17"/>
  <c r="BW971" i="17" s="1"/>
  <c r="BW970" i="17"/>
  <c r="BU972" i="17"/>
  <c r="AX971" i="17"/>
  <c r="AY971" i="17" s="1"/>
  <c r="BP971" i="17"/>
  <c r="BQ971" i="17" s="1"/>
  <c r="BQ970" i="17"/>
  <c r="BO972" i="17"/>
  <c r="BJ971" i="17"/>
  <c r="BK971" i="17" s="1"/>
  <c r="BK970" i="17"/>
  <c r="BI972" i="17"/>
  <c r="BC972" i="17"/>
  <c r="BD971" i="17"/>
  <c r="AY970" i="17"/>
  <c r="AW972" i="17"/>
  <c r="AH970" i="7"/>
  <c r="AG971" i="7"/>
  <c r="AF972" i="7"/>
  <c r="AE972" i="7"/>
  <c r="CE972" i="17" l="1"/>
  <c r="CF971" i="17"/>
  <c r="CB972" i="17"/>
  <c r="CC972" i="17" s="1"/>
  <c r="CA973" i="17"/>
  <c r="BU973" i="17"/>
  <c r="BV972" i="17"/>
  <c r="BP972" i="17"/>
  <c r="BQ972" i="17" s="1"/>
  <c r="BO973" i="17"/>
  <c r="BD972" i="17"/>
  <c r="BE972" i="17" s="1"/>
  <c r="BI973" i="17"/>
  <c r="BJ972" i="17"/>
  <c r="BE971" i="17"/>
  <c r="BC973" i="17"/>
  <c r="AW973" i="17"/>
  <c r="AX972" i="17"/>
  <c r="AF973" i="7"/>
  <c r="AE973" i="7"/>
  <c r="AH971" i="7"/>
  <c r="AG972" i="7"/>
  <c r="BP973" i="17" l="1"/>
  <c r="CF972" i="17"/>
  <c r="CG972" i="17" s="1"/>
  <c r="CG971" i="17"/>
  <c r="BV973" i="17"/>
  <c r="CE973" i="17"/>
  <c r="CA974" i="17"/>
  <c r="CB973" i="17"/>
  <c r="BW972" i="17"/>
  <c r="BU974" i="17"/>
  <c r="BW973" i="17"/>
  <c r="BO974" i="17"/>
  <c r="BQ973" i="17"/>
  <c r="BJ973" i="17"/>
  <c r="BK973" i="17" s="1"/>
  <c r="AX973" i="17"/>
  <c r="AY973" i="17" s="1"/>
  <c r="BK972" i="17"/>
  <c r="BI974" i="17"/>
  <c r="BC974" i="17"/>
  <c r="BD973" i="17"/>
  <c r="AY972" i="17"/>
  <c r="AW974" i="17"/>
  <c r="AH972" i="7"/>
  <c r="AG973" i="7"/>
  <c r="AF974" i="7"/>
  <c r="AE974" i="7"/>
  <c r="CF973" i="17" l="1"/>
  <c r="CG973" i="17" s="1"/>
  <c r="CB974" i="17"/>
  <c r="CC974" i="17" s="1"/>
  <c r="CE974" i="17"/>
  <c r="CC973" i="17"/>
  <c r="CA975" i="17"/>
  <c r="BU975" i="17"/>
  <c r="BV974" i="17"/>
  <c r="BO975" i="17"/>
  <c r="BP974" i="17"/>
  <c r="BD974" i="17"/>
  <c r="BE974" i="17" s="1"/>
  <c r="BI975" i="17"/>
  <c r="BJ974" i="17"/>
  <c r="BE973" i="17"/>
  <c r="BC975" i="17"/>
  <c r="AW975" i="17"/>
  <c r="AX974" i="17"/>
  <c r="AF975" i="7"/>
  <c r="AE975" i="7"/>
  <c r="AG974" i="7"/>
  <c r="AH973" i="7"/>
  <c r="BV975" i="17" l="1"/>
  <c r="BW975" i="17" s="1"/>
  <c r="CE975" i="17"/>
  <c r="CF974" i="17"/>
  <c r="CA976" i="17"/>
  <c r="CB975" i="17"/>
  <c r="BP975" i="17"/>
  <c r="BW974" i="17"/>
  <c r="BU976" i="17"/>
  <c r="BQ974" i="17"/>
  <c r="BO976" i="17"/>
  <c r="BQ975" i="17"/>
  <c r="AX975" i="17"/>
  <c r="AY975" i="17" s="1"/>
  <c r="BJ975" i="17"/>
  <c r="BK975" i="17" s="1"/>
  <c r="BK974" i="17"/>
  <c r="BI976" i="17"/>
  <c r="BC976" i="17"/>
  <c r="BD975" i="17"/>
  <c r="AY974" i="17"/>
  <c r="AW976" i="17"/>
  <c r="AH974" i="7"/>
  <c r="AG975" i="7"/>
  <c r="AF976" i="7"/>
  <c r="AE976" i="7"/>
  <c r="CF975" i="17" l="1"/>
  <c r="CG975" i="17" s="1"/>
  <c r="CB976" i="17"/>
  <c r="CC976" i="17" s="1"/>
  <c r="CG974" i="17"/>
  <c r="CE976" i="17"/>
  <c r="CC975" i="17"/>
  <c r="CA977" i="17"/>
  <c r="BU977" i="17"/>
  <c r="BV976" i="17"/>
  <c r="BO977" i="17"/>
  <c r="BP976" i="17"/>
  <c r="BI977" i="17"/>
  <c r="BJ976" i="17"/>
  <c r="BD976" i="17"/>
  <c r="BE976" i="17" s="1"/>
  <c r="BE975" i="17"/>
  <c r="BC977" i="17"/>
  <c r="AW977" i="17"/>
  <c r="AX976" i="17"/>
  <c r="AF977" i="7"/>
  <c r="AE977" i="7"/>
  <c r="AH975" i="7"/>
  <c r="AG976" i="7"/>
  <c r="CF976" i="17" l="1"/>
  <c r="CG976" i="17" s="1"/>
  <c r="CE977" i="17"/>
  <c r="BV977" i="17"/>
  <c r="CA978" i="17"/>
  <c r="CB977" i="17"/>
  <c r="BW976" i="17"/>
  <c r="BU978" i="17"/>
  <c r="BW977" i="17"/>
  <c r="BP977" i="17"/>
  <c r="BQ977" i="17" s="1"/>
  <c r="BQ976" i="17"/>
  <c r="BO978" i="17"/>
  <c r="BJ977" i="17"/>
  <c r="BK977" i="17" s="1"/>
  <c r="BK976" i="17"/>
  <c r="BI978" i="17"/>
  <c r="BC978" i="17"/>
  <c r="BD977" i="17"/>
  <c r="AX977" i="17"/>
  <c r="AY977" i="17" s="1"/>
  <c r="AY976" i="17"/>
  <c r="AW978" i="17"/>
  <c r="AH976" i="7"/>
  <c r="AG977" i="7"/>
  <c r="AE978" i="7"/>
  <c r="AF978" i="7"/>
  <c r="CF977" i="17" l="1"/>
  <c r="CG977" i="17" s="1"/>
  <c r="CB978" i="17"/>
  <c r="CC978" i="17" s="1"/>
  <c r="CE978" i="17"/>
  <c r="CC977" i="17"/>
  <c r="CA979" i="17"/>
  <c r="BU979" i="17"/>
  <c r="BV978" i="17"/>
  <c r="BO979" i="17"/>
  <c r="BP978" i="17"/>
  <c r="BI979" i="17"/>
  <c r="BJ978" i="17"/>
  <c r="BD978" i="17"/>
  <c r="BE978" i="17" s="1"/>
  <c r="BE977" i="17"/>
  <c r="BC979" i="17"/>
  <c r="AW979" i="17"/>
  <c r="AX978" i="17"/>
  <c r="AF979" i="7"/>
  <c r="AE979" i="7"/>
  <c r="AH977" i="7"/>
  <c r="AG978" i="7"/>
  <c r="CE979" i="17" l="1"/>
  <c r="CF978" i="17"/>
  <c r="CA980" i="17"/>
  <c r="CB979" i="17"/>
  <c r="BV979" i="17"/>
  <c r="BW978" i="17"/>
  <c r="BP979" i="17"/>
  <c r="BQ979" i="17" s="1"/>
  <c r="BU980" i="17"/>
  <c r="BW979" i="17"/>
  <c r="BJ979" i="17"/>
  <c r="BK979" i="17" s="1"/>
  <c r="BQ978" i="17"/>
  <c r="BO980" i="17"/>
  <c r="AX979" i="17"/>
  <c r="AY979" i="17" s="1"/>
  <c r="BK978" i="17"/>
  <c r="BI980" i="17"/>
  <c r="BC980" i="17"/>
  <c r="BD979" i="17"/>
  <c r="AY978" i="17"/>
  <c r="AW980" i="17"/>
  <c r="AH978" i="7"/>
  <c r="AG979" i="7"/>
  <c r="AF980" i="7"/>
  <c r="AE980" i="7"/>
  <c r="CF979" i="17" l="1"/>
  <c r="CG979" i="17" s="1"/>
  <c r="CG978" i="17"/>
  <c r="CE980" i="17"/>
  <c r="CB980" i="17"/>
  <c r="CC980" i="17" s="1"/>
  <c r="CC979" i="17"/>
  <c r="CA981" i="17"/>
  <c r="BU981" i="17"/>
  <c r="BV980" i="17"/>
  <c r="BJ980" i="17"/>
  <c r="BK980" i="17" s="1"/>
  <c r="BO981" i="17"/>
  <c r="BP980" i="17"/>
  <c r="BI981" i="17"/>
  <c r="BD980" i="17"/>
  <c r="BE980" i="17" s="1"/>
  <c r="BE979" i="17"/>
  <c r="BC981" i="17"/>
  <c r="AW981" i="17"/>
  <c r="AX980" i="17"/>
  <c r="AE981" i="7"/>
  <c r="AF981" i="7"/>
  <c r="AH979" i="7"/>
  <c r="AG980" i="7"/>
  <c r="CE981" i="17" l="1"/>
  <c r="CF980" i="17"/>
  <c r="BV981" i="17"/>
  <c r="CA982" i="17"/>
  <c r="CB981" i="17"/>
  <c r="BW980" i="17"/>
  <c r="BP981" i="17"/>
  <c r="BQ981" i="17" s="1"/>
  <c r="BU982" i="17"/>
  <c r="BW981" i="17"/>
  <c r="BQ980" i="17"/>
  <c r="BO982" i="17"/>
  <c r="BI982" i="17"/>
  <c r="BJ981" i="17"/>
  <c r="AX981" i="17"/>
  <c r="AY981" i="17" s="1"/>
  <c r="BC982" i="17"/>
  <c r="BD981" i="17"/>
  <c r="AY980" i="17"/>
  <c r="AW982" i="17"/>
  <c r="AH980" i="7"/>
  <c r="AG981" i="7"/>
  <c r="AF982" i="7"/>
  <c r="AE982" i="7"/>
  <c r="CF981" i="17" l="1"/>
  <c r="CG981" i="17" s="1"/>
  <c r="CB982" i="17"/>
  <c r="CC982" i="17" s="1"/>
  <c r="CG980" i="17"/>
  <c r="CE982" i="17"/>
  <c r="CC981" i="17"/>
  <c r="CA983" i="17"/>
  <c r="BU983" i="17"/>
  <c r="BV982" i="17"/>
  <c r="BO983" i="17"/>
  <c r="BP982" i="17"/>
  <c r="BJ982" i="17"/>
  <c r="BK982" i="17" s="1"/>
  <c r="BD982" i="17"/>
  <c r="BE982" i="17" s="1"/>
  <c r="BK981" i="17"/>
  <c r="BI983" i="17"/>
  <c r="BE981" i="17"/>
  <c r="BC983" i="17"/>
  <c r="AW983" i="17"/>
  <c r="AX982" i="17"/>
  <c r="AF983" i="7"/>
  <c r="AE983" i="7"/>
  <c r="AG982" i="7"/>
  <c r="AH981" i="7"/>
  <c r="CE983" i="17" l="1"/>
  <c r="CF982" i="17"/>
  <c r="BV983" i="17"/>
  <c r="CA984" i="17"/>
  <c r="CB983" i="17"/>
  <c r="BW982" i="17"/>
  <c r="BU984" i="17"/>
  <c r="BV984" i="17" s="1"/>
  <c r="BW983" i="17"/>
  <c r="BP983" i="17"/>
  <c r="BQ983" i="17" s="1"/>
  <c r="BQ982" i="17"/>
  <c r="BO984" i="17"/>
  <c r="BI984" i="17"/>
  <c r="BJ983" i="17"/>
  <c r="AX983" i="17"/>
  <c r="AY983" i="17" s="1"/>
  <c r="BC984" i="17"/>
  <c r="BD983" i="17"/>
  <c r="AY982" i="17"/>
  <c r="AW984" i="17"/>
  <c r="AH982" i="7"/>
  <c r="AG983" i="7"/>
  <c r="AE984" i="7"/>
  <c r="AF984" i="7"/>
  <c r="CF983" i="17" l="1"/>
  <c r="CG983" i="17" s="1"/>
  <c r="CB984" i="17"/>
  <c r="CC984" i="17" s="1"/>
  <c r="CG982" i="17"/>
  <c r="CE984" i="17"/>
  <c r="CC983" i="17"/>
  <c r="CA985" i="17"/>
  <c r="BU985" i="17"/>
  <c r="BV985" i="17" s="1"/>
  <c r="BW984" i="17"/>
  <c r="BP984" i="17"/>
  <c r="BQ984" i="17" s="1"/>
  <c r="BO985" i="17"/>
  <c r="BJ984" i="17"/>
  <c r="BK984" i="17" s="1"/>
  <c r="BK983" i="17"/>
  <c r="BI985" i="17"/>
  <c r="BD984" i="17"/>
  <c r="BE984" i="17" s="1"/>
  <c r="BC985" i="17"/>
  <c r="BE983" i="17"/>
  <c r="AW985" i="17"/>
  <c r="AX984" i="17"/>
  <c r="AF985" i="7"/>
  <c r="AE985" i="7"/>
  <c r="AH983" i="7"/>
  <c r="AG984" i="7"/>
  <c r="CE985" i="17" l="1"/>
  <c r="CF984" i="17"/>
  <c r="CA986" i="17"/>
  <c r="CB985" i="17"/>
  <c r="BU986" i="17"/>
  <c r="BV986" i="17" s="1"/>
  <c r="BW985" i="17"/>
  <c r="BO986" i="17"/>
  <c r="BP985" i="17"/>
  <c r="BI986" i="17"/>
  <c r="BJ985" i="17"/>
  <c r="BC986" i="17"/>
  <c r="BD985" i="17"/>
  <c r="AX985" i="17"/>
  <c r="AY985" i="17" s="1"/>
  <c r="AY984" i="17"/>
  <c r="AW986" i="17"/>
  <c r="AH984" i="7"/>
  <c r="AG985" i="7"/>
  <c r="AF986" i="7"/>
  <c r="AE986" i="7"/>
  <c r="CF985" i="17" l="1"/>
  <c r="CG985" i="17" s="1"/>
  <c r="CG984" i="17"/>
  <c r="CE986" i="17"/>
  <c r="CB986" i="17"/>
  <c r="CC986" i="17" s="1"/>
  <c r="CC985" i="17"/>
  <c r="CA987" i="17"/>
  <c r="BU987" i="17"/>
  <c r="BV987" i="17" s="1"/>
  <c r="BW986" i="17"/>
  <c r="BP986" i="17"/>
  <c r="BQ986" i="17" s="1"/>
  <c r="BD986" i="17"/>
  <c r="BE986" i="17" s="1"/>
  <c r="BQ985" i="17"/>
  <c r="BO987" i="17"/>
  <c r="BJ986" i="17"/>
  <c r="BK986" i="17" s="1"/>
  <c r="BK985" i="17"/>
  <c r="BI987" i="17"/>
  <c r="BE985" i="17"/>
  <c r="BC987" i="17"/>
  <c r="AW987" i="17"/>
  <c r="AX986" i="17"/>
  <c r="AE987" i="7"/>
  <c r="AF987" i="7"/>
  <c r="AH985" i="7"/>
  <c r="AG986" i="7"/>
  <c r="CF986" i="17" l="1"/>
  <c r="CG986" i="17" s="1"/>
  <c r="CE987" i="17"/>
  <c r="CA988" i="17"/>
  <c r="CB987" i="17"/>
  <c r="BU988" i="17"/>
  <c r="BW987" i="17"/>
  <c r="BO988" i="17"/>
  <c r="BP987" i="17"/>
  <c r="BI988" i="17"/>
  <c r="BJ987" i="17"/>
  <c r="BC988" i="17"/>
  <c r="BD987" i="17"/>
  <c r="AX987" i="17"/>
  <c r="AY987" i="17" s="1"/>
  <c r="AY986" i="17"/>
  <c r="AW988" i="17"/>
  <c r="AH986" i="7"/>
  <c r="AG987" i="7"/>
  <c r="AF988" i="7"/>
  <c r="AE988" i="7"/>
  <c r="CE988" i="17" l="1"/>
  <c r="CF987" i="17"/>
  <c r="CB988" i="17"/>
  <c r="BP988" i="17"/>
  <c r="BQ988" i="17" s="1"/>
  <c r="CC987" i="17"/>
  <c r="CA989" i="17"/>
  <c r="CC988" i="17"/>
  <c r="BU989" i="17"/>
  <c r="BV988" i="17"/>
  <c r="BJ988" i="17"/>
  <c r="BK988" i="17" s="1"/>
  <c r="BQ987" i="17"/>
  <c r="BO989" i="17"/>
  <c r="BD988" i="17"/>
  <c r="BE988" i="17" s="1"/>
  <c r="BK987" i="17"/>
  <c r="BI989" i="17"/>
  <c r="BE987" i="17"/>
  <c r="BC989" i="17"/>
  <c r="AW989" i="17"/>
  <c r="AX988" i="17"/>
  <c r="AF989" i="7"/>
  <c r="AE989" i="7"/>
  <c r="AG988" i="7"/>
  <c r="AH987" i="7"/>
  <c r="CF988" i="17" l="1"/>
  <c r="CG988" i="17" s="1"/>
  <c r="BV989" i="17"/>
  <c r="BW989" i="17" s="1"/>
  <c r="CG987" i="17"/>
  <c r="CE989" i="17"/>
  <c r="CA990" i="17"/>
  <c r="CB989" i="17"/>
  <c r="BW988" i="17"/>
  <c r="BU990" i="17"/>
  <c r="BO990" i="17"/>
  <c r="BP989" i="17"/>
  <c r="BI990" i="17"/>
  <c r="BJ989" i="17"/>
  <c r="AX989" i="17"/>
  <c r="AY989" i="17" s="1"/>
  <c r="BC990" i="17"/>
  <c r="BD989" i="17"/>
  <c r="AY988" i="17"/>
  <c r="AW990" i="17"/>
  <c r="AE990" i="7"/>
  <c r="AF990" i="7"/>
  <c r="AG989" i="7"/>
  <c r="AH988" i="7"/>
  <c r="CE990" i="17" l="1"/>
  <c r="CF989" i="17"/>
  <c r="CB990" i="17"/>
  <c r="BP990" i="17"/>
  <c r="BQ990" i="17" s="1"/>
  <c r="CC989" i="17"/>
  <c r="CA991" i="17"/>
  <c r="CC990" i="17"/>
  <c r="BU991" i="17"/>
  <c r="AX990" i="17"/>
  <c r="AY990" i="17" s="1"/>
  <c r="BV990" i="17"/>
  <c r="BD990" i="17"/>
  <c r="BE990" i="17" s="1"/>
  <c r="BQ989" i="17"/>
  <c r="BO991" i="17"/>
  <c r="BJ990" i="17"/>
  <c r="BK990" i="17" s="1"/>
  <c r="BK989" i="17"/>
  <c r="BI991" i="17"/>
  <c r="BE989" i="17"/>
  <c r="BC991" i="17"/>
  <c r="AW991" i="17"/>
  <c r="AH989" i="7"/>
  <c r="AG990" i="7"/>
  <c r="AF991" i="7"/>
  <c r="AE991" i="7"/>
  <c r="BV991" i="17" l="1"/>
  <c r="BW991" i="17" s="1"/>
  <c r="CF990" i="17"/>
  <c r="CG990" i="17" s="1"/>
  <c r="CG989" i="17"/>
  <c r="CE991" i="17"/>
  <c r="CA992" i="17"/>
  <c r="CB991" i="17"/>
  <c r="AX991" i="17"/>
  <c r="AY991" i="17" s="1"/>
  <c r="BW990" i="17"/>
  <c r="BU992" i="17"/>
  <c r="BO992" i="17"/>
  <c r="BP991" i="17"/>
  <c r="BI992" i="17"/>
  <c r="BJ991" i="17"/>
  <c r="BC992" i="17"/>
  <c r="BD991" i="17"/>
  <c r="AW992" i="17"/>
  <c r="AF992" i="7"/>
  <c r="AE992" i="7"/>
  <c r="AH990" i="7"/>
  <c r="AG991" i="7"/>
  <c r="BV992" i="17" l="1"/>
  <c r="BW992" i="17" s="1"/>
  <c r="CE992" i="17"/>
  <c r="CF991" i="17"/>
  <c r="CB992" i="17"/>
  <c r="CC991" i="17"/>
  <c r="CA993" i="17"/>
  <c r="CC992" i="17"/>
  <c r="BP992" i="17"/>
  <c r="BQ992" i="17" s="1"/>
  <c r="BU993" i="17"/>
  <c r="BQ991" i="17"/>
  <c r="BO993" i="17"/>
  <c r="BJ992" i="17"/>
  <c r="BK992" i="17" s="1"/>
  <c r="BK991" i="17"/>
  <c r="BI993" i="17"/>
  <c r="BD992" i="17"/>
  <c r="BE992" i="17" s="1"/>
  <c r="BE991" i="17"/>
  <c r="BC993" i="17"/>
  <c r="AW993" i="17"/>
  <c r="AX992" i="17"/>
  <c r="AG992" i="7"/>
  <c r="AH991" i="7"/>
  <c r="AE993" i="7"/>
  <c r="AF993" i="7"/>
  <c r="BP993" i="17" l="1"/>
  <c r="CF992" i="17"/>
  <c r="CG992" i="17" s="1"/>
  <c r="BV993" i="17"/>
  <c r="CG991" i="17"/>
  <c r="CE993" i="17"/>
  <c r="CA994" i="17"/>
  <c r="CB993" i="17"/>
  <c r="BU994" i="17"/>
  <c r="BW993" i="17"/>
  <c r="BO994" i="17"/>
  <c r="BQ993" i="17"/>
  <c r="BI994" i="17"/>
  <c r="BJ993" i="17"/>
  <c r="AX993" i="17"/>
  <c r="AY993" i="17" s="1"/>
  <c r="BC994" i="17"/>
  <c r="BD993" i="17"/>
  <c r="AY992" i="17"/>
  <c r="AW994" i="17"/>
  <c r="AF994" i="7"/>
  <c r="AE994" i="7"/>
  <c r="AH992" i="7"/>
  <c r="AG993" i="7"/>
  <c r="CB994" i="17" l="1"/>
  <c r="CC994" i="17" s="1"/>
  <c r="CE994" i="17"/>
  <c r="CF993" i="17"/>
  <c r="CC993" i="17"/>
  <c r="CA995" i="17"/>
  <c r="BU995" i="17"/>
  <c r="BV994" i="17"/>
  <c r="BJ994" i="17"/>
  <c r="BK994" i="17" s="1"/>
  <c r="BO995" i="17"/>
  <c r="BP994" i="17"/>
  <c r="BD994" i="17"/>
  <c r="BE994" i="17" s="1"/>
  <c r="BK993" i="17"/>
  <c r="BI995" i="17"/>
  <c r="BE993" i="17"/>
  <c r="BC995" i="17"/>
  <c r="AW995" i="17"/>
  <c r="AX994" i="17"/>
  <c r="AG994" i="7"/>
  <c r="AH993" i="7"/>
  <c r="AF995" i="7"/>
  <c r="AE995" i="7"/>
  <c r="CB995" i="17" l="1"/>
  <c r="CC995" i="17" s="1"/>
  <c r="CF994" i="17"/>
  <c r="CG994" i="17" s="1"/>
  <c r="CG993" i="17"/>
  <c r="CE995" i="17"/>
  <c r="CA996" i="17"/>
  <c r="BV995" i="17"/>
  <c r="BW995" i="17" s="1"/>
  <c r="BW994" i="17"/>
  <c r="BU996" i="17"/>
  <c r="BP995" i="17"/>
  <c r="BQ995" i="17" s="1"/>
  <c r="BQ994" i="17"/>
  <c r="BO996" i="17"/>
  <c r="BI996" i="17"/>
  <c r="BJ995" i="17"/>
  <c r="BC996" i="17"/>
  <c r="BD995" i="17"/>
  <c r="AX995" i="17"/>
  <c r="AY995" i="17" s="1"/>
  <c r="AY994" i="17"/>
  <c r="AW996" i="17"/>
  <c r="AF996" i="7"/>
  <c r="AE996" i="7"/>
  <c r="AG995" i="7"/>
  <c r="AH994" i="7"/>
  <c r="CF995" i="17" l="1"/>
  <c r="CG995" i="17" s="1"/>
  <c r="CE996" i="17"/>
  <c r="BP996" i="17"/>
  <c r="CA997" i="17"/>
  <c r="CB996" i="17"/>
  <c r="BU997" i="17"/>
  <c r="BV996" i="17"/>
  <c r="BD996" i="17"/>
  <c r="BE996" i="17" s="1"/>
  <c r="BO997" i="17"/>
  <c r="BQ996" i="17"/>
  <c r="BJ996" i="17"/>
  <c r="BK996" i="17" s="1"/>
  <c r="BK995" i="17"/>
  <c r="BI997" i="17"/>
  <c r="BE995" i="17"/>
  <c r="BC997" i="17"/>
  <c r="AW997" i="17"/>
  <c r="AX996" i="17"/>
  <c r="AH995" i="7"/>
  <c r="AG996" i="7"/>
  <c r="AF997" i="7"/>
  <c r="AE997" i="7"/>
  <c r="CB997" i="17" l="1"/>
  <c r="CC997" i="17" s="1"/>
  <c r="CE997" i="17"/>
  <c r="CF996" i="17"/>
  <c r="CC996" i="17"/>
  <c r="CA998" i="17"/>
  <c r="BV997" i="17"/>
  <c r="BW997" i="17" s="1"/>
  <c r="BW996" i="17"/>
  <c r="BU998" i="17"/>
  <c r="BO998" i="17"/>
  <c r="BP997" i="17"/>
  <c r="BI998" i="17"/>
  <c r="BJ997" i="17"/>
  <c r="BC998" i="17"/>
  <c r="BD997" i="17"/>
  <c r="AX997" i="17"/>
  <c r="AY997" i="17" s="1"/>
  <c r="AY996" i="17"/>
  <c r="AW998" i="17"/>
  <c r="AF998" i="7"/>
  <c r="AE998" i="7"/>
  <c r="AH996" i="7"/>
  <c r="AG997" i="7"/>
  <c r="CB998" i="17" l="1"/>
  <c r="CC998" i="17" s="1"/>
  <c r="BV998" i="17"/>
  <c r="BW998" i="17" s="1"/>
  <c r="CF997" i="17"/>
  <c r="CG996" i="17"/>
  <c r="CE998" i="17"/>
  <c r="CG997" i="17"/>
  <c r="CA999" i="17"/>
  <c r="BP998" i="17"/>
  <c r="BQ998" i="17" s="1"/>
  <c r="BJ998" i="17"/>
  <c r="BK998" i="17" s="1"/>
  <c r="BU999" i="17"/>
  <c r="BD998" i="17"/>
  <c r="BE998" i="17" s="1"/>
  <c r="BQ997" i="17"/>
  <c r="BO999" i="17"/>
  <c r="BK997" i="17"/>
  <c r="BI999" i="17"/>
  <c r="BE997" i="17"/>
  <c r="BC999" i="17"/>
  <c r="AW999" i="17"/>
  <c r="AX998" i="17"/>
  <c r="AH997" i="7"/>
  <c r="AG998" i="7"/>
  <c r="AE999" i="7"/>
  <c r="AF999" i="7"/>
  <c r="CE999" i="17" l="1"/>
  <c r="CF998" i="17"/>
  <c r="CA1000" i="17"/>
  <c r="CB999" i="17"/>
  <c r="BU1000" i="17"/>
  <c r="BV999" i="17"/>
  <c r="BO1000" i="17"/>
  <c r="BP999" i="17"/>
  <c r="BI1000" i="17"/>
  <c r="BJ999" i="17"/>
  <c r="BC1000" i="17"/>
  <c r="BD999" i="17"/>
  <c r="AX999" i="17"/>
  <c r="AY999" i="17" s="1"/>
  <c r="AY998" i="17"/>
  <c r="AW1000" i="17"/>
  <c r="AH998" i="7"/>
  <c r="AG999" i="7"/>
  <c r="AF1000" i="7"/>
  <c r="AE1000" i="7"/>
  <c r="CB1000" i="17" l="1"/>
  <c r="CC1000" i="17" s="1"/>
  <c r="CF999" i="17"/>
  <c r="CG999" i="17" s="1"/>
  <c r="CG998" i="17"/>
  <c r="CE1000" i="17"/>
  <c r="CC999" i="17"/>
  <c r="CA1001" i="17"/>
  <c r="BV1000" i="17"/>
  <c r="BW1000" i="17" s="1"/>
  <c r="BJ1000" i="17"/>
  <c r="BK1000" i="17" s="1"/>
  <c r="BW999" i="17"/>
  <c r="BU1001" i="17"/>
  <c r="BP1000" i="17"/>
  <c r="BQ1000" i="17" s="1"/>
  <c r="BQ999" i="17"/>
  <c r="BO1001" i="17"/>
  <c r="BK999" i="17"/>
  <c r="BI1001" i="17"/>
  <c r="BD1000" i="17"/>
  <c r="BE1000" i="17" s="1"/>
  <c r="BE999" i="17"/>
  <c r="BC1001" i="17"/>
  <c r="AW1001" i="17"/>
  <c r="AX1000" i="17"/>
  <c r="AF1001" i="7"/>
  <c r="AE1001" i="7"/>
  <c r="AG1000" i="7"/>
  <c r="AH999" i="7"/>
  <c r="CE1001" i="17" l="1"/>
  <c r="CF1000" i="17"/>
  <c r="CA1002" i="17"/>
  <c r="CB1001" i="17"/>
  <c r="BU1002" i="17"/>
  <c r="BV1001" i="17"/>
  <c r="BO1002" i="17"/>
  <c r="BP1001" i="17"/>
  <c r="BI1002" i="17"/>
  <c r="BJ1001" i="17"/>
  <c r="BC1002" i="17"/>
  <c r="BD1001" i="17"/>
  <c r="AX1001" i="17"/>
  <c r="AY1001" i="17" s="1"/>
  <c r="AY1000" i="17"/>
  <c r="AW1002" i="17"/>
  <c r="AG1001" i="7"/>
  <c r="AH1000" i="7"/>
  <c r="AF1002" i="7"/>
  <c r="AE1002" i="7"/>
  <c r="CB1002" i="17" l="1"/>
  <c r="CC1002" i="17" s="1"/>
  <c r="CF1001" i="17"/>
  <c r="CG1001" i="17" s="1"/>
  <c r="CG1000" i="17"/>
  <c r="CE1002" i="17"/>
  <c r="CC1001" i="17"/>
  <c r="CA1003" i="17"/>
  <c r="BV1002" i="17"/>
  <c r="BW1002" i="17" s="1"/>
  <c r="BW1001" i="17"/>
  <c r="BU1003" i="17"/>
  <c r="BJ1002" i="17"/>
  <c r="BK1002" i="17" s="1"/>
  <c r="BP1002" i="17"/>
  <c r="BQ1002" i="17" s="1"/>
  <c r="BD1002" i="17"/>
  <c r="BE1002" i="17" s="1"/>
  <c r="BQ1001" i="17"/>
  <c r="BO1003" i="17"/>
  <c r="BK1001" i="17"/>
  <c r="BI1003" i="17"/>
  <c r="BE1001" i="17"/>
  <c r="BC1003" i="17"/>
  <c r="AW1003" i="17"/>
  <c r="AX1002" i="17"/>
  <c r="AF1003" i="7"/>
  <c r="AE1003" i="7"/>
  <c r="AH1001" i="7"/>
  <c r="AG1002" i="7"/>
  <c r="CF1002" i="17" l="1"/>
  <c r="CG1002" i="17" s="1"/>
  <c r="CE1003" i="17"/>
  <c r="CA1004" i="17"/>
  <c r="CB1003" i="17"/>
  <c r="BU1004" i="17"/>
  <c r="BV1003" i="17"/>
  <c r="BO1004" i="17"/>
  <c r="BP1003" i="17"/>
  <c r="BI1004" i="17"/>
  <c r="BJ1003" i="17"/>
  <c r="BC1004" i="17"/>
  <c r="BD1003" i="17"/>
  <c r="AX1003" i="17"/>
  <c r="AY1003" i="17" s="1"/>
  <c r="AY1002" i="17"/>
  <c r="AW1004" i="17"/>
  <c r="AH1002" i="7"/>
  <c r="AG1003" i="7"/>
  <c r="AF1004" i="7"/>
  <c r="AE1004" i="7"/>
  <c r="CE1004" i="17" l="1"/>
  <c r="CF1003" i="17"/>
  <c r="CB1004" i="17"/>
  <c r="CC1003" i="17"/>
  <c r="CA1005" i="17"/>
  <c r="CC1004" i="17"/>
  <c r="BV1004" i="17"/>
  <c r="BW1004" i="17" s="1"/>
  <c r="BP1004" i="17"/>
  <c r="BQ1004" i="17" s="1"/>
  <c r="BW1003" i="17"/>
  <c r="BU1005" i="17"/>
  <c r="BQ1003" i="17"/>
  <c r="BO1005" i="17"/>
  <c r="BJ1004" i="17"/>
  <c r="BK1004" i="17" s="1"/>
  <c r="BK1003" i="17"/>
  <c r="BI1005" i="17"/>
  <c r="BD1004" i="17"/>
  <c r="BE1004" i="17" s="1"/>
  <c r="BE1003" i="17"/>
  <c r="BC1005" i="17"/>
  <c r="AW1005" i="17"/>
  <c r="AX1004" i="17"/>
  <c r="AE1005" i="7"/>
  <c r="AF1005" i="7"/>
  <c r="AH1003" i="7"/>
  <c r="AG1004" i="7"/>
  <c r="CF1004" i="17" l="1"/>
  <c r="CG1004" i="17" s="1"/>
  <c r="CG1003" i="17"/>
  <c r="CE1005" i="17"/>
  <c r="CA1006" i="17"/>
  <c r="CB1005" i="17"/>
  <c r="BU1006" i="17"/>
  <c r="BV1005" i="17"/>
  <c r="BO1006" i="17"/>
  <c r="BP1005" i="17"/>
  <c r="BI1006" i="17"/>
  <c r="BJ1005" i="17"/>
  <c r="AX1005" i="17"/>
  <c r="AY1005" i="17" s="1"/>
  <c r="BC1006" i="17"/>
  <c r="BD1005" i="17"/>
  <c r="AY1004" i="17"/>
  <c r="AW1006" i="17"/>
  <c r="AH1004" i="7"/>
  <c r="AG1005" i="7"/>
  <c r="AF1006" i="7"/>
  <c r="AE1006" i="7"/>
  <c r="CB1006" i="17" l="1"/>
  <c r="CC1006" i="17" s="1"/>
  <c r="BV1006" i="17"/>
  <c r="CE1006" i="17"/>
  <c r="CF1005" i="17"/>
  <c r="CF1006" i="17" s="1"/>
  <c r="CC1005" i="17"/>
  <c r="CA1007" i="17"/>
  <c r="BW1005" i="17"/>
  <c r="BU1007" i="17"/>
  <c r="BW1006" i="17"/>
  <c r="BP1006" i="17"/>
  <c r="BQ1006" i="17" s="1"/>
  <c r="BJ1006" i="17"/>
  <c r="BK1006" i="17" s="1"/>
  <c r="BQ1005" i="17"/>
  <c r="BO1007" i="17"/>
  <c r="BK1005" i="17"/>
  <c r="BI1007" i="17"/>
  <c r="BD1006" i="17"/>
  <c r="BE1006" i="17" s="1"/>
  <c r="BE1005" i="17"/>
  <c r="BC1007" i="17"/>
  <c r="AW1007" i="17"/>
  <c r="AX1006" i="17"/>
  <c r="AF1007" i="7"/>
  <c r="AE1007" i="7"/>
  <c r="AG1006" i="7"/>
  <c r="AH1005" i="7"/>
  <c r="CG1005" i="17" l="1"/>
  <c r="CE1007" i="17"/>
  <c r="CG1006" i="17"/>
  <c r="CA1008" i="17"/>
  <c r="CB1007" i="17"/>
  <c r="BU1008" i="17"/>
  <c r="BV1007" i="17"/>
  <c r="BO1008" i="17"/>
  <c r="BP1007" i="17"/>
  <c r="BI1008" i="17"/>
  <c r="BJ1007" i="17"/>
  <c r="BC1008" i="17"/>
  <c r="BD1007" i="17"/>
  <c r="AX1007" i="17"/>
  <c r="AY1007" i="17" s="1"/>
  <c r="AY1006" i="17"/>
  <c r="AW1008" i="17"/>
  <c r="AG1007" i="7"/>
  <c r="AH1006" i="7"/>
  <c r="AF1008" i="7"/>
  <c r="AE1008" i="7"/>
  <c r="CB1008" i="17" l="1"/>
  <c r="CC1008" i="17" s="1"/>
  <c r="CE1008" i="17"/>
  <c r="CF1007" i="17"/>
  <c r="CC1007" i="17"/>
  <c r="CA1009" i="17"/>
  <c r="BV1008" i="17"/>
  <c r="BW1008" i="17" s="1"/>
  <c r="BW1007" i="17"/>
  <c r="BU1009" i="17"/>
  <c r="BP1008" i="17"/>
  <c r="BQ1008" i="17" s="1"/>
  <c r="BQ1007" i="17"/>
  <c r="BO1009" i="17"/>
  <c r="BJ1008" i="17"/>
  <c r="BK1008" i="17" s="1"/>
  <c r="BD1008" i="17"/>
  <c r="BE1008" i="17" s="1"/>
  <c r="BK1007" i="17"/>
  <c r="BI1009" i="17"/>
  <c r="BE1007" i="17"/>
  <c r="BC1009" i="17"/>
  <c r="AW1009" i="17"/>
  <c r="AX1008" i="17"/>
  <c r="AF1009" i="7"/>
  <c r="AE1009" i="7"/>
  <c r="AH1007" i="7"/>
  <c r="AG1008" i="7"/>
  <c r="CF1008" i="17" l="1"/>
  <c r="CG1008" i="17" s="1"/>
  <c r="CG1007" i="17"/>
  <c r="CE1009" i="17"/>
  <c r="BJ1009" i="17"/>
  <c r="BK1009" i="17" s="1"/>
  <c r="CA1010" i="17"/>
  <c r="CB1009" i="17"/>
  <c r="BU1010" i="17"/>
  <c r="BV1009" i="17"/>
  <c r="BO1010" i="17"/>
  <c r="BP1009" i="17"/>
  <c r="BI1010" i="17"/>
  <c r="BJ1010" i="17" s="1"/>
  <c r="AX1009" i="17"/>
  <c r="AY1009" i="17" s="1"/>
  <c r="BC1010" i="17"/>
  <c r="BD1009" i="17"/>
  <c r="AY1008" i="17"/>
  <c r="AW1010" i="17"/>
  <c r="AH1008" i="7"/>
  <c r="AG1009" i="7"/>
  <c r="AF1010" i="7"/>
  <c r="AE1010" i="7"/>
  <c r="CB1010" i="17" l="1"/>
  <c r="CC1010" i="17" s="1"/>
  <c r="CE1010" i="17"/>
  <c r="CF1009" i="17"/>
  <c r="BP1010" i="17"/>
  <c r="BQ1010" i="17" s="1"/>
  <c r="CC1009" i="17"/>
  <c r="CA1011" i="17"/>
  <c r="BV1010" i="17"/>
  <c r="BW1010" i="17" s="1"/>
  <c r="BW1009" i="17"/>
  <c r="BU1011" i="17"/>
  <c r="BQ1009" i="17"/>
  <c r="BO1011" i="17"/>
  <c r="BI1011" i="17"/>
  <c r="BK1010" i="17"/>
  <c r="BD1010" i="17"/>
  <c r="BE1010" i="17" s="1"/>
  <c r="BE1009" i="17"/>
  <c r="BC1011" i="17"/>
  <c r="AW1011" i="17"/>
  <c r="AX1010" i="17"/>
  <c r="AE1011" i="7"/>
  <c r="AF1011" i="7"/>
  <c r="AH1009" i="7"/>
  <c r="AG1010" i="7"/>
  <c r="CF1010" i="17" l="1"/>
  <c r="CG1010" i="17" s="1"/>
  <c r="CG1009" i="17"/>
  <c r="CE1011" i="17"/>
  <c r="CA1012" i="17"/>
  <c r="CB1011" i="17"/>
  <c r="BU1012" i="17"/>
  <c r="BV1011" i="17"/>
  <c r="BO1012" i="17"/>
  <c r="BP1011" i="17"/>
  <c r="BI1012" i="17"/>
  <c r="BJ1011" i="17"/>
  <c r="BC1012" i="17"/>
  <c r="BD1011" i="17"/>
  <c r="AX1011" i="17"/>
  <c r="AY1011" i="17" s="1"/>
  <c r="AY1010" i="17"/>
  <c r="AW1012" i="17"/>
  <c r="AH1010" i="7"/>
  <c r="AG1011" i="7"/>
  <c r="AF1012" i="7"/>
  <c r="AE1012" i="7"/>
  <c r="CB1012" i="17" l="1"/>
  <c r="CC1012" i="17" s="1"/>
  <c r="CE1012" i="17"/>
  <c r="CF1011" i="17"/>
  <c r="CC1011" i="17"/>
  <c r="CA1013" i="17"/>
  <c r="BV1012" i="17"/>
  <c r="BW1012" i="17" s="1"/>
  <c r="BJ1012" i="17"/>
  <c r="BK1012" i="17" s="1"/>
  <c r="BW1011" i="17"/>
  <c r="BU1013" i="17"/>
  <c r="BP1012" i="17"/>
  <c r="BQ1012" i="17" s="1"/>
  <c r="BQ1011" i="17"/>
  <c r="BO1013" i="17"/>
  <c r="BK1011" i="17"/>
  <c r="BD1012" i="17"/>
  <c r="BE1012" i="17" s="1"/>
  <c r="BI1013" i="17"/>
  <c r="BE1011" i="17"/>
  <c r="BC1013" i="17"/>
  <c r="AW1013" i="17"/>
  <c r="AX1012" i="17"/>
  <c r="AF1013" i="7"/>
  <c r="AE1013" i="7"/>
  <c r="AG1012" i="7"/>
  <c r="AH1011" i="7"/>
  <c r="CF1012" i="17" l="1"/>
  <c r="CG1012" i="17" s="1"/>
  <c r="CG1011" i="17"/>
  <c r="CE1013" i="17"/>
  <c r="CA1014" i="17"/>
  <c r="CB1013" i="17"/>
  <c r="BU1014" i="17"/>
  <c r="BV1013" i="17"/>
  <c r="BO1014" i="17"/>
  <c r="BP1013" i="17"/>
  <c r="BI1014" i="17"/>
  <c r="BJ1013" i="17"/>
  <c r="BC1014" i="17"/>
  <c r="BD1013" i="17"/>
  <c r="AX1013" i="17"/>
  <c r="AY1013" i="17" s="1"/>
  <c r="AY1012" i="17"/>
  <c r="AW1014" i="17"/>
  <c r="AG1013" i="7"/>
  <c r="AH1012" i="7"/>
  <c r="AF1014" i="7"/>
  <c r="AE1014" i="7"/>
  <c r="CE1014" i="17" l="1"/>
  <c r="CF1013" i="17"/>
  <c r="CB1014" i="17"/>
  <c r="CC1013" i="17"/>
  <c r="CA1015" i="17"/>
  <c r="CC1014" i="17"/>
  <c r="BV1014" i="17"/>
  <c r="BW1014" i="17" s="1"/>
  <c r="BW1013" i="17"/>
  <c r="BU1015" i="17"/>
  <c r="BJ1014" i="17"/>
  <c r="BK1014" i="17" s="1"/>
  <c r="BP1014" i="17"/>
  <c r="BQ1014" i="17" s="1"/>
  <c r="BQ1013" i="17"/>
  <c r="BO1015" i="17"/>
  <c r="BK1013" i="17"/>
  <c r="BI1015" i="17"/>
  <c r="BD1014" i="17"/>
  <c r="BE1014" i="17" s="1"/>
  <c r="BE1013" i="17"/>
  <c r="BC1015" i="17"/>
  <c r="AW1015" i="17"/>
  <c r="AX1014" i="17"/>
  <c r="AF1015" i="7"/>
  <c r="AE1015" i="7"/>
  <c r="AH1013" i="7"/>
  <c r="AG1014" i="7"/>
  <c r="CF1014" i="17" l="1"/>
  <c r="CG1014" i="17" s="1"/>
  <c r="CG1013" i="17"/>
  <c r="CE1015" i="17"/>
  <c r="CA1016" i="17"/>
  <c r="CB1015" i="17"/>
  <c r="BU1016" i="17"/>
  <c r="BV1015" i="17"/>
  <c r="BO1016" i="17"/>
  <c r="BP1015" i="17"/>
  <c r="BI1016" i="17"/>
  <c r="BJ1015" i="17"/>
  <c r="BC1016" i="17"/>
  <c r="BD1015" i="17"/>
  <c r="AX1015" i="17"/>
  <c r="AY1015" i="17" s="1"/>
  <c r="AY1014" i="17"/>
  <c r="AW1016" i="17"/>
  <c r="AH1014" i="7"/>
  <c r="AG1015" i="7"/>
  <c r="AF1016" i="7"/>
  <c r="AE1016" i="7"/>
  <c r="CE1016" i="17" l="1"/>
  <c r="CF1015" i="17"/>
  <c r="CB1016" i="17"/>
  <c r="CC1015" i="17"/>
  <c r="CA1017" i="17"/>
  <c r="CC1016" i="17"/>
  <c r="BV1016" i="17"/>
  <c r="BW1016" i="17" s="1"/>
  <c r="BW1015" i="17"/>
  <c r="BU1017" i="17"/>
  <c r="BP1016" i="17"/>
  <c r="BQ1016" i="17" s="1"/>
  <c r="BQ1015" i="17"/>
  <c r="BO1017" i="17"/>
  <c r="BD1016" i="17"/>
  <c r="BE1016" i="17" s="1"/>
  <c r="BJ1016" i="17"/>
  <c r="BK1016" i="17" s="1"/>
  <c r="BK1015" i="17"/>
  <c r="BI1017" i="17"/>
  <c r="BE1015" i="17"/>
  <c r="BC1017" i="17"/>
  <c r="AW1017" i="17"/>
  <c r="AX1016" i="17"/>
  <c r="AE1017" i="7"/>
  <c r="AF1017" i="7"/>
  <c r="AH1015" i="7"/>
  <c r="AG1016" i="7"/>
  <c r="CF1016" i="17" l="1"/>
  <c r="CG1016" i="17" s="1"/>
  <c r="CG1015" i="17"/>
  <c r="CE1017" i="17"/>
  <c r="CA1018" i="17"/>
  <c r="CB1017" i="17"/>
  <c r="BU1018" i="17"/>
  <c r="BV1017" i="17"/>
  <c r="BO1018" i="17"/>
  <c r="BP1017" i="17"/>
  <c r="BI1018" i="17"/>
  <c r="BJ1017" i="17"/>
  <c r="BC1018" i="17"/>
  <c r="BD1017" i="17"/>
  <c r="AX1017" i="17"/>
  <c r="AY1017" i="17" s="1"/>
  <c r="AY1016" i="17"/>
  <c r="AW1018" i="17"/>
  <c r="AH1016" i="7"/>
  <c r="AG1017" i="7"/>
  <c r="AF1018" i="7"/>
  <c r="AE1018" i="7"/>
  <c r="CB1018" i="17" l="1"/>
  <c r="CC1018" i="17" s="1"/>
  <c r="CE1018" i="17"/>
  <c r="CF1017" i="17"/>
  <c r="BV1018" i="17"/>
  <c r="BW1018" i="17" s="1"/>
  <c r="BP1018" i="17"/>
  <c r="BQ1018" i="17" s="1"/>
  <c r="CC1017" i="17"/>
  <c r="CA1019" i="17"/>
  <c r="BW1017" i="17"/>
  <c r="BU1019" i="17"/>
  <c r="BQ1017" i="17"/>
  <c r="BO1019" i="17"/>
  <c r="BJ1018" i="17"/>
  <c r="BK1018" i="17" s="1"/>
  <c r="BK1017" i="17"/>
  <c r="BI1019" i="17"/>
  <c r="BC1019" i="17"/>
  <c r="BD1018" i="17"/>
  <c r="BE1017" i="17"/>
  <c r="AW1019" i="17"/>
  <c r="AX1018" i="17"/>
  <c r="AF1019" i="7"/>
  <c r="AE1019" i="7"/>
  <c r="AG1018" i="7"/>
  <c r="AH1017" i="7"/>
  <c r="CF1018" i="17" l="1"/>
  <c r="CG1018" i="17" s="1"/>
  <c r="CG1017" i="17"/>
  <c r="CE1019" i="17"/>
  <c r="CA1020" i="17"/>
  <c r="CB1019" i="17"/>
  <c r="BU1020" i="17"/>
  <c r="BV1019" i="17"/>
  <c r="BO1020" i="17"/>
  <c r="BP1019" i="17"/>
  <c r="BI1020" i="17"/>
  <c r="BJ1019" i="17"/>
  <c r="BD1019" i="17"/>
  <c r="BE1019" i="17" s="1"/>
  <c r="AX1019" i="17"/>
  <c r="AY1019" i="17" s="1"/>
  <c r="BE1018" i="17"/>
  <c r="BC1020" i="17"/>
  <c r="AY1018" i="17"/>
  <c r="AW1020" i="17"/>
  <c r="AG1019" i="7"/>
  <c r="AH1018" i="7"/>
  <c r="AF1020" i="7"/>
  <c r="AE1020" i="7"/>
  <c r="CB1020" i="17" l="1"/>
  <c r="BJ1020" i="17"/>
  <c r="BK1020" i="17" s="1"/>
  <c r="CE1020" i="17"/>
  <c r="CF1019" i="17"/>
  <c r="BP1020" i="17"/>
  <c r="BQ1020" i="17" s="1"/>
  <c r="CC1019" i="17"/>
  <c r="CA1021" i="17"/>
  <c r="CC1020" i="17"/>
  <c r="BV1020" i="17"/>
  <c r="BW1020" i="17" s="1"/>
  <c r="BW1019" i="17"/>
  <c r="BU1021" i="17"/>
  <c r="BQ1019" i="17"/>
  <c r="BO1021" i="17"/>
  <c r="BK1019" i="17"/>
  <c r="BI1021" i="17"/>
  <c r="BC1021" i="17"/>
  <c r="BD1020" i="17"/>
  <c r="AW1021" i="17"/>
  <c r="AX1020" i="17"/>
  <c r="AF1021" i="7"/>
  <c r="AE1021" i="7"/>
  <c r="AH1019" i="7"/>
  <c r="AG1020" i="7"/>
  <c r="CF1020" i="17" l="1"/>
  <c r="CG1020" i="17" s="1"/>
  <c r="CG1019" i="17"/>
  <c r="CE1021" i="17"/>
  <c r="CA1022" i="17"/>
  <c r="CB1021" i="17"/>
  <c r="BD1021" i="17"/>
  <c r="BE1021" i="17" s="1"/>
  <c r="BU1022" i="17"/>
  <c r="BV1021" i="17"/>
  <c r="BO1022" i="17"/>
  <c r="BP1021" i="17"/>
  <c r="BI1022" i="17"/>
  <c r="BJ1021" i="17"/>
  <c r="BE1020" i="17"/>
  <c r="BC1022" i="17"/>
  <c r="AX1021" i="17"/>
  <c r="AY1021" i="17" s="1"/>
  <c r="AY1020" i="17"/>
  <c r="AW1022" i="17"/>
  <c r="AH1020" i="7"/>
  <c r="AG1021" i="7"/>
  <c r="AF1022" i="7"/>
  <c r="AE1022" i="7"/>
  <c r="CB1022" i="17" l="1"/>
  <c r="CC1022" i="17" s="1"/>
  <c r="BV1022" i="17"/>
  <c r="CE1022" i="17"/>
  <c r="CF1021" i="17"/>
  <c r="CF1022" i="17" s="1"/>
  <c r="CC1021" i="17"/>
  <c r="CA1023" i="17"/>
  <c r="BW1021" i="17"/>
  <c r="BU1023" i="17"/>
  <c r="BW1022" i="17"/>
  <c r="BJ1022" i="17"/>
  <c r="BK1022" i="17" s="1"/>
  <c r="BO1023" i="17"/>
  <c r="BP1022" i="17"/>
  <c r="BQ1021" i="17"/>
  <c r="BK1021" i="17"/>
  <c r="BI1023" i="17"/>
  <c r="BC1023" i="17"/>
  <c r="BD1022" i="17"/>
  <c r="AW1023" i="17"/>
  <c r="AX1022" i="17"/>
  <c r="AH1021" i="7"/>
  <c r="AG1022" i="7"/>
  <c r="AE1023" i="7"/>
  <c r="AF1023" i="7"/>
  <c r="CE1023" i="17" l="1"/>
  <c r="CG1022" i="17"/>
  <c r="CG1021" i="17"/>
  <c r="CA1024" i="17"/>
  <c r="CB1023" i="17"/>
  <c r="BU1024" i="17"/>
  <c r="BV1023" i="17"/>
  <c r="BP1023" i="17"/>
  <c r="BQ1023" i="17" s="1"/>
  <c r="BQ1022" i="17"/>
  <c r="BO1024" i="17"/>
  <c r="BI1024" i="17"/>
  <c r="BJ1023" i="17"/>
  <c r="BD1023" i="17"/>
  <c r="BE1023" i="17" s="1"/>
  <c r="BE1022" i="17"/>
  <c r="BC1024" i="17"/>
  <c r="AX1023" i="17"/>
  <c r="AY1023" i="17" s="1"/>
  <c r="AY1022" i="17"/>
  <c r="AW1024" i="17"/>
  <c r="AF1024" i="7"/>
  <c r="AE1024" i="7"/>
  <c r="AH1022" i="7"/>
  <c r="AG1023" i="7"/>
  <c r="BV1024" i="17" l="1"/>
  <c r="BW1024" i="17" s="1"/>
  <c r="CB1024" i="17"/>
  <c r="CC1024" i="17" s="1"/>
  <c r="CE1024" i="17"/>
  <c r="CF1023" i="17"/>
  <c r="CC1023" i="17"/>
  <c r="CA1025" i="17"/>
  <c r="BW1023" i="17"/>
  <c r="BU1025" i="17"/>
  <c r="BJ1024" i="17"/>
  <c r="BK1024" i="17" s="1"/>
  <c r="BO1025" i="17"/>
  <c r="BP1024" i="17"/>
  <c r="BK1023" i="17"/>
  <c r="BI1025" i="17"/>
  <c r="BC1025" i="17"/>
  <c r="BD1024" i="17"/>
  <c r="AW1025" i="17"/>
  <c r="AX1024" i="17"/>
  <c r="AG1024" i="7"/>
  <c r="AH1023" i="7"/>
  <c r="AF1025" i="7"/>
  <c r="AE1025" i="7"/>
  <c r="CF1024" i="17" l="1"/>
  <c r="CG1024" i="17" s="1"/>
  <c r="CG1023" i="17"/>
  <c r="CE1025" i="17"/>
  <c r="CA1026" i="17"/>
  <c r="CB1025" i="17"/>
  <c r="BU1026" i="17"/>
  <c r="BV1025" i="17"/>
  <c r="BP1025" i="17"/>
  <c r="BQ1025" i="17" s="1"/>
  <c r="BQ1024" i="17"/>
  <c r="BO1026" i="17"/>
  <c r="BD1025" i="17"/>
  <c r="BE1025" i="17" s="1"/>
  <c r="BI1026" i="17"/>
  <c r="BJ1025" i="17"/>
  <c r="BE1024" i="17"/>
  <c r="BC1026" i="17"/>
  <c r="AX1025" i="17"/>
  <c r="AY1025" i="17" s="1"/>
  <c r="AY1024" i="17"/>
  <c r="AW1026" i="17"/>
  <c r="AF1026" i="7"/>
  <c r="AE1026" i="7"/>
  <c r="AG1025" i="7"/>
  <c r="AH1024" i="7"/>
  <c r="CB1026" i="17" l="1"/>
  <c r="CC1026" i="17" s="1"/>
  <c r="CE1026" i="17"/>
  <c r="CF1025" i="17"/>
  <c r="CC1025" i="17"/>
  <c r="CA1027" i="17"/>
  <c r="BV1026" i="17"/>
  <c r="BW1026" i="17" s="1"/>
  <c r="BW1025" i="17"/>
  <c r="BU1027" i="17"/>
  <c r="BO1027" i="17"/>
  <c r="BJ1026" i="17"/>
  <c r="BK1026" i="17" s="1"/>
  <c r="BP1026" i="17"/>
  <c r="BK1025" i="17"/>
  <c r="BI1027" i="17"/>
  <c r="BC1027" i="17"/>
  <c r="BD1026" i="17"/>
  <c r="AW1027" i="17"/>
  <c r="AX1026" i="17"/>
  <c r="AH1025" i="7"/>
  <c r="AG1026" i="7"/>
  <c r="AF1027" i="7"/>
  <c r="AE1027" i="7"/>
  <c r="CF1026" i="17" l="1"/>
  <c r="CG1026" i="17" s="1"/>
  <c r="CG1025" i="17"/>
  <c r="CE1027" i="17"/>
  <c r="CA1028" i="17"/>
  <c r="CB1027" i="17"/>
  <c r="BU1028" i="17"/>
  <c r="BV1027" i="17"/>
  <c r="BP1027" i="17"/>
  <c r="BQ1027" i="17" s="1"/>
  <c r="BQ1026" i="17"/>
  <c r="BO1028" i="17"/>
  <c r="BI1028" i="17"/>
  <c r="BJ1027" i="17"/>
  <c r="BD1027" i="17"/>
  <c r="BE1027" i="17" s="1"/>
  <c r="BE1026" i="17"/>
  <c r="BC1028" i="17"/>
  <c r="AX1027" i="17"/>
  <c r="AY1027" i="17" s="1"/>
  <c r="AY1026" i="17"/>
  <c r="AW1028" i="17"/>
  <c r="AF1028" i="7"/>
  <c r="AE1028" i="7"/>
  <c r="AH1026" i="7"/>
  <c r="AG1027" i="7"/>
  <c r="CB1028" i="17" l="1"/>
  <c r="CC1028" i="17" s="1"/>
  <c r="CE1028" i="17"/>
  <c r="CF1027" i="17"/>
  <c r="BV1028" i="17"/>
  <c r="CC1027" i="17"/>
  <c r="CA1029" i="17"/>
  <c r="BW1027" i="17"/>
  <c r="BU1029" i="17"/>
  <c r="BW1028" i="17"/>
  <c r="BO1029" i="17"/>
  <c r="BP1028" i="17"/>
  <c r="BJ1028" i="17"/>
  <c r="BK1028" i="17" s="1"/>
  <c r="BK1027" i="17"/>
  <c r="BI1029" i="17"/>
  <c r="BC1029" i="17"/>
  <c r="BD1028" i="17"/>
  <c r="AW1029" i="17"/>
  <c r="AX1028" i="17"/>
  <c r="AH1027" i="7"/>
  <c r="AG1028" i="7"/>
  <c r="AE1029" i="7"/>
  <c r="AF1029" i="7"/>
  <c r="CF1028" i="17" l="1"/>
  <c r="CG1028" i="17" s="1"/>
  <c r="CG1027" i="17"/>
  <c r="CE1029" i="17"/>
  <c r="CA1030" i="17"/>
  <c r="BP1029" i="17"/>
  <c r="CB1029" i="17"/>
  <c r="BU1030" i="17"/>
  <c r="BV1029" i="17"/>
  <c r="BQ1028" i="17"/>
  <c r="BO1030" i="17"/>
  <c r="BQ1029" i="17"/>
  <c r="BI1030" i="17"/>
  <c r="BJ1029" i="17"/>
  <c r="BD1029" i="17"/>
  <c r="BE1029" i="17" s="1"/>
  <c r="BE1028" i="17"/>
  <c r="BC1030" i="17"/>
  <c r="AX1029" i="17"/>
  <c r="AY1029" i="17" s="1"/>
  <c r="AY1028" i="17"/>
  <c r="AW1030" i="17"/>
  <c r="AF1030" i="7"/>
  <c r="AE1030" i="7"/>
  <c r="AH1028" i="7"/>
  <c r="AG1029" i="7"/>
  <c r="CB1030" i="17" l="1"/>
  <c r="CC1030" i="17" s="1"/>
  <c r="CF1029" i="17"/>
  <c r="CG1029" i="17" s="1"/>
  <c r="BV1030" i="17"/>
  <c r="BW1030" i="17" s="1"/>
  <c r="CE1030" i="17"/>
  <c r="CC1029" i="17"/>
  <c r="CA1031" i="17"/>
  <c r="BW1029" i="17"/>
  <c r="BU1031" i="17"/>
  <c r="BJ1030" i="17"/>
  <c r="BK1030" i="17" s="1"/>
  <c r="BO1031" i="17"/>
  <c r="BP1030" i="17"/>
  <c r="BK1029" i="17"/>
  <c r="BI1031" i="17"/>
  <c r="BC1031" i="17"/>
  <c r="BD1030" i="17"/>
  <c r="AW1031" i="17"/>
  <c r="AX1030" i="17"/>
  <c r="AG1030" i="7"/>
  <c r="AH1029" i="7"/>
  <c r="AF1031" i="7"/>
  <c r="AE1031" i="7"/>
  <c r="CE1031" i="17" l="1"/>
  <c r="CF1030" i="17"/>
  <c r="CA1032" i="17"/>
  <c r="CB1031" i="17"/>
  <c r="BD1031" i="17"/>
  <c r="BE1031" i="17" s="1"/>
  <c r="BP1031" i="17"/>
  <c r="BQ1031" i="17" s="1"/>
  <c r="BU1032" i="17"/>
  <c r="BV1031" i="17"/>
  <c r="BQ1030" i="17"/>
  <c r="BO1032" i="17"/>
  <c r="BI1032" i="17"/>
  <c r="BJ1031" i="17"/>
  <c r="AX1031" i="17"/>
  <c r="AY1031" i="17" s="1"/>
  <c r="BE1030" i="17"/>
  <c r="BC1032" i="17"/>
  <c r="AY1030" i="17"/>
  <c r="AW1032" i="17"/>
  <c r="AF1032" i="7"/>
  <c r="AE1032" i="7"/>
  <c r="AG1031" i="7"/>
  <c r="AH1030" i="7"/>
  <c r="CB1032" i="17" l="1"/>
  <c r="CC1032" i="17" s="1"/>
  <c r="CF1031" i="17"/>
  <c r="CG1031" i="17" s="1"/>
  <c r="CG1030" i="17"/>
  <c r="CE1032" i="17"/>
  <c r="BJ1032" i="17"/>
  <c r="BK1032" i="17" s="1"/>
  <c r="CC1031" i="17"/>
  <c r="BD1032" i="17"/>
  <c r="BE1032" i="17" s="1"/>
  <c r="CA1033" i="17"/>
  <c r="BV1032" i="17"/>
  <c r="BW1032" i="17" s="1"/>
  <c r="BW1031" i="17"/>
  <c r="BU1033" i="17"/>
  <c r="BO1033" i="17"/>
  <c r="BP1032" i="17"/>
  <c r="BK1031" i="17"/>
  <c r="BI1033" i="17"/>
  <c r="BC1033" i="17"/>
  <c r="AW1033" i="17"/>
  <c r="AX1032" i="17"/>
  <c r="AH1031" i="7"/>
  <c r="AG1032" i="7"/>
  <c r="AF1033" i="7"/>
  <c r="AE1033" i="7"/>
  <c r="CE1033" i="17" l="1"/>
  <c r="CF1032" i="17"/>
  <c r="CA1034" i="17"/>
  <c r="CB1033" i="17"/>
  <c r="BP1033" i="17"/>
  <c r="BQ1033" i="17" s="1"/>
  <c r="BU1034" i="17"/>
  <c r="BV1033" i="17"/>
  <c r="BQ1032" i="17"/>
  <c r="BO1034" i="17"/>
  <c r="BI1034" i="17"/>
  <c r="BJ1033" i="17"/>
  <c r="BC1034" i="17"/>
  <c r="BD1033" i="17"/>
  <c r="AX1033" i="17"/>
  <c r="AY1033" i="17" s="1"/>
  <c r="AY1032" i="17"/>
  <c r="AW1034" i="17"/>
  <c r="AF1034" i="7"/>
  <c r="AE1034" i="7"/>
  <c r="AH1032" i="7"/>
  <c r="AG1033" i="7"/>
  <c r="CF1033" i="17" l="1"/>
  <c r="CG1033" i="17" s="1"/>
  <c r="BV1034" i="17"/>
  <c r="BW1034" i="17" s="1"/>
  <c r="CG1032" i="17"/>
  <c r="CE1034" i="17"/>
  <c r="CB1034" i="17"/>
  <c r="CC1034" i="17" s="1"/>
  <c r="CC1033" i="17"/>
  <c r="CA1035" i="17"/>
  <c r="BW1033" i="17"/>
  <c r="BU1035" i="17"/>
  <c r="BO1035" i="17"/>
  <c r="BP1034" i="17"/>
  <c r="BJ1034" i="17"/>
  <c r="BK1034" i="17" s="1"/>
  <c r="BK1033" i="17"/>
  <c r="BI1035" i="17"/>
  <c r="BD1034" i="17"/>
  <c r="BE1034" i="17" s="1"/>
  <c r="BE1033" i="17"/>
  <c r="BC1035" i="17"/>
  <c r="AW1035" i="17"/>
  <c r="AX1034" i="17"/>
  <c r="AH1033" i="7"/>
  <c r="AG1034" i="7"/>
  <c r="AE1035" i="7"/>
  <c r="AF1035" i="7"/>
  <c r="CE1035" i="17" l="1"/>
  <c r="CF1034" i="17"/>
  <c r="CA1036" i="17"/>
  <c r="CB1035" i="17"/>
  <c r="BP1035" i="17"/>
  <c r="BQ1035" i="17" s="1"/>
  <c r="BU1036" i="17"/>
  <c r="BV1035" i="17"/>
  <c r="BQ1034" i="17"/>
  <c r="BO1036" i="17"/>
  <c r="AX1035" i="17"/>
  <c r="AY1035" i="17" s="1"/>
  <c r="BI1036" i="17"/>
  <c r="BJ1035" i="17"/>
  <c r="BC1036" i="17"/>
  <c r="BD1035" i="17"/>
  <c r="AY1034" i="17"/>
  <c r="AW1036" i="17"/>
  <c r="AF1036" i="7"/>
  <c r="AE1036" i="7"/>
  <c r="AH1034" i="7"/>
  <c r="AG1035" i="7"/>
  <c r="CB1036" i="17" l="1"/>
  <c r="CF1035" i="17"/>
  <c r="CG1035" i="17" s="1"/>
  <c r="CG1034" i="17"/>
  <c r="CE1036" i="17"/>
  <c r="CC1035" i="17"/>
  <c r="CA1037" i="17"/>
  <c r="CB1037" i="17" s="1"/>
  <c r="CC1036" i="17"/>
  <c r="BV1036" i="17"/>
  <c r="BW1036" i="17" s="1"/>
  <c r="BW1035" i="17"/>
  <c r="BU1037" i="17"/>
  <c r="BO1037" i="17"/>
  <c r="BP1036" i="17"/>
  <c r="BJ1036" i="17"/>
  <c r="BK1036" i="17" s="1"/>
  <c r="BD1036" i="17"/>
  <c r="BE1036" i="17" s="1"/>
  <c r="BK1035" i="17"/>
  <c r="BI1037" i="17"/>
  <c r="BE1035" i="17"/>
  <c r="BC1037" i="17"/>
  <c r="AW1037" i="17"/>
  <c r="AX1036" i="17"/>
  <c r="AG1036" i="7"/>
  <c r="AH1035" i="7"/>
  <c r="AF1037" i="7"/>
  <c r="AE1037" i="7"/>
  <c r="BV1037" i="17" l="1"/>
  <c r="CE1037" i="17"/>
  <c r="CF1036" i="17"/>
  <c r="CA1038" i="17"/>
  <c r="CB1038" i="17" s="1"/>
  <c r="CC1037" i="17"/>
  <c r="BP1037" i="17"/>
  <c r="BQ1037" i="17" s="1"/>
  <c r="BU1038" i="17"/>
  <c r="BW1037" i="17"/>
  <c r="BQ1036" i="17"/>
  <c r="BO1038" i="17"/>
  <c r="BI1038" i="17"/>
  <c r="BJ1037" i="17"/>
  <c r="AX1037" i="17"/>
  <c r="AY1037" i="17" s="1"/>
  <c r="BC1038" i="17"/>
  <c r="BD1037" i="17"/>
  <c r="AY1036" i="17"/>
  <c r="AW1038" i="17"/>
  <c r="AF1038" i="7"/>
  <c r="AE1038" i="7"/>
  <c r="AG1037" i="7"/>
  <c r="AH1036" i="7"/>
  <c r="CF1037" i="17" l="1"/>
  <c r="CG1037" i="17" s="1"/>
  <c r="CG1036" i="17"/>
  <c r="CE1038" i="17"/>
  <c r="CA1039" i="17"/>
  <c r="CC1038" i="17"/>
  <c r="BJ1038" i="17"/>
  <c r="BK1038" i="17" s="1"/>
  <c r="BU1039" i="17"/>
  <c r="AX1038" i="17"/>
  <c r="AY1038" i="17" s="1"/>
  <c r="BV1038" i="17"/>
  <c r="BO1039" i="17"/>
  <c r="BP1038" i="17"/>
  <c r="BD1038" i="17"/>
  <c r="BE1038" i="17" s="1"/>
  <c r="BK1037" i="17"/>
  <c r="BI1039" i="17"/>
  <c r="BE1037" i="17"/>
  <c r="BC1039" i="17"/>
  <c r="AW1039" i="17"/>
  <c r="AH1037" i="7"/>
  <c r="AG1038" i="7"/>
  <c r="AF1039" i="7"/>
  <c r="AE1039" i="7"/>
  <c r="CE1039" i="17" l="1"/>
  <c r="CF1038" i="17"/>
  <c r="BV1039" i="17"/>
  <c r="BW1039" i="17" s="1"/>
  <c r="CA1040" i="17"/>
  <c r="CB1039" i="17"/>
  <c r="BW1038" i="17"/>
  <c r="AX1039" i="17"/>
  <c r="AY1039" i="17" s="1"/>
  <c r="BU1040" i="17"/>
  <c r="BV1040" i="17" s="1"/>
  <c r="BP1039" i="17"/>
  <c r="BQ1039" i="17" s="1"/>
  <c r="BQ1038" i="17"/>
  <c r="BO1040" i="17"/>
  <c r="BI1040" i="17"/>
  <c r="BJ1039" i="17"/>
  <c r="BC1040" i="17"/>
  <c r="BD1039" i="17"/>
  <c r="AW1040" i="17"/>
  <c r="AF1040" i="7"/>
  <c r="AE1040" i="7"/>
  <c r="AH1038" i="7"/>
  <c r="AG1039" i="7"/>
  <c r="CF1039" i="17" l="1"/>
  <c r="CG1039" i="17" s="1"/>
  <c r="CG1038" i="17"/>
  <c r="CE1040" i="17"/>
  <c r="CB1040" i="17"/>
  <c r="CC1039" i="17"/>
  <c r="CA1041" i="17"/>
  <c r="CC1040" i="17"/>
  <c r="BU1041" i="17"/>
  <c r="BW1040" i="17"/>
  <c r="BO1041" i="17"/>
  <c r="BP1040" i="17"/>
  <c r="BJ1040" i="17"/>
  <c r="BK1040" i="17" s="1"/>
  <c r="BK1039" i="17"/>
  <c r="BI1041" i="17"/>
  <c r="BD1040" i="17"/>
  <c r="BE1040" i="17" s="1"/>
  <c r="BE1039" i="17"/>
  <c r="BC1041" i="17"/>
  <c r="AW1041" i="17"/>
  <c r="AX1040" i="17"/>
  <c r="AH1039" i="7"/>
  <c r="AG1040" i="7"/>
  <c r="AE1041" i="7"/>
  <c r="AF1041" i="7"/>
  <c r="CE1041" i="17" l="1"/>
  <c r="CF1040" i="17"/>
  <c r="CA1042" i="17"/>
  <c r="CB1041" i="17"/>
  <c r="BP1041" i="17"/>
  <c r="BU1042" i="17"/>
  <c r="BV1041" i="17"/>
  <c r="BQ1040" i="17"/>
  <c r="BO1042" i="17"/>
  <c r="BQ1041" i="17"/>
  <c r="BI1042" i="17"/>
  <c r="BJ1041" i="17"/>
  <c r="AX1041" i="17"/>
  <c r="AY1041" i="17" s="1"/>
  <c r="BC1042" i="17"/>
  <c r="BD1041" i="17"/>
  <c r="AY1040" i="17"/>
  <c r="AW1042" i="17"/>
  <c r="AF1042" i="7"/>
  <c r="AE1042" i="7"/>
  <c r="AH1040" i="7"/>
  <c r="AG1041" i="7"/>
  <c r="CF1041" i="17" l="1"/>
  <c r="CG1041" i="17" s="1"/>
  <c r="CG1040" i="17"/>
  <c r="CE1042" i="17"/>
  <c r="CB1042" i="17"/>
  <c r="BJ1042" i="17"/>
  <c r="BK1042" i="17" s="1"/>
  <c r="CC1041" i="17"/>
  <c r="CA1043" i="17"/>
  <c r="CB1043" i="17" s="1"/>
  <c r="CC1042" i="17"/>
  <c r="BV1042" i="17"/>
  <c r="BW1042" i="17" s="1"/>
  <c r="AX1042" i="17"/>
  <c r="AY1042" i="17" s="1"/>
  <c r="BU1043" i="17"/>
  <c r="BW1041" i="17"/>
  <c r="BO1043" i="17"/>
  <c r="BP1042" i="17"/>
  <c r="BK1041" i="17"/>
  <c r="BI1043" i="17"/>
  <c r="BD1042" i="17"/>
  <c r="BE1042" i="17" s="1"/>
  <c r="BE1041" i="17"/>
  <c r="BC1043" i="17"/>
  <c r="AW1043" i="17"/>
  <c r="AG1042" i="7"/>
  <c r="AH1041" i="7"/>
  <c r="AF1043" i="7"/>
  <c r="AE1043" i="7"/>
  <c r="CE1043" i="17" l="1"/>
  <c r="CF1042" i="17"/>
  <c r="CA1044" i="17"/>
  <c r="CC1043" i="17"/>
  <c r="BP1043" i="17"/>
  <c r="BU1044" i="17"/>
  <c r="BV1043" i="17"/>
  <c r="BQ1042" i="17"/>
  <c r="BO1044" i="17"/>
  <c r="BQ1043" i="17"/>
  <c r="BI1044" i="17"/>
  <c r="BJ1043" i="17"/>
  <c r="BC1044" i="17"/>
  <c r="BD1043" i="17"/>
  <c r="AW1044" i="17"/>
  <c r="AX1043" i="17"/>
  <c r="AF1044" i="7"/>
  <c r="AE1044" i="7"/>
  <c r="AG1043" i="7"/>
  <c r="AH1042" i="7"/>
  <c r="CF1043" i="17" l="1"/>
  <c r="CG1043" i="17" s="1"/>
  <c r="CG1042" i="17"/>
  <c r="CE1044" i="17"/>
  <c r="BV1044" i="17"/>
  <c r="BW1044" i="17" s="1"/>
  <c r="CA1045" i="17"/>
  <c r="CB1044" i="17"/>
  <c r="BJ1044" i="17"/>
  <c r="BK1044" i="17" s="1"/>
  <c r="BW1043" i="17"/>
  <c r="BU1045" i="17"/>
  <c r="BO1045" i="17"/>
  <c r="BP1044" i="17"/>
  <c r="BK1043" i="17"/>
  <c r="BI1045" i="17"/>
  <c r="BD1044" i="17"/>
  <c r="BE1044" i="17" s="1"/>
  <c r="AX1044" i="17"/>
  <c r="AY1044" i="17" s="1"/>
  <c r="BE1043" i="17"/>
  <c r="BC1045" i="17"/>
  <c r="AY1043" i="17"/>
  <c r="AW1045" i="17"/>
  <c r="AH1043" i="7"/>
  <c r="AG1044" i="7"/>
  <c r="AF1045" i="7"/>
  <c r="AE1045" i="7"/>
  <c r="CB1045" i="17" l="1"/>
  <c r="CE1045" i="17"/>
  <c r="CF1044" i="17"/>
  <c r="CC1044" i="17"/>
  <c r="CA1046" i="17"/>
  <c r="CB1046" i="17" s="1"/>
  <c r="CC1045" i="17"/>
  <c r="BU1046" i="17"/>
  <c r="BV1045" i="17"/>
  <c r="BP1045" i="17"/>
  <c r="BQ1045" i="17" s="1"/>
  <c r="BQ1044" i="17"/>
  <c r="BO1046" i="17"/>
  <c r="BI1046" i="17"/>
  <c r="BJ1045" i="17"/>
  <c r="BC1046" i="17"/>
  <c r="BD1045" i="17"/>
  <c r="AW1046" i="17"/>
  <c r="AX1045" i="17"/>
  <c r="AF1046" i="7"/>
  <c r="AE1046" i="7"/>
  <c r="AH1044" i="7"/>
  <c r="AG1045" i="7"/>
  <c r="CF1045" i="17" l="1"/>
  <c r="CG1045" i="17" s="1"/>
  <c r="CG1044" i="17"/>
  <c r="CE1046" i="17"/>
  <c r="BV1046" i="17"/>
  <c r="BW1046" i="17" s="1"/>
  <c r="CA1047" i="17"/>
  <c r="CC1046" i="17"/>
  <c r="BW1045" i="17"/>
  <c r="BU1047" i="17"/>
  <c r="BJ1046" i="17"/>
  <c r="BK1046" i="17" s="1"/>
  <c r="BO1047" i="17"/>
  <c r="BP1046" i="17"/>
  <c r="AX1046" i="17"/>
  <c r="AY1046" i="17" s="1"/>
  <c r="BK1045" i="17"/>
  <c r="BI1047" i="17"/>
  <c r="BD1046" i="17"/>
  <c r="BE1046" i="17" s="1"/>
  <c r="BE1045" i="17"/>
  <c r="BC1047" i="17"/>
  <c r="AY1045" i="17"/>
  <c r="AW1047" i="17"/>
  <c r="AH1045" i="7"/>
  <c r="AG1046" i="7"/>
  <c r="AE1047" i="7"/>
  <c r="AF1047" i="7"/>
  <c r="CF1046" i="17" l="1"/>
  <c r="CG1046" i="17" s="1"/>
  <c r="CE1047" i="17"/>
  <c r="CA1048" i="17"/>
  <c r="CB1047" i="17"/>
  <c r="BU1048" i="17"/>
  <c r="BV1047" i="17"/>
  <c r="BP1047" i="17"/>
  <c r="BQ1047" i="17" s="1"/>
  <c r="BQ1046" i="17"/>
  <c r="BO1048" i="17"/>
  <c r="BI1048" i="17"/>
  <c r="BJ1047" i="17"/>
  <c r="BC1048" i="17"/>
  <c r="BD1047" i="17"/>
  <c r="AW1048" i="17"/>
  <c r="AX1047" i="17"/>
  <c r="AF1048" i="7"/>
  <c r="AE1048" i="7"/>
  <c r="AH1046" i="7"/>
  <c r="AG1047" i="7"/>
  <c r="CE1048" i="17" l="1"/>
  <c r="CF1047" i="17"/>
  <c r="CB1048" i="17"/>
  <c r="CC1047" i="17"/>
  <c r="CA1049" i="17"/>
  <c r="CC1048" i="17"/>
  <c r="BV1048" i="17"/>
  <c r="BW1048" i="17" s="1"/>
  <c r="BW1047" i="17"/>
  <c r="BU1049" i="17"/>
  <c r="BO1049" i="17"/>
  <c r="BP1048" i="17"/>
  <c r="BJ1048" i="17"/>
  <c r="BK1048" i="17" s="1"/>
  <c r="BK1047" i="17"/>
  <c r="BI1049" i="17"/>
  <c r="AX1048" i="17"/>
  <c r="AY1048" i="17" s="1"/>
  <c r="BD1048" i="17"/>
  <c r="BE1048" i="17" s="1"/>
  <c r="BE1047" i="17"/>
  <c r="BC1049" i="17"/>
  <c r="AY1047" i="17"/>
  <c r="AW1049" i="17"/>
  <c r="AG1048" i="7"/>
  <c r="AH1047" i="7"/>
  <c r="AF1049" i="7"/>
  <c r="AE1049" i="7"/>
  <c r="CF1048" i="17" l="1"/>
  <c r="CG1048" i="17" s="1"/>
  <c r="CG1047" i="17"/>
  <c r="CE1049" i="17"/>
  <c r="CA1050" i="17"/>
  <c r="BJ1049" i="17"/>
  <c r="BK1049" i="17" s="1"/>
  <c r="CB1049" i="17"/>
  <c r="BU1050" i="17"/>
  <c r="BV1049" i="17"/>
  <c r="BP1049" i="17"/>
  <c r="BQ1049" i="17" s="1"/>
  <c r="AX1049" i="17"/>
  <c r="AY1049" i="17" s="1"/>
  <c r="BQ1048" i="17"/>
  <c r="BO1050" i="17"/>
  <c r="BI1050" i="17"/>
  <c r="BC1050" i="17"/>
  <c r="BD1049" i="17"/>
  <c r="AW1050" i="17"/>
  <c r="AF1050" i="7"/>
  <c r="AE1050" i="7"/>
  <c r="AG1049" i="7"/>
  <c r="AH1048" i="7"/>
  <c r="CB1050" i="17" l="1"/>
  <c r="CC1050" i="17" s="1"/>
  <c r="BJ1050" i="17"/>
  <c r="BK1050" i="17" s="1"/>
  <c r="CE1050" i="17"/>
  <c r="CF1049" i="17"/>
  <c r="BV1050" i="17"/>
  <c r="CC1049" i="17"/>
  <c r="CA1051" i="17"/>
  <c r="BW1049" i="17"/>
  <c r="BU1051" i="17"/>
  <c r="BV1051" i="17" s="1"/>
  <c r="BW1050" i="17"/>
  <c r="AX1050" i="17"/>
  <c r="AY1050" i="17" s="1"/>
  <c r="BO1051" i="17"/>
  <c r="BP1050" i="17"/>
  <c r="BD1050" i="17"/>
  <c r="BE1050" i="17" s="1"/>
  <c r="BI1051" i="17"/>
  <c r="BE1049" i="17"/>
  <c r="BC1051" i="17"/>
  <c r="AW1051" i="17"/>
  <c r="AH1049" i="7"/>
  <c r="AG1050" i="7"/>
  <c r="AF1051" i="7"/>
  <c r="AE1051" i="7"/>
  <c r="CF1050" i="17" l="1"/>
  <c r="CG1050" i="17" s="1"/>
  <c r="CG1049" i="17"/>
  <c r="CE1051" i="17"/>
  <c r="CA1052" i="17"/>
  <c r="CB1051" i="17"/>
  <c r="BU1052" i="17"/>
  <c r="BW1051" i="17"/>
  <c r="BP1051" i="17"/>
  <c r="BQ1051" i="17" s="1"/>
  <c r="BQ1050" i="17"/>
  <c r="BO1052" i="17"/>
  <c r="BI1052" i="17"/>
  <c r="BJ1051" i="17"/>
  <c r="BC1052" i="17"/>
  <c r="BD1051" i="17"/>
  <c r="AW1052" i="17"/>
  <c r="AX1051" i="17"/>
  <c r="AF1052" i="7"/>
  <c r="AE1052" i="7"/>
  <c r="AH1050" i="7"/>
  <c r="AG1051" i="7"/>
  <c r="CE1052" i="17" l="1"/>
  <c r="CF1051" i="17"/>
  <c r="CB1052" i="17"/>
  <c r="CC1051" i="17"/>
  <c r="CA1053" i="17"/>
  <c r="CB1053" i="17" s="1"/>
  <c r="CC1052" i="17"/>
  <c r="BU1053" i="17"/>
  <c r="BV1052" i="17"/>
  <c r="BO1053" i="17"/>
  <c r="BP1052" i="17"/>
  <c r="BJ1052" i="17"/>
  <c r="BK1052" i="17" s="1"/>
  <c r="BD1052" i="17"/>
  <c r="BE1052" i="17" s="1"/>
  <c r="BK1051" i="17"/>
  <c r="BI1053" i="17"/>
  <c r="BE1051" i="17"/>
  <c r="BC1053" i="17"/>
  <c r="AX1052" i="17"/>
  <c r="AY1052" i="17" s="1"/>
  <c r="AY1051" i="17"/>
  <c r="AW1053" i="17"/>
  <c r="AH1051" i="7"/>
  <c r="AG1052" i="7"/>
  <c r="AE1053" i="7"/>
  <c r="AF1053" i="7"/>
  <c r="CF1052" i="17" l="1"/>
  <c r="BV1053" i="17"/>
  <c r="BW1053" i="17" s="1"/>
  <c r="CG1051" i="17"/>
  <c r="CE1053" i="17"/>
  <c r="CG1052" i="17"/>
  <c r="CA1054" i="17"/>
  <c r="CC1053" i="17"/>
  <c r="BW1052" i="17"/>
  <c r="BU1054" i="17"/>
  <c r="BP1053" i="17"/>
  <c r="BQ1053" i="17" s="1"/>
  <c r="BQ1052" i="17"/>
  <c r="BO1054" i="17"/>
  <c r="BI1054" i="17"/>
  <c r="BJ1053" i="17"/>
  <c r="BC1054" i="17"/>
  <c r="BD1053" i="17"/>
  <c r="AW1054" i="17"/>
  <c r="AX1053" i="17"/>
  <c r="AF1054" i="7"/>
  <c r="AE1054" i="7"/>
  <c r="AH1052" i="7"/>
  <c r="AG1053" i="7"/>
  <c r="CE1054" i="17" l="1"/>
  <c r="CF1053" i="17"/>
  <c r="CA1055" i="17"/>
  <c r="CB1054" i="17"/>
  <c r="BU1055" i="17"/>
  <c r="BV1054" i="17"/>
  <c r="BO1055" i="17"/>
  <c r="BP1054" i="17"/>
  <c r="BJ1054" i="17"/>
  <c r="BK1054" i="17" s="1"/>
  <c r="BK1053" i="17"/>
  <c r="BI1055" i="17"/>
  <c r="BD1054" i="17"/>
  <c r="BE1054" i="17" s="1"/>
  <c r="BE1053" i="17"/>
  <c r="BC1055" i="17"/>
  <c r="AX1054" i="17"/>
  <c r="AY1054" i="17" s="1"/>
  <c r="AY1053" i="17"/>
  <c r="AW1055" i="17"/>
  <c r="AG1054" i="7"/>
  <c r="AH1053" i="7"/>
  <c r="AF1055" i="7"/>
  <c r="AE1055" i="7"/>
  <c r="BV1055" i="17" l="1"/>
  <c r="BW1055" i="17" s="1"/>
  <c r="CB1055" i="17"/>
  <c r="CC1055" i="17" s="1"/>
  <c r="CF1054" i="17"/>
  <c r="CG1054" i="17" s="1"/>
  <c r="CG1053" i="17"/>
  <c r="CE1055" i="17"/>
  <c r="BP1055" i="17"/>
  <c r="BQ1055" i="17" s="1"/>
  <c r="CC1054" i="17"/>
  <c r="CA1056" i="17"/>
  <c r="BW1054" i="17"/>
  <c r="BU1056" i="17"/>
  <c r="BQ1054" i="17"/>
  <c r="BO1056" i="17"/>
  <c r="BI1056" i="17"/>
  <c r="BJ1055" i="17"/>
  <c r="BC1056" i="17"/>
  <c r="BD1055" i="17"/>
  <c r="AW1056" i="17"/>
  <c r="AX1055" i="17"/>
  <c r="AF1056" i="7"/>
  <c r="AE1056" i="7"/>
  <c r="AG1055" i="7"/>
  <c r="AH1054" i="7"/>
  <c r="BV1056" i="17" l="1"/>
  <c r="BW1056" i="17" s="1"/>
  <c r="CE1056" i="17"/>
  <c r="BP1056" i="17"/>
  <c r="CF1055" i="17"/>
  <c r="CA1057" i="17"/>
  <c r="CB1056" i="17"/>
  <c r="BU1057" i="17"/>
  <c r="BO1057" i="17"/>
  <c r="BQ1056" i="17"/>
  <c r="BJ1056" i="17"/>
  <c r="BK1056" i="17" s="1"/>
  <c r="BD1056" i="17"/>
  <c r="BE1056" i="17" s="1"/>
  <c r="BK1055" i="17"/>
  <c r="BI1057" i="17"/>
  <c r="BE1055" i="17"/>
  <c r="BC1057" i="17"/>
  <c r="AX1056" i="17"/>
  <c r="AY1056" i="17" s="1"/>
  <c r="AY1055" i="17"/>
  <c r="AW1057" i="17"/>
  <c r="AH1055" i="7"/>
  <c r="AG1056" i="7"/>
  <c r="AF1057" i="7"/>
  <c r="AE1057" i="7"/>
  <c r="BV1057" i="17" l="1"/>
  <c r="BW1057" i="17" s="1"/>
  <c r="CF1056" i="17"/>
  <c r="CG1056" i="17" s="1"/>
  <c r="CG1055" i="17"/>
  <c r="CE1057" i="17"/>
  <c r="CB1057" i="17"/>
  <c r="CC1057" i="17" s="1"/>
  <c r="CC1056" i="17"/>
  <c r="CA1058" i="17"/>
  <c r="BU1058" i="17"/>
  <c r="BO1058" i="17"/>
  <c r="BP1057" i="17"/>
  <c r="BI1058" i="17"/>
  <c r="BJ1057" i="17"/>
  <c r="BC1058" i="17"/>
  <c r="BD1057" i="17"/>
  <c r="AW1058" i="17"/>
  <c r="AX1057" i="17"/>
  <c r="AF1058" i="7"/>
  <c r="AE1058" i="7"/>
  <c r="AH1056" i="7"/>
  <c r="AG1057" i="7"/>
  <c r="CE1058" i="17" l="1"/>
  <c r="CF1057" i="17"/>
  <c r="CA1059" i="17"/>
  <c r="CB1058" i="17"/>
  <c r="BU1059" i="17"/>
  <c r="BV1058" i="17"/>
  <c r="BP1058" i="17"/>
  <c r="BQ1058" i="17" s="1"/>
  <c r="BQ1057" i="17"/>
  <c r="BO1059" i="17"/>
  <c r="BJ1058" i="17"/>
  <c r="BK1058" i="17" s="1"/>
  <c r="BK1057" i="17"/>
  <c r="BI1059" i="17"/>
  <c r="BD1058" i="17"/>
  <c r="BE1058" i="17" s="1"/>
  <c r="BE1057" i="17"/>
  <c r="BC1059" i="17"/>
  <c r="AX1058" i="17"/>
  <c r="AY1058" i="17" s="1"/>
  <c r="AY1057" i="17"/>
  <c r="AW1059" i="17"/>
  <c r="AH1057" i="7"/>
  <c r="AG1058" i="7"/>
  <c r="AE1059" i="7"/>
  <c r="AF1059" i="7"/>
  <c r="CF1058" i="17" l="1"/>
  <c r="CG1058" i="17" s="1"/>
  <c r="BV1059" i="17"/>
  <c r="BW1059" i="17" s="1"/>
  <c r="CG1057" i="17"/>
  <c r="CE1059" i="17"/>
  <c r="CB1059" i="17"/>
  <c r="CC1059" i="17" s="1"/>
  <c r="CC1058" i="17"/>
  <c r="CA1060" i="17"/>
  <c r="BW1058" i="17"/>
  <c r="BU1060" i="17"/>
  <c r="BO1060" i="17"/>
  <c r="BP1059" i="17"/>
  <c r="BJ1059" i="17"/>
  <c r="BK1059" i="17" s="1"/>
  <c r="BI1060" i="17"/>
  <c r="BC1060" i="17"/>
  <c r="BD1059" i="17"/>
  <c r="AW1060" i="17"/>
  <c r="AX1059" i="17"/>
  <c r="AH1058" i="7"/>
  <c r="AG1059" i="7"/>
  <c r="AF1060" i="7"/>
  <c r="AE1060" i="7"/>
  <c r="CB1060" i="17" l="1"/>
  <c r="CC1060" i="17" s="1"/>
  <c r="BJ1060" i="17"/>
  <c r="BK1060" i="17" s="1"/>
  <c r="CE1060" i="17"/>
  <c r="CF1059" i="17"/>
  <c r="CA1061" i="17"/>
  <c r="BP1060" i="17"/>
  <c r="BQ1060" i="17" s="1"/>
  <c r="BU1061" i="17"/>
  <c r="BV1060" i="17"/>
  <c r="BQ1059" i="17"/>
  <c r="BO1061" i="17"/>
  <c r="BI1061" i="17"/>
  <c r="BD1060" i="17"/>
  <c r="BE1060" i="17" s="1"/>
  <c r="BE1059" i="17"/>
  <c r="BC1061" i="17"/>
  <c r="AX1060" i="17"/>
  <c r="AY1060" i="17" s="1"/>
  <c r="AY1059" i="17"/>
  <c r="AW1061" i="17"/>
  <c r="AF1061" i="7"/>
  <c r="AE1061" i="7"/>
  <c r="AG1060" i="7"/>
  <c r="AH1059" i="7"/>
  <c r="BP1061" i="17" l="1"/>
  <c r="BQ1061" i="17" s="1"/>
  <c r="CF1060" i="17"/>
  <c r="CG1060" i="17" s="1"/>
  <c r="BV1061" i="17"/>
  <c r="CG1059" i="17"/>
  <c r="CE1061" i="17"/>
  <c r="CA1062" i="17"/>
  <c r="CB1061" i="17"/>
  <c r="BW1060" i="17"/>
  <c r="BU1062" i="17"/>
  <c r="BW1061" i="17"/>
  <c r="BO1062" i="17"/>
  <c r="BI1062" i="17"/>
  <c r="BJ1061" i="17"/>
  <c r="BC1062" i="17"/>
  <c r="BD1061" i="17"/>
  <c r="AW1062" i="17"/>
  <c r="AX1061" i="17"/>
  <c r="AG1061" i="7"/>
  <c r="AH1060" i="7"/>
  <c r="AF1062" i="7"/>
  <c r="AE1062" i="7"/>
  <c r="CB1062" i="17" l="1"/>
  <c r="CC1062" i="17" s="1"/>
  <c r="CE1062" i="17"/>
  <c r="CF1061" i="17"/>
  <c r="CG1061" i="17" s="1"/>
  <c r="CC1061" i="17"/>
  <c r="CA1063" i="17"/>
  <c r="BU1063" i="17"/>
  <c r="BV1062" i="17"/>
  <c r="BJ1062" i="17"/>
  <c r="BK1062" i="17" s="1"/>
  <c r="BO1063" i="17"/>
  <c r="BP1062" i="17"/>
  <c r="BK1061" i="17"/>
  <c r="BI1063" i="17"/>
  <c r="BD1062" i="17"/>
  <c r="BE1062" i="17" s="1"/>
  <c r="BE1061" i="17"/>
  <c r="BC1063" i="17"/>
  <c r="AX1062" i="17"/>
  <c r="AY1062" i="17" s="1"/>
  <c r="AY1061" i="17"/>
  <c r="AW1063" i="17"/>
  <c r="AF1063" i="7"/>
  <c r="AE1063" i="7"/>
  <c r="AH1061" i="7"/>
  <c r="AG1062" i="7"/>
  <c r="BV1063" i="17" l="1"/>
  <c r="BW1063" i="17" s="1"/>
  <c r="CF1062" i="17"/>
  <c r="CG1062" i="17" s="1"/>
  <c r="CE1063" i="17"/>
  <c r="CA1064" i="17"/>
  <c r="CB1063" i="17"/>
  <c r="BW1062" i="17"/>
  <c r="BU1064" i="17"/>
  <c r="BP1063" i="17"/>
  <c r="BQ1063" i="17" s="1"/>
  <c r="BQ1062" i="17"/>
  <c r="BO1064" i="17"/>
  <c r="BI1064" i="17"/>
  <c r="BJ1063" i="17"/>
  <c r="AX1063" i="17"/>
  <c r="AY1063" i="17" s="1"/>
  <c r="BC1064" i="17"/>
  <c r="BD1063" i="17"/>
  <c r="AW1064" i="17"/>
  <c r="AH1062" i="7"/>
  <c r="AG1063" i="7"/>
  <c r="AF1064" i="7"/>
  <c r="AE1064" i="7"/>
  <c r="CB1064" i="17" l="1"/>
  <c r="CC1064" i="17" s="1"/>
  <c r="CE1064" i="17"/>
  <c r="CF1063" i="17"/>
  <c r="CC1063" i="17"/>
  <c r="CA1065" i="17"/>
  <c r="BU1065" i="17"/>
  <c r="BV1064" i="17"/>
  <c r="BO1065" i="17"/>
  <c r="BP1064" i="17"/>
  <c r="BJ1064" i="17"/>
  <c r="BK1064" i="17" s="1"/>
  <c r="BK1063" i="17"/>
  <c r="BI1065" i="17"/>
  <c r="BD1064" i="17"/>
  <c r="BE1064" i="17" s="1"/>
  <c r="BE1063" i="17"/>
  <c r="BC1065" i="17"/>
  <c r="AW1065" i="17"/>
  <c r="AX1064" i="17"/>
  <c r="AE1065" i="7"/>
  <c r="AF1065" i="7"/>
  <c r="AH1063" i="7"/>
  <c r="AG1064" i="7"/>
  <c r="CF1064" i="17" l="1"/>
  <c r="CG1064" i="17" s="1"/>
  <c r="CG1063" i="17"/>
  <c r="CE1065" i="17"/>
  <c r="BV1065" i="17"/>
  <c r="BD1065" i="17"/>
  <c r="BE1065" i="17" s="1"/>
  <c r="CA1066" i="17"/>
  <c r="CB1065" i="17"/>
  <c r="BW1064" i="17"/>
  <c r="BU1066" i="17"/>
  <c r="BW1065" i="17"/>
  <c r="BP1065" i="17"/>
  <c r="BQ1065" i="17" s="1"/>
  <c r="BQ1064" i="17"/>
  <c r="BO1066" i="17"/>
  <c r="AX1065" i="17"/>
  <c r="AY1065" i="17" s="1"/>
  <c r="BI1066" i="17"/>
  <c r="BJ1065" i="17"/>
  <c r="BC1066" i="17"/>
  <c r="AY1064" i="17"/>
  <c r="AW1066" i="17"/>
  <c r="AH1064" i="7"/>
  <c r="AG1065" i="7"/>
  <c r="AF1066" i="7"/>
  <c r="AE1066" i="7"/>
  <c r="CB1066" i="17" l="1"/>
  <c r="CC1066" i="17" s="1"/>
  <c r="CE1066" i="17"/>
  <c r="CF1065" i="17"/>
  <c r="CC1065" i="17"/>
  <c r="CA1067" i="17"/>
  <c r="BU1067" i="17"/>
  <c r="AX1066" i="17"/>
  <c r="AY1066" i="17" s="1"/>
  <c r="BV1066" i="17"/>
  <c r="BO1067" i="17"/>
  <c r="BP1066" i="17"/>
  <c r="BJ1066" i="17"/>
  <c r="BK1066" i="17" s="1"/>
  <c r="BK1065" i="17"/>
  <c r="BI1067" i="17"/>
  <c r="BC1067" i="17"/>
  <c r="BD1066" i="17"/>
  <c r="AW1067" i="17"/>
  <c r="AF1067" i="7"/>
  <c r="AE1067" i="7"/>
  <c r="AG1066" i="7"/>
  <c r="AH1065" i="7"/>
  <c r="CB1067" i="17" l="1"/>
  <c r="CC1067" i="17" s="1"/>
  <c r="CF1066" i="17"/>
  <c r="CG1066" i="17" s="1"/>
  <c r="CG1065" i="17"/>
  <c r="CE1067" i="17"/>
  <c r="CA1068" i="17"/>
  <c r="BV1067" i="17"/>
  <c r="BW1067" i="17" s="1"/>
  <c r="BP1067" i="17"/>
  <c r="BQ1067" i="17" s="1"/>
  <c r="BW1066" i="17"/>
  <c r="BU1068" i="17"/>
  <c r="BQ1066" i="17"/>
  <c r="BO1068" i="17"/>
  <c r="BD1067" i="17"/>
  <c r="BE1067" i="17" s="1"/>
  <c r="BI1068" i="17"/>
  <c r="BJ1067" i="17"/>
  <c r="BE1066" i="17"/>
  <c r="BC1068" i="17"/>
  <c r="AW1068" i="17"/>
  <c r="AX1067" i="17"/>
  <c r="AG1067" i="7"/>
  <c r="AH1066" i="7"/>
  <c r="AF1068" i="7"/>
  <c r="AE1068" i="7"/>
  <c r="BV1068" i="17" l="1"/>
  <c r="BW1068" i="17" s="1"/>
  <c r="CE1068" i="17"/>
  <c r="CF1067" i="17"/>
  <c r="CA1069" i="17"/>
  <c r="CB1068" i="17"/>
  <c r="BD1068" i="17"/>
  <c r="BE1068" i="17" s="1"/>
  <c r="BU1069" i="17"/>
  <c r="BO1069" i="17"/>
  <c r="BP1068" i="17"/>
  <c r="BJ1068" i="17"/>
  <c r="BK1068" i="17" s="1"/>
  <c r="BK1067" i="17"/>
  <c r="BI1069" i="17"/>
  <c r="AX1068" i="17"/>
  <c r="AY1068" i="17" s="1"/>
  <c r="BC1069" i="17"/>
  <c r="AY1067" i="17"/>
  <c r="AW1069" i="17"/>
  <c r="AF1069" i="7"/>
  <c r="AE1069" i="7"/>
  <c r="AH1067" i="7"/>
  <c r="AG1068" i="7"/>
  <c r="BV1069" i="17" l="1"/>
  <c r="BW1069" i="17" s="1"/>
  <c r="CF1068" i="17"/>
  <c r="CG1068" i="17" s="1"/>
  <c r="CG1067" i="17"/>
  <c r="CE1069" i="17"/>
  <c r="CB1069" i="17"/>
  <c r="CC1069" i="17" s="1"/>
  <c r="CC1068" i="17"/>
  <c r="BD1069" i="17"/>
  <c r="BE1069" i="17" s="1"/>
  <c r="CA1070" i="17"/>
  <c r="BP1069" i="17"/>
  <c r="BQ1069" i="17" s="1"/>
  <c r="BU1070" i="17"/>
  <c r="BQ1068" i="17"/>
  <c r="BO1070" i="17"/>
  <c r="BI1070" i="17"/>
  <c r="BJ1069" i="17"/>
  <c r="BC1070" i="17"/>
  <c r="AW1070" i="17"/>
  <c r="AX1069" i="17"/>
  <c r="AF1070" i="7"/>
  <c r="AE1070" i="7"/>
  <c r="AH1068" i="7"/>
  <c r="AG1069" i="7"/>
  <c r="CE1070" i="17" l="1"/>
  <c r="CF1069" i="17"/>
  <c r="BD1070" i="17"/>
  <c r="BE1070" i="17" s="1"/>
  <c r="CA1071" i="17"/>
  <c r="CB1070" i="17"/>
  <c r="BU1071" i="17"/>
  <c r="BV1070" i="17"/>
  <c r="AX1070" i="17"/>
  <c r="AY1070" i="17" s="1"/>
  <c r="BO1071" i="17"/>
  <c r="BP1070" i="17"/>
  <c r="BJ1070" i="17"/>
  <c r="BK1070" i="17" s="1"/>
  <c r="BK1069" i="17"/>
  <c r="BI1071" i="17"/>
  <c r="BC1071" i="17"/>
  <c r="AY1069" i="17"/>
  <c r="AW1071" i="17"/>
  <c r="AH1069" i="7"/>
  <c r="AG1070" i="7"/>
  <c r="AE1071" i="7"/>
  <c r="AF1071" i="7"/>
  <c r="CF1070" i="17" l="1"/>
  <c r="CG1070" i="17" s="1"/>
  <c r="CB1071" i="17"/>
  <c r="CC1071" i="17" s="1"/>
  <c r="BV1071" i="17"/>
  <c r="BW1071" i="17" s="1"/>
  <c r="CG1069" i="17"/>
  <c r="CE1071" i="17"/>
  <c r="BP1071" i="17"/>
  <c r="BQ1071" i="17" s="1"/>
  <c r="CC1070" i="17"/>
  <c r="CA1072" i="17"/>
  <c r="BW1070" i="17"/>
  <c r="BU1072" i="17"/>
  <c r="BV1072" i="17" s="1"/>
  <c r="BQ1070" i="17"/>
  <c r="BO1072" i="17"/>
  <c r="BI1072" i="17"/>
  <c r="BJ1071" i="17"/>
  <c r="BC1072" i="17"/>
  <c r="BD1071" i="17"/>
  <c r="AW1072" i="17"/>
  <c r="AX1071" i="17"/>
  <c r="AF1072" i="7"/>
  <c r="AE1072" i="7"/>
  <c r="AH1070" i="7"/>
  <c r="AG1071" i="7"/>
  <c r="CE1072" i="17" l="1"/>
  <c r="CF1071" i="17"/>
  <c r="CA1073" i="17"/>
  <c r="CB1072" i="17"/>
  <c r="BU1073" i="17"/>
  <c r="BV1073" i="17" s="1"/>
  <c r="BW1072" i="17"/>
  <c r="BO1073" i="17"/>
  <c r="BP1072" i="17"/>
  <c r="BJ1072" i="17"/>
  <c r="BK1072" i="17" s="1"/>
  <c r="BK1071" i="17"/>
  <c r="BI1073" i="17"/>
  <c r="AX1072" i="17"/>
  <c r="AY1072" i="17" s="1"/>
  <c r="BD1072" i="17"/>
  <c r="BE1072" i="17" s="1"/>
  <c r="BE1071" i="17"/>
  <c r="BC1073" i="17"/>
  <c r="AY1071" i="17"/>
  <c r="AW1073" i="17"/>
  <c r="AG1072" i="7"/>
  <c r="AH1071" i="7"/>
  <c r="AF1073" i="7"/>
  <c r="AE1073" i="7"/>
  <c r="CF1072" i="17" l="1"/>
  <c r="CG1072" i="17" s="1"/>
  <c r="CB1073" i="17"/>
  <c r="CC1073" i="17" s="1"/>
  <c r="CG1071" i="17"/>
  <c r="CE1073" i="17"/>
  <c r="CC1072" i="17"/>
  <c r="CA1074" i="17"/>
  <c r="BP1073" i="17"/>
  <c r="BQ1073" i="17" s="1"/>
  <c r="BU1074" i="17"/>
  <c r="BW1073" i="17"/>
  <c r="BQ1072" i="17"/>
  <c r="BO1074" i="17"/>
  <c r="BI1074" i="17"/>
  <c r="BJ1073" i="17"/>
  <c r="BD1073" i="17"/>
  <c r="BE1073" i="17" s="1"/>
  <c r="BC1074" i="17"/>
  <c r="AW1074" i="17"/>
  <c r="AX1073" i="17"/>
  <c r="AF1074" i="7"/>
  <c r="AE1074" i="7"/>
  <c r="AG1073" i="7"/>
  <c r="AH1072" i="7"/>
  <c r="CB1074" i="17" l="1"/>
  <c r="CC1074" i="17" s="1"/>
  <c r="CE1074" i="17"/>
  <c r="CF1073" i="17"/>
  <c r="CA1075" i="17"/>
  <c r="BU1075" i="17"/>
  <c r="BV1074" i="17"/>
  <c r="BO1075" i="17"/>
  <c r="BP1074" i="17"/>
  <c r="BJ1074" i="17"/>
  <c r="BK1074" i="17" s="1"/>
  <c r="BK1073" i="17"/>
  <c r="BI1075" i="17"/>
  <c r="BC1075" i="17"/>
  <c r="BD1074" i="17"/>
  <c r="AX1074" i="17"/>
  <c r="AY1074" i="17" s="1"/>
  <c r="AY1073" i="17"/>
  <c r="AW1075" i="17"/>
  <c r="AH1073" i="7"/>
  <c r="AG1074" i="7"/>
  <c r="AF1075" i="7"/>
  <c r="AE1075" i="7"/>
  <c r="CF1074" i="17" l="1"/>
  <c r="CG1074" i="17" s="1"/>
  <c r="BV1075" i="17"/>
  <c r="BW1075" i="17" s="1"/>
  <c r="CG1073" i="17"/>
  <c r="CE1075" i="17"/>
  <c r="CA1076" i="17"/>
  <c r="CB1075" i="17"/>
  <c r="BP1075" i="17"/>
  <c r="BQ1075" i="17" s="1"/>
  <c r="BW1074" i="17"/>
  <c r="BU1076" i="17"/>
  <c r="BQ1074" i="17"/>
  <c r="BO1076" i="17"/>
  <c r="BI1076" i="17"/>
  <c r="BJ1075" i="17"/>
  <c r="BD1075" i="17"/>
  <c r="BE1075" i="17" s="1"/>
  <c r="BE1074" i="17"/>
  <c r="BC1076" i="17"/>
  <c r="AW1076" i="17"/>
  <c r="AX1075" i="17"/>
  <c r="AF1076" i="7"/>
  <c r="AE1076" i="7"/>
  <c r="AH1074" i="7"/>
  <c r="AG1075" i="7"/>
  <c r="CB1076" i="17" l="1"/>
  <c r="CC1076" i="17" s="1"/>
  <c r="CE1076" i="17"/>
  <c r="CF1075" i="17"/>
  <c r="CC1075" i="17"/>
  <c r="CA1077" i="17"/>
  <c r="BU1077" i="17"/>
  <c r="BV1076" i="17"/>
  <c r="BO1077" i="17"/>
  <c r="BP1076" i="17"/>
  <c r="BJ1076" i="17"/>
  <c r="BK1076" i="17" s="1"/>
  <c r="BK1075" i="17"/>
  <c r="BI1077" i="17"/>
  <c r="AX1076" i="17"/>
  <c r="AY1076" i="17" s="1"/>
  <c r="BC1077" i="17"/>
  <c r="BD1076" i="17"/>
  <c r="AY1075" i="17"/>
  <c r="AW1077" i="17"/>
  <c r="AH1075" i="7"/>
  <c r="AG1076" i="7"/>
  <c r="AE1077" i="7"/>
  <c r="AF1077" i="7"/>
  <c r="CF1076" i="17" l="1"/>
  <c r="CG1076" i="17" s="1"/>
  <c r="CG1075" i="17"/>
  <c r="CE1077" i="17"/>
  <c r="BV1077" i="17"/>
  <c r="CA1078" i="17"/>
  <c r="CB1077" i="17"/>
  <c r="BW1076" i="17"/>
  <c r="BU1078" i="17"/>
  <c r="BW1077" i="17"/>
  <c r="BD1077" i="17"/>
  <c r="BE1077" i="17" s="1"/>
  <c r="BP1077" i="17"/>
  <c r="BQ1077" i="17" s="1"/>
  <c r="BQ1076" i="17"/>
  <c r="BO1078" i="17"/>
  <c r="BI1078" i="17"/>
  <c r="BJ1077" i="17"/>
  <c r="BE1076" i="17"/>
  <c r="BC1078" i="17"/>
  <c r="AW1078" i="17"/>
  <c r="AX1077" i="17"/>
  <c r="AH1076" i="7"/>
  <c r="AG1077" i="7"/>
  <c r="AF1078" i="7"/>
  <c r="AE1078" i="7"/>
  <c r="CB1078" i="17" l="1"/>
  <c r="CC1078" i="17" s="1"/>
  <c r="CE1078" i="17"/>
  <c r="CF1077" i="17"/>
  <c r="CA1079" i="17"/>
  <c r="CC1077" i="17"/>
  <c r="BU1079" i="17"/>
  <c r="BV1078" i="17"/>
  <c r="BJ1078" i="17"/>
  <c r="BK1078" i="17" s="1"/>
  <c r="BO1079" i="17"/>
  <c r="BP1078" i="17"/>
  <c r="BK1077" i="17"/>
  <c r="BI1079" i="17"/>
  <c r="BC1079" i="17"/>
  <c r="BD1078" i="17"/>
  <c r="AX1078" i="17"/>
  <c r="AY1078" i="17" s="1"/>
  <c r="AY1077" i="17"/>
  <c r="AW1079" i="17"/>
  <c r="AF1079" i="7"/>
  <c r="AE1079" i="7"/>
  <c r="AG1078" i="7"/>
  <c r="AH1077" i="7"/>
  <c r="CF1078" i="17" l="1"/>
  <c r="CG1078" i="17" s="1"/>
  <c r="CG1077" i="17"/>
  <c r="CE1079" i="17"/>
  <c r="CA1080" i="17"/>
  <c r="CB1079" i="17"/>
  <c r="BV1079" i="17"/>
  <c r="BW1079" i="17" s="1"/>
  <c r="BP1079" i="17"/>
  <c r="BQ1079" i="17" s="1"/>
  <c r="BW1078" i="17"/>
  <c r="BU1080" i="17"/>
  <c r="BQ1078" i="17"/>
  <c r="BO1080" i="17"/>
  <c r="BI1080" i="17"/>
  <c r="BJ1079" i="17"/>
  <c r="BD1079" i="17"/>
  <c r="BE1079" i="17" s="1"/>
  <c r="BE1078" i="17"/>
  <c r="BC1080" i="17"/>
  <c r="AW1080" i="17"/>
  <c r="AX1079" i="17"/>
  <c r="AF1080" i="7"/>
  <c r="AE1080" i="7"/>
  <c r="AG1079" i="7"/>
  <c r="AH1078" i="7"/>
  <c r="CB1080" i="17" l="1"/>
  <c r="CC1080" i="17" s="1"/>
  <c r="CE1080" i="17"/>
  <c r="CF1079" i="17"/>
  <c r="CC1079" i="17"/>
  <c r="CA1081" i="17"/>
  <c r="BU1081" i="17"/>
  <c r="BV1080" i="17"/>
  <c r="BO1081" i="17"/>
  <c r="BP1080" i="17"/>
  <c r="BJ1080" i="17"/>
  <c r="BK1080" i="17" s="1"/>
  <c r="BK1079" i="17"/>
  <c r="BI1081" i="17"/>
  <c r="AX1080" i="17"/>
  <c r="AY1080" i="17" s="1"/>
  <c r="BC1081" i="17"/>
  <c r="BD1080" i="17"/>
  <c r="AY1079" i="17"/>
  <c r="AW1081" i="17"/>
  <c r="AH1079" i="7"/>
  <c r="AG1080" i="7"/>
  <c r="AF1081" i="7"/>
  <c r="AE1081" i="7"/>
  <c r="CF1080" i="17" l="1"/>
  <c r="CG1080" i="17" s="1"/>
  <c r="CG1079" i="17"/>
  <c r="CE1081" i="17"/>
  <c r="BV1081" i="17"/>
  <c r="CA1082" i="17"/>
  <c r="CB1081" i="17"/>
  <c r="BP1081" i="17"/>
  <c r="BQ1081" i="17" s="1"/>
  <c r="BW1080" i="17"/>
  <c r="BU1082" i="17"/>
  <c r="BW1081" i="17"/>
  <c r="BQ1080" i="17"/>
  <c r="BO1082" i="17"/>
  <c r="BI1082" i="17"/>
  <c r="BJ1081" i="17"/>
  <c r="BD1081" i="17"/>
  <c r="BE1081" i="17" s="1"/>
  <c r="BE1080" i="17"/>
  <c r="BC1082" i="17"/>
  <c r="AW1082" i="17"/>
  <c r="AX1081" i="17"/>
  <c r="AF1082" i="7"/>
  <c r="AE1082" i="7"/>
  <c r="AH1080" i="7"/>
  <c r="AG1081" i="7"/>
  <c r="CE1082" i="17" l="1"/>
  <c r="CF1081" i="17"/>
  <c r="CB1082" i="17"/>
  <c r="CC1082" i="17" s="1"/>
  <c r="CC1081" i="17"/>
  <c r="CA1083" i="17"/>
  <c r="BU1083" i="17"/>
  <c r="BV1082" i="17"/>
  <c r="BJ1082" i="17"/>
  <c r="BK1082" i="17" s="1"/>
  <c r="BO1083" i="17"/>
  <c r="BP1082" i="17"/>
  <c r="BK1081" i="17"/>
  <c r="BI1083" i="17"/>
  <c r="BC1083" i="17"/>
  <c r="BD1082" i="17"/>
  <c r="AX1082" i="17"/>
  <c r="AY1082" i="17" s="1"/>
  <c r="AY1081" i="17"/>
  <c r="AW1083" i="17"/>
  <c r="AE1083" i="7"/>
  <c r="AF1083" i="7"/>
  <c r="AH1081" i="7"/>
  <c r="AG1082" i="7"/>
  <c r="CF1082" i="17" l="1"/>
  <c r="CG1082" i="17" s="1"/>
  <c r="BV1083" i="17"/>
  <c r="BW1083" i="17" s="1"/>
  <c r="CG1081" i="17"/>
  <c r="CE1083" i="17"/>
  <c r="CA1084" i="17"/>
  <c r="CB1083" i="17"/>
  <c r="BW1082" i="17"/>
  <c r="BU1084" i="17"/>
  <c r="BP1083" i="17"/>
  <c r="BQ1083" i="17" s="1"/>
  <c r="BQ1082" i="17"/>
  <c r="BO1084" i="17"/>
  <c r="BI1084" i="17"/>
  <c r="BJ1083" i="17"/>
  <c r="BD1083" i="17"/>
  <c r="BE1083" i="17" s="1"/>
  <c r="BE1082" i="17"/>
  <c r="BC1084" i="17"/>
  <c r="AW1084" i="17"/>
  <c r="AX1083" i="17"/>
  <c r="AH1082" i="7"/>
  <c r="AG1083" i="7"/>
  <c r="AF1084" i="7"/>
  <c r="AE1084" i="7"/>
  <c r="AX1084" i="17" l="1"/>
  <c r="AY1084" i="17" s="1"/>
  <c r="CE1084" i="17"/>
  <c r="CF1083" i="17"/>
  <c r="CB1084" i="17"/>
  <c r="CC1084" i="17" s="1"/>
  <c r="CC1083" i="17"/>
  <c r="CA1085" i="17"/>
  <c r="BU1085" i="17"/>
  <c r="BV1084" i="17"/>
  <c r="BJ1084" i="17"/>
  <c r="BK1084" i="17" s="1"/>
  <c r="BO1085" i="17"/>
  <c r="BP1084" i="17"/>
  <c r="BD1084" i="17"/>
  <c r="BE1084" i="17" s="1"/>
  <c r="BK1083" i="17"/>
  <c r="BI1085" i="17"/>
  <c r="BC1085" i="17"/>
  <c r="AY1083" i="17"/>
  <c r="AW1085" i="17"/>
  <c r="AF1085" i="7"/>
  <c r="AE1085" i="7"/>
  <c r="AG1084" i="7"/>
  <c r="AH1083" i="7"/>
  <c r="CF1084" i="17" l="1"/>
  <c r="CG1084" i="17" s="1"/>
  <c r="CG1083" i="17"/>
  <c r="CE1085" i="17"/>
  <c r="BV1085" i="17"/>
  <c r="CA1086" i="17"/>
  <c r="BD1085" i="17"/>
  <c r="BE1085" i="17" s="1"/>
  <c r="CB1085" i="17"/>
  <c r="BW1084" i="17"/>
  <c r="BU1086" i="17"/>
  <c r="BW1085" i="17"/>
  <c r="BP1085" i="17"/>
  <c r="BQ1085" i="17" s="1"/>
  <c r="BQ1084" i="17"/>
  <c r="BO1086" i="17"/>
  <c r="BI1086" i="17"/>
  <c r="BJ1085" i="17"/>
  <c r="BC1086" i="17"/>
  <c r="AW1086" i="17"/>
  <c r="AX1085" i="17"/>
  <c r="AF1086" i="7"/>
  <c r="AE1086" i="7"/>
  <c r="AG1085" i="7"/>
  <c r="AH1084" i="7"/>
  <c r="CE1086" i="17" l="1"/>
  <c r="CF1085" i="17"/>
  <c r="CB1086" i="17"/>
  <c r="CC1085" i="17"/>
  <c r="BD1086" i="17"/>
  <c r="BE1086" i="17" s="1"/>
  <c r="CA1087" i="17"/>
  <c r="CB1087" i="17" s="1"/>
  <c r="CC1086" i="17"/>
  <c r="BU1087" i="17"/>
  <c r="BV1086" i="17"/>
  <c r="BO1087" i="17"/>
  <c r="BP1086" i="17"/>
  <c r="BJ1086" i="17"/>
  <c r="BK1086" i="17" s="1"/>
  <c r="BK1085" i="17"/>
  <c r="BI1087" i="17"/>
  <c r="BC1087" i="17"/>
  <c r="AX1086" i="17"/>
  <c r="AY1086" i="17" s="1"/>
  <c r="AY1085" i="17"/>
  <c r="AW1087" i="17"/>
  <c r="AH1085" i="7"/>
  <c r="AG1086" i="7"/>
  <c r="AF1087" i="7"/>
  <c r="AE1087" i="7"/>
  <c r="CF1086" i="17" l="1"/>
  <c r="CG1086" i="17" s="1"/>
  <c r="CG1085" i="17"/>
  <c r="CE1087" i="17"/>
  <c r="BV1087" i="17"/>
  <c r="CA1088" i="17"/>
  <c r="CC1087" i="17"/>
  <c r="BD1087" i="17"/>
  <c r="BE1087" i="17" s="1"/>
  <c r="BP1087" i="17"/>
  <c r="BQ1087" i="17" s="1"/>
  <c r="BW1086" i="17"/>
  <c r="BU1088" i="17"/>
  <c r="BW1087" i="17"/>
  <c r="BQ1086" i="17"/>
  <c r="BO1088" i="17"/>
  <c r="BI1088" i="17"/>
  <c r="BJ1087" i="17"/>
  <c r="BC1088" i="17"/>
  <c r="AW1088" i="17"/>
  <c r="AX1087" i="17"/>
  <c r="AF1088" i="7"/>
  <c r="AE1088" i="7"/>
  <c r="AH1086" i="7"/>
  <c r="AG1087" i="7"/>
  <c r="CE1088" i="17" l="1"/>
  <c r="CF1087" i="17"/>
  <c r="CA1089" i="17"/>
  <c r="CB1088" i="17"/>
  <c r="BU1089" i="17"/>
  <c r="BV1088" i="17"/>
  <c r="BO1089" i="17"/>
  <c r="BP1088" i="17"/>
  <c r="BJ1088" i="17"/>
  <c r="BK1088" i="17" s="1"/>
  <c r="AX1088" i="17"/>
  <c r="AY1088" i="17" s="1"/>
  <c r="BK1087" i="17"/>
  <c r="BI1089" i="17"/>
  <c r="BC1089" i="17"/>
  <c r="BD1088" i="17"/>
  <c r="AY1087" i="17"/>
  <c r="AW1089" i="17"/>
  <c r="AH1087" i="7"/>
  <c r="AG1088" i="7"/>
  <c r="AE1089" i="7"/>
  <c r="AF1089" i="7"/>
  <c r="CB1089" i="17" l="1"/>
  <c r="CC1089" i="17" s="1"/>
  <c r="CF1088" i="17"/>
  <c r="CG1088" i="17" s="1"/>
  <c r="CG1087" i="17"/>
  <c r="CE1089" i="17"/>
  <c r="BV1089" i="17"/>
  <c r="CC1088" i="17"/>
  <c r="CA1090" i="17"/>
  <c r="BW1088" i="17"/>
  <c r="BU1090" i="17"/>
  <c r="BV1090" i="17" s="1"/>
  <c r="BW1089" i="17"/>
  <c r="BP1089" i="17"/>
  <c r="BQ1089" i="17" s="1"/>
  <c r="BQ1088" i="17"/>
  <c r="BO1090" i="17"/>
  <c r="BI1090" i="17"/>
  <c r="BJ1089" i="17"/>
  <c r="BD1089" i="17"/>
  <c r="BE1089" i="17" s="1"/>
  <c r="BE1088" i="17"/>
  <c r="BC1090" i="17"/>
  <c r="AW1090" i="17"/>
  <c r="AX1089" i="17"/>
  <c r="AF1090" i="7"/>
  <c r="AE1090" i="7"/>
  <c r="AH1088" i="7"/>
  <c r="AG1089" i="7"/>
  <c r="CB1090" i="17" l="1"/>
  <c r="CC1090" i="17" s="1"/>
  <c r="CE1090" i="17"/>
  <c r="CF1089" i="17"/>
  <c r="CA1091" i="17"/>
  <c r="BU1091" i="17"/>
  <c r="BW1090" i="17"/>
  <c r="BO1091" i="17"/>
  <c r="BP1090" i="17"/>
  <c r="BJ1090" i="17"/>
  <c r="BK1090" i="17" s="1"/>
  <c r="BK1089" i="17"/>
  <c r="BI1091" i="17"/>
  <c r="BC1091" i="17"/>
  <c r="BD1090" i="17"/>
  <c r="AX1090" i="17"/>
  <c r="AY1090" i="17" s="1"/>
  <c r="AY1089" i="17"/>
  <c r="AW1091" i="17"/>
  <c r="AG1090" i="7"/>
  <c r="AH1089" i="7"/>
  <c r="AF1091" i="7"/>
  <c r="AE1091" i="7"/>
  <c r="CF1090" i="17" l="1"/>
  <c r="CG1090" i="17" s="1"/>
  <c r="CG1089" i="17"/>
  <c r="CE1091" i="17"/>
  <c r="CA1092" i="17"/>
  <c r="CB1091" i="17"/>
  <c r="BU1092" i="17"/>
  <c r="BP1091" i="17"/>
  <c r="BQ1091" i="17" s="1"/>
  <c r="BV1091" i="17"/>
  <c r="BD1091" i="17"/>
  <c r="BE1091" i="17" s="1"/>
  <c r="BQ1090" i="17"/>
  <c r="BO1092" i="17"/>
  <c r="BI1092" i="17"/>
  <c r="BJ1091" i="17"/>
  <c r="BE1090" i="17"/>
  <c r="BC1092" i="17"/>
  <c r="AW1092" i="17"/>
  <c r="AX1091" i="17"/>
  <c r="AF1092" i="7"/>
  <c r="AE1092" i="7"/>
  <c r="AG1091" i="7"/>
  <c r="AH1090" i="7"/>
  <c r="BV1092" i="17" l="1"/>
  <c r="BW1092" i="17" s="1"/>
  <c r="CE1092" i="17"/>
  <c r="CF1091" i="17"/>
  <c r="CB1092" i="17"/>
  <c r="CC1092" i="17" s="1"/>
  <c r="CC1091" i="17"/>
  <c r="CA1093" i="17"/>
  <c r="BW1091" i="17"/>
  <c r="BU1093" i="17"/>
  <c r="BO1093" i="17"/>
  <c r="BP1092" i="17"/>
  <c r="BJ1092" i="17"/>
  <c r="BK1092" i="17" s="1"/>
  <c r="BK1091" i="17"/>
  <c r="BI1093" i="17"/>
  <c r="BC1093" i="17"/>
  <c r="BD1092" i="17"/>
  <c r="AX1092" i="17"/>
  <c r="AY1092" i="17" s="1"/>
  <c r="AY1091" i="17"/>
  <c r="AW1093" i="17"/>
  <c r="AH1091" i="7"/>
  <c r="AG1092" i="7"/>
  <c r="AF1093" i="7"/>
  <c r="AE1093" i="7"/>
  <c r="CF1092" i="17" l="1"/>
  <c r="CG1092" i="17" s="1"/>
  <c r="CG1091" i="17"/>
  <c r="CE1093" i="17"/>
  <c r="CA1094" i="17"/>
  <c r="CB1093" i="17"/>
  <c r="BU1094" i="17"/>
  <c r="BV1093" i="17"/>
  <c r="BP1093" i="17"/>
  <c r="BQ1093" i="17" s="1"/>
  <c r="BQ1092" i="17"/>
  <c r="BO1094" i="17"/>
  <c r="BI1094" i="17"/>
  <c r="BJ1093" i="17"/>
  <c r="BD1093" i="17"/>
  <c r="BE1093" i="17" s="1"/>
  <c r="BE1092" i="17"/>
  <c r="BC1094" i="17"/>
  <c r="AW1094" i="17"/>
  <c r="AX1093" i="17"/>
  <c r="AF1094" i="7"/>
  <c r="AE1094" i="7"/>
  <c r="AH1092" i="7"/>
  <c r="AG1093" i="7"/>
  <c r="CB1094" i="17" l="1"/>
  <c r="CC1094" i="17" s="1"/>
  <c r="CE1094" i="17"/>
  <c r="CF1093" i="17"/>
  <c r="CC1093" i="17"/>
  <c r="CA1095" i="17"/>
  <c r="BV1094" i="17"/>
  <c r="BW1094" i="17" s="1"/>
  <c r="BW1093" i="17"/>
  <c r="BU1095" i="17"/>
  <c r="BJ1094" i="17"/>
  <c r="BK1094" i="17" s="1"/>
  <c r="BO1095" i="17"/>
  <c r="BP1094" i="17"/>
  <c r="BK1093" i="17"/>
  <c r="BI1095" i="17"/>
  <c r="AX1094" i="17"/>
  <c r="AY1094" i="17" s="1"/>
  <c r="BC1095" i="17"/>
  <c r="BD1094" i="17"/>
  <c r="AY1093" i="17"/>
  <c r="AW1095" i="17"/>
  <c r="AH1093" i="7"/>
  <c r="AG1094" i="7"/>
  <c r="AE1095" i="7"/>
  <c r="AF1095" i="7"/>
  <c r="BV1095" i="17" l="1"/>
  <c r="BW1095" i="17" s="1"/>
  <c r="CB1095" i="17"/>
  <c r="CC1095" i="17" s="1"/>
  <c r="CF1094" i="17"/>
  <c r="CG1094" i="17" s="1"/>
  <c r="CG1093" i="17"/>
  <c r="CE1095" i="17"/>
  <c r="CA1096" i="17"/>
  <c r="BU1096" i="17"/>
  <c r="BO1096" i="17"/>
  <c r="BP1095" i="17"/>
  <c r="BQ1094" i="17"/>
  <c r="BI1096" i="17"/>
  <c r="BJ1095" i="17"/>
  <c r="BD1095" i="17"/>
  <c r="BE1095" i="17" s="1"/>
  <c r="BE1094" i="17"/>
  <c r="BC1096" i="17"/>
  <c r="AW1096" i="17"/>
  <c r="AX1095" i="17"/>
  <c r="AF1096" i="7"/>
  <c r="AE1096" i="7"/>
  <c r="AH1094" i="7"/>
  <c r="AG1095" i="7"/>
  <c r="CE1096" i="17" l="1"/>
  <c r="CF1095" i="17"/>
  <c r="CA1097" i="17"/>
  <c r="CB1096" i="17"/>
  <c r="BU1097" i="17"/>
  <c r="BV1096" i="17"/>
  <c r="BP1096" i="17"/>
  <c r="BQ1096" i="17" s="1"/>
  <c r="BQ1095" i="17"/>
  <c r="BO1097" i="17"/>
  <c r="BJ1096" i="17"/>
  <c r="BK1096" i="17" s="1"/>
  <c r="BK1095" i="17"/>
  <c r="BI1097" i="17"/>
  <c r="BC1097" i="17"/>
  <c r="BD1096" i="17"/>
  <c r="AX1096" i="17"/>
  <c r="AY1096" i="17" s="1"/>
  <c r="AY1095" i="17"/>
  <c r="AW1097" i="17"/>
  <c r="AG1096" i="7"/>
  <c r="AH1095" i="7"/>
  <c r="AF1097" i="7"/>
  <c r="AE1097" i="7"/>
  <c r="CF1096" i="17" l="1"/>
  <c r="CG1096" i="17" s="1"/>
  <c r="CB1097" i="17"/>
  <c r="CC1097" i="17" s="1"/>
  <c r="CG1095" i="17"/>
  <c r="CE1097" i="17"/>
  <c r="CC1096" i="17"/>
  <c r="CA1098" i="17"/>
  <c r="BV1097" i="17"/>
  <c r="BW1097" i="17" s="1"/>
  <c r="BW1096" i="17"/>
  <c r="BU1098" i="17"/>
  <c r="BO1098" i="17"/>
  <c r="BP1097" i="17"/>
  <c r="BI1098" i="17"/>
  <c r="BJ1097" i="17"/>
  <c r="BD1097" i="17"/>
  <c r="BE1097" i="17" s="1"/>
  <c r="BE1096" i="17"/>
  <c r="BC1098" i="17"/>
  <c r="AW1098" i="17"/>
  <c r="AX1097" i="17"/>
  <c r="AF1098" i="7"/>
  <c r="AE1098" i="7"/>
  <c r="AG1097" i="7"/>
  <c r="AH1096" i="7"/>
  <c r="CE1098" i="17" l="1"/>
  <c r="CF1097" i="17"/>
  <c r="CA1099" i="17"/>
  <c r="CB1098" i="17"/>
  <c r="BP1098" i="17"/>
  <c r="BU1099" i="17"/>
  <c r="BV1098" i="17"/>
  <c r="BQ1097" i="17"/>
  <c r="BO1099" i="17"/>
  <c r="BQ1098" i="17"/>
  <c r="BJ1098" i="17"/>
  <c r="BK1098" i="17" s="1"/>
  <c r="AX1098" i="17"/>
  <c r="AY1098" i="17" s="1"/>
  <c r="BK1097" i="17"/>
  <c r="BI1099" i="17"/>
  <c r="BC1099" i="17"/>
  <c r="BD1098" i="17"/>
  <c r="AY1097" i="17"/>
  <c r="AW1099" i="17"/>
  <c r="AH1097" i="7"/>
  <c r="AG1098" i="7"/>
  <c r="AF1099" i="7"/>
  <c r="AE1099" i="7"/>
  <c r="CB1099" i="17" l="1"/>
  <c r="CC1099" i="17" s="1"/>
  <c r="CF1098" i="17"/>
  <c r="CG1098" i="17" s="1"/>
  <c r="BV1099" i="17"/>
  <c r="CG1097" i="17"/>
  <c r="CE1099" i="17"/>
  <c r="CC1098" i="17"/>
  <c r="CA1100" i="17"/>
  <c r="BW1098" i="17"/>
  <c r="BU1100" i="17"/>
  <c r="BW1099" i="17"/>
  <c r="BO1100" i="17"/>
  <c r="BP1099" i="17"/>
  <c r="BI1100" i="17"/>
  <c r="BJ1099" i="17"/>
  <c r="BD1099" i="17"/>
  <c r="BE1099" i="17" s="1"/>
  <c r="BE1098" i="17"/>
  <c r="BC1100" i="17"/>
  <c r="AW1100" i="17"/>
  <c r="AX1099" i="17"/>
  <c r="AF1100" i="7"/>
  <c r="AE1100" i="7"/>
  <c r="AH1098" i="7"/>
  <c r="AG1099" i="7"/>
  <c r="CF1099" i="17" l="1"/>
  <c r="CG1099" i="17" s="1"/>
  <c r="CE1100" i="17"/>
  <c r="CA1101" i="17"/>
  <c r="CB1100" i="17"/>
  <c r="BJ1100" i="17"/>
  <c r="BK1100" i="17" s="1"/>
  <c r="BP1100" i="17"/>
  <c r="BQ1100" i="17" s="1"/>
  <c r="BU1101" i="17"/>
  <c r="BV1100" i="17"/>
  <c r="BQ1099" i="17"/>
  <c r="BO1101" i="17"/>
  <c r="BK1099" i="17"/>
  <c r="BI1101" i="17"/>
  <c r="AX1100" i="17"/>
  <c r="AY1100" i="17" s="1"/>
  <c r="BC1101" i="17"/>
  <c r="BD1100" i="17"/>
  <c r="AY1099" i="17"/>
  <c r="AW1101" i="17"/>
  <c r="AE1101" i="7"/>
  <c r="AF1101" i="7"/>
  <c r="AH1099" i="7"/>
  <c r="AG1100" i="7"/>
  <c r="CB1101" i="17" l="1"/>
  <c r="CC1101" i="17" s="1"/>
  <c r="CE1101" i="17"/>
  <c r="CF1100" i="17"/>
  <c r="BV1101" i="17"/>
  <c r="CC1100" i="17"/>
  <c r="CA1102" i="17"/>
  <c r="BW1100" i="17"/>
  <c r="BU1102" i="17"/>
  <c r="BW1101" i="17"/>
  <c r="BO1102" i="17"/>
  <c r="BP1101" i="17"/>
  <c r="BI1102" i="17"/>
  <c r="BJ1101" i="17"/>
  <c r="BD1101" i="17"/>
  <c r="BE1101" i="17" s="1"/>
  <c r="BE1100" i="17"/>
  <c r="BC1102" i="17"/>
  <c r="AW1102" i="17"/>
  <c r="AX1101" i="17"/>
  <c r="AH1100" i="7"/>
  <c r="AG1101" i="7"/>
  <c r="AF1102" i="7"/>
  <c r="AE1102" i="7"/>
  <c r="CF1101" i="17" l="1"/>
  <c r="CG1101" i="17" s="1"/>
  <c r="CG1100" i="17"/>
  <c r="CE1102" i="17"/>
  <c r="BP1102" i="17"/>
  <c r="BQ1102" i="17" s="1"/>
  <c r="CA1103" i="17"/>
  <c r="CB1102" i="17"/>
  <c r="BU1103" i="17"/>
  <c r="BV1102" i="17"/>
  <c r="BJ1102" i="17"/>
  <c r="BK1102" i="17" s="1"/>
  <c r="BQ1101" i="17"/>
  <c r="BO1103" i="17"/>
  <c r="BK1101" i="17"/>
  <c r="BI1103" i="17"/>
  <c r="BC1103" i="17"/>
  <c r="BD1102" i="17"/>
  <c r="AX1102" i="17"/>
  <c r="AY1102" i="17" s="1"/>
  <c r="AY1101" i="17"/>
  <c r="AW1103" i="17"/>
  <c r="AF1103" i="7"/>
  <c r="AE1103" i="7"/>
  <c r="AG1102" i="7"/>
  <c r="AH1101" i="7"/>
  <c r="BJ1103" i="17" l="1"/>
  <c r="BK1103" i="17" s="1"/>
  <c r="CE1103" i="17"/>
  <c r="CF1102" i="17"/>
  <c r="CB1103" i="17"/>
  <c r="CC1103" i="17" s="1"/>
  <c r="CC1102" i="17"/>
  <c r="CA1104" i="17"/>
  <c r="BV1103" i="17"/>
  <c r="BW1103" i="17" s="1"/>
  <c r="BW1102" i="17"/>
  <c r="BU1104" i="17"/>
  <c r="BO1104" i="17"/>
  <c r="BP1103" i="17"/>
  <c r="BD1103" i="17"/>
  <c r="BE1103" i="17" s="1"/>
  <c r="BI1104" i="17"/>
  <c r="BE1102" i="17"/>
  <c r="BC1104" i="17"/>
  <c r="AW1104" i="17"/>
  <c r="AX1103" i="17"/>
  <c r="AG1103" i="7"/>
  <c r="AH1102" i="7"/>
  <c r="AF1104" i="7"/>
  <c r="AE1104" i="7"/>
  <c r="CF1103" i="17" l="1"/>
  <c r="CG1103" i="17" s="1"/>
  <c r="BJ1104" i="17"/>
  <c r="BK1104" i="17" s="1"/>
  <c r="CG1102" i="17"/>
  <c r="CE1104" i="17"/>
  <c r="CA1105" i="17"/>
  <c r="CB1104" i="17"/>
  <c r="BU1105" i="17"/>
  <c r="BV1104" i="17"/>
  <c r="BP1104" i="17"/>
  <c r="BQ1104" i="17" s="1"/>
  <c r="BQ1103" i="17"/>
  <c r="BO1105" i="17"/>
  <c r="AX1104" i="17"/>
  <c r="AY1104" i="17" s="1"/>
  <c r="BI1105" i="17"/>
  <c r="BC1105" i="17"/>
  <c r="BD1104" i="17"/>
  <c r="AY1103" i="17"/>
  <c r="AW1105" i="17"/>
  <c r="AF1105" i="7"/>
  <c r="AE1105" i="7"/>
  <c r="AH1103" i="7"/>
  <c r="AG1104" i="7"/>
  <c r="BV1105" i="17" l="1"/>
  <c r="BW1105" i="17" s="1"/>
  <c r="CB1105" i="17"/>
  <c r="CC1105" i="17" s="1"/>
  <c r="CE1105" i="17"/>
  <c r="CF1104" i="17"/>
  <c r="CC1104" i="17"/>
  <c r="CA1106" i="17"/>
  <c r="BW1104" i="17"/>
  <c r="BU1106" i="17"/>
  <c r="BO1106" i="17"/>
  <c r="BP1105" i="17"/>
  <c r="BD1105" i="17"/>
  <c r="BE1105" i="17" s="1"/>
  <c r="BI1106" i="17"/>
  <c r="BJ1105" i="17"/>
  <c r="BE1104" i="17"/>
  <c r="BC1106" i="17"/>
  <c r="AW1106" i="17"/>
  <c r="AX1105" i="17"/>
  <c r="AH1104" i="7"/>
  <c r="AG1105" i="7"/>
  <c r="AF1106" i="7"/>
  <c r="AE1106" i="7"/>
  <c r="CF1105" i="17" l="1"/>
  <c r="CG1105" i="17" s="1"/>
  <c r="CG1104" i="17"/>
  <c r="CE1106" i="17"/>
  <c r="BP1106" i="17"/>
  <c r="CA1107" i="17"/>
  <c r="CB1106" i="17"/>
  <c r="BU1107" i="17"/>
  <c r="BV1106" i="17"/>
  <c r="BQ1105" i="17"/>
  <c r="BO1107" i="17"/>
  <c r="BP1107" i="17" s="1"/>
  <c r="BQ1106" i="17"/>
  <c r="BJ1106" i="17"/>
  <c r="BK1106" i="17" s="1"/>
  <c r="BK1105" i="17"/>
  <c r="BI1107" i="17"/>
  <c r="BC1107" i="17"/>
  <c r="BD1106" i="17"/>
  <c r="AX1106" i="17"/>
  <c r="AY1106" i="17" s="1"/>
  <c r="AY1105" i="17"/>
  <c r="AW1107" i="17"/>
  <c r="AE1107" i="7"/>
  <c r="AF1107" i="7"/>
  <c r="AH1105" i="7"/>
  <c r="AG1106" i="7"/>
  <c r="CF1106" i="17" l="1"/>
  <c r="CG1106" i="17" s="1"/>
  <c r="CB1107" i="17"/>
  <c r="CC1107" i="17" s="1"/>
  <c r="BV1107" i="17"/>
  <c r="BW1107" i="17" s="1"/>
  <c r="CE1107" i="17"/>
  <c r="CC1106" i="17"/>
  <c r="CA1108" i="17"/>
  <c r="BW1106" i="17"/>
  <c r="BU1108" i="17"/>
  <c r="BO1108" i="17"/>
  <c r="BQ1107" i="17"/>
  <c r="BI1108" i="17"/>
  <c r="BJ1107" i="17"/>
  <c r="BD1107" i="17"/>
  <c r="BE1107" i="17" s="1"/>
  <c r="BE1106" i="17"/>
  <c r="BC1108" i="17"/>
  <c r="AW1108" i="17"/>
  <c r="AX1107" i="17"/>
  <c r="AH1106" i="7"/>
  <c r="AG1107" i="7"/>
  <c r="AF1108" i="7"/>
  <c r="AE1108" i="7"/>
  <c r="CF1107" i="17" l="1"/>
  <c r="CG1107" i="17" s="1"/>
  <c r="CE1108" i="17"/>
  <c r="CA1109" i="17"/>
  <c r="CB1108" i="17"/>
  <c r="BU1109" i="17"/>
  <c r="BV1108" i="17"/>
  <c r="BJ1108" i="17"/>
  <c r="BK1108" i="17" s="1"/>
  <c r="BO1109" i="17"/>
  <c r="BP1108" i="17"/>
  <c r="BK1107" i="17"/>
  <c r="BI1109" i="17"/>
  <c r="AX1108" i="17"/>
  <c r="AY1108" i="17" s="1"/>
  <c r="BC1109" i="17"/>
  <c r="BD1108" i="17"/>
  <c r="AY1107" i="17"/>
  <c r="AW1109" i="17"/>
  <c r="AF1109" i="7"/>
  <c r="AE1109" i="7"/>
  <c r="AG1108" i="7"/>
  <c r="AH1107" i="7"/>
  <c r="CB1109" i="17" l="1"/>
  <c r="CC1109" i="17" s="1"/>
  <c r="CE1109" i="17"/>
  <c r="CF1108" i="17"/>
  <c r="CC1108" i="17"/>
  <c r="CA1110" i="17"/>
  <c r="BV1109" i="17"/>
  <c r="BW1109" i="17" s="1"/>
  <c r="BW1108" i="17"/>
  <c r="BU1110" i="17"/>
  <c r="BP1109" i="17"/>
  <c r="BQ1109" i="17" s="1"/>
  <c r="BQ1108" i="17"/>
  <c r="BO1110" i="17"/>
  <c r="BI1110" i="17"/>
  <c r="BJ1109" i="17"/>
  <c r="BD1109" i="17"/>
  <c r="BE1109" i="17" s="1"/>
  <c r="BE1108" i="17"/>
  <c r="BC1110" i="17"/>
  <c r="AW1110" i="17"/>
  <c r="AX1109" i="17"/>
  <c r="AG1109" i="7"/>
  <c r="AH1108" i="7"/>
  <c r="AF1110" i="7"/>
  <c r="AE1110" i="7"/>
  <c r="CF1109" i="17" l="1"/>
  <c r="CG1109" i="17" s="1"/>
  <c r="CG1108" i="17"/>
  <c r="CE1110" i="17"/>
  <c r="BV1110" i="17"/>
  <c r="BW1110" i="17" s="1"/>
  <c r="CA1111" i="17"/>
  <c r="CB1110" i="17"/>
  <c r="BU1111" i="17"/>
  <c r="BJ1110" i="17"/>
  <c r="BK1110" i="17" s="1"/>
  <c r="BO1111" i="17"/>
  <c r="BP1110" i="17"/>
  <c r="BK1109" i="17"/>
  <c r="BI1111" i="17"/>
  <c r="BC1111" i="17"/>
  <c r="BD1110" i="17"/>
  <c r="AX1110" i="17"/>
  <c r="AY1110" i="17" s="1"/>
  <c r="AY1109" i="17"/>
  <c r="AW1111" i="17"/>
  <c r="AF1111" i="7"/>
  <c r="AE1111" i="7"/>
  <c r="AH1109" i="7"/>
  <c r="AG1110" i="7"/>
  <c r="CB1111" i="17" l="1"/>
  <c r="CC1111" i="17" s="1"/>
  <c r="CF1110" i="17"/>
  <c r="CG1110" i="17" s="1"/>
  <c r="CE1111" i="17"/>
  <c r="CC1110" i="17"/>
  <c r="CA1112" i="17"/>
  <c r="BP1111" i="17"/>
  <c r="BQ1111" i="17" s="1"/>
  <c r="BU1112" i="17"/>
  <c r="BV1111" i="17"/>
  <c r="BQ1110" i="17"/>
  <c r="BO1112" i="17"/>
  <c r="BI1112" i="17"/>
  <c r="BJ1111" i="17"/>
  <c r="BD1111" i="17"/>
  <c r="BE1111" i="17" s="1"/>
  <c r="BE1110" i="17"/>
  <c r="BC1112" i="17"/>
  <c r="AW1112" i="17"/>
  <c r="AX1111" i="17"/>
  <c r="AH1110" i="7"/>
  <c r="AG1111" i="7"/>
  <c r="AF1112" i="7"/>
  <c r="AE1112" i="7"/>
  <c r="CB1112" i="17" l="1"/>
  <c r="CC1112" i="17" s="1"/>
  <c r="CE1112" i="17"/>
  <c r="CF1111" i="17"/>
  <c r="CA1113" i="17"/>
  <c r="BV1112" i="17"/>
  <c r="BW1111" i="17"/>
  <c r="BU1113" i="17"/>
  <c r="BW1112" i="17"/>
  <c r="BJ1112" i="17"/>
  <c r="BK1112" i="17" s="1"/>
  <c r="BO1113" i="17"/>
  <c r="BP1112" i="17"/>
  <c r="BK1111" i="17"/>
  <c r="AX1112" i="17"/>
  <c r="AY1112" i="17" s="1"/>
  <c r="BI1113" i="17"/>
  <c r="BC1113" i="17"/>
  <c r="BD1112" i="17"/>
  <c r="AY1111" i="17"/>
  <c r="AW1113" i="17"/>
  <c r="AE1113" i="7"/>
  <c r="AF1113" i="7"/>
  <c r="AH1111" i="7"/>
  <c r="AG1112" i="7"/>
  <c r="CB1113" i="17" l="1"/>
  <c r="CC1113" i="17" s="1"/>
  <c r="CF1112" i="17"/>
  <c r="CG1112" i="17" s="1"/>
  <c r="CG1111" i="17"/>
  <c r="CE1113" i="17"/>
  <c r="CA1114" i="17"/>
  <c r="BP1113" i="17"/>
  <c r="BQ1113" i="17" s="1"/>
  <c r="BU1114" i="17"/>
  <c r="BV1113" i="17"/>
  <c r="BD1113" i="17"/>
  <c r="BE1113" i="17" s="1"/>
  <c r="BQ1112" i="17"/>
  <c r="BO1114" i="17"/>
  <c r="BI1114" i="17"/>
  <c r="BJ1113" i="17"/>
  <c r="BE1112" i="17"/>
  <c r="BC1114" i="17"/>
  <c r="AW1114" i="17"/>
  <c r="AX1113" i="17"/>
  <c r="AH1112" i="7"/>
  <c r="AG1113" i="7"/>
  <c r="AF1114" i="7"/>
  <c r="AE1114" i="7"/>
  <c r="CB1114" i="17" l="1"/>
  <c r="CC1114" i="17" s="1"/>
  <c r="BV1114" i="17"/>
  <c r="CE1114" i="17"/>
  <c r="CF1113" i="17"/>
  <c r="CA1115" i="17"/>
  <c r="BW1113" i="17"/>
  <c r="BU1115" i="17"/>
  <c r="BW1114" i="17"/>
  <c r="BJ1114" i="17"/>
  <c r="BK1114" i="17" s="1"/>
  <c r="BO1115" i="17"/>
  <c r="BP1114" i="17"/>
  <c r="BK1113" i="17"/>
  <c r="BI1115" i="17"/>
  <c r="BC1115" i="17"/>
  <c r="BD1114" i="17"/>
  <c r="AX1114" i="17"/>
  <c r="AY1114" i="17" s="1"/>
  <c r="AY1113" i="17"/>
  <c r="AW1115" i="17"/>
  <c r="AF1115" i="7"/>
  <c r="AE1115" i="7"/>
  <c r="AG1114" i="7"/>
  <c r="AH1113" i="7"/>
  <c r="CF1114" i="17" l="1"/>
  <c r="CG1114" i="17" s="1"/>
  <c r="CG1113" i="17"/>
  <c r="CE1115" i="17"/>
  <c r="CA1116" i="17"/>
  <c r="CB1115" i="17"/>
  <c r="BU1116" i="17"/>
  <c r="BV1115" i="17"/>
  <c r="BO1116" i="17"/>
  <c r="BP1115" i="17"/>
  <c r="BQ1114" i="17"/>
  <c r="BI1116" i="17"/>
  <c r="BJ1115" i="17"/>
  <c r="BD1115" i="17"/>
  <c r="BE1115" i="17" s="1"/>
  <c r="BE1114" i="17"/>
  <c r="BC1116" i="17"/>
  <c r="AW1116" i="17"/>
  <c r="AX1115" i="17"/>
  <c r="AF1116" i="7"/>
  <c r="AE1116" i="7"/>
  <c r="AG1115" i="7"/>
  <c r="AH1114" i="7"/>
  <c r="BV1116" i="17" l="1"/>
  <c r="BW1116" i="17" s="1"/>
  <c r="CE1116" i="17"/>
  <c r="CF1115" i="17"/>
  <c r="CB1116" i="17"/>
  <c r="CC1115" i="17"/>
  <c r="CA1117" i="17"/>
  <c r="CC1116" i="17"/>
  <c r="BP1116" i="17"/>
  <c r="BQ1116" i="17" s="1"/>
  <c r="BW1115" i="17"/>
  <c r="BU1117" i="17"/>
  <c r="BQ1115" i="17"/>
  <c r="BO1117" i="17"/>
  <c r="BJ1116" i="17"/>
  <c r="BK1116" i="17" s="1"/>
  <c r="BK1115" i="17"/>
  <c r="BI1117" i="17"/>
  <c r="AX1116" i="17"/>
  <c r="AY1116" i="17" s="1"/>
  <c r="BC1117" i="17"/>
  <c r="BD1116" i="17"/>
  <c r="AY1115" i="17"/>
  <c r="AW1117" i="17"/>
  <c r="AF1117" i="7"/>
  <c r="AE1117" i="7"/>
  <c r="AH1115" i="7"/>
  <c r="AG1116" i="7"/>
  <c r="CF1116" i="17" l="1"/>
  <c r="CG1116" i="17" s="1"/>
  <c r="CG1115" i="17"/>
  <c r="CE1117" i="17"/>
  <c r="CA1118" i="17"/>
  <c r="CB1117" i="17"/>
  <c r="BU1118" i="17"/>
  <c r="BV1117" i="17"/>
  <c r="BD1117" i="17"/>
  <c r="BE1117" i="17" s="1"/>
  <c r="BO1118" i="17"/>
  <c r="BP1117" i="17"/>
  <c r="BI1118" i="17"/>
  <c r="BJ1117" i="17"/>
  <c r="BE1116" i="17"/>
  <c r="BC1118" i="17"/>
  <c r="AW1118" i="17"/>
  <c r="AX1117" i="17"/>
  <c r="AH1116" i="7"/>
  <c r="AG1117" i="7"/>
  <c r="AF1118" i="7"/>
  <c r="AE1118" i="7"/>
  <c r="CE1118" i="17" l="1"/>
  <c r="CF1117" i="17"/>
  <c r="CB1118" i="17"/>
  <c r="CC1117" i="17"/>
  <c r="CA1119" i="17"/>
  <c r="CB1119" i="17" s="1"/>
  <c r="CC1118" i="17"/>
  <c r="BV1118" i="17"/>
  <c r="BW1118" i="17" s="1"/>
  <c r="BP1118" i="17"/>
  <c r="BQ1118" i="17" s="1"/>
  <c r="BW1117" i="17"/>
  <c r="BU1119" i="17"/>
  <c r="BJ1118" i="17"/>
  <c r="BK1118" i="17" s="1"/>
  <c r="BQ1117" i="17"/>
  <c r="BO1119" i="17"/>
  <c r="BK1117" i="17"/>
  <c r="BI1119" i="17"/>
  <c r="BC1119" i="17"/>
  <c r="BD1118" i="17"/>
  <c r="AX1118" i="17"/>
  <c r="AY1118" i="17" s="1"/>
  <c r="AY1117" i="17"/>
  <c r="AW1119" i="17"/>
  <c r="AF1119" i="7"/>
  <c r="AE1119" i="7"/>
  <c r="AH1117" i="7"/>
  <c r="AG1118" i="7"/>
  <c r="BV1119" i="17" l="1"/>
  <c r="BW1119" i="17" s="1"/>
  <c r="CF1118" i="17"/>
  <c r="CG1118" i="17" s="1"/>
  <c r="BP1119" i="17"/>
  <c r="CG1117" i="17"/>
  <c r="CE1119" i="17"/>
  <c r="CA1120" i="17"/>
  <c r="CC1119" i="17"/>
  <c r="BU1120" i="17"/>
  <c r="BO1120" i="17"/>
  <c r="BQ1119" i="17"/>
  <c r="BD1119" i="17"/>
  <c r="BE1119" i="17" s="1"/>
  <c r="AX1119" i="17"/>
  <c r="AY1119" i="17" s="1"/>
  <c r="BI1120" i="17"/>
  <c r="BJ1119" i="17"/>
  <c r="BE1118" i="17"/>
  <c r="BC1120" i="17"/>
  <c r="AW1120" i="17"/>
  <c r="AH1118" i="7"/>
  <c r="AG1119" i="7"/>
  <c r="AF1120" i="7"/>
  <c r="AE1120" i="7"/>
  <c r="CE1120" i="17" l="1"/>
  <c r="CF1119" i="17"/>
  <c r="CA1121" i="17"/>
  <c r="CB1120" i="17"/>
  <c r="BU1121" i="17"/>
  <c r="BV1120" i="17"/>
  <c r="BO1121" i="17"/>
  <c r="BP1120" i="17"/>
  <c r="BJ1120" i="17"/>
  <c r="BK1120" i="17" s="1"/>
  <c r="BK1119" i="17"/>
  <c r="BI1121" i="17"/>
  <c r="BC1121" i="17"/>
  <c r="BD1120" i="17"/>
  <c r="AW1121" i="17"/>
  <c r="AX1120" i="17"/>
  <c r="AE1121" i="7"/>
  <c r="AF1121" i="7"/>
  <c r="AH1119" i="7"/>
  <c r="AG1120" i="7"/>
  <c r="CF1120" i="17" l="1"/>
  <c r="CG1120" i="17" s="1"/>
  <c r="CB1121" i="17"/>
  <c r="CC1121" i="17" s="1"/>
  <c r="CG1119" i="17"/>
  <c r="CE1121" i="17"/>
  <c r="CC1120" i="17"/>
  <c r="CA1122" i="17"/>
  <c r="BV1121" i="17"/>
  <c r="BW1121" i="17" s="1"/>
  <c r="BW1120" i="17"/>
  <c r="BU1122" i="17"/>
  <c r="BD1121" i="17"/>
  <c r="BE1121" i="17" s="1"/>
  <c r="BP1121" i="17"/>
  <c r="BQ1121" i="17" s="1"/>
  <c r="BQ1120" i="17"/>
  <c r="BO1122" i="17"/>
  <c r="BI1122" i="17"/>
  <c r="BJ1121" i="17"/>
  <c r="AX1121" i="17"/>
  <c r="AY1121" i="17" s="1"/>
  <c r="BE1120" i="17"/>
  <c r="BC1122" i="17"/>
  <c r="AY1120" i="17"/>
  <c r="AW1122" i="17"/>
  <c r="AH1120" i="7"/>
  <c r="AG1121" i="7"/>
  <c r="AF1122" i="7"/>
  <c r="AE1122" i="7"/>
  <c r="CF1121" i="17" l="1"/>
  <c r="CG1121" i="17" s="1"/>
  <c r="CE1122" i="17"/>
  <c r="CA1123" i="17"/>
  <c r="CB1122" i="17"/>
  <c r="BU1123" i="17"/>
  <c r="BV1122" i="17"/>
  <c r="BO1123" i="17"/>
  <c r="BP1122" i="17"/>
  <c r="BJ1122" i="17"/>
  <c r="BK1122" i="17" s="1"/>
  <c r="BK1121" i="17"/>
  <c r="BI1123" i="17"/>
  <c r="BC1123" i="17"/>
  <c r="BD1122" i="17"/>
  <c r="AW1123" i="17"/>
  <c r="AX1122" i="17"/>
  <c r="AF1123" i="7"/>
  <c r="AE1123" i="7"/>
  <c r="AG1122" i="7"/>
  <c r="AH1121" i="7"/>
  <c r="CB1123" i="17" l="1"/>
  <c r="CC1123" i="17" s="1"/>
  <c r="CE1123" i="17"/>
  <c r="CF1122" i="17"/>
  <c r="BV1123" i="17"/>
  <c r="CC1122" i="17"/>
  <c r="CA1124" i="17"/>
  <c r="BW1122" i="17"/>
  <c r="BU1124" i="17"/>
  <c r="BW1123" i="17"/>
  <c r="BP1123" i="17"/>
  <c r="BQ1123" i="17" s="1"/>
  <c r="BQ1122" i="17"/>
  <c r="BO1124" i="17"/>
  <c r="BI1124" i="17"/>
  <c r="BJ1123" i="17"/>
  <c r="BD1123" i="17"/>
  <c r="BE1123" i="17" s="1"/>
  <c r="BE1122" i="17"/>
  <c r="BC1124" i="17"/>
  <c r="AX1123" i="17"/>
  <c r="AY1123" i="17" s="1"/>
  <c r="AY1122" i="17"/>
  <c r="AW1124" i="17"/>
  <c r="AH1122" i="7"/>
  <c r="AG1123" i="7"/>
  <c r="AF1124" i="7"/>
  <c r="AE1124" i="7"/>
  <c r="CF1123" i="17" l="1"/>
  <c r="CG1123" i="17" s="1"/>
  <c r="CG1122" i="17"/>
  <c r="CE1124" i="17"/>
  <c r="CA1125" i="17"/>
  <c r="CB1124" i="17"/>
  <c r="BU1125" i="17"/>
  <c r="BV1124" i="17"/>
  <c r="BO1125" i="17"/>
  <c r="BP1124" i="17"/>
  <c r="BJ1124" i="17"/>
  <c r="BK1124" i="17" s="1"/>
  <c r="BK1123" i="17"/>
  <c r="BI1125" i="17"/>
  <c r="BC1125" i="17"/>
  <c r="BD1124" i="17"/>
  <c r="AW1125" i="17"/>
  <c r="AX1124" i="17"/>
  <c r="AF1125" i="7"/>
  <c r="AE1125" i="7"/>
  <c r="AG1124" i="7"/>
  <c r="AH1123" i="7"/>
  <c r="BV1125" i="17" l="1"/>
  <c r="BW1125" i="17" s="1"/>
  <c r="CB1125" i="17"/>
  <c r="CC1125" i="17" s="1"/>
  <c r="CE1125" i="17"/>
  <c r="CF1124" i="17"/>
  <c r="BP1125" i="17"/>
  <c r="BQ1125" i="17" s="1"/>
  <c r="CC1124" i="17"/>
  <c r="CA1126" i="17"/>
  <c r="BW1124" i="17"/>
  <c r="BU1126" i="17"/>
  <c r="BQ1124" i="17"/>
  <c r="BO1126" i="17"/>
  <c r="BD1125" i="17"/>
  <c r="BE1125" i="17" s="1"/>
  <c r="BI1126" i="17"/>
  <c r="BJ1125" i="17"/>
  <c r="AX1125" i="17"/>
  <c r="AY1125" i="17" s="1"/>
  <c r="BE1124" i="17"/>
  <c r="BC1126" i="17"/>
  <c r="AY1124" i="17"/>
  <c r="AW1126" i="17"/>
  <c r="AH1124" i="7"/>
  <c r="AG1125" i="7"/>
  <c r="AF1126" i="7"/>
  <c r="AE1126" i="7"/>
  <c r="CF1125" i="17" l="1"/>
  <c r="CG1125" i="17" s="1"/>
  <c r="CG1124" i="17"/>
  <c r="CE1126" i="17"/>
  <c r="CA1127" i="17"/>
  <c r="CB1126" i="17"/>
  <c r="CC1126" i="17" s="1"/>
  <c r="BU1127" i="17"/>
  <c r="BV1126" i="17"/>
  <c r="BJ1126" i="17"/>
  <c r="BK1126" i="17" s="1"/>
  <c r="BO1127" i="17"/>
  <c r="BP1126" i="17"/>
  <c r="BK1125" i="17"/>
  <c r="BI1127" i="17"/>
  <c r="BC1127" i="17"/>
  <c r="BD1126" i="17"/>
  <c r="AW1127" i="17"/>
  <c r="AX1126" i="17"/>
  <c r="AE1127" i="7"/>
  <c r="AF1127" i="7"/>
  <c r="AH1125" i="7"/>
  <c r="AG1126" i="7"/>
  <c r="BV1127" i="17" l="1"/>
  <c r="BW1127" i="17" s="1"/>
  <c r="CE1127" i="17"/>
  <c r="CF1126" i="17"/>
  <c r="CB1127" i="17"/>
  <c r="CC1127" i="17" s="1"/>
  <c r="CA1128" i="17"/>
  <c r="BW1126" i="17"/>
  <c r="BU1128" i="17"/>
  <c r="BD1127" i="17"/>
  <c r="BE1127" i="17" s="1"/>
  <c r="BP1127" i="17"/>
  <c r="BQ1127" i="17" s="1"/>
  <c r="BQ1126" i="17"/>
  <c r="BO1128" i="17"/>
  <c r="AX1127" i="17"/>
  <c r="AY1127" i="17" s="1"/>
  <c r="BI1128" i="17"/>
  <c r="BJ1127" i="17"/>
  <c r="BE1126" i="17"/>
  <c r="BC1128" i="17"/>
  <c r="AY1126" i="17"/>
  <c r="AW1128" i="17"/>
  <c r="AH1126" i="7"/>
  <c r="AG1127" i="7"/>
  <c r="AF1128" i="7"/>
  <c r="AE1128" i="7"/>
  <c r="CF1127" i="17" l="1"/>
  <c r="CG1127" i="17" s="1"/>
  <c r="CG1126" i="17"/>
  <c r="CE1128" i="17"/>
  <c r="CA1129" i="17"/>
  <c r="CB1128" i="17"/>
  <c r="BU1129" i="17"/>
  <c r="BV1128" i="17"/>
  <c r="BJ1128" i="17"/>
  <c r="BK1128" i="17" s="1"/>
  <c r="BO1129" i="17"/>
  <c r="BP1128" i="17"/>
  <c r="BK1127" i="17"/>
  <c r="BI1129" i="17"/>
  <c r="BC1129" i="17"/>
  <c r="BD1128" i="17"/>
  <c r="AW1129" i="17"/>
  <c r="AX1128" i="17"/>
  <c r="AF1129" i="7"/>
  <c r="AE1129" i="7"/>
  <c r="AG1128" i="7"/>
  <c r="AH1127" i="7"/>
  <c r="BP1129" i="17" l="1"/>
  <c r="BQ1129" i="17" s="1"/>
  <c r="CE1129" i="17"/>
  <c r="CF1128" i="17"/>
  <c r="CB1129" i="17"/>
  <c r="CC1129" i="17" s="1"/>
  <c r="CC1128" i="17"/>
  <c r="CA1130" i="17"/>
  <c r="BV1129" i="17"/>
  <c r="BW1129" i="17" s="1"/>
  <c r="BW1128" i="17"/>
  <c r="BU1130" i="17"/>
  <c r="BD1129" i="17"/>
  <c r="BE1129" i="17" s="1"/>
  <c r="BQ1128" i="17"/>
  <c r="BO1130" i="17"/>
  <c r="BI1130" i="17"/>
  <c r="BJ1129" i="17"/>
  <c r="BE1128" i="17"/>
  <c r="BC1130" i="17"/>
  <c r="AX1129" i="17"/>
  <c r="AY1129" i="17" s="1"/>
  <c r="AY1128" i="17"/>
  <c r="AW1130" i="17"/>
  <c r="AH1128" i="7"/>
  <c r="AG1129" i="7"/>
  <c r="AF1130" i="7"/>
  <c r="AE1130" i="7"/>
  <c r="CF1129" i="17" l="1"/>
  <c r="CG1129" i="17" s="1"/>
  <c r="CG1128" i="17"/>
  <c r="CE1130" i="17"/>
  <c r="CA1131" i="17"/>
  <c r="CB1130" i="17"/>
  <c r="BU1131" i="17"/>
  <c r="BV1130" i="17"/>
  <c r="BO1131" i="17"/>
  <c r="BP1130" i="17"/>
  <c r="BJ1130" i="17"/>
  <c r="BK1130" i="17" s="1"/>
  <c r="BK1129" i="17"/>
  <c r="BI1131" i="17"/>
  <c r="BC1131" i="17"/>
  <c r="BD1130" i="17"/>
  <c r="AW1131" i="17"/>
  <c r="AX1130" i="17"/>
  <c r="AF1131" i="7"/>
  <c r="AE1131" i="7"/>
  <c r="AH1129" i="7"/>
  <c r="AG1130" i="7"/>
  <c r="CB1131" i="17" l="1"/>
  <c r="CC1131" i="17" s="1"/>
  <c r="BP1131" i="17"/>
  <c r="BQ1131" i="17" s="1"/>
  <c r="CE1131" i="17"/>
  <c r="CF1130" i="17"/>
  <c r="CF1131" i="17" s="1"/>
  <c r="BV1131" i="17"/>
  <c r="CC1130" i="17"/>
  <c r="CA1132" i="17"/>
  <c r="BW1130" i="17"/>
  <c r="BU1132" i="17"/>
  <c r="BW1131" i="17"/>
  <c r="BQ1130" i="17"/>
  <c r="BO1132" i="17"/>
  <c r="BI1132" i="17"/>
  <c r="BJ1131" i="17"/>
  <c r="BD1131" i="17"/>
  <c r="BE1131" i="17" s="1"/>
  <c r="BE1130" i="17"/>
  <c r="BC1132" i="17"/>
  <c r="AX1131" i="17"/>
  <c r="AY1131" i="17" s="1"/>
  <c r="AY1130" i="17"/>
  <c r="AW1132" i="17"/>
  <c r="AH1130" i="7"/>
  <c r="AG1131" i="7"/>
  <c r="AF1132" i="7"/>
  <c r="AE1132" i="7"/>
  <c r="CG1130" i="17" l="1"/>
  <c r="CE1132" i="17"/>
  <c r="CG1131" i="17"/>
  <c r="CA1133" i="17"/>
  <c r="CB1132" i="17"/>
  <c r="BU1133" i="17"/>
  <c r="BV1132" i="17"/>
  <c r="BO1133" i="17"/>
  <c r="BP1132" i="17"/>
  <c r="BJ1132" i="17"/>
  <c r="BK1132" i="17" s="1"/>
  <c r="BK1131" i="17"/>
  <c r="BI1133" i="17"/>
  <c r="BC1133" i="17"/>
  <c r="BD1132" i="17"/>
  <c r="AW1133" i="17"/>
  <c r="AX1132" i="17"/>
  <c r="AH1131" i="7"/>
  <c r="AG1132" i="7"/>
  <c r="AF1133" i="7"/>
  <c r="AE1133" i="7"/>
  <c r="BV1133" i="17" l="1"/>
  <c r="BW1133" i="17" s="1"/>
  <c r="CE1133" i="17"/>
  <c r="CF1132" i="17"/>
  <c r="CB1133" i="17"/>
  <c r="BP1133" i="17"/>
  <c r="BQ1133" i="17" s="1"/>
  <c r="CC1132" i="17"/>
  <c r="CA1134" i="17"/>
  <c r="CC1133" i="17"/>
  <c r="BW1132" i="17"/>
  <c r="BU1134" i="17"/>
  <c r="BD1133" i="17"/>
  <c r="BE1133" i="17" s="1"/>
  <c r="BQ1132" i="17"/>
  <c r="BO1134" i="17"/>
  <c r="BI1134" i="17"/>
  <c r="BJ1133" i="17"/>
  <c r="BE1132" i="17"/>
  <c r="BC1134" i="17"/>
  <c r="AX1133" i="17"/>
  <c r="AY1133" i="17" s="1"/>
  <c r="AY1132" i="17"/>
  <c r="AW1134" i="17"/>
  <c r="AE1134" i="7"/>
  <c r="AF1134" i="7"/>
  <c r="AH1132" i="7"/>
  <c r="AG1133" i="7"/>
  <c r="CF1133" i="17" l="1"/>
  <c r="CG1133" i="17" s="1"/>
  <c r="CG1132" i="17"/>
  <c r="CE1134" i="17"/>
  <c r="CA1135" i="17"/>
  <c r="CB1134" i="17"/>
  <c r="BU1135" i="17"/>
  <c r="BV1134" i="17"/>
  <c r="BJ1134" i="17"/>
  <c r="BK1134" i="17" s="1"/>
  <c r="BO1135" i="17"/>
  <c r="BP1134" i="17"/>
  <c r="BK1133" i="17"/>
  <c r="BI1135" i="17"/>
  <c r="BC1135" i="17"/>
  <c r="BD1134" i="17"/>
  <c r="AW1135" i="17"/>
  <c r="AX1134" i="17"/>
  <c r="AG1134" i="7"/>
  <c r="AH1133" i="7"/>
  <c r="AF1135" i="7"/>
  <c r="AE1135" i="7"/>
  <c r="CF1134" i="17" l="1"/>
  <c r="CG1134" i="17" s="1"/>
  <c r="CB1135" i="17"/>
  <c r="CC1135" i="17" s="1"/>
  <c r="CE1135" i="17"/>
  <c r="BV1135" i="17"/>
  <c r="CC1134" i="17"/>
  <c r="CA1136" i="17"/>
  <c r="BW1134" i="17"/>
  <c r="BU1136" i="17"/>
  <c r="BW1135" i="17"/>
  <c r="BP1135" i="17"/>
  <c r="BQ1135" i="17" s="1"/>
  <c r="BQ1134" i="17"/>
  <c r="BO1136" i="17"/>
  <c r="BI1136" i="17"/>
  <c r="BJ1135" i="17"/>
  <c r="BD1135" i="17"/>
  <c r="BE1135" i="17" s="1"/>
  <c r="BE1134" i="17"/>
  <c r="BC1136" i="17"/>
  <c r="AX1135" i="17"/>
  <c r="AY1135" i="17" s="1"/>
  <c r="AY1134" i="17"/>
  <c r="AW1136" i="17"/>
  <c r="AF1136" i="7"/>
  <c r="AE1136" i="7"/>
  <c r="AH1134" i="7"/>
  <c r="AG1135" i="7"/>
  <c r="CE1136" i="17" l="1"/>
  <c r="CF1135" i="17"/>
  <c r="CA1137" i="17"/>
  <c r="CB1136" i="17"/>
  <c r="BU1137" i="17"/>
  <c r="BV1136" i="17"/>
  <c r="BO1137" i="17"/>
  <c r="BP1136" i="17"/>
  <c r="BJ1136" i="17"/>
  <c r="BK1136" i="17" s="1"/>
  <c r="BK1135" i="17"/>
  <c r="BI1137" i="17"/>
  <c r="BC1137" i="17"/>
  <c r="BD1136" i="17"/>
  <c r="AW1137" i="17"/>
  <c r="AX1136" i="17"/>
  <c r="AG1136" i="7"/>
  <c r="AH1135" i="7"/>
  <c r="AF1137" i="7"/>
  <c r="AE1137" i="7"/>
  <c r="CF1136" i="17" l="1"/>
  <c r="CG1136" i="17" s="1"/>
  <c r="BP1137" i="17"/>
  <c r="BQ1137" i="17" s="1"/>
  <c r="CG1135" i="17"/>
  <c r="CE1137" i="17"/>
  <c r="CB1137" i="17"/>
  <c r="CC1137" i="17" s="1"/>
  <c r="CC1136" i="17"/>
  <c r="BV1137" i="17"/>
  <c r="BW1137" i="17" s="1"/>
  <c r="CA1138" i="17"/>
  <c r="BW1136" i="17"/>
  <c r="BU1138" i="17"/>
  <c r="BD1137" i="17"/>
  <c r="BE1137" i="17" s="1"/>
  <c r="BQ1136" i="17"/>
  <c r="BO1138" i="17"/>
  <c r="BI1138" i="17"/>
  <c r="BJ1137" i="17"/>
  <c r="BE1136" i="17"/>
  <c r="BC1138" i="17"/>
  <c r="AX1137" i="17"/>
  <c r="AY1137" i="17" s="1"/>
  <c r="AY1136" i="17"/>
  <c r="AW1138" i="17"/>
  <c r="AF1138" i="7"/>
  <c r="AE1138" i="7"/>
  <c r="AH1136" i="7"/>
  <c r="AG1137" i="7"/>
  <c r="CE1138" i="17" l="1"/>
  <c r="CF1137" i="17"/>
  <c r="CA1139" i="17"/>
  <c r="CB1138" i="17"/>
  <c r="BU1139" i="17"/>
  <c r="BV1138" i="17"/>
  <c r="BJ1138" i="17"/>
  <c r="BK1138" i="17" s="1"/>
  <c r="BO1139" i="17"/>
  <c r="BP1138" i="17"/>
  <c r="BK1137" i="17"/>
  <c r="BI1139" i="17"/>
  <c r="BC1139" i="17"/>
  <c r="BD1138" i="17"/>
  <c r="AW1139" i="17"/>
  <c r="AX1138" i="17"/>
  <c r="AH1137" i="7"/>
  <c r="AG1138" i="7"/>
  <c r="AF1139" i="7"/>
  <c r="AE1139" i="7"/>
  <c r="CF1138" i="17" l="1"/>
  <c r="CG1138" i="17" s="1"/>
  <c r="CB1139" i="17"/>
  <c r="CC1139" i="17" s="1"/>
  <c r="CG1137" i="17"/>
  <c r="CE1139" i="17"/>
  <c r="BP1139" i="17"/>
  <c r="BQ1139" i="17" s="1"/>
  <c r="CC1138" i="17"/>
  <c r="CA1140" i="17"/>
  <c r="BV1139" i="17"/>
  <c r="BW1139" i="17" s="1"/>
  <c r="BW1138" i="17"/>
  <c r="BU1140" i="17"/>
  <c r="BQ1138" i="17"/>
  <c r="BO1140" i="17"/>
  <c r="BI1140" i="17"/>
  <c r="BJ1139" i="17"/>
  <c r="BD1139" i="17"/>
  <c r="BE1139" i="17" s="1"/>
  <c r="BE1138" i="17"/>
  <c r="BC1140" i="17"/>
  <c r="AX1139" i="17"/>
  <c r="AY1139" i="17" s="1"/>
  <c r="AY1138" i="17"/>
  <c r="AW1140" i="17"/>
  <c r="AF1140" i="7"/>
  <c r="AE1140" i="7"/>
  <c r="AH1138" i="7"/>
  <c r="AG1139" i="7"/>
  <c r="CE1140" i="17" l="1"/>
  <c r="CF1139" i="17"/>
  <c r="CA1141" i="17"/>
  <c r="CB1140" i="17"/>
  <c r="BU1141" i="17"/>
  <c r="BV1140" i="17"/>
  <c r="BO1141" i="17"/>
  <c r="BP1140" i="17"/>
  <c r="BJ1140" i="17"/>
  <c r="BK1140" i="17" s="1"/>
  <c r="BK1139" i="17"/>
  <c r="BI1141" i="17"/>
  <c r="BC1141" i="17"/>
  <c r="BD1140" i="17"/>
  <c r="AW1141" i="17"/>
  <c r="AX1140" i="17"/>
  <c r="AH1139" i="7"/>
  <c r="AG1140" i="7"/>
  <c r="AF1141" i="7"/>
  <c r="AE1141" i="7"/>
  <c r="CF1140" i="17" l="1"/>
  <c r="CG1140" i="17" s="1"/>
  <c r="BV1141" i="17"/>
  <c r="BW1141" i="17" s="1"/>
  <c r="CG1139" i="17"/>
  <c r="CB1141" i="17"/>
  <c r="CE1141" i="17"/>
  <c r="CC1140" i="17"/>
  <c r="CA1142" i="17"/>
  <c r="CC1141" i="17"/>
  <c r="BP1141" i="17"/>
  <c r="BQ1141" i="17" s="1"/>
  <c r="BW1140" i="17"/>
  <c r="BU1142" i="17"/>
  <c r="BQ1140" i="17"/>
  <c r="BO1142" i="17"/>
  <c r="BI1142" i="17"/>
  <c r="BJ1141" i="17"/>
  <c r="BD1141" i="17"/>
  <c r="BE1141" i="17" s="1"/>
  <c r="AX1141" i="17"/>
  <c r="AY1141" i="17" s="1"/>
  <c r="BE1140" i="17"/>
  <c r="BC1142" i="17"/>
  <c r="AY1140" i="17"/>
  <c r="AW1142" i="17"/>
  <c r="AF1142" i="7"/>
  <c r="AE1142" i="7"/>
  <c r="AH1140" i="7"/>
  <c r="AG1141" i="7"/>
  <c r="BV1142" i="17" l="1"/>
  <c r="BW1142" i="17" s="1"/>
  <c r="CE1142" i="17"/>
  <c r="CF1141" i="17"/>
  <c r="CA1143" i="17"/>
  <c r="CB1142" i="17"/>
  <c r="BU1143" i="17"/>
  <c r="BJ1142" i="17"/>
  <c r="BK1142" i="17" s="1"/>
  <c r="BO1143" i="17"/>
  <c r="BP1142" i="17"/>
  <c r="BK1141" i="17"/>
  <c r="BI1143" i="17"/>
  <c r="BC1143" i="17"/>
  <c r="BD1142" i="17"/>
  <c r="AW1143" i="17"/>
  <c r="AX1142" i="17"/>
  <c r="AG1142" i="7"/>
  <c r="AH1141" i="7"/>
  <c r="AF1143" i="7"/>
  <c r="AE1143" i="7"/>
  <c r="BV1143" i="17" l="1"/>
  <c r="BW1143" i="17" s="1"/>
  <c r="CB1143" i="17"/>
  <c r="CC1143" i="17" s="1"/>
  <c r="CF1142" i="17"/>
  <c r="CG1142" i="17" s="1"/>
  <c r="CG1141" i="17"/>
  <c r="CE1143" i="17"/>
  <c r="CC1142" i="17"/>
  <c r="CA1144" i="17"/>
  <c r="BP1143" i="17"/>
  <c r="BQ1143" i="17" s="1"/>
  <c r="BU1144" i="17"/>
  <c r="BQ1142" i="17"/>
  <c r="BO1144" i="17"/>
  <c r="BI1144" i="17"/>
  <c r="BJ1143" i="17"/>
  <c r="BD1143" i="17"/>
  <c r="BE1143" i="17" s="1"/>
  <c r="BE1142" i="17"/>
  <c r="BC1144" i="17"/>
  <c r="AX1143" i="17"/>
  <c r="AY1143" i="17" s="1"/>
  <c r="AY1142" i="17"/>
  <c r="AW1144" i="17"/>
  <c r="AF1144" i="7"/>
  <c r="AE1144" i="7"/>
  <c r="AH1142" i="7"/>
  <c r="AG1143" i="7"/>
  <c r="CE1144" i="17" l="1"/>
  <c r="CF1143" i="17"/>
  <c r="CA1145" i="17"/>
  <c r="CB1144" i="17"/>
  <c r="BJ1144" i="17"/>
  <c r="BK1144" i="17" s="1"/>
  <c r="BU1145" i="17"/>
  <c r="BV1144" i="17"/>
  <c r="BO1145" i="17"/>
  <c r="BP1144" i="17"/>
  <c r="BK1143" i="17"/>
  <c r="BI1145" i="17"/>
  <c r="BJ1145" i="17" s="1"/>
  <c r="BC1145" i="17"/>
  <c r="BD1144" i="17"/>
  <c r="AW1145" i="17"/>
  <c r="AX1144" i="17"/>
  <c r="AH1143" i="7"/>
  <c r="AG1144" i="7"/>
  <c r="AF1145" i="7"/>
  <c r="AE1145" i="7"/>
  <c r="CF1144" i="17" l="1"/>
  <c r="CG1144" i="17" s="1"/>
  <c r="CB1145" i="17"/>
  <c r="CC1145" i="17" s="1"/>
  <c r="BV1145" i="17"/>
  <c r="CG1143" i="17"/>
  <c r="CE1145" i="17"/>
  <c r="CC1144" i="17"/>
  <c r="CA1146" i="17"/>
  <c r="BW1144" i="17"/>
  <c r="BU1146" i="17"/>
  <c r="BW1145" i="17"/>
  <c r="BP1145" i="17"/>
  <c r="BQ1145" i="17" s="1"/>
  <c r="BQ1144" i="17"/>
  <c r="BO1146" i="17"/>
  <c r="BI1146" i="17"/>
  <c r="BJ1146" i="17" s="1"/>
  <c r="BK1145" i="17"/>
  <c r="BD1145" i="17"/>
  <c r="BE1145" i="17" s="1"/>
  <c r="BE1144" i="17"/>
  <c r="BC1146" i="17"/>
  <c r="AX1145" i="17"/>
  <c r="AY1145" i="17" s="1"/>
  <c r="AY1144" i="17"/>
  <c r="AW1146" i="17"/>
  <c r="AE1146" i="7"/>
  <c r="AF1146" i="7"/>
  <c r="AH1144" i="7"/>
  <c r="AG1145" i="7"/>
  <c r="CE1146" i="17" l="1"/>
  <c r="CF1145" i="17"/>
  <c r="CA1147" i="17"/>
  <c r="CB1146" i="17"/>
  <c r="BD1146" i="17"/>
  <c r="BE1146" i="17" s="1"/>
  <c r="BU1147" i="17"/>
  <c r="BV1146" i="17"/>
  <c r="BO1147" i="17"/>
  <c r="BP1146" i="17"/>
  <c r="BI1147" i="17"/>
  <c r="BK1146" i="17"/>
  <c r="BC1147" i="17"/>
  <c r="AW1147" i="17"/>
  <c r="AX1146" i="17"/>
  <c r="AH1145" i="7"/>
  <c r="AG1146" i="7"/>
  <c r="AF1147" i="7"/>
  <c r="AE1147" i="7"/>
  <c r="CF1146" i="17" l="1"/>
  <c r="CG1146" i="17" s="1"/>
  <c r="CG1145" i="17"/>
  <c r="BD1147" i="17"/>
  <c r="CE1147" i="17"/>
  <c r="CB1147" i="17"/>
  <c r="CC1147" i="17" s="1"/>
  <c r="CC1146" i="17"/>
  <c r="CA1148" i="17"/>
  <c r="BV1147" i="17"/>
  <c r="BW1147" i="17" s="1"/>
  <c r="BP1147" i="17"/>
  <c r="BQ1147" i="17" s="1"/>
  <c r="BW1146" i="17"/>
  <c r="BU1148" i="17"/>
  <c r="BQ1146" i="17"/>
  <c r="BO1148" i="17"/>
  <c r="BI1148" i="17"/>
  <c r="BJ1147" i="17"/>
  <c r="AX1147" i="17"/>
  <c r="AY1147" i="17" s="1"/>
  <c r="BC1148" i="17"/>
  <c r="BE1147" i="17"/>
  <c r="AY1146" i="17"/>
  <c r="AW1148" i="17"/>
  <c r="AF1148" i="7"/>
  <c r="AE1148" i="7"/>
  <c r="AG1147" i="7"/>
  <c r="AH1146" i="7"/>
  <c r="CF1147" i="17" l="1"/>
  <c r="CG1147" i="17" s="1"/>
  <c r="CE1148" i="17"/>
  <c r="CA1149" i="17"/>
  <c r="CB1148" i="17"/>
  <c r="BU1149" i="17"/>
  <c r="BV1148" i="17"/>
  <c r="BO1149" i="17"/>
  <c r="BP1148" i="17"/>
  <c r="BJ1148" i="17"/>
  <c r="BK1148" i="17" s="1"/>
  <c r="BK1147" i="17"/>
  <c r="BI1149" i="17"/>
  <c r="BC1149" i="17"/>
  <c r="BD1148" i="17"/>
  <c r="AW1149" i="17"/>
  <c r="AX1148" i="17"/>
  <c r="AG1148" i="7"/>
  <c r="AH1147" i="7"/>
  <c r="AF1149" i="7"/>
  <c r="AE1149" i="7"/>
  <c r="BV1149" i="17" l="1"/>
  <c r="BW1149" i="17" s="1"/>
  <c r="CB1149" i="17"/>
  <c r="CC1149" i="17" s="1"/>
  <c r="CE1149" i="17"/>
  <c r="CF1148" i="17"/>
  <c r="CC1148" i="17"/>
  <c r="CA1150" i="17"/>
  <c r="BW1148" i="17"/>
  <c r="BU1150" i="17"/>
  <c r="BP1149" i="17"/>
  <c r="BQ1149" i="17" s="1"/>
  <c r="BQ1148" i="17"/>
  <c r="BO1150" i="17"/>
  <c r="BD1149" i="17"/>
  <c r="BE1149" i="17" s="1"/>
  <c r="BI1150" i="17"/>
  <c r="BJ1149" i="17"/>
  <c r="AX1149" i="17"/>
  <c r="AY1149" i="17" s="1"/>
  <c r="BE1148" i="17"/>
  <c r="BC1150" i="17"/>
  <c r="AY1148" i="17"/>
  <c r="AW1150" i="17"/>
  <c r="AF1150" i="7"/>
  <c r="AE1150" i="7"/>
  <c r="AH1148" i="7"/>
  <c r="AG1149" i="7"/>
  <c r="CF1149" i="17" l="1"/>
  <c r="CG1149" i="17" s="1"/>
  <c r="CG1148" i="17"/>
  <c r="CE1150" i="17"/>
  <c r="CA1151" i="17"/>
  <c r="CB1150" i="17"/>
  <c r="BU1151" i="17"/>
  <c r="BV1150" i="17"/>
  <c r="BO1151" i="17"/>
  <c r="BP1150" i="17"/>
  <c r="BJ1150" i="17"/>
  <c r="BK1150" i="17" s="1"/>
  <c r="BK1149" i="17"/>
  <c r="BI1151" i="17"/>
  <c r="BC1151" i="17"/>
  <c r="BD1150" i="17"/>
  <c r="AW1151" i="17"/>
  <c r="AX1150" i="17"/>
  <c r="AH1149" i="7"/>
  <c r="AG1150" i="7"/>
  <c r="AF1151" i="7"/>
  <c r="AE1151" i="7"/>
  <c r="CF1150" i="17" l="1"/>
  <c r="CG1150" i="17" s="1"/>
  <c r="BP1151" i="17"/>
  <c r="BQ1151" i="17" s="1"/>
  <c r="CE1151" i="17"/>
  <c r="BJ1151" i="17"/>
  <c r="BK1151" i="17" s="1"/>
  <c r="BV1151" i="17"/>
  <c r="CB1151" i="17"/>
  <c r="CC1151" i="17" s="1"/>
  <c r="CC1150" i="17"/>
  <c r="CA1152" i="17"/>
  <c r="BW1150" i="17"/>
  <c r="BU1152" i="17"/>
  <c r="BW1151" i="17"/>
  <c r="BQ1150" i="17"/>
  <c r="BO1152" i="17"/>
  <c r="BI1152" i="17"/>
  <c r="AX1151" i="17"/>
  <c r="AY1151" i="17" s="1"/>
  <c r="BD1151" i="17"/>
  <c r="BE1151" i="17" s="1"/>
  <c r="BE1150" i="17"/>
  <c r="BC1152" i="17"/>
  <c r="AY1150" i="17"/>
  <c r="AW1152" i="17"/>
  <c r="AE1152" i="7"/>
  <c r="AF1152" i="7"/>
  <c r="AH1150" i="7"/>
  <c r="AG1151" i="7"/>
  <c r="CF1151" i="17" l="1"/>
  <c r="CG1151" i="17" s="1"/>
  <c r="BJ1152" i="17"/>
  <c r="BK1152" i="17" s="1"/>
  <c r="CE1152" i="17"/>
  <c r="CA1153" i="17"/>
  <c r="CB1152" i="17"/>
  <c r="BU1153" i="17"/>
  <c r="BV1152" i="17"/>
  <c r="BO1153" i="17"/>
  <c r="BP1152" i="17"/>
  <c r="BI1153" i="17"/>
  <c r="BC1153" i="17"/>
  <c r="BD1152" i="17"/>
  <c r="AW1153" i="17"/>
  <c r="AX1152" i="17"/>
  <c r="AH1151" i="7"/>
  <c r="AG1152" i="7"/>
  <c r="AF1153" i="7"/>
  <c r="AE1153" i="7"/>
  <c r="CF1152" i="17" l="1"/>
  <c r="CG1152" i="17" s="1"/>
  <c r="CE1153" i="17"/>
  <c r="CB1153" i="17"/>
  <c r="CC1153" i="17" s="1"/>
  <c r="CC1152" i="17"/>
  <c r="CA1154" i="17"/>
  <c r="BV1153" i="17"/>
  <c r="BW1153" i="17" s="1"/>
  <c r="BW1152" i="17"/>
  <c r="BU1154" i="17"/>
  <c r="BP1153" i="17"/>
  <c r="BQ1153" i="17" s="1"/>
  <c r="BQ1152" i="17"/>
  <c r="BO1154" i="17"/>
  <c r="BD1153" i="17"/>
  <c r="BE1153" i="17" s="1"/>
  <c r="BI1154" i="17"/>
  <c r="BJ1153" i="17"/>
  <c r="BE1152" i="17"/>
  <c r="BC1154" i="17"/>
  <c r="AX1153" i="17"/>
  <c r="AY1153" i="17" s="1"/>
  <c r="AY1152" i="17"/>
  <c r="AW1154" i="17"/>
  <c r="AF1154" i="7"/>
  <c r="AE1154" i="7"/>
  <c r="AG1153" i="7"/>
  <c r="AH1152" i="7"/>
  <c r="CF1153" i="17" l="1"/>
  <c r="CG1153" i="17" s="1"/>
  <c r="BV1154" i="17"/>
  <c r="BW1154" i="17" s="1"/>
  <c r="CE1154" i="17"/>
  <c r="CA1155" i="17"/>
  <c r="CB1154" i="17"/>
  <c r="BU1155" i="17"/>
  <c r="BJ1154" i="17"/>
  <c r="BK1154" i="17" s="1"/>
  <c r="BO1155" i="17"/>
  <c r="BP1154" i="17"/>
  <c r="BK1153" i="17"/>
  <c r="BI1155" i="17"/>
  <c r="BC1155" i="17"/>
  <c r="BD1154" i="17"/>
  <c r="AW1155" i="17"/>
  <c r="AX1154" i="17"/>
  <c r="AF1155" i="7"/>
  <c r="AE1155" i="7"/>
  <c r="AG1154" i="7"/>
  <c r="AH1153" i="7"/>
  <c r="CE1155" i="17" l="1"/>
  <c r="CF1154" i="17"/>
  <c r="CB1155" i="17"/>
  <c r="BP1155" i="17"/>
  <c r="BQ1155" i="17" s="1"/>
  <c r="CC1154" i="17"/>
  <c r="CA1156" i="17"/>
  <c r="CC1155" i="17"/>
  <c r="BU1156" i="17"/>
  <c r="BV1155" i="17"/>
  <c r="BQ1154" i="17"/>
  <c r="BO1156" i="17"/>
  <c r="BI1156" i="17"/>
  <c r="BJ1155" i="17"/>
  <c r="AX1155" i="17"/>
  <c r="AY1155" i="17" s="1"/>
  <c r="BD1155" i="17"/>
  <c r="BE1155" i="17" s="1"/>
  <c r="BE1154" i="17"/>
  <c r="BC1156" i="17"/>
  <c r="AY1154" i="17"/>
  <c r="AW1156" i="17"/>
  <c r="AF1156" i="7"/>
  <c r="AE1156" i="7"/>
  <c r="AH1154" i="7"/>
  <c r="AG1155" i="7"/>
  <c r="BV1156" i="17" l="1"/>
  <c r="BW1156" i="17" s="1"/>
  <c r="CF1155" i="17"/>
  <c r="CG1155" i="17" s="1"/>
  <c r="CG1154" i="17"/>
  <c r="CE1156" i="17"/>
  <c r="CA1157" i="17"/>
  <c r="CB1156" i="17"/>
  <c r="BW1155" i="17"/>
  <c r="BU1157" i="17"/>
  <c r="BJ1156" i="17"/>
  <c r="BK1156" i="17" s="1"/>
  <c r="BO1157" i="17"/>
  <c r="BP1156" i="17"/>
  <c r="BK1155" i="17"/>
  <c r="BI1157" i="17"/>
  <c r="BC1157" i="17"/>
  <c r="BD1156" i="17"/>
  <c r="AW1157" i="17"/>
  <c r="AX1156" i="17"/>
  <c r="AH1155" i="7"/>
  <c r="AG1156" i="7"/>
  <c r="AF1157" i="7"/>
  <c r="AE1157" i="7"/>
  <c r="CB1157" i="17" l="1"/>
  <c r="CC1157" i="17" s="1"/>
  <c r="CE1157" i="17"/>
  <c r="CF1156" i="17"/>
  <c r="CC1156" i="17"/>
  <c r="CA1158" i="17"/>
  <c r="BP1157" i="17"/>
  <c r="BQ1157" i="17" s="1"/>
  <c r="BU1158" i="17"/>
  <c r="BV1157" i="17"/>
  <c r="BQ1156" i="17"/>
  <c r="BO1158" i="17"/>
  <c r="AX1157" i="17"/>
  <c r="AY1157" i="17" s="1"/>
  <c r="BI1158" i="17"/>
  <c r="BJ1157" i="17"/>
  <c r="BD1157" i="17"/>
  <c r="BE1157" i="17" s="1"/>
  <c r="BE1156" i="17"/>
  <c r="BC1158" i="17"/>
  <c r="AY1156" i="17"/>
  <c r="AW1158" i="17"/>
  <c r="AE1158" i="7"/>
  <c r="AF1158" i="7"/>
  <c r="AH1156" i="7"/>
  <c r="AG1157" i="7"/>
  <c r="BV1158" i="17" l="1"/>
  <c r="BW1158" i="17" s="1"/>
  <c r="CF1157" i="17"/>
  <c r="CG1157" i="17" s="1"/>
  <c r="CG1156" i="17"/>
  <c r="CE1158" i="17"/>
  <c r="CA1159" i="17"/>
  <c r="CB1158" i="17"/>
  <c r="BU1159" i="17"/>
  <c r="BW1157" i="17"/>
  <c r="BO1159" i="17"/>
  <c r="BP1158" i="17"/>
  <c r="BJ1158" i="17"/>
  <c r="BK1158" i="17" s="1"/>
  <c r="BK1157" i="17"/>
  <c r="BI1159" i="17"/>
  <c r="BC1159" i="17"/>
  <c r="BD1158" i="17"/>
  <c r="AW1159" i="17"/>
  <c r="AX1158" i="17"/>
  <c r="AH1157" i="7"/>
  <c r="AG1158" i="7"/>
  <c r="AF1159" i="7"/>
  <c r="AE1159" i="7"/>
  <c r="CB1159" i="17" l="1"/>
  <c r="CC1159" i="17" s="1"/>
  <c r="CE1159" i="17"/>
  <c r="CF1158" i="17"/>
  <c r="CC1158" i="17"/>
  <c r="CA1160" i="17"/>
  <c r="BU1160" i="17"/>
  <c r="BV1159" i="17"/>
  <c r="BP1159" i="17"/>
  <c r="BQ1159" i="17" s="1"/>
  <c r="BQ1158" i="17"/>
  <c r="BO1160" i="17"/>
  <c r="BI1160" i="17"/>
  <c r="BJ1159" i="17"/>
  <c r="BD1159" i="17"/>
  <c r="BE1159" i="17" s="1"/>
  <c r="BE1158" i="17"/>
  <c r="BC1160" i="17"/>
  <c r="AX1159" i="17"/>
  <c r="AY1159" i="17" s="1"/>
  <c r="AY1158" i="17"/>
  <c r="AW1160" i="17"/>
  <c r="AF1160" i="7"/>
  <c r="AE1160" i="7"/>
  <c r="AG1159" i="7"/>
  <c r="AH1158" i="7"/>
  <c r="BP1160" i="17" l="1"/>
  <c r="BQ1160" i="17" s="1"/>
  <c r="BV1160" i="17"/>
  <c r="BW1160" i="17" s="1"/>
  <c r="CF1159" i="17"/>
  <c r="CG1158" i="17"/>
  <c r="CE1160" i="17"/>
  <c r="CG1159" i="17"/>
  <c r="CA1161" i="17"/>
  <c r="CB1160" i="17"/>
  <c r="BW1159" i="17"/>
  <c r="BU1161" i="17"/>
  <c r="BO1161" i="17"/>
  <c r="BJ1160" i="17"/>
  <c r="BK1160" i="17" s="1"/>
  <c r="BK1159" i="17"/>
  <c r="BI1161" i="17"/>
  <c r="BC1161" i="17"/>
  <c r="BD1160" i="17"/>
  <c r="AW1161" i="17"/>
  <c r="AX1160" i="17"/>
  <c r="AF1161" i="7"/>
  <c r="AE1161" i="7"/>
  <c r="AG1160" i="7"/>
  <c r="AH1159" i="7"/>
  <c r="CB1161" i="17" l="1"/>
  <c r="CC1161" i="17" s="1"/>
  <c r="CE1161" i="17"/>
  <c r="CF1160" i="17"/>
  <c r="CC1160" i="17"/>
  <c r="CA1162" i="17"/>
  <c r="BU1162" i="17"/>
  <c r="BV1161" i="17"/>
  <c r="BO1162" i="17"/>
  <c r="BP1161" i="17"/>
  <c r="BI1162" i="17"/>
  <c r="BJ1161" i="17"/>
  <c r="BD1161" i="17"/>
  <c r="BE1161" i="17" s="1"/>
  <c r="BE1160" i="17"/>
  <c r="BC1162" i="17"/>
  <c r="AX1161" i="17"/>
  <c r="AY1161" i="17" s="1"/>
  <c r="AY1160" i="17"/>
  <c r="AW1162" i="17"/>
  <c r="AH1160" i="7"/>
  <c r="AG1161" i="7"/>
  <c r="AF1162" i="7"/>
  <c r="AE1162" i="7"/>
  <c r="CF1161" i="17" l="1"/>
  <c r="CG1161" i="17" s="1"/>
  <c r="BV1162" i="17"/>
  <c r="BW1162" i="17" s="1"/>
  <c r="CG1160" i="17"/>
  <c r="CE1162" i="17"/>
  <c r="CA1163" i="17"/>
  <c r="CB1162" i="17"/>
  <c r="BW1161" i="17"/>
  <c r="BU1163" i="17"/>
  <c r="BP1162" i="17"/>
  <c r="BQ1162" i="17" s="1"/>
  <c r="BQ1161" i="17"/>
  <c r="BO1163" i="17"/>
  <c r="BJ1162" i="17"/>
  <c r="BK1162" i="17" s="1"/>
  <c r="BK1161" i="17"/>
  <c r="BI1163" i="17"/>
  <c r="BC1163" i="17"/>
  <c r="BD1162" i="17"/>
  <c r="AW1163" i="17"/>
  <c r="AX1162" i="17"/>
  <c r="AF1163" i="7"/>
  <c r="AE1163" i="7"/>
  <c r="AH1161" i="7"/>
  <c r="AG1162" i="7"/>
  <c r="CF1162" i="17" l="1"/>
  <c r="CG1162" i="17" s="1"/>
  <c r="CE1163" i="17"/>
  <c r="CB1163" i="17"/>
  <c r="CC1162" i="17"/>
  <c r="CA1164" i="17"/>
  <c r="CC1163" i="17"/>
  <c r="BU1164" i="17"/>
  <c r="BV1163" i="17"/>
  <c r="BO1164" i="17"/>
  <c r="BP1163" i="17"/>
  <c r="BI1164" i="17"/>
  <c r="BJ1163" i="17"/>
  <c r="BD1163" i="17"/>
  <c r="BE1163" i="17" s="1"/>
  <c r="BE1162" i="17"/>
  <c r="BC1164" i="17"/>
  <c r="AX1163" i="17"/>
  <c r="AY1163" i="17" s="1"/>
  <c r="AY1162" i="17"/>
  <c r="AW1164" i="17"/>
  <c r="AH1162" i="7"/>
  <c r="AG1163" i="7"/>
  <c r="AE1164" i="7"/>
  <c r="AF1164" i="7"/>
  <c r="BV1164" i="17" l="1"/>
  <c r="BW1164" i="17" s="1"/>
  <c r="CE1164" i="17"/>
  <c r="CF1163" i="17"/>
  <c r="CA1165" i="17"/>
  <c r="CB1164" i="17"/>
  <c r="BP1164" i="17"/>
  <c r="BQ1164" i="17" s="1"/>
  <c r="BW1163" i="17"/>
  <c r="BU1165" i="17"/>
  <c r="BJ1164" i="17"/>
  <c r="BK1164" i="17" s="1"/>
  <c r="BQ1163" i="17"/>
  <c r="BO1165" i="17"/>
  <c r="BK1163" i="17"/>
  <c r="BI1165" i="17"/>
  <c r="BC1165" i="17"/>
  <c r="BD1164" i="17"/>
  <c r="AW1165" i="17"/>
  <c r="AX1164" i="17"/>
  <c r="AF1165" i="7"/>
  <c r="AE1165" i="7"/>
  <c r="AH1163" i="7"/>
  <c r="AG1164" i="7"/>
  <c r="BV1165" i="17" l="1"/>
  <c r="CF1164" i="17"/>
  <c r="CG1164" i="17" s="1"/>
  <c r="CB1165" i="17"/>
  <c r="CG1163" i="17"/>
  <c r="CE1165" i="17"/>
  <c r="CC1164" i="17"/>
  <c r="CA1166" i="17"/>
  <c r="CC1165" i="17"/>
  <c r="BU1166" i="17"/>
  <c r="BW1165" i="17"/>
  <c r="BD1165" i="17"/>
  <c r="BE1165" i="17" s="1"/>
  <c r="BO1166" i="17"/>
  <c r="BP1165" i="17"/>
  <c r="BI1166" i="17"/>
  <c r="BJ1165" i="17"/>
  <c r="AX1165" i="17"/>
  <c r="AY1165" i="17" s="1"/>
  <c r="BE1164" i="17"/>
  <c r="BC1166" i="17"/>
  <c r="AY1164" i="17"/>
  <c r="AW1166" i="17"/>
  <c r="AF1166" i="7"/>
  <c r="AE1166" i="7"/>
  <c r="AG1165" i="7"/>
  <c r="AH1164" i="7"/>
  <c r="CE1166" i="17" l="1"/>
  <c r="CF1165" i="17"/>
  <c r="CA1167" i="17"/>
  <c r="CB1166" i="17"/>
  <c r="BU1167" i="17"/>
  <c r="BV1166" i="17"/>
  <c r="BJ1166" i="17"/>
  <c r="BK1166" i="17" s="1"/>
  <c r="BP1166" i="17"/>
  <c r="BQ1166" i="17" s="1"/>
  <c r="BQ1165" i="17"/>
  <c r="BO1167" i="17"/>
  <c r="BK1165" i="17"/>
  <c r="BI1167" i="17"/>
  <c r="BC1167" i="17"/>
  <c r="BD1166" i="17"/>
  <c r="AW1167" i="17"/>
  <c r="AX1166" i="17"/>
  <c r="AF1167" i="7"/>
  <c r="AE1167" i="7"/>
  <c r="AG1166" i="7"/>
  <c r="AH1165" i="7"/>
  <c r="CF1166" i="17" l="1"/>
  <c r="CG1166" i="17" s="1"/>
  <c r="CG1165" i="17"/>
  <c r="CB1167" i="17"/>
  <c r="CE1167" i="17"/>
  <c r="CC1166" i="17"/>
  <c r="CA1168" i="17"/>
  <c r="CB1168" i="17" s="1"/>
  <c r="CC1167" i="17"/>
  <c r="BV1167" i="17"/>
  <c r="BW1167" i="17" s="1"/>
  <c r="BW1166" i="17"/>
  <c r="BU1168" i="17"/>
  <c r="BO1168" i="17"/>
  <c r="BP1167" i="17"/>
  <c r="BI1168" i="17"/>
  <c r="BJ1167" i="17"/>
  <c r="BD1167" i="17"/>
  <c r="BE1167" i="17" s="1"/>
  <c r="AX1167" i="17"/>
  <c r="AY1167" i="17" s="1"/>
  <c r="BE1166" i="17"/>
  <c r="BC1168" i="17"/>
  <c r="AY1166" i="17"/>
  <c r="AW1168" i="17"/>
  <c r="AH1166" i="7"/>
  <c r="AG1167" i="7"/>
  <c r="AF1168" i="7"/>
  <c r="AE1168" i="7"/>
  <c r="CE1168" i="17" l="1"/>
  <c r="CF1167" i="17"/>
  <c r="CA1169" i="17"/>
  <c r="CC1168" i="17"/>
  <c r="BU1169" i="17"/>
  <c r="BV1168" i="17"/>
  <c r="BP1168" i="17"/>
  <c r="BQ1168" i="17" s="1"/>
  <c r="BQ1167" i="17"/>
  <c r="BO1169" i="17"/>
  <c r="BJ1168" i="17"/>
  <c r="BK1168" i="17" s="1"/>
  <c r="BK1167" i="17"/>
  <c r="BI1169" i="17"/>
  <c r="BC1169" i="17"/>
  <c r="BD1168" i="17"/>
  <c r="AW1169" i="17"/>
  <c r="AX1168" i="17"/>
  <c r="AF1169" i="7"/>
  <c r="AE1169" i="7"/>
  <c r="AH1167" i="7"/>
  <c r="AG1168" i="7"/>
  <c r="BP1169" i="17" l="1"/>
  <c r="CF1168" i="17"/>
  <c r="CG1168" i="17" s="1"/>
  <c r="CG1167" i="17"/>
  <c r="CE1169" i="17"/>
  <c r="CA1170" i="17"/>
  <c r="CB1169" i="17"/>
  <c r="BV1169" i="17"/>
  <c r="BW1169" i="17" s="1"/>
  <c r="BW1168" i="17"/>
  <c r="BU1170" i="17"/>
  <c r="BD1169" i="17"/>
  <c r="BE1169" i="17" s="1"/>
  <c r="BO1170" i="17"/>
  <c r="BP1170" i="17" s="1"/>
  <c r="BQ1169" i="17"/>
  <c r="BI1170" i="17"/>
  <c r="BJ1169" i="17"/>
  <c r="BE1168" i="17"/>
  <c r="BC1170" i="17"/>
  <c r="AW1170" i="17"/>
  <c r="AX1169" i="17"/>
  <c r="AY1168" i="17"/>
  <c r="AH1168" i="7"/>
  <c r="AG1169" i="7"/>
  <c r="AE1170" i="7"/>
  <c r="AF1170" i="7"/>
  <c r="CE1170" i="17" l="1"/>
  <c r="CF1169" i="17"/>
  <c r="CB1170" i="17"/>
  <c r="CC1170" i="17" s="1"/>
  <c r="CC1169" i="17"/>
  <c r="CA1171" i="17"/>
  <c r="BU1171" i="17"/>
  <c r="BV1170" i="17"/>
  <c r="BO1171" i="17"/>
  <c r="BQ1170" i="17"/>
  <c r="AX1170" i="17"/>
  <c r="AY1170" i="17" s="1"/>
  <c r="BJ1170" i="17"/>
  <c r="BK1170" i="17" s="1"/>
  <c r="BK1169" i="17"/>
  <c r="BI1171" i="17"/>
  <c r="BC1171" i="17"/>
  <c r="BD1170" i="17"/>
  <c r="AY1169" i="17"/>
  <c r="AW1171" i="17"/>
  <c r="AF1171" i="7"/>
  <c r="AE1171" i="7"/>
  <c r="AH1169" i="7"/>
  <c r="AG1170" i="7"/>
  <c r="CF1170" i="17" l="1"/>
  <c r="CG1170" i="17" s="1"/>
  <c r="CG1169" i="17"/>
  <c r="CE1171" i="17"/>
  <c r="CA1172" i="17"/>
  <c r="CB1171" i="17"/>
  <c r="BV1171" i="17"/>
  <c r="BW1171" i="17" s="1"/>
  <c r="BW1170" i="17"/>
  <c r="BU1172" i="17"/>
  <c r="BO1172" i="17"/>
  <c r="BP1171" i="17"/>
  <c r="BI1172" i="17"/>
  <c r="BJ1171" i="17"/>
  <c r="BD1171" i="17"/>
  <c r="BE1171" i="17" s="1"/>
  <c r="BE1170" i="17"/>
  <c r="BC1172" i="17"/>
  <c r="AW1172" i="17"/>
  <c r="AX1171" i="17"/>
  <c r="AG1171" i="7"/>
  <c r="AH1170" i="7"/>
  <c r="AF1172" i="7"/>
  <c r="AE1172" i="7"/>
  <c r="CE1172" i="17" l="1"/>
  <c r="CF1171" i="17"/>
  <c r="CB1172" i="17"/>
  <c r="CC1172" i="17" s="1"/>
  <c r="CC1171" i="17"/>
  <c r="CA1173" i="17"/>
  <c r="CB1173" i="17" s="1"/>
  <c r="BU1173" i="17"/>
  <c r="BV1172" i="17"/>
  <c r="BP1172" i="17"/>
  <c r="BQ1172" i="17" s="1"/>
  <c r="BQ1171" i="17"/>
  <c r="BO1173" i="17"/>
  <c r="BJ1172" i="17"/>
  <c r="BK1172" i="17" s="1"/>
  <c r="BK1171" i="17"/>
  <c r="BI1173" i="17"/>
  <c r="BC1173" i="17"/>
  <c r="BD1172" i="17"/>
  <c r="AX1172" i="17"/>
  <c r="AY1172" i="17" s="1"/>
  <c r="AY1171" i="17"/>
  <c r="AW1173" i="17"/>
  <c r="AF1173" i="7"/>
  <c r="AE1173" i="7"/>
  <c r="AG1172" i="7"/>
  <c r="AH1171" i="7"/>
  <c r="CF1172" i="17" l="1"/>
  <c r="CG1172" i="17" s="1"/>
  <c r="CG1171" i="17"/>
  <c r="CE1173" i="17"/>
  <c r="CA1174" i="17"/>
  <c r="CC1173" i="17"/>
  <c r="BV1173" i="17"/>
  <c r="BW1173" i="17" s="1"/>
  <c r="BW1172" i="17"/>
  <c r="BU1174" i="17"/>
  <c r="BO1174" i="17"/>
  <c r="BP1173" i="17"/>
  <c r="BD1173" i="17"/>
  <c r="BE1173" i="17" s="1"/>
  <c r="BI1174" i="17"/>
  <c r="BJ1173" i="17"/>
  <c r="BE1172" i="17"/>
  <c r="BC1174" i="17"/>
  <c r="AW1174" i="17"/>
  <c r="AX1173" i="17"/>
  <c r="AH1172" i="7"/>
  <c r="AG1173" i="7"/>
  <c r="AF1174" i="7"/>
  <c r="AE1174" i="7"/>
  <c r="CE1174" i="17" l="1"/>
  <c r="CF1173" i="17"/>
  <c r="CA1175" i="17"/>
  <c r="CB1174" i="17"/>
  <c r="BJ1174" i="17"/>
  <c r="BK1174" i="17" s="1"/>
  <c r="BU1175" i="17"/>
  <c r="BV1174" i="17"/>
  <c r="BP1174" i="17"/>
  <c r="BQ1174" i="17" s="1"/>
  <c r="BQ1173" i="17"/>
  <c r="BO1175" i="17"/>
  <c r="BK1173" i="17"/>
  <c r="BI1175" i="17"/>
  <c r="AX1174" i="17"/>
  <c r="AY1174" i="17" s="1"/>
  <c r="BC1175" i="17"/>
  <c r="BD1174" i="17"/>
  <c r="AY1173" i="17"/>
  <c r="AW1175" i="17"/>
  <c r="AF1175" i="7"/>
  <c r="AE1175" i="7"/>
  <c r="AH1173" i="7"/>
  <c r="AG1174" i="7"/>
  <c r="BV1175" i="17" l="1"/>
  <c r="BW1175" i="17" s="1"/>
  <c r="CF1174" i="17"/>
  <c r="CG1174" i="17" s="1"/>
  <c r="CG1173" i="17"/>
  <c r="CE1175" i="17"/>
  <c r="CB1175" i="17"/>
  <c r="CC1175" i="17" s="1"/>
  <c r="CC1174" i="17"/>
  <c r="CA1176" i="17"/>
  <c r="BW1174" i="17"/>
  <c r="BU1176" i="17"/>
  <c r="BO1176" i="17"/>
  <c r="BP1175" i="17"/>
  <c r="BD1175" i="17"/>
  <c r="BE1175" i="17" s="1"/>
  <c r="BI1176" i="17"/>
  <c r="BJ1175" i="17"/>
  <c r="BE1174" i="17"/>
  <c r="BC1176" i="17"/>
  <c r="AW1176" i="17"/>
  <c r="AX1175" i="17"/>
  <c r="AH1174" i="7"/>
  <c r="AG1175" i="7"/>
  <c r="AE1176" i="7"/>
  <c r="AF1176" i="7"/>
  <c r="CF1175" i="17" l="1"/>
  <c r="CG1175" i="17" s="1"/>
  <c r="CE1176" i="17"/>
  <c r="CA1177" i="17"/>
  <c r="CB1176" i="17"/>
  <c r="BU1177" i="17"/>
  <c r="BV1176" i="17"/>
  <c r="BP1176" i="17"/>
  <c r="BQ1176" i="17" s="1"/>
  <c r="BJ1176" i="17"/>
  <c r="BK1176" i="17" s="1"/>
  <c r="BQ1175" i="17"/>
  <c r="BO1177" i="17"/>
  <c r="BK1175" i="17"/>
  <c r="BI1177" i="17"/>
  <c r="AX1176" i="17"/>
  <c r="AY1176" i="17" s="1"/>
  <c r="BC1177" i="17"/>
  <c r="BD1176" i="17"/>
  <c r="AY1175" i="17"/>
  <c r="AW1177" i="17"/>
  <c r="AF1177" i="7"/>
  <c r="AE1177" i="7"/>
  <c r="AH1175" i="7"/>
  <c r="AG1176" i="7"/>
  <c r="CB1177" i="17" l="1"/>
  <c r="CC1177" i="17" s="1"/>
  <c r="CE1177" i="17"/>
  <c r="CF1176" i="17"/>
  <c r="CC1176" i="17"/>
  <c r="CA1178" i="17"/>
  <c r="BV1177" i="17"/>
  <c r="BW1177" i="17" s="1"/>
  <c r="BW1176" i="17"/>
  <c r="BU1178" i="17"/>
  <c r="BO1178" i="17"/>
  <c r="BP1177" i="17"/>
  <c r="BI1178" i="17"/>
  <c r="BJ1177" i="17"/>
  <c r="BD1177" i="17"/>
  <c r="BE1177" i="17" s="1"/>
  <c r="BE1176" i="17"/>
  <c r="BC1178" i="17"/>
  <c r="AW1178" i="17"/>
  <c r="AX1177" i="17"/>
  <c r="AG1177" i="7"/>
  <c r="AH1176" i="7"/>
  <c r="AF1178" i="7"/>
  <c r="AE1178" i="7"/>
  <c r="CF1177" i="17" l="1"/>
  <c r="CG1177" i="17" s="1"/>
  <c r="CG1176" i="17"/>
  <c r="CE1178" i="17"/>
  <c r="CA1179" i="17"/>
  <c r="CB1178" i="17"/>
  <c r="BU1179" i="17"/>
  <c r="BV1178" i="17"/>
  <c r="BP1178" i="17"/>
  <c r="BQ1178" i="17" s="1"/>
  <c r="BJ1178" i="17"/>
  <c r="BK1178" i="17" s="1"/>
  <c r="BQ1177" i="17"/>
  <c r="BO1179" i="17"/>
  <c r="BK1177" i="17"/>
  <c r="BI1179" i="17"/>
  <c r="BC1179" i="17"/>
  <c r="BD1178" i="17"/>
  <c r="AX1178" i="17"/>
  <c r="AY1178" i="17" s="1"/>
  <c r="AY1177" i="17"/>
  <c r="AW1179" i="17"/>
  <c r="AF1179" i="7"/>
  <c r="AE1179" i="7"/>
  <c r="AG1178" i="7"/>
  <c r="AH1177" i="7"/>
  <c r="CB1179" i="17" l="1"/>
  <c r="CC1179" i="17" s="1"/>
  <c r="CE1179" i="17"/>
  <c r="CF1178" i="17"/>
  <c r="BD1179" i="17"/>
  <c r="BE1179" i="17" s="1"/>
  <c r="CC1178" i="17"/>
  <c r="CA1180" i="17"/>
  <c r="BV1179" i="17"/>
  <c r="BW1179" i="17" s="1"/>
  <c r="BW1178" i="17"/>
  <c r="BU1180" i="17"/>
  <c r="BO1180" i="17"/>
  <c r="BP1179" i="17"/>
  <c r="BI1180" i="17"/>
  <c r="BJ1179" i="17"/>
  <c r="AX1179" i="17"/>
  <c r="AY1179" i="17" s="1"/>
  <c r="BE1178" i="17"/>
  <c r="BC1180" i="17"/>
  <c r="AW1180" i="17"/>
  <c r="AH1178" i="7"/>
  <c r="AG1179" i="7"/>
  <c r="AF1180" i="7"/>
  <c r="AE1180" i="7"/>
  <c r="CB1180" i="17" l="1"/>
  <c r="CC1180" i="17" s="1"/>
  <c r="CF1179" i="17"/>
  <c r="CG1179" i="17" s="1"/>
  <c r="CG1178" i="17"/>
  <c r="CE1180" i="17"/>
  <c r="CA1181" i="17"/>
  <c r="BP1180" i="17"/>
  <c r="BQ1180" i="17" s="1"/>
  <c r="BU1181" i="17"/>
  <c r="BV1180" i="17"/>
  <c r="BQ1179" i="17"/>
  <c r="BO1181" i="17"/>
  <c r="BJ1180" i="17"/>
  <c r="BK1180" i="17" s="1"/>
  <c r="BK1179" i="17"/>
  <c r="BI1181" i="17"/>
  <c r="BC1181" i="17"/>
  <c r="BD1180" i="17"/>
  <c r="AW1181" i="17"/>
  <c r="AX1180" i="17"/>
  <c r="AF1181" i="7"/>
  <c r="AE1181" i="7"/>
  <c r="AH1179" i="7"/>
  <c r="AG1180" i="7"/>
  <c r="BV1181" i="17" l="1"/>
  <c r="BW1181" i="17" s="1"/>
  <c r="CE1181" i="17"/>
  <c r="CF1180" i="17"/>
  <c r="CA1182" i="17"/>
  <c r="CB1181" i="17"/>
  <c r="BW1180" i="17"/>
  <c r="BU1182" i="17"/>
  <c r="BO1182" i="17"/>
  <c r="BP1181" i="17"/>
  <c r="BI1182" i="17"/>
  <c r="BJ1181" i="17"/>
  <c r="BD1181" i="17"/>
  <c r="BE1181" i="17" s="1"/>
  <c r="BE1180" i="17"/>
  <c r="BC1182" i="17"/>
  <c r="AX1181" i="17"/>
  <c r="AY1181" i="17" s="1"/>
  <c r="AY1180" i="17"/>
  <c r="AW1182" i="17"/>
  <c r="AH1180" i="7"/>
  <c r="AG1181" i="7"/>
  <c r="AE1182" i="7"/>
  <c r="AF1182" i="7"/>
  <c r="CF1181" i="17" l="1"/>
  <c r="CG1181" i="17" s="1"/>
  <c r="CG1180" i="17"/>
  <c r="CE1182" i="17"/>
  <c r="CB1182" i="17"/>
  <c r="CC1181" i="17"/>
  <c r="CA1183" i="17"/>
  <c r="CC1182" i="17"/>
  <c r="BU1183" i="17"/>
  <c r="BV1182" i="17"/>
  <c r="BP1182" i="17"/>
  <c r="BQ1182" i="17" s="1"/>
  <c r="BQ1181" i="17"/>
  <c r="BO1183" i="17"/>
  <c r="BJ1182" i="17"/>
  <c r="BK1182" i="17" s="1"/>
  <c r="BK1181" i="17"/>
  <c r="BI1183" i="17"/>
  <c r="BC1183" i="17"/>
  <c r="BD1182" i="17"/>
  <c r="AW1183" i="17"/>
  <c r="AX1182" i="17"/>
  <c r="AF1183" i="7"/>
  <c r="AE1183" i="7"/>
  <c r="AH1181" i="7"/>
  <c r="AG1182" i="7"/>
  <c r="BV1183" i="17" l="1"/>
  <c r="BW1183" i="17" s="1"/>
  <c r="CF1182" i="17"/>
  <c r="CG1182" i="17" s="1"/>
  <c r="CE1183" i="17"/>
  <c r="CA1184" i="17"/>
  <c r="CB1183" i="17"/>
  <c r="BW1182" i="17"/>
  <c r="BU1184" i="17"/>
  <c r="AX1183" i="17"/>
  <c r="AY1183" i="17" s="1"/>
  <c r="BO1184" i="17"/>
  <c r="BP1183" i="17"/>
  <c r="BI1184" i="17"/>
  <c r="BJ1183" i="17"/>
  <c r="BD1183" i="17"/>
  <c r="BE1183" i="17" s="1"/>
  <c r="BE1182" i="17"/>
  <c r="BC1184" i="17"/>
  <c r="AY1182" i="17"/>
  <c r="AW1184" i="17"/>
  <c r="AF1184" i="7"/>
  <c r="AE1184" i="7"/>
  <c r="AG1183" i="7"/>
  <c r="AH1182" i="7"/>
  <c r="CB1184" i="17" l="1"/>
  <c r="CC1184" i="17" s="1"/>
  <c r="CE1184" i="17"/>
  <c r="CF1183" i="17"/>
  <c r="CC1183" i="17"/>
  <c r="CA1185" i="17"/>
  <c r="BP1184" i="17"/>
  <c r="BQ1184" i="17" s="1"/>
  <c r="BU1185" i="17"/>
  <c r="BV1184" i="17"/>
  <c r="BQ1183" i="17"/>
  <c r="BO1185" i="17"/>
  <c r="BJ1184" i="17"/>
  <c r="BK1184" i="17" s="1"/>
  <c r="BK1183" i="17"/>
  <c r="BI1185" i="17"/>
  <c r="BC1185" i="17"/>
  <c r="BD1184" i="17"/>
  <c r="AW1185" i="17"/>
  <c r="AX1184" i="17"/>
  <c r="AF1185" i="7"/>
  <c r="AE1185" i="7"/>
  <c r="AG1184" i="7"/>
  <c r="AH1183" i="7"/>
  <c r="CF1184" i="17" l="1"/>
  <c r="CG1184" i="17" s="1"/>
  <c r="CG1183" i="17"/>
  <c r="CE1185" i="17"/>
  <c r="CA1186" i="17"/>
  <c r="CB1185" i="17"/>
  <c r="BV1185" i="17"/>
  <c r="BW1185" i="17" s="1"/>
  <c r="BW1184" i="17"/>
  <c r="BU1186" i="17"/>
  <c r="BO1186" i="17"/>
  <c r="BP1185" i="17"/>
  <c r="BI1186" i="17"/>
  <c r="BJ1185" i="17"/>
  <c r="BD1185" i="17"/>
  <c r="BE1185" i="17" s="1"/>
  <c r="AX1185" i="17"/>
  <c r="AY1185" i="17" s="1"/>
  <c r="BE1184" i="17"/>
  <c r="BC1186" i="17"/>
  <c r="AY1184" i="17"/>
  <c r="AW1186" i="17"/>
  <c r="AH1184" i="7"/>
  <c r="AG1185" i="7"/>
  <c r="AF1186" i="7"/>
  <c r="AE1186" i="7"/>
  <c r="BV1186" i="17" l="1"/>
  <c r="BW1186" i="17" s="1"/>
  <c r="CE1186" i="17"/>
  <c r="CF1185" i="17"/>
  <c r="CB1186" i="17"/>
  <c r="CC1186" i="17" s="1"/>
  <c r="BP1186" i="17"/>
  <c r="BQ1186" i="17" s="1"/>
  <c r="CC1185" i="17"/>
  <c r="CA1187" i="17"/>
  <c r="BJ1186" i="17"/>
  <c r="BK1186" i="17" s="1"/>
  <c r="BU1187" i="17"/>
  <c r="BQ1185" i="17"/>
  <c r="BO1187" i="17"/>
  <c r="BK1185" i="17"/>
  <c r="BI1187" i="17"/>
  <c r="BC1187" i="17"/>
  <c r="BD1186" i="17"/>
  <c r="AW1187" i="17"/>
  <c r="AX1186" i="17"/>
  <c r="AF1187" i="7"/>
  <c r="AE1187" i="7"/>
  <c r="AH1185" i="7"/>
  <c r="AG1186" i="7"/>
  <c r="CF1186" i="17" l="1"/>
  <c r="CG1186" i="17" s="1"/>
  <c r="CG1185" i="17"/>
  <c r="CE1187" i="17"/>
  <c r="CA1188" i="17"/>
  <c r="CB1187" i="17"/>
  <c r="BU1188" i="17"/>
  <c r="BV1187" i="17"/>
  <c r="BO1188" i="17"/>
  <c r="BP1187" i="17"/>
  <c r="BI1188" i="17"/>
  <c r="BJ1187" i="17"/>
  <c r="BD1187" i="17"/>
  <c r="BE1187" i="17" s="1"/>
  <c r="BE1186" i="17"/>
  <c r="BC1188" i="17"/>
  <c r="AX1187" i="17"/>
  <c r="AY1187" i="17" s="1"/>
  <c r="AY1186" i="17"/>
  <c r="AW1188" i="17"/>
  <c r="AH1186" i="7"/>
  <c r="AG1187" i="7"/>
  <c r="AE1188" i="7"/>
  <c r="AF1188" i="7"/>
  <c r="CB1188" i="17" l="1"/>
  <c r="CC1188" i="17" s="1"/>
  <c r="BD1188" i="17"/>
  <c r="BE1188" i="17" s="1"/>
  <c r="BV1188" i="17"/>
  <c r="CE1188" i="17"/>
  <c r="CF1187" i="17"/>
  <c r="CF1188" i="17" s="1"/>
  <c r="CC1187" i="17"/>
  <c r="CA1189" i="17"/>
  <c r="BP1188" i="17"/>
  <c r="BQ1188" i="17" s="1"/>
  <c r="BW1187" i="17"/>
  <c r="BU1189" i="17"/>
  <c r="BW1188" i="17"/>
  <c r="BJ1188" i="17"/>
  <c r="BK1188" i="17" s="1"/>
  <c r="BQ1187" i="17"/>
  <c r="BO1189" i="17"/>
  <c r="BK1187" i="17"/>
  <c r="BI1189" i="17"/>
  <c r="BC1189" i="17"/>
  <c r="AW1189" i="17"/>
  <c r="AX1188" i="17"/>
  <c r="AF1189" i="7"/>
  <c r="AE1189" i="7"/>
  <c r="AH1187" i="7"/>
  <c r="AG1188" i="7"/>
  <c r="CG1187" i="17" l="1"/>
  <c r="CE1189" i="17"/>
  <c r="CG1188" i="17"/>
  <c r="CA1190" i="17"/>
  <c r="BJ1189" i="17"/>
  <c r="BK1189" i="17" s="1"/>
  <c r="CB1189" i="17"/>
  <c r="BU1190" i="17"/>
  <c r="BV1189" i="17"/>
  <c r="BO1190" i="17"/>
  <c r="BP1189" i="17"/>
  <c r="BI1190" i="17"/>
  <c r="BC1190" i="17"/>
  <c r="BD1189" i="17"/>
  <c r="AX1189" i="17"/>
  <c r="AY1189" i="17" s="1"/>
  <c r="AY1188" i="17"/>
  <c r="AW1190" i="17"/>
  <c r="AG1189" i="7"/>
  <c r="AH1188" i="7"/>
  <c r="AF1190" i="7"/>
  <c r="AE1190" i="7"/>
  <c r="CB1190" i="17" l="1"/>
  <c r="CC1190" i="17" s="1"/>
  <c r="BJ1190" i="17"/>
  <c r="BK1190" i="17" s="1"/>
  <c r="BV1190" i="17"/>
  <c r="BW1190" i="17" s="1"/>
  <c r="CE1190" i="17"/>
  <c r="CF1189" i="17"/>
  <c r="CC1189" i="17"/>
  <c r="CA1191" i="17"/>
  <c r="BW1189" i="17"/>
  <c r="BU1191" i="17"/>
  <c r="BP1190" i="17"/>
  <c r="BQ1190" i="17" s="1"/>
  <c r="BQ1189" i="17"/>
  <c r="BO1191" i="17"/>
  <c r="BI1191" i="17"/>
  <c r="BD1190" i="17"/>
  <c r="BE1190" i="17" s="1"/>
  <c r="BE1189" i="17"/>
  <c r="BC1191" i="17"/>
  <c r="AW1191" i="17"/>
  <c r="AX1190" i="17"/>
  <c r="AF1191" i="7"/>
  <c r="AE1191" i="7"/>
  <c r="AG1190" i="7"/>
  <c r="AH1189" i="7"/>
  <c r="CF1190" i="17" l="1"/>
  <c r="CG1190" i="17" s="1"/>
  <c r="CG1189" i="17"/>
  <c r="CE1191" i="17"/>
  <c r="CA1192" i="17"/>
  <c r="CB1191" i="17"/>
  <c r="BP1191" i="17"/>
  <c r="BQ1191" i="17" s="1"/>
  <c r="BU1192" i="17"/>
  <c r="BV1191" i="17"/>
  <c r="BO1192" i="17"/>
  <c r="BP1192" i="17" s="1"/>
  <c r="BI1192" i="17"/>
  <c r="BJ1191" i="17"/>
  <c r="BC1192" i="17"/>
  <c r="BD1191" i="17"/>
  <c r="AX1191" i="17"/>
  <c r="AY1191" i="17" s="1"/>
  <c r="AY1190" i="17"/>
  <c r="AW1192" i="17"/>
  <c r="AH1190" i="7"/>
  <c r="AG1191" i="7"/>
  <c r="AF1192" i="7"/>
  <c r="AE1192" i="7"/>
  <c r="CE1192" i="17" l="1"/>
  <c r="CF1191" i="17"/>
  <c r="BV1192" i="17"/>
  <c r="CB1192" i="17"/>
  <c r="CC1191" i="17"/>
  <c r="CA1193" i="17"/>
  <c r="CC1192" i="17"/>
  <c r="BU1193" i="17"/>
  <c r="BV1193" i="17" s="1"/>
  <c r="BW1192" i="17"/>
  <c r="BW1191" i="17"/>
  <c r="BO1193" i="17"/>
  <c r="BQ1192" i="17"/>
  <c r="BD1192" i="17"/>
  <c r="BE1192" i="17" s="1"/>
  <c r="BJ1192" i="17"/>
  <c r="BK1192" i="17" s="1"/>
  <c r="BK1191" i="17"/>
  <c r="BI1193" i="17"/>
  <c r="BE1191" i="17"/>
  <c r="BC1193" i="17"/>
  <c r="AW1193" i="17"/>
  <c r="AX1192" i="17"/>
  <c r="AF1193" i="7"/>
  <c r="AE1193" i="7"/>
  <c r="AH1191" i="7"/>
  <c r="AG1192" i="7"/>
  <c r="CF1192" i="17" l="1"/>
  <c r="CG1192" i="17" s="1"/>
  <c r="CG1191" i="17"/>
  <c r="CE1193" i="17"/>
  <c r="CA1194" i="17"/>
  <c r="CB1193" i="17"/>
  <c r="BU1194" i="17"/>
  <c r="BW1193" i="17"/>
  <c r="BO1194" i="17"/>
  <c r="BP1193" i="17"/>
  <c r="BI1194" i="17"/>
  <c r="BJ1193" i="17"/>
  <c r="BC1194" i="17"/>
  <c r="BD1193" i="17"/>
  <c r="AX1193" i="17"/>
  <c r="AY1193" i="17" s="1"/>
  <c r="AY1192" i="17"/>
  <c r="AW1194" i="17"/>
  <c r="AH1192" i="7"/>
  <c r="AG1193" i="7"/>
  <c r="AE1194" i="7"/>
  <c r="AF1194" i="7"/>
  <c r="CB1194" i="17" l="1"/>
  <c r="CC1194" i="17" s="1"/>
  <c r="CE1194" i="17"/>
  <c r="CF1193" i="17"/>
  <c r="BJ1194" i="17"/>
  <c r="BK1194" i="17" s="1"/>
  <c r="CC1193" i="17"/>
  <c r="CA1195" i="17"/>
  <c r="AX1194" i="17"/>
  <c r="AY1194" i="17" s="1"/>
  <c r="BU1195" i="17"/>
  <c r="BV1194" i="17"/>
  <c r="BP1194" i="17"/>
  <c r="BQ1194" i="17" s="1"/>
  <c r="BQ1193" i="17"/>
  <c r="BO1195" i="17"/>
  <c r="BK1193" i="17"/>
  <c r="BI1195" i="17"/>
  <c r="BD1194" i="17"/>
  <c r="BE1194" i="17" s="1"/>
  <c r="BE1193" i="17"/>
  <c r="BC1195" i="17"/>
  <c r="AW1195" i="17"/>
  <c r="AF1195" i="7"/>
  <c r="AE1195" i="7"/>
  <c r="AH1193" i="7"/>
  <c r="AG1194" i="7"/>
  <c r="CF1194" i="17" l="1"/>
  <c r="CG1194" i="17" s="1"/>
  <c r="AX1195" i="17"/>
  <c r="AY1195" i="17" s="1"/>
  <c r="BV1195" i="17"/>
  <c r="CG1193" i="17"/>
  <c r="CE1195" i="17"/>
  <c r="CA1196" i="17"/>
  <c r="CB1195" i="17"/>
  <c r="BW1194" i="17"/>
  <c r="BU1196" i="17"/>
  <c r="BV1196" i="17" s="1"/>
  <c r="BW1195" i="17"/>
  <c r="BO1196" i="17"/>
  <c r="BP1195" i="17"/>
  <c r="BI1196" i="17"/>
  <c r="BJ1195" i="17"/>
  <c r="BC1196" i="17"/>
  <c r="BD1195" i="17"/>
  <c r="AW1196" i="17"/>
  <c r="AF1196" i="7"/>
  <c r="AE1196" i="7"/>
  <c r="AG1195" i="7"/>
  <c r="AH1194" i="7"/>
  <c r="CB1196" i="17" l="1"/>
  <c r="CC1196" i="17" s="1"/>
  <c r="CE1196" i="17"/>
  <c r="CF1195" i="17"/>
  <c r="CC1195" i="17"/>
  <c r="CA1197" i="17"/>
  <c r="BP1196" i="17"/>
  <c r="BQ1196" i="17" s="1"/>
  <c r="BU1197" i="17"/>
  <c r="BV1197" i="17" s="1"/>
  <c r="BW1196" i="17"/>
  <c r="BQ1195" i="17"/>
  <c r="BO1197" i="17"/>
  <c r="BJ1196" i="17"/>
  <c r="BK1196" i="17" s="1"/>
  <c r="BK1195" i="17"/>
  <c r="BI1197" i="17"/>
  <c r="BD1196" i="17"/>
  <c r="BE1196" i="17" s="1"/>
  <c r="BE1195" i="17"/>
  <c r="BC1197" i="17"/>
  <c r="AW1197" i="17"/>
  <c r="AX1196" i="17"/>
  <c r="AF1197" i="7"/>
  <c r="AE1197" i="7"/>
  <c r="AG1196" i="7"/>
  <c r="AH1195" i="7"/>
  <c r="CF1196" i="17" l="1"/>
  <c r="CG1196" i="17" s="1"/>
  <c r="CG1195" i="17"/>
  <c r="CE1197" i="17"/>
  <c r="CA1198" i="17"/>
  <c r="CB1197" i="17"/>
  <c r="BD1197" i="17"/>
  <c r="BE1197" i="17" s="1"/>
  <c r="BU1198" i="17"/>
  <c r="BW1197" i="17"/>
  <c r="BO1198" i="17"/>
  <c r="BP1197" i="17"/>
  <c r="BI1198" i="17"/>
  <c r="BJ1197" i="17"/>
  <c r="AX1197" i="17"/>
  <c r="AY1197" i="17" s="1"/>
  <c r="BC1198" i="17"/>
  <c r="AY1196" i="17"/>
  <c r="AW1198" i="17"/>
  <c r="AH1196" i="7"/>
  <c r="AG1197" i="7"/>
  <c r="AF1198" i="7"/>
  <c r="AE1198" i="7"/>
  <c r="CB1198" i="17" l="1"/>
  <c r="CC1198" i="17" s="1"/>
  <c r="CE1198" i="17"/>
  <c r="CF1197" i="17"/>
  <c r="CC1197" i="17"/>
  <c r="CA1199" i="17"/>
  <c r="BU1199" i="17"/>
  <c r="BV1198" i="17"/>
  <c r="BJ1198" i="17"/>
  <c r="BK1198" i="17" s="1"/>
  <c r="BP1198" i="17"/>
  <c r="BQ1198" i="17" s="1"/>
  <c r="BQ1197" i="17"/>
  <c r="BO1199" i="17"/>
  <c r="BK1197" i="17"/>
  <c r="BI1199" i="17"/>
  <c r="BC1199" i="17"/>
  <c r="BD1198" i="17"/>
  <c r="AW1199" i="17"/>
  <c r="AX1198" i="17"/>
  <c r="AF1199" i="7"/>
  <c r="AE1199" i="7"/>
  <c r="AH1197" i="7"/>
  <c r="AG1198" i="7"/>
  <c r="CB1199" i="17" l="1"/>
  <c r="CC1199" i="17" s="1"/>
  <c r="BV1199" i="17"/>
  <c r="BW1199" i="17" s="1"/>
  <c r="CF1198" i="17"/>
  <c r="CG1198" i="17" s="1"/>
  <c r="CG1197" i="17"/>
  <c r="CE1199" i="17"/>
  <c r="CA1200" i="17"/>
  <c r="BW1198" i="17"/>
  <c r="BU1200" i="17"/>
  <c r="BO1200" i="17"/>
  <c r="BP1199" i="17"/>
  <c r="BI1200" i="17"/>
  <c r="BJ1199" i="17"/>
  <c r="BC1200" i="17"/>
  <c r="BD1199" i="17"/>
  <c r="BE1198" i="17"/>
  <c r="AX1199" i="17"/>
  <c r="AY1199" i="17" s="1"/>
  <c r="AY1198" i="17"/>
  <c r="AW1200" i="17"/>
  <c r="AE1200" i="7"/>
  <c r="AF1200" i="7"/>
  <c r="AH1198" i="7"/>
  <c r="AG1199" i="7"/>
  <c r="CB1200" i="17" l="1"/>
  <c r="CC1200" i="17" s="1"/>
  <c r="CE1200" i="17"/>
  <c r="CF1199" i="17"/>
  <c r="CA1201" i="17"/>
  <c r="BU1201" i="17"/>
  <c r="BV1200" i="17"/>
  <c r="BP1200" i="17"/>
  <c r="BQ1200" i="17" s="1"/>
  <c r="BQ1199" i="17"/>
  <c r="BO1201" i="17"/>
  <c r="BJ1200" i="17"/>
  <c r="BK1200" i="17" s="1"/>
  <c r="BK1199" i="17"/>
  <c r="BI1201" i="17"/>
  <c r="BD1200" i="17"/>
  <c r="BE1200" i="17" s="1"/>
  <c r="BE1199" i="17"/>
  <c r="BC1201" i="17"/>
  <c r="AW1201" i="17"/>
  <c r="AX1200" i="17"/>
  <c r="AH1199" i="7"/>
  <c r="AG1200" i="7"/>
  <c r="AF1201" i="7"/>
  <c r="AE1201" i="7"/>
  <c r="CF1200" i="17" l="1"/>
  <c r="CG1200" i="17" s="1"/>
  <c r="CG1199" i="17"/>
  <c r="CE1201" i="17"/>
  <c r="CA1202" i="17"/>
  <c r="CB1201" i="17"/>
  <c r="BV1201" i="17"/>
  <c r="BW1201" i="17" s="1"/>
  <c r="BW1200" i="17"/>
  <c r="BU1202" i="17"/>
  <c r="BO1202" i="17"/>
  <c r="BP1201" i="17"/>
  <c r="BI1202" i="17"/>
  <c r="BJ1201" i="17"/>
  <c r="AX1201" i="17"/>
  <c r="AY1201" i="17" s="1"/>
  <c r="BC1202" i="17"/>
  <c r="BD1201" i="17"/>
  <c r="AY1200" i="17"/>
  <c r="AW1202" i="17"/>
  <c r="AF1202" i="7"/>
  <c r="AE1202" i="7"/>
  <c r="AG1201" i="7"/>
  <c r="AH1200" i="7"/>
  <c r="CE1202" i="17" l="1"/>
  <c r="CF1201" i="17"/>
  <c r="CB1202" i="17"/>
  <c r="CC1201" i="17"/>
  <c r="CA1203" i="17"/>
  <c r="CB1203" i="17" s="1"/>
  <c r="CC1202" i="17"/>
  <c r="BU1203" i="17"/>
  <c r="BV1202" i="17"/>
  <c r="BP1202" i="17"/>
  <c r="BQ1202" i="17" s="1"/>
  <c r="BQ1201" i="17"/>
  <c r="BO1203" i="17"/>
  <c r="BI1203" i="17"/>
  <c r="BJ1202" i="17"/>
  <c r="BK1201" i="17"/>
  <c r="BD1202" i="17"/>
  <c r="BE1202" i="17" s="1"/>
  <c r="BE1201" i="17"/>
  <c r="BC1203" i="17"/>
  <c r="AW1203" i="17"/>
  <c r="AX1202" i="17"/>
  <c r="AG1202" i="7"/>
  <c r="AH1201" i="7"/>
  <c r="AF1203" i="7"/>
  <c r="AE1203" i="7"/>
  <c r="CF1202" i="17" l="1"/>
  <c r="CG1202" i="17" s="1"/>
  <c r="CG1201" i="17"/>
  <c r="CE1203" i="17"/>
  <c r="BD1203" i="17"/>
  <c r="BE1203" i="17" s="1"/>
  <c r="CA1204" i="17"/>
  <c r="CC1203" i="17"/>
  <c r="BV1203" i="17"/>
  <c r="BW1203" i="17" s="1"/>
  <c r="BW1202" i="17"/>
  <c r="BU1204" i="17"/>
  <c r="BO1204" i="17"/>
  <c r="BP1203" i="17"/>
  <c r="BJ1203" i="17"/>
  <c r="BK1203" i="17" s="1"/>
  <c r="BK1202" i="17"/>
  <c r="BI1204" i="17"/>
  <c r="BC1204" i="17"/>
  <c r="AX1203" i="17"/>
  <c r="AY1203" i="17" s="1"/>
  <c r="AY1202" i="17"/>
  <c r="AW1204" i="17"/>
  <c r="AF1204" i="7"/>
  <c r="AE1204" i="7"/>
  <c r="AH1202" i="7"/>
  <c r="AG1203" i="7"/>
  <c r="CE1204" i="17" l="1"/>
  <c r="CF1203" i="17"/>
  <c r="CA1205" i="17"/>
  <c r="CB1204" i="17"/>
  <c r="BU1205" i="17"/>
  <c r="BV1204" i="17"/>
  <c r="BP1204" i="17"/>
  <c r="BQ1204" i="17" s="1"/>
  <c r="BQ1203" i="17"/>
  <c r="BO1205" i="17"/>
  <c r="BI1205" i="17"/>
  <c r="BJ1204" i="17"/>
  <c r="BC1205" i="17"/>
  <c r="BD1204" i="17"/>
  <c r="AW1205" i="17"/>
  <c r="AX1204" i="17"/>
  <c r="AH1203" i="7"/>
  <c r="AG1204" i="7"/>
  <c r="AF1205" i="7"/>
  <c r="AE1205" i="7"/>
  <c r="CB1205" i="17" l="1"/>
  <c r="CC1205" i="17" s="1"/>
  <c r="CF1204" i="17"/>
  <c r="CG1204" i="17" s="1"/>
  <c r="BP1205" i="17"/>
  <c r="BQ1205" i="17" s="1"/>
  <c r="CG1203" i="17"/>
  <c r="CE1205" i="17"/>
  <c r="CC1204" i="17"/>
  <c r="CA1206" i="17"/>
  <c r="BV1205" i="17"/>
  <c r="BW1205" i="17" s="1"/>
  <c r="BW1204" i="17"/>
  <c r="BU1206" i="17"/>
  <c r="BO1206" i="17"/>
  <c r="BJ1205" i="17"/>
  <c r="BK1205" i="17" s="1"/>
  <c r="BD1205" i="17"/>
  <c r="BE1205" i="17" s="1"/>
  <c r="BK1204" i="17"/>
  <c r="BI1206" i="17"/>
  <c r="AX1205" i="17"/>
  <c r="AY1205" i="17" s="1"/>
  <c r="BE1204" i="17"/>
  <c r="BC1206" i="17"/>
  <c r="AY1204" i="17"/>
  <c r="AW1206" i="17"/>
  <c r="AE1206" i="7"/>
  <c r="AF1206" i="7"/>
  <c r="AH1204" i="7"/>
  <c r="AG1205" i="7"/>
  <c r="CB1206" i="17" l="1"/>
  <c r="CC1206" i="17" s="1"/>
  <c r="CE1206" i="17"/>
  <c r="CF1205" i="17"/>
  <c r="CA1207" i="17"/>
  <c r="BU1207" i="17"/>
  <c r="BV1206" i="17"/>
  <c r="BO1207" i="17"/>
  <c r="BP1206" i="17"/>
  <c r="BI1207" i="17"/>
  <c r="BJ1206" i="17"/>
  <c r="BC1207" i="17"/>
  <c r="BD1206" i="17"/>
  <c r="AW1207" i="17"/>
  <c r="AX1206" i="17"/>
  <c r="AH1205" i="7"/>
  <c r="AG1206" i="7"/>
  <c r="AF1207" i="7"/>
  <c r="AE1207" i="7"/>
  <c r="CB1207" i="17" l="1"/>
  <c r="CC1207" i="17" s="1"/>
  <c r="CF1206" i="17"/>
  <c r="CG1206" i="17" s="1"/>
  <c r="CG1205" i="17"/>
  <c r="CE1207" i="17"/>
  <c r="BV1207" i="17"/>
  <c r="BW1207" i="17" s="1"/>
  <c r="CA1208" i="17"/>
  <c r="BW1206" i="17"/>
  <c r="BU1208" i="17"/>
  <c r="BJ1207" i="17"/>
  <c r="BK1207" i="17" s="1"/>
  <c r="BP1207" i="17"/>
  <c r="BQ1207" i="17" s="1"/>
  <c r="BD1207" i="17"/>
  <c r="BE1207" i="17" s="1"/>
  <c r="BQ1206" i="17"/>
  <c r="BO1208" i="17"/>
  <c r="AX1207" i="17"/>
  <c r="AY1207" i="17" s="1"/>
  <c r="BK1206" i="17"/>
  <c r="BI1208" i="17"/>
  <c r="BE1206" i="17"/>
  <c r="BC1208" i="17"/>
  <c r="AY1206" i="17"/>
  <c r="AW1208" i="17"/>
  <c r="AG1207" i="7"/>
  <c r="AH1206" i="7"/>
  <c r="AF1208" i="7"/>
  <c r="AE1208" i="7"/>
  <c r="CE1208" i="17" l="1"/>
  <c r="CF1207" i="17"/>
  <c r="CA1209" i="17"/>
  <c r="CB1208" i="17"/>
  <c r="BU1209" i="17"/>
  <c r="BV1208" i="17"/>
  <c r="BO1209" i="17"/>
  <c r="BP1208" i="17"/>
  <c r="BI1209" i="17"/>
  <c r="BJ1208" i="17"/>
  <c r="BC1209" i="17"/>
  <c r="BD1208" i="17"/>
  <c r="AW1209" i="17"/>
  <c r="AX1208" i="17"/>
  <c r="AF1209" i="7"/>
  <c r="AE1209" i="7"/>
  <c r="AG1208" i="7"/>
  <c r="AH1207" i="7"/>
  <c r="CF1208" i="17" l="1"/>
  <c r="CG1208" i="17" s="1"/>
  <c r="CB1209" i="17"/>
  <c r="CC1209" i="17" s="1"/>
  <c r="CG1207" i="17"/>
  <c r="CE1209" i="17"/>
  <c r="CC1208" i="17"/>
  <c r="CA1210" i="17"/>
  <c r="BP1209" i="17"/>
  <c r="BQ1209" i="17" s="1"/>
  <c r="BV1209" i="17"/>
  <c r="BW1209" i="17" s="1"/>
  <c r="BW1208" i="17"/>
  <c r="BU1210" i="17"/>
  <c r="BQ1208" i="17"/>
  <c r="BO1210" i="17"/>
  <c r="BJ1209" i="17"/>
  <c r="BK1209" i="17" s="1"/>
  <c r="BK1208" i="17"/>
  <c r="BI1210" i="17"/>
  <c r="BD1209" i="17"/>
  <c r="BE1209" i="17" s="1"/>
  <c r="BE1208" i="17"/>
  <c r="BC1210" i="17"/>
  <c r="AX1209" i="17"/>
  <c r="AY1209" i="17" s="1"/>
  <c r="AY1208" i="17"/>
  <c r="AW1210" i="17"/>
  <c r="AH1208" i="7"/>
  <c r="AG1209" i="7"/>
  <c r="AF1210" i="7"/>
  <c r="AE1210" i="7"/>
  <c r="CE1210" i="17" l="1"/>
  <c r="CF1209" i="17"/>
  <c r="CA1211" i="17"/>
  <c r="CB1210" i="17"/>
  <c r="BU1211" i="17"/>
  <c r="BV1210" i="17"/>
  <c r="BO1211" i="17"/>
  <c r="BP1210" i="17"/>
  <c r="BI1211" i="17"/>
  <c r="BJ1210" i="17"/>
  <c r="BC1211" i="17"/>
  <c r="BD1210" i="17"/>
  <c r="AW1211" i="17"/>
  <c r="AX1210" i="17"/>
  <c r="AF1211" i="7"/>
  <c r="AE1211" i="7"/>
  <c r="AH1209" i="7"/>
  <c r="AG1210" i="7"/>
  <c r="CF1210" i="17" l="1"/>
  <c r="CG1210" i="17" s="1"/>
  <c r="BV1211" i="17"/>
  <c r="BW1211" i="17" s="1"/>
  <c r="CG1209" i="17"/>
  <c r="CE1211" i="17"/>
  <c r="CB1211" i="17"/>
  <c r="CC1211" i="17" s="1"/>
  <c r="CC1210" i="17"/>
  <c r="CA1212" i="17"/>
  <c r="BW1210" i="17"/>
  <c r="BU1212" i="17"/>
  <c r="BJ1211" i="17"/>
  <c r="BK1211" i="17" s="1"/>
  <c r="BP1211" i="17"/>
  <c r="BQ1211" i="17" s="1"/>
  <c r="BQ1210" i="17"/>
  <c r="BO1212" i="17"/>
  <c r="BD1211" i="17"/>
  <c r="BE1211" i="17" s="1"/>
  <c r="BK1210" i="17"/>
  <c r="BI1212" i="17"/>
  <c r="AX1211" i="17"/>
  <c r="AY1211" i="17" s="1"/>
  <c r="BE1210" i="17"/>
  <c r="BC1212" i="17"/>
  <c r="AY1210" i="17"/>
  <c r="AW1212" i="17"/>
  <c r="AH1210" i="7"/>
  <c r="AG1211" i="7"/>
  <c r="AE1212" i="7"/>
  <c r="AF1212" i="7"/>
  <c r="CE1212" i="17" l="1"/>
  <c r="CF1211" i="17"/>
  <c r="CA1213" i="17"/>
  <c r="CB1212" i="17"/>
  <c r="BU1213" i="17"/>
  <c r="BV1212" i="17"/>
  <c r="BO1213" i="17"/>
  <c r="BP1212" i="17"/>
  <c r="BI1213" i="17"/>
  <c r="BJ1212" i="17"/>
  <c r="BC1213" i="17"/>
  <c r="BD1212" i="17"/>
  <c r="AW1213" i="17"/>
  <c r="AX1212" i="17"/>
  <c r="AF1213" i="7"/>
  <c r="AE1213" i="7"/>
  <c r="AH1211" i="7"/>
  <c r="AG1212" i="7"/>
  <c r="BV1213" i="17" l="1"/>
  <c r="BW1213" i="17" s="1"/>
  <c r="CF1212" i="17"/>
  <c r="CG1212" i="17" s="1"/>
  <c r="CG1211" i="17"/>
  <c r="CE1213" i="17"/>
  <c r="CB1213" i="17"/>
  <c r="CC1213" i="17" s="1"/>
  <c r="CC1212" i="17"/>
  <c r="CA1214" i="17"/>
  <c r="BJ1213" i="17"/>
  <c r="BK1213" i="17" s="1"/>
  <c r="BW1212" i="17"/>
  <c r="BU1214" i="17"/>
  <c r="BP1213" i="17"/>
  <c r="BQ1213" i="17" s="1"/>
  <c r="BQ1212" i="17"/>
  <c r="BO1214" i="17"/>
  <c r="BK1212" i="17"/>
  <c r="BI1214" i="17"/>
  <c r="BD1213" i="17"/>
  <c r="BE1213" i="17" s="1"/>
  <c r="BE1212" i="17"/>
  <c r="BC1214" i="17"/>
  <c r="AX1213" i="17"/>
  <c r="AY1213" i="17" s="1"/>
  <c r="AY1212" i="17"/>
  <c r="AW1214" i="17"/>
  <c r="AG1213" i="7"/>
  <c r="AH1212" i="7"/>
  <c r="AF1214" i="7"/>
  <c r="AE1214" i="7"/>
  <c r="CE1214" i="17" l="1"/>
  <c r="CF1213" i="17"/>
  <c r="CA1215" i="17"/>
  <c r="CB1214" i="17"/>
  <c r="BU1215" i="17"/>
  <c r="BV1214" i="17"/>
  <c r="BO1215" i="17"/>
  <c r="BP1214" i="17"/>
  <c r="BI1215" i="17"/>
  <c r="BJ1214" i="17"/>
  <c r="BC1215" i="17"/>
  <c r="BD1214" i="17"/>
  <c r="AW1215" i="17"/>
  <c r="AX1214" i="17"/>
  <c r="AF1215" i="7"/>
  <c r="AE1215" i="7"/>
  <c r="AG1214" i="7"/>
  <c r="AH1213" i="7"/>
  <c r="CF1214" i="17" l="1"/>
  <c r="CG1214" i="17" s="1"/>
  <c r="BV1215" i="17"/>
  <c r="BW1215" i="17" s="1"/>
  <c r="CG1213" i="17"/>
  <c r="CE1215" i="17"/>
  <c r="CB1215" i="17"/>
  <c r="CC1214" i="17"/>
  <c r="CA1216" i="17"/>
  <c r="CC1215" i="17"/>
  <c r="BJ1215" i="17"/>
  <c r="BK1215" i="17" s="1"/>
  <c r="BW1214" i="17"/>
  <c r="BU1216" i="17"/>
  <c r="BP1215" i="17"/>
  <c r="BQ1215" i="17" s="1"/>
  <c r="BQ1214" i="17"/>
  <c r="BO1216" i="17"/>
  <c r="BD1215" i="17"/>
  <c r="BE1215" i="17" s="1"/>
  <c r="BK1214" i="17"/>
  <c r="BI1216" i="17"/>
  <c r="AX1215" i="17"/>
  <c r="AY1215" i="17" s="1"/>
  <c r="BE1214" i="17"/>
  <c r="BC1216" i="17"/>
  <c r="AY1214" i="17"/>
  <c r="AW1216" i="17"/>
  <c r="AF1216" i="7"/>
  <c r="AE1216" i="7"/>
  <c r="AH1214" i="7"/>
  <c r="AG1215" i="7"/>
  <c r="CE1216" i="17" l="1"/>
  <c r="CF1215" i="17"/>
  <c r="CA1217" i="17"/>
  <c r="CB1216" i="17"/>
  <c r="BU1217" i="17"/>
  <c r="BV1216" i="17"/>
  <c r="AX1216" i="17"/>
  <c r="AY1216" i="17" s="1"/>
  <c r="BO1217" i="17"/>
  <c r="BP1216" i="17"/>
  <c r="BI1217" i="17"/>
  <c r="BJ1216" i="17"/>
  <c r="BC1217" i="17"/>
  <c r="BD1216" i="17"/>
  <c r="AW1217" i="17"/>
  <c r="AH1215" i="7"/>
  <c r="AG1216" i="7"/>
  <c r="AF1217" i="7"/>
  <c r="AE1217" i="7"/>
  <c r="BV1217" i="17" l="1"/>
  <c r="BW1217" i="17" s="1"/>
  <c r="CF1216" i="17"/>
  <c r="CG1216" i="17" s="1"/>
  <c r="CB1217" i="17"/>
  <c r="CG1215" i="17"/>
  <c r="CE1217" i="17"/>
  <c r="CC1216" i="17"/>
  <c r="CA1218" i="17"/>
  <c r="CC1217" i="17"/>
  <c r="BP1217" i="17"/>
  <c r="BQ1217" i="17" s="1"/>
  <c r="BW1216" i="17"/>
  <c r="BU1218" i="17"/>
  <c r="AX1217" i="17"/>
  <c r="AY1217" i="17" s="1"/>
  <c r="BQ1216" i="17"/>
  <c r="BO1218" i="17"/>
  <c r="BD1217" i="17"/>
  <c r="BE1217" i="17" s="1"/>
  <c r="BJ1217" i="17"/>
  <c r="BK1217" i="17" s="1"/>
  <c r="BK1216" i="17"/>
  <c r="BI1218" i="17"/>
  <c r="BE1216" i="17"/>
  <c r="BC1218" i="17"/>
  <c r="AW1218" i="17"/>
  <c r="AE1218" i="7"/>
  <c r="AF1218" i="7"/>
  <c r="AH1216" i="7"/>
  <c r="AG1217" i="7"/>
  <c r="CE1218" i="17" l="1"/>
  <c r="CF1217" i="17"/>
  <c r="CA1219" i="17"/>
  <c r="CB1218" i="17"/>
  <c r="BU1219" i="17"/>
  <c r="BV1218" i="17"/>
  <c r="BO1219" i="17"/>
  <c r="BP1218" i="17"/>
  <c r="BI1219" i="17"/>
  <c r="BJ1218" i="17"/>
  <c r="BC1219" i="17"/>
  <c r="BD1218" i="17"/>
  <c r="AW1219" i="17"/>
  <c r="AX1218" i="17"/>
  <c r="AH1217" i="7"/>
  <c r="AG1218" i="7"/>
  <c r="AF1219" i="7"/>
  <c r="AE1219" i="7"/>
  <c r="CF1218" i="17" l="1"/>
  <c r="CG1218" i="17" s="1"/>
  <c r="CB1219" i="17"/>
  <c r="CC1219" i="17" s="1"/>
  <c r="CG1217" i="17"/>
  <c r="CE1219" i="17"/>
  <c r="CC1218" i="17"/>
  <c r="CA1220" i="17"/>
  <c r="BV1219" i="17"/>
  <c r="BW1219" i="17" s="1"/>
  <c r="BP1219" i="17"/>
  <c r="BQ1219" i="17" s="1"/>
  <c r="BW1218" i="17"/>
  <c r="BU1220" i="17"/>
  <c r="BJ1219" i="17"/>
  <c r="BK1219" i="17" s="1"/>
  <c r="BQ1218" i="17"/>
  <c r="BO1220" i="17"/>
  <c r="BK1218" i="17"/>
  <c r="BI1220" i="17"/>
  <c r="BD1219" i="17"/>
  <c r="BE1219" i="17" s="1"/>
  <c r="BE1218" i="17"/>
  <c r="BC1220" i="17"/>
  <c r="AX1219" i="17"/>
  <c r="AY1219" i="17" s="1"/>
  <c r="AY1218" i="17"/>
  <c r="AW1220" i="17"/>
  <c r="AF1220" i="7"/>
  <c r="AE1220" i="7"/>
  <c r="AG1219" i="7"/>
  <c r="AH1218" i="7"/>
  <c r="CE1220" i="17" l="1"/>
  <c r="CF1219" i="17"/>
  <c r="CA1221" i="17"/>
  <c r="CB1220" i="17"/>
  <c r="BU1221" i="17"/>
  <c r="BV1220" i="17"/>
  <c r="BO1221" i="17"/>
  <c r="BP1220" i="17"/>
  <c r="BI1221" i="17"/>
  <c r="BJ1220" i="17"/>
  <c r="BC1221" i="17"/>
  <c r="BD1220" i="17"/>
  <c r="AW1221" i="17"/>
  <c r="AX1220" i="17"/>
  <c r="AY1220" i="17" s="1"/>
  <c r="AG1220" i="7"/>
  <c r="AH1219" i="7"/>
  <c r="AF1221" i="7"/>
  <c r="AE1221" i="7"/>
  <c r="CF1220" i="17" l="1"/>
  <c r="CG1220" i="17" s="1"/>
  <c r="CG1219" i="17"/>
  <c r="CE1221" i="17"/>
  <c r="CB1221" i="17"/>
  <c r="BV1221" i="17"/>
  <c r="BW1221" i="17" s="1"/>
  <c r="CC1220" i="17"/>
  <c r="CA1222" i="17"/>
  <c r="CC1221" i="17"/>
  <c r="BP1221" i="17"/>
  <c r="BQ1221" i="17" s="1"/>
  <c r="BW1220" i="17"/>
  <c r="BU1222" i="17"/>
  <c r="BQ1220" i="17"/>
  <c r="BO1222" i="17"/>
  <c r="BJ1221" i="17"/>
  <c r="BK1221" i="17" s="1"/>
  <c r="BK1220" i="17"/>
  <c r="BI1222" i="17"/>
  <c r="BD1221" i="17"/>
  <c r="BE1221" i="17" s="1"/>
  <c r="BE1220" i="17"/>
  <c r="BC1222" i="17"/>
  <c r="AX1221" i="17"/>
  <c r="AY1221" i="17" s="1"/>
  <c r="AW1222" i="17"/>
  <c r="AF1222" i="7"/>
  <c r="AE1222" i="7"/>
  <c r="AH1220" i="7"/>
  <c r="AG1221" i="7"/>
  <c r="CE1222" i="17" l="1"/>
  <c r="CF1221" i="17"/>
  <c r="CA1223" i="17"/>
  <c r="CB1222" i="17"/>
  <c r="BU1223" i="17"/>
  <c r="BV1222" i="17"/>
  <c r="BO1223" i="17"/>
  <c r="BP1222" i="17"/>
  <c r="BI1223" i="17"/>
  <c r="BJ1222" i="17"/>
  <c r="BC1223" i="17"/>
  <c r="BD1222" i="17"/>
  <c r="AW1223" i="17"/>
  <c r="AX1222" i="17"/>
  <c r="AF1223" i="7"/>
  <c r="AE1223" i="7"/>
  <c r="AH1221" i="7"/>
  <c r="AG1222" i="7"/>
  <c r="CF1222" i="17" l="1"/>
  <c r="CG1222" i="17" s="1"/>
  <c r="CB1223" i="17"/>
  <c r="CC1223" i="17" s="1"/>
  <c r="CG1221" i="17"/>
  <c r="CE1223" i="17"/>
  <c r="CC1222" i="17"/>
  <c r="CA1224" i="17"/>
  <c r="BV1223" i="17"/>
  <c r="BW1223" i="17" s="1"/>
  <c r="BP1223" i="17"/>
  <c r="BQ1223" i="17" s="1"/>
  <c r="BW1222" i="17"/>
  <c r="BU1224" i="17"/>
  <c r="BJ1223" i="17"/>
  <c r="BK1223" i="17" s="1"/>
  <c r="BQ1222" i="17"/>
  <c r="BO1224" i="17"/>
  <c r="BD1223" i="17"/>
  <c r="BE1223" i="17" s="1"/>
  <c r="BK1222" i="17"/>
  <c r="BI1224" i="17"/>
  <c r="AX1223" i="17"/>
  <c r="AY1223" i="17" s="1"/>
  <c r="BE1222" i="17"/>
  <c r="BC1224" i="17"/>
  <c r="AY1222" i="17"/>
  <c r="AW1224" i="17"/>
  <c r="AH1222" i="7"/>
  <c r="AG1223" i="7"/>
  <c r="AE1224" i="7"/>
  <c r="AF1224" i="7"/>
  <c r="CE1224" i="17" l="1"/>
  <c r="CF1223" i="17"/>
  <c r="CA1225" i="17"/>
  <c r="CB1224" i="17"/>
  <c r="BU1225" i="17"/>
  <c r="BV1224" i="17"/>
  <c r="BO1225" i="17"/>
  <c r="BP1224" i="17"/>
  <c r="BI1225" i="17"/>
  <c r="BJ1224" i="17"/>
  <c r="BC1225" i="17"/>
  <c r="BD1224" i="17"/>
  <c r="AW1225" i="17"/>
  <c r="AX1224" i="17"/>
  <c r="AF1225" i="7"/>
  <c r="AE1225" i="7"/>
  <c r="AH1223" i="7"/>
  <c r="AG1224" i="7"/>
  <c r="CF1224" i="17" l="1"/>
  <c r="CG1224" i="17" s="1"/>
  <c r="CB1225" i="17"/>
  <c r="CC1225" i="17" s="1"/>
  <c r="CG1223" i="17"/>
  <c r="CE1225" i="17"/>
  <c r="BV1225" i="17"/>
  <c r="BW1225" i="17" s="1"/>
  <c r="CC1224" i="17"/>
  <c r="CA1226" i="17"/>
  <c r="BP1225" i="17"/>
  <c r="BQ1225" i="17" s="1"/>
  <c r="BW1224" i="17"/>
  <c r="BU1226" i="17"/>
  <c r="BQ1224" i="17"/>
  <c r="BO1226" i="17"/>
  <c r="BJ1225" i="17"/>
  <c r="BK1225" i="17" s="1"/>
  <c r="BK1224" i="17"/>
  <c r="BD1225" i="17"/>
  <c r="BE1225" i="17" s="1"/>
  <c r="BI1226" i="17"/>
  <c r="BE1224" i="17"/>
  <c r="BC1226" i="17"/>
  <c r="AX1225" i="17"/>
  <c r="AY1225" i="17" s="1"/>
  <c r="AY1224" i="17"/>
  <c r="AW1226" i="17"/>
  <c r="AF1226" i="7"/>
  <c r="AE1226" i="7"/>
  <c r="AG1225" i="7"/>
  <c r="AH1224" i="7"/>
  <c r="CE1226" i="17" l="1"/>
  <c r="CF1225" i="17"/>
  <c r="CA1227" i="17"/>
  <c r="CB1226" i="17"/>
  <c r="BU1227" i="17"/>
  <c r="BV1226" i="17"/>
  <c r="BO1227" i="17"/>
  <c r="BP1226" i="17"/>
  <c r="BI1227" i="17"/>
  <c r="BJ1226" i="17"/>
  <c r="BC1227" i="17"/>
  <c r="BD1226" i="17"/>
  <c r="AW1227" i="17"/>
  <c r="AX1226" i="17"/>
  <c r="AF1227" i="7"/>
  <c r="AE1227" i="7"/>
  <c r="AG1226" i="7"/>
  <c r="AH1225" i="7"/>
  <c r="CB1227" i="17" l="1"/>
  <c r="CC1227" i="17" s="1"/>
  <c r="CF1226" i="17"/>
  <c r="CG1226" i="17" s="1"/>
  <c r="CG1225" i="17"/>
  <c r="CE1227" i="17"/>
  <c r="CC1226" i="17"/>
  <c r="CA1228" i="17"/>
  <c r="BP1227" i="17"/>
  <c r="BQ1227" i="17" s="1"/>
  <c r="BV1227" i="17"/>
  <c r="BW1227" i="17" s="1"/>
  <c r="BW1226" i="17"/>
  <c r="BU1228" i="17"/>
  <c r="BJ1227" i="17"/>
  <c r="BK1227" i="17" s="1"/>
  <c r="BQ1226" i="17"/>
  <c r="BO1228" i="17"/>
  <c r="BK1226" i="17"/>
  <c r="BI1228" i="17"/>
  <c r="BD1227" i="17"/>
  <c r="BE1227" i="17" s="1"/>
  <c r="BE1226" i="17"/>
  <c r="BC1228" i="17"/>
  <c r="AX1227" i="17"/>
  <c r="AY1227" i="17" s="1"/>
  <c r="AY1226" i="17"/>
  <c r="AW1228" i="17"/>
  <c r="AH1226" i="7"/>
  <c r="AG1227" i="7"/>
  <c r="AF1228" i="7"/>
  <c r="AE1228" i="7"/>
  <c r="CE1228" i="17" l="1"/>
  <c r="CF1227" i="17"/>
  <c r="CA1229" i="17"/>
  <c r="CB1228" i="17"/>
  <c r="BU1229" i="17"/>
  <c r="BV1228" i="17"/>
  <c r="BO1229" i="17"/>
  <c r="BP1228" i="17"/>
  <c r="BI1229" i="17"/>
  <c r="BJ1228" i="17"/>
  <c r="BC1229" i="17"/>
  <c r="BD1228" i="17"/>
  <c r="AW1229" i="17"/>
  <c r="AX1228" i="17"/>
  <c r="AF1229" i="7"/>
  <c r="AE1229" i="7"/>
  <c r="AH1227" i="7"/>
  <c r="AG1228" i="7"/>
  <c r="CF1228" i="17" l="1"/>
  <c r="CG1228" i="17" s="1"/>
  <c r="CB1229" i="17"/>
  <c r="CC1229" i="17" s="1"/>
  <c r="CG1227" i="17"/>
  <c r="CE1229" i="17"/>
  <c r="BP1229" i="17"/>
  <c r="BQ1229" i="17" s="1"/>
  <c r="CC1228" i="17"/>
  <c r="CA1230" i="17"/>
  <c r="BV1229" i="17"/>
  <c r="BW1229" i="17" s="1"/>
  <c r="BW1228" i="17"/>
  <c r="BU1230" i="17"/>
  <c r="BJ1229" i="17"/>
  <c r="BK1229" i="17" s="1"/>
  <c r="BQ1228" i="17"/>
  <c r="BO1230" i="17"/>
  <c r="BK1228" i="17"/>
  <c r="BI1230" i="17"/>
  <c r="BD1229" i="17"/>
  <c r="BE1229" i="17" s="1"/>
  <c r="BE1228" i="17"/>
  <c r="BC1230" i="17"/>
  <c r="AX1229" i="17"/>
  <c r="AY1229" i="17" s="1"/>
  <c r="AY1228" i="17"/>
  <c r="AW1230" i="17"/>
  <c r="AH1228" i="7"/>
  <c r="AG1229" i="7"/>
  <c r="AE1230" i="7"/>
  <c r="AF1230" i="7"/>
  <c r="CE1230" i="17" l="1"/>
  <c r="BP1230" i="17"/>
  <c r="BQ1230" i="17" s="1"/>
  <c r="CF1229" i="17"/>
  <c r="CA1231" i="17"/>
  <c r="CB1230" i="17"/>
  <c r="BU1231" i="17"/>
  <c r="BV1230" i="17"/>
  <c r="BO1231" i="17"/>
  <c r="BI1231" i="17"/>
  <c r="BJ1230" i="17"/>
  <c r="BC1231" i="17"/>
  <c r="BD1230" i="17"/>
  <c r="AW1231" i="17"/>
  <c r="AX1230" i="17"/>
  <c r="AF1231" i="7"/>
  <c r="AE1231" i="7"/>
  <c r="AH1229" i="7"/>
  <c r="AG1230" i="7"/>
  <c r="CF1230" i="17" l="1"/>
  <c r="CG1230" i="17" s="1"/>
  <c r="CG1229" i="17"/>
  <c r="CE1231" i="17"/>
  <c r="CB1231" i="17"/>
  <c r="CC1231" i="17" s="1"/>
  <c r="CC1230" i="17"/>
  <c r="CA1232" i="17"/>
  <c r="BV1231" i="17"/>
  <c r="BW1231" i="17" s="1"/>
  <c r="BW1230" i="17"/>
  <c r="BU1232" i="17"/>
  <c r="BJ1231" i="17"/>
  <c r="BK1231" i="17" s="1"/>
  <c r="BO1232" i="17"/>
  <c r="BP1231" i="17"/>
  <c r="BK1230" i="17"/>
  <c r="BI1232" i="17"/>
  <c r="AX1231" i="17"/>
  <c r="AY1231" i="17" s="1"/>
  <c r="BD1231" i="17"/>
  <c r="BE1231" i="17" s="1"/>
  <c r="BE1230" i="17"/>
  <c r="BC1232" i="17"/>
  <c r="AY1230" i="17"/>
  <c r="AW1232" i="17"/>
  <c r="AG1231" i="7"/>
  <c r="AH1230" i="7"/>
  <c r="AF1232" i="7"/>
  <c r="AE1232" i="7"/>
  <c r="CE1232" i="17" l="1"/>
  <c r="CF1231" i="17"/>
  <c r="BP1232" i="17"/>
  <c r="BQ1232" i="17" s="1"/>
  <c r="CA1233" i="17"/>
  <c r="CB1232" i="17"/>
  <c r="BU1233" i="17"/>
  <c r="BV1232" i="17"/>
  <c r="BQ1231" i="17"/>
  <c r="BO1233" i="17"/>
  <c r="BI1233" i="17"/>
  <c r="BJ1232" i="17"/>
  <c r="BC1233" i="17"/>
  <c r="BD1232" i="17"/>
  <c r="AW1233" i="17"/>
  <c r="AX1232" i="17"/>
  <c r="AF1233" i="7"/>
  <c r="AE1233" i="7"/>
  <c r="AG1232" i="7"/>
  <c r="AH1231" i="7"/>
  <c r="CB1233" i="17" l="1"/>
  <c r="CC1233" i="17" s="1"/>
  <c r="CF1232" i="17"/>
  <c r="CG1232" i="17" s="1"/>
  <c r="CG1231" i="17"/>
  <c r="CE1233" i="17"/>
  <c r="CC1232" i="17"/>
  <c r="CA1234" i="17"/>
  <c r="BV1233" i="17"/>
  <c r="BW1233" i="17" s="1"/>
  <c r="BW1232" i="17"/>
  <c r="BU1234" i="17"/>
  <c r="BO1234" i="17"/>
  <c r="BP1233" i="17"/>
  <c r="BJ1233" i="17"/>
  <c r="BK1233" i="17" s="1"/>
  <c r="BK1232" i="17"/>
  <c r="BI1234" i="17"/>
  <c r="BD1233" i="17"/>
  <c r="BE1233" i="17" s="1"/>
  <c r="BE1232" i="17"/>
  <c r="BC1234" i="17"/>
  <c r="AX1233" i="17"/>
  <c r="AY1233" i="17" s="1"/>
  <c r="AY1232" i="17"/>
  <c r="AW1234" i="17"/>
  <c r="AH1232" i="7"/>
  <c r="AG1233" i="7"/>
  <c r="AF1234" i="7"/>
  <c r="AE1234" i="7"/>
  <c r="CE1234" i="17" l="1"/>
  <c r="CF1233" i="17"/>
  <c r="CA1235" i="17"/>
  <c r="CB1234" i="17"/>
  <c r="BU1235" i="17"/>
  <c r="BV1234" i="17"/>
  <c r="BP1234" i="17"/>
  <c r="BQ1234" i="17" s="1"/>
  <c r="BQ1233" i="17"/>
  <c r="BO1235" i="17"/>
  <c r="BI1235" i="17"/>
  <c r="BJ1234" i="17"/>
  <c r="BC1235" i="17"/>
  <c r="BD1234" i="17"/>
  <c r="AW1235" i="17"/>
  <c r="AX1234" i="17"/>
  <c r="AF1235" i="7"/>
  <c r="AE1235" i="7"/>
  <c r="AH1233" i="7"/>
  <c r="AG1234" i="7"/>
  <c r="CF1234" i="17" l="1"/>
  <c r="CG1234" i="17" s="1"/>
  <c r="CB1235" i="17"/>
  <c r="CC1235" i="17" s="1"/>
  <c r="CG1233" i="17"/>
  <c r="CE1235" i="17"/>
  <c r="CC1234" i="17"/>
  <c r="CA1236" i="17"/>
  <c r="BV1235" i="17"/>
  <c r="BW1235" i="17" s="1"/>
  <c r="BW1234" i="17"/>
  <c r="BU1236" i="17"/>
  <c r="BJ1235" i="17"/>
  <c r="BK1235" i="17" s="1"/>
  <c r="BO1236" i="17"/>
  <c r="BP1235" i="17"/>
  <c r="BD1235" i="17"/>
  <c r="BE1235" i="17" s="1"/>
  <c r="BK1234" i="17"/>
  <c r="BI1236" i="17"/>
  <c r="BE1234" i="17"/>
  <c r="BC1236" i="17"/>
  <c r="AX1235" i="17"/>
  <c r="AY1235" i="17" s="1"/>
  <c r="AY1234" i="17"/>
  <c r="AW1236" i="17"/>
  <c r="AH1234" i="7"/>
  <c r="AG1235" i="7"/>
  <c r="AE1236" i="7"/>
  <c r="AF1236" i="7"/>
  <c r="CE1236" i="17" l="1"/>
  <c r="CF1235" i="17"/>
  <c r="CG1235" i="17" s="1"/>
  <c r="CA1237" i="17"/>
  <c r="CB1236" i="17"/>
  <c r="BU1237" i="17"/>
  <c r="BV1236" i="17"/>
  <c r="BP1236" i="17"/>
  <c r="BQ1236" i="17" s="1"/>
  <c r="BQ1235" i="17"/>
  <c r="BO1237" i="17"/>
  <c r="BI1237" i="17"/>
  <c r="BJ1236" i="17"/>
  <c r="BC1237" i="17"/>
  <c r="BD1236" i="17"/>
  <c r="AW1237" i="17"/>
  <c r="AX1236" i="17"/>
  <c r="AF1237" i="7"/>
  <c r="AE1237" i="7"/>
  <c r="AH1235" i="7"/>
  <c r="AG1236" i="7"/>
  <c r="CF1236" i="17" l="1"/>
  <c r="CG1236" i="17" s="1"/>
  <c r="CE1237" i="17"/>
  <c r="BV1237" i="17"/>
  <c r="CB1237" i="17"/>
  <c r="CC1236" i="17"/>
  <c r="CA1238" i="17"/>
  <c r="CC1237" i="17"/>
  <c r="BW1236" i="17"/>
  <c r="BU1238" i="17"/>
  <c r="BW1237" i="17"/>
  <c r="BO1238" i="17"/>
  <c r="BP1237" i="17"/>
  <c r="BJ1237" i="17"/>
  <c r="BK1237" i="17" s="1"/>
  <c r="BD1237" i="17"/>
  <c r="BE1237" i="17" s="1"/>
  <c r="BK1236" i="17"/>
  <c r="BI1238" i="17"/>
  <c r="BE1236" i="17"/>
  <c r="BC1238" i="17"/>
  <c r="AX1237" i="17"/>
  <c r="AY1237" i="17" s="1"/>
  <c r="AY1236" i="17"/>
  <c r="AW1238" i="17"/>
  <c r="AG1237" i="7"/>
  <c r="AH1236" i="7"/>
  <c r="AF1238" i="7"/>
  <c r="AE1238" i="7"/>
  <c r="CE1238" i="17" l="1"/>
  <c r="CF1237" i="17"/>
  <c r="CA1239" i="17"/>
  <c r="CB1238" i="17"/>
  <c r="BU1239" i="17"/>
  <c r="BV1238" i="17"/>
  <c r="BP1238" i="17"/>
  <c r="BQ1238" i="17" s="1"/>
  <c r="BQ1237" i="17"/>
  <c r="BO1239" i="17"/>
  <c r="BI1239" i="17"/>
  <c r="BJ1238" i="17"/>
  <c r="BC1239" i="17"/>
  <c r="BD1238" i="17"/>
  <c r="AW1239" i="17"/>
  <c r="AX1238" i="17"/>
  <c r="AF1239" i="7"/>
  <c r="AE1239" i="7"/>
  <c r="AG1238" i="7"/>
  <c r="AH1237" i="7"/>
  <c r="CF1238" i="17" l="1"/>
  <c r="CG1238" i="17" s="1"/>
  <c r="CG1237" i="17"/>
  <c r="CE1239" i="17"/>
  <c r="CB1239" i="17"/>
  <c r="BV1239" i="17"/>
  <c r="BW1239" i="17" s="1"/>
  <c r="CC1238" i="17"/>
  <c r="CA1240" i="17"/>
  <c r="CB1240" i="17" s="1"/>
  <c r="CC1239" i="17"/>
  <c r="BW1238" i="17"/>
  <c r="BU1240" i="17"/>
  <c r="BJ1239" i="17"/>
  <c r="BK1239" i="17" s="1"/>
  <c r="BO1240" i="17"/>
  <c r="BP1239" i="17"/>
  <c r="BD1239" i="17"/>
  <c r="BE1239" i="17" s="1"/>
  <c r="BK1238" i="17"/>
  <c r="BI1240" i="17"/>
  <c r="AX1239" i="17"/>
  <c r="AY1239" i="17" s="1"/>
  <c r="BE1238" i="17"/>
  <c r="BC1240" i="17"/>
  <c r="AY1238" i="17"/>
  <c r="AW1240" i="17"/>
  <c r="AH1238" i="7"/>
  <c r="AG1239" i="7"/>
  <c r="AF1240" i="7"/>
  <c r="AE1240" i="7"/>
  <c r="CF1239" i="17" l="1"/>
  <c r="CG1239" i="17" s="1"/>
  <c r="CE1240" i="17"/>
  <c r="BP1240" i="17"/>
  <c r="CA1241" i="17"/>
  <c r="CB1241" i="17" s="1"/>
  <c r="CC1240" i="17"/>
  <c r="BU1241" i="17"/>
  <c r="BV1240" i="17"/>
  <c r="BQ1239" i="17"/>
  <c r="BO1241" i="17"/>
  <c r="BQ1240" i="17"/>
  <c r="BI1241" i="17"/>
  <c r="BJ1240" i="17"/>
  <c r="BC1241" i="17"/>
  <c r="BD1240" i="17"/>
  <c r="AW1241" i="17"/>
  <c r="AX1240" i="17"/>
  <c r="AH1239" i="7"/>
  <c r="AG1240" i="7"/>
  <c r="AF1241" i="7"/>
  <c r="AE1241" i="7"/>
  <c r="CF1240" i="17" l="1"/>
  <c r="CG1240" i="17" s="1"/>
  <c r="CE1241" i="17"/>
  <c r="BV1241" i="17"/>
  <c r="BW1241" i="17" s="1"/>
  <c r="CA1242" i="17"/>
  <c r="CC1241" i="17"/>
  <c r="BW1240" i="17"/>
  <c r="BU1242" i="17"/>
  <c r="BJ1241" i="17"/>
  <c r="BK1241" i="17" s="1"/>
  <c r="BO1242" i="17"/>
  <c r="BP1241" i="17"/>
  <c r="BK1240" i="17"/>
  <c r="BI1242" i="17"/>
  <c r="BD1241" i="17"/>
  <c r="BE1241" i="17" s="1"/>
  <c r="BE1240" i="17"/>
  <c r="BC1242" i="17"/>
  <c r="AX1241" i="17"/>
  <c r="AY1241" i="17" s="1"/>
  <c r="AY1240" i="17"/>
  <c r="AW1242" i="17"/>
  <c r="AH1240" i="7"/>
  <c r="AG1241" i="7"/>
  <c r="AE1242" i="7"/>
  <c r="AF1242" i="7"/>
  <c r="CF1241" i="17" l="1"/>
  <c r="CG1241" i="17" s="1"/>
  <c r="CE1242" i="17"/>
  <c r="CA1243" i="17"/>
  <c r="CB1242" i="17"/>
  <c r="BU1243" i="17"/>
  <c r="BV1242" i="17"/>
  <c r="BP1242" i="17"/>
  <c r="BQ1242" i="17" s="1"/>
  <c r="BQ1241" i="17"/>
  <c r="BO1243" i="17"/>
  <c r="BI1243" i="17"/>
  <c r="BJ1242" i="17"/>
  <c r="BC1243" i="17"/>
  <c r="BD1242" i="17"/>
  <c r="AW1243" i="17"/>
  <c r="AX1242" i="17"/>
  <c r="AF1243" i="7"/>
  <c r="AE1243" i="7"/>
  <c r="AH1241" i="7"/>
  <c r="AG1242" i="7"/>
  <c r="CE1243" i="17" l="1"/>
  <c r="CF1242" i="17"/>
  <c r="CB1243" i="17"/>
  <c r="CC1243" i="17" s="1"/>
  <c r="CC1242" i="17"/>
  <c r="CA1244" i="17"/>
  <c r="BV1243" i="17"/>
  <c r="BW1243" i="17" s="1"/>
  <c r="BW1242" i="17"/>
  <c r="BU1244" i="17"/>
  <c r="BO1244" i="17"/>
  <c r="BP1243" i="17"/>
  <c r="BJ1243" i="17"/>
  <c r="BK1243" i="17" s="1"/>
  <c r="BK1242" i="17"/>
  <c r="BI1244" i="17"/>
  <c r="BD1243" i="17"/>
  <c r="BE1243" i="17" s="1"/>
  <c r="BE1242" i="17"/>
  <c r="BC1244" i="17"/>
  <c r="AX1243" i="17"/>
  <c r="AY1243" i="17" s="1"/>
  <c r="AY1242" i="17"/>
  <c r="AW1244" i="17"/>
  <c r="AG1243" i="7"/>
  <c r="AH1242" i="7"/>
  <c r="AF1244" i="7"/>
  <c r="AE1244" i="7"/>
  <c r="CF1243" i="17" l="1"/>
  <c r="CG1243" i="17" s="1"/>
  <c r="CG1242" i="17"/>
  <c r="CE1244" i="17"/>
  <c r="CA1245" i="17"/>
  <c r="CB1244" i="17"/>
  <c r="BP1244" i="17"/>
  <c r="BQ1244" i="17" s="1"/>
  <c r="BU1245" i="17"/>
  <c r="BV1244" i="17"/>
  <c r="BQ1243" i="17"/>
  <c r="BO1245" i="17"/>
  <c r="BI1245" i="17"/>
  <c r="BJ1244" i="17"/>
  <c r="BC1245" i="17"/>
  <c r="BD1244" i="17"/>
  <c r="AW1245" i="17"/>
  <c r="AX1244" i="17"/>
  <c r="AF1245" i="7"/>
  <c r="AE1245" i="7"/>
  <c r="AG1244" i="7"/>
  <c r="AH1243" i="7"/>
  <c r="CB1245" i="17" l="1"/>
  <c r="CC1245" i="17" s="1"/>
  <c r="CE1245" i="17"/>
  <c r="CF1244" i="17"/>
  <c r="BV1245" i="17"/>
  <c r="CC1244" i="17"/>
  <c r="CA1246" i="17"/>
  <c r="BW1244" i="17"/>
  <c r="BU1246" i="17"/>
  <c r="BW1245" i="17"/>
  <c r="BO1246" i="17"/>
  <c r="BP1245" i="17"/>
  <c r="BJ1245" i="17"/>
  <c r="BK1245" i="17" s="1"/>
  <c r="BD1245" i="17"/>
  <c r="BE1245" i="17" s="1"/>
  <c r="BK1244" i="17"/>
  <c r="BI1246" i="17"/>
  <c r="BE1244" i="17"/>
  <c r="BC1246" i="17"/>
  <c r="AX1245" i="17"/>
  <c r="AY1245" i="17" s="1"/>
  <c r="AY1244" i="17"/>
  <c r="AW1246" i="17"/>
  <c r="AH1244" i="7"/>
  <c r="AG1245" i="7"/>
  <c r="AF1246" i="7"/>
  <c r="AE1246" i="7"/>
  <c r="CF1245" i="17" l="1"/>
  <c r="CG1245" i="17" s="1"/>
  <c r="CG1244" i="17"/>
  <c r="CE1246" i="17"/>
  <c r="CA1247" i="17"/>
  <c r="CB1246" i="17"/>
  <c r="BP1246" i="17"/>
  <c r="BQ1246" i="17" s="1"/>
  <c r="BU1247" i="17"/>
  <c r="BV1246" i="17"/>
  <c r="BQ1245" i="17"/>
  <c r="BO1247" i="17"/>
  <c r="BI1247" i="17"/>
  <c r="BJ1246" i="17"/>
  <c r="BC1247" i="17"/>
  <c r="BD1246" i="17"/>
  <c r="AW1247" i="17"/>
  <c r="AX1246" i="17"/>
  <c r="AF1247" i="7"/>
  <c r="AE1247" i="7"/>
  <c r="AH1245" i="7"/>
  <c r="AG1246" i="7"/>
  <c r="CE1247" i="17" l="1"/>
  <c r="CF1246" i="17"/>
  <c r="CB1247" i="17"/>
  <c r="CC1246" i="17"/>
  <c r="CA1248" i="17"/>
  <c r="CC1247" i="17"/>
  <c r="BV1247" i="17"/>
  <c r="BW1247" i="17" s="1"/>
  <c r="BW1246" i="17"/>
  <c r="BU1248" i="17"/>
  <c r="BO1248" i="17"/>
  <c r="BP1247" i="17"/>
  <c r="BD1247" i="17"/>
  <c r="BE1247" i="17" s="1"/>
  <c r="BJ1247" i="17"/>
  <c r="BK1247" i="17" s="1"/>
  <c r="BK1246" i="17"/>
  <c r="BI1248" i="17"/>
  <c r="BE1246" i="17"/>
  <c r="BC1248" i="17"/>
  <c r="AW1248" i="17"/>
  <c r="AX1247" i="17"/>
  <c r="AY1246" i="17"/>
  <c r="AH1246" i="7"/>
  <c r="AG1247" i="7"/>
  <c r="AE1248" i="7"/>
  <c r="AF1248" i="7"/>
  <c r="CF1247" i="17" l="1"/>
  <c r="CG1247" i="17" s="1"/>
  <c r="CG1246" i="17"/>
  <c r="CE1248" i="17"/>
  <c r="BD1248" i="17"/>
  <c r="BE1248" i="17" s="1"/>
  <c r="CA1249" i="17"/>
  <c r="CB1248" i="17"/>
  <c r="BU1249" i="17"/>
  <c r="BV1248" i="17"/>
  <c r="BP1248" i="17"/>
  <c r="BQ1248" i="17" s="1"/>
  <c r="BQ1247" i="17"/>
  <c r="BO1249" i="17"/>
  <c r="AX1248" i="17"/>
  <c r="AY1248" i="17" s="1"/>
  <c r="BI1249" i="17"/>
  <c r="BJ1248" i="17"/>
  <c r="BC1249" i="17"/>
  <c r="AY1247" i="17"/>
  <c r="AW1249" i="17"/>
  <c r="AF1249" i="7"/>
  <c r="AE1249" i="7"/>
  <c r="AH1247" i="7"/>
  <c r="AG1248" i="7"/>
  <c r="CB1249" i="17" l="1"/>
  <c r="CC1249" i="17" s="1"/>
  <c r="BD1249" i="17"/>
  <c r="BE1249" i="17" s="1"/>
  <c r="CE1249" i="17"/>
  <c r="CF1248" i="17"/>
  <c r="CF1249" i="17" s="1"/>
  <c r="BV1249" i="17"/>
  <c r="CC1248" i="17"/>
  <c r="CA1250" i="17"/>
  <c r="BW1248" i="17"/>
  <c r="BU1250" i="17"/>
  <c r="BW1249" i="17"/>
  <c r="BJ1249" i="17"/>
  <c r="BK1249" i="17" s="1"/>
  <c r="BO1250" i="17"/>
  <c r="BP1249" i="17"/>
  <c r="BK1248" i="17"/>
  <c r="BI1250" i="17"/>
  <c r="BC1250" i="17"/>
  <c r="AW1250" i="17"/>
  <c r="AX1249" i="17"/>
  <c r="AG1249" i="7"/>
  <c r="AH1248" i="7"/>
  <c r="AF1250" i="7"/>
  <c r="AE1250" i="7"/>
  <c r="CG1248" i="17" l="1"/>
  <c r="CE1250" i="17"/>
  <c r="CG1249" i="17"/>
  <c r="CA1251" i="17"/>
  <c r="CB1250" i="17"/>
  <c r="BU1251" i="17"/>
  <c r="BV1250" i="17"/>
  <c r="BJ1250" i="17"/>
  <c r="BK1250" i="17" s="1"/>
  <c r="BP1250" i="17"/>
  <c r="BQ1250" i="17" s="1"/>
  <c r="BQ1249" i="17"/>
  <c r="BO1251" i="17"/>
  <c r="BI1251" i="17"/>
  <c r="BC1251" i="17"/>
  <c r="BD1250" i="17"/>
  <c r="AX1250" i="17"/>
  <c r="AY1250" i="17" s="1"/>
  <c r="AY1249" i="17"/>
  <c r="AW1251" i="17"/>
  <c r="AF1251" i="7"/>
  <c r="AE1251" i="7"/>
  <c r="AG1250" i="7"/>
  <c r="AH1249" i="7"/>
  <c r="CB1251" i="17" l="1"/>
  <c r="CC1251" i="17" s="1"/>
  <c r="CE1251" i="17"/>
  <c r="CF1250" i="17"/>
  <c r="CC1250" i="17"/>
  <c r="CA1252" i="17"/>
  <c r="BU1252" i="17"/>
  <c r="BV1251" i="17"/>
  <c r="BW1250" i="17"/>
  <c r="BO1252" i="17"/>
  <c r="BP1251" i="17"/>
  <c r="BI1252" i="17"/>
  <c r="BJ1251" i="17"/>
  <c r="BD1251" i="17"/>
  <c r="BE1251" i="17" s="1"/>
  <c r="BE1250" i="17"/>
  <c r="BC1252" i="17"/>
  <c r="AW1252" i="17"/>
  <c r="AX1251" i="17"/>
  <c r="AH1250" i="7"/>
  <c r="AG1251" i="7"/>
  <c r="AF1252" i="7"/>
  <c r="AE1252" i="7"/>
  <c r="CF1251" i="17" l="1"/>
  <c r="CG1251" i="17" s="1"/>
  <c r="CG1250" i="17"/>
  <c r="CE1252" i="17"/>
  <c r="BV1252" i="17"/>
  <c r="CA1253" i="17"/>
  <c r="CB1252" i="17"/>
  <c r="BW1251" i="17"/>
  <c r="BU1253" i="17"/>
  <c r="BW1252" i="17"/>
  <c r="BP1252" i="17"/>
  <c r="BQ1252" i="17" s="1"/>
  <c r="BJ1252" i="17"/>
  <c r="BK1252" i="17" s="1"/>
  <c r="BQ1251" i="17"/>
  <c r="BO1253" i="17"/>
  <c r="BK1251" i="17"/>
  <c r="BI1253" i="17"/>
  <c r="BC1253" i="17"/>
  <c r="BD1252" i="17"/>
  <c r="AX1252" i="17"/>
  <c r="AY1252" i="17" s="1"/>
  <c r="AY1251" i="17"/>
  <c r="AW1253" i="17"/>
  <c r="AF1253" i="7"/>
  <c r="AE1253" i="7"/>
  <c r="AH1251" i="7"/>
  <c r="AG1252" i="7"/>
  <c r="CB1253" i="17" l="1"/>
  <c r="CC1253" i="17" s="1"/>
  <c r="CE1253" i="17"/>
  <c r="CF1252" i="17"/>
  <c r="CC1252" i="17"/>
  <c r="CA1254" i="17"/>
  <c r="BU1254" i="17"/>
  <c r="BV1253" i="17"/>
  <c r="BO1254" i="17"/>
  <c r="BP1253" i="17"/>
  <c r="BI1254" i="17"/>
  <c r="BJ1253" i="17"/>
  <c r="BD1253" i="17"/>
  <c r="BE1253" i="17" s="1"/>
  <c r="BE1252" i="17"/>
  <c r="BC1254" i="17"/>
  <c r="AW1254" i="17"/>
  <c r="AX1253" i="17"/>
  <c r="AH1252" i="7"/>
  <c r="AG1253" i="7"/>
  <c r="AE1254" i="7"/>
  <c r="AF1254" i="7"/>
  <c r="CB1254" i="17" l="1"/>
  <c r="CC1254" i="17" s="1"/>
  <c r="CF1253" i="17"/>
  <c r="CG1253" i="17" s="1"/>
  <c r="CG1252" i="17"/>
  <c r="CE1254" i="17"/>
  <c r="CA1255" i="17"/>
  <c r="BP1254" i="17"/>
  <c r="BQ1254" i="17" s="1"/>
  <c r="BU1255" i="17"/>
  <c r="BV1254" i="17"/>
  <c r="BW1253" i="17"/>
  <c r="BJ1254" i="17"/>
  <c r="BK1254" i="17" s="1"/>
  <c r="BQ1253" i="17"/>
  <c r="BO1255" i="17"/>
  <c r="BK1253" i="17"/>
  <c r="BI1255" i="17"/>
  <c r="BC1255" i="17"/>
  <c r="BD1254" i="17"/>
  <c r="AX1254" i="17"/>
  <c r="AY1254" i="17" s="1"/>
  <c r="AY1253" i="17"/>
  <c r="AW1255" i="17"/>
  <c r="AF1255" i="7"/>
  <c r="AE1255" i="7"/>
  <c r="AH1253" i="7"/>
  <c r="AG1254" i="7"/>
  <c r="CE1255" i="17" l="1"/>
  <c r="CF1254" i="17"/>
  <c r="CA1256" i="17"/>
  <c r="CB1255" i="17"/>
  <c r="BV1255" i="17"/>
  <c r="BW1255" i="17" s="1"/>
  <c r="BW1254" i="17"/>
  <c r="BU1256" i="17"/>
  <c r="BO1256" i="17"/>
  <c r="BP1255" i="17"/>
  <c r="BI1256" i="17"/>
  <c r="BJ1255" i="17"/>
  <c r="BD1255" i="17"/>
  <c r="BE1255" i="17" s="1"/>
  <c r="BE1254" i="17"/>
  <c r="BC1256" i="17"/>
  <c r="AW1256" i="17"/>
  <c r="AX1255" i="17"/>
  <c r="AG1255" i="7"/>
  <c r="AH1254" i="7"/>
  <c r="AF1256" i="7"/>
  <c r="AE1256" i="7"/>
  <c r="BV1256" i="17" l="1"/>
  <c r="BW1256" i="17" s="1"/>
  <c r="CB1256" i="17"/>
  <c r="CC1256" i="17" s="1"/>
  <c r="CF1255" i="17"/>
  <c r="CG1255" i="17" s="1"/>
  <c r="CG1254" i="17"/>
  <c r="CE1256" i="17"/>
  <c r="CC1255" i="17"/>
  <c r="BD1256" i="17"/>
  <c r="BE1256" i="17" s="1"/>
  <c r="CA1257" i="17"/>
  <c r="BU1257" i="17"/>
  <c r="BP1256" i="17"/>
  <c r="BQ1256" i="17" s="1"/>
  <c r="BJ1256" i="17"/>
  <c r="BK1256" i="17" s="1"/>
  <c r="BQ1255" i="17"/>
  <c r="BO1257" i="17"/>
  <c r="BK1255" i="17"/>
  <c r="BI1257" i="17"/>
  <c r="BC1257" i="17"/>
  <c r="AX1256" i="17"/>
  <c r="AY1256" i="17" s="1"/>
  <c r="AY1255" i="17"/>
  <c r="AW1257" i="17"/>
  <c r="AF1257" i="7"/>
  <c r="AE1257" i="7"/>
  <c r="AG1256" i="7"/>
  <c r="AH1255" i="7"/>
  <c r="CE1257" i="17" l="1"/>
  <c r="CF1256" i="17"/>
  <c r="CA1258" i="17"/>
  <c r="CB1257" i="17"/>
  <c r="BU1258" i="17"/>
  <c r="BV1257" i="17"/>
  <c r="BO1258" i="17"/>
  <c r="BP1257" i="17"/>
  <c r="BI1258" i="17"/>
  <c r="BJ1257" i="17"/>
  <c r="BC1258" i="17"/>
  <c r="BD1257" i="17"/>
  <c r="AW1258" i="17"/>
  <c r="AX1257" i="17"/>
  <c r="AH1256" i="7"/>
  <c r="AG1257" i="7"/>
  <c r="AF1258" i="7"/>
  <c r="AE1258" i="7"/>
  <c r="CF1257" i="17" l="1"/>
  <c r="CG1257" i="17" s="1"/>
  <c r="CB1258" i="17"/>
  <c r="CC1258" i="17" s="1"/>
  <c r="CG1256" i="17"/>
  <c r="CE1258" i="17"/>
  <c r="BV1258" i="17"/>
  <c r="BW1258" i="17" s="1"/>
  <c r="CC1257" i="17"/>
  <c r="CA1259" i="17"/>
  <c r="BJ1258" i="17"/>
  <c r="BK1258" i="17" s="1"/>
  <c r="BW1257" i="17"/>
  <c r="BU1259" i="17"/>
  <c r="BP1258" i="17"/>
  <c r="BQ1258" i="17" s="1"/>
  <c r="BQ1257" i="17"/>
  <c r="BO1259" i="17"/>
  <c r="BK1257" i="17"/>
  <c r="BI1259" i="17"/>
  <c r="BD1258" i="17"/>
  <c r="BE1258" i="17" s="1"/>
  <c r="AX1258" i="17"/>
  <c r="AY1258" i="17" s="1"/>
  <c r="BE1257" i="17"/>
  <c r="BC1259" i="17"/>
  <c r="AY1257" i="17"/>
  <c r="AW1259" i="17"/>
  <c r="AF1259" i="7"/>
  <c r="AE1259" i="7"/>
  <c r="AH1257" i="7"/>
  <c r="AG1258" i="7"/>
  <c r="CE1259" i="17" l="1"/>
  <c r="CF1258" i="17"/>
  <c r="CA1260" i="17"/>
  <c r="CB1259" i="17"/>
  <c r="BU1260" i="17"/>
  <c r="BV1259" i="17"/>
  <c r="BO1260" i="17"/>
  <c r="BP1259" i="17"/>
  <c r="BI1260" i="17"/>
  <c r="BJ1259" i="17"/>
  <c r="BC1260" i="17"/>
  <c r="BD1259" i="17"/>
  <c r="AW1260" i="17"/>
  <c r="AX1259" i="17"/>
  <c r="AH1258" i="7"/>
  <c r="AG1259" i="7"/>
  <c r="AE1260" i="7"/>
  <c r="AF1260" i="7"/>
  <c r="CF1259" i="17" l="1"/>
  <c r="CG1259" i="17" s="1"/>
  <c r="CG1258" i="17"/>
  <c r="CE1260" i="17"/>
  <c r="CB1260" i="17"/>
  <c r="CC1260" i="17" s="1"/>
  <c r="BV1260" i="17"/>
  <c r="BW1260" i="17" s="1"/>
  <c r="CC1259" i="17"/>
  <c r="CA1261" i="17"/>
  <c r="BW1259" i="17"/>
  <c r="BU1261" i="17"/>
  <c r="BD1260" i="17"/>
  <c r="BE1260" i="17" s="1"/>
  <c r="BP1260" i="17"/>
  <c r="BQ1260" i="17" s="1"/>
  <c r="BQ1259" i="17"/>
  <c r="BO1261" i="17"/>
  <c r="BJ1260" i="17"/>
  <c r="BK1260" i="17" s="1"/>
  <c r="BK1259" i="17"/>
  <c r="BI1261" i="17"/>
  <c r="AX1260" i="17"/>
  <c r="AY1260" i="17" s="1"/>
  <c r="BE1259" i="17"/>
  <c r="BC1261" i="17"/>
  <c r="AY1259" i="17"/>
  <c r="AW1261" i="17"/>
  <c r="AH1259" i="7"/>
  <c r="AG1260" i="7"/>
  <c r="AF1261" i="7"/>
  <c r="AE1261" i="7"/>
  <c r="CE1261" i="17" l="1"/>
  <c r="CF1260" i="17"/>
  <c r="CA1262" i="17"/>
  <c r="CB1261" i="17"/>
  <c r="BU1262" i="17"/>
  <c r="BV1261" i="17"/>
  <c r="BO1262" i="17"/>
  <c r="BP1261" i="17"/>
  <c r="BI1262" i="17"/>
  <c r="BJ1261" i="17"/>
  <c r="BC1262" i="17"/>
  <c r="BD1261" i="17"/>
  <c r="AW1262" i="17"/>
  <c r="AX1261" i="17"/>
  <c r="AF1262" i="7"/>
  <c r="AE1262" i="7"/>
  <c r="AG1261" i="7"/>
  <c r="AH1260" i="7"/>
  <c r="CF1261" i="17" l="1"/>
  <c r="CG1261" i="17" s="1"/>
  <c r="BV1262" i="17"/>
  <c r="BW1262" i="17" s="1"/>
  <c r="CG1260" i="17"/>
  <c r="CE1262" i="17"/>
  <c r="CB1262" i="17"/>
  <c r="CC1262" i="17" s="1"/>
  <c r="CC1261" i="17"/>
  <c r="CA1263" i="17"/>
  <c r="BJ1262" i="17"/>
  <c r="BK1262" i="17" s="1"/>
  <c r="BW1261" i="17"/>
  <c r="BU1263" i="17"/>
  <c r="BP1262" i="17"/>
  <c r="BQ1262" i="17" s="1"/>
  <c r="BQ1261" i="17"/>
  <c r="BO1263" i="17"/>
  <c r="BK1261" i="17"/>
  <c r="BI1263" i="17"/>
  <c r="BD1262" i="17"/>
  <c r="BE1262" i="17" s="1"/>
  <c r="AX1262" i="17"/>
  <c r="AY1262" i="17" s="1"/>
  <c r="BE1261" i="17"/>
  <c r="BC1263" i="17"/>
  <c r="AY1261" i="17"/>
  <c r="AW1263" i="17"/>
  <c r="AG1262" i="7"/>
  <c r="AH1261" i="7"/>
  <c r="AF1263" i="7"/>
  <c r="AE1263" i="7"/>
  <c r="CE1263" i="17" l="1"/>
  <c r="CF1262" i="17"/>
  <c r="CA1264" i="17"/>
  <c r="CB1263" i="17"/>
  <c r="BU1264" i="17"/>
  <c r="BV1263" i="17"/>
  <c r="BO1264" i="17"/>
  <c r="BP1263" i="17"/>
  <c r="BI1264" i="17"/>
  <c r="BJ1263" i="17"/>
  <c r="BC1264" i="17"/>
  <c r="BD1263" i="17"/>
  <c r="AW1264" i="17"/>
  <c r="AX1263" i="17"/>
  <c r="AF1264" i="7"/>
  <c r="AE1264" i="7"/>
  <c r="AH1262" i="7"/>
  <c r="AG1263" i="7"/>
  <c r="CF1263" i="17" l="1"/>
  <c r="CG1263" i="17" s="1"/>
  <c r="CB1264" i="17"/>
  <c r="CC1264" i="17" s="1"/>
  <c r="CG1262" i="17"/>
  <c r="CE1264" i="17"/>
  <c r="BV1264" i="17"/>
  <c r="CC1263" i="17"/>
  <c r="CA1265" i="17"/>
  <c r="BP1264" i="17"/>
  <c r="BQ1264" i="17" s="1"/>
  <c r="BW1263" i="17"/>
  <c r="BU1265" i="17"/>
  <c r="BW1264" i="17"/>
  <c r="BD1264" i="17"/>
  <c r="BE1264" i="17" s="1"/>
  <c r="BQ1263" i="17"/>
  <c r="BO1265" i="17"/>
  <c r="BJ1264" i="17"/>
  <c r="BK1264" i="17" s="1"/>
  <c r="AX1264" i="17"/>
  <c r="AY1264" i="17" s="1"/>
  <c r="BK1263" i="17"/>
  <c r="BI1265" i="17"/>
  <c r="BE1263" i="17"/>
  <c r="BC1265" i="17"/>
  <c r="AY1263" i="17"/>
  <c r="AW1265" i="17"/>
  <c r="AH1263" i="7"/>
  <c r="AG1264" i="7"/>
  <c r="AF1265" i="7"/>
  <c r="AE1265" i="7"/>
  <c r="CE1265" i="17" l="1"/>
  <c r="CF1264" i="17"/>
  <c r="CA1266" i="17"/>
  <c r="CB1265" i="17"/>
  <c r="BU1266" i="17"/>
  <c r="BV1265" i="17"/>
  <c r="BO1266" i="17"/>
  <c r="BP1265" i="17"/>
  <c r="BI1266" i="17"/>
  <c r="BJ1265" i="17"/>
  <c r="BC1266" i="17"/>
  <c r="BD1265" i="17"/>
  <c r="BE1265" i="17" s="1"/>
  <c r="AW1266" i="17"/>
  <c r="AX1265" i="17"/>
  <c r="AE1266" i="7"/>
  <c r="AF1266" i="7"/>
  <c r="AH1264" i="7"/>
  <c r="AG1265" i="7"/>
  <c r="CF1265" i="17" l="1"/>
  <c r="CG1265" i="17" s="1"/>
  <c r="BP1266" i="17"/>
  <c r="BQ1266" i="17" s="1"/>
  <c r="CG1264" i="17"/>
  <c r="CB1266" i="17"/>
  <c r="CE1266" i="17"/>
  <c r="BV1266" i="17"/>
  <c r="BW1266" i="17" s="1"/>
  <c r="CC1265" i="17"/>
  <c r="CA1267" i="17"/>
  <c r="CC1266" i="17"/>
  <c r="BW1265" i="17"/>
  <c r="BU1267" i="17"/>
  <c r="BJ1266" i="17"/>
  <c r="BK1266" i="17" s="1"/>
  <c r="BQ1265" i="17"/>
  <c r="BO1267" i="17"/>
  <c r="BK1265" i="17"/>
  <c r="BI1267" i="17"/>
  <c r="AX1266" i="17"/>
  <c r="AY1266" i="17" s="1"/>
  <c r="BD1266" i="17"/>
  <c r="BE1266" i="17" s="1"/>
  <c r="BC1267" i="17"/>
  <c r="AY1265" i="17"/>
  <c r="AW1267" i="17"/>
  <c r="AH1265" i="7"/>
  <c r="AG1266" i="7"/>
  <c r="AF1267" i="7"/>
  <c r="AE1267" i="7"/>
  <c r="CE1267" i="17" l="1"/>
  <c r="CF1266" i="17"/>
  <c r="CA1268" i="17"/>
  <c r="BJ1267" i="17"/>
  <c r="BK1267" i="17" s="1"/>
  <c r="CB1267" i="17"/>
  <c r="BU1268" i="17"/>
  <c r="BV1267" i="17"/>
  <c r="BO1268" i="17"/>
  <c r="BP1267" i="17"/>
  <c r="BI1268" i="17"/>
  <c r="BD1267" i="17"/>
  <c r="BE1267" i="17" s="1"/>
  <c r="BC1268" i="17"/>
  <c r="AW1268" i="17"/>
  <c r="AX1267" i="17"/>
  <c r="AF1268" i="7"/>
  <c r="AE1268" i="7"/>
  <c r="AG1267" i="7"/>
  <c r="AH1266" i="7"/>
  <c r="CB1268" i="17" l="1"/>
  <c r="CF1267" i="17"/>
  <c r="CG1267" i="17" s="1"/>
  <c r="CG1266" i="17"/>
  <c r="CE1268" i="17"/>
  <c r="BV1268" i="17"/>
  <c r="BD1268" i="17"/>
  <c r="BE1268" i="17" s="1"/>
  <c r="CC1267" i="17"/>
  <c r="CA1269" i="17"/>
  <c r="CC1268" i="17"/>
  <c r="BW1267" i="17"/>
  <c r="BU1269" i="17"/>
  <c r="BW1268" i="17"/>
  <c r="BP1268" i="17"/>
  <c r="BQ1268" i="17" s="1"/>
  <c r="BQ1267" i="17"/>
  <c r="BO1269" i="17"/>
  <c r="BI1269" i="17"/>
  <c r="BJ1268" i="17"/>
  <c r="BC1269" i="17"/>
  <c r="AX1268" i="17"/>
  <c r="AY1268" i="17" s="1"/>
  <c r="AY1267" i="17"/>
  <c r="AW1269" i="17"/>
  <c r="AF1269" i="7"/>
  <c r="AE1269" i="7"/>
  <c r="AG1268" i="7"/>
  <c r="AH1267" i="7"/>
  <c r="CE1269" i="17" l="1"/>
  <c r="CF1268" i="17"/>
  <c r="CA1270" i="17"/>
  <c r="CB1269" i="17"/>
  <c r="BU1270" i="17"/>
  <c r="BV1269" i="17"/>
  <c r="BJ1269" i="17"/>
  <c r="BK1269" i="17" s="1"/>
  <c r="BO1270" i="17"/>
  <c r="BP1269" i="17"/>
  <c r="BK1268" i="17"/>
  <c r="BI1270" i="17"/>
  <c r="BC1270" i="17"/>
  <c r="BD1269" i="17"/>
  <c r="AW1270" i="17"/>
  <c r="AX1269" i="17"/>
  <c r="AH1268" i="7"/>
  <c r="AG1269" i="7"/>
  <c r="AF1270" i="7"/>
  <c r="AE1270" i="7"/>
  <c r="CB1270" i="17" l="1"/>
  <c r="CF1269" i="17"/>
  <c r="CG1269" i="17" s="1"/>
  <c r="CG1268" i="17"/>
  <c r="CE1270" i="17"/>
  <c r="BV1270" i="17"/>
  <c r="CC1269" i="17"/>
  <c r="CA1271" i="17"/>
  <c r="CB1271" i="17" s="1"/>
  <c r="CC1270" i="17"/>
  <c r="BP1270" i="17"/>
  <c r="BQ1270" i="17" s="1"/>
  <c r="BW1269" i="17"/>
  <c r="BU1271" i="17"/>
  <c r="BW1270" i="17"/>
  <c r="BQ1269" i="17"/>
  <c r="BO1271" i="17"/>
  <c r="BD1270" i="17"/>
  <c r="BE1270" i="17" s="1"/>
  <c r="BI1271" i="17"/>
  <c r="BJ1270" i="17"/>
  <c r="AX1270" i="17"/>
  <c r="AY1270" i="17" s="1"/>
  <c r="BE1269" i="17"/>
  <c r="BC1271" i="17"/>
  <c r="AY1269" i="17"/>
  <c r="AW1271" i="17"/>
  <c r="AF1271" i="7"/>
  <c r="AE1271" i="7"/>
  <c r="AH1269" i="7"/>
  <c r="AG1270" i="7"/>
  <c r="CE1271" i="17" l="1"/>
  <c r="CF1270" i="17"/>
  <c r="CA1272" i="17"/>
  <c r="CB1272" i="17" s="1"/>
  <c r="CC1271" i="17"/>
  <c r="BU1272" i="17"/>
  <c r="BD1271" i="17"/>
  <c r="BE1271" i="17" s="1"/>
  <c r="BV1271" i="17"/>
  <c r="BJ1271" i="17"/>
  <c r="BK1271" i="17" s="1"/>
  <c r="BO1272" i="17"/>
  <c r="BP1271" i="17"/>
  <c r="BI1272" i="17"/>
  <c r="BK1270" i="17"/>
  <c r="BC1272" i="17"/>
  <c r="AW1272" i="17"/>
  <c r="AX1271" i="17"/>
  <c r="AH1270" i="7"/>
  <c r="AG1271" i="7"/>
  <c r="AE1272" i="7"/>
  <c r="AF1272" i="7"/>
  <c r="BJ1272" i="17" l="1"/>
  <c r="BK1272" i="17" s="1"/>
  <c r="CF1271" i="17"/>
  <c r="CG1271" i="17" s="1"/>
  <c r="BD1272" i="17"/>
  <c r="BE1272" i="17" s="1"/>
  <c r="CG1270" i="17"/>
  <c r="CE1272" i="17"/>
  <c r="CA1273" i="17"/>
  <c r="CC1272" i="17"/>
  <c r="BP1272" i="17"/>
  <c r="BQ1272" i="17" s="1"/>
  <c r="BV1272" i="17"/>
  <c r="BW1272" i="17" s="1"/>
  <c r="BW1271" i="17"/>
  <c r="BU1273" i="17"/>
  <c r="BQ1271" i="17"/>
  <c r="BO1273" i="17"/>
  <c r="BI1273" i="17"/>
  <c r="AX1272" i="17"/>
  <c r="AY1272" i="17" s="1"/>
  <c r="BC1273" i="17"/>
  <c r="AY1271" i="17"/>
  <c r="AW1273" i="17"/>
  <c r="AF1273" i="7"/>
  <c r="AE1273" i="7"/>
  <c r="AH1271" i="7"/>
  <c r="AG1272" i="7"/>
  <c r="CE1273" i="17" l="1"/>
  <c r="CF1272" i="17"/>
  <c r="CA1274" i="17"/>
  <c r="CB1273" i="17"/>
  <c r="BU1274" i="17"/>
  <c r="AX1273" i="17"/>
  <c r="AY1273" i="17" s="1"/>
  <c r="BV1273" i="17"/>
  <c r="BO1274" i="17"/>
  <c r="BP1273" i="17"/>
  <c r="BI1274" i="17"/>
  <c r="BJ1273" i="17"/>
  <c r="BC1274" i="17"/>
  <c r="BD1273" i="17"/>
  <c r="AW1274" i="17"/>
  <c r="AF1274" i="7"/>
  <c r="AE1274" i="7"/>
  <c r="AG1273" i="7"/>
  <c r="AH1272" i="7"/>
  <c r="CF1273" i="17" l="1"/>
  <c r="CG1273" i="17" s="1"/>
  <c r="CB1274" i="17"/>
  <c r="CC1274" i="17" s="1"/>
  <c r="BV1274" i="17"/>
  <c r="BW1274" i="17" s="1"/>
  <c r="CG1272" i="17"/>
  <c r="CE1274" i="17"/>
  <c r="CC1273" i="17"/>
  <c r="AX1274" i="17"/>
  <c r="CA1275" i="17"/>
  <c r="BW1273" i="17"/>
  <c r="BU1275" i="17"/>
  <c r="BP1274" i="17"/>
  <c r="BQ1274" i="17" s="1"/>
  <c r="BQ1273" i="17"/>
  <c r="BO1275" i="17"/>
  <c r="BJ1274" i="17"/>
  <c r="BK1274" i="17" s="1"/>
  <c r="BK1273" i="17"/>
  <c r="BI1275" i="17"/>
  <c r="BD1274" i="17"/>
  <c r="BE1274" i="17" s="1"/>
  <c r="BE1273" i="17"/>
  <c r="BC1275" i="17"/>
  <c r="AW1275" i="17"/>
  <c r="AY1274" i="17"/>
  <c r="AF1275" i="7"/>
  <c r="AE1275" i="7"/>
  <c r="AG1274" i="7"/>
  <c r="AH1273" i="7"/>
  <c r="CF1274" i="17" l="1"/>
  <c r="CG1274" i="17" s="1"/>
  <c r="CE1275" i="17"/>
  <c r="CA1276" i="17"/>
  <c r="CB1275" i="17"/>
  <c r="BU1276" i="17"/>
  <c r="BV1275" i="17"/>
  <c r="BO1276" i="17"/>
  <c r="BP1275" i="17"/>
  <c r="BJ1275" i="17"/>
  <c r="BK1275" i="17" s="1"/>
  <c r="BI1276" i="17"/>
  <c r="BC1276" i="17"/>
  <c r="BD1275" i="17"/>
  <c r="AW1276" i="17"/>
  <c r="AX1275" i="17"/>
  <c r="AF1276" i="7"/>
  <c r="AE1276" i="7"/>
  <c r="AH1274" i="7"/>
  <c r="AG1275" i="7"/>
  <c r="BJ1276" i="17" l="1"/>
  <c r="BK1276" i="17" s="1"/>
  <c r="CB1276" i="17"/>
  <c r="CC1276" i="17" s="1"/>
  <c r="CE1276" i="17"/>
  <c r="CF1275" i="17"/>
  <c r="CC1275" i="17"/>
  <c r="BV1276" i="17"/>
  <c r="CA1277" i="17"/>
  <c r="BW1275" i="17"/>
  <c r="BU1277" i="17"/>
  <c r="BW1276" i="17"/>
  <c r="BP1276" i="17"/>
  <c r="BQ1276" i="17" s="1"/>
  <c r="BQ1275" i="17"/>
  <c r="BO1277" i="17"/>
  <c r="BI1277" i="17"/>
  <c r="BC1277" i="17"/>
  <c r="BD1276" i="17"/>
  <c r="BE1275" i="17"/>
  <c r="AX1276" i="17"/>
  <c r="AY1276" i="17" s="1"/>
  <c r="AY1275" i="17"/>
  <c r="AW1277" i="17"/>
  <c r="AH1275" i="7"/>
  <c r="AG1276" i="7"/>
  <c r="AF1277" i="7"/>
  <c r="AE1277" i="7"/>
  <c r="BJ1277" i="17" l="1"/>
  <c r="BK1277" i="17" s="1"/>
  <c r="CF1276" i="17"/>
  <c r="CG1276" i="17" s="1"/>
  <c r="CG1275" i="17"/>
  <c r="CE1277" i="17"/>
  <c r="CA1278" i="17"/>
  <c r="CB1277" i="17"/>
  <c r="BU1278" i="17"/>
  <c r="BV1277" i="17"/>
  <c r="BO1278" i="17"/>
  <c r="BP1277" i="17"/>
  <c r="BI1278" i="17"/>
  <c r="BD1277" i="17"/>
  <c r="BE1277" i="17" s="1"/>
  <c r="BE1276" i="17"/>
  <c r="BC1278" i="17"/>
  <c r="AX1277" i="17"/>
  <c r="AY1277" i="17" s="1"/>
  <c r="AW1278" i="17"/>
  <c r="AE1278" i="7"/>
  <c r="AF1278" i="7"/>
  <c r="AH1276" i="7"/>
  <c r="AG1277" i="7"/>
  <c r="BJ1278" i="17" l="1"/>
  <c r="BK1278" i="17" s="1"/>
  <c r="CB1278" i="17"/>
  <c r="CC1278" i="17" s="1"/>
  <c r="CE1278" i="17"/>
  <c r="CF1277" i="17"/>
  <c r="CC1277" i="17"/>
  <c r="CA1279" i="17"/>
  <c r="BV1278" i="17"/>
  <c r="BW1278" i="17" s="1"/>
  <c r="BW1277" i="17"/>
  <c r="BU1279" i="17"/>
  <c r="BP1278" i="17"/>
  <c r="BQ1278" i="17" s="1"/>
  <c r="BQ1277" i="17"/>
  <c r="BO1279" i="17"/>
  <c r="BI1279" i="17"/>
  <c r="BC1279" i="17"/>
  <c r="BD1278" i="17"/>
  <c r="AW1279" i="17"/>
  <c r="AX1278" i="17"/>
  <c r="AH1277" i="7"/>
  <c r="AG1278" i="7"/>
  <c r="AF1279" i="7"/>
  <c r="AE1279" i="7"/>
  <c r="CF1278" i="17" l="1"/>
  <c r="CG1278" i="17" s="1"/>
  <c r="CG1277" i="17"/>
  <c r="CE1279" i="17"/>
  <c r="CA1280" i="17"/>
  <c r="CB1279" i="17"/>
  <c r="BU1280" i="17"/>
  <c r="BV1279" i="17"/>
  <c r="BD1279" i="17"/>
  <c r="BE1279" i="17" s="1"/>
  <c r="BO1280" i="17"/>
  <c r="BP1279" i="17"/>
  <c r="BI1280" i="17"/>
  <c r="BJ1279" i="17"/>
  <c r="BE1278" i="17"/>
  <c r="BC1280" i="17"/>
  <c r="AX1279" i="17"/>
  <c r="AY1279" i="17" s="1"/>
  <c r="AY1278" i="17"/>
  <c r="AW1280" i="17"/>
  <c r="AF1280" i="7"/>
  <c r="AE1280" i="7"/>
  <c r="AG1279" i="7"/>
  <c r="AH1278" i="7"/>
  <c r="CB1280" i="17" l="1"/>
  <c r="CC1280" i="17" s="1"/>
  <c r="CE1280" i="17"/>
  <c r="CF1279" i="17"/>
  <c r="CC1279" i="17"/>
  <c r="CA1281" i="17"/>
  <c r="BV1280" i="17"/>
  <c r="BW1280" i="17" s="1"/>
  <c r="BW1279" i="17"/>
  <c r="BU1281" i="17"/>
  <c r="BP1280" i="17"/>
  <c r="BQ1280" i="17" s="1"/>
  <c r="BQ1279" i="17"/>
  <c r="BO1281" i="17"/>
  <c r="BJ1280" i="17"/>
  <c r="BK1280" i="17" s="1"/>
  <c r="BK1279" i="17"/>
  <c r="BI1281" i="17"/>
  <c r="BC1281" i="17"/>
  <c r="BD1280" i="17"/>
  <c r="AW1281" i="17"/>
  <c r="AX1280" i="17"/>
  <c r="AG1280" i="7"/>
  <c r="AH1279" i="7"/>
  <c r="AF1281" i="7"/>
  <c r="AE1281" i="7"/>
  <c r="CF1280" i="17" l="1"/>
  <c r="CG1280" i="17" s="1"/>
  <c r="CG1279" i="17"/>
  <c r="CE1281" i="17"/>
  <c r="CA1282" i="17"/>
  <c r="CB1281" i="17"/>
  <c r="BU1282" i="17"/>
  <c r="BV1281" i="17"/>
  <c r="BO1282" i="17"/>
  <c r="BP1281" i="17"/>
  <c r="BD1281" i="17"/>
  <c r="BE1281" i="17" s="1"/>
  <c r="BI1282" i="17"/>
  <c r="BJ1281" i="17"/>
  <c r="BE1280" i="17"/>
  <c r="BC1282" i="17"/>
  <c r="AX1281" i="17"/>
  <c r="AY1281" i="17" s="1"/>
  <c r="AY1280" i="17"/>
  <c r="AW1282" i="17"/>
  <c r="AF1282" i="7"/>
  <c r="AE1282" i="7"/>
  <c r="AH1280" i="7"/>
  <c r="AG1281" i="7"/>
  <c r="CE1282" i="17" l="1"/>
  <c r="CF1281" i="17"/>
  <c r="CB1282" i="17"/>
  <c r="CC1282" i="17" s="1"/>
  <c r="CC1281" i="17"/>
  <c r="CA1283" i="17"/>
  <c r="BP1282" i="17"/>
  <c r="BQ1282" i="17" s="1"/>
  <c r="BV1282" i="17"/>
  <c r="BW1282" i="17" s="1"/>
  <c r="BW1281" i="17"/>
  <c r="BU1283" i="17"/>
  <c r="BQ1281" i="17"/>
  <c r="BO1283" i="17"/>
  <c r="BJ1282" i="17"/>
  <c r="BK1282" i="17" s="1"/>
  <c r="BK1281" i="17"/>
  <c r="BI1283" i="17"/>
  <c r="BC1283" i="17"/>
  <c r="BD1282" i="17"/>
  <c r="AW1283" i="17"/>
  <c r="AX1282" i="17"/>
  <c r="AF1283" i="7"/>
  <c r="AE1283" i="7"/>
  <c r="AH1281" i="7"/>
  <c r="AG1282" i="7"/>
  <c r="CF1282" i="17" l="1"/>
  <c r="CG1282" i="17" s="1"/>
  <c r="CG1281" i="17"/>
  <c r="CE1283" i="17"/>
  <c r="CA1284" i="17"/>
  <c r="CB1283" i="17"/>
  <c r="BU1284" i="17"/>
  <c r="BV1283" i="17"/>
  <c r="BO1284" i="17"/>
  <c r="BP1283" i="17"/>
  <c r="BD1283" i="17"/>
  <c r="BE1283" i="17" s="1"/>
  <c r="BI1284" i="17"/>
  <c r="BJ1283" i="17"/>
  <c r="AX1283" i="17"/>
  <c r="AY1283" i="17" s="1"/>
  <c r="BE1282" i="17"/>
  <c r="BC1284" i="17"/>
  <c r="AY1282" i="17"/>
  <c r="AW1284" i="17"/>
  <c r="AH1282" i="7"/>
  <c r="AG1283" i="7"/>
  <c r="AE1284" i="7"/>
  <c r="AF1284" i="7"/>
  <c r="CE1284" i="17" l="1"/>
  <c r="CF1283" i="17"/>
  <c r="CB1284" i="17"/>
  <c r="CC1283" i="17"/>
  <c r="BV1284" i="17"/>
  <c r="BW1284" i="17" s="1"/>
  <c r="CA1285" i="17"/>
  <c r="CC1284" i="17"/>
  <c r="BW1283" i="17"/>
  <c r="BU1285" i="17"/>
  <c r="BP1284" i="17"/>
  <c r="BQ1284" i="17" s="1"/>
  <c r="BJ1284" i="17"/>
  <c r="BK1284" i="17" s="1"/>
  <c r="BQ1283" i="17"/>
  <c r="BO1285" i="17"/>
  <c r="BK1283" i="17"/>
  <c r="BI1285" i="17"/>
  <c r="BC1285" i="17"/>
  <c r="BD1284" i="17"/>
  <c r="AW1285" i="17"/>
  <c r="AX1284" i="17"/>
  <c r="AF1285" i="7"/>
  <c r="AE1285" i="7"/>
  <c r="AH1283" i="7"/>
  <c r="AG1284" i="7"/>
  <c r="CF1284" i="17" l="1"/>
  <c r="CG1284" i="17" s="1"/>
  <c r="CG1283" i="17"/>
  <c r="CE1285" i="17"/>
  <c r="CA1286" i="17"/>
  <c r="CB1285" i="17"/>
  <c r="BU1286" i="17"/>
  <c r="BV1285" i="17"/>
  <c r="BO1286" i="17"/>
  <c r="BP1285" i="17"/>
  <c r="BI1286" i="17"/>
  <c r="BJ1285" i="17"/>
  <c r="BD1285" i="17"/>
  <c r="BE1285" i="17" s="1"/>
  <c r="BE1284" i="17"/>
  <c r="BC1286" i="17"/>
  <c r="AX1285" i="17"/>
  <c r="AY1285" i="17" s="1"/>
  <c r="AY1284" i="17"/>
  <c r="AW1286" i="17"/>
  <c r="AG1285" i="7"/>
  <c r="AH1284" i="7"/>
  <c r="AF1286" i="7"/>
  <c r="AE1286" i="7"/>
  <c r="CF1285" i="17" l="1"/>
  <c r="CG1285" i="17" s="1"/>
  <c r="CE1286" i="17"/>
  <c r="CB1286" i="17"/>
  <c r="CC1286" i="17" s="1"/>
  <c r="CC1285" i="17"/>
  <c r="CA1287" i="17"/>
  <c r="BV1286" i="17"/>
  <c r="BW1286" i="17" s="1"/>
  <c r="BW1285" i="17"/>
  <c r="BU1287" i="17"/>
  <c r="BP1286" i="17"/>
  <c r="BQ1286" i="17" s="1"/>
  <c r="BQ1285" i="17"/>
  <c r="BO1287" i="17"/>
  <c r="BJ1286" i="17"/>
  <c r="BK1286" i="17" s="1"/>
  <c r="BK1285" i="17"/>
  <c r="BI1287" i="17"/>
  <c r="BC1287" i="17"/>
  <c r="BD1286" i="17"/>
  <c r="AW1287" i="17"/>
  <c r="AX1286" i="17"/>
  <c r="AF1287" i="7"/>
  <c r="AE1287" i="7"/>
  <c r="AG1286" i="7"/>
  <c r="AH1285" i="7"/>
  <c r="CE1287" i="17" l="1"/>
  <c r="CF1286" i="17"/>
  <c r="CA1288" i="17"/>
  <c r="CB1287" i="17"/>
  <c r="BU1288" i="17"/>
  <c r="BV1287" i="17"/>
  <c r="BO1288" i="17"/>
  <c r="BP1287" i="17"/>
  <c r="AX1287" i="17"/>
  <c r="AY1287" i="17" s="1"/>
  <c r="BI1288" i="17"/>
  <c r="BJ1287" i="17"/>
  <c r="BD1287" i="17"/>
  <c r="BE1287" i="17" s="1"/>
  <c r="BE1286" i="17"/>
  <c r="BC1288" i="17"/>
  <c r="AY1286" i="17"/>
  <c r="AW1288" i="17"/>
  <c r="AH1286" i="7"/>
  <c r="AG1287" i="7"/>
  <c r="AF1288" i="7"/>
  <c r="AE1288" i="7"/>
  <c r="BV1288" i="17" l="1"/>
  <c r="BW1288" i="17" s="1"/>
  <c r="CF1287" i="17"/>
  <c r="CG1287" i="17" s="1"/>
  <c r="CG1286" i="17"/>
  <c r="CE1288" i="17"/>
  <c r="CB1288" i="17"/>
  <c r="CC1287" i="17"/>
  <c r="BP1288" i="17"/>
  <c r="BQ1288" i="17" s="1"/>
  <c r="CA1289" i="17"/>
  <c r="CC1288" i="17"/>
  <c r="BW1287" i="17"/>
  <c r="BU1289" i="17"/>
  <c r="BQ1287" i="17"/>
  <c r="BO1289" i="17"/>
  <c r="BJ1288" i="17"/>
  <c r="BK1288" i="17" s="1"/>
  <c r="BK1287" i="17"/>
  <c r="BI1289" i="17"/>
  <c r="BC1289" i="17"/>
  <c r="BD1288" i="17"/>
  <c r="AW1289" i="17"/>
  <c r="AX1288" i="17"/>
  <c r="AF1289" i="7"/>
  <c r="AE1289" i="7"/>
  <c r="AH1287" i="7"/>
  <c r="AG1288" i="7"/>
  <c r="CE1289" i="17" l="1"/>
  <c r="CF1288" i="17"/>
  <c r="CA1290" i="17"/>
  <c r="CB1289" i="17"/>
  <c r="BU1290" i="17"/>
  <c r="BV1289" i="17"/>
  <c r="BO1290" i="17"/>
  <c r="BP1289" i="17"/>
  <c r="BD1289" i="17"/>
  <c r="BE1289" i="17" s="1"/>
  <c r="BI1290" i="17"/>
  <c r="BJ1289" i="17"/>
  <c r="AX1289" i="17"/>
  <c r="AY1289" i="17" s="1"/>
  <c r="BE1288" i="17"/>
  <c r="BC1290" i="17"/>
  <c r="AY1288" i="17"/>
  <c r="AW1290" i="17"/>
  <c r="AH1288" i="7"/>
  <c r="AG1289" i="7"/>
  <c r="AE1290" i="7"/>
  <c r="AF1290" i="7"/>
  <c r="CF1289" i="17" l="1"/>
  <c r="CG1289" i="17" s="1"/>
  <c r="CG1288" i="17"/>
  <c r="CE1290" i="17"/>
  <c r="CB1290" i="17"/>
  <c r="CC1290" i="17" s="1"/>
  <c r="CC1289" i="17"/>
  <c r="CA1291" i="17"/>
  <c r="BV1290" i="17"/>
  <c r="BW1290" i="17" s="1"/>
  <c r="BP1290" i="17"/>
  <c r="BQ1290" i="17" s="1"/>
  <c r="BW1289" i="17"/>
  <c r="BU1291" i="17"/>
  <c r="BJ1290" i="17"/>
  <c r="BK1290" i="17" s="1"/>
  <c r="BQ1289" i="17"/>
  <c r="BO1291" i="17"/>
  <c r="BI1291" i="17"/>
  <c r="BK1289" i="17"/>
  <c r="BC1291" i="17"/>
  <c r="BD1290" i="17"/>
  <c r="AW1291" i="17"/>
  <c r="AX1290" i="17"/>
  <c r="AF1291" i="7"/>
  <c r="AE1291" i="7"/>
  <c r="AH1289" i="7"/>
  <c r="AG1290" i="7"/>
  <c r="CE1291" i="17" l="1"/>
  <c r="CF1290" i="17"/>
  <c r="CA1292" i="17"/>
  <c r="CB1291" i="17"/>
  <c r="BU1292" i="17"/>
  <c r="BV1291" i="17"/>
  <c r="BJ1291" i="17"/>
  <c r="BK1291" i="17" s="1"/>
  <c r="BO1292" i="17"/>
  <c r="BP1291" i="17"/>
  <c r="BD1291" i="17"/>
  <c r="BE1291" i="17" s="1"/>
  <c r="BI1292" i="17"/>
  <c r="AX1291" i="17"/>
  <c r="AY1291" i="17" s="1"/>
  <c r="BE1290" i="17"/>
  <c r="BC1292" i="17"/>
  <c r="AY1290" i="17"/>
  <c r="AW1292" i="17"/>
  <c r="AG1291" i="7"/>
  <c r="AH1290" i="7"/>
  <c r="AF1292" i="7"/>
  <c r="AE1292" i="7"/>
  <c r="CF1291" i="17" l="1"/>
  <c r="CG1291" i="17" s="1"/>
  <c r="BV1292" i="17"/>
  <c r="BW1292" i="17" s="1"/>
  <c r="CG1290" i="17"/>
  <c r="CE1292" i="17"/>
  <c r="CB1292" i="17"/>
  <c r="CC1292" i="17" s="1"/>
  <c r="BD1292" i="17"/>
  <c r="BE1292" i="17" s="1"/>
  <c r="CC1291" i="17"/>
  <c r="CA1293" i="17"/>
  <c r="BP1292" i="17"/>
  <c r="BQ1292" i="17" s="1"/>
  <c r="BW1291" i="17"/>
  <c r="BU1293" i="17"/>
  <c r="BQ1291" i="17"/>
  <c r="BO1293" i="17"/>
  <c r="BI1293" i="17"/>
  <c r="BJ1292" i="17"/>
  <c r="BC1293" i="17"/>
  <c r="AW1293" i="17"/>
  <c r="AX1292" i="17"/>
  <c r="AF1293" i="7"/>
  <c r="AE1293" i="7"/>
  <c r="AG1292" i="7"/>
  <c r="AH1291" i="7"/>
  <c r="BV1293" i="17" l="1"/>
  <c r="BW1293" i="17" s="1"/>
  <c r="BD1293" i="17"/>
  <c r="BE1293" i="17" s="1"/>
  <c r="CE1293" i="17"/>
  <c r="CF1292" i="17"/>
  <c r="CA1294" i="17"/>
  <c r="CB1293" i="17"/>
  <c r="BU1294" i="17"/>
  <c r="BO1294" i="17"/>
  <c r="BJ1293" i="17"/>
  <c r="BK1293" i="17" s="1"/>
  <c r="BP1293" i="17"/>
  <c r="BK1292" i="17"/>
  <c r="BI1294" i="17"/>
  <c r="BC1294" i="17"/>
  <c r="AX1293" i="17"/>
  <c r="AY1293" i="17" s="1"/>
  <c r="AY1292" i="17"/>
  <c r="AW1294" i="17"/>
  <c r="AH1292" i="7"/>
  <c r="AG1293" i="7"/>
  <c r="AF1294" i="7"/>
  <c r="AE1294" i="7"/>
  <c r="CB1294" i="17" l="1"/>
  <c r="CC1294" i="17" s="1"/>
  <c r="CF1293" i="17"/>
  <c r="CG1293" i="17" s="1"/>
  <c r="CG1292" i="17"/>
  <c r="CE1294" i="17"/>
  <c r="BP1294" i="17"/>
  <c r="BQ1294" i="17" s="1"/>
  <c r="CC1293" i="17"/>
  <c r="CA1295" i="17"/>
  <c r="BU1295" i="17"/>
  <c r="BV1294" i="17"/>
  <c r="BQ1293" i="17"/>
  <c r="BO1295" i="17"/>
  <c r="BI1295" i="17"/>
  <c r="BJ1294" i="17"/>
  <c r="BC1295" i="17"/>
  <c r="BD1294" i="17"/>
  <c r="AW1295" i="17"/>
  <c r="AX1294" i="17"/>
  <c r="AF1295" i="7"/>
  <c r="AE1295" i="7"/>
  <c r="AH1293" i="7"/>
  <c r="AG1294" i="7"/>
  <c r="CE1295" i="17" l="1"/>
  <c r="CF1294" i="17"/>
  <c r="CA1296" i="17"/>
  <c r="CB1295" i="17"/>
  <c r="BV1295" i="17"/>
  <c r="BW1294" i="17"/>
  <c r="BU1296" i="17"/>
  <c r="BW1295" i="17"/>
  <c r="BJ1295" i="17"/>
  <c r="BK1295" i="17" s="1"/>
  <c r="BO1296" i="17"/>
  <c r="BP1295" i="17"/>
  <c r="BK1294" i="17"/>
  <c r="BI1296" i="17"/>
  <c r="BD1295" i="17"/>
  <c r="BE1295" i="17" s="1"/>
  <c r="BE1294" i="17"/>
  <c r="BC1296" i="17"/>
  <c r="AX1295" i="17"/>
  <c r="AY1295" i="17" s="1"/>
  <c r="AY1294" i="17"/>
  <c r="AW1296" i="17"/>
  <c r="AH1294" i="7"/>
  <c r="AG1295" i="7"/>
  <c r="AE1296" i="7"/>
  <c r="AF1296" i="7"/>
  <c r="CB1296" i="17" l="1"/>
  <c r="CC1296" i="17" s="1"/>
  <c r="CF1295" i="17"/>
  <c r="CG1295" i="17" s="1"/>
  <c r="CG1294" i="17"/>
  <c r="CE1296" i="17"/>
  <c r="CC1295" i="17"/>
  <c r="CA1297" i="17"/>
  <c r="BP1296" i="17"/>
  <c r="BQ1296" i="17" s="1"/>
  <c r="BU1297" i="17"/>
  <c r="BV1296" i="17"/>
  <c r="BQ1295" i="17"/>
  <c r="BO1297" i="17"/>
  <c r="BI1297" i="17"/>
  <c r="BJ1296" i="17"/>
  <c r="BC1297" i="17"/>
  <c r="BD1296" i="17"/>
  <c r="AW1297" i="17"/>
  <c r="AX1296" i="17"/>
  <c r="AF1297" i="7"/>
  <c r="AE1297" i="7"/>
  <c r="AH1295" i="7"/>
  <c r="AG1296" i="7"/>
  <c r="CE1297" i="17" l="1"/>
  <c r="CF1296" i="17"/>
  <c r="BV1297" i="17"/>
  <c r="CA1298" i="17"/>
  <c r="CB1297" i="17"/>
  <c r="BW1296" i="17"/>
  <c r="BU1298" i="17"/>
  <c r="BV1298" i="17" s="1"/>
  <c r="BW1297" i="17"/>
  <c r="BO1298" i="17"/>
  <c r="BP1297" i="17"/>
  <c r="BJ1297" i="17"/>
  <c r="BK1297" i="17" s="1"/>
  <c r="BK1296" i="17"/>
  <c r="BI1298" i="17"/>
  <c r="AX1297" i="17"/>
  <c r="AY1297" i="17" s="1"/>
  <c r="BD1297" i="17"/>
  <c r="BE1297" i="17" s="1"/>
  <c r="BE1296" i="17"/>
  <c r="BC1298" i="17"/>
  <c r="AY1296" i="17"/>
  <c r="AW1298" i="17"/>
  <c r="AG1297" i="7"/>
  <c r="AH1296" i="7"/>
  <c r="AE1298" i="7"/>
  <c r="AF1298" i="7"/>
  <c r="CF1297" i="17" l="1"/>
  <c r="CG1297" i="17" s="1"/>
  <c r="CG1296" i="17"/>
  <c r="CE1298" i="17"/>
  <c r="CB1298" i="17"/>
  <c r="CC1297" i="17"/>
  <c r="CA1299" i="17"/>
  <c r="CC1298" i="17"/>
  <c r="BU1299" i="17"/>
  <c r="BV1299" i="17" s="1"/>
  <c r="BW1298" i="17"/>
  <c r="BP1298" i="17"/>
  <c r="BQ1298" i="17" s="1"/>
  <c r="BQ1297" i="17"/>
  <c r="BO1299" i="17"/>
  <c r="BI1299" i="17"/>
  <c r="BJ1298" i="17"/>
  <c r="BC1299" i="17"/>
  <c r="BD1298" i="17"/>
  <c r="AW1299" i="17"/>
  <c r="AX1298" i="17"/>
  <c r="AF1299" i="7"/>
  <c r="AE1299" i="7"/>
  <c r="AG1298" i="7"/>
  <c r="AH1297" i="7"/>
  <c r="CB1299" i="17" l="1"/>
  <c r="CC1299" i="17" s="1"/>
  <c r="CE1299" i="17"/>
  <c r="CF1298" i="17"/>
  <c r="CA1300" i="17"/>
  <c r="BU1300" i="17"/>
  <c r="BW1299" i="17"/>
  <c r="BO1300" i="17"/>
  <c r="BP1299" i="17"/>
  <c r="BD1299" i="17"/>
  <c r="BE1299" i="17" s="1"/>
  <c r="BI1300" i="17"/>
  <c r="BJ1299" i="17"/>
  <c r="BK1298" i="17"/>
  <c r="BE1298" i="17"/>
  <c r="BC1300" i="17"/>
  <c r="AX1299" i="17"/>
  <c r="AY1299" i="17" s="1"/>
  <c r="AY1298" i="17"/>
  <c r="AW1300" i="17"/>
  <c r="AG1299" i="7"/>
  <c r="AH1298" i="7"/>
  <c r="AE1300" i="7"/>
  <c r="AF1300" i="7"/>
  <c r="CF1299" i="17" l="1"/>
  <c r="CG1299" i="17" s="1"/>
  <c r="CG1298" i="17"/>
  <c r="CE1300" i="17"/>
  <c r="BP1300" i="17"/>
  <c r="BQ1300" i="17" s="1"/>
  <c r="CA1301" i="17"/>
  <c r="CB1300" i="17"/>
  <c r="BU1301" i="17"/>
  <c r="BV1300" i="17"/>
  <c r="BJ1300" i="17"/>
  <c r="BK1300" i="17" s="1"/>
  <c r="BQ1299" i="17"/>
  <c r="BO1301" i="17"/>
  <c r="BK1299" i="17"/>
  <c r="BI1301" i="17"/>
  <c r="BC1301" i="17"/>
  <c r="BD1300" i="17"/>
  <c r="AW1301" i="17"/>
  <c r="AX1300" i="17"/>
  <c r="AF1301" i="7"/>
  <c r="AE1301" i="7"/>
  <c r="AH1299" i="7"/>
  <c r="AG1300" i="7"/>
  <c r="CB1301" i="17" l="1"/>
  <c r="CC1301" i="17" s="1"/>
  <c r="BJ1301" i="17"/>
  <c r="BK1301" i="17" s="1"/>
  <c r="CE1301" i="17"/>
  <c r="CF1300" i="17"/>
  <c r="CC1300" i="17"/>
  <c r="CA1302" i="17"/>
  <c r="BV1301" i="17"/>
  <c r="BW1301" i="17" s="1"/>
  <c r="BW1300" i="17"/>
  <c r="BU1302" i="17"/>
  <c r="BO1302" i="17"/>
  <c r="BP1301" i="17"/>
  <c r="BD1301" i="17"/>
  <c r="BE1301" i="17" s="1"/>
  <c r="BI1302" i="17"/>
  <c r="AX1301" i="17"/>
  <c r="AY1301" i="17" s="1"/>
  <c r="BE1300" i="17"/>
  <c r="BC1302" i="17"/>
  <c r="AY1300" i="17"/>
  <c r="AW1302" i="17"/>
  <c r="AG1301" i="7"/>
  <c r="AH1300" i="7"/>
  <c r="AF1302" i="7"/>
  <c r="AE1302" i="7"/>
  <c r="CF1301" i="17" l="1"/>
  <c r="CG1300" i="17"/>
  <c r="CE1302" i="17"/>
  <c r="CF1302" i="17" s="1"/>
  <c r="CG1301" i="17"/>
  <c r="CA1303" i="17"/>
  <c r="CB1302" i="17"/>
  <c r="BP1302" i="17"/>
  <c r="BQ1302" i="17" s="1"/>
  <c r="BU1303" i="17"/>
  <c r="BV1302" i="17"/>
  <c r="BQ1301" i="17"/>
  <c r="BO1303" i="17"/>
  <c r="BP1303" i="17" s="1"/>
  <c r="BI1303" i="17"/>
  <c r="BJ1302" i="17"/>
  <c r="BC1303" i="17"/>
  <c r="BD1302" i="17"/>
  <c r="AW1303" i="17"/>
  <c r="AX1302" i="17"/>
  <c r="AF1303" i="7"/>
  <c r="AE1303" i="7"/>
  <c r="AG1302" i="7"/>
  <c r="AH1301" i="7"/>
  <c r="CB1303" i="17" l="1"/>
  <c r="CC1303" i="17" s="1"/>
  <c r="CE1303" i="17"/>
  <c r="CF1303" i="17" s="1"/>
  <c r="CG1302" i="17"/>
  <c r="CC1302" i="17"/>
  <c r="CA1304" i="17"/>
  <c r="BV1303" i="17"/>
  <c r="BW1303" i="17" s="1"/>
  <c r="BW1302" i="17"/>
  <c r="BU1304" i="17"/>
  <c r="BO1304" i="17"/>
  <c r="BP1304" i="17" s="1"/>
  <c r="BQ1303" i="17"/>
  <c r="BJ1303" i="17"/>
  <c r="BK1303" i="17" s="1"/>
  <c r="BD1303" i="17"/>
  <c r="BE1303" i="17" s="1"/>
  <c r="BK1302" i="17"/>
  <c r="BI1304" i="17"/>
  <c r="AX1303" i="17"/>
  <c r="AY1303" i="17" s="1"/>
  <c r="BE1302" i="17"/>
  <c r="BC1304" i="17"/>
  <c r="AY1302" i="17"/>
  <c r="AW1304" i="17"/>
  <c r="AE1304" i="7"/>
  <c r="AF1304" i="7"/>
  <c r="AH1302" i="7"/>
  <c r="AG1303" i="7"/>
  <c r="CE1304" i="17" l="1"/>
  <c r="CG1303" i="17"/>
  <c r="BJ1304" i="17"/>
  <c r="BK1304" i="17" s="1"/>
  <c r="CA1305" i="17"/>
  <c r="CB1304" i="17"/>
  <c r="BU1305" i="17"/>
  <c r="BV1304" i="17"/>
  <c r="BO1305" i="17"/>
  <c r="BQ1304" i="17"/>
  <c r="BI1305" i="17"/>
  <c r="BC1305" i="17"/>
  <c r="BD1304" i="17"/>
  <c r="AW1305" i="17"/>
  <c r="AX1304" i="17"/>
  <c r="AH1303" i="7"/>
  <c r="AG1304" i="7"/>
  <c r="AF1305" i="7"/>
  <c r="AE1305" i="7"/>
  <c r="BJ1305" i="17" l="1"/>
  <c r="CE1305" i="17"/>
  <c r="CF1304" i="17"/>
  <c r="CB1305" i="17"/>
  <c r="CA1306" i="17"/>
  <c r="CC1304" i="17"/>
  <c r="BV1305" i="17"/>
  <c r="BW1305" i="17" s="1"/>
  <c r="BW1304" i="17"/>
  <c r="BU1306" i="17"/>
  <c r="BD1305" i="17"/>
  <c r="BE1305" i="17" s="1"/>
  <c r="BO1306" i="17"/>
  <c r="BP1305" i="17"/>
  <c r="BI1306" i="17"/>
  <c r="BJ1306" i="17" s="1"/>
  <c r="BK1305" i="17"/>
  <c r="AX1305" i="17"/>
  <c r="AY1305" i="17" s="1"/>
  <c r="BE1304" i="17"/>
  <c r="BC1306" i="17"/>
  <c r="AY1304" i="17"/>
  <c r="AW1306" i="17"/>
  <c r="AE1306" i="7"/>
  <c r="AF1306" i="7"/>
  <c r="AG1305" i="7"/>
  <c r="AH1304" i="7"/>
  <c r="CB1306" i="17" l="1"/>
  <c r="CC1306" i="17" s="1"/>
  <c r="CC1305" i="17"/>
  <c r="CF1305" i="17"/>
  <c r="CG1305" i="17" s="1"/>
  <c r="CG1304" i="17"/>
  <c r="CE1306" i="17"/>
  <c r="CA1307" i="17"/>
  <c r="BP1306" i="17"/>
  <c r="BQ1306" i="17" s="1"/>
  <c r="BU1307" i="17"/>
  <c r="BV1306" i="17"/>
  <c r="BQ1305" i="17"/>
  <c r="BO1307" i="17"/>
  <c r="BI1307" i="17"/>
  <c r="BK1306" i="17"/>
  <c r="BC1307" i="17"/>
  <c r="BD1306" i="17"/>
  <c r="AW1307" i="17"/>
  <c r="AX1306" i="17"/>
  <c r="AG1306" i="7"/>
  <c r="AH1305" i="7"/>
  <c r="AF1307" i="7"/>
  <c r="AE1307" i="7"/>
  <c r="CE1307" i="17" l="1"/>
  <c r="CF1306" i="17"/>
  <c r="CB1307" i="17"/>
  <c r="CC1307" i="17" s="1"/>
  <c r="BV1307" i="17"/>
  <c r="BW1307" i="17" s="1"/>
  <c r="BW1306" i="17"/>
  <c r="BD1307" i="17"/>
  <c r="BE1307" i="17" s="1"/>
  <c r="BP1307" i="17"/>
  <c r="BQ1307" i="17" s="1"/>
  <c r="BJ1307" i="17"/>
  <c r="BK1307" i="17" s="1"/>
  <c r="AX1307" i="17"/>
  <c r="AY1307" i="17" s="1"/>
  <c r="BE1306" i="17"/>
  <c r="AY1306" i="17"/>
  <c r="B11" i="2"/>
  <c r="C7" i="15"/>
  <c r="C8" i="15" s="1"/>
  <c r="AG1307" i="7"/>
  <c r="AH1307" i="7" s="1"/>
  <c r="AH1306" i="7"/>
  <c r="CF1307" i="17" l="1"/>
  <c r="CG1307" i="17" s="1"/>
  <c r="C19" i="17" s="1"/>
  <c r="C20" i="17" s="1"/>
  <c r="CG1306" i="17"/>
  <c r="C54" i="15"/>
  <c r="F54" i="15" s="1"/>
  <c r="D11" i="2"/>
</calcChain>
</file>

<file path=xl/sharedStrings.xml><?xml version="1.0" encoding="utf-8"?>
<sst xmlns="http://schemas.openxmlformats.org/spreadsheetml/2006/main" count="731" uniqueCount="542">
  <si>
    <t>これは何か</t>
  </si>
  <si>
    <t>【重要】データ更新はマクロ(VBA)で行います</t>
  </si>
  <si>
    <t>ダッシュボードの緑の【データ更新】ボタンを押すと、VBAが米財務省/日本財務省/NY連銀/Yahoo/Pensford(ASWスワップ)からヒストリカルデータ込みで再取得し、『履歴データ』シートを書き換えます。全シートは履歴データを数式参照しているので自動で再計算されます。BDP関数は入っていません(BBGを使う場合はあなたが貼ってください)。</t>
  </si>
  <si>
    <t>【重要】マクロの有効化が必要</t>
  </si>
  <si>
    <t>.xlsm形式です。開いたときセキュリティ警告が出たら【コンテンツの有効化】を押してください。VBAが動かないとデータ更新ボタンが使えません。</t>
  </si>
  <si>
    <t>シートの見方</t>
  </si>
  <si>
    <t>①ダッシュボード=仮NAV・リスク指標・更新ボタン → ②戦略解説=各戦略の仕組み → ③エントリーシグナル=いつ入るか(Zスコア±2σ+チャート) → ④トレード台帳=戦略別収益表+オープン/クローズドトレード → ⑤ポートフォリオ=建玉 → ⑥分析データ=日次P&amp;L→仮NAVの数式エンジン → ⑦履歴データ=唯一のデータ源(VBAが更新) → ⑧イールドカーブ/ASW/ファンディング/損益/銘柄マスター。</t>
  </si>
  <si>
    <t>仮NAVの仕組み</t>
  </si>
  <si>
    <t>2023-01からのバックテストです。各戦略の日次損益をスプレッド変化×DV01で計算し、キャリーを足して累積。基数は$100mm。実運用のNAVではなく、モデルの感応度・リスクを測るためのものです。</t>
  </si>
  <si>
    <t>ヘッジの考え方</t>
  </si>
  <si>
    <t>各戦略はDV01ニュートラル。リスクレッグの金利方向リスクをヘッジレッグで相殺し、損益は相対価値(カーブ/ベーシス/スプレッド)から。残存のブック方向リスクは低相関のドル円オーバーレイで分散。</t>
  </si>
  <si>
    <t>ASW(資産スワップ)について</t>
  </si>
  <si>
    <t>『ASW』シートに米国債のASWカーブ(2Y-10Y)を表示。スワップレートはPensfordの公開API(https://pensford.com/api/live-rates)からVBA更新時に自動取得します(Treasury利回り−SOFRスワップ)。Bund/JGBのスワップは無料APIが無いため、現状は先物インプライド利回りと手入力(橙色セル)のEUR/JPYスワップから算出。BBGがあればそのまま貼り替えできます。</t>
  </si>
  <si>
    <t>S4 ASWボックスのキャリーロジック</t>
  </si>
  <si>
    <t>ASWボックスはネガティブキャリーの側をショート、ポジティブキャリーの側をロングにします。ただしスワップの日次履歴が無料では取得できないため、バックテストのP&amp;Lエンジンは5s10sスロープで代用し、現在のASW水準だけ『ASW』シートでモニターします。</t>
  </si>
  <si>
    <t>次のフェーズ</t>
  </si>
  <si>
    <t>リスク管理の高度化(ストレステスト具体化、シナリオショック、グリークス、リミット管理)、EUR/JPYスワップレートの取得(有料データかBBG)、ASW履歴の蓄積(毎日VBA更新でスナップショットを積む)など。</t>
  </si>
  <si>
    <t>↑クリックでVBAが米財務省/財務省/NY連銀/Yahoo/Eurex/2510/Pensford(ASW)からヒストリカル込みで再取得し、全シート自動再計算。</t>
  </si>
  <si>
    <t>■ パフォーマンス(仮NAV / バックテスト)</t>
  </si>
  <si>
    <t>仮NAV($mm)</t>
  </si>
  <si>
    <t>期間リターン%</t>
  </si>
  <si>
    <t>年率リターン%</t>
  </si>
  <si>
    <t>最大DD%</t>
  </si>
  <si>
    <t>VaR99%(1日,$mm)</t>
  </si>
  <si>
    <t>■ 戦略別サマリ(現在値・シグナル)</t>
  </si>
  <si>
    <t>戦略</t>
  </si>
  <si>
    <t>現在値</t>
  </si>
  <si>
    <t>Zスコア</t>
  </si>
  <si>
    <t>シグナル</t>
  </si>
  <si>
    <t>サイズ</t>
  </si>
  <si>
    <t>キャリー$/年</t>
  </si>
  <si>
    <t>S1 UST 2s10s30s BF</t>
  </si>
  <si>
    <t>DV01 $80,000/bp</t>
  </si>
  <si>
    <t>S2 JGB 2s10s30s BF</t>
  </si>
  <si>
    <t>DV01 $60,000/bp</t>
  </si>
  <si>
    <t>S3 UST-JGB 10年 クロスマーケット</t>
  </si>
  <si>
    <t>DV01 $50,000/bp</t>
  </si>
  <si>
    <t>S4 UST ASWボックス 5s10s</t>
  </si>
  <si>
    <t>DV01 $40,000/bp</t>
  </si>
  <si>
    <t>S5 ドル円オーバーレイ</t>
  </si>
  <si>
    <t>ノショナル $120mm</t>
  </si>
  <si>
    <t>S6 UST 10年 ベーシス</t>
  </si>
  <si>
    <t>S7 Bund-UST 10年 クロスマーケット</t>
  </si>
  <si>
    <t>S8 JGB-Bund 10年 クロスマーケット</t>
  </si>
  <si>
    <t>※現在値: S1-S4/S7/S8はスプレッド(bp)、S5はUSDJPY水準、S6はZN先物価格。仮NAVは2023-01からのバックテスト(分析データ)。実運用NAVではない。VaR99は日次損益の1%タイル。</t>
  </si>
  <si>
    <t>戦略解説 — 仕組み・エントリータイミング</t>
  </si>
  <si>
    <t>何を買い何を売るか / なぜ儲かるか / ヘッジ / いつ入るか</t>
  </si>
  <si>
    <t>米10年(ベリー)買い、米2年+米30年(ウィング)売り。</t>
  </si>
  <si>
    <t>カーブのお腹(10年)が割安と見て、バタフライ的にフラット化すると利益。金利の上下には依存しない。</t>
  </si>
  <si>
    <t>ウィング売りのDV01でベリー買いを相殺(平行シフト除去)。エントリーはバタフライスプレッドのZスコアが-2σ(割安)でロングBF、+2σでショートBF。</t>
  </si>
  <si>
    <t>日本10年(ベリー)売り、日本2年+30年(ウィング)買い。</t>
  </si>
  <si>
    <t>日銀正常化でJGBカーブがベアスティープ化、10年がアンダーパフォームすると見る。</t>
  </si>
  <si>
    <t>ウィング買いでベリー売りのDV01を相殺。エントリーはJGBバタフライスプレッドの±2σ。</t>
  </si>
  <si>
    <t>日本10年買い、米10年売り(DV01一致)。</t>
  </si>
  <si>
    <t>米-日10年ベーシス(約190bp)が広すぎ、縮小(JGB相対アウトパフォーム)を狙う。</t>
  </si>
  <si>
    <t>UST売りが米水準、JGB買いが日水準を除去し純粋ベーシスに。エントリーはベーシスが+2σ(拡大しすぎ)で縮小狙い。</t>
  </si>
  <si>
    <t>米5年現物+固定受け(ASW) vs 米10年現物+固定払い(ASW)。</t>
  </si>
  <si>
    <t>ネガティブキャリーの側をショート、ポジティブキャリーの側をロングにして、5s10sのスワップスプレッド形状を狙う。</t>
  </si>
  <si>
    <t>受け/払いでDV01一致、金利水準を除去。スワップデータ未取得のため5s10sスロープで代用(BBGでASW取得後に差し替え)。</t>
  </si>
  <si>
    <t>ドル円売り(円買い)。</t>
  </si>
  <si>
    <t>G4金利と低相関のFXで、ブック全体の残存リスクと日本固有テールを分散。</t>
  </si>
  <si>
    <t>DV01ヘッジではなく低相関分散。金利戦略と独立した収益源。</t>
  </si>
  <si>
    <t>現先ベーシスが受渡に向けて収斂するのを狙い、レポ調達でキャリーを稼ぐ。</t>
  </si>
  <si>
    <t>先物売りが現物のDV01を相殺し水準除去。【注意】レポレバレッジのため2020年3月のようなベーシス急拡大が最大リスク。</t>
  </si>
  <si>
    <t>Bund先物インプライド利回り(履歴データBUND_FUT)買い、米10年売り(DV01一致)。</t>
  </si>
  <si>
    <t>Bund-USTの10年ベーシスが極端に乖離したら収斂を狙う。Bund買いが欧元金利水準、UST売りが米金利水準を除去し純粋なクロスマーケットベーシスに。</t>
  </si>
  <si>
    <t>エントリーはベーシスが+2σ(拡大しすぎ)で縮小狙い。キャリーはBund買い(負)+UST売り(負)で両ネガティブ。</t>
  </si>
  <si>
    <t>JGB先物インプライド(2510 ETF換算)買い、Bund先物インプライド売り(DV01一致)。</t>
  </si>
  <si>
    <t>JGB-Bundの10年ベーシスが極端に乖離したら収斂を狙う。JGB側が日本金利、Bund側がユーロ金利。</t>
  </si>
  <si>
    <t>エントリーはベーシスが+2σ(拡大しすぎ)で縮小狙い。キャリーはJGB買い(正)+Bund売り(正)で両ポジティブ。</t>
  </si>
  <si>
    <t>※エントリータイミングは『エントリーシグナル』シートのZスコア±2σを参照。実運用ではキャリー・ファンディング・イベントリスクを重ねて最終判断。</t>
  </si>
  <si>
    <t>エントリーシグナル — いつポジションを建てるか</t>
  </si>
  <si>
    <t>各スプレッドのZスコア(過去1年)で±2σをエントリー圏と判定。チャートはバンド付き。</t>
  </si>
  <si>
    <t>スプレッド(10年-平均ウィング)が+2σ超=割高→ショートBF(ベリー売り)で参入、-2σ=割安→ロングBF</t>
  </si>
  <si>
    <t>JGBバタフライ。+2σ=割高→ベリー売り、-2σ=割安→ベリー買いで参入</t>
  </si>
  <si>
    <t>S3 UST-JGB 10年 ベーシス</t>
  </si>
  <si>
    <t>ベーシス+2σ=拡大しすぎ→縮小狙い(JGB買い/UST売り)で参入</t>
  </si>
  <si>
    <t>S4 UST 5s10s スロープ</t>
  </si>
  <si>
    <t>5s10sスロープの±2σで参入(ASW水準は『ASW』シート参照)</t>
  </si>
  <si>
    <t>S7 Bund-UST 10年 ベーシス</t>
  </si>
  <si>
    <t>Bund先物インプライド−UST10。+2σ=Bund割高→縮小狙い(Bund売り/UST買い)で参入</t>
  </si>
  <si>
    <t>S8 JGB-Bund 10年 ベーシス</t>
  </si>
  <si>
    <t>JGB先物インプライド−Bundインプライド。+2σ=JGB割高→縮小狙い(JGB売り/Bund買い)で参入</t>
  </si>
  <si>
    <t>※Zスコア=(現在値-過去1年平均)/過去1年σ。|Z|≥2をエントリー圏(平均回帰狙い)とする。実運用ではこれにキャリー・ファンディング・イベントリスクを重ねて最終判断。</t>
  </si>
  <si>
    <t>※S4はスワップの日次履歴が無料では取得できないため5s10sスロープで運用。現在のASW水準は『ASW』シート、履歴はBBGでスワップレート取得後に差し替え。</t>
  </si>
  <si>
    <t>トレード台帳 — 戦略別収益表</t>
  </si>
  <si>
    <t>オープンポジションは自動評価(分析データ参照)。クローズドトレードは手動記入。</t>
  </si>
  <si>
    <t>■ バックテスト収益表(2023-01〜現在、分析データから自動集計)</t>
  </si>
  <si>
    <t>累積マーク損益$</t>
  </si>
  <si>
    <t>累積キャリー$</t>
  </si>
  <si>
    <t>合計損益$</t>
  </si>
  <si>
    <t>勝率(日次)</t>
  </si>
  <si>
    <t>日数</t>
  </si>
  <si>
    <t>最大DD$</t>
  </si>
  <si>
    <t>備考</t>
  </si>
  <si>
    <t>バックテスト(2023-01〜)</t>
  </si>
  <si>
    <t>ブック合計</t>
  </si>
  <si>
    <t>■ オープンポジション(モデルポート、現在値評価)</t>
  </si>
  <si>
    <t>建値スプレッド(bp)</t>
  </si>
  <si>
    <t>現在スプレッド(bp)</t>
  </si>
  <si>
    <t>含み損益$</t>
  </si>
  <si>
    <t>DV01($/bp)</t>
  </si>
  <si>
    <t>方向</t>
  </si>
  <si>
    <t>エントリー日</t>
  </si>
  <si>
    <t>状態</t>
  </si>
  <si>
    <t>建値を記入</t>
  </si>
  <si>
    <t>買い</t>
  </si>
  <si>
    <t>オープン</t>
  </si>
  <si>
    <t>モデル建玉(バックテスト起点=2023-01)</t>
  </si>
  <si>
    <t>売り</t>
  </si>
  <si>
    <t>モデル建玉</t>
  </si>
  <si>
    <t>モデル建玉(5s10sスロープ運用・ASW水準は『ASW』シート)</t>
  </si>
  <si>
    <t>モデル建玉(先物価格ベース)</t>
  </si>
  <si>
    <t>モデル建玉(先物インプライド)</t>
  </si>
  <si>
    <t>■ クローズドトレード(手動記入)</t>
  </si>
  <si>
    <t>クローズ日</t>
  </si>
  <si>
    <t>建値(bp)</t>
  </si>
  <si>
    <t>クローズ値(bp)</t>
  </si>
  <si>
    <t>実現損益$</t>
  </si>
  <si>
    <t>キャリー$</t>
  </si>
  <si>
    <t>合計$</t>
  </si>
  <si>
    <t>メモ</t>
  </si>
  <si>
    <t>※クローズドトレードは黄色セルに記入。実現損益=DV01×(クローズ値-建値)で自動計算。S5(FX)は別途。</t>
  </si>
  <si>
    <t>モデルポートフォリオ — 建玉</t>
  </si>
  <si>
    <t>各戦略のレッグとDV01。全戦略DV01ニュートラル。</t>
  </si>
  <si>
    <t>UST10Y</t>
  </si>
  <si>
    <t>米10年(ベリー)</t>
  </si>
  <si>
    <t>リスク:ベリー買い</t>
  </si>
  <si>
    <t>UST2Y</t>
  </si>
  <si>
    <t>米2年(フロントウィング)</t>
  </si>
  <si>
    <t>ヘッジ:短期金利</t>
  </si>
  <si>
    <t>UST30Y</t>
  </si>
  <si>
    <t>米30年(バックウィング)</t>
  </si>
  <si>
    <t>ヘッジ:超長期金利</t>
  </si>
  <si>
    <t>JGB10Y</t>
  </si>
  <si>
    <t>日本10年(ベリー)</t>
  </si>
  <si>
    <t>リスク:ベリー売り</t>
  </si>
  <si>
    <t>JGB2Y</t>
  </si>
  <si>
    <t>日本2年(フロントウィング)</t>
  </si>
  <si>
    <t>ヘッジ</t>
  </si>
  <si>
    <t>JGB30Y</t>
  </si>
  <si>
    <t>日本30年(バックウィング)</t>
  </si>
  <si>
    <t>日本10年</t>
  </si>
  <si>
    <t>リスク:JGB買い</t>
  </si>
  <si>
    <t>米10年</t>
  </si>
  <si>
    <t>ヘッジ:UST売り</t>
  </si>
  <si>
    <t>UST5Y</t>
  </si>
  <si>
    <t>米5年現物+固定受け</t>
  </si>
  <si>
    <t>リスク:ASW受け</t>
  </si>
  <si>
    <t>米10年現物+固定払い</t>
  </si>
  <si>
    <t>ヘッジ:ASW払い</t>
  </si>
  <si>
    <t>USDJPY</t>
  </si>
  <si>
    <t>ドル円売り(円買い)</t>
  </si>
  <si>
    <t>分散:低相関FX</t>
  </si>
  <si>
    <t>米10年現物(CTD相当)</t>
  </si>
  <si>
    <t>リスク:現物買い</t>
  </si>
  <si>
    <t>ZN1</t>
  </si>
  <si>
    <t>ZN 10年債先物</t>
  </si>
  <si>
    <t>ヘッジ:先物売り</t>
  </si>
  <si>
    <t>BUND_FUT</t>
  </si>
  <si>
    <t>Euro-Bund 10Y先物(インプライド)</t>
  </si>
  <si>
    <t>リスク:Bund買い</t>
  </si>
  <si>
    <t>JGB_FUT</t>
  </si>
  <si>
    <t>NEXT FUNDS 10年国債先物(2510.T)</t>
  </si>
  <si>
    <t>リスク:JGB先物買い</t>
  </si>
  <si>
    <t>ヘッジ:Bund売り</t>
  </si>
  <si>
    <t>グロスノショナル合計</t>
  </si>
  <si>
    <t>※各戦略はDV01ニュートラル(リスクレッグのDV01をヘッジレッグで相殺)。損益は金利水準でなく相対価値から。</t>
  </si>
  <si>
    <t>日付</t>
  </si>
  <si>
    <t>S1 BF(bp)</t>
  </si>
  <si>
    <t>S2 JGB BF(bp)</t>
  </si>
  <si>
    <t>S3 米日ベーシス(bp)</t>
  </si>
  <si>
    <t>S4 5s10s(bp)</t>
  </si>
  <si>
    <t>S7 Bund-UST(bp)</t>
  </si>
  <si>
    <t>S8 JGB-Bund(bp)</t>
  </si>
  <si>
    <t>ZN先物</t>
  </si>
  <si>
    <t>UST10%</t>
  </si>
  <si>
    <t>ΔS1</t>
  </si>
  <si>
    <t>ΔS2</t>
  </si>
  <si>
    <t>ΔS3</t>
  </si>
  <si>
    <t>ΔS4</t>
  </si>
  <si>
    <t>ΔS7</t>
  </si>
  <si>
    <t>ΔS8</t>
  </si>
  <si>
    <t>ΔUSDJPY</t>
  </si>
  <si>
    <t>ΔZN</t>
  </si>
  <si>
    <t>ΔUST10(bp)</t>
  </si>
  <si>
    <t>S1損益$</t>
  </si>
  <si>
    <t>S2損益$</t>
  </si>
  <si>
    <t>S3損益$</t>
  </si>
  <si>
    <t>S4損益$</t>
  </si>
  <si>
    <t>S5損益$</t>
  </si>
  <si>
    <t>S6損益$</t>
  </si>
  <si>
    <t>S7損益$</t>
  </si>
  <si>
    <t>S8損益$</t>
  </si>
  <si>
    <t>日次キャリー$</t>
  </si>
  <si>
    <t>ブック損益$</t>
  </si>
  <si>
    <t>ブック損益$mm</t>
  </si>
  <si>
    <t>日次リターン%</t>
  </si>
  <si>
    <t>NAVピーク</t>
  </si>
  <si>
    <t>DD%</t>
  </si>
  <si>
    <t>S1+2σ</t>
  </si>
  <si>
    <t>S1-2σ</t>
  </si>
  <si>
    <t>★各戦略の日次損益をスプレッド変化×DV01で算出し、キャリーを足して仮NAVを構築。S4はスワップの日次履歴が無料では取得できないため5s10sスロープで代用(現在のASW水準は『ASW』シートを参照。BBGで履歴取得後に差し替え)。S6は現物(利回り)+先物(価格)の両レッグでベーシスを評価。S7/S8は先物インプライド利回りによるクロスマーケット(それぞれBund-UST / JGB-Bund)。</t>
  </si>
  <si>
    <t>UST_2Y</t>
  </si>
  <si>
    <t>UST_5Y</t>
  </si>
  <si>
    <t>UST_10Y</t>
  </si>
  <si>
    <t>UST_20Y</t>
  </si>
  <si>
    <t>UST_30Y</t>
  </si>
  <si>
    <t>JGB_2Y</t>
  </si>
  <si>
    <t>JGB_10Y</t>
  </si>
  <si>
    <t>JGB_20Y</t>
  </si>
  <si>
    <t>JGB_30Y</t>
  </si>
  <si>
    <t>SOFR</t>
  </si>
  <si>
    <t>EFFR</t>
  </si>
  <si>
    <t>TGCR</t>
  </si>
  <si>
    <t>BGCR</t>
  </si>
  <si>
    <t>EURUSD</t>
  </si>
  <si>
    <t>★このシートが全モデルの唯一のデータ源。ダッシュボードの【データ更新】ボタン(VBA)が米財務省/日本財務省/NY連銀/Yahoo/Pensfordからヒストリカル込みで再取得し、ここを書き換える。書き換え後は全シートが自動再計算。</t>
  </si>
  <si>
    <t>イールドカーブ(最新値 = 履歴データ参照)</t>
  </si>
  <si>
    <t>VBA更新で自動反映。BBGを使う場合はこのシートの値セルに直接BDPを貼れば上書きできる。</t>
  </si>
  <si>
    <t>2Y</t>
  </si>
  <si>
    <t>5Y</t>
  </si>
  <si>
    <t>10Y</t>
  </si>
  <si>
    <t>20Y</t>
  </si>
  <si>
    <t>30Y</t>
  </si>
  <si>
    <t>※履歴データシートの最新行をINDEX/MATCHで参照。VBAが履歴を更新すると自動で変わる。</t>
  </si>
  <si>
    <t>ASW モニター — 資産スワップスプレッド</t>
  </si>
  <si>
    <t>債券利回り − スワップレート。米国はPensfordから自動取得。Bund/JGBは橙セルにスワップを手入力(BBGがあれば=BDH()で自動化可)。</t>
  </si>
  <si>
    <t>■ 米国債 ASWカーブ(Pensford, ASWデータシート参照)</t>
  </si>
  <si>
    <t>年限</t>
  </si>
  <si>
    <t>米国債利回り%</t>
  </si>
  <si>
    <t>SOFRスワップ%</t>
  </si>
  <si>
    <t>ASW(bp)</t>
  </si>
  <si>
    <t>3Y</t>
  </si>
  <si>
    <t>7Y</t>
  </si>
  <si>
    <t>※ASW=米国債利回り−SOFRスワップ。プラス=現物がスワップより割高(リスクフリー利回り超過)。</t>
  </si>
  <si>
    <t>■ Bund ASW(10年)</t>
  </si>
  <si>
    <t>Bund 10年利回り%(先物インプライド)</t>
  </si>
  <si>
    <t>EUR 10年スワップ%(手入力)</t>
  </si>
  <si>
    <t>Bund ASW(bp)</t>
  </si>
  <si>
    <t>※EURスワップは無料APIが無いため手入力。BBGなら=EURSW10 Curncy 等を貼り付け。</t>
  </si>
  <si>
    <t>■ JGB ASW(10年)</t>
  </si>
  <si>
    <t>JGB 10年利回り%(財務省)</t>
  </si>
  <si>
    <t>JPY 10年スワップ%(手入力)</t>
  </si>
  <si>
    <t>JGB ASW(bp)</t>
  </si>
  <si>
    <t>※JPYスワップは無料APIが無いため手入力。BBGなら=JPYSW10 Curncy 等を貼り付け。</t>
  </si>
  <si>
    <t>■ 先物ベーシス(現物利回り−先物インプライド・参考)</t>
  </si>
  <si>
    <t>Bund 現先ベーシス(bp)</t>
  </si>
  <si>
    <t>(スポットBund未取得・先物インプライドを表示)</t>
  </si>
  <si>
    <t>JGB 現先ベーシス(bp)</t>
  </si>
  <si>
    <t>※プラス=先物インプライドが現物より高い(先物が割安)。</t>
  </si>
  <si>
    <t>■ UST ASWカーブ(bp)</t>
  </si>
  <si>
    <t>■ データソース(BBGなしで取得できるもの)</t>
  </si>
  <si>
    <t>米国債・SOFRスワップ</t>
  </si>
  <si>
    <t>https://pensford.com/api/live-rates</t>
  </si>
  <si>
    <t>Pensford公開API。VBA更新ボタンで自動取得(動作確認済み)</t>
  </si>
  <si>
    <t>Bund 10Y利回り</t>
  </si>
  <si>
    <t>Eurex RX1先物→インプライド</t>
  </si>
  <si>
    <t>履歴データBUND_FUT(2023-01〜)。スポットBundはBundesbank SDMX BBK01.WT3311</t>
  </si>
  <si>
    <t>JGB 10Y利回り</t>
  </si>
  <si>
    <t>財務省 国債金利情報</t>
  </si>
  <si>
    <t>履歴データJGB_10Y(ヒストリカル込み)</t>
  </si>
  <si>
    <t>JGB先物</t>
  </si>
  <si>
    <t>NEXT FUNDS 10年国債先物ETF(2510.T)</t>
  </si>
  <si>
    <t>履歴データJGB_FUT(ETF価格→インプライド利回り換算)</t>
  </si>
  <si>
    <t>EUR/JPYスワップ</t>
  </si>
  <si>
    <t>—</t>
  </si>
  <si>
    <t>無料の日次APIなし。橙セル手入力 or BBG=BDH()で差し替え</t>
  </si>
  <si>
    <t>ASWデータ — Pensford ライブレート</t>
  </si>
  <si>
    <t>出典: https://pensford.com/api/live-rates (公開API・動作確認済み)。VBA更新ボタンで上書き。</t>
  </si>
  <si>
    <t>フィールド</t>
  </si>
  <si>
    <t>値</t>
  </si>
  <si>
    <t>説明</t>
  </si>
  <si>
    <t>データ日付(米国)</t>
  </si>
  <si>
    <t>O/N SOFR</t>
  </si>
  <si>
    <t>1M Term SOFR</t>
  </si>
  <si>
    <t>3M Term SOFR</t>
  </si>
  <si>
    <t>FFレート</t>
  </si>
  <si>
    <t>米2年利回り</t>
  </si>
  <si>
    <t>米3年利回り</t>
  </si>
  <si>
    <t>米5年利回り</t>
  </si>
  <si>
    <t>米7年利回り</t>
  </si>
  <si>
    <t>米10年利回り</t>
  </si>
  <si>
    <t>SOFRスワップ2年</t>
  </si>
  <si>
    <t>SOFRスワップ3年</t>
  </si>
  <si>
    <t>SOFRスワップ5年</t>
  </si>
  <si>
    <t>SOFRスワップ7年</t>
  </si>
  <si>
    <t>SOFRスワップ10年</t>
  </si>
  <si>
    <t>銀行クレジット込みスワップ10年</t>
  </si>
  <si>
    <t>※このシートはVBA(データ更新ボタン)がPensfordの公開APIを叩いて上書きする。BBG利用時は=BDH()で差し替えてもOK。</t>
  </si>
  <si>
    <t>ファンディング &amp; レポ(最新値 = 履歴データ参照)</t>
  </si>
  <si>
    <t>NY連銀レートは履歴データ参照。レポGC/SC想定は橙色セルを編集。</t>
  </si>
  <si>
    <t>SOFR(担保付O/N)</t>
  </si>
  <si>
    <t>米国の担保付翌日物。資金調達の基準</t>
  </si>
  <si>
    <t>EFFR(無担保O/N)</t>
  </si>
  <si>
    <t>米国の無担保翌日物</t>
  </si>
  <si>
    <t>TGCR(三方GCレポ)</t>
  </si>
  <si>
    <t>米国債の一般担保(GC)レポ</t>
  </si>
  <si>
    <t>BGCR(広義GCレポ)</t>
  </si>
  <si>
    <t>広義の一般担保レポ</t>
  </si>
  <si>
    <t>レポ資金コスト想定(橙色セルを編集)</t>
  </si>
  <si>
    <t>想定%</t>
  </si>
  <si>
    <t>USD GCレポ(UST買いの資金調達)</t>
  </si>
  <si>
    <t>GC — TGCR水準。米国債は一般担保</t>
  </si>
  <si>
    <t>USD SCレポ(特別/CTD)</t>
  </si>
  <si>
    <t>SC — 特別物はGCより約15bp低い(目分量)</t>
  </si>
  <si>
    <t>JPY GCレポ(JGB買いの資金調達)</t>
  </si>
  <si>
    <t>GC — 円GCは約-10bp(目分量、正常化後)</t>
  </si>
  <si>
    <t>JPY SCレポ(JGB特別)</t>
  </si>
  <si>
    <t>SC — JGB特別は約-25bp(目分量)</t>
  </si>
  <si>
    <t>EUR GCレポ(Bund買いの資金調達)</t>
  </si>
  <si>
    <t>GC — ESTR近傍と想定(目分量)。S7/S8のキャリーに使用</t>
  </si>
  <si>
    <t>※キャリー=買いは(利回り-レポ)、売りは(レポ-利回り)。S1ベリー買いBFはキャリーがマイナスになりやすい(実務でも同様)。</t>
  </si>
  <si>
    <t>損益 — キャリー内訳(年率)</t>
  </si>
  <si>
    <t>マーク損益は分析データ/トレード台帳で日次計算。ここではキャリー(保有収益)の内訳。</t>
  </si>
  <si>
    <t>ベリー買いBFはキャリーマイナスが通常(ロールダウン狙い)</t>
  </si>
  <si>
    <t>ベリー売り=ポジティブキャリー</t>
  </si>
  <si>
    <t>日米キャリー差</t>
  </si>
  <si>
    <t>現物ベースの簡易キャリー(ASW水準は『ASW』シート)</t>
  </si>
  <si>
    <t>FXキャリーは金利差(別途)</t>
  </si>
  <si>
    <t>現物キャリー(レポ控除後)</t>
  </si>
  <si>
    <t>Bund買い(負キャリー)+UST売り(負キャリー)。EURレポ想定はファンディングシート</t>
  </si>
  <si>
    <t>JGB買い(正キャリー)+Bund売り(正キャリー)</t>
  </si>
  <si>
    <t>※キャリーは現在利回り×レポ想定から算出した年率概算。マーク損益(価格変動)は分析データが日次で計算し仮NAVに反映。</t>
  </si>
  <si>
    <t>銘柄マスター</t>
  </si>
  <si>
    <t>ブックで使うベンチマーク銘柄 + BBGティッカー(BBG使う場合)</t>
  </si>
  <si>
    <t>米国債 2年(最新回)</t>
  </si>
  <si>
    <t>UST</t>
  </si>
  <si>
    <t>USGG2YR Index</t>
  </si>
  <si>
    <t>米国債 5年(最新回)</t>
  </si>
  <si>
    <t>USGG5YR Index</t>
  </si>
  <si>
    <t>米国債 10年(最新回)</t>
  </si>
  <si>
    <t>USGG10YR Index</t>
  </si>
  <si>
    <t>米国債 30年(最新回)</t>
  </si>
  <si>
    <t>USGG30YR Index</t>
  </si>
  <si>
    <t>日本国債 2年(最新回)</t>
  </si>
  <si>
    <t>JGB</t>
  </si>
  <si>
    <t>GJGB2 Index</t>
  </si>
  <si>
    <t>日本国債 10年(最新回)</t>
  </si>
  <si>
    <t>GJGB10 Index</t>
  </si>
  <si>
    <t>JGB20Y</t>
  </si>
  <si>
    <t>日本国債 20年(最新回)</t>
  </si>
  <si>
    <t>GJGB20 Index</t>
  </si>
  <si>
    <t>日本国債 30年(最新回)</t>
  </si>
  <si>
    <t>GJGB30 Index</t>
  </si>
  <si>
    <t>米10年債先物(ZN)</t>
  </si>
  <si>
    <t>先物</t>
  </si>
  <si>
    <t>ZN1 Comdty</t>
  </si>
  <si>
    <t>JB1</t>
  </si>
  <si>
    <t>日本国債10年先物(JB)</t>
  </si>
  <si>
    <t>JB1 Comdty</t>
  </si>
  <si>
    <t>RX1</t>
  </si>
  <si>
    <t>Euro-Bund 10年先物</t>
  </si>
  <si>
    <t>RX1 Comdty</t>
  </si>
  <si>
    <t>JGBF</t>
  </si>
  <si>
    <t>2510 JP Equity</t>
  </si>
  <si>
    <t>ドル円スポット</t>
  </si>
  <si>
    <t>FX</t>
  </si>
  <si>
    <t>-</t>
  </si>
  <si>
    <t>USDJPY Curncy</t>
  </si>
  <si>
    <t>※BBGを使う場合、ティッカー列を参考に=BDP()を貼ってください(このブック自体にはBDP式は入っていません)。</t>
  </si>
  <si>
    <t>リスク管理 — VaR・ストレステスト・グリークス・リミット</t>
  </si>
  <si>
    <t>60日ローリングP&amp;L$mm(ヘルパー)</t>
  </si>
  <si>
    <t>■ VaR比較(仮NAVベース)</t>
  </si>
  <si>
    <t>指標</t>
  </si>
  <si>
    <t>ヒストリカルVaR99(1日,$mm)</t>
  </si>
  <si>
    <t>日次損益の実分布の1%タイル。分布形状を仮定しない</t>
  </si>
  <si>
    <t>パラメトリックVaR99(1日,$mm)</t>
  </si>
  <si>
    <t>正規分布仮定(z99=2.3263)。ヒストリカルと乖離が大きい=裾が厚い</t>
  </si>
  <si>
    <t>パラメトリックVaR99(10日,$mm)</t>
  </si>
  <si>
    <t>√10スケーリング。機関投資家レポート標準</t>
  </si>
  <si>
    <t>最悪60日累積損失($mm)</t>
  </si>
  <si>
    <t>ローリング60営業日P&amp;Lの最悪値(ストレスVaR相当)。右端ヘルパー列参照</t>
  </si>
  <si>
    <t>■ シナリオショックシミュレータ(橙色セルを編集)</t>
  </si>
  <si>
    <t>ショック入力</t>
  </si>
  <si>
    <t>損益インパクト$</t>
  </si>
  <si>
    <t>ΔUST 2年(bp)</t>
  </si>
  <si>
    <t>ΔUST 5年(bp)</t>
  </si>
  <si>
    <t>ΔUST 10年(bp)</t>
  </si>
  <si>
    <t>S3 UST-JGB クロスマーケット</t>
  </si>
  <si>
    <t>ΔUST 30年(bp)</t>
  </si>
  <si>
    <t>S4 UST 5s10s</t>
  </si>
  <si>
    <t>ΔJGB 2年(bp)</t>
  </si>
  <si>
    <t>ΔJGB 10年(bp)</t>
  </si>
  <si>
    <t>ΔJGB 30年(bp)</t>
  </si>
  <si>
    <t>S7 Bund-UST クロスマーケット</t>
  </si>
  <si>
    <t>ΔBund 10年(bp)</t>
  </si>
  <si>
    <t>S8 JGB-Bund クロスマーケット</t>
  </si>
  <si>
    <t>ΔUSDJPY(%)</t>
  </si>
  <si>
    <t>ΔUST現先ベーシス(bp)</t>
  </si>
  <si>
    <t>NAVインパクト%</t>
  </si>
  <si>
    <t>■ 歴史的シナリオ・プレセット(過去の危機を現在ポジションに適用)</t>
  </si>
  <si>
    <t>シナリオ</t>
  </si>
  <si>
    <t>ショック内容</t>
  </si>
  <si>
    <t>S1</t>
  </si>
  <si>
    <t>S2</t>
  </si>
  <si>
    <t>S3</t>
  </si>
  <si>
    <t>S4</t>
  </si>
  <si>
    <t>S5</t>
  </si>
  <si>
    <t>S6</t>
  </si>
  <si>
    <t>S7</t>
  </si>
  <si>
    <t>S8</t>
  </si>
  <si>
    <t>ブック合計$</t>
  </si>
  <si>
    <t>NAV%</t>
  </si>
  <si>
    <t>2020年3月 ダッシュフォーキャッシュ</t>
  </si>
  <si>
    <t>ベーシス急拡大+全面金利上昇+円高</t>
  </si>
  <si>
    <t>2022年9月 英LDI危機</t>
  </si>
  <si>
    <t>超長期中心の投げ売り(米債プロキシ)</t>
  </si>
  <si>
    <t>2023年3月 SVB</t>
  </si>
  <si>
    <t>急速なブルスティープナー</t>
  </si>
  <si>
    <t>2022年12月 日銀YCC変更</t>
  </si>
  <si>
    <t>JGB10年+25bp・円高</t>
  </si>
  <si>
    <t>ベアスティープナー</t>
  </si>
  <si>
    <t>UST 10年+50/30年+60</t>
  </si>
  <si>
    <t>ベアフラットナー</t>
  </si>
  <si>
    <t>UST 2年+50/10年+30</t>
  </si>
  <si>
    <t>円高ショック(介入)</t>
  </si>
  <si>
    <t>USDJPY -8%</t>
  </si>
  <si>
    <t>現先ベーシス急拡大</t>
  </si>
  <si>
    <t>S6の殺し手: ベーシス+50bp</t>
  </si>
  <si>
    <t>■ グリークス(ネットエクスポージャー)</t>
  </si>
  <si>
    <t>項目</t>
  </si>
  <si>
    <t>ネットDV01 UST($/bp)</t>
  </si>
  <si>
    <t>S3のUST売りとS7のUST売りが残存。S1/S4/S6はUST内でニュートラル</t>
  </si>
  <si>
    <t>ネットDV01 JGB($/bp)</t>
  </si>
  <si>
    <t>S3のJGB買いとS8のJGB買いが残存。S2はJGB内でニュートラル</t>
  </si>
  <si>
    <t>ネットDV01 Bund($/bp)</t>
  </si>
  <si>
    <t>S7のBund買いとS8のBund売りが同額で相殺(ゼロ)</t>
  </si>
  <si>
    <t>FXデルタ(百万$)</t>
  </si>
  <si>
    <t>ドル売り・円買い(S5)。低相関分散が目的</t>
  </si>
  <si>
    <t>日次キャリー($/日)</t>
  </si>
  <si>
    <t>全戦略キャリー年率÷252</t>
  </si>
  <si>
    <t>グロスノショナル(百万$)</t>
  </si>
  <si>
    <t>全レッグ合計</t>
  </si>
  <si>
    <t>コンベクシティ</t>
  </si>
  <si>
    <t>各戦略DV01ニュートラルのため二次リスクは小さい</t>
  </si>
  <si>
    <t>大きなショックは上記シナリオ表で評価</t>
  </si>
  <si>
    <t>■ リミット管理(橙色=リミット入力)</t>
  </si>
  <si>
    <t>リミット</t>
  </si>
  <si>
    <t>利用率</t>
  </si>
  <si>
    <t>ブックVaR99(1日,$mm)</t>
  </si>
  <si>
    <t>最大戦略DV01($/bp)</t>
  </si>
  <si>
    <t>グロスレバレッジ(倍)</t>
  </si>
  <si>
    <t>現在DD%</t>
  </si>
  <si>
    <t>■ ファンディングストレス監視(2020年3月の教訓)</t>
  </si>
  <si>
    <t>SOFR最新(%)</t>
  </si>
  <si>
    <t>SOFR 20日平均(%)</t>
  </si>
  <si>
    <t>SOFRスパイク(bp)</t>
  </si>
  <si>
    <t>TGCR最新(GCレポ,%)</t>
  </si>
  <si>
    <t>ファンディング状態</t>
  </si>
  <si>
    <t>■ デレバレッジルール(2020年3月 ダッシュフォーキャッシュの教訓)</t>
  </si>
  <si>
    <t>・DD -10% → 新規エントリー停止、全ポジションのリスクレビュー。</t>
  </si>
  <si>
    <t>・DD -15% → 全戦略を30%サイズ削減。</t>
  </si>
  <si>
    <t>・DD -25%(STOP) → 50%削減 + S6(ベーシス)を最優先で解消(レポレバレッジが最も高い)。</t>
  </si>
  <si>
    <t>・SOFRスパイク &gt;25bp → ファンディングストレスと判定し、S6のレバレッジを先に落とす。</t>
  </si>
  <si>
    <t>・レバレッジの高いベーシストレードは、ベーシス拡大+マージンコールの連鎖で殺される。流動性監視が最優先。</t>
  </si>
  <si>
    <t>出典: 米国財務省(daily treasury yield curve)/日本財務省(国債金利情報,日本の休日は前方補完)/NY連銀(SOFR・EFFR・TGCR・BGCR)/Yahoo(USDJPY・EURUSD・ZN先物・2510.T)/Pensford(ASWスワップ,ASWデータシート)。BUND_FUTはEurexからオフライン構築した値を前方補完、JGB_FUTは2510.T終値からインプライド利回りに換算。</t>
  </si>
  <si>
    <t>lastFetched 2026-08-25 07:17</t>
  </si>
  <si>
    <t>OK rows=910 ust=911 jgb=875 fund=913 fx=947 zn=916</t>
  </si>
  <si>
    <t>シグナル検証 — ±2σエントリールールのバックテスト</t>
  </si>
  <si>
    <t>各戦略スプレッドの252日Zスコアが±閾値を超えた日にエントリー(平均回帰)、n営業日後クローズ。分析データ参照のため更新後自動再計算。</t>
  </si>
  <si>
    <t>■ パラメータ(空色=編集可)</t>
  </si>
  <si>
    <t>保有期間(営業日)</t>
  </si>
  <si>
    <t>エントリー閾値(σ)</t>
  </si>
  <si>
    <t>Zスコア・ルックバック(日)</t>
  </si>
  <si>
    <t>シグナル回数</t>
  </si>
  <si>
    <t>勝率</t>
  </si>
  <si>
    <t>平均損益($)</t>
  </si>
  <si>
    <t>合計損益($)</t>
  </si>
  <si>
    <t>最大単回損失($)</t>
  </si>
  <si>
    <t>平均保有(bp)</t>
  </si>
  <si>
    <t>判定</t>
  </si>
  <si>
    <t>S3 UST-JGB 10年ベーシス</t>
  </si>
  <si>
    <t>S4 UST 5s10sスロープ</t>
  </si>
  <si>
    <t>S7 Bund-UST 10年ベーシス</t>
  </si>
  <si>
    <t>S8 JGB-Bund 10年ベーシス</t>
  </si>
  <si>
    <t>全戦略合計</t>
  </si>
  <si>
    <t>■ ポートフォリオ(全戦略合算)のリスク指標</t>
  </si>
  <si>
    <t>最大ドローダウン($)</t>
  </si>
  <si>
    <t>最大DD(仮NAV  %)</t>
  </si>
  <si>
    <t>累積トレード損益($)</t>
  </si>
  <si>
    <t>総トレード回数</t>
  </si>
  <si>
    <t>【方法】各戦略スプレッドの252日Zスコアが±閾値σを超えた日にエントリー(+σ=ショート、−σ=ロングの平均回帰)、n営業日後クローズ。</t>
  </si>
  <si>
    <t>トレード損益 = DV01 × SIGN(Zエントリー) × (エントリー時スプレッド − クローズ時スプレッド)。取引コスト・ポジション上限は未反映。</t>
  </si>
  <si>
    <t>累積カーブは各トレード損益をエントリー日に合算(トレード重複許容)した参考値。S4はスワップ履歴無ため5s10sスロープで代用。</t>
  </si>
  <si>
    <t>右側の非表示列に日次Zスコア・シグナル・トレード損益・累積カーブを保持。パラメータ(C5:C7)を変えると全て再計算。</t>
  </si>
  <si>
    <t>■ シート一覧</t>
  </si>
  <si>
    <t>シート</t>
  </si>
  <si>
    <t>役割</t>
  </si>
  <si>
    <t>ダッシュボード</t>
  </si>
  <si>
    <t>全体状況・KPI・データ更新ボタン</t>
  </si>
  <si>
    <t>戦略解説</t>
  </si>
  <si>
    <t>8戦略のロジックとヘッジの考え方</t>
  </si>
  <si>
    <t>エントリーシグナル</t>
  </si>
  <si>
    <t>各戦略のZスコアと±2σバンド</t>
  </si>
  <si>
    <t>シグナル検証</t>
  </si>
  <si>
    <t>±2σルールのバックテスト(勝率・DD)</t>
  </si>
  <si>
    <t>トレード台帳</t>
  </si>
  <si>
    <t>戦略別収益表・建玉・クローズド取引</t>
  </si>
  <si>
    <t>ポートフォリオ</t>
  </si>
  <si>
    <t>レッグ別建玉とDV01内訳</t>
  </si>
  <si>
    <t>分析データ</t>
  </si>
  <si>
    <t>スプレッド/P&amp;L計算エンジン(数式)</t>
  </si>
  <si>
    <t>履歴データ</t>
  </si>
  <si>
    <t>唯一のデータソース(VBAが更新)</t>
  </si>
  <si>
    <t>イールドカーブ</t>
  </si>
  <si>
    <t>日米カーブの最新値</t>
  </si>
  <si>
    <t>ASW</t>
  </si>
  <si>
    <t>アセットスワップスプレッド監視</t>
  </si>
  <si>
    <t>ASWデータ</t>
  </si>
  <si>
    <t>Pensford取得値(自動更新)</t>
  </si>
  <si>
    <t>ファンディング</t>
  </si>
  <si>
    <t>レポ/資金調達コスト想定</t>
  </si>
  <si>
    <t>損益</t>
  </si>
  <si>
    <t>キャリー内訳(年率)</t>
  </si>
  <si>
    <t>銘柄・リスク係数・BBGティッカー</t>
  </si>
  <si>
    <t>リスク</t>
  </si>
  <si>
    <t>VaR/ストレス/グリークス/リミット</t>
  </si>
  <si>
    <t>シャープレシオ</t>
    <phoneticPr fontId="1"/>
  </si>
  <si>
    <t>米国債%</t>
  </si>
  <si>
    <t>JGB%</t>
  </si>
  <si>
    <t>スプレッド(bp)</t>
  </si>
  <si>
    <t>ポジション</t>
  </si>
  <si>
    <t>なぜ儲かるか</t>
  </si>
  <si>
    <t>ヘッジ・リスク</t>
  </si>
  <si>
    <t>シャープレシオ(日次)</t>
    <phoneticPr fontId="1"/>
  </si>
  <si>
    <t>ティッカー</t>
  </si>
  <si>
    <t>レッグ</t>
  </si>
  <si>
    <t>価格</t>
  </si>
  <si>
    <t>リスク係数</t>
  </si>
  <si>
    <t>ポジDV01($)</t>
  </si>
  <si>
    <t>銘柄</t>
  </si>
  <si>
    <t>名称</t>
  </si>
  <si>
    <t>資産</t>
  </si>
  <si>
    <t>利回り%</t>
  </si>
  <si>
    <t>BBGティッカー</t>
  </si>
  <si>
    <t>海外大手ヘッジファンドのスタイルを模した、債券レラティブバリュー(相対価値)戦略のモデルポートフォリオ+ファンド管理フレームです。8戦略をDV01ヘッジ済み・キャリー/レポコスト込みで組み、仮NAV・シャープレシオ・最大DD・VaR・エントリーシグナル・トレード台帳まで備えています。</t>
    <phoneticPr fontId="1"/>
  </si>
  <si>
    <t>債券レラティブバリュー(RV)モデル — ファンド管理版</t>
    <phoneticPr fontId="1"/>
  </si>
  <si>
    <t>債券RVモデル — ダッシュボード</t>
    <phoneticPr fontId="1"/>
  </si>
  <si>
    <t>米10年現物買い、ZN先物売り = ベーシス買い。RVファンドの代名詞。</t>
    <phoneticPr fontId="1"/>
  </si>
  <si>
    <t>基本方針: 日次VaR+ストレステスト+ポジションリミット+流動性監視。全数式は分析データ参照なのでVBA更新で自動再計算。</t>
    <phoneticPr fontId="1"/>
  </si>
  <si>
    <t>・実績: 2020年3月のベーシス爆発で大手RVファンド -$572mm、ExodusPoint -$360mm、Millennium -$100mm(WSJ/Bloomberg)。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</si>
</sst>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yyyy\-mm\-dd"/>
    <numFmt numFmtId="177" formatCode="0.000"/>
    <numFmt numFmtId="178" formatCode="0.0"/>
    <numFmt numFmtId="179" formatCode="0.0%"/>
    <numFmt numFmtId="180" formatCode="0.0000"/>
    <numFmt numFmtId="181" formatCode="#,##0.0"/>
    <numFmt numFmtId="182" formatCode="0.000%"/>
    <numFmt numFmtId="183" formatCode="0.0000%"/>
    <numFmt numFmtId="184" formatCode="0.0%;\-0.0%"/>
    <numFmt numFmtId="185" formatCode="0.00;\-0.00"/>
  </numFmts>
  <fonts count="41">
    <font>
      <sz val="10"/>
      <color theme="1"/>
      <name val="Meiryo UI"/>
      <family val="3"/>
      <charset val="128"/>
    </font>
    <font>
      <sz val="6"/>
      <name val="ＭＳ Ｐゴシック"/>
      <family val="3"/>
      <charset val="128"/>
      <scheme val="minor"/>
    </font>
    <font>
      <b/>
      <sz val="12"/>
      <color rgb="FF1F3864"/>
      <name val="Meiryo UI"/>
      <family val="3"/>
      <charset val="128"/>
    </font>
    <font>
      <i/>
      <sz val="9"/>
      <color rgb="FF808080"/>
      <name val="Meiryo UI"/>
      <family val="3"/>
      <charset val="128"/>
    </font>
    <font>
      <b/>
      <sz val="9"/>
      <color rgb="FFFFFFFF"/>
      <name val="Meiryo UI"/>
      <family val="3"/>
      <charset val="128"/>
    </font>
    <font>
      <b/>
      <sz val="15"/>
      <color rgb="FF1F3864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sz val="9"/>
      <name val="Meiryo UI"/>
      <family val="3"/>
      <charset val="128"/>
    </font>
    <font>
      <sz val="11"/>
      <color rgb="FFC00000"/>
      <name val="Meiryo UI"/>
      <family val="3"/>
      <charset val="128"/>
    </font>
    <font>
      <sz val="11"/>
      <color rgb="FF548235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9"/>
      <color rgb="FF595959"/>
      <name val="Meiryo UI"/>
      <family val="3"/>
      <charset val="128"/>
    </font>
    <font>
      <b/>
      <sz val="11"/>
      <color rgb="FF548235"/>
      <name val="Meiryo UI"/>
      <family val="3"/>
      <charset val="128"/>
    </font>
    <font>
      <b/>
      <sz val="11"/>
      <color rgb="FFC00000"/>
      <name val="Meiryo UI"/>
      <family val="3"/>
      <charset val="128"/>
    </font>
    <font>
      <b/>
      <sz val="9"/>
      <color indexed="10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9"/>
      <name val="Meiryo UI"/>
      <family val="3"/>
      <charset val="128"/>
    </font>
    <font>
      <b/>
      <sz val="18"/>
      <color rgb="FF1F3864"/>
      <name val="Meiryo UI"/>
      <family val="3"/>
      <charset val="128"/>
    </font>
    <font>
      <i/>
      <sz val="9"/>
      <color rgb="FF595959"/>
      <name val="Meiryo UI"/>
      <family val="3"/>
      <charset val="128"/>
    </font>
    <font>
      <b/>
      <sz val="11.5"/>
      <color rgb="FF1F3864"/>
      <name val="Meiryo UI"/>
      <family val="3"/>
      <charset val="128"/>
    </font>
    <font>
      <sz val="10"/>
      <color rgb="FF595959"/>
      <name val="Meiryo UI"/>
      <family val="3"/>
      <charset val="128"/>
    </font>
    <font>
      <b/>
      <sz val="10"/>
      <color rgb="FFFFFFFF"/>
      <name val="Meiryo UI"/>
      <family val="3"/>
      <charset val="128"/>
    </font>
    <font>
      <b/>
      <sz val="10.5"/>
      <color rgb="FFFFFFFF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0"/>
      <color rgb="FF1F3864"/>
      <name val="Meiryo UI"/>
      <family val="3"/>
      <charset val="128"/>
    </font>
    <font>
      <sz val="9.5"/>
      <color rgb="FF595959"/>
      <name val="Meiryo UI"/>
      <family val="3"/>
      <charset val="128"/>
    </font>
    <font>
      <b/>
      <sz val="13"/>
      <color rgb="FFFFFFFF"/>
      <name val="Meiryo UI"/>
      <family val="3"/>
      <charset val="128"/>
    </font>
    <font>
      <i/>
      <sz val="9"/>
      <color rgb="FFD9E2F2"/>
      <name val="Meiryo UI"/>
      <family val="3"/>
      <charset val="128"/>
    </font>
    <font>
      <sz val="10"/>
      <name val="Meiryo UI"/>
      <family val="3"/>
      <charset val="128"/>
    </font>
    <font>
      <sz val="10"/>
      <color rgb="FFC00000"/>
      <name val="Meiryo UI"/>
      <family val="3"/>
      <charset val="128"/>
    </font>
    <font>
      <sz val="10"/>
      <color rgb="FF548235"/>
      <name val="Meiryo UI"/>
      <family val="3"/>
      <charset val="128"/>
    </font>
    <font>
      <b/>
      <sz val="11"/>
      <color rgb="FF1F3864"/>
      <name val="Meiryo UI"/>
      <family val="3"/>
      <charset val="128"/>
    </font>
    <font>
      <b/>
      <sz val="14"/>
      <color rgb="FF1F3864"/>
      <name val="Meiryo UI"/>
      <family val="3"/>
      <charset val="128"/>
    </font>
    <font>
      <i/>
      <sz val="9"/>
      <color theme="1"/>
      <name val="Meiryo UI"/>
      <family val="3"/>
      <charset val="128"/>
    </font>
    <font>
      <b/>
      <sz val="10"/>
      <color rgb="FFC00000"/>
      <name val="Meiryo UI"/>
      <family val="3"/>
      <charset val="128"/>
    </font>
    <font>
      <b/>
      <sz val="9"/>
      <name val="Consolas"/>
      <family val="3"/>
    </font>
    <font>
      <b/>
      <i/>
      <sz val="9"/>
      <color rgb="FF595959"/>
      <name val="Meiryo UI"/>
      <family val="3"/>
      <charset val="128"/>
    </font>
    <font>
      <b/>
      <sz val="9"/>
      <color rgb="FF1F3864"/>
      <name val="Meiryo UI"/>
      <family val="3"/>
      <charset val="128"/>
    </font>
    <font>
      <u/>
      <sz val="9"/>
      <color rgb="FF0563C1"/>
      <name val="Meiryo UI"/>
      <family val="3"/>
      <charset val="128"/>
    </font>
    <font>
      <sz val="9"/>
      <color rgb="FF595959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4472C4"/>
      </patternFill>
    </fill>
    <fill>
      <patternFill patternType="solid">
        <fgColor rgb="FFFCE4D6"/>
      </patternFill>
    </fill>
    <fill>
      <patternFill patternType="solid">
        <fgColor rgb="FFF2F2F2"/>
      </patternFill>
    </fill>
    <fill>
      <patternFill patternType="solid">
        <fgColor rgb="FF1F3864"/>
        <bgColor indexed="64"/>
      </patternFill>
    </fill>
    <fill>
      <patternFill patternType="solid">
        <fgColor rgb="FFF3F6FB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2"/>
        <bgColor indexed="64"/>
      </patternFill>
    </fill>
    <fill>
      <patternFill patternType="solid">
        <fgColor rgb="FFFFF2CC"/>
        <bgColor indexed="64"/>
      </patternFill>
    </fill>
  </fills>
  <borders count="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medium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</borders>
  <cellStyleXfs count="1">
    <xf numFmtId="0" fontId="0" fillId="0" borderId="0"/>
  </cellStyleXfs>
  <cellXfs count="185">
    <xf numFmtId="0" fontId="0" fillId="0" borderId="0" xfId="0"/>
    <xf numFmtId="0" fontId="6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178" fontId="0" fillId="0" borderId="1" xfId="0" applyNumberFormat="1" applyBorder="1"/>
    <xf numFmtId="2" fontId="0" fillId="0" borderId="1" xfId="0" applyNumberFormat="1" applyBorder="1"/>
    <xf numFmtId="0" fontId="7" fillId="0" borderId="1" xfId="0" applyFont="1" applyBorder="1"/>
    <xf numFmtId="0" fontId="3" fillId="0" borderId="0" xfId="0" applyFont="1"/>
    <xf numFmtId="0" fontId="10" fillId="0" borderId="1" xfId="0" applyFont="1" applyBorder="1"/>
    <xf numFmtId="0" fontId="0" fillId="0" borderId="1" xfId="0" applyBorder="1" applyAlignment="1">
      <alignment horizontal="left" vertical="top" wrapText="1"/>
    </xf>
    <xf numFmtId="2" fontId="10" fillId="0" borderId="1" xfId="0" applyNumberFormat="1" applyFont="1" applyBorder="1"/>
    <xf numFmtId="176" fontId="0" fillId="0" borderId="0" xfId="0" applyNumberFormat="1"/>
    <xf numFmtId="3" fontId="0" fillId="0" borderId="0" xfId="0" applyNumberFormat="1"/>
    <xf numFmtId="10" fontId="0" fillId="0" borderId="0" xfId="0" applyNumberFormat="1"/>
    <xf numFmtId="3" fontId="0" fillId="0" borderId="1" xfId="0" applyNumberFormat="1" applyBorder="1"/>
    <xf numFmtId="3" fontId="10" fillId="0" borderId="1" xfId="0" applyNumberFormat="1" applyFont="1" applyBorder="1"/>
    <xf numFmtId="179" fontId="0" fillId="0" borderId="1" xfId="0" applyNumberFormat="1" applyBorder="1"/>
    <xf numFmtId="0" fontId="12" fillId="0" borderId="1" xfId="0" applyFont="1" applyBorder="1"/>
    <xf numFmtId="0" fontId="10" fillId="3" borderId="1" xfId="0" applyFont="1" applyFill="1" applyBorder="1"/>
    <xf numFmtId="3" fontId="10" fillId="3" borderId="1" xfId="0" applyNumberFormat="1" applyFont="1" applyFill="1" applyBorder="1"/>
    <xf numFmtId="0" fontId="0" fillId="4" borderId="1" xfId="0" applyFill="1" applyBorder="1"/>
    <xf numFmtId="0" fontId="0" fillId="7" borderId="1" xfId="0" applyFill="1" applyBorder="1"/>
    <xf numFmtId="177" fontId="0" fillId="7" borderId="1" xfId="0" applyNumberFormat="1" applyFill="1" applyBorder="1"/>
    <xf numFmtId="3" fontId="0" fillId="7" borderId="1" xfId="0" applyNumberFormat="1" applyFill="1" applyBorder="1"/>
    <xf numFmtId="0" fontId="7" fillId="7" borderId="1" xfId="0" applyFont="1" applyFill="1" applyBorder="1"/>
    <xf numFmtId="181" fontId="0" fillId="0" borderId="1" xfId="0" applyNumberFormat="1" applyBorder="1"/>
    <xf numFmtId="177" fontId="0" fillId="0" borderId="1" xfId="0" applyNumberFormat="1" applyBorder="1"/>
    <xf numFmtId="0" fontId="0" fillId="3" borderId="1" xfId="0" applyFill="1" applyBorder="1"/>
    <xf numFmtId="181" fontId="0" fillId="3" borderId="1" xfId="0" applyNumberFormat="1" applyFill="1" applyBorder="1"/>
    <xf numFmtId="178" fontId="0" fillId="0" borderId="0" xfId="0" applyNumberFormat="1"/>
    <xf numFmtId="2" fontId="0" fillId="0" borderId="0" xfId="0" applyNumberFormat="1"/>
    <xf numFmtId="176" fontId="3" fillId="0" borderId="0" xfId="0" applyNumberFormat="1" applyFont="1"/>
    <xf numFmtId="0" fontId="15" fillId="0" borderId="0" xfId="0" applyFont="1" applyAlignment="1">
      <alignment wrapText="1"/>
    </xf>
    <xf numFmtId="177" fontId="0" fillId="0" borderId="0" xfId="0" applyNumberFormat="1"/>
    <xf numFmtId="176" fontId="16" fillId="0" borderId="0" xfId="0" applyNumberFormat="1" applyFont="1"/>
    <xf numFmtId="182" fontId="0" fillId="0" borderId="1" xfId="0" applyNumberFormat="1" applyBorder="1"/>
    <xf numFmtId="178" fontId="10" fillId="0" borderId="1" xfId="0" applyNumberFormat="1" applyFont="1" applyBorder="1"/>
    <xf numFmtId="0" fontId="7" fillId="0" borderId="0" xfId="0" applyFont="1"/>
    <xf numFmtId="177" fontId="0" fillId="6" borderId="0" xfId="0" applyNumberFormat="1" applyFill="1"/>
    <xf numFmtId="0" fontId="10" fillId="0" borderId="0" xfId="0" applyFont="1"/>
    <xf numFmtId="0" fontId="12" fillId="0" borderId="0" xfId="0" applyFont="1"/>
    <xf numFmtId="183" fontId="10" fillId="0" borderId="1" xfId="0" applyNumberFormat="1" applyFont="1" applyBorder="1"/>
    <xf numFmtId="0" fontId="6" fillId="5" borderId="1" xfId="0" applyFont="1" applyFill="1" applyBorder="1" applyAlignment="1">
      <alignment horizontal="center" vertical="center" wrapText="1"/>
    </xf>
    <xf numFmtId="2" fontId="0" fillId="6" borderId="1" xfId="0" applyNumberFormat="1" applyFill="1" applyBorder="1"/>
    <xf numFmtId="2" fontId="0" fillId="7" borderId="1" xfId="0" applyNumberFormat="1" applyFill="1" applyBorder="1"/>
    <xf numFmtId="178" fontId="0" fillId="6" borderId="1" xfId="0" applyNumberFormat="1" applyFill="1" applyBorder="1"/>
    <xf numFmtId="179" fontId="0" fillId="6" borderId="1" xfId="0" applyNumberFormat="1" applyFill="1" applyBorder="1"/>
    <xf numFmtId="10" fontId="10" fillId="0" borderId="1" xfId="0" applyNumberFormat="1" applyFont="1" applyBorder="1"/>
    <xf numFmtId="10" fontId="0" fillId="0" borderId="1" xfId="0" applyNumberFormat="1" applyBorder="1"/>
    <xf numFmtId="181" fontId="10" fillId="0" borderId="1" xfId="0" applyNumberFormat="1" applyFont="1" applyBorder="1"/>
    <xf numFmtId="49" fontId="10" fillId="0" borderId="1" xfId="0" applyNumberFormat="1" applyFont="1" applyBorder="1"/>
    <xf numFmtId="9" fontId="0" fillId="0" borderId="1" xfId="0" applyNumberFormat="1" applyBorder="1"/>
    <xf numFmtId="3" fontId="0" fillId="6" borderId="1" xfId="0" applyNumberFormat="1" applyFill="1" applyBorder="1"/>
    <xf numFmtId="9" fontId="0" fillId="6" borderId="1" xfId="0" applyNumberFormat="1" applyFill="1" applyBorder="1"/>
    <xf numFmtId="0" fontId="19" fillId="0" borderId="0" xfId="0" applyFont="1"/>
    <xf numFmtId="0" fontId="20" fillId="0" borderId="0" xfId="0" applyFont="1"/>
    <xf numFmtId="0" fontId="21" fillId="0" borderId="0" xfId="0" applyFont="1" applyAlignment="1">
      <alignment horizontal="left" vertical="top" wrapText="1"/>
    </xf>
    <xf numFmtId="0" fontId="22" fillId="8" borderId="0" xfId="0" applyFont="1" applyFill="1"/>
    <xf numFmtId="0" fontId="23" fillId="8" borderId="0" xfId="0" applyFont="1" applyFill="1" applyAlignment="1">
      <alignment vertical="center"/>
    </xf>
    <xf numFmtId="0" fontId="22" fillId="8" borderId="1" xfId="0" applyFont="1" applyFill="1" applyBorder="1" applyAlignment="1">
      <alignment horizontal="center" vertical="center" wrapText="1"/>
    </xf>
    <xf numFmtId="0" fontId="24" fillId="0" borderId="1" xfId="0" applyFont="1" applyBorder="1"/>
    <xf numFmtId="0" fontId="25" fillId="0" borderId="1" xfId="0" applyFont="1" applyBorder="1"/>
    <xf numFmtId="0" fontId="26" fillId="0" borderId="1" xfId="0" applyFont="1" applyBorder="1"/>
    <xf numFmtId="0" fontId="24" fillId="9" borderId="1" xfId="0" applyFont="1" applyFill="1" applyBorder="1"/>
    <xf numFmtId="0" fontId="25" fillId="9" borderId="1" xfId="0" applyFont="1" applyFill="1" applyBorder="1"/>
    <xf numFmtId="0" fontId="26" fillId="9" borderId="1" xfId="0" applyFont="1" applyFill="1" applyBorder="1"/>
    <xf numFmtId="0" fontId="6" fillId="8" borderId="1" xfId="0" applyFont="1" applyFill="1" applyBorder="1" applyAlignment="1">
      <alignment horizontal="center" vertical="center" wrapText="1"/>
    </xf>
    <xf numFmtId="0" fontId="0" fillId="9" borderId="1" xfId="0" applyFill="1" applyBorder="1"/>
    <xf numFmtId="178" fontId="0" fillId="9" borderId="1" xfId="0" applyNumberFormat="1" applyFill="1" applyBorder="1"/>
    <xf numFmtId="2" fontId="0" fillId="9" borderId="1" xfId="0" applyNumberFormat="1" applyFill="1" applyBorder="1"/>
    <xf numFmtId="0" fontId="7" fillId="9" borderId="1" xfId="0" applyFont="1" applyFill="1" applyBorder="1"/>
    <xf numFmtId="0" fontId="29" fillId="0" borderId="1" xfId="0" applyFont="1" applyBorder="1"/>
    <xf numFmtId="0" fontId="29" fillId="9" borderId="1" xfId="0" applyFont="1" applyFill="1" applyBorder="1"/>
    <xf numFmtId="17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78" fontId="0" fillId="9" borderId="1" xfId="0" applyNumberFormat="1" applyFill="1" applyBorder="1" applyAlignment="1">
      <alignment horizontal="center"/>
    </xf>
    <xf numFmtId="2" fontId="0" fillId="9" borderId="1" xfId="0" applyNumberFormat="1" applyFill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9" borderId="1" xfId="0" applyFont="1" applyFill="1" applyBorder="1" applyAlignment="1">
      <alignment horizontal="center"/>
    </xf>
    <xf numFmtId="37" fontId="30" fillId="0" borderId="1" xfId="0" applyNumberFormat="1" applyFont="1" applyBorder="1" applyAlignment="1">
      <alignment horizontal="right"/>
    </xf>
    <xf numFmtId="37" fontId="31" fillId="9" borderId="1" xfId="0" applyNumberFormat="1" applyFont="1" applyFill="1" applyBorder="1" applyAlignment="1">
      <alignment horizontal="right"/>
    </xf>
    <xf numFmtId="37" fontId="31" fillId="0" borderId="1" xfId="0" applyNumberFormat="1" applyFont="1" applyBorder="1" applyAlignment="1">
      <alignment horizontal="right"/>
    </xf>
    <xf numFmtId="0" fontId="10" fillId="9" borderId="1" xfId="0" applyFont="1" applyFill="1" applyBorder="1"/>
    <xf numFmtId="177" fontId="0" fillId="9" borderId="1" xfId="0" applyNumberFormat="1" applyFill="1" applyBorder="1"/>
    <xf numFmtId="181" fontId="0" fillId="9" borderId="1" xfId="0" applyNumberFormat="1" applyFill="1" applyBorder="1"/>
    <xf numFmtId="0" fontId="0" fillId="9" borderId="1" xfId="0" applyFill="1" applyBorder="1" applyAlignment="1">
      <alignment horizontal="left" vertical="top" wrapText="1"/>
    </xf>
    <xf numFmtId="0" fontId="32" fillId="0" borderId="1" xfId="0" applyFont="1" applyBorder="1"/>
    <xf numFmtId="0" fontId="32" fillId="9" borderId="1" xfId="0" applyFont="1" applyFill="1" applyBorder="1"/>
    <xf numFmtId="37" fontId="8" fillId="0" borderId="1" xfId="0" applyNumberFormat="1" applyFont="1" applyBorder="1"/>
    <xf numFmtId="37" fontId="9" fillId="9" borderId="1" xfId="0" applyNumberFormat="1" applyFont="1" applyFill="1" applyBorder="1"/>
    <xf numFmtId="37" fontId="9" fillId="0" borderId="1" xfId="0" applyNumberFormat="1" applyFont="1" applyBorder="1"/>
    <xf numFmtId="37" fontId="8" fillId="0" borderId="1" xfId="0" applyNumberFormat="1" applyFont="1" applyBorder="1" applyAlignment="1">
      <alignment horizontal="right"/>
    </xf>
    <xf numFmtId="37" fontId="9" fillId="9" borderId="1" xfId="0" applyNumberFormat="1" applyFont="1" applyFill="1" applyBorder="1" applyAlignment="1">
      <alignment horizontal="right"/>
    </xf>
    <xf numFmtId="37" fontId="9" fillId="0" borderId="1" xfId="0" applyNumberFormat="1" applyFont="1" applyBorder="1" applyAlignment="1">
      <alignment horizontal="right"/>
    </xf>
    <xf numFmtId="2" fontId="10" fillId="0" borderId="1" xfId="0" applyNumberFormat="1" applyFont="1" applyBorder="1" applyAlignment="1">
      <alignment horizontal="center"/>
    </xf>
    <xf numFmtId="2" fontId="10" fillId="9" borderId="1" xfId="0" applyNumberFormat="1" applyFont="1" applyFill="1" applyBorder="1" applyAlignment="1">
      <alignment horizontal="center"/>
    </xf>
    <xf numFmtId="0" fontId="12" fillId="0" borderId="1" xfId="0" applyFont="1" applyBorder="1" applyAlignment="1">
      <alignment horizontal="left" vertical="top" wrapText="1"/>
    </xf>
    <xf numFmtId="0" fontId="12" fillId="9" borderId="1" xfId="0" applyFont="1" applyFill="1" applyBorder="1" applyAlignment="1">
      <alignment horizontal="left" vertical="top" wrapText="1"/>
    </xf>
    <xf numFmtId="0" fontId="33" fillId="0" borderId="0" xfId="0" applyFont="1"/>
    <xf numFmtId="0" fontId="24" fillId="0" borderId="0" xfId="0" applyFont="1"/>
    <xf numFmtId="0" fontId="24" fillId="11" borderId="1" xfId="0" applyFont="1" applyFill="1" applyBorder="1" applyAlignment="1">
      <alignment horizontal="center"/>
    </xf>
    <xf numFmtId="179" fontId="0" fillId="9" borderId="1" xfId="0" applyNumberFormat="1" applyFill="1" applyBorder="1"/>
    <xf numFmtId="3" fontId="0" fillId="9" borderId="1" xfId="0" applyNumberFormat="1" applyFill="1" applyBorder="1"/>
    <xf numFmtId="37" fontId="0" fillId="0" borderId="1" xfId="0" applyNumberFormat="1" applyBorder="1"/>
    <xf numFmtId="37" fontId="0" fillId="9" borderId="1" xfId="0" applyNumberFormat="1" applyFill="1" applyBorder="1"/>
    <xf numFmtId="0" fontId="24" fillId="9" borderId="5" xfId="0" applyFont="1" applyFill="1" applyBorder="1"/>
    <xf numFmtId="3" fontId="0" fillId="9" borderId="5" xfId="0" applyNumberFormat="1" applyFill="1" applyBorder="1"/>
    <xf numFmtId="179" fontId="0" fillId="9" borderId="5" xfId="0" applyNumberFormat="1" applyFill="1" applyBorder="1"/>
    <xf numFmtId="37" fontId="0" fillId="9" borderId="5" xfId="0" applyNumberFormat="1" applyFill="1" applyBorder="1"/>
    <xf numFmtId="178" fontId="0" fillId="9" borderId="5" xfId="0" applyNumberFormat="1" applyFill="1" applyBorder="1"/>
    <xf numFmtId="0" fontId="24" fillId="9" borderId="5" xfId="0" applyFont="1" applyFill="1" applyBorder="1" applyAlignment="1">
      <alignment horizontal="center"/>
    </xf>
    <xf numFmtId="0" fontId="11" fillId="0" borderId="4" xfId="0" applyFont="1" applyBorder="1"/>
    <xf numFmtId="3" fontId="11" fillId="0" borderId="4" xfId="0" applyNumberFormat="1" applyFont="1" applyBorder="1"/>
    <xf numFmtId="179" fontId="11" fillId="0" borderId="4" xfId="0" applyNumberFormat="1" applyFont="1" applyBorder="1"/>
    <xf numFmtId="37" fontId="11" fillId="0" borderId="4" xfId="0" applyNumberFormat="1" applyFont="1" applyBorder="1"/>
    <xf numFmtId="178" fontId="11" fillId="0" borderId="4" xfId="0" applyNumberFormat="1" applyFont="1" applyBorder="1"/>
    <xf numFmtId="0" fontId="11" fillId="0" borderId="4" xfId="0" applyFont="1" applyBorder="1" applyAlignment="1">
      <alignment horizontal="center"/>
    </xf>
    <xf numFmtId="37" fontId="35" fillId="0" borderId="0" xfId="0" applyNumberFormat="1" applyFont="1"/>
    <xf numFmtId="184" fontId="35" fillId="0" borderId="0" xfId="0" applyNumberFormat="1" applyFont="1"/>
    <xf numFmtId="0" fontId="12" fillId="9" borderId="1" xfId="0" applyFont="1" applyFill="1" applyBorder="1"/>
    <xf numFmtId="37" fontId="10" fillId="0" borderId="1" xfId="0" applyNumberFormat="1" applyFont="1" applyBorder="1"/>
    <xf numFmtId="37" fontId="10" fillId="9" borderId="1" xfId="0" applyNumberFormat="1" applyFont="1" applyFill="1" applyBorder="1"/>
    <xf numFmtId="0" fontId="0" fillId="9" borderId="5" xfId="0" applyFill="1" applyBorder="1"/>
    <xf numFmtId="37" fontId="10" fillId="9" borderId="5" xfId="0" applyNumberFormat="1" applyFont="1" applyFill="1" applyBorder="1"/>
    <xf numFmtId="2" fontId="0" fillId="9" borderId="5" xfId="0" applyNumberFormat="1" applyFill="1" applyBorder="1"/>
    <xf numFmtId="0" fontId="12" fillId="9" borderId="5" xfId="0" applyFont="1" applyFill="1" applyBorder="1"/>
    <xf numFmtId="0" fontId="10" fillId="3" borderId="4" xfId="0" applyFont="1" applyFill="1" applyBorder="1"/>
    <xf numFmtId="37" fontId="10" fillId="3" borderId="4" xfId="0" applyNumberFormat="1" applyFont="1" applyFill="1" applyBorder="1"/>
    <xf numFmtId="0" fontId="0" fillId="12" borderId="1" xfId="0" applyFill="1" applyBorder="1"/>
    <xf numFmtId="0" fontId="34" fillId="12" borderId="1" xfId="0" applyFont="1" applyFill="1" applyBorder="1"/>
    <xf numFmtId="37" fontId="0" fillId="12" borderId="1" xfId="0" applyNumberFormat="1" applyFill="1" applyBorder="1"/>
    <xf numFmtId="0" fontId="25" fillId="7" borderId="1" xfId="0" applyFont="1" applyFill="1" applyBorder="1"/>
    <xf numFmtId="0" fontId="36" fillId="7" borderId="1" xfId="0" applyFont="1" applyFill="1" applyBorder="1"/>
    <xf numFmtId="0" fontId="36" fillId="0" borderId="1" xfId="0" applyFont="1" applyBorder="1"/>
    <xf numFmtId="0" fontId="36" fillId="9" borderId="1" xfId="0" applyFont="1" applyFill="1" applyBorder="1"/>
    <xf numFmtId="37" fontId="9" fillId="7" borderId="1" xfId="0" applyNumberFormat="1" applyFont="1" applyFill="1" applyBorder="1"/>
    <xf numFmtId="37" fontId="8" fillId="7" borderId="1" xfId="0" applyNumberFormat="1" applyFont="1" applyFill="1" applyBorder="1"/>
    <xf numFmtId="37" fontId="8" fillId="9" borderId="1" xfId="0" applyNumberFormat="1" applyFont="1" applyFill="1" applyBorder="1"/>
    <xf numFmtId="0" fontId="13" fillId="7" borderId="1" xfId="0" applyFont="1" applyFill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4" fillId="7" borderId="1" xfId="0" applyFont="1" applyFill="1" applyBorder="1" applyAlignment="1">
      <alignment horizontal="center"/>
    </xf>
    <xf numFmtId="0" fontId="14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182" fontId="0" fillId="9" borderId="1" xfId="0" applyNumberFormat="1" applyFill="1" applyBorder="1"/>
    <xf numFmtId="178" fontId="10" fillId="9" borderId="1" xfId="0" applyNumberFormat="1" applyFont="1" applyFill="1" applyBorder="1"/>
    <xf numFmtId="0" fontId="17" fillId="0" borderId="0" xfId="0" applyFont="1"/>
    <xf numFmtId="178" fontId="2" fillId="0" borderId="0" xfId="0" applyNumberFormat="1" applyFont="1"/>
    <xf numFmtId="0" fontId="37" fillId="8" borderId="0" xfId="0" applyFont="1" applyFill="1" applyAlignment="1">
      <alignment vertical="center"/>
    </xf>
    <xf numFmtId="0" fontId="38" fillId="0" borderId="1" xfId="0" applyFont="1" applyBorder="1"/>
    <xf numFmtId="0" fontId="39" fillId="0" borderId="1" xfId="0" applyFont="1" applyBorder="1"/>
    <xf numFmtId="0" fontId="12" fillId="0" borderId="1" xfId="0" applyFont="1" applyBorder="1" applyAlignment="1">
      <alignment wrapText="1"/>
    </xf>
    <xf numFmtId="0" fontId="0" fillId="0" borderId="3" xfId="0" applyBorder="1"/>
    <xf numFmtId="14" fontId="10" fillId="9" borderId="1" xfId="0" applyNumberFormat="1" applyFont="1" applyFill="1" applyBorder="1"/>
    <xf numFmtId="183" fontId="10" fillId="9" borderId="1" xfId="0" applyNumberFormat="1" applyFont="1" applyFill="1" applyBorder="1"/>
    <xf numFmtId="180" fontId="25" fillId="9" borderId="1" xfId="0" applyNumberFormat="1" applyFont="1" applyFill="1" applyBorder="1"/>
    <xf numFmtId="180" fontId="25" fillId="0" borderId="1" xfId="0" applyNumberFormat="1" applyFont="1" applyBorder="1"/>
    <xf numFmtId="2" fontId="24" fillId="0" borderId="1" xfId="0" applyNumberFormat="1" applyFont="1" applyBorder="1" applyAlignment="1">
      <alignment horizontal="right"/>
    </xf>
    <xf numFmtId="2" fontId="24" fillId="9" borderId="1" xfId="0" applyNumberFormat="1" applyFont="1" applyFill="1" applyBorder="1" applyAlignment="1">
      <alignment horizontal="right"/>
    </xf>
    <xf numFmtId="2" fontId="24" fillId="6" borderId="1" xfId="0" applyNumberFormat="1" applyFont="1" applyFill="1" applyBorder="1" applyAlignment="1">
      <alignment horizontal="center"/>
    </xf>
    <xf numFmtId="37" fontId="14" fillId="0" borderId="1" xfId="0" applyNumberFormat="1" applyFont="1" applyBorder="1" applyAlignment="1">
      <alignment horizontal="right"/>
    </xf>
    <xf numFmtId="37" fontId="13" fillId="9" borderId="1" xfId="0" applyNumberFormat="1" applyFont="1" applyFill="1" applyBorder="1" applyAlignment="1">
      <alignment horizontal="right"/>
    </xf>
    <xf numFmtId="37" fontId="13" fillId="0" borderId="1" xfId="0" applyNumberFormat="1" applyFont="1" applyBorder="1" applyAlignment="1">
      <alignment horizontal="right"/>
    </xf>
    <xf numFmtId="0" fontId="25" fillId="9" borderId="5" xfId="0" applyFont="1" applyFill="1" applyBorder="1"/>
    <xf numFmtId="37" fontId="13" fillId="9" borderId="5" xfId="0" applyNumberFormat="1" applyFont="1" applyFill="1" applyBorder="1" applyAlignment="1">
      <alignment horizontal="right"/>
    </xf>
    <xf numFmtId="37" fontId="10" fillId="3" borderId="4" xfId="0" applyNumberFormat="1" applyFont="1" applyFill="1" applyBorder="1" applyAlignment="1">
      <alignment horizontal="right"/>
    </xf>
    <xf numFmtId="0" fontId="32" fillId="7" borderId="1" xfId="0" applyFont="1" applyFill="1" applyBorder="1"/>
    <xf numFmtId="0" fontId="40" fillId="7" borderId="1" xfId="0" applyFont="1" applyFill="1" applyBorder="1"/>
    <xf numFmtId="0" fontId="40" fillId="9" borderId="1" xfId="0" applyFont="1" applyFill="1" applyBorder="1"/>
    <xf numFmtId="178" fontId="24" fillId="6" borderId="1" xfId="0" applyNumberFormat="1" applyFont="1" applyFill="1" applyBorder="1" applyAlignment="1">
      <alignment horizontal="center"/>
    </xf>
    <xf numFmtId="0" fontId="19" fillId="0" borderId="0" xfId="0" applyFont="1"/>
    <xf numFmtId="0" fontId="0" fillId="0" borderId="0" xfId="0"/>
    <xf numFmtId="0" fontId="18" fillId="0" borderId="0" xfId="0" applyFont="1"/>
    <xf numFmtId="0" fontId="28" fillId="8" borderId="0" xfId="0" applyFont="1" applyFill="1"/>
    <xf numFmtId="0" fontId="4" fillId="10" borderId="2" xfId="0" applyFont="1" applyFill="1" applyBorder="1" applyAlignment="1">
      <alignment horizontal="center" vertical="center" wrapText="1"/>
    </xf>
    <xf numFmtId="0" fontId="4" fillId="10" borderId="3" xfId="0" applyFont="1" applyFill="1" applyBorder="1" applyAlignment="1">
      <alignment horizontal="center" vertical="center" wrapText="1"/>
    </xf>
    <xf numFmtId="0" fontId="27" fillId="8" borderId="0" xfId="0" applyFont="1" applyFill="1"/>
    <xf numFmtId="181" fontId="5" fillId="11" borderId="2" xfId="0" applyNumberFormat="1" applyFont="1" applyFill="1" applyBorder="1" applyAlignment="1">
      <alignment horizontal="center" vertical="center" wrapText="1"/>
    </xf>
    <xf numFmtId="181" fontId="5" fillId="11" borderId="3" xfId="0" applyNumberFormat="1" applyFont="1" applyFill="1" applyBorder="1" applyAlignment="1">
      <alignment horizontal="center" vertical="center" wrapText="1"/>
    </xf>
    <xf numFmtId="184" fontId="5" fillId="11" borderId="2" xfId="0" applyNumberFormat="1" applyFont="1" applyFill="1" applyBorder="1" applyAlignment="1">
      <alignment horizontal="center" vertical="center" wrapText="1"/>
    </xf>
    <xf numFmtId="184" fontId="5" fillId="11" borderId="3" xfId="0" applyNumberFormat="1" applyFont="1" applyFill="1" applyBorder="1" applyAlignment="1">
      <alignment horizontal="center" vertical="center" wrapText="1"/>
    </xf>
    <xf numFmtId="2" fontId="5" fillId="11" borderId="2" xfId="0" applyNumberFormat="1" applyFont="1" applyFill="1" applyBorder="1" applyAlignment="1">
      <alignment horizontal="center" vertical="center" wrapText="1"/>
    </xf>
    <xf numFmtId="2" fontId="5" fillId="11" borderId="3" xfId="0" applyNumberFormat="1" applyFont="1" applyFill="1" applyBorder="1" applyAlignment="1">
      <alignment horizontal="center" vertical="center" wrapText="1"/>
    </xf>
    <xf numFmtId="185" fontId="5" fillId="11" borderId="2" xfId="0" applyNumberFormat="1" applyFont="1" applyFill="1" applyBorder="1" applyAlignment="1">
      <alignment horizontal="center" vertical="center" wrapText="1"/>
    </xf>
    <xf numFmtId="185" fontId="5" fillId="11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</cellXfs>
  <cellStyles count="1">
    <cellStyle name="標準" xfId="0" builtinId="0" customBuiltin="1"/>
  </cellStyles>
  <dxfs count="18">
    <dxf>
      <font>
        <color rgb="FFC00000"/>
      </font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100" b="1">
                <a:solidFill>
                  <a:srgbClr val="1F3864"/>
                </a:solidFill>
              </a:defRPr>
            </a:pPr>
            <a:r>
              <a:rPr lang="ja-JP"/>
              <a:t>仮</a:t>
            </a:r>
            <a:r>
              <a:rPr lang="en-US"/>
              <a:t>NAV</a:t>
            </a:r>
            <a:r>
              <a:rPr lang="ja-JP"/>
              <a:t>推移 </a:t>
            </a:r>
            <a:r>
              <a:rPr lang="en-US"/>
              <a:t>($mm) — </a:t>
            </a:r>
            <a:r>
              <a:rPr lang="ja-JP"/>
              <a:t>バックテスト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分析データ!$AE$1</c:f>
              <c:strCache>
                <c:ptCount val="1"/>
                <c:pt idx="0">
                  <c:v>仮NAV($mm)</c:v>
                </c:pt>
              </c:strCache>
            </c:strRef>
          </c:tx>
          <c:spPr>
            <a:ln w="28575">
              <a:solidFill>
                <a:srgbClr val="1F3864"/>
              </a:solidFill>
            </a:ln>
          </c:spPr>
          <c:marker>
            <c:symbol val="none"/>
          </c:marker>
          <c:cat>
            <c:numRef>
              <c:f>[0]!DATE_X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[0]!NAV_Y</c:f>
              <c:numCache>
                <c:formatCode>0.00</c:formatCode>
                <c:ptCount val="910"/>
                <c:pt idx="0">
                  <c:v>100</c:v>
                </c:pt>
                <c:pt idx="1">
                  <c:v>98.743043442182739</c:v>
                </c:pt>
                <c:pt idx="2">
                  <c:v>98.327643136444536</c:v>
                </c:pt>
                <c:pt idx="3">
                  <c:v>97.42077409369702</c:v>
                </c:pt>
                <c:pt idx="4">
                  <c:v>98.495853144580977</c:v>
                </c:pt>
                <c:pt idx="5">
                  <c:v>97.991922273976471</c:v>
                </c:pt>
                <c:pt idx="6">
                  <c:v>97.958529651731382</c:v>
                </c:pt>
                <c:pt idx="7">
                  <c:v>98.020527273251702</c:v>
                </c:pt>
                <c:pt idx="8">
                  <c:v>100.566128046814</c:v>
                </c:pt>
                <c:pt idx="9">
                  <c:v>101.16679128335674</c:v>
                </c:pt>
                <c:pt idx="10">
                  <c:v>101.20975427843871</c:v>
                </c:pt>
                <c:pt idx="11">
                  <c:v>101.12201202232875</c:v>
                </c:pt>
                <c:pt idx="12">
                  <c:v>100.95668861767192</c:v>
                </c:pt>
                <c:pt idx="13">
                  <c:v>100.08905463876667</c:v>
                </c:pt>
                <c:pt idx="14">
                  <c:v>99.368851424866406</c:v>
                </c:pt>
                <c:pt idx="15">
                  <c:v>99.87858732710886</c:v>
                </c:pt>
                <c:pt idx="16">
                  <c:v>101.09510038874623</c:v>
                </c:pt>
                <c:pt idx="17">
                  <c:v>100.14512587709872</c:v>
                </c:pt>
                <c:pt idx="18">
                  <c:v>100.3445246738429</c:v>
                </c:pt>
                <c:pt idx="19">
                  <c:v>99.700790324971976</c:v>
                </c:pt>
                <c:pt idx="20">
                  <c:v>100.4540801762912</c:v>
                </c:pt>
                <c:pt idx="21">
                  <c:v>102.11520543161123</c:v>
                </c:pt>
                <c:pt idx="22">
                  <c:v>102.17217746631495</c:v>
                </c:pt>
                <c:pt idx="23">
                  <c:v>99.114330881907023</c:v>
                </c:pt>
                <c:pt idx="24">
                  <c:v>98.457721653941903</c:v>
                </c:pt>
                <c:pt idx="25">
                  <c:v>100.28027811793316</c:v>
                </c:pt>
                <c:pt idx="26">
                  <c:v>99.9560971034647</c:v>
                </c:pt>
                <c:pt idx="27">
                  <c:v>99.454541537014464</c:v>
                </c:pt>
                <c:pt idx="28">
                  <c:v>100.02107358174412</c:v>
                </c:pt>
                <c:pt idx="29">
                  <c:v>99.420595224217607</c:v>
                </c:pt>
                <c:pt idx="30">
                  <c:v>98.754968223987845</c:v>
                </c:pt>
                <c:pt idx="31">
                  <c:v>97.459049584169676</c:v>
                </c:pt>
                <c:pt idx="32">
                  <c:v>97.513357344987966</c:v>
                </c:pt>
                <c:pt idx="33">
                  <c:v>96.628314993118096</c:v>
                </c:pt>
                <c:pt idx="34">
                  <c:v>96.126481997581621</c:v>
                </c:pt>
                <c:pt idx="35">
                  <c:v>96.496928078701401</c:v>
                </c:pt>
                <c:pt idx="36">
                  <c:v>97.025555308741531</c:v>
                </c:pt>
                <c:pt idx="37">
                  <c:v>95.843858522589116</c:v>
                </c:pt>
                <c:pt idx="38">
                  <c:v>96.296002008737773</c:v>
                </c:pt>
                <c:pt idx="39">
                  <c:v>96.1196483676501</c:v>
                </c:pt>
                <c:pt idx="40">
                  <c:v>95.627391007093664</c:v>
                </c:pt>
                <c:pt idx="41">
                  <c:v>96.195221473884843</c:v>
                </c:pt>
                <c:pt idx="42">
                  <c:v>96.422892760748937</c:v>
                </c:pt>
                <c:pt idx="43">
                  <c:v>96.926957492551693</c:v>
                </c:pt>
                <c:pt idx="44">
                  <c:v>95.757213471703849</c:v>
                </c:pt>
                <c:pt idx="45">
                  <c:v>95.29244713440157</c:v>
                </c:pt>
                <c:pt idx="46">
                  <c:v>95.410732336055716</c:v>
                </c:pt>
                <c:pt idx="47">
                  <c:v>94.748219690772373</c:v>
                </c:pt>
                <c:pt idx="48">
                  <c:v>97.41006045619126</c:v>
                </c:pt>
                <c:pt idx="49">
                  <c:v>95.642563720043441</c:v>
                </c:pt>
                <c:pt idx="50">
                  <c:v>97.763580372690242</c:v>
                </c:pt>
                <c:pt idx="51">
                  <c:v>96.520687509022807</c:v>
                </c:pt>
                <c:pt idx="52">
                  <c:v>97.476419779235883</c:v>
                </c:pt>
                <c:pt idx="53">
                  <c:v>98.728153590723522</c:v>
                </c:pt>
                <c:pt idx="54">
                  <c:v>98.356692522194137</c:v>
                </c:pt>
                <c:pt idx="55">
                  <c:v>98.172803755935007</c:v>
                </c:pt>
                <c:pt idx="56">
                  <c:v>98.152687395848062</c:v>
                </c:pt>
                <c:pt idx="57">
                  <c:v>97.906991392659236</c:v>
                </c:pt>
                <c:pt idx="58">
                  <c:v>98.732102354716943</c:v>
                </c:pt>
                <c:pt idx="59">
                  <c:v>97.847911052878445</c:v>
                </c:pt>
                <c:pt idx="60">
                  <c:v>97.654352149855143</c:v>
                </c:pt>
                <c:pt idx="61">
                  <c:v>98.148104381300442</c:v>
                </c:pt>
                <c:pt idx="62">
                  <c:v>98.564073395423165</c:v>
                </c:pt>
                <c:pt idx="63">
                  <c:v>99.593164687022934</c:v>
                </c:pt>
                <c:pt idx="64">
                  <c:v>100.13559565510552</c:v>
                </c:pt>
                <c:pt idx="65">
                  <c:v>99.573555175503884</c:v>
                </c:pt>
                <c:pt idx="66">
                  <c:v>99.498715175503889</c:v>
                </c:pt>
                <c:pt idx="67">
                  <c:v>98.286356710313399</c:v>
                </c:pt>
                <c:pt idx="68">
                  <c:v>98.041249495276048</c:v>
                </c:pt>
                <c:pt idx="69">
                  <c:v>98.210263270162031</c:v>
                </c:pt>
                <c:pt idx="70">
                  <c:v>98.825369004937727</c:v>
                </c:pt>
                <c:pt idx="71">
                  <c:v>98.879890342828361</c:v>
                </c:pt>
                <c:pt idx="72">
                  <c:v>97.034280809303937</c:v>
                </c:pt>
                <c:pt idx="73">
                  <c:v>97.569199952405484</c:v>
                </c:pt>
                <c:pt idx="74">
                  <c:v>97.133700265587123</c:v>
                </c:pt>
                <c:pt idx="75">
                  <c:v>97.572048912333415</c:v>
                </c:pt>
                <c:pt idx="76">
                  <c:v>97.404947305888115</c:v>
                </c:pt>
                <c:pt idx="77">
                  <c:v>97.452682618153688</c:v>
                </c:pt>
                <c:pt idx="78">
                  <c:v>97.452740310541273</c:v>
                </c:pt>
                <c:pt idx="79">
                  <c:v>97.746350510036876</c:v>
                </c:pt>
                <c:pt idx="80">
                  <c:v>97.569680559829024</c:v>
                </c:pt>
                <c:pt idx="81">
                  <c:v>97.945072434829029</c:v>
                </c:pt>
                <c:pt idx="82">
                  <c:v>94.064773773159331</c:v>
                </c:pt>
                <c:pt idx="83">
                  <c:v>95.150264619383435</c:v>
                </c:pt>
                <c:pt idx="84">
                  <c:v>96.926312680655684</c:v>
                </c:pt>
                <c:pt idx="85">
                  <c:v>96.329602249593833</c:v>
                </c:pt>
                <c:pt idx="86">
                  <c:v>96.846792874593831</c:v>
                </c:pt>
                <c:pt idx="87">
                  <c:v>95.912134928608552</c:v>
                </c:pt>
                <c:pt idx="88">
                  <c:v>95.722073703506979</c:v>
                </c:pt>
                <c:pt idx="89">
                  <c:v>97.165116469704131</c:v>
                </c:pt>
                <c:pt idx="90">
                  <c:v>97.485414053740513</c:v>
                </c:pt>
                <c:pt idx="91">
                  <c:v>96.788467759795196</c:v>
                </c:pt>
                <c:pt idx="92">
                  <c:v>95.229767569396813</c:v>
                </c:pt>
                <c:pt idx="93">
                  <c:v>95.012604786836121</c:v>
                </c:pt>
                <c:pt idx="94">
                  <c:v>94.107594274190646</c:v>
                </c:pt>
                <c:pt idx="95">
                  <c:v>93.290413041858415</c:v>
                </c:pt>
                <c:pt idx="96">
                  <c:v>93.363251747913111</c:v>
                </c:pt>
                <c:pt idx="97">
                  <c:v>93.112827674779666</c:v>
                </c:pt>
                <c:pt idx="98">
                  <c:v>93.345689326095368</c:v>
                </c:pt>
                <c:pt idx="99">
                  <c:v>92.594474856568297</c:v>
                </c:pt>
                <c:pt idx="100">
                  <c:v>92.175189567053238</c:v>
                </c:pt>
                <c:pt idx="101">
                  <c:v>92.951248404943868</c:v>
                </c:pt>
                <c:pt idx="102">
                  <c:v>93.611071207151383</c:v>
                </c:pt>
                <c:pt idx="103">
                  <c:v>94.189778015781755</c:v>
                </c:pt>
                <c:pt idx="104">
                  <c:v>94.161175306690367</c:v>
                </c:pt>
                <c:pt idx="105">
                  <c:v>94.701409237354426</c:v>
                </c:pt>
                <c:pt idx="106">
                  <c:v>93.974271706408189</c:v>
                </c:pt>
                <c:pt idx="107">
                  <c:v>93.940962434670638</c:v>
                </c:pt>
                <c:pt idx="108">
                  <c:v>93.241457788469063</c:v>
                </c:pt>
                <c:pt idx="109">
                  <c:v>94.370799279301949</c:v>
                </c:pt>
                <c:pt idx="110">
                  <c:v>94.712694635747269</c:v>
                </c:pt>
                <c:pt idx="111">
                  <c:v>94.087024721267127</c:v>
                </c:pt>
                <c:pt idx="112">
                  <c:v>93.20922471320668</c:v>
                </c:pt>
                <c:pt idx="113">
                  <c:v>93.837437245844328</c:v>
                </c:pt>
                <c:pt idx="114">
                  <c:v>93.982835597995376</c:v>
                </c:pt>
                <c:pt idx="115">
                  <c:v>93.780459484714129</c:v>
                </c:pt>
                <c:pt idx="116">
                  <c:v>92.894294123723355</c:v>
                </c:pt>
                <c:pt idx="117">
                  <c:v>92.815505573413148</c:v>
                </c:pt>
                <c:pt idx="118">
                  <c:v>91.081329054555283</c:v>
                </c:pt>
                <c:pt idx="119">
                  <c:v>91.319434142445914</c:v>
                </c:pt>
                <c:pt idx="120">
                  <c:v>90.983841774743652</c:v>
                </c:pt>
                <c:pt idx="121">
                  <c:v>90.738345379820117</c:v>
                </c:pt>
                <c:pt idx="122">
                  <c:v>90.683660423157377</c:v>
                </c:pt>
                <c:pt idx="123">
                  <c:v>90.368558311861989</c:v>
                </c:pt>
                <c:pt idx="124">
                  <c:v>90.71022844858075</c:v>
                </c:pt>
                <c:pt idx="125">
                  <c:v>90.712556519638895</c:v>
                </c:pt>
                <c:pt idx="126">
                  <c:v>89.881509119171</c:v>
                </c:pt>
                <c:pt idx="127">
                  <c:v>90.130951194040222</c:v>
                </c:pt>
                <c:pt idx="128">
                  <c:v>89.608507444040214</c:v>
                </c:pt>
                <c:pt idx="129">
                  <c:v>91.574011704854968</c:v>
                </c:pt>
                <c:pt idx="130">
                  <c:v>92.884260095585461</c:v>
                </c:pt>
                <c:pt idx="131">
                  <c:v>94.593809041998625</c:v>
                </c:pt>
                <c:pt idx="132">
                  <c:v>94.607393008554439</c:v>
                </c:pt>
                <c:pt idx="133">
                  <c:v>94.856660645273195</c:v>
                </c:pt>
                <c:pt idx="134">
                  <c:v>94.509158464221883</c:v>
                </c:pt>
                <c:pt idx="135">
                  <c:v>94.106468887601409</c:v>
                </c:pt>
                <c:pt idx="136">
                  <c:v>93.952187523044003</c:v>
                </c:pt>
                <c:pt idx="137">
                  <c:v>93.44766865572447</c:v>
                </c:pt>
                <c:pt idx="138">
                  <c:v>93.92141445650573</c:v>
                </c:pt>
                <c:pt idx="139">
                  <c:v>92.429145929944255</c:v>
                </c:pt>
                <c:pt idx="140">
                  <c:v>92.646858133901034</c:v>
                </c:pt>
                <c:pt idx="141">
                  <c:v>93.278038355721463</c:v>
                </c:pt>
                <c:pt idx="142">
                  <c:v>94.023675467711072</c:v>
                </c:pt>
                <c:pt idx="143">
                  <c:v>94.63145863665639</c:v>
                </c:pt>
                <c:pt idx="144">
                  <c:v>91.367983520152819</c:v>
                </c:pt>
                <c:pt idx="145">
                  <c:v>90.104000157048546</c:v>
                </c:pt>
                <c:pt idx="146">
                  <c:v>89.637488780287228</c:v>
                </c:pt>
                <c:pt idx="147">
                  <c:v>89.391368998538184</c:v>
                </c:pt>
                <c:pt idx="148">
                  <c:v>89.64222891064756</c:v>
                </c:pt>
                <c:pt idx="149">
                  <c:v>89.201689979069684</c:v>
                </c:pt>
                <c:pt idx="150">
                  <c:v>89.109727371851264</c:v>
                </c:pt>
                <c:pt idx="151">
                  <c:v>89.285221864675307</c:v>
                </c:pt>
                <c:pt idx="152">
                  <c:v>87.749938424728569</c:v>
                </c:pt>
                <c:pt idx="153">
                  <c:v>87.700108737228561</c:v>
                </c:pt>
                <c:pt idx="154">
                  <c:v>87.369629966854887</c:v>
                </c:pt>
                <c:pt idx="155">
                  <c:v>87.153371962838307</c:v>
                </c:pt>
                <c:pt idx="156">
                  <c:v>86.164679915785229</c:v>
                </c:pt>
                <c:pt idx="157">
                  <c:v>86.325149219663686</c:v>
                </c:pt>
                <c:pt idx="158">
                  <c:v>86.305343370054317</c:v>
                </c:pt>
                <c:pt idx="159">
                  <c:v>85.81065231009471</c:v>
                </c:pt>
                <c:pt idx="160">
                  <c:v>86.420023809777746</c:v>
                </c:pt>
                <c:pt idx="161">
                  <c:v>88.092144373863292</c:v>
                </c:pt>
                <c:pt idx="162">
                  <c:v>86.634197028682934</c:v>
                </c:pt>
                <c:pt idx="163">
                  <c:v>86.90041926012826</c:v>
                </c:pt>
                <c:pt idx="164">
                  <c:v>86.674928483579194</c:v>
                </c:pt>
                <c:pt idx="165">
                  <c:v>86.937333253913977</c:v>
                </c:pt>
                <c:pt idx="166">
                  <c:v>87.077357228192824</c:v>
                </c:pt>
                <c:pt idx="167">
                  <c:v>87.467665936485474</c:v>
                </c:pt>
                <c:pt idx="168">
                  <c:v>86.85571745504015</c:v>
                </c:pt>
                <c:pt idx="169">
                  <c:v>85.131874887659151</c:v>
                </c:pt>
                <c:pt idx="170">
                  <c:v>84.777017400512719</c:v>
                </c:pt>
                <c:pt idx="171">
                  <c:v>84.973110009103138</c:v>
                </c:pt>
                <c:pt idx="172">
                  <c:v>85.156697553048446</c:v>
                </c:pt>
                <c:pt idx="173">
                  <c:v>85.416954316228214</c:v>
                </c:pt>
                <c:pt idx="174">
                  <c:v>85.363951820976212</c:v>
                </c:pt>
                <c:pt idx="175">
                  <c:v>85.359303557730172</c:v>
                </c:pt>
                <c:pt idx="176">
                  <c:v>85.284132283105663</c:v>
                </c:pt>
                <c:pt idx="177">
                  <c:v>85.298689245996286</c:v>
                </c:pt>
                <c:pt idx="178">
                  <c:v>85.432786463675512</c:v>
                </c:pt>
                <c:pt idx="179">
                  <c:v>84.844572147731668</c:v>
                </c:pt>
                <c:pt idx="180">
                  <c:v>84.709378448441825</c:v>
                </c:pt>
                <c:pt idx="181">
                  <c:v>84.476539760661908</c:v>
                </c:pt>
                <c:pt idx="182">
                  <c:v>84.776053823161902</c:v>
                </c:pt>
                <c:pt idx="183">
                  <c:v>82.84278523984328</c:v>
                </c:pt>
                <c:pt idx="184">
                  <c:v>82.495578484722429</c:v>
                </c:pt>
                <c:pt idx="185">
                  <c:v>82.136065932667961</c:v>
                </c:pt>
                <c:pt idx="186">
                  <c:v>81.89345078584293</c:v>
                </c:pt>
                <c:pt idx="187">
                  <c:v>81.720415741897625</c:v>
                </c:pt>
                <c:pt idx="188">
                  <c:v>80.986970426552617</c:v>
                </c:pt>
                <c:pt idx="189">
                  <c:v>80.664791722147498</c:v>
                </c:pt>
                <c:pt idx="190">
                  <c:v>81.11687396667979</c:v>
                </c:pt>
                <c:pt idx="191">
                  <c:v>81.157938293790878</c:v>
                </c:pt>
                <c:pt idx="192">
                  <c:v>81.155492131681498</c:v>
                </c:pt>
                <c:pt idx="193">
                  <c:v>81.086346159957728</c:v>
                </c:pt>
                <c:pt idx="194">
                  <c:v>81.673381349432091</c:v>
                </c:pt>
                <c:pt idx="195">
                  <c:v>80.637593647843872</c:v>
                </c:pt>
                <c:pt idx="196">
                  <c:v>81.079354585343879</c:v>
                </c:pt>
                <c:pt idx="197">
                  <c:v>80.84021272123303</c:v>
                </c:pt>
                <c:pt idx="198">
                  <c:v>80.382993462471134</c:v>
                </c:pt>
                <c:pt idx="199">
                  <c:v>79.703240316559771</c:v>
                </c:pt>
                <c:pt idx="200">
                  <c:v>79.198351046822481</c:v>
                </c:pt>
                <c:pt idx="201">
                  <c:v>78.818326359322498</c:v>
                </c:pt>
                <c:pt idx="202">
                  <c:v>79.194366004165673</c:v>
                </c:pt>
                <c:pt idx="203">
                  <c:v>79.225397529102722</c:v>
                </c:pt>
                <c:pt idx="204">
                  <c:v>78.629231678023999</c:v>
                </c:pt>
                <c:pt idx="205">
                  <c:v>78.759602120452385</c:v>
                </c:pt>
                <c:pt idx="206">
                  <c:v>78.858094576507071</c:v>
                </c:pt>
                <c:pt idx="207">
                  <c:v>79.219053513971474</c:v>
                </c:pt>
                <c:pt idx="208">
                  <c:v>80.343993919743866</c:v>
                </c:pt>
                <c:pt idx="209">
                  <c:v>78.404369342034016</c:v>
                </c:pt>
                <c:pt idx="210">
                  <c:v>79.963146798123873</c:v>
                </c:pt>
                <c:pt idx="211">
                  <c:v>79.842298347615539</c:v>
                </c:pt>
                <c:pt idx="212">
                  <c:v>80.361069592443059</c:v>
                </c:pt>
                <c:pt idx="213">
                  <c:v>80.343044679692753</c:v>
                </c:pt>
                <c:pt idx="214">
                  <c:v>81.187427608822659</c:v>
                </c:pt>
                <c:pt idx="215">
                  <c:v>80.643662230938489</c:v>
                </c:pt>
                <c:pt idx="216">
                  <c:v>80.309860384710177</c:v>
                </c:pt>
                <c:pt idx="217">
                  <c:v>79.862376126305847</c:v>
                </c:pt>
                <c:pt idx="218">
                  <c:v>79.813872591923484</c:v>
                </c:pt>
                <c:pt idx="219">
                  <c:v>80.727741742593793</c:v>
                </c:pt>
                <c:pt idx="220">
                  <c:v>80.256311751801306</c:v>
                </c:pt>
                <c:pt idx="221">
                  <c:v>81.048012862230109</c:v>
                </c:pt>
                <c:pt idx="222">
                  <c:v>81.725932159305046</c:v>
                </c:pt>
                <c:pt idx="223">
                  <c:v>82.958756924113345</c:v>
                </c:pt>
                <c:pt idx="224">
                  <c:v>82.908958956750567</c:v>
                </c:pt>
                <c:pt idx="225">
                  <c:v>81.944372627118909</c:v>
                </c:pt>
                <c:pt idx="226">
                  <c:v>81.925068667744583</c:v>
                </c:pt>
                <c:pt idx="227">
                  <c:v>82.193499913980176</c:v>
                </c:pt>
                <c:pt idx="228">
                  <c:v>83.135410804509632</c:v>
                </c:pt>
                <c:pt idx="229">
                  <c:v>82.579084066179661</c:v>
                </c:pt>
                <c:pt idx="230">
                  <c:v>82.349664362197871</c:v>
                </c:pt>
                <c:pt idx="231">
                  <c:v>83.830802476993156</c:v>
                </c:pt>
                <c:pt idx="232">
                  <c:v>82.775967300570045</c:v>
                </c:pt>
                <c:pt idx="233">
                  <c:v>83.887608598734502</c:v>
                </c:pt>
                <c:pt idx="234">
                  <c:v>83.62210821255853</c:v>
                </c:pt>
                <c:pt idx="235">
                  <c:v>86.295531810426823</c:v>
                </c:pt>
                <c:pt idx="236">
                  <c:v>85.595972840070473</c:v>
                </c:pt>
                <c:pt idx="237">
                  <c:v>84.799334359579603</c:v>
                </c:pt>
                <c:pt idx="238">
                  <c:v>85.104100997049514</c:v>
                </c:pt>
                <c:pt idx="239">
                  <c:v>87.575873695596968</c:v>
                </c:pt>
                <c:pt idx="240">
                  <c:v>88.394682854439026</c:v>
                </c:pt>
                <c:pt idx="241">
                  <c:v>88.041919061619168</c:v>
                </c:pt>
                <c:pt idx="242">
                  <c:v>87.599304266136983</c:v>
                </c:pt>
                <c:pt idx="243">
                  <c:v>86.597561301746438</c:v>
                </c:pt>
                <c:pt idx="244">
                  <c:v>86.987503619508146</c:v>
                </c:pt>
                <c:pt idx="245">
                  <c:v>87.877917015719532</c:v>
                </c:pt>
                <c:pt idx="246">
                  <c:v>87.5692546708636</c:v>
                </c:pt>
                <c:pt idx="247">
                  <c:v>87.612018716283004</c:v>
                </c:pt>
                <c:pt idx="248">
                  <c:v>88.3713226101694</c:v>
                </c:pt>
                <c:pt idx="249">
                  <c:v>87.808607769196627</c:v>
                </c:pt>
                <c:pt idx="250">
                  <c:v>88.137147974366812</c:v>
                </c:pt>
                <c:pt idx="251">
                  <c:v>87.591439152248668</c:v>
                </c:pt>
                <c:pt idx="252">
                  <c:v>86.79541993070805</c:v>
                </c:pt>
                <c:pt idx="253">
                  <c:v>84.810531960280883</c:v>
                </c:pt>
                <c:pt idx="254">
                  <c:v>84.845016486343226</c:v>
                </c:pt>
                <c:pt idx="255">
                  <c:v>85.392017504581432</c:v>
                </c:pt>
                <c:pt idx="256">
                  <c:v>85.035718408222905</c:v>
                </c:pt>
                <c:pt idx="257">
                  <c:v>83.961842288522718</c:v>
                </c:pt>
                <c:pt idx="258">
                  <c:v>83.999783540960124</c:v>
                </c:pt>
                <c:pt idx="259">
                  <c:v>83.148782349188735</c:v>
                </c:pt>
                <c:pt idx="260">
                  <c:v>82.250583076353223</c:v>
                </c:pt>
                <c:pt idx="261">
                  <c:v>81.494679311625845</c:v>
                </c:pt>
                <c:pt idx="262">
                  <c:v>81.591833012685598</c:v>
                </c:pt>
                <c:pt idx="263">
                  <c:v>81.44647006217447</c:v>
                </c:pt>
                <c:pt idx="264">
                  <c:v>81.241144127970088</c:v>
                </c:pt>
                <c:pt idx="265">
                  <c:v>80.938425486882991</c:v>
                </c:pt>
                <c:pt idx="266">
                  <c:v>81.623475481395459</c:v>
                </c:pt>
                <c:pt idx="267">
                  <c:v>81.711767095494807</c:v>
                </c:pt>
                <c:pt idx="268">
                  <c:v>81.490683716472063</c:v>
                </c:pt>
                <c:pt idx="269">
                  <c:v>82.561796152948162</c:v>
                </c:pt>
                <c:pt idx="270">
                  <c:v>82.647330163344492</c:v>
                </c:pt>
                <c:pt idx="271">
                  <c:v>83.333537535808318</c:v>
                </c:pt>
                <c:pt idx="272">
                  <c:v>83.408730162458724</c:v>
                </c:pt>
                <c:pt idx="273">
                  <c:v>81.584597495512881</c:v>
                </c:pt>
                <c:pt idx="274">
                  <c:v>81.708149808707589</c:v>
                </c:pt>
                <c:pt idx="275">
                  <c:v>82.534011541829841</c:v>
                </c:pt>
                <c:pt idx="276">
                  <c:v>82.256381434657456</c:v>
                </c:pt>
                <c:pt idx="277">
                  <c:v>81.284531058382456</c:v>
                </c:pt>
                <c:pt idx="278">
                  <c:v>81.167294181071853</c:v>
                </c:pt>
                <c:pt idx="279">
                  <c:v>80.93855638508785</c:v>
                </c:pt>
                <c:pt idx="280">
                  <c:v>79.85207901640446</c:v>
                </c:pt>
                <c:pt idx="281">
                  <c:v>80.006493540379424</c:v>
                </c:pt>
                <c:pt idx="282">
                  <c:v>80.435732989419762</c:v>
                </c:pt>
                <c:pt idx="283">
                  <c:v>80.213315715079347</c:v>
                </c:pt>
                <c:pt idx="284">
                  <c:v>80.563425790071619</c:v>
                </c:pt>
                <c:pt idx="285">
                  <c:v>80.204504736511552</c:v>
                </c:pt>
                <c:pt idx="286">
                  <c:v>80.422479234217477</c:v>
                </c:pt>
                <c:pt idx="287">
                  <c:v>80.43646560520996</c:v>
                </c:pt>
                <c:pt idx="288">
                  <c:v>80.294984323461094</c:v>
                </c:pt>
                <c:pt idx="289">
                  <c:v>80.19510753705012</c:v>
                </c:pt>
                <c:pt idx="290">
                  <c:v>80.205153190436917</c:v>
                </c:pt>
                <c:pt idx="291">
                  <c:v>80.522283687620018</c:v>
                </c:pt>
                <c:pt idx="292">
                  <c:v>80.587610017894633</c:v>
                </c:pt>
                <c:pt idx="293">
                  <c:v>80.553161148781598</c:v>
                </c:pt>
                <c:pt idx="294">
                  <c:v>81.074586449482339</c:v>
                </c:pt>
                <c:pt idx="295">
                  <c:v>81.420552341551584</c:v>
                </c:pt>
                <c:pt idx="296">
                  <c:v>82.408231034915076</c:v>
                </c:pt>
                <c:pt idx="297">
                  <c:v>83.694426955134034</c:v>
                </c:pt>
                <c:pt idx="298">
                  <c:v>83.427735924431488</c:v>
                </c:pt>
                <c:pt idx="299">
                  <c:v>82.818519715648605</c:v>
                </c:pt>
                <c:pt idx="300">
                  <c:v>82.424599401400656</c:v>
                </c:pt>
                <c:pt idx="301">
                  <c:v>82.097473434210798</c:v>
                </c:pt>
                <c:pt idx="302">
                  <c:v>81.263793410173193</c:v>
                </c:pt>
                <c:pt idx="303">
                  <c:v>81.171986223344405</c:v>
                </c:pt>
                <c:pt idx="304">
                  <c:v>79.212862457712248</c:v>
                </c:pt>
                <c:pt idx="305">
                  <c:v>79.59493494136558</c:v>
                </c:pt>
                <c:pt idx="306">
                  <c:v>79.039216057193173</c:v>
                </c:pt>
                <c:pt idx="307">
                  <c:v>78.702216548987693</c:v>
                </c:pt>
                <c:pt idx="308">
                  <c:v>78.845137277081122</c:v>
                </c:pt>
                <c:pt idx="309">
                  <c:v>78.850207141475238</c:v>
                </c:pt>
                <c:pt idx="310">
                  <c:v>79.437515974909005</c:v>
                </c:pt>
                <c:pt idx="311">
                  <c:v>79.048950682948259</c:v>
                </c:pt>
                <c:pt idx="312">
                  <c:v>78.7050581990746</c:v>
                </c:pt>
                <c:pt idx="313">
                  <c:v>78.550003688234128</c:v>
                </c:pt>
                <c:pt idx="314">
                  <c:v>79.014397371634445</c:v>
                </c:pt>
                <c:pt idx="315">
                  <c:v>78.777951209525057</c:v>
                </c:pt>
                <c:pt idx="316">
                  <c:v>78.303020212496563</c:v>
                </c:pt>
                <c:pt idx="317">
                  <c:v>78.663705805154464</c:v>
                </c:pt>
                <c:pt idx="318">
                  <c:v>77.566639199510647</c:v>
                </c:pt>
                <c:pt idx="319">
                  <c:v>77.158535991325238</c:v>
                </c:pt>
                <c:pt idx="320">
                  <c:v>77.431991303825228</c:v>
                </c:pt>
                <c:pt idx="321">
                  <c:v>76.030204938649788</c:v>
                </c:pt>
                <c:pt idx="322">
                  <c:v>75.45693014817266</c:v>
                </c:pt>
                <c:pt idx="323">
                  <c:v>76.099349932110101</c:v>
                </c:pt>
                <c:pt idx="324">
                  <c:v>76.007001652188791</c:v>
                </c:pt>
                <c:pt idx="325">
                  <c:v>75.944512321134098</c:v>
                </c:pt>
                <c:pt idx="326">
                  <c:v>75.792885134498633</c:v>
                </c:pt>
                <c:pt idx="327">
                  <c:v>75.245456078068713</c:v>
                </c:pt>
                <c:pt idx="328">
                  <c:v>74.878415047564744</c:v>
                </c:pt>
                <c:pt idx="329">
                  <c:v>74.642925782706754</c:v>
                </c:pt>
                <c:pt idx="330">
                  <c:v>75.002965514152066</c:v>
                </c:pt>
                <c:pt idx="331">
                  <c:v>74.740139726662989</c:v>
                </c:pt>
                <c:pt idx="332">
                  <c:v>73.503855714490996</c:v>
                </c:pt>
                <c:pt idx="333">
                  <c:v>74.773634883688956</c:v>
                </c:pt>
                <c:pt idx="334">
                  <c:v>76.893311728731703</c:v>
                </c:pt>
                <c:pt idx="335">
                  <c:v>77.160161728731694</c:v>
                </c:pt>
                <c:pt idx="336">
                  <c:v>76.339711719234202</c:v>
                </c:pt>
                <c:pt idx="337">
                  <c:v>75.881933009836885</c:v>
                </c:pt>
                <c:pt idx="338">
                  <c:v>75.51224322304185</c:v>
                </c:pt>
                <c:pt idx="339">
                  <c:v>75.539566676753509</c:v>
                </c:pt>
                <c:pt idx="340">
                  <c:v>75.527500114253513</c:v>
                </c:pt>
                <c:pt idx="341">
                  <c:v>75.092306439093605</c:v>
                </c:pt>
                <c:pt idx="342">
                  <c:v>74.895165970790359</c:v>
                </c:pt>
                <c:pt idx="343">
                  <c:v>76.663827836567663</c:v>
                </c:pt>
                <c:pt idx="344">
                  <c:v>75.805314740933852</c:v>
                </c:pt>
                <c:pt idx="345">
                  <c:v>75.814283984097912</c:v>
                </c:pt>
                <c:pt idx="346">
                  <c:v>75.024222993706985</c:v>
                </c:pt>
                <c:pt idx="347">
                  <c:v>75.424497243416738</c:v>
                </c:pt>
                <c:pt idx="348">
                  <c:v>75.098287141941256</c:v>
                </c:pt>
                <c:pt idx="349">
                  <c:v>74.898455741303536</c:v>
                </c:pt>
                <c:pt idx="350">
                  <c:v>74.932755253022293</c:v>
                </c:pt>
                <c:pt idx="351">
                  <c:v>74.418713325532821</c:v>
                </c:pt>
                <c:pt idx="352">
                  <c:v>74.006340847325134</c:v>
                </c:pt>
                <c:pt idx="353">
                  <c:v>74.361397436954775</c:v>
                </c:pt>
                <c:pt idx="354">
                  <c:v>74.597001006290711</c:v>
                </c:pt>
                <c:pt idx="355">
                  <c:v>75.292737703428671</c:v>
                </c:pt>
                <c:pt idx="356">
                  <c:v>76.413792994988896</c:v>
                </c:pt>
                <c:pt idx="357">
                  <c:v>75.718723759895624</c:v>
                </c:pt>
                <c:pt idx="358">
                  <c:v>75.998333449140887</c:v>
                </c:pt>
                <c:pt idx="359">
                  <c:v>75.868657243086219</c:v>
                </c:pt>
                <c:pt idx="360">
                  <c:v>74.614834431674097</c:v>
                </c:pt>
                <c:pt idx="361">
                  <c:v>74.91482650231066</c:v>
                </c:pt>
                <c:pt idx="362">
                  <c:v>75.014933985050874</c:v>
                </c:pt>
                <c:pt idx="363">
                  <c:v>74.837283615056037</c:v>
                </c:pt>
                <c:pt idx="364">
                  <c:v>75.328463659001343</c:v>
                </c:pt>
                <c:pt idx="365">
                  <c:v>74.348862222224454</c:v>
                </c:pt>
                <c:pt idx="366">
                  <c:v>74.563273856875909</c:v>
                </c:pt>
                <c:pt idx="367">
                  <c:v>73.483605134204382</c:v>
                </c:pt>
                <c:pt idx="368">
                  <c:v>73.711417946704373</c:v>
                </c:pt>
                <c:pt idx="369">
                  <c:v>73.183420822921022</c:v>
                </c:pt>
                <c:pt idx="370">
                  <c:v>73.04548992936634</c:v>
                </c:pt>
                <c:pt idx="371">
                  <c:v>72.035674750197572</c:v>
                </c:pt>
                <c:pt idx="372">
                  <c:v>72.101733453408499</c:v>
                </c:pt>
                <c:pt idx="373">
                  <c:v>71.615717960244439</c:v>
                </c:pt>
                <c:pt idx="374">
                  <c:v>70.554537231279369</c:v>
                </c:pt>
                <c:pt idx="375">
                  <c:v>71.075424271886391</c:v>
                </c:pt>
                <c:pt idx="376">
                  <c:v>70.975237773722498</c:v>
                </c:pt>
                <c:pt idx="377">
                  <c:v>70.83500402372249</c:v>
                </c:pt>
                <c:pt idx="378">
                  <c:v>71.437665016493156</c:v>
                </c:pt>
                <c:pt idx="379">
                  <c:v>71.078470985331961</c:v>
                </c:pt>
                <c:pt idx="380">
                  <c:v>71.126486687683879</c:v>
                </c:pt>
                <c:pt idx="381">
                  <c:v>73.434224498433352</c:v>
                </c:pt>
                <c:pt idx="382">
                  <c:v>73.349864054097424</c:v>
                </c:pt>
                <c:pt idx="383">
                  <c:v>73.008216110990915</c:v>
                </c:pt>
                <c:pt idx="384">
                  <c:v>72.988583122033191</c:v>
                </c:pt>
                <c:pt idx="385">
                  <c:v>75.076139519921355</c:v>
                </c:pt>
                <c:pt idx="386">
                  <c:v>73.894461507850238</c:v>
                </c:pt>
                <c:pt idx="387">
                  <c:v>73.823263519568997</c:v>
                </c:pt>
                <c:pt idx="388">
                  <c:v>74.008101886645079</c:v>
                </c:pt>
                <c:pt idx="389">
                  <c:v>74.491835030573114</c:v>
                </c:pt>
                <c:pt idx="390">
                  <c:v>75.580738645086555</c:v>
                </c:pt>
                <c:pt idx="391">
                  <c:v>75.694421519284603</c:v>
                </c:pt>
                <c:pt idx="392">
                  <c:v>76.006948570065845</c:v>
                </c:pt>
                <c:pt idx="393">
                  <c:v>76.277217866913205</c:v>
                </c:pt>
                <c:pt idx="394">
                  <c:v>77.056917972671528</c:v>
                </c:pt>
                <c:pt idx="395">
                  <c:v>79.431255705951031</c:v>
                </c:pt>
                <c:pt idx="396">
                  <c:v>79.672005296824366</c:v>
                </c:pt>
                <c:pt idx="397">
                  <c:v>79.287515208933755</c:v>
                </c:pt>
                <c:pt idx="398">
                  <c:v>81.934759341870915</c:v>
                </c:pt>
                <c:pt idx="399">
                  <c:v>82.617189722464559</c:v>
                </c:pt>
                <c:pt idx="400">
                  <c:v>81.275739365911392</c:v>
                </c:pt>
                <c:pt idx="401">
                  <c:v>79.920926924679605</c:v>
                </c:pt>
                <c:pt idx="402">
                  <c:v>80.573539112179603</c:v>
                </c:pt>
                <c:pt idx="403">
                  <c:v>81.149427339037118</c:v>
                </c:pt>
                <c:pt idx="404">
                  <c:v>80.730104463196056</c:v>
                </c:pt>
                <c:pt idx="405">
                  <c:v>80.749638801332722</c:v>
                </c:pt>
                <c:pt idx="406">
                  <c:v>79.364027085893724</c:v>
                </c:pt>
                <c:pt idx="407">
                  <c:v>79.629616280229669</c:v>
                </c:pt>
                <c:pt idx="408">
                  <c:v>81.944206183947173</c:v>
                </c:pt>
                <c:pt idx="409">
                  <c:v>82.903121910527517</c:v>
                </c:pt>
                <c:pt idx="410">
                  <c:v>82.758107381243107</c:v>
                </c:pt>
                <c:pt idx="411">
                  <c:v>81.686840726166196</c:v>
                </c:pt>
                <c:pt idx="412">
                  <c:v>81.928556351166179</c:v>
                </c:pt>
                <c:pt idx="413">
                  <c:v>83.228777321631455</c:v>
                </c:pt>
                <c:pt idx="414">
                  <c:v>83.358683052039552</c:v>
                </c:pt>
                <c:pt idx="415">
                  <c:v>82.704791110184559</c:v>
                </c:pt>
                <c:pt idx="416">
                  <c:v>82.142706288521424</c:v>
                </c:pt>
                <c:pt idx="417">
                  <c:v>82.178177938912043</c:v>
                </c:pt>
                <c:pt idx="418">
                  <c:v>82.216890493406083</c:v>
                </c:pt>
                <c:pt idx="419">
                  <c:v>83.658636720513144</c:v>
                </c:pt>
                <c:pt idx="420">
                  <c:v>86.203463126963328</c:v>
                </c:pt>
                <c:pt idx="421">
                  <c:v>82.944131964853952</c:v>
                </c:pt>
                <c:pt idx="422">
                  <c:v>83.598576780328514</c:v>
                </c:pt>
                <c:pt idx="423">
                  <c:v>84.324344146487931</c:v>
                </c:pt>
                <c:pt idx="424">
                  <c:v>84.105655787230631</c:v>
                </c:pt>
                <c:pt idx="425">
                  <c:v>84.833975552896717</c:v>
                </c:pt>
                <c:pt idx="426">
                  <c:v>84.737031490396717</c:v>
                </c:pt>
                <c:pt idx="427">
                  <c:v>85.489198169020909</c:v>
                </c:pt>
                <c:pt idx="428">
                  <c:v>84.221714045676464</c:v>
                </c:pt>
                <c:pt idx="429">
                  <c:v>83.628402820372344</c:v>
                </c:pt>
                <c:pt idx="430">
                  <c:v>83.113556172371986</c:v>
                </c:pt>
                <c:pt idx="431">
                  <c:v>82.745575234871993</c:v>
                </c:pt>
                <c:pt idx="432">
                  <c:v>82.069934886770852</c:v>
                </c:pt>
                <c:pt idx="433">
                  <c:v>82.0976818038136</c:v>
                </c:pt>
                <c:pt idx="434">
                  <c:v>80.574178369869784</c:v>
                </c:pt>
                <c:pt idx="435">
                  <c:v>80.897738367408365</c:v>
                </c:pt>
                <c:pt idx="436">
                  <c:v>80.686594392798995</c:v>
                </c:pt>
                <c:pt idx="437">
                  <c:v>82.023227011253539</c:v>
                </c:pt>
                <c:pt idx="438">
                  <c:v>82.2507970306076</c:v>
                </c:pt>
                <c:pt idx="439">
                  <c:v>79.680006061122754</c:v>
                </c:pt>
                <c:pt idx="440">
                  <c:v>79.3525706172247</c:v>
                </c:pt>
                <c:pt idx="441">
                  <c:v>79.895561510779388</c:v>
                </c:pt>
                <c:pt idx="442">
                  <c:v>78.750669127408813</c:v>
                </c:pt>
                <c:pt idx="443">
                  <c:v>78.683129516430398</c:v>
                </c:pt>
                <c:pt idx="444">
                  <c:v>77.961666231820402</c:v>
                </c:pt>
                <c:pt idx="445">
                  <c:v>77.983429563529199</c:v>
                </c:pt>
                <c:pt idx="446">
                  <c:v>77.793380676810443</c:v>
                </c:pt>
                <c:pt idx="447">
                  <c:v>78.056546220049583</c:v>
                </c:pt>
                <c:pt idx="448">
                  <c:v>77.531537712642674</c:v>
                </c:pt>
                <c:pt idx="449">
                  <c:v>76.895113967569017</c:v>
                </c:pt>
                <c:pt idx="450">
                  <c:v>76.827079367959641</c:v>
                </c:pt>
                <c:pt idx="451">
                  <c:v>75.978541877469993</c:v>
                </c:pt>
                <c:pt idx="452">
                  <c:v>75.50453271991006</c:v>
                </c:pt>
                <c:pt idx="453">
                  <c:v>74.107698638061834</c:v>
                </c:pt>
                <c:pt idx="454">
                  <c:v>74.96894038786948</c:v>
                </c:pt>
                <c:pt idx="455">
                  <c:v>74.785533512869492</c:v>
                </c:pt>
                <c:pt idx="456">
                  <c:v>73.966310831782849</c:v>
                </c:pt>
                <c:pt idx="457">
                  <c:v>73.711431855609959</c:v>
                </c:pt>
                <c:pt idx="458">
                  <c:v>73.456820978042913</c:v>
                </c:pt>
                <c:pt idx="459">
                  <c:v>73.674214589406446</c:v>
                </c:pt>
                <c:pt idx="460">
                  <c:v>74.32079466818179</c:v>
                </c:pt>
                <c:pt idx="461">
                  <c:v>74.292259260533299</c:v>
                </c:pt>
                <c:pt idx="462">
                  <c:v>75.13783554262092</c:v>
                </c:pt>
                <c:pt idx="463">
                  <c:v>74.863596615727317</c:v>
                </c:pt>
                <c:pt idx="464">
                  <c:v>73.18787104046929</c:v>
                </c:pt>
                <c:pt idx="465">
                  <c:v>74.363060724608985</c:v>
                </c:pt>
                <c:pt idx="466">
                  <c:v>73.591047971717359</c:v>
                </c:pt>
                <c:pt idx="467">
                  <c:v>72.32873337339538</c:v>
                </c:pt>
                <c:pt idx="468">
                  <c:v>72.092881716035166</c:v>
                </c:pt>
                <c:pt idx="469">
                  <c:v>71.235544621212981</c:v>
                </c:pt>
                <c:pt idx="470">
                  <c:v>72.606588457239383</c:v>
                </c:pt>
                <c:pt idx="471">
                  <c:v>72.508946348344153</c:v>
                </c:pt>
                <c:pt idx="472">
                  <c:v>72.705102951869534</c:v>
                </c:pt>
                <c:pt idx="473">
                  <c:v>72.43625925837128</c:v>
                </c:pt>
                <c:pt idx="474">
                  <c:v>73.453360167772104</c:v>
                </c:pt>
                <c:pt idx="475">
                  <c:v>73.492240449356757</c:v>
                </c:pt>
                <c:pt idx="476">
                  <c:v>72.9765940834166</c:v>
                </c:pt>
                <c:pt idx="477">
                  <c:v>74.320264918562813</c:v>
                </c:pt>
                <c:pt idx="478">
                  <c:v>75.954244315280135</c:v>
                </c:pt>
                <c:pt idx="479">
                  <c:v>77.008022882026964</c:v>
                </c:pt>
                <c:pt idx="480">
                  <c:v>77.079593145704735</c:v>
                </c:pt>
                <c:pt idx="481">
                  <c:v>77.008113319042081</c:v>
                </c:pt>
                <c:pt idx="482">
                  <c:v>76.620890045776392</c:v>
                </c:pt>
                <c:pt idx="483">
                  <c:v>76.907720051722976</c:v>
                </c:pt>
                <c:pt idx="484">
                  <c:v>76.847880984390358</c:v>
                </c:pt>
                <c:pt idx="485">
                  <c:v>75.731100733581286</c:v>
                </c:pt>
                <c:pt idx="486">
                  <c:v>75.496691966627651</c:v>
                </c:pt>
                <c:pt idx="487">
                  <c:v>74.690619964604835</c:v>
                </c:pt>
                <c:pt idx="488">
                  <c:v>74.179619528001822</c:v>
                </c:pt>
                <c:pt idx="489">
                  <c:v>73.70928565895521</c:v>
                </c:pt>
                <c:pt idx="490">
                  <c:v>72.93245657573695</c:v>
                </c:pt>
                <c:pt idx="491">
                  <c:v>73.162997642257295</c:v>
                </c:pt>
                <c:pt idx="492">
                  <c:v>71.821717783270174</c:v>
                </c:pt>
                <c:pt idx="493">
                  <c:v>69.82759405861708</c:v>
                </c:pt>
                <c:pt idx="494">
                  <c:v>70.264314145348791</c:v>
                </c:pt>
                <c:pt idx="495">
                  <c:v>69.658377424627886</c:v>
                </c:pt>
                <c:pt idx="496">
                  <c:v>69.864164381271578</c:v>
                </c:pt>
                <c:pt idx="497">
                  <c:v>69.296200330046048</c:v>
                </c:pt>
                <c:pt idx="498">
                  <c:v>69.264140086917564</c:v>
                </c:pt>
                <c:pt idx="499">
                  <c:v>69.652269628659099</c:v>
                </c:pt>
                <c:pt idx="500">
                  <c:v>69.277233187715979</c:v>
                </c:pt>
                <c:pt idx="501">
                  <c:v>69.485871739364512</c:v>
                </c:pt>
                <c:pt idx="502">
                  <c:v>69.385245323507405</c:v>
                </c:pt>
                <c:pt idx="503">
                  <c:v>68.986525924496291</c:v>
                </c:pt>
                <c:pt idx="504">
                  <c:v>68.364350255404673</c:v>
                </c:pt>
                <c:pt idx="505">
                  <c:v>68.35244383608682</c:v>
                </c:pt>
                <c:pt idx="506">
                  <c:v>68.819115741014144</c:v>
                </c:pt>
                <c:pt idx="507">
                  <c:v>68.800474613351128</c:v>
                </c:pt>
                <c:pt idx="508">
                  <c:v>69.020755659968984</c:v>
                </c:pt>
                <c:pt idx="509">
                  <c:v>68.794428473626397</c:v>
                </c:pt>
                <c:pt idx="510">
                  <c:v>70.045238610771904</c:v>
                </c:pt>
                <c:pt idx="511">
                  <c:v>71.012992409115157</c:v>
                </c:pt>
                <c:pt idx="512">
                  <c:v>71.774339109587714</c:v>
                </c:pt>
                <c:pt idx="513">
                  <c:v>71.278698324590167</c:v>
                </c:pt>
                <c:pt idx="514">
                  <c:v>70.344545484430412</c:v>
                </c:pt>
                <c:pt idx="515">
                  <c:v>70.704475399613912</c:v>
                </c:pt>
                <c:pt idx="516">
                  <c:v>71.183437855515976</c:v>
                </c:pt>
                <c:pt idx="517">
                  <c:v>71.612188270268064</c:v>
                </c:pt>
                <c:pt idx="518">
                  <c:v>71.409374432286285</c:v>
                </c:pt>
                <c:pt idx="519">
                  <c:v>71.67685531066104</c:v>
                </c:pt>
                <c:pt idx="520">
                  <c:v>72.843066822172801</c:v>
                </c:pt>
                <c:pt idx="521">
                  <c:v>71.695212687449839</c:v>
                </c:pt>
                <c:pt idx="522">
                  <c:v>71.569739133658629</c:v>
                </c:pt>
                <c:pt idx="523">
                  <c:v>72.858951644054628</c:v>
                </c:pt>
                <c:pt idx="524">
                  <c:v>74.742296928261453</c:v>
                </c:pt>
                <c:pt idx="525">
                  <c:v>75.531681665203365</c:v>
                </c:pt>
                <c:pt idx="526">
                  <c:v>74.900474713551901</c:v>
                </c:pt>
                <c:pt idx="527">
                  <c:v>74.913706902199593</c:v>
                </c:pt>
                <c:pt idx="528">
                  <c:v>74.489972976123056</c:v>
                </c:pt>
                <c:pt idx="529">
                  <c:v>73.8151171483171</c:v>
                </c:pt>
                <c:pt idx="530">
                  <c:v>74.680351396010309</c:v>
                </c:pt>
                <c:pt idx="531">
                  <c:v>76.049322786285927</c:v>
                </c:pt>
                <c:pt idx="532">
                  <c:v>76.171927112503653</c:v>
                </c:pt>
                <c:pt idx="533">
                  <c:v>76.222870688000981</c:v>
                </c:pt>
                <c:pt idx="534">
                  <c:v>78.001591968726487</c:v>
                </c:pt>
                <c:pt idx="535">
                  <c:v>77.863536402922421</c:v>
                </c:pt>
                <c:pt idx="536">
                  <c:v>77.199585200539872</c:v>
                </c:pt>
                <c:pt idx="537">
                  <c:v>78.3759425325146</c:v>
                </c:pt>
                <c:pt idx="538">
                  <c:v>78.333304184732754</c:v>
                </c:pt>
                <c:pt idx="539">
                  <c:v>76.602332044309563</c:v>
                </c:pt>
                <c:pt idx="540">
                  <c:v>77.466239691478734</c:v>
                </c:pt>
                <c:pt idx="541">
                  <c:v>79.347521595114671</c:v>
                </c:pt>
                <c:pt idx="542">
                  <c:v>77.417160379089509</c:v>
                </c:pt>
                <c:pt idx="543">
                  <c:v>78.261440673021085</c:v>
                </c:pt>
                <c:pt idx="544">
                  <c:v>78.67931537246308</c:v>
                </c:pt>
                <c:pt idx="545">
                  <c:v>79.164618233594979</c:v>
                </c:pt>
                <c:pt idx="546">
                  <c:v>79.274029463603057</c:v>
                </c:pt>
                <c:pt idx="547">
                  <c:v>78.337241777158368</c:v>
                </c:pt>
                <c:pt idx="548">
                  <c:v>77.856716231820684</c:v>
                </c:pt>
                <c:pt idx="549">
                  <c:v>78.77469869175394</c:v>
                </c:pt>
                <c:pt idx="550">
                  <c:v>78.107528435392183</c:v>
                </c:pt>
                <c:pt idx="551">
                  <c:v>77.572422767930647</c:v>
                </c:pt>
                <c:pt idx="552">
                  <c:v>77.492440798113961</c:v>
                </c:pt>
                <c:pt idx="553">
                  <c:v>78.067834678660944</c:v>
                </c:pt>
                <c:pt idx="554">
                  <c:v>78.243437585677469</c:v>
                </c:pt>
                <c:pt idx="555">
                  <c:v>77.322309295950802</c:v>
                </c:pt>
                <c:pt idx="556">
                  <c:v>76.364234609314863</c:v>
                </c:pt>
                <c:pt idx="557">
                  <c:v>76.461331633180322</c:v>
                </c:pt>
                <c:pt idx="558">
                  <c:v>76.065462343130761</c:v>
                </c:pt>
                <c:pt idx="559">
                  <c:v>76.133207353141586</c:v>
                </c:pt>
                <c:pt idx="560">
                  <c:v>76.943719767471251</c:v>
                </c:pt>
                <c:pt idx="561">
                  <c:v>76.702570927221416</c:v>
                </c:pt>
                <c:pt idx="562">
                  <c:v>78.595984084380532</c:v>
                </c:pt>
                <c:pt idx="563">
                  <c:v>79.763690842711412</c:v>
                </c:pt>
                <c:pt idx="564">
                  <c:v>78.541293611266099</c:v>
                </c:pt>
                <c:pt idx="565">
                  <c:v>76.986758726876701</c:v>
                </c:pt>
                <c:pt idx="566">
                  <c:v>77.371422562779273</c:v>
                </c:pt>
                <c:pt idx="567">
                  <c:v>77.546321166665166</c:v>
                </c:pt>
                <c:pt idx="568">
                  <c:v>79.009570532475351</c:v>
                </c:pt>
                <c:pt idx="569">
                  <c:v>80.661992094975346</c:v>
                </c:pt>
                <c:pt idx="570">
                  <c:v>78.770279663527177</c:v>
                </c:pt>
                <c:pt idx="571">
                  <c:v>80.019658990550838</c:v>
                </c:pt>
                <c:pt idx="572">
                  <c:v>80.521315570965768</c:v>
                </c:pt>
                <c:pt idx="573">
                  <c:v>81.166330570965783</c:v>
                </c:pt>
                <c:pt idx="574">
                  <c:v>79.995008859885189</c:v>
                </c:pt>
                <c:pt idx="575">
                  <c:v>78.636132126834354</c:v>
                </c:pt>
                <c:pt idx="576">
                  <c:v>78.807427631783142</c:v>
                </c:pt>
                <c:pt idx="577">
                  <c:v>79.936383606435001</c:v>
                </c:pt>
                <c:pt idx="578">
                  <c:v>79.644035793935004</c:v>
                </c:pt>
                <c:pt idx="579">
                  <c:v>80.590117100686669</c:v>
                </c:pt>
                <c:pt idx="580">
                  <c:v>80.601414737046184</c:v>
                </c:pt>
                <c:pt idx="581">
                  <c:v>79.887738890427897</c:v>
                </c:pt>
                <c:pt idx="582">
                  <c:v>77.599495615900778</c:v>
                </c:pt>
                <c:pt idx="583">
                  <c:v>77.488214946955466</c:v>
                </c:pt>
                <c:pt idx="584">
                  <c:v>78.785789845062695</c:v>
                </c:pt>
                <c:pt idx="585">
                  <c:v>79.716293324673273</c:v>
                </c:pt>
                <c:pt idx="586">
                  <c:v>79.371475487874264</c:v>
                </c:pt>
                <c:pt idx="587">
                  <c:v>77.664625590757694</c:v>
                </c:pt>
                <c:pt idx="588">
                  <c:v>77.282627509703005</c:v>
                </c:pt>
                <c:pt idx="589">
                  <c:v>75.531682220619089</c:v>
                </c:pt>
                <c:pt idx="590">
                  <c:v>76.415780348270175</c:v>
                </c:pt>
                <c:pt idx="591">
                  <c:v>77.254061153563214</c:v>
                </c:pt>
                <c:pt idx="592">
                  <c:v>78.911957040880822</c:v>
                </c:pt>
                <c:pt idx="593">
                  <c:v>77.879969496935502</c:v>
                </c:pt>
                <c:pt idx="594">
                  <c:v>78.282518356956118</c:v>
                </c:pt>
                <c:pt idx="595">
                  <c:v>78.344792109038266</c:v>
                </c:pt>
                <c:pt idx="596">
                  <c:v>78.280928921624295</c:v>
                </c:pt>
                <c:pt idx="597">
                  <c:v>78.901090842527495</c:v>
                </c:pt>
                <c:pt idx="598">
                  <c:v>79.154388698972809</c:v>
                </c:pt>
                <c:pt idx="599">
                  <c:v>79.223779371635359</c:v>
                </c:pt>
                <c:pt idx="600">
                  <c:v>77.895459155198012</c:v>
                </c:pt>
                <c:pt idx="601">
                  <c:v>79.136419981497824</c:v>
                </c:pt>
                <c:pt idx="602">
                  <c:v>79.293425293997828</c:v>
                </c:pt>
                <c:pt idx="603">
                  <c:v>80.486575457049284</c:v>
                </c:pt>
                <c:pt idx="604">
                  <c:v>79.309995060874542</c:v>
                </c:pt>
                <c:pt idx="605">
                  <c:v>80.264146886851378</c:v>
                </c:pt>
                <c:pt idx="606">
                  <c:v>79.329212569312247</c:v>
                </c:pt>
                <c:pt idx="607">
                  <c:v>79.430821763648197</c:v>
                </c:pt>
                <c:pt idx="608">
                  <c:v>78.604103600686344</c:v>
                </c:pt>
                <c:pt idx="609">
                  <c:v>78.728187481373453</c:v>
                </c:pt>
                <c:pt idx="610">
                  <c:v>79.097526985774095</c:v>
                </c:pt>
                <c:pt idx="611">
                  <c:v>79.977227301568632</c:v>
                </c:pt>
                <c:pt idx="612">
                  <c:v>79.701076901178013</c:v>
                </c:pt>
                <c:pt idx="613">
                  <c:v>78.29075458722582</c:v>
                </c:pt>
                <c:pt idx="614">
                  <c:v>78.080860461104052</c:v>
                </c:pt>
                <c:pt idx="615">
                  <c:v>78.355770021688684</c:v>
                </c:pt>
                <c:pt idx="616">
                  <c:v>77.944804709188674</c:v>
                </c:pt>
                <c:pt idx="617">
                  <c:v>77.327406191719987</c:v>
                </c:pt>
                <c:pt idx="618">
                  <c:v>77.809459990190533</c:v>
                </c:pt>
                <c:pt idx="619">
                  <c:v>78.167515184982349</c:v>
                </c:pt>
                <c:pt idx="620">
                  <c:v>78.206692148260245</c:v>
                </c:pt>
                <c:pt idx="621">
                  <c:v>78.207200048650861</c:v>
                </c:pt>
                <c:pt idx="622">
                  <c:v>79.447045703981587</c:v>
                </c:pt>
                <c:pt idx="623">
                  <c:v>79.49639529028768</c:v>
                </c:pt>
                <c:pt idx="624">
                  <c:v>79.270288260385286</c:v>
                </c:pt>
                <c:pt idx="625">
                  <c:v>78.32113296521311</c:v>
                </c:pt>
                <c:pt idx="626">
                  <c:v>77.031027646646265</c:v>
                </c:pt>
                <c:pt idx="627">
                  <c:v>77.332500705487092</c:v>
                </c:pt>
                <c:pt idx="628">
                  <c:v>76.87730768023745</c:v>
                </c:pt>
                <c:pt idx="629">
                  <c:v>76.322840251361697</c:v>
                </c:pt>
                <c:pt idx="630">
                  <c:v>76.312357394916376</c:v>
                </c:pt>
                <c:pt idx="631">
                  <c:v>75.362643097738484</c:v>
                </c:pt>
                <c:pt idx="632">
                  <c:v>74.197691247760801</c:v>
                </c:pt>
                <c:pt idx="633">
                  <c:v>75.059511940247333</c:v>
                </c:pt>
                <c:pt idx="634">
                  <c:v>74.413539260060233</c:v>
                </c:pt>
                <c:pt idx="635">
                  <c:v>74.404613322560223</c:v>
                </c:pt>
                <c:pt idx="636">
                  <c:v>75.494006420025869</c:v>
                </c:pt>
                <c:pt idx="637">
                  <c:v>75.869250528735193</c:v>
                </c:pt>
                <c:pt idx="638">
                  <c:v>76.658133153154424</c:v>
                </c:pt>
                <c:pt idx="639">
                  <c:v>75.998800153023751</c:v>
                </c:pt>
                <c:pt idx="640">
                  <c:v>76.311930778023736</c:v>
                </c:pt>
                <c:pt idx="641">
                  <c:v>75.086020360032791</c:v>
                </c:pt>
                <c:pt idx="642">
                  <c:v>75.235324311781568</c:v>
                </c:pt>
                <c:pt idx="643">
                  <c:v>74.705368607899587</c:v>
                </c:pt>
                <c:pt idx="644">
                  <c:v>73.471411343157399</c:v>
                </c:pt>
                <c:pt idx="645">
                  <c:v>73.376294336321465</c:v>
                </c:pt>
                <c:pt idx="646">
                  <c:v>76.224258082259325</c:v>
                </c:pt>
                <c:pt idx="647">
                  <c:v>75.406587358107714</c:v>
                </c:pt>
                <c:pt idx="648">
                  <c:v>76.007863839730561</c:v>
                </c:pt>
                <c:pt idx="649">
                  <c:v>76.346297619983247</c:v>
                </c:pt>
                <c:pt idx="650">
                  <c:v>76.192496413928566</c:v>
                </c:pt>
                <c:pt idx="651">
                  <c:v>75.028261557726935</c:v>
                </c:pt>
                <c:pt idx="652">
                  <c:v>75.175263404604408</c:v>
                </c:pt>
                <c:pt idx="653">
                  <c:v>75.745202500586842</c:v>
                </c:pt>
                <c:pt idx="654">
                  <c:v>75.596417717990761</c:v>
                </c:pt>
                <c:pt idx="655">
                  <c:v>75.087492761936076</c:v>
                </c:pt>
                <c:pt idx="656">
                  <c:v>75.187628364517138</c:v>
                </c:pt>
                <c:pt idx="657">
                  <c:v>75.510943710540033</c:v>
                </c:pt>
                <c:pt idx="658">
                  <c:v>75.951091950922006</c:v>
                </c:pt>
                <c:pt idx="659">
                  <c:v>74.819803295032642</c:v>
                </c:pt>
                <c:pt idx="660">
                  <c:v>74.793380526477961</c:v>
                </c:pt>
                <c:pt idx="661">
                  <c:v>75.293184801855688</c:v>
                </c:pt>
                <c:pt idx="662">
                  <c:v>75.267891739865362</c:v>
                </c:pt>
                <c:pt idx="663">
                  <c:v>75.408996199503932</c:v>
                </c:pt>
                <c:pt idx="664">
                  <c:v>76.143401922004855</c:v>
                </c:pt>
                <c:pt idx="665">
                  <c:v>75.932970896614222</c:v>
                </c:pt>
                <c:pt idx="666">
                  <c:v>74.377738436298401</c:v>
                </c:pt>
                <c:pt idx="667">
                  <c:v>75.036075339572193</c:v>
                </c:pt>
                <c:pt idx="668">
                  <c:v>74.624595677976458</c:v>
                </c:pt>
                <c:pt idx="669">
                  <c:v>74.711103802976453</c:v>
                </c:pt>
                <c:pt idx="670">
                  <c:v>75.614470323049062</c:v>
                </c:pt>
                <c:pt idx="671">
                  <c:v>75.519375275295474</c:v>
                </c:pt>
                <c:pt idx="672">
                  <c:v>76.048427571197166</c:v>
                </c:pt>
                <c:pt idx="673">
                  <c:v>76.348551728615433</c:v>
                </c:pt>
                <c:pt idx="674">
                  <c:v>76.457898066506061</c:v>
                </c:pt>
                <c:pt idx="675">
                  <c:v>76.161258595548887</c:v>
                </c:pt>
                <c:pt idx="676">
                  <c:v>76.798376595170652</c:v>
                </c:pt>
                <c:pt idx="677">
                  <c:v>76.41617492798018</c:v>
                </c:pt>
                <c:pt idx="678">
                  <c:v>75.550942174446462</c:v>
                </c:pt>
                <c:pt idx="679">
                  <c:v>75.544820611946477</c:v>
                </c:pt>
                <c:pt idx="680">
                  <c:v>75.895904111713193</c:v>
                </c:pt>
                <c:pt idx="681">
                  <c:v>75.80986326004215</c:v>
                </c:pt>
                <c:pt idx="682">
                  <c:v>74.500179482904343</c:v>
                </c:pt>
                <c:pt idx="683">
                  <c:v>74.277688214780923</c:v>
                </c:pt>
                <c:pt idx="684">
                  <c:v>74.007157677671529</c:v>
                </c:pt>
                <c:pt idx="685">
                  <c:v>75.38730080249583</c:v>
                </c:pt>
                <c:pt idx="686">
                  <c:v>75.668315221683073</c:v>
                </c:pt>
                <c:pt idx="687">
                  <c:v>76.226891917669874</c:v>
                </c:pt>
                <c:pt idx="688">
                  <c:v>76.521945974924122</c:v>
                </c:pt>
                <c:pt idx="689">
                  <c:v>76.504473831369424</c:v>
                </c:pt>
                <c:pt idx="690">
                  <c:v>73.443557419328755</c:v>
                </c:pt>
                <c:pt idx="691">
                  <c:v>72.311382056210903</c:v>
                </c:pt>
                <c:pt idx="692">
                  <c:v>72.010087992070694</c:v>
                </c:pt>
                <c:pt idx="693">
                  <c:v>71.894708986058802</c:v>
                </c:pt>
                <c:pt idx="694">
                  <c:v>72.039435323949419</c:v>
                </c:pt>
                <c:pt idx="695">
                  <c:v>72.414783211217411</c:v>
                </c:pt>
                <c:pt idx="696">
                  <c:v>73.157704753652993</c:v>
                </c:pt>
                <c:pt idx="697">
                  <c:v>74.00903215667428</c:v>
                </c:pt>
                <c:pt idx="698">
                  <c:v>73.748221888119588</c:v>
                </c:pt>
                <c:pt idx="699">
                  <c:v>73.404488465242409</c:v>
                </c:pt>
                <c:pt idx="700">
                  <c:v>72.551030567774532</c:v>
                </c:pt>
                <c:pt idx="701">
                  <c:v>72.776467184391791</c:v>
                </c:pt>
                <c:pt idx="702">
                  <c:v>72.433151148448772</c:v>
                </c:pt>
                <c:pt idx="703">
                  <c:v>72.389883960948765</c:v>
                </c:pt>
                <c:pt idx="704">
                  <c:v>72.179757715934542</c:v>
                </c:pt>
                <c:pt idx="705">
                  <c:v>72.43450247229255</c:v>
                </c:pt>
                <c:pt idx="706">
                  <c:v>73.079268062390781</c:v>
                </c:pt>
                <c:pt idx="707">
                  <c:v>72.303516926351776</c:v>
                </c:pt>
                <c:pt idx="708">
                  <c:v>71.491740309865946</c:v>
                </c:pt>
                <c:pt idx="709">
                  <c:v>71.041710337597493</c:v>
                </c:pt>
                <c:pt idx="710">
                  <c:v>70.913685155099827</c:v>
                </c:pt>
                <c:pt idx="711">
                  <c:v>71.311868983751609</c:v>
                </c:pt>
                <c:pt idx="712">
                  <c:v>71.136549415138262</c:v>
                </c:pt>
                <c:pt idx="713">
                  <c:v>71.774935582503531</c:v>
                </c:pt>
                <c:pt idx="714">
                  <c:v>71.23083294995385</c:v>
                </c:pt>
                <c:pt idx="715">
                  <c:v>71.126485200777651</c:v>
                </c:pt>
                <c:pt idx="716">
                  <c:v>70.569073726061688</c:v>
                </c:pt>
                <c:pt idx="717">
                  <c:v>70.727789586960213</c:v>
                </c:pt>
                <c:pt idx="718">
                  <c:v>70.803442466772097</c:v>
                </c:pt>
                <c:pt idx="719">
                  <c:v>70.342276614428755</c:v>
                </c:pt>
                <c:pt idx="720">
                  <c:v>70.037787687040193</c:v>
                </c:pt>
                <c:pt idx="721">
                  <c:v>68.978030738632441</c:v>
                </c:pt>
                <c:pt idx="722">
                  <c:v>68.887895823631467</c:v>
                </c:pt>
                <c:pt idx="723">
                  <c:v>69.323897186060549</c:v>
                </c:pt>
                <c:pt idx="724">
                  <c:v>69.038741229774757</c:v>
                </c:pt>
                <c:pt idx="725">
                  <c:v>69.857660508042443</c:v>
                </c:pt>
                <c:pt idx="726">
                  <c:v>69.632831872533259</c:v>
                </c:pt>
                <c:pt idx="727">
                  <c:v>70.436534472599902</c:v>
                </c:pt>
                <c:pt idx="728">
                  <c:v>70.213917074214947</c:v>
                </c:pt>
                <c:pt idx="729">
                  <c:v>70.411421462077826</c:v>
                </c:pt>
                <c:pt idx="730">
                  <c:v>71.170149020862468</c:v>
                </c:pt>
                <c:pt idx="731">
                  <c:v>71.172623149062019</c:v>
                </c:pt>
                <c:pt idx="732">
                  <c:v>70.939049640684345</c:v>
                </c:pt>
                <c:pt idx="733">
                  <c:v>70.711962621229816</c:v>
                </c:pt>
                <c:pt idx="734">
                  <c:v>69.982164645673379</c:v>
                </c:pt>
                <c:pt idx="735">
                  <c:v>70.563112182058489</c:v>
                </c:pt>
                <c:pt idx="736">
                  <c:v>70.45589589826757</c:v>
                </c:pt>
                <c:pt idx="737">
                  <c:v>70.259088211990885</c:v>
                </c:pt>
                <c:pt idx="738">
                  <c:v>70.744933074759373</c:v>
                </c:pt>
                <c:pt idx="739">
                  <c:v>71.062229751176432</c:v>
                </c:pt>
                <c:pt idx="740">
                  <c:v>70.666188835006466</c:v>
                </c:pt>
                <c:pt idx="741">
                  <c:v>70.496128631946533</c:v>
                </c:pt>
                <c:pt idx="742">
                  <c:v>69.097632775089039</c:v>
                </c:pt>
                <c:pt idx="743">
                  <c:v>69.787310651294987</c:v>
                </c:pt>
                <c:pt idx="744">
                  <c:v>70.532856882781559</c:v>
                </c:pt>
                <c:pt idx="745">
                  <c:v>70.639239878790676</c:v>
                </c:pt>
                <c:pt idx="746">
                  <c:v>70.446141519460753</c:v>
                </c:pt>
                <c:pt idx="747">
                  <c:v>70.409103391495037</c:v>
                </c:pt>
                <c:pt idx="748">
                  <c:v>69.9242836057755</c:v>
                </c:pt>
                <c:pt idx="749">
                  <c:v>69.748971706480944</c:v>
                </c:pt>
                <c:pt idx="750">
                  <c:v>70.003973187747846</c:v>
                </c:pt>
                <c:pt idx="751">
                  <c:v>70.083278147734788</c:v>
                </c:pt>
                <c:pt idx="752">
                  <c:v>70.28048745708108</c:v>
                </c:pt>
                <c:pt idx="753">
                  <c:v>69.675403164480485</c:v>
                </c:pt>
                <c:pt idx="754">
                  <c:v>70.248594064823166</c:v>
                </c:pt>
                <c:pt idx="755">
                  <c:v>69.267472704730679</c:v>
                </c:pt>
                <c:pt idx="756">
                  <c:v>69.578167640167806</c:v>
                </c:pt>
                <c:pt idx="757">
                  <c:v>68.902417057005579</c:v>
                </c:pt>
                <c:pt idx="758">
                  <c:v>69.574786642676145</c:v>
                </c:pt>
                <c:pt idx="759">
                  <c:v>68.999953878280735</c:v>
                </c:pt>
                <c:pt idx="760">
                  <c:v>68.815188792582973</c:v>
                </c:pt>
                <c:pt idx="761">
                  <c:v>69.000209636760232</c:v>
                </c:pt>
                <c:pt idx="762">
                  <c:v>68.674150578176864</c:v>
                </c:pt>
                <c:pt idx="763">
                  <c:v>68.94766685937158</c:v>
                </c:pt>
                <c:pt idx="764">
                  <c:v>71.316660516699088</c:v>
                </c:pt>
                <c:pt idx="765">
                  <c:v>71.856104148065157</c:v>
                </c:pt>
                <c:pt idx="766">
                  <c:v>73.333055638116406</c:v>
                </c:pt>
                <c:pt idx="767">
                  <c:v>72.809754250652148</c:v>
                </c:pt>
                <c:pt idx="768">
                  <c:v>72.398869270164255</c:v>
                </c:pt>
                <c:pt idx="769">
                  <c:v>70.62005665828697</c:v>
                </c:pt>
                <c:pt idx="770">
                  <c:v>70.739575211915195</c:v>
                </c:pt>
                <c:pt idx="771">
                  <c:v>70.345027522626097</c:v>
                </c:pt>
                <c:pt idx="772">
                  <c:v>69.546848218371593</c:v>
                </c:pt>
                <c:pt idx="773">
                  <c:v>70.029084423998611</c:v>
                </c:pt>
                <c:pt idx="774">
                  <c:v>69.681760704055591</c:v>
                </c:pt>
                <c:pt idx="775">
                  <c:v>70.582568061462197</c:v>
                </c:pt>
                <c:pt idx="776">
                  <c:v>72.269396842494274</c:v>
                </c:pt>
                <c:pt idx="777">
                  <c:v>73.861979645000815</c:v>
                </c:pt>
                <c:pt idx="778">
                  <c:v>74.118064339308205</c:v>
                </c:pt>
                <c:pt idx="779">
                  <c:v>73.354899860172324</c:v>
                </c:pt>
                <c:pt idx="780">
                  <c:v>73.457886025919066</c:v>
                </c:pt>
                <c:pt idx="781">
                  <c:v>72.444259868381707</c:v>
                </c:pt>
                <c:pt idx="782">
                  <c:v>72.12825481996434</c:v>
                </c:pt>
                <c:pt idx="783">
                  <c:v>72.871705357381558</c:v>
                </c:pt>
                <c:pt idx="784">
                  <c:v>72.713299383671341</c:v>
                </c:pt>
                <c:pt idx="785">
                  <c:v>71.770065567876017</c:v>
                </c:pt>
                <c:pt idx="786">
                  <c:v>71.665219055665645</c:v>
                </c:pt>
                <c:pt idx="787">
                  <c:v>71.818955841828895</c:v>
                </c:pt>
                <c:pt idx="788">
                  <c:v>71.067168881422859</c:v>
                </c:pt>
                <c:pt idx="789">
                  <c:v>70.976580948620196</c:v>
                </c:pt>
                <c:pt idx="790">
                  <c:v>70.315533781785916</c:v>
                </c:pt>
                <c:pt idx="791">
                  <c:v>70.603256735338604</c:v>
                </c:pt>
                <c:pt idx="792">
                  <c:v>70.109331548598973</c:v>
                </c:pt>
                <c:pt idx="793">
                  <c:v>69.696280878214154</c:v>
                </c:pt>
                <c:pt idx="794">
                  <c:v>69.942452880768982</c:v>
                </c:pt>
                <c:pt idx="795">
                  <c:v>69.630849758528285</c:v>
                </c:pt>
                <c:pt idx="796">
                  <c:v>69.128090289508066</c:v>
                </c:pt>
                <c:pt idx="797">
                  <c:v>69.000791463207506</c:v>
                </c:pt>
                <c:pt idx="798">
                  <c:v>68.842336800756243</c:v>
                </c:pt>
                <c:pt idx="799">
                  <c:v>69.567322725775512</c:v>
                </c:pt>
                <c:pt idx="800">
                  <c:v>69.756489415634491</c:v>
                </c:pt>
                <c:pt idx="801">
                  <c:v>69.337560677716567</c:v>
                </c:pt>
                <c:pt idx="802">
                  <c:v>70.047406314475239</c:v>
                </c:pt>
                <c:pt idx="803">
                  <c:v>69.332225127884882</c:v>
                </c:pt>
                <c:pt idx="804">
                  <c:v>69.714548437986096</c:v>
                </c:pt>
                <c:pt idx="805">
                  <c:v>69.58042973900713</c:v>
                </c:pt>
                <c:pt idx="806">
                  <c:v>69.264132310849831</c:v>
                </c:pt>
                <c:pt idx="807">
                  <c:v>68.493034511632985</c:v>
                </c:pt>
                <c:pt idx="808">
                  <c:v>68.356635324698573</c:v>
                </c:pt>
                <c:pt idx="809">
                  <c:v>69.750466412214138</c:v>
                </c:pt>
                <c:pt idx="810">
                  <c:v>69.510020960488262</c:v>
                </c:pt>
                <c:pt idx="811">
                  <c:v>69.324541670285598</c:v>
                </c:pt>
                <c:pt idx="812">
                  <c:v>69.113640239621532</c:v>
                </c:pt>
                <c:pt idx="813">
                  <c:v>69.294828995968132</c:v>
                </c:pt>
                <c:pt idx="814">
                  <c:v>69.759622366009239</c:v>
                </c:pt>
                <c:pt idx="815">
                  <c:v>70.019145588221903</c:v>
                </c:pt>
                <c:pt idx="816">
                  <c:v>69.737420063078787</c:v>
                </c:pt>
                <c:pt idx="817">
                  <c:v>70.022392787688176</c:v>
                </c:pt>
                <c:pt idx="818">
                  <c:v>69.719750774353372</c:v>
                </c:pt>
                <c:pt idx="819">
                  <c:v>70.510816083105468</c:v>
                </c:pt>
                <c:pt idx="820">
                  <c:v>70.348197836440733</c:v>
                </c:pt>
                <c:pt idx="821">
                  <c:v>69.566102527751255</c:v>
                </c:pt>
                <c:pt idx="822">
                  <c:v>69.717839671305953</c:v>
                </c:pt>
                <c:pt idx="823">
                  <c:v>70.012107377304176</c:v>
                </c:pt>
                <c:pt idx="824">
                  <c:v>69.622703432062039</c:v>
                </c:pt>
                <c:pt idx="825">
                  <c:v>69.61578091217244</c:v>
                </c:pt>
                <c:pt idx="826">
                  <c:v>69.290227990979716</c:v>
                </c:pt>
                <c:pt idx="827">
                  <c:v>69.446353391370351</c:v>
                </c:pt>
                <c:pt idx="828">
                  <c:v>69.640228872651349</c:v>
                </c:pt>
                <c:pt idx="829">
                  <c:v>69.678323551166187</c:v>
                </c:pt>
                <c:pt idx="830">
                  <c:v>69.236139784286578</c:v>
                </c:pt>
                <c:pt idx="831">
                  <c:v>71.637646025625074</c:v>
                </c:pt>
                <c:pt idx="832">
                  <c:v>71.753040356679776</c:v>
                </c:pt>
                <c:pt idx="833">
                  <c:v>71.525247186464412</c:v>
                </c:pt>
                <c:pt idx="834">
                  <c:v>71.169509206699104</c:v>
                </c:pt>
                <c:pt idx="835">
                  <c:v>72.259763689646334</c:v>
                </c:pt>
                <c:pt idx="836">
                  <c:v>71.711293896005685</c:v>
                </c:pt>
                <c:pt idx="837">
                  <c:v>71.728309833505691</c:v>
                </c:pt>
                <c:pt idx="838">
                  <c:v>71.628493824818278</c:v>
                </c:pt>
                <c:pt idx="839">
                  <c:v>71.420415683760467</c:v>
                </c:pt>
                <c:pt idx="840">
                  <c:v>71.570041873402317</c:v>
                </c:pt>
                <c:pt idx="841">
                  <c:v>70.952316177697867</c:v>
                </c:pt>
                <c:pt idx="842">
                  <c:v>71.005685284143183</c:v>
                </c:pt>
                <c:pt idx="843">
                  <c:v>70.362450383963477</c:v>
                </c:pt>
                <c:pt idx="844">
                  <c:v>70.153726417536262</c:v>
                </c:pt>
                <c:pt idx="845">
                  <c:v>70.637928458840918</c:v>
                </c:pt>
                <c:pt idx="846">
                  <c:v>71.107369860004383</c:v>
                </c:pt>
                <c:pt idx="847">
                  <c:v>71.417284635395021</c:v>
                </c:pt>
                <c:pt idx="848">
                  <c:v>71.069227619925641</c:v>
                </c:pt>
                <c:pt idx="849">
                  <c:v>70.811940789011643</c:v>
                </c:pt>
                <c:pt idx="850">
                  <c:v>71.219726234538541</c:v>
                </c:pt>
                <c:pt idx="851">
                  <c:v>70.768904359538539</c:v>
                </c:pt>
                <c:pt idx="852">
                  <c:v>71.056061368784043</c:v>
                </c:pt>
                <c:pt idx="853">
                  <c:v>70.251893141917463</c:v>
                </c:pt>
                <c:pt idx="854">
                  <c:v>70.72314702627267</c:v>
                </c:pt>
                <c:pt idx="855">
                  <c:v>70.818310312947631</c:v>
                </c:pt>
                <c:pt idx="856">
                  <c:v>70.627154600057011</c:v>
                </c:pt>
                <c:pt idx="857">
                  <c:v>70.628678789761054</c:v>
                </c:pt>
                <c:pt idx="858">
                  <c:v>70.399733601057804</c:v>
                </c:pt>
                <c:pt idx="859">
                  <c:v>70.178109615639244</c:v>
                </c:pt>
                <c:pt idx="860">
                  <c:v>71.011206938439088</c:v>
                </c:pt>
                <c:pt idx="861">
                  <c:v>70.877697744103145</c:v>
                </c:pt>
                <c:pt idx="862">
                  <c:v>70.574926970231473</c:v>
                </c:pt>
                <c:pt idx="863">
                  <c:v>71.000559075451832</c:v>
                </c:pt>
                <c:pt idx="864">
                  <c:v>70.922364899563163</c:v>
                </c:pt>
                <c:pt idx="865">
                  <c:v>70.554026682596046</c:v>
                </c:pt>
                <c:pt idx="866">
                  <c:v>70.523412147854614</c:v>
                </c:pt>
                <c:pt idx="867">
                  <c:v>70.263794080889539</c:v>
                </c:pt>
                <c:pt idx="868">
                  <c:v>70.306671129902455</c:v>
                </c:pt>
                <c:pt idx="869">
                  <c:v>70.092388895423667</c:v>
                </c:pt>
                <c:pt idx="870">
                  <c:v>70.07152858292369</c:v>
                </c:pt>
                <c:pt idx="871">
                  <c:v>70.329256296792352</c:v>
                </c:pt>
                <c:pt idx="872">
                  <c:v>70.162863634490606</c:v>
                </c:pt>
                <c:pt idx="873">
                  <c:v>69.824411350003189</c:v>
                </c:pt>
                <c:pt idx="874">
                  <c:v>70.76075286791918</c:v>
                </c:pt>
                <c:pt idx="875">
                  <c:v>70.571831816524011</c:v>
                </c:pt>
                <c:pt idx="876">
                  <c:v>70.185337818940951</c:v>
                </c:pt>
                <c:pt idx="877">
                  <c:v>70.1429452601338</c:v>
                </c:pt>
                <c:pt idx="878">
                  <c:v>70.096360725506514</c:v>
                </c:pt>
                <c:pt idx="879">
                  <c:v>69.685824788006514</c:v>
                </c:pt>
                <c:pt idx="880">
                  <c:v>69.253171987803711</c:v>
                </c:pt>
                <c:pt idx="881">
                  <c:v>69.712807916426996</c:v>
                </c:pt>
                <c:pt idx="882">
                  <c:v>69.550152303895729</c:v>
                </c:pt>
                <c:pt idx="883">
                  <c:v>69.382241620414533</c:v>
                </c:pt>
                <c:pt idx="884">
                  <c:v>69.462888407523906</c:v>
                </c:pt>
                <c:pt idx="885">
                  <c:v>69.25654655194721</c:v>
                </c:pt>
                <c:pt idx="886">
                  <c:v>68.614397119132306</c:v>
                </c:pt>
                <c:pt idx="887">
                  <c:v>68.855723683232839</c:v>
                </c:pt>
                <c:pt idx="888">
                  <c:v>68.321017882531834</c:v>
                </c:pt>
                <c:pt idx="889">
                  <c:v>68.262033820031832</c:v>
                </c:pt>
                <c:pt idx="890">
                  <c:v>68.25030213347425</c:v>
                </c:pt>
                <c:pt idx="891">
                  <c:v>68.258459580768942</c:v>
                </c:pt>
                <c:pt idx="892">
                  <c:v>68.018557785638208</c:v>
                </c:pt>
                <c:pt idx="893">
                  <c:v>70.646511870956488</c:v>
                </c:pt>
                <c:pt idx="894">
                  <c:v>70.439503257675227</c:v>
                </c:pt>
                <c:pt idx="895">
                  <c:v>72.366633422809784</c:v>
                </c:pt>
                <c:pt idx="896">
                  <c:v>72.503794779697984</c:v>
                </c:pt>
                <c:pt idx="897">
                  <c:v>72.528293949378963</c:v>
                </c:pt>
                <c:pt idx="898">
                  <c:v>71.948306243544181</c:v>
                </c:pt>
                <c:pt idx="899">
                  <c:v>71.96202780604419</c:v>
                </c:pt>
                <c:pt idx="900">
                  <c:v>71.025549764632501</c:v>
                </c:pt>
                <c:pt idx="901">
                  <c:v>70.987994565126684</c:v>
                </c:pt>
                <c:pt idx="902">
                  <c:v>71.00259294772394</c:v>
                </c:pt>
                <c:pt idx="903">
                  <c:v>70.9096536585932</c:v>
                </c:pt>
                <c:pt idx="904">
                  <c:v>70.703854283593216</c:v>
                </c:pt>
                <c:pt idx="905">
                  <c:v>70.257200053505102</c:v>
                </c:pt>
                <c:pt idx="906">
                  <c:v>70.074717478332403</c:v>
                </c:pt>
                <c:pt idx="907">
                  <c:v>71.424982249676518</c:v>
                </c:pt>
                <c:pt idx="908">
                  <c:v>71.055880163331437</c:v>
                </c:pt>
                <c:pt idx="909">
                  <c:v>70.844544225831427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4F-4822-A9B4-BAADC1AAB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6875456"/>
        <c:axId val="776877616"/>
      </c:lineChart>
      <c:dateAx>
        <c:axId val="776875456"/>
        <c:scaling>
          <c:orientation val="minMax"/>
        </c:scaling>
        <c:delete val="0"/>
        <c:axPos val="b"/>
        <c:numFmt formatCode="yy\-mm" sourceLinked="0"/>
        <c:majorTickMark val="out"/>
        <c:minorTickMark val="none"/>
        <c:tickLblPos val="nextTo"/>
        <c:crossAx val="776877616"/>
        <c:crosses val="autoZero"/>
        <c:auto val="1"/>
        <c:lblOffset val="100"/>
        <c:baseTimeUnit val="days"/>
      </c:dateAx>
      <c:valAx>
        <c:axId val="77687761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76875456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 w="9525">
      <a:solidFill>
        <a:srgbClr val="E6E6E6"/>
      </a:solidFill>
    </a:ln>
  </c:spPr>
  <c:txPr>
    <a:bodyPr/>
    <a:lstStyle/>
    <a:p>
      <a:pPr>
        <a:defRPr sz="900">
          <a:latin typeface="Meiryo UI"/>
          <a:ea typeface="Meiryo UI"/>
          <a:cs typeface="Meiryo UI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100" b="1">
                <a:solidFill>
                  <a:srgbClr val="C00000"/>
                </a:solidFill>
              </a:defRPr>
            </a:pPr>
            <a:r>
              <a:rPr lang="ja-JP"/>
              <a:t>ドローダウン </a:t>
            </a:r>
            <a:r>
              <a:rPr lang="en-US"/>
              <a:t>(%) — NAV</a:t>
            </a:r>
            <a:r>
              <a:rPr lang="ja-JP"/>
              <a:t>ピーク比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分析データ!$AH$1</c:f>
              <c:strCache>
                <c:ptCount val="1"/>
                <c:pt idx="0">
                  <c:v>DD%</c:v>
                </c:pt>
              </c:strCache>
            </c:strRef>
          </c:tx>
          <c:spPr>
            <a:ln w="22225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[0]!DATE_X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[0]!DD_Y</c:f>
              <c:numCache>
                <c:formatCode>0.00%</c:formatCode>
                <c:ptCount val="910"/>
                <c:pt idx="0">
                  <c:v>0</c:v>
                </c:pt>
                <c:pt idx="1">
                  <c:v>-1.256956557817257E-2</c:v>
                </c:pt>
                <c:pt idx="2">
                  <c:v>-1.6723568635554686E-2</c:v>
                </c:pt>
                <c:pt idx="3">
                  <c:v>-2.5792259063029843E-2</c:v>
                </c:pt>
                <c:pt idx="4">
                  <c:v>-1.5041468554190196E-2</c:v>
                </c:pt>
                <c:pt idx="5">
                  <c:v>-2.0080777260235272E-2</c:v>
                </c:pt>
                <c:pt idx="6">
                  <c:v>-2.0414703482686147E-2</c:v>
                </c:pt>
                <c:pt idx="7">
                  <c:v>-1.9794727267482992E-2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-8.669347805012606E-4</c:v>
                </c:pt>
                <c:pt idx="12">
                  <c:v>-2.500407817121908E-3</c:v>
                </c:pt>
                <c:pt idx="13">
                  <c:v>-1.1073039823700004E-2</c:v>
                </c:pt>
                <c:pt idx="14">
                  <c:v>-1.8188986493414272E-2</c:v>
                </c:pt>
                <c:pt idx="15">
                  <c:v>-1.3152555905507568E-2</c:v>
                </c:pt>
                <c:pt idx="16">
                  <c:v>-1.132834384490744E-3</c:v>
                </c:pt>
                <c:pt idx="17">
                  <c:v>-1.0519029602730656E-2</c:v>
                </c:pt>
                <c:pt idx="18">
                  <c:v>-8.5488756569398472E-3</c:v>
                </c:pt>
                <c:pt idx="19">
                  <c:v>-1.4909273955111213E-2</c:v>
                </c:pt>
                <c:pt idx="20">
                  <c:v>-7.4664157376429507E-3</c:v>
                </c:pt>
                <c:pt idx="21">
                  <c:v>0</c:v>
                </c:pt>
                <c:pt idx="22">
                  <c:v>0</c:v>
                </c:pt>
                <c:pt idx="23">
                  <c:v>-2.9928368566051744E-2</c:v>
                </c:pt>
                <c:pt idx="24">
                  <c:v>-3.6354865918343249E-2</c:v>
                </c:pt>
                <c:pt idx="25">
                  <c:v>-1.8516776242784139E-2</c:v>
                </c:pt>
                <c:pt idx="26">
                  <c:v>-2.1689665599824104E-2</c:v>
                </c:pt>
                <c:pt idx="27">
                  <c:v>-2.6598590699473568E-2</c:v>
                </c:pt>
                <c:pt idx="28">
                  <c:v>-2.1053714797064305E-2</c:v>
                </c:pt>
                <c:pt idx="29">
                  <c:v>-2.69308368513973E-2</c:v>
                </c:pt>
                <c:pt idx="30">
                  <c:v>-3.3445594750623031E-2</c:v>
                </c:pt>
                <c:pt idx="31">
                  <c:v>-4.6129269229865821E-2</c:v>
                </c:pt>
                <c:pt idx="32">
                  <c:v>-4.5597737435545405E-2</c:v>
                </c:pt>
                <c:pt idx="33">
                  <c:v>-5.4260001212410369E-2</c:v>
                </c:pt>
                <c:pt idx="34">
                  <c:v>-5.9171641621580617E-2</c:v>
                </c:pt>
                <c:pt idx="35">
                  <c:v>-5.5545937537492707E-2</c:v>
                </c:pt>
                <c:pt idx="36">
                  <c:v>-5.0372051229604087E-2</c:v>
                </c:pt>
                <c:pt idx="37">
                  <c:v>-6.1937790704443052E-2</c:v>
                </c:pt>
                <c:pt idx="38">
                  <c:v>-5.7512481414174532E-2</c:v>
                </c:pt>
                <c:pt idx="39">
                  <c:v>-5.9238525093196714E-2</c:v>
                </c:pt>
                <c:pt idx="40">
                  <c:v>-6.4056444929726841E-2</c:v>
                </c:pt>
                <c:pt idx="41">
                  <c:v>-5.8498860850847989E-2</c:v>
                </c:pt>
                <c:pt idx="42">
                  <c:v>-5.6270550830351929E-2</c:v>
                </c:pt>
                <c:pt idx="43">
                  <c:v>-5.13370675249879E-2</c:v>
                </c:pt>
                <c:pt idx="44">
                  <c:v>-6.2785820501144229E-2</c:v>
                </c:pt>
                <c:pt idx="45">
                  <c:v>-6.7334674688533047E-2</c:v>
                </c:pt>
                <c:pt idx="46">
                  <c:v>-6.6176970070823904E-2</c:v>
                </c:pt>
                <c:pt idx="47">
                  <c:v>-7.2661246531524393E-2</c:v>
                </c:pt>
                <c:pt idx="48">
                  <c:v>-4.6608745435553711E-2</c:v>
                </c:pt>
                <c:pt idx="49">
                  <c:v>-6.3907943514507681E-2</c:v>
                </c:pt>
                <c:pt idx="50">
                  <c:v>-4.3148704500089341E-2</c:v>
                </c:pt>
                <c:pt idx="51">
                  <c:v>-5.5313394482126799E-2</c:v>
                </c:pt>
                <c:pt idx="52">
                  <c:v>-4.5959260177529271E-2</c:v>
                </c:pt>
                <c:pt idx="53">
                  <c:v>-3.3708040300177489E-2</c:v>
                </c:pt>
                <c:pt idx="54">
                  <c:v>-3.7343678472338881E-2</c:v>
                </c:pt>
                <c:pt idx="55">
                  <c:v>-3.9143471437696364E-2</c:v>
                </c:pt>
                <c:pt idx="56">
                  <c:v>-3.9340358306370282E-2</c:v>
                </c:pt>
                <c:pt idx="57">
                  <c:v>-4.1745083440762554E-2</c:v>
                </c:pt>
                <c:pt idx="58">
                  <c:v>-3.3669392166298495E-2</c:v>
                </c:pt>
                <c:pt idx="59">
                  <c:v>-4.2323326375834247E-2</c:v>
                </c:pt>
                <c:pt idx="60">
                  <c:v>-4.4217764840621898E-2</c:v>
                </c:pt>
                <c:pt idx="61">
                  <c:v>-3.9385214104311284E-2</c:v>
                </c:pt>
                <c:pt idx="62">
                  <c:v>-3.5313958852265181E-2</c:v>
                </c:pt>
                <c:pt idx="63">
                  <c:v>-2.524183044001671E-2</c:v>
                </c:pt>
                <c:pt idx="64">
                  <c:v>-1.9932841422322323E-2</c:v>
                </c:pt>
                <c:pt idx="65">
                  <c:v>-2.543375657886715E-2</c:v>
                </c:pt>
                <c:pt idx="66">
                  <c:v>-2.6166245617036732E-2</c:v>
                </c:pt>
                <c:pt idx="67">
                  <c:v>-3.8032083218375812E-2</c:v>
                </c:pt>
                <c:pt idx="68">
                  <c:v>-4.0431045647439823E-2</c:v>
                </c:pt>
                <c:pt idx="69">
                  <c:v>-3.8776840177054295E-2</c:v>
                </c:pt>
                <c:pt idx="70">
                  <c:v>-3.275655412629952E-2</c:v>
                </c:pt>
                <c:pt idx="71">
                  <c:v>-3.2222931967678003E-2</c:v>
                </c:pt>
                <c:pt idx="72">
                  <c:v>-5.0286651262814841E-2</c:v>
                </c:pt>
                <c:pt idx="73">
                  <c:v>-4.5051183483165169E-2</c:v>
                </c:pt>
                <c:pt idx="74">
                  <c:v>-4.931359324693807E-2</c:v>
                </c:pt>
                <c:pt idx="75">
                  <c:v>-4.5023299571922526E-2</c:v>
                </c:pt>
                <c:pt idx="76">
                  <c:v>-4.6658789884345353E-2</c:v>
                </c:pt>
                <c:pt idx="77">
                  <c:v>-4.6191585274936831E-2</c:v>
                </c:pt>
                <c:pt idx="78">
                  <c:v>-4.6191020616445422E-2</c:v>
                </c:pt>
                <c:pt idx="79">
                  <c:v>-4.3317340062926757E-2</c:v>
                </c:pt>
                <c:pt idx="80">
                  <c:v>-4.5046479585925558E-2</c:v>
                </c:pt>
                <c:pt idx="81">
                  <c:v>-4.1372369037349199E-2</c:v>
                </c:pt>
                <c:pt idx="82">
                  <c:v>-7.9350405308025618E-2</c:v>
                </c:pt>
                <c:pt idx="83">
                  <c:v>-6.8726271878139844E-2</c:v>
                </c:pt>
                <c:pt idx="84">
                  <c:v>-5.1343378557129893E-2</c:v>
                </c:pt>
                <c:pt idx="85">
                  <c:v>-5.7183622406866585E-2</c:v>
                </c:pt>
                <c:pt idx="86">
                  <c:v>-5.2121670730535641E-2</c:v>
                </c:pt>
                <c:pt idx="87">
                  <c:v>-6.1269542187943116E-2</c:v>
                </c:pt>
                <c:pt idx="88">
                  <c:v>-6.3129747478803622E-2</c:v>
                </c:pt>
                <c:pt idx="89">
                  <c:v>-4.900611028145696E-2</c:v>
                </c:pt>
                <c:pt idx="90">
                  <c:v>-4.587122961257839E-2</c:v>
                </c:pt>
                <c:pt idx="91">
                  <c:v>-5.2692521976393292E-2</c:v>
                </c:pt>
                <c:pt idx="92">
                  <c:v>-6.7948144681627909E-2</c:v>
                </c:pt>
                <c:pt idx="93">
                  <c:v>-7.0073603763991965E-2</c:v>
                </c:pt>
                <c:pt idx="94">
                  <c:v>-7.8931303923547191E-2</c:v>
                </c:pt>
                <c:pt idx="95">
                  <c:v>-8.6929383758947099E-2</c:v>
                </c:pt>
                <c:pt idx="96">
                  <c:v>-8.6216482185730525E-2</c:v>
                </c:pt>
                <c:pt idx="97">
                  <c:v>-8.8667482833299172E-2</c:v>
                </c:pt>
                <c:pt idx="98">
                  <c:v>-8.6388372638231958E-2</c:v>
                </c:pt>
                <c:pt idx="99">
                  <c:v>-9.3740809359811439E-2</c:v>
                </c:pt>
                <c:pt idx="100">
                  <c:v>-9.7844522326614891E-2</c:v>
                </c:pt>
                <c:pt idx="101">
                  <c:v>-9.0248923826754313E-2</c:v>
                </c:pt>
                <c:pt idx="102">
                  <c:v>-8.3790973936970992E-2</c:v>
                </c:pt>
                <c:pt idx="103">
                  <c:v>-7.8126938746753249E-2</c:v>
                </c:pt>
                <c:pt idx="104">
                  <c:v>-7.8406884910187213E-2</c:v>
                </c:pt>
                <c:pt idx="105">
                  <c:v>-7.3119399177173805E-2</c:v>
                </c:pt>
                <c:pt idx="106">
                  <c:v>-8.0236185262954951E-2</c:v>
                </c:pt>
                <c:pt idx="107">
                  <c:v>-8.0562196439026179E-2</c:v>
                </c:pt>
                <c:pt idx="108">
                  <c:v>-8.7408528420471865E-2</c:v>
                </c:pt>
                <c:pt idx="109">
                  <c:v>-7.6355211178552262E-2</c:v>
                </c:pt>
                <c:pt idx="110">
                  <c:v>-7.3008944465600578E-2</c:v>
                </c:pt>
                <c:pt idx="111">
                  <c:v>-7.9132626371924086E-2</c:v>
                </c:pt>
                <c:pt idx="112">
                  <c:v>-8.7724006430843215E-2</c:v>
                </c:pt>
                <c:pt idx="113">
                  <c:v>-8.1575438902811825E-2</c:v>
                </c:pt>
                <c:pt idx="114">
                  <c:v>-8.0152367027897742E-2</c:v>
                </c:pt>
                <c:pt idx="115">
                  <c:v>-8.213310305897592E-2</c:v>
                </c:pt>
                <c:pt idx="116">
                  <c:v>-9.080635817564342E-2</c:v>
                </c:pt>
                <c:pt idx="117">
                  <c:v>-9.1577493256288833E-2</c:v>
                </c:pt>
                <c:pt idx="118">
                  <c:v>-0.10855057303066873</c:v>
                </c:pt>
                <c:pt idx="119">
                  <c:v>-0.10622014322291473</c:v>
                </c:pt>
                <c:pt idx="120">
                  <c:v>-0.10950472006197542</c:v>
                </c:pt>
                <c:pt idx="121">
                  <c:v>-0.11190749155037283</c:v>
                </c:pt>
                <c:pt idx="122">
                  <c:v>-0.11244271511141291</c:v>
                </c:pt>
                <c:pt idx="123">
                  <c:v>-0.11552674560884724</c:v>
                </c:pt>
                <c:pt idx="124">
                  <c:v>-0.11218268321151403</c:v>
                </c:pt>
                <c:pt idx="125">
                  <c:v>-0.11215989744814991</c:v>
                </c:pt>
                <c:pt idx="126">
                  <c:v>-0.12029369102166831</c:v>
                </c:pt>
                <c:pt idx="127">
                  <c:v>-0.11785230158420168</c:v>
                </c:pt>
                <c:pt idx="128">
                  <c:v>-0.12296566769771389</c:v>
                </c:pt>
                <c:pt idx="129">
                  <c:v>-0.10372849071317958</c:v>
                </c:pt>
                <c:pt idx="130">
                  <c:v>-9.0904565225612521E-2</c:v>
                </c:pt>
                <c:pt idx="131">
                  <c:v>-7.4172525361073216E-2</c:v>
                </c:pt>
                <c:pt idx="132">
                  <c:v>-7.4039573642780909E-2</c:v>
                </c:pt>
                <c:pt idx="133">
                  <c:v>-7.1599891501319957E-2</c:v>
                </c:pt>
                <c:pt idx="134">
                  <c:v>-7.5001034451081194E-2</c:v>
                </c:pt>
                <c:pt idx="135">
                  <c:v>-7.8942318532584044E-2</c:v>
                </c:pt>
                <c:pt idx="136">
                  <c:v>-8.0452332005755522E-2</c:v>
                </c:pt>
                <c:pt idx="137">
                  <c:v>-8.5390260117210959E-2</c:v>
                </c:pt>
                <c:pt idx="138">
                  <c:v>-8.0753520326308115E-2</c:v>
                </c:pt>
                <c:pt idx="139">
                  <c:v>-9.5358949745226518E-2</c:v>
                </c:pt>
                <c:pt idx="140">
                  <c:v>-9.3228113255727663E-2</c:v>
                </c:pt>
                <c:pt idx="141">
                  <c:v>-8.7050499765709555E-2</c:v>
                </c:pt>
                <c:pt idx="142">
                  <c:v>-7.9752650874944431E-2</c:v>
                </c:pt>
                <c:pt idx="143">
                  <c:v>-7.3804033707167038E-2</c:v>
                </c:pt>
                <c:pt idx="144">
                  <c:v>-0.10574497102916447</c:v>
                </c:pt>
                <c:pt idx="145">
                  <c:v>-0.11811608217163772</c:v>
                </c:pt>
                <c:pt idx="146">
                  <c:v>-0.12268201575874482</c:v>
                </c:pt>
                <c:pt idx="147">
                  <c:v>-0.12509088858354278</c:v>
                </c:pt>
                <c:pt idx="148">
                  <c:v>-0.12263562220545188</c:v>
                </c:pt>
                <c:pt idx="149">
                  <c:v>-0.12694735307487692</c:v>
                </c:pt>
                <c:pt idx="150">
                  <c:v>-0.12784742792400827</c:v>
                </c:pt>
                <c:pt idx="151">
                  <c:v>-0.12612979307295602</c:v>
                </c:pt>
                <c:pt idx="152">
                  <c:v>-0.14115622666788363</c:v>
                </c:pt>
                <c:pt idx="153">
                  <c:v>-0.14164392976608209</c:v>
                </c:pt>
                <c:pt idx="154">
                  <c:v>-0.14487845778113417</c:v>
                </c:pt>
                <c:pt idx="155">
                  <c:v>-0.14699506143370766</c:v>
                </c:pt>
                <c:pt idx="156">
                  <c:v>-0.15667178626791245</c:v>
                </c:pt>
                <c:pt idx="157">
                  <c:v>-0.15510120895559709</c:v>
                </c:pt>
                <c:pt idx="158">
                  <c:v>-0.15529505673393085</c:v>
                </c:pt>
                <c:pt idx="159">
                  <c:v>-0.16013679616072052</c:v>
                </c:pt>
                <c:pt idx="160">
                  <c:v>-0.15417263336421028</c:v>
                </c:pt>
                <c:pt idx="161">
                  <c:v>-0.13780692005995165</c:v>
                </c:pt>
                <c:pt idx="162">
                  <c:v>-0.15207643433805373</c:v>
                </c:pt>
                <c:pt idx="163">
                  <c:v>-0.14947081079114344</c:v>
                </c:pt>
                <c:pt idx="164">
                  <c:v>-0.15167777928433623</c:v>
                </c:pt>
                <c:pt idx="165">
                  <c:v>-0.14910951875743017</c:v>
                </c:pt>
                <c:pt idx="166">
                  <c:v>-0.14773904807009441</c:v>
                </c:pt>
                <c:pt idx="167">
                  <c:v>-0.14391894050293086</c:v>
                </c:pt>
                <c:pt idx="168">
                  <c:v>-0.14990832525150466</c:v>
                </c:pt>
                <c:pt idx="169">
                  <c:v>-0.16678026250613875</c:v>
                </c:pt>
                <c:pt idx="170">
                  <c:v>-0.17025339478095414</c:v>
                </c:pt>
                <c:pt idx="171">
                  <c:v>-0.16833415792554829</c:v>
                </c:pt>
                <c:pt idx="172">
                  <c:v>-0.16653731314355436</c:v>
                </c:pt>
                <c:pt idx="173">
                  <c:v>-0.16399007602251359</c:v>
                </c:pt>
                <c:pt idx="174">
                  <c:v>-0.16450883266024374</c:v>
                </c:pt>
                <c:pt idx="175">
                  <c:v>-0.16455432707331508</c:v>
                </c:pt>
                <c:pt idx="176">
                  <c:v>-0.1652900584288427</c:v>
                </c:pt>
                <c:pt idx="177">
                  <c:v>-0.16514758360593484</c:v>
                </c:pt>
                <c:pt idx="178">
                  <c:v>-0.16383512045789794</c:v>
                </c:pt>
                <c:pt idx="179">
                  <c:v>-0.1695922094280119</c:v>
                </c:pt>
                <c:pt idx="180">
                  <c:v>-0.17091540428048935</c:v>
                </c:pt>
                <c:pt idx="181">
                  <c:v>-0.17319428972223971</c:v>
                </c:pt>
                <c:pt idx="182">
                  <c:v>-0.17026282569820306</c:v>
                </c:pt>
                <c:pt idx="183">
                  <c:v>-0.18918449920326263</c:v>
                </c:pt>
                <c:pt idx="184">
                  <c:v>-0.19258275070118458</c:v>
                </c:pt>
                <c:pt idx="185">
                  <c:v>-0.19610144395965989</c:v>
                </c:pt>
                <c:pt idx="186">
                  <c:v>-0.1984760155195644</c:v>
                </c:pt>
                <c:pt idx="187">
                  <c:v>-0.20016957875993246</c:v>
                </c:pt>
                <c:pt idx="188">
                  <c:v>-0.20734810165660666</c:v>
                </c:pt>
                <c:pt idx="189">
                  <c:v>-0.21050139360353948</c:v>
                </c:pt>
                <c:pt idx="190">
                  <c:v>-0.20607668370948506</c:v>
                </c:pt>
                <c:pt idx="191">
                  <c:v>-0.20567477070215356</c:v>
                </c:pt>
                <c:pt idx="192">
                  <c:v>-0.20569871226990755</c:v>
                </c:pt>
                <c:pt idx="193">
                  <c:v>-0.20637547157403968</c:v>
                </c:pt>
                <c:pt idx="194">
                  <c:v>-0.20062992318668249</c:v>
                </c:pt>
                <c:pt idx="195">
                  <c:v>-0.21076759204403561</c:v>
                </c:pt>
                <c:pt idx="196">
                  <c:v>-0.20644390091348641</c:v>
                </c:pt>
                <c:pt idx="197">
                  <c:v>-0.20878447806512523</c:v>
                </c:pt>
                <c:pt idx="198">
                  <c:v>-0.21325946597377232</c:v>
                </c:pt>
                <c:pt idx="199">
                  <c:v>-0.21991248211542658</c:v>
                </c:pt>
                <c:pt idx="200">
                  <c:v>-0.22485403550361538</c:v>
                </c:pt>
                <c:pt idx="201">
                  <c:v>-0.22857348924262633</c:v>
                </c:pt>
                <c:pt idx="202">
                  <c:v>-0.22489303871129507</c:v>
                </c:pt>
                <c:pt idx="203">
                  <c:v>-0.22458932075493376</c:v>
                </c:pt>
                <c:pt idx="204">
                  <c:v>-0.23042423458238226</c:v>
                </c:pt>
                <c:pt idx="205">
                  <c:v>-0.22914824687553947</c:v>
                </c:pt>
                <c:pt idx="206">
                  <c:v>-0.2281842617819736</c:v>
                </c:pt>
                <c:pt idx="207">
                  <c:v>-0.22465141217050866</c:v>
                </c:pt>
                <c:pt idx="208">
                  <c:v>-0.21364117010981387</c:v>
                </c:pt>
                <c:pt idx="209">
                  <c:v>-0.23262505227626107</c:v>
                </c:pt>
                <c:pt idx="210">
                  <c:v>-0.2173686733407747</c:v>
                </c:pt>
                <c:pt idx="211">
                  <c:v>-0.21855146550107862</c:v>
                </c:pt>
                <c:pt idx="212">
                  <c:v>-0.21347404366577949</c:v>
                </c:pt>
                <c:pt idx="213">
                  <c:v>-0.21365046070217131</c:v>
                </c:pt>
                <c:pt idx="214">
                  <c:v>-0.20538614697147595</c:v>
                </c:pt>
                <c:pt idx="215">
                  <c:v>-0.21070819639205762</c:v>
                </c:pt>
                <c:pt idx="216">
                  <c:v>-0.21397524868071383</c:v>
                </c:pt>
                <c:pt idx="217">
                  <c:v>-0.21835495624397749</c:v>
                </c:pt>
                <c:pt idx="218">
                  <c:v>-0.21882967975075951</c:v>
                </c:pt>
                <c:pt idx="219">
                  <c:v>-0.20988527655477596</c:v>
                </c:pt>
                <c:pt idx="220">
                  <c:v>-0.21449935058630876</c:v>
                </c:pt>
                <c:pt idx="221">
                  <c:v>-0.20675065490357436</c:v>
                </c:pt>
                <c:pt idx="222">
                  <c:v>-0.20011558737456492</c:v>
                </c:pt>
                <c:pt idx="223">
                  <c:v>-0.18804943790628381</c:v>
                </c:pt>
                <c:pt idx="224">
                  <c:v>-0.18853683054680181</c:v>
                </c:pt>
                <c:pt idx="225">
                  <c:v>-0.19797762307517552</c:v>
                </c:pt>
                <c:pt idx="226">
                  <c:v>-0.19816655865287414</c:v>
                </c:pt>
                <c:pt idx="227">
                  <c:v>-0.19553931459395124</c:v>
                </c:pt>
                <c:pt idx="228">
                  <c:v>-0.18632045566496347</c:v>
                </c:pt>
                <c:pt idx="229">
                  <c:v>-0.19176544814849339</c:v>
                </c:pt>
                <c:pt idx="230">
                  <c:v>-0.19401087062720523</c:v>
                </c:pt>
                <c:pt idx="231">
                  <c:v>-0.17951437900370426</c:v>
                </c:pt>
                <c:pt idx="232">
                  <c:v>-0.18983847312189883</c:v>
                </c:pt>
                <c:pt idx="233">
                  <c:v>-0.17895839475094544</c:v>
                </c:pt>
                <c:pt idx="234">
                  <c:v>-0.1815569533092527</c:v>
                </c:pt>
                <c:pt idx="235">
                  <c:v>-0.15539108639553545</c:v>
                </c:pt>
                <c:pt idx="236">
                  <c:v>-0.1622379500692297</c:v>
                </c:pt>
                <c:pt idx="237">
                  <c:v>-0.1700349697691721</c:v>
                </c:pt>
                <c:pt idx="238">
                  <c:v>-0.16705209669131882</c:v>
                </c:pt>
                <c:pt idx="239">
                  <c:v>-0.1428598678493489</c:v>
                </c:pt>
                <c:pt idx="240">
                  <c:v>-0.13484585484554457</c:v>
                </c:pt>
                <c:pt idx="241">
                  <c:v>-0.13829849529588789</c:v>
                </c:pt>
                <c:pt idx="242">
                  <c:v>-0.14263054347630477</c:v>
                </c:pt>
                <c:pt idx="243">
                  <c:v>-0.15243500286272449</c:v>
                </c:pt>
                <c:pt idx="244">
                  <c:v>-0.14861848130635191</c:v>
                </c:pt>
                <c:pt idx="245">
                  <c:v>-0.13990364896850782</c:v>
                </c:pt>
                <c:pt idx="246">
                  <c:v>-0.14292465089398498</c:v>
                </c:pt>
                <c:pt idx="247">
                  <c:v>-0.14250610206317926</c:v>
                </c:pt>
                <c:pt idx="248">
                  <c:v>-0.13507449090722901</c:v>
                </c:pt>
                <c:pt idx="249">
                  <c:v>-0.14058200630845741</c:v>
                </c:pt>
                <c:pt idx="250">
                  <c:v>-0.1373664518070522</c:v>
                </c:pt>
                <c:pt idx="251">
                  <c:v>-0.14270752249430518</c:v>
                </c:pt>
                <c:pt idx="252">
                  <c:v>-0.15049848125901444</c:v>
                </c:pt>
                <c:pt idx="253">
                  <c:v>-0.16992537436875133</c:v>
                </c:pt>
                <c:pt idx="254">
                  <c:v>-0.16958786050815344</c:v>
                </c:pt>
                <c:pt idx="255">
                  <c:v>-0.16423414258021218</c:v>
                </c:pt>
                <c:pt idx="256">
                  <c:v>-0.16772138446145723</c:v>
                </c:pt>
                <c:pt idx="257">
                  <c:v>-0.17823183991352221</c:v>
                </c:pt>
                <c:pt idx="258">
                  <c:v>-0.17786049368817713</c:v>
                </c:pt>
                <c:pt idx="259">
                  <c:v>-0.18618958300461019</c:v>
                </c:pt>
                <c:pt idx="260">
                  <c:v>-0.19498061883363171</c:v>
                </c:pt>
                <c:pt idx="261">
                  <c:v>-0.20237895156444374</c:v>
                </c:pt>
                <c:pt idx="262">
                  <c:v>-0.20142806940191194</c:v>
                </c:pt>
                <c:pt idx="263">
                  <c:v>-0.20285079478680501</c:v>
                </c:pt>
                <c:pt idx="264">
                  <c:v>-0.20486040189606014</c:v>
                </c:pt>
                <c:pt idx="265">
                  <c:v>-0.20782323041350947</c:v>
                </c:pt>
                <c:pt idx="266">
                  <c:v>-0.20111837189428772</c:v>
                </c:pt>
                <c:pt idx="267">
                  <c:v>-0.20025422652429736</c:v>
                </c:pt>
                <c:pt idx="268">
                  <c:v>-0.20241805805363544</c:v>
                </c:pt>
                <c:pt idx="269">
                  <c:v>-0.19193465187557657</c:v>
                </c:pt>
                <c:pt idx="270">
                  <c:v>-0.19109749627688599</c:v>
                </c:pt>
                <c:pt idx="271">
                  <c:v>-0.18438131003636016</c:v>
                </c:pt>
                <c:pt idx="272">
                  <c:v>-0.18364536970000789</c:v>
                </c:pt>
                <c:pt idx="273">
                  <c:v>-0.20149888630483159</c:v>
                </c:pt>
                <c:pt idx="274">
                  <c:v>-0.20028963035807013</c:v>
                </c:pt>
                <c:pt idx="275">
                  <c:v>-0.19220659098666659</c:v>
                </c:pt>
                <c:pt idx="276">
                  <c:v>-0.19492386797984718</c:v>
                </c:pt>
                <c:pt idx="277">
                  <c:v>-0.20443575664048974</c:v>
                </c:pt>
                <c:pt idx="278">
                  <c:v>-0.20558320088820836</c:v>
                </c:pt>
                <c:pt idx="279">
                  <c:v>-0.20782194926038056</c:v>
                </c:pt>
                <c:pt idx="280">
                  <c:v>-0.21845573818047659</c:v>
                </c:pt>
                <c:pt idx="281">
                  <c:v>-0.21694442142278225</c:v>
                </c:pt>
                <c:pt idx="282">
                  <c:v>-0.21274328311209234</c:v>
                </c:pt>
                <c:pt idx="283">
                  <c:v>-0.21492017000885788</c:v>
                </c:pt>
                <c:pt idx="284">
                  <c:v>-0.21149350255716626</c:v>
                </c:pt>
                <c:pt idx="285">
                  <c:v>-0.21500640658310233</c:v>
                </c:pt>
                <c:pt idx="286">
                  <c:v>-0.21287300291968536</c:v>
                </c:pt>
                <c:pt idx="287">
                  <c:v>-0.21273611270809034</c:v>
                </c:pt>
                <c:pt idx="288">
                  <c:v>-0.21412084664698983</c:v>
                </c:pt>
                <c:pt idx="289">
                  <c:v>-0.21509838073589482</c:v>
                </c:pt>
                <c:pt idx="290">
                  <c:v>-0.21500005990496107</c:v>
                </c:pt>
                <c:pt idx="291">
                  <c:v>-0.21189617678288852</c:v>
                </c:pt>
                <c:pt idx="292">
                  <c:v>-0.21125680183860729</c:v>
                </c:pt>
                <c:pt idx="293">
                  <c:v>-0.2115939667103689</c:v>
                </c:pt>
                <c:pt idx="294">
                  <c:v>-0.2064905685678301</c:v>
                </c:pt>
                <c:pt idx="295">
                  <c:v>-0.203104461893307</c:v>
                </c:pt>
                <c:pt idx="296">
                  <c:v>-0.19343765515730371</c:v>
                </c:pt>
                <c:pt idx="297">
                  <c:v>-0.18084914082674641</c:v>
                </c:pt>
                <c:pt idx="298">
                  <c:v>-0.18345935269964564</c:v>
                </c:pt>
                <c:pt idx="299">
                  <c:v>-0.18942199560195372</c:v>
                </c:pt>
                <c:pt idx="300">
                  <c:v>-0.193277451402314</c:v>
                </c:pt>
                <c:pt idx="301">
                  <c:v>-0.19647916419049172</c:v>
                </c:pt>
                <c:pt idx="302">
                  <c:v>-0.20463872430471619</c:v>
                </c:pt>
                <c:pt idx="303">
                  <c:v>-0.20553727799228005</c:v>
                </c:pt>
                <c:pt idx="304">
                  <c:v>-0.22471200651637413</c:v>
                </c:pt>
                <c:pt idx="305">
                  <c:v>-0.22097251017668518</c:v>
                </c:pt>
                <c:pt idx="306">
                  <c:v>-0.22641155334825336</c:v>
                </c:pt>
                <c:pt idx="307">
                  <c:v>-0.22970990243469214</c:v>
                </c:pt>
                <c:pt idx="308">
                  <c:v>-0.22831108005821343</c:v>
                </c:pt>
                <c:pt idx="309">
                  <c:v>-0.22826145926594066</c:v>
                </c:pt>
                <c:pt idx="310">
                  <c:v>-0.22251323261561406</c:v>
                </c:pt>
                <c:pt idx="311">
                  <c:v>-0.22631627666925436</c:v>
                </c:pt>
                <c:pt idx="312">
                  <c:v>-0.22968209006778972</c:v>
                </c:pt>
                <c:pt idx="313">
                  <c:v>-0.23119967063312119</c:v>
                </c:pt>
                <c:pt idx="314">
                  <c:v>-0.22665446375864284</c:v>
                </c:pt>
                <c:pt idx="315">
                  <c:v>-0.228968656995714</c:v>
                </c:pt>
                <c:pt idx="316">
                  <c:v>-0.23361699677671832</c:v>
                </c:pt>
                <c:pt idx="317">
                  <c:v>-0.23008682250029344</c:v>
                </c:pt>
                <c:pt idx="318">
                  <c:v>-0.24082425252135276</c:v>
                </c:pt>
                <c:pt idx="319">
                  <c:v>-0.24481852198203802</c:v>
                </c:pt>
                <c:pt idx="320">
                  <c:v>-0.24214210537547065</c:v>
                </c:pt>
                <c:pt idx="321">
                  <c:v>-0.2558619496612361</c:v>
                </c:pt>
                <c:pt idx="322">
                  <c:v>-0.2614728195153716</c:v>
                </c:pt>
                <c:pt idx="323">
                  <c:v>-0.25518519993176003</c:v>
                </c:pt>
                <c:pt idx="324">
                  <c:v>-0.2560890495140179</c:v>
                </c:pt>
                <c:pt idx="325">
                  <c:v>-0.25670065761129368</c:v>
                </c:pt>
                <c:pt idx="326">
                  <c:v>-0.25818469358268581</c:v>
                </c:pt>
                <c:pt idx="327">
                  <c:v>-0.26354260089175141</c:v>
                </c:pt>
                <c:pt idx="328">
                  <c:v>-0.2671349783824335</c:v>
                </c:pt>
                <c:pt idx="329">
                  <c:v>-0.26943980608306295</c:v>
                </c:pt>
                <c:pt idx="330">
                  <c:v>-0.26591595310886151</c:v>
                </c:pt>
                <c:pt idx="331">
                  <c:v>-0.26848833429918828</c:v>
                </c:pt>
                <c:pt idx="332">
                  <c:v>-0.28058834080614148</c:v>
                </c:pt>
                <c:pt idx="333">
                  <c:v>-0.26816050378939016</c:v>
                </c:pt>
                <c:pt idx="334">
                  <c:v>-0.24741437800831256</c:v>
                </c:pt>
                <c:pt idx="335">
                  <c:v>-0.24480261023926442</c:v>
                </c:pt>
                <c:pt idx="336">
                  <c:v>-0.25283268290525984</c:v>
                </c:pt>
                <c:pt idx="337">
                  <c:v>-0.25731314638122171</c:v>
                </c:pt>
                <c:pt idx="338">
                  <c:v>-0.26093144831001169</c:v>
                </c:pt>
                <c:pt idx="339">
                  <c:v>-0.26066402273106026</c:v>
                </c:pt>
                <c:pt idx="340">
                  <c:v>-0.26078212300844716</c:v>
                </c:pt>
                <c:pt idx="341">
                  <c:v>-0.26504153771362349</c:v>
                </c:pt>
                <c:pt idx="342">
                  <c:v>-0.26697103039149306</c:v>
                </c:pt>
                <c:pt idx="343">
                  <c:v>-0.24966042872245831</c:v>
                </c:pt>
                <c:pt idx="344">
                  <c:v>-0.25806304004897973</c:v>
                </c:pt>
                <c:pt idx="345">
                  <c:v>-0.25797525447577885</c:v>
                </c:pt>
                <c:pt idx="346">
                  <c:v>-0.26570789764716862</c:v>
                </c:pt>
                <c:pt idx="347">
                  <c:v>-0.26179025333698724</c:v>
                </c:pt>
                <c:pt idx="348">
                  <c:v>-0.26498300218080073</c:v>
                </c:pt>
                <c:pt idx="349">
                  <c:v>-0.26693883209059788</c:v>
                </c:pt>
                <c:pt idx="350">
                  <c:v>-0.26660312903944128</c:v>
                </c:pt>
                <c:pt idx="351">
                  <c:v>-0.27163426315282502</c:v>
                </c:pt>
                <c:pt idx="352">
                  <c:v>-0.27567031766819083</c:v>
                </c:pt>
                <c:pt idx="353">
                  <c:v>-0.27219523669767232</c:v>
                </c:pt>
                <c:pt idx="354">
                  <c:v>-0.2698892902533615</c:v>
                </c:pt>
                <c:pt idx="355">
                  <c:v>-0.26307983669769719</c:v>
                </c:pt>
                <c:pt idx="356">
                  <c:v>-0.25210761980499352</c:v>
                </c:pt>
                <c:pt idx="357">
                  <c:v>-0.2589105406424439</c:v>
                </c:pt>
                <c:pt idx="358">
                  <c:v>-0.25617388868709678</c:v>
                </c:pt>
                <c:pt idx="359">
                  <c:v>-0.25744308162464991</c:v>
                </c:pt>
                <c:pt idx="360">
                  <c:v>-0.2697147473804814</c:v>
                </c:pt>
                <c:pt idx="361">
                  <c:v>-0.26677860489946725</c:v>
                </c:pt>
                <c:pt idx="362">
                  <c:v>-0.26579881289324114</c:v>
                </c:pt>
                <c:pt idx="363">
                  <c:v>-0.26753754817715347</c:v>
                </c:pt>
                <c:pt idx="364">
                  <c:v>-0.26273017246954222</c:v>
                </c:pt>
                <c:pt idx="365">
                  <c:v>-0.27231792386203713</c:v>
                </c:pt>
                <c:pt idx="366">
                  <c:v>-0.27021939136553486</c:v>
                </c:pt>
                <c:pt idx="367">
                  <c:v>-0.2807865413416375</c:v>
                </c:pt>
                <c:pt idx="368">
                  <c:v>-0.27855684615309073</c:v>
                </c:pt>
                <c:pt idx="369">
                  <c:v>-0.28372456535881507</c:v>
                </c:pt>
                <c:pt idx="370">
                  <c:v>-0.28507455022725103</c:v>
                </c:pt>
                <c:pt idx="371">
                  <c:v>-0.29495801561098234</c:v>
                </c:pt>
                <c:pt idx="372">
                  <c:v>-0.29431147263960722</c:v>
                </c:pt>
                <c:pt idx="373">
                  <c:v>-0.29906830082137226</c:v>
                </c:pt>
                <c:pt idx="374">
                  <c:v>-0.30945450140239572</c:v>
                </c:pt>
                <c:pt idx="375">
                  <c:v>-0.30435637142685756</c:v>
                </c:pt>
                <c:pt idx="376">
                  <c:v>-0.3053369367886648</c:v>
                </c:pt>
                <c:pt idx="377">
                  <c:v>-0.30670946063495597</c:v>
                </c:pt>
                <c:pt idx="378">
                  <c:v>-0.30081097625578768</c:v>
                </c:pt>
                <c:pt idx="379">
                  <c:v>-0.30432655202277781</c:v>
                </c:pt>
                <c:pt idx="380">
                  <c:v>-0.30385660312335516</c:v>
                </c:pt>
                <c:pt idx="381">
                  <c:v>-0.28126984939081079</c:v>
                </c:pt>
                <c:pt idx="382">
                  <c:v>-0.2820955188286941</c:v>
                </c:pt>
                <c:pt idx="383">
                  <c:v>-0.2854393640082602</c:v>
                </c:pt>
                <c:pt idx="384">
                  <c:v>-0.28563151993020086</c:v>
                </c:pt>
                <c:pt idx="385">
                  <c:v>-0.26519976982311899</c:v>
                </c:pt>
                <c:pt idx="386">
                  <c:v>-0.27676532554850919</c:v>
                </c:pt>
                <c:pt idx="387">
                  <c:v>-0.27746216876010377</c:v>
                </c:pt>
                <c:pt idx="388">
                  <c:v>-0.27565308167142921</c:v>
                </c:pt>
                <c:pt idx="389">
                  <c:v>-0.2709185917552529</c:v>
                </c:pt>
                <c:pt idx="390">
                  <c:v>-0.26026105619600115</c:v>
                </c:pt>
                <c:pt idx="391">
                  <c:v>-0.25914839639939913</c:v>
                </c:pt>
                <c:pt idx="392">
                  <c:v>-0.2560895690500038</c:v>
                </c:pt>
                <c:pt idx="393">
                  <c:v>-0.2534443352539788</c:v>
                </c:pt>
                <c:pt idx="394">
                  <c:v>-0.24581309820791131</c:v>
                </c:pt>
                <c:pt idx="395">
                  <c:v>-0.22257450437386783</c:v>
                </c:pt>
                <c:pt idx="396">
                  <c:v>-0.22021819175683754</c:v>
                </c:pt>
                <c:pt idx="397">
                  <c:v>-0.22398135015695464</c:v>
                </c:pt>
                <c:pt idx="398">
                  <c:v>-0.19807171214605945</c:v>
                </c:pt>
                <c:pt idx="399">
                  <c:v>-0.19139249283688264</c:v>
                </c:pt>
                <c:pt idx="400">
                  <c:v>-0.20452180445398538</c:v>
                </c:pt>
                <c:pt idx="401">
                  <c:v>-0.21778189614262977</c:v>
                </c:pt>
                <c:pt idx="402">
                  <c:v>-0.2113945194253708</c:v>
                </c:pt>
                <c:pt idx="403">
                  <c:v>-0.20575807082323172</c:v>
                </c:pt>
                <c:pt idx="404">
                  <c:v>-0.20986215166245337</c:v>
                </c:pt>
                <c:pt idx="405">
                  <c:v>-0.20967096127558804</c:v>
                </c:pt>
                <c:pt idx="406">
                  <c:v>-0.22323249778973164</c:v>
                </c:pt>
                <c:pt idx="407">
                  <c:v>-0.22063307003041333</c:v>
                </c:pt>
                <c:pt idx="408">
                  <c:v>-0.19797925212112388</c:v>
                </c:pt>
                <c:pt idx="409">
                  <c:v>-0.18859396005473439</c:v>
                </c:pt>
                <c:pt idx="410">
                  <c:v>-0.19001327530160983</c:v>
                </c:pt>
                <c:pt idx="411">
                  <c:v>-0.20049819087884801</c:v>
                </c:pt>
                <c:pt idx="412">
                  <c:v>-0.19813242329912051</c:v>
                </c:pt>
                <c:pt idx="413">
                  <c:v>-0.18540664018762765</c:v>
                </c:pt>
                <c:pt idx="414">
                  <c:v>-0.18413520080334977</c:v>
                </c:pt>
                <c:pt idx="415">
                  <c:v>-0.19053510298876208</c:v>
                </c:pt>
                <c:pt idx="416">
                  <c:v>-0.19603645213881271</c:v>
                </c:pt>
                <c:pt idx="417">
                  <c:v>-0.19568927689727189</c:v>
                </c:pt>
                <c:pt idx="418">
                  <c:v>-0.19531038162994918</c:v>
                </c:pt>
                <c:pt idx="419">
                  <c:v>-0.18119943417967688</c:v>
                </c:pt>
                <c:pt idx="420">
                  <c:v>-0.15629219945533934</c:v>
                </c:pt>
                <c:pt idx="421">
                  <c:v>-0.18819257823687152</c:v>
                </c:pt>
                <c:pt idx="422">
                  <c:v>-0.18178726485603136</c:v>
                </c:pt>
                <c:pt idx="423">
                  <c:v>-0.17468388912149058</c:v>
                </c:pt>
                <c:pt idx="424">
                  <c:v>-0.17682427963366698</c:v>
                </c:pt>
                <c:pt idx="425">
                  <c:v>-0.16969592254343846</c:v>
                </c:pt>
                <c:pt idx="426">
                  <c:v>-0.17064475288946845</c:v>
                </c:pt>
                <c:pt idx="427">
                  <c:v>-0.16328299651628975</c:v>
                </c:pt>
                <c:pt idx="428">
                  <c:v>-0.17568837100057455</c:v>
                </c:pt>
                <c:pt idx="429">
                  <c:v>-0.18149534546287105</c:v>
                </c:pt>
                <c:pt idx="430">
                  <c:v>-0.18653435569802146</c:v>
                </c:pt>
                <c:pt idx="431">
                  <c:v>-0.19013593243471483</c:v>
                </c:pt>
                <c:pt idx="432">
                  <c:v>-0.19674869497786307</c:v>
                </c:pt>
                <c:pt idx="433">
                  <c:v>-0.19647712479377955</c:v>
                </c:pt>
                <c:pt idx="434">
                  <c:v>-0.21138826275446454</c:v>
                </c:pt>
                <c:pt idx="435">
                  <c:v>-0.20822145153870808</c:v>
                </c:pt>
                <c:pt idx="436">
                  <c:v>-0.21028800213834653</c:v>
                </c:pt>
                <c:pt idx="437">
                  <c:v>-0.19720584365253735</c:v>
                </c:pt>
                <c:pt idx="438">
                  <c:v>-0.19497852477769895</c:v>
                </c:pt>
                <c:pt idx="439">
                  <c:v>-0.22013988507397353</c:v>
                </c:pt>
                <c:pt idx="440">
                  <c:v>-0.22334462683457657</c:v>
                </c:pt>
                <c:pt idx="441">
                  <c:v>-0.21803015760215072</c:v>
                </c:pt>
                <c:pt idx="442">
                  <c:v>-0.22923567765430031</c:v>
                </c:pt>
                <c:pt idx="443">
                  <c:v>-0.2298967148627975</c:v>
                </c:pt>
                <c:pt idx="444">
                  <c:v>-0.23695796482830644</c:v>
                </c:pt>
                <c:pt idx="445">
                  <c:v>-0.23674495838909293</c:v>
                </c:pt>
                <c:pt idx="446">
                  <c:v>-0.23860504291926177</c:v>
                </c:pt>
                <c:pt idx="447">
                  <c:v>-0.23602933640340618</c:v>
                </c:pt>
                <c:pt idx="448">
                  <c:v>-0.24116780482432243</c:v>
                </c:pt>
                <c:pt idx="449">
                  <c:v>-0.24739673877538237</c:v>
                </c:pt>
                <c:pt idx="450">
                  <c:v>-0.24806262063575291</c:v>
                </c:pt>
                <c:pt idx="451">
                  <c:v>-0.25636759672153131</c:v>
                </c:pt>
                <c:pt idx="452">
                  <c:v>-0.2610069140906478</c:v>
                </c:pt>
                <c:pt idx="453">
                  <c:v>-0.2746782883971095</c:v>
                </c:pt>
                <c:pt idx="454">
                  <c:v>-0.26624897063991881</c:v>
                </c:pt>
                <c:pt idx="455">
                  <c:v>-0.26804404714262386</c:v>
                </c:pt>
                <c:pt idx="456">
                  <c:v>-0.27606210745416737</c:v>
                </c:pt>
                <c:pt idx="457">
                  <c:v>-0.27855671002106408</c:v>
                </c:pt>
                <c:pt idx="458">
                  <c:v>-0.28104868859958643</c:v>
                </c:pt>
                <c:pt idx="459">
                  <c:v>-0.27892097030332907</c:v>
                </c:pt>
                <c:pt idx="460">
                  <c:v>-0.2725926322487886</c:v>
                </c:pt>
                <c:pt idx="461">
                  <c:v>-0.2728719197060604</c:v>
                </c:pt>
                <c:pt idx="462">
                  <c:v>-0.26459592615227323</c:v>
                </c:pt>
                <c:pt idx="463">
                  <c:v>-0.26728001230658882</c:v>
                </c:pt>
                <c:pt idx="464">
                  <c:v>-0.2836810092982649</c:v>
                </c:pt>
                <c:pt idx="465">
                  <c:v>-0.27217895743559273</c:v>
                </c:pt>
                <c:pt idx="466">
                  <c:v>-0.27973495528193548</c:v>
                </c:pt>
                <c:pt idx="467">
                  <c:v>-0.29208973355548407</c:v>
                </c:pt>
                <c:pt idx="468">
                  <c:v>-0.29439810813659717</c:v>
                </c:pt>
                <c:pt idx="469">
                  <c:v>-0.30278920947242649</c:v>
                </c:pt>
                <c:pt idx="470">
                  <c:v>-0.28937025462556099</c:v>
                </c:pt>
                <c:pt idx="471">
                  <c:v>-0.29032591703108646</c:v>
                </c:pt>
                <c:pt idx="472">
                  <c:v>-0.2884060538316352</c:v>
                </c:pt>
                <c:pt idx="473">
                  <c:v>-0.29103733467701887</c:v>
                </c:pt>
                <c:pt idx="474">
                  <c:v>-0.28108256093505612</c:v>
                </c:pt>
                <c:pt idx="475">
                  <c:v>-0.28070202405555711</c:v>
                </c:pt>
                <c:pt idx="476">
                  <c:v>-0.28574886145030831</c:v>
                </c:pt>
                <c:pt idx="477">
                  <c:v>-0.27259781712036635</c:v>
                </c:pt>
                <c:pt idx="478">
                  <c:v>-0.25660540668890586</c:v>
                </c:pt>
                <c:pt idx="479">
                  <c:v>-0.24629165403257003</c:v>
                </c:pt>
                <c:pt idx="480">
                  <c:v>-0.24559116721264906</c:v>
                </c:pt>
                <c:pt idx="481">
                  <c:v>-0.24629076888930146</c:v>
                </c:pt>
                <c:pt idx="482">
                  <c:v>-0.25008067806876821</c:v>
                </c:pt>
                <c:pt idx="483">
                  <c:v>-0.24727335798359973</c:v>
                </c:pt>
                <c:pt idx="484">
                  <c:v>-0.24785902688893691</c:v>
                </c:pt>
                <c:pt idx="485">
                  <c:v>-0.25878940224652647</c:v>
                </c:pt>
                <c:pt idx="486">
                  <c:v>-0.26108365468164674</c:v>
                </c:pt>
                <c:pt idx="487">
                  <c:v>-0.26897300403302538</c:v>
                </c:pt>
                <c:pt idx="488">
                  <c:v>-0.27397436985760593</c:v>
                </c:pt>
                <c:pt idx="489">
                  <c:v>-0.27857771570683854</c:v>
                </c:pt>
                <c:pt idx="490">
                  <c:v>-0.28618085290604689</c:v>
                </c:pt>
                <c:pt idx="491">
                  <c:v>-0.28392445520329312</c:v>
                </c:pt>
                <c:pt idx="492">
                  <c:v>-0.29705209809246735</c:v>
                </c:pt>
                <c:pt idx="493">
                  <c:v>-0.31656938522585099</c:v>
                </c:pt>
                <c:pt idx="494">
                  <c:v>-0.31229503091960464</c:v>
                </c:pt>
                <c:pt idx="495">
                  <c:v>-0.31822557615948344</c:v>
                </c:pt>
                <c:pt idx="496">
                  <c:v>-0.31621145683906926</c:v>
                </c:pt>
                <c:pt idx="497">
                  <c:v>-0.32177034836228047</c:v>
                </c:pt>
                <c:pt idx="498">
                  <c:v>-0.32208413479537323</c:v>
                </c:pt>
                <c:pt idx="499">
                  <c:v>-0.31828535560355764</c:v>
                </c:pt>
                <c:pt idx="500">
                  <c:v>-0.32195598737674036</c:v>
                </c:pt>
                <c:pt idx="501">
                  <c:v>-0.31991395835453107</c:v>
                </c:pt>
                <c:pt idx="502">
                  <c:v>-0.32089882936689917</c:v>
                </c:pt>
                <c:pt idx="503">
                  <c:v>-0.32480125573089214</c:v>
                </c:pt>
                <c:pt idx="504">
                  <c:v>-0.33089073805886482</c:v>
                </c:pt>
                <c:pt idx="505">
                  <c:v>-0.33100727095082338</c:v>
                </c:pt>
                <c:pt idx="506">
                  <c:v>-0.3264397662102968</c:v>
                </c:pt>
                <c:pt idx="507">
                  <c:v>-0.32662221438870775</c:v>
                </c:pt>
                <c:pt idx="508">
                  <c:v>-0.32446623560778698</c:v>
                </c:pt>
                <c:pt idx="509">
                  <c:v>-0.32668139037844068</c:v>
                </c:pt>
                <c:pt idx="510">
                  <c:v>-0.31443921087161864</c:v>
                </c:pt>
                <c:pt idx="511">
                  <c:v>-0.30496741705903874</c:v>
                </c:pt>
                <c:pt idx="512">
                  <c:v>-0.29751581213730194</c:v>
                </c:pt>
                <c:pt idx="513">
                  <c:v>-0.30236684690320925</c:v>
                </c:pt>
                <c:pt idx="514">
                  <c:v>-0.31150977468771046</c:v>
                </c:pt>
                <c:pt idx="515">
                  <c:v>-0.30798699652922235</c:v>
                </c:pt>
                <c:pt idx="516">
                  <c:v>-0.30329919924644477</c:v>
                </c:pt>
                <c:pt idx="517">
                  <c:v>-0.29910284731009262</c:v>
                </c:pt>
                <c:pt idx="518">
                  <c:v>-0.30108786752803451</c:v>
                </c:pt>
                <c:pt idx="519">
                  <c:v>-0.29846992509979431</c:v>
                </c:pt>
                <c:pt idx="520">
                  <c:v>-0.28705574620656038</c:v>
                </c:pt>
                <c:pt idx="521">
                  <c:v>-0.29829025410477361</c:v>
                </c:pt>
                <c:pt idx="522">
                  <c:v>-0.29951831400231843</c:v>
                </c:pt>
                <c:pt idx="523">
                  <c:v>-0.28690027509616867</c:v>
                </c:pt>
                <c:pt idx="524">
                  <c:v>-0.2684672209036244</c:v>
                </c:pt>
                <c:pt idx="525">
                  <c:v>-0.26074119649544192</c:v>
                </c:pt>
                <c:pt idx="526">
                  <c:v>-0.26691907160101613</c:v>
                </c:pt>
                <c:pt idx="527">
                  <c:v>-0.26678956287392597</c:v>
                </c:pt>
                <c:pt idx="528">
                  <c:v>-0.27093681642752909</c:v>
                </c:pt>
                <c:pt idx="529">
                  <c:v>-0.27754190055650774</c:v>
                </c:pt>
                <c:pt idx="530">
                  <c:v>-0.26907350662432927</c:v>
                </c:pt>
                <c:pt idx="531">
                  <c:v>-0.25567483563361892</c:v>
                </c:pt>
                <c:pt idx="532">
                  <c:v>-0.25447485801487679</c:v>
                </c:pt>
                <c:pt idx="533">
                  <c:v>-0.25397625284896341</c:v>
                </c:pt>
                <c:pt idx="534">
                  <c:v>-0.23656719565908479</c:v>
                </c:pt>
                <c:pt idx="535">
                  <c:v>-0.23791840074473136</c:v>
                </c:pt>
                <c:pt idx="536">
                  <c:v>-0.24441675693961074</c:v>
                </c:pt>
                <c:pt idx="537">
                  <c:v>-0.2329032768401722</c:v>
                </c:pt>
                <c:pt idx="538">
                  <c:v>-0.23332059541788286</c:v>
                </c:pt>
                <c:pt idx="539">
                  <c:v>-0.25026231265782195</c:v>
                </c:pt>
                <c:pt idx="540">
                  <c:v>-0.24180690269600535</c:v>
                </c:pt>
                <c:pt idx="541">
                  <c:v>-0.22339404363507198</c:v>
                </c:pt>
                <c:pt idx="542">
                  <c:v>-0.24228726157262237</c:v>
                </c:pt>
                <c:pt idx="543">
                  <c:v>-0.23402395237369755</c:v>
                </c:pt>
                <c:pt idx="544">
                  <c:v>-0.22993404541659312</c:v>
                </c:pt>
                <c:pt idx="545">
                  <c:v>-0.22518419204979079</c:v>
                </c:pt>
                <c:pt idx="546">
                  <c:v>-0.22411334054479914</c:v>
                </c:pt>
                <c:pt idx="547">
                  <c:v>-0.23328205662460999</c:v>
                </c:pt>
                <c:pt idx="548">
                  <c:v>-0.23798515248939278</c:v>
                </c:pt>
                <c:pt idx="549">
                  <c:v>-0.22900049068911055</c:v>
                </c:pt>
                <c:pt idx="550">
                  <c:v>-0.23553035305385972</c:v>
                </c:pt>
                <c:pt idx="551">
                  <c:v>-0.24076764642208559</c:v>
                </c:pt>
                <c:pt idx="552">
                  <c:v>-0.24155046197716235</c:v>
                </c:pt>
                <c:pt idx="553">
                  <c:v>-0.2359188517402494</c:v>
                </c:pt>
                <c:pt idx="554">
                  <c:v>-0.23420015579609743</c:v>
                </c:pt>
                <c:pt idx="555">
                  <c:v>-0.24321560709183154</c:v>
                </c:pt>
                <c:pt idx="556">
                  <c:v>-0.25259266756362009</c:v>
                </c:pt>
                <c:pt idx="557">
                  <c:v>-0.25164234012347653</c:v>
                </c:pt>
                <c:pt idx="558">
                  <c:v>-0.25551687133017487</c:v>
                </c:pt>
                <c:pt idx="559">
                  <c:v>-0.25485382379912702</c:v>
                </c:pt>
                <c:pt idx="560">
                  <c:v>-0.2469210143550209</c:v>
                </c:pt>
                <c:pt idx="561">
                  <c:v>-0.24928123458551699</c:v>
                </c:pt>
                <c:pt idx="562">
                  <c:v>-0.23074964209025717</c:v>
                </c:pt>
                <c:pt idx="563">
                  <c:v>-0.21932082861786295</c:v>
                </c:pt>
                <c:pt idx="564">
                  <c:v>-0.23128491964301823</c:v>
                </c:pt>
                <c:pt idx="565">
                  <c:v>-0.24649977483098673</c:v>
                </c:pt>
                <c:pt idx="566">
                  <c:v>-0.24273491588952589</c:v>
                </c:pt>
                <c:pt idx="567">
                  <c:v>-0.2410231132420434</c:v>
                </c:pt>
                <c:pt idx="568">
                  <c:v>-0.22670170596565842</c:v>
                </c:pt>
                <c:pt idx="569">
                  <c:v>-0.21052879467535357</c:v>
                </c:pt>
                <c:pt idx="570">
                  <c:v>-0.22904374148728623</c:v>
                </c:pt>
                <c:pt idx="571">
                  <c:v>-0.21681556589187456</c:v>
                </c:pt>
                <c:pt idx="572">
                  <c:v>-0.21190565212811707</c:v>
                </c:pt>
                <c:pt idx="573">
                  <c:v>-0.20559263212604595</c:v>
                </c:pt>
                <c:pt idx="574">
                  <c:v>-0.21705682658805359</c:v>
                </c:pt>
                <c:pt idx="575">
                  <c:v>-0.23035669712765172</c:v>
                </c:pt>
                <c:pt idx="576">
                  <c:v>-0.22868015945177356</c:v>
                </c:pt>
                <c:pt idx="577">
                  <c:v>-0.21763061541103834</c:v>
                </c:pt>
                <c:pt idx="578">
                  <c:v>-0.22049194047770226</c:v>
                </c:pt>
                <c:pt idx="579">
                  <c:v>-0.21123226401574591</c:v>
                </c:pt>
                <c:pt idx="580">
                  <c:v>-0.21112168952629407</c:v>
                </c:pt>
                <c:pt idx="581">
                  <c:v>-0.21810672071889614</c:v>
                </c:pt>
                <c:pt idx="582">
                  <c:v>-0.24050267362184308</c:v>
                </c:pt>
                <c:pt idx="583">
                  <c:v>-0.24159182207404273</c:v>
                </c:pt>
                <c:pt idx="584">
                  <c:v>-0.22889193713193101</c:v>
                </c:pt>
                <c:pt idx="585">
                  <c:v>-0.21978472709994989</c:v>
                </c:pt>
                <c:pt idx="586">
                  <c:v>-0.22315959729798096</c:v>
                </c:pt>
                <c:pt idx="587">
                  <c:v>-0.23986522048663517</c:v>
                </c:pt>
                <c:pt idx="588">
                  <c:v>-0.24360398861830812</c:v>
                </c:pt>
                <c:pt idx="589">
                  <c:v>-0.26074119105936588</c:v>
                </c:pt>
                <c:pt idx="590">
                  <c:v>-0.25208816878289964</c:v>
                </c:pt>
                <c:pt idx="591">
                  <c:v>-0.24388357898085289</c:v>
                </c:pt>
                <c:pt idx="592">
                  <c:v>-0.22765708828220643</c:v>
                </c:pt>
                <c:pt idx="593">
                  <c:v>-0.2377575634755198</c:v>
                </c:pt>
                <c:pt idx="594">
                  <c:v>-0.23381765664370802</c:v>
                </c:pt>
                <c:pt idx="595">
                  <c:v>-0.23320815850413201</c:v>
                </c:pt>
                <c:pt idx="596">
                  <c:v>-0.23383321308354554</c:v>
                </c:pt>
                <c:pt idx="597">
                  <c:v>-0.22776344011518868</c:v>
                </c:pt>
                <c:pt idx="598">
                  <c:v>-0.22528431259998205</c:v>
                </c:pt>
                <c:pt idx="599">
                  <c:v>-0.22460515830980921</c:v>
                </c:pt>
                <c:pt idx="600">
                  <c:v>-0.23760595998965284</c:v>
                </c:pt>
                <c:pt idx="601">
                  <c:v>-0.22546017963071951</c:v>
                </c:pt>
                <c:pt idx="602">
                  <c:v>-0.22392350578864773</c:v>
                </c:pt>
                <c:pt idx="603">
                  <c:v>-0.21224566752935425</c:v>
                </c:pt>
                <c:pt idx="604">
                  <c:v>-0.22376133084741023</c:v>
                </c:pt>
                <c:pt idx="605">
                  <c:v>-0.21442266498319862</c:v>
                </c:pt>
                <c:pt idx="606">
                  <c:v>-0.22357324139963419</c:v>
                </c:pt>
                <c:pt idx="607">
                  <c:v>-0.22257875154089113</c:v>
                </c:pt>
                <c:pt idx="608">
                  <c:v>-0.23067017313396043</c:v>
                </c:pt>
                <c:pt idx="609">
                  <c:v>-0.22945571452336644</c:v>
                </c:pt>
                <c:pt idx="610">
                  <c:v>-0.22584084094858714</c:v>
                </c:pt>
                <c:pt idx="611">
                  <c:v>-0.21723086181718843</c:v>
                </c:pt>
                <c:pt idx="612">
                  <c:v>-0.21993365632777484</c:v>
                </c:pt>
                <c:pt idx="613">
                  <c:v>-0.23373704536112661</c:v>
                </c:pt>
                <c:pt idx="614">
                  <c:v>-0.23579136319330707</c:v>
                </c:pt>
                <c:pt idx="615">
                  <c:v>-0.23310071327860538</c:v>
                </c:pt>
                <c:pt idx="616">
                  <c:v>-0.2371229952999071</c:v>
                </c:pt>
                <c:pt idx="617">
                  <c:v>-0.24316572173267048</c:v>
                </c:pt>
                <c:pt idx="618">
                  <c:v>-0.23844766824272234</c:v>
                </c:pt>
                <c:pt idx="619">
                  <c:v>-0.23494323872315115</c:v>
                </c:pt>
                <c:pt idx="620">
                  <c:v>-0.23455979810115979</c:v>
                </c:pt>
                <c:pt idx="621">
                  <c:v>-0.23455482707672626</c:v>
                </c:pt>
                <c:pt idx="622">
                  <c:v>-0.22241996134246611</c:v>
                </c:pt>
                <c:pt idx="623">
                  <c:v>-0.22193695718683515</c:v>
                </c:pt>
                <c:pt idx="624">
                  <c:v>-0.22414995719828101</c:v>
                </c:pt>
                <c:pt idx="625">
                  <c:v>-0.2334397200154148</c:v>
                </c:pt>
                <c:pt idx="626">
                  <c:v>-0.24606649719252038</c:v>
                </c:pt>
                <c:pt idx="627">
                  <c:v>-0.24311585968711713</c:v>
                </c:pt>
                <c:pt idx="628">
                  <c:v>-0.24757101603728604</c:v>
                </c:pt>
                <c:pt idx="629">
                  <c:v>-0.25299781071491301</c:v>
                </c:pt>
                <c:pt idx="630">
                  <c:v>-0.25310041062719124</c:v>
                </c:pt>
                <c:pt idx="631">
                  <c:v>-0.26239564462072151</c:v>
                </c:pt>
                <c:pt idx="632">
                  <c:v>-0.27379749470228365</c:v>
                </c:pt>
                <c:pt idx="633">
                  <c:v>-0.26536251060134608</c:v>
                </c:pt>
                <c:pt idx="634">
                  <c:v>-0.27168490380276411</c:v>
                </c:pt>
                <c:pt idx="635">
                  <c:v>-0.27177226552609579</c:v>
                </c:pt>
                <c:pt idx="636">
                  <c:v>-0.26110993920125258</c:v>
                </c:pt>
                <c:pt idx="637">
                  <c:v>-0.25743727490051338</c:v>
                </c:pt>
                <c:pt idx="638">
                  <c:v>-0.24971616486858395</c:v>
                </c:pt>
                <c:pt idx="639">
                  <c:v>-0.25616932086937538</c:v>
                </c:pt>
                <c:pt idx="640">
                  <c:v>-0.25310458609749265</c:v>
                </c:pt>
                <c:pt idx="641">
                  <c:v>-0.26510306208568535</c:v>
                </c:pt>
                <c:pt idx="642">
                  <c:v>-0.26364176454411148</c:v>
                </c:pt>
                <c:pt idx="643">
                  <c:v>-0.26882865315727333</c:v>
                </c:pt>
                <c:pt idx="644">
                  <c:v>-0.28090588685574291</c:v>
                </c:pt>
                <c:pt idx="645">
                  <c:v>-0.28183683507662516</c:v>
                </c:pt>
                <c:pt idx="646">
                  <c:v>-0.25396267386598836</c:v>
                </c:pt>
                <c:pt idx="647">
                  <c:v>-0.26196554455376619</c:v>
                </c:pt>
                <c:pt idx="648">
                  <c:v>-0.25608061093941625</c:v>
                </c:pt>
                <c:pt idx="649">
                  <c:v>-0.25276822405831778</c:v>
                </c:pt>
                <c:pt idx="650">
                  <c:v>-0.25427353802801744</c:v>
                </c:pt>
                <c:pt idx="651">
                  <c:v>-0.26566837060448345</c:v>
                </c:pt>
                <c:pt idx="652">
                  <c:v>-0.26422960468480894</c:v>
                </c:pt>
                <c:pt idx="653">
                  <c:v>-0.25865138260795895</c:v>
                </c:pt>
                <c:pt idx="654">
                  <c:v>-0.26010759883321388</c:v>
                </c:pt>
                <c:pt idx="655">
                  <c:v>-0.26508865109886104</c:v>
                </c:pt>
                <c:pt idx="656">
                  <c:v>-0.26410858387249625</c:v>
                </c:pt>
                <c:pt idx="657">
                  <c:v>-0.26094416715905688</c:v>
                </c:pt>
                <c:pt idx="658">
                  <c:v>-0.25663626014075847</c:v>
                </c:pt>
                <c:pt idx="659">
                  <c:v>-0.26770863506652864</c:v>
                </c:pt>
                <c:pt idx="660">
                  <c:v>-0.26796724527930782</c:v>
                </c:pt>
                <c:pt idx="661">
                  <c:v>-0.26307546076642019</c:v>
                </c:pt>
                <c:pt idx="662">
                  <c:v>-0.26332301408883685</c:v>
                </c:pt>
                <c:pt idx="663">
                  <c:v>-0.26194196825877125</c:v>
                </c:pt>
                <c:pt idx="664">
                  <c:v>-0.25475404547281466</c:v>
                </c:pt>
                <c:pt idx="665">
                  <c:v>-0.25681361815305837</c:v>
                </c:pt>
                <c:pt idx="666">
                  <c:v>-0.27203530079585581</c:v>
                </c:pt>
                <c:pt idx="667">
                  <c:v>-0.26559189399373651</c:v>
                </c:pt>
                <c:pt idx="668">
                  <c:v>-0.26961921015553014</c:v>
                </c:pt>
                <c:pt idx="669">
                  <c:v>-0.26877252050727907</c:v>
                </c:pt>
                <c:pt idx="670">
                  <c:v>-0.25993091076111863</c:v>
                </c:pt>
                <c:pt idx="671">
                  <c:v>-0.26086164405967183</c:v>
                </c:pt>
                <c:pt idx="672">
                  <c:v>-0.25568359746204394</c:v>
                </c:pt>
                <c:pt idx="673">
                  <c:v>-0.25274616219482338</c:v>
                </c:pt>
                <c:pt idx="674">
                  <c:v>-0.25167594581496122</c:v>
                </c:pt>
                <c:pt idx="675">
                  <c:v>-0.25457927506088018</c:v>
                </c:pt>
                <c:pt idx="676">
                  <c:v>-0.24834354616265042</c:v>
                </c:pt>
                <c:pt idx="677">
                  <c:v>-0.25208430687332906</c:v>
                </c:pt>
                <c:pt idx="678">
                  <c:v>-0.26055268618157046</c:v>
                </c:pt>
                <c:pt idx="679">
                  <c:v>-0.2606126003641962</c:v>
                </c:pt>
                <c:pt idx="680">
                  <c:v>-0.257176405614579</c:v>
                </c:pt>
                <c:pt idx="681">
                  <c:v>-0.25801852187171181</c:v>
                </c:pt>
                <c:pt idx="682">
                  <c:v>-0.27083692126003445</c:v>
                </c:pt>
                <c:pt idx="683">
                  <c:v>-0.27301453236357354</c:v>
                </c:pt>
                <c:pt idx="684">
                  <c:v>-0.27566232302261662</c:v>
                </c:pt>
                <c:pt idx="685">
                  <c:v>-0.26215430979387511</c:v>
                </c:pt>
                <c:pt idx="686">
                  <c:v>-0.2594039091842778</c:v>
                </c:pt>
                <c:pt idx="687">
                  <c:v>-0.25393689546451093</c:v>
                </c:pt>
                <c:pt idx="688">
                  <c:v>-0.2510490832971376</c:v>
                </c:pt>
                <c:pt idx="689">
                  <c:v>-0.25122009016014057</c:v>
                </c:pt>
                <c:pt idx="690">
                  <c:v>-0.28117850435807445</c:v>
                </c:pt>
                <c:pt idx="691">
                  <c:v>-0.2922595578424354</c:v>
                </c:pt>
                <c:pt idx="692">
                  <c:v>-0.29520844345505282</c:v>
                </c:pt>
                <c:pt idx="693">
                  <c:v>-0.29633770397267201</c:v>
                </c:pt>
                <c:pt idx="694">
                  <c:v>-0.29492120937032951</c:v>
                </c:pt>
                <c:pt idx="695">
                  <c:v>-0.29124752934729448</c:v>
                </c:pt>
                <c:pt idx="696">
                  <c:v>-0.28397625882278676</c:v>
                </c:pt>
                <c:pt idx="697">
                  <c:v>-0.27564397674626984</c:v>
                </c:pt>
                <c:pt idx="698">
                  <c:v>-0.27819663124598115</c:v>
                </c:pt>
                <c:pt idx="699">
                  <c:v>-0.28156088785087241</c:v>
                </c:pt>
                <c:pt idx="700">
                  <c:v>-0.28991402192936711</c:v>
                </c:pt>
                <c:pt idx="701">
                  <c:v>-0.28770758352110681</c:v>
                </c:pt>
                <c:pt idx="702">
                  <c:v>-0.29106775499299509</c:v>
                </c:pt>
                <c:pt idx="703">
                  <c:v>-0.29149122827674956</c:v>
                </c:pt>
                <c:pt idx="704">
                  <c:v>-0.29354781794944695</c:v>
                </c:pt>
                <c:pt idx="705">
                  <c:v>-0.29105452904560625</c:v>
                </c:pt>
                <c:pt idx="706">
                  <c:v>-0.28474395011808162</c:v>
                </c:pt>
                <c:pt idx="707">
                  <c:v>-0.29233653701674844</c:v>
                </c:pt>
                <c:pt idx="708">
                  <c:v>-0.30028171971341222</c:v>
                </c:pt>
                <c:pt idx="709">
                  <c:v>-0.3046863431973037</c:v>
                </c:pt>
                <c:pt idx="710">
                  <c:v>-0.30593937690640594</c:v>
                </c:pt>
                <c:pt idx="711">
                  <c:v>-0.3020421923839065</c:v>
                </c:pt>
                <c:pt idx="712">
                  <c:v>-0.30375811518168727</c:v>
                </c:pt>
                <c:pt idx="713">
                  <c:v>-0.29750997421810899</c:v>
                </c:pt>
                <c:pt idx="714">
                  <c:v>-0.30283532448510375</c:v>
                </c:pt>
                <c:pt idx="715">
                  <c:v>-0.30385661767630157</c:v>
                </c:pt>
                <c:pt idx="716">
                  <c:v>-0.30931222690905713</c:v>
                </c:pt>
                <c:pt idx="717">
                  <c:v>-0.30775881124508286</c:v>
                </c:pt>
                <c:pt idx="718">
                  <c:v>-0.30701836622680168</c:v>
                </c:pt>
                <c:pt idx="719">
                  <c:v>-0.31153198102663682</c:v>
                </c:pt>
                <c:pt idx="720">
                  <c:v>-0.31451213604475747</c:v>
                </c:pt>
                <c:pt idx="721">
                  <c:v>-0.32488440151553255</c:v>
                </c:pt>
                <c:pt idx="722">
                  <c:v>-0.32576658800931346</c:v>
                </c:pt>
                <c:pt idx="723">
                  <c:v>-0.32149926814551955</c:v>
                </c:pt>
                <c:pt idx="724">
                  <c:v>-0.32429020363654204</c:v>
                </c:pt>
                <c:pt idx="725">
                  <c:v>-0.31627511284983867</c:v>
                </c:pt>
                <c:pt idx="726">
                  <c:v>-0.31847560070362169</c:v>
                </c:pt>
                <c:pt idx="727">
                  <c:v>-0.3106094416376507</c:v>
                </c:pt>
                <c:pt idx="728">
                  <c:v>-0.31278828722854901</c:v>
                </c:pt>
                <c:pt idx="729">
                  <c:v>-0.31085523272427362</c:v>
                </c:pt>
                <c:pt idx="730">
                  <c:v>-0.30342926239066903</c:v>
                </c:pt>
                <c:pt idx="731">
                  <c:v>-0.30340504710759586</c:v>
                </c:pt>
                <c:pt idx="732">
                  <c:v>-0.30569112453268232</c:v>
                </c:pt>
                <c:pt idx="733">
                  <c:v>-0.30791371609416096</c:v>
                </c:pt>
                <c:pt idx="734">
                  <c:v>-0.31505654101630809</c:v>
                </c:pt>
                <c:pt idx="735">
                  <c:v>-0.30937057492660003</c:v>
                </c:pt>
                <c:pt idx="736">
                  <c:v>-0.31041994361433567</c:v>
                </c:pt>
                <c:pt idx="737">
                  <c:v>-0.31234617922129981</c:v>
                </c:pt>
                <c:pt idx="738">
                  <c:v>-0.30759102106751901</c:v>
                </c:pt>
                <c:pt idx="739">
                  <c:v>-0.30448551148276282</c:v>
                </c:pt>
                <c:pt idx="740">
                  <c:v>-0.30836172246300286</c:v>
                </c:pt>
                <c:pt idx="741">
                  <c:v>-0.31002616974480812</c:v>
                </c:pt>
                <c:pt idx="742">
                  <c:v>-0.32371380850848785</c:v>
                </c:pt>
                <c:pt idx="743">
                  <c:v>-0.31696365505860824</c:v>
                </c:pt>
                <c:pt idx="744">
                  <c:v>-0.30966669565170546</c:v>
                </c:pt>
                <c:pt idx="745">
                  <c:v>-0.3086254826850523</c:v>
                </c:pt>
                <c:pt idx="746">
                  <c:v>-0.31051541362435897</c:v>
                </c:pt>
                <c:pt idx="747">
                  <c:v>-0.31087792060898234</c:v>
                </c:pt>
                <c:pt idx="748">
                  <c:v>-0.31562304592335055</c:v>
                </c:pt>
                <c:pt idx="749">
                  <c:v>-0.31733889365843826</c:v>
                </c:pt>
                <c:pt idx="750">
                  <c:v>-0.31484309208514827</c:v>
                </c:pt>
                <c:pt idx="751">
                  <c:v>-0.31406690269627968</c:v>
                </c:pt>
                <c:pt idx="752">
                  <c:v>-0.31213673624356508</c:v>
                </c:pt>
                <c:pt idx="753">
                  <c:v>-0.31805893842820654</c:v>
                </c:pt>
                <c:pt idx="754">
                  <c:v>-0.31244888964039785</c:v>
                </c:pt>
                <c:pt idx="755">
                  <c:v>-0.32205151713080205</c:v>
                </c:pt>
                <c:pt idx="756">
                  <c:v>-0.31901062142766834</c:v>
                </c:pt>
                <c:pt idx="757">
                  <c:v>-0.32562446288548608</c:v>
                </c:pt>
                <c:pt idx="758">
                  <c:v>-0.31904371260351971</c:v>
                </c:pt>
                <c:pt idx="759">
                  <c:v>-0.3246698309720446</c:v>
                </c:pt>
                <c:pt idx="760">
                  <c:v>-0.32647820082653534</c:v>
                </c:pt>
                <c:pt idx="761">
                  <c:v>-0.32466732776142659</c:v>
                </c:pt>
                <c:pt idx="762">
                  <c:v>-0.32785859828799302</c:v>
                </c:pt>
                <c:pt idx="763">
                  <c:v>-0.32518158495640481</c:v>
                </c:pt>
                <c:pt idx="764">
                  <c:v>-0.30199529573291695</c:v>
                </c:pt>
                <c:pt idx="765">
                  <c:v>-0.2967155449754868</c:v>
                </c:pt>
                <c:pt idx="766">
                  <c:v>-0.28226002952424589</c:v>
                </c:pt>
                <c:pt idx="767">
                  <c:v>-0.28738178967892969</c:v>
                </c:pt>
                <c:pt idx="768">
                  <c:v>-0.29140328545867222</c:v>
                </c:pt>
                <c:pt idx="769">
                  <c:v>-0.30881323654309289</c:v>
                </c:pt>
                <c:pt idx="770">
                  <c:v>-0.3076434606159073</c:v>
                </c:pt>
                <c:pt idx="771">
                  <c:v>-0.31150505678693119</c:v>
                </c:pt>
                <c:pt idx="772">
                  <c:v>-0.3193171571458342</c:v>
                </c:pt>
                <c:pt idx="773">
                  <c:v>-0.31459731836402882</c:v>
                </c:pt>
                <c:pt idx="774">
                  <c:v>-0.31799671464348589</c:v>
                </c:pt>
                <c:pt idx="775">
                  <c:v>-0.30918015244676078</c:v>
                </c:pt>
                <c:pt idx="776">
                  <c:v>-0.29267048393560269</c:v>
                </c:pt>
                <c:pt idx="777">
                  <c:v>-0.27708323854258365</c:v>
                </c:pt>
                <c:pt idx="778">
                  <c:v>-0.27457683512966025</c:v>
                </c:pt>
                <c:pt idx="779">
                  <c:v>-0.2820462313788249</c:v>
                </c:pt>
                <c:pt idx="780">
                  <c:v>-0.28103826454968794</c:v>
                </c:pt>
                <c:pt idx="781">
                  <c:v>-0.2909590295042328</c:v>
                </c:pt>
                <c:pt idx="782">
                  <c:v>-0.29405189740872228</c:v>
                </c:pt>
                <c:pt idx="783">
                  <c:v>-0.28677544939857469</c:v>
                </c:pt>
                <c:pt idx="784">
                  <c:v>-0.28832583207259022</c:v>
                </c:pt>
                <c:pt idx="785">
                  <c:v>-0.29755763900071697</c:v>
                </c:pt>
                <c:pt idx="786">
                  <c:v>-0.29858381378538312</c:v>
                </c:pt>
                <c:pt idx="787">
                  <c:v>-0.29707913031894795</c:v>
                </c:pt>
                <c:pt idx="788">
                  <c:v>-0.30443717023792582</c:v>
                </c:pt>
                <c:pt idx="789">
                  <c:v>-0.30532379059827319</c:v>
                </c:pt>
                <c:pt idx="790">
                  <c:v>-0.31179372383476722</c:v>
                </c:pt>
                <c:pt idx="791">
                  <c:v>-0.30897766411393424</c:v>
                </c:pt>
                <c:pt idx="792">
                  <c:v>-0.31381190763294387</c:v>
                </c:pt>
                <c:pt idx="793">
                  <c:v>-0.31785459988662512</c:v>
                </c:pt>
                <c:pt idx="794">
                  <c:v>-0.31544521595589714</c:v>
                </c:pt>
                <c:pt idx="795">
                  <c:v>-0.31849500044682111</c:v>
                </c:pt>
                <c:pt idx="796">
                  <c:v>-0.32341570862284064</c:v>
                </c:pt>
                <c:pt idx="797">
                  <c:v>-0.32466163319308416</c:v>
                </c:pt>
                <c:pt idx="798">
                  <c:v>-0.3262124924032983</c:v>
                </c:pt>
                <c:pt idx="799">
                  <c:v>-0.31911676494600405</c:v>
                </c:pt>
                <c:pt idx="800">
                  <c:v>-0.31726531482964193</c:v>
                </c:pt>
                <c:pt idx="801">
                  <c:v>-0.32136553808323798</c:v>
                </c:pt>
                <c:pt idx="802">
                  <c:v>-0.31441799468775045</c:v>
                </c:pt>
                <c:pt idx="803">
                  <c:v>-0.32141775924524107</c:v>
                </c:pt>
                <c:pt idx="804">
                  <c:v>-0.31767580796670192</c:v>
                </c:pt>
                <c:pt idx="805">
                  <c:v>-0.31898848136081825</c:v>
                </c:pt>
                <c:pt idx="806">
                  <c:v>-0.32208421090286088</c:v>
                </c:pt>
                <c:pt idx="807">
                  <c:v>-0.32963125373133606</c:v>
                </c:pt>
                <c:pt idx="808">
                  <c:v>-0.33096624717394318</c:v>
                </c:pt>
                <c:pt idx="809">
                  <c:v>-0.31732426437510242</c:v>
                </c:pt>
                <c:pt idx="810">
                  <c:v>-0.31967760026055081</c:v>
                </c:pt>
                <c:pt idx="811">
                  <c:v>-0.3214929603204244</c:v>
                </c:pt>
                <c:pt idx="812">
                  <c:v>-0.32355713704538058</c:v>
                </c:pt>
                <c:pt idx="813">
                  <c:v>-0.32178377015784088</c:v>
                </c:pt>
                <c:pt idx="814">
                  <c:v>-0.317234651390216</c:v>
                </c:pt>
                <c:pt idx="815">
                  <c:v>-0.31469459372825392</c:v>
                </c:pt>
                <c:pt idx="816">
                  <c:v>-0.31745195421649453</c:v>
                </c:pt>
                <c:pt idx="817">
                  <c:v>-0.31466281208723579</c:v>
                </c:pt>
                <c:pt idx="818">
                  <c:v>-0.31762489061819976</c:v>
                </c:pt>
                <c:pt idx="819">
                  <c:v>-0.30988241778098435</c:v>
                </c:pt>
                <c:pt idx="820">
                  <c:v>-0.31147402765656274</c:v>
                </c:pt>
                <c:pt idx="821">
                  <c:v>-0.3191287075125081</c:v>
                </c:pt>
                <c:pt idx="822">
                  <c:v>-0.31764359534873221</c:v>
                </c:pt>
                <c:pt idx="823">
                  <c:v>-0.31476347951587502</c:v>
                </c:pt>
                <c:pt idx="824">
                  <c:v>-0.31857473180489004</c:v>
                </c:pt>
                <c:pt idx="825">
                  <c:v>-0.31864248527810812</c:v>
                </c:pt>
                <c:pt idx="826">
                  <c:v>-0.32182880203542741</c:v>
                </c:pt>
                <c:pt idx="827">
                  <c:v>-0.32030074024539557</c:v>
                </c:pt>
                <c:pt idx="828">
                  <c:v>-0.31840320330247462</c:v>
                </c:pt>
                <c:pt idx="829">
                  <c:v>-0.31803035543469382</c:v>
                </c:pt>
                <c:pt idx="830">
                  <c:v>-0.32235818496563828</c:v>
                </c:pt>
                <c:pt idx="831">
                  <c:v>-0.29885368206777008</c:v>
                </c:pt>
                <c:pt idx="832">
                  <c:v>-0.29772427155782244</c:v>
                </c:pt>
                <c:pt idx="833">
                  <c:v>-0.29995377449946681</c:v>
                </c:pt>
                <c:pt idx="834">
                  <c:v>-0.30343552450800104</c:v>
                </c:pt>
                <c:pt idx="835">
                  <c:v>-0.29276476745864022</c:v>
                </c:pt>
                <c:pt idx="836">
                  <c:v>-0.29813286087939039</c:v>
                </c:pt>
                <c:pt idx="837">
                  <c:v>-0.29796631908766225</c:v>
                </c:pt>
                <c:pt idx="838">
                  <c:v>-0.29894325832065771</c:v>
                </c:pt>
                <c:pt idx="839">
                  <c:v>-0.30097980238008537</c:v>
                </c:pt>
                <c:pt idx="840">
                  <c:v>-0.29951535096726134</c:v>
                </c:pt>
                <c:pt idx="841">
                  <c:v>-0.30556127962438628</c:v>
                </c:pt>
                <c:pt idx="842">
                  <c:v>-0.30503893481615396</c:v>
                </c:pt>
                <c:pt idx="843">
                  <c:v>-0.31133453226871666</c:v>
                </c:pt>
                <c:pt idx="844">
                  <c:v>-0.31337739727955605</c:v>
                </c:pt>
                <c:pt idx="845">
                  <c:v>-0.30863831807705699</c:v>
                </c:pt>
                <c:pt idx="846">
                  <c:v>-0.30404370716824836</c:v>
                </c:pt>
                <c:pt idx="847">
                  <c:v>-0.30101044720378478</c:v>
                </c:pt>
                <c:pt idx="848">
                  <c:v>-0.30441702054009379</c:v>
                </c:pt>
                <c:pt idx="849">
                  <c:v>-0.30693518974519685</c:v>
                </c:pt>
                <c:pt idx="850">
                  <c:v>-0.30294403035484974</c:v>
                </c:pt>
                <c:pt idx="851">
                  <c:v>-0.30735640450777046</c:v>
                </c:pt>
                <c:pt idx="852">
                  <c:v>-0.30454588391041726</c:v>
                </c:pt>
                <c:pt idx="853">
                  <c:v>-0.31241660025226781</c:v>
                </c:pt>
                <c:pt idx="854">
                  <c:v>-0.30780424984493138</c:v>
                </c:pt>
                <c:pt idx="855">
                  <c:v>-0.30687284866473896</c:v>
                </c:pt>
                <c:pt idx="856">
                  <c:v>-0.30874376614571009</c:v>
                </c:pt>
                <c:pt idx="857">
                  <c:v>-0.30872884829094926</c:v>
                </c:pt>
                <c:pt idx="858">
                  <c:v>-0.31096962649868332</c:v>
                </c:pt>
                <c:pt idx="859">
                  <c:v>-0.31313874915922002</c:v>
                </c:pt>
                <c:pt idx="860">
                  <c:v>-0.30498489217526259</c:v>
                </c:pt>
                <c:pt idx="861">
                  <c:v>-0.30629160010345524</c:v>
                </c:pt>
                <c:pt idx="862">
                  <c:v>-0.30925493886533584</c:v>
                </c:pt>
                <c:pt idx="863">
                  <c:v>-0.30508910707261827</c:v>
                </c:pt>
                <c:pt idx="864">
                  <c:v>-0.30585442477287428</c:v>
                </c:pt>
                <c:pt idx="865">
                  <c:v>-0.30945949834673003</c:v>
                </c:pt>
                <c:pt idx="866">
                  <c:v>-0.30975913505312724</c:v>
                </c:pt>
                <c:pt idx="867">
                  <c:v>-0.31230012099864712</c:v>
                </c:pt>
                <c:pt idx="868">
                  <c:v>-0.31188046615643683</c:v>
                </c:pt>
                <c:pt idx="869">
                  <c:v>-0.3139777321616507</c:v>
                </c:pt>
                <c:pt idx="870">
                  <c:v>-0.3141819003903924</c:v>
                </c:pt>
                <c:pt idx="871">
                  <c:v>-0.31165941608732828</c:v>
                </c:pt>
                <c:pt idx="872">
                  <c:v>-0.31328796767963041</c:v>
                </c:pt>
                <c:pt idx="873">
                  <c:v>-0.31660053566908142</c:v>
                </c:pt>
                <c:pt idx="874">
                  <c:v>-0.30743618641926052</c:v>
                </c:pt>
                <c:pt idx="875">
                  <c:v>-0.30928523237364913</c:v>
                </c:pt>
                <c:pt idx="876">
                  <c:v>-0.31306800384008371</c:v>
                </c:pt>
                <c:pt idx="877">
                  <c:v>-0.31348291678271056</c:v>
                </c:pt>
                <c:pt idx="878">
                  <c:v>-0.31393885827072132</c:v>
                </c:pt>
                <c:pt idx="879">
                  <c:v>-0.31795693782702072</c:v>
                </c:pt>
                <c:pt idx="880">
                  <c:v>-0.32219148397188924</c:v>
                </c:pt>
                <c:pt idx="881">
                  <c:v>-0.31769284314792501</c:v>
                </c:pt>
                <c:pt idx="882">
                  <c:v>-0.31928481873819659</c:v>
                </c:pt>
                <c:pt idx="883">
                  <c:v>-0.32092822781144015</c:v>
                </c:pt>
                <c:pt idx="884">
                  <c:v>-0.32013890542339607</c:v>
                </c:pt>
                <c:pt idx="885">
                  <c:v>-0.32215845576179158</c:v>
                </c:pt>
                <c:pt idx="886">
                  <c:v>-0.32844342931074633</c:v>
                </c:pt>
                <c:pt idx="887">
                  <c:v>-0.32608146962578122</c:v>
                </c:pt>
                <c:pt idx="888">
                  <c:v>-0.33131484933795674</c:v>
                </c:pt>
                <c:pt idx="889">
                  <c:v>-0.33189214996874195</c:v>
                </c:pt>
                <c:pt idx="890">
                  <c:v>-0.33200697268123092</c:v>
                </c:pt>
                <c:pt idx="891">
                  <c:v>-0.33192713247916228</c:v>
                </c:pt>
                <c:pt idx="892">
                  <c:v>-0.33427514737989039</c:v>
                </c:pt>
                <c:pt idx="893">
                  <c:v>-0.30855430878677448</c:v>
                </c:pt>
                <c:pt idx="894">
                  <c:v>-0.31058038494972506</c:v>
                </c:pt>
                <c:pt idx="895">
                  <c:v>-0.29171879060061856</c:v>
                </c:pt>
                <c:pt idx="896">
                  <c:v>-0.29037633749558001</c:v>
                </c:pt>
                <c:pt idx="897">
                  <c:v>-0.29013655431498708</c:v>
                </c:pt>
                <c:pt idx="898">
                  <c:v>-0.29581312615888267</c:v>
                </c:pt>
                <c:pt idx="899">
                  <c:v>-0.29567882773400533</c:v>
                </c:pt>
                <c:pt idx="900">
                  <c:v>-0.30484451319392847</c:v>
                </c:pt>
                <c:pt idx="901">
                  <c:v>-0.30521208096469654</c:v>
                </c:pt>
                <c:pt idx="902">
                  <c:v>-0.30506920075053978</c:v>
                </c:pt>
                <c:pt idx="903">
                  <c:v>-0.30597883477650911</c:v>
                </c:pt>
                <c:pt idx="904">
                  <c:v>-0.30799307564034739</c:v>
                </c:pt>
                <c:pt idx="905">
                  <c:v>-0.31236465938422298</c:v>
                </c:pt>
                <c:pt idx="906">
                  <c:v>-0.31415068939452451</c:v>
                </c:pt>
                <c:pt idx="907">
                  <c:v>-0.30093510757148589</c:v>
                </c:pt>
                <c:pt idx="908">
                  <c:v>-0.30454765744071777</c:v>
                </c:pt>
                <c:pt idx="909">
                  <c:v>-0.3066160868580089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F5-4319-B95B-A33605926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6861776"/>
        <c:axId val="776862496"/>
      </c:lineChart>
      <c:dateAx>
        <c:axId val="776861776"/>
        <c:scaling>
          <c:orientation val="minMax"/>
        </c:scaling>
        <c:delete val="0"/>
        <c:axPos val="b"/>
        <c:numFmt formatCode="yy\-mm" sourceLinked="0"/>
        <c:majorTickMark val="out"/>
        <c:minorTickMark val="none"/>
        <c:tickLblPos val="nextTo"/>
        <c:crossAx val="776862496"/>
        <c:crosses val="autoZero"/>
        <c:auto val="1"/>
        <c:lblOffset val="100"/>
        <c:baseTimeUnit val="days"/>
      </c:dateAx>
      <c:valAx>
        <c:axId val="77686249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776861776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 w="9525">
      <a:solidFill>
        <a:srgbClr val="E6E6E6"/>
      </a:solidFill>
    </a:ln>
  </c:spPr>
  <c:txPr>
    <a:bodyPr/>
    <a:lstStyle/>
    <a:p>
      <a:pPr>
        <a:defRPr sz="900">
          <a:latin typeface="Meiryo UI"/>
          <a:ea typeface="Meiryo UI"/>
          <a:cs typeface="Meiryo UI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100" b="1">
                <a:solidFill>
                  <a:srgbClr val="1F3864"/>
                </a:solidFill>
              </a:defRPr>
            </a:pPr>
            <a:r>
              <a:rPr lang="ja-JP"/>
              <a:t>戦略別 合計損益 </a:t>
            </a:r>
            <a:r>
              <a:rPr lang="en-US"/>
              <a:t>($, </a:t>
            </a:r>
            <a:r>
              <a:rPr lang="ja-JP"/>
              <a:t>バックテスト</a:t>
            </a:r>
            <a:r>
              <a:rPr lang="en-US"/>
              <a:t>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トレード台帳!$E$5</c:f>
              <c:strCache>
                <c:ptCount val="1"/>
                <c:pt idx="0">
                  <c:v>合計損益$</c:v>
                </c:pt>
              </c:strCache>
            </c:strRef>
          </c:tx>
          <c:spPr>
            <a:solidFill>
              <a:srgbClr val="4472C4"/>
            </a:solidFill>
          </c:spPr>
          <c:invertIfNegative val="0"/>
          <c:cat>
            <c:strRef>
              <c:f>トレード台帳!$B$6:$B$13</c:f>
              <c:strCache>
                <c:ptCount val="8"/>
                <c:pt idx="0">
                  <c:v>S1 UST 2s10s30s BF</c:v>
                </c:pt>
                <c:pt idx="1">
                  <c:v>S2 JGB 2s10s30s BF</c:v>
                </c:pt>
                <c:pt idx="2">
                  <c:v>S3 UST-JGB 10年 クロスマーケット</c:v>
                </c:pt>
                <c:pt idx="3">
                  <c:v>S4 UST ASWボックス 5s10s</c:v>
                </c:pt>
                <c:pt idx="4">
                  <c:v>S5 ドル円オーバーレイ</c:v>
                </c:pt>
                <c:pt idx="5">
                  <c:v>S6 UST 10年 ベーシス</c:v>
                </c:pt>
                <c:pt idx="6">
                  <c:v>S7 Bund-UST 10年 クロスマーケット</c:v>
                </c:pt>
                <c:pt idx="7">
                  <c:v>S8 JGB-Bund 10年 クロスマーケット</c:v>
                </c:pt>
              </c:strCache>
            </c:strRef>
          </c:cat>
          <c:val>
            <c:numRef>
              <c:f>トレード台帳!$E$6:$E$13</c:f>
              <c:numCache>
                <c:formatCode>#,##0_);\(#,##0\)</c:formatCode>
                <c:ptCount val="8"/>
                <c:pt idx="0">
                  <c:v>-2698407.0000000121</c:v>
                </c:pt>
                <c:pt idx="1">
                  <c:v>380392.00000000634</c:v>
                </c:pt>
                <c:pt idx="2">
                  <c:v>9290576.0000000037</c:v>
                </c:pt>
                <c:pt idx="3">
                  <c:v>-1835733.0000000019</c:v>
                </c:pt>
                <c:pt idx="4">
                  <c:v>-25336111.130613916</c:v>
                </c:pt>
                <c:pt idx="5">
                  <c:v>-1565274.4999999998</c:v>
                </c:pt>
                <c:pt idx="6">
                  <c:v>-1542149.0000000042</c:v>
                </c:pt>
                <c:pt idx="7">
                  <c:v>-5737031.14355468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64-4AA1-B8D5-D25C0B443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64042280"/>
        <c:axId val="464043720"/>
      </c:barChart>
      <c:catAx>
        <c:axId val="46404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4043720"/>
        <c:crosses val="autoZero"/>
        <c:auto val="1"/>
        <c:lblAlgn val="ctr"/>
        <c:lblOffset val="100"/>
        <c:noMultiLvlLbl val="0"/>
      </c:catAx>
      <c:valAx>
        <c:axId val="464043720"/>
        <c:scaling>
          <c:orientation val="minMax"/>
        </c:scaling>
        <c:delete val="0"/>
        <c:axPos val="l"/>
        <c:majorGridlines/>
        <c:numFmt formatCode="#,##0_);\(#,##0\)" sourceLinked="1"/>
        <c:majorTickMark val="out"/>
        <c:minorTickMark val="none"/>
        <c:tickLblPos val="nextTo"/>
        <c:crossAx val="46404228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 w="9525">
      <a:solidFill>
        <a:srgbClr val="E6E6E6"/>
      </a:solidFill>
    </a:ln>
  </c:spPr>
  <c:txPr>
    <a:bodyPr/>
    <a:lstStyle/>
    <a:p>
      <a:pPr>
        <a:defRPr sz="900">
          <a:latin typeface="Meiryo UI"/>
          <a:ea typeface="Meiryo UI"/>
          <a:cs typeface="Meiryo UI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pPr>
              <a:defRPr sz="1100" b="1">
                <a:solidFill>
                  <a:srgbClr val="1F3864"/>
                </a:solidFill>
              </a:defRPr>
            </a:pPr>
            <a:r>
              <a:rPr lang="en-US"/>
              <a:t>S1 UST 2s10s30s </a:t>
            </a:r>
            <a:r>
              <a:rPr lang="ja-JP"/>
              <a:t>バタフライスプレッド</a:t>
            </a:r>
            <a:r>
              <a:rPr lang="en-US"/>
              <a:t>(±2</a:t>
            </a:r>
            <a:r>
              <a:rPr lang="el-GR"/>
              <a:t>σ</a:t>
            </a:r>
            <a:r>
              <a:rPr lang="ja-JP"/>
              <a:t>バンド</a:t>
            </a:r>
            <a:r>
              <a:rPr lang="en-US"/>
              <a:t>)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分析データ!$B$1</c:f>
              <c:strCache>
                <c:ptCount val="1"/>
                <c:pt idx="0">
                  <c:v>S1 BF(bp)</c:v>
                </c:pt>
              </c:strCache>
            </c:strRef>
          </c:tx>
          <c:spPr>
            <a:ln w="25400">
              <a:solidFill>
                <a:srgbClr val="1F3864"/>
              </a:solidFill>
              <a:prstDash val="solid"/>
            </a:ln>
          </c:spPr>
          <c:marker>
            <c:symbol val="none"/>
          </c:marker>
          <c:cat>
            <c:numRef>
              <c:f>[0]!DATE_X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[0]!ESPR_Y</c:f>
              <c:numCache>
                <c:formatCode>0.0</c:formatCode>
                <c:ptCount val="910"/>
                <c:pt idx="0">
                  <c:v>-35.000000000000057</c:v>
                </c:pt>
                <c:pt idx="1">
                  <c:v>-39.5</c:v>
                </c:pt>
                <c:pt idx="2">
                  <c:v>-40.500000000000028</c:v>
                </c:pt>
                <c:pt idx="3">
                  <c:v>-40.500000000000028</c:v>
                </c:pt>
                <c:pt idx="4">
                  <c:v>-39.500000000000043</c:v>
                </c:pt>
                <c:pt idx="5">
                  <c:v>-38.000000000000036</c:v>
                </c:pt>
                <c:pt idx="6">
                  <c:v>-39.5</c:v>
                </c:pt>
                <c:pt idx="7">
                  <c:v>-40.999999999999972</c:v>
                </c:pt>
                <c:pt idx="8">
                  <c:v>-42.499999999999986</c:v>
                </c:pt>
                <c:pt idx="9">
                  <c:v>-38.000000000000036</c:v>
                </c:pt>
                <c:pt idx="10">
                  <c:v>-42.999999999999972</c:v>
                </c:pt>
                <c:pt idx="11">
                  <c:v>-43.999999999999993</c:v>
                </c:pt>
                <c:pt idx="12">
                  <c:v>-41.999999999999993</c:v>
                </c:pt>
                <c:pt idx="13">
                  <c:v>-43.000000000000014</c:v>
                </c:pt>
                <c:pt idx="14">
                  <c:v>-41.000000000000014</c:v>
                </c:pt>
                <c:pt idx="15">
                  <c:v>-40.500000000000028</c:v>
                </c:pt>
                <c:pt idx="16">
                  <c:v>-40.499999999999979</c:v>
                </c:pt>
                <c:pt idx="17">
                  <c:v>-39.5</c:v>
                </c:pt>
                <c:pt idx="18">
                  <c:v>-40.500000000000028</c:v>
                </c:pt>
                <c:pt idx="19">
                  <c:v>-40.999999999999972</c:v>
                </c:pt>
                <c:pt idx="20">
                  <c:v>-42.999999999999972</c:v>
                </c:pt>
                <c:pt idx="21">
                  <c:v>-41.999999999999993</c:v>
                </c:pt>
                <c:pt idx="22">
                  <c:v>-43.500000000000007</c:v>
                </c:pt>
                <c:pt idx="23">
                  <c:v>-42.499999999999986</c:v>
                </c:pt>
                <c:pt idx="24">
                  <c:v>-42.499999999999986</c:v>
                </c:pt>
                <c:pt idx="25">
                  <c:v>-44.500000000000028</c:v>
                </c:pt>
                <c:pt idx="26">
                  <c:v>-44.500000000000028</c:v>
                </c:pt>
                <c:pt idx="27">
                  <c:v>-42.499999999999986</c:v>
                </c:pt>
                <c:pt idx="28">
                  <c:v>-43.499999999999915</c:v>
                </c:pt>
                <c:pt idx="29">
                  <c:v>-43.500000000000007</c:v>
                </c:pt>
                <c:pt idx="30">
                  <c:v>-42.500000000000028</c:v>
                </c:pt>
                <c:pt idx="31">
                  <c:v>-40.999999999999972</c:v>
                </c:pt>
                <c:pt idx="32">
                  <c:v>-42.000000000000036</c:v>
                </c:pt>
                <c:pt idx="33">
                  <c:v>-37.5</c:v>
                </c:pt>
                <c:pt idx="34">
                  <c:v>-36.999999999999964</c:v>
                </c:pt>
                <c:pt idx="35">
                  <c:v>-38.999999999999972</c:v>
                </c:pt>
                <c:pt idx="36">
                  <c:v>-40.500000000000028</c:v>
                </c:pt>
                <c:pt idx="37">
                  <c:v>-43.50000000000005</c:v>
                </c:pt>
                <c:pt idx="38">
                  <c:v>-45.000000000000014</c:v>
                </c:pt>
                <c:pt idx="39">
                  <c:v>-41.999999999999993</c:v>
                </c:pt>
                <c:pt idx="40">
                  <c:v>-37.999999999999986</c:v>
                </c:pt>
                <c:pt idx="41">
                  <c:v>-40.999999999999972</c:v>
                </c:pt>
                <c:pt idx="42">
                  <c:v>-42.499999999999936</c:v>
                </c:pt>
                <c:pt idx="43">
                  <c:v>-46.999999999999929</c:v>
                </c:pt>
                <c:pt idx="44">
                  <c:v>-48.499999999999986</c:v>
                </c:pt>
                <c:pt idx="45">
                  <c:v>-46.000000000000043</c:v>
                </c:pt>
                <c:pt idx="46">
                  <c:v>-45.000000000000014</c:v>
                </c:pt>
                <c:pt idx="47">
                  <c:v>-31.500000000000039</c:v>
                </c:pt>
                <c:pt idx="48">
                  <c:v>-34.500000000000021</c:v>
                </c:pt>
                <c:pt idx="49">
                  <c:v>-30.50000000000006</c:v>
                </c:pt>
                <c:pt idx="50">
                  <c:v>-36.499999999999979</c:v>
                </c:pt>
                <c:pt idx="51">
                  <c:v>-31.499999999999993</c:v>
                </c:pt>
                <c:pt idx="52">
                  <c:v>-31.499999999999993</c:v>
                </c:pt>
                <c:pt idx="53">
                  <c:v>-36.000000000000028</c:v>
                </c:pt>
                <c:pt idx="54">
                  <c:v>-34.000000000000028</c:v>
                </c:pt>
                <c:pt idx="55">
                  <c:v>-33.000000000000007</c:v>
                </c:pt>
                <c:pt idx="56">
                  <c:v>-32.000000000000028</c:v>
                </c:pt>
                <c:pt idx="57">
                  <c:v>-32.500000000000014</c:v>
                </c:pt>
                <c:pt idx="58">
                  <c:v>-34.499999999999972</c:v>
                </c:pt>
                <c:pt idx="59">
                  <c:v>-35.999999999999986</c:v>
                </c:pt>
                <c:pt idx="60">
                  <c:v>-37.000000000000014</c:v>
                </c:pt>
                <c:pt idx="61">
                  <c:v>-38.499999999999979</c:v>
                </c:pt>
                <c:pt idx="62">
                  <c:v>-37.5</c:v>
                </c:pt>
                <c:pt idx="63">
                  <c:v>-36.999999999999964</c:v>
                </c:pt>
                <c:pt idx="64">
                  <c:v>-37.5</c:v>
                </c:pt>
                <c:pt idx="65">
                  <c:v>-37.999999999999986</c:v>
                </c:pt>
                <c:pt idx="66">
                  <c:v>-39.999999999999993</c:v>
                </c:pt>
                <c:pt idx="67">
                  <c:v>-39.999999999999993</c:v>
                </c:pt>
                <c:pt idx="68">
                  <c:v>-39.5</c:v>
                </c:pt>
                <c:pt idx="69">
                  <c:v>-38.499999999999979</c:v>
                </c:pt>
                <c:pt idx="70">
                  <c:v>-37.5</c:v>
                </c:pt>
                <c:pt idx="71">
                  <c:v>-39.000000000000014</c:v>
                </c:pt>
                <c:pt idx="72">
                  <c:v>-39.5</c:v>
                </c:pt>
                <c:pt idx="73">
                  <c:v>-41.000000000000014</c:v>
                </c:pt>
                <c:pt idx="74">
                  <c:v>-41.50000000000005</c:v>
                </c:pt>
                <c:pt idx="75">
                  <c:v>-40.499999999999979</c:v>
                </c:pt>
                <c:pt idx="76">
                  <c:v>-40.499999999999979</c:v>
                </c:pt>
                <c:pt idx="77">
                  <c:v>-40.499999999999979</c:v>
                </c:pt>
                <c:pt idx="78">
                  <c:v>-35.5</c:v>
                </c:pt>
                <c:pt idx="79">
                  <c:v>-36.999999999999964</c:v>
                </c:pt>
                <c:pt idx="80">
                  <c:v>-38.500000000000021</c:v>
                </c:pt>
                <c:pt idx="81">
                  <c:v>-41.5</c:v>
                </c:pt>
                <c:pt idx="82">
                  <c:v>-39.999999999999993</c:v>
                </c:pt>
                <c:pt idx="83">
                  <c:v>-40.500000000000028</c:v>
                </c:pt>
                <c:pt idx="84">
                  <c:v>-41.5</c:v>
                </c:pt>
                <c:pt idx="85">
                  <c:v>-37.000000000000014</c:v>
                </c:pt>
                <c:pt idx="86">
                  <c:v>-39.999999999999993</c:v>
                </c:pt>
                <c:pt idx="87">
                  <c:v>-39.999999999999993</c:v>
                </c:pt>
                <c:pt idx="88">
                  <c:v>-39.999999999999993</c:v>
                </c:pt>
                <c:pt idx="89">
                  <c:v>-41.99999999999995</c:v>
                </c:pt>
                <c:pt idx="90">
                  <c:v>-41.999999999999993</c:v>
                </c:pt>
                <c:pt idx="91">
                  <c:v>-41.999999999999993</c:v>
                </c:pt>
                <c:pt idx="92">
                  <c:v>-41.5</c:v>
                </c:pt>
                <c:pt idx="93">
                  <c:v>-42.499999999999986</c:v>
                </c:pt>
                <c:pt idx="94">
                  <c:v>-43.000000000000014</c:v>
                </c:pt>
                <c:pt idx="95">
                  <c:v>-42.500000000000028</c:v>
                </c:pt>
                <c:pt idx="96">
                  <c:v>-41.5</c:v>
                </c:pt>
                <c:pt idx="97">
                  <c:v>-40.999999999999972</c:v>
                </c:pt>
                <c:pt idx="98">
                  <c:v>-40.999999999999929</c:v>
                </c:pt>
                <c:pt idx="99">
                  <c:v>-40.999999999999972</c:v>
                </c:pt>
                <c:pt idx="100">
                  <c:v>-42.499999999999986</c:v>
                </c:pt>
                <c:pt idx="101">
                  <c:v>-45.000000000000014</c:v>
                </c:pt>
                <c:pt idx="102">
                  <c:v>-48.999999999999979</c:v>
                </c:pt>
                <c:pt idx="103">
                  <c:v>-48.499999999999986</c:v>
                </c:pt>
                <c:pt idx="104">
                  <c:v>-47.500000000000007</c:v>
                </c:pt>
                <c:pt idx="105">
                  <c:v>-49.999999999999957</c:v>
                </c:pt>
                <c:pt idx="106">
                  <c:v>-48.499999999999986</c:v>
                </c:pt>
                <c:pt idx="107">
                  <c:v>-48.999999999999929</c:v>
                </c:pt>
                <c:pt idx="108">
                  <c:v>-46.499999999999986</c:v>
                </c:pt>
                <c:pt idx="109">
                  <c:v>-47.500000000000007</c:v>
                </c:pt>
                <c:pt idx="110">
                  <c:v>-49.000000000000021</c:v>
                </c:pt>
                <c:pt idx="111">
                  <c:v>-48</c:v>
                </c:pt>
                <c:pt idx="112">
                  <c:v>-46.499999999999986</c:v>
                </c:pt>
                <c:pt idx="113">
                  <c:v>-49.000000000000021</c:v>
                </c:pt>
                <c:pt idx="114">
                  <c:v>-51.500000000000014</c:v>
                </c:pt>
                <c:pt idx="115">
                  <c:v>-51.000000000000021</c:v>
                </c:pt>
                <c:pt idx="116">
                  <c:v>-51.499999999999972</c:v>
                </c:pt>
                <c:pt idx="117">
                  <c:v>-52.499999999999993</c:v>
                </c:pt>
                <c:pt idx="118">
                  <c:v>-52.499999999999943</c:v>
                </c:pt>
                <c:pt idx="119">
                  <c:v>-52.499999999999943</c:v>
                </c:pt>
                <c:pt idx="120">
                  <c:v>-52</c:v>
                </c:pt>
                <c:pt idx="121">
                  <c:v>-52</c:v>
                </c:pt>
                <c:pt idx="122">
                  <c:v>-54.999999999999986</c:v>
                </c:pt>
                <c:pt idx="123">
                  <c:v>-54.49999999999995</c:v>
                </c:pt>
                <c:pt idx="124">
                  <c:v>-55.000000000000028</c:v>
                </c:pt>
                <c:pt idx="125">
                  <c:v>-54.500000000000036</c:v>
                </c:pt>
                <c:pt idx="126">
                  <c:v>-49.500000000000014</c:v>
                </c:pt>
                <c:pt idx="127">
                  <c:v>-45.000000000000014</c:v>
                </c:pt>
                <c:pt idx="128">
                  <c:v>-43.50000000000005</c:v>
                </c:pt>
                <c:pt idx="129">
                  <c:v>-43.99999999999995</c:v>
                </c:pt>
                <c:pt idx="130">
                  <c:v>-46.499999999999986</c:v>
                </c:pt>
                <c:pt idx="131">
                  <c:v>-48</c:v>
                </c:pt>
                <c:pt idx="132">
                  <c:v>-48.500000000000028</c:v>
                </c:pt>
                <c:pt idx="133">
                  <c:v>-50.499999999999986</c:v>
                </c:pt>
                <c:pt idx="134">
                  <c:v>-52.999999999999979</c:v>
                </c:pt>
                <c:pt idx="135">
                  <c:v>-52.500000000000036</c:v>
                </c:pt>
                <c:pt idx="136">
                  <c:v>-54</c:v>
                </c:pt>
                <c:pt idx="137">
                  <c:v>-50.500000000000036</c:v>
                </c:pt>
                <c:pt idx="138">
                  <c:v>-52.500000000000036</c:v>
                </c:pt>
                <c:pt idx="139">
                  <c:v>-50.500000000000036</c:v>
                </c:pt>
                <c:pt idx="140">
                  <c:v>-49.000000000000021</c:v>
                </c:pt>
                <c:pt idx="141">
                  <c:v>-52</c:v>
                </c:pt>
                <c:pt idx="142">
                  <c:v>-47.499999999999964</c:v>
                </c:pt>
                <c:pt idx="143">
                  <c:v>-49.000000000000021</c:v>
                </c:pt>
                <c:pt idx="144">
                  <c:v>-47.999999999999908</c:v>
                </c:pt>
                <c:pt idx="145">
                  <c:v>-46.500000000000071</c:v>
                </c:pt>
                <c:pt idx="146">
                  <c:v>-44.500000000000028</c:v>
                </c:pt>
                <c:pt idx="147">
                  <c:v>-41.000000000000014</c:v>
                </c:pt>
                <c:pt idx="148">
                  <c:v>-44.500000000000028</c:v>
                </c:pt>
                <c:pt idx="149">
                  <c:v>-42.499999999999986</c:v>
                </c:pt>
                <c:pt idx="150">
                  <c:v>-45.000000000000107</c:v>
                </c:pt>
                <c:pt idx="151">
                  <c:v>-48.499999999999943</c:v>
                </c:pt>
                <c:pt idx="152">
                  <c:v>-44.000000000000043</c:v>
                </c:pt>
                <c:pt idx="153">
                  <c:v>-41.999999999999993</c:v>
                </c:pt>
                <c:pt idx="154">
                  <c:v>-43.499999999999957</c:v>
                </c:pt>
                <c:pt idx="155">
                  <c:v>-41.000000000000014</c:v>
                </c:pt>
                <c:pt idx="156">
                  <c:v>-39.499999999999957</c:v>
                </c:pt>
                <c:pt idx="157">
                  <c:v>-37.500000000000085</c:v>
                </c:pt>
                <c:pt idx="158">
                  <c:v>-39.000000000000057</c:v>
                </c:pt>
                <c:pt idx="159">
                  <c:v>-37.000000000000014</c:v>
                </c:pt>
                <c:pt idx="160">
                  <c:v>-37.999999999999986</c:v>
                </c:pt>
                <c:pt idx="161">
                  <c:v>-41.999999999999901</c:v>
                </c:pt>
                <c:pt idx="162">
                  <c:v>-41.000000000000014</c:v>
                </c:pt>
                <c:pt idx="163">
                  <c:v>-41.5</c:v>
                </c:pt>
                <c:pt idx="164">
                  <c:v>-43.499999999999957</c:v>
                </c:pt>
                <c:pt idx="165">
                  <c:v>-43.000000000000057</c:v>
                </c:pt>
                <c:pt idx="166">
                  <c:v>-44.500000000000028</c:v>
                </c:pt>
                <c:pt idx="167">
                  <c:v>-43.50000000000005</c:v>
                </c:pt>
                <c:pt idx="168">
                  <c:v>-40.000000000000036</c:v>
                </c:pt>
                <c:pt idx="169">
                  <c:v>-39.000000000000057</c:v>
                </c:pt>
                <c:pt idx="170">
                  <c:v>-38.999999999999972</c:v>
                </c:pt>
                <c:pt idx="171">
                  <c:v>-38.000000000000078</c:v>
                </c:pt>
                <c:pt idx="172">
                  <c:v>-39.500000000000043</c:v>
                </c:pt>
                <c:pt idx="173">
                  <c:v>-37.999999999999986</c:v>
                </c:pt>
                <c:pt idx="174">
                  <c:v>-39.500000000000043</c:v>
                </c:pt>
                <c:pt idx="175">
                  <c:v>-40.000000000000036</c:v>
                </c:pt>
                <c:pt idx="176">
                  <c:v>-40.500000000000028</c:v>
                </c:pt>
                <c:pt idx="177">
                  <c:v>-38.999999999999972</c:v>
                </c:pt>
                <c:pt idx="178">
                  <c:v>-40.499999999999936</c:v>
                </c:pt>
                <c:pt idx="179">
                  <c:v>-38.499999999999979</c:v>
                </c:pt>
                <c:pt idx="180">
                  <c:v>-41.000000000000014</c:v>
                </c:pt>
                <c:pt idx="181">
                  <c:v>-34.999999999999964</c:v>
                </c:pt>
                <c:pt idx="182">
                  <c:v>-37.499999999999915</c:v>
                </c:pt>
                <c:pt idx="183">
                  <c:v>-33.000000000000007</c:v>
                </c:pt>
                <c:pt idx="184">
                  <c:v>-31.00000000000005</c:v>
                </c:pt>
                <c:pt idx="185">
                  <c:v>-30.499999999999972</c:v>
                </c:pt>
                <c:pt idx="186">
                  <c:v>-28.500000000000014</c:v>
                </c:pt>
                <c:pt idx="187">
                  <c:v>-29.000000000000092</c:v>
                </c:pt>
                <c:pt idx="188">
                  <c:v>-27.499999999999947</c:v>
                </c:pt>
                <c:pt idx="189">
                  <c:v>-24.00000000000011</c:v>
                </c:pt>
                <c:pt idx="190">
                  <c:v>-22.999999999999954</c:v>
                </c:pt>
                <c:pt idx="191">
                  <c:v>-24.000000000000021</c:v>
                </c:pt>
                <c:pt idx="192">
                  <c:v>-23.500000000000032</c:v>
                </c:pt>
                <c:pt idx="193">
                  <c:v>-24.499999999999922</c:v>
                </c:pt>
                <c:pt idx="194">
                  <c:v>-28.000000000000025</c:v>
                </c:pt>
                <c:pt idx="195">
                  <c:v>-25.999999999999979</c:v>
                </c:pt>
                <c:pt idx="196">
                  <c:v>-28.000000000000025</c:v>
                </c:pt>
                <c:pt idx="197">
                  <c:v>-27.000000000000046</c:v>
                </c:pt>
                <c:pt idx="198">
                  <c:v>-23.500000000000032</c:v>
                </c:pt>
                <c:pt idx="199">
                  <c:v>-18.50000000000005</c:v>
                </c:pt>
                <c:pt idx="200">
                  <c:v>-14.499999999999957</c:v>
                </c:pt>
                <c:pt idx="201">
                  <c:v>-15.000000000000036</c:v>
                </c:pt>
                <c:pt idx="202">
                  <c:v>-16.999999999999904</c:v>
                </c:pt>
                <c:pt idx="203">
                  <c:v>-16.000000000000014</c:v>
                </c:pt>
                <c:pt idx="204">
                  <c:v>-13.499999999999979</c:v>
                </c:pt>
                <c:pt idx="205">
                  <c:v>-15.499999999999936</c:v>
                </c:pt>
                <c:pt idx="206">
                  <c:v>-16.999999999999993</c:v>
                </c:pt>
                <c:pt idx="207">
                  <c:v>-15.500000000000025</c:v>
                </c:pt>
                <c:pt idx="208">
                  <c:v>-17.499999999999982</c:v>
                </c:pt>
                <c:pt idx="209">
                  <c:v>-18.50000000000005</c:v>
                </c:pt>
                <c:pt idx="210">
                  <c:v>-23.000000000000043</c:v>
                </c:pt>
                <c:pt idx="211">
                  <c:v>-22.999999999999954</c:v>
                </c:pt>
                <c:pt idx="212">
                  <c:v>-21.499999999999986</c:v>
                </c:pt>
                <c:pt idx="213">
                  <c:v>-25</c:v>
                </c:pt>
                <c:pt idx="214">
                  <c:v>-29.499999999999993</c:v>
                </c:pt>
                <c:pt idx="215">
                  <c:v>-28.000000000000025</c:v>
                </c:pt>
                <c:pt idx="216">
                  <c:v>-27.499999999999947</c:v>
                </c:pt>
                <c:pt idx="217">
                  <c:v>-25.499999999999989</c:v>
                </c:pt>
                <c:pt idx="218">
                  <c:v>-26.499999999999968</c:v>
                </c:pt>
                <c:pt idx="219">
                  <c:v>-25.999999999999979</c:v>
                </c:pt>
                <c:pt idx="220">
                  <c:v>-28.000000000000025</c:v>
                </c:pt>
                <c:pt idx="221">
                  <c:v>-29.499999999999904</c:v>
                </c:pt>
                <c:pt idx="222">
                  <c:v>-31.00000000000005</c:v>
                </c:pt>
                <c:pt idx="223">
                  <c:v>-30.499999999999972</c:v>
                </c:pt>
                <c:pt idx="224">
                  <c:v>-29.999999999999982</c:v>
                </c:pt>
                <c:pt idx="225">
                  <c:v>-29.000000000000004</c:v>
                </c:pt>
                <c:pt idx="226">
                  <c:v>-29.500000000000082</c:v>
                </c:pt>
                <c:pt idx="227">
                  <c:v>-28.500000000000014</c:v>
                </c:pt>
                <c:pt idx="228">
                  <c:v>-27.000000000000046</c:v>
                </c:pt>
                <c:pt idx="229">
                  <c:v>-26.499999999999968</c:v>
                </c:pt>
                <c:pt idx="230">
                  <c:v>-26.000000000000068</c:v>
                </c:pt>
                <c:pt idx="231">
                  <c:v>-25.499999999999989</c:v>
                </c:pt>
                <c:pt idx="232">
                  <c:v>-25.500000000000078</c:v>
                </c:pt>
                <c:pt idx="233">
                  <c:v>-29.000000000000004</c:v>
                </c:pt>
                <c:pt idx="234">
                  <c:v>-27.500000000000036</c:v>
                </c:pt>
                <c:pt idx="235">
                  <c:v>-27.999999999999936</c:v>
                </c:pt>
                <c:pt idx="236">
                  <c:v>-28.500000000000014</c:v>
                </c:pt>
                <c:pt idx="237">
                  <c:v>-31.500000000000039</c:v>
                </c:pt>
                <c:pt idx="238">
                  <c:v>-28.500000000000014</c:v>
                </c:pt>
                <c:pt idx="239">
                  <c:v>-28.000000000000025</c:v>
                </c:pt>
                <c:pt idx="240">
                  <c:v>-31.00000000000005</c:v>
                </c:pt>
                <c:pt idx="241">
                  <c:v>-29.000000000000004</c:v>
                </c:pt>
                <c:pt idx="242">
                  <c:v>-29.00000000000005</c:v>
                </c:pt>
                <c:pt idx="243">
                  <c:v>-30.000000000000028</c:v>
                </c:pt>
                <c:pt idx="244">
                  <c:v>-28.999999999999957</c:v>
                </c:pt>
                <c:pt idx="245">
                  <c:v>-27.999999999999979</c:v>
                </c:pt>
                <c:pt idx="246">
                  <c:v>-26.000000000000021</c:v>
                </c:pt>
                <c:pt idx="247">
                  <c:v>-28.500000000000014</c:v>
                </c:pt>
                <c:pt idx="248">
                  <c:v>-28.000000000000025</c:v>
                </c:pt>
                <c:pt idx="249">
                  <c:v>-25.000000000000089</c:v>
                </c:pt>
                <c:pt idx="250">
                  <c:v>-25.499999999999989</c:v>
                </c:pt>
                <c:pt idx="251">
                  <c:v>-27.999999999999936</c:v>
                </c:pt>
                <c:pt idx="252">
                  <c:v>-26.499999999999968</c:v>
                </c:pt>
                <c:pt idx="253">
                  <c:v>-25.499999999999989</c:v>
                </c:pt>
                <c:pt idx="254">
                  <c:v>-25.500000000000078</c:v>
                </c:pt>
                <c:pt idx="255">
                  <c:v>-25</c:v>
                </c:pt>
                <c:pt idx="256">
                  <c:v>-24.500000000000011</c:v>
                </c:pt>
                <c:pt idx="257">
                  <c:v>-23.999999999999979</c:v>
                </c:pt>
                <c:pt idx="258">
                  <c:v>-20.999999999999996</c:v>
                </c:pt>
                <c:pt idx="259">
                  <c:v>-18.99999999999995</c:v>
                </c:pt>
                <c:pt idx="260">
                  <c:v>-22.499999999999964</c:v>
                </c:pt>
                <c:pt idx="261">
                  <c:v>-21.500000000000075</c:v>
                </c:pt>
                <c:pt idx="262">
                  <c:v>-22.499999999999964</c:v>
                </c:pt>
                <c:pt idx="263">
                  <c:v>-23.500000000000032</c:v>
                </c:pt>
                <c:pt idx="264">
                  <c:v>-20.500000000000007</c:v>
                </c:pt>
                <c:pt idx="265">
                  <c:v>-19.500000000000028</c:v>
                </c:pt>
                <c:pt idx="266">
                  <c:v>-19.000000000000039</c:v>
                </c:pt>
                <c:pt idx="267">
                  <c:v>-20.999999999999908</c:v>
                </c:pt>
                <c:pt idx="268">
                  <c:v>-21.999999999999975</c:v>
                </c:pt>
                <c:pt idx="269">
                  <c:v>-26.000000000000068</c:v>
                </c:pt>
                <c:pt idx="270">
                  <c:v>-25.499999999999901</c:v>
                </c:pt>
                <c:pt idx="271">
                  <c:v>-28.000000000000025</c:v>
                </c:pt>
                <c:pt idx="272">
                  <c:v>-25.999999999999979</c:v>
                </c:pt>
                <c:pt idx="273">
                  <c:v>-23.499999999999943</c:v>
                </c:pt>
                <c:pt idx="274">
                  <c:v>-25</c:v>
                </c:pt>
                <c:pt idx="275">
                  <c:v>-26.999999999999957</c:v>
                </c:pt>
                <c:pt idx="276">
                  <c:v>-25.999999999999979</c:v>
                </c:pt>
                <c:pt idx="277">
                  <c:v>-25.500000000000078</c:v>
                </c:pt>
                <c:pt idx="278">
                  <c:v>-24.500000000000011</c:v>
                </c:pt>
                <c:pt idx="279">
                  <c:v>-24.000000000000021</c:v>
                </c:pt>
                <c:pt idx="280">
                  <c:v>-23.500000000000032</c:v>
                </c:pt>
                <c:pt idx="281">
                  <c:v>-25</c:v>
                </c:pt>
                <c:pt idx="282">
                  <c:v>-24.500000000000011</c:v>
                </c:pt>
                <c:pt idx="283">
                  <c:v>-24.500000000000099</c:v>
                </c:pt>
                <c:pt idx="284">
                  <c:v>-24.499999999999922</c:v>
                </c:pt>
                <c:pt idx="285">
                  <c:v>-25</c:v>
                </c:pt>
                <c:pt idx="286">
                  <c:v>-25.999999999999979</c:v>
                </c:pt>
                <c:pt idx="287">
                  <c:v>-26.499999999999968</c:v>
                </c:pt>
                <c:pt idx="288">
                  <c:v>-26.000000000000068</c:v>
                </c:pt>
                <c:pt idx="289">
                  <c:v>-25</c:v>
                </c:pt>
                <c:pt idx="290">
                  <c:v>-25.999999999999979</c:v>
                </c:pt>
                <c:pt idx="291">
                  <c:v>-24.500000000000011</c:v>
                </c:pt>
                <c:pt idx="292">
                  <c:v>-26.500000000000057</c:v>
                </c:pt>
                <c:pt idx="293">
                  <c:v>-27.499999999999947</c:v>
                </c:pt>
                <c:pt idx="294">
                  <c:v>-28.499999999999925</c:v>
                </c:pt>
                <c:pt idx="295">
                  <c:v>-28.500000000000014</c:v>
                </c:pt>
                <c:pt idx="296">
                  <c:v>-28.000000000000025</c:v>
                </c:pt>
                <c:pt idx="297">
                  <c:v>-28.500000000000014</c:v>
                </c:pt>
                <c:pt idx="298">
                  <c:v>-28.500000000000014</c:v>
                </c:pt>
                <c:pt idx="299">
                  <c:v>-29.000000000000004</c:v>
                </c:pt>
                <c:pt idx="300">
                  <c:v>-27.000000000000046</c:v>
                </c:pt>
                <c:pt idx="301">
                  <c:v>-26.499999999999968</c:v>
                </c:pt>
                <c:pt idx="302">
                  <c:v>-25.500000000000078</c:v>
                </c:pt>
                <c:pt idx="303">
                  <c:v>-26.000000000000068</c:v>
                </c:pt>
                <c:pt idx="304">
                  <c:v>-25</c:v>
                </c:pt>
                <c:pt idx="305">
                  <c:v>-26.000000000000068</c:v>
                </c:pt>
                <c:pt idx="306">
                  <c:v>-27.000000000000046</c:v>
                </c:pt>
                <c:pt idx="307">
                  <c:v>-23.000000000000043</c:v>
                </c:pt>
                <c:pt idx="308">
                  <c:v>-24.000000000000021</c:v>
                </c:pt>
                <c:pt idx="309">
                  <c:v>-25</c:v>
                </c:pt>
                <c:pt idx="310">
                  <c:v>-26.499999999999968</c:v>
                </c:pt>
                <c:pt idx="311">
                  <c:v>-26.499999999999968</c:v>
                </c:pt>
                <c:pt idx="312">
                  <c:v>-24.500000000000011</c:v>
                </c:pt>
                <c:pt idx="313">
                  <c:v>-23.499999999999943</c:v>
                </c:pt>
                <c:pt idx="314">
                  <c:v>-25.000000000000089</c:v>
                </c:pt>
                <c:pt idx="315">
                  <c:v>-24.500000000000011</c:v>
                </c:pt>
                <c:pt idx="316">
                  <c:v>-24.500000000000011</c:v>
                </c:pt>
                <c:pt idx="317">
                  <c:v>-25.999999999999979</c:v>
                </c:pt>
                <c:pt idx="318">
                  <c:v>-25.499999999999989</c:v>
                </c:pt>
                <c:pt idx="319">
                  <c:v>-23.000000000000043</c:v>
                </c:pt>
                <c:pt idx="320">
                  <c:v>-24.500000000000011</c:v>
                </c:pt>
                <c:pt idx="321">
                  <c:v>-20.500000000000007</c:v>
                </c:pt>
                <c:pt idx="322">
                  <c:v>-19.999999999999929</c:v>
                </c:pt>
                <c:pt idx="323">
                  <c:v>-23.000000000000043</c:v>
                </c:pt>
                <c:pt idx="324">
                  <c:v>-22.000000000000064</c:v>
                </c:pt>
                <c:pt idx="325">
                  <c:v>-22.499999999999964</c:v>
                </c:pt>
                <c:pt idx="326">
                  <c:v>-22.499999999999964</c:v>
                </c:pt>
                <c:pt idx="327">
                  <c:v>-18.499999999999961</c:v>
                </c:pt>
                <c:pt idx="328">
                  <c:v>-18.499999999999961</c:v>
                </c:pt>
                <c:pt idx="329">
                  <c:v>-19.000000000000039</c:v>
                </c:pt>
                <c:pt idx="330">
                  <c:v>-20.000000000000018</c:v>
                </c:pt>
                <c:pt idx="331">
                  <c:v>-22.999999999999954</c:v>
                </c:pt>
                <c:pt idx="332">
                  <c:v>-22.499999999999964</c:v>
                </c:pt>
                <c:pt idx="333">
                  <c:v>-21.999999999999975</c:v>
                </c:pt>
                <c:pt idx="334">
                  <c:v>-21.499999999999986</c:v>
                </c:pt>
                <c:pt idx="335">
                  <c:v>-23.499999999999943</c:v>
                </c:pt>
                <c:pt idx="336">
                  <c:v>-24.000000000000021</c:v>
                </c:pt>
                <c:pt idx="337">
                  <c:v>-24.500000000000011</c:v>
                </c:pt>
                <c:pt idx="338">
                  <c:v>-25.999999999999979</c:v>
                </c:pt>
                <c:pt idx="339">
                  <c:v>-24.999999999999911</c:v>
                </c:pt>
                <c:pt idx="340">
                  <c:v>-25.499999999999989</c:v>
                </c:pt>
                <c:pt idx="341">
                  <c:v>-25.999999999999979</c:v>
                </c:pt>
                <c:pt idx="342">
                  <c:v>-24.999999999999911</c:v>
                </c:pt>
                <c:pt idx="343">
                  <c:v>-26.499999999999968</c:v>
                </c:pt>
                <c:pt idx="344">
                  <c:v>-27.000000000000046</c:v>
                </c:pt>
                <c:pt idx="345">
                  <c:v>-27.500000000000036</c:v>
                </c:pt>
                <c:pt idx="346">
                  <c:v>-25.999999999999979</c:v>
                </c:pt>
                <c:pt idx="347">
                  <c:v>-27.500000000000036</c:v>
                </c:pt>
                <c:pt idx="348">
                  <c:v>-27.500000000000036</c:v>
                </c:pt>
                <c:pt idx="349">
                  <c:v>-27.500000000000036</c:v>
                </c:pt>
                <c:pt idx="350">
                  <c:v>-29.000000000000004</c:v>
                </c:pt>
                <c:pt idx="351">
                  <c:v>-26.000000000000068</c:v>
                </c:pt>
                <c:pt idx="352">
                  <c:v>-23.999999999999932</c:v>
                </c:pt>
                <c:pt idx="353">
                  <c:v>-25.499999999999989</c:v>
                </c:pt>
                <c:pt idx="354">
                  <c:v>-25.999999999999979</c:v>
                </c:pt>
                <c:pt idx="355">
                  <c:v>-27.500000000000036</c:v>
                </c:pt>
                <c:pt idx="356">
                  <c:v>-29.499999999999993</c:v>
                </c:pt>
                <c:pt idx="357">
                  <c:v>-29.000000000000004</c:v>
                </c:pt>
                <c:pt idx="358">
                  <c:v>-29.499999999999904</c:v>
                </c:pt>
                <c:pt idx="359">
                  <c:v>-28.000000000000025</c:v>
                </c:pt>
                <c:pt idx="360">
                  <c:v>-26.000000000000068</c:v>
                </c:pt>
                <c:pt idx="361">
                  <c:v>-28.000000000000025</c:v>
                </c:pt>
                <c:pt idx="362">
                  <c:v>-29.999999999999982</c:v>
                </c:pt>
                <c:pt idx="363">
                  <c:v>-29.999999999999982</c:v>
                </c:pt>
                <c:pt idx="364">
                  <c:v>-30.499999999999972</c:v>
                </c:pt>
                <c:pt idx="365">
                  <c:v>-29.499999999999993</c:v>
                </c:pt>
                <c:pt idx="366">
                  <c:v>-30.50000000000006</c:v>
                </c:pt>
                <c:pt idx="367">
                  <c:v>-29.499999999999993</c:v>
                </c:pt>
                <c:pt idx="368">
                  <c:v>-29.499999999999993</c:v>
                </c:pt>
                <c:pt idx="369">
                  <c:v>-29.499999999999993</c:v>
                </c:pt>
                <c:pt idx="370">
                  <c:v>-27.500000000000036</c:v>
                </c:pt>
                <c:pt idx="371">
                  <c:v>-25.999999999999979</c:v>
                </c:pt>
                <c:pt idx="372">
                  <c:v>-27.499999999999947</c:v>
                </c:pt>
                <c:pt idx="373">
                  <c:v>-24.999999999999911</c:v>
                </c:pt>
                <c:pt idx="374">
                  <c:v>-22.499999999999964</c:v>
                </c:pt>
                <c:pt idx="375">
                  <c:v>-24.000000000000021</c:v>
                </c:pt>
                <c:pt idx="376">
                  <c:v>-25.999999999999979</c:v>
                </c:pt>
                <c:pt idx="377">
                  <c:v>-25.499999999999989</c:v>
                </c:pt>
                <c:pt idx="378">
                  <c:v>-25.999999999999979</c:v>
                </c:pt>
                <c:pt idx="379">
                  <c:v>-25.499999999999989</c:v>
                </c:pt>
                <c:pt idx="380">
                  <c:v>-26.499999999999968</c:v>
                </c:pt>
                <c:pt idx="381">
                  <c:v>-25.499999999999989</c:v>
                </c:pt>
                <c:pt idx="382">
                  <c:v>-24.000000000000021</c:v>
                </c:pt>
                <c:pt idx="383">
                  <c:v>-21.999999999999975</c:v>
                </c:pt>
                <c:pt idx="384">
                  <c:v>-23.499999999999943</c:v>
                </c:pt>
                <c:pt idx="385">
                  <c:v>-23.499999999999943</c:v>
                </c:pt>
                <c:pt idx="386">
                  <c:v>-23.500000000000032</c:v>
                </c:pt>
                <c:pt idx="387">
                  <c:v>-22.000000000000064</c:v>
                </c:pt>
                <c:pt idx="388">
                  <c:v>-23.000000000000043</c:v>
                </c:pt>
                <c:pt idx="389">
                  <c:v>-19.000000000000039</c:v>
                </c:pt>
                <c:pt idx="390">
                  <c:v>-17.499999999999982</c:v>
                </c:pt>
                <c:pt idx="391">
                  <c:v>-18.50000000000005</c:v>
                </c:pt>
                <c:pt idx="392">
                  <c:v>-20.500000000000007</c:v>
                </c:pt>
                <c:pt idx="393">
                  <c:v>-22.000000000000064</c:v>
                </c:pt>
                <c:pt idx="394">
                  <c:v>-22.499999999999964</c:v>
                </c:pt>
                <c:pt idx="395">
                  <c:v>-23.000000000000043</c:v>
                </c:pt>
                <c:pt idx="396">
                  <c:v>-22.499999999999964</c:v>
                </c:pt>
                <c:pt idx="397">
                  <c:v>-19.500000000000028</c:v>
                </c:pt>
                <c:pt idx="398">
                  <c:v>-19.499999999999986</c:v>
                </c:pt>
                <c:pt idx="399">
                  <c:v>-18.500000000000007</c:v>
                </c:pt>
                <c:pt idx="400">
                  <c:v>-16.999999999999993</c:v>
                </c:pt>
                <c:pt idx="401">
                  <c:v>-16.999999999999993</c:v>
                </c:pt>
                <c:pt idx="402">
                  <c:v>-20.000000000000064</c:v>
                </c:pt>
                <c:pt idx="403">
                  <c:v>-19.999999999999972</c:v>
                </c:pt>
                <c:pt idx="404">
                  <c:v>-19.499999999999986</c:v>
                </c:pt>
                <c:pt idx="405">
                  <c:v>-20.000000000000018</c:v>
                </c:pt>
                <c:pt idx="406">
                  <c:v>-20.999999999999996</c:v>
                </c:pt>
                <c:pt idx="407">
                  <c:v>-21.500000000000028</c:v>
                </c:pt>
                <c:pt idx="408">
                  <c:v>-22.500000000000007</c:v>
                </c:pt>
                <c:pt idx="409">
                  <c:v>-21.000000000000043</c:v>
                </c:pt>
                <c:pt idx="410">
                  <c:v>-19.999999999999972</c:v>
                </c:pt>
                <c:pt idx="411">
                  <c:v>-20.000000000000064</c:v>
                </c:pt>
                <c:pt idx="412">
                  <c:v>-18.999999999999993</c:v>
                </c:pt>
                <c:pt idx="413">
                  <c:v>-18.999999999999993</c:v>
                </c:pt>
                <c:pt idx="414">
                  <c:v>-14.999999999999991</c:v>
                </c:pt>
                <c:pt idx="415">
                  <c:v>-14.000000000000012</c:v>
                </c:pt>
                <c:pt idx="416">
                  <c:v>-13.999999999999968</c:v>
                </c:pt>
                <c:pt idx="417">
                  <c:v>-14.499999999999957</c:v>
                </c:pt>
                <c:pt idx="418">
                  <c:v>-16.500000000000004</c:v>
                </c:pt>
                <c:pt idx="419">
                  <c:v>-13.999999999999968</c:v>
                </c:pt>
                <c:pt idx="420">
                  <c:v>-15.49999999999998</c:v>
                </c:pt>
                <c:pt idx="421">
                  <c:v>-12.5</c:v>
                </c:pt>
                <c:pt idx="422">
                  <c:v>-13.999999999999968</c:v>
                </c:pt>
                <c:pt idx="423">
                  <c:v>-13.000000000000034</c:v>
                </c:pt>
                <c:pt idx="424">
                  <c:v>-14.000000000000012</c:v>
                </c:pt>
                <c:pt idx="425">
                  <c:v>-14.000000000000012</c:v>
                </c:pt>
                <c:pt idx="426">
                  <c:v>-11.499999999999977</c:v>
                </c:pt>
                <c:pt idx="427">
                  <c:v>-12.000000000000011</c:v>
                </c:pt>
                <c:pt idx="428">
                  <c:v>-12.5</c:v>
                </c:pt>
                <c:pt idx="429">
                  <c:v>-12.000000000000011</c:v>
                </c:pt>
                <c:pt idx="430">
                  <c:v>-9.4999999999999751</c:v>
                </c:pt>
                <c:pt idx="431">
                  <c:v>-8.0000000000000071</c:v>
                </c:pt>
                <c:pt idx="432">
                  <c:v>-8.0000000000000071</c:v>
                </c:pt>
                <c:pt idx="433">
                  <c:v>-4.9999999999999822</c:v>
                </c:pt>
                <c:pt idx="434">
                  <c:v>-4.4999999999999929</c:v>
                </c:pt>
                <c:pt idx="435">
                  <c:v>-7.0000000000000284</c:v>
                </c:pt>
                <c:pt idx="436">
                  <c:v>-7.4999999999999734</c:v>
                </c:pt>
                <c:pt idx="437">
                  <c:v>-8.9999999999999858</c:v>
                </c:pt>
                <c:pt idx="438">
                  <c:v>-10.499999999999954</c:v>
                </c:pt>
                <c:pt idx="439">
                  <c:v>-9.4999999999999751</c:v>
                </c:pt>
                <c:pt idx="440">
                  <c:v>-8.9999999999999858</c:v>
                </c:pt>
                <c:pt idx="441">
                  <c:v>-11.499999999999977</c:v>
                </c:pt>
                <c:pt idx="442">
                  <c:v>-11.499999999999932</c:v>
                </c:pt>
                <c:pt idx="443">
                  <c:v>-11.000000000000032</c:v>
                </c:pt>
                <c:pt idx="444">
                  <c:v>-10.500000000000043</c:v>
                </c:pt>
                <c:pt idx="445">
                  <c:v>-8.9999999999999858</c:v>
                </c:pt>
                <c:pt idx="446">
                  <c:v>-8.9999999999999858</c:v>
                </c:pt>
                <c:pt idx="447">
                  <c:v>-10.499999999999954</c:v>
                </c:pt>
                <c:pt idx="448">
                  <c:v>-9.5000000000000639</c:v>
                </c:pt>
                <c:pt idx="449">
                  <c:v>-8.4999999999999964</c:v>
                </c:pt>
                <c:pt idx="450">
                  <c:v>-8.4999999999999964</c:v>
                </c:pt>
                <c:pt idx="451">
                  <c:v>-6.4999999999999503</c:v>
                </c:pt>
                <c:pt idx="452">
                  <c:v>-5.9999999999999609</c:v>
                </c:pt>
                <c:pt idx="453">
                  <c:v>-4.9999999999999822</c:v>
                </c:pt>
                <c:pt idx="454">
                  <c:v>-5.9999999999999609</c:v>
                </c:pt>
                <c:pt idx="455">
                  <c:v>-6.0000000000000497</c:v>
                </c:pt>
                <c:pt idx="456">
                  <c:v>-4.4999999999999929</c:v>
                </c:pt>
                <c:pt idx="457">
                  <c:v>-3.4999999999999254</c:v>
                </c:pt>
                <c:pt idx="458">
                  <c:v>-3.0000000000000249</c:v>
                </c:pt>
                <c:pt idx="459">
                  <c:v>-3.4999999999999254</c:v>
                </c:pt>
                <c:pt idx="460">
                  <c:v>-2.0000000000000462</c:v>
                </c:pt>
                <c:pt idx="461">
                  <c:v>-2.5000000000000355</c:v>
                </c:pt>
                <c:pt idx="462">
                  <c:v>-5.5000000000000604</c:v>
                </c:pt>
                <c:pt idx="463">
                  <c:v>-1.499999999999968</c:v>
                </c:pt>
                <c:pt idx="464">
                  <c:v>-5.5000000000000604</c:v>
                </c:pt>
                <c:pt idx="465">
                  <c:v>-6.5000000000000391</c:v>
                </c:pt>
                <c:pt idx="466">
                  <c:v>-3.0000000000000249</c:v>
                </c:pt>
                <c:pt idx="467">
                  <c:v>-0.99999999999988987</c:v>
                </c:pt>
                <c:pt idx="468">
                  <c:v>-3.0000000000000249</c:v>
                </c:pt>
                <c:pt idx="469">
                  <c:v>-2.5000000000000355</c:v>
                </c:pt>
                <c:pt idx="470">
                  <c:v>-3.0000000000000249</c:v>
                </c:pt>
                <c:pt idx="471">
                  <c:v>-3.0000000000000249</c:v>
                </c:pt>
                <c:pt idx="472">
                  <c:v>-3.9999999999999147</c:v>
                </c:pt>
                <c:pt idx="473">
                  <c:v>-4.4999999999999929</c:v>
                </c:pt>
                <c:pt idx="474">
                  <c:v>-7.4999999999999289</c:v>
                </c:pt>
                <c:pt idx="475">
                  <c:v>-6.0000000000000497</c:v>
                </c:pt>
                <c:pt idx="476">
                  <c:v>-4.5000000000000817</c:v>
                </c:pt>
                <c:pt idx="477">
                  <c:v>-6.5000000000000391</c:v>
                </c:pt>
                <c:pt idx="478">
                  <c:v>-6.5000000000000391</c:v>
                </c:pt>
                <c:pt idx="479">
                  <c:v>-7.5000000000000178</c:v>
                </c:pt>
                <c:pt idx="480">
                  <c:v>-5.4999999999999716</c:v>
                </c:pt>
                <c:pt idx="481">
                  <c:v>-4.9999999999999822</c:v>
                </c:pt>
                <c:pt idx="482">
                  <c:v>-7.0000000000000284</c:v>
                </c:pt>
                <c:pt idx="483">
                  <c:v>-6.9999999999999396</c:v>
                </c:pt>
                <c:pt idx="484">
                  <c:v>-5.9999999999999609</c:v>
                </c:pt>
                <c:pt idx="485">
                  <c:v>-6.0000000000000497</c:v>
                </c:pt>
                <c:pt idx="486">
                  <c:v>-5.5000000000000604</c:v>
                </c:pt>
                <c:pt idx="487">
                  <c:v>-4.4999999999999929</c:v>
                </c:pt>
                <c:pt idx="488">
                  <c:v>-2.9999999999999361</c:v>
                </c:pt>
                <c:pt idx="489">
                  <c:v>-3.5000000000000142</c:v>
                </c:pt>
                <c:pt idx="490">
                  <c:v>-1.9999999999999574</c:v>
                </c:pt>
                <c:pt idx="491">
                  <c:v>0</c:v>
                </c:pt>
                <c:pt idx="492">
                  <c:v>4.0000000000000036</c:v>
                </c:pt>
                <c:pt idx="493">
                  <c:v>0.99999999999997868</c:v>
                </c:pt>
                <c:pt idx="494">
                  <c:v>4.9999999999999822</c:v>
                </c:pt>
                <c:pt idx="495">
                  <c:v>6.4999999999999503</c:v>
                </c:pt>
                <c:pt idx="496">
                  <c:v>5.0000000000000711</c:v>
                </c:pt>
                <c:pt idx="497">
                  <c:v>5.5000000000000604</c:v>
                </c:pt>
                <c:pt idx="498">
                  <c:v>4.4999999999999929</c:v>
                </c:pt>
                <c:pt idx="499">
                  <c:v>6.4999999999999503</c:v>
                </c:pt>
                <c:pt idx="500">
                  <c:v>5.0000000000000711</c:v>
                </c:pt>
                <c:pt idx="501">
                  <c:v>4.9999999999998934</c:v>
                </c:pt>
                <c:pt idx="502">
                  <c:v>5.5000000000000604</c:v>
                </c:pt>
                <c:pt idx="503">
                  <c:v>6.4999999999999503</c:v>
                </c:pt>
                <c:pt idx="504">
                  <c:v>7.4999999999999289</c:v>
                </c:pt>
                <c:pt idx="505">
                  <c:v>8.4999999999999964</c:v>
                </c:pt>
                <c:pt idx="506">
                  <c:v>8.9999999999999858</c:v>
                </c:pt>
                <c:pt idx="507">
                  <c:v>10.499999999999954</c:v>
                </c:pt>
                <c:pt idx="508">
                  <c:v>10.499999999999954</c:v>
                </c:pt>
                <c:pt idx="509">
                  <c:v>8.5000000000000853</c:v>
                </c:pt>
                <c:pt idx="510">
                  <c:v>7.5000000000000178</c:v>
                </c:pt>
                <c:pt idx="511">
                  <c:v>5.5000000000000604</c:v>
                </c:pt>
                <c:pt idx="512">
                  <c:v>2.5000000000000355</c:v>
                </c:pt>
                <c:pt idx="513">
                  <c:v>4.4999999999999929</c:v>
                </c:pt>
                <c:pt idx="514">
                  <c:v>7.0000000000000284</c:v>
                </c:pt>
                <c:pt idx="515">
                  <c:v>7.0000000000000284</c:v>
                </c:pt>
                <c:pt idx="516">
                  <c:v>6.5000000000000391</c:v>
                </c:pt>
                <c:pt idx="517">
                  <c:v>6.4999999999999503</c:v>
                </c:pt>
                <c:pt idx="518">
                  <c:v>4.9999999999999822</c:v>
                </c:pt>
                <c:pt idx="519">
                  <c:v>4.9999999999999822</c:v>
                </c:pt>
                <c:pt idx="520">
                  <c:v>5.4999999999999716</c:v>
                </c:pt>
                <c:pt idx="521">
                  <c:v>2.5000000000000355</c:v>
                </c:pt>
                <c:pt idx="522">
                  <c:v>3.9999999999999147</c:v>
                </c:pt>
                <c:pt idx="523">
                  <c:v>2.5000000000000355</c:v>
                </c:pt>
                <c:pt idx="524">
                  <c:v>2.0000000000000462</c:v>
                </c:pt>
                <c:pt idx="525">
                  <c:v>0</c:v>
                </c:pt>
                <c:pt idx="526">
                  <c:v>1.499999999999968</c:v>
                </c:pt>
                <c:pt idx="527">
                  <c:v>2.0000000000000462</c:v>
                </c:pt>
                <c:pt idx="528">
                  <c:v>2.4999999999999467</c:v>
                </c:pt>
                <c:pt idx="529">
                  <c:v>0.49999999999998934</c:v>
                </c:pt>
                <c:pt idx="530">
                  <c:v>-0.49999999999998934</c:v>
                </c:pt>
                <c:pt idx="531">
                  <c:v>2.0000000000000462</c:v>
                </c:pt>
                <c:pt idx="532">
                  <c:v>1.0000000000000675</c:v>
                </c:pt>
                <c:pt idx="533">
                  <c:v>-0.99999999999997868</c:v>
                </c:pt>
                <c:pt idx="534">
                  <c:v>-0.99999999999997868</c:v>
                </c:pt>
                <c:pt idx="535">
                  <c:v>0.50000000000007816</c:v>
                </c:pt>
                <c:pt idx="536">
                  <c:v>-1.0000000000000675</c:v>
                </c:pt>
                <c:pt idx="537">
                  <c:v>-2.9999999999999361</c:v>
                </c:pt>
                <c:pt idx="538">
                  <c:v>-2.4999999999999467</c:v>
                </c:pt>
                <c:pt idx="539">
                  <c:v>-0.99999999999997868</c:v>
                </c:pt>
                <c:pt idx="540">
                  <c:v>-4.4999999999999929</c:v>
                </c:pt>
                <c:pt idx="541">
                  <c:v>-2.5000000000000355</c:v>
                </c:pt>
                <c:pt idx="542">
                  <c:v>0</c:v>
                </c:pt>
                <c:pt idx="543">
                  <c:v>2.0000000000000462</c:v>
                </c:pt>
                <c:pt idx="544">
                  <c:v>1.5000000000000568</c:v>
                </c:pt>
                <c:pt idx="545">
                  <c:v>0.49999999999998934</c:v>
                </c:pt>
                <c:pt idx="546">
                  <c:v>1.5000000000000568</c:v>
                </c:pt>
                <c:pt idx="547">
                  <c:v>0</c:v>
                </c:pt>
                <c:pt idx="548">
                  <c:v>0.49999999999998934</c:v>
                </c:pt>
                <c:pt idx="549">
                  <c:v>-1.0000000000000675</c:v>
                </c:pt>
                <c:pt idx="550">
                  <c:v>-2.0000000000000462</c:v>
                </c:pt>
                <c:pt idx="551">
                  <c:v>-2.0000000000000462</c:v>
                </c:pt>
                <c:pt idx="552">
                  <c:v>-2.5000000000000355</c:v>
                </c:pt>
                <c:pt idx="553">
                  <c:v>-0.99999999999997868</c:v>
                </c:pt>
                <c:pt idx="554">
                  <c:v>-1.499999999999968</c:v>
                </c:pt>
                <c:pt idx="555">
                  <c:v>-0.99999999999997868</c:v>
                </c:pt>
                <c:pt idx="556">
                  <c:v>0.49999999999998934</c:v>
                </c:pt>
                <c:pt idx="557">
                  <c:v>1.499999999999968</c:v>
                </c:pt>
                <c:pt idx="558">
                  <c:v>2.9999999999999361</c:v>
                </c:pt>
                <c:pt idx="559">
                  <c:v>0.49999999999998934</c:v>
                </c:pt>
                <c:pt idx="560">
                  <c:v>-0.99999999999997868</c:v>
                </c:pt>
                <c:pt idx="561">
                  <c:v>-2.5000000000000355</c:v>
                </c:pt>
                <c:pt idx="562">
                  <c:v>-2.4999999999999467</c:v>
                </c:pt>
                <c:pt idx="563">
                  <c:v>-4.0000000000000036</c:v>
                </c:pt>
                <c:pt idx="564">
                  <c:v>-3.5000000000000142</c:v>
                </c:pt>
                <c:pt idx="565">
                  <c:v>-0.49999999999998934</c:v>
                </c:pt>
                <c:pt idx="566">
                  <c:v>4.9999999999999822</c:v>
                </c:pt>
                <c:pt idx="567">
                  <c:v>2.5000000000000355</c:v>
                </c:pt>
                <c:pt idx="568">
                  <c:v>5.0000000000000711</c:v>
                </c:pt>
                <c:pt idx="569">
                  <c:v>7.5000000000001066</c:v>
                </c:pt>
                <c:pt idx="570">
                  <c:v>5.9999999999999609</c:v>
                </c:pt>
                <c:pt idx="571">
                  <c:v>3.5000000000000142</c:v>
                </c:pt>
                <c:pt idx="572">
                  <c:v>3.5000000000000142</c:v>
                </c:pt>
                <c:pt idx="573">
                  <c:v>3.5000000000000142</c:v>
                </c:pt>
                <c:pt idx="574">
                  <c:v>8.9999999999999858</c:v>
                </c:pt>
                <c:pt idx="575">
                  <c:v>8.9999999999999858</c:v>
                </c:pt>
                <c:pt idx="576">
                  <c:v>8.0000000000000071</c:v>
                </c:pt>
                <c:pt idx="577">
                  <c:v>5.0000000000000711</c:v>
                </c:pt>
                <c:pt idx="578">
                  <c:v>4.9999999999999822</c:v>
                </c:pt>
                <c:pt idx="579">
                  <c:v>5.0000000000000711</c:v>
                </c:pt>
                <c:pt idx="580">
                  <c:v>4.5000000000000817</c:v>
                </c:pt>
                <c:pt idx="581">
                  <c:v>4.0000000000000036</c:v>
                </c:pt>
                <c:pt idx="582">
                  <c:v>2.9999999999999361</c:v>
                </c:pt>
                <c:pt idx="583">
                  <c:v>1.9999999999999574</c:v>
                </c:pt>
                <c:pt idx="584">
                  <c:v>3.0000000000000249</c:v>
                </c:pt>
                <c:pt idx="585">
                  <c:v>0.49999999999998934</c:v>
                </c:pt>
                <c:pt idx="586">
                  <c:v>-1.499999999999968</c:v>
                </c:pt>
                <c:pt idx="587">
                  <c:v>0.49999999999998934</c:v>
                </c:pt>
                <c:pt idx="588">
                  <c:v>1.499999999999968</c:v>
                </c:pt>
                <c:pt idx="589">
                  <c:v>1.5000000000000568</c:v>
                </c:pt>
                <c:pt idx="590">
                  <c:v>0.99999999999997868</c:v>
                </c:pt>
                <c:pt idx="591">
                  <c:v>2.0000000000000462</c:v>
                </c:pt>
                <c:pt idx="592">
                  <c:v>1.499999999999968</c:v>
                </c:pt>
                <c:pt idx="593">
                  <c:v>-0.49999999999998934</c:v>
                </c:pt>
                <c:pt idx="594">
                  <c:v>1.499999999999968</c:v>
                </c:pt>
                <c:pt idx="595">
                  <c:v>1.5000000000000568</c:v>
                </c:pt>
                <c:pt idx="596">
                  <c:v>4.0000000000000036</c:v>
                </c:pt>
                <c:pt idx="597">
                  <c:v>1.499999999999968</c:v>
                </c:pt>
                <c:pt idx="598">
                  <c:v>-0.99999999999997868</c:v>
                </c:pt>
                <c:pt idx="599">
                  <c:v>0</c:v>
                </c:pt>
                <c:pt idx="600">
                  <c:v>0.49999999999998934</c:v>
                </c:pt>
                <c:pt idx="601">
                  <c:v>0.99999999999997868</c:v>
                </c:pt>
                <c:pt idx="602">
                  <c:v>0.49999999999998934</c:v>
                </c:pt>
                <c:pt idx="603">
                  <c:v>-0.49999999999998934</c:v>
                </c:pt>
                <c:pt idx="604">
                  <c:v>-1.0000000000000675</c:v>
                </c:pt>
                <c:pt idx="605">
                  <c:v>-0.99999999999997868</c:v>
                </c:pt>
                <c:pt idx="606">
                  <c:v>0</c:v>
                </c:pt>
                <c:pt idx="607">
                  <c:v>0.49999999999998934</c:v>
                </c:pt>
                <c:pt idx="608">
                  <c:v>0.99999999999997868</c:v>
                </c:pt>
                <c:pt idx="609">
                  <c:v>0</c:v>
                </c:pt>
                <c:pt idx="610">
                  <c:v>-1.499999999999968</c:v>
                </c:pt>
                <c:pt idx="611">
                  <c:v>-0.99999999999997868</c:v>
                </c:pt>
                <c:pt idx="612">
                  <c:v>-1.9999999999999574</c:v>
                </c:pt>
                <c:pt idx="613">
                  <c:v>-0.49999999999998934</c:v>
                </c:pt>
                <c:pt idx="614">
                  <c:v>-2.0000000000000462</c:v>
                </c:pt>
                <c:pt idx="615">
                  <c:v>-3.0000000000000249</c:v>
                </c:pt>
                <c:pt idx="616">
                  <c:v>-1.499999999999968</c:v>
                </c:pt>
                <c:pt idx="617">
                  <c:v>-1.5000000000000568</c:v>
                </c:pt>
                <c:pt idx="618">
                  <c:v>0.99999999999997868</c:v>
                </c:pt>
                <c:pt idx="619">
                  <c:v>0.49999999999998934</c:v>
                </c:pt>
                <c:pt idx="620">
                  <c:v>0.49999999999998934</c:v>
                </c:pt>
                <c:pt idx="621">
                  <c:v>0</c:v>
                </c:pt>
                <c:pt idx="622">
                  <c:v>-0.99999999999997868</c:v>
                </c:pt>
                <c:pt idx="623">
                  <c:v>-2.0000000000000462</c:v>
                </c:pt>
                <c:pt idx="624">
                  <c:v>0</c:v>
                </c:pt>
                <c:pt idx="625">
                  <c:v>-2.0000000000000462</c:v>
                </c:pt>
                <c:pt idx="626">
                  <c:v>-0.99999999999997868</c:v>
                </c:pt>
                <c:pt idx="627">
                  <c:v>0</c:v>
                </c:pt>
                <c:pt idx="628">
                  <c:v>-2.5000000000000355</c:v>
                </c:pt>
                <c:pt idx="629">
                  <c:v>-1.0000000000000675</c:v>
                </c:pt>
                <c:pt idx="630">
                  <c:v>0</c:v>
                </c:pt>
                <c:pt idx="631">
                  <c:v>-0.49999999999998934</c:v>
                </c:pt>
                <c:pt idx="632">
                  <c:v>1.9999999999999574</c:v>
                </c:pt>
                <c:pt idx="633">
                  <c:v>1.499999999999968</c:v>
                </c:pt>
                <c:pt idx="634">
                  <c:v>0.99999999999997868</c:v>
                </c:pt>
                <c:pt idx="635">
                  <c:v>8.8817841970012523E-14</c:v>
                </c:pt>
                <c:pt idx="636">
                  <c:v>-1.5000000000000568</c:v>
                </c:pt>
                <c:pt idx="637">
                  <c:v>-1.5000000000000568</c:v>
                </c:pt>
                <c:pt idx="638">
                  <c:v>-1.499999999999968</c:v>
                </c:pt>
                <c:pt idx="639">
                  <c:v>-0.50000000000007816</c:v>
                </c:pt>
                <c:pt idx="640">
                  <c:v>-1.499999999999968</c:v>
                </c:pt>
                <c:pt idx="641">
                  <c:v>-1.5000000000000568</c:v>
                </c:pt>
                <c:pt idx="642">
                  <c:v>-2.0000000000000462</c:v>
                </c:pt>
                <c:pt idx="643">
                  <c:v>-3.5000000000000142</c:v>
                </c:pt>
                <c:pt idx="644">
                  <c:v>-4.4999999999999929</c:v>
                </c:pt>
                <c:pt idx="645">
                  <c:v>-1.9999999999999574</c:v>
                </c:pt>
                <c:pt idx="646">
                  <c:v>-2.5000000000000355</c:v>
                </c:pt>
                <c:pt idx="647">
                  <c:v>-3.0000000000000249</c:v>
                </c:pt>
                <c:pt idx="648">
                  <c:v>-3.0000000000000249</c:v>
                </c:pt>
                <c:pt idx="649">
                  <c:v>-3.4999999999999254</c:v>
                </c:pt>
                <c:pt idx="650">
                  <c:v>-3.5000000000000142</c:v>
                </c:pt>
                <c:pt idx="651">
                  <c:v>-3.0000000000000249</c:v>
                </c:pt>
                <c:pt idx="652">
                  <c:v>-0.99999999999997868</c:v>
                </c:pt>
                <c:pt idx="653">
                  <c:v>-0.99999999999997868</c:v>
                </c:pt>
                <c:pt idx="654">
                  <c:v>-2.0000000000000462</c:v>
                </c:pt>
                <c:pt idx="655">
                  <c:v>-0.49999999999998934</c:v>
                </c:pt>
                <c:pt idx="656">
                  <c:v>-1.5000000000000568</c:v>
                </c:pt>
                <c:pt idx="657">
                  <c:v>-2.5000000000000355</c:v>
                </c:pt>
                <c:pt idx="658">
                  <c:v>-2.4999999999999467</c:v>
                </c:pt>
                <c:pt idx="659">
                  <c:v>-2.5000000000000355</c:v>
                </c:pt>
                <c:pt idx="660">
                  <c:v>-2.0000000000000462</c:v>
                </c:pt>
                <c:pt idx="661">
                  <c:v>-2.9999999999999361</c:v>
                </c:pt>
                <c:pt idx="662">
                  <c:v>0.49999999999998934</c:v>
                </c:pt>
                <c:pt idx="663">
                  <c:v>-0.99999999999997868</c:v>
                </c:pt>
                <c:pt idx="664">
                  <c:v>-3.0000000000000249</c:v>
                </c:pt>
                <c:pt idx="665">
                  <c:v>-2.4999999999999467</c:v>
                </c:pt>
                <c:pt idx="666">
                  <c:v>-3.4999999999999254</c:v>
                </c:pt>
                <c:pt idx="667">
                  <c:v>-3.5000000000000142</c:v>
                </c:pt>
                <c:pt idx="668">
                  <c:v>-5.4999999999999716</c:v>
                </c:pt>
                <c:pt idx="669">
                  <c:v>-4.4999999999999929</c:v>
                </c:pt>
                <c:pt idx="670">
                  <c:v>-4.0000000000000036</c:v>
                </c:pt>
                <c:pt idx="671">
                  <c:v>-4.9999999999999822</c:v>
                </c:pt>
                <c:pt idx="672">
                  <c:v>-7.5000000000000178</c:v>
                </c:pt>
                <c:pt idx="673">
                  <c:v>-7.5000000000000178</c:v>
                </c:pt>
                <c:pt idx="674">
                  <c:v>-6.0000000000000497</c:v>
                </c:pt>
                <c:pt idx="675">
                  <c:v>-4.9999999999999822</c:v>
                </c:pt>
                <c:pt idx="676">
                  <c:v>-4.0000000000000036</c:v>
                </c:pt>
                <c:pt idx="677">
                  <c:v>-3.0000000000000249</c:v>
                </c:pt>
                <c:pt idx="678">
                  <c:v>-3.4999999999999254</c:v>
                </c:pt>
                <c:pt idx="679">
                  <c:v>-2.0000000000000462</c:v>
                </c:pt>
                <c:pt idx="680">
                  <c:v>-3.9999999999999147</c:v>
                </c:pt>
                <c:pt idx="681">
                  <c:v>-0.99999999999997868</c:v>
                </c:pt>
                <c:pt idx="682">
                  <c:v>-0.49999999999998934</c:v>
                </c:pt>
                <c:pt idx="683">
                  <c:v>-1.5000000000000568</c:v>
                </c:pt>
                <c:pt idx="684">
                  <c:v>8.8817841970012523E-14</c:v>
                </c:pt>
                <c:pt idx="685">
                  <c:v>-1.9999999999999574</c:v>
                </c:pt>
                <c:pt idx="686">
                  <c:v>-0.49999999999998934</c:v>
                </c:pt>
                <c:pt idx="687">
                  <c:v>-1.499999999999968</c:v>
                </c:pt>
                <c:pt idx="688">
                  <c:v>-2.0000000000000462</c:v>
                </c:pt>
                <c:pt idx="689">
                  <c:v>-1.499999999999968</c:v>
                </c:pt>
                <c:pt idx="690">
                  <c:v>0</c:v>
                </c:pt>
                <c:pt idx="691">
                  <c:v>-1.0000000000000675</c:v>
                </c:pt>
                <c:pt idx="692">
                  <c:v>-2.0000000000000462</c:v>
                </c:pt>
                <c:pt idx="693">
                  <c:v>-2.0000000000000462</c:v>
                </c:pt>
                <c:pt idx="694">
                  <c:v>-2.5000000000000355</c:v>
                </c:pt>
                <c:pt idx="695">
                  <c:v>-1.9999999999999574</c:v>
                </c:pt>
                <c:pt idx="696">
                  <c:v>-2.0000000000000462</c:v>
                </c:pt>
                <c:pt idx="697">
                  <c:v>-0.49999999999998934</c:v>
                </c:pt>
                <c:pt idx="698">
                  <c:v>-0.99999999999997868</c:v>
                </c:pt>
                <c:pt idx="699">
                  <c:v>-1.9999999999999574</c:v>
                </c:pt>
                <c:pt idx="700">
                  <c:v>-2.0000000000000018</c:v>
                </c:pt>
                <c:pt idx="701">
                  <c:v>-2.4999999999999911</c:v>
                </c:pt>
                <c:pt idx="702">
                  <c:v>-2.0000000000000462</c:v>
                </c:pt>
                <c:pt idx="703">
                  <c:v>-1.5000000000000568</c:v>
                </c:pt>
                <c:pt idx="704">
                  <c:v>-1.5000000000000568</c:v>
                </c:pt>
                <c:pt idx="705">
                  <c:v>-1.9999999999999574</c:v>
                </c:pt>
                <c:pt idx="706">
                  <c:v>-1.9999999999999574</c:v>
                </c:pt>
                <c:pt idx="707">
                  <c:v>-1.9999999999999574</c:v>
                </c:pt>
                <c:pt idx="708">
                  <c:v>-2.4999999999999467</c:v>
                </c:pt>
                <c:pt idx="709">
                  <c:v>-1.5000000000000568</c:v>
                </c:pt>
                <c:pt idx="710">
                  <c:v>-2.5000000000000355</c:v>
                </c:pt>
                <c:pt idx="711">
                  <c:v>-1.5000000000000568</c:v>
                </c:pt>
                <c:pt idx="712">
                  <c:v>-1.9999999999999574</c:v>
                </c:pt>
                <c:pt idx="713">
                  <c:v>-1.499999999999968</c:v>
                </c:pt>
                <c:pt idx="714">
                  <c:v>-1.499999999999968</c:v>
                </c:pt>
                <c:pt idx="715">
                  <c:v>-3.5000000000000142</c:v>
                </c:pt>
                <c:pt idx="716">
                  <c:v>-3.0000000000000249</c:v>
                </c:pt>
                <c:pt idx="717">
                  <c:v>-4.0000000000000036</c:v>
                </c:pt>
                <c:pt idx="718">
                  <c:v>-3.5000000000000142</c:v>
                </c:pt>
                <c:pt idx="719">
                  <c:v>-4.0000000000000036</c:v>
                </c:pt>
                <c:pt idx="720">
                  <c:v>-3.5000000000000142</c:v>
                </c:pt>
                <c:pt idx="721">
                  <c:v>-4.0000000000000924</c:v>
                </c:pt>
                <c:pt idx="722">
                  <c:v>-4.9999999999999822</c:v>
                </c:pt>
                <c:pt idx="723">
                  <c:v>-3.0000000000000249</c:v>
                </c:pt>
                <c:pt idx="724">
                  <c:v>-4.0000000000000036</c:v>
                </c:pt>
                <c:pt idx="725">
                  <c:v>-4.4999999999999929</c:v>
                </c:pt>
                <c:pt idx="726">
                  <c:v>-5.0000000000000711</c:v>
                </c:pt>
                <c:pt idx="727">
                  <c:v>-5.0000000000000711</c:v>
                </c:pt>
                <c:pt idx="728">
                  <c:v>-3.5000000000000142</c:v>
                </c:pt>
                <c:pt idx="729">
                  <c:v>-5.0000000000000711</c:v>
                </c:pt>
                <c:pt idx="730">
                  <c:v>-2.9999999999999361</c:v>
                </c:pt>
                <c:pt idx="731">
                  <c:v>-3.5000000000000142</c:v>
                </c:pt>
                <c:pt idx="732">
                  <c:v>-1.9999999999999574</c:v>
                </c:pt>
                <c:pt idx="733">
                  <c:v>-2.5000000000000355</c:v>
                </c:pt>
                <c:pt idx="734">
                  <c:v>-3.0000000000000249</c:v>
                </c:pt>
                <c:pt idx="735">
                  <c:v>-1.5000000000000568</c:v>
                </c:pt>
                <c:pt idx="736">
                  <c:v>0.50000000000007816</c:v>
                </c:pt>
                <c:pt idx="737">
                  <c:v>0.49999999999998934</c:v>
                </c:pt>
                <c:pt idx="738">
                  <c:v>0</c:v>
                </c:pt>
                <c:pt idx="739">
                  <c:v>0</c:v>
                </c:pt>
                <c:pt idx="740">
                  <c:v>-0.99999999999997868</c:v>
                </c:pt>
                <c:pt idx="741">
                  <c:v>0.99999999999997868</c:v>
                </c:pt>
                <c:pt idx="742">
                  <c:v>3.0000000000000249</c:v>
                </c:pt>
                <c:pt idx="743">
                  <c:v>2.4999999999999467</c:v>
                </c:pt>
                <c:pt idx="744">
                  <c:v>2.0000000000000462</c:v>
                </c:pt>
                <c:pt idx="745">
                  <c:v>0.49999999999998934</c:v>
                </c:pt>
                <c:pt idx="746">
                  <c:v>-0.49999999999998934</c:v>
                </c:pt>
                <c:pt idx="747">
                  <c:v>0.99999999999997868</c:v>
                </c:pt>
                <c:pt idx="748">
                  <c:v>2.4999999999999467</c:v>
                </c:pt>
                <c:pt idx="749">
                  <c:v>2.5000000000000355</c:v>
                </c:pt>
                <c:pt idx="750">
                  <c:v>1.5000000000000568</c:v>
                </c:pt>
                <c:pt idx="751">
                  <c:v>1.499999999999968</c:v>
                </c:pt>
                <c:pt idx="752">
                  <c:v>0.49999999999998934</c:v>
                </c:pt>
                <c:pt idx="753">
                  <c:v>2.0000000000000462</c:v>
                </c:pt>
                <c:pt idx="754">
                  <c:v>0</c:v>
                </c:pt>
                <c:pt idx="755">
                  <c:v>0.49999999999998934</c:v>
                </c:pt>
                <c:pt idx="756">
                  <c:v>0</c:v>
                </c:pt>
                <c:pt idx="757">
                  <c:v>0</c:v>
                </c:pt>
                <c:pt idx="758">
                  <c:v>-0.49999999999998934</c:v>
                </c:pt>
                <c:pt idx="759">
                  <c:v>3.0000000000000249</c:v>
                </c:pt>
                <c:pt idx="760">
                  <c:v>4.4999999999999929</c:v>
                </c:pt>
                <c:pt idx="761">
                  <c:v>2.4999999999999467</c:v>
                </c:pt>
                <c:pt idx="762">
                  <c:v>3.5000000000000142</c:v>
                </c:pt>
                <c:pt idx="763">
                  <c:v>3.0000000000000249</c:v>
                </c:pt>
                <c:pt idx="764">
                  <c:v>4.0000000000000036</c:v>
                </c:pt>
                <c:pt idx="765">
                  <c:v>6.0000000000000497</c:v>
                </c:pt>
                <c:pt idx="766">
                  <c:v>5.4999999999999716</c:v>
                </c:pt>
                <c:pt idx="767">
                  <c:v>5.0000000000000711</c:v>
                </c:pt>
                <c:pt idx="768">
                  <c:v>6.4999999999999503</c:v>
                </c:pt>
                <c:pt idx="769">
                  <c:v>5.4999999999999716</c:v>
                </c:pt>
                <c:pt idx="770">
                  <c:v>4.4999999999999929</c:v>
                </c:pt>
                <c:pt idx="771">
                  <c:v>4.9999999999999822</c:v>
                </c:pt>
                <c:pt idx="772">
                  <c:v>4.9999999999999822</c:v>
                </c:pt>
                <c:pt idx="773">
                  <c:v>4.4999999999999929</c:v>
                </c:pt>
                <c:pt idx="774">
                  <c:v>5.4999999999999716</c:v>
                </c:pt>
                <c:pt idx="775">
                  <c:v>4.4999999999999929</c:v>
                </c:pt>
                <c:pt idx="776">
                  <c:v>0.99999999999997868</c:v>
                </c:pt>
                <c:pt idx="777">
                  <c:v>-0.49999999999998934</c:v>
                </c:pt>
                <c:pt idx="778">
                  <c:v>-0.49999999999998934</c:v>
                </c:pt>
                <c:pt idx="779">
                  <c:v>-0.49999999999998934</c:v>
                </c:pt>
                <c:pt idx="780">
                  <c:v>0</c:v>
                </c:pt>
                <c:pt idx="781">
                  <c:v>-0.49999999999998934</c:v>
                </c:pt>
                <c:pt idx="782">
                  <c:v>-1.9999999999999574</c:v>
                </c:pt>
                <c:pt idx="783">
                  <c:v>-3.5000000000000142</c:v>
                </c:pt>
                <c:pt idx="784">
                  <c:v>-2.5000000000000355</c:v>
                </c:pt>
                <c:pt idx="785">
                  <c:v>-2.5000000000000355</c:v>
                </c:pt>
                <c:pt idx="786">
                  <c:v>-2.5000000000000355</c:v>
                </c:pt>
                <c:pt idx="787">
                  <c:v>-3.9999999999999591</c:v>
                </c:pt>
                <c:pt idx="788">
                  <c:v>-3.5000000000000142</c:v>
                </c:pt>
                <c:pt idx="789">
                  <c:v>-4.5000000000000817</c:v>
                </c:pt>
                <c:pt idx="790">
                  <c:v>-4.0000000000000036</c:v>
                </c:pt>
                <c:pt idx="791">
                  <c:v>-2.5000000000000355</c:v>
                </c:pt>
                <c:pt idx="792">
                  <c:v>-1.499999999999968</c:v>
                </c:pt>
                <c:pt idx="793">
                  <c:v>-1.9999999999999574</c:v>
                </c:pt>
                <c:pt idx="794">
                  <c:v>-2.4999999999999467</c:v>
                </c:pt>
                <c:pt idx="795">
                  <c:v>-4.0000000000000036</c:v>
                </c:pt>
                <c:pt idx="796">
                  <c:v>-5.0000000000000711</c:v>
                </c:pt>
                <c:pt idx="797">
                  <c:v>-3.5000000000000142</c:v>
                </c:pt>
                <c:pt idx="798">
                  <c:v>-4.0000000000000036</c:v>
                </c:pt>
                <c:pt idx="799">
                  <c:v>-6.4999999999999503</c:v>
                </c:pt>
                <c:pt idx="800">
                  <c:v>-6.0000000000000497</c:v>
                </c:pt>
                <c:pt idx="801">
                  <c:v>-6.0000000000000497</c:v>
                </c:pt>
                <c:pt idx="802">
                  <c:v>-3.0000000000000249</c:v>
                </c:pt>
                <c:pt idx="803">
                  <c:v>-3.0000000000000249</c:v>
                </c:pt>
                <c:pt idx="804">
                  <c:v>-3.0000000000000249</c:v>
                </c:pt>
                <c:pt idx="805">
                  <c:v>-3.5000000000000142</c:v>
                </c:pt>
                <c:pt idx="806">
                  <c:v>-2.5000000000000355</c:v>
                </c:pt>
                <c:pt idx="807">
                  <c:v>1.0000000000000675</c:v>
                </c:pt>
                <c:pt idx="808">
                  <c:v>-1.5000000000000568</c:v>
                </c:pt>
                <c:pt idx="809">
                  <c:v>-3.5000000000000142</c:v>
                </c:pt>
                <c:pt idx="810">
                  <c:v>-3.0000000000000249</c:v>
                </c:pt>
                <c:pt idx="811">
                  <c:v>-2.5000000000000355</c:v>
                </c:pt>
                <c:pt idx="812">
                  <c:v>-2.5000000000000355</c:v>
                </c:pt>
                <c:pt idx="813">
                  <c:v>-2.5000000000000355</c:v>
                </c:pt>
                <c:pt idx="814">
                  <c:v>-2.5000000000000355</c:v>
                </c:pt>
                <c:pt idx="815">
                  <c:v>-4.9999999999999822</c:v>
                </c:pt>
                <c:pt idx="816">
                  <c:v>-4.9999999999999822</c:v>
                </c:pt>
                <c:pt idx="817">
                  <c:v>-5.0000000000000711</c:v>
                </c:pt>
                <c:pt idx="818">
                  <c:v>-4.0000000000000036</c:v>
                </c:pt>
                <c:pt idx="819">
                  <c:v>-5.4999999999999716</c:v>
                </c:pt>
                <c:pt idx="820">
                  <c:v>-3.4999999999999254</c:v>
                </c:pt>
                <c:pt idx="821">
                  <c:v>-3.4999999999999254</c:v>
                </c:pt>
                <c:pt idx="822">
                  <c:v>-3.5000000000000142</c:v>
                </c:pt>
                <c:pt idx="823">
                  <c:v>-4.0000000000000036</c:v>
                </c:pt>
                <c:pt idx="824">
                  <c:v>-3.5000000000000142</c:v>
                </c:pt>
                <c:pt idx="825">
                  <c:v>-4.5000000000000817</c:v>
                </c:pt>
                <c:pt idx="826">
                  <c:v>-3.5000000000000142</c:v>
                </c:pt>
                <c:pt idx="827">
                  <c:v>-3.5000000000000142</c:v>
                </c:pt>
                <c:pt idx="828">
                  <c:v>-1.0000000000000675</c:v>
                </c:pt>
                <c:pt idx="829">
                  <c:v>-3.0000000000000249</c:v>
                </c:pt>
                <c:pt idx="830">
                  <c:v>-3.0000000000000249</c:v>
                </c:pt>
                <c:pt idx="831">
                  <c:v>-2.9999999999999361</c:v>
                </c:pt>
                <c:pt idx="832">
                  <c:v>-3.5000000000000142</c:v>
                </c:pt>
                <c:pt idx="833">
                  <c:v>-3.4999999999999254</c:v>
                </c:pt>
                <c:pt idx="834">
                  <c:v>-2.5000000000000355</c:v>
                </c:pt>
                <c:pt idx="835">
                  <c:v>-4.4999999999999929</c:v>
                </c:pt>
                <c:pt idx="836">
                  <c:v>-3.5000000000000142</c:v>
                </c:pt>
                <c:pt idx="837">
                  <c:v>-4.4999999999999929</c:v>
                </c:pt>
                <c:pt idx="838">
                  <c:v>-4.4999999999999929</c:v>
                </c:pt>
                <c:pt idx="839">
                  <c:v>-5.5000000000000604</c:v>
                </c:pt>
                <c:pt idx="840">
                  <c:v>-4.4999999999999929</c:v>
                </c:pt>
                <c:pt idx="841">
                  <c:v>-4.0000000000000036</c:v>
                </c:pt>
                <c:pt idx="842">
                  <c:v>-1.5000000000000568</c:v>
                </c:pt>
                <c:pt idx="843">
                  <c:v>0.49999999999998934</c:v>
                </c:pt>
                <c:pt idx="844">
                  <c:v>1.5000000000000568</c:v>
                </c:pt>
                <c:pt idx="845">
                  <c:v>-0.49999999999998934</c:v>
                </c:pt>
                <c:pt idx="846">
                  <c:v>-1.9999999999999574</c:v>
                </c:pt>
                <c:pt idx="847">
                  <c:v>-4.0000000000000036</c:v>
                </c:pt>
                <c:pt idx="848">
                  <c:v>-1.9999999999999574</c:v>
                </c:pt>
                <c:pt idx="849">
                  <c:v>-2.4999999999999467</c:v>
                </c:pt>
                <c:pt idx="850">
                  <c:v>-3.5000000000000142</c:v>
                </c:pt>
                <c:pt idx="851">
                  <c:v>-3.5000000000000142</c:v>
                </c:pt>
                <c:pt idx="852">
                  <c:v>-4.9999999999999822</c:v>
                </c:pt>
                <c:pt idx="853">
                  <c:v>-4.9999999999999822</c:v>
                </c:pt>
                <c:pt idx="854">
                  <c:v>-4.4999999999999929</c:v>
                </c:pt>
                <c:pt idx="855">
                  <c:v>-4.0000000000000036</c:v>
                </c:pt>
                <c:pt idx="856">
                  <c:v>-4.0000000000000036</c:v>
                </c:pt>
                <c:pt idx="857">
                  <c:v>-3.0000000000000249</c:v>
                </c:pt>
                <c:pt idx="858">
                  <c:v>-4.0000000000000036</c:v>
                </c:pt>
                <c:pt idx="859">
                  <c:v>-3.0000000000000249</c:v>
                </c:pt>
                <c:pt idx="860">
                  <c:v>-4.9999999999999822</c:v>
                </c:pt>
                <c:pt idx="861">
                  <c:v>-4.9999999999998934</c:v>
                </c:pt>
                <c:pt idx="862">
                  <c:v>-4.9999999999999822</c:v>
                </c:pt>
                <c:pt idx="863">
                  <c:v>-6.0000000000000497</c:v>
                </c:pt>
                <c:pt idx="864">
                  <c:v>-7.4999999999999289</c:v>
                </c:pt>
                <c:pt idx="865">
                  <c:v>-8.4999999999999964</c:v>
                </c:pt>
                <c:pt idx="866">
                  <c:v>-8.5000000000000853</c:v>
                </c:pt>
                <c:pt idx="867">
                  <c:v>-5.0000000000000711</c:v>
                </c:pt>
                <c:pt idx="868">
                  <c:v>-7.5000000000000178</c:v>
                </c:pt>
                <c:pt idx="869">
                  <c:v>-7.4999999999999289</c:v>
                </c:pt>
                <c:pt idx="870">
                  <c:v>-9.0000000000000746</c:v>
                </c:pt>
                <c:pt idx="871">
                  <c:v>-10.000000000000053</c:v>
                </c:pt>
                <c:pt idx="872">
                  <c:v>-8.4999999999999964</c:v>
                </c:pt>
                <c:pt idx="873">
                  <c:v>-8.9999999999999858</c:v>
                </c:pt>
                <c:pt idx="874">
                  <c:v>-7.0000000000000284</c:v>
                </c:pt>
                <c:pt idx="875">
                  <c:v>-8.0000000000000071</c:v>
                </c:pt>
                <c:pt idx="876">
                  <c:v>-7.0000000000000284</c:v>
                </c:pt>
                <c:pt idx="877">
                  <c:v>-7.5000000000000178</c:v>
                </c:pt>
                <c:pt idx="878">
                  <c:v>-6.5000000000000391</c:v>
                </c:pt>
                <c:pt idx="879">
                  <c:v>-7.5000000000000178</c:v>
                </c:pt>
                <c:pt idx="880">
                  <c:v>-5.9999999999999609</c:v>
                </c:pt>
                <c:pt idx="881">
                  <c:v>-4.9999999999999822</c:v>
                </c:pt>
                <c:pt idx="882">
                  <c:v>-5.5000000000000604</c:v>
                </c:pt>
                <c:pt idx="883">
                  <c:v>-5.4999999999999716</c:v>
                </c:pt>
                <c:pt idx="884">
                  <c:v>-6.9999999999999396</c:v>
                </c:pt>
                <c:pt idx="885">
                  <c:v>-6.0000000000000497</c:v>
                </c:pt>
                <c:pt idx="886">
                  <c:v>-6.5000000000000391</c:v>
                </c:pt>
                <c:pt idx="887">
                  <c:v>-6.0000000000000497</c:v>
                </c:pt>
                <c:pt idx="888">
                  <c:v>-5.9999999999999609</c:v>
                </c:pt>
                <c:pt idx="889">
                  <c:v>-5.4999999999999716</c:v>
                </c:pt>
                <c:pt idx="890">
                  <c:v>-6.4999999999999503</c:v>
                </c:pt>
                <c:pt idx="891">
                  <c:v>-6.4999999999999503</c:v>
                </c:pt>
                <c:pt idx="892">
                  <c:v>-4.0000000000000036</c:v>
                </c:pt>
                <c:pt idx="893">
                  <c:v>-4.0000000000000924</c:v>
                </c:pt>
                <c:pt idx="894">
                  <c:v>-2.5000000000000355</c:v>
                </c:pt>
                <c:pt idx="895">
                  <c:v>-4.0000000000000036</c:v>
                </c:pt>
                <c:pt idx="896">
                  <c:v>-5.9999999999999609</c:v>
                </c:pt>
                <c:pt idx="897">
                  <c:v>-4.4999999999999929</c:v>
                </c:pt>
                <c:pt idx="898">
                  <c:v>-4.4999999999999041</c:v>
                </c:pt>
                <c:pt idx="899">
                  <c:v>-4.0000000000000036</c:v>
                </c:pt>
                <c:pt idx="900">
                  <c:v>-3.0000000000000249</c:v>
                </c:pt>
                <c:pt idx="901">
                  <c:v>-3.0000000000000249</c:v>
                </c:pt>
                <c:pt idx="902">
                  <c:v>-4.0000000000000924</c:v>
                </c:pt>
                <c:pt idx="903">
                  <c:v>-4.9999999999999822</c:v>
                </c:pt>
                <c:pt idx="904">
                  <c:v>-3.0000000000000249</c:v>
                </c:pt>
                <c:pt idx="905">
                  <c:v>-3.0000000000000249</c:v>
                </c:pt>
                <c:pt idx="906">
                  <c:v>-2.5000000000000355</c:v>
                </c:pt>
                <c:pt idx="907">
                  <c:v>-4.0000000000000036</c:v>
                </c:pt>
                <c:pt idx="908">
                  <c:v>-2.0000000000000462</c:v>
                </c:pt>
                <c:pt idx="909">
                  <c:v>-1.499999999999968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C78-4216-9649-CE2E0F38BA27}"/>
            </c:ext>
          </c:extLst>
        </c:ser>
        <c:ser>
          <c:idx val="1"/>
          <c:order val="1"/>
          <c:tx>
            <c:strRef>
              <c:f>分析データ!$AJ$1</c:f>
              <c:strCache>
                <c:ptCount val="1"/>
                <c:pt idx="0">
                  <c:v>S1+2σ</c:v>
                </c:pt>
              </c:strCache>
            </c:strRef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numRef>
              <c:f>[0]!DATE_X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[0]!EBAND_U</c:f>
              <c:numCache>
                <c:formatCode>0.0</c:formatCode>
                <c:ptCount val="910"/>
                <c:pt idx="0">
                  <c:v>0</c:v>
                </c:pt>
                <c:pt idx="1">
                  <c:v>-30.886038969321181</c:v>
                </c:pt>
                <c:pt idx="2">
                  <c:v>-32.473868056251092</c:v>
                </c:pt>
                <c:pt idx="3">
                  <c:v>-33.623016247803818</c:v>
                </c:pt>
                <c:pt idx="4">
                  <c:v>-34.417424305044221</c:v>
                </c:pt>
                <c:pt idx="5">
                  <c:v>-34.65401919502473</c:v>
                </c:pt>
                <c:pt idx="6">
                  <c:v>-35.080257017101985</c:v>
                </c:pt>
                <c:pt idx="7">
                  <c:v>-35.335320653930403</c:v>
                </c:pt>
                <c:pt idx="8">
                  <c:v>-35.329314777853632</c:v>
                </c:pt>
                <c:pt idx="9">
                  <c:v>-35.295801607567697</c:v>
                </c:pt>
                <c:pt idx="10">
                  <c:v>-35.269389005962054</c:v>
                </c:pt>
                <c:pt idx="11">
                  <c:v>-35.168914227120013</c:v>
                </c:pt>
                <c:pt idx="12">
                  <c:v>-35.406950124580632</c:v>
                </c:pt>
                <c:pt idx="13">
                  <c:v>-35.563355126049089</c:v>
                </c:pt>
                <c:pt idx="14">
                  <c:v>-35.769149592012639</c:v>
                </c:pt>
                <c:pt idx="15">
                  <c:v>-35.930486749225224</c:v>
                </c:pt>
                <c:pt idx="16">
                  <c:v>-36.076407591600535</c:v>
                </c:pt>
                <c:pt idx="17">
                  <c:v>-36.12920203810399</c:v>
                </c:pt>
                <c:pt idx="18">
                  <c:v>-36.254210530009125</c:v>
                </c:pt>
                <c:pt idx="19">
                  <c:v>-36.386037712566235</c:v>
                </c:pt>
                <c:pt idx="20">
                  <c:v>-36.456994050310144</c:v>
                </c:pt>
                <c:pt idx="21">
                  <c:v>-36.575143808096996</c:v>
                </c:pt>
                <c:pt idx="22">
                  <c:v>-36.617204463606505</c:v>
                </c:pt>
                <c:pt idx="23">
                  <c:v>-36.719024614741144</c:v>
                </c:pt>
                <c:pt idx="24">
                  <c:v>-36.81751709536141</c:v>
                </c:pt>
                <c:pt idx="25">
                  <c:v>-36.796546151063311</c:v>
                </c:pt>
                <c:pt idx="26">
                  <c:v>-36.798952953873354</c:v>
                </c:pt>
                <c:pt idx="27">
                  <c:v>-36.898693214484751</c:v>
                </c:pt>
                <c:pt idx="28">
                  <c:v>-36.971089686652157</c:v>
                </c:pt>
                <c:pt idx="29">
                  <c:v>-37.044045069618868</c:v>
                </c:pt>
                <c:pt idx="30">
                  <c:v>-37.133804652565878</c:v>
                </c:pt>
                <c:pt idx="31">
                  <c:v>-37.188211139126196</c:v>
                </c:pt>
                <c:pt idx="32">
                  <c:v>-37.267423480275696</c:v>
                </c:pt>
                <c:pt idx="33">
                  <c:v>-37.000940204998066</c:v>
                </c:pt>
                <c:pt idx="34">
                  <c:v>-36.699668441964789</c:v>
                </c:pt>
                <c:pt idx="35">
                  <c:v>-36.644657669150007</c:v>
                </c:pt>
                <c:pt idx="36">
                  <c:v>-36.686030720107212</c:v>
                </c:pt>
                <c:pt idx="37">
                  <c:v>-36.739840480278467</c:v>
                </c:pt>
                <c:pt idx="38">
                  <c:v>-36.726557261980197</c:v>
                </c:pt>
                <c:pt idx="39">
                  <c:v>-36.79742052569496</c:v>
                </c:pt>
                <c:pt idx="40">
                  <c:v>-36.657071440369698</c:v>
                </c:pt>
                <c:pt idx="41">
                  <c:v>-36.707704938757232</c:v>
                </c:pt>
                <c:pt idx="42">
                  <c:v>-36.773874890181396</c:v>
                </c:pt>
                <c:pt idx="43">
                  <c:v>-36.62442575450747</c:v>
                </c:pt>
                <c:pt idx="44">
                  <c:v>-36.374394398476632</c:v>
                </c:pt>
                <c:pt idx="45">
                  <c:v>-36.359725198717747</c:v>
                </c:pt>
                <c:pt idx="46">
                  <c:v>-36.395820802245211</c:v>
                </c:pt>
                <c:pt idx="47">
                  <c:v>-35.470855866009892</c:v>
                </c:pt>
                <c:pt idx="48">
                  <c:v>-35.066368805203496</c:v>
                </c:pt>
                <c:pt idx="49">
                  <c:v>-34.198636981353836</c:v>
                </c:pt>
                <c:pt idx="50">
                  <c:v>-34.056962413952412</c:v>
                </c:pt>
                <c:pt idx="51">
                  <c:v>-33.454203547821784</c:v>
                </c:pt>
                <c:pt idx="52">
                  <c:v>-32.912490339076697</c:v>
                </c:pt>
                <c:pt idx="53">
                  <c:v>-32.795517659020831</c:v>
                </c:pt>
                <c:pt idx="54">
                  <c:v>-32.547041453369154</c:v>
                </c:pt>
                <c:pt idx="55">
                  <c:v>-32.236811143186301</c:v>
                </c:pt>
                <c:pt idx="56">
                  <c:v>-31.865609588300863</c:v>
                </c:pt>
                <c:pt idx="57">
                  <c:v>-31.563438437599832</c:v>
                </c:pt>
                <c:pt idx="58">
                  <c:v>-31.419902837621205</c:v>
                </c:pt>
                <c:pt idx="59">
                  <c:v>-31.365422658767301</c:v>
                </c:pt>
                <c:pt idx="60">
                  <c:v>-31.35722659767756</c:v>
                </c:pt>
                <c:pt idx="61">
                  <c:v>-31.398618076433966</c:v>
                </c:pt>
                <c:pt idx="62">
                  <c:v>-31.409678256038461</c:v>
                </c:pt>
                <c:pt idx="63">
                  <c:v>-31.403958843928788</c:v>
                </c:pt>
                <c:pt idx="64">
                  <c:v>-31.41635647797434</c:v>
                </c:pt>
                <c:pt idx="65">
                  <c:v>-31.443918710181915</c:v>
                </c:pt>
                <c:pt idx="66">
                  <c:v>-31.510981863046023</c:v>
                </c:pt>
                <c:pt idx="67">
                  <c:v>-31.57651263717246</c:v>
                </c:pt>
                <c:pt idx="68">
                  <c:v>-31.633560190244133</c:v>
                </c:pt>
                <c:pt idx="69">
                  <c:v>-31.670227361727918</c:v>
                </c:pt>
                <c:pt idx="70">
                  <c:v>-31.680442796527515</c:v>
                </c:pt>
                <c:pt idx="71">
                  <c:v>-31.72643532382866</c:v>
                </c:pt>
                <c:pt idx="72">
                  <c:v>-31.779711350592105</c:v>
                </c:pt>
                <c:pt idx="73">
                  <c:v>-31.845650665013494</c:v>
                </c:pt>
                <c:pt idx="74">
                  <c:v>-31.911401091320847</c:v>
                </c:pt>
                <c:pt idx="75">
                  <c:v>-31.971869323996579</c:v>
                </c:pt>
                <c:pt idx="76">
                  <c:v>-32.031118714521156</c:v>
                </c:pt>
                <c:pt idx="77">
                  <c:v>-32.089189158777792</c:v>
                </c:pt>
                <c:pt idx="78">
                  <c:v>-32.026174835191846</c:v>
                </c:pt>
                <c:pt idx="79">
                  <c:v>-32.018406692398578</c:v>
                </c:pt>
                <c:pt idx="80">
                  <c:v>-32.048236058130328</c:v>
                </c:pt>
                <c:pt idx="81">
                  <c:v>-32.106434799991014</c:v>
                </c:pt>
                <c:pt idx="82">
                  <c:v>-32.156495455824299</c:v>
                </c:pt>
                <c:pt idx="83">
                  <c:v>-32.209584321319419</c:v>
                </c:pt>
                <c:pt idx="84">
                  <c:v>-32.264791565491592</c:v>
                </c:pt>
                <c:pt idx="85">
                  <c:v>-32.255165373958299</c:v>
                </c:pt>
                <c:pt idx="86">
                  <c:v>-32.30199819683699</c:v>
                </c:pt>
                <c:pt idx="87">
                  <c:v>-32.348005303437596</c:v>
                </c:pt>
                <c:pt idx="88">
                  <c:v>-32.393210521889898</c:v>
                </c:pt>
                <c:pt idx="89">
                  <c:v>-32.443109697908227</c:v>
                </c:pt>
                <c:pt idx="90">
                  <c:v>-32.492355175845105</c:v>
                </c:pt>
                <c:pt idx="91">
                  <c:v>-32.540958035814214</c:v>
                </c:pt>
                <c:pt idx="92">
                  <c:v>-32.589666537661117</c:v>
                </c:pt>
                <c:pt idx="93">
                  <c:v>-32.634771767205159</c:v>
                </c:pt>
                <c:pt idx="94">
                  <c:v>-32.675872580493703</c:v>
                </c:pt>
                <c:pt idx="95">
                  <c:v>-32.72019299635641</c:v>
                </c:pt>
                <c:pt idx="96">
                  <c:v>-32.766400177246261</c:v>
                </c:pt>
                <c:pt idx="97">
                  <c:v>-32.810903822304326</c:v>
                </c:pt>
                <c:pt idx="98">
                  <c:v>-32.854727233284187</c:v>
                </c:pt>
                <c:pt idx="99">
                  <c:v>-32.897887211602864</c:v>
                </c:pt>
                <c:pt idx="100">
                  <c:v>-32.939287349800559</c:v>
                </c:pt>
                <c:pt idx="101">
                  <c:v>-32.950788108762097</c:v>
                </c:pt>
                <c:pt idx="102">
                  <c:v>-32.848774454745197</c:v>
                </c:pt>
                <c:pt idx="103">
                  <c:v>-32.775539944540419</c:v>
                </c:pt>
                <c:pt idx="104">
                  <c:v>-32.740895997023394</c:v>
                </c:pt>
                <c:pt idx="105">
                  <c:v>-32.628383503929101</c:v>
                </c:pt>
                <c:pt idx="106">
                  <c:v>-32.577740962382187</c:v>
                </c:pt>
                <c:pt idx="107">
                  <c:v>-32.517991237862269</c:v>
                </c:pt>
                <c:pt idx="108">
                  <c:v>-32.525503615111965</c:v>
                </c:pt>
                <c:pt idx="109">
                  <c:v>-32.514351147311586</c:v>
                </c:pt>
                <c:pt idx="110">
                  <c:v>-32.468547389104927</c:v>
                </c:pt>
                <c:pt idx="111">
                  <c:v>-32.453080829616994</c:v>
                </c:pt>
                <c:pt idx="112">
                  <c:v>-32.469259670396085</c:v>
                </c:pt>
                <c:pt idx="113">
                  <c:v>-32.435071653892898</c:v>
                </c:pt>
                <c:pt idx="114">
                  <c:v>-32.331055371577214</c:v>
                </c:pt>
                <c:pt idx="115">
                  <c:v>-32.253018499334821</c:v>
                </c:pt>
                <c:pt idx="116">
                  <c:v>-32.167291391498992</c:v>
                </c:pt>
                <c:pt idx="117">
                  <c:v>-32.057751638246486</c:v>
                </c:pt>
                <c:pt idx="118">
                  <c:v>-31.958453060093973</c:v>
                </c:pt>
                <c:pt idx="119">
                  <c:v>-31.868432738301696</c:v>
                </c:pt>
                <c:pt idx="120">
                  <c:v>-31.801278173538922</c:v>
                </c:pt>
                <c:pt idx="121">
                  <c:v>-31.740713259706748</c:v>
                </c:pt>
                <c:pt idx="122">
                  <c:v>-31.5942512705182</c:v>
                </c:pt>
                <c:pt idx="123">
                  <c:v>-31.477374966804572</c:v>
                </c:pt>
                <c:pt idx="124">
                  <c:v>-31.35516353135359</c:v>
                </c:pt>
                <c:pt idx="125">
                  <c:v>-31.258834725553356</c:v>
                </c:pt>
                <c:pt idx="126">
                  <c:v>-31.277504210215081</c:v>
                </c:pt>
                <c:pt idx="127">
                  <c:v>-31.330294948364887</c:v>
                </c:pt>
                <c:pt idx="128">
                  <c:v>-31.380444361937343</c:v>
                </c:pt>
                <c:pt idx="129">
                  <c:v>-31.431422493113686</c:v>
                </c:pt>
                <c:pt idx="130">
                  <c:v>-31.47817019166013</c:v>
                </c:pt>
                <c:pt idx="131">
                  <c:v>-31.514081262586316</c:v>
                </c:pt>
                <c:pt idx="132">
                  <c:v>-31.545367431127339</c:v>
                </c:pt>
                <c:pt idx="133">
                  <c:v>-31.55130653556202</c:v>
                </c:pt>
                <c:pt idx="134">
                  <c:v>-31.512403392791384</c:v>
                </c:pt>
                <c:pt idx="135">
                  <c:v>-31.48790177957942</c:v>
                </c:pt>
                <c:pt idx="136">
                  <c:v>-31.434697712152509</c:v>
                </c:pt>
                <c:pt idx="137">
                  <c:v>-31.449585216188503</c:v>
                </c:pt>
                <c:pt idx="138">
                  <c:v>-31.434033837154146</c:v>
                </c:pt>
                <c:pt idx="139">
                  <c:v>-31.451799843398309</c:v>
                </c:pt>
                <c:pt idx="140">
                  <c:v>-31.486546584604806</c:v>
                </c:pt>
                <c:pt idx="141">
                  <c:v>-31.484578026935893</c:v>
                </c:pt>
                <c:pt idx="142">
                  <c:v>-31.530058560619938</c:v>
                </c:pt>
                <c:pt idx="143">
                  <c:v>-31.565772397071267</c:v>
                </c:pt>
                <c:pt idx="144">
                  <c:v>-31.608435940194799</c:v>
                </c:pt>
                <c:pt idx="145">
                  <c:v>-31.656446870296236</c:v>
                </c:pt>
                <c:pt idx="146">
                  <c:v>-31.702824898228162</c:v>
                </c:pt>
                <c:pt idx="147">
                  <c:v>-31.723368605475283</c:v>
                </c:pt>
                <c:pt idx="148">
                  <c:v>-31.768874336066609</c:v>
                </c:pt>
                <c:pt idx="149">
                  <c:v>-31.803217231039291</c:v>
                </c:pt>
                <c:pt idx="150">
                  <c:v>-31.848995438950311</c:v>
                </c:pt>
                <c:pt idx="151">
                  <c:v>-31.885892034564623</c:v>
                </c:pt>
                <c:pt idx="152">
                  <c:v>-31.927870433155739</c:v>
                </c:pt>
                <c:pt idx="153">
                  <c:v>-31.956425061066462</c:v>
                </c:pt>
                <c:pt idx="154">
                  <c:v>-31.995278463137012</c:v>
                </c:pt>
                <c:pt idx="155">
                  <c:v>-32.013340380115551</c:v>
                </c:pt>
                <c:pt idx="156">
                  <c:v>-32.01220556394604</c:v>
                </c:pt>
                <c:pt idx="157">
                  <c:v>-31.977982252018897</c:v>
                </c:pt>
                <c:pt idx="158">
                  <c:v>-31.970193858210735</c:v>
                </c:pt>
                <c:pt idx="159">
                  <c:v>-31.927806471993858</c:v>
                </c:pt>
                <c:pt idx="160">
                  <c:v>-31.90484428367624</c:v>
                </c:pt>
                <c:pt idx="161">
                  <c:v>-31.93288032548098</c:v>
                </c:pt>
                <c:pt idx="162">
                  <c:v>-31.951533879329926</c:v>
                </c:pt>
                <c:pt idx="163">
                  <c:v>-31.974902174745353</c:v>
                </c:pt>
                <c:pt idx="164">
                  <c:v>-32.011628415161567</c:v>
                </c:pt>
                <c:pt idx="165">
                  <c:v>-32.045483636502397</c:v>
                </c:pt>
                <c:pt idx="166">
                  <c:v>-32.084898957354753</c:v>
                </c:pt>
                <c:pt idx="167">
                  <c:v>-32.120608420879933</c:v>
                </c:pt>
                <c:pt idx="168">
                  <c:v>-32.126882754776631</c:v>
                </c:pt>
                <c:pt idx="169">
                  <c:v>-32.120038977343697</c:v>
                </c:pt>
                <c:pt idx="170">
                  <c:v>-32.113483559735258</c:v>
                </c:pt>
                <c:pt idx="171">
                  <c:v>-32.092064180028949</c:v>
                </c:pt>
                <c:pt idx="172">
                  <c:v>-32.092872640315392</c:v>
                </c:pt>
                <c:pt idx="173">
                  <c:v>-32.072307580848957</c:v>
                </c:pt>
                <c:pt idx="174">
                  <c:v>-32.073582510855829</c:v>
                </c:pt>
                <c:pt idx="175">
                  <c:v>-32.080988266764564</c:v>
                </c:pt>
                <c:pt idx="176">
                  <c:v>-32.093852117572681</c:v>
                </c:pt>
                <c:pt idx="177">
                  <c:v>-32.088973810758304</c:v>
                </c:pt>
                <c:pt idx="178">
                  <c:v>-32.101890412387334</c:v>
                </c:pt>
                <c:pt idx="179">
                  <c:v>-32.090455462922442</c:v>
                </c:pt>
                <c:pt idx="180">
                  <c:v>-32.108167051120461</c:v>
                </c:pt>
                <c:pt idx="181">
                  <c:v>-32.035091173152615</c:v>
                </c:pt>
                <c:pt idx="182">
                  <c:v>-32.009911452744639</c:v>
                </c:pt>
                <c:pt idx="183">
                  <c:v>-31.893369784603117</c:v>
                </c:pt>
                <c:pt idx="184">
                  <c:v>-31.726195010198261</c:v>
                </c:pt>
                <c:pt idx="185">
                  <c:v>-31.548936780475238</c:v>
                </c:pt>
                <c:pt idx="186">
                  <c:v>-31.315254127067888</c:v>
                </c:pt>
                <c:pt idx="187">
                  <c:v>-31.103892155400235</c:v>
                </c:pt>
                <c:pt idx="188">
                  <c:v>-30.850968596285057</c:v>
                </c:pt>
                <c:pt idx="189">
                  <c:v>-30.48204721343869</c:v>
                </c:pt>
                <c:pt idx="190">
                  <c:v>-30.0882334880706</c:v>
                </c:pt>
                <c:pt idx="191">
                  <c:v>-29.745734621773906</c:v>
                </c:pt>
                <c:pt idx="192">
                  <c:v>-29.396768932463615</c:v>
                </c:pt>
                <c:pt idx="193">
                  <c:v>-29.093549063444566</c:v>
                </c:pt>
                <c:pt idx="194">
                  <c:v>-28.904324051518582</c:v>
                </c:pt>
                <c:pt idx="195">
                  <c:v>-28.663001162924168</c:v>
                </c:pt>
                <c:pt idx="196">
                  <c:v>-28.483597542999377</c:v>
                </c:pt>
                <c:pt idx="197">
                  <c:v>-28.281772491948377</c:v>
                </c:pt>
                <c:pt idx="198">
                  <c:v>-27.981659529179979</c:v>
                </c:pt>
                <c:pt idx="199">
                  <c:v>-27.515719444473049</c:v>
                </c:pt>
                <c:pt idx="200">
                  <c:v>-26.907196718285768</c:v>
                </c:pt>
                <c:pt idx="201">
                  <c:v>-26.345156398498631</c:v>
                </c:pt>
                <c:pt idx="202">
                  <c:v>-25.880995239978247</c:v>
                </c:pt>
                <c:pt idx="203">
                  <c:v>-25.39663677418806</c:v>
                </c:pt>
                <c:pt idx="204">
                  <c:v>-24.836111483954454</c:v>
                </c:pt>
                <c:pt idx="205">
                  <c:v>-24.369206690138849</c:v>
                </c:pt>
                <c:pt idx="206">
                  <c:v>-23.967671681065116</c:v>
                </c:pt>
                <c:pt idx="207">
                  <c:v>-23.52906452376218</c:v>
                </c:pt>
                <c:pt idx="208">
                  <c:v>-23.167039510300658</c:v>
                </c:pt>
                <c:pt idx="209">
                  <c:v>-22.844189757753053</c:v>
                </c:pt>
                <c:pt idx="210">
                  <c:v>-22.645737236019087</c:v>
                </c:pt>
                <c:pt idx="211">
                  <c:v>-22.451429943928449</c:v>
                </c:pt>
                <c:pt idx="212">
                  <c:v>-22.225799998867249</c:v>
                </c:pt>
                <c:pt idx="213">
                  <c:v>-22.082611932530575</c:v>
                </c:pt>
                <c:pt idx="214">
                  <c:v>-22.021998075544104</c:v>
                </c:pt>
                <c:pt idx="215">
                  <c:v>-21.938392306518779</c:v>
                </c:pt>
                <c:pt idx="216">
                  <c:v>-21.847789713473222</c:v>
                </c:pt>
                <c:pt idx="217">
                  <c:v>-21.722660428454162</c:v>
                </c:pt>
                <c:pt idx="218">
                  <c:v>-21.618177027971658</c:v>
                </c:pt>
                <c:pt idx="219">
                  <c:v>-21.506563212969109</c:v>
                </c:pt>
                <c:pt idx="220">
                  <c:v>-21.430945107184844</c:v>
                </c:pt>
                <c:pt idx="221">
                  <c:v>-21.379291138715622</c:v>
                </c:pt>
                <c:pt idx="222">
                  <c:v>-21.348775318925693</c:v>
                </c:pt>
                <c:pt idx="223">
                  <c:v>-21.312383985721265</c:v>
                </c:pt>
                <c:pt idx="224">
                  <c:v>-21.269997317710921</c:v>
                </c:pt>
                <c:pt idx="225">
                  <c:v>-21.214406373908748</c:v>
                </c:pt>
                <c:pt idx="226">
                  <c:v>-21.166795431137462</c:v>
                </c:pt>
                <c:pt idx="227">
                  <c:v>-21.105777798995099</c:v>
                </c:pt>
                <c:pt idx="228">
                  <c:v>-21.022799008337607</c:v>
                </c:pt>
                <c:pt idx="229">
                  <c:v>-20.93312498005443</c:v>
                </c:pt>
                <c:pt idx="230">
                  <c:v>-20.836700960888148</c:v>
                </c:pt>
                <c:pt idx="231">
                  <c:v>-20.733480479112103</c:v>
                </c:pt>
                <c:pt idx="232">
                  <c:v>-20.631984508741319</c:v>
                </c:pt>
                <c:pt idx="233">
                  <c:v>-20.584970544863864</c:v>
                </c:pt>
                <c:pt idx="234">
                  <c:v>-20.517669707261213</c:v>
                </c:pt>
                <c:pt idx="235">
                  <c:v>-20.458651420286408</c:v>
                </c:pt>
                <c:pt idx="236">
                  <c:v>-20.407494459493666</c:v>
                </c:pt>
                <c:pt idx="237">
                  <c:v>-20.393469279993543</c:v>
                </c:pt>
                <c:pt idx="238">
                  <c:v>-20.343673660426816</c:v>
                </c:pt>
                <c:pt idx="239">
                  <c:v>-20.287906784921592</c:v>
                </c:pt>
                <c:pt idx="240">
                  <c:v>-20.269926662636419</c:v>
                </c:pt>
                <c:pt idx="241">
                  <c:v>-20.228764971736272</c:v>
                </c:pt>
                <c:pt idx="242">
                  <c:v>-20.188270398474845</c:v>
                </c:pt>
                <c:pt idx="243">
                  <c:v>-20.160486604499756</c:v>
                </c:pt>
                <c:pt idx="244">
                  <c:v>-20.121205301105842</c:v>
                </c:pt>
                <c:pt idx="245">
                  <c:v>-20.069765185802034</c:v>
                </c:pt>
                <c:pt idx="246">
                  <c:v>-19.991062260647048</c:v>
                </c:pt>
                <c:pt idx="247">
                  <c:v>-19.947807792558493</c:v>
                </c:pt>
                <c:pt idx="248">
                  <c:v>-19.898870013102613</c:v>
                </c:pt>
                <c:pt idx="249">
                  <c:v>-19.808191261095946</c:v>
                </c:pt>
                <c:pt idx="250">
                  <c:v>-19.726473752355417</c:v>
                </c:pt>
                <c:pt idx="251">
                  <c:v>-19.680273521445429</c:v>
                </c:pt>
                <c:pt idx="252">
                  <c:v>-19.593592991022817</c:v>
                </c:pt>
                <c:pt idx="253">
                  <c:v>-19.472981084970822</c:v>
                </c:pt>
                <c:pt idx="254">
                  <c:v>-19.351251558241589</c:v>
                </c:pt>
                <c:pt idx="255">
                  <c:v>-19.223149647237008</c:v>
                </c:pt>
                <c:pt idx="256">
                  <c:v>-19.090515256219557</c:v>
                </c:pt>
                <c:pt idx="257">
                  <c:v>-18.955684838156643</c:v>
                </c:pt>
                <c:pt idx="258">
                  <c:v>-18.767239000580972</c:v>
                </c:pt>
                <c:pt idx="259">
                  <c:v>-18.540902232234778</c:v>
                </c:pt>
                <c:pt idx="260">
                  <c:v>-18.379415637618386</c:v>
                </c:pt>
                <c:pt idx="261">
                  <c:v>-18.20947770026541</c:v>
                </c:pt>
                <c:pt idx="262">
                  <c:v>-18.051535832997104</c:v>
                </c:pt>
                <c:pt idx="263">
                  <c:v>-17.912296804359304</c:v>
                </c:pt>
                <c:pt idx="264">
                  <c:v>-17.723494034369846</c:v>
                </c:pt>
                <c:pt idx="265">
                  <c:v>-17.519482238401412</c:v>
                </c:pt>
                <c:pt idx="266">
                  <c:v>-17.308233282160316</c:v>
                </c:pt>
                <c:pt idx="267">
                  <c:v>-17.134817906801754</c:v>
                </c:pt>
                <c:pt idx="268">
                  <c:v>-16.979333221403074</c:v>
                </c:pt>
                <c:pt idx="269">
                  <c:v>-16.883108897589352</c:v>
                </c:pt>
                <c:pt idx="270">
                  <c:v>-16.780002190027734</c:v>
                </c:pt>
                <c:pt idx="271">
                  <c:v>-16.706976105254494</c:v>
                </c:pt>
                <c:pt idx="272">
                  <c:v>-16.612328022292186</c:v>
                </c:pt>
                <c:pt idx="273">
                  <c:v>-16.484470480857361</c:v>
                </c:pt>
                <c:pt idx="274">
                  <c:v>-16.380023705703799</c:v>
                </c:pt>
                <c:pt idx="275">
                  <c:v>-16.299576755279169</c:v>
                </c:pt>
                <c:pt idx="276">
                  <c:v>-16.208212265313119</c:v>
                </c:pt>
                <c:pt idx="277">
                  <c:v>-16.115468437492325</c:v>
                </c:pt>
                <c:pt idx="278">
                  <c:v>-16.011129107410472</c:v>
                </c:pt>
                <c:pt idx="279">
                  <c:v>-15.89738441722459</c:v>
                </c:pt>
                <c:pt idx="280">
                  <c:v>-15.779684298389078</c:v>
                </c:pt>
                <c:pt idx="281">
                  <c:v>-15.682983053436917</c:v>
                </c:pt>
                <c:pt idx="282">
                  <c:v>-15.579273390340571</c:v>
                </c:pt>
                <c:pt idx="283">
                  <c:v>-15.475373043764574</c:v>
                </c:pt>
                <c:pt idx="284">
                  <c:v>-15.373079807159254</c:v>
                </c:pt>
                <c:pt idx="285">
                  <c:v>-15.280961834855578</c:v>
                </c:pt>
                <c:pt idx="286">
                  <c:v>-15.202533068546892</c:v>
                </c:pt>
                <c:pt idx="287">
                  <c:v>-15.126185042124408</c:v>
                </c:pt>
                <c:pt idx="288">
                  <c:v>-15.043949948131061</c:v>
                </c:pt>
                <c:pt idx="289">
                  <c:v>-14.954490169891137</c:v>
                </c:pt>
                <c:pt idx="290">
                  <c:v>-14.882308813785507</c:v>
                </c:pt>
                <c:pt idx="291">
                  <c:v>-14.786021611430222</c:v>
                </c:pt>
                <c:pt idx="292">
                  <c:v>-14.714304782821284</c:v>
                </c:pt>
                <c:pt idx="293">
                  <c:v>-14.651734597204076</c:v>
                </c:pt>
                <c:pt idx="294">
                  <c:v>-14.601099279850487</c:v>
                </c:pt>
                <c:pt idx="295">
                  <c:v>-14.567643164997797</c:v>
                </c:pt>
                <c:pt idx="296">
                  <c:v>-14.539939295087937</c:v>
                </c:pt>
                <c:pt idx="297">
                  <c:v>-14.503691798069319</c:v>
                </c:pt>
                <c:pt idx="298">
                  <c:v>-14.463953095330595</c:v>
                </c:pt>
                <c:pt idx="299">
                  <c:v>-14.445233692522976</c:v>
                </c:pt>
                <c:pt idx="300">
                  <c:v>-14.392158796883198</c:v>
                </c:pt>
                <c:pt idx="301">
                  <c:v>-14.356875024755805</c:v>
                </c:pt>
                <c:pt idx="302">
                  <c:v>-14.28171890798578</c:v>
                </c:pt>
                <c:pt idx="303">
                  <c:v>-14.234619348395974</c:v>
                </c:pt>
                <c:pt idx="304">
                  <c:v>-14.176579516587875</c:v>
                </c:pt>
                <c:pt idx="305">
                  <c:v>-14.109074759742761</c:v>
                </c:pt>
                <c:pt idx="306">
                  <c:v>-14.059301371037865</c:v>
                </c:pt>
                <c:pt idx="307">
                  <c:v>-13.969064797408301</c:v>
                </c:pt>
                <c:pt idx="308">
                  <c:v>-13.897186658437384</c:v>
                </c:pt>
                <c:pt idx="309">
                  <c:v>-13.834405321719355</c:v>
                </c:pt>
                <c:pt idx="310">
                  <c:v>-13.778511274053972</c:v>
                </c:pt>
                <c:pt idx="311">
                  <c:v>-13.717931918985222</c:v>
                </c:pt>
                <c:pt idx="312">
                  <c:v>-13.633861074574021</c:v>
                </c:pt>
                <c:pt idx="313">
                  <c:v>-13.536568344926373</c:v>
                </c:pt>
                <c:pt idx="314">
                  <c:v>-13.458470095616779</c:v>
                </c:pt>
                <c:pt idx="315">
                  <c:v>-13.376089298398146</c:v>
                </c:pt>
                <c:pt idx="316">
                  <c:v>-13.2934627185005</c:v>
                </c:pt>
                <c:pt idx="317">
                  <c:v>-13.226874969394963</c:v>
                </c:pt>
                <c:pt idx="318">
                  <c:v>-13.155340617729429</c:v>
                </c:pt>
                <c:pt idx="319">
                  <c:v>-13.056055511337153</c:v>
                </c:pt>
                <c:pt idx="320">
                  <c:v>-12.974941327476369</c:v>
                </c:pt>
                <c:pt idx="321">
                  <c:v>-12.844256277262133</c:v>
                </c:pt>
                <c:pt idx="322">
                  <c:v>-12.70833756353543</c:v>
                </c:pt>
                <c:pt idx="323">
                  <c:v>-12.612308770080091</c:v>
                </c:pt>
                <c:pt idx="324">
                  <c:v>-12.504906156021637</c:v>
                </c:pt>
                <c:pt idx="325">
                  <c:v>-12.406404633639362</c:v>
                </c:pt>
                <c:pt idx="326">
                  <c:v>-12.309921690673008</c:v>
                </c:pt>
                <c:pt idx="327">
                  <c:v>-12.158169842954592</c:v>
                </c:pt>
                <c:pt idx="328">
                  <c:v>-12.008053779604221</c:v>
                </c:pt>
                <c:pt idx="329">
                  <c:v>-11.866936035137545</c:v>
                </c:pt>
                <c:pt idx="330">
                  <c:v>-11.743007805792811</c:v>
                </c:pt>
                <c:pt idx="331">
                  <c:v>-11.655282919908228</c:v>
                </c:pt>
                <c:pt idx="332">
                  <c:v>-11.561741254938866</c:v>
                </c:pt>
                <c:pt idx="333">
                  <c:v>-11.466917521003662</c:v>
                </c:pt>
                <c:pt idx="334">
                  <c:v>-11.364273607403863</c:v>
                </c:pt>
                <c:pt idx="335">
                  <c:v>-11.286629192010068</c:v>
                </c:pt>
                <c:pt idx="336">
                  <c:v>-11.217326385137955</c:v>
                </c:pt>
                <c:pt idx="337">
                  <c:v>-11.149841950424516</c:v>
                </c:pt>
                <c:pt idx="338">
                  <c:v>-11.098156679186364</c:v>
                </c:pt>
                <c:pt idx="339">
                  <c:v>-11.037860815840748</c:v>
                </c:pt>
                <c:pt idx="340">
                  <c:v>-10.982890709357402</c:v>
                </c:pt>
                <c:pt idx="341">
                  <c:v>-10.937784725631364</c:v>
                </c:pt>
                <c:pt idx="342">
                  <c:v>-10.884392377654649</c:v>
                </c:pt>
                <c:pt idx="343">
                  <c:v>-10.845098838589195</c:v>
                </c:pt>
                <c:pt idx="344">
                  <c:v>-10.809003249626372</c:v>
                </c:pt>
                <c:pt idx="345">
                  <c:v>-10.780718628798347</c:v>
                </c:pt>
                <c:pt idx="346">
                  <c:v>-10.743181378030474</c:v>
                </c:pt>
                <c:pt idx="347">
                  <c:v>-10.716409436908148</c:v>
                </c:pt>
                <c:pt idx="348">
                  <c:v>-10.6868333679421</c:v>
                </c:pt>
                <c:pt idx="349">
                  <c:v>-10.6563676983066</c:v>
                </c:pt>
                <c:pt idx="350">
                  <c:v>-10.636510952516208</c:v>
                </c:pt>
                <c:pt idx="351">
                  <c:v>-10.5954514780693</c:v>
                </c:pt>
                <c:pt idx="352">
                  <c:v>-10.542282777823022</c:v>
                </c:pt>
                <c:pt idx="353">
                  <c:v>-10.516715837833274</c:v>
                </c:pt>
                <c:pt idx="354">
                  <c:v>-10.527311626887574</c:v>
                </c:pt>
                <c:pt idx="355">
                  <c:v>-10.546794684713042</c:v>
                </c:pt>
                <c:pt idx="356">
                  <c:v>-10.571835598207478</c:v>
                </c:pt>
                <c:pt idx="357">
                  <c:v>-10.619002489810555</c:v>
                </c:pt>
                <c:pt idx="358">
                  <c:v>-10.656210905286176</c:v>
                </c:pt>
                <c:pt idx="359">
                  <c:v>-10.691187642776136</c:v>
                </c:pt>
                <c:pt idx="360">
                  <c:v>-10.69128110349201</c:v>
                </c:pt>
                <c:pt idx="361">
                  <c:v>-10.715816603001656</c:v>
                </c:pt>
                <c:pt idx="362">
                  <c:v>-10.76759061236794</c:v>
                </c:pt>
                <c:pt idx="363">
                  <c:v>-10.811286186353424</c:v>
                </c:pt>
                <c:pt idx="364">
                  <c:v>-10.845162061474269</c:v>
                </c:pt>
                <c:pt idx="365">
                  <c:v>-10.899937602886069</c:v>
                </c:pt>
                <c:pt idx="366">
                  <c:v>-10.991035283385898</c:v>
                </c:pt>
                <c:pt idx="367">
                  <c:v>-11.074220045982948</c:v>
                </c:pt>
                <c:pt idx="368">
                  <c:v>-11.166961633764394</c:v>
                </c:pt>
                <c:pt idx="369">
                  <c:v>-11.277023825767909</c:v>
                </c:pt>
                <c:pt idx="370">
                  <c:v>-11.38002523339475</c:v>
                </c:pt>
                <c:pt idx="371">
                  <c:v>-11.476970142109948</c:v>
                </c:pt>
                <c:pt idx="372">
                  <c:v>-11.581233797117569</c:v>
                </c:pt>
                <c:pt idx="373">
                  <c:v>-11.671723580786182</c:v>
                </c:pt>
                <c:pt idx="374">
                  <c:v>-11.794061312061455</c:v>
                </c:pt>
                <c:pt idx="375">
                  <c:v>-11.929142618756913</c:v>
                </c:pt>
                <c:pt idx="376">
                  <c:v>-12.097082211036899</c:v>
                </c:pt>
                <c:pt idx="377">
                  <c:v>-12.259351311849294</c:v>
                </c:pt>
                <c:pt idx="378">
                  <c:v>-12.347010493461937</c:v>
                </c:pt>
                <c:pt idx="379">
                  <c:v>-12.376916826444166</c:v>
                </c:pt>
                <c:pt idx="380">
                  <c:v>-12.400693688002352</c:v>
                </c:pt>
                <c:pt idx="381">
                  <c:v>-12.423975921329085</c:v>
                </c:pt>
                <c:pt idx="382">
                  <c:v>-12.465570019826195</c:v>
                </c:pt>
                <c:pt idx="383">
                  <c:v>-12.511064537039765</c:v>
                </c:pt>
                <c:pt idx="384">
                  <c:v>-12.582941501195275</c:v>
                </c:pt>
                <c:pt idx="385">
                  <c:v>-12.692051688997825</c:v>
                </c:pt>
                <c:pt idx="386">
                  <c:v>-12.855045501164595</c:v>
                </c:pt>
                <c:pt idx="387">
                  <c:v>-13.001327116194577</c:v>
                </c:pt>
                <c:pt idx="388">
                  <c:v>-13.19921664676904</c:v>
                </c:pt>
                <c:pt idx="389">
                  <c:v>-13.285741685629329</c:v>
                </c:pt>
                <c:pt idx="390">
                  <c:v>-13.399842819943819</c:v>
                </c:pt>
                <c:pt idx="391">
                  <c:v>-13.495145711344231</c:v>
                </c:pt>
                <c:pt idx="392">
                  <c:v>-13.594640624586079</c:v>
                </c:pt>
                <c:pt idx="393">
                  <c:v>-13.783226470095023</c:v>
                </c:pt>
                <c:pt idx="394">
                  <c:v>-13.891025352319083</c:v>
                </c:pt>
                <c:pt idx="395">
                  <c:v>-14.040056321236364</c:v>
                </c:pt>
                <c:pt idx="396">
                  <c:v>-14.171108560960457</c:v>
                </c:pt>
                <c:pt idx="397">
                  <c:v>-14.244005958730758</c:v>
                </c:pt>
                <c:pt idx="398">
                  <c:v>-14.286251194853564</c:v>
                </c:pt>
                <c:pt idx="399">
                  <c:v>-14.265764550017892</c:v>
                </c:pt>
                <c:pt idx="400">
                  <c:v>-14.278727296392253</c:v>
                </c:pt>
                <c:pt idx="401">
                  <c:v>-14.26322141604764</c:v>
                </c:pt>
                <c:pt idx="402">
                  <c:v>-14.338624973234321</c:v>
                </c:pt>
                <c:pt idx="403">
                  <c:v>-14.495965672082944</c:v>
                </c:pt>
                <c:pt idx="404">
                  <c:v>-14.558775623787838</c:v>
                </c:pt>
                <c:pt idx="405">
                  <c:v>-14.597779217648398</c:v>
                </c:pt>
                <c:pt idx="406">
                  <c:v>-14.679524077486496</c:v>
                </c:pt>
                <c:pt idx="407">
                  <c:v>-14.728047308112957</c:v>
                </c:pt>
                <c:pt idx="408">
                  <c:v>-14.767318338359848</c:v>
                </c:pt>
                <c:pt idx="409">
                  <c:v>-14.767955514012595</c:v>
                </c:pt>
                <c:pt idx="410">
                  <c:v>-14.777628868202829</c:v>
                </c:pt>
                <c:pt idx="411">
                  <c:v>-14.764734490172623</c:v>
                </c:pt>
                <c:pt idx="412">
                  <c:v>-14.752541469900235</c:v>
                </c:pt>
                <c:pt idx="413">
                  <c:v>-14.806279445190878</c:v>
                </c:pt>
                <c:pt idx="414">
                  <c:v>-14.77939256550108</c:v>
                </c:pt>
                <c:pt idx="415">
                  <c:v>-14.745816651056533</c:v>
                </c:pt>
                <c:pt idx="416">
                  <c:v>-14.758235183547924</c:v>
                </c:pt>
                <c:pt idx="417">
                  <c:v>-14.776557071361077</c:v>
                </c:pt>
                <c:pt idx="418">
                  <c:v>-14.874455942660555</c:v>
                </c:pt>
                <c:pt idx="419">
                  <c:v>-14.908090635854734</c:v>
                </c:pt>
                <c:pt idx="420">
                  <c:v>-14.903887130119312</c:v>
                </c:pt>
                <c:pt idx="421">
                  <c:v>-14.822165129222832</c:v>
                </c:pt>
                <c:pt idx="422">
                  <c:v>-14.778195668695222</c:v>
                </c:pt>
                <c:pt idx="423">
                  <c:v>-14.699374274760993</c:v>
                </c:pt>
                <c:pt idx="424">
                  <c:v>-14.672919875793328</c:v>
                </c:pt>
                <c:pt idx="425">
                  <c:v>-14.623830947358533</c:v>
                </c:pt>
                <c:pt idx="426">
                  <c:v>-14.549228746082676</c:v>
                </c:pt>
                <c:pt idx="427">
                  <c:v>-14.501974837216316</c:v>
                </c:pt>
                <c:pt idx="428">
                  <c:v>-14.482597654928046</c:v>
                </c:pt>
                <c:pt idx="429">
                  <c:v>-14.425785493691283</c:v>
                </c:pt>
                <c:pt idx="430">
                  <c:v>-14.341501805870072</c:v>
                </c:pt>
                <c:pt idx="431">
                  <c:v>-14.178206754181257</c:v>
                </c:pt>
                <c:pt idx="432">
                  <c:v>-14.074998942104372</c:v>
                </c:pt>
                <c:pt idx="433">
                  <c:v>-13.770387749058637</c:v>
                </c:pt>
                <c:pt idx="434">
                  <c:v>-13.497227488158973</c:v>
                </c:pt>
                <c:pt idx="435">
                  <c:v>-13.247863527871646</c:v>
                </c:pt>
                <c:pt idx="436">
                  <c:v>-13.000891654247337</c:v>
                </c:pt>
                <c:pt idx="437">
                  <c:v>-12.795944092800205</c:v>
                </c:pt>
                <c:pt idx="438">
                  <c:v>-12.620783933294023</c:v>
                </c:pt>
                <c:pt idx="439">
                  <c:v>-12.427100711393749</c:v>
                </c:pt>
                <c:pt idx="440">
                  <c:v>-12.219552507428453</c:v>
                </c:pt>
                <c:pt idx="441">
                  <c:v>-12.072324809611215</c:v>
                </c:pt>
                <c:pt idx="442">
                  <c:v>-11.930183857342916</c:v>
                </c:pt>
                <c:pt idx="443">
                  <c:v>-11.776003768710595</c:v>
                </c:pt>
                <c:pt idx="444">
                  <c:v>-11.614562380707746</c:v>
                </c:pt>
                <c:pt idx="445">
                  <c:v>-11.419286023711088</c:v>
                </c:pt>
                <c:pt idx="446">
                  <c:v>-11.229397061556394</c:v>
                </c:pt>
                <c:pt idx="447">
                  <c:v>-11.07148226188102</c:v>
                </c:pt>
                <c:pt idx="448">
                  <c:v>-10.898212440528875</c:v>
                </c:pt>
                <c:pt idx="449">
                  <c:v>-10.70283039753226</c:v>
                </c:pt>
                <c:pt idx="450">
                  <c:v>-10.51186586317198</c:v>
                </c:pt>
                <c:pt idx="451">
                  <c:v>-10.305992589587836</c:v>
                </c:pt>
                <c:pt idx="452">
                  <c:v>-10.137118247216895</c:v>
                </c:pt>
                <c:pt idx="453">
                  <c:v>-9.937593799140128</c:v>
                </c:pt>
                <c:pt idx="454">
                  <c:v>-9.7417893531078903</c:v>
                </c:pt>
                <c:pt idx="455">
                  <c:v>-9.5596456983833864</c:v>
                </c:pt>
                <c:pt idx="456">
                  <c:v>-9.3752946491916838</c:v>
                </c:pt>
                <c:pt idx="457">
                  <c:v>-9.1399958277547206</c:v>
                </c:pt>
                <c:pt idx="458">
                  <c:v>-8.878040538028193</c:v>
                </c:pt>
                <c:pt idx="459">
                  <c:v>-8.6496713146435891</c:v>
                </c:pt>
                <c:pt idx="460">
                  <c:v>-8.363684999251122</c:v>
                </c:pt>
                <c:pt idx="461">
                  <c:v>-8.0870946674516837</c:v>
                </c:pt>
                <c:pt idx="462">
                  <c:v>-7.8634780456510924</c:v>
                </c:pt>
                <c:pt idx="463">
                  <c:v>-7.5450196036746497</c:v>
                </c:pt>
                <c:pt idx="464">
                  <c:v>-7.3337450704305898</c:v>
                </c:pt>
                <c:pt idx="465">
                  <c:v>-7.1380199781356612</c:v>
                </c:pt>
                <c:pt idx="466">
                  <c:v>-6.8762608091768023</c:v>
                </c:pt>
                <c:pt idx="467">
                  <c:v>-6.5639408289599732</c:v>
                </c:pt>
                <c:pt idx="468">
                  <c:v>-6.3049097063786697</c:v>
                </c:pt>
                <c:pt idx="469">
                  <c:v>-6.0356080688820004</c:v>
                </c:pt>
                <c:pt idx="470">
                  <c:v>-5.782937149864054</c:v>
                </c:pt>
                <c:pt idx="471">
                  <c:v>-5.5335175951380329</c:v>
                </c:pt>
                <c:pt idx="472">
                  <c:v>-5.3135704510926782</c:v>
                </c:pt>
                <c:pt idx="473">
                  <c:v>-5.1130433222916363</c:v>
                </c:pt>
                <c:pt idx="474">
                  <c:v>-4.9803125427450166</c:v>
                </c:pt>
                <c:pt idx="475">
                  <c:v>-4.8198885237454938</c:v>
                </c:pt>
                <c:pt idx="476">
                  <c:v>-4.630355092133783</c:v>
                </c:pt>
                <c:pt idx="477">
                  <c:v>-4.476762524892262</c:v>
                </c:pt>
                <c:pt idx="478">
                  <c:v>-4.3277322688354793</c:v>
                </c:pt>
                <c:pt idx="479">
                  <c:v>-4.1936418164406994</c:v>
                </c:pt>
                <c:pt idx="480">
                  <c:v>-4.0214891934331938</c:v>
                </c:pt>
                <c:pt idx="481">
                  <c:v>-3.841132189026073</c:v>
                </c:pt>
                <c:pt idx="482">
                  <c:v>-3.6974602783192374</c:v>
                </c:pt>
                <c:pt idx="483">
                  <c:v>-3.5547099210140409</c:v>
                </c:pt>
                <c:pt idx="484">
                  <c:v>-3.3966161639470975</c:v>
                </c:pt>
                <c:pt idx="485">
                  <c:v>-3.2509176595839229</c:v>
                </c:pt>
                <c:pt idx="486">
                  <c:v>-3.0926425606505461</c:v>
                </c:pt>
                <c:pt idx="487">
                  <c:v>-2.9203513015961171</c:v>
                </c:pt>
                <c:pt idx="488">
                  <c:v>-2.7241388018474737</c:v>
                </c:pt>
                <c:pt idx="489">
                  <c:v>-2.5580206347355912</c:v>
                </c:pt>
                <c:pt idx="490">
                  <c:v>-2.3479263929733776</c:v>
                </c:pt>
                <c:pt idx="491">
                  <c:v>-2.0970225504897577</c:v>
                </c:pt>
                <c:pt idx="492">
                  <c:v>-1.7729514698672482</c:v>
                </c:pt>
                <c:pt idx="493">
                  <c:v>-1.5138601562566762</c:v>
                </c:pt>
                <c:pt idx="494">
                  <c:v>-1.1643281236492307</c:v>
                </c:pt>
                <c:pt idx="495">
                  <c:v>-0.78838425067823792</c:v>
                </c:pt>
                <c:pt idx="496">
                  <c:v>-0.45243740271709498</c:v>
                </c:pt>
                <c:pt idx="497">
                  <c:v>-0.10570266941565265</c:v>
                </c:pt>
                <c:pt idx="498">
                  <c:v>0.21758969840375997</c:v>
                </c:pt>
                <c:pt idx="499">
                  <c:v>0.574651665581694</c:v>
                </c:pt>
                <c:pt idx="500">
                  <c:v>0.89146510110767707</c:v>
                </c:pt>
                <c:pt idx="501">
                  <c:v>1.212157829462793</c:v>
                </c:pt>
                <c:pt idx="502">
                  <c:v>1.5382617550480795</c:v>
                </c:pt>
                <c:pt idx="503">
                  <c:v>1.8740670063000948</c:v>
                </c:pt>
                <c:pt idx="504">
                  <c:v>2.2335000217138905</c:v>
                </c:pt>
                <c:pt idx="505">
                  <c:v>2.6137704215815987</c:v>
                </c:pt>
                <c:pt idx="506">
                  <c:v>2.9996917698767227</c:v>
                </c:pt>
                <c:pt idx="507">
                  <c:v>3.417304118940347</c:v>
                </c:pt>
                <c:pt idx="508">
                  <c:v>3.8283856327672581</c:v>
                </c:pt>
                <c:pt idx="509">
                  <c:v>4.185291443438949</c:v>
                </c:pt>
                <c:pt idx="510">
                  <c:v>4.514989586960489</c:v>
                </c:pt>
                <c:pt idx="511">
                  <c:v>4.7947625523614157</c:v>
                </c:pt>
                <c:pt idx="512">
                  <c:v>5.0170900535045284</c:v>
                </c:pt>
                <c:pt idx="513">
                  <c:v>5.2741890634865136</c:v>
                </c:pt>
                <c:pt idx="514">
                  <c:v>5.5782845581882441</c:v>
                </c:pt>
                <c:pt idx="515">
                  <c:v>5.877451087856155</c:v>
                </c:pt>
                <c:pt idx="516">
                  <c:v>6.1629973190746625</c:v>
                </c:pt>
                <c:pt idx="517">
                  <c:v>6.4439002153905527</c:v>
                </c:pt>
                <c:pt idx="518">
                  <c:v>6.6918480395269597</c:v>
                </c:pt>
                <c:pt idx="519">
                  <c:v>6.9393438787411643</c:v>
                </c:pt>
                <c:pt idx="520">
                  <c:v>7.1933315010182586</c:v>
                </c:pt>
                <c:pt idx="521">
                  <c:v>7.3844881308994577</c:v>
                </c:pt>
                <c:pt idx="522">
                  <c:v>7.600069067316312</c:v>
                </c:pt>
                <c:pt idx="523">
                  <c:v>7.7781365727099754</c:v>
                </c:pt>
                <c:pt idx="524">
                  <c:v>7.9536550735491627</c:v>
                </c:pt>
                <c:pt idx="525">
                  <c:v>8.103203273687777</c:v>
                </c:pt>
                <c:pt idx="526">
                  <c:v>8.2698871771485134</c:v>
                </c:pt>
                <c:pt idx="527">
                  <c:v>8.4351421549239411</c:v>
                </c:pt>
                <c:pt idx="528">
                  <c:v>8.6097479585742001</c:v>
                </c:pt>
                <c:pt idx="529">
                  <c:v>8.753784442922333</c:v>
                </c:pt>
                <c:pt idx="530">
                  <c:v>8.8850675460673489</c:v>
                </c:pt>
                <c:pt idx="531">
                  <c:v>9.0518150760228089</c:v>
                </c:pt>
                <c:pt idx="532">
                  <c:v>9.2030113146114996</c:v>
                </c:pt>
                <c:pt idx="533">
                  <c:v>9.3212224030603306</c:v>
                </c:pt>
                <c:pt idx="534">
                  <c:v>9.4394083215422206</c:v>
                </c:pt>
                <c:pt idx="535">
                  <c:v>9.5760748338561772</c:v>
                </c:pt>
                <c:pt idx="536">
                  <c:v>9.6911646151628741</c:v>
                </c:pt>
                <c:pt idx="537">
                  <c:v>9.7791389932460397</c:v>
                </c:pt>
                <c:pt idx="538">
                  <c:v>9.8677525118767306</c:v>
                </c:pt>
                <c:pt idx="539">
                  <c:v>9.970791098545682</c:v>
                </c:pt>
                <c:pt idx="540">
                  <c:v>10.03469937116842</c:v>
                </c:pt>
                <c:pt idx="541">
                  <c:v>10.122892007984264</c:v>
                </c:pt>
                <c:pt idx="542">
                  <c:v>10.236204181123314</c:v>
                </c:pt>
                <c:pt idx="543">
                  <c:v>10.380906067669798</c:v>
                </c:pt>
                <c:pt idx="544">
                  <c:v>10.508301208488405</c:v>
                </c:pt>
                <c:pt idx="545">
                  <c:v>10.614877703964119</c:v>
                </c:pt>
                <c:pt idx="546">
                  <c:v>10.726755257957114</c:v>
                </c:pt>
                <c:pt idx="547">
                  <c:v>10.816505940131933</c:v>
                </c:pt>
                <c:pt idx="548">
                  <c:v>10.913627349580175</c:v>
                </c:pt>
                <c:pt idx="549">
                  <c:v>10.98682378669734</c:v>
                </c:pt>
                <c:pt idx="550">
                  <c:v>11.046485912368386</c:v>
                </c:pt>
                <c:pt idx="551">
                  <c:v>11.100701191182194</c:v>
                </c:pt>
                <c:pt idx="552">
                  <c:v>11.16051413713252</c:v>
                </c:pt>
                <c:pt idx="553">
                  <c:v>11.238237550937331</c:v>
                </c:pt>
                <c:pt idx="554">
                  <c:v>11.313832269533458</c:v>
                </c:pt>
                <c:pt idx="555">
                  <c:v>11.390913503648804</c:v>
                </c:pt>
                <c:pt idx="556">
                  <c:v>11.489380045338089</c:v>
                </c:pt>
                <c:pt idx="557">
                  <c:v>11.593610275882886</c:v>
                </c:pt>
                <c:pt idx="558">
                  <c:v>11.71007724009416</c:v>
                </c:pt>
                <c:pt idx="559">
                  <c:v>11.811558410432513</c:v>
                </c:pt>
                <c:pt idx="560">
                  <c:v>11.88996826552397</c:v>
                </c:pt>
                <c:pt idx="561">
                  <c:v>11.946213261570211</c:v>
                </c:pt>
                <c:pt idx="562">
                  <c:v>11.992415625025014</c:v>
                </c:pt>
                <c:pt idx="563">
                  <c:v>12.022722085958943</c:v>
                </c:pt>
                <c:pt idx="564">
                  <c:v>12.067565569571947</c:v>
                </c:pt>
                <c:pt idx="565">
                  <c:v>12.146679940576163</c:v>
                </c:pt>
                <c:pt idx="566">
                  <c:v>12.288691607751192</c:v>
                </c:pt>
                <c:pt idx="567">
                  <c:v>12.395980712084826</c:v>
                </c:pt>
                <c:pt idx="568">
                  <c:v>12.53610222596442</c:v>
                </c:pt>
                <c:pt idx="569">
                  <c:v>12.703749834044876</c:v>
                </c:pt>
                <c:pt idx="570">
                  <c:v>12.847868264034622</c:v>
                </c:pt>
                <c:pt idx="571">
                  <c:v>12.967025530797503</c:v>
                </c:pt>
                <c:pt idx="572">
                  <c:v>13.076588069432615</c:v>
                </c:pt>
                <c:pt idx="573">
                  <c:v>13.201430966250919</c:v>
                </c:pt>
                <c:pt idx="574">
                  <c:v>13.409082163942356</c:v>
                </c:pt>
                <c:pt idx="575">
                  <c:v>13.602834518941112</c:v>
                </c:pt>
                <c:pt idx="576">
                  <c:v>13.781823851963596</c:v>
                </c:pt>
                <c:pt idx="577">
                  <c:v>13.911332838634349</c:v>
                </c:pt>
                <c:pt idx="578">
                  <c:v>14.038808811334128</c:v>
                </c:pt>
                <c:pt idx="579">
                  <c:v>14.177662974474606</c:v>
                </c:pt>
                <c:pt idx="580">
                  <c:v>14.308210501442135</c:v>
                </c:pt>
                <c:pt idx="581">
                  <c:v>14.429605336081261</c:v>
                </c:pt>
                <c:pt idx="582">
                  <c:v>14.534201043280234</c:v>
                </c:pt>
                <c:pt idx="583">
                  <c:v>14.612887157270023</c:v>
                </c:pt>
                <c:pt idx="584">
                  <c:v>14.704214675354484</c:v>
                </c:pt>
                <c:pt idx="585">
                  <c:v>14.768299510995899</c:v>
                </c:pt>
                <c:pt idx="586">
                  <c:v>14.81405511216219</c:v>
                </c:pt>
                <c:pt idx="587">
                  <c:v>14.867491621834256</c:v>
                </c:pt>
                <c:pt idx="588">
                  <c:v>14.926791709886592</c:v>
                </c:pt>
                <c:pt idx="589">
                  <c:v>14.981004531112031</c:v>
                </c:pt>
                <c:pt idx="590">
                  <c:v>15.017022143941471</c:v>
                </c:pt>
                <c:pt idx="591">
                  <c:v>15.069172746362952</c:v>
                </c:pt>
                <c:pt idx="592">
                  <c:v>15.110052632696149</c:v>
                </c:pt>
                <c:pt idx="593">
                  <c:v>15.124938581065342</c:v>
                </c:pt>
                <c:pt idx="594">
                  <c:v>15.165410625225856</c:v>
                </c:pt>
                <c:pt idx="595">
                  <c:v>15.191482583284873</c:v>
                </c:pt>
                <c:pt idx="596">
                  <c:v>15.238849160046939</c:v>
                </c:pt>
                <c:pt idx="597">
                  <c:v>15.250462743292921</c:v>
                </c:pt>
                <c:pt idx="598">
                  <c:v>15.249551459384222</c:v>
                </c:pt>
                <c:pt idx="599">
                  <c:v>15.241237672072973</c:v>
                </c:pt>
                <c:pt idx="600">
                  <c:v>15.234899028915859</c:v>
                </c:pt>
                <c:pt idx="601">
                  <c:v>15.230594219856478</c:v>
                </c:pt>
                <c:pt idx="602">
                  <c:v>15.202130814135865</c:v>
                </c:pt>
                <c:pt idx="603">
                  <c:v>15.192988921093939</c:v>
                </c:pt>
                <c:pt idx="604">
                  <c:v>15.195056064332274</c:v>
                </c:pt>
                <c:pt idx="605">
                  <c:v>15.181964856093227</c:v>
                </c:pt>
                <c:pt idx="606">
                  <c:v>15.170288244711516</c:v>
                </c:pt>
                <c:pt idx="607">
                  <c:v>15.144653363862311</c:v>
                </c:pt>
                <c:pt idx="608">
                  <c:v>15.096357310733532</c:v>
                </c:pt>
                <c:pt idx="609">
                  <c:v>15.041301743326386</c:v>
                </c:pt>
                <c:pt idx="610">
                  <c:v>14.963595487297617</c:v>
                </c:pt>
                <c:pt idx="611">
                  <c:v>14.905180527466847</c:v>
                </c:pt>
                <c:pt idx="612">
                  <c:v>14.859415358444149</c:v>
                </c:pt>
                <c:pt idx="613">
                  <c:v>14.798407911091939</c:v>
                </c:pt>
                <c:pt idx="614">
                  <c:v>14.694692703241397</c:v>
                </c:pt>
                <c:pt idx="615">
                  <c:v>14.579715116864065</c:v>
                </c:pt>
                <c:pt idx="616">
                  <c:v>14.462400663808577</c:v>
                </c:pt>
                <c:pt idx="617">
                  <c:v>14.355210145631846</c:v>
                </c:pt>
                <c:pt idx="618">
                  <c:v>14.247808767031755</c:v>
                </c:pt>
                <c:pt idx="619">
                  <c:v>14.146083708732633</c:v>
                </c:pt>
                <c:pt idx="620">
                  <c:v>14.038883569772764</c:v>
                </c:pt>
                <c:pt idx="621">
                  <c:v>13.92177705637949</c:v>
                </c:pt>
                <c:pt idx="622">
                  <c:v>13.82281077946414</c:v>
                </c:pt>
                <c:pt idx="623">
                  <c:v>13.734323734678718</c:v>
                </c:pt>
                <c:pt idx="624">
                  <c:v>13.634193386157328</c:v>
                </c:pt>
                <c:pt idx="625">
                  <c:v>13.551611568498025</c:v>
                </c:pt>
                <c:pt idx="626">
                  <c:v>13.504291704935799</c:v>
                </c:pt>
                <c:pt idx="627">
                  <c:v>13.443086988536106</c:v>
                </c:pt>
                <c:pt idx="628">
                  <c:v>13.332566405159778</c:v>
                </c:pt>
                <c:pt idx="629">
                  <c:v>13.234908792838905</c:v>
                </c:pt>
                <c:pt idx="630">
                  <c:v>13.13245243497564</c:v>
                </c:pt>
                <c:pt idx="631">
                  <c:v>13.029273442127847</c:v>
                </c:pt>
                <c:pt idx="632">
                  <c:v>12.925936797735819</c:v>
                </c:pt>
                <c:pt idx="633">
                  <c:v>12.829051164277439</c:v>
                </c:pt>
                <c:pt idx="634">
                  <c:v>12.746635442775107</c:v>
                </c:pt>
                <c:pt idx="635">
                  <c:v>12.68112596326354</c:v>
                </c:pt>
                <c:pt idx="636">
                  <c:v>12.579973501153169</c:v>
                </c:pt>
                <c:pt idx="637">
                  <c:v>12.474703837159341</c:v>
                </c:pt>
                <c:pt idx="638">
                  <c:v>12.365167010806307</c:v>
                </c:pt>
                <c:pt idx="639">
                  <c:v>12.281159964131248</c:v>
                </c:pt>
                <c:pt idx="640">
                  <c:v>12.171328164851461</c:v>
                </c:pt>
                <c:pt idx="641">
                  <c:v>12.115019936468707</c:v>
                </c:pt>
                <c:pt idx="642">
                  <c:v>12.071314037447168</c:v>
                </c:pt>
                <c:pt idx="643">
                  <c:v>12.007648946247587</c:v>
                </c:pt>
                <c:pt idx="644">
                  <c:v>11.91207592330343</c:v>
                </c:pt>
                <c:pt idx="645">
                  <c:v>11.79944054454772</c:v>
                </c:pt>
                <c:pt idx="646">
                  <c:v>11.671623991899782</c:v>
                </c:pt>
                <c:pt idx="647">
                  <c:v>11.527969252163265</c:v>
                </c:pt>
                <c:pt idx="648">
                  <c:v>11.388290923946769</c:v>
                </c:pt>
                <c:pt idx="649">
                  <c:v>11.292685857660372</c:v>
                </c:pt>
                <c:pt idx="650">
                  <c:v>11.194078804766106</c:v>
                </c:pt>
                <c:pt idx="651">
                  <c:v>11.109142074278791</c:v>
                </c:pt>
                <c:pt idx="652">
                  <c:v>11.051581340522624</c:v>
                </c:pt>
                <c:pt idx="653">
                  <c:v>10.991724605106896</c:v>
                </c:pt>
                <c:pt idx="654">
                  <c:v>10.878325162015626</c:v>
                </c:pt>
                <c:pt idx="655">
                  <c:v>10.768605808725036</c:v>
                </c:pt>
                <c:pt idx="656">
                  <c:v>10.657691253619658</c:v>
                </c:pt>
                <c:pt idx="657">
                  <c:v>10.529315842160429</c:v>
                </c:pt>
                <c:pt idx="658">
                  <c:v>10.376672338390671</c:v>
                </c:pt>
                <c:pt idx="659">
                  <c:v>10.207507972920501</c:v>
                </c:pt>
                <c:pt idx="660">
                  <c:v>10.010383742882723</c:v>
                </c:pt>
                <c:pt idx="661">
                  <c:v>9.8360892366401256</c:v>
                </c:pt>
                <c:pt idx="662">
                  <c:v>9.6932634456862736</c:v>
                </c:pt>
                <c:pt idx="663">
                  <c:v>9.5345813647423086</c:v>
                </c:pt>
                <c:pt idx="664">
                  <c:v>9.3839242499439539</c:v>
                </c:pt>
                <c:pt idx="665">
                  <c:v>9.2286285142944973</c:v>
                </c:pt>
                <c:pt idx="666">
                  <c:v>9.1425433062242707</c:v>
                </c:pt>
                <c:pt idx="667">
                  <c:v>9.0697493538162259</c:v>
                </c:pt>
                <c:pt idx="668">
                  <c:v>8.9964461253985206</c:v>
                </c:pt>
                <c:pt idx="669">
                  <c:v>8.9120806155397077</c:v>
                </c:pt>
                <c:pt idx="670">
                  <c:v>8.7888978099835864</c:v>
                </c:pt>
                <c:pt idx="671">
                  <c:v>8.7084846506529772</c:v>
                </c:pt>
                <c:pt idx="672">
                  <c:v>8.6096978037932796</c:v>
                </c:pt>
                <c:pt idx="673">
                  <c:v>8.5590376021618706</c:v>
                </c:pt>
                <c:pt idx="674">
                  <c:v>8.4765780858029807</c:v>
                </c:pt>
                <c:pt idx="675">
                  <c:v>8.4056158592301689</c:v>
                </c:pt>
                <c:pt idx="676">
                  <c:v>8.3147475467157275</c:v>
                </c:pt>
                <c:pt idx="677">
                  <c:v>8.2212890764103719</c:v>
                </c:pt>
                <c:pt idx="678">
                  <c:v>8.1653102890892821</c:v>
                </c:pt>
                <c:pt idx="679">
                  <c:v>8.1022430952725859</c:v>
                </c:pt>
                <c:pt idx="680">
                  <c:v>8.0284650944487623</c:v>
                </c:pt>
                <c:pt idx="681">
                  <c:v>7.9646987364738031</c:v>
                </c:pt>
                <c:pt idx="682">
                  <c:v>7.9352014500876935</c:v>
                </c:pt>
                <c:pt idx="683">
                  <c:v>7.9161719432748727</c:v>
                </c:pt>
                <c:pt idx="684">
                  <c:v>7.9029155066493608</c:v>
                </c:pt>
                <c:pt idx="685">
                  <c:v>7.9004931847372637</c:v>
                </c:pt>
                <c:pt idx="686">
                  <c:v>7.9044108576118388</c:v>
                </c:pt>
                <c:pt idx="687">
                  <c:v>7.8920081407966345</c:v>
                </c:pt>
                <c:pt idx="688">
                  <c:v>7.8742026636909479</c:v>
                </c:pt>
                <c:pt idx="689">
                  <c:v>7.8423400535609593</c:v>
                </c:pt>
                <c:pt idx="690">
                  <c:v>7.7962840538638476</c:v>
                </c:pt>
                <c:pt idx="691">
                  <c:v>7.7577306083992656</c:v>
                </c:pt>
                <c:pt idx="692">
                  <c:v>7.7217834427418017</c:v>
                </c:pt>
                <c:pt idx="693">
                  <c:v>7.6488057417692463</c:v>
                </c:pt>
                <c:pt idx="694">
                  <c:v>7.5732572216545959</c:v>
                </c:pt>
                <c:pt idx="695">
                  <c:v>7.5044308730329963</c:v>
                </c:pt>
                <c:pt idx="696">
                  <c:v>7.4418278737603432</c:v>
                </c:pt>
                <c:pt idx="697">
                  <c:v>7.4032304432739675</c:v>
                </c:pt>
                <c:pt idx="698">
                  <c:v>7.3616885795810916</c:v>
                </c:pt>
                <c:pt idx="699">
                  <c:v>7.2943302115671624</c:v>
                </c:pt>
                <c:pt idx="700">
                  <c:v>7.2411120388911732</c:v>
                </c:pt>
                <c:pt idx="701">
                  <c:v>7.2007001453552171</c:v>
                </c:pt>
                <c:pt idx="702">
                  <c:v>7.1594072346324769</c:v>
                </c:pt>
                <c:pt idx="703">
                  <c:v>7.1403315554801345</c:v>
                </c:pt>
                <c:pt idx="704">
                  <c:v>7.1252180665071823</c:v>
                </c:pt>
                <c:pt idx="705">
                  <c:v>7.1165764353732399</c:v>
                </c:pt>
                <c:pt idx="706">
                  <c:v>7.1005317581415257</c:v>
                </c:pt>
                <c:pt idx="707">
                  <c:v>7.0842109709963506</c:v>
                </c:pt>
                <c:pt idx="708">
                  <c:v>7.0781173683030767</c:v>
                </c:pt>
                <c:pt idx="709">
                  <c:v>7.0763117195373013</c:v>
                </c:pt>
                <c:pt idx="710">
                  <c:v>7.0755810403724011</c:v>
                </c:pt>
                <c:pt idx="711">
                  <c:v>7.0737155985498088</c:v>
                </c:pt>
                <c:pt idx="712">
                  <c:v>7.0737155985498097</c:v>
                </c:pt>
                <c:pt idx="713">
                  <c:v>7.0738545052781845</c:v>
                </c:pt>
                <c:pt idx="714">
                  <c:v>7.0611906490791254</c:v>
                </c:pt>
                <c:pt idx="715">
                  <c:v>7.0631862634522591</c:v>
                </c:pt>
                <c:pt idx="716">
                  <c:v>7.0511046475034505</c:v>
                </c:pt>
                <c:pt idx="717">
                  <c:v>7.0334053323995578</c:v>
                </c:pt>
                <c:pt idx="718">
                  <c:v>7.0347599120630147</c:v>
                </c:pt>
                <c:pt idx="719">
                  <c:v>7.0378750311500635</c:v>
                </c:pt>
                <c:pt idx="720">
                  <c:v>7.0392059486294949</c:v>
                </c:pt>
                <c:pt idx="721">
                  <c:v>7.0431766055851286</c:v>
                </c:pt>
                <c:pt idx="722">
                  <c:v>7.0516975563135906</c:v>
                </c:pt>
                <c:pt idx="723">
                  <c:v>7.0516975563135906</c:v>
                </c:pt>
                <c:pt idx="724">
                  <c:v>7.0516975563135915</c:v>
                </c:pt>
                <c:pt idx="725">
                  <c:v>7.0516975563135915</c:v>
                </c:pt>
                <c:pt idx="726">
                  <c:v>7.0286997210935436</c:v>
                </c:pt>
                <c:pt idx="727">
                  <c:v>7.0210923858091219</c:v>
                </c:pt>
                <c:pt idx="728">
                  <c:v>7.0167598222333281</c:v>
                </c:pt>
                <c:pt idx="729">
                  <c:v>7.0044371810465362</c:v>
                </c:pt>
                <c:pt idx="730">
                  <c:v>6.9831907873572252</c:v>
                </c:pt>
                <c:pt idx="731">
                  <c:v>6.9518725493640607</c:v>
                </c:pt>
                <c:pt idx="732">
                  <c:v>6.9378318820661011</c:v>
                </c:pt>
                <c:pt idx="733">
                  <c:v>6.9276686229148448</c:v>
                </c:pt>
                <c:pt idx="734">
                  <c:v>6.8998767631680318</c:v>
                </c:pt>
                <c:pt idx="735">
                  <c:v>6.8703819203641077</c:v>
                </c:pt>
                <c:pt idx="736">
                  <c:v>6.8570453707256886</c:v>
                </c:pt>
                <c:pt idx="737">
                  <c:v>6.8431013423769782</c:v>
                </c:pt>
                <c:pt idx="738">
                  <c:v>6.8308202783791376</c:v>
                </c:pt>
                <c:pt idx="739">
                  <c:v>6.8256662583871215</c:v>
                </c:pt>
                <c:pt idx="740">
                  <c:v>6.824453726087131</c:v>
                </c:pt>
                <c:pt idx="741">
                  <c:v>6.8294139223195529</c:v>
                </c:pt>
                <c:pt idx="742">
                  <c:v>6.8550779348488273</c:v>
                </c:pt>
                <c:pt idx="743">
                  <c:v>6.8721835205704513</c:v>
                </c:pt>
                <c:pt idx="744">
                  <c:v>6.8503527647106859</c:v>
                </c:pt>
                <c:pt idx="745">
                  <c:v>6.8475074024424707</c:v>
                </c:pt>
                <c:pt idx="746">
                  <c:v>6.7967659295803475</c:v>
                </c:pt>
                <c:pt idx="747">
                  <c:v>6.726197813788354</c:v>
                </c:pt>
                <c:pt idx="748">
                  <c:v>6.6939109690562768</c:v>
                </c:pt>
                <c:pt idx="749">
                  <c:v>6.6532092676992214</c:v>
                </c:pt>
                <c:pt idx="750">
                  <c:v>6.6194516475009628</c:v>
                </c:pt>
                <c:pt idx="751">
                  <c:v>6.5508464829105941</c:v>
                </c:pt>
                <c:pt idx="752">
                  <c:v>6.5021694406065196</c:v>
                </c:pt>
                <c:pt idx="753">
                  <c:v>6.4640838267267267</c:v>
                </c:pt>
                <c:pt idx="754">
                  <c:v>6.4038165335828703</c:v>
                </c:pt>
                <c:pt idx="755">
                  <c:v>6.3264336173389584</c:v>
                </c:pt>
                <c:pt idx="756">
                  <c:v>6.2239226909027954</c:v>
                </c:pt>
                <c:pt idx="757">
                  <c:v>6.0953494326007869</c:v>
                </c:pt>
                <c:pt idx="758">
                  <c:v>5.9490668446116031</c:v>
                </c:pt>
                <c:pt idx="759">
                  <c:v>5.7825844651780738</c:v>
                </c:pt>
                <c:pt idx="760">
                  <c:v>5.6346770328955182</c:v>
                </c:pt>
                <c:pt idx="761">
                  <c:v>5.5164737565825028</c:v>
                </c:pt>
                <c:pt idx="762">
                  <c:v>5.4365989827809491</c:v>
                </c:pt>
                <c:pt idx="763">
                  <c:v>5.3948759597842217</c:v>
                </c:pt>
                <c:pt idx="764">
                  <c:v>5.4158025369395695</c:v>
                </c:pt>
                <c:pt idx="765">
                  <c:v>5.4449144850005426</c:v>
                </c:pt>
                <c:pt idx="766">
                  <c:v>5.411663138077401</c:v>
                </c:pt>
                <c:pt idx="767">
                  <c:v>5.3684762738152774</c:v>
                </c:pt>
                <c:pt idx="768">
                  <c:v>5.3684762738152756</c:v>
                </c:pt>
                <c:pt idx="769">
                  <c:v>5.34678479207646</c:v>
                </c:pt>
                <c:pt idx="770">
                  <c:v>5.3376580635807853</c:v>
                </c:pt>
                <c:pt idx="771">
                  <c:v>5.3376580635807853</c:v>
                </c:pt>
                <c:pt idx="772">
                  <c:v>5.3278212954080209</c:v>
                </c:pt>
                <c:pt idx="773">
                  <c:v>5.3573552991316422</c:v>
                </c:pt>
                <c:pt idx="774">
                  <c:v>5.3846246087377656</c:v>
                </c:pt>
                <c:pt idx="775">
                  <c:v>5.4139212280457158</c:v>
                </c:pt>
                <c:pt idx="776">
                  <c:v>5.4048206006402886</c:v>
                </c:pt>
                <c:pt idx="777">
                  <c:v>5.4026842421889567</c:v>
                </c:pt>
                <c:pt idx="778">
                  <c:v>5.3899620504497179</c:v>
                </c:pt>
                <c:pt idx="779">
                  <c:v>5.372260309389727</c:v>
                </c:pt>
                <c:pt idx="780">
                  <c:v>5.35100975797911</c:v>
                </c:pt>
                <c:pt idx="781">
                  <c:v>5.3459561815354109</c:v>
                </c:pt>
                <c:pt idx="782">
                  <c:v>5.3435606336787567</c:v>
                </c:pt>
                <c:pt idx="783">
                  <c:v>5.3269267635360205</c:v>
                </c:pt>
                <c:pt idx="784">
                  <c:v>5.3161659365407825</c:v>
                </c:pt>
                <c:pt idx="785">
                  <c:v>5.3156667507194584</c:v>
                </c:pt>
                <c:pt idx="786">
                  <c:v>5.3151377075860839</c:v>
                </c:pt>
                <c:pt idx="787">
                  <c:v>5.3133722727878441</c:v>
                </c:pt>
                <c:pt idx="788">
                  <c:v>5.3157180511696422</c:v>
                </c:pt>
                <c:pt idx="789">
                  <c:v>5.3232621509011588</c:v>
                </c:pt>
                <c:pt idx="790">
                  <c:v>5.3286953624460835</c:v>
                </c:pt>
                <c:pt idx="791">
                  <c:v>5.3279242230207267</c:v>
                </c:pt>
                <c:pt idx="792">
                  <c:v>5.3191416722848004</c:v>
                </c:pt>
                <c:pt idx="793">
                  <c:v>5.3186921976286099</c:v>
                </c:pt>
                <c:pt idx="794">
                  <c:v>5.3140396701480093</c:v>
                </c:pt>
                <c:pt idx="795">
                  <c:v>5.2984641612648629</c:v>
                </c:pt>
                <c:pt idx="796">
                  <c:v>5.2944721085837543</c:v>
                </c:pt>
                <c:pt idx="797">
                  <c:v>5.2890208925907682</c:v>
                </c:pt>
                <c:pt idx="798">
                  <c:v>5.2774704330075091</c:v>
                </c:pt>
                <c:pt idx="799">
                  <c:v>5.2985963291374176</c:v>
                </c:pt>
                <c:pt idx="800">
                  <c:v>5.310185585111304</c:v>
                </c:pt>
                <c:pt idx="801">
                  <c:v>5.3286456597264396</c:v>
                </c:pt>
                <c:pt idx="802">
                  <c:v>5.3296123918241296</c:v>
                </c:pt>
                <c:pt idx="803">
                  <c:v>5.3305644892834243</c:v>
                </c:pt>
                <c:pt idx="804">
                  <c:v>5.3313677348760242</c:v>
                </c:pt>
                <c:pt idx="805">
                  <c:v>5.3320051650824274</c:v>
                </c:pt>
                <c:pt idx="806">
                  <c:v>5.3315727720278252</c:v>
                </c:pt>
                <c:pt idx="807">
                  <c:v>5.3430483240368885</c:v>
                </c:pt>
                <c:pt idx="808">
                  <c:v>5.3342272506243003</c:v>
                </c:pt>
                <c:pt idx="809">
                  <c:v>5.3186233408185259</c:v>
                </c:pt>
                <c:pt idx="810">
                  <c:v>5.2836270321288969</c:v>
                </c:pt>
                <c:pt idx="811">
                  <c:v>5.2739518101133118</c:v>
                </c:pt>
                <c:pt idx="812">
                  <c:v>5.2720650204016355</c:v>
                </c:pt>
                <c:pt idx="813">
                  <c:v>5.2720650204016355</c:v>
                </c:pt>
                <c:pt idx="814">
                  <c:v>5.2720650204016355</c:v>
                </c:pt>
                <c:pt idx="815">
                  <c:v>5.2780837695004621</c:v>
                </c:pt>
                <c:pt idx="816">
                  <c:v>5.2860699223442014</c:v>
                </c:pt>
                <c:pt idx="817">
                  <c:v>5.2919470737746828</c:v>
                </c:pt>
                <c:pt idx="818">
                  <c:v>5.2258739350429719</c:v>
                </c:pt>
                <c:pt idx="819">
                  <c:v>5.208687359046313</c:v>
                </c:pt>
                <c:pt idx="820">
                  <c:v>5.1390733334495184</c:v>
                </c:pt>
                <c:pt idx="821">
                  <c:v>5.0105963025275262</c:v>
                </c:pt>
                <c:pt idx="822">
                  <c:v>4.9170036105416814</c:v>
                </c:pt>
                <c:pt idx="823">
                  <c:v>4.8727954818608676</c:v>
                </c:pt>
                <c:pt idx="824">
                  <c:v>4.8261671026129838</c:v>
                </c:pt>
                <c:pt idx="825">
                  <c:v>4.7831216163502726</c:v>
                </c:pt>
                <c:pt idx="826">
                  <c:v>4.6016194657976941</c:v>
                </c:pt>
                <c:pt idx="827">
                  <c:v>4.4152010492523548</c:v>
                </c:pt>
                <c:pt idx="828">
                  <c:v>4.2579342237875997</c:v>
                </c:pt>
                <c:pt idx="829">
                  <c:v>4.174648875639444</c:v>
                </c:pt>
                <c:pt idx="830">
                  <c:v>4.0901036628713356</c:v>
                </c:pt>
                <c:pt idx="831">
                  <c:v>4.0042606909765031</c:v>
                </c:pt>
                <c:pt idx="832">
                  <c:v>3.9292986276711042</c:v>
                </c:pt>
                <c:pt idx="833">
                  <c:v>3.8637486898802345</c:v>
                </c:pt>
                <c:pt idx="834">
                  <c:v>3.8150829141323097</c:v>
                </c:pt>
                <c:pt idx="835">
                  <c:v>3.7871181612579043</c:v>
                </c:pt>
                <c:pt idx="836">
                  <c:v>3.7385025375043033</c:v>
                </c:pt>
                <c:pt idx="837">
                  <c:v>3.7278581372552027</c:v>
                </c:pt>
                <c:pt idx="838">
                  <c:v>3.7305913648006244</c:v>
                </c:pt>
                <c:pt idx="839">
                  <c:v>3.7263813348404806</c:v>
                </c:pt>
                <c:pt idx="840">
                  <c:v>3.7032311759932757</c:v>
                </c:pt>
                <c:pt idx="841">
                  <c:v>3.6773918160451706</c:v>
                </c:pt>
                <c:pt idx="842">
                  <c:v>3.6578166808748951</c:v>
                </c:pt>
                <c:pt idx="843">
                  <c:v>3.6390724132650716</c:v>
                </c:pt>
                <c:pt idx="844">
                  <c:v>3.6390724132650725</c:v>
                </c:pt>
                <c:pt idx="845">
                  <c:v>3.6390724132650725</c:v>
                </c:pt>
                <c:pt idx="846">
                  <c:v>3.61140930903235</c:v>
                </c:pt>
                <c:pt idx="847">
                  <c:v>3.5846579034691266</c:v>
                </c:pt>
                <c:pt idx="848">
                  <c:v>3.5129206267334134</c:v>
                </c:pt>
                <c:pt idx="849">
                  <c:v>3.483477382991035</c:v>
                </c:pt>
                <c:pt idx="850">
                  <c:v>3.4787043189035458</c:v>
                </c:pt>
                <c:pt idx="851">
                  <c:v>3.4663952557162929</c:v>
                </c:pt>
                <c:pt idx="852">
                  <c:v>3.4553602352528561</c:v>
                </c:pt>
                <c:pt idx="853">
                  <c:v>3.4381805432145343</c:v>
                </c:pt>
                <c:pt idx="854">
                  <c:v>3.4235167084560598</c:v>
                </c:pt>
                <c:pt idx="855">
                  <c:v>3.4157951282721495</c:v>
                </c:pt>
                <c:pt idx="856">
                  <c:v>3.4113870155488977</c:v>
                </c:pt>
                <c:pt idx="857">
                  <c:v>3.4052673466839138</c:v>
                </c:pt>
                <c:pt idx="858">
                  <c:v>3.3928778912329172</c:v>
                </c:pt>
                <c:pt idx="859">
                  <c:v>3.3737025096812738</c:v>
                </c:pt>
                <c:pt idx="860">
                  <c:v>3.3544894400731562</c:v>
                </c:pt>
                <c:pt idx="861">
                  <c:v>3.3459056388957356</c:v>
                </c:pt>
                <c:pt idx="862">
                  <c:v>3.3478325933437008</c:v>
                </c:pt>
                <c:pt idx="863">
                  <c:v>3.3540933761605878</c:v>
                </c:pt>
                <c:pt idx="864">
                  <c:v>3.3814979579411109</c:v>
                </c:pt>
                <c:pt idx="865">
                  <c:v>3.4138716243067959</c:v>
                </c:pt>
                <c:pt idx="866">
                  <c:v>3.4535845011591366</c:v>
                </c:pt>
                <c:pt idx="867">
                  <c:v>3.4581220254249123</c:v>
                </c:pt>
                <c:pt idx="868">
                  <c:v>3.4801240450670146</c:v>
                </c:pt>
                <c:pt idx="869">
                  <c:v>3.5013241524941456</c:v>
                </c:pt>
                <c:pt idx="870">
                  <c:v>3.5204982623234127</c:v>
                </c:pt>
                <c:pt idx="871">
                  <c:v>3.5612094160315708</c:v>
                </c:pt>
                <c:pt idx="872">
                  <c:v>3.5751538462317698</c:v>
                </c:pt>
                <c:pt idx="873">
                  <c:v>3.6003445616057506</c:v>
                </c:pt>
                <c:pt idx="874">
                  <c:v>3.6079601184809902</c:v>
                </c:pt>
                <c:pt idx="875">
                  <c:v>3.6315583906576188</c:v>
                </c:pt>
                <c:pt idx="876">
                  <c:v>3.6293908613555725</c:v>
                </c:pt>
                <c:pt idx="877">
                  <c:v>3.6459935753711448</c:v>
                </c:pt>
                <c:pt idx="878">
                  <c:v>3.6471162040598628</c:v>
                </c:pt>
                <c:pt idx="879">
                  <c:v>3.6479811736524179</c:v>
                </c:pt>
                <c:pt idx="880">
                  <c:v>3.6528355149599974</c:v>
                </c:pt>
                <c:pt idx="881">
                  <c:v>3.644730591114838</c:v>
                </c:pt>
                <c:pt idx="882">
                  <c:v>3.6296020695925022</c:v>
                </c:pt>
                <c:pt idx="883">
                  <c:v>3.6189139822031837</c:v>
                </c:pt>
                <c:pt idx="884">
                  <c:v>3.586931425897097</c:v>
                </c:pt>
                <c:pt idx="885">
                  <c:v>3.5545982276502861</c:v>
                </c:pt>
                <c:pt idx="886">
                  <c:v>3.5317105518355754</c:v>
                </c:pt>
                <c:pt idx="887">
                  <c:v>3.5169748068463349</c:v>
                </c:pt>
                <c:pt idx="888">
                  <c:v>3.5146661738077727</c:v>
                </c:pt>
                <c:pt idx="889">
                  <c:v>3.5097408608171397</c:v>
                </c:pt>
                <c:pt idx="890">
                  <c:v>3.5099519059931463</c:v>
                </c:pt>
                <c:pt idx="891">
                  <c:v>3.5018423383757868</c:v>
                </c:pt>
                <c:pt idx="892">
                  <c:v>3.4933842640555373</c:v>
                </c:pt>
                <c:pt idx="893">
                  <c:v>3.4848602727408977</c:v>
                </c:pt>
                <c:pt idx="894">
                  <c:v>3.4824866917670421</c:v>
                </c:pt>
                <c:pt idx="895">
                  <c:v>3.4820930046372398</c:v>
                </c:pt>
                <c:pt idx="896">
                  <c:v>3.4868327500299658</c:v>
                </c:pt>
                <c:pt idx="897">
                  <c:v>3.4814711053696406</c:v>
                </c:pt>
                <c:pt idx="898">
                  <c:v>3.4784494830064521</c:v>
                </c:pt>
                <c:pt idx="899">
                  <c:v>3.4769215020322024</c:v>
                </c:pt>
                <c:pt idx="900">
                  <c:v>3.4769215020322037</c:v>
                </c:pt>
                <c:pt idx="901">
                  <c:v>3.4780161145665711</c:v>
                </c:pt>
                <c:pt idx="902">
                  <c:v>3.477579736925497</c:v>
                </c:pt>
                <c:pt idx="903">
                  <c:v>3.4771190974129667</c:v>
                </c:pt>
                <c:pt idx="904">
                  <c:v>3.4660931257280057</c:v>
                </c:pt>
                <c:pt idx="905">
                  <c:v>3.455023795883831</c:v>
                </c:pt>
                <c:pt idx="906">
                  <c:v>3.4525787462460955</c:v>
                </c:pt>
                <c:pt idx="907">
                  <c:v>3.4353892525264431</c:v>
                </c:pt>
                <c:pt idx="908">
                  <c:v>3.4322644505691486</c:v>
                </c:pt>
                <c:pt idx="909">
                  <c:v>3.4378528430492246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C78-4216-9649-CE2E0F38BA27}"/>
            </c:ext>
          </c:extLst>
        </c:ser>
        <c:ser>
          <c:idx val="2"/>
          <c:order val="2"/>
          <c:tx>
            <c:strRef>
              <c:f>分析データ!$AK$1</c:f>
              <c:strCache>
                <c:ptCount val="1"/>
                <c:pt idx="0">
                  <c:v>S1-2σ</c:v>
                </c:pt>
              </c:strCache>
            </c:strRef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numRef>
              <c:f>[0]!DATE_X</c:f>
              <c:numCache>
                <c:formatCode>yyyy\-mm\-dd</c:formatCode>
                <c:ptCount val="910"/>
                <c:pt idx="0">
                  <c:v>44929</c:v>
                </c:pt>
                <c:pt idx="1">
                  <c:v>44930</c:v>
                </c:pt>
                <c:pt idx="2">
                  <c:v>44931</c:v>
                </c:pt>
                <c:pt idx="3">
                  <c:v>44932</c:v>
                </c:pt>
                <c:pt idx="4">
                  <c:v>44935</c:v>
                </c:pt>
                <c:pt idx="5">
                  <c:v>44936</c:v>
                </c:pt>
                <c:pt idx="6">
                  <c:v>44937</c:v>
                </c:pt>
                <c:pt idx="7">
                  <c:v>44938</c:v>
                </c:pt>
                <c:pt idx="8">
                  <c:v>44939</c:v>
                </c:pt>
                <c:pt idx="9">
                  <c:v>44943</c:v>
                </c:pt>
                <c:pt idx="10">
                  <c:v>44944</c:v>
                </c:pt>
                <c:pt idx="11">
                  <c:v>44945</c:v>
                </c:pt>
                <c:pt idx="12">
                  <c:v>44946</c:v>
                </c:pt>
                <c:pt idx="13">
                  <c:v>44949</c:v>
                </c:pt>
                <c:pt idx="14">
                  <c:v>44950</c:v>
                </c:pt>
                <c:pt idx="15">
                  <c:v>44951</c:v>
                </c:pt>
                <c:pt idx="16">
                  <c:v>44952</c:v>
                </c:pt>
                <c:pt idx="17">
                  <c:v>44953</c:v>
                </c:pt>
                <c:pt idx="18">
                  <c:v>44956</c:v>
                </c:pt>
                <c:pt idx="19">
                  <c:v>44957</c:v>
                </c:pt>
                <c:pt idx="20">
                  <c:v>44958</c:v>
                </c:pt>
                <c:pt idx="21">
                  <c:v>44959</c:v>
                </c:pt>
                <c:pt idx="22">
                  <c:v>44960</c:v>
                </c:pt>
                <c:pt idx="23">
                  <c:v>44963</c:v>
                </c:pt>
                <c:pt idx="24">
                  <c:v>44964</c:v>
                </c:pt>
                <c:pt idx="25">
                  <c:v>44965</c:v>
                </c:pt>
                <c:pt idx="26">
                  <c:v>44966</c:v>
                </c:pt>
                <c:pt idx="27">
                  <c:v>44967</c:v>
                </c:pt>
                <c:pt idx="28">
                  <c:v>44970</c:v>
                </c:pt>
                <c:pt idx="29">
                  <c:v>44971</c:v>
                </c:pt>
                <c:pt idx="30">
                  <c:v>44972</c:v>
                </c:pt>
                <c:pt idx="31">
                  <c:v>44973</c:v>
                </c:pt>
                <c:pt idx="32">
                  <c:v>44974</c:v>
                </c:pt>
                <c:pt idx="33">
                  <c:v>44978</c:v>
                </c:pt>
                <c:pt idx="34">
                  <c:v>44979</c:v>
                </c:pt>
                <c:pt idx="35">
                  <c:v>44980</c:v>
                </c:pt>
                <c:pt idx="36">
                  <c:v>44981</c:v>
                </c:pt>
                <c:pt idx="37">
                  <c:v>44984</c:v>
                </c:pt>
                <c:pt idx="38">
                  <c:v>44985</c:v>
                </c:pt>
                <c:pt idx="39">
                  <c:v>44986</c:v>
                </c:pt>
                <c:pt idx="40">
                  <c:v>44987</c:v>
                </c:pt>
                <c:pt idx="41">
                  <c:v>44988</c:v>
                </c:pt>
                <c:pt idx="42">
                  <c:v>44991</c:v>
                </c:pt>
                <c:pt idx="43">
                  <c:v>44992</c:v>
                </c:pt>
                <c:pt idx="44">
                  <c:v>44993</c:v>
                </c:pt>
                <c:pt idx="45">
                  <c:v>44994</c:v>
                </c:pt>
                <c:pt idx="46">
                  <c:v>44995</c:v>
                </c:pt>
                <c:pt idx="47">
                  <c:v>44998</c:v>
                </c:pt>
                <c:pt idx="48">
                  <c:v>44999</c:v>
                </c:pt>
                <c:pt idx="49">
                  <c:v>45000</c:v>
                </c:pt>
                <c:pt idx="50">
                  <c:v>45001</c:v>
                </c:pt>
                <c:pt idx="51">
                  <c:v>45002</c:v>
                </c:pt>
                <c:pt idx="52">
                  <c:v>45005</c:v>
                </c:pt>
                <c:pt idx="53">
                  <c:v>45006</c:v>
                </c:pt>
                <c:pt idx="54">
                  <c:v>45007</c:v>
                </c:pt>
                <c:pt idx="55">
                  <c:v>45008</c:v>
                </c:pt>
                <c:pt idx="56">
                  <c:v>45009</c:v>
                </c:pt>
                <c:pt idx="57">
                  <c:v>45012</c:v>
                </c:pt>
                <c:pt idx="58">
                  <c:v>45013</c:v>
                </c:pt>
                <c:pt idx="59">
                  <c:v>45014</c:v>
                </c:pt>
                <c:pt idx="60">
                  <c:v>45015</c:v>
                </c:pt>
                <c:pt idx="61">
                  <c:v>45016</c:v>
                </c:pt>
                <c:pt idx="62">
                  <c:v>45019</c:v>
                </c:pt>
                <c:pt idx="63">
                  <c:v>45020</c:v>
                </c:pt>
                <c:pt idx="64">
                  <c:v>45021</c:v>
                </c:pt>
                <c:pt idx="65">
                  <c:v>45022</c:v>
                </c:pt>
                <c:pt idx="66">
                  <c:v>45023</c:v>
                </c:pt>
                <c:pt idx="67">
                  <c:v>45026</c:v>
                </c:pt>
                <c:pt idx="68">
                  <c:v>45027</c:v>
                </c:pt>
                <c:pt idx="69">
                  <c:v>45028</c:v>
                </c:pt>
                <c:pt idx="70">
                  <c:v>45029</c:v>
                </c:pt>
                <c:pt idx="71">
                  <c:v>45030</c:v>
                </c:pt>
                <c:pt idx="72">
                  <c:v>45033</c:v>
                </c:pt>
                <c:pt idx="73">
                  <c:v>45034</c:v>
                </c:pt>
                <c:pt idx="74">
                  <c:v>45035</c:v>
                </c:pt>
                <c:pt idx="75">
                  <c:v>45036</c:v>
                </c:pt>
                <c:pt idx="76">
                  <c:v>45037</c:v>
                </c:pt>
                <c:pt idx="77">
                  <c:v>45040</c:v>
                </c:pt>
                <c:pt idx="78">
                  <c:v>45041</c:v>
                </c:pt>
                <c:pt idx="79">
                  <c:v>45042</c:v>
                </c:pt>
                <c:pt idx="80">
                  <c:v>45043</c:v>
                </c:pt>
                <c:pt idx="81">
                  <c:v>45044</c:v>
                </c:pt>
                <c:pt idx="82">
                  <c:v>45047</c:v>
                </c:pt>
                <c:pt idx="83">
                  <c:v>45048</c:v>
                </c:pt>
                <c:pt idx="84">
                  <c:v>45049</c:v>
                </c:pt>
                <c:pt idx="85">
                  <c:v>45050</c:v>
                </c:pt>
                <c:pt idx="86">
                  <c:v>45051</c:v>
                </c:pt>
                <c:pt idx="87">
                  <c:v>45054</c:v>
                </c:pt>
                <c:pt idx="88">
                  <c:v>45055</c:v>
                </c:pt>
                <c:pt idx="89">
                  <c:v>45056</c:v>
                </c:pt>
                <c:pt idx="90">
                  <c:v>45057</c:v>
                </c:pt>
                <c:pt idx="91">
                  <c:v>45058</c:v>
                </c:pt>
                <c:pt idx="92">
                  <c:v>45061</c:v>
                </c:pt>
                <c:pt idx="93">
                  <c:v>45062</c:v>
                </c:pt>
                <c:pt idx="94">
                  <c:v>45063</c:v>
                </c:pt>
                <c:pt idx="95">
                  <c:v>45064</c:v>
                </c:pt>
                <c:pt idx="96">
                  <c:v>45065</c:v>
                </c:pt>
                <c:pt idx="97">
                  <c:v>45068</c:v>
                </c:pt>
                <c:pt idx="98">
                  <c:v>45069</c:v>
                </c:pt>
                <c:pt idx="99">
                  <c:v>45070</c:v>
                </c:pt>
                <c:pt idx="100">
                  <c:v>45071</c:v>
                </c:pt>
                <c:pt idx="101">
                  <c:v>45072</c:v>
                </c:pt>
                <c:pt idx="102">
                  <c:v>45076</c:v>
                </c:pt>
                <c:pt idx="103">
                  <c:v>45077</c:v>
                </c:pt>
                <c:pt idx="104">
                  <c:v>45078</c:v>
                </c:pt>
                <c:pt idx="105">
                  <c:v>45079</c:v>
                </c:pt>
                <c:pt idx="106">
                  <c:v>45082</c:v>
                </c:pt>
                <c:pt idx="107">
                  <c:v>45083</c:v>
                </c:pt>
                <c:pt idx="108">
                  <c:v>45084</c:v>
                </c:pt>
                <c:pt idx="109">
                  <c:v>45085</c:v>
                </c:pt>
                <c:pt idx="110">
                  <c:v>45086</c:v>
                </c:pt>
                <c:pt idx="111">
                  <c:v>45089</c:v>
                </c:pt>
                <c:pt idx="112">
                  <c:v>45090</c:v>
                </c:pt>
                <c:pt idx="113">
                  <c:v>45091</c:v>
                </c:pt>
                <c:pt idx="114">
                  <c:v>45092</c:v>
                </c:pt>
                <c:pt idx="115">
                  <c:v>45093</c:v>
                </c:pt>
                <c:pt idx="116">
                  <c:v>45097</c:v>
                </c:pt>
                <c:pt idx="117">
                  <c:v>45098</c:v>
                </c:pt>
                <c:pt idx="118">
                  <c:v>45099</c:v>
                </c:pt>
                <c:pt idx="119">
                  <c:v>45100</c:v>
                </c:pt>
                <c:pt idx="120">
                  <c:v>45103</c:v>
                </c:pt>
                <c:pt idx="121">
                  <c:v>45104</c:v>
                </c:pt>
                <c:pt idx="122">
                  <c:v>45105</c:v>
                </c:pt>
                <c:pt idx="123">
                  <c:v>45106</c:v>
                </c:pt>
                <c:pt idx="124">
                  <c:v>45107</c:v>
                </c:pt>
                <c:pt idx="125">
                  <c:v>45110</c:v>
                </c:pt>
                <c:pt idx="126">
                  <c:v>45112</c:v>
                </c:pt>
                <c:pt idx="127">
                  <c:v>45113</c:v>
                </c:pt>
                <c:pt idx="128">
                  <c:v>45114</c:v>
                </c:pt>
                <c:pt idx="129">
                  <c:v>45117</c:v>
                </c:pt>
                <c:pt idx="130">
                  <c:v>45118</c:v>
                </c:pt>
                <c:pt idx="131">
                  <c:v>45119</c:v>
                </c:pt>
                <c:pt idx="132">
                  <c:v>45120</c:v>
                </c:pt>
                <c:pt idx="133">
                  <c:v>45121</c:v>
                </c:pt>
                <c:pt idx="134">
                  <c:v>45124</c:v>
                </c:pt>
                <c:pt idx="135">
                  <c:v>45125</c:v>
                </c:pt>
                <c:pt idx="136">
                  <c:v>45126</c:v>
                </c:pt>
                <c:pt idx="137">
                  <c:v>45127</c:v>
                </c:pt>
                <c:pt idx="138">
                  <c:v>45128</c:v>
                </c:pt>
                <c:pt idx="139">
                  <c:v>45131</c:v>
                </c:pt>
                <c:pt idx="140">
                  <c:v>45132</c:v>
                </c:pt>
                <c:pt idx="141">
                  <c:v>45133</c:v>
                </c:pt>
                <c:pt idx="142">
                  <c:v>45134</c:v>
                </c:pt>
                <c:pt idx="143">
                  <c:v>45135</c:v>
                </c:pt>
                <c:pt idx="144">
                  <c:v>45138</c:v>
                </c:pt>
                <c:pt idx="145">
                  <c:v>45139</c:v>
                </c:pt>
                <c:pt idx="146">
                  <c:v>45140</c:v>
                </c:pt>
                <c:pt idx="147">
                  <c:v>45141</c:v>
                </c:pt>
                <c:pt idx="148">
                  <c:v>45142</c:v>
                </c:pt>
                <c:pt idx="149">
                  <c:v>45145</c:v>
                </c:pt>
                <c:pt idx="150">
                  <c:v>45146</c:v>
                </c:pt>
                <c:pt idx="151">
                  <c:v>45147</c:v>
                </c:pt>
                <c:pt idx="152">
                  <c:v>45148</c:v>
                </c:pt>
                <c:pt idx="153">
                  <c:v>45149</c:v>
                </c:pt>
                <c:pt idx="154">
                  <c:v>45152</c:v>
                </c:pt>
                <c:pt idx="155">
                  <c:v>45153</c:v>
                </c:pt>
                <c:pt idx="156">
                  <c:v>45154</c:v>
                </c:pt>
                <c:pt idx="157">
                  <c:v>45155</c:v>
                </c:pt>
                <c:pt idx="158">
                  <c:v>45156</c:v>
                </c:pt>
                <c:pt idx="159">
                  <c:v>45159</c:v>
                </c:pt>
                <c:pt idx="160">
                  <c:v>45160</c:v>
                </c:pt>
                <c:pt idx="161">
                  <c:v>45161</c:v>
                </c:pt>
                <c:pt idx="162">
                  <c:v>45162</c:v>
                </c:pt>
                <c:pt idx="163">
                  <c:v>45163</c:v>
                </c:pt>
                <c:pt idx="164">
                  <c:v>45166</c:v>
                </c:pt>
                <c:pt idx="165">
                  <c:v>45167</c:v>
                </c:pt>
                <c:pt idx="166">
                  <c:v>45168</c:v>
                </c:pt>
                <c:pt idx="167">
                  <c:v>45169</c:v>
                </c:pt>
                <c:pt idx="168">
                  <c:v>45170</c:v>
                </c:pt>
                <c:pt idx="169">
                  <c:v>45174</c:v>
                </c:pt>
                <c:pt idx="170">
                  <c:v>45175</c:v>
                </c:pt>
                <c:pt idx="171">
                  <c:v>45176</c:v>
                </c:pt>
                <c:pt idx="172">
                  <c:v>45177</c:v>
                </c:pt>
                <c:pt idx="173">
                  <c:v>45180</c:v>
                </c:pt>
                <c:pt idx="174">
                  <c:v>45181</c:v>
                </c:pt>
                <c:pt idx="175">
                  <c:v>45182</c:v>
                </c:pt>
                <c:pt idx="176">
                  <c:v>45183</c:v>
                </c:pt>
                <c:pt idx="177">
                  <c:v>45184</c:v>
                </c:pt>
                <c:pt idx="178">
                  <c:v>45187</c:v>
                </c:pt>
                <c:pt idx="179">
                  <c:v>45188</c:v>
                </c:pt>
                <c:pt idx="180">
                  <c:v>45189</c:v>
                </c:pt>
                <c:pt idx="181">
                  <c:v>45190</c:v>
                </c:pt>
                <c:pt idx="182">
                  <c:v>45191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45201</c:v>
                </c:pt>
                <c:pt idx="189">
                  <c:v>45202</c:v>
                </c:pt>
                <c:pt idx="190">
                  <c:v>45203</c:v>
                </c:pt>
                <c:pt idx="191">
                  <c:v>45204</c:v>
                </c:pt>
                <c:pt idx="192">
                  <c:v>45205</c:v>
                </c:pt>
                <c:pt idx="193">
                  <c:v>45209</c:v>
                </c:pt>
                <c:pt idx="194">
                  <c:v>45210</c:v>
                </c:pt>
                <c:pt idx="195">
                  <c:v>45211</c:v>
                </c:pt>
                <c:pt idx="196">
                  <c:v>45212</c:v>
                </c:pt>
                <c:pt idx="197">
                  <c:v>45215</c:v>
                </c:pt>
                <c:pt idx="198">
                  <c:v>45216</c:v>
                </c:pt>
                <c:pt idx="199">
                  <c:v>45217</c:v>
                </c:pt>
                <c:pt idx="200">
                  <c:v>45218</c:v>
                </c:pt>
                <c:pt idx="201">
                  <c:v>45219</c:v>
                </c:pt>
                <c:pt idx="202">
                  <c:v>45222</c:v>
                </c:pt>
                <c:pt idx="203">
                  <c:v>45223</c:v>
                </c:pt>
                <c:pt idx="204">
                  <c:v>45224</c:v>
                </c:pt>
                <c:pt idx="205">
                  <c:v>45225</c:v>
                </c:pt>
                <c:pt idx="206">
                  <c:v>45226</c:v>
                </c:pt>
                <c:pt idx="207">
                  <c:v>45229</c:v>
                </c:pt>
                <c:pt idx="208">
                  <c:v>45230</c:v>
                </c:pt>
                <c:pt idx="209">
                  <c:v>45231</c:v>
                </c:pt>
                <c:pt idx="210">
                  <c:v>45232</c:v>
                </c:pt>
                <c:pt idx="211">
                  <c:v>45233</c:v>
                </c:pt>
                <c:pt idx="212">
                  <c:v>45236</c:v>
                </c:pt>
                <c:pt idx="213">
                  <c:v>45237</c:v>
                </c:pt>
                <c:pt idx="214">
                  <c:v>45238</c:v>
                </c:pt>
                <c:pt idx="215">
                  <c:v>45239</c:v>
                </c:pt>
                <c:pt idx="216">
                  <c:v>45240</c:v>
                </c:pt>
                <c:pt idx="217">
                  <c:v>45243</c:v>
                </c:pt>
                <c:pt idx="218">
                  <c:v>45244</c:v>
                </c:pt>
                <c:pt idx="219">
                  <c:v>45245</c:v>
                </c:pt>
                <c:pt idx="220">
                  <c:v>45246</c:v>
                </c:pt>
                <c:pt idx="221">
                  <c:v>45247</c:v>
                </c:pt>
                <c:pt idx="222">
                  <c:v>45250</c:v>
                </c:pt>
                <c:pt idx="223">
                  <c:v>45251</c:v>
                </c:pt>
                <c:pt idx="224">
                  <c:v>45252</c:v>
                </c:pt>
                <c:pt idx="225">
                  <c:v>45254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45264</c:v>
                </c:pt>
                <c:pt idx="232">
                  <c:v>45265</c:v>
                </c:pt>
                <c:pt idx="233">
                  <c:v>45266</c:v>
                </c:pt>
                <c:pt idx="234">
                  <c:v>45267</c:v>
                </c:pt>
                <c:pt idx="235">
                  <c:v>45268</c:v>
                </c:pt>
                <c:pt idx="236">
                  <c:v>45271</c:v>
                </c:pt>
                <c:pt idx="237">
                  <c:v>45272</c:v>
                </c:pt>
                <c:pt idx="238">
                  <c:v>45273</c:v>
                </c:pt>
                <c:pt idx="239">
                  <c:v>45274</c:v>
                </c:pt>
                <c:pt idx="240">
                  <c:v>45275</c:v>
                </c:pt>
                <c:pt idx="241">
                  <c:v>45278</c:v>
                </c:pt>
                <c:pt idx="242">
                  <c:v>45279</c:v>
                </c:pt>
                <c:pt idx="243">
                  <c:v>45280</c:v>
                </c:pt>
                <c:pt idx="244">
                  <c:v>45281</c:v>
                </c:pt>
                <c:pt idx="245">
                  <c:v>45282</c:v>
                </c:pt>
                <c:pt idx="246">
                  <c:v>45286</c:v>
                </c:pt>
                <c:pt idx="247">
                  <c:v>45287</c:v>
                </c:pt>
                <c:pt idx="248">
                  <c:v>45288</c:v>
                </c:pt>
                <c:pt idx="249">
                  <c:v>45289</c:v>
                </c:pt>
                <c:pt idx="250">
                  <c:v>45293</c:v>
                </c:pt>
                <c:pt idx="251">
                  <c:v>45294</c:v>
                </c:pt>
                <c:pt idx="252">
                  <c:v>45295</c:v>
                </c:pt>
                <c:pt idx="253">
                  <c:v>45296</c:v>
                </c:pt>
                <c:pt idx="254">
                  <c:v>45299</c:v>
                </c:pt>
                <c:pt idx="255">
                  <c:v>45300</c:v>
                </c:pt>
                <c:pt idx="256">
                  <c:v>45301</c:v>
                </c:pt>
                <c:pt idx="257">
                  <c:v>45302</c:v>
                </c:pt>
                <c:pt idx="258">
                  <c:v>45303</c:v>
                </c:pt>
                <c:pt idx="259">
                  <c:v>45307</c:v>
                </c:pt>
                <c:pt idx="260">
                  <c:v>45308</c:v>
                </c:pt>
                <c:pt idx="261">
                  <c:v>45309</c:v>
                </c:pt>
                <c:pt idx="262">
                  <c:v>45310</c:v>
                </c:pt>
                <c:pt idx="263">
                  <c:v>45313</c:v>
                </c:pt>
                <c:pt idx="264">
                  <c:v>45314</c:v>
                </c:pt>
                <c:pt idx="265">
                  <c:v>45315</c:v>
                </c:pt>
                <c:pt idx="266">
                  <c:v>45316</c:v>
                </c:pt>
                <c:pt idx="267">
                  <c:v>45317</c:v>
                </c:pt>
                <c:pt idx="268">
                  <c:v>45320</c:v>
                </c:pt>
                <c:pt idx="269">
                  <c:v>45321</c:v>
                </c:pt>
                <c:pt idx="270">
                  <c:v>45322</c:v>
                </c:pt>
                <c:pt idx="271">
                  <c:v>45323</c:v>
                </c:pt>
                <c:pt idx="272">
                  <c:v>45324</c:v>
                </c:pt>
                <c:pt idx="273">
                  <c:v>45327</c:v>
                </c:pt>
                <c:pt idx="274">
                  <c:v>45328</c:v>
                </c:pt>
                <c:pt idx="275">
                  <c:v>45329</c:v>
                </c:pt>
                <c:pt idx="276">
                  <c:v>45330</c:v>
                </c:pt>
                <c:pt idx="277">
                  <c:v>45331</c:v>
                </c:pt>
                <c:pt idx="278">
                  <c:v>45334</c:v>
                </c:pt>
                <c:pt idx="279">
                  <c:v>45335</c:v>
                </c:pt>
                <c:pt idx="280">
                  <c:v>45336</c:v>
                </c:pt>
                <c:pt idx="281">
                  <c:v>45337</c:v>
                </c:pt>
                <c:pt idx="282">
                  <c:v>45338</c:v>
                </c:pt>
                <c:pt idx="283">
                  <c:v>45342</c:v>
                </c:pt>
                <c:pt idx="284">
                  <c:v>45343</c:v>
                </c:pt>
                <c:pt idx="285">
                  <c:v>45344</c:v>
                </c:pt>
                <c:pt idx="286">
                  <c:v>45345</c:v>
                </c:pt>
                <c:pt idx="287">
                  <c:v>45348</c:v>
                </c:pt>
                <c:pt idx="288">
                  <c:v>45349</c:v>
                </c:pt>
                <c:pt idx="289">
                  <c:v>45350</c:v>
                </c:pt>
                <c:pt idx="290">
                  <c:v>45351</c:v>
                </c:pt>
                <c:pt idx="291">
                  <c:v>45352</c:v>
                </c:pt>
                <c:pt idx="292">
                  <c:v>45355</c:v>
                </c:pt>
                <c:pt idx="293">
                  <c:v>45356</c:v>
                </c:pt>
                <c:pt idx="294">
                  <c:v>45357</c:v>
                </c:pt>
                <c:pt idx="295">
                  <c:v>45358</c:v>
                </c:pt>
                <c:pt idx="296">
                  <c:v>45359</c:v>
                </c:pt>
                <c:pt idx="297">
                  <c:v>45362</c:v>
                </c:pt>
                <c:pt idx="298">
                  <c:v>45363</c:v>
                </c:pt>
                <c:pt idx="299">
                  <c:v>45364</c:v>
                </c:pt>
                <c:pt idx="300">
                  <c:v>45365</c:v>
                </c:pt>
                <c:pt idx="301">
                  <c:v>45366</c:v>
                </c:pt>
                <c:pt idx="302">
                  <c:v>45369</c:v>
                </c:pt>
                <c:pt idx="303">
                  <c:v>45370</c:v>
                </c:pt>
                <c:pt idx="304">
                  <c:v>45371</c:v>
                </c:pt>
                <c:pt idx="305">
                  <c:v>45372</c:v>
                </c:pt>
                <c:pt idx="306">
                  <c:v>45373</c:v>
                </c:pt>
                <c:pt idx="307">
                  <c:v>45376</c:v>
                </c:pt>
                <c:pt idx="308">
                  <c:v>45377</c:v>
                </c:pt>
                <c:pt idx="309">
                  <c:v>45378</c:v>
                </c:pt>
                <c:pt idx="310">
                  <c:v>45379</c:v>
                </c:pt>
                <c:pt idx="311">
                  <c:v>45383</c:v>
                </c:pt>
                <c:pt idx="312">
                  <c:v>45384</c:v>
                </c:pt>
                <c:pt idx="313">
                  <c:v>45385</c:v>
                </c:pt>
                <c:pt idx="314">
                  <c:v>45386</c:v>
                </c:pt>
                <c:pt idx="315">
                  <c:v>45387</c:v>
                </c:pt>
                <c:pt idx="316">
                  <c:v>45390</c:v>
                </c:pt>
                <c:pt idx="317">
                  <c:v>45391</c:v>
                </c:pt>
                <c:pt idx="318">
                  <c:v>45392</c:v>
                </c:pt>
                <c:pt idx="319">
                  <c:v>45393</c:v>
                </c:pt>
                <c:pt idx="320">
                  <c:v>45394</c:v>
                </c:pt>
                <c:pt idx="321">
                  <c:v>45397</c:v>
                </c:pt>
                <c:pt idx="322">
                  <c:v>45398</c:v>
                </c:pt>
                <c:pt idx="323">
                  <c:v>45399</c:v>
                </c:pt>
                <c:pt idx="324">
                  <c:v>45400</c:v>
                </c:pt>
                <c:pt idx="325">
                  <c:v>45401</c:v>
                </c:pt>
                <c:pt idx="326">
                  <c:v>45404</c:v>
                </c:pt>
                <c:pt idx="327">
                  <c:v>45405</c:v>
                </c:pt>
                <c:pt idx="328">
                  <c:v>45406</c:v>
                </c:pt>
                <c:pt idx="329">
                  <c:v>45407</c:v>
                </c:pt>
                <c:pt idx="330">
                  <c:v>45408</c:v>
                </c:pt>
                <c:pt idx="331">
                  <c:v>45411</c:v>
                </c:pt>
                <c:pt idx="332">
                  <c:v>45412</c:v>
                </c:pt>
                <c:pt idx="333">
                  <c:v>45413</c:v>
                </c:pt>
                <c:pt idx="334">
                  <c:v>45414</c:v>
                </c:pt>
                <c:pt idx="335">
                  <c:v>45415</c:v>
                </c:pt>
                <c:pt idx="336">
                  <c:v>45418</c:v>
                </c:pt>
                <c:pt idx="337">
                  <c:v>45419</c:v>
                </c:pt>
                <c:pt idx="338">
                  <c:v>45420</c:v>
                </c:pt>
                <c:pt idx="339">
                  <c:v>45421</c:v>
                </c:pt>
                <c:pt idx="340">
                  <c:v>45422</c:v>
                </c:pt>
                <c:pt idx="341">
                  <c:v>45425</c:v>
                </c:pt>
                <c:pt idx="342">
                  <c:v>45426</c:v>
                </c:pt>
                <c:pt idx="343">
                  <c:v>45427</c:v>
                </c:pt>
                <c:pt idx="344">
                  <c:v>45428</c:v>
                </c:pt>
                <c:pt idx="345">
                  <c:v>45429</c:v>
                </c:pt>
                <c:pt idx="346">
                  <c:v>45432</c:v>
                </c:pt>
                <c:pt idx="347">
                  <c:v>45433</c:v>
                </c:pt>
                <c:pt idx="348">
                  <c:v>45434</c:v>
                </c:pt>
                <c:pt idx="349">
                  <c:v>45435</c:v>
                </c:pt>
                <c:pt idx="350">
                  <c:v>45436</c:v>
                </c:pt>
                <c:pt idx="351">
                  <c:v>45440</c:v>
                </c:pt>
                <c:pt idx="352">
                  <c:v>45441</c:v>
                </c:pt>
                <c:pt idx="353">
                  <c:v>45442</c:v>
                </c:pt>
                <c:pt idx="354">
                  <c:v>45443</c:v>
                </c:pt>
                <c:pt idx="355">
                  <c:v>45446</c:v>
                </c:pt>
                <c:pt idx="356">
                  <c:v>45447</c:v>
                </c:pt>
                <c:pt idx="357">
                  <c:v>45448</c:v>
                </c:pt>
                <c:pt idx="358">
                  <c:v>45449</c:v>
                </c:pt>
                <c:pt idx="359">
                  <c:v>45450</c:v>
                </c:pt>
                <c:pt idx="360">
                  <c:v>45453</c:v>
                </c:pt>
                <c:pt idx="361">
                  <c:v>45454</c:v>
                </c:pt>
                <c:pt idx="362">
                  <c:v>45455</c:v>
                </c:pt>
                <c:pt idx="363">
                  <c:v>45456</c:v>
                </c:pt>
                <c:pt idx="364">
                  <c:v>45457</c:v>
                </c:pt>
                <c:pt idx="365">
                  <c:v>45460</c:v>
                </c:pt>
                <c:pt idx="366">
                  <c:v>45461</c:v>
                </c:pt>
                <c:pt idx="367">
                  <c:v>45463</c:v>
                </c:pt>
                <c:pt idx="368">
                  <c:v>45464</c:v>
                </c:pt>
                <c:pt idx="369">
                  <c:v>45467</c:v>
                </c:pt>
                <c:pt idx="370">
                  <c:v>45468</c:v>
                </c:pt>
                <c:pt idx="371">
                  <c:v>45469</c:v>
                </c:pt>
                <c:pt idx="372">
                  <c:v>45470</c:v>
                </c:pt>
                <c:pt idx="373">
                  <c:v>45471</c:v>
                </c:pt>
                <c:pt idx="374">
                  <c:v>45474</c:v>
                </c:pt>
                <c:pt idx="375">
                  <c:v>45475</c:v>
                </c:pt>
                <c:pt idx="376">
                  <c:v>45476</c:v>
                </c:pt>
                <c:pt idx="377">
                  <c:v>45478</c:v>
                </c:pt>
                <c:pt idx="378">
                  <c:v>45481</c:v>
                </c:pt>
                <c:pt idx="379">
                  <c:v>45482</c:v>
                </c:pt>
                <c:pt idx="380">
                  <c:v>45483</c:v>
                </c:pt>
                <c:pt idx="381">
                  <c:v>45484</c:v>
                </c:pt>
                <c:pt idx="382">
                  <c:v>45485</c:v>
                </c:pt>
                <c:pt idx="383">
                  <c:v>45488</c:v>
                </c:pt>
                <c:pt idx="384">
                  <c:v>45489</c:v>
                </c:pt>
                <c:pt idx="385">
                  <c:v>45490</c:v>
                </c:pt>
                <c:pt idx="386">
                  <c:v>45491</c:v>
                </c:pt>
                <c:pt idx="387">
                  <c:v>45492</c:v>
                </c:pt>
                <c:pt idx="388">
                  <c:v>45495</c:v>
                </c:pt>
                <c:pt idx="389">
                  <c:v>45496</c:v>
                </c:pt>
                <c:pt idx="390">
                  <c:v>45497</c:v>
                </c:pt>
                <c:pt idx="391">
                  <c:v>45498</c:v>
                </c:pt>
                <c:pt idx="392">
                  <c:v>45499</c:v>
                </c:pt>
                <c:pt idx="393">
                  <c:v>45502</c:v>
                </c:pt>
                <c:pt idx="394">
                  <c:v>45503</c:v>
                </c:pt>
                <c:pt idx="395">
                  <c:v>45504</c:v>
                </c:pt>
                <c:pt idx="396">
                  <c:v>45505</c:v>
                </c:pt>
                <c:pt idx="397">
                  <c:v>45506</c:v>
                </c:pt>
                <c:pt idx="398">
                  <c:v>45509</c:v>
                </c:pt>
                <c:pt idx="399">
                  <c:v>45510</c:v>
                </c:pt>
                <c:pt idx="400">
                  <c:v>45511</c:v>
                </c:pt>
                <c:pt idx="401">
                  <c:v>45512</c:v>
                </c:pt>
                <c:pt idx="402">
                  <c:v>45513</c:v>
                </c:pt>
                <c:pt idx="403">
                  <c:v>45516</c:v>
                </c:pt>
                <c:pt idx="404">
                  <c:v>45517</c:v>
                </c:pt>
                <c:pt idx="405">
                  <c:v>45518</c:v>
                </c:pt>
                <c:pt idx="406">
                  <c:v>45519</c:v>
                </c:pt>
                <c:pt idx="407">
                  <c:v>45520</c:v>
                </c:pt>
                <c:pt idx="408">
                  <c:v>45523</c:v>
                </c:pt>
                <c:pt idx="409">
                  <c:v>45524</c:v>
                </c:pt>
                <c:pt idx="410">
                  <c:v>45525</c:v>
                </c:pt>
                <c:pt idx="411">
                  <c:v>45526</c:v>
                </c:pt>
                <c:pt idx="412">
                  <c:v>45527</c:v>
                </c:pt>
                <c:pt idx="413">
                  <c:v>45530</c:v>
                </c:pt>
                <c:pt idx="414">
                  <c:v>45531</c:v>
                </c:pt>
                <c:pt idx="415">
                  <c:v>45532</c:v>
                </c:pt>
                <c:pt idx="416">
                  <c:v>45533</c:v>
                </c:pt>
                <c:pt idx="417">
                  <c:v>45534</c:v>
                </c:pt>
                <c:pt idx="418">
                  <c:v>45538</c:v>
                </c:pt>
                <c:pt idx="419">
                  <c:v>45539</c:v>
                </c:pt>
                <c:pt idx="420">
                  <c:v>45540</c:v>
                </c:pt>
                <c:pt idx="421">
                  <c:v>45541</c:v>
                </c:pt>
                <c:pt idx="422">
                  <c:v>45544</c:v>
                </c:pt>
                <c:pt idx="423">
                  <c:v>45545</c:v>
                </c:pt>
                <c:pt idx="424">
                  <c:v>45546</c:v>
                </c:pt>
                <c:pt idx="425">
                  <c:v>45547</c:v>
                </c:pt>
                <c:pt idx="426">
                  <c:v>45548</c:v>
                </c:pt>
                <c:pt idx="427">
                  <c:v>45551</c:v>
                </c:pt>
                <c:pt idx="428">
                  <c:v>45552</c:v>
                </c:pt>
                <c:pt idx="429">
                  <c:v>45553</c:v>
                </c:pt>
                <c:pt idx="430">
                  <c:v>45554</c:v>
                </c:pt>
                <c:pt idx="431">
                  <c:v>45555</c:v>
                </c:pt>
                <c:pt idx="432">
                  <c:v>45558</c:v>
                </c:pt>
                <c:pt idx="433">
                  <c:v>45559</c:v>
                </c:pt>
                <c:pt idx="434">
                  <c:v>45560</c:v>
                </c:pt>
                <c:pt idx="435">
                  <c:v>45561</c:v>
                </c:pt>
                <c:pt idx="436">
                  <c:v>45562</c:v>
                </c:pt>
                <c:pt idx="437">
                  <c:v>45565</c:v>
                </c:pt>
                <c:pt idx="438">
                  <c:v>45566</c:v>
                </c:pt>
                <c:pt idx="439">
                  <c:v>45567</c:v>
                </c:pt>
                <c:pt idx="440">
                  <c:v>45568</c:v>
                </c:pt>
                <c:pt idx="441">
                  <c:v>45569</c:v>
                </c:pt>
                <c:pt idx="442">
                  <c:v>45572</c:v>
                </c:pt>
                <c:pt idx="443">
                  <c:v>45573</c:v>
                </c:pt>
                <c:pt idx="444">
                  <c:v>45574</c:v>
                </c:pt>
                <c:pt idx="445">
                  <c:v>45575</c:v>
                </c:pt>
                <c:pt idx="446">
                  <c:v>45576</c:v>
                </c:pt>
                <c:pt idx="447">
                  <c:v>45580</c:v>
                </c:pt>
                <c:pt idx="448">
                  <c:v>45581</c:v>
                </c:pt>
                <c:pt idx="449">
                  <c:v>45582</c:v>
                </c:pt>
                <c:pt idx="450">
                  <c:v>45583</c:v>
                </c:pt>
                <c:pt idx="451">
                  <c:v>45586</c:v>
                </c:pt>
                <c:pt idx="452">
                  <c:v>45587</c:v>
                </c:pt>
                <c:pt idx="453">
                  <c:v>45588</c:v>
                </c:pt>
                <c:pt idx="454">
                  <c:v>45589</c:v>
                </c:pt>
                <c:pt idx="455">
                  <c:v>45590</c:v>
                </c:pt>
                <c:pt idx="456">
                  <c:v>45593</c:v>
                </c:pt>
                <c:pt idx="457">
                  <c:v>45594</c:v>
                </c:pt>
                <c:pt idx="458">
                  <c:v>45595</c:v>
                </c:pt>
                <c:pt idx="459">
                  <c:v>45596</c:v>
                </c:pt>
                <c:pt idx="460">
                  <c:v>45597</c:v>
                </c:pt>
                <c:pt idx="461">
                  <c:v>45600</c:v>
                </c:pt>
                <c:pt idx="462">
                  <c:v>45601</c:v>
                </c:pt>
                <c:pt idx="463">
                  <c:v>45602</c:v>
                </c:pt>
                <c:pt idx="464">
                  <c:v>45603</c:v>
                </c:pt>
                <c:pt idx="465">
                  <c:v>45604</c:v>
                </c:pt>
                <c:pt idx="466">
                  <c:v>45608</c:v>
                </c:pt>
                <c:pt idx="467">
                  <c:v>45609</c:v>
                </c:pt>
                <c:pt idx="468">
                  <c:v>45610</c:v>
                </c:pt>
                <c:pt idx="469">
                  <c:v>45611</c:v>
                </c:pt>
                <c:pt idx="470">
                  <c:v>45614</c:v>
                </c:pt>
                <c:pt idx="471">
                  <c:v>45615</c:v>
                </c:pt>
                <c:pt idx="472">
                  <c:v>45616</c:v>
                </c:pt>
                <c:pt idx="473">
                  <c:v>45617</c:v>
                </c:pt>
                <c:pt idx="474">
                  <c:v>45618</c:v>
                </c:pt>
                <c:pt idx="475">
                  <c:v>45621</c:v>
                </c:pt>
                <c:pt idx="476">
                  <c:v>45622</c:v>
                </c:pt>
                <c:pt idx="477">
                  <c:v>45623</c:v>
                </c:pt>
                <c:pt idx="478">
                  <c:v>45625</c:v>
                </c:pt>
                <c:pt idx="479">
                  <c:v>45628</c:v>
                </c:pt>
                <c:pt idx="480">
                  <c:v>45629</c:v>
                </c:pt>
                <c:pt idx="481">
                  <c:v>45630</c:v>
                </c:pt>
                <c:pt idx="482">
                  <c:v>45631</c:v>
                </c:pt>
                <c:pt idx="483">
                  <c:v>45632</c:v>
                </c:pt>
                <c:pt idx="484">
                  <c:v>45635</c:v>
                </c:pt>
                <c:pt idx="485">
                  <c:v>45636</c:v>
                </c:pt>
                <c:pt idx="486">
                  <c:v>45637</c:v>
                </c:pt>
                <c:pt idx="487">
                  <c:v>45638</c:v>
                </c:pt>
                <c:pt idx="488">
                  <c:v>45639</c:v>
                </c:pt>
                <c:pt idx="489">
                  <c:v>45642</c:v>
                </c:pt>
                <c:pt idx="490">
                  <c:v>45643</c:v>
                </c:pt>
                <c:pt idx="491">
                  <c:v>45644</c:v>
                </c:pt>
                <c:pt idx="492">
                  <c:v>45645</c:v>
                </c:pt>
                <c:pt idx="493">
                  <c:v>45646</c:v>
                </c:pt>
                <c:pt idx="494">
                  <c:v>45649</c:v>
                </c:pt>
                <c:pt idx="495">
                  <c:v>45650</c:v>
                </c:pt>
                <c:pt idx="496">
                  <c:v>45652</c:v>
                </c:pt>
                <c:pt idx="497">
                  <c:v>45653</c:v>
                </c:pt>
                <c:pt idx="498">
                  <c:v>45656</c:v>
                </c:pt>
                <c:pt idx="499">
                  <c:v>45657</c:v>
                </c:pt>
                <c:pt idx="500">
                  <c:v>45659</c:v>
                </c:pt>
                <c:pt idx="501">
                  <c:v>45660</c:v>
                </c:pt>
                <c:pt idx="502">
                  <c:v>45663</c:v>
                </c:pt>
                <c:pt idx="503">
                  <c:v>45664</c:v>
                </c:pt>
                <c:pt idx="504">
                  <c:v>45665</c:v>
                </c:pt>
                <c:pt idx="505">
                  <c:v>45666</c:v>
                </c:pt>
                <c:pt idx="506">
                  <c:v>45667</c:v>
                </c:pt>
                <c:pt idx="507">
                  <c:v>45670</c:v>
                </c:pt>
                <c:pt idx="508">
                  <c:v>45671</c:v>
                </c:pt>
                <c:pt idx="509">
                  <c:v>45672</c:v>
                </c:pt>
                <c:pt idx="510">
                  <c:v>45673</c:v>
                </c:pt>
                <c:pt idx="511">
                  <c:v>45674</c:v>
                </c:pt>
                <c:pt idx="512">
                  <c:v>45678</c:v>
                </c:pt>
                <c:pt idx="513">
                  <c:v>45679</c:v>
                </c:pt>
                <c:pt idx="514">
                  <c:v>45680</c:v>
                </c:pt>
                <c:pt idx="515">
                  <c:v>45681</c:v>
                </c:pt>
                <c:pt idx="516">
                  <c:v>45684</c:v>
                </c:pt>
                <c:pt idx="517">
                  <c:v>45685</c:v>
                </c:pt>
                <c:pt idx="518">
                  <c:v>45686</c:v>
                </c:pt>
                <c:pt idx="519">
                  <c:v>45687</c:v>
                </c:pt>
                <c:pt idx="520">
                  <c:v>45688</c:v>
                </c:pt>
                <c:pt idx="521">
                  <c:v>45691</c:v>
                </c:pt>
                <c:pt idx="522">
                  <c:v>45692</c:v>
                </c:pt>
                <c:pt idx="523">
                  <c:v>45693</c:v>
                </c:pt>
                <c:pt idx="524">
                  <c:v>45694</c:v>
                </c:pt>
                <c:pt idx="525">
                  <c:v>45695</c:v>
                </c:pt>
                <c:pt idx="526">
                  <c:v>45698</c:v>
                </c:pt>
                <c:pt idx="527">
                  <c:v>45699</c:v>
                </c:pt>
                <c:pt idx="528">
                  <c:v>45700</c:v>
                </c:pt>
                <c:pt idx="529">
                  <c:v>45701</c:v>
                </c:pt>
                <c:pt idx="530">
                  <c:v>45702</c:v>
                </c:pt>
                <c:pt idx="531">
                  <c:v>45706</c:v>
                </c:pt>
                <c:pt idx="532">
                  <c:v>45707</c:v>
                </c:pt>
                <c:pt idx="533">
                  <c:v>45708</c:v>
                </c:pt>
                <c:pt idx="534">
                  <c:v>45709</c:v>
                </c:pt>
                <c:pt idx="535">
                  <c:v>45712</c:v>
                </c:pt>
                <c:pt idx="536">
                  <c:v>45713</c:v>
                </c:pt>
                <c:pt idx="537">
                  <c:v>45714</c:v>
                </c:pt>
                <c:pt idx="538">
                  <c:v>45715</c:v>
                </c:pt>
                <c:pt idx="539">
                  <c:v>45716</c:v>
                </c:pt>
                <c:pt idx="540">
                  <c:v>45719</c:v>
                </c:pt>
                <c:pt idx="541">
                  <c:v>45720</c:v>
                </c:pt>
                <c:pt idx="542">
                  <c:v>45721</c:v>
                </c:pt>
                <c:pt idx="543">
                  <c:v>45722</c:v>
                </c:pt>
                <c:pt idx="544">
                  <c:v>45723</c:v>
                </c:pt>
                <c:pt idx="545">
                  <c:v>45726</c:v>
                </c:pt>
                <c:pt idx="546">
                  <c:v>45727</c:v>
                </c:pt>
                <c:pt idx="547">
                  <c:v>45728</c:v>
                </c:pt>
                <c:pt idx="548">
                  <c:v>45729</c:v>
                </c:pt>
                <c:pt idx="549">
                  <c:v>45730</c:v>
                </c:pt>
                <c:pt idx="550">
                  <c:v>45733</c:v>
                </c:pt>
                <c:pt idx="551">
                  <c:v>45734</c:v>
                </c:pt>
                <c:pt idx="552">
                  <c:v>45735</c:v>
                </c:pt>
                <c:pt idx="553">
                  <c:v>45736</c:v>
                </c:pt>
                <c:pt idx="554">
                  <c:v>45737</c:v>
                </c:pt>
                <c:pt idx="555">
                  <c:v>45740</c:v>
                </c:pt>
                <c:pt idx="556">
                  <c:v>45741</c:v>
                </c:pt>
                <c:pt idx="557">
                  <c:v>45742</c:v>
                </c:pt>
                <c:pt idx="558">
                  <c:v>45743</c:v>
                </c:pt>
                <c:pt idx="559">
                  <c:v>45744</c:v>
                </c:pt>
                <c:pt idx="560">
                  <c:v>45747</c:v>
                </c:pt>
                <c:pt idx="561">
                  <c:v>45748</c:v>
                </c:pt>
                <c:pt idx="562">
                  <c:v>45749</c:v>
                </c:pt>
                <c:pt idx="563">
                  <c:v>45750</c:v>
                </c:pt>
                <c:pt idx="564">
                  <c:v>45751</c:v>
                </c:pt>
                <c:pt idx="565">
                  <c:v>45754</c:v>
                </c:pt>
                <c:pt idx="566">
                  <c:v>45755</c:v>
                </c:pt>
                <c:pt idx="567">
                  <c:v>45756</c:v>
                </c:pt>
                <c:pt idx="568">
                  <c:v>45757</c:v>
                </c:pt>
                <c:pt idx="569">
                  <c:v>45758</c:v>
                </c:pt>
                <c:pt idx="570">
                  <c:v>45761</c:v>
                </c:pt>
                <c:pt idx="571">
                  <c:v>45762</c:v>
                </c:pt>
                <c:pt idx="572">
                  <c:v>45763</c:v>
                </c:pt>
                <c:pt idx="573">
                  <c:v>45764</c:v>
                </c:pt>
                <c:pt idx="574">
                  <c:v>45768</c:v>
                </c:pt>
                <c:pt idx="575">
                  <c:v>45769</c:v>
                </c:pt>
                <c:pt idx="576">
                  <c:v>45770</c:v>
                </c:pt>
                <c:pt idx="577">
                  <c:v>45771</c:v>
                </c:pt>
                <c:pt idx="578">
                  <c:v>45772</c:v>
                </c:pt>
                <c:pt idx="579">
                  <c:v>45775</c:v>
                </c:pt>
                <c:pt idx="580">
                  <c:v>45776</c:v>
                </c:pt>
                <c:pt idx="581">
                  <c:v>45777</c:v>
                </c:pt>
                <c:pt idx="582">
                  <c:v>45778</c:v>
                </c:pt>
                <c:pt idx="583">
                  <c:v>45779</c:v>
                </c:pt>
                <c:pt idx="584">
                  <c:v>45782</c:v>
                </c:pt>
                <c:pt idx="585">
                  <c:v>45783</c:v>
                </c:pt>
                <c:pt idx="586">
                  <c:v>45784</c:v>
                </c:pt>
                <c:pt idx="587">
                  <c:v>45785</c:v>
                </c:pt>
                <c:pt idx="588">
                  <c:v>45786</c:v>
                </c:pt>
                <c:pt idx="589">
                  <c:v>45789</c:v>
                </c:pt>
                <c:pt idx="590">
                  <c:v>45790</c:v>
                </c:pt>
                <c:pt idx="591">
                  <c:v>45791</c:v>
                </c:pt>
                <c:pt idx="592">
                  <c:v>45792</c:v>
                </c:pt>
                <c:pt idx="593">
                  <c:v>45793</c:v>
                </c:pt>
                <c:pt idx="594">
                  <c:v>45796</c:v>
                </c:pt>
                <c:pt idx="595">
                  <c:v>45797</c:v>
                </c:pt>
                <c:pt idx="596">
                  <c:v>45798</c:v>
                </c:pt>
                <c:pt idx="597">
                  <c:v>45799</c:v>
                </c:pt>
                <c:pt idx="598">
                  <c:v>45800</c:v>
                </c:pt>
                <c:pt idx="599">
                  <c:v>45804</c:v>
                </c:pt>
                <c:pt idx="600">
                  <c:v>45805</c:v>
                </c:pt>
                <c:pt idx="601">
                  <c:v>45806</c:v>
                </c:pt>
                <c:pt idx="602">
                  <c:v>45807</c:v>
                </c:pt>
                <c:pt idx="603">
                  <c:v>45810</c:v>
                </c:pt>
                <c:pt idx="604">
                  <c:v>45811</c:v>
                </c:pt>
                <c:pt idx="605">
                  <c:v>45812</c:v>
                </c:pt>
                <c:pt idx="606">
                  <c:v>45813</c:v>
                </c:pt>
                <c:pt idx="607">
                  <c:v>45814</c:v>
                </c:pt>
                <c:pt idx="608">
                  <c:v>45817</c:v>
                </c:pt>
                <c:pt idx="609">
                  <c:v>45818</c:v>
                </c:pt>
                <c:pt idx="610">
                  <c:v>45819</c:v>
                </c:pt>
                <c:pt idx="611">
                  <c:v>45820</c:v>
                </c:pt>
                <c:pt idx="612">
                  <c:v>45821</c:v>
                </c:pt>
                <c:pt idx="613">
                  <c:v>45824</c:v>
                </c:pt>
                <c:pt idx="614">
                  <c:v>45825</c:v>
                </c:pt>
                <c:pt idx="615">
                  <c:v>45826</c:v>
                </c:pt>
                <c:pt idx="616">
                  <c:v>45828</c:v>
                </c:pt>
                <c:pt idx="617">
                  <c:v>45831</c:v>
                </c:pt>
                <c:pt idx="618">
                  <c:v>45832</c:v>
                </c:pt>
                <c:pt idx="619">
                  <c:v>45833</c:v>
                </c:pt>
                <c:pt idx="620">
                  <c:v>45834</c:v>
                </c:pt>
                <c:pt idx="621">
                  <c:v>45835</c:v>
                </c:pt>
                <c:pt idx="622">
                  <c:v>45838</c:v>
                </c:pt>
                <c:pt idx="623">
                  <c:v>45839</c:v>
                </c:pt>
                <c:pt idx="624">
                  <c:v>45840</c:v>
                </c:pt>
                <c:pt idx="625">
                  <c:v>45841</c:v>
                </c:pt>
                <c:pt idx="626">
                  <c:v>45845</c:v>
                </c:pt>
                <c:pt idx="627">
                  <c:v>45846</c:v>
                </c:pt>
                <c:pt idx="628">
                  <c:v>45847</c:v>
                </c:pt>
                <c:pt idx="629">
                  <c:v>45848</c:v>
                </c:pt>
                <c:pt idx="630">
                  <c:v>45849</c:v>
                </c:pt>
                <c:pt idx="631">
                  <c:v>45852</c:v>
                </c:pt>
                <c:pt idx="632">
                  <c:v>45853</c:v>
                </c:pt>
                <c:pt idx="633">
                  <c:v>45854</c:v>
                </c:pt>
                <c:pt idx="634">
                  <c:v>45855</c:v>
                </c:pt>
                <c:pt idx="635">
                  <c:v>45856</c:v>
                </c:pt>
                <c:pt idx="636">
                  <c:v>45859</c:v>
                </c:pt>
                <c:pt idx="637">
                  <c:v>45860</c:v>
                </c:pt>
                <c:pt idx="638">
                  <c:v>45861</c:v>
                </c:pt>
                <c:pt idx="639">
                  <c:v>45862</c:v>
                </c:pt>
                <c:pt idx="640">
                  <c:v>45863</c:v>
                </c:pt>
                <c:pt idx="641">
                  <c:v>45866</c:v>
                </c:pt>
                <c:pt idx="642">
                  <c:v>45867</c:v>
                </c:pt>
                <c:pt idx="643">
                  <c:v>45868</c:v>
                </c:pt>
                <c:pt idx="644">
                  <c:v>45869</c:v>
                </c:pt>
                <c:pt idx="645">
                  <c:v>45870</c:v>
                </c:pt>
                <c:pt idx="646">
                  <c:v>45873</c:v>
                </c:pt>
                <c:pt idx="647">
                  <c:v>45874</c:v>
                </c:pt>
                <c:pt idx="648">
                  <c:v>45875</c:v>
                </c:pt>
                <c:pt idx="649">
                  <c:v>45876</c:v>
                </c:pt>
                <c:pt idx="650">
                  <c:v>45877</c:v>
                </c:pt>
                <c:pt idx="651">
                  <c:v>45880</c:v>
                </c:pt>
                <c:pt idx="652">
                  <c:v>45881</c:v>
                </c:pt>
                <c:pt idx="653">
                  <c:v>45882</c:v>
                </c:pt>
                <c:pt idx="654">
                  <c:v>45883</c:v>
                </c:pt>
                <c:pt idx="655">
                  <c:v>45884</c:v>
                </c:pt>
                <c:pt idx="656">
                  <c:v>45887</c:v>
                </c:pt>
                <c:pt idx="657">
                  <c:v>45888</c:v>
                </c:pt>
                <c:pt idx="658">
                  <c:v>45889</c:v>
                </c:pt>
                <c:pt idx="659">
                  <c:v>45890</c:v>
                </c:pt>
                <c:pt idx="660">
                  <c:v>45891</c:v>
                </c:pt>
                <c:pt idx="661">
                  <c:v>45894</c:v>
                </c:pt>
                <c:pt idx="662">
                  <c:v>45895</c:v>
                </c:pt>
                <c:pt idx="663">
                  <c:v>45896</c:v>
                </c:pt>
                <c:pt idx="664">
                  <c:v>45897</c:v>
                </c:pt>
                <c:pt idx="665">
                  <c:v>45898</c:v>
                </c:pt>
                <c:pt idx="666">
                  <c:v>45902</c:v>
                </c:pt>
                <c:pt idx="667">
                  <c:v>45903</c:v>
                </c:pt>
                <c:pt idx="668">
                  <c:v>45904</c:v>
                </c:pt>
                <c:pt idx="669">
                  <c:v>45905</c:v>
                </c:pt>
                <c:pt idx="670">
                  <c:v>45908</c:v>
                </c:pt>
                <c:pt idx="671">
                  <c:v>45909</c:v>
                </c:pt>
                <c:pt idx="672">
                  <c:v>45910</c:v>
                </c:pt>
                <c:pt idx="673">
                  <c:v>45911</c:v>
                </c:pt>
                <c:pt idx="674">
                  <c:v>45912</c:v>
                </c:pt>
                <c:pt idx="675">
                  <c:v>45915</c:v>
                </c:pt>
                <c:pt idx="676">
                  <c:v>45916</c:v>
                </c:pt>
                <c:pt idx="677">
                  <c:v>45917</c:v>
                </c:pt>
                <c:pt idx="678">
                  <c:v>45918</c:v>
                </c:pt>
                <c:pt idx="679">
                  <c:v>45919</c:v>
                </c:pt>
                <c:pt idx="680">
                  <c:v>45922</c:v>
                </c:pt>
                <c:pt idx="681">
                  <c:v>45923</c:v>
                </c:pt>
                <c:pt idx="682">
                  <c:v>45924</c:v>
                </c:pt>
                <c:pt idx="683">
                  <c:v>45925</c:v>
                </c:pt>
                <c:pt idx="684">
                  <c:v>45926</c:v>
                </c:pt>
                <c:pt idx="685">
                  <c:v>45929</c:v>
                </c:pt>
                <c:pt idx="686">
                  <c:v>45930</c:v>
                </c:pt>
                <c:pt idx="687">
                  <c:v>45931</c:v>
                </c:pt>
                <c:pt idx="688">
                  <c:v>45932</c:v>
                </c:pt>
                <c:pt idx="689">
                  <c:v>45933</c:v>
                </c:pt>
                <c:pt idx="690">
                  <c:v>45936</c:v>
                </c:pt>
                <c:pt idx="691">
                  <c:v>45937</c:v>
                </c:pt>
                <c:pt idx="692">
                  <c:v>45938</c:v>
                </c:pt>
                <c:pt idx="693">
                  <c:v>45939</c:v>
                </c:pt>
                <c:pt idx="694">
                  <c:v>45940</c:v>
                </c:pt>
                <c:pt idx="695">
                  <c:v>45944</c:v>
                </c:pt>
                <c:pt idx="696">
                  <c:v>45945</c:v>
                </c:pt>
                <c:pt idx="697">
                  <c:v>45946</c:v>
                </c:pt>
                <c:pt idx="698">
                  <c:v>45947</c:v>
                </c:pt>
                <c:pt idx="699">
                  <c:v>45950</c:v>
                </c:pt>
                <c:pt idx="700">
                  <c:v>45951</c:v>
                </c:pt>
                <c:pt idx="701">
                  <c:v>45952</c:v>
                </c:pt>
                <c:pt idx="702">
                  <c:v>45953</c:v>
                </c:pt>
                <c:pt idx="703">
                  <c:v>45954</c:v>
                </c:pt>
                <c:pt idx="704">
                  <c:v>45957</c:v>
                </c:pt>
                <c:pt idx="705">
                  <c:v>45958</c:v>
                </c:pt>
                <c:pt idx="706">
                  <c:v>45959</c:v>
                </c:pt>
                <c:pt idx="707">
                  <c:v>45960</c:v>
                </c:pt>
                <c:pt idx="708">
                  <c:v>45961</c:v>
                </c:pt>
                <c:pt idx="709">
                  <c:v>45964</c:v>
                </c:pt>
                <c:pt idx="710">
                  <c:v>45965</c:v>
                </c:pt>
                <c:pt idx="711">
                  <c:v>45966</c:v>
                </c:pt>
                <c:pt idx="712">
                  <c:v>45967</c:v>
                </c:pt>
                <c:pt idx="713">
                  <c:v>45968</c:v>
                </c:pt>
                <c:pt idx="714">
                  <c:v>45971</c:v>
                </c:pt>
                <c:pt idx="715">
                  <c:v>45973</c:v>
                </c:pt>
                <c:pt idx="716">
                  <c:v>45974</c:v>
                </c:pt>
                <c:pt idx="717">
                  <c:v>45975</c:v>
                </c:pt>
                <c:pt idx="718">
                  <c:v>45978</c:v>
                </c:pt>
                <c:pt idx="719">
                  <c:v>45979</c:v>
                </c:pt>
                <c:pt idx="720">
                  <c:v>45980</c:v>
                </c:pt>
                <c:pt idx="721">
                  <c:v>45981</c:v>
                </c:pt>
                <c:pt idx="722">
                  <c:v>45982</c:v>
                </c:pt>
                <c:pt idx="723">
                  <c:v>45985</c:v>
                </c:pt>
                <c:pt idx="724">
                  <c:v>45986</c:v>
                </c:pt>
                <c:pt idx="725">
                  <c:v>45987</c:v>
                </c:pt>
                <c:pt idx="726">
                  <c:v>45989</c:v>
                </c:pt>
                <c:pt idx="727">
                  <c:v>45992</c:v>
                </c:pt>
                <c:pt idx="728">
                  <c:v>45993</c:v>
                </c:pt>
                <c:pt idx="729">
                  <c:v>45994</c:v>
                </c:pt>
                <c:pt idx="730">
                  <c:v>45995</c:v>
                </c:pt>
                <c:pt idx="731">
                  <c:v>45996</c:v>
                </c:pt>
                <c:pt idx="732">
                  <c:v>45999</c:v>
                </c:pt>
                <c:pt idx="733">
                  <c:v>46000</c:v>
                </c:pt>
                <c:pt idx="734">
                  <c:v>46001</c:v>
                </c:pt>
                <c:pt idx="735">
                  <c:v>46002</c:v>
                </c:pt>
                <c:pt idx="736">
                  <c:v>46003</c:v>
                </c:pt>
                <c:pt idx="737">
                  <c:v>46006</c:v>
                </c:pt>
                <c:pt idx="738">
                  <c:v>46007</c:v>
                </c:pt>
                <c:pt idx="739">
                  <c:v>46008</c:v>
                </c:pt>
                <c:pt idx="740">
                  <c:v>46009</c:v>
                </c:pt>
                <c:pt idx="741">
                  <c:v>46010</c:v>
                </c:pt>
                <c:pt idx="742">
                  <c:v>46013</c:v>
                </c:pt>
                <c:pt idx="743">
                  <c:v>46014</c:v>
                </c:pt>
                <c:pt idx="744">
                  <c:v>46015</c:v>
                </c:pt>
                <c:pt idx="745">
                  <c:v>46017</c:v>
                </c:pt>
                <c:pt idx="746">
                  <c:v>46020</c:v>
                </c:pt>
                <c:pt idx="747">
                  <c:v>46021</c:v>
                </c:pt>
                <c:pt idx="748">
                  <c:v>46022</c:v>
                </c:pt>
                <c:pt idx="749">
                  <c:v>46024</c:v>
                </c:pt>
                <c:pt idx="750">
                  <c:v>46027</c:v>
                </c:pt>
                <c:pt idx="751">
                  <c:v>46028</c:v>
                </c:pt>
                <c:pt idx="752">
                  <c:v>46029</c:v>
                </c:pt>
                <c:pt idx="753">
                  <c:v>46030</c:v>
                </c:pt>
                <c:pt idx="754">
                  <c:v>46031</c:v>
                </c:pt>
                <c:pt idx="755">
                  <c:v>46034</c:v>
                </c:pt>
                <c:pt idx="756">
                  <c:v>46035</c:v>
                </c:pt>
                <c:pt idx="757">
                  <c:v>46036</c:v>
                </c:pt>
                <c:pt idx="758">
                  <c:v>46037</c:v>
                </c:pt>
                <c:pt idx="759">
                  <c:v>46038</c:v>
                </c:pt>
                <c:pt idx="760">
                  <c:v>46042</c:v>
                </c:pt>
                <c:pt idx="761">
                  <c:v>46043</c:v>
                </c:pt>
                <c:pt idx="762">
                  <c:v>46044</c:v>
                </c:pt>
                <c:pt idx="763">
                  <c:v>46045</c:v>
                </c:pt>
                <c:pt idx="764">
                  <c:v>46048</c:v>
                </c:pt>
                <c:pt idx="765">
                  <c:v>46049</c:v>
                </c:pt>
                <c:pt idx="766">
                  <c:v>46050</c:v>
                </c:pt>
                <c:pt idx="767">
                  <c:v>46051</c:v>
                </c:pt>
                <c:pt idx="768">
                  <c:v>46052</c:v>
                </c:pt>
                <c:pt idx="769">
                  <c:v>46055</c:v>
                </c:pt>
                <c:pt idx="770">
                  <c:v>46056</c:v>
                </c:pt>
                <c:pt idx="771">
                  <c:v>46057</c:v>
                </c:pt>
                <c:pt idx="772">
                  <c:v>46058</c:v>
                </c:pt>
                <c:pt idx="773">
                  <c:v>46059</c:v>
                </c:pt>
                <c:pt idx="774">
                  <c:v>46062</c:v>
                </c:pt>
                <c:pt idx="775">
                  <c:v>46063</c:v>
                </c:pt>
                <c:pt idx="776">
                  <c:v>46064</c:v>
                </c:pt>
                <c:pt idx="777">
                  <c:v>46065</c:v>
                </c:pt>
                <c:pt idx="778">
                  <c:v>46066</c:v>
                </c:pt>
                <c:pt idx="779">
                  <c:v>46070</c:v>
                </c:pt>
                <c:pt idx="780">
                  <c:v>46071</c:v>
                </c:pt>
                <c:pt idx="781">
                  <c:v>46072</c:v>
                </c:pt>
                <c:pt idx="782">
                  <c:v>46073</c:v>
                </c:pt>
                <c:pt idx="783">
                  <c:v>46076</c:v>
                </c:pt>
                <c:pt idx="784">
                  <c:v>46077</c:v>
                </c:pt>
                <c:pt idx="785">
                  <c:v>46078</c:v>
                </c:pt>
                <c:pt idx="786">
                  <c:v>46079</c:v>
                </c:pt>
                <c:pt idx="787">
                  <c:v>46080</c:v>
                </c:pt>
                <c:pt idx="788">
                  <c:v>46083</c:v>
                </c:pt>
                <c:pt idx="789">
                  <c:v>46084</c:v>
                </c:pt>
                <c:pt idx="790">
                  <c:v>46085</c:v>
                </c:pt>
                <c:pt idx="791">
                  <c:v>46086</c:v>
                </c:pt>
                <c:pt idx="792">
                  <c:v>46087</c:v>
                </c:pt>
                <c:pt idx="793">
                  <c:v>46090</c:v>
                </c:pt>
                <c:pt idx="794">
                  <c:v>46091</c:v>
                </c:pt>
                <c:pt idx="795">
                  <c:v>46092</c:v>
                </c:pt>
                <c:pt idx="796">
                  <c:v>46093</c:v>
                </c:pt>
                <c:pt idx="797">
                  <c:v>46094</c:v>
                </c:pt>
                <c:pt idx="798">
                  <c:v>46097</c:v>
                </c:pt>
                <c:pt idx="799">
                  <c:v>46098</c:v>
                </c:pt>
                <c:pt idx="800">
                  <c:v>46099</c:v>
                </c:pt>
                <c:pt idx="801">
                  <c:v>46100</c:v>
                </c:pt>
                <c:pt idx="802">
                  <c:v>46101</c:v>
                </c:pt>
                <c:pt idx="803">
                  <c:v>46104</c:v>
                </c:pt>
                <c:pt idx="804">
                  <c:v>46105</c:v>
                </c:pt>
                <c:pt idx="805">
                  <c:v>46106</c:v>
                </c:pt>
                <c:pt idx="806">
                  <c:v>46107</c:v>
                </c:pt>
                <c:pt idx="807">
                  <c:v>46108</c:v>
                </c:pt>
                <c:pt idx="808">
                  <c:v>46111</c:v>
                </c:pt>
                <c:pt idx="809">
                  <c:v>46112</c:v>
                </c:pt>
                <c:pt idx="810">
                  <c:v>46113</c:v>
                </c:pt>
                <c:pt idx="811">
                  <c:v>46114</c:v>
                </c:pt>
                <c:pt idx="812">
                  <c:v>46115</c:v>
                </c:pt>
                <c:pt idx="813">
                  <c:v>46118</c:v>
                </c:pt>
                <c:pt idx="814">
                  <c:v>46119</c:v>
                </c:pt>
                <c:pt idx="815">
                  <c:v>46120</c:v>
                </c:pt>
                <c:pt idx="816">
                  <c:v>46121</c:v>
                </c:pt>
                <c:pt idx="817">
                  <c:v>46122</c:v>
                </c:pt>
                <c:pt idx="818">
                  <c:v>46125</c:v>
                </c:pt>
                <c:pt idx="819">
                  <c:v>46126</c:v>
                </c:pt>
                <c:pt idx="820">
                  <c:v>46127</c:v>
                </c:pt>
                <c:pt idx="821">
                  <c:v>46128</c:v>
                </c:pt>
                <c:pt idx="822">
                  <c:v>46129</c:v>
                </c:pt>
                <c:pt idx="823">
                  <c:v>46132</c:v>
                </c:pt>
                <c:pt idx="824">
                  <c:v>46133</c:v>
                </c:pt>
                <c:pt idx="825">
                  <c:v>46134</c:v>
                </c:pt>
                <c:pt idx="826">
                  <c:v>46135</c:v>
                </c:pt>
                <c:pt idx="827">
                  <c:v>46136</c:v>
                </c:pt>
                <c:pt idx="828">
                  <c:v>46139</c:v>
                </c:pt>
                <c:pt idx="829">
                  <c:v>46140</c:v>
                </c:pt>
                <c:pt idx="830">
                  <c:v>46141</c:v>
                </c:pt>
                <c:pt idx="831">
                  <c:v>46142</c:v>
                </c:pt>
                <c:pt idx="832">
                  <c:v>46143</c:v>
                </c:pt>
                <c:pt idx="833">
                  <c:v>46146</c:v>
                </c:pt>
                <c:pt idx="834">
                  <c:v>46147</c:v>
                </c:pt>
                <c:pt idx="835">
                  <c:v>46148</c:v>
                </c:pt>
                <c:pt idx="836">
                  <c:v>46149</c:v>
                </c:pt>
                <c:pt idx="837">
                  <c:v>46150</c:v>
                </c:pt>
                <c:pt idx="838">
                  <c:v>46153</c:v>
                </c:pt>
                <c:pt idx="839">
                  <c:v>46154</c:v>
                </c:pt>
                <c:pt idx="840">
                  <c:v>46155</c:v>
                </c:pt>
                <c:pt idx="841">
                  <c:v>46156</c:v>
                </c:pt>
                <c:pt idx="842">
                  <c:v>46157</c:v>
                </c:pt>
                <c:pt idx="843">
                  <c:v>46160</c:v>
                </c:pt>
                <c:pt idx="844">
                  <c:v>46161</c:v>
                </c:pt>
                <c:pt idx="845">
                  <c:v>46162</c:v>
                </c:pt>
                <c:pt idx="846">
                  <c:v>46163</c:v>
                </c:pt>
                <c:pt idx="847">
                  <c:v>46164</c:v>
                </c:pt>
                <c:pt idx="848">
                  <c:v>46168</c:v>
                </c:pt>
                <c:pt idx="849">
                  <c:v>46169</c:v>
                </c:pt>
                <c:pt idx="850">
                  <c:v>46170</c:v>
                </c:pt>
                <c:pt idx="851">
                  <c:v>46171</c:v>
                </c:pt>
                <c:pt idx="852">
                  <c:v>46174</c:v>
                </c:pt>
                <c:pt idx="853">
                  <c:v>46175</c:v>
                </c:pt>
                <c:pt idx="854">
                  <c:v>46176</c:v>
                </c:pt>
                <c:pt idx="855">
                  <c:v>46177</c:v>
                </c:pt>
                <c:pt idx="856">
                  <c:v>46178</c:v>
                </c:pt>
                <c:pt idx="857">
                  <c:v>46181</c:v>
                </c:pt>
                <c:pt idx="858">
                  <c:v>46182</c:v>
                </c:pt>
                <c:pt idx="859">
                  <c:v>46183</c:v>
                </c:pt>
                <c:pt idx="860">
                  <c:v>46184</c:v>
                </c:pt>
                <c:pt idx="861">
                  <c:v>46185</c:v>
                </c:pt>
                <c:pt idx="862">
                  <c:v>46188</c:v>
                </c:pt>
                <c:pt idx="863">
                  <c:v>46189</c:v>
                </c:pt>
                <c:pt idx="864">
                  <c:v>46190</c:v>
                </c:pt>
                <c:pt idx="865">
                  <c:v>46191</c:v>
                </c:pt>
                <c:pt idx="866">
                  <c:v>46195</c:v>
                </c:pt>
                <c:pt idx="867">
                  <c:v>46196</c:v>
                </c:pt>
                <c:pt idx="868">
                  <c:v>46197</c:v>
                </c:pt>
                <c:pt idx="869">
                  <c:v>46198</c:v>
                </c:pt>
                <c:pt idx="870">
                  <c:v>46199</c:v>
                </c:pt>
                <c:pt idx="871">
                  <c:v>46202</c:v>
                </c:pt>
                <c:pt idx="872">
                  <c:v>46203</c:v>
                </c:pt>
                <c:pt idx="873">
                  <c:v>46204</c:v>
                </c:pt>
                <c:pt idx="874">
                  <c:v>46205</c:v>
                </c:pt>
                <c:pt idx="875">
                  <c:v>46209</c:v>
                </c:pt>
                <c:pt idx="876">
                  <c:v>46210</c:v>
                </c:pt>
                <c:pt idx="877">
                  <c:v>46211</c:v>
                </c:pt>
                <c:pt idx="878">
                  <c:v>46212</c:v>
                </c:pt>
                <c:pt idx="879">
                  <c:v>46213</c:v>
                </c:pt>
                <c:pt idx="880">
                  <c:v>46216</c:v>
                </c:pt>
                <c:pt idx="881">
                  <c:v>46217</c:v>
                </c:pt>
                <c:pt idx="882">
                  <c:v>46218</c:v>
                </c:pt>
                <c:pt idx="883">
                  <c:v>46219</c:v>
                </c:pt>
                <c:pt idx="884">
                  <c:v>46220</c:v>
                </c:pt>
                <c:pt idx="885">
                  <c:v>46223</c:v>
                </c:pt>
                <c:pt idx="886">
                  <c:v>46224</c:v>
                </c:pt>
                <c:pt idx="887">
                  <c:v>46225</c:v>
                </c:pt>
                <c:pt idx="888">
                  <c:v>46226</c:v>
                </c:pt>
                <c:pt idx="889">
                  <c:v>46227</c:v>
                </c:pt>
                <c:pt idx="890">
                  <c:v>46230</c:v>
                </c:pt>
                <c:pt idx="891">
                  <c:v>46231</c:v>
                </c:pt>
                <c:pt idx="892">
                  <c:v>46232</c:v>
                </c:pt>
                <c:pt idx="893">
                  <c:v>46233</c:v>
                </c:pt>
                <c:pt idx="894">
                  <c:v>46234</c:v>
                </c:pt>
                <c:pt idx="895">
                  <c:v>46237</c:v>
                </c:pt>
                <c:pt idx="896">
                  <c:v>46238</c:v>
                </c:pt>
                <c:pt idx="897">
                  <c:v>46239</c:v>
                </c:pt>
                <c:pt idx="898">
                  <c:v>46240</c:v>
                </c:pt>
                <c:pt idx="899">
                  <c:v>46241</c:v>
                </c:pt>
                <c:pt idx="900">
                  <c:v>46244</c:v>
                </c:pt>
                <c:pt idx="901">
                  <c:v>46245</c:v>
                </c:pt>
                <c:pt idx="902">
                  <c:v>46246</c:v>
                </c:pt>
                <c:pt idx="903">
                  <c:v>46247</c:v>
                </c:pt>
                <c:pt idx="904">
                  <c:v>46248</c:v>
                </c:pt>
                <c:pt idx="905">
                  <c:v>46251</c:v>
                </c:pt>
                <c:pt idx="906">
                  <c:v>46252</c:v>
                </c:pt>
                <c:pt idx="907">
                  <c:v>46253</c:v>
                </c:pt>
                <c:pt idx="908">
                  <c:v>46254</c:v>
                </c:pt>
                <c:pt idx="909">
                  <c:v>46255</c:v>
                </c:pt>
              </c:numCache>
            </c:numRef>
          </c:cat>
          <c:val>
            <c:numRef>
              <c:f>[0]!EBAND_L</c:f>
              <c:numCache>
                <c:formatCode>0.0</c:formatCode>
                <c:ptCount val="910"/>
                <c:pt idx="0">
                  <c:v>0</c:v>
                </c:pt>
                <c:pt idx="1">
                  <c:v>-43.61396103067888</c:v>
                </c:pt>
                <c:pt idx="2">
                  <c:v>-44.192798610415636</c:v>
                </c:pt>
                <c:pt idx="3">
                  <c:v>-44.126983752196239</c:v>
                </c:pt>
                <c:pt idx="4">
                  <c:v>-43.58257569495585</c:v>
                </c:pt>
                <c:pt idx="5">
                  <c:v>-43.012647471641998</c:v>
                </c:pt>
                <c:pt idx="6">
                  <c:v>-42.776885840040933</c:v>
                </c:pt>
                <c:pt idx="7">
                  <c:v>-43.039679346069654</c:v>
                </c:pt>
                <c:pt idx="8">
                  <c:v>-43.781796333257525</c:v>
                </c:pt>
                <c:pt idx="9">
                  <c:v>-43.504198392432357</c:v>
                </c:pt>
                <c:pt idx="10">
                  <c:v>-44.185156448583442</c:v>
                </c:pt>
                <c:pt idx="11">
                  <c:v>-44.997752439546687</c:v>
                </c:pt>
                <c:pt idx="12">
                  <c:v>-45.054588336957863</c:v>
                </c:pt>
                <c:pt idx="13">
                  <c:v>-45.293787731093801</c:v>
                </c:pt>
                <c:pt idx="14">
                  <c:v>-45.164183741320727</c:v>
                </c:pt>
                <c:pt idx="15">
                  <c:v>-45.007013250774804</c:v>
                </c:pt>
                <c:pt idx="16">
                  <c:v>-44.864768878987725</c:v>
                </c:pt>
                <c:pt idx="17">
                  <c:v>-44.704131295229367</c:v>
                </c:pt>
                <c:pt idx="18">
                  <c:v>-44.587894733148794</c:v>
                </c:pt>
                <c:pt idx="19">
                  <c:v>-44.513962287433785</c:v>
                </c:pt>
                <c:pt idx="20">
                  <c:v>-44.685863092547024</c:v>
                </c:pt>
                <c:pt idx="21">
                  <c:v>-44.697583464630299</c:v>
                </c:pt>
                <c:pt idx="22">
                  <c:v>-44.90453466682829</c:v>
                </c:pt>
                <c:pt idx="23">
                  <c:v>-44.947642051925541</c:v>
                </c:pt>
                <c:pt idx="24">
                  <c:v>-44.982482904638601</c:v>
                </c:pt>
                <c:pt idx="25">
                  <c:v>-45.280376925859784</c:v>
                </c:pt>
                <c:pt idx="26">
                  <c:v>-45.534380379460003</c:v>
                </c:pt>
                <c:pt idx="27">
                  <c:v>-45.529878214086693</c:v>
                </c:pt>
                <c:pt idx="28">
                  <c:v>-45.615117209899587</c:v>
                </c:pt>
                <c:pt idx="29">
                  <c:v>-45.689288263714481</c:v>
                </c:pt>
                <c:pt idx="30">
                  <c:v>-45.672646960337367</c:v>
                </c:pt>
                <c:pt idx="31">
                  <c:v>-45.593038860873818</c:v>
                </c:pt>
                <c:pt idx="32">
                  <c:v>-45.550758337906132</c:v>
                </c:pt>
                <c:pt idx="33">
                  <c:v>-45.5872950891196</c:v>
                </c:pt>
                <c:pt idx="34">
                  <c:v>-45.643188700892367</c:v>
                </c:pt>
                <c:pt idx="35">
                  <c:v>-45.577564553072222</c:v>
                </c:pt>
                <c:pt idx="36">
                  <c:v>-45.503158469081995</c:v>
                </c:pt>
                <c:pt idx="37">
                  <c:v>-45.575948993405753</c:v>
                </c:pt>
                <c:pt idx="38">
                  <c:v>-45.786263250840328</c:v>
                </c:pt>
                <c:pt idx="39">
                  <c:v>-45.752579474305051</c:v>
                </c:pt>
                <c:pt idx="40">
                  <c:v>-45.733172462069341</c:v>
                </c:pt>
                <c:pt idx="41">
                  <c:v>-45.673247442195162</c:v>
                </c:pt>
                <c:pt idx="42">
                  <c:v>-45.667985574934896</c:v>
                </c:pt>
                <c:pt idx="43">
                  <c:v>-46.080119700037997</c:v>
                </c:pt>
                <c:pt idx="44">
                  <c:v>-46.647827823745594</c:v>
                </c:pt>
                <c:pt idx="45">
                  <c:v>-46.857666105630095</c:v>
                </c:pt>
                <c:pt idx="46">
                  <c:v>-46.965881325414372</c:v>
                </c:pt>
                <c:pt idx="47">
                  <c:v>-47.466644133990123</c:v>
                </c:pt>
                <c:pt idx="48">
                  <c:v>-47.586692419286308</c:v>
                </c:pt>
                <c:pt idx="49">
                  <c:v>-48.021363018646177</c:v>
                </c:pt>
                <c:pt idx="50">
                  <c:v>-47.982253272322119</c:v>
                </c:pt>
                <c:pt idx="51">
                  <c:v>-48.21887337525515</c:v>
                </c:pt>
                <c:pt idx="52">
                  <c:v>-48.408264377904459</c:v>
                </c:pt>
                <c:pt idx="53">
                  <c:v>-48.352630489127336</c:v>
                </c:pt>
                <c:pt idx="54">
                  <c:v>-48.362049455721767</c:v>
                </c:pt>
                <c:pt idx="55">
                  <c:v>-48.406045999670852</c:v>
                </c:pt>
                <c:pt idx="56">
                  <c:v>-48.485267604681603</c:v>
                </c:pt>
                <c:pt idx="57">
                  <c:v>-48.522768458951916</c:v>
                </c:pt>
                <c:pt idx="58">
                  <c:v>-48.478402247124563</c:v>
                </c:pt>
                <c:pt idx="59">
                  <c:v>-48.401244007899379</c:v>
                </c:pt>
                <c:pt idx="60">
                  <c:v>-48.314904549863435</c:v>
                </c:pt>
                <c:pt idx="61">
                  <c:v>-48.230414181630564</c:v>
                </c:pt>
                <c:pt idx="62">
                  <c:v>-48.14587729951711</c:v>
                </c:pt>
                <c:pt idx="63">
                  <c:v>-48.064791156071223</c:v>
                </c:pt>
                <c:pt idx="64">
                  <c:v>-47.98364352202568</c:v>
                </c:pt>
                <c:pt idx="65">
                  <c:v>-47.90456613830294</c:v>
                </c:pt>
                <c:pt idx="66">
                  <c:v>-47.847227092177874</c:v>
                </c:pt>
                <c:pt idx="67">
                  <c:v>-47.79113442165108</c:v>
                </c:pt>
                <c:pt idx="68">
                  <c:v>-47.728758650335585</c:v>
                </c:pt>
                <c:pt idx="69">
                  <c:v>-47.658344066843519</c:v>
                </c:pt>
                <c:pt idx="70">
                  <c:v>-47.587162837275315</c:v>
                </c:pt>
                <c:pt idx="71">
                  <c:v>-47.523564676171354</c:v>
                </c:pt>
                <c:pt idx="72">
                  <c:v>-47.466863991873652</c:v>
                </c:pt>
                <c:pt idx="73">
                  <c:v>-47.438133118770295</c:v>
                </c:pt>
                <c:pt idx="74">
                  <c:v>-47.421932242012495</c:v>
                </c:pt>
                <c:pt idx="75">
                  <c:v>-47.383393833898175</c:v>
                </c:pt>
                <c:pt idx="76">
                  <c:v>-47.345504662102229</c:v>
                </c:pt>
                <c:pt idx="77">
                  <c:v>-47.30824673865812</c:v>
                </c:pt>
                <c:pt idx="78">
                  <c:v>-47.264964405314494</c:v>
                </c:pt>
                <c:pt idx="79">
                  <c:v>-47.20659330760143</c:v>
                </c:pt>
                <c:pt idx="80">
                  <c:v>-47.149294806067218</c:v>
                </c:pt>
                <c:pt idx="81">
                  <c:v>-47.137467639033382</c:v>
                </c:pt>
                <c:pt idx="82">
                  <c:v>-47.096516592368488</c:v>
                </c:pt>
                <c:pt idx="83">
                  <c:v>-47.064225202490114</c:v>
                </c:pt>
                <c:pt idx="84">
                  <c:v>-47.052855493331947</c:v>
                </c:pt>
                <c:pt idx="85">
                  <c:v>-47.000648579530086</c:v>
                </c:pt>
                <c:pt idx="86">
                  <c:v>-46.962369619254972</c:v>
                </c:pt>
                <c:pt idx="87">
                  <c:v>-46.924721969289685</c:v>
                </c:pt>
                <c:pt idx="88">
                  <c:v>-46.887688354514609</c:v>
                </c:pt>
                <c:pt idx="89">
                  <c:v>-46.890223635425116</c:v>
                </c:pt>
                <c:pt idx="90">
                  <c:v>-46.892260208770296</c:v>
                </c:pt>
                <c:pt idx="91">
                  <c:v>-46.893824572881442</c:v>
                </c:pt>
                <c:pt idx="92">
                  <c:v>-46.883451741908786</c:v>
                </c:pt>
                <c:pt idx="93">
                  <c:v>-46.897143126411869</c:v>
                </c:pt>
                <c:pt idx="94">
                  <c:v>-46.924127419506306</c:v>
                </c:pt>
                <c:pt idx="95">
                  <c:v>-46.936057003643604</c:v>
                </c:pt>
                <c:pt idx="96">
                  <c:v>-46.924321472238283</c:v>
                </c:pt>
                <c:pt idx="97">
                  <c:v>-46.903381891981397</c:v>
                </c:pt>
                <c:pt idx="98">
                  <c:v>-46.882646504089557</c:v>
                </c:pt>
                <c:pt idx="99">
                  <c:v>-46.862112788397141</c:v>
                </c:pt>
                <c:pt idx="100">
                  <c:v>-46.872593838318259</c:v>
                </c:pt>
                <c:pt idx="101">
                  <c:v>-46.960976597120265</c:v>
                </c:pt>
                <c:pt idx="102">
                  <c:v>-47.238604186031509</c:v>
                </c:pt>
                <c:pt idx="103">
                  <c:v>-47.474460055459581</c:v>
                </c:pt>
                <c:pt idx="104">
                  <c:v>-47.649580193452799</c:v>
                </c:pt>
                <c:pt idx="105">
                  <c:v>-47.947088194184104</c:v>
                </c:pt>
                <c:pt idx="106">
                  <c:v>-48.151231000234638</c:v>
                </c:pt>
                <c:pt idx="107">
                  <c:v>-48.370897651026617</c:v>
                </c:pt>
                <c:pt idx="108">
                  <c:v>-48.474496384888035</c:v>
                </c:pt>
                <c:pt idx="109">
                  <c:v>-48.612921579961139</c:v>
                </c:pt>
                <c:pt idx="110">
                  <c:v>-48.810731890174353</c:v>
                </c:pt>
                <c:pt idx="111">
                  <c:v>-48.957633456097298</c:v>
                </c:pt>
                <c:pt idx="112">
                  <c:v>-49.044014665887104</c:v>
                </c:pt>
                <c:pt idx="113">
                  <c:v>-49.222823082949212</c:v>
                </c:pt>
                <c:pt idx="114">
                  <c:v>-49.512422889292345</c:v>
                </c:pt>
                <c:pt idx="115">
                  <c:v>-49.764222879975527</c:v>
                </c:pt>
                <c:pt idx="116">
                  <c:v>-50.0292898050822</c:v>
                </c:pt>
                <c:pt idx="117">
                  <c:v>-50.332078870228088</c:v>
                </c:pt>
                <c:pt idx="118">
                  <c:v>-50.621378872679131</c:v>
                </c:pt>
                <c:pt idx="119">
                  <c:v>-50.898233928364974</c:v>
                </c:pt>
                <c:pt idx="120">
                  <c:v>-51.140870586791664</c:v>
                </c:pt>
                <c:pt idx="121">
                  <c:v>-51.374040838653897</c:v>
                </c:pt>
                <c:pt idx="122">
                  <c:v>-51.739082062815129</c:v>
                </c:pt>
                <c:pt idx="123">
                  <c:v>-52.062947613840592</c:v>
                </c:pt>
                <c:pt idx="124">
                  <c:v>-52.396836468646406</c:v>
                </c:pt>
                <c:pt idx="125">
                  <c:v>-52.693546226827593</c:v>
                </c:pt>
                <c:pt idx="126">
                  <c:v>-52.793361931517197</c:v>
                </c:pt>
                <c:pt idx="127">
                  <c:v>-52.786892551635113</c:v>
                </c:pt>
                <c:pt idx="128">
                  <c:v>-52.759090521783584</c:v>
                </c:pt>
                <c:pt idx="129">
                  <c:v>-52.737808276117079</c:v>
                </c:pt>
                <c:pt idx="130">
                  <c:v>-52.758471029713917</c:v>
                </c:pt>
                <c:pt idx="131">
                  <c:v>-52.811676313171262</c:v>
                </c:pt>
                <c:pt idx="132">
                  <c:v>-52.875685200451606</c:v>
                </c:pt>
                <c:pt idx="133">
                  <c:v>-52.993469583840962</c:v>
                </c:pt>
                <c:pt idx="134">
                  <c:v>-53.191300310912325</c:v>
                </c:pt>
                <c:pt idx="135">
                  <c:v>-53.365039396891177</c:v>
                </c:pt>
                <c:pt idx="136">
                  <c:v>-53.587200098066461</c:v>
                </c:pt>
                <c:pt idx="137">
                  <c:v>-53.688095943231794</c:v>
                </c:pt>
                <c:pt idx="138">
                  <c:v>-53.8465417024142</c:v>
                </c:pt>
                <c:pt idx="139">
                  <c:v>-53.941057299458834</c:v>
                </c:pt>
                <c:pt idx="140">
                  <c:v>-53.995722918941283</c:v>
                </c:pt>
                <c:pt idx="141">
                  <c:v>-54.128098029402139</c:v>
                </c:pt>
                <c:pt idx="142">
                  <c:v>-54.148263117701745</c:v>
                </c:pt>
                <c:pt idx="143">
                  <c:v>-54.198116491817615</c:v>
                </c:pt>
                <c:pt idx="144">
                  <c:v>-54.2260468184259</c:v>
                </c:pt>
                <c:pt idx="145">
                  <c:v>-54.227114773539384</c:v>
                </c:pt>
                <c:pt idx="146">
                  <c:v>-54.20193700653374</c:v>
                </c:pt>
                <c:pt idx="147">
                  <c:v>-54.155009772903085</c:v>
                </c:pt>
                <c:pt idx="148">
                  <c:v>-54.130454522993794</c:v>
                </c:pt>
                <c:pt idx="149">
                  <c:v>-54.09011610229404</c:v>
                </c:pt>
                <c:pt idx="150">
                  <c:v>-54.071534362374194</c:v>
                </c:pt>
                <c:pt idx="151">
                  <c:v>-54.107529018066955</c:v>
                </c:pt>
                <c:pt idx="152">
                  <c:v>-54.078665514556683</c:v>
                </c:pt>
                <c:pt idx="153">
                  <c:v>-54.037081432440026</c:v>
                </c:pt>
                <c:pt idx="154">
                  <c:v>-54.004721536862988</c:v>
                </c:pt>
                <c:pt idx="155">
                  <c:v>-53.961018594243427</c:v>
                </c:pt>
                <c:pt idx="156">
                  <c:v>-53.917730741786443</c:v>
                </c:pt>
                <c:pt idx="157">
                  <c:v>-53.882777241651986</c:v>
                </c:pt>
                <c:pt idx="158">
                  <c:v>-53.841126896506253</c:v>
                </c:pt>
                <c:pt idx="159">
                  <c:v>-53.809693528006136</c:v>
                </c:pt>
                <c:pt idx="160">
                  <c:v>-53.77217434986413</c:v>
                </c:pt>
                <c:pt idx="161">
                  <c:v>-53.733786341185692</c:v>
                </c:pt>
                <c:pt idx="162">
                  <c:v>-53.692637899811174</c:v>
                </c:pt>
                <c:pt idx="163">
                  <c:v>-53.65314660574245</c:v>
                </c:pt>
                <c:pt idx="164">
                  <c:v>-53.624735221202073</c:v>
                </c:pt>
                <c:pt idx="165">
                  <c:v>-53.59307058036508</c:v>
                </c:pt>
                <c:pt idx="166">
                  <c:v>-53.573783677375786</c:v>
                </c:pt>
                <c:pt idx="167">
                  <c:v>-53.546058245786739</c:v>
                </c:pt>
                <c:pt idx="168">
                  <c:v>-53.506253339897924</c:v>
                </c:pt>
                <c:pt idx="169">
                  <c:v>-53.468196316773955</c:v>
                </c:pt>
                <c:pt idx="170">
                  <c:v>-53.430376089387551</c:v>
                </c:pt>
                <c:pt idx="171">
                  <c:v>-53.39630791299431</c:v>
                </c:pt>
                <c:pt idx="172">
                  <c:v>-53.357994411707736</c:v>
                </c:pt>
                <c:pt idx="173">
                  <c:v>-53.324244143288979</c:v>
                </c:pt>
                <c:pt idx="174">
                  <c:v>-53.286417489144171</c:v>
                </c:pt>
                <c:pt idx="175">
                  <c:v>-53.248557187780889</c:v>
                </c:pt>
                <c:pt idx="176">
                  <c:v>-53.211232628190032</c:v>
                </c:pt>
                <c:pt idx="177">
                  <c:v>-53.17507113306192</c:v>
                </c:pt>
                <c:pt idx="178">
                  <c:v>-53.13833305129981</c:v>
                </c:pt>
                <c:pt idx="179">
                  <c:v>-53.103988981522001</c:v>
                </c:pt>
                <c:pt idx="180">
                  <c:v>-53.068628528990033</c:v>
                </c:pt>
                <c:pt idx="181">
                  <c:v>-53.058315420253983</c:v>
                </c:pt>
                <c:pt idx="182">
                  <c:v>-53.028339913375582</c:v>
                </c:pt>
                <c:pt idx="183">
                  <c:v>-53.041412824092539</c:v>
                </c:pt>
                <c:pt idx="184">
                  <c:v>-53.084615800612546</c:v>
                </c:pt>
                <c:pt idx="185">
                  <c:v>-53.133858918449498</c:v>
                </c:pt>
                <c:pt idx="186">
                  <c:v>-53.219505231220879</c:v>
                </c:pt>
                <c:pt idx="187">
                  <c:v>-53.289724865876366</c:v>
                </c:pt>
                <c:pt idx="188">
                  <c:v>-53.387126641810184</c:v>
                </c:pt>
                <c:pt idx="189">
                  <c:v>-53.565321207613948</c:v>
                </c:pt>
                <c:pt idx="190">
                  <c:v>-53.75993405119641</c:v>
                </c:pt>
                <c:pt idx="191">
                  <c:v>-53.915723711559423</c:v>
                </c:pt>
                <c:pt idx="192">
                  <c:v>-54.074733658209965</c:v>
                </c:pt>
                <c:pt idx="193">
                  <c:v>-54.200265369545122</c:v>
                </c:pt>
                <c:pt idx="194">
                  <c:v>-54.249522102327575</c:v>
                </c:pt>
                <c:pt idx="195">
                  <c:v>-54.331896796259507</c:v>
                </c:pt>
                <c:pt idx="196">
                  <c:v>-54.374270477305188</c:v>
                </c:pt>
                <c:pt idx="197">
                  <c:v>-54.430348720172844</c:v>
                </c:pt>
                <c:pt idx="198">
                  <c:v>-54.551003787402934</c:v>
                </c:pt>
                <c:pt idx="199">
                  <c:v>-54.789280555526958</c:v>
                </c:pt>
                <c:pt idx="200">
                  <c:v>-55.132604276739109</c:v>
                </c:pt>
                <c:pt idx="201">
                  <c:v>-55.437021819323149</c:v>
                </c:pt>
                <c:pt idx="202">
                  <c:v>-55.665802789578407</c:v>
                </c:pt>
                <c:pt idx="203">
                  <c:v>-55.907284794439384</c:v>
                </c:pt>
                <c:pt idx="204">
                  <c:v>-56.202912906289441</c:v>
                </c:pt>
                <c:pt idx="205">
                  <c:v>-56.426909814715515</c:v>
                </c:pt>
                <c:pt idx="206">
                  <c:v>-56.602376628113632</c:v>
                </c:pt>
                <c:pt idx="207">
                  <c:v>-56.802666245468593</c:v>
                </c:pt>
                <c:pt idx="208">
                  <c:v>-56.947793025584517</c:v>
                </c:pt>
                <c:pt idx="209">
                  <c:v>-57.065334051770748</c:v>
                </c:pt>
                <c:pt idx="210">
                  <c:v>-57.10307792985769</c:v>
                </c:pt>
                <c:pt idx="211">
                  <c:v>-57.13819269758099</c:v>
                </c:pt>
                <c:pt idx="212">
                  <c:v>-57.192040376719604</c:v>
                </c:pt>
                <c:pt idx="213">
                  <c:v>-57.19776189924513</c:v>
                </c:pt>
                <c:pt idx="214">
                  <c:v>-57.164048436083803</c:v>
                </c:pt>
                <c:pt idx="215">
                  <c:v>-57.140311397184931</c:v>
                </c:pt>
                <c:pt idx="216">
                  <c:v>-57.119952222010653</c:v>
                </c:pt>
                <c:pt idx="217">
                  <c:v>-57.116789112830247</c:v>
                </c:pt>
                <c:pt idx="218">
                  <c:v>-57.103284159242961</c:v>
                </c:pt>
                <c:pt idx="219">
                  <c:v>-57.093436787030882</c:v>
                </c:pt>
                <c:pt idx="220">
                  <c:v>-57.066792449376251</c:v>
                </c:pt>
                <c:pt idx="221">
                  <c:v>-57.030618771194291</c:v>
                </c:pt>
                <c:pt idx="222">
                  <c:v>-56.987547551029465</c:v>
                </c:pt>
                <c:pt idx="223">
                  <c:v>-56.946544585707301</c:v>
                </c:pt>
                <c:pt idx="224">
                  <c:v>-56.90778046006686</c:v>
                </c:pt>
                <c:pt idx="225">
                  <c:v>-56.874089201312501</c:v>
                </c:pt>
                <c:pt idx="226">
                  <c:v>-56.837609855206153</c:v>
                </c:pt>
                <c:pt idx="227">
                  <c:v>-56.806502902759284</c:v>
                </c:pt>
                <c:pt idx="228">
                  <c:v>-56.785061253671124</c:v>
                </c:pt>
                <c:pt idx="229">
                  <c:v>-56.766875019945573</c:v>
                </c:pt>
                <c:pt idx="230">
                  <c:v>-56.752043627856438</c:v>
                </c:pt>
                <c:pt idx="231">
                  <c:v>-56.740657451922374</c:v>
                </c:pt>
                <c:pt idx="232">
                  <c:v>-56.728530512717903</c:v>
                </c:pt>
                <c:pt idx="233">
                  <c:v>-56.692807232913907</c:v>
                </c:pt>
                <c:pt idx="234">
                  <c:v>-56.665309016143048</c:v>
                </c:pt>
                <c:pt idx="235">
                  <c:v>-56.634568918696637</c:v>
                </c:pt>
                <c:pt idx="236">
                  <c:v>-56.600944359071732</c:v>
                </c:pt>
                <c:pt idx="237">
                  <c:v>-56.556110551939227</c:v>
                </c:pt>
                <c:pt idx="238">
                  <c:v>-56.522435126184064</c:v>
                </c:pt>
                <c:pt idx="239">
                  <c:v>-56.49125988174508</c:v>
                </c:pt>
                <c:pt idx="240">
                  <c:v>-56.447915661015031</c:v>
                </c:pt>
                <c:pt idx="241">
                  <c:v>-56.411730896032324</c:v>
                </c:pt>
                <c:pt idx="242">
                  <c:v>-56.37551560975561</c:v>
                </c:pt>
                <c:pt idx="243">
                  <c:v>-56.335415034844516</c:v>
                </c:pt>
                <c:pt idx="244">
                  <c:v>-56.299202862159461</c:v>
                </c:pt>
                <c:pt idx="245">
                  <c:v>-56.267633188181712</c:v>
                </c:pt>
                <c:pt idx="246">
                  <c:v>-56.247804136114091</c:v>
                </c:pt>
                <c:pt idx="247">
                  <c:v>-56.213482530022148</c:v>
                </c:pt>
                <c:pt idx="248">
                  <c:v>-56.181451272037947</c:v>
                </c:pt>
                <c:pt idx="249">
                  <c:v>-56.167808738904057</c:v>
                </c:pt>
                <c:pt idx="250">
                  <c:v>-56.150020271548968</c:v>
                </c:pt>
                <c:pt idx="251">
                  <c:v>-56.117345526173622</c:v>
                </c:pt>
                <c:pt idx="252">
                  <c:v>-56.136565739135918</c:v>
                </c:pt>
                <c:pt idx="253">
                  <c:v>-56.146066534076795</c:v>
                </c:pt>
                <c:pt idx="254">
                  <c:v>-56.148748441758414</c:v>
                </c:pt>
                <c:pt idx="255">
                  <c:v>-56.153834479747118</c:v>
                </c:pt>
                <c:pt idx="256">
                  <c:v>-56.167421251716945</c:v>
                </c:pt>
                <c:pt idx="257">
                  <c:v>-56.191140558668749</c:v>
                </c:pt>
                <c:pt idx="258">
                  <c:v>-56.232760999419028</c:v>
                </c:pt>
                <c:pt idx="259">
                  <c:v>-56.284494593162044</c:v>
                </c:pt>
                <c:pt idx="260">
                  <c:v>-56.287251029048285</c:v>
                </c:pt>
                <c:pt idx="261">
                  <c:v>-56.326236585448882</c:v>
                </c:pt>
                <c:pt idx="262">
                  <c:v>-56.32148004001877</c:v>
                </c:pt>
                <c:pt idx="263">
                  <c:v>-56.298020655958155</c:v>
                </c:pt>
                <c:pt idx="264">
                  <c:v>-56.316188505312695</c:v>
                </c:pt>
                <c:pt idx="265">
                  <c:v>-56.333692364773199</c:v>
                </c:pt>
                <c:pt idx="266">
                  <c:v>-56.370338146411115</c:v>
                </c:pt>
                <c:pt idx="267">
                  <c:v>-56.388991617007761</c:v>
                </c:pt>
                <c:pt idx="268">
                  <c:v>-56.397650905581052</c:v>
                </c:pt>
                <c:pt idx="269">
                  <c:v>-56.386732372251899</c:v>
                </c:pt>
                <c:pt idx="270">
                  <c:v>-56.370791460765915</c:v>
                </c:pt>
                <c:pt idx="271">
                  <c:v>-56.340642942364553</c:v>
                </c:pt>
                <c:pt idx="272">
                  <c:v>-56.300370390406229</c:v>
                </c:pt>
                <c:pt idx="273">
                  <c:v>-56.281402535015651</c:v>
                </c:pt>
                <c:pt idx="274">
                  <c:v>-56.239023913343821</c:v>
                </c:pt>
                <c:pt idx="275">
                  <c:v>-56.196454990752578</c:v>
                </c:pt>
                <c:pt idx="276">
                  <c:v>-56.156867099766245</c:v>
                </c:pt>
                <c:pt idx="277">
                  <c:v>-56.098817276793383</c:v>
                </c:pt>
                <c:pt idx="278">
                  <c:v>-56.044426448145089</c:v>
                </c:pt>
                <c:pt idx="279">
                  <c:v>-56.011345741505579</c:v>
                </c:pt>
                <c:pt idx="280">
                  <c:v>-55.970315701610922</c:v>
                </c:pt>
                <c:pt idx="281">
                  <c:v>-55.920191549737694</c:v>
                </c:pt>
                <c:pt idx="282">
                  <c:v>-55.88104406997688</c:v>
                </c:pt>
                <c:pt idx="283">
                  <c:v>-55.853992035600498</c:v>
                </c:pt>
                <c:pt idx="284">
                  <c:v>-55.817396383316932</c:v>
                </c:pt>
                <c:pt idx="285">
                  <c:v>-55.81030800641426</c:v>
                </c:pt>
                <c:pt idx="286">
                  <c:v>-55.801435185421361</c:v>
                </c:pt>
                <c:pt idx="287">
                  <c:v>-55.778576862637493</c:v>
                </c:pt>
                <c:pt idx="288">
                  <c:v>-55.745732591551487</c:v>
                </c:pt>
                <c:pt idx="289">
                  <c:v>-55.688366972966001</c:v>
                </c:pt>
                <c:pt idx="290">
                  <c:v>-55.609754678277987</c:v>
                </c:pt>
                <c:pt idx="291">
                  <c:v>-55.567152991744386</c:v>
                </c:pt>
                <c:pt idx="292">
                  <c:v>-55.547599979083472</c:v>
                </c:pt>
                <c:pt idx="293">
                  <c:v>-55.503027307557822</c:v>
                </c:pt>
                <c:pt idx="294">
                  <c:v>-55.442551513800311</c:v>
                </c:pt>
                <c:pt idx="295">
                  <c:v>-55.329182231827595</c:v>
                </c:pt>
                <c:pt idx="296">
                  <c:v>-55.194187689039055</c:v>
                </c:pt>
                <c:pt idx="297">
                  <c:v>-55.091546297168783</c:v>
                </c:pt>
                <c:pt idx="298">
                  <c:v>-55.000332618955113</c:v>
                </c:pt>
                <c:pt idx="299">
                  <c:v>-54.999210751921467</c:v>
                </c:pt>
                <c:pt idx="300">
                  <c:v>-54.992761838037438</c:v>
                </c:pt>
                <c:pt idx="301">
                  <c:v>-54.9962995784188</c:v>
                </c:pt>
                <c:pt idx="302">
                  <c:v>-54.984154107887235</c:v>
                </c:pt>
                <c:pt idx="303">
                  <c:v>-54.987602873826255</c:v>
                </c:pt>
                <c:pt idx="304">
                  <c:v>-54.994055404047046</c:v>
                </c:pt>
                <c:pt idx="305">
                  <c:v>-54.982195081527074</c:v>
                </c:pt>
                <c:pt idx="306">
                  <c:v>-54.97641291467643</c:v>
                </c:pt>
                <c:pt idx="307">
                  <c:v>-54.987284408940901</c:v>
                </c:pt>
                <c:pt idx="308">
                  <c:v>-54.995670484419755</c:v>
                </c:pt>
                <c:pt idx="309">
                  <c:v>-54.99892801161397</c:v>
                </c:pt>
                <c:pt idx="310">
                  <c:v>-54.991329995787297</c:v>
                </c:pt>
                <c:pt idx="311">
                  <c:v>-54.976512525459221</c:v>
                </c:pt>
                <c:pt idx="312">
                  <c:v>-54.961377020664081</c:v>
                </c:pt>
                <c:pt idx="313">
                  <c:v>-54.939622131264109</c:v>
                </c:pt>
                <c:pt idx="314">
                  <c:v>-54.918514031367351</c:v>
                </c:pt>
                <c:pt idx="315">
                  <c:v>-54.901688479379629</c:v>
                </c:pt>
                <c:pt idx="316">
                  <c:v>-54.881140456102678</c:v>
                </c:pt>
                <c:pt idx="317">
                  <c:v>-54.852490109970113</c:v>
                </c:pt>
                <c:pt idx="318">
                  <c:v>-54.808945096556279</c:v>
                </c:pt>
                <c:pt idx="319">
                  <c:v>-54.773309568027926</c:v>
                </c:pt>
                <c:pt idx="320">
                  <c:v>-54.735376132841083</c:v>
                </c:pt>
                <c:pt idx="321">
                  <c:v>-54.723204040198183</c:v>
                </c:pt>
                <c:pt idx="322">
                  <c:v>-54.720233865036001</c:v>
                </c:pt>
                <c:pt idx="323">
                  <c:v>-54.689278531507213</c:v>
                </c:pt>
                <c:pt idx="324">
                  <c:v>-54.657792256676785</c:v>
                </c:pt>
                <c:pt idx="325">
                  <c:v>-54.609468382233651</c:v>
                </c:pt>
                <c:pt idx="326">
                  <c:v>-54.55515767440636</c:v>
                </c:pt>
                <c:pt idx="327">
                  <c:v>-54.532306347521597</c:v>
                </c:pt>
                <c:pt idx="328">
                  <c:v>-54.507819236268787</c:v>
                </c:pt>
                <c:pt idx="329">
                  <c:v>-54.47830206010056</c:v>
                </c:pt>
                <c:pt idx="330">
                  <c:v>-54.479214416429414</c:v>
                </c:pt>
                <c:pt idx="331">
                  <c:v>-54.455828191202883</c:v>
                </c:pt>
                <c:pt idx="332">
                  <c:v>-54.422385729188122</c:v>
                </c:pt>
                <c:pt idx="333">
                  <c:v>-54.36244755836141</c:v>
                </c:pt>
                <c:pt idx="334">
                  <c:v>-54.318266075135824</c:v>
                </c:pt>
                <c:pt idx="335">
                  <c:v>-54.260989855608983</c:v>
                </c:pt>
                <c:pt idx="336">
                  <c:v>-54.191403773592214</c:v>
                </c:pt>
                <c:pt idx="337">
                  <c:v>-54.159681859099294</c:v>
                </c:pt>
                <c:pt idx="338">
                  <c:v>-54.100256019226336</c:v>
                </c:pt>
                <c:pt idx="339">
                  <c:v>-54.041504263524331</c:v>
                </c:pt>
                <c:pt idx="340">
                  <c:v>-53.981395004928302</c:v>
                </c:pt>
                <c:pt idx="341">
                  <c:v>-53.899516861670222</c:v>
                </c:pt>
                <c:pt idx="342">
                  <c:v>-53.8179885747263</c:v>
                </c:pt>
                <c:pt idx="343">
                  <c:v>-53.734266240775881</c:v>
                </c:pt>
                <c:pt idx="344">
                  <c:v>-53.655282464659336</c:v>
                </c:pt>
                <c:pt idx="345">
                  <c:v>-53.564519466439755</c:v>
                </c:pt>
                <c:pt idx="346">
                  <c:v>-53.467136082286984</c:v>
                </c:pt>
                <c:pt idx="347">
                  <c:v>-53.374860404361684</c:v>
                </c:pt>
                <c:pt idx="348">
                  <c:v>-53.293325362216628</c:v>
                </c:pt>
                <c:pt idx="349">
                  <c:v>-53.216648174709277</c:v>
                </c:pt>
                <c:pt idx="350">
                  <c:v>-53.141266825261567</c:v>
                </c:pt>
                <c:pt idx="351">
                  <c:v>-53.063278680660858</c:v>
                </c:pt>
                <c:pt idx="352">
                  <c:v>-52.969621984081726</c:v>
                </c:pt>
                <c:pt idx="353">
                  <c:v>-52.84042701930958</c:v>
                </c:pt>
                <c:pt idx="354">
                  <c:v>-52.647291547715604</c:v>
                </c:pt>
                <c:pt idx="355">
                  <c:v>-52.461141823223457</c:v>
                </c:pt>
                <c:pt idx="356">
                  <c:v>-52.293243766871889</c:v>
                </c:pt>
                <c:pt idx="357">
                  <c:v>-52.079410208602141</c:v>
                </c:pt>
                <c:pt idx="358">
                  <c:v>-51.891408142332878</c:v>
                </c:pt>
                <c:pt idx="359">
                  <c:v>-51.689764738176244</c:v>
                </c:pt>
                <c:pt idx="360">
                  <c:v>-51.526972864761959</c:v>
                </c:pt>
                <c:pt idx="361">
                  <c:v>-51.3476754604904</c:v>
                </c:pt>
                <c:pt idx="362">
                  <c:v>-51.145107800330472</c:v>
                </c:pt>
                <c:pt idx="363">
                  <c:v>-50.958555083487852</c:v>
                </c:pt>
                <c:pt idx="364">
                  <c:v>-50.797695081382869</c:v>
                </c:pt>
                <c:pt idx="365">
                  <c:v>-50.588157635209171</c:v>
                </c:pt>
                <c:pt idx="366">
                  <c:v>-50.330393288042671</c:v>
                </c:pt>
                <c:pt idx="367">
                  <c:v>-50.076573604810704</c:v>
                </c:pt>
                <c:pt idx="368">
                  <c:v>-49.80922884242608</c:v>
                </c:pt>
                <c:pt idx="369">
                  <c:v>-49.516626967882885</c:v>
                </c:pt>
                <c:pt idx="370">
                  <c:v>-49.215212861843341</c:v>
                </c:pt>
                <c:pt idx="371">
                  <c:v>-48.907950492810684</c:v>
                </c:pt>
                <c:pt idx="372">
                  <c:v>-48.60924239335862</c:v>
                </c:pt>
                <c:pt idx="373">
                  <c:v>-48.304466895404289</c:v>
                </c:pt>
                <c:pt idx="374">
                  <c:v>-47.924192656192517</c:v>
                </c:pt>
                <c:pt idx="375">
                  <c:v>-47.547047857433562</c:v>
                </c:pt>
                <c:pt idx="376">
                  <c:v>-47.148949534994848</c:v>
                </c:pt>
                <c:pt idx="377">
                  <c:v>-46.756521704023726</c:v>
                </c:pt>
                <c:pt idx="378">
                  <c:v>-46.482354585903153</c:v>
                </c:pt>
                <c:pt idx="379">
                  <c:v>-46.297686348159012</c:v>
                </c:pt>
                <c:pt idx="380">
                  <c:v>-46.138988851680182</c:v>
                </c:pt>
                <c:pt idx="381">
                  <c:v>-45.968881221528065</c:v>
                </c:pt>
                <c:pt idx="382">
                  <c:v>-45.74871569445952</c:v>
                </c:pt>
                <c:pt idx="383">
                  <c:v>-45.496871970896741</c:v>
                </c:pt>
                <c:pt idx="384">
                  <c:v>-45.226582308328531</c:v>
                </c:pt>
                <c:pt idx="385">
                  <c:v>-44.903186406240266</c:v>
                </c:pt>
                <c:pt idx="386">
                  <c:v>-44.506065609946518</c:v>
                </c:pt>
                <c:pt idx="387">
                  <c:v>-44.117720502853047</c:v>
                </c:pt>
                <c:pt idx="388">
                  <c:v>-43.673799226246835</c:v>
                </c:pt>
                <c:pt idx="389">
                  <c:v>-43.337274187386541</c:v>
                </c:pt>
                <c:pt idx="390">
                  <c:v>-42.945395275294274</c:v>
                </c:pt>
                <c:pt idx="391">
                  <c:v>-42.596124129925613</c:v>
                </c:pt>
                <c:pt idx="392">
                  <c:v>-42.27043874049329</c:v>
                </c:pt>
                <c:pt idx="393">
                  <c:v>-41.843757656889103</c:v>
                </c:pt>
                <c:pt idx="394">
                  <c:v>-41.537546076252355</c:v>
                </c:pt>
                <c:pt idx="395">
                  <c:v>-41.182165900985865</c:v>
                </c:pt>
                <c:pt idx="396">
                  <c:v>-40.848732708880817</c:v>
                </c:pt>
                <c:pt idx="397">
                  <c:v>-40.561549596824797</c:v>
                </c:pt>
                <c:pt idx="398">
                  <c:v>-40.320891662289291</c:v>
                </c:pt>
                <c:pt idx="399">
                  <c:v>-40.162806878553539</c:v>
                </c:pt>
                <c:pt idx="400">
                  <c:v>-39.931590163925208</c:v>
                </c:pt>
                <c:pt idx="401">
                  <c:v>-39.744715091888871</c:v>
                </c:pt>
                <c:pt idx="402">
                  <c:v>-39.470898836289493</c:v>
                </c:pt>
                <c:pt idx="403">
                  <c:v>-39.08736766125039</c:v>
                </c:pt>
                <c:pt idx="404">
                  <c:v>-38.830113265101048</c:v>
                </c:pt>
                <c:pt idx="405">
                  <c:v>-38.616506496637314</c:v>
                </c:pt>
                <c:pt idx="406">
                  <c:v>-38.356190208227787</c:v>
                </c:pt>
                <c:pt idx="407">
                  <c:v>-38.152905072839424</c:v>
                </c:pt>
                <c:pt idx="408">
                  <c:v>-37.978713407671897</c:v>
                </c:pt>
                <c:pt idx="409">
                  <c:v>-37.847123851066769</c:v>
                </c:pt>
                <c:pt idx="410">
                  <c:v>-37.686656846082883</c:v>
                </c:pt>
                <c:pt idx="411">
                  <c:v>-37.564630589192461</c:v>
                </c:pt>
                <c:pt idx="412">
                  <c:v>-37.426029958671194</c:v>
                </c:pt>
                <c:pt idx="413">
                  <c:v>-37.189752300840865</c:v>
                </c:pt>
                <c:pt idx="414">
                  <c:v>-37.010289974181461</c:v>
                </c:pt>
                <c:pt idx="415">
                  <c:v>-36.82561192037204</c:v>
                </c:pt>
                <c:pt idx="416">
                  <c:v>-36.579066403753671</c:v>
                </c:pt>
                <c:pt idx="417">
                  <c:v>-36.334554039750039</c:v>
                </c:pt>
                <c:pt idx="418">
                  <c:v>-36.014432946228339</c:v>
                </c:pt>
                <c:pt idx="419">
                  <c:v>-35.746671268907171</c:v>
                </c:pt>
                <c:pt idx="420">
                  <c:v>-35.556430330198154</c:v>
                </c:pt>
                <c:pt idx="421">
                  <c:v>-35.427834870777168</c:v>
                </c:pt>
                <c:pt idx="422">
                  <c:v>-35.273391632892071</c:v>
                </c:pt>
                <c:pt idx="423">
                  <c:v>-35.15380032841361</c:v>
                </c:pt>
                <c:pt idx="424">
                  <c:v>-34.977873775000326</c:v>
                </c:pt>
                <c:pt idx="425">
                  <c:v>-34.836486512958928</c:v>
                </c:pt>
                <c:pt idx="426">
                  <c:v>-34.688866492012558</c:v>
                </c:pt>
                <c:pt idx="427">
                  <c:v>-34.513898178656703</c:v>
                </c:pt>
                <c:pt idx="428">
                  <c:v>-34.311053138722741</c:v>
                </c:pt>
                <c:pt idx="429">
                  <c:v>-34.153579585673796</c:v>
                </c:pt>
                <c:pt idx="430">
                  <c:v>-33.991831527463262</c:v>
                </c:pt>
                <c:pt idx="431">
                  <c:v>-33.913063087088574</c:v>
                </c:pt>
                <c:pt idx="432">
                  <c:v>-33.75436613726071</c:v>
                </c:pt>
                <c:pt idx="433">
                  <c:v>-33.820882092211207</c:v>
                </c:pt>
                <c:pt idx="434">
                  <c:v>-33.832137591206106</c:v>
                </c:pt>
                <c:pt idx="435">
                  <c:v>-33.87515234514423</c:v>
                </c:pt>
                <c:pt idx="436">
                  <c:v>-33.935616282260597</c:v>
                </c:pt>
                <c:pt idx="437">
                  <c:v>-33.969928923072814</c:v>
                </c:pt>
                <c:pt idx="438">
                  <c:v>-34.00223193972186</c:v>
                </c:pt>
                <c:pt idx="439">
                  <c:v>-34.04115325686022</c:v>
                </c:pt>
                <c:pt idx="440">
                  <c:v>-34.101876064000116</c:v>
                </c:pt>
                <c:pt idx="441">
                  <c:v>-34.149897412611004</c:v>
                </c:pt>
                <c:pt idx="442">
                  <c:v>-34.200768523609469</c:v>
                </c:pt>
                <c:pt idx="443">
                  <c:v>-34.251774009067184</c:v>
                </c:pt>
                <c:pt idx="444">
                  <c:v>-34.310040793895432</c:v>
                </c:pt>
                <c:pt idx="445">
                  <c:v>-34.382301277876216</c:v>
                </c:pt>
                <c:pt idx="446">
                  <c:v>-34.421396589237261</c:v>
                </c:pt>
                <c:pt idx="447">
                  <c:v>-34.456295515896755</c:v>
                </c:pt>
                <c:pt idx="448">
                  <c:v>-34.482739940423507</c:v>
                </c:pt>
                <c:pt idx="449">
                  <c:v>-34.531296586594721</c:v>
                </c:pt>
                <c:pt idx="450">
                  <c:v>-34.603213501907391</c:v>
                </c:pt>
                <c:pt idx="451">
                  <c:v>-34.713848680253435</c:v>
                </c:pt>
                <c:pt idx="452">
                  <c:v>-34.815262705164052</c:v>
                </c:pt>
                <c:pt idx="453">
                  <c:v>-34.935422073875742</c:v>
                </c:pt>
                <c:pt idx="454">
                  <c:v>-35.043924932606394</c:v>
                </c:pt>
                <c:pt idx="455">
                  <c:v>-35.146703507965825</c:v>
                </c:pt>
                <c:pt idx="456">
                  <c:v>-35.259625985728945</c:v>
                </c:pt>
                <c:pt idx="457">
                  <c:v>-35.399686711927814</c:v>
                </c:pt>
                <c:pt idx="458">
                  <c:v>-35.550530890543236</c:v>
                </c:pt>
                <c:pt idx="459">
                  <c:v>-35.683662018689745</c:v>
                </c:pt>
                <c:pt idx="460">
                  <c:v>-35.846632461066342</c:v>
                </c:pt>
                <c:pt idx="461">
                  <c:v>-35.996238665881648</c:v>
                </c:pt>
                <c:pt idx="462">
                  <c:v>-36.08096639879335</c:v>
                </c:pt>
                <c:pt idx="463">
                  <c:v>-36.228789920134872</c:v>
                </c:pt>
                <c:pt idx="464">
                  <c:v>-36.313080326394811</c:v>
                </c:pt>
                <c:pt idx="465">
                  <c:v>-36.361980021864341</c:v>
                </c:pt>
                <c:pt idx="466">
                  <c:v>-36.413421730505732</c:v>
                </c:pt>
                <c:pt idx="467">
                  <c:v>-36.511455996436844</c:v>
                </c:pt>
                <c:pt idx="468">
                  <c:v>-36.576042674573713</c:v>
                </c:pt>
                <c:pt idx="469">
                  <c:v>-36.662804629530697</c:v>
                </c:pt>
                <c:pt idx="470">
                  <c:v>-36.728967612040705</c:v>
                </c:pt>
                <c:pt idx="471">
                  <c:v>-36.795847484227053</c:v>
                </c:pt>
                <c:pt idx="472">
                  <c:v>-36.825318437796206</c:v>
                </c:pt>
                <c:pt idx="473">
                  <c:v>-36.827432868184552</c:v>
                </c:pt>
                <c:pt idx="474">
                  <c:v>-36.773655711223242</c:v>
                </c:pt>
                <c:pt idx="475">
                  <c:v>-36.73963528577832</c:v>
                </c:pt>
                <c:pt idx="476">
                  <c:v>-36.726787765009078</c:v>
                </c:pt>
                <c:pt idx="477">
                  <c:v>-36.701808903679179</c:v>
                </c:pt>
                <c:pt idx="478">
                  <c:v>-36.668299477196271</c:v>
                </c:pt>
                <c:pt idx="479">
                  <c:v>-36.635723262924387</c:v>
                </c:pt>
                <c:pt idx="480">
                  <c:v>-36.637240965296968</c:v>
                </c:pt>
                <c:pt idx="481">
                  <c:v>-36.646963049069171</c:v>
                </c:pt>
                <c:pt idx="482">
                  <c:v>-36.639841308982355</c:v>
                </c:pt>
                <c:pt idx="483">
                  <c:v>-36.635766269462152</c:v>
                </c:pt>
                <c:pt idx="484">
                  <c:v>-36.639098121767191</c:v>
                </c:pt>
                <c:pt idx="485">
                  <c:v>-36.602256943590675</c:v>
                </c:pt>
                <c:pt idx="486">
                  <c:v>-36.585928867920892</c:v>
                </c:pt>
                <c:pt idx="487">
                  <c:v>-36.57171219046738</c:v>
                </c:pt>
                <c:pt idx="488">
                  <c:v>-36.565543737835064</c:v>
                </c:pt>
                <c:pt idx="489">
                  <c:v>-36.509439682724732</c:v>
                </c:pt>
                <c:pt idx="490">
                  <c:v>-36.509216464169477</c:v>
                </c:pt>
                <c:pt idx="491">
                  <c:v>-36.537898084430878</c:v>
                </c:pt>
                <c:pt idx="492">
                  <c:v>-36.584191387275609</c:v>
                </c:pt>
                <c:pt idx="493">
                  <c:v>-36.605187462790951</c:v>
                </c:pt>
                <c:pt idx="494">
                  <c:v>-36.684878225557114</c:v>
                </c:pt>
                <c:pt idx="495">
                  <c:v>-36.771139558845576</c:v>
                </c:pt>
                <c:pt idx="496">
                  <c:v>-36.837245136965443</c:v>
                </c:pt>
                <c:pt idx="497">
                  <c:v>-36.918106854393869</c:v>
                </c:pt>
                <c:pt idx="498">
                  <c:v>-36.999335730149795</c:v>
                </c:pt>
                <c:pt idx="499">
                  <c:v>-37.078619919549951</c:v>
                </c:pt>
                <c:pt idx="500">
                  <c:v>-37.133528593171171</c:v>
                </c:pt>
                <c:pt idx="501">
                  <c:v>-37.21612608343105</c:v>
                </c:pt>
                <c:pt idx="502">
                  <c:v>-37.296198262984589</c:v>
                </c:pt>
                <c:pt idx="503">
                  <c:v>-37.35819399042709</c:v>
                </c:pt>
                <c:pt idx="504">
                  <c:v>-37.447785735999602</c:v>
                </c:pt>
                <c:pt idx="505">
                  <c:v>-37.558214866026042</c:v>
                </c:pt>
                <c:pt idx="506">
                  <c:v>-37.670326690511644</c:v>
                </c:pt>
                <c:pt idx="507">
                  <c:v>-37.806193007829236</c:v>
                </c:pt>
                <c:pt idx="508">
                  <c:v>-37.939496743878372</c:v>
                </c:pt>
                <c:pt idx="509">
                  <c:v>-38.03846604661355</c:v>
                </c:pt>
                <c:pt idx="510">
                  <c:v>-38.141973713944616</c:v>
                </c:pt>
                <c:pt idx="511">
                  <c:v>-38.227302234901103</c:v>
                </c:pt>
                <c:pt idx="512">
                  <c:v>-38.251217037631505</c:v>
                </c:pt>
                <c:pt idx="513">
                  <c:v>-38.301966841264289</c:v>
                </c:pt>
                <c:pt idx="514">
                  <c:v>-38.371935351839035</c:v>
                </c:pt>
                <c:pt idx="515">
                  <c:v>-38.429038389443463</c:v>
                </c:pt>
                <c:pt idx="516">
                  <c:v>-38.500298906376258</c:v>
                </c:pt>
                <c:pt idx="517">
                  <c:v>-38.574852596342936</c:v>
                </c:pt>
                <c:pt idx="518">
                  <c:v>-38.63232423000315</c:v>
                </c:pt>
                <c:pt idx="519">
                  <c:v>-38.673470862868157</c:v>
                </c:pt>
                <c:pt idx="520">
                  <c:v>-38.709204516891276</c:v>
                </c:pt>
                <c:pt idx="521">
                  <c:v>-38.674170670582001</c:v>
                </c:pt>
                <c:pt idx="522">
                  <c:v>-38.655624622871869</c:v>
                </c:pt>
                <c:pt idx="523">
                  <c:v>-38.591628636202039</c:v>
                </c:pt>
                <c:pt idx="524">
                  <c:v>-38.544924914819006</c:v>
                </c:pt>
                <c:pt idx="525">
                  <c:v>-38.507965178449687</c:v>
                </c:pt>
                <c:pt idx="526">
                  <c:v>-38.464331621592962</c:v>
                </c:pt>
                <c:pt idx="527">
                  <c:v>-38.39942786920966</c:v>
                </c:pt>
                <c:pt idx="528">
                  <c:v>-38.347843196669444</c:v>
                </c:pt>
                <c:pt idx="529">
                  <c:v>-38.28553047466837</c:v>
                </c:pt>
                <c:pt idx="530">
                  <c:v>-38.226337387337196</c:v>
                </c:pt>
                <c:pt idx="531">
                  <c:v>-38.186735710943452</c:v>
                </c:pt>
                <c:pt idx="532">
                  <c:v>-38.143487505087691</c:v>
                </c:pt>
                <c:pt idx="533">
                  <c:v>-38.071222403060332</c:v>
                </c:pt>
                <c:pt idx="534">
                  <c:v>-38.00290038503428</c:v>
                </c:pt>
                <c:pt idx="535">
                  <c:v>-37.941154198935543</c:v>
                </c:pt>
                <c:pt idx="536">
                  <c:v>-37.869736043734299</c:v>
                </c:pt>
                <c:pt idx="537">
                  <c:v>-37.783107247214289</c:v>
                </c:pt>
                <c:pt idx="538">
                  <c:v>-37.685212829337047</c:v>
                </c:pt>
                <c:pt idx="539">
                  <c:v>-37.585870463625049</c:v>
                </c:pt>
                <c:pt idx="540">
                  <c:v>-37.479143815612865</c:v>
                </c:pt>
                <c:pt idx="541">
                  <c:v>-37.388765023857282</c:v>
                </c:pt>
                <c:pt idx="542">
                  <c:v>-37.29572799064713</c:v>
                </c:pt>
                <c:pt idx="543">
                  <c:v>-37.230112416876146</c:v>
                </c:pt>
                <c:pt idx="544">
                  <c:v>-37.135285335472531</c:v>
                </c:pt>
                <c:pt idx="545">
                  <c:v>-37.019639608726024</c:v>
                </c:pt>
                <c:pt idx="546">
                  <c:v>-36.89342192462378</c:v>
                </c:pt>
                <c:pt idx="547">
                  <c:v>-36.756982130608122</c:v>
                </c:pt>
                <c:pt idx="548">
                  <c:v>-36.62791306386589</c:v>
                </c:pt>
                <c:pt idx="549">
                  <c:v>-36.48285553272909</c:v>
                </c:pt>
                <c:pt idx="550">
                  <c:v>-36.332200198082674</c:v>
                </c:pt>
                <c:pt idx="551">
                  <c:v>-36.172129762610766</c:v>
                </c:pt>
                <c:pt idx="552">
                  <c:v>-36.03749826411665</c:v>
                </c:pt>
                <c:pt idx="553">
                  <c:v>-35.912840725540505</c:v>
                </c:pt>
                <c:pt idx="554">
                  <c:v>-35.797959253660444</c:v>
                </c:pt>
                <c:pt idx="555">
                  <c:v>-35.676627789363089</c:v>
                </c:pt>
                <c:pt idx="556">
                  <c:v>-35.572713378671423</c:v>
                </c:pt>
                <c:pt idx="557">
                  <c:v>-35.458689640962248</c:v>
                </c:pt>
                <c:pt idx="558">
                  <c:v>-35.337061367078284</c:v>
                </c:pt>
                <c:pt idx="559">
                  <c:v>-35.252034600908701</c:v>
                </c:pt>
                <c:pt idx="560">
                  <c:v>-35.147904773460475</c:v>
                </c:pt>
                <c:pt idx="561">
                  <c:v>-35.025578340935283</c:v>
                </c:pt>
                <c:pt idx="562">
                  <c:v>-34.881304513913904</c:v>
                </c:pt>
                <c:pt idx="563">
                  <c:v>-34.733039546276402</c:v>
                </c:pt>
                <c:pt idx="564">
                  <c:v>-34.611216363222738</c:v>
                </c:pt>
                <c:pt idx="565">
                  <c:v>-34.507791051687271</c:v>
                </c:pt>
                <c:pt idx="566">
                  <c:v>-34.411707480767063</c:v>
                </c:pt>
                <c:pt idx="567">
                  <c:v>-34.304710870814979</c:v>
                </c:pt>
                <c:pt idx="568">
                  <c:v>-34.210705400567591</c:v>
                </c:pt>
                <c:pt idx="569">
                  <c:v>-34.112479992775029</c:v>
                </c:pt>
                <c:pt idx="570">
                  <c:v>-34.006598422764775</c:v>
                </c:pt>
                <c:pt idx="571">
                  <c:v>-33.915438229210196</c:v>
                </c:pt>
                <c:pt idx="572">
                  <c:v>-33.802778545623084</c:v>
                </c:pt>
                <c:pt idx="573">
                  <c:v>-33.737145251965202</c:v>
                </c:pt>
                <c:pt idx="574">
                  <c:v>-33.714637719497908</c:v>
                </c:pt>
                <c:pt idx="575">
                  <c:v>-33.654421820528412</c:v>
                </c:pt>
                <c:pt idx="576">
                  <c:v>-33.595315915455657</c:v>
                </c:pt>
                <c:pt idx="577">
                  <c:v>-33.506570933872439</c:v>
                </c:pt>
                <c:pt idx="578">
                  <c:v>-33.415792938318255</c:v>
                </c:pt>
                <c:pt idx="579">
                  <c:v>-33.36813916495079</c:v>
                </c:pt>
                <c:pt idx="580">
                  <c:v>-33.316147009378646</c:v>
                </c:pt>
                <c:pt idx="581">
                  <c:v>-33.255002161478089</c:v>
                </c:pt>
                <c:pt idx="582">
                  <c:v>-33.177058186137373</c:v>
                </c:pt>
                <c:pt idx="583">
                  <c:v>-33.057331601714466</c:v>
                </c:pt>
                <c:pt idx="584">
                  <c:v>-32.946278167417972</c:v>
                </c:pt>
                <c:pt idx="585">
                  <c:v>-32.831791574487966</c:v>
                </c:pt>
                <c:pt idx="586">
                  <c:v>-32.718817016924092</c:v>
                </c:pt>
                <c:pt idx="587">
                  <c:v>-32.581777336119977</c:v>
                </c:pt>
                <c:pt idx="588">
                  <c:v>-32.438696471791353</c:v>
                </c:pt>
                <c:pt idx="589">
                  <c:v>-32.286560086667592</c:v>
                </c:pt>
                <c:pt idx="590">
                  <c:v>-32.108291985211309</c:v>
                </c:pt>
                <c:pt idx="591">
                  <c:v>-31.946156873347078</c:v>
                </c:pt>
                <c:pt idx="592">
                  <c:v>-31.772751045394561</c:v>
                </c:pt>
                <c:pt idx="593">
                  <c:v>-31.585256041382799</c:v>
                </c:pt>
                <c:pt idx="594">
                  <c:v>-31.415410625225856</c:v>
                </c:pt>
                <c:pt idx="595">
                  <c:v>-31.219260361062652</c:v>
                </c:pt>
                <c:pt idx="596">
                  <c:v>-31.020595191792971</c:v>
                </c:pt>
                <c:pt idx="597">
                  <c:v>-30.802050044880225</c:v>
                </c:pt>
                <c:pt idx="598">
                  <c:v>-30.602726062558823</c:v>
                </c:pt>
                <c:pt idx="599">
                  <c:v>-30.376158306993606</c:v>
                </c:pt>
                <c:pt idx="600">
                  <c:v>-30.14759744161427</c:v>
                </c:pt>
                <c:pt idx="601">
                  <c:v>-29.917102156364415</c:v>
                </c:pt>
                <c:pt idx="602">
                  <c:v>-29.654511766516819</c:v>
                </c:pt>
                <c:pt idx="603">
                  <c:v>-29.442988921093939</c:v>
                </c:pt>
                <c:pt idx="604">
                  <c:v>-29.26251638179259</c:v>
                </c:pt>
                <c:pt idx="605">
                  <c:v>-29.054980729109101</c:v>
                </c:pt>
                <c:pt idx="606">
                  <c:v>-28.836954911378186</c:v>
                </c:pt>
                <c:pt idx="607">
                  <c:v>-28.589097808306754</c:v>
                </c:pt>
                <c:pt idx="608">
                  <c:v>-28.298738263114487</c:v>
                </c:pt>
                <c:pt idx="609">
                  <c:v>-28.013523965548607</c:v>
                </c:pt>
                <c:pt idx="610">
                  <c:v>-27.713595487297617</c:v>
                </c:pt>
                <c:pt idx="611">
                  <c:v>-27.440894813181131</c:v>
                </c:pt>
                <c:pt idx="612">
                  <c:v>-27.204653453682244</c:v>
                </c:pt>
                <c:pt idx="613">
                  <c:v>-26.925392038076065</c:v>
                </c:pt>
                <c:pt idx="614">
                  <c:v>-26.599454608003303</c:v>
                </c:pt>
                <c:pt idx="615">
                  <c:v>-26.270191307340255</c:v>
                </c:pt>
                <c:pt idx="616">
                  <c:v>-25.922718124126039</c:v>
                </c:pt>
                <c:pt idx="617">
                  <c:v>-25.593305383727085</c:v>
                </c:pt>
                <c:pt idx="618">
                  <c:v>-25.23590400512699</c:v>
                </c:pt>
                <c:pt idx="619">
                  <c:v>-24.896083708732633</c:v>
                </c:pt>
                <c:pt idx="620">
                  <c:v>-24.550788331677531</c:v>
                </c:pt>
                <c:pt idx="621">
                  <c:v>-24.199554834157269</c:v>
                </c:pt>
                <c:pt idx="622">
                  <c:v>-23.890271096924458</c:v>
                </c:pt>
                <c:pt idx="623">
                  <c:v>-23.611307861662844</c:v>
                </c:pt>
                <c:pt idx="624">
                  <c:v>-23.292923544887486</c:v>
                </c:pt>
                <c:pt idx="625">
                  <c:v>-23.027802044688507</c:v>
                </c:pt>
                <c:pt idx="626">
                  <c:v>-22.809847260491356</c:v>
                </c:pt>
                <c:pt idx="627">
                  <c:v>-22.558166353615473</c:v>
                </c:pt>
                <c:pt idx="628">
                  <c:v>-22.261137833731208</c:v>
                </c:pt>
                <c:pt idx="629">
                  <c:v>-21.969035776965892</c:v>
                </c:pt>
                <c:pt idx="630">
                  <c:v>-21.660230212753419</c:v>
                </c:pt>
                <c:pt idx="631">
                  <c:v>-21.358638521492928</c:v>
                </c:pt>
                <c:pt idx="632">
                  <c:v>-21.029111400910427</c:v>
                </c:pt>
                <c:pt idx="633">
                  <c:v>-20.71794005316633</c:v>
                </c:pt>
                <c:pt idx="634">
                  <c:v>-20.437111633251298</c:v>
                </c:pt>
                <c:pt idx="635">
                  <c:v>-20.196998979136559</c:v>
                </c:pt>
                <c:pt idx="636">
                  <c:v>-19.921243342423011</c:v>
                </c:pt>
                <c:pt idx="637">
                  <c:v>-19.641370503826007</c:v>
                </c:pt>
                <c:pt idx="638">
                  <c:v>-19.357230502869797</c:v>
                </c:pt>
                <c:pt idx="639">
                  <c:v>-19.102588535559818</c:v>
                </c:pt>
                <c:pt idx="640">
                  <c:v>-18.822121815645112</c:v>
                </c:pt>
                <c:pt idx="641">
                  <c:v>-18.626924698373465</c:v>
                </c:pt>
                <c:pt idx="642">
                  <c:v>-18.460202926336052</c:v>
                </c:pt>
                <c:pt idx="643">
                  <c:v>-18.27749021608885</c:v>
                </c:pt>
                <c:pt idx="644">
                  <c:v>-18.054933066160565</c:v>
                </c:pt>
                <c:pt idx="645">
                  <c:v>-17.783567528674695</c:v>
                </c:pt>
                <c:pt idx="646">
                  <c:v>-17.497020817296601</c:v>
                </c:pt>
                <c:pt idx="647">
                  <c:v>-17.194635918829928</c:v>
                </c:pt>
                <c:pt idx="648">
                  <c:v>-16.900195685851525</c:v>
                </c:pt>
                <c:pt idx="649">
                  <c:v>-16.677606492580999</c:v>
                </c:pt>
                <c:pt idx="650">
                  <c:v>-16.452015312702606</c:v>
                </c:pt>
                <c:pt idx="651">
                  <c:v>-16.244062709199419</c:v>
                </c:pt>
                <c:pt idx="652">
                  <c:v>-16.059517848459123</c:v>
                </c:pt>
                <c:pt idx="653">
                  <c:v>-15.872676986059268</c:v>
                </c:pt>
                <c:pt idx="654">
                  <c:v>-15.616420400110856</c:v>
                </c:pt>
                <c:pt idx="655">
                  <c:v>-15.351939142058361</c:v>
                </c:pt>
                <c:pt idx="656">
                  <c:v>-15.098167444095841</c:v>
                </c:pt>
                <c:pt idx="657">
                  <c:v>-14.830903143747726</c:v>
                </c:pt>
                <c:pt idx="658">
                  <c:v>-14.531434243152573</c:v>
                </c:pt>
                <c:pt idx="659">
                  <c:v>-14.211476226888751</c:v>
                </c:pt>
                <c:pt idx="660">
                  <c:v>-13.851653584152562</c:v>
                </c:pt>
                <c:pt idx="661">
                  <c:v>-13.534501935052818</c:v>
                </c:pt>
                <c:pt idx="662">
                  <c:v>-13.228977731400555</c:v>
                </c:pt>
                <c:pt idx="663">
                  <c:v>-12.919501999662938</c:v>
                </c:pt>
                <c:pt idx="664">
                  <c:v>-12.641860757880456</c:v>
                </c:pt>
                <c:pt idx="665">
                  <c:v>-12.35561264127862</c:v>
                </c:pt>
                <c:pt idx="666">
                  <c:v>-12.178257591938552</c:v>
                </c:pt>
                <c:pt idx="667">
                  <c:v>-12.022130306197175</c:v>
                </c:pt>
                <c:pt idx="668">
                  <c:v>-11.881366760319153</c:v>
                </c:pt>
                <c:pt idx="669">
                  <c:v>-11.717636171095261</c:v>
                </c:pt>
                <c:pt idx="670">
                  <c:v>-11.495247016332792</c:v>
                </c:pt>
                <c:pt idx="671">
                  <c:v>-11.34340528557361</c:v>
                </c:pt>
                <c:pt idx="672">
                  <c:v>-11.181126375221849</c:v>
                </c:pt>
                <c:pt idx="673">
                  <c:v>-11.090783633907899</c:v>
                </c:pt>
                <c:pt idx="674">
                  <c:v>-10.944832054056945</c:v>
                </c:pt>
                <c:pt idx="675">
                  <c:v>-10.81037776399207</c:v>
                </c:pt>
                <c:pt idx="676">
                  <c:v>-10.64014437211255</c:v>
                </c:pt>
                <c:pt idx="677">
                  <c:v>-10.459384314505606</c:v>
                </c:pt>
                <c:pt idx="678">
                  <c:v>-10.339913463692453</c:v>
                </c:pt>
                <c:pt idx="679">
                  <c:v>-10.197481190510677</c:v>
                </c:pt>
                <c:pt idx="680">
                  <c:v>-10.056242872226537</c:v>
                </c:pt>
                <c:pt idx="681">
                  <c:v>-9.9051749269499894</c:v>
                </c:pt>
                <c:pt idx="682">
                  <c:v>-9.8042490691353077</c:v>
                </c:pt>
                <c:pt idx="683">
                  <c:v>-9.7336322607351882</c:v>
                </c:pt>
                <c:pt idx="684">
                  <c:v>-9.6568837606176103</c:v>
                </c:pt>
                <c:pt idx="685">
                  <c:v>-9.6306519148959886</c:v>
                </c:pt>
                <c:pt idx="686">
                  <c:v>-9.6028235560245339</c:v>
                </c:pt>
                <c:pt idx="687">
                  <c:v>-9.5467700455585351</c:v>
                </c:pt>
                <c:pt idx="688">
                  <c:v>-9.4853137748020551</c:v>
                </c:pt>
                <c:pt idx="689">
                  <c:v>-9.3939273551482572</c:v>
                </c:pt>
                <c:pt idx="690">
                  <c:v>-9.2645380221178133</c:v>
                </c:pt>
                <c:pt idx="691">
                  <c:v>-9.1585242591929141</c:v>
                </c:pt>
                <c:pt idx="692">
                  <c:v>-9.0670215379798957</c:v>
                </c:pt>
                <c:pt idx="693">
                  <c:v>-8.9186470116105152</c:v>
                </c:pt>
                <c:pt idx="694">
                  <c:v>-8.7716699200672945</c:v>
                </c:pt>
                <c:pt idx="695">
                  <c:v>-8.6314150000171228</c:v>
                </c:pt>
                <c:pt idx="696">
                  <c:v>-8.5013516832841525</c:v>
                </c:pt>
                <c:pt idx="697">
                  <c:v>-8.3952939353374596</c:v>
                </c:pt>
                <c:pt idx="698">
                  <c:v>-8.2902600081525204</c:v>
                </c:pt>
                <c:pt idx="699">
                  <c:v>-8.1554413226782732</c:v>
                </c:pt>
                <c:pt idx="700">
                  <c:v>-8.0426993404784746</c:v>
                </c:pt>
                <c:pt idx="701">
                  <c:v>-7.9546683993234701</c:v>
                </c:pt>
                <c:pt idx="702">
                  <c:v>-7.8617881870134294</c:v>
                </c:pt>
                <c:pt idx="703">
                  <c:v>-7.8030299681785475</c:v>
                </c:pt>
                <c:pt idx="704">
                  <c:v>-7.7522021934913106</c:v>
                </c:pt>
                <c:pt idx="705">
                  <c:v>-7.7197510385478445</c:v>
                </c:pt>
                <c:pt idx="706">
                  <c:v>-7.6719603295700987</c:v>
                </c:pt>
                <c:pt idx="707">
                  <c:v>-7.6238935106788901</c:v>
                </c:pt>
                <c:pt idx="708">
                  <c:v>-7.6019268921126004</c:v>
                </c:pt>
                <c:pt idx="709">
                  <c:v>-7.5842482274738092</c:v>
                </c:pt>
                <c:pt idx="710">
                  <c:v>-7.5795492943406559</c:v>
                </c:pt>
                <c:pt idx="711">
                  <c:v>-7.5618108366450478</c:v>
                </c:pt>
                <c:pt idx="712">
                  <c:v>-7.5618108366450487</c:v>
                </c:pt>
                <c:pt idx="713">
                  <c:v>-7.5540132354369138</c:v>
                </c:pt>
                <c:pt idx="714">
                  <c:v>-7.5096033474918231</c:v>
                </c:pt>
                <c:pt idx="715">
                  <c:v>-7.5274719777379726</c:v>
                </c:pt>
                <c:pt idx="716">
                  <c:v>-7.4955490919478933</c:v>
                </c:pt>
                <c:pt idx="717">
                  <c:v>-7.4580085070027318</c:v>
                </c:pt>
                <c:pt idx="718">
                  <c:v>-7.4633313406344417</c:v>
                </c:pt>
                <c:pt idx="719">
                  <c:v>-7.4902559835310161</c:v>
                </c:pt>
                <c:pt idx="720">
                  <c:v>-7.4955551549787005</c:v>
                </c:pt>
                <c:pt idx="721">
                  <c:v>-7.511430573839097</c:v>
                </c:pt>
                <c:pt idx="722">
                  <c:v>-7.5358245404405748</c:v>
                </c:pt>
                <c:pt idx="723">
                  <c:v>-7.5358245404405748</c:v>
                </c:pt>
                <c:pt idx="724">
                  <c:v>-7.5358245404405757</c:v>
                </c:pt>
                <c:pt idx="725">
                  <c:v>-7.5358245404405757</c:v>
                </c:pt>
                <c:pt idx="726">
                  <c:v>-7.4929854353792589</c:v>
                </c:pt>
                <c:pt idx="727">
                  <c:v>-7.4774415921583293</c:v>
                </c:pt>
                <c:pt idx="728">
                  <c:v>-7.4651725206460275</c:v>
                </c:pt>
                <c:pt idx="729">
                  <c:v>-7.4409451175544747</c:v>
                </c:pt>
                <c:pt idx="730">
                  <c:v>-7.3919209460873834</c:v>
                </c:pt>
                <c:pt idx="731">
                  <c:v>-7.3288566763481873</c:v>
                </c:pt>
                <c:pt idx="732">
                  <c:v>-7.2870382312724491</c:v>
                </c:pt>
                <c:pt idx="733">
                  <c:v>-7.2570337022799238</c:v>
                </c:pt>
                <c:pt idx="734">
                  <c:v>-7.1974958107870792</c:v>
                </c:pt>
                <c:pt idx="735">
                  <c:v>-7.1243501743323625</c:v>
                </c:pt>
                <c:pt idx="736">
                  <c:v>-7.0594263231066412</c:v>
                </c:pt>
                <c:pt idx="737">
                  <c:v>-6.9938949931706302</c:v>
                </c:pt>
                <c:pt idx="738">
                  <c:v>-6.9379631355219953</c:v>
                </c:pt>
                <c:pt idx="739">
                  <c:v>-6.8970948298156927</c:v>
                </c:pt>
                <c:pt idx="740">
                  <c:v>-6.8800092816426863</c:v>
                </c:pt>
                <c:pt idx="741">
                  <c:v>-6.8492551921608236</c:v>
                </c:pt>
                <c:pt idx="742">
                  <c:v>-6.8352366650075584</c:v>
                </c:pt>
                <c:pt idx="743">
                  <c:v>-6.8325009808879136</c:v>
                </c:pt>
                <c:pt idx="744">
                  <c:v>-6.8265432409011622</c:v>
                </c:pt>
                <c:pt idx="745">
                  <c:v>-6.8276661326012018</c:v>
                </c:pt>
                <c:pt idx="746">
                  <c:v>-6.8205754533898713</c:v>
                </c:pt>
                <c:pt idx="747">
                  <c:v>-6.7936581312486721</c:v>
                </c:pt>
                <c:pt idx="748">
                  <c:v>-6.7812125563578656</c:v>
                </c:pt>
                <c:pt idx="749">
                  <c:v>-6.7643203788103339</c:v>
                </c:pt>
                <c:pt idx="750">
                  <c:v>-6.754372282421599</c:v>
                </c:pt>
                <c:pt idx="751">
                  <c:v>-6.7254496575137699</c:v>
                </c:pt>
                <c:pt idx="752">
                  <c:v>-6.71248690092398</c:v>
                </c:pt>
                <c:pt idx="753">
                  <c:v>-6.6982108108537108</c:v>
                </c:pt>
                <c:pt idx="754">
                  <c:v>-6.6815943113606489</c:v>
                </c:pt>
                <c:pt idx="755">
                  <c:v>-6.6518304427357844</c:v>
                </c:pt>
                <c:pt idx="756">
                  <c:v>-6.6088433258234316</c:v>
                </c:pt>
                <c:pt idx="757">
                  <c:v>-6.5477303849817394</c:v>
                </c:pt>
                <c:pt idx="758">
                  <c:v>-6.4768446223893816</c:v>
                </c:pt>
                <c:pt idx="759">
                  <c:v>-6.3698860524796608</c:v>
                </c:pt>
                <c:pt idx="760">
                  <c:v>-6.2695976678161527</c:v>
                </c:pt>
                <c:pt idx="761">
                  <c:v>-6.1990134391221865</c:v>
                </c:pt>
                <c:pt idx="762">
                  <c:v>-6.1508846970666644</c:v>
                </c:pt>
                <c:pt idx="763">
                  <c:v>-6.1290029439112077</c:v>
                </c:pt>
                <c:pt idx="764">
                  <c:v>-6.1380247591617927</c:v>
                </c:pt>
                <c:pt idx="765">
                  <c:v>-6.1552319453180031</c:v>
                </c:pt>
                <c:pt idx="766">
                  <c:v>-6.1338853602996242</c:v>
                </c:pt>
                <c:pt idx="767">
                  <c:v>-6.1065715119105164</c:v>
                </c:pt>
                <c:pt idx="768">
                  <c:v>-6.1065715119105146</c:v>
                </c:pt>
                <c:pt idx="769">
                  <c:v>-6.0928165381082069</c:v>
                </c:pt>
                <c:pt idx="770">
                  <c:v>-6.0876580635807853</c:v>
                </c:pt>
                <c:pt idx="771">
                  <c:v>-6.0876580635807853</c:v>
                </c:pt>
                <c:pt idx="772">
                  <c:v>-6.0817895493762757</c:v>
                </c:pt>
                <c:pt idx="773">
                  <c:v>-6.0954505372268812</c:v>
                </c:pt>
                <c:pt idx="774">
                  <c:v>-6.1108150849282419</c:v>
                </c:pt>
                <c:pt idx="775">
                  <c:v>-6.1242386883631763</c:v>
                </c:pt>
                <c:pt idx="776">
                  <c:v>-6.1230745688942587</c:v>
                </c:pt>
                <c:pt idx="777">
                  <c:v>-6.1249064644111799</c:v>
                </c:pt>
                <c:pt idx="778">
                  <c:v>-6.1280572885449569</c:v>
                </c:pt>
                <c:pt idx="779">
                  <c:v>-6.1301968173262349</c:v>
                </c:pt>
                <c:pt idx="780">
                  <c:v>-6.1287875357568886</c:v>
                </c:pt>
                <c:pt idx="781">
                  <c:v>-6.1316704672496973</c:v>
                </c:pt>
                <c:pt idx="782">
                  <c:v>-6.1411796812978041</c:v>
                </c:pt>
                <c:pt idx="783">
                  <c:v>-6.1681966048058623</c:v>
                </c:pt>
                <c:pt idx="784">
                  <c:v>-6.1852135555884029</c:v>
                </c:pt>
                <c:pt idx="785">
                  <c:v>-6.1966191316718415</c:v>
                </c:pt>
                <c:pt idx="786">
                  <c:v>-6.2079948504432281</c:v>
                </c:pt>
                <c:pt idx="787">
                  <c:v>-6.2419437013592747</c:v>
                </c:pt>
                <c:pt idx="788">
                  <c:v>-6.2641307495823435</c:v>
                </c:pt>
                <c:pt idx="789">
                  <c:v>-6.2835796112186211</c:v>
                </c:pt>
                <c:pt idx="790">
                  <c:v>-6.3009175846683085</c:v>
                </c:pt>
                <c:pt idx="791">
                  <c:v>-6.3120512071477144</c:v>
                </c:pt>
                <c:pt idx="792">
                  <c:v>-6.2794591326022644</c:v>
                </c:pt>
                <c:pt idx="793">
                  <c:v>-6.2750414039778191</c:v>
                </c:pt>
                <c:pt idx="794">
                  <c:v>-6.2902301463384873</c:v>
                </c:pt>
                <c:pt idx="795">
                  <c:v>-6.3222736850743901</c:v>
                </c:pt>
                <c:pt idx="796">
                  <c:v>-6.3698689339805838</c:v>
                </c:pt>
                <c:pt idx="797">
                  <c:v>-6.3961637497336294</c:v>
                </c:pt>
                <c:pt idx="798">
                  <c:v>-6.4282640838011647</c:v>
                </c:pt>
                <c:pt idx="799">
                  <c:v>-6.5009772815183737</c:v>
                </c:pt>
                <c:pt idx="800">
                  <c:v>-6.5641538390795624</c:v>
                </c:pt>
                <c:pt idx="801">
                  <c:v>-6.6222964533772375</c:v>
                </c:pt>
                <c:pt idx="802">
                  <c:v>-6.6311996934114354</c:v>
                </c:pt>
                <c:pt idx="803">
                  <c:v>-6.6400882988072381</c:v>
                </c:pt>
                <c:pt idx="804">
                  <c:v>-6.644859798368091</c:v>
                </c:pt>
                <c:pt idx="805">
                  <c:v>-6.6653384984157649</c:v>
                </c:pt>
                <c:pt idx="806">
                  <c:v>-6.6728426132976706</c:v>
                </c:pt>
                <c:pt idx="807">
                  <c:v>-6.668445149433718</c:v>
                </c:pt>
                <c:pt idx="808">
                  <c:v>-6.6754970918941456</c:v>
                </c:pt>
                <c:pt idx="809">
                  <c:v>-6.6995757217709109</c:v>
                </c:pt>
                <c:pt idx="810">
                  <c:v>-6.7121984607003293</c:v>
                </c:pt>
                <c:pt idx="811">
                  <c:v>-6.7263327624942697</c:v>
                </c:pt>
                <c:pt idx="812">
                  <c:v>-6.7363507346873543</c:v>
                </c:pt>
                <c:pt idx="813">
                  <c:v>-6.7363507346873543</c:v>
                </c:pt>
                <c:pt idx="814">
                  <c:v>-6.7363507346873561</c:v>
                </c:pt>
                <c:pt idx="815">
                  <c:v>-6.7503059917226889</c:v>
                </c:pt>
                <c:pt idx="816">
                  <c:v>-6.7701969064711909</c:v>
                </c:pt>
                <c:pt idx="817">
                  <c:v>-6.8117883436159588</c:v>
                </c:pt>
                <c:pt idx="818">
                  <c:v>-6.8171437763128191</c:v>
                </c:pt>
                <c:pt idx="819">
                  <c:v>-6.8634492638082234</c:v>
                </c:pt>
                <c:pt idx="820">
                  <c:v>-6.8612955556717452</c:v>
                </c:pt>
                <c:pt idx="821">
                  <c:v>-6.8201201120513417</c:v>
                </c:pt>
                <c:pt idx="822">
                  <c:v>-6.8019242454623212</c:v>
                </c:pt>
                <c:pt idx="823">
                  <c:v>-6.8172399263053176</c:v>
                </c:pt>
                <c:pt idx="824">
                  <c:v>-6.8261671026129891</c:v>
                </c:pt>
                <c:pt idx="825">
                  <c:v>-6.8466136798423429</c:v>
                </c:pt>
                <c:pt idx="826">
                  <c:v>-6.7643178784961142</c:v>
                </c:pt>
                <c:pt idx="827">
                  <c:v>-6.6771058111571229</c:v>
                </c:pt>
                <c:pt idx="828">
                  <c:v>-6.5912675571209407</c:v>
                </c:pt>
                <c:pt idx="829">
                  <c:v>-6.5714742724648483</c:v>
                </c:pt>
                <c:pt idx="830">
                  <c:v>-6.550421123188805</c:v>
                </c:pt>
                <c:pt idx="831">
                  <c:v>-6.5280702147860357</c:v>
                </c:pt>
                <c:pt idx="832">
                  <c:v>-6.5166002149727014</c:v>
                </c:pt>
                <c:pt idx="833">
                  <c:v>-6.5105740867056419</c:v>
                </c:pt>
                <c:pt idx="834">
                  <c:v>-6.5055591046085102</c:v>
                </c:pt>
                <c:pt idx="835">
                  <c:v>-6.5291816533214071</c:v>
                </c:pt>
                <c:pt idx="836">
                  <c:v>-6.5321533311551079</c:v>
                </c:pt>
                <c:pt idx="837">
                  <c:v>-6.5611914705885468</c:v>
                </c:pt>
                <c:pt idx="838">
                  <c:v>-6.5877342219434922</c:v>
                </c:pt>
                <c:pt idx="839">
                  <c:v>-6.6311432396023964</c:v>
                </c:pt>
                <c:pt idx="840">
                  <c:v>-6.6556121283742389</c:v>
                </c:pt>
                <c:pt idx="841">
                  <c:v>-6.6734235620769269</c:v>
                </c:pt>
                <c:pt idx="842">
                  <c:v>-6.6736896967479229</c:v>
                </c:pt>
                <c:pt idx="843">
                  <c:v>-6.6668501910428608</c:v>
                </c:pt>
                <c:pt idx="844">
                  <c:v>-6.6668501910428617</c:v>
                </c:pt>
                <c:pt idx="845">
                  <c:v>-6.6668501910428617</c:v>
                </c:pt>
                <c:pt idx="846">
                  <c:v>-6.666964864587916</c:v>
                </c:pt>
                <c:pt idx="847">
                  <c:v>-6.6838642526754857</c:v>
                </c:pt>
                <c:pt idx="848">
                  <c:v>-6.6597460235588208</c:v>
                </c:pt>
                <c:pt idx="849">
                  <c:v>-6.6620488115624727</c:v>
                </c:pt>
                <c:pt idx="850">
                  <c:v>-6.6771170173162524</c:v>
                </c:pt>
                <c:pt idx="851">
                  <c:v>-6.6925857319067781</c:v>
                </c:pt>
                <c:pt idx="852">
                  <c:v>-6.7252015050941338</c:v>
                </c:pt>
                <c:pt idx="853">
                  <c:v>-6.7556408606748608</c:v>
                </c:pt>
                <c:pt idx="854">
                  <c:v>-6.7806595655989259</c:v>
                </c:pt>
                <c:pt idx="855">
                  <c:v>-6.8007157631927928</c:v>
                </c:pt>
                <c:pt idx="856">
                  <c:v>-6.8201171742790647</c:v>
                </c:pt>
                <c:pt idx="857">
                  <c:v>-6.8298705212870967</c:v>
                </c:pt>
                <c:pt idx="858">
                  <c:v>-6.8492270975821317</c:v>
                </c:pt>
                <c:pt idx="859">
                  <c:v>-6.8578294938082669</c:v>
                </c:pt>
                <c:pt idx="860">
                  <c:v>-6.8862354718191963</c:v>
                </c:pt>
                <c:pt idx="861">
                  <c:v>-6.9173342103243138</c:v>
                </c:pt>
                <c:pt idx="862">
                  <c:v>-6.9470389425500576</c:v>
                </c:pt>
                <c:pt idx="863">
                  <c:v>-6.9929822650494842</c:v>
                </c:pt>
                <c:pt idx="864">
                  <c:v>-7.0640376404808016</c:v>
                </c:pt>
                <c:pt idx="865">
                  <c:v>-7.15990337033855</c:v>
                </c:pt>
                <c:pt idx="866">
                  <c:v>-7.251203548778193</c:v>
                </c:pt>
                <c:pt idx="867">
                  <c:v>-7.2716140889169845</c:v>
                </c:pt>
                <c:pt idx="868">
                  <c:v>-7.3412351561781346</c:v>
                </c:pt>
                <c:pt idx="869">
                  <c:v>-7.4100543112243127</c:v>
                </c:pt>
                <c:pt idx="870">
                  <c:v>-7.5085935004186588</c:v>
                </c:pt>
                <c:pt idx="871">
                  <c:v>-7.6326379874601509</c:v>
                </c:pt>
                <c:pt idx="872">
                  <c:v>-7.7180109890889224</c:v>
                </c:pt>
                <c:pt idx="873">
                  <c:v>-7.8146302758914743</c:v>
                </c:pt>
                <c:pt idx="874">
                  <c:v>-7.8698648803857605</c:v>
                </c:pt>
                <c:pt idx="875">
                  <c:v>-7.9410822001814374</c:v>
                </c:pt>
                <c:pt idx="876">
                  <c:v>-7.994470226434947</c:v>
                </c:pt>
                <c:pt idx="877">
                  <c:v>-8.0547237341013123</c:v>
                </c:pt>
                <c:pt idx="878">
                  <c:v>-8.0994971564408242</c:v>
                </c:pt>
                <c:pt idx="879">
                  <c:v>-8.1598859355571882</c:v>
                </c:pt>
                <c:pt idx="880">
                  <c:v>-8.1925180546425445</c:v>
                </c:pt>
                <c:pt idx="881">
                  <c:v>-8.2161591625434163</c:v>
                </c:pt>
                <c:pt idx="882">
                  <c:v>-8.2446814346718753</c:v>
                </c:pt>
                <c:pt idx="883">
                  <c:v>-8.2736758869650977</c:v>
                </c:pt>
                <c:pt idx="884">
                  <c:v>-8.3131219020875804</c:v>
                </c:pt>
                <c:pt idx="885">
                  <c:v>-8.3403125133645784</c:v>
                </c:pt>
                <c:pt idx="886">
                  <c:v>-8.3769486470736787</c:v>
                </c:pt>
                <c:pt idx="887">
                  <c:v>-8.4098319497034861</c:v>
                </c:pt>
                <c:pt idx="888">
                  <c:v>-8.4432376023792095</c:v>
                </c:pt>
                <c:pt idx="889">
                  <c:v>-8.4700583211346068</c:v>
                </c:pt>
                <c:pt idx="890">
                  <c:v>-8.5099519059931534</c:v>
                </c:pt>
                <c:pt idx="891">
                  <c:v>-8.5494613859948423</c:v>
                </c:pt>
                <c:pt idx="892">
                  <c:v>-8.5608445815158607</c:v>
                </c:pt>
                <c:pt idx="893">
                  <c:v>-8.5721618600424918</c:v>
                </c:pt>
                <c:pt idx="894">
                  <c:v>-8.5737565330368888</c:v>
                </c:pt>
                <c:pt idx="895">
                  <c:v>-8.5773310998753409</c:v>
                </c:pt>
                <c:pt idx="896">
                  <c:v>-8.5939756071728297</c:v>
                </c:pt>
                <c:pt idx="897">
                  <c:v>-8.6084552323537729</c:v>
                </c:pt>
                <c:pt idx="898">
                  <c:v>-8.6213066258635997</c:v>
                </c:pt>
                <c:pt idx="899">
                  <c:v>-8.6277151528258571</c:v>
                </c:pt>
                <c:pt idx="900">
                  <c:v>-8.6277151528258589</c:v>
                </c:pt>
                <c:pt idx="901">
                  <c:v>-8.6248415113919723</c:v>
                </c:pt>
                <c:pt idx="902">
                  <c:v>-8.6283733877191526</c:v>
                </c:pt>
                <c:pt idx="903">
                  <c:v>-8.6437857640796381</c:v>
                </c:pt>
                <c:pt idx="904">
                  <c:v>-8.648632808267692</c:v>
                </c:pt>
                <c:pt idx="905">
                  <c:v>-8.6534364942965354</c:v>
                </c:pt>
                <c:pt idx="906">
                  <c:v>-8.6549596986270529</c:v>
                </c:pt>
                <c:pt idx="907">
                  <c:v>-8.6655479826851778</c:v>
                </c:pt>
                <c:pt idx="908">
                  <c:v>-8.6663914346961377</c:v>
                </c:pt>
                <c:pt idx="909">
                  <c:v>-8.6640433192397044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C78-4216-9649-CE2E0F38B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/>
                  <a:t>日</a:t>
                </a:r>
              </a:p>
            </c:rich>
          </c:tx>
          <c:overlay val="1"/>
        </c:title>
        <c:numFmt formatCode="yyyy\-mm\-dd" sourceLinked="1"/>
        <c:majorTickMark val="none"/>
        <c:minorTickMark val="none"/>
        <c:tickLblPos val="nextTo"/>
        <c:crossAx val="100"/>
        <c:crosses val="autoZero"/>
        <c:auto val="1"/>
        <c:lblOffset val="100"/>
        <c:baseTimeUnit val="days"/>
      </c:date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bp</a:t>
                </a:r>
              </a:p>
            </c:rich>
          </c:tx>
          <c:overlay val="1"/>
        </c:title>
        <c:numFmt formatCode="0.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b"/>
      <c:overlay val="1"/>
    </c:legend>
    <c:plotVisOnly val="1"/>
    <c:dispBlanksAs val="gap"/>
    <c:showDLblsOverMax val="1"/>
  </c:chart>
  <c:txPr>
    <a:bodyPr/>
    <a:lstStyle/>
    <a:p>
      <a:pPr>
        <a:defRPr sz="900">
          <a:latin typeface="Meiryo UI"/>
          <a:ea typeface="Meiryo UI"/>
          <a:cs typeface="Meiryo UI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100" b="1">
                <a:solidFill>
                  <a:srgbClr val="548235"/>
                </a:solidFill>
              </a:defRPr>
            </a:pPr>
            <a:r>
              <a:rPr lang="ja-JP"/>
              <a:t>シグナル戦略 累積損益</a:t>
            </a:r>
            <a:r>
              <a:rPr lang="en-US"/>
              <a:t>($) — </a:t>
            </a:r>
            <a:r>
              <a:rPr lang="ja-JP"/>
              <a:t>全戦略合算・参考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累積損益</c:v>
          </c:tx>
          <c:spPr>
            <a:ln w="25400">
              <a:solidFill>
                <a:srgbClr val="548235"/>
              </a:solidFill>
            </a:ln>
          </c:spPr>
          <c:marker>
            <c:symbol val="none"/>
          </c:marker>
          <c:cat>
            <c:strRef>
              <c:f>シグナル検証!$CH$2:$CH$1307</c:f>
              <c:strCache>
                <c:ptCount val="910"/>
                <c:pt idx="0">
                  <c:v>2023-01-03</c:v>
                </c:pt>
                <c:pt idx="1">
                  <c:v>2023-01-04</c:v>
                </c:pt>
                <c:pt idx="2">
                  <c:v>2023-01-05</c:v>
                </c:pt>
                <c:pt idx="3">
                  <c:v>2023-01-06</c:v>
                </c:pt>
                <c:pt idx="4">
                  <c:v>2023-01-09</c:v>
                </c:pt>
                <c:pt idx="5">
                  <c:v>2023-01-10</c:v>
                </c:pt>
                <c:pt idx="6">
                  <c:v>2023-01-11</c:v>
                </c:pt>
                <c:pt idx="7">
                  <c:v>2023-01-12</c:v>
                </c:pt>
                <c:pt idx="8">
                  <c:v>2023-01-13</c:v>
                </c:pt>
                <c:pt idx="9">
                  <c:v>2023-01-17</c:v>
                </c:pt>
                <c:pt idx="10">
                  <c:v>2023-01-18</c:v>
                </c:pt>
                <c:pt idx="11">
                  <c:v>2023-01-19</c:v>
                </c:pt>
                <c:pt idx="12">
                  <c:v>2023-01-20</c:v>
                </c:pt>
                <c:pt idx="13">
                  <c:v>2023-01-23</c:v>
                </c:pt>
                <c:pt idx="14">
                  <c:v>2023-01-24</c:v>
                </c:pt>
                <c:pt idx="15">
                  <c:v>2023-01-25</c:v>
                </c:pt>
                <c:pt idx="16">
                  <c:v>2023-01-26</c:v>
                </c:pt>
                <c:pt idx="17">
                  <c:v>2023-01-27</c:v>
                </c:pt>
                <c:pt idx="18">
                  <c:v>2023-01-30</c:v>
                </c:pt>
                <c:pt idx="19">
                  <c:v>2023-01-31</c:v>
                </c:pt>
                <c:pt idx="20">
                  <c:v>2023-02-01</c:v>
                </c:pt>
                <c:pt idx="21">
                  <c:v>2023-02-02</c:v>
                </c:pt>
                <c:pt idx="22">
                  <c:v>2023-02-03</c:v>
                </c:pt>
                <c:pt idx="23">
                  <c:v>2023-02-06</c:v>
                </c:pt>
                <c:pt idx="24">
                  <c:v>2023-02-07</c:v>
                </c:pt>
                <c:pt idx="25">
                  <c:v>2023-02-08</c:v>
                </c:pt>
                <c:pt idx="26">
                  <c:v>2023-02-09</c:v>
                </c:pt>
                <c:pt idx="27">
                  <c:v>2023-02-10</c:v>
                </c:pt>
                <c:pt idx="28">
                  <c:v>2023-02-13</c:v>
                </c:pt>
                <c:pt idx="29">
                  <c:v>2023-02-14</c:v>
                </c:pt>
                <c:pt idx="30">
                  <c:v>2023-02-15</c:v>
                </c:pt>
                <c:pt idx="31">
                  <c:v>2023-02-16</c:v>
                </c:pt>
                <c:pt idx="32">
                  <c:v>2023-02-17</c:v>
                </c:pt>
                <c:pt idx="33">
                  <c:v>2023-02-21</c:v>
                </c:pt>
                <c:pt idx="34">
                  <c:v>2023-02-22</c:v>
                </c:pt>
                <c:pt idx="35">
                  <c:v>2023-02-23</c:v>
                </c:pt>
                <c:pt idx="36">
                  <c:v>2023-02-24</c:v>
                </c:pt>
                <c:pt idx="37">
                  <c:v>2023-02-27</c:v>
                </c:pt>
                <c:pt idx="38">
                  <c:v>2023-02-28</c:v>
                </c:pt>
                <c:pt idx="39">
                  <c:v>2023-03-01</c:v>
                </c:pt>
                <c:pt idx="40">
                  <c:v>2023-03-02</c:v>
                </c:pt>
                <c:pt idx="41">
                  <c:v>2023-03-03</c:v>
                </c:pt>
                <c:pt idx="42">
                  <c:v>2023-03-06</c:v>
                </c:pt>
                <c:pt idx="43">
                  <c:v>2023-03-07</c:v>
                </c:pt>
                <c:pt idx="44">
                  <c:v>2023-03-08</c:v>
                </c:pt>
                <c:pt idx="45">
                  <c:v>2023-03-09</c:v>
                </c:pt>
                <c:pt idx="46">
                  <c:v>2023-03-10</c:v>
                </c:pt>
                <c:pt idx="47">
                  <c:v>2023-03-13</c:v>
                </c:pt>
                <c:pt idx="48">
                  <c:v>2023-03-14</c:v>
                </c:pt>
                <c:pt idx="49">
                  <c:v>2023-03-15</c:v>
                </c:pt>
                <c:pt idx="50">
                  <c:v>2023-03-16</c:v>
                </c:pt>
                <c:pt idx="51">
                  <c:v>2023-03-17</c:v>
                </c:pt>
                <c:pt idx="52">
                  <c:v>2023-03-20</c:v>
                </c:pt>
                <c:pt idx="53">
                  <c:v>2023-03-21</c:v>
                </c:pt>
                <c:pt idx="54">
                  <c:v>2023-03-22</c:v>
                </c:pt>
                <c:pt idx="55">
                  <c:v>2023-03-23</c:v>
                </c:pt>
                <c:pt idx="56">
                  <c:v>2023-03-24</c:v>
                </c:pt>
                <c:pt idx="57">
                  <c:v>2023-03-27</c:v>
                </c:pt>
                <c:pt idx="58">
                  <c:v>2023-03-28</c:v>
                </c:pt>
                <c:pt idx="59">
                  <c:v>2023-03-29</c:v>
                </c:pt>
                <c:pt idx="60">
                  <c:v>2023-03-30</c:v>
                </c:pt>
                <c:pt idx="61">
                  <c:v>2023-03-31</c:v>
                </c:pt>
                <c:pt idx="62">
                  <c:v>2023-04-03</c:v>
                </c:pt>
                <c:pt idx="63">
                  <c:v>2023-04-04</c:v>
                </c:pt>
                <c:pt idx="64">
                  <c:v>2023-04-05</c:v>
                </c:pt>
                <c:pt idx="65">
                  <c:v>2023-04-06</c:v>
                </c:pt>
                <c:pt idx="66">
                  <c:v>2023-04-07</c:v>
                </c:pt>
                <c:pt idx="67">
                  <c:v>2023-04-10</c:v>
                </c:pt>
                <c:pt idx="68">
                  <c:v>2023-04-11</c:v>
                </c:pt>
                <c:pt idx="69">
                  <c:v>2023-04-12</c:v>
                </c:pt>
                <c:pt idx="70">
                  <c:v>2023-04-13</c:v>
                </c:pt>
                <c:pt idx="71">
                  <c:v>2023-04-14</c:v>
                </c:pt>
                <c:pt idx="72">
                  <c:v>2023-04-17</c:v>
                </c:pt>
                <c:pt idx="73">
                  <c:v>2023-04-18</c:v>
                </c:pt>
                <c:pt idx="74">
                  <c:v>2023-04-19</c:v>
                </c:pt>
                <c:pt idx="75">
                  <c:v>2023-04-20</c:v>
                </c:pt>
                <c:pt idx="76">
                  <c:v>2023-04-21</c:v>
                </c:pt>
                <c:pt idx="77">
                  <c:v>2023-04-24</c:v>
                </c:pt>
                <c:pt idx="78">
                  <c:v>2023-04-25</c:v>
                </c:pt>
                <c:pt idx="79">
                  <c:v>2023-04-26</c:v>
                </c:pt>
                <c:pt idx="80">
                  <c:v>2023-04-27</c:v>
                </c:pt>
                <c:pt idx="81">
                  <c:v>2023-04-28</c:v>
                </c:pt>
                <c:pt idx="82">
                  <c:v>2023-05-01</c:v>
                </c:pt>
                <c:pt idx="83">
                  <c:v>2023-05-02</c:v>
                </c:pt>
                <c:pt idx="84">
                  <c:v>2023-05-03</c:v>
                </c:pt>
                <c:pt idx="85">
                  <c:v>2023-05-04</c:v>
                </c:pt>
                <c:pt idx="86">
                  <c:v>2023-05-05</c:v>
                </c:pt>
                <c:pt idx="87">
                  <c:v>2023-05-08</c:v>
                </c:pt>
                <c:pt idx="88">
                  <c:v>2023-05-09</c:v>
                </c:pt>
                <c:pt idx="89">
                  <c:v>2023-05-10</c:v>
                </c:pt>
                <c:pt idx="90">
                  <c:v>2023-05-11</c:v>
                </c:pt>
                <c:pt idx="91">
                  <c:v>2023-05-12</c:v>
                </c:pt>
                <c:pt idx="92">
                  <c:v>2023-05-15</c:v>
                </c:pt>
                <c:pt idx="93">
                  <c:v>2023-05-16</c:v>
                </c:pt>
                <c:pt idx="94">
                  <c:v>2023-05-17</c:v>
                </c:pt>
                <c:pt idx="95">
                  <c:v>2023-05-18</c:v>
                </c:pt>
                <c:pt idx="96">
                  <c:v>2023-05-19</c:v>
                </c:pt>
                <c:pt idx="97">
                  <c:v>2023-05-22</c:v>
                </c:pt>
                <c:pt idx="98">
                  <c:v>2023-05-23</c:v>
                </c:pt>
                <c:pt idx="99">
                  <c:v>2023-05-24</c:v>
                </c:pt>
                <c:pt idx="100">
                  <c:v>2023-05-25</c:v>
                </c:pt>
                <c:pt idx="101">
                  <c:v>2023-05-26</c:v>
                </c:pt>
                <c:pt idx="102">
                  <c:v>2023-05-30</c:v>
                </c:pt>
                <c:pt idx="103">
                  <c:v>2023-05-31</c:v>
                </c:pt>
                <c:pt idx="104">
                  <c:v>2023-06-01</c:v>
                </c:pt>
                <c:pt idx="105">
                  <c:v>2023-06-02</c:v>
                </c:pt>
                <c:pt idx="106">
                  <c:v>2023-06-05</c:v>
                </c:pt>
                <c:pt idx="107">
                  <c:v>2023-06-06</c:v>
                </c:pt>
                <c:pt idx="108">
                  <c:v>2023-06-07</c:v>
                </c:pt>
                <c:pt idx="109">
                  <c:v>2023-06-08</c:v>
                </c:pt>
                <c:pt idx="110">
                  <c:v>2023-06-09</c:v>
                </c:pt>
                <c:pt idx="111">
                  <c:v>2023-06-12</c:v>
                </c:pt>
                <c:pt idx="112">
                  <c:v>2023-06-13</c:v>
                </c:pt>
                <c:pt idx="113">
                  <c:v>2023-06-14</c:v>
                </c:pt>
                <c:pt idx="114">
                  <c:v>2023-06-15</c:v>
                </c:pt>
                <c:pt idx="115">
                  <c:v>2023-06-16</c:v>
                </c:pt>
                <c:pt idx="116">
                  <c:v>2023-06-20</c:v>
                </c:pt>
                <c:pt idx="117">
                  <c:v>2023-06-21</c:v>
                </c:pt>
                <c:pt idx="118">
                  <c:v>2023-06-22</c:v>
                </c:pt>
                <c:pt idx="119">
                  <c:v>2023-06-23</c:v>
                </c:pt>
                <c:pt idx="120">
                  <c:v>2023-06-26</c:v>
                </c:pt>
                <c:pt idx="121">
                  <c:v>2023-06-27</c:v>
                </c:pt>
                <c:pt idx="122">
                  <c:v>2023-06-28</c:v>
                </c:pt>
                <c:pt idx="123">
                  <c:v>2023-06-29</c:v>
                </c:pt>
                <c:pt idx="124">
                  <c:v>2023-06-30</c:v>
                </c:pt>
                <c:pt idx="125">
                  <c:v>2023-07-03</c:v>
                </c:pt>
                <c:pt idx="126">
                  <c:v>2023-07-05</c:v>
                </c:pt>
                <c:pt idx="127">
                  <c:v>2023-07-06</c:v>
                </c:pt>
                <c:pt idx="128">
                  <c:v>2023-07-07</c:v>
                </c:pt>
                <c:pt idx="129">
                  <c:v>2023-07-10</c:v>
                </c:pt>
                <c:pt idx="130">
                  <c:v>2023-07-11</c:v>
                </c:pt>
                <c:pt idx="131">
                  <c:v>2023-07-12</c:v>
                </c:pt>
                <c:pt idx="132">
                  <c:v>2023-07-13</c:v>
                </c:pt>
                <c:pt idx="133">
                  <c:v>2023-07-14</c:v>
                </c:pt>
                <c:pt idx="134">
                  <c:v>2023-07-17</c:v>
                </c:pt>
                <c:pt idx="135">
                  <c:v>2023-07-18</c:v>
                </c:pt>
                <c:pt idx="136">
                  <c:v>2023-07-19</c:v>
                </c:pt>
                <c:pt idx="137">
                  <c:v>2023-07-20</c:v>
                </c:pt>
                <c:pt idx="138">
                  <c:v>2023-07-21</c:v>
                </c:pt>
                <c:pt idx="139">
                  <c:v>2023-07-24</c:v>
                </c:pt>
                <c:pt idx="140">
                  <c:v>2023-07-25</c:v>
                </c:pt>
                <c:pt idx="141">
                  <c:v>2023-07-26</c:v>
                </c:pt>
                <c:pt idx="142">
                  <c:v>2023-07-27</c:v>
                </c:pt>
                <c:pt idx="143">
                  <c:v>2023-07-28</c:v>
                </c:pt>
                <c:pt idx="144">
                  <c:v>2023-07-31</c:v>
                </c:pt>
                <c:pt idx="145">
                  <c:v>2023-08-01</c:v>
                </c:pt>
                <c:pt idx="146">
                  <c:v>2023-08-02</c:v>
                </c:pt>
                <c:pt idx="147">
                  <c:v>2023-08-03</c:v>
                </c:pt>
                <c:pt idx="148">
                  <c:v>2023-08-04</c:v>
                </c:pt>
                <c:pt idx="149">
                  <c:v>2023-08-07</c:v>
                </c:pt>
                <c:pt idx="150">
                  <c:v>2023-08-08</c:v>
                </c:pt>
                <c:pt idx="151">
                  <c:v>2023-08-09</c:v>
                </c:pt>
                <c:pt idx="152">
                  <c:v>2023-08-10</c:v>
                </c:pt>
                <c:pt idx="153">
                  <c:v>2023-08-11</c:v>
                </c:pt>
                <c:pt idx="154">
                  <c:v>2023-08-14</c:v>
                </c:pt>
                <c:pt idx="155">
                  <c:v>2023-08-15</c:v>
                </c:pt>
                <c:pt idx="156">
                  <c:v>2023-08-16</c:v>
                </c:pt>
                <c:pt idx="157">
                  <c:v>2023-08-17</c:v>
                </c:pt>
                <c:pt idx="158">
                  <c:v>2023-08-18</c:v>
                </c:pt>
                <c:pt idx="159">
                  <c:v>2023-08-21</c:v>
                </c:pt>
                <c:pt idx="160">
                  <c:v>2023-08-22</c:v>
                </c:pt>
                <c:pt idx="161">
                  <c:v>2023-08-23</c:v>
                </c:pt>
                <c:pt idx="162">
                  <c:v>2023-08-24</c:v>
                </c:pt>
                <c:pt idx="163">
                  <c:v>2023-08-25</c:v>
                </c:pt>
                <c:pt idx="164">
                  <c:v>2023-08-28</c:v>
                </c:pt>
                <c:pt idx="165">
                  <c:v>2023-08-29</c:v>
                </c:pt>
                <c:pt idx="166">
                  <c:v>2023-08-30</c:v>
                </c:pt>
                <c:pt idx="167">
                  <c:v>2023-08-31</c:v>
                </c:pt>
                <c:pt idx="168">
                  <c:v>2023-09-01</c:v>
                </c:pt>
                <c:pt idx="169">
                  <c:v>2023-09-05</c:v>
                </c:pt>
                <c:pt idx="170">
                  <c:v>2023-09-06</c:v>
                </c:pt>
                <c:pt idx="171">
                  <c:v>2023-09-07</c:v>
                </c:pt>
                <c:pt idx="172">
                  <c:v>2023-09-08</c:v>
                </c:pt>
                <c:pt idx="173">
                  <c:v>2023-09-11</c:v>
                </c:pt>
                <c:pt idx="174">
                  <c:v>2023-09-12</c:v>
                </c:pt>
                <c:pt idx="175">
                  <c:v>2023-09-13</c:v>
                </c:pt>
                <c:pt idx="176">
                  <c:v>2023-09-14</c:v>
                </c:pt>
                <c:pt idx="177">
                  <c:v>2023-09-15</c:v>
                </c:pt>
                <c:pt idx="178">
                  <c:v>2023-09-18</c:v>
                </c:pt>
                <c:pt idx="179">
                  <c:v>2023-09-19</c:v>
                </c:pt>
                <c:pt idx="180">
                  <c:v>2023-09-20</c:v>
                </c:pt>
                <c:pt idx="181">
                  <c:v>2023-09-21</c:v>
                </c:pt>
                <c:pt idx="182">
                  <c:v>2023-09-22</c:v>
                </c:pt>
                <c:pt idx="183">
                  <c:v>2023-09-25</c:v>
                </c:pt>
                <c:pt idx="184">
                  <c:v>2023-09-26</c:v>
                </c:pt>
                <c:pt idx="185">
                  <c:v>2023-09-27</c:v>
                </c:pt>
                <c:pt idx="186">
                  <c:v>2023-09-28</c:v>
                </c:pt>
                <c:pt idx="187">
                  <c:v>2023-09-29</c:v>
                </c:pt>
                <c:pt idx="188">
                  <c:v>2023-10-02</c:v>
                </c:pt>
                <c:pt idx="189">
                  <c:v>2023-10-03</c:v>
                </c:pt>
                <c:pt idx="190">
                  <c:v>2023-10-04</c:v>
                </c:pt>
                <c:pt idx="191">
                  <c:v>2023-10-05</c:v>
                </c:pt>
                <c:pt idx="192">
                  <c:v>2023-10-06</c:v>
                </c:pt>
                <c:pt idx="193">
                  <c:v>2023-10-10</c:v>
                </c:pt>
                <c:pt idx="194">
                  <c:v>2023-10-11</c:v>
                </c:pt>
                <c:pt idx="195">
                  <c:v>2023-10-12</c:v>
                </c:pt>
                <c:pt idx="196">
                  <c:v>2023-10-13</c:v>
                </c:pt>
                <c:pt idx="197">
                  <c:v>2023-10-16</c:v>
                </c:pt>
                <c:pt idx="198">
                  <c:v>2023-10-17</c:v>
                </c:pt>
                <c:pt idx="199">
                  <c:v>2023-10-18</c:v>
                </c:pt>
                <c:pt idx="200">
                  <c:v>2023-10-19</c:v>
                </c:pt>
                <c:pt idx="201">
                  <c:v>2023-10-20</c:v>
                </c:pt>
                <c:pt idx="202">
                  <c:v>2023-10-23</c:v>
                </c:pt>
                <c:pt idx="203">
                  <c:v>2023-10-24</c:v>
                </c:pt>
                <c:pt idx="204">
                  <c:v>2023-10-25</c:v>
                </c:pt>
                <c:pt idx="205">
                  <c:v>2023-10-26</c:v>
                </c:pt>
                <c:pt idx="206">
                  <c:v>2023-10-27</c:v>
                </c:pt>
                <c:pt idx="207">
                  <c:v>2023-10-30</c:v>
                </c:pt>
                <c:pt idx="208">
                  <c:v>2023-10-31</c:v>
                </c:pt>
                <c:pt idx="209">
                  <c:v>2023-11-01</c:v>
                </c:pt>
                <c:pt idx="210">
                  <c:v>2023-11-02</c:v>
                </c:pt>
                <c:pt idx="211">
                  <c:v>2023-11-03</c:v>
                </c:pt>
                <c:pt idx="212">
                  <c:v>2023-11-06</c:v>
                </c:pt>
                <c:pt idx="213">
                  <c:v>2023-11-07</c:v>
                </c:pt>
                <c:pt idx="214">
                  <c:v>2023-11-08</c:v>
                </c:pt>
                <c:pt idx="215">
                  <c:v>2023-11-09</c:v>
                </c:pt>
                <c:pt idx="216">
                  <c:v>2023-11-10</c:v>
                </c:pt>
                <c:pt idx="217">
                  <c:v>2023-11-13</c:v>
                </c:pt>
                <c:pt idx="218">
                  <c:v>2023-11-14</c:v>
                </c:pt>
                <c:pt idx="219">
                  <c:v>2023-11-15</c:v>
                </c:pt>
                <c:pt idx="220">
                  <c:v>2023-11-16</c:v>
                </c:pt>
                <c:pt idx="221">
                  <c:v>2023-11-17</c:v>
                </c:pt>
                <c:pt idx="222">
                  <c:v>2023-11-20</c:v>
                </c:pt>
                <c:pt idx="223">
                  <c:v>2023-11-21</c:v>
                </c:pt>
                <c:pt idx="224">
                  <c:v>2023-11-22</c:v>
                </c:pt>
                <c:pt idx="225">
                  <c:v>2023-11-24</c:v>
                </c:pt>
                <c:pt idx="226">
                  <c:v>2023-11-27</c:v>
                </c:pt>
                <c:pt idx="227">
                  <c:v>2023-11-28</c:v>
                </c:pt>
                <c:pt idx="228">
                  <c:v>2023-11-29</c:v>
                </c:pt>
                <c:pt idx="229">
                  <c:v>2023-11-30</c:v>
                </c:pt>
                <c:pt idx="230">
                  <c:v>2023-12-01</c:v>
                </c:pt>
                <c:pt idx="231">
                  <c:v>2023-12-04</c:v>
                </c:pt>
                <c:pt idx="232">
                  <c:v>2023-12-05</c:v>
                </c:pt>
                <c:pt idx="233">
                  <c:v>2023-12-06</c:v>
                </c:pt>
                <c:pt idx="234">
                  <c:v>2023-12-07</c:v>
                </c:pt>
                <c:pt idx="235">
                  <c:v>2023-12-08</c:v>
                </c:pt>
                <c:pt idx="236">
                  <c:v>2023-12-11</c:v>
                </c:pt>
                <c:pt idx="237">
                  <c:v>2023-12-12</c:v>
                </c:pt>
                <c:pt idx="238">
                  <c:v>2023-12-13</c:v>
                </c:pt>
                <c:pt idx="239">
                  <c:v>2023-12-14</c:v>
                </c:pt>
                <c:pt idx="240">
                  <c:v>2023-12-15</c:v>
                </c:pt>
                <c:pt idx="241">
                  <c:v>2023-12-18</c:v>
                </c:pt>
                <c:pt idx="242">
                  <c:v>2023-12-19</c:v>
                </c:pt>
                <c:pt idx="243">
                  <c:v>2023-12-20</c:v>
                </c:pt>
                <c:pt idx="244">
                  <c:v>2023-12-21</c:v>
                </c:pt>
                <c:pt idx="245">
                  <c:v>2023-12-22</c:v>
                </c:pt>
                <c:pt idx="246">
                  <c:v>2023-12-26</c:v>
                </c:pt>
                <c:pt idx="247">
                  <c:v>2023-12-27</c:v>
                </c:pt>
                <c:pt idx="248">
                  <c:v>2023-12-28</c:v>
                </c:pt>
                <c:pt idx="249">
                  <c:v>2023-12-29</c:v>
                </c:pt>
                <c:pt idx="250">
                  <c:v>2024-01-02</c:v>
                </c:pt>
                <c:pt idx="251">
                  <c:v>2024-01-03</c:v>
                </c:pt>
                <c:pt idx="252">
                  <c:v>2024-01-04</c:v>
                </c:pt>
                <c:pt idx="253">
                  <c:v>2024-01-05</c:v>
                </c:pt>
                <c:pt idx="254">
                  <c:v>2024-01-08</c:v>
                </c:pt>
                <c:pt idx="255">
                  <c:v>2024-01-09</c:v>
                </c:pt>
                <c:pt idx="256">
                  <c:v>2024-01-10</c:v>
                </c:pt>
                <c:pt idx="257">
                  <c:v>2024-01-11</c:v>
                </c:pt>
                <c:pt idx="258">
                  <c:v>2024-01-12</c:v>
                </c:pt>
                <c:pt idx="259">
                  <c:v>2024-01-16</c:v>
                </c:pt>
                <c:pt idx="260">
                  <c:v>2024-01-17</c:v>
                </c:pt>
                <c:pt idx="261">
                  <c:v>2024-01-18</c:v>
                </c:pt>
                <c:pt idx="262">
                  <c:v>2024-01-19</c:v>
                </c:pt>
                <c:pt idx="263">
                  <c:v>2024-01-22</c:v>
                </c:pt>
                <c:pt idx="264">
                  <c:v>2024-01-23</c:v>
                </c:pt>
                <c:pt idx="265">
                  <c:v>2024-01-24</c:v>
                </c:pt>
                <c:pt idx="266">
                  <c:v>2024-01-25</c:v>
                </c:pt>
                <c:pt idx="267">
                  <c:v>2024-01-26</c:v>
                </c:pt>
                <c:pt idx="268">
                  <c:v>2024-01-29</c:v>
                </c:pt>
                <c:pt idx="269">
                  <c:v>2024-01-30</c:v>
                </c:pt>
                <c:pt idx="270">
                  <c:v>2024-01-31</c:v>
                </c:pt>
                <c:pt idx="271">
                  <c:v>2024-02-01</c:v>
                </c:pt>
                <c:pt idx="272">
                  <c:v>2024-02-02</c:v>
                </c:pt>
                <c:pt idx="273">
                  <c:v>2024-02-05</c:v>
                </c:pt>
                <c:pt idx="274">
                  <c:v>2024-02-06</c:v>
                </c:pt>
                <c:pt idx="275">
                  <c:v>2024-02-07</c:v>
                </c:pt>
                <c:pt idx="276">
                  <c:v>2024-02-08</c:v>
                </c:pt>
                <c:pt idx="277">
                  <c:v>2024-02-09</c:v>
                </c:pt>
                <c:pt idx="278">
                  <c:v>2024-02-12</c:v>
                </c:pt>
                <c:pt idx="279">
                  <c:v>2024-02-13</c:v>
                </c:pt>
                <c:pt idx="280">
                  <c:v>2024-02-14</c:v>
                </c:pt>
                <c:pt idx="281">
                  <c:v>2024-02-15</c:v>
                </c:pt>
                <c:pt idx="282">
                  <c:v>2024-02-16</c:v>
                </c:pt>
                <c:pt idx="283">
                  <c:v>2024-02-20</c:v>
                </c:pt>
                <c:pt idx="284">
                  <c:v>2024-02-21</c:v>
                </c:pt>
                <c:pt idx="285">
                  <c:v>2024-02-22</c:v>
                </c:pt>
                <c:pt idx="286">
                  <c:v>2024-02-23</c:v>
                </c:pt>
                <c:pt idx="287">
                  <c:v>2024-02-26</c:v>
                </c:pt>
                <c:pt idx="288">
                  <c:v>2024-02-27</c:v>
                </c:pt>
                <c:pt idx="289">
                  <c:v>2024-02-28</c:v>
                </c:pt>
                <c:pt idx="290">
                  <c:v>2024-02-29</c:v>
                </c:pt>
                <c:pt idx="291">
                  <c:v>2024-03-01</c:v>
                </c:pt>
                <c:pt idx="292">
                  <c:v>2024-03-04</c:v>
                </c:pt>
                <c:pt idx="293">
                  <c:v>2024-03-05</c:v>
                </c:pt>
                <c:pt idx="294">
                  <c:v>2024-03-06</c:v>
                </c:pt>
                <c:pt idx="295">
                  <c:v>2024-03-07</c:v>
                </c:pt>
                <c:pt idx="296">
                  <c:v>2024-03-08</c:v>
                </c:pt>
                <c:pt idx="297">
                  <c:v>2024-03-11</c:v>
                </c:pt>
                <c:pt idx="298">
                  <c:v>2024-03-12</c:v>
                </c:pt>
                <c:pt idx="299">
                  <c:v>2024-03-13</c:v>
                </c:pt>
                <c:pt idx="300">
                  <c:v>2024-03-14</c:v>
                </c:pt>
                <c:pt idx="301">
                  <c:v>2024-03-15</c:v>
                </c:pt>
                <c:pt idx="302">
                  <c:v>2024-03-18</c:v>
                </c:pt>
                <c:pt idx="303">
                  <c:v>2024-03-19</c:v>
                </c:pt>
                <c:pt idx="304">
                  <c:v>2024-03-20</c:v>
                </c:pt>
                <c:pt idx="305">
                  <c:v>2024-03-21</c:v>
                </c:pt>
                <c:pt idx="306">
                  <c:v>2024-03-22</c:v>
                </c:pt>
                <c:pt idx="307">
                  <c:v>2024-03-25</c:v>
                </c:pt>
                <c:pt idx="308">
                  <c:v>2024-03-26</c:v>
                </c:pt>
                <c:pt idx="309">
                  <c:v>2024-03-27</c:v>
                </c:pt>
                <c:pt idx="310">
                  <c:v>2024-03-28</c:v>
                </c:pt>
                <c:pt idx="311">
                  <c:v>2024-04-01</c:v>
                </c:pt>
                <c:pt idx="312">
                  <c:v>2024-04-02</c:v>
                </c:pt>
                <c:pt idx="313">
                  <c:v>2024-04-03</c:v>
                </c:pt>
                <c:pt idx="314">
                  <c:v>2024-04-04</c:v>
                </c:pt>
                <c:pt idx="315">
                  <c:v>2024-04-05</c:v>
                </c:pt>
                <c:pt idx="316">
                  <c:v>2024-04-08</c:v>
                </c:pt>
                <c:pt idx="317">
                  <c:v>2024-04-09</c:v>
                </c:pt>
                <c:pt idx="318">
                  <c:v>2024-04-10</c:v>
                </c:pt>
                <c:pt idx="319">
                  <c:v>2024-04-11</c:v>
                </c:pt>
                <c:pt idx="320">
                  <c:v>2024-04-12</c:v>
                </c:pt>
                <c:pt idx="321">
                  <c:v>2024-04-15</c:v>
                </c:pt>
                <c:pt idx="322">
                  <c:v>2024-04-16</c:v>
                </c:pt>
                <c:pt idx="323">
                  <c:v>2024-04-17</c:v>
                </c:pt>
                <c:pt idx="324">
                  <c:v>2024-04-18</c:v>
                </c:pt>
                <c:pt idx="325">
                  <c:v>2024-04-19</c:v>
                </c:pt>
                <c:pt idx="326">
                  <c:v>2024-04-22</c:v>
                </c:pt>
                <c:pt idx="327">
                  <c:v>2024-04-23</c:v>
                </c:pt>
                <c:pt idx="328">
                  <c:v>2024-04-24</c:v>
                </c:pt>
                <c:pt idx="329">
                  <c:v>2024-04-25</c:v>
                </c:pt>
                <c:pt idx="330">
                  <c:v>2024-04-26</c:v>
                </c:pt>
                <c:pt idx="331">
                  <c:v>2024-04-29</c:v>
                </c:pt>
                <c:pt idx="332">
                  <c:v>2024-04-30</c:v>
                </c:pt>
                <c:pt idx="333">
                  <c:v>2024-05-01</c:v>
                </c:pt>
                <c:pt idx="334">
                  <c:v>2024-05-02</c:v>
                </c:pt>
                <c:pt idx="335">
                  <c:v>2024-05-03</c:v>
                </c:pt>
                <c:pt idx="336">
                  <c:v>2024-05-06</c:v>
                </c:pt>
                <c:pt idx="337">
                  <c:v>2024-05-07</c:v>
                </c:pt>
                <c:pt idx="338">
                  <c:v>2024-05-08</c:v>
                </c:pt>
                <c:pt idx="339">
                  <c:v>2024-05-09</c:v>
                </c:pt>
                <c:pt idx="340">
                  <c:v>2024-05-10</c:v>
                </c:pt>
                <c:pt idx="341">
                  <c:v>2024-05-13</c:v>
                </c:pt>
                <c:pt idx="342">
                  <c:v>2024-05-14</c:v>
                </c:pt>
                <c:pt idx="343">
                  <c:v>2024-05-15</c:v>
                </c:pt>
                <c:pt idx="344">
                  <c:v>2024-05-16</c:v>
                </c:pt>
                <c:pt idx="345">
                  <c:v>2024-05-17</c:v>
                </c:pt>
                <c:pt idx="346">
                  <c:v>2024-05-20</c:v>
                </c:pt>
                <c:pt idx="347">
                  <c:v>2024-05-21</c:v>
                </c:pt>
                <c:pt idx="348">
                  <c:v>2024-05-22</c:v>
                </c:pt>
                <c:pt idx="349">
                  <c:v>2024-05-23</c:v>
                </c:pt>
                <c:pt idx="350">
                  <c:v>2024-05-24</c:v>
                </c:pt>
                <c:pt idx="351">
                  <c:v>2024-05-28</c:v>
                </c:pt>
                <c:pt idx="352">
                  <c:v>2024-05-29</c:v>
                </c:pt>
                <c:pt idx="353">
                  <c:v>2024-05-30</c:v>
                </c:pt>
                <c:pt idx="354">
                  <c:v>2024-05-31</c:v>
                </c:pt>
                <c:pt idx="355">
                  <c:v>2024-06-03</c:v>
                </c:pt>
                <c:pt idx="356">
                  <c:v>2024-06-04</c:v>
                </c:pt>
                <c:pt idx="357">
                  <c:v>2024-06-05</c:v>
                </c:pt>
                <c:pt idx="358">
                  <c:v>2024-06-06</c:v>
                </c:pt>
                <c:pt idx="359">
                  <c:v>2024-06-07</c:v>
                </c:pt>
                <c:pt idx="360">
                  <c:v>2024-06-10</c:v>
                </c:pt>
                <c:pt idx="361">
                  <c:v>2024-06-11</c:v>
                </c:pt>
                <c:pt idx="362">
                  <c:v>2024-06-12</c:v>
                </c:pt>
                <c:pt idx="363">
                  <c:v>2024-06-13</c:v>
                </c:pt>
                <c:pt idx="364">
                  <c:v>2024-06-14</c:v>
                </c:pt>
                <c:pt idx="365">
                  <c:v>2024-06-17</c:v>
                </c:pt>
                <c:pt idx="366">
                  <c:v>2024-06-18</c:v>
                </c:pt>
                <c:pt idx="367">
                  <c:v>2024-06-20</c:v>
                </c:pt>
                <c:pt idx="368">
                  <c:v>2024-06-21</c:v>
                </c:pt>
                <c:pt idx="369">
                  <c:v>2024-06-24</c:v>
                </c:pt>
                <c:pt idx="370">
                  <c:v>2024-06-25</c:v>
                </c:pt>
                <c:pt idx="371">
                  <c:v>2024-06-26</c:v>
                </c:pt>
                <c:pt idx="372">
                  <c:v>2024-06-27</c:v>
                </c:pt>
                <c:pt idx="373">
                  <c:v>2024-06-28</c:v>
                </c:pt>
                <c:pt idx="374">
                  <c:v>2024-07-01</c:v>
                </c:pt>
                <c:pt idx="375">
                  <c:v>2024-07-02</c:v>
                </c:pt>
                <c:pt idx="376">
                  <c:v>2024-07-03</c:v>
                </c:pt>
                <c:pt idx="377">
                  <c:v>2024-07-05</c:v>
                </c:pt>
                <c:pt idx="378">
                  <c:v>2024-07-08</c:v>
                </c:pt>
                <c:pt idx="379">
                  <c:v>2024-07-09</c:v>
                </c:pt>
                <c:pt idx="380">
                  <c:v>2024-07-10</c:v>
                </c:pt>
                <c:pt idx="381">
                  <c:v>2024-07-11</c:v>
                </c:pt>
                <c:pt idx="382">
                  <c:v>2024-07-12</c:v>
                </c:pt>
                <c:pt idx="383">
                  <c:v>2024-07-15</c:v>
                </c:pt>
                <c:pt idx="384">
                  <c:v>2024-07-16</c:v>
                </c:pt>
                <c:pt idx="385">
                  <c:v>2024-07-17</c:v>
                </c:pt>
                <c:pt idx="386">
                  <c:v>2024-07-18</c:v>
                </c:pt>
                <c:pt idx="387">
                  <c:v>2024-07-19</c:v>
                </c:pt>
                <c:pt idx="388">
                  <c:v>2024-07-22</c:v>
                </c:pt>
                <c:pt idx="389">
                  <c:v>2024-07-23</c:v>
                </c:pt>
                <c:pt idx="390">
                  <c:v>2024-07-24</c:v>
                </c:pt>
                <c:pt idx="391">
                  <c:v>2024-07-25</c:v>
                </c:pt>
                <c:pt idx="392">
                  <c:v>2024-07-26</c:v>
                </c:pt>
                <c:pt idx="393">
                  <c:v>2024-07-29</c:v>
                </c:pt>
                <c:pt idx="394">
                  <c:v>2024-07-30</c:v>
                </c:pt>
                <c:pt idx="395">
                  <c:v>2024-07-31</c:v>
                </c:pt>
                <c:pt idx="396">
                  <c:v>2024-08-01</c:v>
                </c:pt>
                <c:pt idx="397">
                  <c:v>2024-08-02</c:v>
                </c:pt>
                <c:pt idx="398">
                  <c:v>2024-08-05</c:v>
                </c:pt>
                <c:pt idx="399">
                  <c:v>2024-08-06</c:v>
                </c:pt>
                <c:pt idx="400">
                  <c:v>2024-08-07</c:v>
                </c:pt>
                <c:pt idx="401">
                  <c:v>2024-08-08</c:v>
                </c:pt>
                <c:pt idx="402">
                  <c:v>2024-08-09</c:v>
                </c:pt>
                <c:pt idx="403">
                  <c:v>2024-08-12</c:v>
                </c:pt>
                <c:pt idx="404">
                  <c:v>2024-08-13</c:v>
                </c:pt>
                <c:pt idx="405">
                  <c:v>2024-08-14</c:v>
                </c:pt>
                <c:pt idx="406">
                  <c:v>2024-08-15</c:v>
                </c:pt>
                <c:pt idx="407">
                  <c:v>2024-08-16</c:v>
                </c:pt>
                <c:pt idx="408">
                  <c:v>2024-08-19</c:v>
                </c:pt>
                <c:pt idx="409">
                  <c:v>2024-08-20</c:v>
                </c:pt>
                <c:pt idx="410">
                  <c:v>2024-08-21</c:v>
                </c:pt>
                <c:pt idx="411">
                  <c:v>2024-08-22</c:v>
                </c:pt>
                <c:pt idx="412">
                  <c:v>2024-08-23</c:v>
                </c:pt>
                <c:pt idx="413">
                  <c:v>2024-08-26</c:v>
                </c:pt>
                <c:pt idx="414">
                  <c:v>2024-08-27</c:v>
                </c:pt>
                <c:pt idx="415">
                  <c:v>2024-08-28</c:v>
                </c:pt>
                <c:pt idx="416">
                  <c:v>2024-08-29</c:v>
                </c:pt>
                <c:pt idx="417">
                  <c:v>2024-08-30</c:v>
                </c:pt>
                <c:pt idx="418">
                  <c:v>2024-09-03</c:v>
                </c:pt>
                <c:pt idx="419">
                  <c:v>2024-09-04</c:v>
                </c:pt>
                <c:pt idx="420">
                  <c:v>2024-09-05</c:v>
                </c:pt>
                <c:pt idx="421">
                  <c:v>2024-09-06</c:v>
                </c:pt>
                <c:pt idx="422">
                  <c:v>2024-09-09</c:v>
                </c:pt>
                <c:pt idx="423">
                  <c:v>2024-09-10</c:v>
                </c:pt>
                <c:pt idx="424">
                  <c:v>2024-09-11</c:v>
                </c:pt>
                <c:pt idx="425">
                  <c:v>2024-09-12</c:v>
                </c:pt>
                <c:pt idx="426">
                  <c:v>2024-09-13</c:v>
                </c:pt>
                <c:pt idx="427">
                  <c:v>2024-09-16</c:v>
                </c:pt>
                <c:pt idx="428">
                  <c:v>2024-09-17</c:v>
                </c:pt>
                <c:pt idx="429">
                  <c:v>2024-09-18</c:v>
                </c:pt>
                <c:pt idx="430">
                  <c:v>2024-09-19</c:v>
                </c:pt>
                <c:pt idx="431">
                  <c:v>2024-09-20</c:v>
                </c:pt>
                <c:pt idx="432">
                  <c:v>2024-09-23</c:v>
                </c:pt>
                <c:pt idx="433">
                  <c:v>2024-09-24</c:v>
                </c:pt>
                <c:pt idx="434">
                  <c:v>2024-09-25</c:v>
                </c:pt>
                <c:pt idx="435">
                  <c:v>2024-09-26</c:v>
                </c:pt>
                <c:pt idx="436">
                  <c:v>2024-09-27</c:v>
                </c:pt>
                <c:pt idx="437">
                  <c:v>2024-09-30</c:v>
                </c:pt>
                <c:pt idx="438">
                  <c:v>2024-10-01</c:v>
                </c:pt>
                <c:pt idx="439">
                  <c:v>2024-10-02</c:v>
                </c:pt>
                <c:pt idx="440">
                  <c:v>2024-10-03</c:v>
                </c:pt>
                <c:pt idx="441">
                  <c:v>2024-10-04</c:v>
                </c:pt>
                <c:pt idx="442">
                  <c:v>2024-10-07</c:v>
                </c:pt>
                <c:pt idx="443">
                  <c:v>2024-10-08</c:v>
                </c:pt>
                <c:pt idx="444">
                  <c:v>2024-10-09</c:v>
                </c:pt>
                <c:pt idx="445">
                  <c:v>2024-10-10</c:v>
                </c:pt>
                <c:pt idx="446">
                  <c:v>2024-10-11</c:v>
                </c:pt>
                <c:pt idx="447">
                  <c:v>2024-10-15</c:v>
                </c:pt>
                <c:pt idx="448">
                  <c:v>2024-10-16</c:v>
                </c:pt>
                <c:pt idx="449">
                  <c:v>2024-10-17</c:v>
                </c:pt>
                <c:pt idx="450">
                  <c:v>2024-10-18</c:v>
                </c:pt>
                <c:pt idx="451">
                  <c:v>2024-10-21</c:v>
                </c:pt>
                <c:pt idx="452">
                  <c:v>2024-10-22</c:v>
                </c:pt>
                <c:pt idx="453">
                  <c:v>2024-10-23</c:v>
                </c:pt>
                <c:pt idx="454">
                  <c:v>2024-10-24</c:v>
                </c:pt>
                <c:pt idx="455">
                  <c:v>2024-10-25</c:v>
                </c:pt>
                <c:pt idx="456">
                  <c:v>2024-10-28</c:v>
                </c:pt>
                <c:pt idx="457">
                  <c:v>2024-10-29</c:v>
                </c:pt>
                <c:pt idx="458">
                  <c:v>2024-10-30</c:v>
                </c:pt>
                <c:pt idx="459">
                  <c:v>2024-10-31</c:v>
                </c:pt>
                <c:pt idx="460">
                  <c:v>2024-11-01</c:v>
                </c:pt>
                <c:pt idx="461">
                  <c:v>2024-11-04</c:v>
                </c:pt>
                <c:pt idx="462">
                  <c:v>2024-11-05</c:v>
                </c:pt>
                <c:pt idx="463">
                  <c:v>2024-11-06</c:v>
                </c:pt>
                <c:pt idx="464">
                  <c:v>2024-11-07</c:v>
                </c:pt>
                <c:pt idx="465">
                  <c:v>2024-11-08</c:v>
                </c:pt>
                <c:pt idx="466">
                  <c:v>2024-11-12</c:v>
                </c:pt>
                <c:pt idx="467">
                  <c:v>2024-11-13</c:v>
                </c:pt>
                <c:pt idx="468">
                  <c:v>2024-11-14</c:v>
                </c:pt>
                <c:pt idx="469">
                  <c:v>2024-11-15</c:v>
                </c:pt>
                <c:pt idx="470">
                  <c:v>2024-11-18</c:v>
                </c:pt>
                <c:pt idx="471">
                  <c:v>2024-11-19</c:v>
                </c:pt>
                <c:pt idx="472">
                  <c:v>2024-11-20</c:v>
                </c:pt>
                <c:pt idx="473">
                  <c:v>2024-11-21</c:v>
                </c:pt>
                <c:pt idx="474">
                  <c:v>2024-11-22</c:v>
                </c:pt>
                <c:pt idx="475">
                  <c:v>2024-11-25</c:v>
                </c:pt>
                <c:pt idx="476">
                  <c:v>2024-11-26</c:v>
                </c:pt>
                <c:pt idx="477">
                  <c:v>2024-11-27</c:v>
                </c:pt>
                <c:pt idx="478">
                  <c:v>2024-11-29</c:v>
                </c:pt>
                <c:pt idx="479">
                  <c:v>2024-12-02</c:v>
                </c:pt>
                <c:pt idx="480">
                  <c:v>2024-12-03</c:v>
                </c:pt>
                <c:pt idx="481">
                  <c:v>2024-12-04</c:v>
                </c:pt>
                <c:pt idx="482">
                  <c:v>2024-12-05</c:v>
                </c:pt>
                <c:pt idx="483">
                  <c:v>2024-12-06</c:v>
                </c:pt>
                <c:pt idx="484">
                  <c:v>2024-12-09</c:v>
                </c:pt>
                <c:pt idx="485">
                  <c:v>2024-12-10</c:v>
                </c:pt>
                <c:pt idx="486">
                  <c:v>2024-12-11</c:v>
                </c:pt>
                <c:pt idx="487">
                  <c:v>2024-12-12</c:v>
                </c:pt>
                <c:pt idx="488">
                  <c:v>2024-12-13</c:v>
                </c:pt>
                <c:pt idx="489">
                  <c:v>2024-12-16</c:v>
                </c:pt>
                <c:pt idx="490">
                  <c:v>2024-12-17</c:v>
                </c:pt>
                <c:pt idx="491">
                  <c:v>2024-12-18</c:v>
                </c:pt>
                <c:pt idx="492">
                  <c:v>2024-12-19</c:v>
                </c:pt>
                <c:pt idx="493">
                  <c:v>2024-12-20</c:v>
                </c:pt>
                <c:pt idx="494">
                  <c:v>2024-12-23</c:v>
                </c:pt>
                <c:pt idx="495">
                  <c:v>2024-12-24</c:v>
                </c:pt>
                <c:pt idx="496">
                  <c:v>2024-12-26</c:v>
                </c:pt>
                <c:pt idx="497">
                  <c:v>2024-12-27</c:v>
                </c:pt>
                <c:pt idx="498">
                  <c:v>2024-12-30</c:v>
                </c:pt>
                <c:pt idx="499">
                  <c:v>2024-12-31</c:v>
                </c:pt>
                <c:pt idx="500">
                  <c:v>2025-01-02</c:v>
                </c:pt>
                <c:pt idx="501">
                  <c:v>2025-01-03</c:v>
                </c:pt>
                <c:pt idx="502">
                  <c:v>2025-01-06</c:v>
                </c:pt>
                <c:pt idx="503">
                  <c:v>2025-01-07</c:v>
                </c:pt>
                <c:pt idx="504">
                  <c:v>2025-01-08</c:v>
                </c:pt>
                <c:pt idx="505">
                  <c:v>2025-01-09</c:v>
                </c:pt>
                <c:pt idx="506">
                  <c:v>2025-01-10</c:v>
                </c:pt>
                <c:pt idx="507">
                  <c:v>2025-01-13</c:v>
                </c:pt>
                <c:pt idx="508">
                  <c:v>2025-01-14</c:v>
                </c:pt>
                <c:pt idx="509">
                  <c:v>2025-01-15</c:v>
                </c:pt>
                <c:pt idx="510">
                  <c:v>2025-01-16</c:v>
                </c:pt>
                <c:pt idx="511">
                  <c:v>2025-01-17</c:v>
                </c:pt>
                <c:pt idx="512">
                  <c:v>2025-01-21</c:v>
                </c:pt>
                <c:pt idx="513">
                  <c:v>2025-01-22</c:v>
                </c:pt>
                <c:pt idx="514">
                  <c:v>2025-01-23</c:v>
                </c:pt>
                <c:pt idx="515">
                  <c:v>2025-01-24</c:v>
                </c:pt>
                <c:pt idx="516">
                  <c:v>2025-01-27</c:v>
                </c:pt>
                <c:pt idx="517">
                  <c:v>2025-01-28</c:v>
                </c:pt>
                <c:pt idx="518">
                  <c:v>2025-01-29</c:v>
                </c:pt>
                <c:pt idx="519">
                  <c:v>2025-01-30</c:v>
                </c:pt>
                <c:pt idx="520">
                  <c:v>2025-01-31</c:v>
                </c:pt>
                <c:pt idx="521">
                  <c:v>2025-02-03</c:v>
                </c:pt>
                <c:pt idx="522">
                  <c:v>2025-02-04</c:v>
                </c:pt>
                <c:pt idx="523">
                  <c:v>2025-02-05</c:v>
                </c:pt>
                <c:pt idx="524">
                  <c:v>2025-02-06</c:v>
                </c:pt>
                <c:pt idx="525">
                  <c:v>2025-02-07</c:v>
                </c:pt>
                <c:pt idx="526">
                  <c:v>2025-02-10</c:v>
                </c:pt>
                <c:pt idx="527">
                  <c:v>2025-02-11</c:v>
                </c:pt>
                <c:pt idx="528">
                  <c:v>2025-02-12</c:v>
                </c:pt>
                <c:pt idx="529">
                  <c:v>2025-02-13</c:v>
                </c:pt>
                <c:pt idx="530">
                  <c:v>2025-02-14</c:v>
                </c:pt>
                <c:pt idx="531">
                  <c:v>2025-02-18</c:v>
                </c:pt>
                <c:pt idx="532">
                  <c:v>2025-02-19</c:v>
                </c:pt>
                <c:pt idx="533">
                  <c:v>2025-02-20</c:v>
                </c:pt>
                <c:pt idx="534">
                  <c:v>2025-02-21</c:v>
                </c:pt>
                <c:pt idx="535">
                  <c:v>2025-02-24</c:v>
                </c:pt>
                <c:pt idx="536">
                  <c:v>2025-02-25</c:v>
                </c:pt>
                <c:pt idx="537">
                  <c:v>2025-02-26</c:v>
                </c:pt>
                <c:pt idx="538">
                  <c:v>2025-02-27</c:v>
                </c:pt>
                <c:pt idx="539">
                  <c:v>2025-02-28</c:v>
                </c:pt>
                <c:pt idx="540">
                  <c:v>2025-03-03</c:v>
                </c:pt>
                <c:pt idx="541">
                  <c:v>2025-03-04</c:v>
                </c:pt>
                <c:pt idx="542">
                  <c:v>2025-03-05</c:v>
                </c:pt>
                <c:pt idx="543">
                  <c:v>2025-03-06</c:v>
                </c:pt>
                <c:pt idx="544">
                  <c:v>2025-03-07</c:v>
                </c:pt>
                <c:pt idx="545">
                  <c:v>2025-03-10</c:v>
                </c:pt>
                <c:pt idx="546">
                  <c:v>2025-03-11</c:v>
                </c:pt>
                <c:pt idx="547">
                  <c:v>2025-03-12</c:v>
                </c:pt>
                <c:pt idx="548">
                  <c:v>2025-03-13</c:v>
                </c:pt>
                <c:pt idx="549">
                  <c:v>2025-03-14</c:v>
                </c:pt>
                <c:pt idx="550">
                  <c:v>2025-03-17</c:v>
                </c:pt>
                <c:pt idx="551">
                  <c:v>2025-03-18</c:v>
                </c:pt>
                <c:pt idx="552">
                  <c:v>2025-03-19</c:v>
                </c:pt>
                <c:pt idx="553">
                  <c:v>2025-03-20</c:v>
                </c:pt>
                <c:pt idx="554">
                  <c:v>2025-03-21</c:v>
                </c:pt>
                <c:pt idx="555">
                  <c:v>2025-03-24</c:v>
                </c:pt>
                <c:pt idx="556">
                  <c:v>2025-03-25</c:v>
                </c:pt>
                <c:pt idx="557">
                  <c:v>2025-03-26</c:v>
                </c:pt>
                <c:pt idx="558">
                  <c:v>2025-03-27</c:v>
                </c:pt>
                <c:pt idx="559">
                  <c:v>2025-03-28</c:v>
                </c:pt>
                <c:pt idx="560">
                  <c:v>2025-03-31</c:v>
                </c:pt>
                <c:pt idx="561">
                  <c:v>2025-04-01</c:v>
                </c:pt>
                <c:pt idx="562">
                  <c:v>2025-04-02</c:v>
                </c:pt>
                <c:pt idx="563">
                  <c:v>2025-04-03</c:v>
                </c:pt>
                <c:pt idx="564">
                  <c:v>2025-04-04</c:v>
                </c:pt>
                <c:pt idx="565">
                  <c:v>2025-04-07</c:v>
                </c:pt>
                <c:pt idx="566">
                  <c:v>2025-04-08</c:v>
                </c:pt>
                <c:pt idx="567">
                  <c:v>2025-04-09</c:v>
                </c:pt>
                <c:pt idx="568">
                  <c:v>2025-04-10</c:v>
                </c:pt>
                <c:pt idx="569">
                  <c:v>2025-04-11</c:v>
                </c:pt>
                <c:pt idx="570">
                  <c:v>2025-04-14</c:v>
                </c:pt>
                <c:pt idx="571">
                  <c:v>2025-04-15</c:v>
                </c:pt>
                <c:pt idx="572">
                  <c:v>2025-04-16</c:v>
                </c:pt>
                <c:pt idx="573">
                  <c:v>2025-04-17</c:v>
                </c:pt>
                <c:pt idx="574">
                  <c:v>2025-04-21</c:v>
                </c:pt>
                <c:pt idx="575">
                  <c:v>2025-04-22</c:v>
                </c:pt>
                <c:pt idx="576">
                  <c:v>2025-04-23</c:v>
                </c:pt>
                <c:pt idx="577">
                  <c:v>2025-04-24</c:v>
                </c:pt>
                <c:pt idx="578">
                  <c:v>2025-04-25</c:v>
                </c:pt>
                <c:pt idx="579">
                  <c:v>2025-04-28</c:v>
                </c:pt>
                <c:pt idx="580">
                  <c:v>2025-04-29</c:v>
                </c:pt>
                <c:pt idx="581">
                  <c:v>2025-04-30</c:v>
                </c:pt>
                <c:pt idx="582">
                  <c:v>2025-05-01</c:v>
                </c:pt>
                <c:pt idx="583">
                  <c:v>2025-05-02</c:v>
                </c:pt>
                <c:pt idx="584">
                  <c:v>2025-05-05</c:v>
                </c:pt>
                <c:pt idx="585">
                  <c:v>2025-05-06</c:v>
                </c:pt>
                <c:pt idx="586">
                  <c:v>2025-05-07</c:v>
                </c:pt>
                <c:pt idx="587">
                  <c:v>2025-05-08</c:v>
                </c:pt>
                <c:pt idx="588">
                  <c:v>2025-05-09</c:v>
                </c:pt>
                <c:pt idx="589">
                  <c:v>2025-05-12</c:v>
                </c:pt>
                <c:pt idx="590">
                  <c:v>2025-05-13</c:v>
                </c:pt>
                <c:pt idx="591">
                  <c:v>2025-05-14</c:v>
                </c:pt>
                <c:pt idx="592">
                  <c:v>2025-05-15</c:v>
                </c:pt>
                <c:pt idx="593">
                  <c:v>2025-05-16</c:v>
                </c:pt>
                <c:pt idx="594">
                  <c:v>2025-05-19</c:v>
                </c:pt>
                <c:pt idx="595">
                  <c:v>2025-05-20</c:v>
                </c:pt>
                <c:pt idx="596">
                  <c:v>2025-05-21</c:v>
                </c:pt>
                <c:pt idx="597">
                  <c:v>2025-05-22</c:v>
                </c:pt>
                <c:pt idx="598">
                  <c:v>2025-05-23</c:v>
                </c:pt>
                <c:pt idx="599">
                  <c:v>2025-05-27</c:v>
                </c:pt>
                <c:pt idx="600">
                  <c:v>2025-05-28</c:v>
                </c:pt>
                <c:pt idx="601">
                  <c:v>2025-05-29</c:v>
                </c:pt>
                <c:pt idx="602">
                  <c:v>2025-05-30</c:v>
                </c:pt>
                <c:pt idx="603">
                  <c:v>2025-06-02</c:v>
                </c:pt>
                <c:pt idx="604">
                  <c:v>2025-06-03</c:v>
                </c:pt>
                <c:pt idx="605">
                  <c:v>2025-06-04</c:v>
                </c:pt>
                <c:pt idx="606">
                  <c:v>2025-06-05</c:v>
                </c:pt>
                <c:pt idx="607">
                  <c:v>2025-06-06</c:v>
                </c:pt>
                <c:pt idx="608">
                  <c:v>2025-06-09</c:v>
                </c:pt>
                <c:pt idx="609">
                  <c:v>2025-06-10</c:v>
                </c:pt>
                <c:pt idx="610">
                  <c:v>2025-06-11</c:v>
                </c:pt>
                <c:pt idx="611">
                  <c:v>2025-06-12</c:v>
                </c:pt>
                <c:pt idx="612">
                  <c:v>2025-06-13</c:v>
                </c:pt>
                <c:pt idx="613">
                  <c:v>2025-06-16</c:v>
                </c:pt>
                <c:pt idx="614">
                  <c:v>2025-06-17</c:v>
                </c:pt>
                <c:pt idx="615">
                  <c:v>2025-06-18</c:v>
                </c:pt>
                <c:pt idx="616">
                  <c:v>2025-06-20</c:v>
                </c:pt>
                <c:pt idx="617">
                  <c:v>2025-06-23</c:v>
                </c:pt>
                <c:pt idx="618">
                  <c:v>2025-06-24</c:v>
                </c:pt>
                <c:pt idx="619">
                  <c:v>2025-06-25</c:v>
                </c:pt>
                <c:pt idx="620">
                  <c:v>2025-06-26</c:v>
                </c:pt>
                <c:pt idx="621">
                  <c:v>2025-06-27</c:v>
                </c:pt>
                <c:pt idx="622">
                  <c:v>2025-06-30</c:v>
                </c:pt>
                <c:pt idx="623">
                  <c:v>2025-07-01</c:v>
                </c:pt>
                <c:pt idx="624">
                  <c:v>2025-07-02</c:v>
                </c:pt>
                <c:pt idx="625">
                  <c:v>2025-07-03</c:v>
                </c:pt>
                <c:pt idx="626">
                  <c:v>2025-07-07</c:v>
                </c:pt>
                <c:pt idx="627">
                  <c:v>2025-07-08</c:v>
                </c:pt>
                <c:pt idx="628">
                  <c:v>2025-07-09</c:v>
                </c:pt>
                <c:pt idx="629">
                  <c:v>2025-07-10</c:v>
                </c:pt>
                <c:pt idx="630">
                  <c:v>2025-07-11</c:v>
                </c:pt>
                <c:pt idx="631">
                  <c:v>2025-07-14</c:v>
                </c:pt>
                <c:pt idx="632">
                  <c:v>2025-07-15</c:v>
                </c:pt>
                <c:pt idx="633">
                  <c:v>2025-07-16</c:v>
                </c:pt>
                <c:pt idx="634">
                  <c:v>2025-07-17</c:v>
                </c:pt>
                <c:pt idx="635">
                  <c:v>2025-07-18</c:v>
                </c:pt>
                <c:pt idx="636">
                  <c:v>2025-07-21</c:v>
                </c:pt>
                <c:pt idx="637">
                  <c:v>2025-07-22</c:v>
                </c:pt>
                <c:pt idx="638">
                  <c:v>2025-07-23</c:v>
                </c:pt>
                <c:pt idx="639">
                  <c:v>2025-07-24</c:v>
                </c:pt>
                <c:pt idx="640">
                  <c:v>2025-07-25</c:v>
                </c:pt>
                <c:pt idx="641">
                  <c:v>2025-07-28</c:v>
                </c:pt>
                <c:pt idx="642">
                  <c:v>2025-07-29</c:v>
                </c:pt>
                <c:pt idx="643">
                  <c:v>2025-07-30</c:v>
                </c:pt>
                <c:pt idx="644">
                  <c:v>2025-07-31</c:v>
                </c:pt>
                <c:pt idx="645">
                  <c:v>2025-08-01</c:v>
                </c:pt>
                <c:pt idx="646">
                  <c:v>2025-08-04</c:v>
                </c:pt>
                <c:pt idx="647">
                  <c:v>2025-08-05</c:v>
                </c:pt>
                <c:pt idx="648">
                  <c:v>2025-08-06</c:v>
                </c:pt>
                <c:pt idx="649">
                  <c:v>2025-08-07</c:v>
                </c:pt>
                <c:pt idx="650">
                  <c:v>2025-08-08</c:v>
                </c:pt>
                <c:pt idx="651">
                  <c:v>2025-08-11</c:v>
                </c:pt>
                <c:pt idx="652">
                  <c:v>2025-08-12</c:v>
                </c:pt>
                <c:pt idx="653">
                  <c:v>2025-08-13</c:v>
                </c:pt>
                <c:pt idx="654">
                  <c:v>2025-08-14</c:v>
                </c:pt>
                <c:pt idx="655">
                  <c:v>2025-08-15</c:v>
                </c:pt>
                <c:pt idx="656">
                  <c:v>2025-08-18</c:v>
                </c:pt>
                <c:pt idx="657">
                  <c:v>2025-08-19</c:v>
                </c:pt>
                <c:pt idx="658">
                  <c:v>2025-08-20</c:v>
                </c:pt>
                <c:pt idx="659">
                  <c:v>2025-08-21</c:v>
                </c:pt>
                <c:pt idx="660">
                  <c:v>2025-08-22</c:v>
                </c:pt>
                <c:pt idx="661">
                  <c:v>2025-08-25</c:v>
                </c:pt>
                <c:pt idx="662">
                  <c:v>2025-08-26</c:v>
                </c:pt>
                <c:pt idx="663">
                  <c:v>2025-08-27</c:v>
                </c:pt>
                <c:pt idx="664">
                  <c:v>2025-08-28</c:v>
                </c:pt>
                <c:pt idx="665">
                  <c:v>2025-08-29</c:v>
                </c:pt>
                <c:pt idx="666">
                  <c:v>2025-09-02</c:v>
                </c:pt>
                <c:pt idx="667">
                  <c:v>2025-09-03</c:v>
                </c:pt>
                <c:pt idx="668">
                  <c:v>2025-09-04</c:v>
                </c:pt>
                <c:pt idx="669">
                  <c:v>2025-09-05</c:v>
                </c:pt>
                <c:pt idx="670">
                  <c:v>2025-09-08</c:v>
                </c:pt>
                <c:pt idx="671">
                  <c:v>2025-09-09</c:v>
                </c:pt>
                <c:pt idx="672">
                  <c:v>2025-09-10</c:v>
                </c:pt>
                <c:pt idx="673">
                  <c:v>2025-09-11</c:v>
                </c:pt>
                <c:pt idx="674">
                  <c:v>2025-09-12</c:v>
                </c:pt>
                <c:pt idx="675">
                  <c:v>2025-09-15</c:v>
                </c:pt>
                <c:pt idx="676">
                  <c:v>2025-09-16</c:v>
                </c:pt>
                <c:pt idx="677">
                  <c:v>2025-09-17</c:v>
                </c:pt>
                <c:pt idx="678">
                  <c:v>2025-09-18</c:v>
                </c:pt>
                <c:pt idx="679">
                  <c:v>2025-09-19</c:v>
                </c:pt>
                <c:pt idx="680">
                  <c:v>2025-09-22</c:v>
                </c:pt>
                <c:pt idx="681">
                  <c:v>2025-09-23</c:v>
                </c:pt>
                <c:pt idx="682">
                  <c:v>2025-09-24</c:v>
                </c:pt>
                <c:pt idx="683">
                  <c:v>2025-09-25</c:v>
                </c:pt>
                <c:pt idx="684">
                  <c:v>2025-09-26</c:v>
                </c:pt>
                <c:pt idx="685">
                  <c:v>2025-09-29</c:v>
                </c:pt>
                <c:pt idx="686">
                  <c:v>2025-09-30</c:v>
                </c:pt>
                <c:pt idx="687">
                  <c:v>2025-10-01</c:v>
                </c:pt>
                <c:pt idx="688">
                  <c:v>2025-10-02</c:v>
                </c:pt>
                <c:pt idx="689">
                  <c:v>2025-10-03</c:v>
                </c:pt>
                <c:pt idx="690">
                  <c:v>2025-10-06</c:v>
                </c:pt>
                <c:pt idx="691">
                  <c:v>2025-10-07</c:v>
                </c:pt>
                <c:pt idx="692">
                  <c:v>2025-10-08</c:v>
                </c:pt>
                <c:pt idx="693">
                  <c:v>2025-10-09</c:v>
                </c:pt>
                <c:pt idx="694">
                  <c:v>2025-10-10</c:v>
                </c:pt>
                <c:pt idx="695">
                  <c:v>2025-10-14</c:v>
                </c:pt>
                <c:pt idx="696">
                  <c:v>2025-10-15</c:v>
                </c:pt>
                <c:pt idx="697">
                  <c:v>2025-10-16</c:v>
                </c:pt>
                <c:pt idx="698">
                  <c:v>2025-10-17</c:v>
                </c:pt>
                <c:pt idx="699">
                  <c:v>2025-10-20</c:v>
                </c:pt>
                <c:pt idx="700">
                  <c:v>2025-10-21</c:v>
                </c:pt>
                <c:pt idx="701">
                  <c:v>2025-10-22</c:v>
                </c:pt>
                <c:pt idx="702">
                  <c:v>2025-10-23</c:v>
                </c:pt>
                <c:pt idx="703">
                  <c:v>2025-10-24</c:v>
                </c:pt>
                <c:pt idx="704">
                  <c:v>2025-10-27</c:v>
                </c:pt>
                <c:pt idx="705">
                  <c:v>2025-10-28</c:v>
                </c:pt>
                <c:pt idx="706">
                  <c:v>2025-10-29</c:v>
                </c:pt>
                <c:pt idx="707">
                  <c:v>2025-10-30</c:v>
                </c:pt>
                <c:pt idx="708">
                  <c:v>2025-10-31</c:v>
                </c:pt>
                <c:pt idx="709">
                  <c:v>2025-11-03</c:v>
                </c:pt>
                <c:pt idx="710">
                  <c:v>2025-11-04</c:v>
                </c:pt>
                <c:pt idx="711">
                  <c:v>2025-11-05</c:v>
                </c:pt>
                <c:pt idx="712">
                  <c:v>2025-11-06</c:v>
                </c:pt>
                <c:pt idx="713">
                  <c:v>2025-11-07</c:v>
                </c:pt>
                <c:pt idx="714">
                  <c:v>2025-11-10</c:v>
                </c:pt>
                <c:pt idx="715">
                  <c:v>2025-11-12</c:v>
                </c:pt>
                <c:pt idx="716">
                  <c:v>2025-11-13</c:v>
                </c:pt>
                <c:pt idx="717">
                  <c:v>2025-11-14</c:v>
                </c:pt>
                <c:pt idx="718">
                  <c:v>2025-11-17</c:v>
                </c:pt>
                <c:pt idx="719">
                  <c:v>2025-11-18</c:v>
                </c:pt>
                <c:pt idx="720">
                  <c:v>2025-11-19</c:v>
                </c:pt>
                <c:pt idx="721">
                  <c:v>2025-11-20</c:v>
                </c:pt>
                <c:pt idx="722">
                  <c:v>2025-11-21</c:v>
                </c:pt>
                <c:pt idx="723">
                  <c:v>2025-11-24</c:v>
                </c:pt>
                <c:pt idx="724">
                  <c:v>2025-11-25</c:v>
                </c:pt>
                <c:pt idx="725">
                  <c:v>2025-11-26</c:v>
                </c:pt>
                <c:pt idx="726">
                  <c:v>2025-11-28</c:v>
                </c:pt>
                <c:pt idx="727">
                  <c:v>2025-12-01</c:v>
                </c:pt>
                <c:pt idx="728">
                  <c:v>2025-12-02</c:v>
                </c:pt>
                <c:pt idx="729">
                  <c:v>2025-12-03</c:v>
                </c:pt>
                <c:pt idx="730">
                  <c:v>2025-12-04</c:v>
                </c:pt>
                <c:pt idx="731">
                  <c:v>2025-12-05</c:v>
                </c:pt>
                <c:pt idx="732">
                  <c:v>2025-12-08</c:v>
                </c:pt>
                <c:pt idx="733">
                  <c:v>2025-12-09</c:v>
                </c:pt>
                <c:pt idx="734">
                  <c:v>2025-12-10</c:v>
                </c:pt>
                <c:pt idx="735">
                  <c:v>2025-12-11</c:v>
                </c:pt>
                <c:pt idx="736">
                  <c:v>2025-12-12</c:v>
                </c:pt>
                <c:pt idx="737">
                  <c:v>2025-12-15</c:v>
                </c:pt>
                <c:pt idx="738">
                  <c:v>2025-12-16</c:v>
                </c:pt>
                <c:pt idx="739">
                  <c:v>2025-12-17</c:v>
                </c:pt>
                <c:pt idx="740">
                  <c:v>2025-12-18</c:v>
                </c:pt>
                <c:pt idx="741">
                  <c:v>2025-12-19</c:v>
                </c:pt>
                <c:pt idx="742">
                  <c:v>2025-12-22</c:v>
                </c:pt>
                <c:pt idx="743">
                  <c:v>2025-12-23</c:v>
                </c:pt>
                <c:pt idx="744">
                  <c:v>2025-12-24</c:v>
                </c:pt>
                <c:pt idx="745">
                  <c:v>2025-12-26</c:v>
                </c:pt>
                <c:pt idx="746">
                  <c:v>2025-12-29</c:v>
                </c:pt>
                <c:pt idx="747">
                  <c:v>2025-12-30</c:v>
                </c:pt>
                <c:pt idx="748">
                  <c:v>2025-12-31</c:v>
                </c:pt>
                <c:pt idx="749">
                  <c:v>2026-01-02</c:v>
                </c:pt>
                <c:pt idx="750">
                  <c:v>2026-01-05</c:v>
                </c:pt>
                <c:pt idx="751">
                  <c:v>2026-01-06</c:v>
                </c:pt>
                <c:pt idx="752">
                  <c:v>2026-01-07</c:v>
                </c:pt>
                <c:pt idx="753">
                  <c:v>2026-01-08</c:v>
                </c:pt>
                <c:pt idx="754">
                  <c:v>2026-01-09</c:v>
                </c:pt>
                <c:pt idx="755">
                  <c:v>2026-01-12</c:v>
                </c:pt>
                <c:pt idx="756">
                  <c:v>2026-01-13</c:v>
                </c:pt>
                <c:pt idx="757">
                  <c:v>2026-01-14</c:v>
                </c:pt>
                <c:pt idx="758">
                  <c:v>2026-01-15</c:v>
                </c:pt>
                <c:pt idx="759">
                  <c:v>2026-01-16</c:v>
                </c:pt>
                <c:pt idx="760">
                  <c:v>2026-01-20</c:v>
                </c:pt>
                <c:pt idx="761">
                  <c:v>2026-01-21</c:v>
                </c:pt>
                <c:pt idx="762">
                  <c:v>2026-01-22</c:v>
                </c:pt>
                <c:pt idx="763">
                  <c:v>2026-01-23</c:v>
                </c:pt>
                <c:pt idx="764">
                  <c:v>2026-01-26</c:v>
                </c:pt>
                <c:pt idx="765">
                  <c:v>2026-01-27</c:v>
                </c:pt>
                <c:pt idx="766">
                  <c:v>2026-01-28</c:v>
                </c:pt>
                <c:pt idx="767">
                  <c:v>2026-01-29</c:v>
                </c:pt>
                <c:pt idx="768">
                  <c:v>2026-01-30</c:v>
                </c:pt>
                <c:pt idx="769">
                  <c:v>2026-02-02</c:v>
                </c:pt>
                <c:pt idx="770">
                  <c:v>2026-02-03</c:v>
                </c:pt>
                <c:pt idx="771">
                  <c:v>2026-02-04</c:v>
                </c:pt>
                <c:pt idx="772">
                  <c:v>2026-02-05</c:v>
                </c:pt>
                <c:pt idx="773">
                  <c:v>2026-02-06</c:v>
                </c:pt>
                <c:pt idx="774">
                  <c:v>2026-02-09</c:v>
                </c:pt>
                <c:pt idx="775">
                  <c:v>2026-02-10</c:v>
                </c:pt>
                <c:pt idx="776">
                  <c:v>2026-02-11</c:v>
                </c:pt>
                <c:pt idx="777">
                  <c:v>2026-02-12</c:v>
                </c:pt>
                <c:pt idx="778">
                  <c:v>2026-02-13</c:v>
                </c:pt>
                <c:pt idx="779">
                  <c:v>2026-02-17</c:v>
                </c:pt>
                <c:pt idx="780">
                  <c:v>2026-02-18</c:v>
                </c:pt>
                <c:pt idx="781">
                  <c:v>2026-02-19</c:v>
                </c:pt>
                <c:pt idx="782">
                  <c:v>2026-02-20</c:v>
                </c:pt>
                <c:pt idx="783">
                  <c:v>2026-02-23</c:v>
                </c:pt>
                <c:pt idx="784">
                  <c:v>2026-02-24</c:v>
                </c:pt>
                <c:pt idx="785">
                  <c:v>2026-02-25</c:v>
                </c:pt>
                <c:pt idx="786">
                  <c:v>2026-02-26</c:v>
                </c:pt>
                <c:pt idx="787">
                  <c:v>2026-02-27</c:v>
                </c:pt>
                <c:pt idx="788">
                  <c:v>2026-03-02</c:v>
                </c:pt>
                <c:pt idx="789">
                  <c:v>2026-03-03</c:v>
                </c:pt>
                <c:pt idx="790">
                  <c:v>2026-03-04</c:v>
                </c:pt>
                <c:pt idx="791">
                  <c:v>2026-03-05</c:v>
                </c:pt>
                <c:pt idx="792">
                  <c:v>2026-03-06</c:v>
                </c:pt>
                <c:pt idx="793">
                  <c:v>2026-03-09</c:v>
                </c:pt>
                <c:pt idx="794">
                  <c:v>2026-03-10</c:v>
                </c:pt>
                <c:pt idx="795">
                  <c:v>2026-03-11</c:v>
                </c:pt>
                <c:pt idx="796">
                  <c:v>2026-03-12</c:v>
                </c:pt>
                <c:pt idx="797">
                  <c:v>2026-03-13</c:v>
                </c:pt>
                <c:pt idx="798">
                  <c:v>2026-03-16</c:v>
                </c:pt>
                <c:pt idx="799">
                  <c:v>2026-03-17</c:v>
                </c:pt>
                <c:pt idx="800">
                  <c:v>2026-03-18</c:v>
                </c:pt>
                <c:pt idx="801">
                  <c:v>2026-03-19</c:v>
                </c:pt>
                <c:pt idx="802">
                  <c:v>2026-03-20</c:v>
                </c:pt>
                <c:pt idx="803">
                  <c:v>2026-03-23</c:v>
                </c:pt>
                <c:pt idx="804">
                  <c:v>2026-03-24</c:v>
                </c:pt>
                <c:pt idx="805">
                  <c:v>2026-03-25</c:v>
                </c:pt>
                <c:pt idx="806">
                  <c:v>2026-03-26</c:v>
                </c:pt>
                <c:pt idx="807">
                  <c:v>2026-03-27</c:v>
                </c:pt>
                <c:pt idx="808">
                  <c:v>2026-03-30</c:v>
                </c:pt>
                <c:pt idx="809">
                  <c:v>2026-03-31</c:v>
                </c:pt>
                <c:pt idx="810">
                  <c:v>2026-04-01</c:v>
                </c:pt>
                <c:pt idx="811">
                  <c:v>2026-04-02</c:v>
                </c:pt>
                <c:pt idx="812">
                  <c:v>2026-04-03</c:v>
                </c:pt>
                <c:pt idx="813">
                  <c:v>2026-04-06</c:v>
                </c:pt>
                <c:pt idx="814">
                  <c:v>2026-04-07</c:v>
                </c:pt>
                <c:pt idx="815">
                  <c:v>2026-04-08</c:v>
                </c:pt>
                <c:pt idx="816">
                  <c:v>2026-04-09</c:v>
                </c:pt>
                <c:pt idx="817">
                  <c:v>2026-04-10</c:v>
                </c:pt>
                <c:pt idx="818">
                  <c:v>2026-04-13</c:v>
                </c:pt>
                <c:pt idx="819">
                  <c:v>2026-04-14</c:v>
                </c:pt>
                <c:pt idx="820">
                  <c:v>2026-04-15</c:v>
                </c:pt>
                <c:pt idx="821">
                  <c:v>2026-04-16</c:v>
                </c:pt>
                <c:pt idx="822">
                  <c:v>2026-04-17</c:v>
                </c:pt>
                <c:pt idx="823">
                  <c:v>2026-04-20</c:v>
                </c:pt>
                <c:pt idx="824">
                  <c:v>2026-04-21</c:v>
                </c:pt>
                <c:pt idx="825">
                  <c:v>2026-04-22</c:v>
                </c:pt>
                <c:pt idx="826">
                  <c:v>2026-04-23</c:v>
                </c:pt>
                <c:pt idx="827">
                  <c:v>2026-04-24</c:v>
                </c:pt>
                <c:pt idx="828">
                  <c:v>2026-04-27</c:v>
                </c:pt>
                <c:pt idx="829">
                  <c:v>2026-04-28</c:v>
                </c:pt>
                <c:pt idx="830">
                  <c:v>2026-04-29</c:v>
                </c:pt>
                <c:pt idx="831">
                  <c:v>2026-04-30</c:v>
                </c:pt>
                <c:pt idx="832">
                  <c:v>2026-05-01</c:v>
                </c:pt>
                <c:pt idx="833">
                  <c:v>2026-05-04</c:v>
                </c:pt>
                <c:pt idx="834">
                  <c:v>2026-05-05</c:v>
                </c:pt>
                <c:pt idx="835">
                  <c:v>2026-05-06</c:v>
                </c:pt>
                <c:pt idx="836">
                  <c:v>2026-05-07</c:v>
                </c:pt>
                <c:pt idx="837">
                  <c:v>2026-05-08</c:v>
                </c:pt>
                <c:pt idx="838">
                  <c:v>2026-05-11</c:v>
                </c:pt>
                <c:pt idx="839">
                  <c:v>2026-05-12</c:v>
                </c:pt>
                <c:pt idx="840">
                  <c:v>2026-05-13</c:v>
                </c:pt>
                <c:pt idx="841">
                  <c:v>2026-05-14</c:v>
                </c:pt>
                <c:pt idx="842">
                  <c:v>2026-05-15</c:v>
                </c:pt>
                <c:pt idx="843">
                  <c:v>2026-05-18</c:v>
                </c:pt>
                <c:pt idx="844">
                  <c:v>2026-05-19</c:v>
                </c:pt>
                <c:pt idx="845">
                  <c:v>2026-05-20</c:v>
                </c:pt>
                <c:pt idx="846">
                  <c:v>2026-05-21</c:v>
                </c:pt>
                <c:pt idx="847">
                  <c:v>2026-05-22</c:v>
                </c:pt>
                <c:pt idx="848">
                  <c:v>2026-05-26</c:v>
                </c:pt>
                <c:pt idx="849">
                  <c:v>2026-05-27</c:v>
                </c:pt>
                <c:pt idx="850">
                  <c:v>2026-05-28</c:v>
                </c:pt>
                <c:pt idx="851">
                  <c:v>2026-05-29</c:v>
                </c:pt>
                <c:pt idx="852">
                  <c:v>2026-06-01</c:v>
                </c:pt>
                <c:pt idx="853">
                  <c:v>2026-06-02</c:v>
                </c:pt>
                <c:pt idx="854">
                  <c:v>2026-06-03</c:v>
                </c:pt>
                <c:pt idx="855">
                  <c:v>2026-06-04</c:v>
                </c:pt>
                <c:pt idx="856">
                  <c:v>2026-06-05</c:v>
                </c:pt>
                <c:pt idx="857">
                  <c:v>2026-06-08</c:v>
                </c:pt>
                <c:pt idx="858">
                  <c:v>2026-06-09</c:v>
                </c:pt>
                <c:pt idx="859">
                  <c:v>2026-06-10</c:v>
                </c:pt>
                <c:pt idx="860">
                  <c:v>2026-06-11</c:v>
                </c:pt>
                <c:pt idx="861">
                  <c:v>2026-06-12</c:v>
                </c:pt>
                <c:pt idx="862">
                  <c:v>2026-06-15</c:v>
                </c:pt>
                <c:pt idx="863">
                  <c:v>2026-06-16</c:v>
                </c:pt>
                <c:pt idx="864">
                  <c:v>2026-06-17</c:v>
                </c:pt>
                <c:pt idx="865">
                  <c:v>2026-06-18</c:v>
                </c:pt>
                <c:pt idx="866">
                  <c:v>2026-06-22</c:v>
                </c:pt>
                <c:pt idx="867">
                  <c:v>2026-06-23</c:v>
                </c:pt>
                <c:pt idx="868">
                  <c:v>2026-06-24</c:v>
                </c:pt>
                <c:pt idx="869">
                  <c:v>2026-06-25</c:v>
                </c:pt>
                <c:pt idx="870">
                  <c:v>2026-06-26</c:v>
                </c:pt>
                <c:pt idx="871">
                  <c:v>2026-06-29</c:v>
                </c:pt>
                <c:pt idx="872">
                  <c:v>2026-06-30</c:v>
                </c:pt>
                <c:pt idx="873">
                  <c:v>2026-07-01</c:v>
                </c:pt>
                <c:pt idx="874">
                  <c:v>2026-07-02</c:v>
                </c:pt>
                <c:pt idx="875">
                  <c:v>2026-07-06</c:v>
                </c:pt>
                <c:pt idx="876">
                  <c:v>2026-07-07</c:v>
                </c:pt>
                <c:pt idx="877">
                  <c:v>2026-07-08</c:v>
                </c:pt>
                <c:pt idx="878">
                  <c:v>2026-07-09</c:v>
                </c:pt>
                <c:pt idx="879">
                  <c:v>2026-07-10</c:v>
                </c:pt>
                <c:pt idx="880">
                  <c:v>2026-07-13</c:v>
                </c:pt>
                <c:pt idx="881">
                  <c:v>2026-07-14</c:v>
                </c:pt>
                <c:pt idx="882">
                  <c:v>2026-07-15</c:v>
                </c:pt>
                <c:pt idx="883">
                  <c:v>2026-07-16</c:v>
                </c:pt>
                <c:pt idx="884">
                  <c:v>2026-07-17</c:v>
                </c:pt>
                <c:pt idx="885">
                  <c:v>2026-07-20</c:v>
                </c:pt>
                <c:pt idx="886">
                  <c:v>2026-07-21</c:v>
                </c:pt>
                <c:pt idx="887">
                  <c:v>2026-07-22</c:v>
                </c:pt>
                <c:pt idx="888">
                  <c:v>2026-07-23</c:v>
                </c:pt>
                <c:pt idx="889">
                  <c:v>2026-07-24</c:v>
                </c:pt>
                <c:pt idx="890">
                  <c:v>2026-07-27</c:v>
                </c:pt>
                <c:pt idx="891">
                  <c:v>2026-07-28</c:v>
                </c:pt>
                <c:pt idx="892">
                  <c:v>2026-07-29</c:v>
                </c:pt>
                <c:pt idx="893">
                  <c:v>2026-07-30</c:v>
                </c:pt>
                <c:pt idx="894">
                  <c:v>2026-07-31</c:v>
                </c:pt>
                <c:pt idx="895">
                  <c:v>2026-08-03</c:v>
                </c:pt>
                <c:pt idx="896">
                  <c:v>2026-08-04</c:v>
                </c:pt>
                <c:pt idx="897">
                  <c:v>2026-08-05</c:v>
                </c:pt>
                <c:pt idx="898">
                  <c:v>2026-08-06</c:v>
                </c:pt>
                <c:pt idx="899">
                  <c:v>2026-08-07</c:v>
                </c:pt>
                <c:pt idx="900">
                  <c:v>2026-08-10</c:v>
                </c:pt>
                <c:pt idx="901">
                  <c:v>2026-08-11</c:v>
                </c:pt>
                <c:pt idx="902">
                  <c:v>2026-08-12</c:v>
                </c:pt>
                <c:pt idx="903">
                  <c:v>2026-08-13</c:v>
                </c:pt>
                <c:pt idx="904">
                  <c:v>2026-08-14</c:v>
                </c:pt>
                <c:pt idx="905">
                  <c:v>2026-08-17</c:v>
                </c:pt>
                <c:pt idx="906">
                  <c:v>2026-08-18</c:v>
                </c:pt>
                <c:pt idx="907">
                  <c:v>2026-08-19</c:v>
                </c:pt>
                <c:pt idx="908">
                  <c:v>2026-08-20</c:v>
                </c:pt>
                <c:pt idx="909">
                  <c:v>2026-08-21</c:v>
                </c:pt>
              </c:strCache>
            </c:strRef>
          </c:cat>
          <c:val>
            <c:numRef>
              <c:f>シグナル検証!$CE$2:$CE$1307</c:f>
              <c:numCache>
                <c:formatCode>General</c:formatCode>
                <c:ptCount val="13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1703865.7128906187</c:v>
                </c:pt>
                <c:pt idx="252">
                  <c:v>3095574.2871093722</c:v>
                </c:pt>
                <c:pt idx="253">
                  <c:v>3095574.2871093722</c:v>
                </c:pt>
                <c:pt idx="254">
                  <c:v>3095574.2871093722</c:v>
                </c:pt>
                <c:pt idx="255">
                  <c:v>3095574.2871093722</c:v>
                </c:pt>
                <c:pt idx="256">
                  <c:v>3095574.2871093722</c:v>
                </c:pt>
                <c:pt idx="257">
                  <c:v>3095574.2871093722</c:v>
                </c:pt>
                <c:pt idx="258">
                  <c:v>3135574.2871093731</c:v>
                </c:pt>
                <c:pt idx="259">
                  <c:v>3375574.287109375</c:v>
                </c:pt>
                <c:pt idx="260">
                  <c:v>3375574.287109375</c:v>
                </c:pt>
                <c:pt idx="261">
                  <c:v>3375574.287109375</c:v>
                </c:pt>
                <c:pt idx="262">
                  <c:v>3375574.287109375</c:v>
                </c:pt>
                <c:pt idx="263">
                  <c:v>3375574.287109375</c:v>
                </c:pt>
                <c:pt idx="264">
                  <c:v>3375574.287109375</c:v>
                </c:pt>
                <c:pt idx="265">
                  <c:v>3375574.287109375</c:v>
                </c:pt>
                <c:pt idx="266">
                  <c:v>3375574.287109375</c:v>
                </c:pt>
                <c:pt idx="267">
                  <c:v>3375574.287109375</c:v>
                </c:pt>
                <c:pt idx="268">
                  <c:v>3375574.287109375</c:v>
                </c:pt>
                <c:pt idx="269">
                  <c:v>3375574.287109375</c:v>
                </c:pt>
                <c:pt idx="270">
                  <c:v>3375574.287109375</c:v>
                </c:pt>
                <c:pt idx="271">
                  <c:v>3375574.287109375</c:v>
                </c:pt>
                <c:pt idx="272">
                  <c:v>3375574.287109375</c:v>
                </c:pt>
                <c:pt idx="273">
                  <c:v>3375574.287109375</c:v>
                </c:pt>
                <c:pt idx="274">
                  <c:v>3375574.287109375</c:v>
                </c:pt>
                <c:pt idx="275">
                  <c:v>3375574.287109375</c:v>
                </c:pt>
                <c:pt idx="276">
                  <c:v>3375574.287109375</c:v>
                </c:pt>
                <c:pt idx="277">
                  <c:v>3375574.287109375</c:v>
                </c:pt>
                <c:pt idx="278">
                  <c:v>3375574.287109375</c:v>
                </c:pt>
                <c:pt idx="279">
                  <c:v>3375574.287109375</c:v>
                </c:pt>
                <c:pt idx="280">
                  <c:v>3375574.287109375</c:v>
                </c:pt>
                <c:pt idx="281">
                  <c:v>3375574.287109375</c:v>
                </c:pt>
                <c:pt idx="282">
                  <c:v>3375574.287109375</c:v>
                </c:pt>
                <c:pt idx="283">
                  <c:v>3375574.287109375</c:v>
                </c:pt>
                <c:pt idx="284">
                  <c:v>3375574.287109375</c:v>
                </c:pt>
                <c:pt idx="285">
                  <c:v>3375574.287109375</c:v>
                </c:pt>
                <c:pt idx="286">
                  <c:v>3375574.287109375</c:v>
                </c:pt>
                <c:pt idx="287">
                  <c:v>3375574.287109375</c:v>
                </c:pt>
                <c:pt idx="288">
                  <c:v>3375574.287109375</c:v>
                </c:pt>
                <c:pt idx="289">
                  <c:v>3375574.287109375</c:v>
                </c:pt>
                <c:pt idx="290">
                  <c:v>3375574.287109375</c:v>
                </c:pt>
                <c:pt idx="291">
                  <c:v>3375574.287109375</c:v>
                </c:pt>
                <c:pt idx="292">
                  <c:v>3375574.287109375</c:v>
                </c:pt>
                <c:pt idx="293">
                  <c:v>3375574.287109375</c:v>
                </c:pt>
                <c:pt idx="294">
                  <c:v>3375574.287109375</c:v>
                </c:pt>
                <c:pt idx="295">
                  <c:v>3375574.287109375</c:v>
                </c:pt>
                <c:pt idx="296">
                  <c:v>3375574.287109375</c:v>
                </c:pt>
                <c:pt idx="297">
                  <c:v>3375574.287109375</c:v>
                </c:pt>
                <c:pt idx="298">
                  <c:v>3375574.287109375</c:v>
                </c:pt>
                <c:pt idx="299">
                  <c:v>3375574.287109375</c:v>
                </c:pt>
                <c:pt idx="300">
                  <c:v>3375574.287109375</c:v>
                </c:pt>
                <c:pt idx="301">
                  <c:v>3375574.287109375</c:v>
                </c:pt>
                <c:pt idx="302">
                  <c:v>3375574.287109375</c:v>
                </c:pt>
                <c:pt idx="303">
                  <c:v>3375574.287109375</c:v>
                </c:pt>
                <c:pt idx="304">
                  <c:v>3375574.287109375</c:v>
                </c:pt>
                <c:pt idx="305">
                  <c:v>3375574.287109375</c:v>
                </c:pt>
                <c:pt idx="306">
                  <c:v>3375574.287109375</c:v>
                </c:pt>
                <c:pt idx="307">
                  <c:v>3375574.287109375</c:v>
                </c:pt>
                <c:pt idx="308">
                  <c:v>3375574.287109375</c:v>
                </c:pt>
                <c:pt idx="309">
                  <c:v>3375574.287109375</c:v>
                </c:pt>
                <c:pt idx="310">
                  <c:v>3375574.287109375</c:v>
                </c:pt>
                <c:pt idx="311">
                  <c:v>3375574.287109375</c:v>
                </c:pt>
                <c:pt idx="312">
                  <c:v>3375574.287109375</c:v>
                </c:pt>
                <c:pt idx="313">
                  <c:v>3375574.287109375</c:v>
                </c:pt>
                <c:pt idx="314">
                  <c:v>3375574.287109375</c:v>
                </c:pt>
                <c:pt idx="315">
                  <c:v>3375574.287109375</c:v>
                </c:pt>
                <c:pt idx="316">
                  <c:v>3375574.287109375</c:v>
                </c:pt>
                <c:pt idx="317">
                  <c:v>3375574.287109375</c:v>
                </c:pt>
                <c:pt idx="318">
                  <c:v>3375574.287109375</c:v>
                </c:pt>
                <c:pt idx="319">
                  <c:v>3375574.287109375</c:v>
                </c:pt>
                <c:pt idx="320">
                  <c:v>3375574.287109375</c:v>
                </c:pt>
                <c:pt idx="321">
                  <c:v>3958774.2871093769</c:v>
                </c:pt>
                <c:pt idx="322">
                  <c:v>3958774.2871093769</c:v>
                </c:pt>
                <c:pt idx="323">
                  <c:v>3958774.2871093769</c:v>
                </c:pt>
                <c:pt idx="324">
                  <c:v>3958774.2871093769</c:v>
                </c:pt>
                <c:pt idx="325">
                  <c:v>3958774.2871093769</c:v>
                </c:pt>
                <c:pt idx="326">
                  <c:v>3958774.2871093769</c:v>
                </c:pt>
                <c:pt idx="327">
                  <c:v>3958774.2871093769</c:v>
                </c:pt>
                <c:pt idx="328">
                  <c:v>3958774.2871093769</c:v>
                </c:pt>
                <c:pt idx="329">
                  <c:v>3958774.2871093769</c:v>
                </c:pt>
                <c:pt idx="330">
                  <c:v>3958774.2871093769</c:v>
                </c:pt>
                <c:pt idx="331">
                  <c:v>3958774.2871093769</c:v>
                </c:pt>
                <c:pt idx="332">
                  <c:v>3958774.2871093769</c:v>
                </c:pt>
                <c:pt idx="333">
                  <c:v>3958774.2871093769</c:v>
                </c:pt>
                <c:pt idx="334">
                  <c:v>3958774.2871093769</c:v>
                </c:pt>
                <c:pt idx="335">
                  <c:v>3958774.2871093769</c:v>
                </c:pt>
                <c:pt idx="336">
                  <c:v>3958774.2871093769</c:v>
                </c:pt>
                <c:pt idx="337">
                  <c:v>3958774.2871093769</c:v>
                </c:pt>
                <c:pt idx="338">
                  <c:v>3958774.2871093769</c:v>
                </c:pt>
                <c:pt idx="339">
                  <c:v>3958774.2871093769</c:v>
                </c:pt>
                <c:pt idx="340">
                  <c:v>3958774.2871093769</c:v>
                </c:pt>
                <c:pt idx="341">
                  <c:v>3958774.2871093769</c:v>
                </c:pt>
                <c:pt idx="342">
                  <c:v>3958774.2871093769</c:v>
                </c:pt>
                <c:pt idx="343">
                  <c:v>3958774.2871093769</c:v>
                </c:pt>
                <c:pt idx="344">
                  <c:v>3958774.2871093769</c:v>
                </c:pt>
                <c:pt idx="345">
                  <c:v>3958774.2871093769</c:v>
                </c:pt>
                <c:pt idx="346">
                  <c:v>3958774.2871093769</c:v>
                </c:pt>
                <c:pt idx="347">
                  <c:v>3958774.2871093769</c:v>
                </c:pt>
                <c:pt idx="348">
                  <c:v>3958774.2871093769</c:v>
                </c:pt>
                <c:pt idx="349">
                  <c:v>3958774.2871093769</c:v>
                </c:pt>
                <c:pt idx="350">
                  <c:v>3958774.2871093769</c:v>
                </c:pt>
                <c:pt idx="351">
                  <c:v>3958774.2871093769</c:v>
                </c:pt>
                <c:pt idx="352">
                  <c:v>3958774.2871093769</c:v>
                </c:pt>
                <c:pt idx="353">
                  <c:v>3958774.2871093769</c:v>
                </c:pt>
                <c:pt idx="354">
                  <c:v>3958774.2871093769</c:v>
                </c:pt>
                <c:pt idx="355">
                  <c:v>3958774.2871093769</c:v>
                </c:pt>
                <c:pt idx="356">
                  <c:v>3958774.2871093769</c:v>
                </c:pt>
                <c:pt idx="357">
                  <c:v>3958774.2871093769</c:v>
                </c:pt>
                <c:pt idx="358">
                  <c:v>3958774.2871093769</c:v>
                </c:pt>
                <c:pt idx="359">
                  <c:v>3958774.2871093769</c:v>
                </c:pt>
                <c:pt idx="360">
                  <c:v>3958774.2871093769</c:v>
                </c:pt>
                <c:pt idx="361">
                  <c:v>3958774.2871093769</c:v>
                </c:pt>
                <c:pt idx="362">
                  <c:v>3958774.2871093769</c:v>
                </c:pt>
                <c:pt idx="363">
                  <c:v>3958774.2871093769</c:v>
                </c:pt>
                <c:pt idx="364">
                  <c:v>3958774.2871093769</c:v>
                </c:pt>
                <c:pt idx="365">
                  <c:v>3958774.2871093769</c:v>
                </c:pt>
                <c:pt idx="366">
                  <c:v>3958774.2871093769</c:v>
                </c:pt>
                <c:pt idx="367">
                  <c:v>3958774.2871093769</c:v>
                </c:pt>
                <c:pt idx="368">
                  <c:v>3958774.2871093769</c:v>
                </c:pt>
                <c:pt idx="369">
                  <c:v>3958774.2871093769</c:v>
                </c:pt>
                <c:pt idx="370">
                  <c:v>3958774.2871093769</c:v>
                </c:pt>
                <c:pt idx="371">
                  <c:v>3958774.2871093769</c:v>
                </c:pt>
                <c:pt idx="372">
                  <c:v>3958774.2871093769</c:v>
                </c:pt>
                <c:pt idx="373">
                  <c:v>3958774.2871093769</c:v>
                </c:pt>
                <c:pt idx="374">
                  <c:v>3958774.2871093769</c:v>
                </c:pt>
                <c:pt idx="375">
                  <c:v>3958774.2871093769</c:v>
                </c:pt>
                <c:pt idx="376">
                  <c:v>3958774.2871093769</c:v>
                </c:pt>
                <c:pt idx="377">
                  <c:v>3958774.2871093769</c:v>
                </c:pt>
                <c:pt idx="378">
                  <c:v>3958774.2871093769</c:v>
                </c:pt>
                <c:pt idx="379">
                  <c:v>3958774.2871093769</c:v>
                </c:pt>
                <c:pt idx="380">
                  <c:v>3958774.2871093769</c:v>
                </c:pt>
                <c:pt idx="381">
                  <c:v>4363774.2871093722</c:v>
                </c:pt>
                <c:pt idx="382">
                  <c:v>4363774.2871093722</c:v>
                </c:pt>
                <c:pt idx="383">
                  <c:v>4363774.2871093722</c:v>
                </c:pt>
                <c:pt idx="384">
                  <c:v>4363774.2871093722</c:v>
                </c:pt>
                <c:pt idx="385">
                  <c:v>4363774.2871093722</c:v>
                </c:pt>
                <c:pt idx="386">
                  <c:v>4363774.2871093722</c:v>
                </c:pt>
                <c:pt idx="387">
                  <c:v>4363774.2871093722</c:v>
                </c:pt>
                <c:pt idx="388">
                  <c:v>4363774.2871093722</c:v>
                </c:pt>
                <c:pt idx="389">
                  <c:v>4363774.2871093722</c:v>
                </c:pt>
                <c:pt idx="390">
                  <c:v>4323774.2871093731</c:v>
                </c:pt>
                <c:pt idx="391">
                  <c:v>4243774.2871093713</c:v>
                </c:pt>
                <c:pt idx="392">
                  <c:v>4243774.2871093731</c:v>
                </c:pt>
                <c:pt idx="393">
                  <c:v>4243774.2871093731</c:v>
                </c:pt>
                <c:pt idx="394">
                  <c:v>4243774.2871093731</c:v>
                </c:pt>
                <c:pt idx="395">
                  <c:v>4128774.2871093755</c:v>
                </c:pt>
                <c:pt idx="396">
                  <c:v>4783774.2871093806</c:v>
                </c:pt>
                <c:pt idx="397">
                  <c:v>5853774.2871093806</c:v>
                </c:pt>
                <c:pt idx="398">
                  <c:v>5848774.2871093797</c:v>
                </c:pt>
                <c:pt idx="399">
                  <c:v>6157767.1435546968</c:v>
                </c:pt>
                <c:pt idx="400">
                  <c:v>6639475.7177734477</c:v>
                </c:pt>
                <c:pt idx="401">
                  <c:v>6770475.7177734515</c:v>
                </c:pt>
                <c:pt idx="402">
                  <c:v>6770475.7177734533</c:v>
                </c:pt>
                <c:pt idx="403">
                  <c:v>6134475.7177734505</c:v>
                </c:pt>
                <c:pt idx="404">
                  <c:v>5882475.7177734505</c:v>
                </c:pt>
                <c:pt idx="405">
                  <c:v>5502475.7177734515</c:v>
                </c:pt>
                <c:pt idx="406">
                  <c:v>5559475.7177734533</c:v>
                </c:pt>
                <c:pt idx="407">
                  <c:v>5536475.7177734533</c:v>
                </c:pt>
                <c:pt idx="408">
                  <c:v>5357475.7177734543</c:v>
                </c:pt>
                <c:pt idx="409">
                  <c:v>5153475.7177734524</c:v>
                </c:pt>
                <c:pt idx="410">
                  <c:v>4888475.7177734515</c:v>
                </c:pt>
                <c:pt idx="411">
                  <c:v>4240475.7177734543</c:v>
                </c:pt>
                <c:pt idx="412">
                  <c:v>3460475.7177734566</c:v>
                </c:pt>
                <c:pt idx="413">
                  <c:v>2299475.7177734585</c:v>
                </c:pt>
                <c:pt idx="414">
                  <c:v>1220475.7177734594</c:v>
                </c:pt>
                <c:pt idx="415">
                  <c:v>545475.71777346218</c:v>
                </c:pt>
                <c:pt idx="416">
                  <c:v>265475.71777346276</c:v>
                </c:pt>
                <c:pt idx="417">
                  <c:v>-14524.282226531301</c:v>
                </c:pt>
                <c:pt idx="418">
                  <c:v>-599524.28222653258</c:v>
                </c:pt>
                <c:pt idx="419">
                  <c:v>-904524.2822265242</c:v>
                </c:pt>
                <c:pt idx="420">
                  <c:v>-1029524.2822265236</c:v>
                </c:pt>
                <c:pt idx="421">
                  <c:v>-1660524.2822265266</c:v>
                </c:pt>
                <c:pt idx="422">
                  <c:v>-1875524.282226528</c:v>
                </c:pt>
                <c:pt idx="423">
                  <c:v>-1875524.2822265297</c:v>
                </c:pt>
                <c:pt idx="424">
                  <c:v>-2126524.2822265308</c:v>
                </c:pt>
                <c:pt idx="425">
                  <c:v>-2235524.2822265327</c:v>
                </c:pt>
                <c:pt idx="426">
                  <c:v>-2238524.2822265346</c:v>
                </c:pt>
                <c:pt idx="427">
                  <c:v>-1749524.2822265397</c:v>
                </c:pt>
                <c:pt idx="428">
                  <c:v>-1742524.2822265429</c:v>
                </c:pt>
                <c:pt idx="429">
                  <c:v>-2135524.2822265467</c:v>
                </c:pt>
                <c:pt idx="430">
                  <c:v>-2249524.2822265462</c:v>
                </c:pt>
                <c:pt idx="431">
                  <c:v>-1637524.2822265481</c:v>
                </c:pt>
                <c:pt idx="432">
                  <c:v>-1029524.2822265532</c:v>
                </c:pt>
                <c:pt idx="433">
                  <c:v>-6524.2822265486466</c:v>
                </c:pt>
                <c:pt idx="434">
                  <c:v>1070475.717773458</c:v>
                </c:pt>
                <c:pt idx="435">
                  <c:v>1599475.7177734578</c:v>
                </c:pt>
                <c:pt idx="436">
                  <c:v>2162475.717773458</c:v>
                </c:pt>
                <c:pt idx="437">
                  <c:v>2522475.7177734543</c:v>
                </c:pt>
                <c:pt idx="438">
                  <c:v>2642475.7177734659</c:v>
                </c:pt>
                <c:pt idx="439">
                  <c:v>3074475.7177734682</c:v>
                </c:pt>
                <c:pt idx="440">
                  <c:v>3448475.7177734682</c:v>
                </c:pt>
                <c:pt idx="441">
                  <c:v>3048475.7177734659</c:v>
                </c:pt>
                <c:pt idx="442">
                  <c:v>2608475.7177734682</c:v>
                </c:pt>
                <c:pt idx="443">
                  <c:v>2128475.7177734645</c:v>
                </c:pt>
                <c:pt idx="444">
                  <c:v>1768475.717773458</c:v>
                </c:pt>
                <c:pt idx="445">
                  <c:v>1528475.7177734631</c:v>
                </c:pt>
                <c:pt idx="446">
                  <c:v>1168475.7177734636</c:v>
                </c:pt>
                <c:pt idx="447">
                  <c:v>608475.71777346125</c:v>
                </c:pt>
                <c:pt idx="448">
                  <c:v>88475.717773458106</c:v>
                </c:pt>
                <c:pt idx="449">
                  <c:v>-311524.2822265476</c:v>
                </c:pt>
                <c:pt idx="450">
                  <c:v>-831524.28222654364</c:v>
                </c:pt>
                <c:pt idx="451">
                  <c:v>-1151524.2822265369</c:v>
                </c:pt>
                <c:pt idx="452">
                  <c:v>-1191524.282226529</c:v>
                </c:pt>
                <c:pt idx="453">
                  <c:v>-1471524.2822265301</c:v>
                </c:pt>
                <c:pt idx="454">
                  <c:v>-1511524.2822265222</c:v>
                </c:pt>
                <c:pt idx="455">
                  <c:v>-1471524.2822265232</c:v>
                </c:pt>
                <c:pt idx="456">
                  <c:v>-1591524.2822265206</c:v>
                </c:pt>
                <c:pt idx="457">
                  <c:v>-1791524.2822265234</c:v>
                </c:pt>
                <c:pt idx="458">
                  <c:v>-1791524.2822265234</c:v>
                </c:pt>
                <c:pt idx="459">
                  <c:v>-1871524.2822265145</c:v>
                </c:pt>
                <c:pt idx="460">
                  <c:v>-1503524.2822265159</c:v>
                </c:pt>
                <c:pt idx="461">
                  <c:v>-1169524.2822265159</c:v>
                </c:pt>
                <c:pt idx="462">
                  <c:v>-974524.28222652758</c:v>
                </c:pt>
                <c:pt idx="463">
                  <c:v>-734524.2822265256</c:v>
                </c:pt>
                <c:pt idx="464">
                  <c:v>-574524.28222653607</c:v>
                </c:pt>
                <c:pt idx="465">
                  <c:v>-614524.28222653526</c:v>
                </c:pt>
                <c:pt idx="466">
                  <c:v>-494524.28222653072</c:v>
                </c:pt>
                <c:pt idx="467">
                  <c:v>-54524.282226518786</c:v>
                </c:pt>
                <c:pt idx="468">
                  <c:v>225475.71777348238</c:v>
                </c:pt>
                <c:pt idx="469">
                  <c:v>625475.71777348104</c:v>
                </c:pt>
                <c:pt idx="470">
                  <c:v>825475.71777347685</c:v>
                </c:pt>
                <c:pt idx="471">
                  <c:v>985475.71777347347</c:v>
                </c:pt>
                <c:pt idx="472">
                  <c:v>1225475.7177734827</c:v>
                </c:pt>
                <c:pt idx="473">
                  <c:v>1425475.7177734785</c:v>
                </c:pt>
                <c:pt idx="474">
                  <c:v>1425475.7177734785</c:v>
                </c:pt>
                <c:pt idx="475">
                  <c:v>1425475.7177734785</c:v>
                </c:pt>
                <c:pt idx="476">
                  <c:v>1813807.1435547255</c:v>
                </c:pt>
                <c:pt idx="477">
                  <c:v>1813807.1435547255</c:v>
                </c:pt>
                <c:pt idx="478">
                  <c:v>1813807.1435547255</c:v>
                </c:pt>
                <c:pt idx="479">
                  <c:v>2608607.1435547252</c:v>
                </c:pt>
                <c:pt idx="480">
                  <c:v>3511574.2871094174</c:v>
                </c:pt>
                <c:pt idx="481">
                  <c:v>4309912.8564453498</c:v>
                </c:pt>
                <c:pt idx="482">
                  <c:v>5138752.8564453442</c:v>
                </c:pt>
                <c:pt idx="483">
                  <c:v>5138752.8564453442</c:v>
                </c:pt>
                <c:pt idx="484">
                  <c:v>5138752.8564453442</c:v>
                </c:pt>
                <c:pt idx="485">
                  <c:v>5138752.8564453442</c:v>
                </c:pt>
                <c:pt idx="486">
                  <c:v>5138752.8564453442</c:v>
                </c:pt>
                <c:pt idx="487">
                  <c:v>5138752.8564453442</c:v>
                </c:pt>
                <c:pt idx="488">
                  <c:v>5138752.8564453442</c:v>
                </c:pt>
                <c:pt idx="489">
                  <c:v>5138752.8564453442</c:v>
                </c:pt>
                <c:pt idx="490">
                  <c:v>4578752.8564453423</c:v>
                </c:pt>
                <c:pt idx="491">
                  <c:v>4178752.8564453507</c:v>
                </c:pt>
                <c:pt idx="492">
                  <c:v>4058752.856445346</c:v>
                </c:pt>
                <c:pt idx="493">
                  <c:v>3618752.8564453484</c:v>
                </c:pt>
                <c:pt idx="494">
                  <c:v>3418752.8564453525</c:v>
                </c:pt>
                <c:pt idx="495">
                  <c:v>3258752.8564453488</c:v>
                </c:pt>
                <c:pt idx="496">
                  <c:v>2938752.8564453558</c:v>
                </c:pt>
                <c:pt idx="497">
                  <c:v>2538752.8564453642</c:v>
                </c:pt>
                <c:pt idx="498">
                  <c:v>2058752.8564453674</c:v>
                </c:pt>
                <c:pt idx="499">
                  <c:v>1898752.8564453567</c:v>
                </c:pt>
                <c:pt idx="500">
                  <c:v>1698752.8564453609</c:v>
                </c:pt>
                <c:pt idx="501">
                  <c:v>1658752.8564453477</c:v>
                </c:pt>
                <c:pt idx="502">
                  <c:v>1898752.8564453498</c:v>
                </c:pt>
                <c:pt idx="503">
                  <c:v>2058752.8564453463</c:v>
                </c:pt>
                <c:pt idx="504">
                  <c:v>2098752.8564453381</c:v>
                </c:pt>
                <c:pt idx="505">
                  <c:v>2218752.8564453358</c:v>
                </c:pt>
                <c:pt idx="506">
                  <c:v>2895152.8564453302</c:v>
                </c:pt>
                <c:pt idx="507">
                  <c:v>3460752.8564453321</c:v>
                </c:pt>
                <c:pt idx="508">
                  <c:v>3900752.8564453297</c:v>
                </c:pt>
                <c:pt idx="509">
                  <c:v>4180752.8564453381</c:v>
                </c:pt>
                <c:pt idx="510">
                  <c:v>4340752.8564453414</c:v>
                </c:pt>
                <c:pt idx="511">
                  <c:v>4580752.8564453432</c:v>
                </c:pt>
                <c:pt idx="512">
                  <c:v>4580752.8564453432</c:v>
                </c:pt>
                <c:pt idx="513">
                  <c:v>5531952.8564453423</c:v>
                </c:pt>
                <c:pt idx="514">
                  <c:v>6837952.8564453376</c:v>
                </c:pt>
                <c:pt idx="515">
                  <c:v>7770352.8564453376</c:v>
                </c:pt>
                <c:pt idx="516">
                  <c:v>8170352.8564453432</c:v>
                </c:pt>
                <c:pt idx="517">
                  <c:v>8530352.8564453349</c:v>
                </c:pt>
                <c:pt idx="518">
                  <c:v>8530352.8564453349</c:v>
                </c:pt>
                <c:pt idx="519">
                  <c:v>8530352.8564453349</c:v>
                </c:pt>
                <c:pt idx="520">
                  <c:v>8530352.8564453349</c:v>
                </c:pt>
                <c:pt idx="521">
                  <c:v>8530352.8564453349</c:v>
                </c:pt>
                <c:pt idx="522">
                  <c:v>8530352.8564453349</c:v>
                </c:pt>
                <c:pt idx="523">
                  <c:v>8530352.8564453349</c:v>
                </c:pt>
                <c:pt idx="524">
                  <c:v>8530352.8564453349</c:v>
                </c:pt>
                <c:pt idx="525">
                  <c:v>9048672.8564453311</c:v>
                </c:pt>
                <c:pt idx="526">
                  <c:v>9152600.0000000242</c:v>
                </c:pt>
                <c:pt idx="527">
                  <c:v>9625247.1435547136</c:v>
                </c:pt>
                <c:pt idx="528">
                  <c:v>9625247.1435547136</c:v>
                </c:pt>
                <c:pt idx="529">
                  <c:v>9625247.1435547136</c:v>
                </c:pt>
                <c:pt idx="530">
                  <c:v>9912360.0000000317</c:v>
                </c:pt>
                <c:pt idx="531">
                  <c:v>11757647.143554721</c:v>
                </c:pt>
                <c:pt idx="532">
                  <c:v>11880647.143554721</c:v>
                </c:pt>
                <c:pt idx="533">
                  <c:v>11937647.143554723</c:v>
                </c:pt>
                <c:pt idx="534">
                  <c:v>11937647.143554723</c:v>
                </c:pt>
                <c:pt idx="535">
                  <c:v>11937647.143554723</c:v>
                </c:pt>
                <c:pt idx="536">
                  <c:v>11937647.143554723</c:v>
                </c:pt>
                <c:pt idx="537">
                  <c:v>11937647.143554723</c:v>
                </c:pt>
                <c:pt idx="538">
                  <c:v>11937647.143554723</c:v>
                </c:pt>
                <c:pt idx="539">
                  <c:v>12295320.000000035</c:v>
                </c:pt>
                <c:pt idx="540">
                  <c:v>12540320.000000034</c:v>
                </c:pt>
                <c:pt idx="541">
                  <c:v>12540320.000000034</c:v>
                </c:pt>
                <c:pt idx="542">
                  <c:v>12540320.000000034</c:v>
                </c:pt>
                <c:pt idx="543">
                  <c:v>12735320.000000034</c:v>
                </c:pt>
                <c:pt idx="544">
                  <c:v>12735320.000000034</c:v>
                </c:pt>
                <c:pt idx="545">
                  <c:v>13606320.000000035</c:v>
                </c:pt>
                <c:pt idx="546">
                  <c:v>13606320.000000035</c:v>
                </c:pt>
                <c:pt idx="547">
                  <c:v>13310225.712890659</c:v>
                </c:pt>
                <c:pt idx="548">
                  <c:v>13403632.856445344</c:v>
                </c:pt>
                <c:pt idx="549">
                  <c:v>13403632.856445344</c:v>
                </c:pt>
                <c:pt idx="550">
                  <c:v>13352672.85644535</c:v>
                </c:pt>
                <c:pt idx="551">
                  <c:v>12788992.856445346</c:v>
                </c:pt>
                <c:pt idx="552">
                  <c:v>12609404.282226592</c:v>
                </c:pt>
                <c:pt idx="553">
                  <c:v>13115535.708007844</c:v>
                </c:pt>
                <c:pt idx="554">
                  <c:v>13115535.708007844</c:v>
                </c:pt>
                <c:pt idx="555">
                  <c:v>13115535.708007844</c:v>
                </c:pt>
                <c:pt idx="556">
                  <c:v>11777095.708007842</c:v>
                </c:pt>
                <c:pt idx="557">
                  <c:v>11647128.564453159</c:v>
                </c:pt>
                <c:pt idx="558">
                  <c:v>10102055.708007842</c:v>
                </c:pt>
                <c:pt idx="559">
                  <c:v>10102055.708007842</c:v>
                </c:pt>
                <c:pt idx="560">
                  <c:v>10102055.708007842</c:v>
                </c:pt>
                <c:pt idx="561">
                  <c:v>8549742.8515625354</c:v>
                </c:pt>
                <c:pt idx="562">
                  <c:v>7213989.9951172238</c:v>
                </c:pt>
                <c:pt idx="563">
                  <c:v>7213989.9951172238</c:v>
                </c:pt>
                <c:pt idx="564">
                  <c:v>7213989.9951172238</c:v>
                </c:pt>
                <c:pt idx="565">
                  <c:v>6813989.9951172248</c:v>
                </c:pt>
                <c:pt idx="566">
                  <c:v>5693288.5644531641</c:v>
                </c:pt>
                <c:pt idx="567">
                  <c:v>4361888.5644531613</c:v>
                </c:pt>
                <c:pt idx="568">
                  <c:v>4644274.277343791</c:v>
                </c:pt>
                <c:pt idx="569">
                  <c:v>4117241.4208984789</c:v>
                </c:pt>
                <c:pt idx="570">
                  <c:v>7023615.7080078479</c:v>
                </c:pt>
                <c:pt idx="571">
                  <c:v>8584302.8515625298</c:v>
                </c:pt>
                <c:pt idx="572">
                  <c:v>8501822.8515625317</c:v>
                </c:pt>
                <c:pt idx="573">
                  <c:v>8956629.9951172136</c:v>
                </c:pt>
                <c:pt idx="574">
                  <c:v>10525964.282226585</c:v>
                </c:pt>
                <c:pt idx="575">
                  <c:v>12388604.282226585</c:v>
                </c:pt>
                <c:pt idx="576">
                  <c:v>14808531.425781274</c:v>
                </c:pt>
                <c:pt idx="577">
                  <c:v>15061698.569335962</c:v>
                </c:pt>
                <c:pt idx="578">
                  <c:v>16037018.56933596</c:v>
                </c:pt>
                <c:pt idx="579">
                  <c:v>16305738.569335964</c:v>
                </c:pt>
                <c:pt idx="580">
                  <c:v>16619298.569335971</c:v>
                </c:pt>
                <c:pt idx="581">
                  <c:v>17632277.138671909</c:v>
                </c:pt>
                <c:pt idx="582">
                  <c:v>19067197.138671909</c:v>
                </c:pt>
                <c:pt idx="583">
                  <c:v>18962557.138671912</c:v>
                </c:pt>
                <c:pt idx="584">
                  <c:v>18885357.138671916</c:v>
                </c:pt>
                <c:pt idx="585">
                  <c:v>18216131.425781287</c:v>
                </c:pt>
                <c:pt idx="586">
                  <c:v>17117917.138671912</c:v>
                </c:pt>
                <c:pt idx="587">
                  <c:v>16838411.425781287</c:v>
                </c:pt>
                <c:pt idx="588">
                  <c:v>16669865.71289067</c:v>
                </c:pt>
                <c:pt idx="589">
                  <c:v>16654811.425781298</c:v>
                </c:pt>
                <c:pt idx="590">
                  <c:v>16654811.425781298</c:v>
                </c:pt>
                <c:pt idx="591">
                  <c:v>16654811.425781298</c:v>
                </c:pt>
                <c:pt idx="592">
                  <c:v>16654811.425781298</c:v>
                </c:pt>
                <c:pt idx="593">
                  <c:v>16039611.425781298</c:v>
                </c:pt>
                <c:pt idx="594">
                  <c:v>15561997.138671923</c:v>
                </c:pt>
                <c:pt idx="595">
                  <c:v>15331622.851562552</c:v>
                </c:pt>
                <c:pt idx="596">
                  <c:v>15341371.425781306</c:v>
                </c:pt>
                <c:pt idx="597">
                  <c:v>15727069.995117247</c:v>
                </c:pt>
                <c:pt idx="598">
                  <c:v>15893549.995117242</c:v>
                </c:pt>
                <c:pt idx="599">
                  <c:v>15893549.995117242</c:v>
                </c:pt>
                <c:pt idx="600">
                  <c:v>15722742.851562547</c:v>
                </c:pt>
                <c:pt idx="601">
                  <c:v>15502495.708007855</c:v>
                </c:pt>
                <c:pt idx="602">
                  <c:v>15180542.851562539</c:v>
                </c:pt>
                <c:pt idx="603">
                  <c:v>14988517.138671912</c:v>
                </c:pt>
                <c:pt idx="604">
                  <c:v>14342865.712890666</c:v>
                </c:pt>
                <c:pt idx="605">
                  <c:v>13923145.712890666</c:v>
                </c:pt>
                <c:pt idx="606">
                  <c:v>13335851.425781287</c:v>
                </c:pt>
                <c:pt idx="607">
                  <c:v>13335851.425781287</c:v>
                </c:pt>
                <c:pt idx="608">
                  <c:v>13335851.425781287</c:v>
                </c:pt>
                <c:pt idx="609">
                  <c:v>13335851.425781287</c:v>
                </c:pt>
                <c:pt idx="610">
                  <c:v>13108731.425781291</c:v>
                </c:pt>
                <c:pt idx="611">
                  <c:v>12941477.138671922</c:v>
                </c:pt>
                <c:pt idx="612">
                  <c:v>14136208.564453168</c:v>
                </c:pt>
                <c:pt idx="613">
                  <c:v>13946107.133789105</c:v>
                </c:pt>
                <c:pt idx="614">
                  <c:v>13913805.703125039</c:v>
                </c:pt>
                <c:pt idx="615">
                  <c:v>13529238.559570346</c:v>
                </c:pt>
                <c:pt idx="616">
                  <c:v>12942351.416015659</c:v>
                </c:pt>
                <c:pt idx="617">
                  <c:v>13655482.841796914</c:v>
                </c:pt>
                <c:pt idx="618">
                  <c:v>13233417.128906293</c:v>
                </c:pt>
                <c:pt idx="619">
                  <c:v>13393417.128906295</c:v>
                </c:pt>
                <c:pt idx="620">
                  <c:v>12809617.128906293</c:v>
                </c:pt>
                <c:pt idx="621">
                  <c:v>11912311.41601567</c:v>
                </c:pt>
                <c:pt idx="622">
                  <c:v>11912311.41601567</c:v>
                </c:pt>
                <c:pt idx="623">
                  <c:v>10977638.559570361</c:v>
                </c:pt>
                <c:pt idx="624">
                  <c:v>9866951.4160156772</c:v>
                </c:pt>
                <c:pt idx="625">
                  <c:v>9187344.2724609934</c:v>
                </c:pt>
                <c:pt idx="626">
                  <c:v>8658377.1289063096</c:v>
                </c:pt>
                <c:pt idx="627">
                  <c:v>8342777.1289063105</c:v>
                </c:pt>
                <c:pt idx="628">
                  <c:v>7352242.8417969365</c:v>
                </c:pt>
                <c:pt idx="629">
                  <c:v>6563242.8417969337</c:v>
                </c:pt>
                <c:pt idx="630">
                  <c:v>5656115.6982422471</c:v>
                </c:pt>
                <c:pt idx="631">
                  <c:v>5192988.5546875605</c:v>
                </c:pt>
                <c:pt idx="632">
                  <c:v>5857689.9853516202</c:v>
                </c:pt>
                <c:pt idx="633">
                  <c:v>6240649.9853516147</c:v>
                </c:pt>
                <c:pt idx="634">
                  <c:v>7244729.9853516091</c:v>
                </c:pt>
                <c:pt idx="635">
                  <c:v>8156431.4160156697</c:v>
                </c:pt>
                <c:pt idx="636">
                  <c:v>7867612.8466797322</c:v>
                </c:pt>
                <c:pt idx="637">
                  <c:v>7884544.2724609841</c:v>
                </c:pt>
                <c:pt idx="638">
                  <c:v>8686784.2724609841</c:v>
                </c:pt>
                <c:pt idx="639">
                  <c:v>9177405.7031250484</c:v>
                </c:pt>
                <c:pt idx="640">
                  <c:v>9574899.9902344309</c:v>
                </c:pt>
                <c:pt idx="641">
                  <c:v>10413234.277343802</c:v>
                </c:pt>
                <c:pt idx="642">
                  <c:v>10490681.420898492</c:v>
                </c:pt>
                <c:pt idx="643">
                  <c:v>10586401.420898497</c:v>
                </c:pt>
                <c:pt idx="644">
                  <c:v>10586401.420898497</c:v>
                </c:pt>
                <c:pt idx="645">
                  <c:v>10586401.420898497</c:v>
                </c:pt>
                <c:pt idx="646">
                  <c:v>11060281.420898499</c:v>
                </c:pt>
                <c:pt idx="647">
                  <c:v>11740189.995117249</c:v>
                </c:pt>
                <c:pt idx="648">
                  <c:v>12293455.708007872</c:v>
                </c:pt>
                <c:pt idx="649">
                  <c:v>12411161.420898497</c:v>
                </c:pt>
                <c:pt idx="650">
                  <c:v>12631747.133789128</c:v>
                </c:pt>
                <c:pt idx="651">
                  <c:v>12631747.133789128</c:v>
                </c:pt>
                <c:pt idx="652">
                  <c:v>12631747.133789128</c:v>
                </c:pt>
                <c:pt idx="653">
                  <c:v>12631747.133789128</c:v>
                </c:pt>
                <c:pt idx="654">
                  <c:v>12631747.133789128</c:v>
                </c:pt>
                <c:pt idx="655">
                  <c:v>12631747.133789128</c:v>
                </c:pt>
                <c:pt idx="656">
                  <c:v>12631747.133789128</c:v>
                </c:pt>
                <c:pt idx="657">
                  <c:v>12631747.133789128</c:v>
                </c:pt>
                <c:pt idx="658">
                  <c:v>12631747.133789128</c:v>
                </c:pt>
                <c:pt idx="659">
                  <c:v>12631747.133789128</c:v>
                </c:pt>
                <c:pt idx="660">
                  <c:v>12631747.133789128</c:v>
                </c:pt>
                <c:pt idx="661">
                  <c:v>12631747.133789128</c:v>
                </c:pt>
                <c:pt idx="662">
                  <c:v>12631747.133789128</c:v>
                </c:pt>
                <c:pt idx="663">
                  <c:v>13151747.13378913</c:v>
                </c:pt>
                <c:pt idx="664">
                  <c:v>13151747.13378913</c:v>
                </c:pt>
                <c:pt idx="665">
                  <c:v>13591747.133789131</c:v>
                </c:pt>
                <c:pt idx="666">
                  <c:v>13951747.133789131</c:v>
                </c:pt>
                <c:pt idx="667">
                  <c:v>13951747.133789131</c:v>
                </c:pt>
                <c:pt idx="668">
                  <c:v>13951747.133789131</c:v>
                </c:pt>
                <c:pt idx="669">
                  <c:v>13826747.13378913</c:v>
                </c:pt>
                <c:pt idx="670">
                  <c:v>13911747.133789133</c:v>
                </c:pt>
                <c:pt idx="671">
                  <c:v>13666747.133789133</c:v>
                </c:pt>
                <c:pt idx="672">
                  <c:v>13916747.133789133</c:v>
                </c:pt>
                <c:pt idx="673">
                  <c:v>14441747.133789137</c:v>
                </c:pt>
                <c:pt idx="674">
                  <c:v>14861747.133789141</c:v>
                </c:pt>
                <c:pt idx="675">
                  <c:v>15141747.133789143</c:v>
                </c:pt>
                <c:pt idx="676">
                  <c:v>15546747.133789144</c:v>
                </c:pt>
                <c:pt idx="677">
                  <c:v>15586747.133789144</c:v>
                </c:pt>
                <c:pt idx="678">
                  <c:v>15586747.133789144</c:v>
                </c:pt>
                <c:pt idx="679">
                  <c:v>15586747.133789144</c:v>
                </c:pt>
                <c:pt idx="680">
                  <c:v>15586747.133789144</c:v>
                </c:pt>
                <c:pt idx="681">
                  <c:v>15621747.133789144</c:v>
                </c:pt>
                <c:pt idx="682">
                  <c:v>15621747.133789144</c:v>
                </c:pt>
                <c:pt idx="683">
                  <c:v>15621747.133789144</c:v>
                </c:pt>
                <c:pt idx="684">
                  <c:v>15621747.133789144</c:v>
                </c:pt>
                <c:pt idx="685">
                  <c:v>15621747.133789144</c:v>
                </c:pt>
                <c:pt idx="686">
                  <c:v>15621747.133789144</c:v>
                </c:pt>
                <c:pt idx="687">
                  <c:v>15621747.133789144</c:v>
                </c:pt>
                <c:pt idx="688">
                  <c:v>15621747.133789144</c:v>
                </c:pt>
                <c:pt idx="689">
                  <c:v>15621747.133789144</c:v>
                </c:pt>
                <c:pt idx="690">
                  <c:v>15621747.133789144</c:v>
                </c:pt>
                <c:pt idx="691">
                  <c:v>15621747.133789144</c:v>
                </c:pt>
                <c:pt idx="692">
                  <c:v>15621747.133789144</c:v>
                </c:pt>
                <c:pt idx="693">
                  <c:v>15621747.133789144</c:v>
                </c:pt>
                <c:pt idx="694">
                  <c:v>15491747.133789144</c:v>
                </c:pt>
                <c:pt idx="695">
                  <c:v>15371747.133789144</c:v>
                </c:pt>
                <c:pt idx="696">
                  <c:v>15371747.133789144</c:v>
                </c:pt>
                <c:pt idx="697">
                  <c:v>15986747.133789146</c:v>
                </c:pt>
                <c:pt idx="698">
                  <c:v>15986747.133789146</c:v>
                </c:pt>
                <c:pt idx="699">
                  <c:v>16666747.133789148</c:v>
                </c:pt>
                <c:pt idx="700">
                  <c:v>17181747.133789144</c:v>
                </c:pt>
                <c:pt idx="701">
                  <c:v>18116747.133789141</c:v>
                </c:pt>
                <c:pt idx="702">
                  <c:v>18116747.133789141</c:v>
                </c:pt>
                <c:pt idx="703">
                  <c:v>18116747.133789141</c:v>
                </c:pt>
                <c:pt idx="704">
                  <c:v>18116747.133789141</c:v>
                </c:pt>
                <c:pt idx="705">
                  <c:v>18116747.133789141</c:v>
                </c:pt>
                <c:pt idx="706">
                  <c:v>18116747.133789141</c:v>
                </c:pt>
                <c:pt idx="707">
                  <c:v>18116747.133789141</c:v>
                </c:pt>
                <c:pt idx="708">
                  <c:v>18116747.133789141</c:v>
                </c:pt>
                <c:pt idx="709">
                  <c:v>18116747.133789141</c:v>
                </c:pt>
                <c:pt idx="710">
                  <c:v>18116747.133789141</c:v>
                </c:pt>
                <c:pt idx="711">
                  <c:v>18116747.133789141</c:v>
                </c:pt>
                <c:pt idx="712">
                  <c:v>18116747.133789141</c:v>
                </c:pt>
                <c:pt idx="713">
                  <c:v>18116747.133789141</c:v>
                </c:pt>
                <c:pt idx="714">
                  <c:v>18116747.133789141</c:v>
                </c:pt>
                <c:pt idx="715">
                  <c:v>18116747.133789141</c:v>
                </c:pt>
                <c:pt idx="716">
                  <c:v>18116747.133789141</c:v>
                </c:pt>
                <c:pt idx="717">
                  <c:v>18116747.133789141</c:v>
                </c:pt>
                <c:pt idx="718">
                  <c:v>18116747.133789141</c:v>
                </c:pt>
                <c:pt idx="719">
                  <c:v>18116747.133789141</c:v>
                </c:pt>
                <c:pt idx="720">
                  <c:v>18116747.133789141</c:v>
                </c:pt>
                <c:pt idx="721">
                  <c:v>18116747.133789141</c:v>
                </c:pt>
                <c:pt idx="722">
                  <c:v>18116747.133789141</c:v>
                </c:pt>
                <c:pt idx="723">
                  <c:v>18116747.133789141</c:v>
                </c:pt>
                <c:pt idx="724">
                  <c:v>17981747.133789141</c:v>
                </c:pt>
                <c:pt idx="725">
                  <c:v>18141747.133789141</c:v>
                </c:pt>
                <c:pt idx="726">
                  <c:v>18141747.133789141</c:v>
                </c:pt>
                <c:pt idx="727">
                  <c:v>18141747.133789141</c:v>
                </c:pt>
                <c:pt idx="728">
                  <c:v>18141747.133789141</c:v>
                </c:pt>
                <c:pt idx="729">
                  <c:v>18226747.133789144</c:v>
                </c:pt>
                <c:pt idx="730">
                  <c:v>18226747.133789144</c:v>
                </c:pt>
                <c:pt idx="731">
                  <c:v>18226747.133789144</c:v>
                </c:pt>
                <c:pt idx="732">
                  <c:v>18226747.133789144</c:v>
                </c:pt>
                <c:pt idx="733">
                  <c:v>18226747.133789144</c:v>
                </c:pt>
                <c:pt idx="734">
                  <c:v>18226747.133789144</c:v>
                </c:pt>
                <c:pt idx="735">
                  <c:v>18226747.133789144</c:v>
                </c:pt>
                <c:pt idx="736">
                  <c:v>18226747.133789144</c:v>
                </c:pt>
                <c:pt idx="737">
                  <c:v>18226747.133789144</c:v>
                </c:pt>
                <c:pt idx="738">
                  <c:v>18226747.133789144</c:v>
                </c:pt>
                <c:pt idx="739">
                  <c:v>18226747.133789144</c:v>
                </c:pt>
                <c:pt idx="740">
                  <c:v>18226747.133789144</c:v>
                </c:pt>
                <c:pt idx="741">
                  <c:v>18226747.133789144</c:v>
                </c:pt>
                <c:pt idx="742">
                  <c:v>18226747.133789144</c:v>
                </c:pt>
                <c:pt idx="743">
                  <c:v>18226747.133789144</c:v>
                </c:pt>
                <c:pt idx="744">
                  <c:v>18226747.133789144</c:v>
                </c:pt>
                <c:pt idx="745">
                  <c:v>18226747.133789144</c:v>
                </c:pt>
                <c:pt idx="746">
                  <c:v>18226747.133789144</c:v>
                </c:pt>
                <c:pt idx="747">
                  <c:v>18226747.133789144</c:v>
                </c:pt>
                <c:pt idx="748">
                  <c:v>18226747.133789144</c:v>
                </c:pt>
                <c:pt idx="749">
                  <c:v>18226747.133789144</c:v>
                </c:pt>
                <c:pt idx="750">
                  <c:v>18226747.133789144</c:v>
                </c:pt>
                <c:pt idx="751">
                  <c:v>18226747.133789144</c:v>
                </c:pt>
                <c:pt idx="752">
                  <c:v>18226747.133789144</c:v>
                </c:pt>
                <c:pt idx="753">
                  <c:v>18226747.133789144</c:v>
                </c:pt>
                <c:pt idx="754">
                  <c:v>18226747.133789144</c:v>
                </c:pt>
                <c:pt idx="755">
                  <c:v>18226747.133789144</c:v>
                </c:pt>
                <c:pt idx="756">
                  <c:v>18226747.133789144</c:v>
                </c:pt>
                <c:pt idx="757">
                  <c:v>18326747.133789144</c:v>
                </c:pt>
                <c:pt idx="758">
                  <c:v>18326747.133789144</c:v>
                </c:pt>
                <c:pt idx="759">
                  <c:v>18326747.133789144</c:v>
                </c:pt>
                <c:pt idx="760">
                  <c:v>18586747.133789148</c:v>
                </c:pt>
                <c:pt idx="761">
                  <c:v>18891747.133789148</c:v>
                </c:pt>
                <c:pt idx="762">
                  <c:v>18891747.133789148</c:v>
                </c:pt>
                <c:pt idx="763">
                  <c:v>18891747.133789148</c:v>
                </c:pt>
                <c:pt idx="764">
                  <c:v>18891747.133789148</c:v>
                </c:pt>
                <c:pt idx="765">
                  <c:v>18811747.133789152</c:v>
                </c:pt>
                <c:pt idx="766">
                  <c:v>19171747.133789152</c:v>
                </c:pt>
                <c:pt idx="767">
                  <c:v>19171747.133789152</c:v>
                </c:pt>
                <c:pt idx="768">
                  <c:v>19731747.133789148</c:v>
                </c:pt>
                <c:pt idx="769">
                  <c:v>20211747.133789144</c:v>
                </c:pt>
                <c:pt idx="770">
                  <c:v>20211747.133789144</c:v>
                </c:pt>
                <c:pt idx="771">
                  <c:v>20211747.133789144</c:v>
                </c:pt>
                <c:pt idx="772">
                  <c:v>20211747.133789144</c:v>
                </c:pt>
                <c:pt idx="773">
                  <c:v>20211747.133789144</c:v>
                </c:pt>
                <c:pt idx="774">
                  <c:v>20851747.133789144</c:v>
                </c:pt>
                <c:pt idx="775">
                  <c:v>20851747.133789144</c:v>
                </c:pt>
                <c:pt idx="776">
                  <c:v>20851747.133789144</c:v>
                </c:pt>
                <c:pt idx="777">
                  <c:v>20781747.133789144</c:v>
                </c:pt>
                <c:pt idx="778">
                  <c:v>21486747.133789141</c:v>
                </c:pt>
                <c:pt idx="779">
                  <c:v>21486747.133789141</c:v>
                </c:pt>
                <c:pt idx="780">
                  <c:v>21486747.133789141</c:v>
                </c:pt>
                <c:pt idx="781">
                  <c:v>21486747.133789141</c:v>
                </c:pt>
                <c:pt idx="782">
                  <c:v>21486747.133789141</c:v>
                </c:pt>
                <c:pt idx="783">
                  <c:v>21486747.133789141</c:v>
                </c:pt>
                <c:pt idx="784">
                  <c:v>21486747.133789141</c:v>
                </c:pt>
                <c:pt idx="785">
                  <c:v>21486747.133789141</c:v>
                </c:pt>
                <c:pt idx="786">
                  <c:v>21486747.133789141</c:v>
                </c:pt>
                <c:pt idx="787">
                  <c:v>21486747.133789141</c:v>
                </c:pt>
                <c:pt idx="788">
                  <c:v>21486747.133789141</c:v>
                </c:pt>
                <c:pt idx="789">
                  <c:v>21486747.133789141</c:v>
                </c:pt>
                <c:pt idx="790">
                  <c:v>21486747.133789141</c:v>
                </c:pt>
                <c:pt idx="791">
                  <c:v>21486747.133789141</c:v>
                </c:pt>
                <c:pt idx="792">
                  <c:v>21486747.133789141</c:v>
                </c:pt>
                <c:pt idx="793">
                  <c:v>21486747.133789141</c:v>
                </c:pt>
                <c:pt idx="794">
                  <c:v>21486747.133789141</c:v>
                </c:pt>
                <c:pt idx="795">
                  <c:v>21486747.133789141</c:v>
                </c:pt>
                <c:pt idx="796">
                  <c:v>21486747.133789141</c:v>
                </c:pt>
                <c:pt idx="797">
                  <c:v>21486747.133789141</c:v>
                </c:pt>
                <c:pt idx="798">
                  <c:v>21486747.133789141</c:v>
                </c:pt>
                <c:pt idx="799">
                  <c:v>21486747.133789141</c:v>
                </c:pt>
                <c:pt idx="800">
                  <c:v>21486747.133789141</c:v>
                </c:pt>
                <c:pt idx="801">
                  <c:v>21486747.133789141</c:v>
                </c:pt>
                <c:pt idx="802">
                  <c:v>21486747.133789141</c:v>
                </c:pt>
                <c:pt idx="803">
                  <c:v>21567747.133789141</c:v>
                </c:pt>
                <c:pt idx="804">
                  <c:v>21567747.133789141</c:v>
                </c:pt>
                <c:pt idx="805">
                  <c:v>21567747.133789141</c:v>
                </c:pt>
                <c:pt idx="806">
                  <c:v>21567747.133789141</c:v>
                </c:pt>
                <c:pt idx="807">
                  <c:v>21567747.133789141</c:v>
                </c:pt>
                <c:pt idx="808">
                  <c:v>21567747.133789141</c:v>
                </c:pt>
                <c:pt idx="809">
                  <c:v>21567747.133789141</c:v>
                </c:pt>
                <c:pt idx="810">
                  <c:v>21567747.133789141</c:v>
                </c:pt>
                <c:pt idx="811">
                  <c:v>21567747.133789141</c:v>
                </c:pt>
                <c:pt idx="812">
                  <c:v>21567747.133789141</c:v>
                </c:pt>
                <c:pt idx="813">
                  <c:v>21567747.133789141</c:v>
                </c:pt>
                <c:pt idx="814">
                  <c:v>21567747.133789141</c:v>
                </c:pt>
                <c:pt idx="815">
                  <c:v>21567747.133789141</c:v>
                </c:pt>
                <c:pt idx="816">
                  <c:v>21567747.133789141</c:v>
                </c:pt>
                <c:pt idx="817">
                  <c:v>21483747.133789141</c:v>
                </c:pt>
                <c:pt idx="818">
                  <c:v>21276747.133789141</c:v>
                </c:pt>
                <c:pt idx="819">
                  <c:v>21069747.133789141</c:v>
                </c:pt>
                <c:pt idx="820">
                  <c:v>20889747.133789141</c:v>
                </c:pt>
                <c:pt idx="821">
                  <c:v>20625747.133789137</c:v>
                </c:pt>
                <c:pt idx="822">
                  <c:v>20442747.133789137</c:v>
                </c:pt>
                <c:pt idx="823">
                  <c:v>20238747.133789137</c:v>
                </c:pt>
                <c:pt idx="824">
                  <c:v>20001747.133789137</c:v>
                </c:pt>
                <c:pt idx="825">
                  <c:v>19791747.133789137</c:v>
                </c:pt>
                <c:pt idx="826">
                  <c:v>19728747.133789137</c:v>
                </c:pt>
                <c:pt idx="827">
                  <c:v>19659747.133789137</c:v>
                </c:pt>
                <c:pt idx="828">
                  <c:v>19617747.133789137</c:v>
                </c:pt>
                <c:pt idx="829">
                  <c:v>19584747.133789141</c:v>
                </c:pt>
                <c:pt idx="830">
                  <c:v>19314747.133789141</c:v>
                </c:pt>
                <c:pt idx="831">
                  <c:v>19074747.133789141</c:v>
                </c:pt>
                <c:pt idx="832">
                  <c:v>18702747.133789141</c:v>
                </c:pt>
                <c:pt idx="833">
                  <c:v>18390747.133789141</c:v>
                </c:pt>
                <c:pt idx="834">
                  <c:v>17946747.133789141</c:v>
                </c:pt>
                <c:pt idx="835">
                  <c:v>17487747.133789141</c:v>
                </c:pt>
                <c:pt idx="836">
                  <c:v>17487747.133789141</c:v>
                </c:pt>
                <c:pt idx="837">
                  <c:v>17487747.133789141</c:v>
                </c:pt>
                <c:pt idx="838">
                  <c:v>17327747.133789141</c:v>
                </c:pt>
                <c:pt idx="839">
                  <c:v>17207747.133789144</c:v>
                </c:pt>
                <c:pt idx="840">
                  <c:v>16651747.133789144</c:v>
                </c:pt>
                <c:pt idx="841">
                  <c:v>16376747.133789144</c:v>
                </c:pt>
                <c:pt idx="842">
                  <c:v>15923147.133789143</c:v>
                </c:pt>
                <c:pt idx="843">
                  <c:v>16342547.133789141</c:v>
                </c:pt>
                <c:pt idx="844">
                  <c:v>16527547.133789137</c:v>
                </c:pt>
                <c:pt idx="845">
                  <c:v>16479547.133789137</c:v>
                </c:pt>
                <c:pt idx="846">
                  <c:v>16296547.133789135</c:v>
                </c:pt>
                <c:pt idx="847">
                  <c:v>16186547.133789131</c:v>
                </c:pt>
                <c:pt idx="848">
                  <c:v>16158547.133789137</c:v>
                </c:pt>
                <c:pt idx="849">
                  <c:v>16020547.133789135</c:v>
                </c:pt>
                <c:pt idx="850">
                  <c:v>15924547.133789137</c:v>
                </c:pt>
                <c:pt idx="851">
                  <c:v>16000947.133789139</c:v>
                </c:pt>
                <c:pt idx="852">
                  <c:v>16673547.133789141</c:v>
                </c:pt>
                <c:pt idx="853">
                  <c:v>16593547.133789139</c:v>
                </c:pt>
                <c:pt idx="854">
                  <c:v>16212547.133789141</c:v>
                </c:pt>
                <c:pt idx="855">
                  <c:v>15891547.133789139</c:v>
                </c:pt>
                <c:pt idx="856">
                  <c:v>15096547.133789139</c:v>
                </c:pt>
                <c:pt idx="857">
                  <c:v>14888547.133789144</c:v>
                </c:pt>
                <c:pt idx="858">
                  <c:v>14729547.133789144</c:v>
                </c:pt>
                <c:pt idx="859">
                  <c:v>14768547.133789143</c:v>
                </c:pt>
                <c:pt idx="860">
                  <c:v>14908547.133789139</c:v>
                </c:pt>
                <c:pt idx="861">
                  <c:v>14818547.133789135</c:v>
                </c:pt>
                <c:pt idx="862">
                  <c:v>14658547.133789135</c:v>
                </c:pt>
                <c:pt idx="863">
                  <c:v>14568547.133789137</c:v>
                </c:pt>
                <c:pt idx="864">
                  <c:v>14677547.133789122</c:v>
                </c:pt>
                <c:pt idx="865">
                  <c:v>15321547.133789122</c:v>
                </c:pt>
                <c:pt idx="866">
                  <c:v>15823747.133789128</c:v>
                </c:pt>
                <c:pt idx="867">
                  <c:v>15963547.133789128</c:v>
                </c:pt>
                <c:pt idx="868">
                  <c:v>16163547.133789128</c:v>
                </c:pt>
                <c:pt idx="869">
                  <c:v>16203547.13378912</c:v>
                </c:pt>
                <c:pt idx="870">
                  <c:v>16403547.13378913</c:v>
                </c:pt>
                <c:pt idx="871">
                  <c:v>16923547.133789137</c:v>
                </c:pt>
                <c:pt idx="872">
                  <c:v>18181547.133789133</c:v>
                </c:pt>
                <c:pt idx="873">
                  <c:v>20000347.133789133</c:v>
                </c:pt>
                <c:pt idx="874">
                  <c:v>20412347.133789133</c:v>
                </c:pt>
                <c:pt idx="875">
                  <c:v>21094347.133789126</c:v>
                </c:pt>
                <c:pt idx="876">
                  <c:v>21691347.13378913</c:v>
                </c:pt>
                <c:pt idx="877">
                  <c:v>22157347.133789126</c:v>
                </c:pt>
                <c:pt idx="878">
                  <c:v>22530347.133789126</c:v>
                </c:pt>
                <c:pt idx="879">
                  <c:v>22530347.13378913</c:v>
                </c:pt>
                <c:pt idx="880">
                  <c:v>22530347.13378913</c:v>
                </c:pt>
                <c:pt idx="881">
                  <c:v>22530347.13378913</c:v>
                </c:pt>
                <c:pt idx="882">
                  <c:v>22530347.13378913</c:v>
                </c:pt>
                <c:pt idx="883">
                  <c:v>22530347.13378913</c:v>
                </c:pt>
                <c:pt idx="884">
                  <c:v>22530347.13378913</c:v>
                </c:pt>
                <c:pt idx="885">
                  <c:v>22530347.13378913</c:v>
                </c:pt>
                <c:pt idx="886">
                  <c:v>22690347.13378913</c:v>
                </c:pt>
                <c:pt idx="887">
                  <c:v>22690347.13378913</c:v>
                </c:pt>
                <c:pt idx="888">
                  <c:v>22850347.13378913</c:v>
                </c:pt>
                <c:pt idx="889">
                  <c:v>22850347.13378913</c:v>
                </c:pt>
                <c:pt idx="890">
                  <c:v>23090347.13378913</c:v>
                </c:pt>
                <c:pt idx="891">
                  <c:v>23090347.13378913</c:v>
                </c:pt>
                <c:pt idx="892">
                  <c:v>23090347.13378913</c:v>
                </c:pt>
                <c:pt idx="893">
                  <c:v>23090347.13378913</c:v>
                </c:pt>
                <c:pt idx="894">
                  <c:v>23090347.13378913</c:v>
                </c:pt>
                <c:pt idx="895">
                  <c:v>23090347.13378913</c:v>
                </c:pt>
                <c:pt idx="896">
                  <c:v>23090347.13378913</c:v>
                </c:pt>
                <c:pt idx="897">
                  <c:v>23090347.13378913</c:v>
                </c:pt>
                <c:pt idx="898">
                  <c:v>23090347.13378913</c:v>
                </c:pt>
                <c:pt idx="899">
                  <c:v>23090347.13378913</c:v>
                </c:pt>
                <c:pt idx="900">
                  <c:v>23090347.13378913</c:v>
                </c:pt>
                <c:pt idx="901">
                  <c:v>23090347.13378913</c:v>
                </c:pt>
                <c:pt idx="902">
                  <c:v>23090347.13378913</c:v>
                </c:pt>
                <c:pt idx="903">
                  <c:v>23090347.13378913</c:v>
                </c:pt>
                <c:pt idx="904">
                  <c:v>23090347.13378913</c:v>
                </c:pt>
                <c:pt idx="905">
                  <c:v>23090347.13378913</c:v>
                </c:pt>
                <c:pt idx="906">
                  <c:v>23090347.13378913</c:v>
                </c:pt>
                <c:pt idx="907">
                  <c:v>23090347.13378913</c:v>
                </c:pt>
                <c:pt idx="908">
                  <c:v>23090347.13378913</c:v>
                </c:pt>
                <c:pt idx="909">
                  <c:v>23090347.13378913</c:v>
                </c:pt>
                <c:pt idx="910">
                  <c:v>23090347.13378913</c:v>
                </c:pt>
                <c:pt idx="911">
                  <c:v>23090347.13378913</c:v>
                </c:pt>
                <c:pt idx="912">
                  <c:v>23090347.13378913</c:v>
                </c:pt>
                <c:pt idx="913">
                  <c:v>23090347.13378913</c:v>
                </c:pt>
                <c:pt idx="914">
                  <c:v>23090347.13378913</c:v>
                </c:pt>
                <c:pt idx="915">
                  <c:v>23090347.13378913</c:v>
                </c:pt>
                <c:pt idx="916">
                  <c:v>23090347.13378913</c:v>
                </c:pt>
                <c:pt idx="917">
                  <c:v>23090347.13378913</c:v>
                </c:pt>
                <c:pt idx="918">
                  <c:v>23090347.13378913</c:v>
                </c:pt>
                <c:pt idx="919">
                  <c:v>23090347.13378913</c:v>
                </c:pt>
                <c:pt idx="920">
                  <c:v>23090347.13378913</c:v>
                </c:pt>
                <c:pt idx="921">
                  <c:v>23090347.13378913</c:v>
                </c:pt>
                <c:pt idx="922">
                  <c:v>23090347.13378913</c:v>
                </c:pt>
                <c:pt idx="923">
                  <c:v>23090347.13378913</c:v>
                </c:pt>
                <c:pt idx="924">
                  <c:v>23090347.13378913</c:v>
                </c:pt>
                <c:pt idx="925">
                  <c:v>23090347.13378913</c:v>
                </c:pt>
                <c:pt idx="926">
                  <c:v>23090347.13378913</c:v>
                </c:pt>
                <c:pt idx="927">
                  <c:v>23090347.13378913</c:v>
                </c:pt>
                <c:pt idx="928">
                  <c:v>23090347.13378913</c:v>
                </c:pt>
                <c:pt idx="929">
                  <c:v>23090347.13378913</c:v>
                </c:pt>
                <c:pt idx="930">
                  <c:v>23090347.13378913</c:v>
                </c:pt>
                <c:pt idx="931">
                  <c:v>23090347.13378913</c:v>
                </c:pt>
                <c:pt idx="932">
                  <c:v>23090347.13378913</c:v>
                </c:pt>
                <c:pt idx="933">
                  <c:v>23090347.13378913</c:v>
                </c:pt>
                <c:pt idx="934">
                  <c:v>23090347.13378913</c:v>
                </c:pt>
                <c:pt idx="935">
                  <c:v>23090347.13378913</c:v>
                </c:pt>
                <c:pt idx="936">
                  <c:v>23090347.13378913</c:v>
                </c:pt>
                <c:pt idx="937">
                  <c:v>23090347.13378913</c:v>
                </c:pt>
                <c:pt idx="938">
                  <c:v>23090347.13378913</c:v>
                </c:pt>
                <c:pt idx="939">
                  <c:v>23090347.13378913</c:v>
                </c:pt>
                <c:pt idx="940">
                  <c:v>23090347.13378913</c:v>
                </c:pt>
                <c:pt idx="941">
                  <c:v>23090347.13378913</c:v>
                </c:pt>
                <c:pt idx="942">
                  <c:v>23090347.13378913</c:v>
                </c:pt>
                <c:pt idx="943">
                  <c:v>23090347.13378913</c:v>
                </c:pt>
                <c:pt idx="944">
                  <c:v>23090347.13378913</c:v>
                </c:pt>
                <c:pt idx="945">
                  <c:v>23090347.13378913</c:v>
                </c:pt>
                <c:pt idx="946">
                  <c:v>23090347.13378913</c:v>
                </c:pt>
                <c:pt idx="947">
                  <c:v>23090347.13378913</c:v>
                </c:pt>
                <c:pt idx="948">
                  <c:v>23090347.13378913</c:v>
                </c:pt>
                <c:pt idx="949">
                  <c:v>23090347.13378913</c:v>
                </c:pt>
                <c:pt idx="950">
                  <c:v>23090347.13378913</c:v>
                </c:pt>
                <c:pt idx="951">
                  <c:v>23090347.13378913</c:v>
                </c:pt>
                <c:pt idx="952">
                  <c:v>23090347.13378913</c:v>
                </c:pt>
                <c:pt idx="953">
                  <c:v>23090347.13378913</c:v>
                </c:pt>
                <c:pt idx="954">
                  <c:v>23090347.13378913</c:v>
                </c:pt>
                <c:pt idx="955">
                  <c:v>23090347.13378913</c:v>
                </c:pt>
                <c:pt idx="956">
                  <c:v>23090347.13378913</c:v>
                </c:pt>
                <c:pt idx="957">
                  <c:v>23090347.13378913</c:v>
                </c:pt>
                <c:pt idx="958">
                  <c:v>23090347.13378913</c:v>
                </c:pt>
                <c:pt idx="959">
                  <c:v>23090347.13378913</c:v>
                </c:pt>
                <c:pt idx="960">
                  <c:v>23090347.13378913</c:v>
                </c:pt>
                <c:pt idx="961">
                  <c:v>23090347.13378913</c:v>
                </c:pt>
                <c:pt idx="962">
                  <c:v>23090347.13378913</c:v>
                </c:pt>
                <c:pt idx="963">
                  <c:v>23090347.13378913</c:v>
                </c:pt>
                <c:pt idx="964">
                  <c:v>23090347.13378913</c:v>
                </c:pt>
                <c:pt idx="965">
                  <c:v>23090347.13378913</c:v>
                </c:pt>
                <c:pt idx="966">
                  <c:v>23090347.13378913</c:v>
                </c:pt>
                <c:pt idx="967">
                  <c:v>23090347.13378913</c:v>
                </c:pt>
                <c:pt idx="968">
                  <c:v>23090347.13378913</c:v>
                </c:pt>
                <c:pt idx="969">
                  <c:v>23090347.13378913</c:v>
                </c:pt>
                <c:pt idx="970">
                  <c:v>23090347.13378913</c:v>
                </c:pt>
                <c:pt idx="971">
                  <c:v>23090347.13378913</c:v>
                </c:pt>
                <c:pt idx="972">
                  <c:v>23090347.13378913</c:v>
                </c:pt>
                <c:pt idx="973">
                  <c:v>23090347.13378913</c:v>
                </c:pt>
                <c:pt idx="974">
                  <c:v>23090347.13378913</c:v>
                </c:pt>
                <c:pt idx="975">
                  <c:v>23090347.13378913</c:v>
                </c:pt>
                <c:pt idx="976">
                  <c:v>23090347.13378913</c:v>
                </c:pt>
                <c:pt idx="977">
                  <c:v>23090347.13378913</c:v>
                </c:pt>
                <c:pt idx="978">
                  <c:v>23090347.13378913</c:v>
                </c:pt>
                <c:pt idx="979">
                  <c:v>23090347.13378913</c:v>
                </c:pt>
                <c:pt idx="980">
                  <c:v>23090347.13378913</c:v>
                </c:pt>
                <c:pt idx="981">
                  <c:v>23090347.13378913</c:v>
                </c:pt>
                <c:pt idx="982">
                  <c:v>23090347.13378913</c:v>
                </c:pt>
                <c:pt idx="983">
                  <c:v>23090347.13378913</c:v>
                </c:pt>
                <c:pt idx="984">
                  <c:v>23090347.13378913</c:v>
                </c:pt>
                <c:pt idx="985">
                  <c:v>23090347.13378913</c:v>
                </c:pt>
                <c:pt idx="986">
                  <c:v>23090347.13378913</c:v>
                </c:pt>
                <c:pt idx="987">
                  <c:v>23090347.13378913</c:v>
                </c:pt>
                <c:pt idx="988">
                  <c:v>23090347.13378913</c:v>
                </c:pt>
                <c:pt idx="989">
                  <c:v>23090347.13378913</c:v>
                </c:pt>
                <c:pt idx="990">
                  <c:v>23090347.13378913</c:v>
                </c:pt>
                <c:pt idx="991">
                  <c:v>23090347.13378913</c:v>
                </c:pt>
                <c:pt idx="992">
                  <c:v>23090347.13378913</c:v>
                </c:pt>
                <c:pt idx="993">
                  <c:v>23090347.13378913</c:v>
                </c:pt>
                <c:pt idx="994">
                  <c:v>23090347.13378913</c:v>
                </c:pt>
                <c:pt idx="995">
                  <c:v>23090347.13378913</c:v>
                </c:pt>
                <c:pt idx="996">
                  <c:v>23090347.13378913</c:v>
                </c:pt>
                <c:pt idx="997">
                  <c:v>23090347.13378913</c:v>
                </c:pt>
                <c:pt idx="998">
                  <c:v>23090347.13378913</c:v>
                </c:pt>
                <c:pt idx="999">
                  <c:v>23090347.13378913</c:v>
                </c:pt>
                <c:pt idx="1000">
                  <c:v>23090347.13378913</c:v>
                </c:pt>
                <c:pt idx="1001">
                  <c:v>23090347.13378913</c:v>
                </c:pt>
                <c:pt idx="1002">
                  <c:v>23090347.13378913</c:v>
                </c:pt>
                <c:pt idx="1003">
                  <c:v>23090347.13378913</c:v>
                </c:pt>
                <c:pt idx="1004">
                  <c:v>23090347.13378913</c:v>
                </c:pt>
                <c:pt idx="1005">
                  <c:v>23090347.13378913</c:v>
                </c:pt>
                <c:pt idx="1006">
                  <c:v>23090347.13378913</c:v>
                </c:pt>
                <c:pt idx="1007">
                  <c:v>23090347.13378913</c:v>
                </c:pt>
                <c:pt idx="1008">
                  <c:v>23090347.13378913</c:v>
                </c:pt>
                <c:pt idx="1009">
                  <c:v>23090347.13378913</c:v>
                </c:pt>
                <c:pt idx="1010">
                  <c:v>23090347.13378913</c:v>
                </c:pt>
                <c:pt idx="1011">
                  <c:v>23090347.13378913</c:v>
                </c:pt>
                <c:pt idx="1012">
                  <c:v>23090347.13378913</c:v>
                </c:pt>
                <c:pt idx="1013">
                  <c:v>23090347.13378913</c:v>
                </c:pt>
                <c:pt idx="1014">
                  <c:v>23090347.13378913</c:v>
                </c:pt>
                <c:pt idx="1015">
                  <c:v>23090347.13378913</c:v>
                </c:pt>
                <c:pt idx="1016">
                  <c:v>23090347.13378913</c:v>
                </c:pt>
                <c:pt idx="1017">
                  <c:v>23090347.13378913</c:v>
                </c:pt>
                <c:pt idx="1018">
                  <c:v>23090347.13378913</c:v>
                </c:pt>
                <c:pt idx="1019">
                  <c:v>23090347.13378913</c:v>
                </c:pt>
                <c:pt idx="1020">
                  <c:v>23090347.13378913</c:v>
                </c:pt>
                <c:pt idx="1021">
                  <c:v>23090347.13378913</c:v>
                </c:pt>
                <c:pt idx="1022">
                  <c:v>23090347.13378913</c:v>
                </c:pt>
                <c:pt idx="1023">
                  <c:v>23090347.13378913</c:v>
                </c:pt>
                <c:pt idx="1024">
                  <c:v>23090347.13378913</c:v>
                </c:pt>
                <c:pt idx="1025">
                  <c:v>23090347.13378913</c:v>
                </c:pt>
                <c:pt idx="1026">
                  <c:v>23090347.13378913</c:v>
                </c:pt>
                <c:pt idx="1027">
                  <c:v>23090347.13378913</c:v>
                </c:pt>
                <c:pt idx="1028">
                  <c:v>23090347.13378913</c:v>
                </c:pt>
                <c:pt idx="1029">
                  <c:v>23090347.13378913</c:v>
                </c:pt>
                <c:pt idx="1030">
                  <c:v>23090347.13378913</c:v>
                </c:pt>
                <c:pt idx="1031">
                  <c:v>23090347.13378913</c:v>
                </c:pt>
                <c:pt idx="1032">
                  <c:v>23090347.13378913</c:v>
                </c:pt>
                <c:pt idx="1033">
                  <c:v>23090347.13378913</c:v>
                </c:pt>
                <c:pt idx="1034">
                  <c:v>23090347.13378913</c:v>
                </c:pt>
                <c:pt idx="1035">
                  <c:v>23090347.13378913</c:v>
                </c:pt>
                <c:pt idx="1036">
                  <c:v>23090347.13378913</c:v>
                </c:pt>
                <c:pt idx="1037">
                  <c:v>23090347.13378913</c:v>
                </c:pt>
                <c:pt idx="1038">
                  <c:v>23090347.13378913</c:v>
                </c:pt>
                <c:pt idx="1039">
                  <c:v>23090347.13378913</c:v>
                </c:pt>
                <c:pt idx="1040">
                  <c:v>23090347.13378913</c:v>
                </c:pt>
                <c:pt idx="1041">
                  <c:v>23090347.13378913</c:v>
                </c:pt>
                <c:pt idx="1042">
                  <c:v>23090347.13378913</c:v>
                </c:pt>
                <c:pt idx="1043">
                  <c:v>23090347.13378913</c:v>
                </c:pt>
                <c:pt idx="1044">
                  <c:v>23090347.13378913</c:v>
                </c:pt>
                <c:pt idx="1045">
                  <c:v>23090347.13378913</c:v>
                </c:pt>
                <c:pt idx="1046">
                  <c:v>23090347.13378913</c:v>
                </c:pt>
                <c:pt idx="1047">
                  <c:v>23090347.13378913</c:v>
                </c:pt>
                <c:pt idx="1048">
                  <c:v>23090347.13378913</c:v>
                </c:pt>
                <c:pt idx="1049">
                  <c:v>23090347.13378913</c:v>
                </c:pt>
                <c:pt idx="1050">
                  <c:v>23090347.13378913</c:v>
                </c:pt>
                <c:pt idx="1051">
                  <c:v>23090347.13378913</c:v>
                </c:pt>
                <c:pt idx="1052">
                  <c:v>23090347.13378913</c:v>
                </c:pt>
                <c:pt idx="1053">
                  <c:v>23090347.13378913</c:v>
                </c:pt>
                <c:pt idx="1054">
                  <c:v>23090347.13378913</c:v>
                </c:pt>
                <c:pt idx="1055">
                  <c:v>23090347.13378913</c:v>
                </c:pt>
                <c:pt idx="1056">
                  <c:v>23090347.13378913</c:v>
                </c:pt>
                <c:pt idx="1057">
                  <c:v>23090347.13378913</c:v>
                </c:pt>
                <c:pt idx="1058">
                  <c:v>23090347.13378913</c:v>
                </c:pt>
                <c:pt idx="1059">
                  <c:v>23090347.13378913</c:v>
                </c:pt>
                <c:pt idx="1060">
                  <c:v>23090347.13378913</c:v>
                </c:pt>
                <c:pt idx="1061">
                  <c:v>23090347.13378913</c:v>
                </c:pt>
                <c:pt idx="1062">
                  <c:v>23090347.13378913</c:v>
                </c:pt>
                <c:pt idx="1063">
                  <c:v>23090347.13378913</c:v>
                </c:pt>
                <c:pt idx="1064">
                  <c:v>23090347.13378913</c:v>
                </c:pt>
                <c:pt idx="1065">
                  <c:v>23090347.13378913</c:v>
                </c:pt>
                <c:pt idx="1066">
                  <c:v>23090347.13378913</c:v>
                </c:pt>
                <c:pt idx="1067">
                  <c:v>23090347.13378913</c:v>
                </c:pt>
                <c:pt idx="1068">
                  <c:v>23090347.13378913</c:v>
                </c:pt>
                <c:pt idx="1069">
                  <c:v>23090347.13378913</c:v>
                </c:pt>
                <c:pt idx="1070">
                  <c:v>23090347.13378913</c:v>
                </c:pt>
                <c:pt idx="1071">
                  <c:v>23090347.13378913</c:v>
                </c:pt>
                <c:pt idx="1072">
                  <c:v>23090347.13378913</c:v>
                </c:pt>
                <c:pt idx="1073">
                  <c:v>23090347.13378913</c:v>
                </c:pt>
                <c:pt idx="1074">
                  <c:v>23090347.13378913</c:v>
                </c:pt>
                <c:pt idx="1075">
                  <c:v>23090347.13378913</c:v>
                </c:pt>
                <c:pt idx="1076">
                  <c:v>23090347.13378913</c:v>
                </c:pt>
                <c:pt idx="1077">
                  <c:v>23090347.13378913</c:v>
                </c:pt>
                <c:pt idx="1078">
                  <c:v>23090347.13378913</c:v>
                </c:pt>
                <c:pt idx="1079">
                  <c:v>23090347.13378913</c:v>
                </c:pt>
                <c:pt idx="1080">
                  <c:v>23090347.13378913</c:v>
                </c:pt>
                <c:pt idx="1081">
                  <c:v>23090347.13378913</c:v>
                </c:pt>
                <c:pt idx="1082">
                  <c:v>23090347.13378913</c:v>
                </c:pt>
                <c:pt idx="1083">
                  <c:v>23090347.13378913</c:v>
                </c:pt>
                <c:pt idx="1084">
                  <c:v>23090347.13378913</c:v>
                </c:pt>
                <c:pt idx="1085">
                  <c:v>23090347.13378913</c:v>
                </c:pt>
                <c:pt idx="1086">
                  <c:v>23090347.13378913</c:v>
                </c:pt>
                <c:pt idx="1087">
                  <c:v>23090347.13378913</c:v>
                </c:pt>
                <c:pt idx="1088">
                  <c:v>23090347.13378913</c:v>
                </c:pt>
                <c:pt idx="1089">
                  <c:v>23090347.13378913</c:v>
                </c:pt>
                <c:pt idx="1090">
                  <c:v>23090347.13378913</c:v>
                </c:pt>
                <c:pt idx="1091">
                  <c:v>23090347.13378913</c:v>
                </c:pt>
                <c:pt idx="1092">
                  <c:v>23090347.13378913</c:v>
                </c:pt>
                <c:pt idx="1093">
                  <c:v>23090347.13378913</c:v>
                </c:pt>
                <c:pt idx="1094">
                  <c:v>23090347.13378913</c:v>
                </c:pt>
                <c:pt idx="1095">
                  <c:v>23090347.13378913</c:v>
                </c:pt>
                <c:pt idx="1096">
                  <c:v>23090347.13378913</c:v>
                </c:pt>
                <c:pt idx="1097">
                  <c:v>23090347.13378913</c:v>
                </c:pt>
                <c:pt idx="1098">
                  <c:v>23090347.13378913</c:v>
                </c:pt>
                <c:pt idx="1099">
                  <c:v>23090347.13378913</c:v>
                </c:pt>
                <c:pt idx="1100">
                  <c:v>23090347.13378913</c:v>
                </c:pt>
                <c:pt idx="1101">
                  <c:v>23090347.13378913</c:v>
                </c:pt>
                <c:pt idx="1102">
                  <c:v>23090347.13378913</c:v>
                </c:pt>
                <c:pt idx="1103">
                  <c:v>23090347.13378913</c:v>
                </c:pt>
                <c:pt idx="1104">
                  <c:v>23090347.13378913</c:v>
                </c:pt>
                <c:pt idx="1105">
                  <c:v>23090347.13378913</c:v>
                </c:pt>
                <c:pt idx="1106">
                  <c:v>23090347.13378913</c:v>
                </c:pt>
                <c:pt idx="1107">
                  <c:v>23090347.13378913</c:v>
                </c:pt>
                <c:pt idx="1108">
                  <c:v>23090347.13378913</c:v>
                </c:pt>
                <c:pt idx="1109">
                  <c:v>23090347.13378913</c:v>
                </c:pt>
                <c:pt idx="1110">
                  <c:v>23090347.13378913</c:v>
                </c:pt>
                <c:pt idx="1111">
                  <c:v>23090347.13378913</c:v>
                </c:pt>
                <c:pt idx="1112">
                  <c:v>23090347.13378913</c:v>
                </c:pt>
                <c:pt idx="1113">
                  <c:v>23090347.13378913</c:v>
                </c:pt>
                <c:pt idx="1114">
                  <c:v>23090347.13378913</c:v>
                </c:pt>
                <c:pt idx="1115">
                  <c:v>23090347.13378913</c:v>
                </c:pt>
                <c:pt idx="1116">
                  <c:v>23090347.13378913</c:v>
                </c:pt>
                <c:pt idx="1117">
                  <c:v>23090347.13378913</c:v>
                </c:pt>
                <c:pt idx="1118">
                  <c:v>23090347.13378913</c:v>
                </c:pt>
                <c:pt idx="1119">
                  <c:v>23090347.13378913</c:v>
                </c:pt>
                <c:pt idx="1120">
                  <c:v>23090347.13378913</c:v>
                </c:pt>
                <c:pt idx="1121">
                  <c:v>23090347.13378913</c:v>
                </c:pt>
                <c:pt idx="1122">
                  <c:v>23090347.13378913</c:v>
                </c:pt>
                <c:pt idx="1123">
                  <c:v>23090347.13378913</c:v>
                </c:pt>
                <c:pt idx="1124">
                  <c:v>23090347.13378913</c:v>
                </c:pt>
                <c:pt idx="1125">
                  <c:v>23090347.13378913</c:v>
                </c:pt>
                <c:pt idx="1126">
                  <c:v>23090347.13378913</c:v>
                </c:pt>
                <c:pt idx="1127">
                  <c:v>23090347.13378913</c:v>
                </c:pt>
                <c:pt idx="1128">
                  <c:v>23090347.13378913</c:v>
                </c:pt>
                <c:pt idx="1129">
                  <c:v>23090347.13378913</c:v>
                </c:pt>
                <c:pt idx="1130">
                  <c:v>23090347.13378913</c:v>
                </c:pt>
                <c:pt idx="1131">
                  <c:v>23090347.13378913</c:v>
                </c:pt>
                <c:pt idx="1132">
                  <c:v>23090347.13378913</c:v>
                </c:pt>
                <c:pt idx="1133">
                  <c:v>23090347.13378913</c:v>
                </c:pt>
                <c:pt idx="1134">
                  <c:v>23090347.13378913</c:v>
                </c:pt>
                <c:pt idx="1135">
                  <c:v>23090347.13378913</c:v>
                </c:pt>
                <c:pt idx="1136">
                  <c:v>23090347.13378913</c:v>
                </c:pt>
                <c:pt idx="1137">
                  <c:v>23090347.13378913</c:v>
                </c:pt>
                <c:pt idx="1138">
                  <c:v>23090347.13378913</c:v>
                </c:pt>
                <c:pt idx="1139">
                  <c:v>23090347.13378913</c:v>
                </c:pt>
                <c:pt idx="1140">
                  <c:v>23090347.13378913</c:v>
                </c:pt>
                <c:pt idx="1141">
                  <c:v>23090347.13378913</c:v>
                </c:pt>
                <c:pt idx="1142">
                  <c:v>23090347.13378913</c:v>
                </c:pt>
                <c:pt idx="1143">
                  <c:v>23090347.13378913</c:v>
                </c:pt>
                <c:pt idx="1144">
                  <c:v>23090347.13378913</c:v>
                </c:pt>
                <c:pt idx="1145">
                  <c:v>23090347.13378913</c:v>
                </c:pt>
                <c:pt idx="1146">
                  <c:v>23090347.13378913</c:v>
                </c:pt>
                <c:pt idx="1147">
                  <c:v>23090347.13378913</c:v>
                </c:pt>
                <c:pt idx="1148">
                  <c:v>23090347.13378913</c:v>
                </c:pt>
                <c:pt idx="1149">
                  <c:v>23090347.13378913</c:v>
                </c:pt>
                <c:pt idx="1150">
                  <c:v>23090347.13378913</c:v>
                </c:pt>
                <c:pt idx="1151">
                  <c:v>23090347.13378913</c:v>
                </c:pt>
                <c:pt idx="1152">
                  <c:v>23090347.13378913</c:v>
                </c:pt>
                <c:pt idx="1153">
                  <c:v>23090347.13378913</c:v>
                </c:pt>
                <c:pt idx="1154">
                  <c:v>23090347.13378913</c:v>
                </c:pt>
                <c:pt idx="1155">
                  <c:v>23090347.13378913</c:v>
                </c:pt>
                <c:pt idx="1156">
                  <c:v>23090347.13378913</c:v>
                </c:pt>
                <c:pt idx="1157">
                  <c:v>23090347.13378913</c:v>
                </c:pt>
                <c:pt idx="1158">
                  <c:v>23090347.13378913</c:v>
                </c:pt>
                <c:pt idx="1159">
                  <c:v>23090347.13378913</c:v>
                </c:pt>
                <c:pt idx="1160">
                  <c:v>23090347.13378913</c:v>
                </c:pt>
                <c:pt idx="1161">
                  <c:v>23090347.13378913</c:v>
                </c:pt>
                <c:pt idx="1162">
                  <c:v>23090347.13378913</c:v>
                </c:pt>
                <c:pt idx="1163">
                  <c:v>23090347.13378913</c:v>
                </c:pt>
                <c:pt idx="1164">
                  <c:v>23090347.13378913</c:v>
                </c:pt>
                <c:pt idx="1165">
                  <c:v>23090347.13378913</c:v>
                </c:pt>
                <c:pt idx="1166">
                  <c:v>23090347.13378913</c:v>
                </c:pt>
                <c:pt idx="1167">
                  <c:v>23090347.13378913</c:v>
                </c:pt>
                <c:pt idx="1168">
                  <c:v>23090347.13378913</c:v>
                </c:pt>
                <c:pt idx="1169">
                  <c:v>23090347.13378913</c:v>
                </c:pt>
                <c:pt idx="1170">
                  <c:v>23090347.13378913</c:v>
                </c:pt>
                <c:pt idx="1171">
                  <c:v>23090347.13378913</c:v>
                </c:pt>
                <c:pt idx="1172">
                  <c:v>23090347.13378913</c:v>
                </c:pt>
                <c:pt idx="1173">
                  <c:v>23090347.13378913</c:v>
                </c:pt>
                <c:pt idx="1174">
                  <c:v>23090347.13378913</c:v>
                </c:pt>
                <c:pt idx="1175">
                  <c:v>23090347.13378913</c:v>
                </c:pt>
                <c:pt idx="1176">
                  <c:v>23090347.13378913</c:v>
                </c:pt>
                <c:pt idx="1177">
                  <c:v>23090347.13378913</c:v>
                </c:pt>
                <c:pt idx="1178">
                  <c:v>23090347.13378913</c:v>
                </c:pt>
                <c:pt idx="1179">
                  <c:v>23090347.13378913</c:v>
                </c:pt>
                <c:pt idx="1180">
                  <c:v>23090347.13378913</c:v>
                </c:pt>
                <c:pt idx="1181">
                  <c:v>23090347.13378913</c:v>
                </c:pt>
                <c:pt idx="1182">
                  <c:v>23090347.13378913</c:v>
                </c:pt>
                <c:pt idx="1183">
                  <c:v>23090347.13378913</c:v>
                </c:pt>
                <c:pt idx="1184">
                  <c:v>23090347.13378913</c:v>
                </c:pt>
                <c:pt idx="1185">
                  <c:v>23090347.13378913</c:v>
                </c:pt>
                <c:pt idx="1186">
                  <c:v>23090347.13378913</c:v>
                </c:pt>
                <c:pt idx="1187">
                  <c:v>23090347.13378913</c:v>
                </c:pt>
                <c:pt idx="1188">
                  <c:v>23090347.13378913</c:v>
                </c:pt>
                <c:pt idx="1189">
                  <c:v>23090347.13378913</c:v>
                </c:pt>
                <c:pt idx="1190">
                  <c:v>23090347.13378913</c:v>
                </c:pt>
                <c:pt idx="1191">
                  <c:v>23090347.13378913</c:v>
                </c:pt>
                <c:pt idx="1192">
                  <c:v>23090347.13378913</c:v>
                </c:pt>
                <c:pt idx="1193">
                  <c:v>23090347.13378913</c:v>
                </c:pt>
                <c:pt idx="1194">
                  <c:v>23090347.13378913</c:v>
                </c:pt>
                <c:pt idx="1195">
                  <c:v>23090347.13378913</c:v>
                </c:pt>
                <c:pt idx="1196">
                  <c:v>23090347.13378913</c:v>
                </c:pt>
                <c:pt idx="1197">
                  <c:v>23090347.13378913</c:v>
                </c:pt>
                <c:pt idx="1198">
                  <c:v>23090347.13378913</c:v>
                </c:pt>
                <c:pt idx="1199">
                  <c:v>23090347.13378913</c:v>
                </c:pt>
                <c:pt idx="1200">
                  <c:v>23090347.13378913</c:v>
                </c:pt>
                <c:pt idx="1201">
                  <c:v>23090347.13378913</c:v>
                </c:pt>
                <c:pt idx="1202">
                  <c:v>23090347.13378913</c:v>
                </c:pt>
                <c:pt idx="1203">
                  <c:v>23090347.13378913</c:v>
                </c:pt>
                <c:pt idx="1204">
                  <c:v>23090347.13378913</c:v>
                </c:pt>
                <c:pt idx="1205">
                  <c:v>23090347.13378913</c:v>
                </c:pt>
                <c:pt idx="1206">
                  <c:v>23090347.13378913</c:v>
                </c:pt>
                <c:pt idx="1207">
                  <c:v>23090347.13378913</c:v>
                </c:pt>
                <c:pt idx="1208">
                  <c:v>23090347.13378913</c:v>
                </c:pt>
                <c:pt idx="1209">
                  <c:v>23090347.13378913</c:v>
                </c:pt>
                <c:pt idx="1210">
                  <c:v>23090347.13378913</c:v>
                </c:pt>
                <c:pt idx="1211">
                  <c:v>23090347.13378913</c:v>
                </c:pt>
                <c:pt idx="1212">
                  <c:v>23090347.13378913</c:v>
                </c:pt>
                <c:pt idx="1213">
                  <c:v>23090347.13378913</c:v>
                </c:pt>
                <c:pt idx="1214">
                  <c:v>23090347.13378913</c:v>
                </c:pt>
                <c:pt idx="1215">
                  <c:v>23090347.13378913</c:v>
                </c:pt>
                <c:pt idx="1216">
                  <c:v>23090347.13378913</c:v>
                </c:pt>
                <c:pt idx="1217">
                  <c:v>23090347.13378913</c:v>
                </c:pt>
                <c:pt idx="1218">
                  <c:v>23090347.13378913</c:v>
                </c:pt>
                <c:pt idx="1219">
                  <c:v>23090347.13378913</c:v>
                </c:pt>
                <c:pt idx="1220">
                  <c:v>23090347.13378913</c:v>
                </c:pt>
                <c:pt idx="1221">
                  <c:v>23090347.13378913</c:v>
                </c:pt>
                <c:pt idx="1222">
                  <c:v>23090347.13378913</c:v>
                </c:pt>
                <c:pt idx="1223">
                  <c:v>23090347.13378913</c:v>
                </c:pt>
                <c:pt idx="1224">
                  <c:v>23090347.13378913</c:v>
                </c:pt>
                <c:pt idx="1225">
                  <c:v>23090347.13378913</c:v>
                </c:pt>
                <c:pt idx="1226">
                  <c:v>23090347.13378913</c:v>
                </c:pt>
                <c:pt idx="1227">
                  <c:v>23090347.13378913</c:v>
                </c:pt>
                <c:pt idx="1228">
                  <c:v>23090347.13378913</c:v>
                </c:pt>
                <c:pt idx="1229">
                  <c:v>23090347.13378913</c:v>
                </c:pt>
                <c:pt idx="1230">
                  <c:v>23090347.13378913</c:v>
                </c:pt>
                <c:pt idx="1231">
                  <c:v>23090347.13378913</c:v>
                </c:pt>
                <c:pt idx="1232">
                  <c:v>23090347.13378913</c:v>
                </c:pt>
                <c:pt idx="1233">
                  <c:v>23090347.13378913</c:v>
                </c:pt>
                <c:pt idx="1234">
                  <c:v>23090347.13378913</c:v>
                </c:pt>
                <c:pt idx="1235">
                  <c:v>23090347.13378913</c:v>
                </c:pt>
                <c:pt idx="1236">
                  <c:v>23090347.13378913</c:v>
                </c:pt>
                <c:pt idx="1237">
                  <c:v>23090347.13378913</c:v>
                </c:pt>
                <c:pt idx="1238">
                  <c:v>23090347.13378913</c:v>
                </c:pt>
                <c:pt idx="1239">
                  <c:v>23090347.13378913</c:v>
                </c:pt>
                <c:pt idx="1240">
                  <c:v>23090347.13378913</c:v>
                </c:pt>
                <c:pt idx="1241">
                  <c:v>23090347.13378913</c:v>
                </c:pt>
                <c:pt idx="1242">
                  <c:v>23090347.13378913</c:v>
                </c:pt>
                <c:pt idx="1243">
                  <c:v>23090347.13378913</c:v>
                </c:pt>
                <c:pt idx="1244">
                  <c:v>23090347.13378913</c:v>
                </c:pt>
                <c:pt idx="1245">
                  <c:v>23090347.13378913</c:v>
                </c:pt>
                <c:pt idx="1246">
                  <c:v>23090347.13378913</c:v>
                </c:pt>
                <c:pt idx="1247">
                  <c:v>23090347.13378913</c:v>
                </c:pt>
                <c:pt idx="1248">
                  <c:v>23090347.13378913</c:v>
                </c:pt>
                <c:pt idx="1249">
                  <c:v>23090347.13378913</c:v>
                </c:pt>
                <c:pt idx="1250">
                  <c:v>23090347.13378913</c:v>
                </c:pt>
                <c:pt idx="1251">
                  <c:v>23090347.13378913</c:v>
                </c:pt>
                <c:pt idx="1252">
                  <c:v>23090347.13378913</c:v>
                </c:pt>
                <c:pt idx="1253">
                  <c:v>23090347.13378913</c:v>
                </c:pt>
                <c:pt idx="1254">
                  <c:v>23090347.13378913</c:v>
                </c:pt>
                <c:pt idx="1255">
                  <c:v>23090347.13378913</c:v>
                </c:pt>
                <c:pt idx="1256">
                  <c:v>23090347.13378913</c:v>
                </c:pt>
                <c:pt idx="1257">
                  <c:v>23090347.13378913</c:v>
                </c:pt>
                <c:pt idx="1258">
                  <c:v>23090347.13378913</c:v>
                </c:pt>
                <c:pt idx="1259">
                  <c:v>23090347.13378913</c:v>
                </c:pt>
                <c:pt idx="1260">
                  <c:v>23090347.13378913</c:v>
                </c:pt>
                <c:pt idx="1261">
                  <c:v>23090347.13378913</c:v>
                </c:pt>
                <c:pt idx="1262">
                  <c:v>23090347.13378913</c:v>
                </c:pt>
                <c:pt idx="1263">
                  <c:v>23090347.13378913</c:v>
                </c:pt>
                <c:pt idx="1264">
                  <c:v>23090347.13378913</c:v>
                </c:pt>
                <c:pt idx="1265">
                  <c:v>23090347.13378913</c:v>
                </c:pt>
                <c:pt idx="1266">
                  <c:v>23090347.13378913</c:v>
                </c:pt>
                <c:pt idx="1267">
                  <c:v>23090347.13378913</c:v>
                </c:pt>
                <c:pt idx="1268">
                  <c:v>23090347.13378913</c:v>
                </c:pt>
                <c:pt idx="1269">
                  <c:v>23090347.13378913</c:v>
                </c:pt>
                <c:pt idx="1270">
                  <c:v>23090347.13378913</c:v>
                </c:pt>
                <c:pt idx="1271">
                  <c:v>23090347.13378913</c:v>
                </c:pt>
                <c:pt idx="1272">
                  <c:v>23090347.13378913</c:v>
                </c:pt>
                <c:pt idx="1273">
                  <c:v>23090347.13378913</c:v>
                </c:pt>
                <c:pt idx="1274">
                  <c:v>23090347.13378913</c:v>
                </c:pt>
                <c:pt idx="1275">
                  <c:v>23090347.13378913</c:v>
                </c:pt>
                <c:pt idx="1276">
                  <c:v>23090347.13378913</c:v>
                </c:pt>
                <c:pt idx="1277">
                  <c:v>23090347.13378913</c:v>
                </c:pt>
                <c:pt idx="1278">
                  <c:v>23090347.13378913</c:v>
                </c:pt>
                <c:pt idx="1279">
                  <c:v>23090347.13378913</c:v>
                </c:pt>
                <c:pt idx="1280">
                  <c:v>23090347.13378913</c:v>
                </c:pt>
                <c:pt idx="1281">
                  <c:v>23090347.13378913</c:v>
                </c:pt>
                <c:pt idx="1282">
                  <c:v>23090347.13378913</c:v>
                </c:pt>
                <c:pt idx="1283">
                  <c:v>23090347.13378913</c:v>
                </c:pt>
                <c:pt idx="1284">
                  <c:v>23090347.13378913</c:v>
                </c:pt>
                <c:pt idx="1285">
                  <c:v>23090347.13378913</c:v>
                </c:pt>
                <c:pt idx="1286">
                  <c:v>23090347.13378913</c:v>
                </c:pt>
                <c:pt idx="1287">
                  <c:v>23090347.13378913</c:v>
                </c:pt>
                <c:pt idx="1288">
                  <c:v>23090347.13378913</c:v>
                </c:pt>
                <c:pt idx="1289">
                  <c:v>23090347.13378913</c:v>
                </c:pt>
                <c:pt idx="1290">
                  <c:v>23090347.13378913</c:v>
                </c:pt>
                <c:pt idx="1291">
                  <c:v>23090347.13378913</c:v>
                </c:pt>
                <c:pt idx="1292">
                  <c:v>23090347.13378913</c:v>
                </c:pt>
                <c:pt idx="1293">
                  <c:v>23090347.13378913</c:v>
                </c:pt>
                <c:pt idx="1294">
                  <c:v>23090347.13378913</c:v>
                </c:pt>
                <c:pt idx="1295">
                  <c:v>23090347.13378913</c:v>
                </c:pt>
                <c:pt idx="1296">
                  <c:v>23090347.13378913</c:v>
                </c:pt>
                <c:pt idx="1297">
                  <c:v>23090347.13378913</c:v>
                </c:pt>
                <c:pt idx="1298">
                  <c:v>23090347.13378913</c:v>
                </c:pt>
                <c:pt idx="1299">
                  <c:v>23090347.13378913</c:v>
                </c:pt>
                <c:pt idx="1300">
                  <c:v>23090347.13378913</c:v>
                </c:pt>
                <c:pt idx="1301">
                  <c:v>23090347.13378913</c:v>
                </c:pt>
                <c:pt idx="1302">
                  <c:v>23090347.13378913</c:v>
                </c:pt>
                <c:pt idx="1303">
                  <c:v>23090347.13378913</c:v>
                </c:pt>
                <c:pt idx="1304">
                  <c:v>23090347.13378913</c:v>
                </c:pt>
                <c:pt idx="1305">
                  <c:v>23090347.13378913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EF-4F90-9163-E43F50AEA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026800"/>
        <c:axId val="464033280"/>
      </c:lineChart>
      <c:dateAx>
        <c:axId val="464026800"/>
        <c:scaling>
          <c:orientation val="minMax"/>
        </c:scaling>
        <c:delete val="0"/>
        <c:axPos val="b"/>
        <c:numFmt formatCode="yy\-mm" sourceLinked="0"/>
        <c:majorTickMark val="out"/>
        <c:minorTickMark val="none"/>
        <c:tickLblPos val="nextTo"/>
        <c:crossAx val="464033280"/>
        <c:crosses val="autoZero"/>
        <c:auto val="1"/>
        <c:lblOffset val="100"/>
        <c:baseTimeUnit val="days"/>
      </c:dateAx>
      <c:valAx>
        <c:axId val="46403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402680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 w="9525">
      <a:solidFill>
        <a:srgbClr val="E6E6E6"/>
      </a:solidFill>
    </a:ln>
  </c:spPr>
  <c:txPr>
    <a:bodyPr/>
    <a:lstStyle/>
    <a:p>
      <a:pPr>
        <a:defRPr sz="900">
          <a:latin typeface="Meiryo UI"/>
          <a:ea typeface="Meiryo UI"/>
          <a:cs typeface="Meiryo UI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100" b="1">
                <a:solidFill>
                  <a:srgbClr val="1F3864"/>
                </a:solidFill>
              </a:defRPr>
            </a:pPr>
            <a:r>
              <a:rPr lang="ja-JP"/>
              <a:t>イールドカーブ </a:t>
            </a:r>
            <a:r>
              <a:rPr lang="en-US"/>
              <a:t>(%) — </a:t>
            </a:r>
            <a:r>
              <a:rPr lang="ja-JP"/>
              <a:t>米国債 </a:t>
            </a:r>
            <a:r>
              <a:rPr lang="en-US"/>
              <a:t>vs JGB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イールドカーブ!$C$3</c:f>
              <c:strCache>
                <c:ptCount val="1"/>
                <c:pt idx="0">
                  <c:v>米国債%</c:v>
                </c:pt>
              </c:strCache>
            </c:strRef>
          </c:tx>
          <c:spPr>
            <a:ln w="25400">
              <a:solidFill>
                <a:srgbClr val="4472C4"/>
              </a:solidFill>
            </a:ln>
          </c:spPr>
          <c:marker>
            <c:symbol val="none"/>
          </c:marker>
          <c:cat>
            <c:strRef>
              <c:f>イールドカーブ!$B$4:$B$8</c:f>
              <c:strCache>
                <c:ptCount val="5"/>
                <c:pt idx="0">
                  <c:v>2Y</c:v>
                </c:pt>
                <c:pt idx="1">
                  <c:v>5Y</c:v>
                </c:pt>
                <c:pt idx="2">
                  <c:v>10Y</c:v>
                </c:pt>
                <c:pt idx="3">
                  <c:v>20Y</c:v>
                </c:pt>
                <c:pt idx="4">
                  <c:v>30Y</c:v>
                </c:pt>
              </c:strCache>
            </c:strRef>
          </c:cat>
          <c:val>
            <c:numRef>
              <c:f>イールドカーブ!$C$4:$C$8</c:f>
              <c:numCache>
                <c:formatCode>0.000</c:formatCode>
                <c:ptCount val="5"/>
                <c:pt idx="0">
                  <c:v>4.24</c:v>
                </c:pt>
                <c:pt idx="1">
                  <c:v>4.43</c:v>
                </c:pt>
                <c:pt idx="2">
                  <c:v>4.74</c:v>
                </c:pt>
                <c:pt idx="3">
                  <c:v>5.25</c:v>
                </c:pt>
                <c:pt idx="4">
                  <c:v>5.27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97-4E7D-A075-14309B891589}"/>
            </c:ext>
          </c:extLst>
        </c:ser>
        <c:ser>
          <c:idx val="1"/>
          <c:order val="1"/>
          <c:tx>
            <c:strRef>
              <c:f>イールドカーブ!$D$3</c:f>
              <c:strCache>
                <c:ptCount val="1"/>
                <c:pt idx="0">
                  <c:v>JGB%</c:v>
                </c:pt>
              </c:strCache>
            </c:strRef>
          </c:tx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cat>
            <c:strRef>
              <c:f>イールドカーブ!$B$4:$B$8</c:f>
              <c:strCache>
                <c:ptCount val="5"/>
                <c:pt idx="0">
                  <c:v>2Y</c:v>
                </c:pt>
                <c:pt idx="1">
                  <c:v>5Y</c:v>
                </c:pt>
                <c:pt idx="2">
                  <c:v>10Y</c:v>
                </c:pt>
                <c:pt idx="3">
                  <c:v>20Y</c:v>
                </c:pt>
                <c:pt idx="4">
                  <c:v>30Y</c:v>
                </c:pt>
              </c:strCache>
            </c:strRef>
          </c:cat>
          <c:val>
            <c:numRef>
              <c:f>イールドカーブ!$D$4:$D$8</c:f>
              <c:numCache>
                <c:formatCode>0.000</c:formatCode>
                <c:ptCount val="5"/>
                <c:pt idx="0">
                  <c:v>1.5069999999999999</c:v>
                </c:pt>
                <c:pt idx="2">
                  <c:v>2.8010000000000002</c:v>
                </c:pt>
                <c:pt idx="3">
                  <c:v>3.69</c:v>
                </c:pt>
                <c:pt idx="4">
                  <c:v>3.9820000000000002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97-4E7D-A075-14309B891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4054880"/>
        <c:axId val="464046240"/>
      </c:lineChart>
      <c:catAx>
        <c:axId val="464054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4046240"/>
        <c:crosses val="autoZero"/>
        <c:auto val="1"/>
        <c:lblAlgn val="ctr"/>
        <c:lblOffset val="100"/>
        <c:noMultiLvlLbl val="0"/>
      </c:catAx>
      <c:valAx>
        <c:axId val="464046240"/>
        <c:scaling>
          <c:orientation val="minMax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46405488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 w="9525">
      <a:solidFill>
        <a:srgbClr val="E6E6E6"/>
      </a:solidFill>
    </a:ln>
  </c:spPr>
  <c:txPr>
    <a:bodyPr/>
    <a:lstStyle/>
    <a:p>
      <a:pPr>
        <a:defRPr sz="900">
          <a:latin typeface="Meiryo UI"/>
          <a:ea typeface="Meiryo UI"/>
          <a:cs typeface="Meiryo UI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10"/>
  <c:chart>
    <c:title>
      <c:tx>
        <c:rich>
          <a:bodyPr/>
          <a:lstStyle/>
          <a:p>
            <a:pPr>
              <a:defRPr sz="1100" b="1">
                <a:solidFill>
                  <a:srgbClr val="1F3864"/>
                </a:solidFill>
              </a:defRPr>
            </a:pPr>
            <a:r>
              <a:t>UST ASWカーブ (bp)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ASW!$E$5</c:f>
              <c:strCache>
                <c:ptCount val="1"/>
                <c:pt idx="0">
                  <c:v>ASW(bp)</c:v>
                </c:pt>
              </c:strCache>
            </c:strRef>
          </c:tx>
          <c:spPr>
            <a:solidFill>
              <a:srgbClr val="4472C4"/>
            </a:solidFill>
            <a:ln>
              <a:prstDash val="solid"/>
            </a:ln>
          </c:spPr>
          <c:invertIfNegative val="1"/>
          <c:cat>
            <c:strRef>
              <c:f>ASW!$B$6:$B$10</c:f>
              <c:strCache>
                <c:ptCount val="5"/>
                <c:pt idx="0">
                  <c:v>2Y</c:v>
                </c:pt>
                <c:pt idx="1">
                  <c:v>3Y</c:v>
                </c:pt>
                <c:pt idx="2">
                  <c:v>5Y</c:v>
                </c:pt>
                <c:pt idx="3">
                  <c:v>7Y</c:v>
                </c:pt>
                <c:pt idx="4">
                  <c:v>10Y</c:v>
                </c:pt>
              </c:strCache>
            </c:strRef>
          </c:cat>
          <c:val>
            <c:numRef>
              <c:f>ASW!$E$6:$E$10</c:f>
              <c:numCache>
                <c:formatCode>0.0</c:formatCode>
                <c:ptCount val="5"/>
                <c:pt idx="0">
                  <c:v>14.310000000000016</c:v>
                </c:pt>
                <c:pt idx="1">
                  <c:v>20.100000000000048</c:v>
                </c:pt>
                <c:pt idx="2">
                  <c:v>26.750000000000039</c:v>
                </c:pt>
                <c:pt idx="3">
                  <c:v>33.359999999999985</c:v>
                </c:pt>
                <c:pt idx="4">
                  <c:v>38.390000000000022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9DC-454E-B334-C1E5185330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年限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bp</a:t>
                </a:r>
              </a:p>
            </c:rich>
          </c:tx>
          <c:overlay val="1"/>
        </c:title>
        <c:numFmt formatCode="0.0" sourceLinked="1"/>
        <c:majorTickMark val="none"/>
        <c:minorTickMark val="none"/>
        <c:tickLblPos val="nextTo"/>
        <c:crossAx val="10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1"/>
  </c:chart>
  <c:spPr>
    <a:ln w="9525">
      <a:solidFill>
        <a:srgbClr val="E6E6E6"/>
      </a:solidFill>
    </a:ln>
  </c:spPr>
  <c:txPr>
    <a:bodyPr/>
    <a:lstStyle/>
    <a:p>
      <a:pPr>
        <a:defRPr sz="900">
          <a:latin typeface="Meiryo UI"/>
          <a:ea typeface="Meiryo UI"/>
          <a:cs typeface="Meiryo UI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4</xdr:col>
      <xdr:colOff>863600</xdr:colOff>
      <xdr:row>42</xdr:row>
      <xdr:rowOff>20320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55808E34-E428-7AFB-3B89-339A8AD86E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4</xdr:col>
      <xdr:colOff>863600</xdr:colOff>
      <xdr:row>58</xdr:row>
      <xdr:rowOff>132080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F7267719-380A-01A1-994B-DAB12FCA6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26</xdr:row>
      <xdr:rowOff>0</xdr:rowOff>
    </xdr:from>
    <xdr:to>
      <xdr:col>15</xdr:col>
      <xdr:colOff>340360</xdr:colOff>
      <xdr:row>42</xdr:row>
      <xdr:rowOff>20320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6AEFEE61-2F9B-BF08-D6ED-229735F39E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</xdr:row>
      <xdr:rowOff>12700</xdr:rowOff>
    </xdr:from>
    <xdr:to>
      <xdr:col>3</xdr:col>
      <xdr:colOff>147320</xdr:colOff>
      <xdr:row>3</xdr:row>
      <xdr:rowOff>393700</xdr:rowOff>
    </xdr:to>
    <xdr:sp macro="UpdateData" textlink="">
      <xdr:nvSpPr>
        <xdr:cNvPr id="5" name="RVUpdateBtn">
          <a:extLst>
            <a:ext uri="{FF2B5EF4-FFF2-40B4-BE49-F238E27FC236}">
              <a16:creationId xmlns:a16="http://schemas.microsoft.com/office/drawing/2014/main" id="{ABEE237F-5598-32A7-C572-B313708ECA1F}"/>
            </a:ext>
          </a:extLst>
        </xdr:cNvPr>
        <xdr:cNvSpPr/>
      </xdr:nvSpPr>
      <xdr:spPr>
        <a:xfrm>
          <a:off x="205740" y="591820"/>
          <a:ext cx="3302000" cy="3810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300" b="1">
              <a:solidFill>
                <a:srgbClr val="FFFFFF"/>
              </a:solidFill>
            </a:rPr>
            <a:t>▶ データ更新</a:t>
          </a:r>
          <a:r>
            <a:rPr kumimoji="1" lang="en-US" altLang="ja-JP" sz="1300" b="1">
              <a:solidFill>
                <a:srgbClr val="FFFFFF"/>
              </a:solidFill>
            </a:rPr>
            <a:t>(</a:t>
          </a:r>
          <a:r>
            <a:rPr kumimoji="1" lang="ja-JP" altLang="en-US" sz="1300" b="1">
              <a:solidFill>
                <a:srgbClr val="FFFFFF"/>
              </a:solidFill>
            </a:rPr>
            <a:t>ヒストリカル取得</a:t>
          </a:r>
          <a:r>
            <a:rPr kumimoji="1" lang="en-US" altLang="ja-JP" sz="1300" b="1">
              <a:solidFill>
                <a:srgbClr val="FFFFFF"/>
              </a:solidFill>
            </a:rPr>
            <a:t>)</a:t>
          </a:r>
          <a:endParaRPr kumimoji="1" lang="ja-JP" altLang="en-US" sz="1300" b="1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2</xdr:row>
      <xdr:rowOff>0</xdr:rowOff>
    </xdr:from>
    <xdr:ext cx="864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8</xdr:row>
      <xdr:rowOff>0</xdr:rowOff>
    </xdr:from>
    <xdr:to>
      <xdr:col>19</xdr:col>
      <xdr:colOff>20320</xdr:colOff>
      <xdr:row>28</xdr:row>
      <xdr:rowOff>129540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EC4AEA6-0746-A3A1-0D0D-8AF187A453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13</xdr:col>
      <xdr:colOff>467360</xdr:colOff>
      <xdr:row>18</xdr:row>
      <xdr:rowOff>139700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2FD25C6-660B-DA0A-44C3-88F0A6D92F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5</xdr:row>
      <xdr:rowOff>0</xdr:rowOff>
    </xdr:from>
    <xdr:ext cx="648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595959"/>
  </sheetPr>
  <dimension ref="A1:C47"/>
  <sheetViews>
    <sheetView showGridLines="0" workbookViewId="0">
      <selection sqref="A1:B1"/>
    </sheetView>
  </sheetViews>
  <sheetFormatPr defaultRowHeight="14.4"/>
  <cols>
    <col min="1" max="1" width="3.6328125" customWidth="1"/>
    <col min="2" max="2" width="112.6328125" customWidth="1"/>
    <col min="3" max="3" width="46.6328125" customWidth="1"/>
  </cols>
  <sheetData>
    <row r="1" spans="1:2" ht="30" customHeight="1">
      <c r="A1" s="171" t="s">
        <v>537</v>
      </c>
      <c r="B1" s="170"/>
    </row>
    <row r="2" spans="1:2">
      <c r="A2" s="169" t="str">
        <f>"v3.0 / マクロ(VBA)でデータ更新 / 基準日 "&amp;TEXT(MAX(履歴データ!$A:$A),"yyyy-mm-dd")</f>
        <v>v3.0 / マクロ(VBA)でデータ更新 / 基準日 2026-08-21</v>
      </c>
      <c r="B2" s="170"/>
    </row>
    <row r="4" spans="1:2" ht="15.6">
      <c r="B4" s="54" t="s">
        <v>0</v>
      </c>
    </row>
    <row r="5" spans="1:2" ht="31.95" customHeight="1">
      <c r="B5" s="55" t="s">
        <v>536</v>
      </c>
    </row>
    <row r="7" spans="1:2" ht="15.6">
      <c r="B7" s="54" t="s">
        <v>1</v>
      </c>
    </row>
    <row r="8" spans="1:2" ht="46.05" customHeight="1">
      <c r="B8" s="55" t="s">
        <v>2</v>
      </c>
    </row>
    <row r="10" spans="1:2" ht="15.6">
      <c r="B10" s="54" t="s">
        <v>3</v>
      </c>
    </row>
    <row r="11" spans="1:2" ht="31.95" customHeight="1">
      <c r="B11" s="55" t="s">
        <v>4</v>
      </c>
    </row>
    <row r="13" spans="1:2" ht="15.6">
      <c r="B13" s="54" t="s">
        <v>5</v>
      </c>
    </row>
    <row r="14" spans="1:2" ht="46.05" customHeight="1">
      <c r="B14" s="55" t="s">
        <v>6</v>
      </c>
    </row>
    <row r="16" spans="1:2" ht="15.6">
      <c r="B16" s="54" t="s">
        <v>7</v>
      </c>
    </row>
    <row r="17" spans="2:3" ht="46.05" customHeight="1">
      <c r="B17" s="55" t="s">
        <v>8</v>
      </c>
    </row>
    <row r="19" spans="2:3" ht="15.6">
      <c r="B19" s="54" t="s">
        <v>9</v>
      </c>
    </row>
    <row r="20" spans="2:3" ht="31.95" customHeight="1">
      <c r="B20" s="55" t="s">
        <v>10</v>
      </c>
    </row>
    <row r="22" spans="2:3" ht="15.6">
      <c r="B22" s="54" t="s">
        <v>11</v>
      </c>
    </row>
    <row r="23" spans="2:3" ht="46.05" customHeight="1">
      <c r="B23" s="55" t="s">
        <v>12</v>
      </c>
    </row>
    <row r="25" spans="2:3" ht="15.6">
      <c r="B25" s="54" t="s">
        <v>13</v>
      </c>
    </row>
    <row r="26" spans="2:3" ht="46.05" customHeight="1">
      <c r="B26" s="55" t="s">
        <v>14</v>
      </c>
    </row>
    <row r="28" spans="2:3" ht="15.6">
      <c r="B28" s="54" t="s">
        <v>15</v>
      </c>
    </row>
    <row r="29" spans="2:3" ht="46.05" customHeight="1">
      <c r="B29" s="55" t="s">
        <v>16</v>
      </c>
    </row>
    <row r="31" spans="2:3" ht="18" customHeight="1">
      <c r="B31" s="57" t="s">
        <v>486</v>
      </c>
      <c r="C31" s="57"/>
    </row>
    <row r="32" spans="2:3">
      <c r="B32" s="58" t="s">
        <v>487</v>
      </c>
      <c r="C32" s="58" t="s">
        <v>488</v>
      </c>
    </row>
    <row r="33" spans="2:3">
      <c r="B33" s="60" t="s">
        <v>489</v>
      </c>
      <c r="C33" s="61" t="s">
        <v>490</v>
      </c>
    </row>
    <row r="34" spans="2:3">
      <c r="B34" s="63" t="s">
        <v>491</v>
      </c>
      <c r="C34" s="64" t="s">
        <v>492</v>
      </c>
    </row>
    <row r="35" spans="2:3">
      <c r="B35" s="60" t="s">
        <v>493</v>
      </c>
      <c r="C35" s="61" t="s">
        <v>494</v>
      </c>
    </row>
    <row r="36" spans="2:3">
      <c r="B36" s="63" t="s">
        <v>495</v>
      </c>
      <c r="C36" s="64" t="s">
        <v>496</v>
      </c>
    </row>
    <row r="37" spans="2:3">
      <c r="B37" s="60" t="s">
        <v>497</v>
      </c>
      <c r="C37" s="61" t="s">
        <v>498</v>
      </c>
    </row>
    <row r="38" spans="2:3">
      <c r="B38" s="63" t="s">
        <v>499</v>
      </c>
      <c r="C38" s="64" t="s">
        <v>500</v>
      </c>
    </row>
    <row r="39" spans="2:3">
      <c r="B39" s="60" t="s">
        <v>501</v>
      </c>
      <c r="C39" s="61" t="s">
        <v>502</v>
      </c>
    </row>
    <row r="40" spans="2:3">
      <c r="B40" s="63" t="s">
        <v>503</v>
      </c>
      <c r="C40" s="64" t="s">
        <v>504</v>
      </c>
    </row>
    <row r="41" spans="2:3">
      <c r="B41" s="60" t="s">
        <v>505</v>
      </c>
      <c r="C41" s="61" t="s">
        <v>506</v>
      </c>
    </row>
    <row r="42" spans="2:3">
      <c r="B42" s="63" t="s">
        <v>507</v>
      </c>
      <c r="C42" s="64" t="s">
        <v>508</v>
      </c>
    </row>
    <row r="43" spans="2:3">
      <c r="B43" s="60" t="s">
        <v>509</v>
      </c>
      <c r="C43" s="61" t="s">
        <v>510</v>
      </c>
    </row>
    <row r="44" spans="2:3">
      <c r="B44" s="63" t="s">
        <v>511</v>
      </c>
      <c r="C44" s="64" t="s">
        <v>512</v>
      </c>
    </row>
    <row r="45" spans="2:3">
      <c r="B45" s="60" t="s">
        <v>513</v>
      </c>
      <c r="C45" s="61" t="s">
        <v>514</v>
      </c>
    </row>
    <row r="46" spans="2:3">
      <c r="B46" s="63" t="s">
        <v>324</v>
      </c>
      <c r="C46" s="64" t="s">
        <v>515</v>
      </c>
    </row>
    <row r="47" spans="2:3">
      <c r="B47" s="60" t="s">
        <v>516</v>
      </c>
      <c r="C47" s="61" t="s">
        <v>517</v>
      </c>
    </row>
  </sheetData>
  <mergeCells count="2">
    <mergeCell ref="A2:B2"/>
    <mergeCell ref="A1:B1"/>
  </mergeCells>
  <phoneticPr fontId="1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3864"/>
  </sheetPr>
  <dimension ref="A1:H25"/>
  <sheetViews>
    <sheetView showGridLines="0" tabSelected="1" workbookViewId="0">
      <pane ySplit="2" topLeftCell="A3" activePane="bottomLeft" state="frozenSplit"/>
      <selection pane="bottomLeft" sqref="A1:H1"/>
    </sheetView>
  </sheetViews>
  <sheetFormatPr defaultRowHeight="14.4"/>
  <cols>
    <col min="1" max="1" width="3.1796875" customWidth="1"/>
    <col min="2" max="2" width="33.6328125" customWidth="1"/>
    <col min="3" max="4" width="13.6328125" customWidth="1"/>
    <col min="5" max="5" width="11.6328125" customWidth="1"/>
    <col min="6" max="6" width="21.6328125" customWidth="1"/>
    <col min="7" max="7" width="13.6328125" customWidth="1"/>
    <col min="8" max="8" width="8.6328125" customWidth="1"/>
  </cols>
  <sheetData>
    <row r="1" spans="1:8" ht="25.95" customHeight="1">
      <c r="A1" s="175" t="s">
        <v>538</v>
      </c>
      <c r="B1" s="170"/>
      <c r="C1" s="170"/>
      <c r="D1" s="170"/>
      <c r="E1" s="170"/>
      <c r="F1" s="170"/>
      <c r="G1" s="170"/>
      <c r="H1" s="170"/>
    </row>
    <row r="2" spans="1:8" ht="15" customHeight="1">
      <c r="A2" s="172" t="str">
        <f>"債券RV — 仮NAV・リスク指標・戦略サマリ / 基準日 "&amp;TEXT(MAX(履歴データ!$A:$A),"yyyy-mm-dd")</f>
        <v>債券RV — 仮NAV・リスク指標・戦略サマリ / 基準日 2026-08-21</v>
      </c>
      <c r="B2" s="170"/>
      <c r="C2" s="170"/>
      <c r="D2" s="170"/>
      <c r="E2" s="170"/>
      <c r="F2" s="170"/>
      <c r="G2" s="170"/>
      <c r="H2" s="170"/>
    </row>
    <row r="4" spans="1:8" ht="31.95" customHeight="1"/>
    <row r="5" spans="1:8">
      <c r="B5" s="169" t="s">
        <v>17</v>
      </c>
      <c r="C5" s="170"/>
      <c r="D5" s="170"/>
      <c r="E5" s="170"/>
      <c r="F5" s="170"/>
      <c r="G5" s="170"/>
      <c r="H5" s="170"/>
    </row>
    <row r="7" spans="1:8" ht="18" customHeight="1">
      <c r="B7" s="57" t="s">
        <v>18</v>
      </c>
      <c r="C7" s="57"/>
      <c r="D7" s="57"/>
      <c r="E7" s="57"/>
      <c r="F7" s="57"/>
      <c r="G7" s="57"/>
    </row>
    <row r="8" spans="1:8">
      <c r="B8" s="173" t="s">
        <v>19</v>
      </c>
      <c r="C8" s="174"/>
      <c r="D8" s="173" t="s">
        <v>20</v>
      </c>
      <c r="E8" s="174"/>
      <c r="F8" s="173" t="s">
        <v>21</v>
      </c>
      <c r="G8" s="174"/>
    </row>
    <row r="9" spans="1:8" ht="25.95" customHeight="1">
      <c r="B9" s="176">
        <f>INDEX(分析データ!$AE:$AE,MATCH(MAX(履歴データ!$A:$A),履歴データ!$A:$A,0))</f>
        <v>70.844544225831427</v>
      </c>
      <c r="C9" s="177"/>
      <c r="D9" s="178">
        <f>INDEX(分析データ!$AE:$AE,MATCH(MAX(履歴データ!$A:$A),履歴データ!$A:$A,0))/100-1</f>
        <v>-0.2915545577416857</v>
      </c>
      <c r="E9" s="179"/>
      <c r="F9" s="178">
        <f>(INDEX(分析データ!$AE:$AE,MATCH(MAX(履歴データ!$A:$A),履歴データ!$A:$A,0))/100)^(252/COUNT(分析データ!$A$2:$A$1307))-1</f>
        <v>-9.1036612114996807E-2</v>
      </c>
      <c r="G9" s="179"/>
    </row>
    <row r="10" spans="1:8">
      <c r="B10" s="173" t="s">
        <v>518</v>
      </c>
      <c r="C10" s="174"/>
      <c r="D10" s="173" t="s">
        <v>22</v>
      </c>
      <c r="E10" s="174"/>
      <c r="F10" s="173" t="s">
        <v>23</v>
      </c>
      <c r="G10" s="174"/>
    </row>
    <row r="11" spans="1:8" ht="25.95" customHeight="1">
      <c r="B11" s="182">
        <f>IFERROR(AVERAGE(分析データ!$AF$2:$AF$1307)/STDEV(分析データ!$AF$2:$AF$1307)*SQRT(252),0)</f>
        <v>-0.51887649959502924</v>
      </c>
      <c r="C11" s="183"/>
      <c r="D11" s="178">
        <f>MIN(分析データ!$AH$2:$AH$1307)</f>
        <v>-0.33427514737989039</v>
      </c>
      <c r="E11" s="179"/>
      <c r="F11" s="180">
        <f>-PERCENTILE(分析データ!$AD$2:$AD$1307,0.01)</f>
        <v>1.9573688387191515</v>
      </c>
      <c r="G11" s="181"/>
    </row>
    <row r="12" spans="1:8" ht="7.95" customHeight="1"/>
    <row r="13" spans="1:8" ht="6" customHeight="1"/>
    <row r="14" spans="1:8" ht="18" customHeight="1">
      <c r="B14" s="57" t="s">
        <v>24</v>
      </c>
      <c r="C14" s="57"/>
      <c r="D14" s="57"/>
      <c r="E14" s="57"/>
      <c r="F14" s="57"/>
      <c r="G14" s="57"/>
    </row>
    <row r="15" spans="1:8" ht="15">
      <c r="A15" s="1"/>
      <c r="B15" s="58" t="s">
        <v>25</v>
      </c>
      <c r="C15" s="58" t="s">
        <v>26</v>
      </c>
      <c r="D15" s="58" t="s">
        <v>27</v>
      </c>
      <c r="E15" s="58" t="s">
        <v>28</v>
      </c>
      <c r="F15" s="58" t="s">
        <v>29</v>
      </c>
      <c r="G15" s="58" t="s">
        <v>30</v>
      </c>
      <c r="H15" s="1"/>
    </row>
    <row r="16" spans="1:8" ht="16.95" customHeight="1">
      <c r="B16" s="2" t="s">
        <v>31</v>
      </c>
      <c r="C16" s="72">
        <f>INDEX(分析データ!$B:$B,MATCH(MAX(履歴データ!$A:$A),履歴データ!$A:$A,0))</f>
        <v>-1.499999999999968</v>
      </c>
      <c r="D16" s="73">
        <f ca="1">IFERROR((INDEX(分析データ!$B:$B,MATCH(MAX(履歴データ!$A:$A),履歴データ!$A:$A,0))-AVERAGE(OFFSET(分析データ!$B$1,MATCH(MAX(履歴データ!$A:$A),履歴データ!$A:$A,0)-252,0,252,1)))/STDEV(OFFSET(分析データ!$B$1,MATCH(MAX(履歴データ!$A:$A),履歴データ!$A:$A,0)-252,0,252,1)),0)</f>
        <v>0.36790771402049222</v>
      </c>
      <c r="E16" s="76" t="str">
        <f t="shared" ref="E16:E23" ca="1" si="0">IF(ABS(D16)&gt;=2,"★エントリー圏",IF(ABS(D16)&gt;=1,"様子見","中立"))</f>
        <v>中立</v>
      </c>
      <c r="F16" s="70" t="s">
        <v>32</v>
      </c>
      <c r="G16" s="78">
        <v>-5120</v>
      </c>
    </row>
    <row r="17" spans="2:7" ht="16.95" customHeight="1">
      <c r="B17" s="66" t="s">
        <v>33</v>
      </c>
      <c r="C17" s="74">
        <f>INDEX(分析データ!$C:$C,MATCH(MAX(履歴データ!$A:$A),履歴データ!$A:$A,0))</f>
        <v>5.6500000000000217</v>
      </c>
      <c r="D17" s="75">
        <f ca="1">IFERROR((INDEX(分析データ!$C:$C,MATCH(MAX(履歴データ!$A:$A),履歴データ!$A:$A,0))-AVERAGE(OFFSET(分析データ!$C$1,MATCH(MAX(履歴データ!$A:$A),履歴データ!$A:$A,0)-252,0,252,1)))/STDEV(OFFSET(分析データ!$C$1,MATCH(MAX(履歴データ!$A:$A),履歴データ!$A:$A,0)-252,0,252,1)),0)</f>
        <v>1.2693592638373694</v>
      </c>
      <c r="E17" s="77" t="str">
        <f t="shared" ca="1" si="0"/>
        <v>様子見</v>
      </c>
      <c r="F17" s="71" t="s">
        <v>34</v>
      </c>
      <c r="G17" s="79">
        <v>11513</v>
      </c>
    </row>
    <row r="18" spans="2:7" ht="16.95" customHeight="1">
      <c r="B18" s="2" t="s">
        <v>35</v>
      </c>
      <c r="C18" s="72">
        <f>INDEX(分析データ!$D:$D,MATCH(MAX(履歴データ!$A:$A),履歴データ!$A:$A,0))</f>
        <v>193.9</v>
      </c>
      <c r="D18" s="73">
        <f ca="1">IFERROR((INDEX(分析データ!$D:$D,MATCH(MAX(履歴データ!$A:$A),履歴データ!$A:$A,0))-AVERAGE(OFFSET(分析データ!$D$1,MATCH(MAX(履歴データ!$A:$A),履歴データ!$A:$A,0)-252,0,252,1)))/STDEV(OFFSET(分析データ!$D$1,MATCH(MAX(履歴データ!$A:$A),履歴データ!$A:$A,0)-252,0,252,1)),0)</f>
        <v>-0.5290011774998391</v>
      </c>
      <c r="E18" s="76" t="str">
        <f t="shared" ca="1" si="0"/>
        <v>中立</v>
      </c>
      <c r="F18" s="70" t="s">
        <v>36</v>
      </c>
      <c r="G18" s="80">
        <v>9895</v>
      </c>
    </row>
    <row r="19" spans="2:7" ht="16.95" customHeight="1">
      <c r="B19" s="66" t="s">
        <v>37</v>
      </c>
      <c r="C19" s="74">
        <f>INDEX(分析データ!$E:$E,MATCH(MAX(履歴データ!$A:$A),履歴データ!$A:$A,0))</f>
        <v>31.00000000000005</v>
      </c>
      <c r="D19" s="75">
        <f ca="1">IFERROR((INDEX(分析データ!$E:$E,MATCH(MAX(履歴データ!$A:$A),履歴データ!$A:$A,0))-AVERAGE(OFFSET(分析データ!$E$1,MATCH(MAX(履歴データ!$A:$A),履歴データ!$A:$A,0)-252,0,252,1)))/STDEV(OFFSET(分析データ!$E$1,MATCH(MAX(履歴データ!$A:$A),履歴データ!$A:$A,0)-252,0,252,1)),0)</f>
        <v>-1.0357517654511257</v>
      </c>
      <c r="E19" s="77" t="str">
        <f t="shared" ca="1" si="0"/>
        <v>様子見</v>
      </c>
      <c r="F19" s="71" t="s">
        <v>38</v>
      </c>
      <c r="G19" s="79">
        <v>1187</v>
      </c>
    </row>
    <row r="20" spans="2:7" ht="16.95" customHeight="1">
      <c r="B20" s="2" t="s">
        <v>39</v>
      </c>
      <c r="C20" s="73">
        <f>INDEX(分析データ!$H:$H,MATCH(MAX(履歴データ!$A:$A),履歴データ!$A:$A,0))</f>
        <v>158.88299560546875</v>
      </c>
      <c r="D20" s="73">
        <f ca="1">IFERROR((INDEX(分析データ!$H:$H,MATCH(MAX(履歴データ!$A:$A),履歴データ!$A:$A,0))-AVERAGE(OFFSET(分析データ!$H$1,MATCH(MAX(履歴データ!$A:$A),履歴データ!$A:$A,0)-252,0,252,1)))/STDEV(OFFSET(分析データ!$H$1,MATCH(MAX(履歴データ!$A:$A),履歴データ!$A:$A,0)-252,0,252,1)),0)</f>
        <v>0.57799871363017152</v>
      </c>
      <c r="E20" s="76" t="str">
        <f t="shared" ca="1" si="0"/>
        <v>中立</v>
      </c>
      <c r="F20" s="70" t="s">
        <v>40</v>
      </c>
      <c r="G20" s="78">
        <v>0</v>
      </c>
    </row>
    <row r="21" spans="2:7" ht="16.95" customHeight="1">
      <c r="B21" s="66" t="s">
        <v>41</v>
      </c>
      <c r="C21" s="75">
        <f>INDEX(分析データ!$I:$I,MATCH(MAX(履歴データ!$A:$A),履歴データ!$A:$A,0))</f>
        <v>108.265625</v>
      </c>
      <c r="D21" s="75">
        <f ca="1">IFERROR((INDEX(分析データ!$I:$I,MATCH(MAX(履歴データ!$A:$A),履歴データ!$A:$A,0))-AVERAGE(OFFSET(分析データ!$I$1,MATCH(MAX(履歴データ!$A:$A),履歴データ!$A:$A,0)-252,0,252,1)))/STDEV(OFFSET(分析データ!$I$1,MATCH(MAX(履歴データ!$A:$A),履歴データ!$A:$A,0)-252,0,252,1)),0)</f>
        <v>-1.964065034227447</v>
      </c>
      <c r="E21" s="77" t="str">
        <f t="shared" ca="1" si="0"/>
        <v>様子見</v>
      </c>
      <c r="F21" s="71" t="s">
        <v>38</v>
      </c>
      <c r="G21" s="79">
        <v>5469</v>
      </c>
    </row>
    <row r="22" spans="2:7" ht="16.95" customHeight="1">
      <c r="B22" s="2" t="s">
        <v>42</v>
      </c>
      <c r="C22" s="72">
        <f>INDEX(分析データ!$F:$F,MATCH(MAX(履歴データ!$A:$A),履歴データ!$A:$A,0))</f>
        <v>-341.1</v>
      </c>
      <c r="D22" s="73">
        <f ca="1">IFERROR((INDEX(分析データ!$F:$F,MATCH(MAX(履歴データ!$A:$A),履歴データ!$A:$A,0))-AVERAGE(OFFSET(分析データ!$F$1,MATCH(MAX(履歴データ!$A:$A),履歴データ!$A:$A,0)-252,0,252,1)))/STDEV(OFFSET(分析データ!$F$1,MATCH(MAX(履歴データ!$A:$A),履歴データ!$A:$A,0)-252,0,252,1)),0)</f>
        <v>-1.0465721718967862</v>
      </c>
      <c r="E22" s="76" t="str">
        <f t="shared" ca="1" si="0"/>
        <v>様子見</v>
      </c>
      <c r="F22" s="70" t="s">
        <v>38</v>
      </c>
      <c r="G22" s="78">
        <v>-7273</v>
      </c>
    </row>
    <row r="23" spans="2:7" ht="16.95" customHeight="1">
      <c r="B23" s="66" t="s">
        <v>43</v>
      </c>
      <c r="C23" s="74">
        <f>INDEX(分析データ!$G:$G,MATCH(MAX(履歴データ!$A:$A),履歴データ!$A:$A,0))</f>
        <v>144.81017858886699</v>
      </c>
      <c r="D23" s="75">
        <f ca="1">IFERROR((INDEX(分析データ!$G:$G,MATCH(MAX(履歴データ!$A:$A),履歴データ!$A:$A,0))-AVERAGE(OFFSET(分析データ!$G$1,MATCH(MAX(履歴データ!$A:$A),履歴データ!$A:$A,0)-252,0,252,1)))/STDEV(OFFSET(分析データ!$G$1,MATCH(MAX(履歴データ!$A:$A),履歴データ!$A:$A,0)-252,0,252,1)),0)</f>
        <v>0.66421169532955526</v>
      </c>
      <c r="E23" s="77" t="str">
        <f t="shared" ca="1" si="0"/>
        <v>中立</v>
      </c>
      <c r="F23" s="71" t="s">
        <v>38</v>
      </c>
      <c r="G23" s="79">
        <v>15403</v>
      </c>
    </row>
    <row r="25" spans="2:7">
      <c r="B25" s="53" t="s">
        <v>44</v>
      </c>
    </row>
  </sheetData>
  <mergeCells count="15">
    <mergeCell ref="F11:G11"/>
    <mergeCell ref="D10:E10"/>
    <mergeCell ref="B11:C11"/>
    <mergeCell ref="F10:G10"/>
    <mergeCell ref="D11:E11"/>
    <mergeCell ref="A2:H2"/>
    <mergeCell ref="B10:C10"/>
    <mergeCell ref="A1:H1"/>
    <mergeCell ref="B9:C9"/>
    <mergeCell ref="D9:E9"/>
    <mergeCell ref="B5:H5"/>
    <mergeCell ref="F9:G9"/>
    <mergeCell ref="F8:G8"/>
    <mergeCell ref="B8:C8"/>
    <mergeCell ref="D8:E8"/>
  </mergeCells>
  <phoneticPr fontId="1"/>
  <conditionalFormatting sqref="D16:D23">
    <cfRule type="colorScale" priority="1">
      <colorScale>
        <cfvo type="min"/>
        <cfvo type="percentile" val="50"/>
        <cfvo type="max"/>
        <color rgb="FF6B69F8"/>
        <color rgb="FFFFFFFF"/>
        <color rgb="FF5A8AC6"/>
      </colorScale>
    </cfRule>
  </conditionalFormatting>
  <conditionalFormatting sqref="D9:E9">
    <cfRule type="cellIs" dxfId="17" priority="2" stopIfTrue="1" operator="lessThan">
      <formula>0</formula>
    </cfRule>
  </conditionalFormatting>
  <conditionalFormatting sqref="F9:G9">
    <cfRule type="cellIs" dxfId="16" priority="3" stopIfTrue="1" operator="lessThan">
      <formula>0</formula>
    </cfRule>
  </conditionalFormatting>
  <conditionalFormatting sqref="B11:C11">
    <cfRule type="cellIs" dxfId="15" priority="4" stopIfTrue="1" operator="lessThan">
      <formula>0</formula>
    </cfRule>
  </conditionalFormatting>
  <conditionalFormatting sqref="D11:E11">
    <cfRule type="cellIs" dxfId="14" priority="5" stopIfTrue="1" operator="lessThan">
      <formula>0</formula>
    </cfRule>
  </conditionalFormatting>
  <conditionalFormatting sqref="G16:G23">
    <cfRule type="cellIs" dxfId="13" priority="6" stopIfTrue="1" operator="lessThan">
      <formula>0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4472C4"/>
  </sheetPr>
  <dimension ref="A1:F13"/>
  <sheetViews>
    <sheetView showGridLines="0" workbookViewId="0">
      <selection sqref="A1:F1"/>
    </sheetView>
  </sheetViews>
  <sheetFormatPr defaultRowHeight="14.4"/>
  <cols>
    <col min="1" max="1" width="2.6328125" customWidth="1"/>
    <col min="2" max="2" width="26.6328125" customWidth="1"/>
    <col min="3" max="3" width="34.6328125" customWidth="1"/>
    <col min="4" max="5" width="38.6328125" customWidth="1"/>
    <col min="6" max="6" width="13.6328125" customWidth="1"/>
  </cols>
  <sheetData>
    <row r="1" spans="1:6" ht="25.95" customHeight="1">
      <c r="A1" s="175" t="s">
        <v>45</v>
      </c>
      <c r="B1" s="170"/>
      <c r="C1" s="170"/>
      <c r="D1" s="170"/>
      <c r="E1" s="170"/>
      <c r="F1" s="170"/>
    </row>
    <row r="2" spans="1:6" ht="15" customHeight="1">
      <c r="A2" s="172" t="s">
        <v>46</v>
      </c>
      <c r="B2" s="170"/>
      <c r="C2" s="170"/>
      <c r="D2" s="170"/>
      <c r="E2" s="170"/>
      <c r="F2" s="170"/>
    </row>
    <row r="3" spans="1:6" ht="15">
      <c r="A3" s="1"/>
      <c r="B3" s="58" t="s">
        <v>25</v>
      </c>
      <c r="C3" s="58" t="s">
        <v>522</v>
      </c>
      <c r="D3" s="58" t="s">
        <v>523</v>
      </c>
      <c r="E3" s="58" t="s">
        <v>524</v>
      </c>
      <c r="F3" s="58" t="s">
        <v>30</v>
      </c>
    </row>
    <row r="4" spans="1:6" ht="42" customHeight="1">
      <c r="B4" s="85" t="s">
        <v>31</v>
      </c>
      <c r="C4" s="8" t="s">
        <v>47</v>
      </c>
      <c r="D4" s="8" t="s">
        <v>48</v>
      </c>
      <c r="E4" s="8" t="s">
        <v>49</v>
      </c>
      <c r="F4" s="90">
        <v>-5120</v>
      </c>
    </row>
    <row r="5" spans="1:6" ht="42" customHeight="1">
      <c r="B5" s="86" t="s">
        <v>33</v>
      </c>
      <c r="C5" s="84" t="s">
        <v>50</v>
      </c>
      <c r="D5" s="84" t="s">
        <v>51</v>
      </c>
      <c r="E5" s="84" t="s">
        <v>52</v>
      </c>
      <c r="F5" s="91">
        <v>11513</v>
      </c>
    </row>
    <row r="6" spans="1:6" ht="42" customHeight="1">
      <c r="B6" s="85" t="s">
        <v>35</v>
      </c>
      <c r="C6" s="8" t="s">
        <v>53</v>
      </c>
      <c r="D6" s="8" t="s">
        <v>54</v>
      </c>
      <c r="E6" s="8" t="s">
        <v>55</v>
      </c>
      <c r="F6" s="92">
        <v>9895</v>
      </c>
    </row>
    <row r="7" spans="1:6" ht="42" customHeight="1">
      <c r="B7" s="86" t="s">
        <v>37</v>
      </c>
      <c r="C7" s="84" t="s">
        <v>56</v>
      </c>
      <c r="D7" s="84" t="s">
        <v>57</v>
      </c>
      <c r="E7" s="84" t="s">
        <v>58</v>
      </c>
      <c r="F7" s="91">
        <v>1187</v>
      </c>
    </row>
    <row r="8" spans="1:6" ht="42" customHeight="1">
      <c r="B8" s="85" t="s">
        <v>39</v>
      </c>
      <c r="C8" s="8" t="s">
        <v>59</v>
      </c>
      <c r="D8" s="8" t="s">
        <v>60</v>
      </c>
      <c r="E8" s="8" t="s">
        <v>61</v>
      </c>
      <c r="F8" s="90">
        <v>0</v>
      </c>
    </row>
    <row r="9" spans="1:6" ht="42" customHeight="1">
      <c r="B9" s="86" t="s">
        <v>41</v>
      </c>
      <c r="C9" s="84" t="s">
        <v>539</v>
      </c>
      <c r="D9" s="84" t="s">
        <v>62</v>
      </c>
      <c r="E9" s="84" t="s">
        <v>63</v>
      </c>
      <c r="F9" s="91">
        <v>5469</v>
      </c>
    </row>
    <row r="10" spans="1:6" ht="42" customHeight="1">
      <c r="B10" s="85" t="s">
        <v>42</v>
      </c>
      <c r="C10" s="8" t="s">
        <v>64</v>
      </c>
      <c r="D10" s="8" t="s">
        <v>65</v>
      </c>
      <c r="E10" s="8" t="s">
        <v>66</v>
      </c>
      <c r="F10" s="90">
        <v>-7273</v>
      </c>
    </row>
    <row r="11" spans="1:6" ht="42" customHeight="1">
      <c r="B11" s="86" t="s">
        <v>43</v>
      </c>
      <c r="C11" s="84" t="s">
        <v>67</v>
      </c>
      <c r="D11" s="84" t="s">
        <v>68</v>
      </c>
      <c r="E11" s="84" t="s">
        <v>69</v>
      </c>
      <c r="F11" s="91">
        <v>15403</v>
      </c>
    </row>
    <row r="13" spans="1:6">
      <c r="B13" s="53" t="s">
        <v>70</v>
      </c>
    </row>
  </sheetData>
  <mergeCells count="2">
    <mergeCell ref="A2:F2"/>
    <mergeCell ref="A1:F1"/>
  </mergeCells>
  <phoneticPr fontId="1"/>
  <conditionalFormatting sqref="F4:F11">
    <cfRule type="cellIs" dxfId="12" priority="1" stopIfTrue="1" operator="lessThan">
      <formula>0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55A11"/>
  </sheetPr>
  <dimension ref="A1:K12"/>
  <sheetViews>
    <sheetView showGridLines="0" workbookViewId="0">
      <selection sqref="A1:K1"/>
    </sheetView>
  </sheetViews>
  <sheetFormatPr defaultRowHeight="14.4"/>
  <cols>
    <col min="1" max="1" width="2.6328125" customWidth="1"/>
    <col min="2" max="2" width="30.6328125" customWidth="1"/>
    <col min="3" max="5" width="11.6328125" customWidth="1"/>
    <col min="6" max="9" width="10.6328125" customWidth="1"/>
    <col min="10" max="10" width="56.6328125" customWidth="1"/>
    <col min="11" max="11" width="39.81640625" customWidth="1"/>
  </cols>
  <sheetData>
    <row r="1" spans="1:11" ht="25.95" customHeight="1">
      <c r="A1" s="175" t="s">
        <v>71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</row>
    <row r="2" spans="1:11" ht="15" customHeight="1">
      <c r="A2" s="172" t="s">
        <v>72</v>
      </c>
      <c r="B2" s="170"/>
      <c r="C2" s="170"/>
      <c r="D2" s="170"/>
      <c r="E2" s="170"/>
      <c r="F2" s="170"/>
      <c r="G2" s="170"/>
      <c r="H2" s="170"/>
      <c r="I2" s="170"/>
      <c r="J2" s="170"/>
      <c r="K2" s="170"/>
    </row>
    <row r="3" spans="1:11" ht="15">
      <c r="A3" s="1"/>
      <c r="B3" s="1"/>
      <c r="C3" s="1"/>
      <c r="D3" s="1"/>
      <c r="E3" s="1"/>
      <c r="F3" s="1"/>
      <c r="G3" s="1"/>
      <c r="H3" s="1"/>
      <c r="I3" s="1"/>
      <c r="J3" s="1"/>
    </row>
    <row r="4" spans="1:11" ht="31.95" customHeight="1">
      <c r="B4" s="85" t="s">
        <v>31</v>
      </c>
      <c r="C4" s="24">
        <f>INDEX(分析データ!$B:$B,MATCH(MAX(履歴データ!$A:$A),履歴データ!$A:$A,0))</f>
        <v>-1.499999999999968</v>
      </c>
      <c r="D4" s="24">
        <f ca="1">AVERAGE(OFFSET(分析データ!$B$1,MATCH(MAX(履歴データ!$A:$A),履歴データ!$A:$A,0)-252,0,252,1))</f>
        <v>-2.6130952380952399</v>
      </c>
      <c r="E4" s="24">
        <f ca="1">STDEV(OFFSET(分析データ!$B$1,MATCH(MAX(履歴データ!$A:$A),履歴データ!$A:$A,0)-252,0,252,1))</f>
        <v>3.0254740405722322</v>
      </c>
      <c r="F4" s="93">
        <f ca="1">IFERROR((INDEX(分析データ!$B:$B,MATCH(MAX(履歴データ!$A:$A),履歴データ!$A:$A,0))-AVERAGE(OFFSET(分析データ!$B$1,MATCH(MAX(履歴データ!$A:$A),履歴データ!$A:$A,0)-252,0,252,1)))/STDEV(OFFSET(分析データ!$B$1,MATCH(MAX(履歴データ!$A:$A),履歴データ!$A:$A,0)-252,0,252,1)),0)</f>
        <v>0.36790771402049222</v>
      </c>
      <c r="G4" s="24">
        <f ca="1">AVERAGE(OFFSET(分析データ!$B$1,MATCH(MAX(履歴データ!$A:$A),履歴データ!$A:$A,0)-252,0,252,1))+2*STDEV(OFFSET(分析データ!$B$1,MATCH(MAX(履歴データ!$A:$A),履歴データ!$A:$A,0)-252,0,252,1))</f>
        <v>3.4378528430492246</v>
      </c>
      <c r="H4" s="24">
        <f ca="1">AVERAGE(OFFSET(分析データ!$B$1,MATCH(MAX(履歴データ!$A:$A),履歴データ!$A:$A,0)-252,0,252,1))-2*STDEV(OFFSET(分析データ!$B$1,MATCH(MAX(履歴データ!$A:$A),履歴データ!$A:$A,0)-252,0,252,1))</f>
        <v>-8.6640433192397044</v>
      </c>
      <c r="I4" s="76" t="str">
        <f t="shared" ref="I4:I9" ca="1" si="0">IF(ABS(F4)&gt;=2,"★エントリー圏",IF(ABS(F4)&gt;=1,"様子見","中立"))</f>
        <v>中立</v>
      </c>
      <c r="J4" s="95" t="s">
        <v>73</v>
      </c>
    </row>
    <row r="5" spans="1:11" ht="31.95" customHeight="1">
      <c r="B5" s="86" t="s">
        <v>33</v>
      </c>
      <c r="C5" s="83">
        <f>INDEX(分析データ!$C:$C,MATCH(MAX(履歴データ!$A:$A),履歴データ!$A:$A,0))</f>
        <v>5.6500000000000217</v>
      </c>
      <c r="D5" s="83">
        <f ca="1">AVERAGE(OFFSET(分析データ!$C$1,MATCH(MAX(履歴データ!$A:$A),履歴データ!$A:$A,0)-252,0,252,1))</f>
        <v>-14.760714285714291</v>
      </c>
      <c r="E5" s="83">
        <f ca="1">STDEV(OFFSET(分析データ!$C$1,MATCH(MAX(履歴データ!$A:$A),履歴データ!$A:$A,0)-252,0,252,1))</f>
        <v>16.079540967788091</v>
      </c>
      <c r="F5" s="94">
        <f ca="1">IFERROR((INDEX(分析データ!$C:$C,MATCH(MAX(履歴データ!$A:$A),履歴データ!$A:$A,0))-AVERAGE(OFFSET(分析データ!$C$1,MATCH(MAX(履歴データ!$A:$A),履歴データ!$A:$A,0)-252,0,252,1)))/STDEV(OFFSET(分析データ!$C$1,MATCH(MAX(履歴データ!$A:$A),履歴データ!$A:$A,0)-252,0,252,1)),0)</f>
        <v>1.2693592638373694</v>
      </c>
      <c r="G5" s="83">
        <f ca="1">AVERAGE(OFFSET(分析データ!$C$1,MATCH(MAX(履歴データ!$A:$A),履歴データ!$A:$A,0)-252,0,252,1))+2*STDEV(OFFSET(分析データ!$C$1,MATCH(MAX(履歴データ!$A:$A),履歴データ!$A:$A,0)-252,0,252,1))</f>
        <v>17.398367649861889</v>
      </c>
      <c r="H5" s="83">
        <f ca="1">AVERAGE(OFFSET(分析データ!$C$1,MATCH(MAX(履歴データ!$A:$A),履歴データ!$A:$A,0)-252,0,252,1))-2*STDEV(OFFSET(分析データ!$C$1,MATCH(MAX(履歴データ!$A:$A),履歴データ!$A:$A,0)-252,0,252,1))</f>
        <v>-46.919796221290476</v>
      </c>
      <c r="I5" s="77" t="str">
        <f t="shared" ca="1" si="0"/>
        <v>様子見</v>
      </c>
      <c r="J5" s="96" t="s">
        <v>74</v>
      </c>
    </row>
    <row r="6" spans="1:11" ht="31.95" customHeight="1">
      <c r="B6" s="85" t="s">
        <v>75</v>
      </c>
      <c r="C6" s="24">
        <f>INDEX(分析データ!$D:$D,MATCH(MAX(履歴データ!$A:$A),履歴データ!$A:$A,0))</f>
        <v>193.9</v>
      </c>
      <c r="D6" s="24">
        <f ca="1">AVERAGE(OFFSET(分析データ!$D$1,MATCH(MAX(履歴データ!$A:$A),履歴データ!$A:$A,0)-252,0,252,1))</f>
        <v>207.40357142857158</v>
      </c>
      <c r="E6" s="24">
        <f ca="1">STDEV(OFFSET(分析データ!$D$1,MATCH(MAX(履歴データ!$A:$A),履歴データ!$A:$A,0)-252,0,252,1))</f>
        <v>25.526543234538796</v>
      </c>
      <c r="F6" s="93">
        <f ca="1">IFERROR((INDEX(分析データ!$D:$D,MATCH(MAX(履歴データ!$A:$A),履歴データ!$A:$A,0))-AVERAGE(OFFSET(分析データ!$D$1,MATCH(MAX(履歴データ!$A:$A),履歴データ!$A:$A,0)-252,0,252,1)))/STDEV(OFFSET(分析データ!$D$1,MATCH(MAX(履歴データ!$A:$A),履歴データ!$A:$A,0)-252,0,252,1)),0)</f>
        <v>-0.5290011774998391</v>
      </c>
      <c r="G6" s="24">
        <f ca="1">AVERAGE(OFFSET(分析データ!$D$1,MATCH(MAX(履歴データ!$A:$A),履歴データ!$A:$A,0)-252,0,252,1))+2*STDEV(OFFSET(分析データ!$D$1,MATCH(MAX(履歴データ!$A:$A),履歴データ!$A:$A,0)-252,0,252,1))</f>
        <v>258.45665789764917</v>
      </c>
      <c r="H6" s="24">
        <f ca="1">AVERAGE(OFFSET(分析データ!$D$1,MATCH(MAX(履歴データ!$A:$A),履歴データ!$A:$A,0)-252,0,252,1))-2*STDEV(OFFSET(分析データ!$D$1,MATCH(MAX(履歴データ!$A:$A),履歴データ!$A:$A,0)-252,0,252,1))</f>
        <v>156.350484959494</v>
      </c>
      <c r="I6" s="76" t="str">
        <f t="shared" ca="1" si="0"/>
        <v>中立</v>
      </c>
      <c r="J6" s="95" t="s">
        <v>76</v>
      </c>
    </row>
    <row r="7" spans="1:11" ht="31.95" customHeight="1">
      <c r="B7" s="86" t="s">
        <v>77</v>
      </c>
      <c r="C7" s="83">
        <f>INDEX(分析データ!$E:$E,MATCH(MAX(履歴データ!$A:$A),履歴データ!$A:$A,0))</f>
        <v>31.00000000000005</v>
      </c>
      <c r="D7" s="83">
        <f ca="1">AVERAGE(OFFSET(分析データ!$E$1,MATCH(MAX(履歴データ!$A:$A),履歴データ!$A:$A,0)-252,0,252,1))</f>
        <v>38.543650793650791</v>
      </c>
      <c r="E7" s="83">
        <f ca="1">STDEV(OFFSET(分析データ!$E$1,MATCH(MAX(履歴データ!$A:$A),履歴データ!$A:$A,0)-252,0,252,1))</f>
        <v>7.2832613424173847</v>
      </c>
      <c r="F7" s="94">
        <f ca="1">IFERROR((INDEX(分析データ!$E:$E,MATCH(MAX(履歴データ!$A:$A),履歴データ!$A:$A,0))-AVERAGE(OFFSET(分析データ!$E$1,MATCH(MAX(履歴データ!$A:$A),履歴データ!$A:$A,0)-252,0,252,1)))/STDEV(OFFSET(分析データ!$E$1,MATCH(MAX(履歴データ!$A:$A),履歴データ!$A:$A,0)-252,0,252,1)),0)</f>
        <v>-1.0357517654511257</v>
      </c>
      <c r="G7" s="83">
        <f ca="1">AVERAGE(OFFSET(分析データ!$E$1,MATCH(MAX(履歴データ!$A:$A),履歴データ!$A:$A,0)-252,0,252,1))+2*STDEV(OFFSET(分析データ!$E$1,MATCH(MAX(履歴データ!$A:$A),履歴データ!$A:$A,0)-252,0,252,1))</f>
        <v>53.110173478485564</v>
      </c>
      <c r="H7" s="83">
        <f ca="1">AVERAGE(OFFSET(分析データ!$E$1,MATCH(MAX(履歴データ!$A:$A),履歴データ!$A:$A,0)-252,0,252,1))-2*STDEV(OFFSET(分析データ!$E$1,MATCH(MAX(履歴データ!$A:$A),履歴データ!$A:$A,0)-252,0,252,1))</f>
        <v>23.977128108816022</v>
      </c>
      <c r="I7" s="77" t="str">
        <f t="shared" ca="1" si="0"/>
        <v>様子見</v>
      </c>
      <c r="J7" s="96" t="s">
        <v>78</v>
      </c>
    </row>
    <row r="8" spans="1:11" ht="31.95" customHeight="1">
      <c r="B8" s="85" t="s">
        <v>79</v>
      </c>
      <c r="C8" s="24">
        <f>INDEX(分析データ!$F:$F,MATCH(MAX(履歴データ!$A:$A),履歴データ!$A:$A,0))</f>
        <v>-341.1</v>
      </c>
      <c r="D8" s="24">
        <f ca="1">AVERAGE(OFFSET(分析データ!$F$1,MATCH(MAX(履歴データ!$A:$A),履歴データ!$A:$A,0)-252,0,252,1))</f>
        <v>-326.14150793650811</v>
      </c>
      <c r="E8" s="24">
        <f ca="1">STDEV(OFFSET(分析データ!$F$1,MATCH(MAX(履歴データ!$A:$A),履歴データ!$A:$A,0)-252,0,252,1))</f>
        <v>14.292843308055334</v>
      </c>
      <c r="F8" s="93">
        <f ca="1">IFERROR((INDEX(分析データ!$F:$F,MATCH(MAX(履歴データ!$A:$A),履歴データ!$A:$A,0))-AVERAGE(OFFSET(分析データ!$F$1,MATCH(MAX(履歴データ!$A:$A),履歴データ!$A:$A,0)-252,0,252,1)))/STDEV(OFFSET(分析データ!$F$1,MATCH(MAX(履歴データ!$A:$A),履歴データ!$A:$A,0)-252,0,252,1)),0)</f>
        <v>-1.0465721718967862</v>
      </c>
      <c r="G8" s="24">
        <f ca="1">AVERAGE(OFFSET(分析データ!$F$1,MATCH(MAX(履歴データ!$A:$A),履歴データ!$A:$A,0)-252,0,252,1))+2*STDEV(OFFSET(分析データ!$F$1,MATCH(MAX(履歴データ!$A:$A),履歴データ!$A:$A,0)-252,0,252,1))</f>
        <v>-297.55582132039746</v>
      </c>
      <c r="H8" s="24">
        <f ca="1">AVERAGE(OFFSET(分析データ!$F$1,MATCH(MAX(履歴データ!$A:$A),履歴データ!$A:$A,0)-252,0,252,1))-2*STDEV(OFFSET(分析データ!$F$1,MATCH(MAX(履歴データ!$A:$A),履歴データ!$A:$A,0)-252,0,252,1))</f>
        <v>-354.72719455261876</v>
      </c>
      <c r="I8" s="76" t="str">
        <f t="shared" ca="1" si="0"/>
        <v>様子見</v>
      </c>
      <c r="J8" s="95" t="s">
        <v>80</v>
      </c>
    </row>
    <row r="9" spans="1:11" ht="31.95" customHeight="1">
      <c r="B9" s="86" t="s">
        <v>81</v>
      </c>
      <c r="C9" s="83">
        <f>INDEX(分析データ!$G:$G,MATCH(MAX(履歴データ!$A:$A),履歴データ!$A:$A,0))</f>
        <v>144.81017858886699</v>
      </c>
      <c r="D9" s="83">
        <f ca="1">AVERAGE(OFFSET(分析データ!$G$1,MATCH(MAX(履歴データ!$A:$A),履歴データ!$A:$A,0)-252,0,252,1))</f>
        <v>125.30511947438069</v>
      </c>
      <c r="E9" s="83">
        <f ca="1">STDEV(OFFSET(分析データ!$G$1,MATCH(MAX(履歴データ!$A:$A),履歴データ!$A:$A,0)-252,0,252,1))</f>
        <v>29.365726697734026</v>
      </c>
      <c r="F9" s="94">
        <f ca="1">IFERROR((INDEX(分析データ!$G:$G,MATCH(MAX(履歴データ!$A:$A),履歴データ!$A:$A,0))-AVERAGE(OFFSET(分析データ!$G$1,MATCH(MAX(履歴データ!$A:$A),履歴データ!$A:$A,0)-252,0,252,1)))/STDEV(OFFSET(分析データ!$G$1,MATCH(MAX(履歴データ!$A:$A),履歴データ!$A:$A,0)-252,0,252,1)),0)</f>
        <v>0.66421169532955526</v>
      </c>
      <c r="G9" s="83">
        <f ca="1">AVERAGE(OFFSET(分析データ!$G$1,MATCH(MAX(履歴データ!$A:$A),履歴データ!$A:$A,0)-252,0,252,1))+2*STDEV(OFFSET(分析データ!$G$1,MATCH(MAX(履歴データ!$A:$A),履歴データ!$A:$A,0)-252,0,252,1))</f>
        <v>184.03657286984873</v>
      </c>
      <c r="H9" s="83">
        <f ca="1">AVERAGE(OFFSET(分析データ!$G$1,MATCH(MAX(履歴データ!$A:$A),履歴データ!$A:$A,0)-252,0,252,1))-2*STDEV(OFFSET(分析データ!$G$1,MATCH(MAX(履歴データ!$A:$A),履歴データ!$A:$A,0)-252,0,252,1))</f>
        <v>66.573666078912638</v>
      </c>
      <c r="I9" s="77" t="str">
        <f t="shared" ca="1" si="0"/>
        <v>中立</v>
      </c>
      <c r="J9" s="96" t="s">
        <v>82</v>
      </c>
    </row>
    <row r="11" spans="1:11">
      <c r="B11" s="53" t="s">
        <v>83</v>
      </c>
    </row>
    <row r="12" spans="1:11">
      <c r="B12" s="53" t="s">
        <v>84</v>
      </c>
    </row>
  </sheetData>
  <mergeCells count="2">
    <mergeCell ref="A2:K2"/>
    <mergeCell ref="A1:K1"/>
  </mergeCells>
  <phoneticPr fontId="1"/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714C-F42D-4600-8FCB-D2DD1F3C9C11}">
  <sheetPr codeName="Sheet16">
    <tabColor rgb="FFED7D31"/>
  </sheetPr>
  <dimension ref="B1:CH1307"/>
  <sheetViews>
    <sheetView showGridLines="0" workbookViewId="0"/>
  </sheetViews>
  <sheetFormatPr defaultRowHeight="14.4"/>
  <cols>
    <col min="2" max="2" width="26.6328125" customWidth="1"/>
    <col min="3" max="9" width="14.6328125" customWidth="1"/>
    <col min="46" max="85" width="0" hidden="1" customWidth="1"/>
    <col min="86" max="86" width="11.54296875" hidden="1" customWidth="1"/>
  </cols>
  <sheetData>
    <row r="1" spans="2:86" ht="18.600000000000001">
      <c r="B1" s="97" t="s">
        <v>459</v>
      </c>
      <c r="AW1">
        <v>0</v>
      </c>
      <c r="AX1">
        <v>0</v>
      </c>
      <c r="AY1">
        <v>0</v>
      </c>
      <c r="BC1">
        <v>0</v>
      </c>
      <c r="BD1">
        <v>0</v>
      </c>
      <c r="BE1">
        <v>0</v>
      </c>
      <c r="BI1">
        <v>0</v>
      </c>
      <c r="BJ1">
        <v>0</v>
      </c>
      <c r="BK1">
        <v>0</v>
      </c>
      <c r="BO1">
        <v>0</v>
      </c>
      <c r="BP1">
        <v>0</v>
      </c>
      <c r="BQ1">
        <v>0</v>
      </c>
      <c r="BU1">
        <v>0</v>
      </c>
      <c r="BV1">
        <v>0</v>
      </c>
      <c r="BW1">
        <v>0</v>
      </c>
      <c r="CA1">
        <v>0</v>
      </c>
      <c r="CB1">
        <v>0</v>
      </c>
      <c r="CC1">
        <v>0</v>
      </c>
      <c r="CE1">
        <v>0</v>
      </c>
      <c r="CF1">
        <v>0</v>
      </c>
      <c r="CG1">
        <v>0</v>
      </c>
    </row>
    <row r="2" spans="2:86">
      <c r="B2" s="53" t="s">
        <v>460</v>
      </c>
      <c r="AT2" t="str">
        <f ca="1">IF(ROW()&lt;($C$7+1),"",IFERROR((分析データ!B2-AVERAGE(OFFSET(分析データ!B$1,MAX(1,ROW()-$C$7),0,MIN($C$7,ROW()-1),1)))/STDEV(OFFSET(分析データ!B$1,MAX(1,ROW()-$C$7),0,MIN($C$7,ROW()-1),1)),0))</f>
        <v/>
      </c>
      <c r="AU2">
        <f t="shared" ref="AU2:AU65" ca="1" si="0">IF(ISNUMBER(AT2),IF(ABS(AT2)&gt;=$C$6,1,0),0)</f>
        <v>0</v>
      </c>
      <c r="AV2" t="str">
        <f ca="1">IF(AU2=1,IF(INDEX(分析データ!$A:$A,ROW()+$C$5)&lt;&gt;"",80000*SIGN(AT2)*(分析データ!B2-INDEX(分析データ!B:B,ROW()+$C$5)),""),"")</f>
        <v/>
      </c>
      <c r="AW2">
        <f t="shared" ref="AW2:AW65" ca="1" si="1">AW1+IF(AND(AU2=1,ISNUMBER(AV2)),AV2,0)</f>
        <v>0</v>
      </c>
      <c r="AX2">
        <f t="shared" ref="AX2:AX65" ca="1" si="2">MAX(AX1,AW2)</f>
        <v>0</v>
      </c>
      <c r="AY2">
        <f t="shared" ref="AY2:AY65" ca="1" si="3">AW2-AX2</f>
        <v>0</v>
      </c>
      <c r="AZ2" t="str">
        <f ca="1">IF(ROW()&lt;($C$7+1),"",IFERROR((分析データ!C2-AVERAGE(OFFSET(分析データ!C$1,MAX(1,ROW()-$C$7),0,MIN($C$7,ROW()-1),1)))/STDEV(OFFSET(分析データ!C$1,MAX(1,ROW()-$C$7),0,MIN($C$7,ROW()-1),1)),0))</f>
        <v/>
      </c>
      <c r="BA2">
        <f t="shared" ref="BA2:BA65" ca="1" si="4">IF(ISNUMBER(AZ2),IF(ABS(AZ2)&gt;=$C$6,1,0),0)</f>
        <v>0</v>
      </c>
      <c r="BB2" t="str">
        <f ca="1">IF(BA2=1,IF(INDEX(分析データ!$A:$A,ROW()+$C$5)&lt;&gt;"",60000*SIGN(AZ2)*(分析データ!C2-INDEX(分析データ!C:C,ROW()+$C$5)),""),"")</f>
        <v/>
      </c>
      <c r="BC2">
        <f t="shared" ref="BC2:BC65" ca="1" si="5">BC1+IF(AND(BA2=1,ISNUMBER(BB2)),BB2,0)</f>
        <v>0</v>
      </c>
      <c r="BD2">
        <f t="shared" ref="BD2:BD65" ca="1" si="6">MAX(BD1,BC2)</f>
        <v>0</v>
      </c>
      <c r="BE2">
        <f t="shared" ref="BE2:BE65" ca="1" si="7">BC2-BD2</f>
        <v>0</v>
      </c>
      <c r="BF2" t="str">
        <f ca="1">IF(ROW()&lt;($C$7+1),"",IFERROR((分析データ!D2-AVERAGE(OFFSET(分析データ!D$1,MAX(1,ROW()-$C$7),0,MIN($C$7,ROW()-1),1)))/STDEV(OFFSET(分析データ!D$1,MAX(1,ROW()-$C$7),0,MIN($C$7,ROW()-1),1)),0))</f>
        <v/>
      </c>
      <c r="BG2">
        <f t="shared" ref="BG2:BG65" ca="1" si="8">IF(ISNUMBER(BF2),IF(ABS(BF2)&gt;=$C$6,1,0),0)</f>
        <v>0</v>
      </c>
      <c r="BH2" t="str">
        <f ca="1">IF(BG2=1,IF(INDEX(分析データ!$A:$A,ROW()+$C$5)&lt;&gt;"",50000*SIGN(BF2)*(分析データ!D2-INDEX(分析データ!D:D,ROW()+$C$5)),""),"")</f>
        <v/>
      </c>
      <c r="BI2">
        <f t="shared" ref="BI2:BI65" ca="1" si="9">BI1+IF(AND(BG2=1,ISNUMBER(BH2)),BH2,0)</f>
        <v>0</v>
      </c>
      <c r="BJ2">
        <f t="shared" ref="BJ2:BJ65" ca="1" si="10">MAX(BJ1,BI2)</f>
        <v>0</v>
      </c>
      <c r="BK2">
        <f t="shared" ref="BK2:BK65" ca="1" si="11">BI2-BJ2</f>
        <v>0</v>
      </c>
      <c r="BL2" t="str">
        <f ca="1">IF(ROW()&lt;($C$7+1),"",IFERROR((分析データ!E2-AVERAGE(OFFSET(分析データ!E$1,MAX(1,ROW()-$C$7),0,MIN($C$7,ROW()-1),1)))/STDEV(OFFSET(分析データ!E$1,MAX(1,ROW()-$C$7),0,MIN($C$7,ROW()-1),1)),0))</f>
        <v/>
      </c>
      <c r="BM2">
        <f t="shared" ref="BM2:BM65" ca="1" si="12">IF(ISNUMBER(BL2),IF(ABS(BL2)&gt;=$C$6,1,0),0)</f>
        <v>0</v>
      </c>
      <c r="BN2" t="str">
        <f ca="1">IF(BM2=1,IF(INDEX(分析データ!$A:$A,ROW()+$C$5)&lt;&gt;"",40000*SIGN(BL2)*(分析データ!E2-INDEX(分析データ!E:E,ROW()+$C$5)),""),"")</f>
        <v/>
      </c>
      <c r="BO2">
        <f t="shared" ref="BO2:BO65" ca="1" si="13">BO1+IF(AND(BM2=1,ISNUMBER(BN2)),BN2,0)</f>
        <v>0</v>
      </c>
      <c r="BP2">
        <f t="shared" ref="BP2:BP65" ca="1" si="14">MAX(BP1,BO2)</f>
        <v>0</v>
      </c>
      <c r="BQ2">
        <f t="shared" ref="BQ2:BQ65" ca="1" si="15">BO2-BP2</f>
        <v>0</v>
      </c>
      <c r="BR2" t="str">
        <f ca="1">IF(ROW()&lt;($C$7+1),"",IFERROR((分析データ!F2-AVERAGE(OFFSET(分析データ!F$1,MAX(1,ROW()-$C$7),0,MIN($C$7,ROW()-1),1)))/STDEV(OFFSET(分析データ!F$1,MAX(1,ROW()-$C$7),0,MIN($C$7,ROW()-1),1)),0))</f>
        <v/>
      </c>
      <c r="BS2">
        <f t="shared" ref="BS2:BS65" ca="1" si="16">IF(ISNUMBER(BR2),IF(ABS(BR2)&gt;=$C$6,1,0),0)</f>
        <v>0</v>
      </c>
      <c r="BT2" t="str">
        <f ca="1">IF(BS2=1,IF(INDEX(分析データ!$A:$A,ROW()+$C$5)&lt;&gt;"",40000*SIGN(BR2)*(分析データ!F2-INDEX(分析データ!F:F,ROW()+$C$5)),""),"")</f>
        <v/>
      </c>
      <c r="BU2">
        <f t="shared" ref="BU2:BU65" ca="1" si="17">BU1+IF(AND(BS2=1,ISNUMBER(BT2)),BT2,0)</f>
        <v>0</v>
      </c>
      <c r="BV2">
        <f t="shared" ref="BV2:BV65" ca="1" si="18">MAX(BV1,BU2)</f>
        <v>0</v>
      </c>
      <c r="BW2">
        <f t="shared" ref="BW2:BW65" ca="1" si="19">BU2-BV2</f>
        <v>0</v>
      </c>
      <c r="BX2" t="str">
        <f ca="1">IF(ROW()&lt;($C$7+1),"",IFERROR((分析データ!G2-AVERAGE(OFFSET(分析データ!G$1,MAX(1,ROW()-$C$7),0,MIN($C$7,ROW()-1),1)))/STDEV(OFFSET(分析データ!G$1,MAX(1,ROW()-$C$7),0,MIN($C$7,ROW()-1),1)),0))</f>
        <v/>
      </c>
      <c r="BY2">
        <f t="shared" ref="BY2:BY65" ca="1" si="20">IF(ISNUMBER(BX2),IF(ABS(BX2)&gt;=$C$6,1,0),0)</f>
        <v>0</v>
      </c>
      <c r="BZ2" t="str">
        <f ca="1">IF(BY2=1,IF(INDEX(分析データ!$A:$A,ROW()+$C$5)&lt;&gt;"",40000*SIGN(BX2)*(分析データ!G2-INDEX(分析データ!G:G,ROW()+$C$5)),""),"")</f>
        <v/>
      </c>
      <c r="CA2">
        <f t="shared" ref="CA2:CA65" ca="1" si="21">CA1+IF(AND(BY2=1,ISNUMBER(BZ2)),BZ2,0)</f>
        <v>0</v>
      </c>
      <c r="CB2">
        <f t="shared" ref="CB2:CB65" ca="1" si="22">MAX(CB1,CA2)</f>
        <v>0</v>
      </c>
      <c r="CC2">
        <f t="shared" ref="CC2:CC65" ca="1" si="23">CA2-CB2</f>
        <v>0</v>
      </c>
      <c r="CD2">
        <f t="shared" ref="CD2:CD65" ca="1" si="24">N(AV2)+N(BB2)+N(BH2)+N(BN2)+N(BT2)+N(BZ2)</f>
        <v>0</v>
      </c>
      <c r="CE2">
        <f t="shared" ref="CE2:CE65" ca="1" si="25">CE1+CD2</f>
        <v>0</v>
      </c>
      <c r="CF2">
        <f t="shared" ref="CF2:CF65" ca="1" si="26">MAX(CF1,CE2)</f>
        <v>0</v>
      </c>
      <c r="CG2">
        <f t="shared" ref="CG2:CG65" ca="1" si="27">CE2-CF2</f>
        <v>0</v>
      </c>
      <c r="CH2" s="10">
        <f>分析データ!A2</f>
        <v>44929</v>
      </c>
    </row>
    <row r="3" spans="2:86">
      <c r="AT3" t="str">
        <f ca="1">IF(ROW()&lt;($C$7+1),"",IFERROR((分析データ!B3-AVERAGE(OFFSET(分析データ!B$1,MAX(1,ROW()-$C$7),0,MIN($C$7,ROW()-1),1)))/STDEV(OFFSET(分析データ!B$1,MAX(1,ROW()-$C$7),0,MIN($C$7,ROW()-1),1)),0))</f>
        <v/>
      </c>
      <c r="AU3">
        <f t="shared" ca="1" si="0"/>
        <v>0</v>
      </c>
      <c r="AV3" t="str">
        <f ca="1">IF(AU3=1,IF(INDEX(分析データ!$A:$A,ROW()+$C$5)&lt;&gt;"",80000*SIGN(AT3)*(分析データ!B3-INDEX(分析データ!B:B,ROW()+$C$5)),""),"")</f>
        <v/>
      </c>
      <c r="AW3">
        <f t="shared" ca="1" si="1"/>
        <v>0</v>
      </c>
      <c r="AX3">
        <f t="shared" ca="1" si="2"/>
        <v>0</v>
      </c>
      <c r="AY3">
        <f t="shared" ca="1" si="3"/>
        <v>0</v>
      </c>
      <c r="AZ3" t="str">
        <f ca="1">IF(ROW()&lt;($C$7+1),"",IFERROR((分析データ!C3-AVERAGE(OFFSET(分析データ!C$1,MAX(1,ROW()-$C$7),0,MIN($C$7,ROW()-1),1)))/STDEV(OFFSET(分析データ!C$1,MAX(1,ROW()-$C$7),0,MIN($C$7,ROW()-1),1)),0))</f>
        <v/>
      </c>
      <c r="BA3">
        <f t="shared" ca="1" si="4"/>
        <v>0</v>
      </c>
      <c r="BB3" t="str">
        <f ca="1">IF(BA3=1,IF(INDEX(分析データ!$A:$A,ROW()+$C$5)&lt;&gt;"",60000*SIGN(AZ3)*(分析データ!C3-INDEX(分析データ!C:C,ROW()+$C$5)),""),"")</f>
        <v/>
      </c>
      <c r="BC3">
        <f t="shared" ca="1" si="5"/>
        <v>0</v>
      </c>
      <c r="BD3">
        <f t="shared" ca="1" si="6"/>
        <v>0</v>
      </c>
      <c r="BE3">
        <f t="shared" ca="1" si="7"/>
        <v>0</v>
      </c>
      <c r="BF3" t="str">
        <f ca="1">IF(ROW()&lt;($C$7+1),"",IFERROR((分析データ!D3-AVERAGE(OFFSET(分析データ!D$1,MAX(1,ROW()-$C$7),0,MIN($C$7,ROW()-1),1)))/STDEV(OFFSET(分析データ!D$1,MAX(1,ROW()-$C$7),0,MIN($C$7,ROW()-1),1)),0))</f>
        <v/>
      </c>
      <c r="BG3">
        <f t="shared" ca="1" si="8"/>
        <v>0</v>
      </c>
      <c r="BH3" t="str">
        <f ca="1">IF(BG3=1,IF(INDEX(分析データ!$A:$A,ROW()+$C$5)&lt;&gt;"",50000*SIGN(BF3)*(分析データ!D3-INDEX(分析データ!D:D,ROW()+$C$5)),""),"")</f>
        <v/>
      </c>
      <c r="BI3">
        <f t="shared" ca="1" si="9"/>
        <v>0</v>
      </c>
      <c r="BJ3">
        <f t="shared" ca="1" si="10"/>
        <v>0</v>
      </c>
      <c r="BK3">
        <f t="shared" ca="1" si="11"/>
        <v>0</v>
      </c>
      <c r="BL3" t="str">
        <f ca="1">IF(ROW()&lt;($C$7+1),"",IFERROR((分析データ!E3-AVERAGE(OFFSET(分析データ!E$1,MAX(1,ROW()-$C$7),0,MIN($C$7,ROW()-1),1)))/STDEV(OFFSET(分析データ!E$1,MAX(1,ROW()-$C$7),0,MIN($C$7,ROW()-1),1)),0))</f>
        <v/>
      </c>
      <c r="BM3">
        <f t="shared" ca="1" si="12"/>
        <v>0</v>
      </c>
      <c r="BN3" t="str">
        <f ca="1">IF(BM3=1,IF(INDEX(分析データ!$A:$A,ROW()+$C$5)&lt;&gt;"",40000*SIGN(BL3)*(分析データ!E3-INDEX(分析データ!E:E,ROW()+$C$5)),""),"")</f>
        <v/>
      </c>
      <c r="BO3">
        <f t="shared" ca="1" si="13"/>
        <v>0</v>
      </c>
      <c r="BP3">
        <f t="shared" ca="1" si="14"/>
        <v>0</v>
      </c>
      <c r="BQ3">
        <f t="shared" ca="1" si="15"/>
        <v>0</v>
      </c>
      <c r="BR3" t="str">
        <f ca="1">IF(ROW()&lt;($C$7+1),"",IFERROR((分析データ!F3-AVERAGE(OFFSET(分析データ!F$1,MAX(1,ROW()-$C$7),0,MIN($C$7,ROW()-1),1)))/STDEV(OFFSET(分析データ!F$1,MAX(1,ROW()-$C$7),0,MIN($C$7,ROW()-1),1)),0))</f>
        <v/>
      </c>
      <c r="BS3">
        <f t="shared" ca="1" si="16"/>
        <v>0</v>
      </c>
      <c r="BT3" t="str">
        <f ca="1">IF(BS3=1,IF(INDEX(分析データ!$A:$A,ROW()+$C$5)&lt;&gt;"",40000*SIGN(BR3)*(分析データ!F3-INDEX(分析データ!F:F,ROW()+$C$5)),""),"")</f>
        <v/>
      </c>
      <c r="BU3">
        <f t="shared" ca="1" si="17"/>
        <v>0</v>
      </c>
      <c r="BV3">
        <f t="shared" ca="1" si="18"/>
        <v>0</v>
      </c>
      <c r="BW3">
        <f t="shared" ca="1" si="19"/>
        <v>0</v>
      </c>
      <c r="BX3" t="str">
        <f ca="1">IF(ROW()&lt;($C$7+1),"",IFERROR((分析データ!G3-AVERAGE(OFFSET(分析データ!G$1,MAX(1,ROW()-$C$7),0,MIN($C$7,ROW()-1),1)))/STDEV(OFFSET(分析データ!G$1,MAX(1,ROW()-$C$7),0,MIN($C$7,ROW()-1),1)),0))</f>
        <v/>
      </c>
      <c r="BY3">
        <f t="shared" ca="1" si="20"/>
        <v>0</v>
      </c>
      <c r="BZ3" t="str">
        <f ca="1">IF(BY3=1,IF(INDEX(分析データ!$A:$A,ROW()+$C$5)&lt;&gt;"",40000*SIGN(BX3)*(分析データ!G3-INDEX(分析データ!G:G,ROW()+$C$5)),""),"")</f>
        <v/>
      </c>
      <c r="CA3">
        <f t="shared" ca="1" si="21"/>
        <v>0</v>
      </c>
      <c r="CB3">
        <f t="shared" ca="1" si="22"/>
        <v>0</v>
      </c>
      <c r="CC3">
        <f t="shared" ca="1" si="23"/>
        <v>0</v>
      </c>
      <c r="CD3">
        <f t="shared" ca="1" si="24"/>
        <v>0</v>
      </c>
      <c r="CE3">
        <f t="shared" ca="1" si="25"/>
        <v>0</v>
      </c>
      <c r="CF3">
        <f t="shared" ca="1" si="26"/>
        <v>0</v>
      </c>
      <c r="CG3">
        <f t="shared" ca="1" si="27"/>
        <v>0</v>
      </c>
      <c r="CH3" s="10">
        <f>分析データ!A3</f>
        <v>44930</v>
      </c>
    </row>
    <row r="4" spans="2:86" ht="18" customHeight="1">
      <c r="B4" s="57" t="s">
        <v>461</v>
      </c>
      <c r="C4" s="57"/>
      <c r="D4" s="57"/>
      <c r="E4" s="57"/>
      <c r="F4" s="57"/>
      <c r="G4" s="57"/>
      <c r="H4" s="57"/>
      <c r="I4" s="57"/>
      <c r="AT4" t="str">
        <f ca="1">IF(ROW()&lt;($C$7+1),"",IFERROR((分析データ!B4-AVERAGE(OFFSET(分析データ!B$1,MAX(1,ROW()-$C$7),0,MIN($C$7,ROW()-1),1)))/STDEV(OFFSET(分析データ!B$1,MAX(1,ROW()-$C$7),0,MIN($C$7,ROW()-1),1)),0))</f>
        <v/>
      </c>
      <c r="AU4">
        <f t="shared" ca="1" si="0"/>
        <v>0</v>
      </c>
      <c r="AV4" t="str">
        <f ca="1">IF(AU4=1,IF(INDEX(分析データ!$A:$A,ROW()+$C$5)&lt;&gt;"",80000*SIGN(AT4)*(分析データ!B4-INDEX(分析データ!B:B,ROW()+$C$5)),""),"")</f>
        <v/>
      </c>
      <c r="AW4">
        <f t="shared" ca="1" si="1"/>
        <v>0</v>
      </c>
      <c r="AX4">
        <f t="shared" ca="1" si="2"/>
        <v>0</v>
      </c>
      <c r="AY4">
        <f t="shared" ca="1" si="3"/>
        <v>0</v>
      </c>
      <c r="AZ4" t="str">
        <f ca="1">IF(ROW()&lt;($C$7+1),"",IFERROR((分析データ!C4-AVERAGE(OFFSET(分析データ!C$1,MAX(1,ROW()-$C$7),0,MIN($C$7,ROW()-1),1)))/STDEV(OFFSET(分析データ!C$1,MAX(1,ROW()-$C$7),0,MIN($C$7,ROW()-1),1)),0))</f>
        <v/>
      </c>
      <c r="BA4">
        <f t="shared" ca="1" si="4"/>
        <v>0</v>
      </c>
      <c r="BB4" t="str">
        <f ca="1">IF(BA4=1,IF(INDEX(分析データ!$A:$A,ROW()+$C$5)&lt;&gt;"",60000*SIGN(AZ4)*(分析データ!C4-INDEX(分析データ!C:C,ROW()+$C$5)),""),"")</f>
        <v/>
      </c>
      <c r="BC4">
        <f t="shared" ca="1" si="5"/>
        <v>0</v>
      </c>
      <c r="BD4">
        <f t="shared" ca="1" si="6"/>
        <v>0</v>
      </c>
      <c r="BE4">
        <f t="shared" ca="1" si="7"/>
        <v>0</v>
      </c>
      <c r="BF4" t="str">
        <f ca="1">IF(ROW()&lt;($C$7+1),"",IFERROR((分析データ!D4-AVERAGE(OFFSET(分析データ!D$1,MAX(1,ROW()-$C$7),0,MIN($C$7,ROW()-1),1)))/STDEV(OFFSET(分析データ!D$1,MAX(1,ROW()-$C$7),0,MIN($C$7,ROW()-1),1)),0))</f>
        <v/>
      </c>
      <c r="BG4">
        <f t="shared" ca="1" si="8"/>
        <v>0</v>
      </c>
      <c r="BH4" t="str">
        <f ca="1">IF(BG4=1,IF(INDEX(分析データ!$A:$A,ROW()+$C$5)&lt;&gt;"",50000*SIGN(BF4)*(分析データ!D4-INDEX(分析データ!D:D,ROW()+$C$5)),""),"")</f>
        <v/>
      </c>
      <c r="BI4">
        <f t="shared" ca="1" si="9"/>
        <v>0</v>
      </c>
      <c r="BJ4">
        <f t="shared" ca="1" si="10"/>
        <v>0</v>
      </c>
      <c r="BK4">
        <f t="shared" ca="1" si="11"/>
        <v>0</v>
      </c>
      <c r="BL4" t="str">
        <f ca="1">IF(ROW()&lt;($C$7+1),"",IFERROR((分析データ!E4-AVERAGE(OFFSET(分析データ!E$1,MAX(1,ROW()-$C$7),0,MIN($C$7,ROW()-1),1)))/STDEV(OFFSET(分析データ!E$1,MAX(1,ROW()-$C$7),0,MIN($C$7,ROW()-1),1)),0))</f>
        <v/>
      </c>
      <c r="BM4">
        <f t="shared" ca="1" si="12"/>
        <v>0</v>
      </c>
      <c r="BN4" t="str">
        <f ca="1">IF(BM4=1,IF(INDEX(分析データ!$A:$A,ROW()+$C$5)&lt;&gt;"",40000*SIGN(BL4)*(分析データ!E4-INDEX(分析データ!E:E,ROW()+$C$5)),""),"")</f>
        <v/>
      </c>
      <c r="BO4">
        <f t="shared" ca="1" si="13"/>
        <v>0</v>
      </c>
      <c r="BP4">
        <f t="shared" ca="1" si="14"/>
        <v>0</v>
      </c>
      <c r="BQ4">
        <f t="shared" ca="1" si="15"/>
        <v>0</v>
      </c>
      <c r="BR4" t="str">
        <f ca="1">IF(ROW()&lt;($C$7+1),"",IFERROR((分析データ!F4-AVERAGE(OFFSET(分析データ!F$1,MAX(1,ROW()-$C$7),0,MIN($C$7,ROW()-1),1)))/STDEV(OFFSET(分析データ!F$1,MAX(1,ROW()-$C$7),0,MIN($C$7,ROW()-1),1)),0))</f>
        <v/>
      </c>
      <c r="BS4">
        <f t="shared" ca="1" si="16"/>
        <v>0</v>
      </c>
      <c r="BT4" t="str">
        <f ca="1">IF(BS4=1,IF(INDEX(分析データ!$A:$A,ROW()+$C$5)&lt;&gt;"",40000*SIGN(BR4)*(分析データ!F4-INDEX(分析データ!F:F,ROW()+$C$5)),""),"")</f>
        <v/>
      </c>
      <c r="BU4">
        <f t="shared" ca="1" si="17"/>
        <v>0</v>
      </c>
      <c r="BV4">
        <f t="shared" ca="1" si="18"/>
        <v>0</v>
      </c>
      <c r="BW4">
        <f t="shared" ca="1" si="19"/>
        <v>0</v>
      </c>
      <c r="BX4" t="str">
        <f ca="1">IF(ROW()&lt;($C$7+1),"",IFERROR((分析データ!G4-AVERAGE(OFFSET(分析データ!G$1,MAX(1,ROW()-$C$7),0,MIN($C$7,ROW()-1),1)))/STDEV(OFFSET(分析データ!G$1,MAX(1,ROW()-$C$7),0,MIN($C$7,ROW()-1),1)),0))</f>
        <v/>
      </c>
      <c r="BY4">
        <f t="shared" ca="1" si="20"/>
        <v>0</v>
      </c>
      <c r="BZ4" t="str">
        <f ca="1">IF(BY4=1,IF(INDEX(分析データ!$A:$A,ROW()+$C$5)&lt;&gt;"",40000*SIGN(BX4)*(分析データ!G4-INDEX(分析データ!G:G,ROW()+$C$5)),""),"")</f>
        <v/>
      </c>
      <c r="CA4">
        <f t="shared" ca="1" si="21"/>
        <v>0</v>
      </c>
      <c r="CB4">
        <f t="shared" ca="1" si="22"/>
        <v>0</v>
      </c>
      <c r="CC4">
        <f t="shared" ca="1" si="23"/>
        <v>0</v>
      </c>
      <c r="CD4">
        <f t="shared" ca="1" si="24"/>
        <v>0</v>
      </c>
      <c r="CE4">
        <f t="shared" ca="1" si="25"/>
        <v>0</v>
      </c>
      <c r="CF4">
        <f t="shared" ca="1" si="26"/>
        <v>0</v>
      </c>
      <c r="CG4">
        <f t="shared" ca="1" si="27"/>
        <v>0</v>
      </c>
      <c r="CH4" s="10">
        <f>分析データ!A4</f>
        <v>44931</v>
      </c>
    </row>
    <row r="5" spans="2:86">
      <c r="B5" s="98" t="s">
        <v>462</v>
      </c>
      <c r="C5" s="99">
        <v>10</v>
      </c>
      <c r="AT5" t="str">
        <f ca="1">IF(ROW()&lt;($C$7+1),"",IFERROR((分析データ!B5-AVERAGE(OFFSET(分析データ!B$1,MAX(1,ROW()-$C$7),0,MIN($C$7,ROW()-1),1)))/STDEV(OFFSET(分析データ!B$1,MAX(1,ROW()-$C$7),0,MIN($C$7,ROW()-1),1)),0))</f>
        <v/>
      </c>
      <c r="AU5">
        <f t="shared" ca="1" si="0"/>
        <v>0</v>
      </c>
      <c r="AV5" t="str">
        <f ca="1">IF(AU5=1,IF(INDEX(分析データ!$A:$A,ROW()+$C$5)&lt;&gt;"",80000*SIGN(AT5)*(分析データ!B5-INDEX(分析データ!B:B,ROW()+$C$5)),""),"")</f>
        <v/>
      </c>
      <c r="AW5">
        <f t="shared" ca="1" si="1"/>
        <v>0</v>
      </c>
      <c r="AX5">
        <f t="shared" ca="1" si="2"/>
        <v>0</v>
      </c>
      <c r="AY5">
        <f t="shared" ca="1" si="3"/>
        <v>0</v>
      </c>
      <c r="AZ5" t="str">
        <f ca="1">IF(ROW()&lt;($C$7+1),"",IFERROR((分析データ!C5-AVERAGE(OFFSET(分析データ!C$1,MAX(1,ROW()-$C$7),0,MIN($C$7,ROW()-1),1)))/STDEV(OFFSET(分析データ!C$1,MAX(1,ROW()-$C$7),0,MIN($C$7,ROW()-1),1)),0))</f>
        <v/>
      </c>
      <c r="BA5">
        <f t="shared" ca="1" si="4"/>
        <v>0</v>
      </c>
      <c r="BB5" t="str">
        <f ca="1">IF(BA5=1,IF(INDEX(分析データ!$A:$A,ROW()+$C$5)&lt;&gt;"",60000*SIGN(AZ5)*(分析データ!C5-INDEX(分析データ!C:C,ROW()+$C$5)),""),"")</f>
        <v/>
      </c>
      <c r="BC5">
        <f t="shared" ca="1" si="5"/>
        <v>0</v>
      </c>
      <c r="BD5">
        <f t="shared" ca="1" si="6"/>
        <v>0</v>
      </c>
      <c r="BE5">
        <f t="shared" ca="1" si="7"/>
        <v>0</v>
      </c>
      <c r="BF5" t="str">
        <f ca="1">IF(ROW()&lt;($C$7+1),"",IFERROR((分析データ!D5-AVERAGE(OFFSET(分析データ!D$1,MAX(1,ROW()-$C$7),0,MIN($C$7,ROW()-1),1)))/STDEV(OFFSET(分析データ!D$1,MAX(1,ROW()-$C$7),0,MIN($C$7,ROW()-1),1)),0))</f>
        <v/>
      </c>
      <c r="BG5">
        <f t="shared" ca="1" si="8"/>
        <v>0</v>
      </c>
      <c r="BH5" t="str">
        <f ca="1">IF(BG5=1,IF(INDEX(分析データ!$A:$A,ROW()+$C$5)&lt;&gt;"",50000*SIGN(BF5)*(分析データ!D5-INDEX(分析データ!D:D,ROW()+$C$5)),""),"")</f>
        <v/>
      </c>
      <c r="BI5">
        <f t="shared" ca="1" si="9"/>
        <v>0</v>
      </c>
      <c r="BJ5">
        <f t="shared" ca="1" si="10"/>
        <v>0</v>
      </c>
      <c r="BK5">
        <f t="shared" ca="1" si="11"/>
        <v>0</v>
      </c>
      <c r="BL5" t="str">
        <f ca="1">IF(ROW()&lt;($C$7+1),"",IFERROR((分析データ!E5-AVERAGE(OFFSET(分析データ!E$1,MAX(1,ROW()-$C$7),0,MIN($C$7,ROW()-1),1)))/STDEV(OFFSET(分析データ!E$1,MAX(1,ROW()-$C$7),0,MIN($C$7,ROW()-1),1)),0))</f>
        <v/>
      </c>
      <c r="BM5">
        <f t="shared" ca="1" si="12"/>
        <v>0</v>
      </c>
      <c r="BN5" t="str">
        <f ca="1">IF(BM5=1,IF(INDEX(分析データ!$A:$A,ROW()+$C$5)&lt;&gt;"",40000*SIGN(BL5)*(分析データ!E5-INDEX(分析データ!E:E,ROW()+$C$5)),""),"")</f>
        <v/>
      </c>
      <c r="BO5">
        <f t="shared" ca="1" si="13"/>
        <v>0</v>
      </c>
      <c r="BP5">
        <f t="shared" ca="1" si="14"/>
        <v>0</v>
      </c>
      <c r="BQ5">
        <f t="shared" ca="1" si="15"/>
        <v>0</v>
      </c>
      <c r="BR5" t="str">
        <f ca="1">IF(ROW()&lt;($C$7+1),"",IFERROR((分析データ!F5-AVERAGE(OFFSET(分析データ!F$1,MAX(1,ROW()-$C$7),0,MIN($C$7,ROW()-1),1)))/STDEV(OFFSET(分析データ!F$1,MAX(1,ROW()-$C$7),0,MIN($C$7,ROW()-1),1)),0))</f>
        <v/>
      </c>
      <c r="BS5">
        <f t="shared" ca="1" si="16"/>
        <v>0</v>
      </c>
      <c r="BT5" t="str">
        <f ca="1">IF(BS5=1,IF(INDEX(分析データ!$A:$A,ROW()+$C$5)&lt;&gt;"",40000*SIGN(BR5)*(分析データ!F5-INDEX(分析データ!F:F,ROW()+$C$5)),""),"")</f>
        <v/>
      </c>
      <c r="BU5">
        <f t="shared" ca="1" si="17"/>
        <v>0</v>
      </c>
      <c r="BV5">
        <f t="shared" ca="1" si="18"/>
        <v>0</v>
      </c>
      <c r="BW5">
        <f t="shared" ca="1" si="19"/>
        <v>0</v>
      </c>
      <c r="BX5" t="str">
        <f ca="1">IF(ROW()&lt;($C$7+1),"",IFERROR((分析データ!G5-AVERAGE(OFFSET(分析データ!G$1,MAX(1,ROW()-$C$7),0,MIN($C$7,ROW()-1),1)))/STDEV(OFFSET(分析データ!G$1,MAX(1,ROW()-$C$7),0,MIN($C$7,ROW()-1),1)),0))</f>
        <v/>
      </c>
      <c r="BY5">
        <f t="shared" ca="1" si="20"/>
        <v>0</v>
      </c>
      <c r="BZ5" t="str">
        <f ca="1">IF(BY5=1,IF(INDEX(分析データ!$A:$A,ROW()+$C$5)&lt;&gt;"",40000*SIGN(BX5)*(分析データ!G5-INDEX(分析データ!G:G,ROW()+$C$5)),""),"")</f>
        <v/>
      </c>
      <c r="CA5">
        <f t="shared" ca="1" si="21"/>
        <v>0</v>
      </c>
      <c r="CB5">
        <f t="shared" ca="1" si="22"/>
        <v>0</v>
      </c>
      <c r="CC5">
        <f t="shared" ca="1" si="23"/>
        <v>0</v>
      </c>
      <c r="CD5">
        <f t="shared" ca="1" si="24"/>
        <v>0</v>
      </c>
      <c r="CE5">
        <f t="shared" ca="1" si="25"/>
        <v>0</v>
      </c>
      <c r="CF5">
        <f t="shared" ca="1" si="26"/>
        <v>0</v>
      </c>
      <c r="CG5">
        <f t="shared" ca="1" si="27"/>
        <v>0</v>
      </c>
      <c r="CH5" s="10">
        <f>分析データ!A5</f>
        <v>44932</v>
      </c>
    </row>
    <row r="6" spans="2:86">
      <c r="B6" s="98" t="s">
        <v>463</v>
      </c>
      <c r="C6" s="99">
        <v>2</v>
      </c>
      <c r="AT6" t="str">
        <f ca="1">IF(ROW()&lt;($C$7+1),"",IFERROR((分析データ!B6-AVERAGE(OFFSET(分析データ!B$1,MAX(1,ROW()-$C$7),0,MIN($C$7,ROW()-1),1)))/STDEV(OFFSET(分析データ!B$1,MAX(1,ROW()-$C$7),0,MIN($C$7,ROW()-1),1)),0))</f>
        <v/>
      </c>
      <c r="AU6">
        <f t="shared" ca="1" si="0"/>
        <v>0</v>
      </c>
      <c r="AV6" t="str">
        <f ca="1">IF(AU6=1,IF(INDEX(分析データ!$A:$A,ROW()+$C$5)&lt;&gt;"",80000*SIGN(AT6)*(分析データ!B6-INDEX(分析データ!B:B,ROW()+$C$5)),""),"")</f>
        <v/>
      </c>
      <c r="AW6">
        <f t="shared" ca="1" si="1"/>
        <v>0</v>
      </c>
      <c r="AX6">
        <f t="shared" ca="1" si="2"/>
        <v>0</v>
      </c>
      <c r="AY6">
        <f t="shared" ca="1" si="3"/>
        <v>0</v>
      </c>
      <c r="AZ6" t="str">
        <f ca="1">IF(ROW()&lt;($C$7+1),"",IFERROR((分析データ!C6-AVERAGE(OFFSET(分析データ!C$1,MAX(1,ROW()-$C$7),0,MIN($C$7,ROW()-1),1)))/STDEV(OFFSET(分析データ!C$1,MAX(1,ROW()-$C$7),0,MIN($C$7,ROW()-1),1)),0))</f>
        <v/>
      </c>
      <c r="BA6">
        <f t="shared" ca="1" si="4"/>
        <v>0</v>
      </c>
      <c r="BB6" t="str">
        <f ca="1">IF(BA6=1,IF(INDEX(分析データ!$A:$A,ROW()+$C$5)&lt;&gt;"",60000*SIGN(AZ6)*(分析データ!C6-INDEX(分析データ!C:C,ROW()+$C$5)),""),"")</f>
        <v/>
      </c>
      <c r="BC6">
        <f t="shared" ca="1" si="5"/>
        <v>0</v>
      </c>
      <c r="BD6">
        <f t="shared" ca="1" si="6"/>
        <v>0</v>
      </c>
      <c r="BE6">
        <f t="shared" ca="1" si="7"/>
        <v>0</v>
      </c>
      <c r="BF6" t="str">
        <f ca="1">IF(ROW()&lt;($C$7+1),"",IFERROR((分析データ!D6-AVERAGE(OFFSET(分析データ!D$1,MAX(1,ROW()-$C$7),0,MIN($C$7,ROW()-1),1)))/STDEV(OFFSET(分析データ!D$1,MAX(1,ROW()-$C$7),0,MIN($C$7,ROW()-1),1)),0))</f>
        <v/>
      </c>
      <c r="BG6">
        <f t="shared" ca="1" si="8"/>
        <v>0</v>
      </c>
      <c r="BH6" t="str">
        <f ca="1">IF(BG6=1,IF(INDEX(分析データ!$A:$A,ROW()+$C$5)&lt;&gt;"",50000*SIGN(BF6)*(分析データ!D6-INDEX(分析データ!D:D,ROW()+$C$5)),""),"")</f>
        <v/>
      </c>
      <c r="BI6">
        <f t="shared" ca="1" si="9"/>
        <v>0</v>
      </c>
      <c r="BJ6">
        <f t="shared" ca="1" si="10"/>
        <v>0</v>
      </c>
      <c r="BK6">
        <f t="shared" ca="1" si="11"/>
        <v>0</v>
      </c>
      <c r="BL6" t="str">
        <f ca="1">IF(ROW()&lt;($C$7+1),"",IFERROR((分析データ!E6-AVERAGE(OFFSET(分析データ!E$1,MAX(1,ROW()-$C$7),0,MIN($C$7,ROW()-1),1)))/STDEV(OFFSET(分析データ!E$1,MAX(1,ROW()-$C$7),0,MIN($C$7,ROW()-1),1)),0))</f>
        <v/>
      </c>
      <c r="BM6">
        <f t="shared" ca="1" si="12"/>
        <v>0</v>
      </c>
      <c r="BN6" t="str">
        <f ca="1">IF(BM6=1,IF(INDEX(分析データ!$A:$A,ROW()+$C$5)&lt;&gt;"",40000*SIGN(BL6)*(分析データ!E6-INDEX(分析データ!E:E,ROW()+$C$5)),""),"")</f>
        <v/>
      </c>
      <c r="BO6">
        <f t="shared" ca="1" si="13"/>
        <v>0</v>
      </c>
      <c r="BP6">
        <f t="shared" ca="1" si="14"/>
        <v>0</v>
      </c>
      <c r="BQ6">
        <f t="shared" ca="1" si="15"/>
        <v>0</v>
      </c>
      <c r="BR6" t="str">
        <f ca="1">IF(ROW()&lt;($C$7+1),"",IFERROR((分析データ!F6-AVERAGE(OFFSET(分析データ!F$1,MAX(1,ROW()-$C$7),0,MIN($C$7,ROW()-1),1)))/STDEV(OFFSET(分析データ!F$1,MAX(1,ROW()-$C$7),0,MIN($C$7,ROW()-1),1)),0))</f>
        <v/>
      </c>
      <c r="BS6">
        <f t="shared" ca="1" si="16"/>
        <v>0</v>
      </c>
      <c r="BT6" t="str">
        <f ca="1">IF(BS6=1,IF(INDEX(分析データ!$A:$A,ROW()+$C$5)&lt;&gt;"",40000*SIGN(BR6)*(分析データ!F6-INDEX(分析データ!F:F,ROW()+$C$5)),""),"")</f>
        <v/>
      </c>
      <c r="BU6">
        <f t="shared" ca="1" si="17"/>
        <v>0</v>
      </c>
      <c r="BV6">
        <f t="shared" ca="1" si="18"/>
        <v>0</v>
      </c>
      <c r="BW6">
        <f t="shared" ca="1" si="19"/>
        <v>0</v>
      </c>
      <c r="BX6" t="str">
        <f ca="1">IF(ROW()&lt;($C$7+1),"",IFERROR((分析データ!G6-AVERAGE(OFFSET(分析データ!G$1,MAX(1,ROW()-$C$7),0,MIN($C$7,ROW()-1),1)))/STDEV(OFFSET(分析データ!G$1,MAX(1,ROW()-$C$7),0,MIN($C$7,ROW()-1),1)),0))</f>
        <v/>
      </c>
      <c r="BY6">
        <f t="shared" ca="1" si="20"/>
        <v>0</v>
      </c>
      <c r="BZ6" t="str">
        <f ca="1">IF(BY6=1,IF(INDEX(分析データ!$A:$A,ROW()+$C$5)&lt;&gt;"",40000*SIGN(BX6)*(分析データ!G6-INDEX(分析データ!G:G,ROW()+$C$5)),""),"")</f>
        <v/>
      </c>
      <c r="CA6">
        <f t="shared" ca="1" si="21"/>
        <v>0</v>
      </c>
      <c r="CB6">
        <f t="shared" ca="1" si="22"/>
        <v>0</v>
      </c>
      <c r="CC6">
        <f t="shared" ca="1" si="23"/>
        <v>0</v>
      </c>
      <c r="CD6">
        <f t="shared" ca="1" si="24"/>
        <v>0</v>
      </c>
      <c r="CE6">
        <f t="shared" ca="1" si="25"/>
        <v>0</v>
      </c>
      <c r="CF6">
        <f t="shared" ca="1" si="26"/>
        <v>0</v>
      </c>
      <c r="CG6">
        <f t="shared" ca="1" si="27"/>
        <v>0</v>
      </c>
      <c r="CH6" s="10">
        <f>分析データ!A6</f>
        <v>44935</v>
      </c>
    </row>
    <row r="7" spans="2:86">
      <c r="B7" s="98" t="s">
        <v>464</v>
      </c>
      <c r="C7" s="99">
        <v>252</v>
      </c>
      <c r="AT7" t="str">
        <f ca="1">IF(ROW()&lt;($C$7+1),"",IFERROR((分析データ!B7-AVERAGE(OFFSET(分析データ!B$1,MAX(1,ROW()-$C$7),0,MIN($C$7,ROW()-1),1)))/STDEV(OFFSET(分析データ!B$1,MAX(1,ROW()-$C$7),0,MIN($C$7,ROW()-1),1)),0))</f>
        <v/>
      </c>
      <c r="AU7">
        <f t="shared" ca="1" si="0"/>
        <v>0</v>
      </c>
      <c r="AV7" t="str">
        <f ca="1">IF(AU7=1,IF(INDEX(分析データ!$A:$A,ROW()+$C$5)&lt;&gt;"",80000*SIGN(AT7)*(分析データ!B7-INDEX(分析データ!B:B,ROW()+$C$5)),""),"")</f>
        <v/>
      </c>
      <c r="AW7">
        <f t="shared" ca="1" si="1"/>
        <v>0</v>
      </c>
      <c r="AX7">
        <f t="shared" ca="1" si="2"/>
        <v>0</v>
      </c>
      <c r="AY7">
        <f t="shared" ca="1" si="3"/>
        <v>0</v>
      </c>
      <c r="AZ7" t="str">
        <f ca="1">IF(ROW()&lt;($C$7+1),"",IFERROR((分析データ!C7-AVERAGE(OFFSET(分析データ!C$1,MAX(1,ROW()-$C$7),0,MIN($C$7,ROW()-1),1)))/STDEV(OFFSET(分析データ!C$1,MAX(1,ROW()-$C$7),0,MIN($C$7,ROW()-1),1)),0))</f>
        <v/>
      </c>
      <c r="BA7">
        <f t="shared" ca="1" si="4"/>
        <v>0</v>
      </c>
      <c r="BB7" t="str">
        <f ca="1">IF(BA7=1,IF(INDEX(分析データ!$A:$A,ROW()+$C$5)&lt;&gt;"",60000*SIGN(AZ7)*(分析データ!C7-INDEX(分析データ!C:C,ROW()+$C$5)),""),"")</f>
        <v/>
      </c>
      <c r="BC7">
        <f t="shared" ca="1" si="5"/>
        <v>0</v>
      </c>
      <c r="BD7">
        <f t="shared" ca="1" si="6"/>
        <v>0</v>
      </c>
      <c r="BE7">
        <f t="shared" ca="1" si="7"/>
        <v>0</v>
      </c>
      <c r="BF7" t="str">
        <f ca="1">IF(ROW()&lt;($C$7+1),"",IFERROR((分析データ!D7-AVERAGE(OFFSET(分析データ!D$1,MAX(1,ROW()-$C$7),0,MIN($C$7,ROW()-1),1)))/STDEV(OFFSET(分析データ!D$1,MAX(1,ROW()-$C$7),0,MIN($C$7,ROW()-1),1)),0))</f>
        <v/>
      </c>
      <c r="BG7">
        <f t="shared" ca="1" si="8"/>
        <v>0</v>
      </c>
      <c r="BH7" t="str">
        <f ca="1">IF(BG7=1,IF(INDEX(分析データ!$A:$A,ROW()+$C$5)&lt;&gt;"",50000*SIGN(BF7)*(分析データ!D7-INDEX(分析データ!D:D,ROW()+$C$5)),""),"")</f>
        <v/>
      </c>
      <c r="BI7">
        <f t="shared" ca="1" si="9"/>
        <v>0</v>
      </c>
      <c r="BJ7">
        <f t="shared" ca="1" si="10"/>
        <v>0</v>
      </c>
      <c r="BK7">
        <f t="shared" ca="1" si="11"/>
        <v>0</v>
      </c>
      <c r="BL7" t="str">
        <f ca="1">IF(ROW()&lt;($C$7+1),"",IFERROR((分析データ!E7-AVERAGE(OFFSET(分析データ!E$1,MAX(1,ROW()-$C$7),0,MIN($C$7,ROW()-1),1)))/STDEV(OFFSET(分析データ!E$1,MAX(1,ROW()-$C$7),0,MIN($C$7,ROW()-1),1)),0))</f>
        <v/>
      </c>
      <c r="BM7">
        <f t="shared" ca="1" si="12"/>
        <v>0</v>
      </c>
      <c r="BN7" t="str">
        <f ca="1">IF(BM7=1,IF(INDEX(分析データ!$A:$A,ROW()+$C$5)&lt;&gt;"",40000*SIGN(BL7)*(分析データ!E7-INDEX(分析データ!E:E,ROW()+$C$5)),""),"")</f>
        <v/>
      </c>
      <c r="BO7">
        <f t="shared" ca="1" si="13"/>
        <v>0</v>
      </c>
      <c r="BP7">
        <f t="shared" ca="1" si="14"/>
        <v>0</v>
      </c>
      <c r="BQ7">
        <f t="shared" ca="1" si="15"/>
        <v>0</v>
      </c>
      <c r="BR7" t="str">
        <f ca="1">IF(ROW()&lt;($C$7+1),"",IFERROR((分析データ!F7-AVERAGE(OFFSET(分析データ!F$1,MAX(1,ROW()-$C$7),0,MIN($C$7,ROW()-1),1)))/STDEV(OFFSET(分析データ!F$1,MAX(1,ROW()-$C$7),0,MIN($C$7,ROW()-1),1)),0))</f>
        <v/>
      </c>
      <c r="BS7">
        <f t="shared" ca="1" si="16"/>
        <v>0</v>
      </c>
      <c r="BT7" t="str">
        <f ca="1">IF(BS7=1,IF(INDEX(分析データ!$A:$A,ROW()+$C$5)&lt;&gt;"",40000*SIGN(BR7)*(分析データ!F7-INDEX(分析データ!F:F,ROW()+$C$5)),""),"")</f>
        <v/>
      </c>
      <c r="BU7">
        <f t="shared" ca="1" si="17"/>
        <v>0</v>
      </c>
      <c r="BV7">
        <f t="shared" ca="1" si="18"/>
        <v>0</v>
      </c>
      <c r="BW7">
        <f t="shared" ca="1" si="19"/>
        <v>0</v>
      </c>
      <c r="BX7" t="str">
        <f ca="1">IF(ROW()&lt;($C$7+1),"",IFERROR((分析データ!G7-AVERAGE(OFFSET(分析データ!G$1,MAX(1,ROW()-$C$7),0,MIN($C$7,ROW()-1),1)))/STDEV(OFFSET(分析データ!G$1,MAX(1,ROW()-$C$7),0,MIN($C$7,ROW()-1),1)),0))</f>
        <v/>
      </c>
      <c r="BY7">
        <f t="shared" ca="1" si="20"/>
        <v>0</v>
      </c>
      <c r="BZ7" t="str">
        <f ca="1">IF(BY7=1,IF(INDEX(分析データ!$A:$A,ROW()+$C$5)&lt;&gt;"",40000*SIGN(BX7)*(分析データ!G7-INDEX(分析データ!G:G,ROW()+$C$5)),""),"")</f>
        <v/>
      </c>
      <c r="CA7">
        <f t="shared" ca="1" si="21"/>
        <v>0</v>
      </c>
      <c r="CB7">
        <f t="shared" ca="1" si="22"/>
        <v>0</v>
      </c>
      <c r="CC7">
        <f t="shared" ca="1" si="23"/>
        <v>0</v>
      </c>
      <c r="CD7">
        <f t="shared" ca="1" si="24"/>
        <v>0</v>
      </c>
      <c r="CE7">
        <f t="shared" ca="1" si="25"/>
        <v>0</v>
      </c>
      <c r="CF7">
        <f t="shared" ca="1" si="26"/>
        <v>0</v>
      </c>
      <c r="CG7">
        <f t="shared" ca="1" si="27"/>
        <v>0</v>
      </c>
      <c r="CH7" s="10">
        <f>分析データ!A7</f>
        <v>44936</v>
      </c>
    </row>
    <row r="8" spans="2:86">
      <c r="AT8" t="str">
        <f ca="1">IF(ROW()&lt;($C$7+1),"",IFERROR((分析データ!B8-AVERAGE(OFFSET(分析データ!B$1,MAX(1,ROW()-$C$7),0,MIN($C$7,ROW()-1),1)))/STDEV(OFFSET(分析データ!B$1,MAX(1,ROW()-$C$7),0,MIN($C$7,ROW()-1),1)),0))</f>
        <v/>
      </c>
      <c r="AU8">
        <f t="shared" ca="1" si="0"/>
        <v>0</v>
      </c>
      <c r="AV8" t="str">
        <f ca="1">IF(AU8=1,IF(INDEX(分析データ!$A:$A,ROW()+$C$5)&lt;&gt;"",80000*SIGN(AT8)*(分析データ!B8-INDEX(分析データ!B:B,ROW()+$C$5)),""),"")</f>
        <v/>
      </c>
      <c r="AW8">
        <f t="shared" ca="1" si="1"/>
        <v>0</v>
      </c>
      <c r="AX8">
        <f t="shared" ca="1" si="2"/>
        <v>0</v>
      </c>
      <c r="AY8">
        <f t="shared" ca="1" si="3"/>
        <v>0</v>
      </c>
      <c r="AZ8" t="str">
        <f ca="1">IF(ROW()&lt;($C$7+1),"",IFERROR((分析データ!C8-AVERAGE(OFFSET(分析データ!C$1,MAX(1,ROW()-$C$7),0,MIN($C$7,ROW()-1),1)))/STDEV(OFFSET(分析データ!C$1,MAX(1,ROW()-$C$7),0,MIN($C$7,ROW()-1),1)),0))</f>
        <v/>
      </c>
      <c r="BA8">
        <f t="shared" ca="1" si="4"/>
        <v>0</v>
      </c>
      <c r="BB8" t="str">
        <f ca="1">IF(BA8=1,IF(INDEX(分析データ!$A:$A,ROW()+$C$5)&lt;&gt;"",60000*SIGN(AZ8)*(分析データ!C8-INDEX(分析データ!C:C,ROW()+$C$5)),""),"")</f>
        <v/>
      </c>
      <c r="BC8">
        <f t="shared" ca="1" si="5"/>
        <v>0</v>
      </c>
      <c r="BD8">
        <f t="shared" ca="1" si="6"/>
        <v>0</v>
      </c>
      <c r="BE8">
        <f t="shared" ca="1" si="7"/>
        <v>0</v>
      </c>
      <c r="BF8" t="str">
        <f ca="1">IF(ROW()&lt;($C$7+1),"",IFERROR((分析データ!D8-AVERAGE(OFFSET(分析データ!D$1,MAX(1,ROW()-$C$7),0,MIN($C$7,ROW()-1),1)))/STDEV(OFFSET(分析データ!D$1,MAX(1,ROW()-$C$7),0,MIN($C$7,ROW()-1),1)),0))</f>
        <v/>
      </c>
      <c r="BG8">
        <f t="shared" ca="1" si="8"/>
        <v>0</v>
      </c>
      <c r="BH8" t="str">
        <f ca="1">IF(BG8=1,IF(INDEX(分析データ!$A:$A,ROW()+$C$5)&lt;&gt;"",50000*SIGN(BF8)*(分析データ!D8-INDEX(分析データ!D:D,ROW()+$C$5)),""),"")</f>
        <v/>
      </c>
      <c r="BI8">
        <f t="shared" ca="1" si="9"/>
        <v>0</v>
      </c>
      <c r="BJ8">
        <f t="shared" ca="1" si="10"/>
        <v>0</v>
      </c>
      <c r="BK8">
        <f t="shared" ca="1" si="11"/>
        <v>0</v>
      </c>
      <c r="BL8" t="str">
        <f ca="1">IF(ROW()&lt;($C$7+1),"",IFERROR((分析データ!E8-AVERAGE(OFFSET(分析データ!E$1,MAX(1,ROW()-$C$7),0,MIN($C$7,ROW()-1),1)))/STDEV(OFFSET(分析データ!E$1,MAX(1,ROW()-$C$7),0,MIN($C$7,ROW()-1),1)),0))</f>
        <v/>
      </c>
      <c r="BM8">
        <f t="shared" ca="1" si="12"/>
        <v>0</v>
      </c>
      <c r="BN8" t="str">
        <f ca="1">IF(BM8=1,IF(INDEX(分析データ!$A:$A,ROW()+$C$5)&lt;&gt;"",40000*SIGN(BL8)*(分析データ!E8-INDEX(分析データ!E:E,ROW()+$C$5)),""),"")</f>
        <v/>
      </c>
      <c r="BO8">
        <f t="shared" ca="1" si="13"/>
        <v>0</v>
      </c>
      <c r="BP8">
        <f t="shared" ca="1" si="14"/>
        <v>0</v>
      </c>
      <c r="BQ8">
        <f t="shared" ca="1" si="15"/>
        <v>0</v>
      </c>
      <c r="BR8" t="str">
        <f ca="1">IF(ROW()&lt;($C$7+1),"",IFERROR((分析データ!F8-AVERAGE(OFFSET(分析データ!F$1,MAX(1,ROW()-$C$7),0,MIN($C$7,ROW()-1),1)))/STDEV(OFFSET(分析データ!F$1,MAX(1,ROW()-$C$7),0,MIN($C$7,ROW()-1),1)),0))</f>
        <v/>
      </c>
      <c r="BS8">
        <f t="shared" ca="1" si="16"/>
        <v>0</v>
      </c>
      <c r="BT8" t="str">
        <f ca="1">IF(BS8=1,IF(INDEX(分析データ!$A:$A,ROW()+$C$5)&lt;&gt;"",40000*SIGN(BR8)*(分析データ!F8-INDEX(分析データ!F:F,ROW()+$C$5)),""),"")</f>
        <v/>
      </c>
      <c r="BU8">
        <f t="shared" ca="1" si="17"/>
        <v>0</v>
      </c>
      <c r="BV8">
        <f t="shared" ca="1" si="18"/>
        <v>0</v>
      </c>
      <c r="BW8">
        <f t="shared" ca="1" si="19"/>
        <v>0</v>
      </c>
      <c r="BX8" t="str">
        <f ca="1">IF(ROW()&lt;($C$7+1),"",IFERROR((分析データ!G8-AVERAGE(OFFSET(分析データ!G$1,MAX(1,ROW()-$C$7),0,MIN($C$7,ROW()-1),1)))/STDEV(OFFSET(分析データ!G$1,MAX(1,ROW()-$C$7),0,MIN($C$7,ROW()-1),1)),0))</f>
        <v/>
      </c>
      <c r="BY8">
        <f t="shared" ca="1" si="20"/>
        <v>0</v>
      </c>
      <c r="BZ8" t="str">
        <f ca="1">IF(BY8=1,IF(INDEX(分析データ!$A:$A,ROW()+$C$5)&lt;&gt;"",40000*SIGN(BX8)*(分析データ!G8-INDEX(分析データ!G:G,ROW()+$C$5)),""),"")</f>
        <v/>
      </c>
      <c r="CA8">
        <f t="shared" ca="1" si="21"/>
        <v>0</v>
      </c>
      <c r="CB8">
        <f t="shared" ca="1" si="22"/>
        <v>0</v>
      </c>
      <c r="CC8">
        <f t="shared" ca="1" si="23"/>
        <v>0</v>
      </c>
      <c r="CD8">
        <f t="shared" ca="1" si="24"/>
        <v>0</v>
      </c>
      <c r="CE8">
        <f t="shared" ca="1" si="25"/>
        <v>0</v>
      </c>
      <c r="CF8">
        <f t="shared" ca="1" si="26"/>
        <v>0</v>
      </c>
      <c r="CG8">
        <f t="shared" ca="1" si="27"/>
        <v>0</v>
      </c>
      <c r="CH8" s="10">
        <f>分析データ!A8</f>
        <v>44937</v>
      </c>
    </row>
    <row r="9" spans="2:86">
      <c r="B9" s="58" t="s">
        <v>25</v>
      </c>
      <c r="C9" s="58" t="s">
        <v>465</v>
      </c>
      <c r="D9" s="58" t="s">
        <v>466</v>
      </c>
      <c r="E9" s="58" t="s">
        <v>467</v>
      </c>
      <c r="F9" s="58" t="s">
        <v>468</v>
      </c>
      <c r="G9" s="58" t="s">
        <v>469</v>
      </c>
      <c r="H9" s="58" t="s">
        <v>470</v>
      </c>
      <c r="I9" s="58" t="s">
        <v>471</v>
      </c>
      <c r="AT9" t="str">
        <f ca="1">IF(ROW()&lt;($C$7+1),"",IFERROR((分析データ!B9-AVERAGE(OFFSET(分析データ!B$1,MAX(1,ROW()-$C$7),0,MIN($C$7,ROW()-1),1)))/STDEV(OFFSET(分析データ!B$1,MAX(1,ROW()-$C$7),0,MIN($C$7,ROW()-1),1)),0))</f>
        <v/>
      </c>
      <c r="AU9">
        <f t="shared" ca="1" si="0"/>
        <v>0</v>
      </c>
      <c r="AV9" t="str">
        <f ca="1">IF(AU9=1,IF(INDEX(分析データ!$A:$A,ROW()+$C$5)&lt;&gt;"",80000*SIGN(AT9)*(分析データ!B9-INDEX(分析データ!B:B,ROW()+$C$5)),""),"")</f>
        <v/>
      </c>
      <c r="AW9">
        <f t="shared" ca="1" si="1"/>
        <v>0</v>
      </c>
      <c r="AX9">
        <f t="shared" ca="1" si="2"/>
        <v>0</v>
      </c>
      <c r="AY9">
        <f t="shared" ca="1" si="3"/>
        <v>0</v>
      </c>
      <c r="AZ9" t="str">
        <f ca="1">IF(ROW()&lt;($C$7+1),"",IFERROR((分析データ!C9-AVERAGE(OFFSET(分析データ!C$1,MAX(1,ROW()-$C$7),0,MIN($C$7,ROW()-1),1)))/STDEV(OFFSET(分析データ!C$1,MAX(1,ROW()-$C$7),0,MIN($C$7,ROW()-1),1)),0))</f>
        <v/>
      </c>
      <c r="BA9">
        <f t="shared" ca="1" si="4"/>
        <v>0</v>
      </c>
      <c r="BB9" t="str">
        <f ca="1">IF(BA9=1,IF(INDEX(分析データ!$A:$A,ROW()+$C$5)&lt;&gt;"",60000*SIGN(AZ9)*(分析データ!C9-INDEX(分析データ!C:C,ROW()+$C$5)),""),"")</f>
        <v/>
      </c>
      <c r="BC9">
        <f t="shared" ca="1" si="5"/>
        <v>0</v>
      </c>
      <c r="BD9">
        <f t="shared" ca="1" si="6"/>
        <v>0</v>
      </c>
      <c r="BE9">
        <f t="shared" ca="1" si="7"/>
        <v>0</v>
      </c>
      <c r="BF9" t="str">
        <f ca="1">IF(ROW()&lt;($C$7+1),"",IFERROR((分析データ!D9-AVERAGE(OFFSET(分析データ!D$1,MAX(1,ROW()-$C$7),0,MIN($C$7,ROW()-1),1)))/STDEV(OFFSET(分析データ!D$1,MAX(1,ROW()-$C$7),0,MIN($C$7,ROW()-1),1)),0))</f>
        <v/>
      </c>
      <c r="BG9">
        <f t="shared" ca="1" si="8"/>
        <v>0</v>
      </c>
      <c r="BH9" t="str">
        <f ca="1">IF(BG9=1,IF(INDEX(分析データ!$A:$A,ROW()+$C$5)&lt;&gt;"",50000*SIGN(BF9)*(分析データ!D9-INDEX(分析データ!D:D,ROW()+$C$5)),""),"")</f>
        <v/>
      </c>
      <c r="BI9">
        <f t="shared" ca="1" si="9"/>
        <v>0</v>
      </c>
      <c r="BJ9">
        <f t="shared" ca="1" si="10"/>
        <v>0</v>
      </c>
      <c r="BK9">
        <f t="shared" ca="1" si="11"/>
        <v>0</v>
      </c>
      <c r="BL9" t="str">
        <f ca="1">IF(ROW()&lt;($C$7+1),"",IFERROR((分析データ!E9-AVERAGE(OFFSET(分析データ!E$1,MAX(1,ROW()-$C$7),0,MIN($C$7,ROW()-1),1)))/STDEV(OFFSET(分析データ!E$1,MAX(1,ROW()-$C$7),0,MIN($C$7,ROW()-1),1)),0))</f>
        <v/>
      </c>
      <c r="BM9">
        <f t="shared" ca="1" si="12"/>
        <v>0</v>
      </c>
      <c r="BN9" t="str">
        <f ca="1">IF(BM9=1,IF(INDEX(分析データ!$A:$A,ROW()+$C$5)&lt;&gt;"",40000*SIGN(BL9)*(分析データ!E9-INDEX(分析データ!E:E,ROW()+$C$5)),""),"")</f>
        <v/>
      </c>
      <c r="BO9">
        <f t="shared" ca="1" si="13"/>
        <v>0</v>
      </c>
      <c r="BP9">
        <f t="shared" ca="1" si="14"/>
        <v>0</v>
      </c>
      <c r="BQ9">
        <f t="shared" ca="1" si="15"/>
        <v>0</v>
      </c>
      <c r="BR9" t="str">
        <f ca="1">IF(ROW()&lt;($C$7+1),"",IFERROR((分析データ!F9-AVERAGE(OFFSET(分析データ!F$1,MAX(1,ROW()-$C$7),0,MIN($C$7,ROW()-1),1)))/STDEV(OFFSET(分析データ!F$1,MAX(1,ROW()-$C$7),0,MIN($C$7,ROW()-1),1)),0))</f>
        <v/>
      </c>
      <c r="BS9">
        <f t="shared" ca="1" si="16"/>
        <v>0</v>
      </c>
      <c r="BT9" t="str">
        <f ca="1">IF(BS9=1,IF(INDEX(分析データ!$A:$A,ROW()+$C$5)&lt;&gt;"",40000*SIGN(BR9)*(分析データ!F9-INDEX(分析データ!F:F,ROW()+$C$5)),""),"")</f>
        <v/>
      </c>
      <c r="BU9">
        <f t="shared" ca="1" si="17"/>
        <v>0</v>
      </c>
      <c r="BV9">
        <f t="shared" ca="1" si="18"/>
        <v>0</v>
      </c>
      <c r="BW9">
        <f t="shared" ca="1" si="19"/>
        <v>0</v>
      </c>
      <c r="BX9" t="str">
        <f ca="1">IF(ROW()&lt;($C$7+1),"",IFERROR((分析データ!G9-AVERAGE(OFFSET(分析データ!G$1,MAX(1,ROW()-$C$7),0,MIN($C$7,ROW()-1),1)))/STDEV(OFFSET(分析データ!G$1,MAX(1,ROW()-$C$7),0,MIN($C$7,ROW()-1),1)),0))</f>
        <v/>
      </c>
      <c r="BY9">
        <f t="shared" ca="1" si="20"/>
        <v>0</v>
      </c>
      <c r="BZ9" t="str">
        <f ca="1">IF(BY9=1,IF(INDEX(分析データ!$A:$A,ROW()+$C$5)&lt;&gt;"",40000*SIGN(BX9)*(分析データ!G9-INDEX(分析データ!G:G,ROW()+$C$5)),""),"")</f>
        <v/>
      </c>
      <c r="CA9">
        <f t="shared" ca="1" si="21"/>
        <v>0</v>
      </c>
      <c r="CB9">
        <f t="shared" ca="1" si="22"/>
        <v>0</v>
      </c>
      <c r="CC9">
        <f t="shared" ca="1" si="23"/>
        <v>0</v>
      </c>
      <c r="CD9">
        <f t="shared" ca="1" si="24"/>
        <v>0</v>
      </c>
      <c r="CE9">
        <f t="shared" ca="1" si="25"/>
        <v>0</v>
      </c>
      <c r="CF9">
        <f t="shared" ca="1" si="26"/>
        <v>0</v>
      </c>
      <c r="CG9">
        <f t="shared" ca="1" si="27"/>
        <v>0</v>
      </c>
      <c r="CH9" s="10">
        <f>分析データ!A9</f>
        <v>44938</v>
      </c>
    </row>
    <row r="10" spans="2:86">
      <c r="B10" s="59" t="s">
        <v>31</v>
      </c>
      <c r="C10" s="13">
        <f ca="1">COUNT(AV$2:AV$1307)</f>
        <v>99</v>
      </c>
      <c r="D10" s="15">
        <f ca="1">IFERROR(COUNTIF(AV$2:AV$1307,"&gt;0")/COUNT(AV$2:AV$1307),"")</f>
        <v>0.49494949494949497</v>
      </c>
      <c r="E10" s="102">
        <f ca="1">IFERROR(AVERAGE(AV$2:AV$1307),"")</f>
        <v>-12525.252525252545</v>
      </c>
      <c r="F10" s="102">
        <f ca="1">SUM(AV$2:AV$1307)</f>
        <v>-1240000.0000000019</v>
      </c>
      <c r="G10" s="102">
        <f ca="1">IFERROR(MIN(AV$2:AV$1307),"")</f>
        <v>-760000.00000000151</v>
      </c>
      <c r="H10" s="3">
        <f ca="1">IFERROR(AVERAGE(AV$2:AV$1307)/80000,"")</f>
        <v>-0.1565656565656568</v>
      </c>
      <c r="I10" s="76" t="str">
        <f ca="1">IF(COUNT(AV$2:AV$1307)=0,"データ不足",IF(AND(F10&gt;0,D10&gt;=0.5),"採用候補",IF(F10&gt;0,"要観察","見送り")))</f>
        <v>見送り</v>
      </c>
      <c r="AT10" t="str">
        <f ca="1">IF(ROW()&lt;($C$7+1),"",IFERROR((分析データ!B10-AVERAGE(OFFSET(分析データ!B$1,MAX(1,ROW()-$C$7),0,MIN($C$7,ROW()-1),1)))/STDEV(OFFSET(分析データ!B$1,MAX(1,ROW()-$C$7),0,MIN($C$7,ROW()-1),1)),0))</f>
        <v/>
      </c>
      <c r="AU10">
        <f t="shared" ca="1" si="0"/>
        <v>0</v>
      </c>
      <c r="AV10" t="str">
        <f ca="1">IF(AU10=1,IF(INDEX(分析データ!$A:$A,ROW()+$C$5)&lt;&gt;"",80000*SIGN(AT10)*(分析データ!B10-INDEX(分析データ!B:B,ROW()+$C$5)),""),"")</f>
        <v/>
      </c>
      <c r="AW10">
        <f t="shared" ca="1" si="1"/>
        <v>0</v>
      </c>
      <c r="AX10">
        <f t="shared" ca="1" si="2"/>
        <v>0</v>
      </c>
      <c r="AY10">
        <f t="shared" ca="1" si="3"/>
        <v>0</v>
      </c>
      <c r="AZ10" t="str">
        <f ca="1">IF(ROW()&lt;($C$7+1),"",IFERROR((分析データ!C10-AVERAGE(OFFSET(分析データ!C$1,MAX(1,ROW()-$C$7),0,MIN($C$7,ROW()-1),1)))/STDEV(OFFSET(分析データ!C$1,MAX(1,ROW()-$C$7),0,MIN($C$7,ROW()-1),1)),0))</f>
        <v/>
      </c>
      <c r="BA10">
        <f t="shared" ca="1" si="4"/>
        <v>0</v>
      </c>
      <c r="BB10" t="str">
        <f ca="1">IF(BA10=1,IF(INDEX(分析データ!$A:$A,ROW()+$C$5)&lt;&gt;"",60000*SIGN(AZ10)*(分析データ!C10-INDEX(分析データ!C:C,ROW()+$C$5)),""),"")</f>
        <v/>
      </c>
      <c r="BC10">
        <f t="shared" ca="1" si="5"/>
        <v>0</v>
      </c>
      <c r="BD10">
        <f t="shared" ca="1" si="6"/>
        <v>0</v>
      </c>
      <c r="BE10">
        <f t="shared" ca="1" si="7"/>
        <v>0</v>
      </c>
      <c r="BF10" t="str">
        <f ca="1">IF(ROW()&lt;($C$7+1),"",IFERROR((分析データ!D10-AVERAGE(OFFSET(分析データ!D$1,MAX(1,ROW()-$C$7),0,MIN($C$7,ROW()-1),1)))/STDEV(OFFSET(分析データ!D$1,MAX(1,ROW()-$C$7),0,MIN($C$7,ROW()-1),1)),0))</f>
        <v/>
      </c>
      <c r="BG10">
        <f t="shared" ca="1" si="8"/>
        <v>0</v>
      </c>
      <c r="BH10" t="str">
        <f ca="1">IF(BG10=1,IF(INDEX(分析データ!$A:$A,ROW()+$C$5)&lt;&gt;"",50000*SIGN(BF10)*(分析データ!D10-INDEX(分析データ!D:D,ROW()+$C$5)),""),"")</f>
        <v/>
      </c>
      <c r="BI10">
        <f t="shared" ca="1" si="9"/>
        <v>0</v>
      </c>
      <c r="BJ10">
        <f t="shared" ca="1" si="10"/>
        <v>0</v>
      </c>
      <c r="BK10">
        <f t="shared" ca="1" si="11"/>
        <v>0</v>
      </c>
      <c r="BL10" t="str">
        <f ca="1">IF(ROW()&lt;($C$7+1),"",IFERROR((分析データ!E10-AVERAGE(OFFSET(分析データ!E$1,MAX(1,ROW()-$C$7),0,MIN($C$7,ROW()-1),1)))/STDEV(OFFSET(分析データ!E$1,MAX(1,ROW()-$C$7),0,MIN($C$7,ROW()-1),1)),0))</f>
        <v/>
      </c>
      <c r="BM10">
        <f t="shared" ca="1" si="12"/>
        <v>0</v>
      </c>
      <c r="BN10" t="str">
        <f ca="1">IF(BM10=1,IF(INDEX(分析データ!$A:$A,ROW()+$C$5)&lt;&gt;"",40000*SIGN(BL10)*(分析データ!E10-INDEX(分析データ!E:E,ROW()+$C$5)),""),"")</f>
        <v/>
      </c>
      <c r="BO10">
        <f t="shared" ca="1" si="13"/>
        <v>0</v>
      </c>
      <c r="BP10">
        <f t="shared" ca="1" si="14"/>
        <v>0</v>
      </c>
      <c r="BQ10">
        <f t="shared" ca="1" si="15"/>
        <v>0</v>
      </c>
      <c r="BR10" t="str">
        <f ca="1">IF(ROW()&lt;($C$7+1),"",IFERROR((分析データ!F10-AVERAGE(OFFSET(分析データ!F$1,MAX(1,ROW()-$C$7),0,MIN($C$7,ROW()-1),1)))/STDEV(OFFSET(分析データ!F$1,MAX(1,ROW()-$C$7),0,MIN($C$7,ROW()-1),1)),0))</f>
        <v/>
      </c>
      <c r="BS10">
        <f t="shared" ca="1" si="16"/>
        <v>0</v>
      </c>
      <c r="BT10" t="str">
        <f ca="1">IF(BS10=1,IF(INDEX(分析データ!$A:$A,ROW()+$C$5)&lt;&gt;"",40000*SIGN(BR10)*(分析データ!F10-INDEX(分析データ!F:F,ROW()+$C$5)),""),"")</f>
        <v/>
      </c>
      <c r="BU10">
        <f t="shared" ca="1" si="17"/>
        <v>0</v>
      </c>
      <c r="BV10">
        <f t="shared" ca="1" si="18"/>
        <v>0</v>
      </c>
      <c r="BW10">
        <f t="shared" ca="1" si="19"/>
        <v>0</v>
      </c>
      <c r="BX10" t="str">
        <f ca="1">IF(ROW()&lt;($C$7+1),"",IFERROR((分析データ!G10-AVERAGE(OFFSET(分析データ!G$1,MAX(1,ROW()-$C$7),0,MIN($C$7,ROW()-1),1)))/STDEV(OFFSET(分析データ!G$1,MAX(1,ROW()-$C$7),0,MIN($C$7,ROW()-1),1)),0))</f>
        <v/>
      </c>
      <c r="BY10">
        <f t="shared" ca="1" si="20"/>
        <v>0</v>
      </c>
      <c r="BZ10" t="str">
        <f ca="1">IF(BY10=1,IF(INDEX(分析データ!$A:$A,ROW()+$C$5)&lt;&gt;"",40000*SIGN(BX10)*(分析データ!G10-INDEX(分析データ!G:G,ROW()+$C$5)),""),"")</f>
        <v/>
      </c>
      <c r="CA10">
        <f t="shared" ca="1" si="21"/>
        <v>0</v>
      </c>
      <c r="CB10">
        <f t="shared" ca="1" si="22"/>
        <v>0</v>
      </c>
      <c r="CC10">
        <f t="shared" ca="1" si="23"/>
        <v>0</v>
      </c>
      <c r="CD10">
        <f t="shared" ca="1" si="24"/>
        <v>0</v>
      </c>
      <c r="CE10">
        <f t="shared" ca="1" si="25"/>
        <v>0</v>
      </c>
      <c r="CF10">
        <f t="shared" ca="1" si="26"/>
        <v>0</v>
      </c>
      <c r="CG10">
        <f t="shared" ca="1" si="27"/>
        <v>0</v>
      </c>
      <c r="CH10" s="10">
        <f>分析データ!A10</f>
        <v>44939</v>
      </c>
    </row>
    <row r="11" spans="2:86">
      <c r="B11" s="62" t="s">
        <v>33</v>
      </c>
      <c r="C11" s="101">
        <f ca="1">COUNT(BB$2:BB$1307)</f>
        <v>91</v>
      </c>
      <c r="D11" s="100">
        <f ca="1">IFERROR(COUNTIF(BB$2:BB$1307,"&gt;0")/COUNT(BB$2:BB$1307),"")</f>
        <v>0.46153846153846156</v>
      </c>
      <c r="E11" s="103">
        <f ca="1">IFERROR(AVERAGE(BB$2:BB$1307),"")</f>
        <v>-2868.1318681317043</v>
      </c>
      <c r="F11" s="103">
        <f ca="1">SUM(BB$2:BB$1307)</f>
        <v>-260999.9999999851</v>
      </c>
      <c r="G11" s="103">
        <f ca="1">IFERROR(MIN(BB$2:BB$1307),"")</f>
        <v>-519000.00000000012</v>
      </c>
      <c r="H11" s="67">
        <f ca="1">IFERROR(AVERAGE(BB$2:BB$1307)/60000,"")</f>
        <v>-4.7802197802195072E-2</v>
      </c>
      <c r="I11" s="77" t="str">
        <f ca="1">IF(COUNT(BB$2:BB$1307)=0,"データ不足",IF(AND(F11&gt;0,D11&gt;=0.5),"採用候補",IF(F11&gt;0,"要観察","見送り")))</f>
        <v>見送り</v>
      </c>
      <c r="AT11" t="str">
        <f ca="1">IF(ROW()&lt;($C$7+1),"",IFERROR((分析データ!B11-AVERAGE(OFFSET(分析データ!B$1,MAX(1,ROW()-$C$7),0,MIN($C$7,ROW()-1),1)))/STDEV(OFFSET(分析データ!B$1,MAX(1,ROW()-$C$7),0,MIN($C$7,ROW()-1),1)),0))</f>
        <v/>
      </c>
      <c r="AU11">
        <f t="shared" ca="1" si="0"/>
        <v>0</v>
      </c>
      <c r="AV11" t="str">
        <f ca="1">IF(AU11=1,IF(INDEX(分析データ!$A:$A,ROW()+$C$5)&lt;&gt;"",80000*SIGN(AT11)*(分析データ!B11-INDEX(分析データ!B:B,ROW()+$C$5)),""),"")</f>
        <v/>
      </c>
      <c r="AW11">
        <f t="shared" ca="1" si="1"/>
        <v>0</v>
      </c>
      <c r="AX11">
        <f t="shared" ca="1" si="2"/>
        <v>0</v>
      </c>
      <c r="AY11">
        <f t="shared" ca="1" si="3"/>
        <v>0</v>
      </c>
      <c r="AZ11" t="str">
        <f ca="1">IF(ROW()&lt;($C$7+1),"",IFERROR((分析データ!C11-AVERAGE(OFFSET(分析データ!C$1,MAX(1,ROW()-$C$7),0,MIN($C$7,ROW()-1),1)))/STDEV(OFFSET(分析データ!C$1,MAX(1,ROW()-$C$7),0,MIN($C$7,ROW()-1),1)),0))</f>
        <v/>
      </c>
      <c r="BA11">
        <f t="shared" ca="1" si="4"/>
        <v>0</v>
      </c>
      <c r="BB11" t="str">
        <f ca="1">IF(BA11=1,IF(INDEX(分析データ!$A:$A,ROW()+$C$5)&lt;&gt;"",60000*SIGN(AZ11)*(分析データ!C11-INDEX(分析データ!C:C,ROW()+$C$5)),""),"")</f>
        <v/>
      </c>
      <c r="BC11">
        <f t="shared" ca="1" si="5"/>
        <v>0</v>
      </c>
      <c r="BD11">
        <f t="shared" ca="1" si="6"/>
        <v>0</v>
      </c>
      <c r="BE11">
        <f t="shared" ca="1" si="7"/>
        <v>0</v>
      </c>
      <c r="BF11" t="str">
        <f ca="1">IF(ROW()&lt;($C$7+1),"",IFERROR((分析データ!D11-AVERAGE(OFFSET(分析データ!D$1,MAX(1,ROW()-$C$7),0,MIN($C$7,ROW()-1),1)))/STDEV(OFFSET(分析データ!D$1,MAX(1,ROW()-$C$7),0,MIN($C$7,ROW()-1),1)),0))</f>
        <v/>
      </c>
      <c r="BG11">
        <f t="shared" ca="1" si="8"/>
        <v>0</v>
      </c>
      <c r="BH11" t="str">
        <f ca="1">IF(BG11=1,IF(INDEX(分析データ!$A:$A,ROW()+$C$5)&lt;&gt;"",50000*SIGN(BF11)*(分析データ!D11-INDEX(分析データ!D:D,ROW()+$C$5)),""),"")</f>
        <v/>
      </c>
      <c r="BI11">
        <f t="shared" ca="1" si="9"/>
        <v>0</v>
      </c>
      <c r="BJ11">
        <f t="shared" ca="1" si="10"/>
        <v>0</v>
      </c>
      <c r="BK11">
        <f t="shared" ca="1" si="11"/>
        <v>0</v>
      </c>
      <c r="BL11" t="str">
        <f ca="1">IF(ROW()&lt;($C$7+1),"",IFERROR((分析データ!E11-AVERAGE(OFFSET(分析データ!E$1,MAX(1,ROW()-$C$7),0,MIN($C$7,ROW()-1),1)))/STDEV(OFFSET(分析データ!E$1,MAX(1,ROW()-$C$7),0,MIN($C$7,ROW()-1),1)),0))</f>
        <v/>
      </c>
      <c r="BM11">
        <f t="shared" ca="1" si="12"/>
        <v>0</v>
      </c>
      <c r="BN11" t="str">
        <f ca="1">IF(BM11=1,IF(INDEX(分析データ!$A:$A,ROW()+$C$5)&lt;&gt;"",40000*SIGN(BL11)*(分析データ!E11-INDEX(分析データ!E:E,ROW()+$C$5)),""),"")</f>
        <v/>
      </c>
      <c r="BO11">
        <f t="shared" ca="1" si="13"/>
        <v>0</v>
      </c>
      <c r="BP11">
        <f t="shared" ca="1" si="14"/>
        <v>0</v>
      </c>
      <c r="BQ11">
        <f t="shared" ca="1" si="15"/>
        <v>0</v>
      </c>
      <c r="BR11" t="str">
        <f ca="1">IF(ROW()&lt;($C$7+1),"",IFERROR((分析データ!F11-AVERAGE(OFFSET(分析データ!F$1,MAX(1,ROW()-$C$7),0,MIN($C$7,ROW()-1),1)))/STDEV(OFFSET(分析データ!F$1,MAX(1,ROW()-$C$7),0,MIN($C$7,ROW()-1),1)),0))</f>
        <v/>
      </c>
      <c r="BS11">
        <f t="shared" ca="1" si="16"/>
        <v>0</v>
      </c>
      <c r="BT11" t="str">
        <f ca="1">IF(BS11=1,IF(INDEX(分析データ!$A:$A,ROW()+$C$5)&lt;&gt;"",40000*SIGN(BR11)*(分析データ!F11-INDEX(分析データ!F:F,ROW()+$C$5)),""),"")</f>
        <v/>
      </c>
      <c r="BU11">
        <f t="shared" ca="1" si="17"/>
        <v>0</v>
      </c>
      <c r="BV11">
        <f t="shared" ca="1" si="18"/>
        <v>0</v>
      </c>
      <c r="BW11">
        <f t="shared" ca="1" si="19"/>
        <v>0</v>
      </c>
      <c r="BX11" t="str">
        <f ca="1">IF(ROW()&lt;($C$7+1),"",IFERROR((分析データ!G11-AVERAGE(OFFSET(分析データ!G$1,MAX(1,ROW()-$C$7),0,MIN($C$7,ROW()-1),1)))/STDEV(OFFSET(分析データ!G$1,MAX(1,ROW()-$C$7),0,MIN($C$7,ROW()-1),1)),0))</f>
        <v/>
      </c>
      <c r="BY11">
        <f t="shared" ca="1" si="20"/>
        <v>0</v>
      </c>
      <c r="BZ11" t="str">
        <f ca="1">IF(BY11=1,IF(INDEX(分析データ!$A:$A,ROW()+$C$5)&lt;&gt;"",40000*SIGN(BX11)*(分析データ!G11-INDEX(分析データ!G:G,ROW()+$C$5)),""),"")</f>
        <v/>
      </c>
      <c r="CA11">
        <f t="shared" ca="1" si="21"/>
        <v>0</v>
      </c>
      <c r="CB11">
        <f t="shared" ca="1" si="22"/>
        <v>0</v>
      </c>
      <c r="CC11">
        <f t="shared" ca="1" si="23"/>
        <v>0</v>
      </c>
      <c r="CD11">
        <f t="shared" ca="1" si="24"/>
        <v>0</v>
      </c>
      <c r="CE11">
        <f t="shared" ca="1" si="25"/>
        <v>0</v>
      </c>
      <c r="CF11">
        <f t="shared" ca="1" si="26"/>
        <v>0</v>
      </c>
      <c r="CG11">
        <f t="shared" ca="1" si="27"/>
        <v>0</v>
      </c>
      <c r="CH11" s="10">
        <f>分析データ!A11</f>
        <v>44943</v>
      </c>
    </row>
    <row r="12" spans="2:86">
      <c r="B12" s="59" t="s">
        <v>472</v>
      </c>
      <c r="C12" s="13">
        <f ca="1">COUNT(BH$2:BH$1307)</f>
        <v>56</v>
      </c>
      <c r="D12" s="15">
        <f ca="1">IFERROR(COUNTIF(BH$2:BH$1307,"&gt;0")/COUNT(BH$2:BH$1307),"")</f>
        <v>0.5535714285714286</v>
      </c>
      <c r="E12" s="102">
        <f ca="1">IFERROR(AVERAGE(BH$2:BH$1307),"")</f>
        <v>99464.285714286074</v>
      </c>
      <c r="F12" s="102">
        <f ca="1">SUM(BH$2:BH$1307)</f>
        <v>5570000.0000000205</v>
      </c>
      <c r="G12" s="102">
        <f ca="1">IFERROR(MIN(BH$2:BH$1307),"")</f>
        <v>-929999.99999999825</v>
      </c>
      <c r="H12" s="3">
        <f ca="1">IFERROR(AVERAGE(BH$2:BH$1307)/50000,"")</f>
        <v>1.9892857142857214</v>
      </c>
      <c r="I12" s="76" t="str">
        <f ca="1">IF(COUNT(BH$2:BH$1307)=0,"データ不足",IF(AND(F12&gt;0,D12&gt;=0.5),"採用候補",IF(F12&gt;0,"要観察","見送り")))</f>
        <v>採用候補</v>
      </c>
      <c r="AT12" t="str">
        <f ca="1">IF(ROW()&lt;($C$7+1),"",IFERROR((分析データ!B12-AVERAGE(OFFSET(分析データ!B$1,MAX(1,ROW()-$C$7),0,MIN($C$7,ROW()-1),1)))/STDEV(OFFSET(分析データ!B$1,MAX(1,ROW()-$C$7),0,MIN($C$7,ROW()-1),1)),0))</f>
        <v/>
      </c>
      <c r="AU12">
        <f t="shared" ca="1" si="0"/>
        <v>0</v>
      </c>
      <c r="AV12" t="str">
        <f ca="1">IF(AU12=1,IF(INDEX(分析データ!$A:$A,ROW()+$C$5)&lt;&gt;"",80000*SIGN(AT12)*(分析データ!B12-INDEX(分析データ!B:B,ROW()+$C$5)),""),"")</f>
        <v/>
      </c>
      <c r="AW12">
        <f t="shared" ca="1" si="1"/>
        <v>0</v>
      </c>
      <c r="AX12">
        <f t="shared" ca="1" si="2"/>
        <v>0</v>
      </c>
      <c r="AY12">
        <f t="shared" ca="1" si="3"/>
        <v>0</v>
      </c>
      <c r="AZ12" t="str">
        <f ca="1">IF(ROW()&lt;($C$7+1),"",IFERROR((分析データ!C12-AVERAGE(OFFSET(分析データ!C$1,MAX(1,ROW()-$C$7),0,MIN($C$7,ROW()-1),1)))/STDEV(OFFSET(分析データ!C$1,MAX(1,ROW()-$C$7),0,MIN($C$7,ROW()-1),1)),0))</f>
        <v/>
      </c>
      <c r="BA12">
        <f t="shared" ca="1" si="4"/>
        <v>0</v>
      </c>
      <c r="BB12" t="str">
        <f ca="1">IF(BA12=1,IF(INDEX(分析データ!$A:$A,ROW()+$C$5)&lt;&gt;"",60000*SIGN(AZ12)*(分析データ!C12-INDEX(分析データ!C:C,ROW()+$C$5)),""),"")</f>
        <v/>
      </c>
      <c r="BC12">
        <f t="shared" ca="1" si="5"/>
        <v>0</v>
      </c>
      <c r="BD12">
        <f t="shared" ca="1" si="6"/>
        <v>0</v>
      </c>
      <c r="BE12">
        <f t="shared" ca="1" si="7"/>
        <v>0</v>
      </c>
      <c r="BF12" t="str">
        <f ca="1">IF(ROW()&lt;($C$7+1),"",IFERROR((分析データ!D12-AVERAGE(OFFSET(分析データ!D$1,MAX(1,ROW()-$C$7),0,MIN($C$7,ROW()-1),1)))/STDEV(OFFSET(分析データ!D$1,MAX(1,ROW()-$C$7),0,MIN($C$7,ROW()-1),1)),0))</f>
        <v/>
      </c>
      <c r="BG12">
        <f t="shared" ca="1" si="8"/>
        <v>0</v>
      </c>
      <c r="BH12" t="str">
        <f ca="1">IF(BG12=1,IF(INDEX(分析データ!$A:$A,ROW()+$C$5)&lt;&gt;"",50000*SIGN(BF12)*(分析データ!D12-INDEX(分析データ!D:D,ROW()+$C$5)),""),"")</f>
        <v/>
      </c>
      <c r="BI12">
        <f t="shared" ca="1" si="9"/>
        <v>0</v>
      </c>
      <c r="BJ12">
        <f t="shared" ca="1" si="10"/>
        <v>0</v>
      </c>
      <c r="BK12">
        <f t="shared" ca="1" si="11"/>
        <v>0</v>
      </c>
      <c r="BL12" t="str">
        <f ca="1">IF(ROW()&lt;($C$7+1),"",IFERROR((分析データ!E12-AVERAGE(OFFSET(分析データ!E$1,MAX(1,ROW()-$C$7),0,MIN($C$7,ROW()-1),1)))/STDEV(OFFSET(分析データ!E$1,MAX(1,ROW()-$C$7),0,MIN($C$7,ROW()-1),1)),0))</f>
        <v/>
      </c>
      <c r="BM12">
        <f t="shared" ca="1" si="12"/>
        <v>0</v>
      </c>
      <c r="BN12" t="str">
        <f ca="1">IF(BM12=1,IF(INDEX(分析データ!$A:$A,ROW()+$C$5)&lt;&gt;"",40000*SIGN(BL12)*(分析データ!E12-INDEX(分析データ!E:E,ROW()+$C$5)),""),"")</f>
        <v/>
      </c>
      <c r="BO12">
        <f t="shared" ca="1" si="13"/>
        <v>0</v>
      </c>
      <c r="BP12">
        <f t="shared" ca="1" si="14"/>
        <v>0</v>
      </c>
      <c r="BQ12">
        <f t="shared" ca="1" si="15"/>
        <v>0</v>
      </c>
      <c r="BR12" t="str">
        <f ca="1">IF(ROW()&lt;($C$7+1),"",IFERROR((分析データ!F12-AVERAGE(OFFSET(分析データ!F$1,MAX(1,ROW()-$C$7),0,MIN($C$7,ROW()-1),1)))/STDEV(OFFSET(分析データ!F$1,MAX(1,ROW()-$C$7),0,MIN($C$7,ROW()-1),1)),0))</f>
        <v/>
      </c>
      <c r="BS12">
        <f t="shared" ca="1" si="16"/>
        <v>0</v>
      </c>
      <c r="BT12" t="str">
        <f ca="1">IF(BS12=1,IF(INDEX(分析データ!$A:$A,ROW()+$C$5)&lt;&gt;"",40000*SIGN(BR12)*(分析データ!F12-INDEX(分析データ!F:F,ROW()+$C$5)),""),"")</f>
        <v/>
      </c>
      <c r="BU12">
        <f t="shared" ca="1" si="17"/>
        <v>0</v>
      </c>
      <c r="BV12">
        <f t="shared" ca="1" si="18"/>
        <v>0</v>
      </c>
      <c r="BW12">
        <f t="shared" ca="1" si="19"/>
        <v>0</v>
      </c>
      <c r="BX12" t="str">
        <f ca="1">IF(ROW()&lt;($C$7+1),"",IFERROR((分析データ!G12-AVERAGE(OFFSET(分析データ!G$1,MAX(1,ROW()-$C$7),0,MIN($C$7,ROW()-1),1)))/STDEV(OFFSET(分析データ!G$1,MAX(1,ROW()-$C$7),0,MIN($C$7,ROW()-1),1)),0))</f>
        <v/>
      </c>
      <c r="BY12">
        <f t="shared" ca="1" si="20"/>
        <v>0</v>
      </c>
      <c r="BZ12" t="str">
        <f ca="1">IF(BY12=1,IF(INDEX(分析データ!$A:$A,ROW()+$C$5)&lt;&gt;"",40000*SIGN(BX12)*(分析データ!G12-INDEX(分析データ!G:G,ROW()+$C$5)),""),"")</f>
        <v/>
      </c>
      <c r="CA12">
        <f t="shared" ca="1" si="21"/>
        <v>0</v>
      </c>
      <c r="CB12">
        <f t="shared" ca="1" si="22"/>
        <v>0</v>
      </c>
      <c r="CC12">
        <f t="shared" ca="1" si="23"/>
        <v>0</v>
      </c>
      <c r="CD12">
        <f t="shared" ca="1" si="24"/>
        <v>0</v>
      </c>
      <c r="CE12">
        <f t="shared" ca="1" si="25"/>
        <v>0</v>
      </c>
      <c r="CF12">
        <f t="shared" ca="1" si="26"/>
        <v>0</v>
      </c>
      <c r="CG12">
        <f t="shared" ca="1" si="27"/>
        <v>0</v>
      </c>
      <c r="CH12" s="10">
        <f>分析データ!A12</f>
        <v>44944</v>
      </c>
    </row>
    <row r="13" spans="2:86">
      <c r="B13" s="62" t="s">
        <v>473</v>
      </c>
      <c r="C13" s="101">
        <f ca="1">COUNT(BN$2:BN$1307)</f>
        <v>128</v>
      </c>
      <c r="D13" s="100">
        <f ca="1">IFERROR(COUNTIF(BN$2:BN$1307,"&gt;0")/COUNT(BN$2:BN$1307),"")</f>
        <v>0.5</v>
      </c>
      <c r="E13" s="103">
        <f ca="1">IFERROR(AVERAGE(BN$2:BN$1307),"")</f>
        <v>21250.000000000011</v>
      </c>
      <c r="F13" s="103">
        <f ca="1">SUM(BN$2:BN$1307)</f>
        <v>2720000.0000000014</v>
      </c>
      <c r="G13" s="103">
        <f ca="1">IFERROR(MIN(BN$2:BN$1307),"")</f>
        <v>-399999.9999999986</v>
      </c>
      <c r="H13" s="67">
        <f ca="1">IFERROR(AVERAGE(BN$2:BN$1307)/40000,"")</f>
        <v>0.53125000000000022</v>
      </c>
      <c r="I13" s="77" t="str">
        <f ca="1">IF(COUNT(BN$2:BN$1307)=0,"データ不足",IF(AND(F13&gt;0,D13&gt;=0.5),"採用候補",IF(F13&gt;0,"要観察","見送り")))</f>
        <v>採用候補</v>
      </c>
      <c r="AT13" t="str">
        <f ca="1">IF(ROW()&lt;($C$7+1),"",IFERROR((分析データ!B13-AVERAGE(OFFSET(分析データ!B$1,MAX(1,ROW()-$C$7),0,MIN($C$7,ROW()-1),1)))/STDEV(OFFSET(分析データ!B$1,MAX(1,ROW()-$C$7),0,MIN($C$7,ROW()-1),1)),0))</f>
        <v/>
      </c>
      <c r="AU13">
        <f t="shared" ca="1" si="0"/>
        <v>0</v>
      </c>
      <c r="AV13" t="str">
        <f ca="1">IF(AU13=1,IF(INDEX(分析データ!$A:$A,ROW()+$C$5)&lt;&gt;"",80000*SIGN(AT13)*(分析データ!B13-INDEX(分析データ!B:B,ROW()+$C$5)),""),"")</f>
        <v/>
      </c>
      <c r="AW13">
        <f t="shared" ca="1" si="1"/>
        <v>0</v>
      </c>
      <c r="AX13">
        <f t="shared" ca="1" si="2"/>
        <v>0</v>
      </c>
      <c r="AY13">
        <f t="shared" ca="1" si="3"/>
        <v>0</v>
      </c>
      <c r="AZ13" t="str">
        <f ca="1">IF(ROW()&lt;($C$7+1),"",IFERROR((分析データ!C13-AVERAGE(OFFSET(分析データ!C$1,MAX(1,ROW()-$C$7),0,MIN($C$7,ROW()-1),1)))/STDEV(OFFSET(分析データ!C$1,MAX(1,ROW()-$C$7),0,MIN($C$7,ROW()-1),1)),0))</f>
        <v/>
      </c>
      <c r="BA13">
        <f t="shared" ca="1" si="4"/>
        <v>0</v>
      </c>
      <c r="BB13" t="str">
        <f ca="1">IF(BA13=1,IF(INDEX(分析データ!$A:$A,ROW()+$C$5)&lt;&gt;"",60000*SIGN(AZ13)*(分析データ!C13-INDEX(分析データ!C:C,ROW()+$C$5)),""),"")</f>
        <v/>
      </c>
      <c r="BC13">
        <f t="shared" ca="1" si="5"/>
        <v>0</v>
      </c>
      <c r="BD13">
        <f t="shared" ca="1" si="6"/>
        <v>0</v>
      </c>
      <c r="BE13">
        <f t="shared" ca="1" si="7"/>
        <v>0</v>
      </c>
      <c r="BF13" t="str">
        <f ca="1">IF(ROW()&lt;($C$7+1),"",IFERROR((分析データ!D13-AVERAGE(OFFSET(分析データ!D$1,MAX(1,ROW()-$C$7),0,MIN($C$7,ROW()-1),1)))/STDEV(OFFSET(分析データ!D$1,MAX(1,ROW()-$C$7),0,MIN($C$7,ROW()-1),1)),0))</f>
        <v/>
      </c>
      <c r="BG13">
        <f t="shared" ca="1" si="8"/>
        <v>0</v>
      </c>
      <c r="BH13" t="str">
        <f ca="1">IF(BG13=1,IF(INDEX(分析データ!$A:$A,ROW()+$C$5)&lt;&gt;"",50000*SIGN(BF13)*(分析データ!D13-INDEX(分析データ!D:D,ROW()+$C$5)),""),"")</f>
        <v/>
      </c>
      <c r="BI13">
        <f t="shared" ca="1" si="9"/>
        <v>0</v>
      </c>
      <c r="BJ13">
        <f t="shared" ca="1" si="10"/>
        <v>0</v>
      </c>
      <c r="BK13">
        <f t="shared" ca="1" si="11"/>
        <v>0</v>
      </c>
      <c r="BL13" t="str">
        <f ca="1">IF(ROW()&lt;($C$7+1),"",IFERROR((分析データ!E13-AVERAGE(OFFSET(分析データ!E$1,MAX(1,ROW()-$C$7),0,MIN($C$7,ROW()-1),1)))/STDEV(OFFSET(分析データ!E$1,MAX(1,ROW()-$C$7),0,MIN($C$7,ROW()-1),1)),0))</f>
        <v/>
      </c>
      <c r="BM13">
        <f t="shared" ca="1" si="12"/>
        <v>0</v>
      </c>
      <c r="BN13" t="str">
        <f ca="1">IF(BM13=1,IF(INDEX(分析データ!$A:$A,ROW()+$C$5)&lt;&gt;"",40000*SIGN(BL13)*(分析データ!E13-INDEX(分析データ!E:E,ROW()+$C$5)),""),"")</f>
        <v/>
      </c>
      <c r="BO13">
        <f t="shared" ca="1" si="13"/>
        <v>0</v>
      </c>
      <c r="BP13">
        <f t="shared" ca="1" si="14"/>
        <v>0</v>
      </c>
      <c r="BQ13">
        <f t="shared" ca="1" si="15"/>
        <v>0</v>
      </c>
      <c r="BR13" t="str">
        <f ca="1">IF(ROW()&lt;($C$7+1),"",IFERROR((分析データ!F13-AVERAGE(OFFSET(分析データ!F$1,MAX(1,ROW()-$C$7),0,MIN($C$7,ROW()-1),1)))/STDEV(OFFSET(分析データ!F$1,MAX(1,ROW()-$C$7),0,MIN($C$7,ROW()-1),1)),0))</f>
        <v/>
      </c>
      <c r="BS13">
        <f t="shared" ca="1" si="16"/>
        <v>0</v>
      </c>
      <c r="BT13" t="str">
        <f ca="1">IF(BS13=1,IF(INDEX(分析データ!$A:$A,ROW()+$C$5)&lt;&gt;"",40000*SIGN(BR13)*(分析データ!F13-INDEX(分析データ!F:F,ROW()+$C$5)),""),"")</f>
        <v/>
      </c>
      <c r="BU13">
        <f t="shared" ca="1" si="17"/>
        <v>0</v>
      </c>
      <c r="BV13">
        <f t="shared" ca="1" si="18"/>
        <v>0</v>
      </c>
      <c r="BW13">
        <f t="shared" ca="1" si="19"/>
        <v>0</v>
      </c>
      <c r="BX13" t="str">
        <f ca="1">IF(ROW()&lt;($C$7+1),"",IFERROR((分析データ!G13-AVERAGE(OFFSET(分析データ!G$1,MAX(1,ROW()-$C$7),0,MIN($C$7,ROW()-1),1)))/STDEV(OFFSET(分析データ!G$1,MAX(1,ROW()-$C$7),0,MIN($C$7,ROW()-1),1)),0))</f>
        <v/>
      </c>
      <c r="BY13">
        <f t="shared" ca="1" si="20"/>
        <v>0</v>
      </c>
      <c r="BZ13" t="str">
        <f ca="1">IF(BY13=1,IF(INDEX(分析データ!$A:$A,ROW()+$C$5)&lt;&gt;"",40000*SIGN(BX13)*(分析データ!G13-INDEX(分析データ!G:G,ROW()+$C$5)),""),"")</f>
        <v/>
      </c>
      <c r="CA13">
        <f t="shared" ca="1" si="21"/>
        <v>0</v>
      </c>
      <c r="CB13">
        <f t="shared" ca="1" si="22"/>
        <v>0</v>
      </c>
      <c r="CC13">
        <f t="shared" ca="1" si="23"/>
        <v>0</v>
      </c>
      <c r="CD13">
        <f t="shared" ca="1" si="24"/>
        <v>0</v>
      </c>
      <c r="CE13">
        <f t="shared" ca="1" si="25"/>
        <v>0</v>
      </c>
      <c r="CF13">
        <f t="shared" ca="1" si="26"/>
        <v>0</v>
      </c>
      <c r="CG13">
        <f t="shared" ca="1" si="27"/>
        <v>0</v>
      </c>
      <c r="CH13" s="10">
        <f>分析データ!A13</f>
        <v>44945</v>
      </c>
    </row>
    <row r="14" spans="2:86">
      <c r="B14" s="59" t="s">
        <v>474</v>
      </c>
      <c r="C14" s="13">
        <f ca="1">COUNT(BT$2:BT$1307)</f>
        <v>43</v>
      </c>
      <c r="D14" s="15">
        <f ca="1">IFERROR(COUNTIF(BT$2:BT$1307,"&gt;0")/COUNT(BT$2:BT$1307),"")</f>
        <v>0.86046511627906974</v>
      </c>
      <c r="E14" s="102">
        <f ca="1">IFERROR(AVERAGE(BT$2:BT$1307),"")</f>
        <v>460855.81395348837</v>
      </c>
      <c r="F14" s="102">
        <f ca="1">SUM(BT$2:BT$1307)</f>
        <v>19816800</v>
      </c>
      <c r="G14" s="102">
        <f ca="1">IFERROR(MIN(BT$2:BT$1307),"")</f>
        <v>-463999.99999999866</v>
      </c>
      <c r="H14" s="3">
        <f ca="1">IFERROR(AVERAGE(BT$2:BT$1307)/40000,"")</f>
        <v>11.52139534883721</v>
      </c>
      <c r="I14" s="76" t="str">
        <f ca="1">IF(COUNT(BT$2:BT$1307)=0,"データ不足",IF(AND(F14&gt;0,D14&gt;=0.5),"採用候補",IF(F14&gt;0,"要観察","見送り")))</f>
        <v>採用候補</v>
      </c>
      <c r="AT14" t="str">
        <f ca="1">IF(ROW()&lt;($C$7+1),"",IFERROR((分析データ!B14-AVERAGE(OFFSET(分析データ!B$1,MAX(1,ROW()-$C$7),0,MIN($C$7,ROW()-1),1)))/STDEV(OFFSET(分析データ!B$1,MAX(1,ROW()-$C$7),0,MIN($C$7,ROW()-1),1)),0))</f>
        <v/>
      </c>
      <c r="AU14">
        <f t="shared" ca="1" si="0"/>
        <v>0</v>
      </c>
      <c r="AV14" t="str">
        <f ca="1">IF(AU14=1,IF(INDEX(分析データ!$A:$A,ROW()+$C$5)&lt;&gt;"",80000*SIGN(AT14)*(分析データ!B14-INDEX(分析データ!B:B,ROW()+$C$5)),""),"")</f>
        <v/>
      </c>
      <c r="AW14">
        <f t="shared" ca="1" si="1"/>
        <v>0</v>
      </c>
      <c r="AX14">
        <f t="shared" ca="1" si="2"/>
        <v>0</v>
      </c>
      <c r="AY14">
        <f t="shared" ca="1" si="3"/>
        <v>0</v>
      </c>
      <c r="AZ14" t="str">
        <f ca="1">IF(ROW()&lt;($C$7+1),"",IFERROR((分析データ!C14-AVERAGE(OFFSET(分析データ!C$1,MAX(1,ROW()-$C$7),0,MIN($C$7,ROW()-1),1)))/STDEV(OFFSET(分析データ!C$1,MAX(1,ROW()-$C$7),0,MIN($C$7,ROW()-1),1)),0))</f>
        <v/>
      </c>
      <c r="BA14">
        <f t="shared" ca="1" si="4"/>
        <v>0</v>
      </c>
      <c r="BB14" t="str">
        <f ca="1">IF(BA14=1,IF(INDEX(分析データ!$A:$A,ROW()+$C$5)&lt;&gt;"",60000*SIGN(AZ14)*(分析データ!C14-INDEX(分析データ!C:C,ROW()+$C$5)),""),"")</f>
        <v/>
      </c>
      <c r="BC14">
        <f t="shared" ca="1" si="5"/>
        <v>0</v>
      </c>
      <c r="BD14">
        <f t="shared" ca="1" si="6"/>
        <v>0</v>
      </c>
      <c r="BE14">
        <f t="shared" ca="1" si="7"/>
        <v>0</v>
      </c>
      <c r="BF14" t="str">
        <f ca="1">IF(ROW()&lt;($C$7+1),"",IFERROR((分析データ!D14-AVERAGE(OFFSET(分析データ!D$1,MAX(1,ROW()-$C$7),0,MIN($C$7,ROW()-1),1)))/STDEV(OFFSET(分析データ!D$1,MAX(1,ROW()-$C$7),0,MIN($C$7,ROW()-1),1)),0))</f>
        <v/>
      </c>
      <c r="BG14">
        <f t="shared" ca="1" si="8"/>
        <v>0</v>
      </c>
      <c r="BH14" t="str">
        <f ca="1">IF(BG14=1,IF(INDEX(分析データ!$A:$A,ROW()+$C$5)&lt;&gt;"",50000*SIGN(BF14)*(分析データ!D14-INDEX(分析データ!D:D,ROW()+$C$5)),""),"")</f>
        <v/>
      </c>
      <c r="BI14">
        <f t="shared" ca="1" si="9"/>
        <v>0</v>
      </c>
      <c r="BJ14">
        <f t="shared" ca="1" si="10"/>
        <v>0</v>
      </c>
      <c r="BK14">
        <f t="shared" ca="1" si="11"/>
        <v>0</v>
      </c>
      <c r="BL14" t="str">
        <f ca="1">IF(ROW()&lt;($C$7+1),"",IFERROR((分析データ!E14-AVERAGE(OFFSET(分析データ!E$1,MAX(1,ROW()-$C$7),0,MIN($C$7,ROW()-1),1)))/STDEV(OFFSET(分析データ!E$1,MAX(1,ROW()-$C$7),0,MIN($C$7,ROW()-1),1)),0))</f>
        <v/>
      </c>
      <c r="BM14">
        <f t="shared" ca="1" si="12"/>
        <v>0</v>
      </c>
      <c r="BN14" t="str">
        <f ca="1">IF(BM14=1,IF(INDEX(分析データ!$A:$A,ROW()+$C$5)&lt;&gt;"",40000*SIGN(BL14)*(分析データ!E14-INDEX(分析データ!E:E,ROW()+$C$5)),""),"")</f>
        <v/>
      </c>
      <c r="BO14">
        <f t="shared" ca="1" si="13"/>
        <v>0</v>
      </c>
      <c r="BP14">
        <f t="shared" ca="1" si="14"/>
        <v>0</v>
      </c>
      <c r="BQ14">
        <f t="shared" ca="1" si="15"/>
        <v>0</v>
      </c>
      <c r="BR14" t="str">
        <f ca="1">IF(ROW()&lt;($C$7+1),"",IFERROR((分析データ!F14-AVERAGE(OFFSET(分析データ!F$1,MAX(1,ROW()-$C$7),0,MIN($C$7,ROW()-1),1)))/STDEV(OFFSET(分析データ!F$1,MAX(1,ROW()-$C$7),0,MIN($C$7,ROW()-1),1)),0))</f>
        <v/>
      </c>
      <c r="BS14">
        <f t="shared" ca="1" si="16"/>
        <v>0</v>
      </c>
      <c r="BT14" t="str">
        <f ca="1">IF(BS14=1,IF(INDEX(分析データ!$A:$A,ROW()+$C$5)&lt;&gt;"",40000*SIGN(BR14)*(分析データ!F14-INDEX(分析データ!F:F,ROW()+$C$5)),""),"")</f>
        <v/>
      </c>
      <c r="BU14">
        <f t="shared" ca="1" si="17"/>
        <v>0</v>
      </c>
      <c r="BV14">
        <f t="shared" ca="1" si="18"/>
        <v>0</v>
      </c>
      <c r="BW14">
        <f t="shared" ca="1" si="19"/>
        <v>0</v>
      </c>
      <c r="BX14" t="str">
        <f ca="1">IF(ROW()&lt;($C$7+1),"",IFERROR((分析データ!G14-AVERAGE(OFFSET(分析データ!G$1,MAX(1,ROW()-$C$7),0,MIN($C$7,ROW()-1),1)))/STDEV(OFFSET(分析データ!G$1,MAX(1,ROW()-$C$7),0,MIN($C$7,ROW()-1),1)),0))</f>
        <v/>
      </c>
      <c r="BY14">
        <f t="shared" ca="1" si="20"/>
        <v>0</v>
      </c>
      <c r="BZ14" t="str">
        <f ca="1">IF(BY14=1,IF(INDEX(分析データ!$A:$A,ROW()+$C$5)&lt;&gt;"",40000*SIGN(BX14)*(分析データ!G14-INDEX(分析データ!G:G,ROW()+$C$5)),""),"")</f>
        <v/>
      </c>
      <c r="CA14">
        <f t="shared" ca="1" si="21"/>
        <v>0</v>
      </c>
      <c r="CB14">
        <f t="shared" ca="1" si="22"/>
        <v>0</v>
      </c>
      <c r="CC14">
        <f t="shared" ca="1" si="23"/>
        <v>0</v>
      </c>
      <c r="CD14">
        <f t="shared" ca="1" si="24"/>
        <v>0</v>
      </c>
      <c r="CE14">
        <f t="shared" ca="1" si="25"/>
        <v>0</v>
      </c>
      <c r="CF14">
        <f t="shared" ca="1" si="26"/>
        <v>0</v>
      </c>
      <c r="CG14">
        <f t="shared" ca="1" si="27"/>
        <v>0</v>
      </c>
      <c r="CH14" s="10">
        <f>分析データ!A14</f>
        <v>44946</v>
      </c>
    </row>
    <row r="15" spans="2:86" ht="15" thickBot="1">
      <c r="B15" s="104" t="s">
        <v>475</v>
      </c>
      <c r="C15" s="105">
        <f ca="1">COUNT(BZ$2:BZ$1307)</f>
        <v>99</v>
      </c>
      <c r="D15" s="106">
        <f ca="1">IFERROR(COUNTIF(BZ$2:BZ$1307,"&gt;0")/COUNT(BZ$2:BZ$1307),"")</f>
        <v>0.49494949494949497</v>
      </c>
      <c r="E15" s="107">
        <f ca="1">IFERROR(AVERAGE(BZ$2:BZ$1307),"")</f>
        <v>-35509.624911221392</v>
      </c>
      <c r="F15" s="107">
        <f ca="1">SUM(BZ$2:BZ$1307)</f>
        <v>-3515452.8662109179</v>
      </c>
      <c r="G15" s="107">
        <f ca="1">IFERROR(MIN(BZ$2:BZ$1307),"")</f>
        <v>-2391072.8564453176</v>
      </c>
      <c r="H15" s="108">
        <f ca="1">IFERROR(AVERAGE(BZ$2:BZ$1307)/40000,"")</f>
        <v>-0.88774062278053478</v>
      </c>
      <c r="I15" s="109" t="str">
        <f ca="1">IF(COUNT(BZ$2:BZ$1307)=0,"データ不足",IF(AND(F15&gt;0,D15&gt;=0.5),"採用候補",IF(F15&gt;0,"要観察","見送り")))</f>
        <v>見送り</v>
      </c>
      <c r="AT15" t="str">
        <f ca="1">IF(ROW()&lt;($C$7+1),"",IFERROR((分析データ!B15-AVERAGE(OFFSET(分析データ!B$1,MAX(1,ROW()-$C$7),0,MIN($C$7,ROW()-1),1)))/STDEV(OFFSET(分析データ!B$1,MAX(1,ROW()-$C$7),0,MIN($C$7,ROW()-1),1)),0))</f>
        <v/>
      </c>
      <c r="AU15">
        <f t="shared" ca="1" si="0"/>
        <v>0</v>
      </c>
      <c r="AV15" t="str">
        <f ca="1">IF(AU15=1,IF(INDEX(分析データ!$A:$A,ROW()+$C$5)&lt;&gt;"",80000*SIGN(AT15)*(分析データ!B15-INDEX(分析データ!B:B,ROW()+$C$5)),""),"")</f>
        <v/>
      </c>
      <c r="AW15">
        <f t="shared" ca="1" si="1"/>
        <v>0</v>
      </c>
      <c r="AX15">
        <f t="shared" ca="1" si="2"/>
        <v>0</v>
      </c>
      <c r="AY15">
        <f t="shared" ca="1" si="3"/>
        <v>0</v>
      </c>
      <c r="AZ15" t="str">
        <f ca="1">IF(ROW()&lt;($C$7+1),"",IFERROR((分析データ!C15-AVERAGE(OFFSET(分析データ!C$1,MAX(1,ROW()-$C$7),0,MIN($C$7,ROW()-1),1)))/STDEV(OFFSET(分析データ!C$1,MAX(1,ROW()-$C$7),0,MIN($C$7,ROW()-1),1)),0))</f>
        <v/>
      </c>
      <c r="BA15">
        <f t="shared" ca="1" si="4"/>
        <v>0</v>
      </c>
      <c r="BB15" t="str">
        <f ca="1">IF(BA15=1,IF(INDEX(分析データ!$A:$A,ROW()+$C$5)&lt;&gt;"",60000*SIGN(AZ15)*(分析データ!C15-INDEX(分析データ!C:C,ROW()+$C$5)),""),"")</f>
        <v/>
      </c>
      <c r="BC15">
        <f t="shared" ca="1" si="5"/>
        <v>0</v>
      </c>
      <c r="BD15">
        <f t="shared" ca="1" si="6"/>
        <v>0</v>
      </c>
      <c r="BE15">
        <f t="shared" ca="1" si="7"/>
        <v>0</v>
      </c>
      <c r="BF15" t="str">
        <f ca="1">IF(ROW()&lt;($C$7+1),"",IFERROR((分析データ!D15-AVERAGE(OFFSET(分析データ!D$1,MAX(1,ROW()-$C$7),0,MIN($C$7,ROW()-1),1)))/STDEV(OFFSET(分析データ!D$1,MAX(1,ROW()-$C$7),0,MIN($C$7,ROW()-1),1)),0))</f>
        <v/>
      </c>
      <c r="BG15">
        <f t="shared" ca="1" si="8"/>
        <v>0</v>
      </c>
      <c r="BH15" t="str">
        <f ca="1">IF(BG15=1,IF(INDEX(分析データ!$A:$A,ROW()+$C$5)&lt;&gt;"",50000*SIGN(BF15)*(分析データ!D15-INDEX(分析データ!D:D,ROW()+$C$5)),""),"")</f>
        <v/>
      </c>
      <c r="BI15">
        <f t="shared" ca="1" si="9"/>
        <v>0</v>
      </c>
      <c r="BJ15">
        <f t="shared" ca="1" si="10"/>
        <v>0</v>
      </c>
      <c r="BK15">
        <f t="shared" ca="1" si="11"/>
        <v>0</v>
      </c>
      <c r="BL15" t="str">
        <f ca="1">IF(ROW()&lt;($C$7+1),"",IFERROR((分析データ!E15-AVERAGE(OFFSET(分析データ!E$1,MAX(1,ROW()-$C$7),0,MIN($C$7,ROW()-1),1)))/STDEV(OFFSET(分析データ!E$1,MAX(1,ROW()-$C$7),0,MIN($C$7,ROW()-1),1)),0))</f>
        <v/>
      </c>
      <c r="BM15">
        <f t="shared" ca="1" si="12"/>
        <v>0</v>
      </c>
      <c r="BN15" t="str">
        <f ca="1">IF(BM15=1,IF(INDEX(分析データ!$A:$A,ROW()+$C$5)&lt;&gt;"",40000*SIGN(BL15)*(分析データ!E15-INDEX(分析データ!E:E,ROW()+$C$5)),""),"")</f>
        <v/>
      </c>
      <c r="BO15">
        <f t="shared" ca="1" si="13"/>
        <v>0</v>
      </c>
      <c r="BP15">
        <f t="shared" ca="1" si="14"/>
        <v>0</v>
      </c>
      <c r="BQ15">
        <f t="shared" ca="1" si="15"/>
        <v>0</v>
      </c>
      <c r="BR15" t="str">
        <f ca="1">IF(ROW()&lt;($C$7+1),"",IFERROR((分析データ!F15-AVERAGE(OFFSET(分析データ!F$1,MAX(1,ROW()-$C$7),0,MIN($C$7,ROW()-1),1)))/STDEV(OFFSET(分析データ!F$1,MAX(1,ROW()-$C$7),0,MIN($C$7,ROW()-1),1)),0))</f>
        <v/>
      </c>
      <c r="BS15">
        <f t="shared" ca="1" si="16"/>
        <v>0</v>
      </c>
      <c r="BT15" t="str">
        <f ca="1">IF(BS15=1,IF(INDEX(分析データ!$A:$A,ROW()+$C$5)&lt;&gt;"",40000*SIGN(BR15)*(分析データ!F15-INDEX(分析データ!F:F,ROW()+$C$5)),""),"")</f>
        <v/>
      </c>
      <c r="BU15">
        <f t="shared" ca="1" si="17"/>
        <v>0</v>
      </c>
      <c r="BV15">
        <f t="shared" ca="1" si="18"/>
        <v>0</v>
      </c>
      <c r="BW15">
        <f t="shared" ca="1" si="19"/>
        <v>0</v>
      </c>
      <c r="BX15" t="str">
        <f ca="1">IF(ROW()&lt;($C$7+1),"",IFERROR((分析データ!G15-AVERAGE(OFFSET(分析データ!G$1,MAX(1,ROW()-$C$7),0,MIN($C$7,ROW()-1),1)))/STDEV(OFFSET(分析データ!G$1,MAX(1,ROW()-$C$7),0,MIN($C$7,ROW()-1),1)),0))</f>
        <v/>
      </c>
      <c r="BY15">
        <f t="shared" ca="1" si="20"/>
        <v>0</v>
      </c>
      <c r="BZ15" t="str">
        <f ca="1">IF(BY15=1,IF(INDEX(分析データ!$A:$A,ROW()+$C$5)&lt;&gt;"",40000*SIGN(BX15)*(分析データ!G15-INDEX(分析データ!G:G,ROW()+$C$5)),""),"")</f>
        <v/>
      </c>
      <c r="CA15">
        <f t="shared" ca="1" si="21"/>
        <v>0</v>
      </c>
      <c r="CB15">
        <f t="shared" ca="1" si="22"/>
        <v>0</v>
      </c>
      <c r="CC15">
        <f t="shared" ca="1" si="23"/>
        <v>0</v>
      </c>
      <c r="CD15">
        <f t="shared" ca="1" si="24"/>
        <v>0</v>
      </c>
      <c r="CE15">
        <f t="shared" ca="1" si="25"/>
        <v>0</v>
      </c>
      <c r="CF15">
        <f t="shared" ca="1" si="26"/>
        <v>0</v>
      </c>
      <c r="CG15">
        <f t="shared" ca="1" si="27"/>
        <v>0</v>
      </c>
      <c r="CH15" s="10">
        <f>分析データ!A15</f>
        <v>44949</v>
      </c>
    </row>
    <row r="16" spans="2:86" ht="15">
      <c r="B16" s="110" t="s">
        <v>476</v>
      </c>
      <c r="C16" s="111">
        <f ca="1">SUM(C10:C15)</f>
        <v>516</v>
      </c>
      <c r="D16" s="112">
        <f ca="1">IFERROR((COUNTIF(AV$2:AV$1307,"&gt;0")+COUNTIF(BB$2:BB$1307,"&gt;0")+COUNTIF(BH$2:BH$1307,"&gt;0")+COUNTIF(BN$2:BN$1307,"&gt;0")+COUNTIF(BT$2:BT$1307,"&gt;0")+COUNTIF(BZ$2:BZ$1307,"&gt;0"))/C16,"")</f>
        <v>0.52713178294573648</v>
      </c>
      <c r="E16" s="113">
        <f ca="1">IFERROR(F16/C16,"")</f>
        <v>44748.734755405269</v>
      </c>
      <c r="F16" s="113">
        <f ca="1">SUM(F10:F15)</f>
        <v>23090347.133789118</v>
      </c>
      <c r="G16" s="113">
        <f ca="1">MIN(AV$2:AV$1307,BB$2:BB$1307,BH$2:BH$1307,BN$2:BN$1307,BT$2:BT$1307,BZ$2:BZ$1307)</f>
        <v>-2391072.8564453176</v>
      </c>
      <c r="H16" s="114"/>
      <c r="I16" s="115" t="str">
        <f ca="1">IF(AND(F16&gt;0,D16&gt;=0.5),"採用候補",IF(F16&gt;0,"要観察","見送り"))</f>
        <v>採用候補</v>
      </c>
      <c r="AT16" t="str">
        <f ca="1">IF(ROW()&lt;($C$7+1),"",IFERROR((分析データ!B16-AVERAGE(OFFSET(分析データ!B$1,MAX(1,ROW()-$C$7),0,MIN($C$7,ROW()-1),1)))/STDEV(OFFSET(分析データ!B$1,MAX(1,ROW()-$C$7),0,MIN($C$7,ROW()-1),1)),0))</f>
        <v/>
      </c>
      <c r="AU16">
        <f t="shared" ca="1" si="0"/>
        <v>0</v>
      </c>
      <c r="AV16" t="str">
        <f ca="1">IF(AU16=1,IF(INDEX(分析データ!$A:$A,ROW()+$C$5)&lt;&gt;"",80000*SIGN(AT16)*(分析データ!B16-INDEX(分析データ!B:B,ROW()+$C$5)),""),"")</f>
        <v/>
      </c>
      <c r="AW16">
        <f t="shared" ca="1" si="1"/>
        <v>0</v>
      </c>
      <c r="AX16">
        <f t="shared" ca="1" si="2"/>
        <v>0</v>
      </c>
      <c r="AY16">
        <f t="shared" ca="1" si="3"/>
        <v>0</v>
      </c>
      <c r="AZ16" t="str">
        <f ca="1">IF(ROW()&lt;($C$7+1),"",IFERROR((分析データ!C16-AVERAGE(OFFSET(分析データ!C$1,MAX(1,ROW()-$C$7),0,MIN($C$7,ROW()-1),1)))/STDEV(OFFSET(分析データ!C$1,MAX(1,ROW()-$C$7),0,MIN($C$7,ROW()-1),1)),0))</f>
        <v/>
      </c>
      <c r="BA16">
        <f t="shared" ca="1" si="4"/>
        <v>0</v>
      </c>
      <c r="BB16" t="str">
        <f ca="1">IF(BA16=1,IF(INDEX(分析データ!$A:$A,ROW()+$C$5)&lt;&gt;"",60000*SIGN(AZ16)*(分析データ!C16-INDEX(分析データ!C:C,ROW()+$C$5)),""),"")</f>
        <v/>
      </c>
      <c r="BC16">
        <f t="shared" ca="1" si="5"/>
        <v>0</v>
      </c>
      <c r="BD16">
        <f t="shared" ca="1" si="6"/>
        <v>0</v>
      </c>
      <c r="BE16">
        <f t="shared" ca="1" si="7"/>
        <v>0</v>
      </c>
      <c r="BF16" t="str">
        <f ca="1">IF(ROW()&lt;($C$7+1),"",IFERROR((分析データ!D16-AVERAGE(OFFSET(分析データ!D$1,MAX(1,ROW()-$C$7),0,MIN($C$7,ROW()-1),1)))/STDEV(OFFSET(分析データ!D$1,MAX(1,ROW()-$C$7),0,MIN($C$7,ROW()-1),1)),0))</f>
        <v/>
      </c>
      <c r="BG16">
        <f t="shared" ca="1" si="8"/>
        <v>0</v>
      </c>
      <c r="BH16" t="str">
        <f ca="1">IF(BG16=1,IF(INDEX(分析データ!$A:$A,ROW()+$C$5)&lt;&gt;"",50000*SIGN(BF16)*(分析データ!D16-INDEX(分析データ!D:D,ROW()+$C$5)),""),"")</f>
        <v/>
      </c>
      <c r="BI16">
        <f t="shared" ca="1" si="9"/>
        <v>0</v>
      </c>
      <c r="BJ16">
        <f t="shared" ca="1" si="10"/>
        <v>0</v>
      </c>
      <c r="BK16">
        <f t="shared" ca="1" si="11"/>
        <v>0</v>
      </c>
      <c r="BL16" t="str">
        <f ca="1">IF(ROW()&lt;($C$7+1),"",IFERROR((分析データ!E16-AVERAGE(OFFSET(分析データ!E$1,MAX(1,ROW()-$C$7),0,MIN($C$7,ROW()-1),1)))/STDEV(OFFSET(分析データ!E$1,MAX(1,ROW()-$C$7),0,MIN($C$7,ROW()-1),1)),0))</f>
        <v/>
      </c>
      <c r="BM16">
        <f t="shared" ca="1" si="12"/>
        <v>0</v>
      </c>
      <c r="BN16" t="str">
        <f ca="1">IF(BM16=1,IF(INDEX(分析データ!$A:$A,ROW()+$C$5)&lt;&gt;"",40000*SIGN(BL16)*(分析データ!E16-INDEX(分析データ!E:E,ROW()+$C$5)),""),"")</f>
        <v/>
      </c>
      <c r="BO16">
        <f t="shared" ca="1" si="13"/>
        <v>0</v>
      </c>
      <c r="BP16">
        <f t="shared" ca="1" si="14"/>
        <v>0</v>
      </c>
      <c r="BQ16">
        <f t="shared" ca="1" si="15"/>
        <v>0</v>
      </c>
      <c r="BR16" t="str">
        <f ca="1">IF(ROW()&lt;($C$7+1),"",IFERROR((分析データ!F16-AVERAGE(OFFSET(分析データ!F$1,MAX(1,ROW()-$C$7),0,MIN($C$7,ROW()-1),1)))/STDEV(OFFSET(分析データ!F$1,MAX(1,ROW()-$C$7),0,MIN($C$7,ROW()-1),1)),0))</f>
        <v/>
      </c>
      <c r="BS16">
        <f t="shared" ca="1" si="16"/>
        <v>0</v>
      </c>
      <c r="BT16" t="str">
        <f ca="1">IF(BS16=1,IF(INDEX(分析データ!$A:$A,ROW()+$C$5)&lt;&gt;"",40000*SIGN(BR16)*(分析データ!F16-INDEX(分析データ!F:F,ROW()+$C$5)),""),"")</f>
        <v/>
      </c>
      <c r="BU16">
        <f t="shared" ca="1" si="17"/>
        <v>0</v>
      </c>
      <c r="BV16">
        <f t="shared" ca="1" si="18"/>
        <v>0</v>
      </c>
      <c r="BW16">
        <f t="shared" ca="1" si="19"/>
        <v>0</v>
      </c>
      <c r="BX16" t="str">
        <f ca="1">IF(ROW()&lt;($C$7+1),"",IFERROR((分析データ!G16-AVERAGE(OFFSET(分析データ!G$1,MAX(1,ROW()-$C$7),0,MIN($C$7,ROW()-1),1)))/STDEV(OFFSET(分析データ!G$1,MAX(1,ROW()-$C$7),0,MIN($C$7,ROW()-1),1)),0))</f>
        <v/>
      </c>
      <c r="BY16">
        <f t="shared" ca="1" si="20"/>
        <v>0</v>
      </c>
      <c r="BZ16" t="str">
        <f ca="1">IF(BY16=1,IF(INDEX(分析データ!$A:$A,ROW()+$C$5)&lt;&gt;"",40000*SIGN(BX16)*(分析データ!G16-INDEX(分析データ!G:G,ROW()+$C$5)),""),"")</f>
        <v/>
      </c>
      <c r="CA16">
        <f t="shared" ca="1" si="21"/>
        <v>0</v>
      </c>
      <c r="CB16">
        <f t="shared" ca="1" si="22"/>
        <v>0</v>
      </c>
      <c r="CC16">
        <f t="shared" ca="1" si="23"/>
        <v>0</v>
      </c>
      <c r="CD16">
        <f t="shared" ca="1" si="24"/>
        <v>0</v>
      </c>
      <c r="CE16">
        <f t="shared" ca="1" si="25"/>
        <v>0</v>
      </c>
      <c r="CF16">
        <f t="shared" ca="1" si="26"/>
        <v>0</v>
      </c>
      <c r="CG16">
        <f t="shared" ca="1" si="27"/>
        <v>0</v>
      </c>
      <c r="CH16" s="10">
        <f>分析データ!A16</f>
        <v>44950</v>
      </c>
    </row>
    <row r="17" spans="2:86">
      <c r="AT17" t="str">
        <f ca="1">IF(ROW()&lt;($C$7+1),"",IFERROR((分析データ!B17-AVERAGE(OFFSET(分析データ!B$1,MAX(1,ROW()-$C$7),0,MIN($C$7,ROW()-1),1)))/STDEV(OFFSET(分析データ!B$1,MAX(1,ROW()-$C$7),0,MIN($C$7,ROW()-1),1)),0))</f>
        <v/>
      </c>
      <c r="AU17">
        <f t="shared" ca="1" si="0"/>
        <v>0</v>
      </c>
      <c r="AV17" t="str">
        <f ca="1">IF(AU17=1,IF(INDEX(分析データ!$A:$A,ROW()+$C$5)&lt;&gt;"",80000*SIGN(AT17)*(分析データ!B17-INDEX(分析データ!B:B,ROW()+$C$5)),""),"")</f>
        <v/>
      </c>
      <c r="AW17">
        <f t="shared" ca="1" si="1"/>
        <v>0</v>
      </c>
      <c r="AX17">
        <f t="shared" ca="1" si="2"/>
        <v>0</v>
      </c>
      <c r="AY17">
        <f t="shared" ca="1" si="3"/>
        <v>0</v>
      </c>
      <c r="AZ17" t="str">
        <f ca="1">IF(ROW()&lt;($C$7+1),"",IFERROR((分析データ!C17-AVERAGE(OFFSET(分析データ!C$1,MAX(1,ROW()-$C$7),0,MIN($C$7,ROW()-1),1)))/STDEV(OFFSET(分析データ!C$1,MAX(1,ROW()-$C$7),0,MIN($C$7,ROW()-1),1)),0))</f>
        <v/>
      </c>
      <c r="BA17">
        <f t="shared" ca="1" si="4"/>
        <v>0</v>
      </c>
      <c r="BB17" t="str">
        <f ca="1">IF(BA17=1,IF(INDEX(分析データ!$A:$A,ROW()+$C$5)&lt;&gt;"",60000*SIGN(AZ17)*(分析データ!C17-INDEX(分析データ!C:C,ROW()+$C$5)),""),"")</f>
        <v/>
      </c>
      <c r="BC17">
        <f t="shared" ca="1" si="5"/>
        <v>0</v>
      </c>
      <c r="BD17">
        <f t="shared" ca="1" si="6"/>
        <v>0</v>
      </c>
      <c r="BE17">
        <f t="shared" ca="1" si="7"/>
        <v>0</v>
      </c>
      <c r="BF17" t="str">
        <f ca="1">IF(ROW()&lt;($C$7+1),"",IFERROR((分析データ!D17-AVERAGE(OFFSET(分析データ!D$1,MAX(1,ROW()-$C$7),0,MIN($C$7,ROW()-1),1)))/STDEV(OFFSET(分析データ!D$1,MAX(1,ROW()-$C$7),0,MIN($C$7,ROW()-1),1)),0))</f>
        <v/>
      </c>
      <c r="BG17">
        <f t="shared" ca="1" si="8"/>
        <v>0</v>
      </c>
      <c r="BH17" t="str">
        <f ca="1">IF(BG17=1,IF(INDEX(分析データ!$A:$A,ROW()+$C$5)&lt;&gt;"",50000*SIGN(BF17)*(分析データ!D17-INDEX(分析データ!D:D,ROW()+$C$5)),""),"")</f>
        <v/>
      </c>
      <c r="BI17">
        <f t="shared" ca="1" si="9"/>
        <v>0</v>
      </c>
      <c r="BJ17">
        <f t="shared" ca="1" si="10"/>
        <v>0</v>
      </c>
      <c r="BK17">
        <f t="shared" ca="1" si="11"/>
        <v>0</v>
      </c>
      <c r="BL17" t="str">
        <f ca="1">IF(ROW()&lt;($C$7+1),"",IFERROR((分析データ!E17-AVERAGE(OFFSET(分析データ!E$1,MAX(1,ROW()-$C$7),0,MIN($C$7,ROW()-1),1)))/STDEV(OFFSET(分析データ!E$1,MAX(1,ROW()-$C$7),0,MIN($C$7,ROW()-1),1)),0))</f>
        <v/>
      </c>
      <c r="BM17">
        <f t="shared" ca="1" si="12"/>
        <v>0</v>
      </c>
      <c r="BN17" t="str">
        <f ca="1">IF(BM17=1,IF(INDEX(分析データ!$A:$A,ROW()+$C$5)&lt;&gt;"",40000*SIGN(BL17)*(分析データ!E17-INDEX(分析データ!E:E,ROW()+$C$5)),""),"")</f>
        <v/>
      </c>
      <c r="BO17">
        <f t="shared" ca="1" si="13"/>
        <v>0</v>
      </c>
      <c r="BP17">
        <f t="shared" ca="1" si="14"/>
        <v>0</v>
      </c>
      <c r="BQ17">
        <f t="shared" ca="1" si="15"/>
        <v>0</v>
      </c>
      <c r="BR17" t="str">
        <f ca="1">IF(ROW()&lt;($C$7+1),"",IFERROR((分析データ!F17-AVERAGE(OFFSET(分析データ!F$1,MAX(1,ROW()-$C$7),0,MIN($C$7,ROW()-1),1)))/STDEV(OFFSET(分析データ!F$1,MAX(1,ROW()-$C$7),0,MIN($C$7,ROW()-1),1)),0))</f>
        <v/>
      </c>
      <c r="BS17">
        <f t="shared" ca="1" si="16"/>
        <v>0</v>
      </c>
      <c r="BT17" t="str">
        <f ca="1">IF(BS17=1,IF(INDEX(分析データ!$A:$A,ROW()+$C$5)&lt;&gt;"",40000*SIGN(BR17)*(分析データ!F17-INDEX(分析データ!F:F,ROW()+$C$5)),""),"")</f>
        <v/>
      </c>
      <c r="BU17">
        <f t="shared" ca="1" si="17"/>
        <v>0</v>
      </c>
      <c r="BV17">
        <f t="shared" ca="1" si="18"/>
        <v>0</v>
      </c>
      <c r="BW17">
        <f t="shared" ca="1" si="19"/>
        <v>0</v>
      </c>
      <c r="BX17" t="str">
        <f ca="1">IF(ROW()&lt;($C$7+1),"",IFERROR((分析データ!G17-AVERAGE(OFFSET(分析データ!G$1,MAX(1,ROW()-$C$7),0,MIN($C$7,ROW()-1),1)))/STDEV(OFFSET(分析データ!G$1,MAX(1,ROW()-$C$7),0,MIN($C$7,ROW()-1),1)),0))</f>
        <v/>
      </c>
      <c r="BY17">
        <f t="shared" ca="1" si="20"/>
        <v>0</v>
      </c>
      <c r="BZ17" t="str">
        <f ca="1">IF(BY17=1,IF(INDEX(分析データ!$A:$A,ROW()+$C$5)&lt;&gt;"",40000*SIGN(BX17)*(分析データ!G17-INDEX(分析データ!G:G,ROW()+$C$5)),""),"")</f>
        <v/>
      </c>
      <c r="CA17">
        <f t="shared" ca="1" si="21"/>
        <v>0</v>
      </c>
      <c r="CB17">
        <f t="shared" ca="1" si="22"/>
        <v>0</v>
      </c>
      <c r="CC17">
        <f t="shared" ca="1" si="23"/>
        <v>0</v>
      </c>
      <c r="CD17">
        <f t="shared" ca="1" si="24"/>
        <v>0</v>
      </c>
      <c r="CE17">
        <f t="shared" ca="1" si="25"/>
        <v>0</v>
      </c>
      <c r="CF17">
        <f t="shared" ca="1" si="26"/>
        <v>0</v>
      </c>
      <c r="CG17">
        <f t="shared" ca="1" si="27"/>
        <v>0</v>
      </c>
      <c r="CH17" s="10">
        <f>分析データ!A17</f>
        <v>44951</v>
      </c>
    </row>
    <row r="18" spans="2:86" ht="18" customHeight="1">
      <c r="B18" s="57" t="s">
        <v>477</v>
      </c>
      <c r="C18" s="57"/>
      <c r="D18" s="57"/>
      <c r="E18" s="57"/>
      <c r="F18" s="57"/>
      <c r="G18" s="57"/>
      <c r="H18" s="57"/>
      <c r="I18" s="57"/>
      <c r="AT18" t="str">
        <f ca="1">IF(ROW()&lt;($C$7+1),"",IFERROR((分析データ!B18-AVERAGE(OFFSET(分析データ!B$1,MAX(1,ROW()-$C$7),0,MIN($C$7,ROW()-1),1)))/STDEV(OFFSET(分析データ!B$1,MAX(1,ROW()-$C$7),0,MIN($C$7,ROW()-1),1)),0))</f>
        <v/>
      </c>
      <c r="AU18">
        <f t="shared" ca="1" si="0"/>
        <v>0</v>
      </c>
      <c r="AV18" t="str">
        <f ca="1">IF(AU18=1,IF(INDEX(分析データ!$A:$A,ROW()+$C$5)&lt;&gt;"",80000*SIGN(AT18)*(分析データ!B18-INDEX(分析データ!B:B,ROW()+$C$5)),""),"")</f>
        <v/>
      </c>
      <c r="AW18">
        <f t="shared" ca="1" si="1"/>
        <v>0</v>
      </c>
      <c r="AX18">
        <f t="shared" ca="1" si="2"/>
        <v>0</v>
      </c>
      <c r="AY18">
        <f t="shared" ca="1" si="3"/>
        <v>0</v>
      </c>
      <c r="AZ18" t="str">
        <f ca="1">IF(ROW()&lt;($C$7+1),"",IFERROR((分析データ!C18-AVERAGE(OFFSET(分析データ!C$1,MAX(1,ROW()-$C$7),0,MIN($C$7,ROW()-1),1)))/STDEV(OFFSET(分析データ!C$1,MAX(1,ROW()-$C$7),0,MIN($C$7,ROW()-1),1)),0))</f>
        <v/>
      </c>
      <c r="BA18">
        <f t="shared" ca="1" si="4"/>
        <v>0</v>
      </c>
      <c r="BB18" t="str">
        <f ca="1">IF(BA18=1,IF(INDEX(分析データ!$A:$A,ROW()+$C$5)&lt;&gt;"",60000*SIGN(AZ18)*(分析データ!C18-INDEX(分析データ!C:C,ROW()+$C$5)),""),"")</f>
        <v/>
      </c>
      <c r="BC18">
        <f t="shared" ca="1" si="5"/>
        <v>0</v>
      </c>
      <c r="BD18">
        <f t="shared" ca="1" si="6"/>
        <v>0</v>
      </c>
      <c r="BE18">
        <f t="shared" ca="1" si="7"/>
        <v>0</v>
      </c>
      <c r="BF18" t="str">
        <f ca="1">IF(ROW()&lt;($C$7+1),"",IFERROR((分析データ!D18-AVERAGE(OFFSET(分析データ!D$1,MAX(1,ROW()-$C$7),0,MIN($C$7,ROW()-1),1)))/STDEV(OFFSET(分析データ!D$1,MAX(1,ROW()-$C$7),0,MIN($C$7,ROW()-1),1)),0))</f>
        <v/>
      </c>
      <c r="BG18">
        <f t="shared" ca="1" si="8"/>
        <v>0</v>
      </c>
      <c r="BH18" t="str">
        <f ca="1">IF(BG18=1,IF(INDEX(分析データ!$A:$A,ROW()+$C$5)&lt;&gt;"",50000*SIGN(BF18)*(分析データ!D18-INDEX(分析データ!D:D,ROW()+$C$5)),""),"")</f>
        <v/>
      </c>
      <c r="BI18">
        <f t="shared" ca="1" si="9"/>
        <v>0</v>
      </c>
      <c r="BJ18">
        <f t="shared" ca="1" si="10"/>
        <v>0</v>
      </c>
      <c r="BK18">
        <f t="shared" ca="1" si="11"/>
        <v>0</v>
      </c>
      <c r="BL18" t="str">
        <f ca="1">IF(ROW()&lt;($C$7+1),"",IFERROR((分析データ!E18-AVERAGE(OFFSET(分析データ!E$1,MAX(1,ROW()-$C$7),0,MIN($C$7,ROW()-1),1)))/STDEV(OFFSET(分析データ!E$1,MAX(1,ROW()-$C$7),0,MIN($C$7,ROW()-1),1)),0))</f>
        <v/>
      </c>
      <c r="BM18">
        <f t="shared" ca="1" si="12"/>
        <v>0</v>
      </c>
      <c r="BN18" t="str">
        <f ca="1">IF(BM18=1,IF(INDEX(分析データ!$A:$A,ROW()+$C$5)&lt;&gt;"",40000*SIGN(BL18)*(分析データ!E18-INDEX(分析データ!E:E,ROW()+$C$5)),""),"")</f>
        <v/>
      </c>
      <c r="BO18">
        <f t="shared" ca="1" si="13"/>
        <v>0</v>
      </c>
      <c r="BP18">
        <f t="shared" ca="1" si="14"/>
        <v>0</v>
      </c>
      <c r="BQ18">
        <f t="shared" ca="1" si="15"/>
        <v>0</v>
      </c>
      <c r="BR18" t="str">
        <f ca="1">IF(ROW()&lt;($C$7+1),"",IFERROR((分析データ!F18-AVERAGE(OFFSET(分析データ!F$1,MAX(1,ROW()-$C$7),0,MIN($C$7,ROW()-1),1)))/STDEV(OFFSET(分析データ!F$1,MAX(1,ROW()-$C$7),0,MIN($C$7,ROW()-1),1)),0))</f>
        <v/>
      </c>
      <c r="BS18">
        <f t="shared" ca="1" si="16"/>
        <v>0</v>
      </c>
      <c r="BT18" t="str">
        <f ca="1">IF(BS18=1,IF(INDEX(分析データ!$A:$A,ROW()+$C$5)&lt;&gt;"",40000*SIGN(BR18)*(分析データ!F18-INDEX(分析データ!F:F,ROW()+$C$5)),""),"")</f>
        <v/>
      </c>
      <c r="BU18">
        <f t="shared" ca="1" si="17"/>
        <v>0</v>
      </c>
      <c r="BV18">
        <f t="shared" ca="1" si="18"/>
        <v>0</v>
      </c>
      <c r="BW18">
        <f t="shared" ca="1" si="19"/>
        <v>0</v>
      </c>
      <c r="BX18" t="str">
        <f ca="1">IF(ROW()&lt;($C$7+1),"",IFERROR((分析データ!G18-AVERAGE(OFFSET(分析データ!G$1,MAX(1,ROW()-$C$7),0,MIN($C$7,ROW()-1),1)))/STDEV(OFFSET(分析データ!G$1,MAX(1,ROW()-$C$7),0,MIN($C$7,ROW()-1),1)),0))</f>
        <v/>
      </c>
      <c r="BY18">
        <f t="shared" ca="1" si="20"/>
        <v>0</v>
      </c>
      <c r="BZ18" t="str">
        <f ca="1">IF(BY18=1,IF(INDEX(分析データ!$A:$A,ROW()+$C$5)&lt;&gt;"",40000*SIGN(BX18)*(分析データ!G18-INDEX(分析データ!G:G,ROW()+$C$5)),""),"")</f>
        <v/>
      </c>
      <c r="CA18">
        <f t="shared" ca="1" si="21"/>
        <v>0</v>
      </c>
      <c r="CB18">
        <f t="shared" ca="1" si="22"/>
        <v>0</v>
      </c>
      <c r="CC18">
        <f t="shared" ca="1" si="23"/>
        <v>0</v>
      </c>
      <c r="CD18">
        <f t="shared" ca="1" si="24"/>
        <v>0</v>
      </c>
      <c r="CE18">
        <f t="shared" ca="1" si="25"/>
        <v>0</v>
      </c>
      <c r="CF18">
        <f t="shared" ca="1" si="26"/>
        <v>0</v>
      </c>
      <c r="CG18">
        <f t="shared" ca="1" si="27"/>
        <v>0</v>
      </c>
      <c r="CH18" s="10">
        <f>分析データ!A18</f>
        <v>44952</v>
      </c>
    </row>
    <row r="19" spans="2:86">
      <c r="B19" s="98" t="s">
        <v>478</v>
      </c>
      <c r="C19" s="116">
        <f ca="1">MIN(CG$2:CG$1307)</f>
        <v>-13874208.583984349</v>
      </c>
      <c r="AT19" t="str">
        <f ca="1">IF(ROW()&lt;($C$7+1),"",IFERROR((分析データ!B19-AVERAGE(OFFSET(分析データ!B$1,MAX(1,ROW()-$C$7),0,MIN($C$7,ROW()-1),1)))/STDEV(OFFSET(分析データ!B$1,MAX(1,ROW()-$C$7),0,MIN($C$7,ROW()-1),1)),0))</f>
        <v/>
      </c>
      <c r="AU19">
        <f t="shared" ca="1" si="0"/>
        <v>0</v>
      </c>
      <c r="AV19" t="str">
        <f ca="1">IF(AU19=1,IF(INDEX(分析データ!$A:$A,ROW()+$C$5)&lt;&gt;"",80000*SIGN(AT19)*(分析データ!B19-INDEX(分析データ!B:B,ROW()+$C$5)),""),"")</f>
        <v/>
      </c>
      <c r="AW19">
        <f t="shared" ca="1" si="1"/>
        <v>0</v>
      </c>
      <c r="AX19">
        <f t="shared" ca="1" si="2"/>
        <v>0</v>
      </c>
      <c r="AY19">
        <f t="shared" ca="1" si="3"/>
        <v>0</v>
      </c>
      <c r="AZ19" t="str">
        <f ca="1">IF(ROW()&lt;($C$7+1),"",IFERROR((分析データ!C19-AVERAGE(OFFSET(分析データ!C$1,MAX(1,ROW()-$C$7),0,MIN($C$7,ROW()-1),1)))/STDEV(OFFSET(分析データ!C$1,MAX(1,ROW()-$C$7),0,MIN($C$7,ROW()-1),1)),0))</f>
        <v/>
      </c>
      <c r="BA19">
        <f t="shared" ca="1" si="4"/>
        <v>0</v>
      </c>
      <c r="BB19" t="str">
        <f ca="1">IF(BA19=1,IF(INDEX(分析データ!$A:$A,ROW()+$C$5)&lt;&gt;"",60000*SIGN(AZ19)*(分析データ!C19-INDEX(分析データ!C:C,ROW()+$C$5)),""),"")</f>
        <v/>
      </c>
      <c r="BC19">
        <f t="shared" ca="1" si="5"/>
        <v>0</v>
      </c>
      <c r="BD19">
        <f t="shared" ca="1" si="6"/>
        <v>0</v>
      </c>
      <c r="BE19">
        <f t="shared" ca="1" si="7"/>
        <v>0</v>
      </c>
      <c r="BF19" t="str">
        <f ca="1">IF(ROW()&lt;($C$7+1),"",IFERROR((分析データ!D19-AVERAGE(OFFSET(分析データ!D$1,MAX(1,ROW()-$C$7),0,MIN($C$7,ROW()-1),1)))/STDEV(OFFSET(分析データ!D$1,MAX(1,ROW()-$C$7),0,MIN($C$7,ROW()-1),1)),0))</f>
        <v/>
      </c>
      <c r="BG19">
        <f t="shared" ca="1" si="8"/>
        <v>0</v>
      </c>
      <c r="BH19" t="str">
        <f ca="1">IF(BG19=1,IF(INDEX(分析データ!$A:$A,ROW()+$C$5)&lt;&gt;"",50000*SIGN(BF19)*(分析データ!D19-INDEX(分析データ!D:D,ROW()+$C$5)),""),"")</f>
        <v/>
      </c>
      <c r="BI19">
        <f t="shared" ca="1" si="9"/>
        <v>0</v>
      </c>
      <c r="BJ19">
        <f t="shared" ca="1" si="10"/>
        <v>0</v>
      </c>
      <c r="BK19">
        <f t="shared" ca="1" si="11"/>
        <v>0</v>
      </c>
      <c r="BL19" t="str">
        <f ca="1">IF(ROW()&lt;($C$7+1),"",IFERROR((分析データ!E19-AVERAGE(OFFSET(分析データ!E$1,MAX(1,ROW()-$C$7),0,MIN($C$7,ROW()-1),1)))/STDEV(OFFSET(分析データ!E$1,MAX(1,ROW()-$C$7),0,MIN($C$7,ROW()-1),1)),0))</f>
        <v/>
      </c>
      <c r="BM19">
        <f t="shared" ca="1" si="12"/>
        <v>0</v>
      </c>
      <c r="BN19" t="str">
        <f ca="1">IF(BM19=1,IF(INDEX(分析データ!$A:$A,ROW()+$C$5)&lt;&gt;"",40000*SIGN(BL19)*(分析データ!E19-INDEX(分析データ!E:E,ROW()+$C$5)),""),"")</f>
        <v/>
      </c>
      <c r="BO19">
        <f t="shared" ca="1" si="13"/>
        <v>0</v>
      </c>
      <c r="BP19">
        <f t="shared" ca="1" si="14"/>
        <v>0</v>
      </c>
      <c r="BQ19">
        <f t="shared" ca="1" si="15"/>
        <v>0</v>
      </c>
      <c r="BR19" t="str">
        <f ca="1">IF(ROW()&lt;($C$7+1),"",IFERROR((分析データ!F19-AVERAGE(OFFSET(分析データ!F$1,MAX(1,ROW()-$C$7),0,MIN($C$7,ROW()-1),1)))/STDEV(OFFSET(分析データ!F$1,MAX(1,ROW()-$C$7),0,MIN($C$7,ROW()-1),1)),0))</f>
        <v/>
      </c>
      <c r="BS19">
        <f t="shared" ca="1" si="16"/>
        <v>0</v>
      </c>
      <c r="BT19" t="str">
        <f ca="1">IF(BS19=1,IF(INDEX(分析データ!$A:$A,ROW()+$C$5)&lt;&gt;"",40000*SIGN(BR19)*(分析データ!F19-INDEX(分析データ!F:F,ROW()+$C$5)),""),"")</f>
        <v/>
      </c>
      <c r="BU19">
        <f t="shared" ca="1" si="17"/>
        <v>0</v>
      </c>
      <c r="BV19">
        <f t="shared" ca="1" si="18"/>
        <v>0</v>
      </c>
      <c r="BW19">
        <f t="shared" ca="1" si="19"/>
        <v>0</v>
      </c>
      <c r="BX19" t="str">
        <f ca="1">IF(ROW()&lt;($C$7+1),"",IFERROR((分析データ!G19-AVERAGE(OFFSET(分析データ!G$1,MAX(1,ROW()-$C$7),0,MIN($C$7,ROW()-1),1)))/STDEV(OFFSET(分析データ!G$1,MAX(1,ROW()-$C$7),0,MIN($C$7,ROW()-1),1)),0))</f>
        <v/>
      </c>
      <c r="BY19">
        <f t="shared" ca="1" si="20"/>
        <v>0</v>
      </c>
      <c r="BZ19" t="str">
        <f ca="1">IF(BY19=1,IF(INDEX(分析データ!$A:$A,ROW()+$C$5)&lt;&gt;"",40000*SIGN(BX19)*(分析データ!G19-INDEX(分析データ!G:G,ROW()+$C$5)),""),"")</f>
        <v/>
      </c>
      <c r="CA19">
        <f t="shared" ca="1" si="21"/>
        <v>0</v>
      </c>
      <c r="CB19">
        <f t="shared" ca="1" si="22"/>
        <v>0</v>
      </c>
      <c r="CC19">
        <f t="shared" ca="1" si="23"/>
        <v>0</v>
      </c>
      <c r="CD19">
        <f t="shared" ca="1" si="24"/>
        <v>0</v>
      </c>
      <c r="CE19">
        <f t="shared" ca="1" si="25"/>
        <v>0</v>
      </c>
      <c r="CF19">
        <f t="shared" ca="1" si="26"/>
        <v>0</v>
      </c>
      <c r="CG19">
        <f t="shared" ca="1" si="27"/>
        <v>0</v>
      </c>
      <c r="CH19" s="10">
        <f>分析データ!A19</f>
        <v>44953</v>
      </c>
    </row>
    <row r="20" spans="2:86">
      <c r="B20" s="98" t="s">
        <v>479</v>
      </c>
      <c r="C20" s="117">
        <f ca="1">C19/100000000</f>
        <v>-0.13874208583984349</v>
      </c>
      <c r="AT20" t="str">
        <f ca="1">IF(ROW()&lt;($C$7+1),"",IFERROR((分析データ!B20-AVERAGE(OFFSET(分析データ!B$1,MAX(1,ROW()-$C$7),0,MIN($C$7,ROW()-1),1)))/STDEV(OFFSET(分析データ!B$1,MAX(1,ROW()-$C$7),0,MIN($C$7,ROW()-1),1)),0))</f>
        <v/>
      </c>
      <c r="AU20">
        <f t="shared" ca="1" si="0"/>
        <v>0</v>
      </c>
      <c r="AV20" t="str">
        <f ca="1">IF(AU20=1,IF(INDEX(分析データ!$A:$A,ROW()+$C$5)&lt;&gt;"",80000*SIGN(AT20)*(分析データ!B20-INDEX(分析データ!B:B,ROW()+$C$5)),""),"")</f>
        <v/>
      </c>
      <c r="AW20">
        <f t="shared" ca="1" si="1"/>
        <v>0</v>
      </c>
      <c r="AX20">
        <f t="shared" ca="1" si="2"/>
        <v>0</v>
      </c>
      <c r="AY20">
        <f t="shared" ca="1" si="3"/>
        <v>0</v>
      </c>
      <c r="AZ20" t="str">
        <f ca="1">IF(ROW()&lt;($C$7+1),"",IFERROR((分析データ!C20-AVERAGE(OFFSET(分析データ!C$1,MAX(1,ROW()-$C$7),0,MIN($C$7,ROW()-1),1)))/STDEV(OFFSET(分析データ!C$1,MAX(1,ROW()-$C$7),0,MIN($C$7,ROW()-1),1)),0))</f>
        <v/>
      </c>
      <c r="BA20">
        <f t="shared" ca="1" si="4"/>
        <v>0</v>
      </c>
      <c r="BB20" t="str">
        <f ca="1">IF(BA20=1,IF(INDEX(分析データ!$A:$A,ROW()+$C$5)&lt;&gt;"",60000*SIGN(AZ20)*(分析データ!C20-INDEX(分析データ!C:C,ROW()+$C$5)),""),"")</f>
        <v/>
      </c>
      <c r="BC20">
        <f t="shared" ca="1" si="5"/>
        <v>0</v>
      </c>
      <c r="BD20">
        <f t="shared" ca="1" si="6"/>
        <v>0</v>
      </c>
      <c r="BE20">
        <f t="shared" ca="1" si="7"/>
        <v>0</v>
      </c>
      <c r="BF20" t="str">
        <f ca="1">IF(ROW()&lt;($C$7+1),"",IFERROR((分析データ!D20-AVERAGE(OFFSET(分析データ!D$1,MAX(1,ROW()-$C$7),0,MIN($C$7,ROW()-1),1)))/STDEV(OFFSET(分析データ!D$1,MAX(1,ROW()-$C$7),0,MIN($C$7,ROW()-1),1)),0))</f>
        <v/>
      </c>
      <c r="BG20">
        <f t="shared" ca="1" si="8"/>
        <v>0</v>
      </c>
      <c r="BH20" t="str">
        <f ca="1">IF(BG20=1,IF(INDEX(分析データ!$A:$A,ROW()+$C$5)&lt;&gt;"",50000*SIGN(BF20)*(分析データ!D20-INDEX(分析データ!D:D,ROW()+$C$5)),""),"")</f>
        <v/>
      </c>
      <c r="BI20">
        <f t="shared" ca="1" si="9"/>
        <v>0</v>
      </c>
      <c r="BJ20">
        <f t="shared" ca="1" si="10"/>
        <v>0</v>
      </c>
      <c r="BK20">
        <f t="shared" ca="1" si="11"/>
        <v>0</v>
      </c>
      <c r="BL20" t="str">
        <f ca="1">IF(ROW()&lt;($C$7+1),"",IFERROR((分析データ!E20-AVERAGE(OFFSET(分析データ!E$1,MAX(1,ROW()-$C$7),0,MIN($C$7,ROW()-1),1)))/STDEV(OFFSET(分析データ!E$1,MAX(1,ROW()-$C$7),0,MIN($C$7,ROW()-1),1)),0))</f>
        <v/>
      </c>
      <c r="BM20">
        <f t="shared" ca="1" si="12"/>
        <v>0</v>
      </c>
      <c r="BN20" t="str">
        <f ca="1">IF(BM20=1,IF(INDEX(分析データ!$A:$A,ROW()+$C$5)&lt;&gt;"",40000*SIGN(BL20)*(分析データ!E20-INDEX(分析データ!E:E,ROW()+$C$5)),""),"")</f>
        <v/>
      </c>
      <c r="BO20">
        <f t="shared" ca="1" si="13"/>
        <v>0</v>
      </c>
      <c r="BP20">
        <f t="shared" ca="1" si="14"/>
        <v>0</v>
      </c>
      <c r="BQ20">
        <f t="shared" ca="1" si="15"/>
        <v>0</v>
      </c>
      <c r="BR20" t="str">
        <f ca="1">IF(ROW()&lt;($C$7+1),"",IFERROR((分析データ!F20-AVERAGE(OFFSET(分析データ!F$1,MAX(1,ROW()-$C$7),0,MIN($C$7,ROW()-1),1)))/STDEV(OFFSET(分析データ!F$1,MAX(1,ROW()-$C$7),0,MIN($C$7,ROW()-1),1)),0))</f>
        <v/>
      </c>
      <c r="BS20">
        <f t="shared" ca="1" si="16"/>
        <v>0</v>
      </c>
      <c r="BT20" t="str">
        <f ca="1">IF(BS20=1,IF(INDEX(分析データ!$A:$A,ROW()+$C$5)&lt;&gt;"",40000*SIGN(BR20)*(分析データ!F20-INDEX(分析データ!F:F,ROW()+$C$5)),""),"")</f>
        <v/>
      </c>
      <c r="BU20">
        <f t="shared" ca="1" si="17"/>
        <v>0</v>
      </c>
      <c r="BV20">
        <f t="shared" ca="1" si="18"/>
        <v>0</v>
      </c>
      <c r="BW20">
        <f t="shared" ca="1" si="19"/>
        <v>0</v>
      </c>
      <c r="BX20" t="str">
        <f ca="1">IF(ROW()&lt;($C$7+1),"",IFERROR((分析データ!G20-AVERAGE(OFFSET(分析データ!G$1,MAX(1,ROW()-$C$7),0,MIN($C$7,ROW()-1),1)))/STDEV(OFFSET(分析データ!G$1,MAX(1,ROW()-$C$7),0,MIN($C$7,ROW()-1),1)),0))</f>
        <v/>
      </c>
      <c r="BY20">
        <f t="shared" ca="1" si="20"/>
        <v>0</v>
      </c>
      <c r="BZ20" t="str">
        <f ca="1">IF(BY20=1,IF(INDEX(分析データ!$A:$A,ROW()+$C$5)&lt;&gt;"",40000*SIGN(BX20)*(分析データ!G20-INDEX(分析データ!G:G,ROW()+$C$5)),""),"")</f>
        <v/>
      </c>
      <c r="CA20">
        <f t="shared" ca="1" si="21"/>
        <v>0</v>
      </c>
      <c r="CB20">
        <f t="shared" ca="1" si="22"/>
        <v>0</v>
      </c>
      <c r="CC20">
        <f t="shared" ca="1" si="23"/>
        <v>0</v>
      </c>
      <c r="CD20">
        <f t="shared" ca="1" si="24"/>
        <v>0</v>
      </c>
      <c r="CE20">
        <f t="shared" ca="1" si="25"/>
        <v>0</v>
      </c>
      <c r="CF20">
        <f t="shared" ca="1" si="26"/>
        <v>0</v>
      </c>
      <c r="CG20">
        <f t="shared" ca="1" si="27"/>
        <v>0</v>
      </c>
      <c r="CH20" s="10">
        <f>分析データ!A20</f>
        <v>44956</v>
      </c>
    </row>
    <row r="21" spans="2:86">
      <c r="B21" t="s">
        <v>480</v>
      </c>
      <c r="C21" s="11">
        <f ca="1">F16</f>
        <v>23090347.133789118</v>
      </c>
      <c r="AT21" t="str">
        <f ca="1">IF(ROW()&lt;($C$7+1),"",IFERROR((分析データ!B21-AVERAGE(OFFSET(分析データ!B$1,MAX(1,ROW()-$C$7),0,MIN($C$7,ROW()-1),1)))/STDEV(OFFSET(分析データ!B$1,MAX(1,ROW()-$C$7),0,MIN($C$7,ROW()-1),1)),0))</f>
        <v/>
      </c>
      <c r="AU21">
        <f t="shared" ca="1" si="0"/>
        <v>0</v>
      </c>
      <c r="AV21" t="str">
        <f ca="1">IF(AU21=1,IF(INDEX(分析データ!$A:$A,ROW()+$C$5)&lt;&gt;"",80000*SIGN(AT21)*(分析データ!B21-INDEX(分析データ!B:B,ROW()+$C$5)),""),"")</f>
        <v/>
      </c>
      <c r="AW21">
        <f t="shared" ca="1" si="1"/>
        <v>0</v>
      </c>
      <c r="AX21">
        <f t="shared" ca="1" si="2"/>
        <v>0</v>
      </c>
      <c r="AY21">
        <f t="shared" ca="1" si="3"/>
        <v>0</v>
      </c>
      <c r="AZ21" t="str">
        <f ca="1">IF(ROW()&lt;($C$7+1),"",IFERROR((分析データ!C21-AVERAGE(OFFSET(分析データ!C$1,MAX(1,ROW()-$C$7),0,MIN($C$7,ROW()-1),1)))/STDEV(OFFSET(分析データ!C$1,MAX(1,ROW()-$C$7),0,MIN($C$7,ROW()-1),1)),0))</f>
        <v/>
      </c>
      <c r="BA21">
        <f t="shared" ca="1" si="4"/>
        <v>0</v>
      </c>
      <c r="BB21" t="str">
        <f ca="1">IF(BA21=1,IF(INDEX(分析データ!$A:$A,ROW()+$C$5)&lt;&gt;"",60000*SIGN(AZ21)*(分析データ!C21-INDEX(分析データ!C:C,ROW()+$C$5)),""),"")</f>
        <v/>
      </c>
      <c r="BC21">
        <f t="shared" ca="1" si="5"/>
        <v>0</v>
      </c>
      <c r="BD21">
        <f t="shared" ca="1" si="6"/>
        <v>0</v>
      </c>
      <c r="BE21">
        <f t="shared" ca="1" si="7"/>
        <v>0</v>
      </c>
      <c r="BF21" t="str">
        <f ca="1">IF(ROW()&lt;($C$7+1),"",IFERROR((分析データ!D21-AVERAGE(OFFSET(分析データ!D$1,MAX(1,ROW()-$C$7),0,MIN($C$7,ROW()-1),1)))/STDEV(OFFSET(分析データ!D$1,MAX(1,ROW()-$C$7),0,MIN($C$7,ROW()-1),1)),0))</f>
        <v/>
      </c>
      <c r="BG21">
        <f t="shared" ca="1" si="8"/>
        <v>0</v>
      </c>
      <c r="BH21" t="str">
        <f ca="1">IF(BG21=1,IF(INDEX(分析データ!$A:$A,ROW()+$C$5)&lt;&gt;"",50000*SIGN(BF21)*(分析データ!D21-INDEX(分析データ!D:D,ROW()+$C$5)),""),"")</f>
        <v/>
      </c>
      <c r="BI21">
        <f t="shared" ca="1" si="9"/>
        <v>0</v>
      </c>
      <c r="BJ21">
        <f t="shared" ca="1" si="10"/>
        <v>0</v>
      </c>
      <c r="BK21">
        <f t="shared" ca="1" si="11"/>
        <v>0</v>
      </c>
      <c r="BL21" t="str">
        <f ca="1">IF(ROW()&lt;($C$7+1),"",IFERROR((分析データ!E21-AVERAGE(OFFSET(分析データ!E$1,MAX(1,ROW()-$C$7),0,MIN($C$7,ROW()-1),1)))/STDEV(OFFSET(分析データ!E$1,MAX(1,ROW()-$C$7),0,MIN($C$7,ROW()-1),1)),0))</f>
        <v/>
      </c>
      <c r="BM21">
        <f t="shared" ca="1" si="12"/>
        <v>0</v>
      </c>
      <c r="BN21" t="str">
        <f ca="1">IF(BM21=1,IF(INDEX(分析データ!$A:$A,ROW()+$C$5)&lt;&gt;"",40000*SIGN(BL21)*(分析データ!E21-INDEX(分析データ!E:E,ROW()+$C$5)),""),"")</f>
        <v/>
      </c>
      <c r="BO21">
        <f t="shared" ca="1" si="13"/>
        <v>0</v>
      </c>
      <c r="BP21">
        <f t="shared" ca="1" si="14"/>
        <v>0</v>
      </c>
      <c r="BQ21">
        <f t="shared" ca="1" si="15"/>
        <v>0</v>
      </c>
      <c r="BR21" t="str">
        <f ca="1">IF(ROW()&lt;($C$7+1),"",IFERROR((分析データ!F21-AVERAGE(OFFSET(分析データ!F$1,MAX(1,ROW()-$C$7),0,MIN($C$7,ROW()-1),1)))/STDEV(OFFSET(分析データ!F$1,MAX(1,ROW()-$C$7),0,MIN($C$7,ROW()-1),1)),0))</f>
        <v/>
      </c>
      <c r="BS21">
        <f t="shared" ca="1" si="16"/>
        <v>0</v>
      </c>
      <c r="BT21" t="str">
        <f ca="1">IF(BS21=1,IF(INDEX(分析データ!$A:$A,ROW()+$C$5)&lt;&gt;"",40000*SIGN(BR21)*(分析データ!F21-INDEX(分析データ!F:F,ROW()+$C$5)),""),"")</f>
        <v/>
      </c>
      <c r="BU21">
        <f t="shared" ca="1" si="17"/>
        <v>0</v>
      </c>
      <c r="BV21">
        <f t="shared" ca="1" si="18"/>
        <v>0</v>
      </c>
      <c r="BW21">
        <f t="shared" ca="1" si="19"/>
        <v>0</v>
      </c>
      <c r="BX21" t="str">
        <f ca="1">IF(ROW()&lt;($C$7+1),"",IFERROR((分析データ!G21-AVERAGE(OFFSET(分析データ!G$1,MAX(1,ROW()-$C$7),0,MIN($C$7,ROW()-1),1)))/STDEV(OFFSET(分析データ!G$1,MAX(1,ROW()-$C$7),0,MIN($C$7,ROW()-1),1)),0))</f>
        <v/>
      </c>
      <c r="BY21">
        <f t="shared" ca="1" si="20"/>
        <v>0</v>
      </c>
      <c r="BZ21" t="str">
        <f ca="1">IF(BY21=1,IF(INDEX(分析データ!$A:$A,ROW()+$C$5)&lt;&gt;"",40000*SIGN(BX21)*(分析データ!G21-INDEX(分析データ!G:G,ROW()+$C$5)),""),"")</f>
        <v/>
      </c>
      <c r="CA21">
        <f t="shared" ca="1" si="21"/>
        <v>0</v>
      </c>
      <c r="CB21">
        <f t="shared" ca="1" si="22"/>
        <v>0</v>
      </c>
      <c r="CC21">
        <f t="shared" ca="1" si="23"/>
        <v>0</v>
      </c>
      <c r="CD21">
        <f t="shared" ca="1" si="24"/>
        <v>0</v>
      </c>
      <c r="CE21">
        <f t="shared" ca="1" si="25"/>
        <v>0</v>
      </c>
      <c r="CF21">
        <f t="shared" ca="1" si="26"/>
        <v>0</v>
      </c>
      <c r="CG21">
        <f t="shared" ca="1" si="27"/>
        <v>0</v>
      </c>
      <c r="CH21" s="10">
        <f>分析データ!A21</f>
        <v>44957</v>
      </c>
    </row>
    <row r="22" spans="2:86">
      <c r="B22" t="s">
        <v>481</v>
      </c>
      <c r="C22">
        <f ca="1">C16</f>
        <v>516</v>
      </c>
      <c r="AT22" t="str">
        <f ca="1">IF(ROW()&lt;($C$7+1),"",IFERROR((分析データ!B22-AVERAGE(OFFSET(分析データ!B$1,MAX(1,ROW()-$C$7),0,MIN($C$7,ROW()-1),1)))/STDEV(OFFSET(分析データ!B$1,MAX(1,ROW()-$C$7),0,MIN($C$7,ROW()-1),1)),0))</f>
        <v/>
      </c>
      <c r="AU22">
        <f t="shared" ca="1" si="0"/>
        <v>0</v>
      </c>
      <c r="AV22" t="str">
        <f ca="1">IF(AU22=1,IF(INDEX(分析データ!$A:$A,ROW()+$C$5)&lt;&gt;"",80000*SIGN(AT22)*(分析データ!B22-INDEX(分析データ!B:B,ROW()+$C$5)),""),"")</f>
        <v/>
      </c>
      <c r="AW22">
        <f t="shared" ca="1" si="1"/>
        <v>0</v>
      </c>
      <c r="AX22">
        <f t="shared" ca="1" si="2"/>
        <v>0</v>
      </c>
      <c r="AY22">
        <f t="shared" ca="1" si="3"/>
        <v>0</v>
      </c>
      <c r="AZ22" t="str">
        <f ca="1">IF(ROW()&lt;($C$7+1),"",IFERROR((分析データ!C22-AVERAGE(OFFSET(分析データ!C$1,MAX(1,ROW()-$C$7),0,MIN($C$7,ROW()-1),1)))/STDEV(OFFSET(分析データ!C$1,MAX(1,ROW()-$C$7),0,MIN($C$7,ROW()-1),1)),0))</f>
        <v/>
      </c>
      <c r="BA22">
        <f t="shared" ca="1" si="4"/>
        <v>0</v>
      </c>
      <c r="BB22" t="str">
        <f ca="1">IF(BA22=1,IF(INDEX(分析データ!$A:$A,ROW()+$C$5)&lt;&gt;"",60000*SIGN(AZ22)*(分析データ!C22-INDEX(分析データ!C:C,ROW()+$C$5)),""),"")</f>
        <v/>
      </c>
      <c r="BC22">
        <f t="shared" ca="1" si="5"/>
        <v>0</v>
      </c>
      <c r="BD22">
        <f t="shared" ca="1" si="6"/>
        <v>0</v>
      </c>
      <c r="BE22">
        <f t="shared" ca="1" si="7"/>
        <v>0</v>
      </c>
      <c r="BF22" t="str">
        <f ca="1">IF(ROW()&lt;($C$7+1),"",IFERROR((分析データ!D22-AVERAGE(OFFSET(分析データ!D$1,MAX(1,ROW()-$C$7),0,MIN($C$7,ROW()-1),1)))/STDEV(OFFSET(分析データ!D$1,MAX(1,ROW()-$C$7),0,MIN($C$7,ROW()-1),1)),0))</f>
        <v/>
      </c>
      <c r="BG22">
        <f t="shared" ca="1" si="8"/>
        <v>0</v>
      </c>
      <c r="BH22" t="str">
        <f ca="1">IF(BG22=1,IF(INDEX(分析データ!$A:$A,ROW()+$C$5)&lt;&gt;"",50000*SIGN(BF22)*(分析データ!D22-INDEX(分析データ!D:D,ROW()+$C$5)),""),"")</f>
        <v/>
      </c>
      <c r="BI22">
        <f t="shared" ca="1" si="9"/>
        <v>0</v>
      </c>
      <c r="BJ22">
        <f t="shared" ca="1" si="10"/>
        <v>0</v>
      </c>
      <c r="BK22">
        <f t="shared" ca="1" si="11"/>
        <v>0</v>
      </c>
      <c r="BL22" t="str">
        <f ca="1">IF(ROW()&lt;($C$7+1),"",IFERROR((分析データ!E22-AVERAGE(OFFSET(分析データ!E$1,MAX(1,ROW()-$C$7),0,MIN($C$7,ROW()-1),1)))/STDEV(OFFSET(分析データ!E$1,MAX(1,ROW()-$C$7),0,MIN($C$7,ROW()-1),1)),0))</f>
        <v/>
      </c>
      <c r="BM22">
        <f t="shared" ca="1" si="12"/>
        <v>0</v>
      </c>
      <c r="BN22" t="str">
        <f ca="1">IF(BM22=1,IF(INDEX(分析データ!$A:$A,ROW()+$C$5)&lt;&gt;"",40000*SIGN(BL22)*(分析データ!E22-INDEX(分析データ!E:E,ROW()+$C$5)),""),"")</f>
        <v/>
      </c>
      <c r="BO22">
        <f t="shared" ca="1" si="13"/>
        <v>0</v>
      </c>
      <c r="BP22">
        <f t="shared" ca="1" si="14"/>
        <v>0</v>
      </c>
      <c r="BQ22">
        <f t="shared" ca="1" si="15"/>
        <v>0</v>
      </c>
      <c r="BR22" t="str">
        <f ca="1">IF(ROW()&lt;($C$7+1),"",IFERROR((分析データ!F22-AVERAGE(OFFSET(分析データ!F$1,MAX(1,ROW()-$C$7),0,MIN($C$7,ROW()-1),1)))/STDEV(OFFSET(分析データ!F$1,MAX(1,ROW()-$C$7),0,MIN($C$7,ROW()-1),1)),0))</f>
        <v/>
      </c>
      <c r="BS22">
        <f t="shared" ca="1" si="16"/>
        <v>0</v>
      </c>
      <c r="BT22" t="str">
        <f ca="1">IF(BS22=1,IF(INDEX(分析データ!$A:$A,ROW()+$C$5)&lt;&gt;"",40000*SIGN(BR22)*(分析データ!F22-INDEX(分析データ!F:F,ROW()+$C$5)),""),"")</f>
        <v/>
      </c>
      <c r="BU22">
        <f t="shared" ca="1" si="17"/>
        <v>0</v>
      </c>
      <c r="BV22">
        <f t="shared" ca="1" si="18"/>
        <v>0</v>
      </c>
      <c r="BW22">
        <f t="shared" ca="1" si="19"/>
        <v>0</v>
      </c>
      <c r="BX22" t="str">
        <f ca="1">IF(ROW()&lt;($C$7+1),"",IFERROR((分析データ!G22-AVERAGE(OFFSET(分析データ!G$1,MAX(1,ROW()-$C$7),0,MIN($C$7,ROW()-1),1)))/STDEV(OFFSET(分析データ!G$1,MAX(1,ROW()-$C$7),0,MIN($C$7,ROW()-1),1)),0))</f>
        <v/>
      </c>
      <c r="BY22">
        <f t="shared" ca="1" si="20"/>
        <v>0</v>
      </c>
      <c r="BZ22" t="str">
        <f ca="1">IF(BY22=1,IF(INDEX(分析データ!$A:$A,ROW()+$C$5)&lt;&gt;"",40000*SIGN(BX22)*(分析データ!G22-INDEX(分析データ!G:G,ROW()+$C$5)),""),"")</f>
        <v/>
      </c>
      <c r="CA22">
        <f t="shared" ca="1" si="21"/>
        <v>0</v>
      </c>
      <c r="CB22">
        <f t="shared" ca="1" si="22"/>
        <v>0</v>
      </c>
      <c r="CC22">
        <f t="shared" ca="1" si="23"/>
        <v>0</v>
      </c>
      <c r="CD22">
        <f t="shared" ca="1" si="24"/>
        <v>0</v>
      </c>
      <c r="CE22">
        <f t="shared" ca="1" si="25"/>
        <v>0</v>
      </c>
      <c r="CF22">
        <f t="shared" ca="1" si="26"/>
        <v>0</v>
      </c>
      <c r="CG22">
        <f t="shared" ca="1" si="27"/>
        <v>0</v>
      </c>
      <c r="CH22" s="10">
        <f>分析データ!A22</f>
        <v>44958</v>
      </c>
    </row>
    <row r="23" spans="2:86">
      <c r="AT23" t="str">
        <f ca="1">IF(ROW()&lt;($C$7+1),"",IFERROR((分析データ!B23-AVERAGE(OFFSET(分析データ!B$1,MAX(1,ROW()-$C$7),0,MIN($C$7,ROW()-1),1)))/STDEV(OFFSET(分析データ!B$1,MAX(1,ROW()-$C$7),0,MIN($C$7,ROW()-1),1)),0))</f>
        <v/>
      </c>
      <c r="AU23">
        <f t="shared" ca="1" si="0"/>
        <v>0</v>
      </c>
      <c r="AV23" t="str">
        <f ca="1">IF(AU23=1,IF(INDEX(分析データ!$A:$A,ROW()+$C$5)&lt;&gt;"",80000*SIGN(AT23)*(分析データ!B23-INDEX(分析データ!B:B,ROW()+$C$5)),""),"")</f>
        <v/>
      </c>
      <c r="AW23">
        <f t="shared" ca="1" si="1"/>
        <v>0</v>
      </c>
      <c r="AX23">
        <f t="shared" ca="1" si="2"/>
        <v>0</v>
      </c>
      <c r="AY23">
        <f t="shared" ca="1" si="3"/>
        <v>0</v>
      </c>
      <c r="AZ23" t="str">
        <f ca="1">IF(ROW()&lt;($C$7+1),"",IFERROR((分析データ!C23-AVERAGE(OFFSET(分析データ!C$1,MAX(1,ROW()-$C$7),0,MIN($C$7,ROW()-1),1)))/STDEV(OFFSET(分析データ!C$1,MAX(1,ROW()-$C$7),0,MIN($C$7,ROW()-1),1)),0))</f>
        <v/>
      </c>
      <c r="BA23">
        <f t="shared" ca="1" si="4"/>
        <v>0</v>
      </c>
      <c r="BB23" t="str">
        <f ca="1">IF(BA23=1,IF(INDEX(分析データ!$A:$A,ROW()+$C$5)&lt;&gt;"",60000*SIGN(AZ23)*(分析データ!C23-INDEX(分析データ!C:C,ROW()+$C$5)),""),"")</f>
        <v/>
      </c>
      <c r="BC23">
        <f t="shared" ca="1" si="5"/>
        <v>0</v>
      </c>
      <c r="BD23">
        <f t="shared" ca="1" si="6"/>
        <v>0</v>
      </c>
      <c r="BE23">
        <f t="shared" ca="1" si="7"/>
        <v>0</v>
      </c>
      <c r="BF23" t="str">
        <f ca="1">IF(ROW()&lt;($C$7+1),"",IFERROR((分析データ!D23-AVERAGE(OFFSET(分析データ!D$1,MAX(1,ROW()-$C$7),0,MIN($C$7,ROW()-1),1)))/STDEV(OFFSET(分析データ!D$1,MAX(1,ROW()-$C$7),0,MIN($C$7,ROW()-1),1)),0))</f>
        <v/>
      </c>
      <c r="BG23">
        <f t="shared" ca="1" si="8"/>
        <v>0</v>
      </c>
      <c r="BH23" t="str">
        <f ca="1">IF(BG23=1,IF(INDEX(分析データ!$A:$A,ROW()+$C$5)&lt;&gt;"",50000*SIGN(BF23)*(分析データ!D23-INDEX(分析データ!D:D,ROW()+$C$5)),""),"")</f>
        <v/>
      </c>
      <c r="BI23">
        <f t="shared" ca="1" si="9"/>
        <v>0</v>
      </c>
      <c r="BJ23">
        <f t="shared" ca="1" si="10"/>
        <v>0</v>
      </c>
      <c r="BK23">
        <f t="shared" ca="1" si="11"/>
        <v>0</v>
      </c>
      <c r="BL23" t="str">
        <f ca="1">IF(ROW()&lt;($C$7+1),"",IFERROR((分析データ!E23-AVERAGE(OFFSET(分析データ!E$1,MAX(1,ROW()-$C$7),0,MIN($C$7,ROW()-1),1)))/STDEV(OFFSET(分析データ!E$1,MAX(1,ROW()-$C$7),0,MIN($C$7,ROW()-1),1)),0))</f>
        <v/>
      </c>
      <c r="BM23">
        <f t="shared" ca="1" si="12"/>
        <v>0</v>
      </c>
      <c r="BN23" t="str">
        <f ca="1">IF(BM23=1,IF(INDEX(分析データ!$A:$A,ROW()+$C$5)&lt;&gt;"",40000*SIGN(BL23)*(分析データ!E23-INDEX(分析データ!E:E,ROW()+$C$5)),""),"")</f>
        <v/>
      </c>
      <c r="BO23">
        <f t="shared" ca="1" si="13"/>
        <v>0</v>
      </c>
      <c r="BP23">
        <f t="shared" ca="1" si="14"/>
        <v>0</v>
      </c>
      <c r="BQ23">
        <f t="shared" ca="1" si="15"/>
        <v>0</v>
      </c>
      <c r="BR23" t="str">
        <f ca="1">IF(ROW()&lt;($C$7+1),"",IFERROR((分析データ!F23-AVERAGE(OFFSET(分析データ!F$1,MAX(1,ROW()-$C$7),0,MIN($C$7,ROW()-1),1)))/STDEV(OFFSET(分析データ!F$1,MAX(1,ROW()-$C$7),0,MIN($C$7,ROW()-1),1)),0))</f>
        <v/>
      </c>
      <c r="BS23">
        <f t="shared" ca="1" si="16"/>
        <v>0</v>
      </c>
      <c r="BT23" t="str">
        <f ca="1">IF(BS23=1,IF(INDEX(分析データ!$A:$A,ROW()+$C$5)&lt;&gt;"",40000*SIGN(BR23)*(分析データ!F23-INDEX(分析データ!F:F,ROW()+$C$5)),""),"")</f>
        <v/>
      </c>
      <c r="BU23">
        <f t="shared" ca="1" si="17"/>
        <v>0</v>
      </c>
      <c r="BV23">
        <f t="shared" ca="1" si="18"/>
        <v>0</v>
      </c>
      <c r="BW23">
        <f t="shared" ca="1" si="19"/>
        <v>0</v>
      </c>
      <c r="BX23" t="str">
        <f ca="1">IF(ROW()&lt;($C$7+1),"",IFERROR((分析データ!G23-AVERAGE(OFFSET(分析データ!G$1,MAX(1,ROW()-$C$7),0,MIN($C$7,ROW()-1),1)))/STDEV(OFFSET(分析データ!G$1,MAX(1,ROW()-$C$7),0,MIN($C$7,ROW()-1),1)),0))</f>
        <v/>
      </c>
      <c r="BY23">
        <f t="shared" ca="1" si="20"/>
        <v>0</v>
      </c>
      <c r="BZ23" t="str">
        <f ca="1">IF(BY23=1,IF(INDEX(分析データ!$A:$A,ROW()+$C$5)&lt;&gt;"",40000*SIGN(BX23)*(分析データ!G23-INDEX(分析データ!G:G,ROW()+$C$5)),""),"")</f>
        <v/>
      </c>
      <c r="CA23">
        <f t="shared" ca="1" si="21"/>
        <v>0</v>
      </c>
      <c r="CB23">
        <f t="shared" ca="1" si="22"/>
        <v>0</v>
      </c>
      <c r="CC23">
        <f t="shared" ca="1" si="23"/>
        <v>0</v>
      </c>
      <c r="CD23">
        <f t="shared" ca="1" si="24"/>
        <v>0</v>
      </c>
      <c r="CE23">
        <f t="shared" ca="1" si="25"/>
        <v>0</v>
      </c>
      <c r="CF23">
        <f t="shared" ca="1" si="26"/>
        <v>0</v>
      </c>
      <c r="CG23">
        <f t="shared" ca="1" si="27"/>
        <v>0</v>
      </c>
      <c r="CH23" s="10">
        <f>分析データ!A23</f>
        <v>44959</v>
      </c>
    </row>
    <row r="24" spans="2:86">
      <c r="B24" s="53" t="s">
        <v>482</v>
      </c>
      <c r="AT24" t="str">
        <f ca="1">IF(ROW()&lt;($C$7+1),"",IFERROR((分析データ!B24-AVERAGE(OFFSET(分析データ!B$1,MAX(1,ROW()-$C$7),0,MIN($C$7,ROW()-1),1)))/STDEV(OFFSET(分析データ!B$1,MAX(1,ROW()-$C$7),0,MIN($C$7,ROW()-1),1)),0))</f>
        <v/>
      </c>
      <c r="AU24">
        <f t="shared" ca="1" si="0"/>
        <v>0</v>
      </c>
      <c r="AV24" t="str">
        <f ca="1">IF(AU24=1,IF(INDEX(分析データ!$A:$A,ROW()+$C$5)&lt;&gt;"",80000*SIGN(AT24)*(分析データ!B24-INDEX(分析データ!B:B,ROW()+$C$5)),""),"")</f>
        <v/>
      </c>
      <c r="AW24">
        <f t="shared" ca="1" si="1"/>
        <v>0</v>
      </c>
      <c r="AX24">
        <f t="shared" ca="1" si="2"/>
        <v>0</v>
      </c>
      <c r="AY24">
        <f t="shared" ca="1" si="3"/>
        <v>0</v>
      </c>
      <c r="AZ24" t="str">
        <f ca="1">IF(ROW()&lt;($C$7+1),"",IFERROR((分析データ!C24-AVERAGE(OFFSET(分析データ!C$1,MAX(1,ROW()-$C$7),0,MIN($C$7,ROW()-1),1)))/STDEV(OFFSET(分析データ!C$1,MAX(1,ROW()-$C$7),0,MIN($C$7,ROW()-1),1)),0))</f>
        <v/>
      </c>
      <c r="BA24">
        <f t="shared" ca="1" si="4"/>
        <v>0</v>
      </c>
      <c r="BB24" t="str">
        <f ca="1">IF(BA24=1,IF(INDEX(分析データ!$A:$A,ROW()+$C$5)&lt;&gt;"",60000*SIGN(AZ24)*(分析データ!C24-INDEX(分析データ!C:C,ROW()+$C$5)),""),"")</f>
        <v/>
      </c>
      <c r="BC24">
        <f t="shared" ca="1" si="5"/>
        <v>0</v>
      </c>
      <c r="BD24">
        <f t="shared" ca="1" si="6"/>
        <v>0</v>
      </c>
      <c r="BE24">
        <f t="shared" ca="1" si="7"/>
        <v>0</v>
      </c>
      <c r="BF24" t="str">
        <f ca="1">IF(ROW()&lt;($C$7+1),"",IFERROR((分析データ!D24-AVERAGE(OFFSET(分析データ!D$1,MAX(1,ROW()-$C$7),0,MIN($C$7,ROW()-1),1)))/STDEV(OFFSET(分析データ!D$1,MAX(1,ROW()-$C$7),0,MIN($C$7,ROW()-1),1)),0))</f>
        <v/>
      </c>
      <c r="BG24">
        <f t="shared" ca="1" si="8"/>
        <v>0</v>
      </c>
      <c r="BH24" t="str">
        <f ca="1">IF(BG24=1,IF(INDEX(分析データ!$A:$A,ROW()+$C$5)&lt;&gt;"",50000*SIGN(BF24)*(分析データ!D24-INDEX(分析データ!D:D,ROW()+$C$5)),""),"")</f>
        <v/>
      </c>
      <c r="BI24">
        <f t="shared" ca="1" si="9"/>
        <v>0</v>
      </c>
      <c r="BJ24">
        <f t="shared" ca="1" si="10"/>
        <v>0</v>
      </c>
      <c r="BK24">
        <f t="shared" ca="1" si="11"/>
        <v>0</v>
      </c>
      <c r="BL24" t="str">
        <f ca="1">IF(ROW()&lt;($C$7+1),"",IFERROR((分析データ!E24-AVERAGE(OFFSET(分析データ!E$1,MAX(1,ROW()-$C$7),0,MIN($C$7,ROW()-1),1)))/STDEV(OFFSET(分析データ!E$1,MAX(1,ROW()-$C$7),0,MIN($C$7,ROW()-1),1)),0))</f>
        <v/>
      </c>
      <c r="BM24">
        <f t="shared" ca="1" si="12"/>
        <v>0</v>
      </c>
      <c r="BN24" t="str">
        <f ca="1">IF(BM24=1,IF(INDEX(分析データ!$A:$A,ROW()+$C$5)&lt;&gt;"",40000*SIGN(BL24)*(分析データ!E24-INDEX(分析データ!E:E,ROW()+$C$5)),""),"")</f>
        <v/>
      </c>
      <c r="BO24">
        <f t="shared" ca="1" si="13"/>
        <v>0</v>
      </c>
      <c r="BP24">
        <f t="shared" ca="1" si="14"/>
        <v>0</v>
      </c>
      <c r="BQ24">
        <f t="shared" ca="1" si="15"/>
        <v>0</v>
      </c>
      <c r="BR24" t="str">
        <f ca="1">IF(ROW()&lt;($C$7+1),"",IFERROR((分析データ!F24-AVERAGE(OFFSET(分析データ!F$1,MAX(1,ROW()-$C$7),0,MIN($C$7,ROW()-1),1)))/STDEV(OFFSET(分析データ!F$1,MAX(1,ROW()-$C$7),0,MIN($C$7,ROW()-1),1)),0))</f>
        <v/>
      </c>
      <c r="BS24">
        <f t="shared" ca="1" si="16"/>
        <v>0</v>
      </c>
      <c r="BT24" t="str">
        <f ca="1">IF(BS24=1,IF(INDEX(分析データ!$A:$A,ROW()+$C$5)&lt;&gt;"",40000*SIGN(BR24)*(分析データ!F24-INDEX(分析データ!F:F,ROW()+$C$5)),""),"")</f>
        <v/>
      </c>
      <c r="BU24">
        <f t="shared" ca="1" si="17"/>
        <v>0</v>
      </c>
      <c r="BV24">
        <f t="shared" ca="1" si="18"/>
        <v>0</v>
      </c>
      <c r="BW24">
        <f t="shared" ca="1" si="19"/>
        <v>0</v>
      </c>
      <c r="BX24" t="str">
        <f ca="1">IF(ROW()&lt;($C$7+1),"",IFERROR((分析データ!G24-AVERAGE(OFFSET(分析データ!G$1,MAX(1,ROW()-$C$7),0,MIN($C$7,ROW()-1),1)))/STDEV(OFFSET(分析データ!G$1,MAX(1,ROW()-$C$7),0,MIN($C$7,ROW()-1),1)),0))</f>
        <v/>
      </c>
      <c r="BY24">
        <f t="shared" ca="1" si="20"/>
        <v>0</v>
      </c>
      <c r="BZ24" t="str">
        <f ca="1">IF(BY24=1,IF(INDEX(分析データ!$A:$A,ROW()+$C$5)&lt;&gt;"",40000*SIGN(BX24)*(分析データ!G24-INDEX(分析データ!G:G,ROW()+$C$5)),""),"")</f>
        <v/>
      </c>
      <c r="CA24">
        <f t="shared" ca="1" si="21"/>
        <v>0</v>
      </c>
      <c r="CB24">
        <f t="shared" ca="1" si="22"/>
        <v>0</v>
      </c>
      <c r="CC24">
        <f t="shared" ca="1" si="23"/>
        <v>0</v>
      </c>
      <c r="CD24">
        <f t="shared" ca="1" si="24"/>
        <v>0</v>
      </c>
      <c r="CE24">
        <f t="shared" ca="1" si="25"/>
        <v>0</v>
      </c>
      <c r="CF24">
        <f t="shared" ca="1" si="26"/>
        <v>0</v>
      </c>
      <c r="CG24">
        <f t="shared" ca="1" si="27"/>
        <v>0</v>
      </c>
      <c r="CH24" s="10">
        <f>分析データ!A24</f>
        <v>44960</v>
      </c>
    </row>
    <row r="25" spans="2:86">
      <c r="B25" s="53" t="s">
        <v>483</v>
      </c>
      <c r="AT25" t="str">
        <f ca="1">IF(ROW()&lt;($C$7+1),"",IFERROR((分析データ!B25-AVERAGE(OFFSET(分析データ!B$1,MAX(1,ROW()-$C$7),0,MIN($C$7,ROW()-1),1)))/STDEV(OFFSET(分析データ!B$1,MAX(1,ROW()-$C$7),0,MIN($C$7,ROW()-1),1)),0))</f>
        <v/>
      </c>
      <c r="AU25">
        <f t="shared" ca="1" si="0"/>
        <v>0</v>
      </c>
      <c r="AV25" t="str">
        <f ca="1">IF(AU25=1,IF(INDEX(分析データ!$A:$A,ROW()+$C$5)&lt;&gt;"",80000*SIGN(AT25)*(分析データ!B25-INDEX(分析データ!B:B,ROW()+$C$5)),""),"")</f>
        <v/>
      </c>
      <c r="AW25">
        <f t="shared" ca="1" si="1"/>
        <v>0</v>
      </c>
      <c r="AX25">
        <f t="shared" ca="1" si="2"/>
        <v>0</v>
      </c>
      <c r="AY25">
        <f t="shared" ca="1" si="3"/>
        <v>0</v>
      </c>
      <c r="AZ25" t="str">
        <f ca="1">IF(ROW()&lt;($C$7+1),"",IFERROR((分析データ!C25-AVERAGE(OFFSET(分析データ!C$1,MAX(1,ROW()-$C$7),0,MIN($C$7,ROW()-1),1)))/STDEV(OFFSET(分析データ!C$1,MAX(1,ROW()-$C$7),0,MIN($C$7,ROW()-1),1)),0))</f>
        <v/>
      </c>
      <c r="BA25">
        <f t="shared" ca="1" si="4"/>
        <v>0</v>
      </c>
      <c r="BB25" t="str">
        <f ca="1">IF(BA25=1,IF(INDEX(分析データ!$A:$A,ROW()+$C$5)&lt;&gt;"",60000*SIGN(AZ25)*(分析データ!C25-INDEX(分析データ!C:C,ROW()+$C$5)),""),"")</f>
        <v/>
      </c>
      <c r="BC25">
        <f t="shared" ca="1" si="5"/>
        <v>0</v>
      </c>
      <c r="BD25">
        <f t="shared" ca="1" si="6"/>
        <v>0</v>
      </c>
      <c r="BE25">
        <f t="shared" ca="1" si="7"/>
        <v>0</v>
      </c>
      <c r="BF25" t="str">
        <f ca="1">IF(ROW()&lt;($C$7+1),"",IFERROR((分析データ!D25-AVERAGE(OFFSET(分析データ!D$1,MAX(1,ROW()-$C$7),0,MIN($C$7,ROW()-1),1)))/STDEV(OFFSET(分析データ!D$1,MAX(1,ROW()-$C$7),0,MIN($C$7,ROW()-1),1)),0))</f>
        <v/>
      </c>
      <c r="BG25">
        <f t="shared" ca="1" si="8"/>
        <v>0</v>
      </c>
      <c r="BH25" t="str">
        <f ca="1">IF(BG25=1,IF(INDEX(分析データ!$A:$A,ROW()+$C$5)&lt;&gt;"",50000*SIGN(BF25)*(分析データ!D25-INDEX(分析データ!D:D,ROW()+$C$5)),""),"")</f>
        <v/>
      </c>
      <c r="BI25">
        <f t="shared" ca="1" si="9"/>
        <v>0</v>
      </c>
      <c r="BJ25">
        <f t="shared" ca="1" si="10"/>
        <v>0</v>
      </c>
      <c r="BK25">
        <f t="shared" ca="1" si="11"/>
        <v>0</v>
      </c>
      <c r="BL25" t="str">
        <f ca="1">IF(ROW()&lt;($C$7+1),"",IFERROR((分析データ!E25-AVERAGE(OFFSET(分析データ!E$1,MAX(1,ROW()-$C$7),0,MIN($C$7,ROW()-1),1)))/STDEV(OFFSET(分析データ!E$1,MAX(1,ROW()-$C$7),0,MIN($C$7,ROW()-1),1)),0))</f>
        <v/>
      </c>
      <c r="BM25">
        <f t="shared" ca="1" si="12"/>
        <v>0</v>
      </c>
      <c r="BN25" t="str">
        <f ca="1">IF(BM25=1,IF(INDEX(分析データ!$A:$A,ROW()+$C$5)&lt;&gt;"",40000*SIGN(BL25)*(分析データ!E25-INDEX(分析データ!E:E,ROW()+$C$5)),""),"")</f>
        <v/>
      </c>
      <c r="BO25">
        <f t="shared" ca="1" si="13"/>
        <v>0</v>
      </c>
      <c r="BP25">
        <f t="shared" ca="1" si="14"/>
        <v>0</v>
      </c>
      <c r="BQ25">
        <f t="shared" ca="1" si="15"/>
        <v>0</v>
      </c>
      <c r="BR25" t="str">
        <f ca="1">IF(ROW()&lt;($C$7+1),"",IFERROR((分析データ!F25-AVERAGE(OFFSET(分析データ!F$1,MAX(1,ROW()-$C$7),0,MIN($C$7,ROW()-1),1)))/STDEV(OFFSET(分析データ!F$1,MAX(1,ROW()-$C$7),0,MIN($C$7,ROW()-1),1)),0))</f>
        <v/>
      </c>
      <c r="BS25">
        <f t="shared" ca="1" si="16"/>
        <v>0</v>
      </c>
      <c r="BT25" t="str">
        <f ca="1">IF(BS25=1,IF(INDEX(分析データ!$A:$A,ROW()+$C$5)&lt;&gt;"",40000*SIGN(BR25)*(分析データ!F25-INDEX(分析データ!F:F,ROW()+$C$5)),""),"")</f>
        <v/>
      </c>
      <c r="BU25">
        <f t="shared" ca="1" si="17"/>
        <v>0</v>
      </c>
      <c r="BV25">
        <f t="shared" ca="1" si="18"/>
        <v>0</v>
      </c>
      <c r="BW25">
        <f t="shared" ca="1" si="19"/>
        <v>0</v>
      </c>
      <c r="BX25" t="str">
        <f ca="1">IF(ROW()&lt;($C$7+1),"",IFERROR((分析データ!G25-AVERAGE(OFFSET(分析データ!G$1,MAX(1,ROW()-$C$7),0,MIN($C$7,ROW()-1),1)))/STDEV(OFFSET(分析データ!G$1,MAX(1,ROW()-$C$7),0,MIN($C$7,ROW()-1),1)),0))</f>
        <v/>
      </c>
      <c r="BY25">
        <f t="shared" ca="1" si="20"/>
        <v>0</v>
      </c>
      <c r="BZ25" t="str">
        <f ca="1">IF(BY25=1,IF(INDEX(分析データ!$A:$A,ROW()+$C$5)&lt;&gt;"",40000*SIGN(BX25)*(分析データ!G25-INDEX(分析データ!G:G,ROW()+$C$5)),""),"")</f>
        <v/>
      </c>
      <c r="CA25">
        <f t="shared" ca="1" si="21"/>
        <v>0</v>
      </c>
      <c r="CB25">
        <f t="shared" ca="1" si="22"/>
        <v>0</v>
      </c>
      <c r="CC25">
        <f t="shared" ca="1" si="23"/>
        <v>0</v>
      </c>
      <c r="CD25">
        <f t="shared" ca="1" si="24"/>
        <v>0</v>
      </c>
      <c r="CE25">
        <f t="shared" ca="1" si="25"/>
        <v>0</v>
      </c>
      <c r="CF25">
        <f t="shared" ca="1" si="26"/>
        <v>0</v>
      </c>
      <c r="CG25">
        <f t="shared" ca="1" si="27"/>
        <v>0</v>
      </c>
      <c r="CH25" s="10">
        <f>分析データ!A25</f>
        <v>44963</v>
      </c>
    </row>
    <row r="26" spans="2:86">
      <c r="B26" s="53" t="s">
        <v>484</v>
      </c>
      <c r="AT26" t="str">
        <f ca="1">IF(ROW()&lt;($C$7+1),"",IFERROR((分析データ!B26-AVERAGE(OFFSET(分析データ!B$1,MAX(1,ROW()-$C$7),0,MIN($C$7,ROW()-1),1)))/STDEV(OFFSET(分析データ!B$1,MAX(1,ROW()-$C$7),0,MIN($C$7,ROW()-1),1)),0))</f>
        <v/>
      </c>
      <c r="AU26">
        <f t="shared" ca="1" si="0"/>
        <v>0</v>
      </c>
      <c r="AV26" t="str">
        <f ca="1">IF(AU26=1,IF(INDEX(分析データ!$A:$A,ROW()+$C$5)&lt;&gt;"",80000*SIGN(AT26)*(分析データ!B26-INDEX(分析データ!B:B,ROW()+$C$5)),""),"")</f>
        <v/>
      </c>
      <c r="AW26">
        <f t="shared" ca="1" si="1"/>
        <v>0</v>
      </c>
      <c r="AX26">
        <f t="shared" ca="1" si="2"/>
        <v>0</v>
      </c>
      <c r="AY26">
        <f t="shared" ca="1" si="3"/>
        <v>0</v>
      </c>
      <c r="AZ26" t="str">
        <f ca="1">IF(ROW()&lt;($C$7+1),"",IFERROR((分析データ!C26-AVERAGE(OFFSET(分析データ!C$1,MAX(1,ROW()-$C$7),0,MIN($C$7,ROW()-1),1)))/STDEV(OFFSET(分析データ!C$1,MAX(1,ROW()-$C$7),0,MIN($C$7,ROW()-1),1)),0))</f>
        <v/>
      </c>
      <c r="BA26">
        <f t="shared" ca="1" si="4"/>
        <v>0</v>
      </c>
      <c r="BB26" t="str">
        <f ca="1">IF(BA26=1,IF(INDEX(分析データ!$A:$A,ROW()+$C$5)&lt;&gt;"",60000*SIGN(AZ26)*(分析データ!C26-INDEX(分析データ!C:C,ROW()+$C$5)),""),"")</f>
        <v/>
      </c>
      <c r="BC26">
        <f t="shared" ca="1" si="5"/>
        <v>0</v>
      </c>
      <c r="BD26">
        <f t="shared" ca="1" si="6"/>
        <v>0</v>
      </c>
      <c r="BE26">
        <f t="shared" ca="1" si="7"/>
        <v>0</v>
      </c>
      <c r="BF26" t="str">
        <f ca="1">IF(ROW()&lt;($C$7+1),"",IFERROR((分析データ!D26-AVERAGE(OFFSET(分析データ!D$1,MAX(1,ROW()-$C$7),0,MIN($C$7,ROW()-1),1)))/STDEV(OFFSET(分析データ!D$1,MAX(1,ROW()-$C$7),0,MIN($C$7,ROW()-1),1)),0))</f>
        <v/>
      </c>
      <c r="BG26">
        <f t="shared" ca="1" si="8"/>
        <v>0</v>
      </c>
      <c r="BH26" t="str">
        <f ca="1">IF(BG26=1,IF(INDEX(分析データ!$A:$A,ROW()+$C$5)&lt;&gt;"",50000*SIGN(BF26)*(分析データ!D26-INDEX(分析データ!D:D,ROW()+$C$5)),""),"")</f>
        <v/>
      </c>
      <c r="BI26">
        <f t="shared" ca="1" si="9"/>
        <v>0</v>
      </c>
      <c r="BJ26">
        <f t="shared" ca="1" si="10"/>
        <v>0</v>
      </c>
      <c r="BK26">
        <f t="shared" ca="1" si="11"/>
        <v>0</v>
      </c>
      <c r="BL26" t="str">
        <f ca="1">IF(ROW()&lt;($C$7+1),"",IFERROR((分析データ!E26-AVERAGE(OFFSET(分析データ!E$1,MAX(1,ROW()-$C$7),0,MIN($C$7,ROW()-1),1)))/STDEV(OFFSET(分析データ!E$1,MAX(1,ROW()-$C$7),0,MIN($C$7,ROW()-1),1)),0))</f>
        <v/>
      </c>
      <c r="BM26">
        <f t="shared" ca="1" si="12"/>
        <v>0</v>
      </c>
      <c r="BN26" t="str">
        <f ca="1">IF(BM26=1,IF(INDEX(分析データ!$A:$A,ROW()+$C$5)&lt;&gt;"",40000*SIGN(BL26)*(分析データ!E26-INDEX(分析データ!E:E,ROW()+$C$5)),""),"")</f>
        <v/>
      </c>
      <c r="BO26">
        <f t="shared" ca="1" si="13"/>
        <v>0</v>
      </c>
      <c r="BP26">
        <f t="shared" ca="1" si="14"/>
        <v>0</v>
      </c>
      <c r="BQ26">
        <f t="shared" ca="1" si="15"/>
        <v>0</v>
      </c>
      <c r="BR26" t="str">
        <f ca="1">IF(ROW()&lt;($C$7+1),"",IFERROR((分析データ!F26-AVERAGE(OFFSET(分析データ!F$1,MAX(1,ROW()-$C$7),0,MIN($C$7,ROW()-1),1)))/STDEV(OFFSET(分析データ!F$1,MAX(1,ROW()-$C$7),0,MIN($C$7,ROW()-1),1)),0))</f>
        <v/>
      </c>
      <c r="BS26">
        <f t="shared" ca="1" si="16"/>
        <v>0</v>
      </c>
      <c r="BT26" t="str">
        <f ca="1">IF(BS26=1,IF(INDEX(分析データ!$A:$A,ROW()+$C$5)&lt;&gt;"",40000*SIGN(BR26)*(分析データ!F26-INDEX(分析データ!F:F,ROW()+$C$5)),""),"")</f>
        <v/>
      </c>
      <c r="BU26">
        <f t="shared" ca="1" si="17"/>
        <v>0</v>
      </c>
      <c r="BV26">
        <f t="shared" ca="1" si="18"/>
        <v>0</v>
      </c>
      <c r="BW26">
        <f t="shared" ca="1" si="19"/>
        <v>0</v>
      </c>
      <c r="BX26" t="str">
        <f ca="1">IF(ROW()&lt;($C$7+1),"",IFERROR((分析データ!G26-AVERAGE(OFFSET(分析データ!G$1,MAX(1,ROW()-$C$7),0,MIN($C$7,ROW()-1),1)))/STDEV(OFFSET(分析データ!G$1,MAX(1,ROW()-$C$7),0,MIN($C$7,ROW()-1),1)),0))</f>
        <v/>
      </c>
      <c r="BY26">
        <f t="shared" ca="1" si="20"/>
        <v>0</v>
      </c>
      <c r="BZ26" t="str">
        <f ca="1">IF(BY26=1,IF(INDEX(分析データ!$A:$A,ROW()+$C$5)&lt;&gt;"",40000*SIGN(BX26)*(分析データ!G26-INDEX(分析データ!G:G,ROW()+$C$5)),""),"")</f>
        <v/>
      </c>
      <c r="CA26">
        <f t="shared" ca="1" si="21"/>
        <v>0</v>
      </c>
      <c r="CB26">
        <f t="shared" ca="1" si="22"/>
        <v>0</v>
      </c>
      <c r="CC26">
        <f t="shared" ca="1" si="23"/>
        <v>0</v>
      </c>
      <c r="CD26">
        <f t="shared" ca="1" si="24"/>
        <v>0</v>
      </c>
      <c r="CE26">
        <f t="shared" ca="1" si="25"/>
        <v>0</v>
      </c>
      <c r="CF26">
        <f t="shared" ca="1" si="26"/>
        <v>0</v>
      </c>
      <c r="CG26">
        <f t="shared" ca="1" si="27"/>
        <v>0</v>
      </c>
      <c r="CH26" s="10">
        <f>分析データ!A26</f>
        <v>44964</v>
      </c>
    </row>
    <row r="27" spans="2:86">
      <c r="B27" s="53" t="s">
        <v>485</v>
      </c>
      <c r="AT27" t="str">
        <f ca="1">IF(ROW()&lt;($C$7+1),"",IFERROR((分析データ!B27-AVERAGE(OFFSET(分析データ!B$1,MAX(1,ROW()-$C$7),0,MIN($C$7,ROW()-1),1)))/STDEV(OFFSET(分析データ!B$1,MAX(1,ROW()-$C$7),0,MIN($C$7,ROW()-1),1)),0))</f>
        <v/>
      </c>
      <c r="AU27">
        <f t="shared" ca="1" si="0"/>
        <v>0</v>
      </c>
      <c r="AV27" t="str">
        <f ca="1">IF(AU27=1,IF(INDEX(分析データ!$A:$A,ROW()+$C$5)&lt;&gt;"",80000*SIGN(AT27)*(分析データ!B27-INDEX(分析データ!B:B,ROW()+$C$5)),""),"")</f>
        <v/>
      </c>
      <c r="AW27">
        <f t="shared" ca="1" si="1"/>
        <v>0</v>
      </c>
      <c r="AX27">
        <f t="shared" ca="1" si="2"/>
        <v>0</v>
      </c>
      <c r="AY27">
        <f t="shared" ca="1" si="3"/>
        <v>0</v>
      </c>
      <c r="AZ27" t="str">
        <f ca="1">IF(ROW()&lt;($C$7+1),"",IFERROR((分析データ!C27-AVERAGE(OFFSET(分析データ!C$1,MAX(1,ROW()-$C$7),0,MIN($C$7,ROW()-1),1)))/STDEV(OFFSET(分析データ!C$1,MAX(1,ROW()-$C$7),0,MIN($C$7,ROW()-1),1)),0))</f>
        <v/>
      </c>
      <c r="BA27">
        <f t="shared" ca="1" si="4"/>
        <v>0</v>
      </c>
      <c r="BB27" t="str">
        <f ca="1">IF(BA27=1,IF(INDEX(分析データ!$A:$A,ROW()+$C$5)&lt;&gt;"",60000*SIGN(AZ27)*(分析データ!C27-INDEX(分析データ!C:C,ROW()+$C$5)),""),"")</f>
        <v/>
      </c>
      <c r="BC27">
        <f t="shared" ca="1" si="5"/>
        <v>0</v>
      </c>
      <c r="BD27">
        <f t="shared" ca="1" si="6"/>
        <v>0</v>
      </c>
      <c r="BE27">
        <f t="shared" ca="1" si="7"/>
        <v>0</v>
      </c>
      <c r="BF27" t="str">
        <f ca="1">IF(ROW()&lt;($C$7+1),"",IFERROR((分析データ!D27-AVERAGE(OFFSET(分析データ!D$1,MAX(1,ROW()-$C$7),0,MIN($C$7,ROW()-1),1)))/STDEV(OFFSET(分析データ!D$1,MAX(1,ROW()-$C$7),0,MIN($C$7,ROW()-1),1)),0))</f>
        <v/>
      </c>
      <c r="BG27">
        <f t="shared" ca="1" si="8"/>
        <v>0</v>
      </c>
      <c r="BH27" t="str">
        <f ca="1">IF(BG27=1,IF(INDEX(分析データ!$A:$A,ROW()+$C$5)&lt;&gt;"",50000*SIGN(BF27)*(分析データ!D27-INDEX(分析データ!D:D,ROW()+$C$5)),""),"")</f>
        <v/>
      </c>
      <c r="BI27">
        <f t="shared" ca="1" si="9"/>
        <v>0</v>
      </c>
      <c r="BJ27">
        <f t="shared" ca="1" si="10"/>
        <v>0</v>
      </c>
      <c r="BK27">
        <f t="shared" ca="1" si="11"/>
        <v>0</v>
      </c>
      <c r="BL27" t="str">
        <f ca="1">IF(ROW()&lt;($C$7+1),"",IFERROR((分析データ!E27-AVERAGE(OFFSET(分析データ!E$1,MAX(1,ROW()-$C$7),0,MIN($C$7,ROW()-1),1)))/STDEV(OFFSET(分析データ!E$1,MAX(1,ROW()-$C$7),0,MIN($C$7,ROW()-1),1)),0))</f>
        <v/>
      </c>
      <c r="BM27">
        <f t="shared" ca="1" si="12"/>
        <v>0</v>
      </c>
      <c r="BN27" t="str">
        <f ca="1">IF(BM27=1,IF(INDEX(分析データ!$A:$A,ROW()+$C$5)&lt;&gt;"",40000*SIGN(BL27)*(分析データ!E27-INDEX(分析データ!E:E,ROW()+$C$5)),""),"")</f>
        <v/>
      </c>
      <c r="BO27">
        <f t="shared" ca="1" si="13"/>
        <v>0</v>
      </c>
      <c r="BP27">
        <f t="shared" ca="1" si="14"/>
        <v>0</v>
      </c>
      <c r="BQ27">
        <f t="shared" ca="1" si="15"/>
        <v>0</v>
      </c>
      <c r="BR27" t="str">
        <f ca="1">IF(ROW()&lt;($C$7+1),"",IFERROR((分析データ!F27-AVERAGE(OFFSET(分析データ!F$1,MAX(1,ROW()-$C$7),0,MIN($C$7,ROW()-1),1)))/STDEV(OFFSET(分析データ!F$1,MAX(1,ROW()-$C$7),0,MIN($C$7,ROW()-1),1)),0))</f>
        <v/>
      </c>
      <c r="BS27">
        <f t="shared" ca="1" si="16"/>
        <v>0</v>
      </c>
      <c r="BT27" t="str">
        <f ca="1">IF(BS27=1,IF(INDEX(分析データ!$A:$A,ROW()+$C$5)&lt;&gt;"",40000*SIGN(BR27)*(分析データ!F27-INDEX(分析データ!F:F,ROW()+$C$5)),""),"")</f>
        <v/>
      </c>
      <c r="BU27">
        <f t="shared" ca="1" si="17"/>
        <v>0</v>
      </c>
      <c r="BV27">
        <f t="shared" ca="1" si="18"/>
        <v>0</v>
      </c>
      <c r="BW27">
        <f t="shared" ca="1" si="19"/>
        <v>0</v>
      </c>
      <c r="BX27" t="str">
        <f ca="1">IF(ROW()&lt;($C$7+1),"",IFERROR((分析データ!G27-AVERAGE(OFFSET(分析データ!G$1,MAX(1,ROW()-$C$7),0,MIN($C$7,ROW()-1),1)))/STDEV(OFFSET(分析データ!G$1,MAX(1,ROW()-$C$7),0,MIN($C$7,ROW()-1),1)),0))</f>
        <v/>
      </c>
      <c r="BY27">
        <f t="shared" ca="1" si="20"/>
        <v>0</v>
      </c>
      <c r="BZ27" t="str">
        <f ca="1">IF(BY27=1,IF(INDEX(分析データ!$A:$A,ROW()+$C$5)&lt;&gt;"",40000*SIGN(BX27)*(分析データ!G27-INDEX(分析データ!G:G,ROW()+$C$5)),""),"")</f>
        <v/>
      </c>
      <c r="CA27">
        <f t="shared" ca="1" si="21"/>
        <v>0</v>
      </c>
      <c r="CB27">
        <f t="shared" ca="1" si="22"/>
        <v>0</v>
      </c>
      <c r="CC27">
        <f t="shared" ca="1" si="23"/>
        <v>0</v>
      </c>
      <c r="CD27">
        <f t="shared" ca="1" si="24"/>
        <v>0</v>
      </c>
      <c r="CE27">
        <f t="shared" ca="1" si="25"/>
        <v>0</v>
      </c>
      <c r="CF27">
        <f t="shared" ca="1" si="26"/>
        <v>0</v>
      </c>
      <c r="CG27">
        <f t="shared" ca="1" si="27"/>
        <v>0</v>
      </c>
      <c r="CH27" s="10">
        <f>分析データ!A27</f>
        <v>44965</v>
      </c>
    </row>
    <row r="28" spans="2:86">
      <c r="AT28" t="str">
        <f ca="1">IF(ROW()&lt;($C$7+1),"",IFERROR((分析データ!B28-AVERAGE(OFFSET(分析データ!B$1,MAX(1,ROW()-$C$7),0,MIN($C$7,ROW()-1),1)))/STDEV(OFFSET(分析データ!B$1,MAX(1,ROW()-$C$7),0,MIN($C$7,ROW()-1),1)),0))</f>
        <v/>
      </c>
      <c r="AU28">
        <f t="shared" ca="1" si="0"/>
        <v>0</v>
      </c>
      <c r="AV28" t="str">
        <f ca="1">IF(AU28=1,IF(INDEX(分析データ!$A:$A,ROW()+$C$5)&lt;&gt;"",80000*SIGN(AT28)*(分析データ!B28-INDEX(分析データ!B:B,ROW()+$C$5)),""),"")</f>
        <v/>
      </c>
      <c r="AW28">
        <f t="shared" ca="1" si="1"/>
        <v>0</v>
      </c>
      <c r="AX28">
        <f t="shared" ca="1" si="2"/>
        <v>0</v>
      </c>
      <c r="AY28">
        <f t="shared" ca="1" si="3"/>
        <v>0</v>
      </c>
      <c r="AZ28" t="str">
        <f ca="1">IF(ROW()&lt;($C$7+1),"",IFERROR((分析データ!C28-AVERAGE(OFFSET(分析データ!C$1,MAX(1,ROW()-$C$7),0,MIN($C$7,ROW()-1),1)))/STDEV(OFFSET(分析データ!C$1,MAX(1,ROW()-$C$7),0,MIN($C$7,ROW()-1),1)),0))</f>
        <v/>
      </c>
      <c r="BA28">
        <f t="shared" ca="1" si="4"/>
        <v>0</v>
      </c>
      <c r="BB28" t="str">
        <f ca="1">IF(BA28=1,IF(INDEX(分析データ!$A:$A,ROW()+$C$5)&lt;&gt;"",60000*SIGN(AZ28)*(分析データ!C28-INDEX(分析データ!C:C,ROW()+$C$5)),""),"")</f>
        <v/>
      </c>
      <c r="BC28">
        <f t="shared" ca="1" si="5"/>
        <v>0</v>
      </c>
      <c r="BD28">
        <f t="shared" ca="1" si="6"/>
        <v>0</v>
      </c>
      <c r="BE28">
        <f t="shared" ca="1" si="7"/>
        <v>0</v>
      </c>
      <c r="BF28" t="str">
        <f ca="1">IF(ROW()&lt;($C$7+1),"",IFERROR((分析データ!D28-AVERAGE(OFFSET(分析データ!D$1,MAX(1,ROW()-$C$7),0,MIN($C$7,ROW()-1),1)))/STDEV(OFFSET(分析データ!D$1,MAX(1,ROW()-$C$7),0,MIN($C$7,ROW()-1),1)),0))</f>
        <v/>
      </c>
      <c r="BG28">
        <f t="shared" ca="1" si="8"/>
        <v>0</v>
      </c>
      <c r="BH28" t="str">
        <f ca="1">IF(BG28=1,IF(INDEX(分析データ!$A:$A,ROW()+$C$5)&lt;&gt;"",50000*SIGN(BF28)*(分析データ!D28-INDEX(分析データ!D:D,ROW()+$C$5)),""),"")</f>
        <v/>
      </c>
      <c r="BI28">
        <f t="shared" ca="1" si="9"/>
        <v>0</v>
      </c>
      <c r="BJ28">
        <f t="shared" ca="1" si="10"/>
        <v>0</v>
      </c>
      <c r="BK28">
        <f t="shared" ca="1" si="11"/>
        <v>0</v>
      </c>
      <c r="BL28" t="str">
        <f ca="1">IF(ROW()&lt;($C$7+1),"",IFERROR((分析データ!E28-AVERAGE(OFFSET(分析データ!E$1,MAX(1,ROW()-$C$7),0,MIN($C$7,ROW()-1),1)))/STDEV(OFFSET(分析データ!E$1,MAX(1,ROW()-$C$7),0,MIN($C$7,ROW()-1),1)),0))</f>
        <v/>
      </c>
      <c r="BM28">
        <f t="shared" ca="1" si="12"/>
        <v>0</v>
      </c>
      <c r="BN28" t="str">
        <f ca="1">IF(BM28=1,IF(INDEX(分析データ!$A:$A,ROW()+$C$5)&lt;&gt;"",40000*SIGN(BL28)*(分析データ!E28-INDEX(分析データ!E:E,ROW()+$C$5)),""),"")</f>
        <v/>
      </c>
      <c r="BO28">
        <f t="shared" ca="1" si="13"/>
        <v>0</v>
      </c>
      <c r="BP28">
        <f t="shared" ca="1" si="14"/>
        <v>0</v>
      </c>
      <c r="BQ28">
        <f t="shared" ca="1" si="15"/>
        <v>0</v>
      </c>
      <c r="BR28" t="str">
        <f ca="1">IF(ROW()&lt;($C$7+1),"",IFERROR((分析データ!F28-AVERAGE(OFFSET(分析データ!F$1,MAX(1,ROW()-$C$7),0,MIN($C$7,ROW()-1),1)))/STDEV(OFFSET(分析データ!F$1,MAX(1,ROW()-$C$7),0,MIN($C$7,ROW()-1),1)),0))</f>
        <v/>
      </c>
      <c r="BS28">
        <f t="shared" ca="1" si="16"/>
        <v>0</v>
      </c>
      <c r="BT28" t="str">
        <f ca="1">IF(BS28=1,IF(INDEX(分析データ!$A:$A,ROW()+$C$5)&lt;&gt;"",40000*SIGN(BR28)*(分析データ!F28-INDEX(分析データ!F:F,ROW()+$C$5)),""),"")</f>
        <v/>
      </c>
      <c r="BU28">
        <f t="shared" ca="1" si="17"/>
        <v>0</v>
      </c>
      <c r="BV28">
        <f t="shared" ca="1" si="18"/>
        <v>0</v>
      </c>
      <c r="BW28">
        <f t="shared" ca="1" si="19"/>
        <v>0</v>
      </c>
      <c r="BX28" t="str">
        <f ca="1">IF(ROW()&lt;($C$7+1),"",IFERROR((分析データ!G28-AVERAGE(OFFSET(分析データ!G$1,MAX(1,ROW()-$C$7),0,MIN($C$7,ROW()-1),1)))/STDEV(OFFSET(分析データ!G$1,MAX(1,ROW()-$C$7),0,MIN($C$7,ROW()-1),1)),0))</f>
        <v/>
      </c>
      <c r="BY28">
        <f t="shared" ca="1" si="20"/>
        <v>0</v>
      </c>
      <c r="BZ28" t="str">
        <f ca="1">IF(BY28=1,IF(INDEX(分析データ!$A:$A,ROW()+$C$5)&lt;&gt;"",40000*SIGN(BX28)*(分析データ!G28-INDEX(分析データ!G:G,ROW()+$C$5)),""),"")</f>
        <v/>
      </c>
      <c r="CA28">
        <f t="shared" ca="1" si="21"/>
        <v>0</v>
      </c>
      <c r="CB28">
        <f t="shared" ca="1" si="22"/>
        <v>0</v>
      </c>
      <c r="CC28">
        <f t="shared" ca="1" si="23"/>
        <v>0</v>
      </c>
      <c r="CD28">
        <f t="shared" ca="1" si="24"/>
        <v>0</v>
      </c>
      <c r="CE28">
        <f t="shared" ca="1" si="25"/>
        <v>0</v>
      </c>
      <c r="CF28">
        <f t="shared" ca="1" si="26"/>
        <v>0</v>
      </c>
      <c r="CG28">
        <f t="shared" ca="1" si="27"/>
        <v>0</v>
      </c>
      <c r="CH28" s="10">
        <f>分析データ!A28</f>
        <v>44966</v>
      </c>
    </row>
    <row r="29" spans="2:86">
      <c r="AT29" t="str">
        <f ca="1">IF(ROW()&lt;($C$7+1),"",IFERROR((分析データ!B29-AVERAGE(OFFSET(分析データ!B$1,MAX(1,ROW()-$C$7),0,MIN($C$7,ROW()-1),1)))/STDEV(OFFSET(分析データ!B$1,MAX(1,ROW()-$C$7),0,MIN($C$7,ROW()-1),1)),0))</f>
        <v/>
      </c>
      <c r="AU29">
        <f t="shared" ca="1" si="0"/>
        <v>0</v>
      </c>
      <c r="AV29" t="str">
        <f ca="1">IF(AU29=1,IF(INDEX(分析データ!$A:$A,ROW()+$C$5)&lt;&gt;"",80000*SIGN(AT29)*(分析データ!B29-INDEX(分析データ!B:B,ROW()+$C$5)),""),"")</f>
        <v/>
      </c>
      <c r="AW29">
        <f t="shared" ca="1" si="1"/>
        <v>0</v>
      </c>
      <c r="AX29">
        <f t="shared" ca="1" si="2"/>
        <v>0</v>
      </c>
      <c r="AY29">
        <f t="shared" ca="1" si="3"/>
        <v>0</v>
      </c>
      <c r="AZ29" t="str">
        <f ca="1">IF(ROW()&lt;($C$7+1),"",IFERROR((分析データ!C29-AVERAGE(OFFSET(分析データ!C$1,MAX(1,ROW()-$C$7),0,MIN($C$7,ROW()-1),1)))/STDEV(OFFSET(分析データ!C$1,MAX(1,ROW()-$C$7),0,MIN($C$7,ROW()-1),1)),0))</f>
        <v/>
      </c>
      <c r="BA29">
        <f t="shared" ca="1" si="4"/>
        <v>0</v>
      </c>
      <c r="BB29" t="str">
        <f ca="1">IF(BA29=1,IF(INDEX(分析データ!$A:$A,ROW()+$C$5)&lt;&gt;"",60000*SIGN(AZ29)*(分析データ!C29-INDEX(分析データ!C:C,ROW()+$C$5)),""),"")</f>
        <v/>
      </c>
      <c r="BC29">
        <f t="shared" ca="1" si="5"/>
        <v>0</v>
      </c>
      <c r="BD29">
        <f t="shared" ca="1" si="6"/>
        <v>0</v>
      </c>
      <c r="BE29">
        <f t="shared" ca="1" si="7"/>
        <v>0</v>
      </c>
      <c r="BF29" t="str">
        <f ca="1">IF(ROW()&lt;($C$7+1),"",IFERROR((分析データ!D29-AVERAGE(OFFSET(分析データ!D$1,MAX(1,ROW()-$C$7),0,MIN($C$7,ROW()-1),1)))/STDEV(OFFSET(分析データ!D$1,MAX(1,ROW()-$C$7),0,MIN($C$7,ROW()-1),1)),0))</f>
        <v/>
      </c>
      <c r="BG29">
        <f t="shared" ca="1" si="8"/>
        <v>0</v>
      </c>
      <c r="BH29" t="str">
        <f ca="1">IF(BG29=1,IF(INDEX(分析データ!$A:$A,ROW()+$C$5)&lt;&gt;"",50000*SIGN(BF29)*(分析データ!D29-INDEX(分析データ!D:D,ROW()+$C$5)),""),"")</f>
        <v/>
      </c>
      <c r="BI29">
        <f t="shared" ca="1" si="9"/>
        <v>0</v>
      </c>
      <c r="BJ29">
        <f t="shared" ca="1" si="10"/>
        <v>0</v>
      </c>
      <c r="BK29">
        <f t="shared" ca="1" si="11"/>
        <v>0</v>
      </c>
      <c r="BL29" t="str">
        <f ca="1">IF(ROW()&lt;($C$7+1),"",IFERROR((分析データ!E29-AVERAGE(OFFSET(分析データ!E$1,MAX(1,ROW()-$C$7),0,MIN($C$7,ROW()-1),1)))/STDEV(OFFSET(分析データ!E$1,MAX(1,ROW()-$C$7),0,MIN($C$7,ROW()-1),1)),0))</f>
        <v/>
      </c>
      <c r="BM29">
        <f t="shared" ca="1" si="12"/>
        <v>0</v>
      </c>
      <c r="BN29" t="str">
        <f ca="1">IF(BM29=1,IF(INDEX(分析データ!$A:$A,ROW()+$C$5)&lt;&gt;"",40000*SIGN(BL29)*(分析データ!E29-INDEX(分析データ!E:E,ROW()+$C$5)),""),"")</f>
        <v/>
      </c>
      <c r="BO29">
        <f t="shared" ca="1" si="13"/>
        <v>0</v>
      </c>
      <c r="BP29">
        <f t="shared" ca="1" si="14"/>
        <v>0</v>
      </c>
      <c r="BQ29">
        <f t="shared" ca="1" si="15"/>
        <v>0</v>
      </c>
      <c r="BR29" t="str">
        <f ca="1">IF(ROW()&lt;($C$7+1),"",IFERROR((分析データ!F29-AVERAGE(OFFSET(分析データ!F$1,MAX(1,ROW()-$C$7),0,MIN($C$7,ROW()-1),1)))/STDEV(OFFSET(分析データ!F$1,MAX(1,ROW()-$C$7),0,MIN($C$7,ROW()-1),1)),0))</f>
        <v/>
      </c>
      <c r="BS29">
        <f t="shared" ca="1" si="16"/>
        <v>0</v>
      </c>
      <c r="BT29" t="str">
        <f ca="1">IF(BS29=1,IF(INDEX(分析データ!$A:$A,ROW()+$C$5)&lt;&gt;"",40000*SIGN(BR29)*(分析データ!F29-INDEX(分析データ!F:F,ROW()+$C$5)),""),"")</f>
        <v/>
      </c>
      <c r="BU29">
        <f t="shared" ca="1" si="17"/>
        <v>0</v>
      </c>
      <c r="BV29">
        <f t="shared" ca="1" si="18"/>
        <v>0</v>
      </c>
      <c r="BW29">
        <f t="shared" ca="1" si="19"/>
        <v>0</v>
      </c>
      <c r="BX29" t="str">
        <f ca="1">IF(ROW()&lt;($C$7+1),"",IFERROR((分析データ!G29-AVERAGE(OFFSET(分析データ!G$1,MAX(1,ROW()-$C$7),0,MIN($C$7,ROW()-1),1)))/STDEV(OFFSET(分析データ!G$1,MAX(1,ROW()-$C$7),0,MIN($C$7,ROW()-1),1)),0))</f>
        <v/>
      </c>
      <c r="BY29">
        <f t="shared" ca="1" si="20"/>
        <v>0</v>
      </c>
      <c r="BZ29" t="str">
        <f ca="1">IF(BY29=1,IF(INDEX(分析データ!$A:$A,ROW()+$C$5)&lt;&gt;"",40000*SIGN(BX29)*(分析データ!G29-INDEX(分析データ!G:G,ROW()+$C$5)),""),"")</f>
        <v/>
      </c>
      <c r="CA29">
        <f t="shared" ca="1" si="21"/>
        <v>0</v>
      </c>
      <c r="CB29">
        <f t="shared" ca="1" si="22"/>
        <v>0</v>
      </c>
      <c r="CC29">
        <f t="shared" ca="1" si="23"/>
        <v>0</v>
      </c>
      <c r="CD29">
        <f t="shared" ca="1" si="24"/>
        <v>0</v>
      </c>
      <c r="CE29">
        <f t="shared" ca="1" si="25"/>
        <v>0</v>
      </c>
      <c r="CF29">
        <f t="shared" ca="1" si="26"/>
        <v>0</v>
      </c>
      <c r="CG29">
        <f t="shared" ca="1" si="27"/>
        <v>0</v>
      </c>
      <c r="CH29" s="10">
        <f>分析データ!A29</f>
        <v>44967</v>
      </c>
    </row>
    <row r="30" spans="2:86">
      <c r="AT30" t="str">
        <f ca="1">IF(ROW()&lt;($C$7+1),"",IFERROR((分析データ!B30-AVERAGE(OFFSET(分析データ!B$1,MAX(1,ROW()-$C$7),0,MIN($C$7,ROW()-1),1)))/STDEV(OFFSET(分析データ!B$1,MAX(1,ROW()-$C$7),0,MIN($C$7,ROW()-1),1)),0))</f>
        <v/>
      </c>
      <c r="AU30">
        <f t="shared" ca="1" si="0"/>
        <v>0</v>
      </c>
      <c r="AV30" t="str">
        <f ca="1">IF(AU30=1,IF(INDEX(分析データ!$A:$A,ROW()+$C$5)&lt;&gt;"",80000*SIGN(AT30)*(分析データ!B30-INDEX(分析データ!B:B,ROW()+$C$5)),""),"")</f>
        <v/>
      </c>
      <c r="AW30">
        <f t="shared" ca="1" si="1"/>
        <v>0</v>
      </c>
      <c r="AX30">
        <f t="shared" ca="1" si="2"/>
        <v>0</v>
      </c>
      <c r="AY30">
        <f t="shared" ca="1" si="3"/>
        <v>0</v>
      </c>
      <c r="AZ30" t="str">
        <f ca="1">IF(ROW()&lt;($C$7+1),"",IFERROR((分析データ!C30-AVERAGE(OFFSET(分析データ!C$1,MAX(1,ROW()-$C$7),0,MIN($C$7,ROW()-1),1)))/STDEV(OFFSET(分析データ!C$1,MAX(1,ROW()-$C$7),0,MIN($C$7,ROW()-1),1)),0))</f>
        <v/>
      </c>
      <c r="BA30">
        <f t="shared" ca="1" si="4"/>
        <v>0</v>
      </c>
      <c r="BB30" t="str">
        <f ca="1">IF(BA30=1,IF(INDEX(分析データ!$A:$A,ROW()+$C$5)&lt;&gt;"",60000*SIGN(AZ30)*(分析データ!C30-INDEX(分析データ!C:C,ROW()+$C$5)),""),"")</f>
        <v/>
      </c>
      <c r="BC30">
        <f t="shared" ca="1" si="5"/>
        <v>0</v>
      </c>
      <c r="BD30">
        <f t="shared" ca="1" si="6"/>
        <v>0</v>
      </c>
      <c r="BE30">
        <f t="shared" ca="1" si="7"/>
        <v>0</v>
      </c>
      <c r="BF30" t="str">
        <f ca="1">IF(ROW()&lt;($C$7+1),"",IFERROR((分析データ!D30-AVERAGE(OFFSET(分析データ!D$1,MAX(1,ROW()-$C$7),0,MIN($C$7,ROW()-1),1)))/STDEV(OFFSET(分析データ!D$1,MAX(1,ROW()-$C$7),0,MIN($C$7,ROW()-1),1)),0))</f>
        <v/>
      </c>
      <c r="BG30">
        <f t="shared" ca="1" si="8"/>
        <v>0</v>
      </c>
      <c r="BH30" t="str">
        <f ca="1">IF(BG30=1,IF(INDEX(分析データ!$A:$A,ROW()+$C$5)&lt;&gt;"",50000*SIGN(BF30)*(分析データ!D30-INDEX(分析データ!D:D,ROW()+$C$5)),""),"")</f>
        <v/>
      </c>
      <c r="BI30">
        <f t="shared" ca="1" si="9"/>
        <v>0</v>
      </c>
      <c r="BJ30">
        <f t="shared" ca="1" si="10"/>
        <v>0</v>
      </c>
      <c r="BK30">
        <f t="shared" ca="1" si="11"/>
        <v>0</v>
      </c>
      <c r="BL30" t="str">
        <f ca="1">IF(ROW()&lt;($C$7+1),"",IFERROR((分析データ!E30-AVERAGE(OFFSET(分析データ!E$1,MAX(1,ROW()-$C$7),0,MIN($C$7,ROW()-1),1)))/STDEV(OFFSET(分析データ!E$1,MAX(1,ROW()-$C$7),0,MIN($C$7,ROW()-1),1)),0))</f>
        <v/>
      </c>
      <c r="BM30">
        <f t="shared" ca="1" si="12"/>
        <v>0</v>
      </c>
      <c r="BN30" t="str">
        <f ca="1">IF(BM30=1,IF(INDEX(分析データ!$A:$A,ROW()+$C$5)&lt;&gt;"",40000*SIGN(BL30)*(分析データ!E30-INDEX(分析データ!E:E,ROW()+$C$5)),""),"")</f>
        <v/>
      </c>
      <c r="BO30">
        <f t="shared" ca="1" si="13"/>
        <v>0</v>
      </c>
      <c r="BP30">
        <f t="shared" ca="1" si="14"/>
        <v>0</v>
      </c>
      <c r="BQ30">
        <f t="shared" ca="1" si="15"/>
        <v>0</v>
      </c>
      <c r="BR30" t="str">
        <f ca="1">IF(ROW()&lt;($C$7+1),"",IFERROR((分析データ!F30-AVERAGE(OFFSET(分析データ!F$1,MAX(1,ROW()-$C$7),0,MIN($C$7,ROW()-1),1)))/STDEV(OFFSET(分析データ!F$1,MAX(1,ROW()-$C$7),0,MIN($C$7,ROW()-1),1)),0))</f>
        <v/>
      </c>
      <c r="BS30">
        <f t="shared" ca="1" si="16"/>
        <v>0</v>
      </c>
      <c r="BT30" t="str">
        <f ca="1">IF(BS30=1,IF(INDEX(分析データ!$A:$A,ROW()+$C$5)&lt;&gt;"",40000*SIGN(BR30)*(分析データ!F30-INDEX(分析データ!F:F,ROW()+$C$5)),""),"")</f>
        <v/>
      </c>
      <c r="BU30">
        <f t="shared" ca="1" si="17"/>
        <v>0</v>
      </c>
      <c r="BV30">
        <f t="shared" ca="1" si="18"/>
        <v>0</v>
      </c>
      <c r="BW30">
        <f t="shared" ca="1" si="19"/>
        <v>0</v>
      </c>
      <c r="BX30" t="str">
        <f ca="1">IF(ROW()&lt;($C$7+1),"",IFERROR((分析データ!G30-AVERAGE(OFFSET(分析データ!G$1,MAX(1,ROW()-$C$7),0,MIN($C$7,ROW()-1),1)))/STDEV(OFFSET(分析データ!G$1,MAX(1,ROW()-$C$7),0,MIN($C$7,ROW()-1),1)),0))</f>
        <v/>
      </c>
      <c r="BY30">
        <f t="shared" ca="1" si="20"/>
        <v>0</v>
      </c>
      <c r="BZ30" t="str">
        <f ca="1">IF(BY30=1,IF(INDEX(分析データ!$A:$A,ROW()+$C$5)&lt;&gt;"",40000*SIGN(BX30)*(分析データ!G30-INDEX(分析データ!G:G,ROW()+$C$5)),""),"")</f>
        <v/>
      </c>
      <c r="CA30">
        <f t="shared" ca="1" si="21"/>
        <v>0</v>
      </c>
      <c r="CB30">
        <f t="shared" ca="1" si="22"/>
        <v>0</v>
      </c>
      <c r="CC30">
        <f t="shared" ca="1" si="23"/>
        <v>0</v>
      </c>
      <c r="CD30">
        <f t="shared" ca="1" si="24"/>
        <v>0</v>
      </c>
      <c r="CE30">
        <f t="shared" ca="1" si="25"/>
        <v>0</v>
      </c>
      <c r="CF30">
        <f t="shared" ca="1" si="26"/>
        <v>0</v>
      </c>
      <c r="CG30">
        <f t="shared" ca="1" si="27"/>
        <v>0</v>
      </c>
      <c r="CH30" s="10">
        <f>分析データ!A30</f>
        <v>44970</v>
      </c>
    </row>
    <row r="31" spans="2:86">
      <c r="AT31" t="str">
        <f ca="1">IF(ROW()&lt;($C$7+1),"",IFERROR((分析データ!B31-AVERAGE(OFFSET(分析データ!B$1,MAX(1,ROW()-$C$7),0,MIN($C$7,ROW()-1),1)))/STDEV(OFFSET(分析データ!B$1,MAX(1,ROW()-$C$7),0,MIN($C$7,ROW()-1),1)),0))</f>
        <v/>
      </c>
      <c r="AU31">
        <f t="shared" ca="1" si="0"/>
        <v>0</v>
      </c>
      <c r="AV31" t="str">
        <f ca="1">IF(AU31=1,IF(INDEX(分析データ!$A:$A,ROW()+$C$5)&lt;&gt;"",80000*SIGN(AT31)*(分析データ!B31-INDEX(分析データ!B:B,ROW()+$C$5)),""),"")</f>
        <v/>
      </c>
      <c r="AW31">
        <f t="shared" ca="1" si="1"/>
        <v>0</v>
      </c>
      <c r="AX31">
        <f t="shared" ca="1" si="2"/>
        <v>0</v>
      </c>
      <c r="AY31">
        <f t="shared" ca="1" si="3"/>
        <v>0</v>
      </c>
      <c r="AZ31" t="str">
        <f ca="1">IF(ROW()&lt;($C$7+1),"",IFERROR((分析データ!C31-AVERAGE(OFFSET(分析データ!C$1,MAX(1,ROW()-$C$7),0,MIN($C$7,ROW()-1),1)))/STDEV(OFFSET(分析データ!C$1,MAX(1,ROW()-$C$7),0,MIN($C$7,ROW()-1),1)),0))</f>
        <v/>
      </c>
      <c r="BA31">
        <f t="shared" ca="1" si="4"/>
        <v>0</v>
      </c>
      <c r="BB31" t="str">
        <f ca="1">IF(BA31=1,IF(INDEX(分析データ!$A:$A,ROW()+$C$5)&lt;&gt;"",60000*SIGN(AZ31)*(分析データ!C31-INDEX(分析データ!C:C,ROW()+$C$5)),""),"")</f>
        <v/>
      </c>
      <c r="BC31">
        <f t="shared" ca="1" si="5"/>
        <v>0</v>
      </c>
      <c r="BD31">
        <f t="shared" ca="1" si="6"/>
        <v>0</v>
      </c>
      <c r="BE31">
        <f t="shared" ca="1" si="7"/>
        <v>0</v>
      </c>
      <c r="BF31" t="str">
        <f ca="1">IF(ROW()&lt;($C$7+1),"",IFERROR((分析データ!D31-AVERAGE(OFFSET(分析データ!D$1,MAX(1,ROW()-$C$7),0,MIN($C$7,ROW()-1),1)))/STDEV(OFFSET(分析データ!D$1,MAX(1,ROW()-$C$7),0,MIN($C$7,ROW()-1),1)),0))</f>
        <v/>
      </c>
      <c r="BG31">
        <f t="shared" ca="1" si="8"/>
        <v>0</v>
      </c>
      <c r="BH31" t="str">
        <f ca="1">IF(BG31=1,IF(INDEX(分析データ!$A:$A,ROW()+$C$5)&lt;&gt;"",50000*SIGN(BF31)*(分析データ!D31-INDEX(分析データ!D:D,ROW()+$C$5)),""),"")</f>
        <v/>
      </c>
      <c r="BI31">
        <f t="shared" ca="1" si="9"/>
        <v>0</v>
      </c>
      <c r="BJ31">
        <f t="shared" ca="1" si="10"/>
        <v>0</v>
      </c>
      <c r="BK31">
        <f t="shared" ca="1" si="11"/>
        <v>0</v>
      </c>
      <c r="BL31" t="str">
        <f ca="1">IF(ROW()&lt;($C$7+1),"",IFERROR((分析データ!E31-AVERAGE(OFFSET(分析データ!E$1,MAX(1,ROW()-$C$7),0,MIN($C$7,ROW()-1),1)))/STDEV(OFFSET(分析データ!E$1,MAX(1,ROW()-$C$7),0,MIN($C$7,ROW()-1),1)),0))</f>
        <v/>
      </c>
      <c r="BM31">
        <f t="shared" ca="1" si="12"/>
        <v>0</v>
      </c>
      <c r="BN31" t="str">
        <f ca="1">IF(BM31=1,IF(INDEX(分析データ!$A:$A,ROW()+$C$5)&lt;&gt;"",40000*SIGN(BL31)*(分析データ!E31-INDEX(分析データ!E:E,ROW()+$C$5)),""),"")</f>
        <v/>
      </c>
      <c r="BO31">
        <f t="shared" ca="1" si="13"/>
        <v>0</v>
      </c>
      <c r="BP31">
        <f t="shared" ca="1" si="14"/>
        <v>0</v>
      </c>
      <c r="BQ31">
        <f t="shared" ca="1" si="15"/>
        <v>0</v>
      </c>
      <c r="BR31" t="str">
        <f ca="1">IF(ROW()&lt;($C$7+1),"",IFERROR((分析データ!F31-AVERAGE(OFFSET(分析データ!F$1,MAX(1,ROW()-$C$7),0,MIN($C$7,ROW()-1),1)))/STDEV(OFFSET(分析データ!F$1,MAX(1,ROW()-$C$7),0,MIN($C$7,ROW()-1),1)),0))</f>
        <v/>
      </c>
      <c r="BS31">
        <f t="shared" ca="1" si="16"/>
        <v>0</v>
      </c>
      <c r="BT31" t="str">
        <f ca="1">IF(BS31=1,IF(INDEX(分析データ!$A:$A,ROW()+$C$5)&lt;&gt;"",40000*SIGN(BR31)*(分析データ!F31-INDEX(分析データ!F:F,ROW()+$C$5)),""),"")</f>
        <v/>
      </c>
      <c r="BU31">
        <f t="shared" ca="1" si="17"/>
        <v>0</v>
      </c>
      <c r="BV31">
        <f t="shared" ca="1" si="18"/>
        <v>0</v>
      </c>
      <c r="BW31">
        <f t="shared" ca="1" si="19"/>
        <v>0</v>
      </c>
      <c r="BX31" t="str">
        <f ca="1">IF(ROW()&lt;($C$7+1),"",IFERROR((分析データ!G31-AVERAGE(OFFSET(分析データ!G$1,MAX(1,ROW()-$C$7),0,MIN($C$7,ROW()-1),1)))/STDEV(OFFSET(分析データ!G$1,MAX(1,ROW()-$C$7),0,MIN($C$7,ROW()-1),1)),0))</f>
        <v/>
      </c>
      <c r="BY31">
        <f t="shared" ca="1" si="20"/>
        <v>0</v>
      </c>
      <c r="BZ31" t="str">
        <f ca="1">IF(BY31=1,IF(INDEX(分析データ!$A:$A,ROW()+$C$5)&lt;&gt;"",40000*SIGN(BX31)*(分析データ!G31-INDEX(分析データ!G:G,ROW()+$C$5)),""),"")</f>
        <v/>
      </c>
      <c r="CA31">
        <f t="shared" ca="1" si="21"/>
        <v>0</v>
      </c>
      <c r="CB31">
        <f t="shared" ca="1" si="22"/>
        <v>0</v>
      </c>
      <c r="CC31">
        <f t="shared" ca="1" si="23"/>
        <v>0</v>
      </c>
      <c r="CD31">
        <f t="shared" ca="1" si="24"/>
        <v>0</v>
      </c>
      <c r="CE31">
        <f t="shared" ca="1" si="25"/>
        <v>0</v>
      </c>
      <c r="CF31">
        <f t="shared" ca="1" si="26"/>
        <v>0</v>
      </c>
      <c r="CG31">
        <f t="shared" ca="1" si="27"/>
        <v>0</v>
      </c>
      <c r="CH31" s="10">
        <f>分析データ!A31</f>
        <v>44971</v>
      </c>
    </row>
    <row r="32" spans="2:86">
      <c r="AT32" t="str">
        <f ca="1">IF(ROW()&lt;($C$7+1),"",IFERROR((分析データ!B32-AVERAGE(OFFSET(分析データ!B$1,MAX(1,ROW()-$C$7),0,MIN($C$7,ROW()-1),1)))/STDEV(OFFSET(分析データ!B$1,MAX(1,ROW()-$C$7),0,MIN($C$7,ROW()-1),1)),0))</f>
        <v/>
      </c>
      <c r="AU32">
        <f t="shared" ca="1" si="0"/>
        <v>0</v>
      </c>
      <c r="AV32" t="str">
        <f ca="1">IF(AU32=1,IF(INDEX(分析データ!$A:$A,ROW()+$C$5)&lt;&gt;"",80000*SIGN(AT32)*(分析データ!B32-INDEX(分析データ!B:B,ROW()+$C$5)),""),"")</f>
        <v/>
      </c>
      <c r="AW32">
        <f t="shared" ca="1" si="1"/>
        <v>0</v>
      </c>
      <c r="AX32">
        <f t="shared" ca="1" si="2"/>
        <v>0</v>
      </c>
      <c r="AY32">
        <f t="shared" ca="1" si="3"/>
        <v>0</v>
      </c>
      <c r="AZ32" t="str">
        <f ca="1">IF(ROW()&lt;($C$7+1),"",IFERROR((分析データ!C32-AVERAGE(OFFSET(分析データ!C$1,MAX(1,ROW()-$C$7),0,MIN($C$7,ROW()-1),1)))/STDEV(OFFSET(分析データ!C$1,MAX(1,ROW()-$C$7),0,MIN($C$7,ROW()-1),1)),0))</f>
        <v/>
      </c>
      <c r="BA32">
        <f t="shared" ca="1" si="4"/>
        <v>0</v>
      </c>
      <c r="BB32" t="str">
        <f ca="1">IF(BA32=1,IF(INDEX(分析データ!$A:$A,ROW()+$C$5)&lt;&gt;"",60000*SIGN(AZ32)*(分析データ!C32-INDEX(分析データ!C:C,ROW()+$C$5)),""),"")</f>
        <v/>
      </c>
      <c r="BC32">
        <f t="shared" ca="1" si="5"/>
        <v>0</v>
      </c>
      <c r="BD32">
        <f t="shared" ca="1" si="6"/>
        <v>0</v>
      </c>
      <c r="BE32">
        <f t="shared" ca="1" si="7"/>
        <v>0</v>
      </c>
      <c r="BF32" t="str">
        <f ca="1">IF(ROW()&lt;($C$7+1),"",IFERROR((分析データ!D32-AVERAGE(OFFSET(分析データ!D$1,MAX(1,ROW()-$C$7),0,MIN($C$7,ROW()-1),1)))/STDEV(OFFSET(分析データ!D$1,MAX(1,ROW()-$C$7),0,MIN($C$7,ROW()-1),1)),0))</f>
        <v/>
      </c>
      <c r="BG32">
        <f t="shared" ca="1" si="8"/>
        <v>0</v>
      </c>
      <c r="BH32" t="str">
        <f ca="1">IF(BG32=1,IF(INDEX(分析データ!$A:$A,ROW()+$C$5)&lt;&gt;"",50000*SIGN(BF32)*(分析データ!D32-INDEX(分析データ!D:D,ROW()+$C$5)),""),"")</f>
        <v/>
      </c>
      <c r="BI32">
        <f t="shared" ca="1" si="9"/>
        <v>0</v>
      </c>
      <c r="BJ32">
        <f t="shared" ca="1" si="10"/>
        <v>0</v>
      </c>
      <c r="BK32">
        <f t="shared" ca="1" si="11"/>
        <v>0</v>
      </c>
      <c r="BL32" t="str">
        <f ca="1">IF(ROW()&lt;($C$7+1),"",IFERROR((分析データ!E32-AVERAGE(OFFSET(分析データ!E$1,MAX(1,ROW()-$C$7),0,MIN($C$7,ROW()-1),1)))/STDEV(OFFSET(分析データ!E$1,MAX(1,ROW()-$C$7),0,MIN($C$7,ROW()-1),1)),0))</f>
        <v/>
      </c>
      <c r="BM32">
        <f t="shared" ca="1" si="12"/>
        <v>0</v>
      </c>
      <c r="BN32" t="str">
        <f ca="1">IF(BM32=1,IF(INDEX(分析データ!$A:$A,ROW()+$C$5)&lt;&gt;"",40000*SIGN(BL32)*(分析データ!E32-INDEX(分析データ!E:E,ROW()+$C$5)),""),"")</f>
        <v/>
      </c>
      <c r="BO32">
        <f t="shared" ca="1" si="13"/>
        <v>0</v>
      </c>
      <c r="BP32">
        <f t="shared" ca="1" si="14"/>
        <v>0</v>
      </c>
      <c r="BQ32">
        <f t="shared" ca="1" si="15"/>
        <v>0</v>
      </c>
      <c r="BR32" t="str">
        <f ca="1">IF(ROW()&lt;($C$7+1),"",IFERROR((分析データ!F32-AVERAGE(OFFSET(分析データ!F$1,MAX(1,ROW()-$C$7),0,MIN($C$7,ROW()-1),1)))/STDEV(OFFSET(分析データ!F$1,MAX(1,ROW()-$C$7),0,MIN($C$7,ROW()-1),1)),0))</f>
        <v/>
      </c>
      <c r="BS32">
        <f t="shared" ca="1" si="16"/>
        <v>0</v>
      </c>
      <c r="BT32" t="str">
        <f ca="1">IF(BS32=1,IF(INDEX(分析データ!$A:$A,ROW()+$C$5)&lt;&gt;"",40000*SIGN(BR32)*(分析データ!F32-INDEX(分析データ!F:F,ROW()+$C$5)),""),"")</f>
        <v/>
      </c>
      <c r="BU32">
        <f t="shared" ca="1" si="17"/>
        <v>0</v>
      </c>
      <c r="BV32">
        <f t="shared" ca="1" si="18"/>
        <v>0</v>
      </c>
      <c r="BW32">
        <f t="shared" ca="1" si="19"/>
        <v>0</v>
      </c>
      <c r="BX32" t="str">
        <f ca="1">IF(ROW()&lt;($C$7+1),"",IFERROR((分析データ!G32-AVERAGE(OFFSET(分析データ!G$1,MAX(1,ROW()-$C$7),0,MIN($C$7,ROW()-1),1)))/STDEV(OFFSET(分析データ!G$1,MAX(1,ROW()-$C$7),0,MIN($C$7,ROW()-1),1)),0))</f>
        <v/>
      </c>
      <c r="BY32">
        <f t="shared" ca="1" si="20"/>
        <v>0</v>
      </c>
      <c r="BZ32" t="str">
        <f ca="1">IF(BY32=1,IF(INDEX(分析データ!$A:$A,ROW()+$C$5)&lt;&gt;"",40000*SIGN(BX32)*(分析データ!G32-INDEX(分析データ!G:G,ROW()+$C$5)),""),"")</f>
        <v/>
      </c>
      <c r="CA32">
        <f t="shared" ca="1" si="21"/>
        <v>0</v>
      </c>
      <c r="CB32">
        <f t="shared" ca="1" si="22"/>
        <v>0</v>
      </c>
      <c r="CC32">
        <f t="shared" ca="1" si="23"/>
        <v>0</v>
      </c>
      <c r="CD32">
        <f t="shared" ca="1" si="24"/>
        <v>0</v>
      </c>
      <c r="CE32">
        <f t="shared" ca="1" si="25"/>
        <v>0</v>
      </c>
      <c r="CF32">
        <f t="shared" ca="1" si="26"/>
        <v>0</v>
      </c>
      <c r="CG32">
        <f t="shared" ca="1" si="27"/>
        <v>0</v>
      </c>
      <c r="CH32" s="10">
        <f>分析データ!A32</f>
        <v>44972</v>
      </c>
    </row>
    <row r="33" spans="46:86">
      <c r="AT33" t="str">
        <f ca="1">IF(ROW()&lt;($C$7+1),"",IFERROR((分析データ!B33-AVERAGE(OFFSET(分析データ!B$1,MAX(1,ROW()-$C$7),0,MIN($C$7,ROW()-1),1)))/STDEV(OFFSET(分析データ!B$1,MAX(1,ROW()-$C$7),0,MIN($C$7,ROW()-1),1)),0))</f>
        <v/>
      </c>
      <c r="AU33">
        <f t="shared" ca="1" si="0"/>
        <v>0</v>
      </c>
      <c r="AV33" t="str">
        <f ca="1">IF(AU33=1,IF(INDEX(分析データ!$A:$A,ROW()+$C$5)&lt;&gt;"",80000*SIGN(AT33)*(分析データ!B33-INDEX(分析データ!B:B,ROW()+$C$5)),""),"")</f>
        <v/>
      </c>
      <c r="AW33">
        <f t="shared" ca="1" si="1"/>
        <v>0</v>
      </c>
      <c r="AX33">
        <f t="shared" ca="1" si="2"/>
        <v>0</v>
      </c>
      <c r="AY33">
        <f t="shared" ca="1" si="3"/>
        <v>0</v>
      </c>
      <c r="AZ33" t="str">
        <f ca="1">IF(ROW()&lt;($C$7+1),"",IFERROR((分析データ!C33-AVERAGE(OFFSET(分析データ!C$1,MAX(1,ROW()-$C$7),0,MIN($C$7,ROW()-1),1)))/STDEV(OFFSET(分析データ!C$1,MAX(1,ROW()-$C$7),0,MIN($C$7,ROW()-1),1)),0))</f>
        <v/>
      </c>
      <c r="BA33">
        <f t="shared" ca="1" si="4"/>
        <v>0</v>
      </c>
      <c r="BB33" t="str">
        <f ca="1">IF(BA33=1,IF(INDEX(分析データ!$A:$A,ROW()+$C$5)&lt;&gt;"",60000*SIGN(AZ33)*(分析データ!C33-INDEX(分析データ!C:C,ROW()+$C$5)),""),"")</f>
        <v/>
      </c>
      <c r="BC33">
        <f t="shared" ca="1" si="5"/>
        <v>0</v>
      </c>
      <c r="BD33">
        <f t="shared" ca="1" si="6"/>
        <v>0</v>
      </c>
      <c r="BE33">
        <f t="shared" ca="1" si="7"/>
        <v>0</v>
      </c>
      <c r="BF33" t="str">
        <f ca="1">IF(ROW()&lt;($C$7+1),"",IFERROR((分析データ!D33-AVERAGE(OFFSET(分析データ!D$1,MAX(1,ROW()-$C$7),0,MIN($C$7,ROW()-1),1)))/STDEV(OFFSET(分析データ!D$1,MAX(1,ROW()-$C$7),0,MIN($C$7,ROW()-1),1)),0))</f>
        <v/>
      </c>
      <c r="BG33">
        <f t="shared" ca="1" si="8"/>
        <v>0</v>
      </c>
      <c r="BH33" t="str">
        <f ca="1">IF(BG33=1,IF(INDEX(分析データ!$A:$A,ROW()+$C$5)&lt;&gt;"",50000*SIGN(BF33)*(分析データ!D33-INDEX(分析データ!D:D,ROW()+$C$5)),""),"")</f>
        <v/>
      </c>
      <c r="BI33">
        <f t="shared" ca="1" si="9"/>
        <v>0</v>
      </c>
      <c r="BJ33">
        <f t="shared" ca="1" si="10"/>
        <v>0</v>
      </c>
      <c r="BK33">
        <f t="shared" ca="1" si="11"/>
        <v>0</v>
      </c>
      <c r="BL33" t="str">
        <f ca="1">IF(ROW()&lt;($C$7+1),"",IFERROR((分析データ!E33-AVERAGE(OFFSET(分析データ!E$1,MAX(1,ROW()-$C$7),0,MIN($C$7,ROW()-1),1)))/STDEV(OFFSET(分析データ!E$1,MAX(1,ROW()-$C$7),0,MIN($C$7,ROW()-1),1)),0))</f>
        <v/>
      </c>
      <c r="BM33">
        <f t="shared" ca="1" si="12"/>
        <v>0</v>
      </c>
      <c r="BN33" t="str">
        <f ca="1">IF(BM33=1,IF(INDEX(分析データ!$A:$A,ROW()+$C$5)&lt;&gt;"",40000*SIGN(BL33)*(分析データ!E33-INDEX(分析データ!E:E,ROW()+$C$5)),""),"")</f>
        <v/>
      </c>
      <c r="BO33">
        <f t="shared" ca="1" si="13"/>
        <v>0</v>
      </c>
      <c r="BP33">
        <f t="shared" ca="1" si="14"/>
        <v>0</v>
      </c>
      <c r="BQ33">
        <f t="shared" ca="1" si="15"/>
        <v>0</v>
      </c>
      <c r="BR33" t="str">
        <f ca="1">IF(ROW()&lt;($C$7+1),"",IFERROR((分析データ!F33-AVERAGE(OFFSET(分析データ!F$1,MAX(1,ROW()-$C$7),0,MIN($C$7,ROW()-1),1)))/STDEV(OFFSET(分析データ!F$1,MAX(1,ROW()-$C$7),0,MIN($C$7,ROW()-1),1)),0))</f>
        <v/>
      </c>
      <c r="BS33">
        <f t="shared" ca="1" si="16"/>
        <v>0</v>
      </c>
      <c r="BT33" t="str">
        <f ca="1">IF(BS33=1,IF(INDEX(分析データ!$A:$A,ROW()+$C$5)&lt;&gt;"",40000*SIGN(BR33)*(分析データ!F33-INDEX(分析データ!F:F,ROW()+$C$5)),""),"")</f>
        <v/>
      </c>
      <c r="BU33">
        <f t="shared" ca="1" si="17"/>
        <v>0</v>
      </c>
      <c r="BV33">
        <f t="shared" ca="1" si="18"/>
        <v>0</v>
      </c>
      <c r="BW33">
        <f t="shared" ca="1" si="19"/>
        <v>0</v>
      </c>
      <c r="BX33" t="str">
        <f ca="1">IF(ROW()&lt;($C$7+1),"",IFERROR((分析データ!G33-AVERAGE(OFFSET(分析データ!G$1,MAX(1,ROW()-$C$7),0,MIN($C$7,ROW()-1),1)))/STDEV(OFFSET(分析データ!G$1,MAX(1,ROW()-$C$7),0,MIN($C$7,ROW()-1),1)),0))</f>
        <v/>
      </c>
      <c r="BY33">
        <f t="shared" ca="1" si="20"/>
        <v>0</v>
      </c>
      <c r="BZ33" t="str">
        <f ca="1">IF(BY33=1,IF(INDEX(分析データ!$A:$A,ROW()+$C$5)&lt;&gt;"",40000*SIGN(BX33)*(分析データ!G33-INDEX(分析データ!G:G,ROW()+$C$5)),""),"")</f>
        <v/>
      </c>
      <c r="CA33">
        <f t="shared" ca="1" si="21"/>
        <v>0</v>
      </c>
      <c r="CB33">
        <f t="shared" ca="1" si="22"/>
        <v>0</v>
      </c>
      <c r="CC33">
        <f t="shared" ca="1" si="23"/>
        <v>0</v>
      </c>
      <c r="CD33">
        <f t="shared" ca="1" si="24"/>
        <v>0</v>
      </c>
      <c r="CE33">
        <f t="shared" ca="1" si="25"/>
        <v>0</v>
      </c>
      <c r="CF33">
        <f t="shared" ca="1" si="26"/>
        <v>0</v>
      </c>
      <c r="CG33">
        <f t="shared" ca="1" si="27"/>
        <v>0</v>
      </c>
      <c r="CH33" s="10">
        <f>分析データ!A33</f>
        <v>44973</v>
      </c>
    </row>
    <row r="34" spans="46:86">
      <c r="AT34" t="str">
        <f ca="1">IF(ROW()&lt;($C$7+1),"",IFERROR((分析データ!B34-AVERAGE(OFFSET(分析データ!B$1,MAX(1,ROW()-$C$7),0,MIN($C$7,ROW()-1),1)))/STDEV(OFFSET(分析データ!B$1,MAX(1,ROW()-$C$7),0,MIN($C$7,ROW()-1),1)),0))</f>
        <v/>
      </c>
      <c r="AU34">
        <f t="shared" ca="1" si="0"/>
        <v>0</v>
      </c>
      <c r="AV34" t="str">
        <f ca="1">IF(AU34=1,IF(INDEX(分析データ!$A:$A,ROW()+$C$5)&lt;&gt;"",80000*SIGN(AT34)*(分析データ!B34-INDEX(分析データ!B:B,ROW()+$C$5)),""),"")</f>
        <v/>
      </c>
      <c r="AW34">
        <f t="shared" ca="1" si="1"/>
        <v>0</v>
      </c>
      <c r="AX34">
        <f t="shared" ca="1" si="2"/>
        <v>0</v>
      </c>
      <c r="AY34">
        <f t="shared" ca="1" si="3"/>
        <v>0</v>
      </c>
      <c r="AZ34" t="str">
        <f ca="1">IF(ROW()&lt;($C$7+1),"",IFERROR((分析データ!C34-AVERAGE(OFFSET(分析データ!C$1,MAX(1,ROW()-$C$7),0,MIN($C$7,ROW()-1),1)))/STDEV(OFFSET(分析データ!C$1,MAX(1,ROW()-$C$7),0,MIN($C$7,ROW()-1),1)),0))</f>
        <v/>
      </c>
      <c r="BA34">
        <f t="shared" ca="1" si="4"/>
        <v>0</v>
      </c>
      <c r="BB34" t="str">
        <f ca="1">IF(BA34=1,IF(INDEX(分析データ!$A:$A,ROW()+$C$5)&lt;&gt;"",60000*SIGN(AZ34)*(分析データ!C34-INDEX(分析データ!C:C,ROW()+$C$5)),""),"")</f>
        <v/>
      </c>
      <c r="BC34">
        <f t="shared" ca="1" si="5"/>
        <v>0</v>
      </c>
      <c r="BD34">
        <f t="shared" ca="1" si="6"/>
        <v>0</v>
      </c>
      <c r="BE34">
        <f t="shared" ca="1" si="7"/>
        <v>0</v>
      </c>
      <c r="BF34" t="str">
        <f ca="1">IF(ROW()&lt;($C$7+1),"",IFERROR((分析データ!D34-AVERAGE(OFFSET(分析データ!D$1,MAX(1,ROW()-$C$7),0,MIN($C$7,ROW()-1),1)))/STDEV(OFFSET(分析データ!D$1,MAX(1,ROW()-$C$7),0,MIN($C$7,ROW()-1),1)),0))</f>
        <v/>
      </c>
      <c r="BG34">
        <f t="shared" ca="1" si="8"/>
        <v>0</v>
      </c>
      <c r="BH34" t="str">
        <f ca="1">IF(BG34=1,IF(INDEX(分析データ!$A:$A,ROW()+$C$5)&lt;&gt;"",50000*SIGN(BF34)*(分析データ!D34-INDEX(分析データ!D:D,ROW()+$C$5)),""),"")</f>
        <v/>
      </c>
      <c r="BI34">
        <f t="shared" ca="1" si="9"/>
        <v>0</v>
      </c>
      <c r="BJ34">
        <f t="shared" ca="1" si="10"/>
        <v>0</v>
      </c>
      <c r="BK34">
        <f t="shared" ca="1" si="11"/>
        <v>0</v>
      </c>
      <c r="BL34" t="str">
        <f ca="1">IF(ROW()&lt;($C$7+1),"",IFERROR((分析データ!E34-AVERAGE(OFFSET(分析データ!E$1,MAX(1,ROW()-$C$7),0,MIN($C$7,ROW()-1),1)))/STDEV(OFFSET(分析データ!E$1,MAX(1,ROW()-$C$7),0,MIN($C$7,ROW()-1),1)),0))</f>
        <v/>
      </c>
      <c r="BM34">
        <f t="shared" ca="1" si="12"/>
        <v>0</v>
      </c>
      <c r="BN34" t="str">
        <f ca="1">IF(BM34=1,IF(INDEX(分析データ!$A:$A,ROW()+$C$5)&lt;&gt;"",40000*SIGN(BL34)*(分析データ!E34-INDEX(分析データ!E:E,ROW()+$C$5)),""),"")</f>
        <v/>
      </c>
      <c r="BO34">
        <f t="shared" ca="1" si="13"/>
        <v>0</v>
      </c>
      <c r="BP34">
        <f t="shared" ca="1" si="14"/>
        <v>0</v>
      </c>
      <c r="BQ34">
        <f t="shared" ca="1" si="15"/>
        <v>0</v>
      </c>
      <c r="BR34" t="str">
        <f ca="1">IF(ROW()&lt;($C$7+1),"",IFERROR((分析データ!F34-AVERAGE(OFFSET(分析データ!F$1,MAX(1,ROW()-$C$7),0,MIN($C$7,ROW()-1),1)))/STDEV(OFFSET(分析データ!F$1,MAX(1,ROW()-$C$7),0,MIN($C$7,ROW()-1),1)),0))</f>
        <v/>
      </c>
      <c r="BS34">
        <f t="shared" ca="1" si="16"/>
        <v>0</v>
      </c>
      <c r="BT34" t="str">
        <f ca="1">IF(BS34=1,IF(INDEX(分析データ!$A:$A,ROW()+$C$5)&lt;&gt;"",40000*SIGN(BR34)*(分析データ!F34-INDEX(分析データ!F:F,ROW()+$C$5)),""),"")</f>
        <v/>
      </c>
      <c r="BU34">
        <f t="shared" ca="1" si="17"/>
        <v>0</v>
      </c>
      <c r="BV34">
        <f t="shared" ca="1" si="18"/>
        <v>0</v>
      </c>
      <c r="BW34">
        <f t="shared" ca="1" si="19"/>
        <v>0</v>
      </c>
      <c r="BX34" t="str">
        <f ca="1">IF(ROW()&lt;($C$7+1),"",IFERROR((分析データ!G34-AVERAGE(OFFSET(分析データ!G$1,MAX(1,ROW()-$C$7),0,MIN($C$7,ROW()-1),1)))/STDEV(OFFSET(分析データ!G$1,MAX(1,ROW()-$C$7),0,MIN($C$7,ROW()-1),1)),0))</f>
        <v/>
      </c>
      <c r="BY34">
        <f t="shared" ca="1" si="20"/>
        <v>0</v>
      </c>
      <c r="BZ34" t="str">
        <f ca="1">IF(BY34=1,IF(INDEX(分析データ!$A:$A,ROW()+$C$5)&lt;&gt;"",40000*SIGN(BX34)*(分析データ!G34-INDEX(分析データ!G:G,ROW()+$C$5)),""),"")</f>
        <v/>
      </c>
      <c r="CA34">
        <f t="shared" ca="1" si="21"/>
        <v>0</v>
      </c>
      <c r="CB34">
        <f t="shared" ca="1" si="22"/>
        <v>0</v>
      </c>
      <c r="CC34">
        <f t="shared" ca="1" si="23"/>
        <v>0</v>
      </c>
      <c r="CD34">
        <f t="shared" ca="1" si="24"/>
        <v>0</v>
      </c>
      <c r="CE34">
        <f t="shared" ca="1" si="25"/>
        <v>0</v>
      </c>
      <c r="CF34">
        <f t="shared" ca="1" si="26"/>
        <v>0</v>
      </c>
      <c r="CG34">
        <f t="shared" ca="1" si="27"/>
        <v>0</v>
      </c>
      <c r="CH34" s="10">
        <f>分析データ!A34</f>
        <v>44974</v>
      </c>
    </row>
    <row r="35" spans="46:86">
      <c r="AT35" t="str">
        <f ca="1">IF(ROW()&lt;($C$7+1),"",IFERROR((分析データ!B35-AVERAGE(OFFSET(分析データ!B$1,MAX(1,ROW()-$C$7),0,MIN($C$7,ROW()-1),1)))/STDEV(OFFSET(分析データ!B$1,MAX(1,ROW()-$C$7),0,MIN($C$7,ROW()-1),1)),0))</f>
        <v/>
      </c>
      <c r="AU35">
        <f t="shared" ca="1" si="0"/>
        <v>0</v>
      </c>
      <c r="AV35" t="str">
        <f ca="1">IF(AU35=1,IF(INDEX(分析データ!$A:$A,ROW()+$C$5)&lt;&gt;"",80000*SIGN(AT35)*(分析データ!B35-INDEX(分析データ!B:B,ROW()+$C$5)),""),"")</f>
        <v/>
      </c>
      <c r="AW35">
        <f t="shared" ca="1" si="1"/>
        <v>0</v>
      </c>
      <c r="AX35">
        <f t="shared" ca="1" si="2"/>
        <v>0</v>
      </c>
      <c r="AY35">
        <f t="shared" ca="1" si="3"/>
        <v>0</v>
      </c>
      <c r="AZ35" t="str">
        <f ca="1">IF(ROW()&lt;($C$7+1),"",IFERROR((分析データ!C35-AVERAGE(OFFSET(分析データ!C$1,MAX(1,ROW()-$C$7),0,MIN($C$7,ROW()-1),1)))/STDEV(OFFSET(分析データ!C$1,MAX(1,ROW()-$C$7),0,MIN($C$7,ROW()-1),1)),0))</f>
        <v/>
      </c>
      <c r="BA35">
        <f t="shared" ca="1" si="4"/>
        <v>0</v>
      </c>
      <c r="BB35" t="str">
        <f ca="1">IF(BA35=1,IF(INDEX(分析データ!$A:$A,ROW()+$C$5)&lt;&gt;"",60000*SIGN(AZ35)*(分析データ!C35-INDEX(分析データ!C:C,ROW()+$C$5)),""),"")</f>
        <v/>
      </c>
      <c r="BC35">
        <f t="shared" ca="1" si="5"/>
        <v>0</v>
      </c>
      <c r="BD35">
        <f t="shared" ca="1" si="6"/>
        <v>0</v>
      </c>
      <c r="BE35">
        <f t="shared" ca="1" si="7"/>
        <v>0</v>
      </c>
      <c r="BF35" t="str">
        <f ca="1">IF(ROW()&lt;($C$7+1),"",IFERROR((分析データ!D35-AVERAGE(OFFSET(分析データ!D$1,MAX(1,ROW()-$C$7),0,MIN($C$7,ROW()-1),1)))/STDEV(OFFSET(分析データ!D$1,MAX(1,ROW()-$C$7),0,MIN($C$7,ROW()-1),1)),0))</f>
        <v/>
      </c>
      <c r="BG35">
        <f t="shared" ca="1" si="8"/>
        <v>0</v>
      </c>
      <c r="BH35" t="str">
        <f ca="1">IF(BG35=1,IF(INDEX(分析データ!$A:$A,ROW()+$C$5)&lt;&gt;"",50000*SIGN(BF35)*(分析データ!D35-INDEX(分析データ!D:D,ROW()+$C$5)),""),"")</f>
        <v/>
      </c>
      <c r="BI35">
        <f t="shared" ca="1" si="9"/>
        <v>0</v>
      </c>
      <c r="BJ35">
        <f t="shared" ca="1" si="10"/>
        <v>0</v>
      </c>
      <c r="BK35">
        <f t="shared" ca="1" si="11"/>
        <v>0</v>
      </c>
      <c r="BL35" t="str">
        <f ca="1">IF(ROW()&lt;($C$7+1),"",IFERROR((分析データ!E35-AVERAGE(OFFSET(分析データ!E$1,MAX(1,ROW()-$C$7),0,MIN($C$7,ROW()-1),1)))/STDEV(OFFSET(分析データ!E$1,MAX(1,ROW()-$C$7),0,MIN($C$7,ROW()-1),1)),0))</f>
        <v/>
      </c>
      <c r="BM35">
        <f t="shared" ca="1" si="12"/>
        <v>0</v>
      </c>
      <c r="BN35" t="str">
        <f ca="1">IF(BM35=1,IF(INDEX(分析データ!$A:$A,ROW()+$C$5)&lt;&gt;"",40000*SIGN(BL35)*(分析データ!E35-INDEX(分析データ!E:E,ROW()+$C$5)),""),"")</f>
        <v/>
      </c>
      <c r="BO35">
        <f t="shared" ca="1" si="13"/>
        <v>0</v>
      </c>
      <c r="BP35">
        <f t="shared" ca="1" si="14"/>
        <v>0</v>
      </c>
      <c r="BQ35">
        <f t="shared" ca="1" si="15"/>
        <v>0</v>
      </c>
      <c r="BR35" t="str">
        <f ca="1">IF(ROW()&lt;($C$7+1),"",IFERROR((分析データ!F35-AVERAGE(OFFSET(分析データ!F$1,MAX(1,ROW()-$C$7),0,MIN($C$7,ROW()-1),1)))/STDEV(OFFSET(分析データ!F$1,MAX(1,ROW()-$C$7),0,MIN($C$7,ROW()-1),1)),0))</f>
        <v/>
      </c>
      <c r="BS35">
        <f t="shared" ca="1" si="16"/>
        <v>0</v>
      </c>
      <c r="BT35" t="str">
        <f ca="1">IF(BS35=1,IF(INDEX(分析データ!$A:$A,ROW()+$C$5)&lt;&gt;"",40000*SIGN(BR35)*(分析データ!F35-INDEX(分析データ!F:F,ROW()+$C$5)),""),"")</f>
        <v/>
      </c>
      <c r="BU35">
        <f t="shared" ca="1" si="17"/>
        <v>0</v>
      </c>
      <c r="BV35">
        <f t="shared" ca="1" si="18"/>
        <v>0</v>
      </c>
      <c r="BW35">
        <f t="shared" ca="1" si="19"/>
        <v>0</v>
      </c>
      <c r="BX35" t="str">
        <f ca="1">IF(ROW()&lt;($C$7+1),"",IFERROR((分析データ!G35-AVERAGE(OFFSET(分析データ!G$1,MAX(1,ROW()-$C$7),0,MIN($C$7,ROW()-1),1)))/STDEV(OFFSET(分析データ!G$1,MAX(1,ROW()-$C$7),0,MIN($C$7,ROW()-1),1)),0))</f>
        <v/>
      </c>
      <c r="BY35">
        <f t="shared" ca="1" si="20"/>
        <v>0</v>
      </c>
      <c r="BZ35" t="str">
        <f ca="1">IF(BY35=1,IF(INDEX(分析データ!$A:$A,ROW()+$C$5)&lt;&gt;"",40000*SIGN(BX35)*(分析データ!G35-INDEX(分析データ!G:G,ROW()+$C$5)),""),"")</f>
        <v/>
      </c>
      <c r="CA35">
        <f t="shared" ca="1" si="21"/>
        <v>0</v>
      </c>
      <c r="CB35">
        <f t="shared" ca="1" si="22"/>
        <v>0</v>
      </c>
      <c r="CC35">
        <f t="shared" ca="1" si="23"/>
        <v>0</v>
      </c>
      <c r="CD35">
        <f t="shared" ca="1" si="24"/>
        <v>0</v>
      </c>
      <c r="CE35">
        <f t="shared" ca="1" si="25"/>
        <v>0</v>
      </c>
      <c r="CF35">
        <f t="shared" ca="1" si="26"/>
        <v>0</v>
      </c>
      <c r="CG35">
        <f t="shared" ca="1" si="27"/>
        <v>0</v>
      </c>
      <c r="CH35" s="10">
        <f>分析データ!A35</f>
        <v>44978</v>
      </c>
    </row>
    <row r="36" spans="46:86">
      <c r="AT36" t="str">
        <f ca="1">IF(ROW()&lt;($C$7+1),"",IFERROR((分析データ!B36-AVERAGE(OFFSET(分析データ!B$1,MAX(1,ROW()-$C$7),0,MIN($C$7,ROW()-1),1)))/STDEV(OFFSET(分析データ!B$1,MAX(1,ROW()-$C$7),0,MIN($C$7,ROW()-1),1)),0))</f>
        <v/>
      </c>
      <c r="AU36">
        <f t="shared" ca="1" si="0"/>
        <v>0</v>
      </c>
      <c r="AV36" t="str">
        <f ca="1">IF(AU36=1,IF(INDEX(分析データ!$A:$A,ROW()+$C$5)&lt;&gt;"",80000*SIGN(AT36)*(分析データ!B36-INDEX(分析データ!B:B,ROW()+$C$5)),""),"")</f>
        <v/>
      </c>
      <c r="AW36">
        <f t="shared" ca="1" si="1"/>
        <v>0</v>
      </c>
      <c r="AX36">
        <f t="shared" ca="1" si="2"/>
        <v>0</v>
      </c>
      <c r="AY36">
        <f t="shared" ca="1" si="3"/>
        <v>0</v>
      </c>
      <c r="AZ36" t="str">
        <f ca="1">IF(ROW()&lt;($C$7+1),"",IFERROR((分析データ!C36-AVERAGE(OFFSET(分析データ!C$1,MAX(1,ROW()-$C$7),0,MIN($C$7,ROW()-1),1)))/STDEV(OFFSET(分析データ!C$1,MAX(1,ROW()-$C$7),0,MIN($C$7,ROW()-1),1)),0))</f>
        <v/>
      </c>
      <c r="BA36">
        <f t="shared" ca="1" si="4"/>
        <v>0</v>
      </c>
      <c r="BB36" t="str">
        <f ca="1">IF(BA36=1,IF(INDEX(分析データ!$A:$A,ROW()+$C$5)&lt;&gt;"",60000*SIGN(AZ36)*(分析データ!C36-INDEX(分析データ!C:C,ROW()+$C$5)),""),"")</f>
        <v/>
      </c>
      <c r="BC36">
        <f t="shared" ca="1" si="5"/>
        <v>0</v>
      </c>
      <c r="BD36">
        <f t="shared" ca="1" si="6"/>
        <v>0</v>
      </c>
      <c r="BE36">
        <f t="shared" ca="1" si="7"/>
        <v>0</v>
      </c>
      <c r="BF36" t="str">
        <f ca="1">IF(ROW()&lt;($C$7+1),"",IFERROR((分析データ!D36-AVERAGE(OFFSET(分析データ!D$1,MAX(1,ROW()-$C$7),0,MIN($C$7,ROW()-1),1)))/STDEV(OFFSET(分析データ!D$1,MAX(1,ROW()-$C$7),0,MIN($C$7,ROW()-1),1)),0))</f>
        <v/>
      </c>
      <c r="BG36">
        <f t="shared" ca="1" si="8"/>
        <v>0</v>
      </c>
      <c r="BH36" t="str">
        <f ca="1">IF(BG36=1,IF(INDEX(分析データ!$A:$A,ROW()+$C$5)&lt;&gt;"",50000*SIGN(BF36)*(分析データ!D36-INDEX(分析データ!D:D,ROW()+$C$5)),""),"")</f>
        <v/>
      </c>
      <c r="BI36">
        <f t="shared" ca="1" si="9"/>
        <v>0</v>
      </c>
      <c r="BJ36">
        <f t="shared" ca="1" si="10"/>
        <v>0</v>
      </c>
      <c r="BK36">
        <f t="shared" ca="1" si="11"/>
        <v>0</v>
      </c>
      <c r="BL36" t="str">
        <f ca="1">IF(ROW()&lt;($C$7+1),"",IFERROR((分析データ!E36-AVERAGE(OFFSET(分析データ!E$1,MAX(1,ROW()-$C$7),0,MIN($C$7,ROW()-1),1)))/STDEV(OFFSET(分析データ!E$1,MAX(1,ROW()-$C$7),0,MIN($C$7,ROW()-1),1)),0))</f>
        <v/>
      </c>
      <c r="BM36">
        <f t="shared" ca="1" si="12"/>
        <v>0</v>
      </c>
      <c r="BN36" t="str">
        <f ca="1">IF(BM36=1,IF(INDEX(分析データ!$A:$A,ROW()+$C$5)&lt;&gt;"",40000*SIGN(BL36)*(分析データ!E36-INDEX(分析データ!E:E,ROW()+$C$5)),""),"")</f>
        <v/>
      </c>
      <c r="BO36">
        <f t="shared" ca="1" si="13"/>
        <v>0</v>
      </c>
      <c r="BP36">
        <f t="shared" ca="1" si="14"/>
        <v>0</v>
      </c>
      <c r="BQ36">
        <f t="shared" ca="1" si="15"/>
        <v>0</v>
      </c>
      <c r="BR36" t="str">
        <f ca="1">IF(ROW()&lt;($C$7+1),"",IFERROR((分析データ!F36-AVERAGE(OFFSET(分析データ!F$1,MAX(1,ROW()-$C$7),0,MIN($C$7,ROW()-1),1)))/STDEV(OFFSET(分析データ!F$1,MAX(1,ROW()-$C$7),0,MIN($C$7,ROW()-1),1)),0))</f>
        <v/>
      </c>
      <c r="BS36">
        <f t="shared" ca="1" si="16"/>
        <v>0</v>
      </c>
      <c r="BT36" t="str">
        <f ca="1">IF(BS36=1,IF(INDEX(分析データ!$A:$A,ROW()+$C$5)&lt;&gt;"",40000*SIGN(BR36)*(分析データ!F36-INDEX(分析データ!F:F,ROW()+$C$5)),""),"")</f>
        <v/>
      </c>
      <c r="BU36">
        <f t="shared" ca="1" si="17"/>
        <v>0</v>
      </c>
      <c r="BV36">
        <f t="shared" ca="1" si="18"/>
        <v>0</v>
      </c>
      <c r="BW36">
        <f t="shared" ca="1" si="19"/>
        <v>0</v>
      </c>
      <c r="BX36" t="str">
        <f ca="1">IF(ROW()&lt;($C$7+1),"",IFERROR((分析データ!G36-AVERAGE(OFFSET(分析データ!G$1,MAX(1,ROW()-$C$7),0,MIN($C$7,ROW()-1),1)))/STDEV(OFFSET(分析データ!G$1,MAX(1,ROW()-$C$7),0,MIN($C$7,ROW()-1),1)),0))</f>
        <v/>
      </c>
      <c r="BY36">
        <f t="shared" ca="1" si="20"/>
        <v>0</v>
      </c>
      <c r="BZ36" t="str">
        <f ca="1">IF(BY36=1,IF(INDEX(分析データ!$A:$A,ROW()+$C$5)&lt;&gt;"",40000*SIGN(BX36)*(分析データ!G36-INDEX(分析データ!G:G,ROW()+$C$5)),""),"")</f>
        <v/>
      </c>
      <c r="CA36">
        <f t="shared" ca="1" si="21"/>
        <v>0</v>
      </c>
      <c r="CB36">
        <f t="shared" ca="1" si="22"/>
        <v>0</v>
      </c>
      <c r="CC36">
        <f t="shared" ca="1" si="23"/>
        <v>0</v>
      </c>
      <c r="CD36">
        <f t="shared" ca="1" si="24"/>
        <v>0</v>
      </c>
      <c r="CE36">
        <f t="shared" ca="1" si="25"/>
        <v>0</v>
      </c>
      <c r="CF36">
        <f t="shared" ca="1" si="26"/>
        <v>0</v>
      </c>
      <c r="CG36">
        <f t="shared" ca="1" si="27"/>
        <v>0</v>
      </c>
      <c r="CH36" s="10">
        <f>分析データ!A36</f>
        <v>44979</v>
      </c>
    </row>
    <row r="37" spans="46:86">
      <c r="AT37" t="str">
        <f ca="1">IF(ROW()&lt;($C$7+1),"",IFERROR((分析データ!B37-AVERAGE(OFFSET(分析データ!B$1,MAX(1,ROW()-$C$7),0,MIN($C$7,ROW()-1),1)))/STDEV(OFFSET(分析データ!B$1,MAX(1,ROW()-$C$7),0,MIN($C$7,ROW()-1),1)),0))</f>
        <v/>
      </c>
      <c r="AU37">
        <f t="shared" ca="1" si="0"/>
        <v>0</v>
      </c>
      <c r="AV37" t="str">
        <f ca="1">IF(AU37=1,IF(INDEX(分析データ!$A:$A,ROW()+$C$5)&lt;&gt;"",80000*SIGN(AT37)*(分析データ!B37-INDEX(分析データ!B:B,ROW()+$C$5)),""),"")</f>
        <v/>
      </c>
      <c r="AW37">
        <f t="shared" ca="1" si="1"/>
        <v>0</v>
      </c>
      <c r="AX37">
        <f t="shared" ca="1" si="2"/>
        <v>0</v>
      </c>
      <c r="AY37">
        <f t="shared" ca="1" si="3"/>
        <v>0</v>
      </c>
      <c r="AZ37" t="str">
        <f ca="1">IF(ROW()&lt;($C$7+1),"",IFERROR((分析データ!C37-AVERAGE(OFFSET(分析データ!C$1,MAX(1,ROW()-$C$7),0,MIN($C$7,ROW()-1),1)))/STDEV(OFFSET(分析データ!C$1,MAX(1,ROW()-$C$7),0,MIN($C$7,ROW()-1),1)),0))</f>
        <v/>
      </c>
      <c r="BA37">
        <f t="shared" ca="1" si="4"/>
        <v>0</v>
      </c>
      <c r="BB37" t="str">
        <f ca="1">IF(BA37=1,IF(INDEX(分析データ!$A:$A,ROW()+$C$5)&lt;&gt;"",60000*SIGN(AZ37)*(分析データ!C37-INDEX(分析データ!C:C,ROW()+$C$5)),""),"")</f>
        <v/>
      </c>
      <c r="BC37">
        <f t="shared" ca="1" si="5"/>
        <v>0</v>
      </c>
      <c r="BD37">
        <f t="shared" ca="1" si="6"/>
        <v>0</v>
      </c>
      <c r="BE37">
        <f t="shared" ca="1" si="7"/>
        <v>0</v>
      </c>
      <c r="BF37" t="str">
        <f ca="1">IF(ROW()&lt;($C$7+1),"",IFERROR((分析データ!D37-AVERAGE(OFFSET(分析データ!D$1,MAX(1,ROW()-$C$7),0,MIN($C$7,ROW()-1),1)))/STDEV(OFFSET(分析データ!D$1,MAX(1,ROW()-$C$7),0,MIN($C$7,ROW()-1),1)),0))</f>
        <v/>
      </c>
      <c r="BG37">
        <f t="shared" ca="1" si="8"/>
        <v>0</v>
      </c>
      <c r="BH37" t="str">
        <f ca="1">IF(BG37=1,IF(INDEX(分析データ!$A:$A,ROW()+$C$5)&lt;&gt;"",50000*SIGN(BF37)*(分析データ!D37-INDEX(分析データ!D:D,ROW()+$C$5)),""),"")</f>
        <v/>
      </c>
      <c r="BI37">
        <f t="shared" ca="1" si="9"/>
        <v>0</v>
      </c>
      <c r="BJ37">
        <f t="shared" ca="1" si="10"/>
        <v>0</v>
      </c>
      <c r="BK37">
        <f t="shared" ca="1" si="11"/>
        <v>0</v>
      </c>
      <c r="BL37" t="str">
        <f ca="1">IF(ROW()&lt;($C$7+1),"",IFERROR((分析データ!E37-AVERAGE(OFFSET(分析データ!E$1,MAX(1,ROW()-$C$7),0,MIN($C$7,ROW()-1),1)))/STDEV(OFFSET(分析データ!E$1,MAX(1,ROW()-$C$7),0,MIN($C$7,ROW()-1),1)),0))</f>
        <v/>
      </c>
      <c r="BM37">
        <f t="shared" ca="1" si="12"/>
        <v>0</v>
      </c>
      <c r="BN37" t="str">
        <f ca="1">IF(BM37=1,IF(INDEX(分析データ!$A:$A,ROW()+$C$5)&lt;&gt;"",40000*SIGN(BL37)*(分析データ!E37-INDEX(分析データ!E:E,ROW()+$C$5)),""),"")</f>
        <v/>
      </c>
      <c r="BO37">
        <f t="shared" ca="1" si="13"/>
        <v>0</v>
      </c>
      <c r="BP37">
        <f t="shared" ca="1" si="14"/>
        <v>0</v>
      </c>
      <c r="BQ37">
        <f t="shared" ca="1" si="15"/>
        <v>0</v>
      </c>
      <c r="BR37" t="str">
        <f ca="1">IF(ROW()&lt;($C$7+1),"",IFERROR((分析データ!F37-AVERAGE(OFFSET(分析データ!F$1,MAX(1,ROW()-$C$7),0,MIN($C$7,ROW()-1),1)))/STDEV(OFFSET(分析データ!F$1,MAX(1,ROW()-$C$7),0,MIN($C$7,ROW()-1),1)),0))</f>
        <v/>
      </c>
      <c r="BS37">
        <f t="shared" ca="1" si="16"/>
        <v>0</v>
      </c>
      <c r="BT37" t="str">
        <f ca="1">IF(BS37=1,IF(INDEX(分析データ!$A:$A,ROW()+$C$5)&lt;&gt;"",40000*SIGN(BR37)*(分析データ!F37-INDEX(分析データ!F:F,ROW()+$C$5)),""),"")</f>
        <v/>
      </c>
      <c r="BU37">
        <f t="shared" ca="1" si="17"/>
        <v>0</v>
      </c>
      <c r="BV37">
        <f t="shared" ca="1" si="18"/>
        <v>0</v>
      </c>
      <c r="BW37">
        <f t="shared" ca="1" si="19"/>
        <v>0</v>
      </c>
      <c r="BX37" t="str">
        <f ca="1">IF(ROW()&lt;($C$7+1),"",IFERROR((分析データ!G37-AVERAGE(OFFSET(分析データ!G$1,MAX(1,ROW()-$C$7),0,MIN($C$7,ROW()-1),1)))/STDEV(OFFSET(分析データ!G$1,MAX(1,ROW()-$C$7),0,MIN($C$7,ROW()-1),1)),0))</f>
        <v/>
      </c>
      <c r="BY37">
        <f t="shared" ca="1" si="20"/>
        <v>0</v>
      </c>
      <c r="BZ37" t="str">
        <f ca="1">IF(BY37=1,IF(INDEX(分析データ!$A:$A,ROW()+$C$5)&lt;&gt;"",40000*SIGN(BX37)*(分析データ!G37-INDEX(分析データ!G:G,ROW()+$C$5)),""),"")</f>
        <v/>
      </c>
      <c r="CA37">
        <f t="shared" ca="1" si="21"/>
        <v>0</v>
      </c>
      <c r="CB37">
        <f t="shared" ca="1" si="22"/>
        <v>0</v>
      </c>
      <c r="CC37">
        <f t="shared" ca="1" si="23"/>
        <v>0</v>
      </c>
      <c r="CD37">
        <f t="shared" ca="1" si="24"/>
        <v>0</v>
      </c>
      <c r="CE37">
        <f t="shared" ca="1" si="25"/>
        <v>0</v>
      </c>
      <c r="CF37">
        <f t="shared" ca="1" si="26"/>
        <v>0</v>
      </c>
      <c r="CG37">
        <f t="shared" ca="1" si="27"/>
        <v>0</v>
      </c>
      <c r="CH37" s="10">
        <f>分析データ!A37</f>
        <v>44980</v>
      </c>
    </row>
    <row r="38" spans="46:86">
      <c r="AT38" t="str">
        <f ca="1">IF(ROW()&lt;($C$7+1),"",IFERROR((分析データ!B38-AVERAGE(OFFSET(分析データ!B$1,MAX(1,ROW()-$C$7),0,MIN($C$7,ROW()-1),1)))/STDEV(OFFSET(分析データ!B$1,MAX(1,ROW()-$C$7),0,MIN($C$7,ROW()-1),1)),0))</f>
        <v/>
      </c>
      <c r="AU38">
        <f t="shared" ca="1" si="0"/>
        <v>0</v>
      </c>
      <c r="AV38" t="str">
        <f ca="1">IF(AU38=1,IF(INDEX(分析データ!$A:$A,ROW()+$C$5)&lt;&gt;"",80000*SIGN(AT38)*(分析データ!B38-INDEX(分析データ!B:B,ROW()+$C$5)),""),"")</f>
        <v/>
      </c>
      <c r="AW38">
        <f t="shared" ca="1" si="1"/>
        <v>0</v>
      </c>
      <c r="AX38">
        <f t="shared" ca="1" si="2"/>
        <v>0</v>
      </c>
      <c r="AY38">
        <f t="shared" ca="1" si="3"/>
        <v>0</v>
      </c>
      <c r="AZ38" t="str">
        <f ca="1">IF(ROW()&lt;($C$7+1),"",IFERROR((分析データ!C38-AVERAGE(OFFSET(分析データ!C$1,MAX(1,ROW()-$C$7),0,MIN($C$7,ROW()-1),1)))/STDEV(OFFSET(分析データ!C$1,MAX(1,ROW()-$C$7),0,MIN($C$7,ROW()-1),1)),0))</f>
        <v/>
      </c>
      <c r="BA38">
        <f t="shared" ca="1" si="4"/>
        <v>0</v>
      </c>
      <c r="BB38" t="str">
        <f ca="1">IF(BA38=1,IF(INDEX(分析データ!$A:$A,ROW()+$C$5)&lt;&gt;"",60000*SIGN(AZ38)*(分析データ!C38-INDEX(分析データ!C:C,ROW()+$C$5)),""),"")</f>
        <v/>
      </c>
      <c r="BC38">
        <f t="shared" ca="1" si="5"/>
        <v>0</v>
      </c>
      <c r="BD38">
        <f t="shared" ca="1" si="6"/>
        <v>0</v>
      </c>
      <c r="BE38">
        <f t="shared" ca="1" si="7"/>
        <v>0</v>
      </c>
      <c r="BF38" t="str">
        <f ca="1">IF(ROW()&lt;($C$7+1),"",IFERROR((分析データ!D38-AVERAGE(OFFSET(分析データ!D$1,MAX(1,ROW()-$C$7),0,MIN($C$7,ROW()-1),1)))/STDEV(OFFSET(分析データ!D$1,MAX(1,ROW()-$C$7),0,MIN($C$7,ROW()-1),1)),0))</f>
        <v/>
      </c>
      <c r="BG38">
        <f t="shared" ca="1" si="8"/>
        <v>0</v>
      </c>
      <c r="BH38" t="str">
        <f ca="1">IF(BG38=1,IF(INDEX(分析データ!$A:$A,ROW()+$C$5)&lt;&gt;"",50000*SIGN(BF38)*(分析データ!D38-INDEX(分析データ!D:D,ROW()+$C$5)),""),"")</f>
        <v/>
      </c>
      <c r="BI38">
        <f t="shared" ca="1" si="9"/>
        <v>0</v>
      </c>
      <c r="BJ38">
        <f t="shared" ca="1" si="10"/>
        <v>0</v>
      </c>
      <c r="BK38">
        <f t="shared" ca="1" si="11"/>
        <v>0</v>
      </c>
      <c r="BL38" t="str">
        <f ca="1">IF(ROW()&lt;($C$7+1),"",IFERROR((分析データ!E38-AVERAGE(OFFSET(分析データ!E$1,MAX(1,ROW()-$C$7),0,MIN($C$7,ROW()-1),1)))/STDEV(OFFSET(分析データ!E$1,MAX(1,ROW()-$C$7),0,MIN($C$7,ROW()-1),1)),0))</f>
        <v/>
      </c>
      <c r="BM38">
        <f t="shared" ca="1" si="12"/>
        <v>0</v>
      </c>
      <c r="BN38" t="str">
        <f ca="1">IF(BM38=1,IF(INDEX(分析データ!$A:$A,ROW()+$C$5)&lt;&gt;"",40000*SIGN(BL38)*(分析データ!E38-INDEX(分析データ!E:E,ROW()+$C$5)),""),"")</f>
        <v/>
      </c>
      <c r="BO38">
        <f t="shared" ca="1" si="13"/>
        <v>0</v>
      </c>
      <c r="BP38">
        <f t="shared" ca="1" si="14"/>
        <v>0</v>
      </c>
      <c r="BQ38">
        <f t="shared" ca="1" si="15"/>
        <v>0</v>
      </c>
      <c r="BR38" t="str">
        <f ca="1">IF(ROW()&lt;($C$7+1),"",IFERROR((分析データ!F38-AVERAGE(OFFSET(分析データ!F$1,MAX(1,ROW()-$C$7),0,MIN($C$7,ROW()-1),1)))/STDEV(OFFSET(分析データ!F$1,MAX(1,ROW()-$C$7),0,MIN($C$7,ROW()-1),1)),0))</f>
        <v/>
      </c>
      <c r="BS38">
        <f t="shared" ca="1" si="16"/>
        <v>0</v>
      </c>
      <c r="BT38" t="str">
        <f ca="1">IF(BS38=1,IF(INDEX(分析データ!$A:$A,ROW()+$C$5)&lt;&gt;"",40000*SIGN(BR38)*(分析データ!F38-INDEX(分析データ!F:F,ROW()+$C$5)),""),"")</f>
        <v/>
      </c>
      <c r="BU38">
        <f t="shared" ca="1" si="17"/>
        <v>0</v>
      </c>
      <c r="BV38">
        <f t="shared" ca="1" si="18"/>
        <v>0</v>
      </c>
      <c r="BW38">
        <f t="shared" ca="1" si="19"/>
        <v>0</v>
      </c>
      <c r="BX38" t="str">
        <f ca="1">IF(ROW()&lt;($C$7+1),"",IFERROR((分析データ!G38-AVERAGE(OFFSET(分析データ!G$1,MAX(1,ROW()-$C$7),0,MIN($C$7,ROW()-1),1)))/STDEV(OFFSET(分析データ!G$1,MAX(1,ROW()-$C$7),0,MIN($C$7,ROW()-1),1)),0))</f>
        <v/>
      </c>
      <c r="BY38">
        <f t="shared" ca="1" si="20"/>
        <v>0</v>
      </c>
      <c r="BZ38" t="str">
        <f ca="1">IF(BY38=1,IF(INDEX(分析データ!$A:$A,ROW()+$C$5)&lt;&gt;"",40000*SIGN(BX38)*(分析データ!G38-INDEX(分析データ!G:G,ROW()+$C$5)),""),"")</f>
        <v/>
      </c>
      <c r="CA38">
        <f t="shared" ca="1" si="21"/>
        <v>0</v>
      </c>
      <c r="CB38">
        <f t="shared" ca="1" si="22"/>
        <v>0</v>
      </c>
      <c r="CC38">
        <f t="shared" ca="1" si="23"/>
        <v>0</v>
      </c>
      <c r="CD38">
        <f t="shared" ca="1" si="24"/>
        <v>0</v>
      </c>
      <c r="CE38">
        <f t="shared" ca="1" si="25"/>
        <v>0</v>
      </c>
      <c r="CF38">
        <f t="shared" ca="1" si="26"/>
        <v>0</v>
      </c>
      <c r="CG38">
        <f t="shared" ca="1" si="27"/>
        <v>0</v>
      </c>
      <c r="CH38" s="10">
        <f>分析データ!A38</f>
        <v>44981</v>
      </c>
    </row>
    <row r="39" spans="46:86">
      <c r="AT39" t="str">
        <f ca="1">IF(ROW()&lt;($C$7+1),"",IFERROR((分析データ!B39-AVERAGE(OFFSET(分析データ!B$1,MAX(1,ROW()-$C$7),0,MIN($C$7,ROW()-1),1)))/STDEV(OFFSET(分析データ!B$1,MAX(1,ROW()-$C$7),0,MIN($C$7,ROW()-1),1)),0))</f>
        <v/>
      </c>
      <c r="AU39">
        <f t="shared" ca="1" si="0"/>
        <v>0</v>
      </c>
      <c r="AV39" t="str">
        <f ca="1">IF(AU39=1,IF(INDEX(分析データ!$A:$A,ROW()+$C$5)&lt;&gt;"",80000*SIGN(AT39)*(分析データ!B39-INDEX(分析データ!B:B,ROW()+$C$5)),""),"")</f>
        <v/>
      </c>
      <c r="AW39">
        <f t="shared" ca="1" si="1"/>
        <v>0</v>
      </c>
      <c r="AX39">
        <f t="shared" ca="1" si="2"/>
        <v>0</v>
      </c>
      <c r="AY39">
        <f t="shared" ca="1" si="3"/>
        <v>0</v>
      </c>
      <c r="AZ39" t="str">
        <f ca="1">IF(ROW()&lt;($C$7+1),"",IFERROR((分析データ!C39-AVERAGE(OFFSET(分析データ!C$1,MAX(1,ROW()-$C$7),0,MIN($C$7,ROW()-1),1)))/STDEV(OFFSET(分析データ!C$1,MAX(1,ROW()-$C$7),0,MIN($C$7,ROW()-1),1)),0))</f>
        <v/>
      </c>
      <c r="BA39">
        <f t="shared" ca="1" si="4"/>
        <v>0</v>
      </c>
      <c r="BB39" t="str">
        <f ca="1">IF(BA39=1,IF(INDEX(分析データ!$A:$A,ROW()+$C$5)&lt;&gt;"",60000*SIGN(AZ39)*(分析データ!C39-INDEX(分析データ!C:C,ROW()+$C$5)),""),"")</f>
        <v/>
      </c>
      <c r="BC39">
        <f t="shared" ca="1" si="5"/>
        <v>0</v>
      </c>
      <c r="BD39">
        <f t="shared" ca="1" si="6"/>
        <v>0</v>
      </c>
      <c r="BE39">
        <f t="shared" ca="1" si="7"/>
        <v>0</v>
      </c>
      <c r="BF39" t="str">
        <f ca="1">IF(ROW()&lt;($C$7+1),"",IFERROR((分析データ!D39-AVERAGE(OFFSET(分析データ!D$1,MAX(1,ROW()-$C$7),0,MIN($C$7,ROW()-1),1)))/STDEV(OFFSET(分析データ!D$1,MAX(1,ROW()-$C$7),0,MIN($C$7,ROW()-1),1)),0))</f>
        <v/>
      </c>
      <c r="BG39">
        <f t="shared" ca="1" si="8"/>
        <v>0</v>
      </c>
      <c r="BH39" t="str">
        <f ca="1">IF(BG39=1,IF(INDEX(分析データ!$A:$A,ROW()+$C$5)&lt;&gt;"",50000*SIGN(BF39)*(分析データ!D39-INDEX(分析データ!D:D,ROW()+$C$5)),""),"")</f>
        <v/>
      </c>
      <c r="BI39">
        <f t="shared" ca="1" si="9"/>
        <v>0</v>
      </c>
      <c r="BJ39">
        <f t="shared" ca="1" si="10"/>
        <v>0</v>
      </c>
      <c r="BK39">
        <f t="shared" ca="1" si="11"/>
        <v>0</v>
      </c>
      <c r="BL39" t="str">
        <f ca="1">IF(ROW()&lt;($C$7+1),"",IFERROR((分析データ!E39-AVERAGE(OFFSET(分析データ!E$1,MAX(1,ROW()-$C$7),0,MIN($C$7,ROW()-1),1)))/STDEV(OFFSET(分析データ!E$1,MAX(1,ROW()-$C$7),0,MIN($C$7,ROW()-1),1)),0))</f>
        <v/>
      </c>
      <c r="BM39">
        <f t="shared" ca="1" si="12"/>
        <v>0</v>
      </c>
      <c r="BN39" t="str">
        <f ca="1">IF(BM39=1,IF(INDEX(分析データ!$A:$A,ROW()+$C$5)&lt;&gt;"",40000*SIGN(BL39)*(分析データ!E39-INDEX(分析データ!E:E,ROW()+$C$5)),""),"")</f>
        <v/>
      </c>
      <c r="BO39">
        <f t="shared" ca="1" si="13"/>
        <v>0</v>
      </c>
      <c r="BP39">
        <f t="shared" ca="1" si="14"/>
        <v>0</v>
      </c>
      <c r="BQ39">
        <f t="shared" ca="1" si="15"/>
        <v>0</v>
      </c>
      <c r="BR39" t="str">
        <f ca="1">IF(ROW()&lt;($C$7+1),"",IFERROR((分析データ!F39-AVERAGE(OFFSET(分析データ!F$1,MAX(1,ROW()-$C$7),0,MIN($C$7,ROW()-1),1)))/STDEV(OFFSET(分析データ!F$1,MAX(1,ROW()-$C$7),0,MIN($C$7,ROW()-1),1)),0))</f>
        <v/>
      </c>
      <c r="BS39">
        <f t="shared" ca="1" si="16"/>
        <v>0</v>
      </c>
      <c r="BT39" t="str">
        <f ca="1">IF(BS39=1,IF(INDEX(分析データ!$A:$A,ROW()+$C$5)&lt;&gt;"",40000*SIGN(BR39)*(分析データ!F39-INDEX(分析データ!F:F,ROW()+$C$5)),""),"")</f>
        <v/>
      </c>
      <c r="BU39">
        <f t="shared" ca="1" si="17"/>
        <v>0</v>
      </c>
      <c r="BV39">
        <f t="shared" ca="1" si="18"/>
        <v>0</v>
      </c>
      <c r="BW39">
        <f t="shared" ca="1" si="19"/>
        <v>0</v>
      </c>
      <c r="BX39" t="str">
        <f ca="1">IF(ROW()&lt;($C$7+1),"",IFERROR((分析データ!G39-AVERAGE(OFFSET(分析データ!G$1,MAX(1,ROW()-$C$7),0,MIN($C$7,ROW()-1),1)))/STDEV(OFFSET(分析データ!G$1,MAX(1,ROW()-$C$7),0,MIN($C$7,ROW()-1),1)),0))</f>
        <v/>
      </c>
      <c r="BY39">
        <f t="shared" ca="1" si="20"/>
        <v>0</v>
      </c>
      <c r="BZ39" t="str">
        <f ca="1">IF(BY39=1,IF(INDEX(分析データ!$A:$A,ROW()+$C$5)&lt;&gt;"",40000*SIGN(BX39)*(分析データ!G39-INDEX(分析データ!G:G,ROW()+$C$5)),""),"")</f>
        <v/>
      </c>
      <c r="CA39">
        <f t="shared" ca="1" si="21"/>
        <v>0</v>
      </c>
      <c r="CB39">
        <f t="shared" ca="1" si="22"/>
        <v>0</v>
      </c>
      <c r="CC39">
        <f t="shared" ca="1" si="23"/>
        <v>0</v>
      </c>
      <c r="CD39">
        <f t="shared" ca="1" si="24"/>
        <v>0</v>
      </c>
      <c r="CE39">
        <f t="shared" ca="1" si="25"/>
        <v>0</v>
      </c>
      <c r="CF39">
        <f t="shared" ca="1" si="26"/>
        <v>0</v>
      </c>
      <c r="CG39">
        <f t="shared" ca="1" si="27"/>
        <v>0</v>
      </c>
      <c r="CH39" s="10">
        <f>分析データ!A39</f>
        <v>44984</v>
      </c>
    </row>
    <row r="40" spans="46:86">
      <c r="AT40" t="str">
        <f ca="1">IF(ROW()&lt;($C$7+1),"",IFERROR((分析データ!B40-AVERAGE(OFFSET(分析データ!B$1,MAX(1,ROW()-$C$7),0,MIN($C$7,ROW()-1),1)))/STDEV(OFFSET(分析データ!B$1,MAX(1,ROW()-$C$7),0,MIN($C$7,ROW()-1),1)),0))</f>
        <v/>
      </c>
      <c r="AU40">
        <f t="shared" ca="1" si="0"/>
        <v>0</v>
      </c>
      <c r="AV40" t="str">
        <f ca="1">IF(AU40=1,IF(INDEX(分析データ!$A:$A,ROW()+$C$5)&lt;&gt;"",80000*SIGN(AT40)*(分析データ!B40-INDEX(分析データ!B:B,ROW()+$C$5)),""),"")</f>
        <v/>
      </c>
      <c r="AW40">
        <f t="shared" ca="1" si="1"/>
        <v>0</v>
      </c>
      <c r="AX40">
        <f t="shared" ca="1" si="2"/>
        <v>0</v>
      </c>
      <c r="AY40">
        <f t="shared" ca="1" si="3"/>
        <v>0</v>
      </c>
      <c r="AZ40" t="str">
        <f ca="1">IF(ROW()&lt;($C$7+1),"",IFERROR((分析データ!C40-AVERAGE(OFFSET(分析データ!C$1,MAX(1,ROW()-$C$7),0,MIN($C$7,ROW()-1),1)))/STDEV(OFFSET(分析データ!C$1,MAX(1,ROW()-$C$7),0,MIN($C$7,ROW()-1),1)),0))</f>
        <v/>
      </c>
      <c r="BA40">
        <f t="shared" ca="1" si="4"/>
        <v>0</v>
      </c>
      <c r="BB40" t="str">
        <f ca="1">IF(BA40=1,IF(INDEX(分析データ!$A:$A,ROW()+$C$5)&lt;&gt;"",60000*SIGN(AZ40)*(分析データ!C40-INDEX(分析データ!C:C,ROW()+$C$5)),""),"")</f>
        <v/>
      </c>
      <c r="BC40">
        <f t="shared" ca="1" si="5"/>
        <v>0</v>
      </c>
      <c r="BD40">
        <f t="shared" ca="1" si="6"/>
        <v>0</v>
      </c>
      <c r="BE40">
        <f t="shared" ca="1" si="7"/>
        <v>0</v>
      </c>
      <c r="BF40" t="str">
        <f ca="1">IF(ROW()&lt;($C$7+1),"",IFERROR((分析データ!D40-AVERAGE(OFFSET(分析データ!D$1,MAX(1,ROW()-$C$7),0,MIN($C$7,ROW()-1),1)))/STDEV(OFFSET(分析データ!D$1,MAX(1,ROW()-$C$7),0,MIN($C$7,ROW()-1),1)),0))</f>
        <v/>
      </c>
      <c r="BG40">
        <f t="shared" ca="1" si="8"/>
        <v>0</v>
      </c>
      <c r="BH40" t="str">
        <f ca="1">IF(BG40=1,IF(INDEX(分析データ!$A:$A,ROW()+$C$5)&lt;&gt;"",50000*SIGN(BF40)*(分析データ!D40-INDEX(分析データ!D:D,ROW()+$C$5)),""),"")</f>
        <v/>
      </c>
      <c r="BI40">
        <f t="shared" ca="1" si="9"/>
        <v>0</v>
      </c>
      <c r="BJ40">
        <f t="shared" ca="1" si="10"/>
        <v>0</v>
      </c>
      <c r="BK40">
        <f t="shared" ca="1" si="11"/>
        <v>0</v>
      </c>
      <c r="BL40" t="str">
        <f ca="1">IF(ROW()&lt;($C$7+1),"",IFERROR((分析データ!E40-AVERAGE(OFFSET(分析データ!E$1,MAX(1,ROW()-$C$7),0,MIN($C$7,ROW()-1),1)))/STDEV(OFFSET(分析データ!E$1,MAX(1,ROW()-$C$7),0,MIN($C$7,ROW()-1),1)),0))</f>
        <v/>
      </c>
      <c r="BM40">
        <f t="shared" ca="1" si="12"/>
        <v>0</v>
      </c>
      <c r="BN40" t="str">
        <f ca="1">IF(BM40=1,IF(INDEX(分析データ!$A:$A,ROW()+$C$5)&lt;&gt;"",40000*SIGN(BL40)*(分析データ!E40-INDEX(分析データ!E:E,ROW()+$C$5)),""),"")</f>
        <v/>
      </c>
      <c r="BO40">
        <f t="shared" ca="1" si="13"/>
        <v>0</v>
      </c>
      <c r="BP40">
        <f t="shared" ca="1" si="14"/>
        <v>0</v>
      </c>
      <c r="BQ40">
        <f t="shared" ca="1" si="15"/>
        <v>0</v>
      </c>
      <c r="BR40" t="str">
        <f ca="1">IF(ROW()&lt;($C$7+1),"",IFERROR((分析データ!F40-AVERAGE(OFFSET(分析データ!F$1,MAX(1,ROW()-$C$7),0,MIN($C$7,ROW()-1),1)))/STDEV(OFFSET(分析データ!F$1,MAX(1,ROW()-$C$7),0,MIN($C$7,ROW()-1),1)),0))</f>
        <v/>
      </c>
      <c r="BS40">
        <f t="shared" ca="1" si="16"/>
        <v>0</v>
      </c>
      <c r="BT40" t="str">
        <f ca="1">IF(BS40=1,IF(INDEX(分析データ!$A:$A,ROW()+$C$5)&lt;&gt;"",40000*SIGN(BR40)*(分析データ!F40-INDEX(分析データ!F:F,ROW()+$C$5)),""),"")</f>
        <v/>
      </c>
      <c r="BU40">
        <f t="shared" ca="1" si="17"/>
        <v>0</v>
      </c>
      <c r="BV40">
        <f t="shared" ca="1" si="18"/>
        <v>0</v>
      </c>
      <c r="BW40">
        <f t="shared" ca="1" si="19"/>
        <v>0</v>
      </c>
      <c r="BX40" t="str">
        <f ca="1">IF(ROW()&lt;($C$7+1),"",IFERROR((分析データ!G40-AVERAGE(OFFSET(分析データ!G$1,MAX(1,ROW()-$C$7),0,MIN($C$7,ROW()-1),1)))/STDEV(OFFSET(分析データ!G$1,MAX(1,ROW()-$C$7),0,MIN($C$7,ROW()-1),1)),0))</f>
        <v/>
      </c>
      <c r="BY40">
        <f t="shared" ca="1" si="20"/>
        <v>0</v>
      </c>
      <c r="BZ40" t="str">
        <f ca="1">IF(BY40=1,IF(INDEX(分析データ!$A:$A,ROW()+$C$5)&lt;&gt;"",40000*SIGN(BX40)*(分析データ!G40-INDEX(分析データ!G:G,ROW()+$C$5)),""),"")</f>
        <v/>
      </c>
      <c r="CA40">
        <f t="shared" ca="1" si="21"/>
        <v>0</v>
      </c>
      <c r="CB40">
        <f t="shared" ca="1" si="22"/>
        <v>0</v>
      </c>
      <c r="CC40">
        <f t="shared" ca="1" si="23"/>
        <v>0</v>
      </c>
      <c r="CD40">
        <f t="shared" ca="1" si="24"/>
        <v>0</v>
      </c>
      <c r="CE40">
        <f t="shared" ca="1" si="25"/>
        <v>0</v>
      </c>
      <c r="CF40">
        <f t="shared" ca="1" si="26"/>
        <v>0</v>
      </c>
      <c r="CG40">
        <f t="shared" ca="1" si="27"/>
        <v>0</v>
      </c>
      <c r="CH40" s="10">
        <f>分析データ!A40</f>
        <v>44985</v>
      </c>
    </row>
    <row r="41" spans="46:86">
      <c r="AT41" t="str">
        <f ca="1">IF(ROW()&lt;($C$7+1),"",IFERROR((分析データ!B41-AVERAGE(OFFSET(分析データ!B$1,MAX(1,ROW()-$C$7),0,MIN($C$7,ROW()-1),1)))/STDEV(OFFSET(分析データ!B$1,MAX(1,ROW()-$C$7),0,MIN($C$7,ROW()-1),1)),0))</f>
        <v/>
      </c>
      <c r="AU41">
        <f t="shared" ca="1" si="0"/>
        <v>0</v>
      </c>
      <c r="AV41" t="str">
        <f ca="1">IF(AU41=1,IF(INDEX(分析データ!$A:$A,ROW()+$C$5)&lt;&gt;"",80000*SIGN(AT41)*(分析データ!B41-INDEX(分析データ!B:B,ROW()+$C$5)),""),"")</f>
        <v/>
      </c>
      <c r="AW41">
        <f t="shared" ca="1" si="1"/>
        <v>0</v>
      </c>
      <c r="AX41">
        <f t="shared" ca="1" si="2"/>
        <v>0</v>
      </c>
      <c r="AY41">
        <f t="shared" ca="1" si="3"/>
        <v>0</v>
      </c>
      <c r="AZ41" t="str">
        <f ca="1">IF(ROW()&lt;($C$7+1),"",IFERROR((分析データ!C41-AVERAGE(OFFSET(分析データ!C$1,MAX(1,ROW()-$C$7),0,MIN($C$7,ROW()-1),1)))/STDEV(OFFSET(分析データ!C$1,MAX(1,ROW()-$C$7),0,MIN($C$7,ROW()-1),1)),0))</f>
        <v/>
      </c>
      <c r="BA41">
        <f t="shared" ca="1" si="4"/>
        <v>0</v>
      </c>
      <c r="BB41" t="str">
        <f ca="1">IF(BA41=1,IF(INDEX(分析データ!$A:$A,ROW()+$C$5)&lt;&gt;"",60000*SIGN(AZ41)*(分析データ!C41-INDEX(分析データ!C:C,ROW()+$C$5)),""),"")</f>
        <v/>
      </c>
      <c r="BC41">
        <f t="shared" ca="1" si="5"/>
        <v>0</v>
      </c>
      <c r="BD41">
        <f t="shared" ca="1" si="6"/>
        <v>0</v>
      </c>
      <c r="BE41">
        <f t="shared" ca="1" si="7"/>
        <v>0</v>
      </c>
      <c r="BF41" t="str">
        <f ca="1">IF(ROW()&lt;($C$7+1),"",IFERROR((分析データ!D41-AVERAGE(OFFSET(分析データ!D$1,MAX(1,ROW()-$C$7),0,MIN($C$7,ROW()-1),1)))/STDEV(OFFSET(分析データ!D$1,MAX(1,ROW()-$C$7),0,MIN($C$7,ROW()-1),1)),0))</f>
        <v/>
      </c>
      <c r="BG41">
        <f t="shared" ca="1" si="8"/>
        <v>0</v>
      </c>
      <c r="BH41" t="str">
        <f ca="1">IF(BG41=1,IF(INDEX(分析データ!$A:$A,ROW()+$C$5)&lt;&gt;"",50000*SIGN(BF41)*(分析データ!D41-INDEX(分析データ!D:D,ROW()+$C$5)),""),"")</f>
        <v/>
      </c>
      <c r="BI41">
        <f t="shared" ca="1" si="9"/>
        <v>0</v>
      </c>
      <c r="BJ41">
        <f t="shared" ca="1" si="10"/>
        <v>0</v>
      </c>
      <c r="BK41">
        <f t="shared" ca="1" si="11"/>
        <v>0</v>
      </c>
      <c r="BL41" t="str">
        <f ca="1">IF(ROW()&lt;($C$7+1),"",IFERROR((分析データ!E41-AVERAGE(OFFSET(分析データ!E$1,MAX(1,ROW()-$C$7),0,MIN($C$7,ROW()-1),1)))/STDEV(OFFSET(分析データ!E$1,MAX(1,ROW()-$C$7),0,MIN($C$7,ROW()-1),1)),0))</f>
        <v/>
      </c>
      <c r="BM41">
        <f t="shared" ca="1" si="12"/>
        <v>0</v>
      </c>
      <c r="BN41" t="str">
        <f ca="1">IF(BM41=1,IF(INDEX(分析データ!$A:$A,ROW()+$C$5)&lt;&gt;"",40000*SIGN(BL41)*(分析データ!E41-INDEX(分析データ!E:E,ROW()+$C$5)),""),"")</f>
        <v/>
      </c>
      <c r="BO41">
        <f t="shared" ca="1" si="13"/>
        <v>0</v>
      </c>
      <c r="BP41">
        <f t="shared" ca="1" si="14"/>
        <v>0</v>
      </c>
      <c r="BQ41">
        <f t="shared" ca="1" si="15"/>
        <v>0</v>
      </c>
      <c r="BR41" t="str">
        <f ca="1">IF(ROW()&lt;($C$7+1),"",IFERROR((分析データ!F41-AVERAGE(OFFSET(分析データ!F$1,MAX(1,ROW()-$C$7),0,MIN($C$7,ROW()-1),1)))/STDEV(OFFSET(分析データ!F$1,MAX(1,ROW()-$C$7),0,MIN($C$7,ROW()-1),1)),0))</f>
        <v/>
      </c>
      <c r="BS41">
        <f t="shared" ca="1" si="16"/>
        <v>0</v>
      </c>
      <c r="BT41" t="str">
        <f ca="1">IF(BS41=1,IF(INDEX(分析データ!$A:$A,ROW()+$C$5)&lt;&gt;"",40000*SIGN(BR41)*(分析データ!F41-INDEX(分析データ!F:F,ROW()+$C$5)),""),"")</f>
        <v/>
      </c>
      <c r="BU41">
        <f t="shared" ca="1" si="17"/>
        <v>0</v>
      </c>
      <c r="BV41">
        <f t="shared" ca="1" si="18"/>
        <v>0</v>
      </c>
      <c r="BW41">
        <f t="shared" ca="1" si="19"/>
        <v>0</v>
      </c>
      <c r="BX41" t="str">
        <f ca="1">IF(ROW()&lt;($C$7+1),"",IFERROR((分析データ!G41-AVERAGE(OFFSET(分析データ!G$1,MAX(1,ROW()-$C$7),0,MIN($C$7,ROW()-1),1)))/STDEV(OFFSET(分析データ!G$1,MAX(1,ROW()-$C$7),0,MIN($C$7,ROW()-1),1)),0))</f>
        <v/>
      </c>
      <c r="BY41">
        <f t="shared" ca="1" si="20"/>
        <v>0</v>
      </c>
      <c r="BZ41" t="str">
        <f ca="1">IF(BY41=1,IF(INDEX(分析データ!$A:$A,ROW()+$C$5)&lt;&gt;"",40000*SIGN(BX41)*(分析データ!G41-INDEX(分析データ!G:G,ROW()+$C$5)),""),"")</f>
        <v/>
      </c>
      <c r="CA41">
        <f t="shared" ca="1" si="21"/>
        <v>0</v>
      </c>
      <c r="CB41">
        <f t="shared" ca="1" si="22"/>
        <v>0</v>
      </c>
      <c r="CC41">
        <f t="shared" ca="1" si="23"/>
        <v>0</v>
      </c>
      <c r="CD41">
        <f t="shared" ca="1" si="24"/>
        <v>0</v>
      </c>
      <c r="CE41">
        <f t="shared" ca="1" si="25"/>
        <v>0</v>
      </c>
      <c r="CF41">
        <f t="shared" ca="1" si="26"/>
        <v>0</v>
      </c>
      <c r="CG41">
        <f t="shared" ca="1" si="27"/>
        <v>0</v>
      </c>
      <c r="CH41" s="10">
        <f>分析データ!A41</f>
        <v>44986</v>
      </c>
    </row>
    <row r="42" spans="46:86">
      <c r="AT42" t="str">
        <f ca="1">IF(ROW()&lt;($C$7+1),"",IFERROR((分析データ!B42-AVERAGE(OFFSET(分析データ!B$1,MAX(1,ROW()-$C$7),0,MIN($C$7,ROW()-1),1)))/STDEV(OFFSET(分析データ!B$1,MAX(1,ROW()-$C$7),0,MIN($C$7,ROW()-1),1)),0))</f>
        <v/>
      </c>
      <c r="AU42">
        <f t="shared" ca="1" si="0"/>
        <v>0</v>
      </c>
      <c r="AV42" t="str">
        <f ca="1">IF(AU42=1,IF(INDEX(分析データ!$A:$A,ROW()+$C$5)&lt;&gt;"",80000*SIGN(AT42)*(分析データ!B42-INDEX(分析データ!B:B,ROW()+$C$5)),""),"")</f>
        <v/>
      </c>
      <c r="AW42">
        <f t="shared" ca="1" si="1"/>
        <v>0</v>
      </c>
      <c r="AX42">
        <f t="shared" ca="1" si="2"/>
        <v>0</v>
      </c>
      <c r="AY42">
        <f t="shared" ca="1" si="3"/>
        <v>0</v>
      </c>
      <c r="AZ42" t="str">
        <f ca="1">IF(ROW()&lt;($C$7+1),"",IFERROR((分析データ!C42-AVERAGE(OFFSET(分析データ!C$1,MAX(1,ROW()-$C$7),0,MIN($C$7,ROW()-1),1)))/STDEV(OFFSET(分析データ!C$1,MAX(1,ROW()-$C$7),0,MIN($C$7,ROW()-1),1)),0))</f>
        <v/>
      </c>
      <c r="BA42">
        <f t="shared" ca="1" si="4"/>
        <v>0</v>
      </c>
      <c r="BB42" t="str">
        <f ca="1">IF(BA42=1,IF(INDEX(分析データ!$A:$A,ROW()+$C$5)&lt;&gt;"",60000*SIGN(AZ42)*(分析データ!C42-INDEX(分析データ!C:C,ROW()+$C$5)),""),"")</f>
        <v/>
      </c>
      <c r="BC42">
        <f t="shared" ca="1" si="5"/>
        <v>0</v>
      </c>
      <c r="BD42">
        <f t="shared" ca="1" si="6"/>
        <v>0</v>
      </c>
      <c r="BE42">
        <f t="shared" ca="1" si="7"/>
        <v>0</v>
      </c>
      <c r="BF42" t="str">
        <f ca="1">IF(ROW()&lt;($C$7+1),"",IFERROR((分析データ!D42-AVERAGE(OFFSET(分析データ!D$1,MAX(1,ROW()-$C$7),0,MIN($C$7,ROW()-1),1)))/STDEV(OFFSET(分析データ!D$1,MAX(1,ROW()-$C$7),0,MIN($C$7,ROW()-1),1)),0))</f>
        <v/>
      </c>
      <c r="BG42">
        <f t="shared" ca="1" si="8"/>
        <v>0</v>
      </c>
      <c r="BH42" t="str">
        <f ca="1">IF(BG42=1,IF(INDEX(分析データ!$A:$A,ROW()+$C$5)&lt;&gt;"",50000*SIGN(BF42)*(分析データ!D42-INDEX(分析データ!D:D,ROW()+$C$5)),""),"")</f>
        <v/>
      </c>
      <c r="BI42">
        <f t="shared" ca="1" si="9"/>
        <v>0</v>
      </c>
      <c r="BJ42">
        <f t="shared" ca="1" si="10"/>
        <v>0</v>
      </c>
      <c r="BK42">
        <f t="shared" ca="1" si="11"/>
        <v>0</v>
      </c>
      <c r="BL42" t="str">
        <f ca="1">IF(ROW()&lt;($C$7+1),"",IFERROR((分析データ!E42-AVERAGE(OFFSET(分析データ!E$1,MAX(1,ROW()-$C$7),0,MIN($C$7,ROW()-1),1)))/STDEV(OFFSET(分析データ!E$1,MAX(1,ROW()-$C$7),0,MIN($C$7,ROW()-1),1)),0))</f>
        <v/>
      </c>
      <c r="BM42">
        <f t="shared" ca="1" si="12"/>
        <v>0</v>
      </c>
      <c r="BN42" t="str">
        <f ca="1">IF(BM42=1,IF(INDEX(分析データ!$A:$A,ROW()+$C$5)&lt;&gt;"",40000*SIGN(BL42)*(分析データ!E42-INDEX(分析データ!E:E,ROW()+$C$5)),""),"")</f>
        <v/>
      </c>
      <c r="BO42">
        <f t="shared" ca="1" si="13"/>
        <v>0</v>
      </c>
      <c r="BP42">
        <f t="shared" ca="1" si="14"/>
        <v>0</v>
      </c>
      <c r="BQ42">
        <f t="shared" ca="1" si="15"/>
        <v>0</v>
      </c>
      <c r="BR42" t="str">
        <f ca="1">IF(ROW()&lt;($C$7+1),"",IFERROR((分析データ!F42-AVERAGE(OFFSET(分析データ!F$1,MAX(1,ROW()-$C$7),0,MIN($C$7,ROW()-1),1)))/STDEV(OFFSET(分析データ!F$1,MAX(1,ROW()-$C$7),0,MIN($C$7,ROW()-1),1)),0))</f>
        <v/>
      </c>
      <c r="BS42">
        <f t="shared" ca="1" si="16"/>
        <v>0</v>
      </c>
      <c r="BT42" t="str">
        <f ca="1">IF(BS42=1,IF(INDEX(分析データ!$A:$A,ROW()+$C$5)&lt;&gt;"",40000*SIGN(BR42)*(分析データ!F42-INDEX(分析データ!F:F,ROW()+$C$5)),""),"")</f>
        <v/>
      </c>
      <c r="BU42">
        <f t="shared" ca="1" si="17"/>
        <v>0</v>
      </c>
      <c r="BV42">
        <f t="shared" ca="1" si="18"/>
        <v>0</v>
      </c>
      <c r="BW42">
        <f t="shared" ca="1" si="19"/>
        <v>0</v>
      </c>
      <c r="BX42" t="str">
        <f ca="1">IF(ROW()&lt;($C$7+1),"",IFERROR((分析データ!G42-AVERAGE(OFFSET(分析データ!G$1,MAX(1,ROW()-$C$7),0,MIN($C$7,ROW()-1),1)))/STDEV(OFFSET(分析データ!G$1,MAX(1,ROW()-$C$7),0,MIN($C$7,ROW()-1),1)),0))</f>
        <v/>
      </c>
      <c r="BY42">
        <f t="shared" ca="1" si="20"/>
        <v>0</v>
      </c>
      <c r="BZ42" t="str">
        <f ca="1">IF(BY42=1,IF(INDEX(分析データ!$A:$A,ROW()+$C$5)&lt;&gt;"",40000*SIGN(BX42)*(分析データ!G42-INDEX(分析データ!G:G,ROW()+$C$5)),""),"")</f>
        <v/>
      </c>
      <c r="CA42">
        <f t="shared" ca="1" si="21"/>
        <v>0</v>
      </c>
      <c r="CB42">
        <f t="shared" ca="1" si="22"/>
        <v>0</v>
      </c>
      <c r="CC42">
        <f t="shared" ca="1" si="23"/>
        <v>0</v>
      </c>
      <c r="CD42">
        <f t="shared" ca="1" si="24"/>
        <v>0</v>
      </c>
      <c r="CE42">
        <f t="shared" ca="1" si="25"/>
        <v>0</v>
      </c>
      <c r="CF42">
        <f t="shared" ca="1" si="26"/>
        <v>0</v>
      </c>
      <c r="CG42">
        <f t="shared" ca="1" si="27"/>
        <v>0</v>
      </c>
      <c r="CH42" s="10">
        <f>分析データ!A42</f>
        <v>44987</v>
      </c>
    </row>
    <row r="43" spans="46:86">
      <c r="AT43" t="str">
        <f ca="1">IF(ROW()&lt;($C$7+1),"",IFERROR((分析データ!B43-AVERAGE(OFFSET(分析データ!B$1,MAX(1,ROW()-$C$7),0,MIN($C$7,ROW()-1),1)))/STDEV(OFFSET(分析データ!B$1,MAX(1,ROW()-$C$7),0,MIN($C$7,ROW()-1),1)),0))</f>
        <v/>
      </c>
      <c r="AU43">
        <f t="shared" ca="1" si="0"/>
        <v>0</v>
      </c>
      <c r="AV43" t="str">
        <f ca="1">IF(AU43=1,IF(INDEX(分析データ!$A:$A,ROW()+$C$5)&lt;&gt;"",80000*SIGN(AT43)*(分析データ!B43-INDEX(分析データ!B:B,ROW()+$C$5)),""),"")</f>
        <v/>
      </c>
      <c r="AW43">
        <f t="shared" ca="1" si="1"/>
        <v>0</v>
      </c>
      <c r="AX43">
        <f t="shared" ca="1" si="2"/>
        <v>0</v>
      </c>
      <c r="AY43">
        <f t="shared" ca="1" si="3"/>
        <v>0</v>
      </c>
      <c r="AZ43" t="str">
        <f ca="1">IF(ROW()&lt;($C$7+1),"",IFERROR((分析データ!C43-AVERAGE(OFFSET(分析データ!C$1,MAX(1,ROW()-$C$7),0,MIN($C$7,ROW()-1),1)))/STDEV(OFFSET(分析データ!C$1,MAX(1,ROW()-$C$7),0,MIN($C$7,ROW()-1),1)),0))</f>
        <v/>
      </c>
      <c r="BA43">
        <f t="shared" ca="1" si="4"/>
        <v>0</v>
      </c>
      <c r="BB43" t="str">
        <f ca="1">IF(BA43=1,IF(INDEX(分析データ!$A:$A,ROW()+$C$5)&lt;&gt;"",60000*SIGN(AZ43)*(分析データ!C43-INDEX(分析データ!C:C,ROW()+$C$5)),""),"")</f>
        <v/>
      </c>
      <c r="BC43">
        <f t="shared" ca="1" si="5"/>
        <v>0</v>
      </c>
      <c r="BD43">
        <f t="shared" ca="1" si="6"/>
        <v>0</v>
      </c>
      <c r="BE43">
        <f t="shared" ca="1" si="7"/>
        <v>0</v>
      </c>
      <c r="BF43" t="str">
        <f ca="1">IF(ROW()&lt;($C$7+1),"",IFERROR((分析データ!D43-AVERAGE(OFFSET(分析データ!D$1,MAX(1,ROW()-$C$7),0,MIN($C$7,ROW()-1),1)))/STDEV(OFFSET(分析データ!D$1,MAX(1,ROW()-$C$7),0,MIN($C$7,ROW()-1),1)),0))</f>
        <v/>
      </c>
      <c r="BG43">
        <f t="shared" ca="1" si="8"/>
        <v>0</v>
      </c>
      <c r="BH43" t="str">
        <f ca="1">IF(BG43=1,IF(INDEX(分析データ!$A:$A,ROW()+$C$5)&lt;&gt;"",50000*SIGN(BF43)*(分析データ!D43-INDEX(分析データ!D:D,ROW()+$C$5)),""),"")</f>
        <v/>
      </c>
      <c r="BI43">
        <f t="shared" ca="1" si="9"/>
        <v>0</v>
      </c>
      <c r="BJ43">
        <f t="shared" ca="1" si="10"/>
        <v>0</v>
      </c>
      <c r="BK43">
        <f t="shared" ca="1" si="11"/>
        <v>0</v>
      </c>
      <c r="BL43" t="str">
        <f ca="1">IF(ROW()&lt;($C$7+1),"",IFERROR((分析データ!E43-AVERAGE(OFFSET(分析データ!E$1,MAX(1,ROW()-$C$7),0,MIN($C$7,ROW()-1),1)))/STDEV(OFFSET(分析データ!E$1,MAX(1,ROW()-$C$7),0,MIN($C$7,ROW()-1),1)),0))</f>
        <v/>
      </c>
      <c r="BM43">
        <f t="shared" ca="1" si="12"/>
        <v>0</v>
      </c>
      <c r="BN43" t="str">
        <f ca="1">IF(BM43=1,IF(INDEX(分析データ!$A:$A,ROW()+$C$5)&lt;&gt;"",40000*SIGN(BL43)*(分析データ!E43-INDEX(分析データ!E:E,ROW()+$C$5)),""),"")</f>
        <v/>
      </c>
      <c r="BO43">
        <f t="shared" ca="1" si="13"/>
        <v>0</v>
      </c>
      <c r="BP43">
        <f t="shared" ca="1" si="14"/>
        <v>0</v>
      </c>
      <c r="BQ43">
        <f t="shared" ca="1" si="15"/>
        <v>0</v>
      </c>
      <c r="BR43" t="str">
        <f ca="1">IF(ROW()&lt;($C$7+1),"",IFERROR((分析データ!F43-AVERAGE(OFFSET(分析データ!F$1,MAX(1,ROW()-$C$7),0,MIN($C$7,ROW()-1),1)))/STDEV(OFFSET(分析データ!F$1,MAX(1,ROW()-$C$7),0,MIN($C$7,ROW()-1),1)),0))</f>
        <v/>
      </c>
      <c r="BS43">
        <f t="shared" ca="1" si="16"/>
        <v>0</v>
      </c>
      <c r="BT43" t="str">
        <f ca="1">IF(BS43=1,IF(INDEX(分析データ!$A:$A,ROW()+$C$5)&lt;&gt;"",40000*SIGN(BR43)*(分析データ!F43-INDEX(分析データ!F:F,ROW()+$C$5)),""),"")</f>
        <v/>
      </c>
      <c r="BU43">
        <f t="shared" ca="1" si="17"/>
        <v>0</v>
      </c>
      <c r="BV43">
        <f t="shared" ca="1" si="18"/>
        <v>0</v>
      </c>
      <c r="BW43">
        <f t="shared" ca="1" si="19"/>
        <v>0</v>
      </c>
      <c r="BX43" t="str">
        <f ca="1">IF(ROW()&lt;($C$7+1),"",IFERROR((分析データ!G43-AVERAGE(OFFSET(分析データ!G$1,MAX(1,ROW()-$C$7),0,MIN($C$7,ROW()-1),1)))/STDEV(OFFSET(分析データ!G$1,MAX(1,ROW()-$C$7),0,MIN($C$7,ROW()-1),1)),0))</f>
        <v/>
      </c>
      <c r="BY43">
        <f t="shared" ca="1" si="20"/>
        <v>0</v>
      </c>
      <c r="BZ43" t="str">
        <f ca="1">IF(BY43=1,IF(INDEX(分析データ!$A:$A,ROW()+$C$5)&lt;&gt;"",40000*SIGN(BX43)*(分析データ!G43-INDEX(分析データ!G:G,ROW()+$C$5)),""),"")</f>
        <v/>
      </c>
      <c r="CA43">
        <f t="shared" ca="1" si="21"/>
        <v>0</v>
      </c>
      <c r="CB43">
        <f t="shared" ca="1" si="22"/>
        <v>0</v>
      </c>
      <c r="CC43">
        <f t="shared" ca="1" si="23"/>
        <v>0</v>
      </c>
      <c r="CD43">
        <f t="shared" ca="1" si="24"/>
        <v>0</v>
      </c>
      <c r="CE43">
        <f t="shared" ca="1" si="25"/>
        <v>0</v>
      </c>
      <c r="CF43">
        <f t="shared" ca="1" si="26"/>
        <v>0</v>
      </c>
      <c r="CG43">
        <f t="shared" ca="1" si="27"/>
        <v>0</v>
      </c>
      <c r="CH43" s="10">
        <f>分析データ!A43</f>
        <v>44988</v>
      </c>
    </row>
    <row r="44" spans="46:86">
      <c r="AT44" t="str">
        <f ca="1">IF(ROW()&lt;($C$7+1),"",IFERROR((分析データ!B44-AVERAGE(OFFSET(分析データ!B$1,MAX(1,ROW()-$C$7),0,MIN($C$7,ROW()-1),1)))/STDEV(OFFSET(分析データ!B$1,MAX(1,ROW()-$C$7),0,MIN($C$7,ROW()-1),1)),0))</f>
        <v/>
      </c>
      <c r="AU44">
        <f t="shared" ca="1" si="0"/>
        <v>0</v>
      </c>
      <c r="AV44" t="str">
        <f ca="1">IF(AU44=1,IF(INDEX(分析データ!$A:$A,ROW()+$C$5)&lt;&gt;"",80000*SIGN(AT44)*(分析データ!B44-INDEX(分析データ!B:B,ROW()+$C$5)),""),"")</f>
        <v/>
      </c>
      <c r="AW44">
        <f t="shared" ca="1" si="1"/>
        <v>0</v>
      </c>
      <c r="AX44">
        <f t="shared" ca="1" si="2"/>
        <v>0</v>
      </c>
      <c r="AY44">
        <f t="shared" ca="1" si="3"/>
        <v>0</v>
      </c>
      <c r="AZ44" t="str">
        <f ca="1">IF(ROW()&lt;($C$7+1),"",IFERROR((分析データ!C44-AVERAGE(OFFSET(分析データ!C$1,MAX(1,ROW()-$C$7),0,MIN($C$7,ROW()-1),1)))/STDEV(OFFSET(分析データ!C$1,MAX(1,ROW()-$C$7),0,MIN($C$7,ROW()-1),1)),0))</f>
        <v/>
      </c>
      <c r="BA44">
        <f t="shared" ca="1" si="4"/>
        <v>0</v>
      </c>
      <c r="BB44" t="str">
        <f ca="1">IF(BA44=1,IF(INDEX(分析データ!$A:$A,ROW()+$C$5)&lt;&gt;"",60000*SIGN(AZ44)*(分析データ!C44-INDEX(分析データ!C:C,ROW()+$C$5)),""),"")</f>
        <v/>
      </c>
      <c r="BC44">
        <f t="shared" ca="1" si="5"/>
        <v>0</v>
      </c>
      <c r="BD44">
        <f t="shared" ca="1" si="6"/>
        <v>0</v>
      </c>
      <c r="BE44">
        <f t="shared" ca="1" si="7"/>
        <v>0</v>
      </c>
      <c r="BF44" t="str">
        <f ca="1">IF(ROW()&lt;($C$7+1),"",IFERROR((分析データ!D44-AVERAGE(OFFSET(分析データ!D$1,MAX(1,ROW()-$C$7),0,MIN($C$7,ROW()-1),1)))/STDEV(OFFSET(分析データ!D$1,MAX(1,ROW()-$C$7),0,MIN($C$7,ROW()-1),1)),0))</f>
        <v/>
      </c>
      <c r="BG44">
        <f t="shared" ca="1" si="8"/>
        <v>0</v>
      </c>
      <c r="BH44" t="str">
        <f ca="1">IF(BG44=1,IF(INDEX(分析データ!$A:$A,ROW()+$C$5)&lt;&gt;"",50000*SIGN(BF44)*(分析データ!D44-INDEX(分析データ!D:D,ROW()+$C$5)),""),"")</f>
        <v/>
      </c>
      <c r="BI44">
        <f t="shared" ca="1" si="9"/>
        <v>0</v>
      </c>
      <c r="BJ44">
        <f t="shared" ca="1" si="10"/>
        <v>0</v>
      </c>
      <c r="BK44">
        <f t="shared" ca="1" si="11"/>
        <v>0</v>
      </c>
      <c r="BL44" t="str">
        <f ca="1">IF(ROW()&lt;($C$7+1),"",IFERROR((分析データ!E44-AVERAGE(OFFSET(分析データ!E$1,MAX(1,ROW()-$C$7),0,MIN($C$7,ROW()-1),1)))/STDEV(OFFSET(分析データ!E$1,MAX(1,ROW()-$C$7),0,MIN($C$7,ROW()-1),1)),0))</f>
        <v/>
      </c>
      <c r="BM44">
        <f t="shared" ca="1" si="12"/>
        <v>0</v>
      </c>
      <c r="BN44" t="str">
        <f ca="1">IF(BM44=1,IF(INDEX(分析データ!$A:$A,ROW()+$C$5)&lt;&gt;"",40000*SIGN(BL44)*(分析データ!E44-INDEX(分析データ!E:E,ROW()+$C$5)),""),"")</f>
        <v/>
      </c>
      <c r="BO44">
        <f t="shared" ca="1" si="13"/>
        <v>0</v>
      </c>
      <c r="BP44">
        <f t="shared" ca="1" si="14"/>
        <v>0</v>
      </c>
      <c r="BQ44">
        <f t="shared" ca="1" si="15"/>
        <v>0</v>
      </c>
      <c r="BR44" t="str">
        <f ca="1">IF(ROW()&lt;($C$7+1),"",IFERROR((分析データ!F44-AVERAGE(OFFSET(分析データ!F$1,MAX(1,ROW()-$C$7),0,MIN($C$7,ROW()-1),1)))/STDEV(OFFSET(分析データ!F$1,MAX(1,ROW()-$C$7),0,MIN($C$7,ROW()-1),1)),0))</f>
        <v/>
      </c>
      <c r="BS44">
        <f t="shared" ca="1" si="16"/>
        <v>0</v>
      </c>
      <c r="BT44" t="str">
        <f ca="1">IF(BS44=1,IF(INDEX(分析データ!$A:$A,ROW()+$C$5)&lt;&gt;"",40000*SIGN(BR44)*(分析データ!F44-INDEX(分析データ!F:F,ROW()+$C$5)),""),"")</f>
        <v/>
      </c>
      <c r="BU44">
        <f t="shared" ca="1" si="17"/>
        <v>0</v>
      </c>
      <c r="BV44">
        <f t="shared" ca="1" si="18"/>
        <v>0</v>
      </c>
      <c r="BW44">
        <f t="shared" ca="1" si="19"/>
        <v>0</v>
      </c>
      <c r="BX44" t="str">
        <f ca="1">IF(ROW()&lt;($C$7+1),"",IFERROR((分析データ!G44-AVERAGE(OFFSET(分析データ!G$1,MAX(1,ROW()-$C$7),0,MIN($C$7,ROW()-1),1)))/STDEV(OFFSET(分析データ!G$1,MAX(1,ROW()-$C$7),0,MIN($C$7,ROW()-1),1)),0))</f>
        <v/>
      </c>
      <c r="BY44">
        <f t="shared" ca="1" si="20"/>
        <v>0</v>
      </c>
      <c r="BZ44" t="str">
        <f ca="1">IF(BY44=1,IF(INDEX(分析データ!$A:$A,ROW()+$C$5)&lt;&gt;"",40000*SIGN(BX44)*(分析データ!G44-INDEX(分析データ!G:G,ROW()+$C$5)),""),"")</f>
        <v/>
      </c>
      <c r="CA44">
        <f t="shared" ca="1" si="21"/>
        <v>0</v>
      </c>
      <c r="CB44">
        <f t="shared" ca="1" si="22"/>
        <v>0</v>
      </c>
      <c r="CC44">
        <f t="shared" ca="1" si="23"/>
        <v>0</v>
      </c>
      <c r="CD44">
        <f t="shared" ca="1" si="24"/>
        <v>0</v>
      </c>
      <c r="CE44">
        <f t="shared" ca="1" si="25"/>
        <v>0</v>
      </c>
      <c r="CF44">
        <f t="shared" ca="1" si="26"/>
        <v>0</v>
      </c>
      <c r="CG44">
        <f t="shared" ca="1" si="27"/>
        <v>0</v>
      </c>
      <c r="CH44" s="10">
        <f>分析データ!A44</f>
        <v>44991</v>
      </c>
    </row>
    <row r="45" spans="46:86">
      <c r="AT45" t="str">
        <f ca="1">IF(ROW()&lt;($C$7+1),"",IFERROR((分析データ!B45-AVERAGE(OFFSET(分析データ!B$1,MAX(1,ROW()-$C$7),0,MIN($C$7,ROW()-1),1)))/STDEV(OFFSET(分析データ!B$1,MAX(1,ROW()-$C$7),0,MIN($C$7,ROW()-1),1)),0))</f>
        <v/>
      </c>
      <c r="AU45">
        <f t="shared" ca="1" si="0"/>
        <v>0</v>
      </c>
      <c r="AV45" t="str">
        <f ca="1">IF(AU45=1,IF(INDEX(分析データ!$A:$A,ROW()+$C$5)&lt;&gt;"",80000*SIGN(AT45)*(分析データ!B45-INDEX(分析データ!B:B,ROW()+$C$5)),""),"")</f>
        <v/>
      </c>
      <c r="AW45">
        <f t="shared" ca="1" si="1"/>
        <v>0</v>
      </c>
      <c r="AX45">
        <f t="shared" ca="1" si="2"/>
        <v>0</v>
      </c>
      <c r="AY45">
        <f t="shared" ca="1" si="3"/>
        <v>0</v>
      </c>
      <c r="AZ45" t="str">
        <f ca="1">IF(ROW()&lt;($C$7+1),"",IFERROR((分析データ!C45-AVERAGE(OFFSET(分析データ!C$1,MAX(1,ROW()-$C$7),0,MIN($C$7,ROW()-1),1)))/STDEV(OFFSET(分析データ!C$1,MAX(1,ROW()-$C$7),0,MIN($C$7,ROW()-1),1)),0))</f>
        <v/>
      </c>
      <c r="BA45">
        <f t="shared" ca="1" si="4"/>
        <v>0</v>
      </c>
      <c r="BB45" t="str">
        <f ca="1">IF(BA45=1,IF(INDEX(分析データ!$A:$A,ROW()+$C$5)&lt;&gt;"",60000*SIGN(AZ45)*(分析データ!C45-INDEX(分析データ!C:C,ROW()+$C$5)),""),"")</f>
        <v/>
      </c>
      <c r="BC45">
        <f t="shared" ca="1" si="5"/>
        <v>0</v>
      </c>
      <c r="BD45">
        <f t="shared" ca="1" si="6"/>
        <v>0</v>
      </c>
      <c r="BE45">
        <f t="shared" ca="1" si="7"/>
        <v>0</v>
      </c>
      <c r="BF45" t="str">
        <f ca="1">IF(ROW()&lt;($C$7+1),"",IFERROR((分析データ!D45-AVERAGE(OFFSET(分析データ!D$1,MAX(1,ROW()-$C$7),0,MIN($C$7,ROW()-1),1)))/STDEV(OFFSET(分析データ!D$1,MAX(1,ROW()-$C$7),0,MIN($C$7,ROW()-1),1)),0))</f>
        <v/>
      </c>
      <c r="BG45">
        <f t="shared" ca="1" si="8"/>
        <v>0</v>
      </c>
      <c r="BH45" t="str">
        <f ca="1">IF(BG45=1,IF(INDEX(分析データ!$A:$A,ROW()+$C$5)&lt;&gt;"",50000*SIGN(BF45)*(分析データ!D45-INDEX(分析データ!D:D,ROW()+$C$5)),""),"")</f>
        <v/>
      </c>
      <c r="BI45">
        <f t="shared" ca="1" si="9"/>
        <v>0</v>
      </c>
      <c r="BJ45">
        <f t="shared" ca="1" si="10"/>
        <v>0</v>
      </c>
      <c r="BK45">
        <f t="shared" ca="1" si="11"/>
        <v>0</v>
      </c>
      <c r="BL45" t="str">
        <f ca="1">IF(ROW()&lt;($C$7+1),"",IFERROR((分析データ!E45-AVERAGE(OFFSET(分析データ!E$1,MAX(1,ROW()-$C$7),0,MIN($C$7,ROW()-1),1)))/STDEV(OFFSET(分析データ!E$1,MAX(1,ROW()-$C$7),0,MIN($C$7,ROW()-1),1)),0))</f>
        <v/>
      </c>
      <c r="BM45">
        <f t="shared" ca="1" si="12"/>
        <v>0</v>
      </c>
      <c r="BN45" t="str">
        <f ca="1">IF(BM45=1,IF(INDEX(分析データ!$A:$A,ROW()+$C$5)&lt;&gt;"",40000*SIGN(BL45)*(分析データ!E45-INDEX(分析データ!E:E,ROW()+$C$5)),""),"")</f>
        <v/>
      </c>
      <c r="BO45">
        <f t="shared" ca="1" si="13"/>
        <v>0</v>
      </c>
      <c r="BP45">
        <f t="shared" ca="1" si="14"/>
        <v>0</v>
      </c>
      <c r="BQ45">
        <f t="shared" ca="1" si="15"/>
        <v>0</v>
      </c>
      <c r="BR45" t="str">
        <f ca="1">IF(ROW()&lt;($C$7+1),"",IFERROR((分析データ!F45-AVERAGE(OFFSET(分析データ!F$1,MAX(1,ROW()-$C$7),0,MIN($C$7,ROW()-1),1)))/STDEV(OFFSET(分析データ!F$1,MAX(1,ROW()-$C$7),0,MIN($C$7,ROW()-1),1)),0))</f>
        <v/>
      </c>
      <c r="BS45">
        <f t="shared" ca="1" si="16"/>
        <v>0</v>
      </c>
      <c r="BT45" t="str">
        <f ca="1">IF(BS45=1,IF(INDEX(分析データ!$A:$A,ROW()+$C$5)&lt;&gt;"",40000*SIGN(BR45)*(分析データ!F45-INDEX(分析データ!F:F,ROW()+$C$5)),""),"")</f>
        <v/>
      </c>
      <c r="BU45">
        <f t="shared" ca="1" si="17"/>
        <v>0</v>
      </c>
      <c r="BV45">
        <f t="shared" ca="1" si="18"/>
        <v>0</v>
      </c>
      <c r="BW45">
        <f t="shared" ca="1" si="19"/>
        <v>0</v>
      </c>
      <c r="BX45" t="str">
        <f ca="1">IF(ROW()&lt;($C$7+1),"",IFERROR((分析データ!G45-AVERAGE(OFFSET(分析データ!G$1,MAX(1,ROW()-$C$7),0,MIN($C$7,ROW()-1),1)))/STDEV(OFFSET(分析データ!G$1,MAX(1,ROW()-$C$7),0,MIN($C$7,ROW()-1),1)),0))</f>
        <v/>
      </c>
      <c r="BY45">
        <f t="shared" ca="1" si="20"/>
        <v>0</v>
      </c>
      <c r="BZ45" t="str">
        <f ca="1">IF(BY45=1,IF(INDEX(分析データ!$A:$A,ROW()+$C$5)&lt;&gt;"",40000*SIGN(BX45)*(分析データ!G45-INDEX(分析データ!G:G,ROW()+$C$5)),""),"")</f>
        <v/>
      </c>
      <c r="CA45">
        <f t="shared" ca="1" si="21"/>
        <v>0</v>
      </c>
      <c r="CB45">
        <f t="shared" ca="1" si="22"/>
        <v>0</v>
      </c>
      <c r="CC45">
        <f t="shared" ca="1" si="23"/>
        <v>0</v>
      </c>
      <c r="CD45">
        <f t="shared" ca="1" si="24"/>
        <v>0</v>
      </c>
      <c r="CE45">
        <f t="shared" ca="1" si="25"/>
        <v>0</v>
      </c>
      <c r="CF45">
        <f t="shared" ca="1" si="26"/>
        <v>0</v>
      </c>
      <c r="CG45">
        <f t="shared" ca="1" si="27"/>
        <v>0</v>
      </c>
      <c r="CH45" s="10">
        <f>分析データ!A45</f>
        <v>44992</v>
      </c>
    </row>
    <row r="46" spans="46:86">
      <c r="AT46" t="str">
        <f ca="1">IF(ROW()&lt;($C$7+1),"",IFERROR((分析データ!B46-AVERAGE(OFFSET(分析データ!B$1,MAX(1,ROW()-$C$7),0,MIN($C$7,ROW()-1),1)))/STDEV(OFFSET(分析データ!B$1,MAX(1,ROW()-$C$7),0,MIN($C$7,ROW()-1),1)),0))</f>
        <v/>
      </c>
      <c r="AU46">
        <f t="shared" ca="1" si="0"/>
        <v>0</v>
      </c>
      <c r="AV46" t="str">
        <f ca="1">IF(AU46=1,IF(INDEX(分析データ!$A:$A,ROW()+$C$5)&lt;&gt;"",80000*SIGN(AT46)*(分析データ!B46-INDEX(分析データ!B:B,ROW()+$C$5)),""),"")</f>
        <v/>
      </c>
      <c r="AW46">
        <f t="shared" ca="1" si="1"/>
        <v>0</v>
      </c>
      <c r="AX46">
        <f t="shared" ca="1" si="2"/>
        <v>0</v>
      </c>
      <c r="AY46">
        <f t="shared" ca="1" si="3"/>
        <v>0</v>
      </c>
      <c r="AZ46" t="str">
        <f ca="1">IF(ROW()&lt;($C$7+1),"",IFERROR((分析データ!C46-AVERAGE(OFFSET(分析データ!C$1,MAX(1,ROW()-$C$7),0,MIN($C$7,ROW()-1),1)))/STDEV(OFFSET(分析データ!C$1,MAX(1,ROW()-$C$7),0,MIN($C$7,ROW()-1),1)),0))</f>
        <v/>
      </c>
      <c r="BA46">
        <f t="shared" ca="1" si="4"/>
        <v>0</v>
      </c>
      <c r="BB46" t="str">
        <f ca="1">IF(BA46=1,IF(INDEX(分析データ!$A:$A,ROW()+$C$5)&lt;&gt;"",60000*SIGN(AZ46)*(分析データ!C46-INDEX(分析データ!C:C,ROW()+$C$5)),""),"")</f>
        <v/>
      </c>
      <c r="BC46">
        <f t="shared" ca="1" si="5"/>
        <v>0</v>
      </c>
      <c r="BD46">
        <f t="shared" ca="1" si="6"/>
        <v>0</v>
      </c>
      <c r="BE46">
        <f t="shared" ca="1" si="7"/>
        <v>0</v>
      </c>
      <c r="BF46" t="str">
        <f ca="1">IF(ROW()&lt;($C$7+1),"",IFERROR((分析データ!D46-AVERAGE(OFFSET(分析データ!D$1,MAX(1,ROW()-$C$7),0,MIN($C$7,ROW()-1),1)))/STDEV(OFFSET(分析データ!D$1,MAX(1,ROW()-$C$7),0,MIN($C$7,ROW()-1),1)),0))</f>
        <v/>
      </c>
      <c r="BG46">
        <f t="shared" ca="1" si="8"/>
        <v>0</v>
      </c>
      <c r="BH46" t="str">
        <f ca="1">IF(BG46=1,IF(INDEX(分析データ!$A:$A,ROW()+$C$5)&lt;&gt;"",50000*SIGN(BF46)*(分析データ!D46-INDEX(分析データ!D:D,ROW()+$C$5)),""),"")</f>
        <v/>
      </c>
      <c r="BI46">
        <f t="shared" ca="1" si="9"/>
        <v>0</v>
      </c>
      <c r="BJ46">
        <f t="shared" ca="1" si="10"/>
        <v>0</v>
      </c>
      <c r="BK46">
        <f t="shared" ca="1" si="11"/>
        <v>0</v>
      </c>
      <c r="BL46" t="str">
        <f ca="1">IF(ROW()&lt;($C$7+1),"",IFERROR((分析データ!E46-AVERAGE(OFFSET(分析データ!E$1,MAX(1,ROW()-$C$7),0,MIN($C$7,ROW()-1),1)))/STDEV(OFFSET(分析データ!E$1,MAX(1,ROW()-$C$7),0,MIN($C$7,ROW()-1),1)),0))</f>
        <v/>
      </c>
      <c r="BM46">
        <f t="shared" ca="1" si="12"/>
        <v>0</v>
      </c>
      <c r="BN46" t="str">
        <f ca="1">IF(BM46=1,IF(INDEX(分析データ!$A:$A,ROW()+$C$5)&lt;&gt;"",40000*SIGN(BL46)*(分析データ!E46-INDEX(分析データ!E:E,ROW()+$C$5)),""),"")</f>
        <v/>
      </c>
      <c r="BO46">
        <f t="shared" ca="1" si="13"/>
        <v>0</v>
      </c>
      <c r="BP46">
        <f t="shared" ca="1" si="14"/>
        <v>0</v>
      </c>
      <c r="BQ46">
        <f t="shared" ca="1" si="15"/>
        <v>0</v>
      </c>
      <c r="BR46" t="str">
        <f ca="1">IF(ROW()&lt;($C$7+1),"",IFERROR((分析データ!F46-AVERAGE(OFFSET(分析データ!F$1,MAX(1,ROW()-$C$7),0,MIN($C$7,ROW()-1),1)))/STDEV(OFFSET(分析データ!F$1,MAX(1,ROW()-$C$7),0,MIN($C$7,ROW()-1),1)),0))</f>
        <v/>
      </c>
      <c r="BS46">
        <f t="shared" ca="1" si="16"/>
        <v>0</v>
      </c>
      <c r="BT46" t="str">
        <f ca="1">IF(BS46=1,IF(INDEX(分析データ!$A:$A,ROW()+$C$5)&lt;&gt;"",40000*SIGN(BR46)*(分析データ!F46-INDEX(分析データ!F:F,ROW()+$C$5)),""),"")</f>
        <v/>
      </c>
      <c r="BU46">
        <f t="shared" ca="1" si="17"/>
        <v>0</v>
      </c>
      <c r="BV46">
        <f t="shared" ca="1" si="18"/>
        <v>0</v>
      </c>
      <c r="BW46">
        <f t="shared" ca="1" si="19"/>
        <v>0</v>
      </c>
      <c r="BX46" t="str">
        <f ca="1">IF(ROW()&lt;($C$7+1),"",IFERROR((分析データ!G46-AVERAGE(OFFSET(分析データ!G$1,MAX(1,ROW()-$C$7),0,MIN($C$7,ROW()-1),1)))/STDEV(OFFSET(分析データ!G$1,MAX(1,ROW()-$C$7),0,MIN($C$7,ROW()-1),1)),0))</f>
        <v/>
      </c>
      <c r="BY46">
        <f t="shared" ca="1" si="20"/>
        <v>0</v>
      </c>
      <c r="BZ46" t="str">
        <f ca="1">IF(BY46=1,IF(INDEX(分析データ!$A:$A,ROW()+$C$5)&lt;&gt;"",40000*SIGN(BX46)*(分析データ!G46-INDEX(分析データ!G:G,ROW()+$C$5)),""),"")</f>
        <v/>
      </c>
      <c r="CA46">
        <f t="shared" ca="1" si="21"/>
        <v>0</v>
      </c>
      <c r="CB46">
        <f t="shared" ca="1" si="22"/>
        <v>0</v>
      </c>
      <c r="CC46">
        <f t="shared" ca="1" si="23"/>
        <v>0</v>
      </c>
      <c r="CD46">
        <f t="shared" ca="1" si="24"/>
        <v>0</v>
      </c>
      <c r="CE46">
        <f t="shared" ca="1" si="25"/>
        <v>0</v>
      </c>
      <c r="CF46">
        <f t="shared" ca="1" si="26"/>
        <v>0</v>
      </c>
      <c r="CG46">
        <f t="shared" ca="1" si="27"/>
        <v>0</v>
      </c>
      <c r="CH46" s="10">
        <f>分析データ!A46</f>
        <v>44993</v>
      </c>
    </row>
    <row r="47" spans="46:86">
      <c r="AT47" t="str">
        <f ca="1">IF(ROW()&lt;($C$7+1),"",IFERROR((分析データ!B47-AVERAGE(OFFSET(分析データ!B$1,MAX(1,ROW()-$C$7),0,MIN($C$7,ROW()-1),1)))/STDEV(OFFSET(分析データ!B$1,MAX(1,ROW()-$C$7),0,MIN($C$7,ROW()-1),1)),0))</f>
        <v/>
      </c>
      <c r="AU47">
        <f t="shared" ca="1" si="0"/>
        <v>0</v>
      </c>
      <c r="AV47" t="str">
        <f ca="1">IF(AU47=1,IF(INDEX(分析データ!$A:$A,ROW()+$C$5)&lt;&gt;"",80000*SIGN(AT47)*(分析データ!B47-INDEX(分析データ!B:B,ROW()+$C$5)),""),"")</f>
        <v/>
      </c>
      <c r="AW47">
        <f t="shared" ca="1" si="1"/>
        <v>0</v>
      </c>
      <c r="AX47">
        <f t="shared" ca="1" si="2"/>
        <v>0</v>
      </c>
      <c r="AY47">
        <f t="shared" ca="1" si="3"/>
        <v>0</v>
      </c>
      <c r="AZ47" t="str">
        <f ca="1">IF(ROW()&lt;($C$7+1),"",IFERROR((分析データ!C47-AVERAGE(OFFSET(分析データ!C$1,MAX(1,ROW()-$C$7),0,MIN($C$7,ROW()-1),1)))/STDEV(OFFSET(分析データ!C$1,MAX(1,ROW()-$C$7),0,MIN($C$7,ROW()-1),1)),0))</f>
        <v/>
      </c>
      <c r="BA47">
        <f t="shared" ca="1" si="4"/>
        <v>0</v>
      </c>
      <c r="BB47" t="str">
        <f ca="1">IF(BA47=1,IF(INDEX(分析データ!$A:$A,ROW()+$C$5)&lt;&gt;"",60000*SIGN(AZ47)*(分析データ!C47-INDEX(分析データ!C:C,ROW()+$C$5)),""),"")</f>
        <v/>
      </c>
      <c r="BC47">
        <f t="shared" ca="1" si="5"/>
        <v>0</v>
      </c>
      <c r="BD47">
        <f t="shared" ca="1" si="6"/>
        <v>0</v>
      </c>
      <c r="BE47">
        <f t="shared" ca="1" si="7"/>
        <v>0</v>
      </c>
      <c r="BF47" t="str">
        <f ca="1">IF(ROW()&lt;($C$7+1),"",IFERROR((分析データ!D47-AVERAGE(OFFSET(分析データ!D$1,MAX(1,ROW()-$C$7),0,MIN($C$7,ROW()-1),1)))/STDEV(OFFSET(分析データ!D$1,MAX(1,ROW()-$C$7),0,MIN($C$7,ROW()-1),1)),0))</f>
        <v/>
      </c>
      <c r="BG47">
        <f t="shared" ca="1" si="8"/>
        <v>0</v>
      </c>
      <c r="BH47" t="str">
        <f ca="1">IF(BG47=1,IF(INDEX(分析データ!$A:$A,ROW()+$C$5)&lt;&gt;"",50000*SIGN(BF47)*(分析データ!D47-INDEX(分析データ!D:D,ROW()+$C$5)),""),"")</f>
        <v/>
      </c>
      <c r="BI47">
        <f t="shared" ca="1" si="9"/>
        <v>0</v>
      </c>
      <c r="BJ47">
        <f t="shared" ca="1" si="10"/>
        <v>0</v>
      </c>
      <c r="BK47">
        <f t="shared" ca="1" si="11"/>
        <v>0</v>
      </c>
      <c r="BL47" t="str">
        <f ca="1">IF(ROW()&lt;($C$7+1),"",IFERROR((分析データ!E47-AVERAGE(OFFSET(分析データ!E$1,MAX(1,ROW()-$C$7),0,MIN($C$7,ROW()-1),1)))/STDEV(OFFSET(分析データ!E$1,MAX(1,ROW()-$C$7),0,MIN($C$7,ROW()-1),1)),0))</f>
        <v/>
      </c>
      <c r="BM47">
        <f t="shared" ca="1" si="12"/>
        <v>0</v>
      </c>
      <c r="BN47" t="str">
        <f ca="1">IF(BM47=1,IF(INDEX(分析データ!$A:$A,ROW()+$C$5)&lt;&gt;"",40000*SIGN(BL47)*(分析データ!E47-INDEX(分析データ!E:E,ROW()+$C$5)),""),"")</f>
        <v/>
      </c>
      <c r="BO47">
        <f t="shared" ca="1" si="13"/>
        <v>0</v>
      </c>
      <c r="BP47">
        <f t="shared" ca="1" si="14"/>
        <v>0</v>
      </c>
      <c r="BQ47">
        <f t="shared" ca="1" si="15"/>
        <v>0</v>
      </c>
      <c r="BR47" t="str">
        <f ca="1">IF(ROW()&lt;($C$7+1),"",IFERROR((分析データ!F47-AVERAGE(OFFSET(分析データ!F$1,MAX(1,ROW()-$C$7),0,MIN($C$7,ROW()-1),1)))/STDEV(OFFSET(分析データ!F$1,MAX(1,ROW()-$C$7),0,MIN($C$7,ROW()-1),1)),0))</f>
        <v/>
      </c>
      <c r="BS47">
        <f t="shared" ca="1" si="16"/>
        <v>0</v>
      </c>
      <c r="BT47" t="str">
        <f ca="1">IF(BS47=1,IF(INDEX(分析データ!$A:$A,ROW()+$C$5)&lt;&gt;"",40000*SIGN(BR47)*(分析データ!F47-INDEX(分析データ!F:F,ROW()+$C$5)),""),"")</f>
        <v/>
      </c>
      <c r="BU47">
        <f t="shared" ca="1" si="17"/>
        <v>0</v>
      </c>
      <c r="BV47">
        <f t="shared" ca="1" si="18"/>
        <v>0</v>
      </c>
      <c r="BW47">
        <f t="shared" ca="1" si="19"/>
        <v>0</v>
      </c>
      <c r="BX47" t="str">
        <f ca="1">IF(ROW()&lt;($C$7+1),"",IFERROR((分析データ!G47-AVERAGE(OFFSET(分析データ!G$1,MAX(1,ROW()-$C$7),0,MIN($C$7,ROW()-1),1)))/STDEV(OFFSET(分析データ!G$1,MAX(1,ROW()-$C$7),0,MIN($C$7,ROW()-1),1)),0))</f>
        <v/>
      </c>
      <c r="BY47">
        <f t="shared" ca="1" si="20"/>
        <v>0</v>
      </c>
      <c r="BZ47" t="str">
        <f ca="1">IF(BY47=1,IF(INDEX(分析データ!$A:$A,ROW()+$C$5)&lt;&gt;"",40000*SIGN(BX47)*(分析データ!G47-INDEX(分析データ!G:G,ROW()+$C$5)),""),"")</f>
        <v/>
      </c>
      <c r="CA47">
        <f t="shared" ca="1" si="21"/>
        <v>0</v>
      </c>
      <c r="CB47">
        <f t="shared" ca="1" si="22"/>
        <v>0</v>
      </c>
      <c r="CC47">
        <f t="shared" ca="1" si="23"/>
        <v>0</v>
      </c>
      <c r="CD47">
        <f t="shared" ca="1" si="24"/>
        <v>0</v>
      </c>
      <c r="CE47">
        <f t="shared" ca="1" si="25"/>
        <v>0</v>
      </c>
      <c r="CF47">
        <f t="shared" ca="1" si="26"/>
        <v>0</v>
      </c>
      <c r="CG47">
        <f t="shared" ca="1" si="27"/>
        <v>0</v>
      </c>
      <c r="CH47" s="10">
        <f>分析データ!A47</f>
        <v>44994</v>
      </c>
    </row>
    <row r="48" spans="46:86">
      <c r="AT48" t="str">
        <f ca="1">IF(ROW()&lt;($C$7+1),"",IFERROR((分析データ!B48-AVERAGE(OFFSET(分析データ!B$1,MAX(1,ROW()-$C$7),0,MIN($C$7,ROW()-1),1)))/STDEV(OFFSET(分析データ!B$1,MAX(1,ROW()-$C$7),0,MIN($C$7,ROW()-1),1)),0))</f>
        <v/>
      </c>
      <c r="AU48">
        <f t="shared" ca="1" si="0"/>
        <v>0</v>
      </c>
      <c r="AV48" t="str">
        <f ca="1">IF(AU48=1,IF(INDEX(分析データ!$A:$A,ROW()+$C$5)&lt;&gt;"",80000*SIGN(AT48)*(分析データ!B48-INDEX(分析データ!B:B,ROW()+$C$5)),""),"")</f>
        <v/>
      </c>
      <c r="AW48">
        <f t="shared" ca="1" si="1"/>
        <v>0</v>
      </c>
      <c r="AX48">
        <f t="shared" ca="1" si="2"/>
        <v>0</v>
      </c>
      <c r="AY48">
        <f t="shared" ca="1" si="3"/>
        <v>0</v>
      </c>
      <c r="AZ48" t="str">
        <f ca="1">IF(ROW()&lt;($C$7+1),"",IFERROR((分析データ!C48-AVERAGE(OFFSET(分析データ!C$1,MAX(1,ROW()-$C$7),0,MIN($C$7,ROW()-1),1)))/STDEV(OFFSET(分析データ!C$1,MAX(1,ROW()-$C$7),0,MIN($C$7,ROW()-1),1)),0))</f>
        <v/>
      </c>
      <c r="BA48">
        <f t="shared" ca="1" si="4"/>
        <v>0</v>
      </c>
      <c r="BB48" t="str">
        <f ca="1">IF(BA48=1,IF(INDEX(分析データ!$A:$A,ROW()+$C$5)&lt;&gt;"",60000*SIGN(AZ48)*(分析データ!C48-INDEX(分析データ!C:C,ROW()+$C$5)),""),"")</f>
        <v/>
      </c>
      <c r="BC48">
        <f t="shared" ca="1" si="5"/>
        <v>0</v>
      </c>
      <c r="BD48">
        <f t="shared" ca="1" si="6"/>
        <v>0</v>
      </c>
      <c r="BE48">
        <f t="shared" ca="1" si="7"/>
        <v>0</v>
      </c>
      <c r="BF48" t="str">
        <f ca="1">IF(ROW()&lt;($C$7+1),"",IFERROR((分析データ!D48-AVERAGE(OFFSET(分析データ!D$1,MAX(1,ROW()-$C$7),0,MIN($C$7,ROW()-1),1)))/STDEV(OFFSET(分析データ!D$1,MAX(1,ROW()-$C$7),0,MIN($C$7,ROW()-1),1)),0))</f>
        <v/>
      </c>
      <c r="BG48">
        <f t="shared" ca="1" si="8"/>
        <v>0</v>
      </c>
      <c r="BH48" t="str">
        <f ca="1">IF(BG48=1,IF(INDEX(分析データ!$A:$A,ROW()+$C$5)&lt;&gt;"",50000*SIGN(BF48)*(分析データ!D48-INDEX(分析データ!D:D,ROW()+$C$5)),""),"")</f>
        <v/>
      </c>
      <c r="BI48">
        <f t="shared" ca="1" si="9"/>
        <v>0</v>
      </c>
      <c r="BJ48">
        <f t="shared" ca="1" si="10"/>
        <v>0</v>
      </c>
      <c r="BK48">
        <f t="shared" ca="1" si="11"/>
        <v>0</v>
      </c>
      <c r="BL48" t="str">
        <f ca="1">IF(ROW()&lt;($C$7+1),"",IFERROR((分析データ!E48-AVERAGE(OFFSET(分析データ!E$1,MAX(1,ROW()-$C$7),0,MIN($C$7,ROW()-1),1)))/STDEV(OFFSET(分析データ!E$1,MAX(1,ROW()-$C$7),0,MIN($C$7,ROW()-1),1)),0))</f>
        <v/>
      </c>
      <c r="BM48">
        <f t="shared" ca="1" si="12"/>
        <v>0</v>
      </c>
      <c r="BN48" t="str">
        <f ca="1">IF(BM48=1,IF(INDEX(分析データ!$A:$A,ROW()+$C$5)&lt;&gt;"",40000*SIGN(BL48)*(分析データ!E48-INDEX(分析データ!E:E,ROW()+$C$5)),""),"")</f>
        <v/>
      </c>
      <c r="BO48">
        <f t="shared" ca="1" si="13"/>
        <v>0</v>
      </c>
      <c r="BP48">
        <f t="shared" ca="1" si="14"/>
        <v>0</v>
      </c>
      <c r="BQ48">
        <f t="shared" ca="1" si="15"/>
        <v>0</v>
      </c>
      <c r="BR48" t="str">
        <f ca="1">IF(ROW()&lt;($C$7+1),"",IFERROR((分析データ!F48-AVERAGE(OFFSET(分析データ!F$1,MAX(1,ROW()-$C$7),0,MIN($C$7,ROW()-1),1)))/STDEV(OFFSET(分析データ!F$1,MAX(1,ROW()-$C$7),0,MIN($C$7,ROW()-1),1)),0))</f>
        <v/>
      </c>
      <c r="BS48">
        <f t="shared" ca="1" si="16"/>
        <v>0</v>
      </c>
      <c r="BT48" t="str">
        <f ca="1">IF(BS48=1,IF(INDEX(分析データ!$A:$A,ROW()+$C$5)&lt;&gt;"",40000*SIGN(BR48)*(分析データ!F48-INDEX(分析データ!F:F,ROW()+$C$5)),""),"")</f>
        <v/>
      </c>
      <c r="BU48">
        <f t="shared" ca="1" si="17"/>
        <v>0</v>
      </c>
      <c r="BV48">
        <f t="shared" ca="1" si="18"/>
        <v>0</v>
      </c>
      <c r="BW48">
        <f t="shared" ca="1" si="19"/>
        <v>0</v>
      </c>
      <c r="BX48" t="str">
        <f ca="1">IF(ROW()&lt;($C$7+1),"",IFERROR((分析データ!G48-AVERAGE(OFFSET(分析データ!G$1,MAX(1,ROW()-$C$7),0,MIN($C$7,ROW()-1),1)))/STDEV(OFFSET(分析データ!G$1,MAX(1,ROW()-$C$7),0,MIN($C$7,ROW()-1),1)),0))</f>
        <v/>
      </c>
      <c r="BY48">
        <f t="shared" ca="1" si="20"/>
        <v>0</v>
      </c>
      <c r="BZ48" t="str">
        <f ca="1">IF(BY48=1,IF(INDEX(分析データ!$A:$A,ROW()+$C$5)&lt;&gt;"",40000*SIGN(BX48)*(分析データ!G48-INDEX(分析データ!G:G,ROW()+$C$5)),""),"")</f>
        <v/>
      </c>
      <c r="CA48">
        <f t="shared" ca="1" si="21"/>
        <v>0</v>
      </c>
      <c r="CB48">
        <f t="shared" ca="1" si="22"/>
        <v>0</v>
      </c>
      <c r="CC48">
        <f t="shared" ca="1" si="23"/>
        <v>0</v>
      </c>
      <c r="CD48">
        <f t="shared" ca="1" si="24"/>
        <v>0</v>
      </c>
      <c r="CE48">
        <f t="shared" ca="1" si="25"/>
        <v>0</v>
      </c>
      <c r="CF48">
        <f t="shared" ca="1" si="26"/>
        <v>0</v>
      </c>
      <c r="CG48">
        <f t="shared" ca="1" si="27"/>
        <v>0</v>
      </c>
      <c r="CH48" s="10">
        <f>分析データ!A48</f>
        <v>44995</v>
      </c>
    </row>
    <row r="49" spans="46:86">
      <c r="AT49" t="str">
        <f ca="1">IF(ROW()&lt;($C$7+1),"",IFERROR((分析データ!B49-AVERAGE(OFFSET(分析データ!B$1,MAX(1,ROW()-$C$7),0,MIN($C$7,ROW()-1),1)))/STDEV(OFFSET(分析データ!B$1,MAX(1,ROW()-$C$7),0,MIN($C$7,ROW()-1),1)),0))</f>
        <v/>
      </c>
      <c r="AU49">
        <f t="shared" ca="1" si="0"/>
        <v>0</v>
      </c>
      <c r="AV49" t="str">
        <f ca="1">IF(AU49=1,IF(INDEX(分析データ!$A:$A,ROW()+$C$5)&lt;&gt;"",80000*SIGN(AT49)*(分析データ!B49-INDEX(分析データ!B:B,ROW()+$C$5)),""),"")</f>
        <v/>
      </c>
      <c r="AW49">
        <f t="shared" ca="1" si="1"/>
        <v>0</v>
      </c>
      <c r="AX49">
        <f t="shared" ca="1" si="2"/>
        <v>0</v>
      </c>
      <c r="AY49">
        <f t="shared" ca="1" si="3"/>
        <v>0</v>
      </c>
      <c r="AZ49" t="str">
        <f ca="1">IF(ROW()&lt;($C$7+1),"",IFERROR((分析データ!C49-AVERAGE(OFFSET(分析データ!C$1,MAX(1,ROW()-$C$7),0,MIN($C$7,ROW()-1),1)))/STDEV(OFFSET(分析データ!C$1,MAX(1,ROW()-$C$7),0,MIN($C$7,ROW()-1),1)),0))</f>
        <v/>
      </c>
      <c r="BA49">
        <f t="shared" ca="1" si="4"/>
        <v>0</v>
      </c>
      <c r="BB49" t="str">
        <f ca="1">IF(BA49=1,IF(INDEX(分析データ!$A:$A,ROW()+$C$5)&lt;&gt;"",60000*SIGN(AZ49)*(分析データ!C49-INDEX(分析データ!C:C,ROW()+$C$5)),""),"")</f>
        <v/>
      </c>
      <c r="BC49">
        <f t="shared" ca="1" si="5"/>
        <v>0</v>
      </c>
      <c r="BD49">
        <f t="shared" ca="1" si="6"/>
        <v>0</v>
      </c>
      <c r="BE49">
        <f t="shared" ca="1" si="7"/>
        <v>0</v>
      </c>
      <c r="BF49" t="str">
        <f ca="1">IF(ROW()&lt;($C$7+1),"",IFERROR((分析データ!D49-AVERAGE(OFFSET(分析データ!D$1,MAX(1,ROW()-$C$7),0,MIN($C$7,ROW()-1),1)))/STDEV(OFFSET(分析データ!D$1,MAX(1,ROW()-$C$7),0,MIN($C$7,ROW()-1),1)),0))</f>
        <v/>
      </c>
      <c r="BG49">
        <f t="shared" ca="1" si="8"/>
        <v>0</v>
      </c>
      <c r="BH49" t="str">
        <f ca="1">IF(BG49=1,IF(INDEX(分析データ!$A:$A,ROW()+$C$5)&lt;&gt;"",50000*SIGN(BF49)*(分析データ!D49-INDEX(分析データ!D:D,ROW()+$C$5)),""),"")</f>
        <v/>
      </c>
      <c r="BI49">
        <f t="shared" ca="1" si="9"/>
        <v>0</v>
      </c>
      <c r="BJ49">
        <f t="shared" ca="1" si="10"/>
        <v>0</v>
      </c>
      <c r="BK49">
        <f t="shared" ca="1" si="11"/>
        <v>0</v>
      </c>
      <c r="BL49" t="str">
        <f ca="1">IF(ROW()&lt;($C$7+1),"",IFERROR((分析データ!E49-AVERAGE(OFFSET(分析データ!E$1,MAX(1,ROW()-$C$7),0,MIN($C$7,ROW()-1),1)))/STDEV(OFFSET(分析データ!E$1,MAX(1,ROW()-$C$7),0,MIN($C$7,ROW()-1),1)),0))</f>
        <v/>
      </c>
      <c r="BM49">
        <f t="shared" ca="1" si="12"/>
        <v>0</v>
      </c>
      <c r="BN49" t="str">
        <f ca="1">IF(BM49=1,IF(INDEX(分析データ!$A:$A,ROW()+$C$5)&lt;&gt;"",40000*SIGN(BL49)*(分析データ!E49-INDEX(分析データ!E:E,ROW()+$C$5)),""),"")</f>
        <v/>
      </c>
      <c r="BO49">
        <f t="shared" ca="1" si="13"/>
        <v>0</v>
      </c>
      <c r="BP49">
        <f t="shared" ca="1" si="14"/>
        <v>0</v>
      </c>
      <c r="BQ49">
        <f t="shared" ca="1" si="15"/>
        <v>0</v>
      </c>
      <c r="BR49" t="str">
        <f ca="1">IF(ROW()&lt;($C$7+1),"",IFERROR((分析データ!F49-AVERAGE(OFFSET(分析データ!F$1,MAX(1,ROW()-$C$7),0,MIN($C$7,ROW()-1),1)))/STDEV(OFFSET(分析データ!F$1,MAX(1,ROW()-$C$7),0,MIN($C$7,ROW()-1),1)),0))</f>
        <v/>
      </c>
      <c r="BS49">
        <f t="shared" ca="1" si="16"/>
        <v>0</v>
      </c>
      <c r="BT49" t="str">
        <f ca="1">IF(BS49=1,IF(INDEX(分析データ!$A:$A,ROW()+$C$5)&lt;&gt;"",40000*SIGN(BR49)*(分析データ!F49-INDEX(分析データ!F:F,ROW()+$C$5)),""),"")</f>
        <v/>
      </c>
      <c r="BU49">
        <f t="shared" ca="1" si="17"/>
        <v>0</v>
      </c>
      <c r="BV49">
        <f t="shared" ca="1" si="18"/>
        <v>0</v>
      </c>
      <c r="BW49">
        <f t="shared" ca="1" si="19"/>
        <v>0</v>
      </c>
      <c r="BX49" t="str">
        <f ca="1">IF(ROW()&lt;($C$7+1),"",IFERROR((分析データ!G49-AVERAGE(OFFSET(分析データ!G$1,MAX(1,ROW()-$C$7),0,MIN($C$7,ROW()-1),1)))/STDEV(OFFSET(分析データ!G$1,MAX(1,ROW()-$C$7),0,MIN($C$7,ROW()-1),1)),0))</f>
        <v/>
      </c>
      <c r="BY49">
        <f t="shared" ca="1" si="20"/>
        <v>0</v>
      </c>
      <c r="BZ49" t="str">
        <f ca="1">IF(BY49=1,IF(INDEX(分析データ!$A:$A,ROW()+$C$5)&lt;&gt;"",40000*SIGN(BX49)*(分析データ!G49-INDEX(分析データ!G:G,ROW()+$C$5)),""),"")</f>
        <v/>
      </c>
      <c r="CA49">
        <f t="shared" ca="1" si="21"/>
        <v>0</v>
      </c>
      <c r="CB49">
        <f t="shared" ca="1" si="22"/>
        <v>0</v>
      </c>
      <c r="CC49">
        <f t="shared" ca="1" si="23"/>
        <v>0</v>
      </c>
      <c r="CD49">
        <f t="shared" ca="1" si="24"/>
        <v>0</v>
      </c>
      <c r="CE49">
        <f t="shared" ca="1" si="25"/>
        <v>0</v>
      </c>
      <c r="CF49">
        <f t="shared" ca="1" si="26"/>
        <v>0</v>
      </c>
      <c r="CG49">
        <f t="shared" ca="1" si="27"/>
        <v>0</v>
      </c>
      <c r="CH49" s="10">
        <f>分析データ!A49</f>
        <v>44998</v>
      </c>
    </row>
    <row r="50" spans="46:86">
      <c r="AT50" t="str">
        <f ca="1">IF(ROW()&lt;($C$7+1),"",IFERROR((分析データ!B50-AVERAGE(OFFSET(分析データ!B$1,MAX(1,ROW()-$C$7),0,MIN($C$7,ROW()-1),1)))/STDEV(OFFSET(分析データ!B$1,MAX(1,ROW()-$C$7),0,MIN($C$7,ROW()-1),1)),0))</f>
        <v/>
      </c>
      <c r="AU50">
        <f t="shared" ca="1" si="0"/>
        <v>0</v>
      </c>
      <c r="AV50" t="str">
        <f ca="1">IF(AU50=1,IF(INDEX(分析データ!$A:$A,ROW()+$C$5)&lt;&gt;"",80000*SIGN(AT50)*(分析データ!B50-INDEX(分析データ!B:B,ROW()+$C$5)),""),"")</f>
        <v/>
      </c>
      <c r="AW50">
        <f t="shared" ca="1" si="1"/>
        <v>0</v>
      </c>
      <c r="AX50">
        <f t="shared" ca="1" si="2"/>
        <v>0</v>
      </c>
      <c r="AY50">
        <f t="shared" ca="1" si="3"/>
        <v>0</v>
      </c>
      <c r="AZ50" t="str">
        <f ca="1">IF(ROW()&lt;($C$7+1),"",IFERROR((分析データ!C50-AVERAGE(OFFSET(分析データ!C$1,MAX(1,ROW()-$C$7),0,MIN($C$7,ROW()-1),1)))/STDEV(OFFSET(分析データ!C$1,MAX(1,ROW()-$C$7),0,MIN($C$7,ROW()-1),1)),0))</f>
        <v/>
      </c>
      <c r="BA50">
        <f t="shared" ca="1" si="4"/>
        <v>0</v>
      </c>
      <c r="BB50" t="str">
        <f ca="1">IF(BA50=1,IF(INDEX(分析データ!$A:$A,ROW()+$C$5)&lt;&gt;"",60000*SIGN(AZ50)*(分析データ!C50-INDEX(分析データ!C:C,ROW()+$C$5)),""),"")</f>
        <v/>
      </c>
      <c r="BC50">
        <f t="shared" ca="1" si="5"/>
        <v>0</v>
      </c>
      <c r="BD50">
        <f t="shared" ca="1" si="6"/>
        <v>0</v>
      </c>
      <c r="BE50">
        <f t="shared" ca="1" si="7"/>
        <v>0</v>
      </c>
      <c r="BF50" t="str">
        <f ca="1">IF(ROW()&lt;($C$7+1),"",IFERROR((分析データ!D50-AVERAGE(OFFSET(分析データ!D$1,MAX(1,ROW()-$C$7),0,MIN($C$7,ROW()-1),1)))/STDEV(OFFSET(分析データ!D$1,MAX(1,ROW()-$C$7),0,MIN($C$7,ROW()-1),1)),0))</f>
        <v/>
      </c>
      <c r="BG50">
        <f t="shared" ca="1" si="8"/>
        <v>0</v>
      </c>
      <c r="BH50" t="str">
        <f ca="1">IF(BG50=1,IF(INDEX(分析データ!$A:$A,ROW()+$C$5)&lt;&gt;"",50000*SIGN(BF50)*(分析データ!D50-INDEX(分析データ!D:D,ROW()+$C$5)),""),"")</f>
        <v/>
      </c>
      <c r="BI50">
        <f t="shared" ca="1" si="9"/>
        <v>0</v>
      </c>
      <c r="BJ50">
        <f t="shared" ca="1" si="10"/>
        <v>0</v>
      </c>
      <c r="BK50">
        <f t="shared" ca="1" si="11"/>
        <v>0</v>
      </c>
      <c r="BL50" t="str">
        <f ca="1">IF(ROW()&lt;($C$7+1),"",IFERROR((分析データ!E50-AVERAGE(OFFSET(分析データ!E$1,MAX(1,ROW()-$C$7),0,MIN($C$7,ROW()-1),1)))/STDEV(OFFSET(分析データ!E$1,MAX(1,ROW()-$C$7),0,MIN($C$7,ROW()-1),1)),0))</f>
        <v/>
      </c>
      <c r="BM50">
        <f t="shared" ca="1" si="12"/>
        <v>0</v>
      </c>
      <c r="BN50" t="str">
        <f ca="1">IF(BM50=1,IF(INDEX(分析データ!$A:$A,ROW()+$C$5)&lt;&gt;"",40000*SIGN(BL50)*(分析データ!E50-INDEX(分析データ!E:E,ROW()+$C$5)),""),"")</f>
        <v/>
      </c>
      <c r="BO50">
        <f t="shared" ca="1" si="13"/>
        <v>0</v>
      </c>
      <c r="BP50">
        <f t="shared" ca="1" si="14"/>
        <v>0</v>
      </c>
      <c r="BQ50">
        <f t="shared" ca="1" si="15"/>
        <v>0</v>
      </c>
      <c r="BR50" t="str">
        <f ca="1">IF(ROW()&lt;($C$7+1),"",IFERROR((分析データ!F50-AVERAGE(OFFSET(分析データ!F$1,MAX(1,ROW()-$C$7),0,MIN($C$7,ROW()-1),1)))/STDEV(OFFSET(分析データ!F$1,MAX(1,ROW()-$C$7),0,MIN($C$7,ROW()-1),1)),0))</f>
        <v/>
      </c>
      <c r="BS50">
        <f t="shared" ca="1" si="16"/>
        <v>0</v>
      </c>
      <c r="BT50" t="str">
        <f ca="1">IF(BS50=1,IF(INDEX(分析データ!$A:$A,ROW()+$C$5)&lt;&gt;"",40000*SIGN(BR50)*(分析データ!F50-INDEX(分析データ!F:F,ROW()+$C$5)),""),"")</f>
        <v/>
      </c>
      <c r="BU50">
        <f t="shared" ca="1" si="17"/>
        <v>0</v>
      </c>
      <c r="BV50">
        <f t="shared" ca="1" si="18"/>
        <v>0</v>
      </c>
      <c r="BW50">
        <f t="shared" ca="1" si="19"/>
        <v>0</v>
      </c>
      <c r="BX50" t="str">
        <f ca="1">IF(ROW()&lt;($C$7+1),"",IFERROR((分析データ!G50-AVERAGE(OFFSET(分析データ!G$1,MAX(1,ROW()-$C$7),0,MIN($C$7,ROW()-1),1)))/STDEV(OFFSET(分析データ!G$1,MAX(1,ROW()-$C$7),0,MIN($C$7,ROW()-1),1)),0))</f>
        <v/>
      </c>
      <c r="BY50">
        <f t="shared" ca="1" si="20"/>
        <v>0</v>
      </c>
      <c r="BZ50" t="str">
        <f ca="1">IF(BY50=1,IF(INDEX(分析データ!$A:$A,ROW()+$C$5)&lt;&gt;"",40000*SIGN(BX50)*(分析データ!G50-INDEX(分析データ!G:G,ROW()+$C$5)),""),"")</f>
        <v/>
      </c>
      <c r="CA50">
        <f t="shared" ca="1" si="21"/>
        <v>0</v>
      </c>
      <c r="CB50">
        <f t="shared" ca="1" si="22"/>
        <v>0</v>
      </c>
      <c r="CC50">
        <f t="shared" ca="1" si="23"/>
        <v>0</v>
      </c>
      <c r="CD50">
        <f t="shared" ca="1" si="24"/>
        <v>0</v>
      </c>
      <c r="CE50">
        <f t="shared" ca="1" si="25"/>
        <v>0</v>
      </c>
      <c r="CF50">
        <f t="shared" ca="1" si="26"/>
        <v>0</v>
      </c>
      <c r="CG50">
        <f t="shared" ca="1" si="27"/>
        <v>0</v>
      </c>
      <c r="CH50" s="10">
        <f>分析データ!A50</f>
        <v>44999</v>
      </c>
    </row>
    <row r="51" spans="46:86">
      <c r="AT51" t="str">
        <f ca="1">IF(ROW()&lt;($C$7+1),"",IFERROR((分析データ!B51-AVERAGE(OFFSET(分析データ!B$1,MAX(1,ROW()-$C$7),0,MIN($C$7,ROW()-1),1)))/STDEV(OFFSET(分析データ!B$1,MAX(1,ROW()-$C$7),0,MIN($C$7,ROW()-1),1)),0))</f>
        <v/>
      </c>
      <c r="AU51">
        <f t="shared" ca="1" si="0"/>
        <v>0</v>
      </c>
      <c r="AV51" t="str">
        <f ca="1">IF(AU51=1,IF(INDEX(分析データ!$A:$A,ROW()+$C$5)&lt;&gt;"",80000*SIGN(AT51)*(分析データ!B51-INDEX(分析データ!B:B,ROW()+$C$5)),""),"")</f>
        <v/>
      </c>
      <c r="AW51">
        <f t="shared" ca="1" si="1"/>
        <v>0</v>
      </c>
      <c r="AX51">
        <f t="shared" ca="1" si="2"/>
        <v>0</v>
      </c>
      <c r="AY51">
        <f t="shared" ca="1" si="3"/>
        <v>0</v>
      </c>
      <c r="AZ51" t="str">
        <f ca="1">IF(ROW()&lt;($C$7+1),"",IFERROR((分析データ!C51-AVERAGE(OFFSET(分析データ!C$1,MAX(1,ROW()-$C$7),0,MIN($C$7,ROW()-1),1)))/STDEV(OFFSET(分析データ!C$1,MAX(1,ROW()-$C$7),0,MIN($C$7,ROW()-1),1)),0))</f>
        <v/>
      </c>
      <c r="BA51">
        <f t="shared" ca="1" si="4"/>
        <v>0</v>
      </c>
      <c r="BB51" t="str">
        <f ca="1">IF(BA51=1,IF(INDEX(分析データ!$A:$A,ROW()+$C$5)&lt;&gt;"",60000*SIGN(AZ51)*(分析データ!C51-INDEX(分析データ!C:C,ROW()+$C$5)),""),"")</f>
        <v/>
      </c>
      <c r="BC51">
        <f t="shared" ca="1" si="5"/>
        <v>0</v>
      </c>
      <c r="BD51">
        <f t="shared" ca="1" si="6"/>
        <v>0</v>
      </c>
      <c r="BE51">
        <f t="shared" ca="1" si="7"/>
        <v>0</v>
      </c>
      <c r="BF51" t="str">
        <f ca="1">IF(ROW()&lt;($C$7+1),"",IFERROR((分析データ!D51-AVERAGE(OFFSET(分析データ!D$1,MAX(1,ROW()-$C$7),0,MIN($C$7,ROW()-1),1)))/STDEV(OFFSET(分析データ!D$1,MAX(1,ROW()-$C$7),0,MIN($C$7,ROW()-1),1)),0))</f>
        <v/>
      </c>
      <c r="BG51">
        <f t="shared" ca="1" si="8"/>
        <v>0</v>
      </c>
      <c r="BH51" t="str">
        <f ca="1">IF(BG51=1,IF(INDEX(分析データ!$A:$A,ROW()+$C$5)&lt;&gt;"",50000*SIGN(BF51)*(分析データ!D51-INDEX(分析データ!D:D,ROW()+$C$5)),""),"")</f>
        <v/>
      </c>
      <c r="BI51">
        <f t="shared" ca="1" si="9"/>
        <v>0</v>
      </c>
      <c r="BJ51">
        <f t="shared" ca="1" si="10"/>
        <v>0</v>
      </c>
      <c r="BK51">
        <f t="shared" ca="1" si="11"/>
        <v>0</v>
      </c>
      <c r="BL51" t="str">
        <f ca="1">IF(ROW()&lt;($C$7+1),"",IFERROR((分析データ!E51-AVERAGE(OFFSET(分析データ!E$1,MAX(1,ROW()-$C$7),0,MIN($C$7,ROW()-1),1)))/STDEV(OFFSET(分析データ!E$1,MAX(1,ROW()-$C$7),0,MIN($C$7,ROW()-1),1)),0))</f>
        <v/>
      </c>
      <c r="BM51">
        <f t="shared" ca="1" si="12"/>
        <v>0</v>
      </c>
      <c r="BN51" t="str">
        <f ca="1">IF(BM51=1,IF(INDEX(分析データ!$A:$A,ROW()+$C$5)&lt;&gt;"",40000*SIGN(BL51)*(分析データ!E51-INDEX(分析データ!E:E,ROW()+$C$5)),""),"")</f>
        <v/>
      </c>
      <c r="BO51">
        <f t="shared" ca="1" si="13"/>
        <v>0</v>
      </c>
      <c r="BP51">
        <f t="shared" ca="1" si="14"/>
        <v>0</v>
      </c>
      <c r="BQ51">
        <f t="shared" ca="1" si="15"/>
        <v>0</v>
      </c>
      <c r="BR51" t="str">
        <f ca="1">IF(ROW()&lt;($C$7+1),"",IFERROR((分析データ!F51-AVERAGE(OFFSET(分析データ!F$1,MAX(1,ROW()-$C$7),0,MIN($C$7,ROW()-1),1)))/STDEV(OFFSET(分析データ!F$1,MAX(1,ROW()-$C$7),0,MIN($C$7,ROW()-1),1)),0))</f>
        <v/>
      </c>
      <c r="BS51">
        <f t="shared" ca="1" si="16"/>
        <v>0</v>
      </c>
      <c r="BT51" t="str">
        <f ca="1">IF(BS51=1,IF(INDEX(分析データ!$A:$A,ROW()+$C$5)&lt;&gt;"",40000*SIGN(BR51)*(分析データ!F51-INDEX(分析データ!F:F,ROW()+$C$5)),""),"")</f>
        <v/>
      </c>
      <c r="BU51">
        <f t="shared" ca="1" si="17"/>
        <v>0</v>
      </c>
      <c r="BV51">
        <f t="shared" ca="1" si="18"/>
        <v>0</v>
      </c>
      <c r="BW51">
        <f t="shared" ca="1" si="19"/>
        <v>0</v>
      </c>
      <c r="BX51" t="str">
        <f ca="1">IF(ROW()&lt;($C$7+1),"",IFERROR((分析データ!G51-AVERAGE(OFFSET(分析データ!G$1,MAX(1,ROW()-$C$7),0,MIN($C$7,ROW()-1),1)))/STDEV(OFFSET(分析データ!G$1,MAX(1,ROW()-$C$7),0,MIN($C$7,ROW()-1),1)),0))</f>
        <v/>
      </c>
      <c r="BY51">
        <f t="shared" ca="1" si="20"/>
        <v>0</v>
      </c>
      <c r="BZ51" t="str">
        <f ca="1">IF(BY51=1,IF(INDEX(分析データ!$A:$A,ROW()+$C$5)&lt;&gt;"",40000*SIGN(BX51)*(分析データ!G51-INDEX(分析データ!G:G,ROW()+$C$5)),""),"")</f>
        <v/>
      </c>
      <c r="CA51">
        <f t="shared" ca="1" si="21"/>
        <v>0</v>
      </c>
      <c r="CB51">
        <f t="shared" ca="1" si="22"/>
        <v>0</v>
      </c>
      <c r="CC51">
        <f t="shared" ca="1" si="23"/>
        <v>0</v>
      </c>
      <c r="CD51">
        <f t="shared" ca="1" si="24"/>
        <v>0</v>
      </c>
      <c r="CE51">
        <f t="shared" ca="1" si="25"/>
        <v>0</v>
      </c>
      <c r="CF51">
        <f t="shared" ca="1" si="26"/>
        <v>0</v>
      </c>
      <c r="CG51">
        <f t="shared" ca="1" si="27"/>
        <v>0</v>
      </c>
      <c r="CH51" s="10">
        <f>分析データ!A51</f>
        <v>45000</v>
      </c>
    </row>
    <row r="52" spans="46:86">
      <c r="AT52" t="str">
        <f ca="1">IF(ROW()&lt;($C$7+1),"",IFERROR((分析データ!B52-AVERAGE(OFFSET(分析データ!B$1,MAX(1,ROW()-$C$7),0,MIN($C$7,ROW()-1),1)))/STDEV(OFFSET(分析データ!B$1,MAX(1,ROW()-$C$7),0,MIN($C$7,ROW()-1),1)),0))</f>
        <v/>
      </c>
      <c r="AU52">
        <f t="shared" ca="1" si="0"/>
        <v>0</v>
      </c>
      <c r="AV52" t="str">
        <f ca="1">IF(AU52=1,IF(INDEX(分析データ!$A:$A,ROW()+$C$5)&lt;&gt;"",80000*SIGN(AT52)*(分析データ!B52-INDEX(分析データ!B:B,ROW()+$C$5)),""),"")</f>
        <v/>
      </c>
      <c r="AW52">
        <f t="shared" ca="1" si="1"/>
        <v>0</v>
      </c>
      <c r="AX52">
        <f t="shared" ca="1" si="2"/>
        <v>0</v>
      </c>
      <c r="AY52">
        <f t="shared" ca="1" si="3"/>
        <v>0</v>
      </c>
      <c r="AZ52" t="str">
        <f ca="1">IF(ROW()&lt;($C$7+1),"",IFERROR((分析データ!C52-AVERAGE(OFFSET(分析データ!C$1,MAX(1,ROW()-$C$7),0,MIN($C$7,ROW()-1),1)))/STDEV(OFFSET(分析データ!C$1,MAX(1,ROW()-$C$7),0,MIN($C$7,ROW()-1),1)),0))</f>
        <v/>
      </c>
      <c r="BA52">
        <f t="shared" ca="1" si="4"/>
        <v>0</v>
      </c>
      <c r="BB52" t="str">
        <f ca="1">IF(BA52=1,IF(INDEX(分析データ!$A:$A,ROW()+$C$5)&lt;&gt;"",60000*SIGN(AZ52)*(分析データ!C52-INDEX(分析データ!C:C,ROW()+$C$5)),""),"")</f>
        <v/>
      </c>
      <c r="BC52">
        <f t="shared" ca="1" si="5"/>
        <v>0</v>
      </c>
      <c r="BD52">
        <f t="shared" ca="1" si="6"/>
        <v>0</v>
      </c>
      <c r="BE52">
        <f t="shared" ca="1" si="7"/>
        <v>0</v>
      </c>
      <c r="BF52" t="str">
        <f ca="1">IF(ROW()&lt;($C$7+1),"",IFERROR((分析データ!D52-AVERAGE(OFFSET(分析データ!D$1,MAX(1,ROW()-$C$7),0,MIN($C$7,ROW()-1),1)))/STDEV(OFFSET(分析データ!D$1,MAX(1,ROW()-$C$7),0,MIN($C$7,ROW()-1),1)),0))</f>
        <v/>
      </c>
      <c r="BG52">
        <f t="shared" ca="1" si="8"/>
        <v>0</v>
      </c>
      <c r="BH52" t="str">
        <f ca="1">IF(BG52=1,IF(INDEX(分析データ!$A:$A,ROW()+$C$5)&lt;&gt;"",50000*SIGN(BF52)*(分析データ!D52-INDEX(分析データ!D:D,ROW()+$C$5)),""),"")</f>
        <v/>
      </c>
      <c r="BI52">
        <f t="shared" ca="1" si="9"/>
        <v>0</v>
      </c>
      <c r="BJ52">
        <f t="shared" ca="1" si="10"/>
        <v>0</v>
      </c>
      <c r="BK52">
        <f t="shared" ca="1" si="11"/>
        <v>0</v>
      </c>
      <c r="BL52" t="str">
        <f ca="1">IF(ROW()&lt;($C$7+1),"",IFERROR((分析データ!E52-AVERAGE(OFFSET(分析データ!E$1,MAX(1,ROW()-$C$7),0,MIN($C$7,ROW()-1),1)))/STDEV(OFFSET(分析データ!E$1,MAX(1,ROW()-$C$7),0,MIN($C$7,ROW()-1),1)),0))</f>
        <v/>
      </c>
      <c r="BM52">
        <f t="shared" ca="1" si="12"/>
        <v>0</v>
      </c>
      <c r="BN52" t="str">
        <f ca="1">IF(BM52=1,IF(INDEX(分析データ!$A:$A,ROW()+$C$5)&lt;&gt;"",40000*SIGN(BL52)*(分析データ!E52-INDEX(分析データ!E:E,ROW()+$C$5)),""),"")</f>
        <v/>
      </c>
      <c r="BO52">
        <f t="shared" ca="1" si="13"/>
        <v>0</v>
      </c>
      <c r="BP52">
        <f t="shared" ca="1" si="14"/>
        <v>0</v>
      </c>
      <c r="BQ52">
        <f t="shared" ca="1" si="15"/>
        <v>0</v>
      </c>
      <c r="BR52" t="str">
        <f ca="1">IF(ROW()&lt;($C$7+1),"",IFERROR((分析データ!F52-AVERAGE(OFFSET(分析データ!F$1,MAX(1,ROW()-$C$7),0,MIN($C$7,ROW()-1),1)))/STDEV(OFFSET(分析データ!F$1,MAX(1,ROW()-$C$7),0,MIN($C$7,ROW()-1),1)),0))</f>
        <v/>
      </c>
      <c r="BS52">
        <f t="shared" ca="1" si="16"/>
        <v>0</v>
      </c>
      <c r="BT52" t="str">
        <f ca="1">IF(BS52=1,IF(INDEX(分析データ!$A:$A,ROW()+$C$5)&lt;&gt;"",40000*SIGN(BR52)*(分析データ!F52-INDEX(分析データ!F:F,ROW()+$C$5)),""),"")</f>
        <v/>
      </c>
      <c r="BU52">
        <f t="shared" ca="1" si="17"/>
        <v>0</v>
      </c>
      <c r="BV52">
        <f t="shared" ca="1" si="18"/>
        <v>0</v>
      </c>
      <c r="BW52">
        <f t="shared" ca="1" si="19"/>
        <v>0</v>
      </c>
      <c r="BX52" t="str">
        <f ca="1">IF(ROW()&lt;($C$7+1),"",IFERROR((分析データ!G52-AVERAGE(OFFSET(分析データ!G$1,MAX(1,ROW()-$C$7),0,MIN($C$7,ROW()-1),1)))/STDEV(OFFSET(分析データ!G$1,MAX(1,ROW()-$C$7),0,MIN($C$7,ROW()-1),1)),0))</f>
        <v/>
      </c>
      <c r="BY52">
        <f t="shared" ca="1" si="20"/>
        <v>0</v>
      </c>
      <c r="BZ52" t="str">
        <f ca="1">IF(BY52=1,IF(INDEX(分析データ!$A:$A,ROW()+$C$5)&lt;&gt;"",40000*SIGN(BX52)*(分析データ!G52-INDEX(分析データ!G:G,ROW()+$C$5)),""),"")</f>
        <v/>
      </c>
      <c r="CA52">
        <f t="shared" ca="1" si="21"/>
        <v>0</v>
      </c>
      <c r="CB52">
        <f t="shared" ca="1" si="22"/>
        <v>0</v>
      </c>
      <c r="CC52">
        <f t="shared" ca="1" si="23"/>
        <v>0</v>
      </c>
      <c r="CD52">
        <f t="shared" ca="1" si="24"/>
        <v>0</v>
      </c>
      <c r="CE52">
        <f t="shared" ca="1" si="25"/>
        <v>0</v>
      </c>
      <c r="CF52">
        <f t="shared" ca="1" si="26"/>
        <v>0</v>
      </c>
      <c r="CG52">
        <f t="shared" ca="1" si="27"/>
        <v>0</v>
      </c>
      <c r="CH52" s="10">
        <f>分析データ!A52</f>
        <v>45001</v>
      </c>
    </row>
    <row r="53" spans="46:86">
      <c r="AT53" t="str">
        <f ca="1">IF(ROW()&lt;($C$7+1),"",IFERROR((分析データ!B53-AVERAGE(OFFSET(分析データ!B$1,MAX(1,ROW()-$C$7),0,MIN($C$7,ROW()-1),1)))/STDEV(OFFSET(分析データ!B$1,MAX(1,ROW()-$C$7),0,MIN($C$7,ROW()-1),1)),0))</f>
        <v/>
      </c>
      <c r="AU53">
        <f t="shared" ca="1" si="0"/>
        <v>0</v>
      </c>
      <c r="AV53" t="str">
        <f ca="1">IF(AU53=1,IF(INDEX(分析データ!$A:$A,ROW()+$C$5)&lt;&gt;"",80000*SIGN(AT53)*(分析データ!B53-INDEX(分析データ!B:B,ROW()+$C$5)),""),"")</f>
        <v/>
      </c>
      <c r="AW53">
        <f t="shared" ca="1" si="1"/>
        <v>0</v>
      </c>
      <c r="AX53">
        <f t="shared" ca="1" si="2"/>
        <v>0</v>
      </c>
      <c r="AY53">
        <f t="shared" ca="1" si="3"/>
        <v>0</v>
      </c>
      <c r="AZ53" t="str">
        <f ca="1">IF(ROW()&lt;($C$7+1),"",IFERROR((分析データ!C53-AVERAGE(OFFSET(分析データ!C$1,MAX(1,ROW()-$C$7),0,MIN($C$7,ROW()-1),1)))/STDEV(OFFSET(分析データ!C$1,MAX(1,ROW()-$C$7),0,MIN($C$7,ROW()-1),1)),0))</f>
        <v/>
      </c>
      <c r="BA53">
        <f t="shared" ca="1" si="4"/>
        <v>0</v>
      </c>
      <c r="BB53" t="str">
        <f ca="1">IF(BA53=1,IF(INDEX(分析データ!$A:$A,ROW()+$C$5)&lt;&gt;"",60000*SIGN(AZ53)*(分析データ!C53-INDEX(分析データ!C:C,ROW()+$C$5)),""),"")</f>
        <v/>
      </c>
      <c r="BC53">
        <f t="shared" ca="1" si="5"/>
        <v>0</v>
      </c>
      <c r="BD53">
        <f t="shared" ca="1" si="6"/>
        <v>0</v>
      </c>
      <c r="BE53">
        <f t="shared" ca="1" si="7"/>
        <v>0</v>
      </c>
      <c r="BF53" t="str">
        <f ca="1">IF(ROW()&lt;($C$7+1),"",IFERROR((分析データ!D53-AVERAGE(OFFSET(分析データ!D$1,MAX(1,ROW()-$C$7),0,MIN($C$7,ROW()-1),1)))/STDEV(OFFSET(分析データ!D$1,MAX(1,ROW()-$C$7),0,MIN($C$7,ROW()-1),1)),0))</f>
        <v/>
      </c>
      <c r="BG53">
        <f t="shared" ca="1" si="8"/>
        <v>0</v>
      </c>
      <c r="BH53" t="str">
        <f ca="1">IF(BG53=1,IF(INDEX(分析データ!$A:$A,ROW()+$C$5)&lt;&gt;"",50000*SIGN(BF53)*(分析データ!D53-INDEX(分析データ!D:D,ROW()+$C$5)),""),"")</f>
        <v/>
      </c>
      <c r="BI53">
        <f t="shared" ca="1" si="9"/>
        <v>0</v>
      </c>
      <c r="BJ53">
        <f t="shared" ca="1" si="10"/>
        <v>0</v>
      </c>
      <c r="BK53">
        <f t="shared" ca="1" si="11"/>
        <v>0</v>
      </c>
      <c r="BL53" t="str">
        <f ca="1">IF(ROW()&lt;($C$7+1),"",IFERROR((分析データ!E53-AVERAGE(OFFSET(分析データ!E$1,MAX(1,ROW()-$C$7),0,MIN($C$7,ROW()-1),1)))/STDEV(OFFSET(分析データ!E$1,MAX(1,ROW()-$C$7),0,MIN($C$7,ROW()-1),1)),0))</f>
        <v/>
      </c>
      <c r="BM53">
        <f t="shared" ca="1" si="12"/>
        <v>0</v>
      </c>
      <c r="BN53" t="str">
        <f ca="1">IF(BM53=1,IF(INDEX(分析データ!$A:$A,ROW()+$C$5)&lt;&gt;"",40000*SIGN(BL53)*(分析データ!E53-INDEX(分析データ!E:E,ROW()+$C$5)),""),"")</f>
        <v/>
      </c>
      <c r="BO53">
        <f t="shared" ca="1" si="13"/>
        <v>0</v>
      </c>
      <c r="BP53">
        <f t="shared" ca="1" si="14"/>
        <v>0</v>
      </c>
      <c r="BQ53">
        <f t="shared" ca="1" si="15"/>
        <v>0</v>
      </c>
      <c r="BR53" t="str">
        <f ca="1">IF(ROW()&lt;($C$7+1),"",IFERROR((分析データ!F53-AVERAGE(OFFSET(分析データ!F$1,MAX(1,ROW()-$C$7),0,MIN($C$7,ROW()-1),1)))/STDEV(OFFSET(分析データ!F$1,MAX(1,ROW()-$C$7),0,MIN($C$7,ROW()-1),1)),0))</f>
        <v/>
      </c>
      <c r="BS53">
        <f t="shared" ca="1" si="16"/>
        <v>0</v>
      </c>
      <c r="BT53" t="str">
        <f ca="1">IF(BS53=1,IF(INDEX(分析データ!$A:$A,ROW()+$C$5)&lt;&gt;"",40000*SIGN(BR53)*(分析データ!F53-INDEX(分析データ!F:F,ROW()+$C$5)),""),"")</f>
        <v/>
      </c>
      <c r="BU53">
        <f t="shared" ca="1" si="17"/>
        <v>0</v>
      </c>
      <c r="BV53">
        <f t="shared" ca="1" si="18"/>
        <v>0</v>
      </c>
      <c r="BW53">
        <f t="shared" ca="1" si="19"/>
        <v>0</v>
      </c>
      <c r="BX53" t="str">
        <f ca="1">IF(ROW()&lt;($C$7+1),"",IFERROR((分析データ!G53-AVERAGE(OFFSET(分析データ!G$1,MAX(1,ROW()-$C$7),0,MIN($C$7,ROW()-1),1)))/STDEV(OFFSET(分析データ!G$1,MAX(1,ROW()-$C$7),0,MIN($C$7,ROW()-1),1)),0))</f>
        <v/>
      </c>
      <c r="BY53">
        <f t="shared" ca="1" si="20"/>
        <v>0</v>
      </c>
      <c r="BZ53" t="str">
        <f ca="1">IF(BY53=1,IF(INDEX(分析データ!$A:$A,ROW()+$C$5)&lt;&gt;"",40000*SIGN(BX53)*(分析データ!G53-INDEX(分析データ!G:G,ROW()+$C$5)),""),"")</f>
        <v/>
      </c>
      <c r="CA53">
        <f t="shared" ca="1" si="21"/>
        <v>0</v>
      </c>
      <c r="CB53">
        <f t="shared" ca="1" si="22"/>
        <v>0</v>
      </c>
      <c r="CC53">
        <f t="shared" ca="1" si="23"/>
        <v>0</v>
      </c>
      <c r="CD53">
        <f t="shared" ca="1" si="24"/>
        <v>0</v>
      </c>
      <c r="CE53">
        <f t="shared" ca="1" si="25"/>
        <v>0</v>
      </c>
      <c r="CF53">
        <f t="shared" ca="1" si="26"/>
        <v>0</v>
      </c>
      <c r="CG53">
        <f t="shared" ca="1" si="27"/>
        <v>0</v>
      </c>
      <c r="CH53" s="10">
        <f>分析データ!A53</f>
        <v>45002</v>
      </c>
    </row>
    <row r="54" spans="46:86">
      <c r="AT54" t="str">
        <f ca="1">IF(ROW()&lt;($C$7+1),"",IFERROR((分析データ!B54-AVERAGE(OFFSET(分析データ!B$1,MAX(1,ROW()-$C$7),0,MIN($C$7,ROW()-1),1)))/STDEV(OFFSET(分析データ!B$1,MAX(1,ROW()-$C$7),0,MIN($C$7,ROW()-1),1)),0))</f>
        <v/>
      </c>
      <c r="AU54">
        <f t="shared" ca="1" si="0"/>
        <v>0</v>
      </c>
      <c r="AV54" t="str">
        <f ca="1">IF(AU54=1,IF(INDEX(分析データ!$A:$A,ROW()+$C$5)&lt;&gt;"",80000*SIGN(AT54)*(分析データ!B54-INDEX(分析データ!B:B,ROW()+$C$5)),""),"")</f>
        <v/>
      </c>
      <c r="AW54">
        <f t="shared" ca="1" si="1"/>
        <v>0</v>
      </c>
      <c r="AX54">
        <f t="shared" ca="1" si="2"/>
        <v>0</v>
      </c>
      <c r="AY54">
        <f t="shared" ca="1" si="3"/>
        <v>0</v>
      </c>
      <c r="AZ54" t="str">
        <f ca="1">IF(ROW()&lt;($C$7+1),"",IFERROR((分析データ!C54-AVERAGE(OFFSET(分析データ!C$1,MAX(1,ROW()-$C$7),0,MIN($C$7,ROW()-1),1)))/STDEV(OFFSET(分析データ!C$1,MAX(1,ROW()-$C$7),0,MIN($C$7,ROW()-1),1)),0))</f>
        <v/>
      </c>
      <c r="BA54">
        <f t="shared" ca="1" si="4"/>
        <v>0</v>
      </c>
      <c r="BB54" t="str">
        <f ca="1">IF(BA54=1,IF(INDEX(分析データ!$A:$A,ROW()+$C$5)&lt;&gt;"",60000*SIGN(AZ54)*(分析データ!C54-INDEX(分析データ!C:C,ROW()+$C$5)),""),"")</f>
        <v/>
      </c>
      <c r="BC54">
        <f t="shared" ca="1" si="5"/>
        <v>0</v>
      </c>
      <c r="BD54">
        <f t="shared" ca="1" si="6"/>
        <v>0</v>
      </c>
      <c r="BE54">
        <f t="shared" ca="1" si="7"/>
        <v>0</v>
      </c>
      <c r="BF54" t="str">
        <f ca="1">IF(ROW()&lt;($C$7+1),"",IFERROR((分析データ!D54-AVERAGE(OFFSET(分析データ!D$1,MAX(1,ROW()-$C$7),0,MIN($C$7,ROW()-1),1)))/STDEV(OFFSET(分析データ!D$1,MAX(1,ROW()-$C$7),0,MIN($C$7,ROW()-1),1)),0))</f>
        <v/>
      </c>
      <c r="BG54">
        <f t="shared" ca="1" si="8"/>
        <v>0</v>
      </c>
      <c r="BH54" t="str">
        <f ca="1">IF(BG54=1,IF(INDEX(分析データ!$A:$A,ROW()+$C$5)&lt;&gt;"",50000*SIGN(BF54)*(分析データ!D54-INDEX(分析データ!D:D,ROW()+$C$5)),""),"")</f>
        <v/>
      </c>
      <c r="BI54">
        <f t="shared" ca="1" si="9"/>
        <v>0</v>
      </c>
      <c r="BJ54">
        <f t="shared" ca="1" si="10"/>
        <v>0</v>
      </c>
      <c r="BK54">
        <f t="shared" ca="1" si="11"/>
        <v>0</v>
      </c>
      <c r="BL54" t="str">
        <f ca="1">IF(ROW()&lt;($C$7+1),"",IFERROR((分析データ!E54-AVERAGE(OFFSET(分析データ!E$1,MAX(1,ROW()-$C$7),0,MIN($C$7,ROW()-1),1)))/STDEV(OFFSET(分析データ!E$1,MAX(1,ROW()-$C$7),0,MIN($C$7,ROW()-1),1)),0))</f>
        <v/>
      </c>
      <c r="BM54">
        <f t="shared" ca="1" si="12"/>
        <v>0</v>
      </c>
      <c r="BN54" t="str">
        <f ca="1">IF(BM54=1,IF(INDEX(分析データ!$A:$A,ROW()+$C$5)&lt;&gt;"",40000*SIGN(BL54)*(分析データ!E54-INDEX(分析データ!E:E,ROW()+$C$5)),""),"")</f>
        <v/>
      </c>
      <c r="BO54">
        <f t="shared" ca="1" si="13"/>
        <v>0</v>
      </c>
      <c r="BP54">
        <f t="shared" ca="1" si="14"/>
        <v>0</v>
      </c>
      <c r="BQ54">
        <f t="shared" ca="1" si="15"/>
        <v>0</v>
      </c>
      <c r="BR54" t="str">
        <f ca="1">IF(ROW()&lt;($C$7+1),"",IFERROR((分析データ!F54-AVERAGE(OFFSET(分析データ!F$1,MAX(1,ROW()-$C$7),0,MIN($C$7,ROW()-1),1)))/STDEV(OFFSET(分析データ!F$1,MAX(1,ROW()-$C$7),0,MIN($C$7,ROW()-1),1)),0))</f>
        <v/>
      </c>
      <c r="BS54">
        <f t="shared" ca="1" si="16"/>
        <v>0</v>
      </c>
      <c r="BT54" t="str">
        <f ca="1">IF(BS54=1,IF(INDEX(分析データ!$A:$A,ROW()+$C$5)&lt;&gt;"",40000*SIGN(BR54)*(分析データ!F54-INDEX(分析データ!F:F,ROW()+$C$5)),""),"")</f>
        <v/>
      </c>
      <c r="BU54">
        <f t="shared" ca="1" si="17"/>
        <v>0</v>
      </c>
      <c r="BV54">
        <f t="shared" ca="1" si="18"/>
        <v>0</v>
      </c>
      <c r="BW54">
        <f t="shared" ca="1" si="19"/>
        <v>0</v>
      </c>
      <c r="BX54" t="str">
        <f ca="1">IF(ROW()&lt;($C$7+1),"",IFERROR((分析データ!G54-AVERAGE(OFFSET(分析データ!G$1,MAX(1,ROW()-$C$7),0,MIN($C$7,ROW()-1),1)))/STDEV(OFFSET(分析データ!G$1,MAX(1,ROW()-$C$7),0,MIN($C$7,ROW()-1),1)),0))</f>
        <v/>
      </c>
      <c r="BY54">
        <f t="shared" ca="1" si="20"/>
        <v>0</v>
      </c>
      <c r="BZ54" t="str">
        <f ca="1">IF(BY54=1,IF(INDEX(分析データ!$A:$A,ROW()+$C$5)&lt;&gt;"",40000*SIGN(BX54)*(分析データ!G54-INDEX(分析データ!G:G,ROW()+$C$5)),""),"")</f>
        <v/>
      </c>
      <c r="CA54">
        <f t="shared" ca="1" si="21"/>
        <v>0</v>
      </c>
      <c r="CB54">
        <f t="shared" ca="1" si="22"/>
        <v>0</v>
      </c>
      <c r="CC54">
        <f t="shared" ca="1" si="23"/>
        <v>0</v>
      </c>
      <c r="CD54">
        <f t="shared" ca="1" si="24"/>
        <v>0</v>
      </c>
      <c r="CE54">
        <f t="shared" ca="1" si="25"/>
        <v>0</v>
      </c>
      <c r="CF54">
        <f t="shared" ca="1" si="26"/>
        <v>0</v>
      </c>
      <c r="CG54">
        <f t="shared" ca="1" si="27"/>
        <v>0</v>
      </c>
      <c r="CH54" s="10">
        <f>分析データ!A54</f>
        <v>45005</v>
      </c>
    </row>
    <row r="55" spans="46:86">
      <c r="AT55" t="str">
        <f ca="1">IF(ROW()&lt;($C$7+1),"",IFERROR((分析データ!B55-AVERAGE(OFFSET(分析データ!B$1,MAX(1,ROW()-$C$7),0,MIN($C$7,ROW()-1),1)))/STDEV(OFFSET(分析データ!B$1,MAX(1,ROW()-$C$7),0,MIN($C$7,ROW()-1),1)),0))</f>
        <v/>
      </c>
      <c r="AU55">
        <f t="shared" ca="1" si="0"/>
        <v>0</v>
      </c>
      <c r="AV55" t="str">
        <f ca="1">IF(AU55=1,IF(INDEX(分析データ!$A:$A,ROW()+$C$5)&lt;&gt;"",80000*SIGN(AT55)*(分析データ!B55-INDEX(分析データ!B:B,ROW()+$C$5)),""),"")</f>
        <v/>
      </c>
      <c r="AW55">
        <f t="shared" ca="1" si="1"/>
        <v>0</v>
      </c>
      <c r="AX55">
        <f t="shared" ca="1" si="2"/>
        <v>0</v>
      </c>
      <c r="AY55">
        <f t="shared" ca="1" si="3"/>
        <v>0</v>
      </c>
      <c r="AZ55" t="str">
        <f ca="1">IF(ROW()&lt;($C$7+1),"",IFERROR((分析データ!C55-AVERAGE(OFFSET(分析データ!C$1,MAX(1,ROW()-$C$7),0,MIN($C$7,ROW()-1),1)))/STDEV(OFFSET(分析データ!C$1,MAX(1,ROW()-$C$7),0,MIN($C$7,ROW()-1),1)),0))</f>
        <v/>
      </c>
      <c r="BA55">
        <f t="shared" ca="1" si="4"/>
        <v>0</v>
      </c>
      <c r="BB55" t="str">
        <f ca="1">IF(BA55=1,IF(INDEX(分析データ!$A:$A,ROW()+$C$5)&lt;&gt;"",60000*SIGN(AZ55)*(分析データ!C55-INDEX(分析データ!C:C,ROW()+$C$5)),""),"")</f>
        <v/>
      </c>
      <c r="BC55">
        <f t="shared" ca="1" si="5"/>
        <v>0</v>
      </c>
      <c r="BD55">
        <f t="shared" ca="1" si="6"/>
        <v>0</v>
      </c>
      <c r="BE55">
        <f t="shared" ca="1" si="7"/>
        <v>0</v>
      </c>
      <c r="BF55" t="str">
        <f ca="1">IF(ROW()&lt;($C$7+1),"",IFERROR((分析データ!D55-AVERAGE(OFFSET(分析データ!D$1,MAX(1,ROW()-$C$7),0,MIN($C$7,ROW()-1),1)))/STDEV(OFFSET(分析データ!D$1,MAX(1,ROW()-$C$7),0,MIN($C$7,ROW()-1),1)),0))</f>
        <v/>
      </c>
      <c r="BG55">
        <f t="shared" ca="1" si="8"/>
        <v>0</v>
      </c>
      <c r="BH55" t="str">
        <f ca="1">IF(BG55=1,IF(INDEX(分析データ!$A:$A,ROW()+$C$5)&lt;&gt;"",50000*SIGN(BF55)*(分析データ!D55-INDEX(分析データ!D:D,ROW()+$C$5)),""),"")</f>
        <v/>
      </c>
      <c r="BI55">
        <f t="shared" ca="1" si="9"/>
        <v>0</v>
      </c>
      <c r="BJ55">
        <f t="shared" ca="1" si="10"/>
        <v>0</v>
      </c>
      <c r="BK55">
        <f t="shared" ca="1" si="11"/>
        <v>0</v>
      </c>
      <c r="BL55" t="str">
        <f ca="1">IF(ROW()&lt;($C$7+1),"",IFERROR((分析データ!E55-AVERAGE(OFFSET(分析データ!E$1,MAX(1,ROW()-$C$7),0,MIN($C$7,ROW()-1),1)))/STDEV(OFFSET(分析データ!E$1,MAX(1,ROW()-$C$7),0,MIN($C$7,ROW()-1),1)),0))</f>
        <v/>
      </c>
      <c r="BM55">
        <f t="shared" ca="1" si="12"/>
        <v>0</v>
      </c>
      <c r="BN55" t="str">
        <f ca="1">IF(BM55=1,IF(INDEX(分析データ!$A:$A,ROW()+$C$5)&lt;&gt;"",40000*SIGN(BL55)*(分析データ!E55-INDEX(分析データ!E:E,ROW()+$C$5)),""),"")</f>
        <v/>
      </c>
      <c r="BO55">
        <f t="shared" ca="1" si="13"/>
        <v>0</v>
      </c>
      <c r="BP55">
        <f t="shared" ca="1" si="14"/>
        <v>0</v>
      </c>
      <c r="BQ55">
        <f t="shared" ca="1" si="15"/>
        <v>0</v>
      </c>
      <c r="BR55" t="str">
        <f ca="1">IF(ROW()&lt;($C$7+1),"",IFERROR((分析データ!F55-AVERAGE(OFFSET(分析データ!F$1,MAX(1,ROW()-$C$7),0,MIN($C$7,ROW()-1),1)))/STDEV(OFFSET(分析データ!F$1,MAX(1,ROW()-$C$7),0,MIN($C$7,ROW()-1),1)),0))</f>
        <v/>
      </c>
      <c r="BS55">
        <f t="shared" ca="1" si="16"/>
        <v>0</v>
      </c>
      <c r="BT55" t="str">
        <f ca="1">IF(BS55=1,IF(INDEX(分析データ!$A:$A,ROW()+$C$5)&lt;&gt;"",40000*SIGN(BR55)*(分析データ!F55-INDEX(分析データ!F:F,ROW()+$C$5)),""),"")</f>
        <v/>
      </c>
      <c r="BU55">
        <f t="shared" ca="1" si="17"/>
        <v>0</v>
      </c>
      <c r="BV55">
        <f t="shared" ca="1" si="18"/>
        <v>0</v>
      </c>
      <c r="BW55">
        <f t="shared" ca="1" si="19"/>
        <v>0</v>
      </c>
      <c r="BX55" t="str">
        <f ca="1">IF(ROW()&lt;($C$7+1),"",IFERROR((分析データ!G55-AVERAGE(OFFSET(分析データ!G$1,MAX(1,ROW()-$C$7),0,MIN($C$7,ROW()-1),1)))/STDEV(OFFSET(分析データ!G$1,MAX(1,ROW()-$C$7),0,MIN($C$7,ROW()-1),1)),0))</f>
        <v/>
      </c>
      <c r="BY55">
        <f t="shared" ca="1" si="20"/>
        <v>0</v>
      </c>
      <c r="BZ55" t="str">
        <f ca="1">IF(BY55=1,IF(INDEX(分析データ!$A:$A,ROW()+$C$5)&lt;&gt;"",40000*SIGN(BX55)*(分析データ!G55-INDEX(分析データ!G:G,ROW()+$C$5)),""),"")</f>
        <v/>
      </c>
      <c r="CA55">
        <f t="shared" ca="1" si="21"/>
        <v>0</v>
      </c>
      <c r="CB55">
        <f t="shared" ca="1" si="22"/>
        <v>0</v>
      </c>
      <c r="CC55">
        <f t="shared" ca="1" si="23"/>
        <v>0</v>
      </c>
      <c r="CD55">
        <f t="shared" ca="1" si="24"/>
        <v>0</v>
      </c>
      <c r="CE55">
        <f t="shared" ca="1" si="25"/>
        <v>0</v>
      </c>
      <c r="CF55">
        <f t="shared" ca="1" si="26"/>
        <v>0</v>
      </c>
      <c r="CG55">
        <f t="shared" ca="1" si="27"/>
        <v>0</v>
      </c>
      <c r="CH55" s="10">
        <f>分析データ!A55</f>
        <v>45006</v>
      </c>
    </row>
    <row r="56" spans="46:86">
      <c r="AT56" t="str">
        <f ca="1">IF(ROW()&lt;($C$7+1),"",IFERROR((分析データ!B56-AVERAGE(OFFSET(分析データ!B$1,MAX(1,ROW()-$C$7),0,MIN($C$7,ROW()-1),1)))/STDEV(OFFSET(分析データ!B$1,MAX(1,ROW()-$C$7),0,MIN($C$7,ROW()-1),1)),0))</f>
        <v/>
      </c>
      <c r="AU56">
        <f t="shared" ca="1" si="0"/>
        <v>0</v>
      </c>
      <c r="AV56" t="str">
        <f ca="1">IF(AU56=1,IF(INDEX(分析データ!$A:$A,ROW()+$C$5)&lt;&gt;"",80000*SIGN(AT56)*(分析データ!B56-INDEX(分析データ!B:B,ROW()+$C$5)),""),"")</f>
        <v/>
      </c>
      <c r="AW56">
        <f t="shared" ca="1" si="1"/>
        <v>0</v>
      </c>
      <c r="AX56">
        <f t="shared" ca="1" si="2"/>
        <v>0</v>
      </c>
      <c r="AY56">
        <f t="shared" ca="1" si="3"/>
        <v>0</v>
      </c>
      <c r="AZ56" t="str">
        <f ca="1">IF(ROW()&lt;($C$7+1),"",IFERROR((分析データ!C56-AVERAGE(OFFSET(分析データ!C$1,MAX(1,ROW()-$C$7),0,MIN($C$7,ROW()-1),1)))/STDEV(OFFSET(分析データ!C$1,MAX(1,ROW()-$C$7),0,MIN($C$7,ROW()-1),1)),0))</f>
        <v/>
      </c>
      <c r="BA56">
        <f t="shared" ca="1" si="4"/>
        <v>0</v>
      </c>
      <c r="BB56" t="str">
        <f ca="1">IF(BA56=1,IF(INDEX(分析データ!$A:$A,ROW()+$C$5)&lt;&gt;"",60000*SIGN(AZ56)*(分析データ!C56-INDEX(分析データ!C:C,ROW()+$C$5)),""),"")</f>
        <v/>
      </c>
      <c r="BC56">
        <f t="shared" ca="1" si="5"/>
        <v>0</v>
      </c>
      <c r="BD56">
        <f t="shared" ca="1" si="6"/>
        <v>0</v>
      </c>
      <c r="BE56">
        <f t="shared" ca="1" si="7"/>
        <v>0</v>
      </c>
      <c r="BF56" t="str">
        <f ca="1">IF(ROW()&lt;($C$7+1),"",IFERROR((分析データ!D56-AVERAGE(OFFSET(分析データ!D$1,MAX(1,ROW()-$C$7),0,MIN($C$7,ROW()-1),1)))/STDEV(OFFSET(分析データ!D$1,MAX(1,ROW()-$C$7),0,MIN($C$7,ROW()-1),1)),0))</f>
        <v/>
      </c>
      <c r="BG56">
        <f t="shared" ca="1" si="8"/>
        <v>0</v>
      </c>
      <c r="BH56" t="str">
        <f ca="1">IF(BG56=1,IF(INDEX(分析データ!$A:$A,ROW()+$C$5)&lt;&gt;"",50000*SIGN(BF56)*(分析データ!D56-INDEX(分析データ!D:D,ROW()+$C$5)),""),"")</f>
        <v/>
      </c>
      <c r="BI56">
        <f t="shared" ca="1" si="9"/>
        <v>0</v>
      </c>
      <c r="BJ56">
        <f t="shared" ca="1" si="10"/>
        <v>0</v>
      </c>
      <c r="BK56">
        <f t="shared" ca="1" si="11"/>
        <v>0</v>
      </c>
      <c r="BL56" t="str">
        <f ca="1">IF(ROW()&lt;($C$7+1),"",IFERROR((分析データ!E56-AVERAGE(OFFSET(分析データ!E$1,MAX(1,ROW()-$C$7),0,MIN($C$7,ROW()-1),1)))/STDEV(OFFSET(分析データ!E$1,MAX(1,ROW()-$C$7),0,MIN($C$7,ROW()-1),1)),0))</f>
        <v/>
      </c>
      <c r="BM56">
        <f t="shared" ca="1" si="12"/>
        <v>0</v>
      </c>
      <c r="BN56" t="str">
        <f ca="1">IF(BM56=1,IF(INDEX(分析データ!$A:$A,ROW()+$C$5)&lt;&gt;"",40000*SIGN(BL56)*(分析データ!E56-INDEX(分析データ!E:E,ROW()+$C$5)),""),"")</f>
        <v/>
      </c>
      <c r="BO56">
        <f t="shared" ca="1" si="13"/>
        <v>0</v>
      </c>
      <c r="BP56">
        <f t="shared" ca="1" si="14"/>
        <v>0</v>
      </c>
      <c r="BQ56">
        <f t="shared" ca="1" si="15"/>
        <v>0</v>
      </c>
      <c r="BR56" t="str">
        <f ca="1">IF(ROW()&lt;($C$7+1),"",IFERROR((分析データ!F56-AVERAGE(OFFSET(分析データ!F$1,MAX(1,ROW()-$C$7),0,MIN($C$7,ROW()-1),1)))/STDEV(OFFSET(分析データ!F$1,MAX(1,ROW()-$C$7),0,MIN($C$7,ROW()-1),1)),0))</f>
        <v/>
      </c>
      <c r="BS56">
        <f t="shared" ca="1" si="16"/>
        <v>0</v>
      </c>
      <c r="BT56" t="str">
        <f ca="1">IF(BS56=1,IF(INDEX(分析データ!$A:$A,ROW()+$C$5)&lt;&gt;"",40000*SIGN(BR56)*(分析データ!F56-INDEX(分析データ!F:F,ROW()+$C$5)),""),"")</f>
        <v/>
      </c>
      <c r="BU56">
        <f t="shared" ca="1" si="17"/>
        <v>0</v>
      </c>
      <c r="BV56">
        <f t="shared" ca="1" si="18"/>
        <v>0</v>
      </c>
      <c r="BW56">
        <f t="shared" ca="1" si="19"/>
        <v>0</v>
      </c>
      <c r="BX56" t="str">
        <f ca="1">IF(ROW()&lt;($C$7+1),"",IFERROR((分析データ!G56-AVERAGE(OFFSET(分析データ!G$1,MAX(1,ROW()-$C$7),0,MIN($C$7,ROW()-1),1)))/STDEV(OFFSET(分析データ!G$1,MAX(1,ROW()-$C$7),0,MIN($C$7,ROW()-1),1)),0))</f>
        <v/>
      </c>
      <c r="BY56">
        <f t="shared" ca="1" si="20"/>
        <v>0</v>
      </c>
      <c r="BZ56" t="str">
        <f ca="1">IF(BY56=1,IF(INDEX(分析データ!$A:$A,ROW()+$C$5)&lt;&gt;"",40000*SIGN(BX56)*(分析データ!G56-INDEX(分析データ!G:G,ROW()+$C$5)),""),"")</f>
        <v/>
      </c>
      <c r="CA56">
        <f t="shared" ca="1" si="21"/>
        <v>0</v>
      </c>
      <c r="CB56">
        <f t="shared" ca="1" si="22"/>
        <v>0</v>
      </c>
      <c r="CC56">
        <f t="shared" ca="1" si="23"/>
        <v>0</v>
      </c>
      <c r="CD56">
        <f t="shared" ca="1" si="24"/>
        <v>0</v>
      </c>
      <c r="CE56">
        <f t="shared" ca="1" si="25"/>
        <v>0</v>
      </c>
      <c r="CF56">
        <f t="shared" ca="1" si="26"/>
        <v>0</v>
      </c>
      <c r="CG56">
        <f t="shared" ca="1" si="27"/>
        <v>0</v>
      </c>
      <c r="CH56" s="10">
        <f>分析データ!A56</f>
        <v>45007</v>
      </c>
    </row>
    <row r="57" spans="46:86">
      <c r="AT57" t="str">
        <f ca="1">IF(ROW()&lt;($C$7+1),"",IFERROR((分析データ!B57-AVERAGE(OFFSET(分析データ!B$1,MAX(1,ROW()-$C$7),0,MIN($C$7,ROW()-1),1)))/STDEV(OFFSET(分析データ!B$1,MAX(1,ROW()-$C$7),0,MIN($C$7,ROW()-1),1)),0))</f>
        <v/>
      </c>
      <c r="AU57">
        <f t="shared" ca="1" si="0"/>
        <v>0</v>
      </c>
      <c r="AV57" t="str">
        <f ca="1">IF(AU57=1,IF(INDEX(分析データ!$A:$A,ROW()+$C$5)&lt;&gt;"",80000*SIGN(AT57)*(分析データ!B57-INDEX(分析データ!B:B,ROW()+$C$5)),""),"")</f>
        <v/>
      </c>
      <c r="AW57">
        <f t="shared" ca="1" si="1"/>
        <v>0</v>
      </c>
      <c r="AX57">
        <f t="shared" ca="1" si="2"/>
        <v>0</v>
      </c>
      <c r="AY57">
        <f t="shared" ca="1" si="3"/>
        <v>0</v>
      </c>
      <c r="AZ57" t="str">
        <f ca="1">IF(ROW()&lt;($C$7+1),"",IFERROR((分析データ!C57-AVERAGE(OFFSET(分析データ!C$1,MAX(1,ROW()-$C$7),0,MIN($C$7,ROW()-1),1)))/STDEV(OFFSET(分析データ!C$1,MAX(1,ROW()-$C$7),0,MIN($C$7,ROW()-1),1)),0))</f>
        <v/>
      </c>
      <c r="BA57">
        <f t="shared" ca="1" si="4"/>
        <v>0</v>
      </c>
      <c r="BB57" t="str">
        <f ca="1">IF(BA57=1,IF(INDEX(分析データ!$A:$A,ROW()+$C$5)&lt;&gt;"",60000*SIGN(AZ57)*(分析データ!C57-INDEX(分析データ!C:C,ROW()+$C$5)),""),"")</f>
        <v/>
      </c>
      <c r="BC57">
        <f t="shared" ca="1" si="5"/>
        <v>0</v>
      </c>
      <c r="BD57">
        <f t="shared" ca="1" si="6"/>
        <v>0</v>
      </c>
      <c r="BE57">
        <f t="shared" ca="1" si="7"/>
        <v>0</v>
      </c>
      <c r="BF57" t="str">
        <f ca="1">IF(ROW()&lt;($C$7+1),"",IFERROR((分析データ!D57-AVERAGE(OFFSET(分析データ!D$1,MAX(1,ROW()-$C$7),0,MIN($C$7,ROW()-1),1)))/STDEV(OFFSET(分析データ!D$1,MAX(1,ROW()-$C$7),0,MIN($C$7,ROW()-1),1)),0))</f>
        <v/>
      </c>
      <c r="BG57">
        <f t="shared" ca="1" si="8"/>
        <v>0</v>
      </c>
      <c r="BH57" t="str">
        <f ca="1">IF(BG57=1,IF(INDEX(分析データ!$A:$A,ROW()+$C$5)&lt;&gt;"",50000*SIGN(BF57)*(分析データ!D57-INDEX(分析データ!D:D,ROW()+$C$5)),""),"")</f>
        <v/>
      </c>
      <c r="BI57">
        <f t="shared" ca="1" si="9"/>
        <v>0</v>
      </c>
      <c r="BJ57">
        <f t="shared" ca="1" si="10"/>
        <v>0</v>
      </c>
      <c r="BK57">
        <f t="shared" ca="1" si="11"/>
        <v>0</v>
      </c>
      <c r="BL57" t="str">
        <f ca="1">IF(ROW()&lt;($C$7+1),"",IFERROR((分析データ!E57-AVERAGE(OFFSET(分析データ!E$1,MAX(1,ROW()-$C$7),0,MIN($C$7,ROW()-1),1)))/STDEV(OFFSET(分析データ!E$1,MAX(1,ROW()-$C$7),0,MIN($C$7,ROW()-1),1)),0))</f>
        <v/>
      </c>
      <c r="BM57">
        <f t="shared" ca="1" si="12"/>
        <v>0</v>
      </c>
      <c r="BN57" t="str">
        <f ca="1">IF(BM57=1,IF(INDEX(分析データ!$A:$A,ROW()+$C$5)&lt;&gt;"",40000*SIGN(BL57)*(分析データ!E57-INDEX(分析データ!E:E,ROW()+$C$5)),""),"")</f>
        <v/>
      </c>
      <c r="BO57">
        <f t="shared" ca="1" si="13"/>
        <v>0</v>
      </c>
      <c r="BP57">
        <f t="shared" ca="1" si="14"/>
        <v>0</v>
      </c>
      <c r="BQ57">
        <f t="shared" ca="1" si="15"/>
        <v>0</v>
      </c>
      <c r="BR57" t="str">
        <f ca="1">IF(ROW()&lt;($C$7+1),"",IFERROR((分析データ!F57-AVERAGE(OFFSET(分析データ!F$1,MAX(1,ROW()-$C$7),0,MIN($C$7,ROW()-1),1)))/STDEV(OFFSET(分析データ!F$1,MAX(1,ROW()-$C$7),0,MIN($C$7,ROW()-1),1)),0))</f>
        <v/>
      </c>
      <c r="BS57">
        <f t="shared" ca="1" si="16"/>
        <v>0</v>
      </c>
      <c r="BT57" t="str">
        <f ca="1">IF(BS57=1,IF(INDEX(分析データ!$A:$A,ROW()+$C$5)&lt;&gt;"",40000*SIGN(BR57)*(分析データ!F57-INDEX(分析データ!F:F,ROW()+$C$5)),""),"")</f>
        <v/>
      </c>
      <c r="BU57">
        <f t="shared" ca="1" si="17"/>
        <v>0</v>
      </c>
      <c r="BV57">
        <f t="shared" ca="1" si="18"/>
        <v>0</v>
      </c>
      <c r="BW57">
        <f t="shared" ca="1" si="19"/>
        <v>0</v>
      </c>
      <c r="BX57" t="str">
        <f ca="1">IF(ROW()&lt;($C$7+1),"",IFERROR((分析データ!G57-AVERAGE(OFFSET(分析データ!G$1,MAX(1,ROW()-$C$7),0,MIN($C$7,ROW()-1),1)))/STDEV(OFFSET(分析データ!G$1,MAX(1,ROW()-$C$7),0,MIN($C$7,ROW()-1),1)),0))</f>
        <v/>
      </c>
      <c r="BY57">
        <f t="shared" ca="1" si="20"/>
        <v>0</v>
      </c>
      <c r="BZ57" t="str">
        <f ca="1">IF(BY57=1,IF(INDEX(分析データ!$A:$A,ROW()+$C$5)&lt;&gt;"",40000*SIGN(BX57)*(分析データ!G57-INDEX(分析データ!G:G,ROW()+$C$5)),""),"")</f>
        <v/>
      </c>
      <c r="CA57">
        <f t="shared" ca="1" si="21"/>
        <v>0</v>
      </c>
      <c r="CB57">
        <f t="shared" ca="1" si="22"/>
        <v>0</v>
      </c>
      <c r="CC57">
        <f t="shared" ca="1" si="23"/>
        <v>0</v>
      </c>
      <c r="CD57">
        <f t="shared" ca="1" si="24"/>
        <v>0</v>
      </c>
      <c r="CE57">
        <f t="shared" ca="1" si="25"/>
        <v>0</v>
      </c>
      <c r="CF57">
        <f t="shared" ca="1" si="26"/>
        <v>0</v>
      </c>
      <c r="CG57">
        <f t="shared" ca="1" si="27"/>
        <v>0</v>
      </c>
      <c r="CH57" s="10">
        <f>分析データ!A57</f>
        <v>45008</v>
      </c>
    </row>
    <row r="58" spans="46:86">
      <c r="AT58" t="str">
        <f ca="1">IF(ROW()&lt;($C$7+1),"",IFERROR((分析データ!B58-AVERAGE(OFFSET(分析データ!B$1,MAX(1,ROW()-$C$7),0,MIN($C$7,ROW()-1),1)))/STDEV(OFFSET(分析データ!B$1,MAX(1,ROW()-$C$7),0,MIN($C$7,ROW()-1),1)),0))</f>
        <v/>
      </c>
      <c r="AU58">
        <f t="shared" ca="1" si="0"/>
        <v>0</v>
      </c>
      <c r="AV58" t="str">
        <f ca="1">IF(AU58=1,IF(INDEX(分析データ!$A:$A,ROW()+$C$5)&lt;&gt;"",80000*SIGN(AT58)*(分析データ!B58-INDEX(分析データ!B:B,ROW()+$C$5)),""),"")</f>
        <v/>
      </c>
      <c r="AW58">
        <f t="shared" ca="1" si="1"/>
        <v>0</v>
      </c>
      <c r="AX58">
        <f t="shared" ca="1" si="2"/>
        <v>0</v>
      </c>
      <c r="AY58">
        <f t="shared" ca="1" si="3"/>
        <v>0</v>
      </c>
      <c r="AZ58" t="str">
        <f ca="1">IF(ROW()&lt;($C$7+1),"",IFERROR((分析データ!C58-AVERAGE(OFFSET(分析データ!C$1,MAX(1,ROW()-$C$7),0,MIN($C$7,ROW()-1),1)))/STDEV(OFFSET(分析データ!C$1,MAX(1,ROW()-$C$7),0,MIN($C$7,ROW()-1),1)),0))</f>
        <v/>
      </c>
      <c r="BA58">
        <f t="shared" ca="1" si="4"/>
        <v>0</v>
      </c>
      <c r="BB58" t="str">
        <f ca="1">IF(BA58=1,IF(INDEX(分析データ!$A:$A,ROW()+$C$5)&lt;&gt;"",60000*SIGN(AZ58)*(分析データ!C58-INDEX(分析データ!C:C,ROW()+$C$5)),""),"")</f>
        <v/>
      </c>
      <c r="BC58">
        <f t="shared" ca="1" si="5"/>
        <v>0</v>
      </c>
      <c r="BD58">
        <f t="shared" ca="1" si="6"/>
        <v>0</v>
      </c>
      <c r="BE58">
        <f t="shared" ca="1" si="7"/>
        <v>0</v>
      </c>
      <c r="BF58" t="str">
        <f ca="1">IF(ROW()&lt;($C$7+1),"",IFERROR((分析データ!D58-AVERAGE(OFFSET(分析データ!D$1,MAX(1,ROW()-$C$7),0,MIN($C$7,ROW()-1),1)))/STDEV(OFFSET(分析データ!D$1,MAX(1,ROW()-$C$7),0,MIN($C$7,ROW()-1),1)),0))</f>
        <v/>
      </c>
      <c r="BG58">
        <f t="shared" ca="1" si="8"/>
        <v>0</v>
      </c>
      <c r="BH58" t="str">
        <f ca="1">IF(BG58=1,IF(INDEX(分析データ!$A:$A,ROW()+$C$5)&lt;&gt;"",50000*SIGN(BF58)*(分析データ!D58-INDEX(分析データ!D:D,ROW()+$C$5)),""),"")</f>
        <v/>
      </c>
      <c r="BI58">
        <f t="shared" ca="1" si="9"/>
        <v>0</v>
      </c>
      <c r="BJ58">
        <f t="shared" ca="1" si="10"/>
        <v>0</v>
      </c>
      <c r="BK58">
        <f t="shared" ca="1" si="11"/>
        <v>0</v>
      </c>
      <c r="BL58" t="str">
        <f ca="1">IF(ROW()&lt;($C$7+1),"",IFERROR((分析データ!E58-AVERAGE(OFFSET(分析データ!E$1,MAX(1,ROW()-$C$7),0,MIN($C$7,ROW()-1),1)))/STDEV(OFFSET(分析データ!E$1,MAX(1,ROW()-$C$7),0,MIN($C$7,ROW()-1),1)),0))</f>
        <v/>
      </c>
      <c r="BM58">
        <f t="shared" ca="1" si="12"/>
        <v>0</v>
      </c>
      <c r="BN58" t="str">
        <f ca="1">IF(BM58=1,IF(INDEX(分析データ!$A:$A,ROW()+$C$5)&lt;&gt;"",40000*SIGN(BL58)*(分析データ!E58-INDEX(分析データ!E:E,ROW()+$C$5)),""),"")</f>
        <v/>
      </c>
      <c r="BO58">
        <f t="shared" ca="1" si="13"/>
        <v>0</v>
      </c>
      <c r="BP58">
        <f t="shared" ca="1" si="14"/>
        <v>0</v>
      </c>
      <c r="BQ58">
        <f t="shared" ca="1" si="15"/>
        <v>0</v>
      </c>
      <c r="BR58" t="str">
        <f ca="1">IF(ROW()&lt;($C$7+1),"",IFERROR((分析データ!F58-AVERAGE(OFFSET(分析データ!F$1,MAX(1,ROW()-$C$7),0,MIN($C$7,ROW()-1),1)))/STDEV(OFFSET(分析データ!F$1,MAX(1,ROW()-$C$7),0,MIN($C$7,ROW()-1),1)),0))</f>
        <v/>
      </c>
      <c r="BS58">
        <f t="shared" ca="1" si="16"/>
        <v>0</v>
      </c>
      <c r="BT58" t="str">
        <f ca="1">IF(BS58=1,IF(INDEX(分析データ!$A:$A,ROW()+$C$5)&lt;&gt;"",40000*SIGN(BR58)*(分析データ!F58-INDEX(分析データ!F:F,ROW()+$C$5)),""),"")</f>
        <v/>
      </c>
      <c r="BU58">
        <f t="shared" ca="1" si="17"/>
        <v>0</v>
      </c>
      <c r="BV58">
        <f t="shared" ca="1" si="18"/>
        <v>0</v>
      </c>
      <c r="BW58">
        <f t="shared" ca="1" si="19"/>
        <v>0</v>
      </c>
      <c r="BX58" t="str">
        <f ca="1">IF(ROW()&lt;($C$7+1),"",IFERROR((分析データ!G58-AVERAGE(OFFSET(分析データ!G$1,MAX(1,ROW()-$C$7),0,MIN($C$7,ROW()-1),1)))/STDEV(OFFSET(分析データ!G$1,MAX(1,ROW()-$C$7),0,MIN($C$7,ROW()-1),1)),0))</f>
        <v/>
      </c>
      <c r="BY58">
        <f t="shared" ca="1" si="20"/>
        <v>0</v>
      </c>
      <c r="BZ58" t="str">
        <f ca="1">IF(BY58=1,IF(INDEX(分析データ!$A:$A,ROW()+$C$5)&lt;&gt;"",40000*SIGN(BX58)*(分析データ!G58-INDEX(分析データ!G:G,ROW()+$C$5)),""),"")</f>
        <v/>
      </c>
      <c r="CA58">
        <f t="shared" ca="1" si="21"/>
        <v>0</v>
      </c>
      <c r="CB58">
        <f t="shared" ca="1" si="22"/>
        <v>0</v>
      </c>
      <c r="CC58">
        <f t="shared" ca="1" si="23"/>
        <v>0</v>
      </c>
      <c r="CD58">
        <f t="shared" ca="1" si="24"/>
        <v>0</v>
      </c>
      <c r="CE58">
        <f t="shared" ca="1" si="25"/>
        <v>0</v>
      </c>
      <c r="CF58">
        <f t="shared" ca="1" si="26"/>
        <v>0</v>
      </c>
      <c r="CG58">
        <f t="shared" ca="1" si="27"/>
        <v>0</v>
      </c>
      <c r="CH58" s="10">
        <f>分析データ!A58</f>
        <v>45009</v>
      </c>
    </row>
    <row r="59" spans="46:86">
      <c r="AT59" t="str">
        <f ca="1">IF(ROW()&lt;($C$7+1),"",IFERROR((分析データ!B59-AVERAGE(OFFSET(分析データ!B$1,MAX(1,ROW()-$C$7),0,MIN($C$7,ROW()-1),1)))/STDEV(OFFSET(分析データ!B$1,MAX(1,ROW()-$C$7),0,MIN($C$7,ROW()-1),1)),0))</f>
        <v/>
      </c>
      <c r="AU59">
        <f t="shared" ca="1" si="0"/>
        <v>0</v>
      </c>
      <c r="AV59" t="str">
        <f ca="1">IF(AU59=1,IF(INDEX(分析データ!$A:$A,ROW()+$C$5)&lt;&gt;"",80000*SIGN(AT59)*(分析データ!B59-INDEX(分析データ!B:B,ROW()+$C$5)),""),"")</f>
        <v/>
      </c>
      <c r="AW59">
        <f t="shared" ca="1" si="1"/>
        <v>0</v>
      </c>
      <c r="AX59">
        <f t="shared" ca="1" si="2"/>
        <v>0</v>
      </c>
      <c r="AY59">
        <f t="shared" ca="1" si="3"/>
        <v>0</v>
      </c>
      <c r="AZ59" t="str">
        <f ca="1">IF(ROW()&lt;($C$7+1),"",IFERROR((分析データ!C59-AVERAGE(OFFSET(分析データ!C$1,MAX(1,ROW()-$C$7),0,MIN($C$7,ROW()-1),1)))/STDEV(OFFSET(分析データ!C$1,MAX(1,ROW()-$C$7),0,MIN($C$7,ROW()-1),1)),0))</f>
        <v/>
      </c>
      <c r="BA59">
        <f t="shared" ca="1" si="4"/>
        <v>0</v>
      </c>
      <c r="BB59" t="str">
        <f ca="1">IF(BA59=1,IF(INDEX(分析データ!$A:$A,ROW()+$C$5)&lt;&gt;"",60000*SIGN(AZ59)*(分析データ!C59-INDEX(分析データ!C:C,ROW()+$C$5)),""),"")</f>
        <v/>
      </c>
      <c r="BC59">
        <f t="shared" ca="1" si="5"/>
        <v>0</v>
      </c>
      <c r="BD59">
        <f t="shared" ca="1" si="6"/>
        <v>0</v>
      </c>
      <c r="BE59">
        <f t="shared" ca="1" si="7"/>
        <v>0</v>
      </c>
      <c r="BF59" t="str">
        <f ca="1">IF(ROW()&lt;($C$7+1),"",IFERROR((分析データ!D59-AVERAGE(OFFSET(分析データ!D$1,MAX(1,ROW()-$C$7),0,MIN($C$7,ROW()-1),1)))/STDEV(OFFSET(分析データ!D$1,MAX(1,ROW()-$C$7),0,MIN($C$7,ROW()-1),1)),0))</f>
        <v/>
      </c>
      <c r="BG59">
        <f t="shared" ca="1" si="8"/>
        <v>0</v>
      </c>
      <c r="BH59" t="str">
        <f ca="1">IF(BG59=1,IF(INDEX(分析データ!$A:$A,ROW()+$C$5)&lt;&gt;"",50000*SIGN(BF59)*(分析データ!D59-INDEX(分析データ!D:D,ROW()+$C$5)),""),"")</f>
        <v/>
      </c>
      <c r="BI59">
        <f t="shared" ca="1" si="9"/>
        <v>0</v>
      </c>
      <c r="BJ59">
        <f t="shared" ca="1" si="10"/>
        <v>0</v>
      </c>
      <c r="BK59">
        <f t="shared" ca="1" si="11"/>
        <v>0</v>
      </c>
      <c r="BL59" t="str">
        <f ca="1">IF(ROW()&lt;($C$7+1),"",IFERROR((分析データ!E59-AVERAGE(OFFSET(分析データ!E$1,MAX(1,ROW()-$C$7),0,MIN($C$7,ROW()-1),1)))/STDEV(OFFSET(分析データ!E$1,MAX(1,ROW()-$C$7),0,MIN($C$7,ROW()-1),1)),0))</f>
        <v/>
      </c>
      <c r="BM59">
        <f t="shared" ca="1" si="12"/>
        <v>0</v>
      </c>
      <c r="BN59" t="str">
        <f ca="1">IF(BM59=1,IF(INDEX(分析データ!$A:$A,ROW()+$C$5)&lt;&gt;"",40000*SIGN(BL59)*(分析データ!E59-INDEX(分析データ!E:E,ROW()+$C$5)),""),"")</f>
        <v/>
      </c>
      <c r="BO59">
        <f t="shared" ca="1" si="13"/>
        <v>0</v>
      </c>
      <c r="BP59">
        <f t="shared" ca="1" si="14"/>
        <v>0</v>
      </c>
      <c r="BQ59">
        <f t="shared" ca="1" si="15"/>
        <v>0</v>
      </c>
      <c r="BR59" t="str">
        <f ca="1">IF(ROW()&lt;($C$7+1),"",IFERROR((分析データ!F59-AVERAGE(OFFSET(分析データ!F$1,MAX(1,ROW()-$C$7),0,MIN($C$7,ROW()-1),1)))/STDEV(OFFSET(分析データ!F$1,MAX(1,ROW()-$C$7),0,MIN($C$7,ROW()-1),1)),0))</f>
        <v/>
      </c>
      <c r="BS59">
        <f t="shared" ca="1" si="16"/>
        <v>0</v>
      </c>
      <c r="BT59" t="str">
        <f ca="1">IF(BS59=1,IF(INDEX(分析データ!$A:$A,ROW()+$C$5)&lt;&gt;"",40000*SIGN(BR59)*(分析データ!F59-INDEX(分析データ!F:F,ROW()+$C$5)),""),"")</f>
        <v/>
      </c>
      <c r="BU59">
        <f t="shared" ca="1" si="17"/>
        <v>0</v>
      </c>
      <c r="BV59">
        <f t="shared" ca="1" si="18"/>
        <v>0</v>
      </c>
      <c r="BW59">
        <f t="shared" ca="1" si="19"/>
        <v>0</v>
      </c>
      <c r="BX59" t="str">
        <f ca="1">IF(ROW()&lt;($C$7+1),"",IFERROR((分析データ!G59-AVERAGE(OFFSET(分析データ!G$1,MAX(1,ROW()-$C$7),0,MIN($C$7,ROW()-1),1)))/STDEV(OFFSET(分析データ!G$1,MAX(1,ROW()-$C$7),0,MIN($C$7,ROW()-1),1)),0))</f>
        <v/>
      </c>
      <c r="BY59">
        <f t="shared" ca="1" si="20"/>
        <v>0</v>
      </c>
      <c r="BZ59" t="str">
        <f ca="1">IF(BY59=1,IF(INDEX(分析データ!$A:$A,ROW()+$C$5)&lt;&gt;"",40000*SIGN(BX59)*(分析データ!G59-INDEX(分析データ!G:G,ROW()+$C$5)),""),"")</f>
        <v/>
      </c>
      <c r="CA59">
        <f t="shared" ca="1" si="21"/>
        <v>0</v>
      </c>
      <c r="CB59">
        <f t="shared" ca="1" si="22"/>
        <v>0</v>
      </c>
      <c r="CC59">
        <f t="shared" ca="1" si="23"/>
        <v>0</v>
      </c>
      <c r="CD59">
        <f t="shared" ca="1" si="24"/>
        <v>0</v>
      </c>
      <c r="CE59">
        <f t="shared" ca="1" si="25"/>
        <v>0</v>
      </c>
      <c r="CF59">
        <f t="shared" ca="1" si="26"/>
        <v>0</v>
      </c>
      <c r="CG59">
        <f t="shared" ca="1" si="27"/>
        <v>0</v>
      </c>
      <c r="CH59" s="10">
        <f>分析データ!A59</f>
        <v>45012</v>
      </c>
    </row>
    <row r="60" spans="46:86">
      <c r="AT60" t="str">
        <f ca="1">IF(ROW()&lt;($C$7+1),"",IFERROR((分析データ!B60-AVERAGE(OFFSET(分析データ!B$1,MAX(1,ROW()-$C$7),0,MIN($C$7,ROW()-1),1)))/STDEV(OFFSET(分析データ!B$1,MAX(1,ROW()-$C$7),0,MIN($C$7,ROW()-1),1)),0))</f>
        <v/>
      </c>
      <c r="AU60">
        <f t="shared" ca="1" si="0"/>
        <v>0</v>
      </c>
      <c r="AV60" t="str">
        <f ca="1">IF(AU60=1,IF(INDEX(分析データ!$A:$A,ROW()+$C$5)&lt;&gt;"",80000*SIGN(AT60)*(分析データ!B60-INDEX(分析データ!B:B,ROW()+$C$5)),""),"")</f>
        <v/>
      </c>
      <c r="AW60">
        <f t="shared" ca="1" si="1"/>
        <v>0</v>
      </c>
      <c r="AX60">
        <f t="shared" ca="1" si="2"/>
        <v>0</v>
      </c>
      <c r="AY60">
        <f t="shared" ca="1" si="3"/>
        <v>0</v>
      </c>
      <c r="AZ60" t="str">
        <f ca="1">IF(ROW()&lt;($C$7+1),"",IFERROR((分析データ!C60-AVERAGE(OFFSET(分析データ!C$1,MAX(1,ROW()-$C$7),0,MIN($C$7,ROW()-1),1)))/STDEV(OFFSET(分析データ!C$1,MAX(1,ROW()-$C$7),0,MIN($C$7,ROW()-1),1)),0))</f>
        <v/>
      </c>
      <c r="BA60">
        <f t="shared" ca="1" si="4"/>
        <v>0</v>
      </c>
      <c r="BB60" t="str">
        <f ca="1">IF(BA60=1,IF(INDEX(分析データ!$A:$A,ROW()+$C$5)&lt;&gt;"",60000*SIGN(AZ60)*(分析データ!C60-INDEX(分析データ!C:C,ROW()+$C$5)),""),"")</f>
        <v/>
      </c>
      <c r="BC60">
        <f t="shared" ca="1" si="5"/>
        <v>0</v>
      </c>
      <c r="BD60">
        <f t="shared" ca="1" si="6"/>
        <v>0</v>
      </c>
      <c r="BE60">
        <f t="shared" ca="1" si="7"/>
        <v>0</v>
      </c>
      <c r="BF60" t="str">
        <f ca="1">IF(ROW()&lt;($C$7+1),"",IFERROR((分析データ!D60-AVERAGE(OFFSET(分析データ!D$1,MAX(1,ROW()-$C$7),0,MIN($C$7,ROW()-1),1)))/STDEV(OFFSET(分析データ!D$1,MAX(1,ROW()-$C$7),0,MIN($C$7,ROW()-1),1)),0))</f>
        <v/>
      </c>
      <c r="BG60">
        <f t="shared" ca="1" si="8"/>
        <v>0</v>
      </c>
      <c r="BH60" t="str">
        <f ca="1">IF(BG60=1,IF(INDEX(分析データ!$A:$A,ROW()+$C$5)&lt;&gt;"",50000*SIGN(BF60)*(分析データ!D60-INDEX(分析データ!D:D,ROW()+$C$5)),""),"")</f>
        <v/>
      </c>
      <c r="BI60">
        <f t="shared" ca="1" si="9"/>
        <v>0</v>
      </c>
      <c r="BJ60">
        <f t="shared" ca="1" si="10"/>
        <v>0</v>
      </c>
      <c r="BK60">
        <f t="shared" ca="1" si="11"/>
        <v>0</v>
      </c>
      <c r="BL60" t="str">
        <f ca="1">IF(ROW()&lt;($C$7+1),"",IFERROR((分析データ!E60-AVERAGE(OFFSET(分析データ!E$1,MAX(1,ROW()-$C$7),0,MIN($C$7,ROW()-1),1)))/STDEV(OFFSET(分析データ!E$1,MAX(1,ROW()-$C$7),0,MIN($C$7,ROW()-1),1)),0))</f>
        <v/>
      </c>
      <c r="BM60">
        <f t="shared" ca="1" si="12"/>
        <v>0</v>
      </c>
      <c r="BN60" t="str">
        <f ca="1">IF(BM60=1,IF(INDEX(分析データ!$A:$A,ROW()+$C$5)&lt;&gt;"",40000*SIGN(BL60)*(分析データ!E60-INDEX(分析データ!E:E,ROW()+$C$5)),""),"")</f>
        <v/>
      </c>
      <c r="BO60">
        <f t="shared" ca="1" si="13"/>
        <v>0</v>
      </c>
      <c r="BP60">
        <f t="shared" ca="1" si="14"/>
        <v>0</v>
      </c>
      <c r="BQ60">
        <f t="shared" ca="1" si="15"/>
        <v>0</v>
      </c>
      <c r="BR60" t="str">
        <f ca="1">IF(ROW()&lt;($C$7+1),"",IFERROR((分析データ!F60-AVERAGE(OFFSET(分析データ!F$1,MAX(1,ROW()-$C$7),0,MIN($C$7,ROW()-1),1)))/STDEV(OFFSET(分析データ!F$1,MAX(1,ROW()-$C$7),0,MIN($C$7,ROW()-1),1)),0))</f>
        <v/>
      </c>
      <c r="BS60">
        <f t="shared" ca="1" si="16"/>
        <v>0</v>
      </c>
      <c r="BT60" t="str">
        <f ca="1">IF(BS60=1,IF(INDEX(分析データ!$A:$A,ROW()+$C$5)&lt;&gt;"",40000*SIGN(BR60)*(分析データ!F60-INDEX(分析データ!F:F,ROW()+$C$5)),""),"")</f>
        <v/>
      </c>
      <c r="BU60">
        <f t="shared" ca="1" si="17"/>
        <v>0</v>
      </c>
      <c r="BV60">
        <f t="shared" ca="1" si="18"/>
        <v>0</v>
      </c>
      <c r="BW60">
        <f t="shared" ca="1" si="19"/>
        <v>0</v>
      </c>
      <c r="BX60" t="str">
        <f ca="1">IF(ROW()&lt;($C$7+1),"",IFERROR((分析データ!G60-AVERAGE(OFFSET(分析データ!G$1,MAX(1,ROW()-$C$7),0,MIN($C$7,ROW()-1),1)))/STDEV(OFFSET(分析データ!G$1,MAX(1,ROW()-$C$7),0,MIN($C$7,ROW()-1),1)),0))</f>
        <v/>
      </c>
      <c r="BY60">
        <f t="shared" ca="1" si="20"/>
        <v>0</v>
      </c>
      <c r="BZ60" t="str">
        <f ca="1">IF(BY60=1,IF(INDEX(分析データ!$A:$A,ROW()+$C$5)&lt;&gt;"",40000*SIGN(BX60)*(分析データ!G60-INDEX(分析データ!G:G,ROW()+$C$5)),""),"")</f>
        <v/>
      </c>
      <c r="CA60">
        <f t="shared" ca="1" si="21"/>
        <v>0</v>
      </c>
      <c r="CB60">
        <f t="shared" ca="1" si="22"/>
        <v>0</v>
      </c>
      <c r="CC60">
        <f t="shared" ca="1" si="23"/>
        <v>0</v>
      </c>
      <c r="CD60">
        <f t="shared" ca="1" si="24"/>
        <v>0</v>
      </c>
      <c r="CE60">
        <f t="shared" ca="1" si="25"/>
        <v>0</v>
      </c>
      <c r="CF60">
        <f t="shared" ca="1" si="26"/>
        <v>0</v>
      </c>
      <c r="CG60">
        <f t="shared" ca="1" si="27"/>
        <v>0</v>
      </c>
      <c r="CH60" s="10">
        <f>分析データ!A60</f>
        <v>45013</v>
      </c>
    </row>
    <row r="61" spans="46:86">
      <c r="AT61" t="str">
        <f ca="1">IF(ROW()&lt;($C$7+1),"",IFERROR((分析データ!B61-AVERAGE(OFFSET(分析データ!B$1,MAX(1,ROW()-$C$7),0,MIN($C$7,ROW()-1),1)))/STDEV(OFFSET(分析データ!B$1,MAX(1,ROW()-$C$7),0,MIN($C$7,ROW()-1),1)),0))</f>
        <v/>
      </c>
      <c r="AU61">
        <f t="shared" ca="1" si="0"/>
        <v>0</v>
      </c>
      <c r="AV61" t="str">
        <f ca="1">IF(AU61=1,IF(INDEX(分析データ!$A:$A,ROW()+$C$5)&lt;&gt;"",80000*SIGN(AT61)*(分析データ!B61-INDEX(分析データ!B:B,ROW()+$C$5)),""),"")</f>
        <v/>
      </c>
      <c r="AW61">
        <f t="shared" ca="1" si="1"/>
        <v>0</v>
      </c>
      <c r="AX61">
        <f t="shared" ca="1" si="2"/>
        <v>0</v>
      </c>
      <c r="AY61">
        <f t="shared" ca="1" si="3"/>
        <v>0</v>
      </c>
      <c r="AZ61" t="str">
        <f ca="1">IF(ROW()&lt;($C$7+1),"",IFERROR((分析データ!C61-AVERAGE(OFFSET(分析データ!C$1,MAX(1,ROW()-$C$7),0,MIN($C$7,ROW()-1),1)))/STDEV(OFFSET(分析データ!C$1,MAX(1,ROW()-$C$7),0,MIN($C$7,ROW()-1),1)),0))</f>
        <v/>
      </c>
      <c r="BA61">
        <f t="shared" ca="1" si="4"/>
        <v>0</v>
      </c>
      <c r="BB61" t="str">
        <f ca="1">IF(BA61=1,IF(INDEX(分析データ!$A:$A,ROW()+$C$5)&lt;&gt;"",60000*SIGN(AZ61)*(分析データ!C61-INDEX(分析データ!C:C,ROW()+$C$5)),""),"")</f>
        <v/>
      </c>
      <c r="BC61">
        <f t="shared" ca="1" si="5"/>
        <v>0</v>
      </c>
      <c r="BD61">
        <f t="shared" ca="1" si="6"/>
        <v>0</v>
      </c>
      <c r="BE61">
        <f t="shared" ca="1" si="7"/>
        <v>0</v>
      </c>
      <c r="BF61" t="str">
        <f ca="1">IF(ROW()&lt;($C$7+1),"",IFERROR((分析データ!D61-AVERAGE(OFFSET(分析データ!D$1,MAX(1,ROW()-$C$7),0,MIN($C$7,ROW()-1),1)))/STDEV(OFFSET(分析データ!D$1,MAX(1,ROW()-$C$7),0,MIN($C$7,ROW()-1),1)),0))</f>
        <v/>
      </c>
      <c r="BG61">
        <f t="shared" ca="1" si="8"/>
        <v>0</v>
      </c>
      <c r="BH61" t="str">
        <f ca="1">IF(BG61=1,IF(INDEX(分析データ!$A:$A,ROW()+$C$5)&lt;&gt;"",50000*SIGN(BF61)*(分析データ!D61-INDEX(分析データ!D:D,ROW()+$C$5)),""),"")</f>
        <v/>
      </c>
      <c r="BI61">
        <f t="shared" ca="1" si="9"/>
        <v>0</v>
      </c>
      <c r="BJ61">
        <f t="shared" ca="1" si="10"/>
        <v>0</v>
      </c>
      <c r="BK61">
        <f t="shared" ca="1" si="11"/>
        <v>0</v>
      </c>
      <c r="BL61" t="str">
        <f ca="1">IF(ROW()&lt;($C$7+1),"",IFERROR((分析データ!E61-AVERAGE(OFFSET(分析データ!E$1,MAX(1,ROW()-$C$7),0,MIN($C$7,ROW()-1),1)))/STDEV(OFFSET(分析データ!E$1,MAX(1,ROW()-$C$7),0,MIN($C$7,ROW()-1),1)),0))</f>
        <v/>
      </c>
      <c r="BM61">
        <f t="shared" ca="1" si="12"/>
        <v>0</v>
      </c>
      <c r="BN61" t="str">
        <f ca="1">IF(BM61=1,IF(INDEX(分析データ!$A:$A,ROW()+$C$5)&lt;&gt;"",40000*SIGN(BL61)*(分析データ!E61-INDEX(分析データ!E:E,ROW()+$C$5)),""),"")</f>
        <v/>
      </c>
      <c r="BO61">
        <f t="shared" ca="1" si="13"/>
        <v>0</v>
      </c>
      <c r="BP61">
        <f t="shared" ca="1" si="14"/>
        <v>0</v>
      </c>
      <c r="BQ61">
        <f t="shared" ca="1" si="15"/>
        <v>0</v>
      </c>
      <c r="BR61" t="str">
        <f ca="1">IF(ROW()&lt;($C$7+1),"",IFERROR((分析データ!F61-AVERAGE(OFFSET(分析データ!F$1,MAX(1,ROW()-$C$7),0,MIN($C$7,ROW()-1),1)))/STDEV(OFFSET(分析データ!F$1,MAX(1,ROW()-$C$7),0,MIN($C$7,ROW()-1),1)),0))</f>
        <v/>
      </c>
      <c r="BS61">
        <f t="shared" ca="1" si="16"/>
        <v>0</v>
      </c>
      <c r="BT61" t="str">
        <f ca="1">IF(BS61=1,IF(INDEX(分析データ!$A:$A,ROW()+$C$5)&lt;&gt;"",40000*SIGN(BR61)*(分析データ!F61-INDEX(分析データ!F:F,ROW()+$C$5)),""),"")</f>
        <v/>
      </c>
      <c r="BU61">
        <f t="shared" ca="1" si="17"/>
        <v>0</v>
      </c>
      <c r="BV61">
        <f t="shared" ca="1" si="18"/>
        <v>0</v>
      </c>
      <c r="BW61">
        <f t="shared" ca="1" si="19"/>
        <v>0</v>
      </c>
      <c r="BX61" t="str">
        <f ca="1">IF(ROW()&lt;($C$7+1),"",IFERROR((分析データ!G61-AVERAGE(OFFSET(分析データ!G$1,MAX(1,ROW()-$C$7),0,MIN($C$7,ROW()-1),1)))/STDEV(OFFSET(分析データ!G$1,MAX(1,ROW()-$C$7),0,MIN($C$7,ROW()-1),1)),0))</f>
        <v/>
      </c>
      <c r="BY61">
        <f t="shared" ca="1" si="20"/>
        <v>0</v>
      </c>
      <c r="BZ61" t="str">
        <f ca="1">IF(BY61=1,IF(INDEX(分析データ!$A:$A,ROW()+$C$5)&lt;&gt;"",40000*SIGN(BX61)*(分析データ!G61-INDEX(分析データ!G:G,ROW()+$C$5)),""),"")</f>
        <v/>
      </c>
      <c r="CA61">
        <f t="shared" ca="1" si="21"/>
        <v>0</v>
      </c>
      <c r="CB61">
        <f t="shared" ca="1" si="22"/>
        <v>0</v>
      </c>
      <c r="CC61">
        <f t="shared" ca="1" si="23"/>
        <v>0</v>
      </c>
      <c r="CD61">
        <f t="shared" ca="1" si="24"/>
        <v>0</v>
      </c>
      <c r="CE61">
        <f t="shared" ca="1" si="25"/>
        <v>0</v>
      </c>
      <c r="CF61">
        <f t="shared" ca="1" si="26"/>
        <v>0</v>
      </c>
      <c r="CG61">
        <f t="shared" ca="1" si="27"/>
        <v>0</v>
      </c>
      <c r="CH61" s="10">
        <f>分析データ!A61</f>
        <v>45014</v>
      </c>
    </row>
    <row r="62" spans="46:86">
      <c r="AT62" t="str">
        <f ca="1">IF(ROW()&lt;($C$7+1),"",IFERROR((分析データ!B62-AVERAGE(OFFSET(分析データ!B$1,MAX(1,ROW()-$C$7),0,MIN($C$7,ROW()-1),1)))/STDEV(OFFSET(分析データ!B$1,MAX(1,ROW()-$C$7),0,MIN($C$7,ROW()-1),1)),0))</f>
        <v/>
      </c>
      <c r="AU62">
        <f t="shared" ca="1" si="0"/>
        <v>0</v>
      </c>
      <c r="AV62" t="str">
        <f ca="1">IF(AU62=1,IF(INDEX(分析データ!$A:$A,ROW()+$C$5)&lt;&gt;"",80000*SIGN(AT62)*(分析データ!B62-INDEX(分析データ!B:B,ROW()+$C$5)),""),"")</f>
        <v/>
      </c>
      <c r="AW62">
        <f t="shared" ca="1" si="1"/>
        <v>0</v>
      </c>
      <c r="AX62">
        <f t="shared" ca="1" si="2"/>
        <v>0</v>
      </c>
      <c r="AY62">
        <f t="shared" ca="1" si="3"/>
        <v>0</v>
      </c>
      <c r="AZ62" t="str">
        <f ca="1">IF(ROW()&lt;($C$7+1),"",IFERROR((分析データ!C62-AVERAGE(OFFSET(分析データ!C$1,MAX(1,ROW()-$C$7),0,MIN($C$7,ROW()-1),1)))/STDEV(OFFSET(分析データ!C$1,MAX(1,ROW()-$C$7),0,MIN($C$7,ROW()-1),1)),0))</f>
        <v/>
      </c>
      <c r="BA62">
        <f t="shared" ca="1" si="4"/>
        <v>0</v>
      </c>
      <c r="BB62" t="str">
        <f ca="1">IF(BA62=1,IF(INDEX(分析データ!$A:$A,ROW()+$C$5)&lt;&gt;"",60000*SIGN(AZ62)*(分析データ!C62-INDEX(分析データ!C:C,ROW()+$C$5)),""),"")</f>
        <v/>
      </c>
      <c r="BC62">
        <f t="shared" ca="1" si="5"/>
        <v>0</v>
      </c>
      <c r="BD62">
        <f t="shared" ca="1" si="6"/>
        <v>0</v>
      </c>
      <c r="BE62">
        <f t="shared" ca="1" si="7"/>
        <v>0</v>
      </c>
      <c r="BF62" t="str">
        <f ca="1">IF(ROW()&lt;($C$7+1),"",IFERROR((分析データ!D62-AVERAGE(OFFSET(分析データ!D$1,MAX(1,ROW()-$C$7),0,MIN($C$7,ROW()-1),1)))/STDEV(OFFSET(分析データ!D$1,MAX(1,ROW()-$C$7),0,MIN($C$7,ROW()-1),1)),0))</f>
        <v/>
      </c>
      <c r="BG62">
        <f t="shared" ca="1" si="8"/>
        <v>0</v>
      </c>
      <c r="BH62" t="str">
        <f ca="1">IF(BG62=1,IF(INDEX(分析データ!$A:$A,ROW()+$C$5)&lt;&gt;"",50000*SIGN(BF62)*(分析データ!D62-INDEX(分析データ!D:D,ROW()+$C$5)),""),"")</f>
        <v/>
      </c>
      <c r="BI62">
        <f t="shared" ca="1" si="9"/>
        <v>0</v>
      </c>
      <c r="BJ62">
        <f t="shared" ca="1" si="10"/>
        <v>0</v>
      </c>
      <c r="BK62">
        <f t="shared" ca="1" si="11"/>
        <v>0</v>
      </c>
      <c r="BL62" t="str">
        <f ca="1">IF(ROW()&lt;($C$7+1),"",IFERROR((分析データ!E62-AVERAGE(OFFSET(分析データ!E$1,MAX(1,ROW()-$C$7),0,MIN($C$7,ROW()-1),1)))/STDEV(OFFSET(分析データ!E$1,MAX(1,ROW()-$C$7),0,MIN($C$7,ROW()-1),1)),0))</f>
        <v/>
      </c>
      <c r="BM62">
        <f t="shared" ca="1" si="12"/>
        <v>0</v>
      </c>
      <c r="BN62" t="str">
        <f ca="1">IF(BM62=1,IF(INDEX(分析データ!$A:$A,ROW()+$C$5)&lt;&gt;"",40000*SIGN(BL62)*(分析データ!E62-INDEX(分析データ!E:E,ROW()+$C$5)),""),"")</f>
        <v/>
      </c>
      <c r="BO62">
        <f t="shared" ca="1" si="13"/>
        <v>0</v>
      </c>
      <c r="BP62">
        <f t="shared" ca="1" si="14"/>
        <v>0</v>
      </c>
      <c r="BQ62">
        <f t="shared" ca="1" si="15"/>
        <v>0</v>
      </c>
      <c r="BR62" t="str">
        <f ca="1">IF(ROW()&lt;($C$7+1),"",IFERROR((分析データ!F62-AVERAGE(OFFSET(分析データ!F$1,MAX(1,ROW()-$C$7),0,MIN($C$7,ROW()-1),1)))/STDEV(OFFSET(分析データ!F$1,MAX(1,ROW()-$C$7),0,MIN($C$7,ROW()-1),1)),0))</f>
        <v/>
      </c>
      <c r="BS62">
        <f t="shared" ca="1" si="16"/>
        <v>0</v>
      </c>
      <c r="BT62" t="str">
        <f ca="1">IF(BS62=1,IF(INDEX(分析データ!$A:$A,ROW()+$C$5)&lt;&gt;"",40000*SIGN(BR62)*(分析データ!F62-INDEX(分析データ!F:F,ROW()+$C$5)),""),"")</f>
        <v/>
      </c>
      <c r="BU62">
        <f t="shared" ca="1" si="17"/>
        <v>0</v>
      </c>
      <c r="BV62">
        <f t="shared" ca="1" si="18"/>
        <v>0</v>
      </c>
      <c r="BW62">
        <f t="shared" ca="1" si="19"/>
        <v>0</v>
      </c>
      <c r="BX62" t="str">
        <f ca="1">IF(ROW()&lt;($C$7+1),"",IFERROR((分析データ!G62-AVERAGE(OFFSET(分析データ!G$1,MAX(1,ROW()-$C$7),0,MIN($C$7,ROW()-1),1)))/STDEV(OFFSET(分析データ!G$1,MAX(1,ROW()-$C$7),0,MIN($C$7,ROW()-1),1)),0))</f>
        <v/>
      </c>
      <c r="BY62">
        <f t="shared" ca="1" si="20"/>
        <v>0</v>
      </c>
      <c r="BZ62" t="str">
        <f ca="1">IF(BY62=1,IF(INDEX(分析データ!$A:$A,ROW()+$C$5)&lt;&gt;"",40000*SIGN(BX62)*(分析データ!G62-INDEX(分析データ!G:G,ROW()+$C$5)),""),"")</f>
        <v/>
      </c>
      <c r="CA62">
        <f t="shared" ca="1" si="21"/>
        <v>0</v>
      </c>
      <c r="CB62">
        <f t="shared" ca="1" si="22"/>
        <v>0</v>
      </c>
      <c r="CC62">
        <f t="shared" ca="1" si="23"/>
        <v>0</v>
      </c>
      <c r="CD62">
        <f t="shared" ca="1" si="24"/>
        <v>0</v>
      </c>
      <c r="CE62">
        <f t="shared" ca="1" si="25"/>
        <v>0</v>
      </c>
      <c r="CF62">
        <f t="shared" ca="1" si="26"/>
        <v>0</v>
      </c>
      <c r="CG62">
        <f t="shared" ca="1" si="27"/>
        <v>0</v>
      </c>
      <c r="CH62" s="10">
        <f>分析データ!A62</f>
        <v>45015</v>
      </c>
    </row>
    <row r="63" spans="46:86">
      <c r="AT63" t="str">
        <f ca="1">IF(ROW()&lt;($C$7+1),"",IFERROR((分析データ!B63-AVERAGE(OFFSET(分析データ!B$1,MAX(1,ROW()-$C$7),0,MIN($C$7,ROW()-1),1)))/STDEV(OFFSET(分析データ!B$1,MAX(1,ROW()-$C$7),0,MIN($C$7,ROW()-1),1)),0))</f>
        <v/>
      </c>
      <c r="AU63">
        <f t="shared" ca="1" si="0"/>
        <v>0</v>
      </c>
      <c r="AV63" t="str">
        <f ca="1">IF(AU63=1,IF(INDEX(分析データ!$A:$A,ROW()+$C$5)&lt;&gt;"",80000*SIGN(AT63)*(分析データ!B63-INDEX(分析データ!B:B,ROW()+$C$5)),""),"")</f>
        <v/>
      </c>
      <c r="AW63">
        <f t="shared" ca="1" si="1"/>
        <v>0</v>
      </c>
      <c r="AX63">
        <f t="shared" ca="1" si="2"/>
        <v>0</v>
      </c>
      <c r="AY63">
        <f t="shared" ca="1" si="3"/>
        <v>0</v>
      </c>
      <c r="AZ63" t="str">
        <f ca="1">IF(ROW()&lt;($C$7+1),"",IFERROR((分析データ!C63-AVERAGE(OFFSET(分析データ!C$1,MAX(1,ROW()-$C$7),0,MIN($C$7,ROW()-1),1)))/STDEV(OFFSET(分析データ!C$1,MAX(1,ROW()-$C$7),0,MIN($C$7,ROW()-1),1)),0))</f>
        <v/>
      </c>
      <c r="BA63">
        <f t="shared" ca="1" si="4"/>
        <v>0</v>
      </c>
      <c r="BB63" t="str">
        <f ca="1">IF(BA63=1,IF(INDEX(分析データ!$A:$A,ROW()+$C$5)&lt;&gt;"",60000*SIGN(AZ63)*(分析データ!C63-INDEX(分析データ!C:C,ROW()+$C$5)),""),"")</f>
        <v/>
      </c>
      <c r="BC63">
        <f t="shared" ca="1" si="5"/>
        <v>0</v>
      </c>
      <c r="BD63">
        <f t="shared" ca="1" si="6"/>
        <v>0</v>
      </c>
      <c r="BE63">
        <f t="shared" ca="1" si="7"/>
        <v>0</v>
      </c>
      <c r="BF63" t="str">
        <f ca="1">IF(ROW()&lt;($C$7+1),"",IFERROR((分析データ!D63-AVERAGE(OFFSET(分析データ!D$1,MAX(1,ROW()-$C$7),0,MIN($C$7,ROW()-1),1)))/STDEV(OFFSET(分析データ!D$1,MAX(1,ROW()-$C$7),0,MIN($C$7,ROW()-1),1)),0))</f>
        <v/>
      </c>
      <c r="BG63">
        <f t="shared" ca="1" si="8"/>
        <v>0</v>
      </c>
      <c r="BH63" t="str">
        <f ca="1">IF(BG63=1,IF(INDEX(分析データ!$A:$A,ROW()+$C$5)&lt;&gt;"",50000*SIGN(BF63)*(分析データ!D63-INDEX(分析データ!D:D,ROW()+$C$5)),""),"")</f>
        <v/>
      </c>
      <c r="BI63">
        <f t="shared" ca="1" si="9"/>
        <v>0</v>
      </c>
      <c r="BJ63">
        <f t="shared" ca="1" si="10"/>
        <v>0</v>
      </c>
      <c r="BK63">
        <f t="shared" ca="1" si="11"/>
        <v>0</v>
      </c>
      <c r="BL63" t="str">
        <f ca="1">IF(ROW()&lt;($C$7+1),"",IFERROR((分析データ!E63-AVERAGE(OFFSET(分析データ!E$1,MAX(1,ROW()-$C$7),0,MIN($C$7,ROW()-1),1)))/STDEV(OFFSET(分析データ!E$1,MAX(1,ROW()-$C$7),0,MIN($C$7,ROW()-1),1)),0))</f>
        <v/>
      </c>
      <c r="BM63">
        <f t="shared" ca="1" si="12"/>
        <v>0</v>
      </c>
      <c r="BN63" t="str">
        <f ca="1">IF(BM63=1,IF(INDEX(分析データ!$A:$A,ROW()+$C$5)&lt;&gt;"",40000*SIGN(BL63)*(分析データ!E63-INDEX(分析データ!E:E,ROW()+$C$5)),""),"")</f>
        <v/>
      </c>
      <c r="BO63">
        <f t="shared" ca="1" si="13"/>
        <v>0</v>
      </c>
      <c r="BP63">
        <f t="shared" ca="1" si="14"/>
        <v>0</v>
      </c>
      <c r="BQ63">
        <f t="shared" ca="1" si="15"/>
        <v>0</v>
      </c>
      <c r="BR63" t="str">
        <f ca="1">IF(ROW()&lt;($C$7+1),"",IFERROR((分析データ!F63-AVERAGE(OFFSET(分析データ!F$1,MAX(1,ROW()-$C$7),0,MIN($C$7,ROW()-1),1)))/STDEV(OFFSET(分析データ!F$1,MAX(1,ROW()-$C$7),0,MIN($C$7,ROW()-1),1)),0))</f>
        <v/>
      </c>
      <c r="BS63">
        <f t="shared" ca="1" si="16"/>
        <v>0</v>
      </c>
      <c r="BT63" t="str">
        <f ca="1">IF(BS63=1,IF(INDEX(分析データ!$A:$A,ROW()+$C$5)&lt;&gt;"",40000*SIGN(BR63)*(分析データ!F63-INDEX(分析データ!F:F,ROW()+$C$5)),""),"")</f>
        <v/>
      </c>
      <c r="BU63">
        <f t="shared" ca="1" si="17"/>
        <v>0</v>
      </c>
      <c r="BV63">
        <f t="shared" ca="1" si="18"/>
        <v>0</v>
      </c>
      <c r="BW63">
        <f t="shared" ca="1" si="19"/>
        <v>0</v>
      </c>
      <c r="BX63" t="str">
        <f ca="1">IF(ROW()&lt;($C$7+1),"",IFERROR((分析データ!G63-AVERAGE(OFFSET(分析データ!G$1,MAX(1,ROW()-$C$7),0,MIN($C$7,ROW()-1),1)))/STDEV(OFFSET(分析データ!G$1,MAX(1,ROW()-$C$7),0,MIN($C$7,ROW()-1),1)),0))</f>
        <v/>
      </c>
      <c r="BY63">
        <f t="shared" ca="1" si="20"/>
        <v>0</v>
      </c>
      <c r="BZ63" t="str">
        <f ca="1">IF(BY63=1,IF(INDEX(分析データ!$A:$A,ROW()+$C$5)&lt;&gt;"",40000*SIGN(BX63)*(分析データ!G63-INDEX(分析データ!G:G,ROW()+$C$5)),""),"")</f>
        <v/>
      </c>
      <c r="CA63">
        <f t="shared" ca="1" si="21"/>
        <v>0</v>
      </c>
      <c r="CB63">
        <f t="shared" ca="1" si="22"/>
        <v>0</v>
      </c>
      <c r="CC63">
        <f t="shared" ca="1" si="23"/>
        <v>0</v>
      </c>
      <c r="CD63">
        <f t="shared" ca="1" si="24"/>
        <v>0</v>
      </c>
      <c r="CE63">
        <f t="shared" ca="1" si="25"/>
        <v>0</v>
      </c>
      <c r="CF63">
        <f t="shared" ca="1" si="26"/>
        <v>0</v>
      </c>
      <c r="CG63">
        <f t="shared" ca="1" si="27"/>
        <v>0</v>
      </c>
      <c r="CH63" s="10">
        <f>分析データ!A63</f>
        <v>45016</v>
      </c>
    </row>
    <row r="64" spans="46:86">
      <c r="AT64" t="str">
        <f ca="1">IF(ROW()&lt;($C$7+1),"",IFERROR((分析データ!B64-AVERAGE(OFFSET(分析データ!B$1,MAX(1,ROW()-$C$7),0,MIN($C$7,ROW()-1),1)))/STDEV(OFFSET(分析データ!B$1,MAX(1,ROW()-$C$7),0,MIN($C$7,ROW()-1),1)),0))</f>
        <v/>
      </c>
      <c r="AU64">
        <f t="shared" ca="1" si="0"/>
        <v>0</v>
      </c>
      <c r="AV64" t="str">
        <f ca="1">IF(AU64=1,IF(INDEX(分析データ!$A:$A,ROW()+$C$5)&lt;&gt;"",80000*SIGN(AT64)*(分析データ!B64-INDEX(分析データ!B:B,ROW()+$C$5)),""),"")</f>
        <v/>
      </c>
      <c r="AW64">
        <f t="shared" ca="1" si="1"/>
        <v>0</v>
      </c>
      <c r="AX64">
        <f t="shared" ca="1" si="2"/>
        <v>0</v>
      </c>
      <c r="AY64">
        <f t="shared" ca="1" si="3"/>
        <v>0</v>
      </c>
      <c r="AZ64" t="str">
        <f ca="1">IF(ROW()&lt;($C$7+1),"",IFERROR((分析データ!C64-AVERAGE(OFFSET(分析データ!C$1,MAX(1,ROW()-$C$7),0,MIN($C$7,ROW()-1),1)))/STDEV(OFFSET(分析データ!C$1,MAX(1,ROW()-$C$7),0,MIN($C$7,ROW()-1),1)),0))</f>
        <v/>
      </c>
      <c r="BA64">
        <f t="shared" ca="1" si="4"/>
        <v>0</v>
      </c>
      <c r="BB64" t="str">
        <f ca="1">IF(BA64=1,IF(INDEX(分析データ!$A:$A,ROW()+$C$5)&lt;&gt;"",60000*SIGN(AZ64)*(分析データ!C64-INDEX(分析データ!C:C,ROW()+$C$5)),""),"")</f>
        <v/>
      </c>
      <c r="BC64">
        <f t="shared" ca="1" si="5"/>
        <v>0</v>
      </c>
      <c r="BD64">
        <f t="shared" ca="1" si="6"/>
        <v>0</v>
      </c>
      <c r="BE64">
        <f t="shared" ca="1" si="7"/>
        <v>0</v>
      </c>
      <c r="BF64" t="str">
        <f ca="1">IF(ROW()&lt;($C$7+1),"",IFERROR((分析データ!D64-AVERAGE(OFFSET(分析データ!D$1,MAX(1,ROW()-$C$7),0,MIN($C$7,ROW()-1),1)))/STDEV(OFFSET(分析データ!D$1,MAX(1,ROW()-$C$7),0,MIN($C$7,ROW()-1),1)),0))</f>
        <v/>
      </c>
      <c r="BG64">
        <f t="shared" ca="1" si="8"/>
        <v>0</v>
      </c>
      <c r="BH64" t="str">
        <f ca="1">IF(BG64=1,IF(INDEX(分析データ!$A:$A,ROW()+$C$5)&lt;&gt;"",50000*SIGN(BF64)*(分析データ!D64-INDEX(分析データ!D:D,ROW()+$C$5)),""),"")</f>
        <v/>
      </c>
      <c r="BI64">
        <f t="shared" ca="1" si="9"/>
        <v>0</v>
      </c>
      <c r="BJ64">
        <f t="shared" ca="1" si="10"/>
        <v>0</v>
      </c>
      <c r="BK64">
        <f t="shared" ca="1" si="11"/>
        <v>0</v>
      </c>
      <c r="BL64" t="str">
        <f ca="1">IF(ROW()&lt;($C$7+1),"",IFERROR((分析データ!E64-AVERAGE(OFFSET(分析データ!E$1,MAX(1,ROW()-$C$7),0,MIN($C$7,ROW()-1),1)))/STDEV(OFFSET(分析データ!E$1,MAX(1,ROW()-$C$7),0,MIN($C$7,ROW()-1),1)),0))</f>
        <v/>
      </c>
      <c r="BM64">
        <f t="shared" ca="1" si="12"/>
        <v>0</v>
      </c>
      <c r="BN64" t="str">
        <f ca="1">IF(BM64=1,IF(INDEX(分析データ!$A:$A,ROW()+$C$5)&lt;&gt;"",40000*SIGN(BL64)*(分析データ!E64-INDEX(分析データ!E:E,ROW()+$C$5)),""),"")</f>
        <v/>
      </c>
      <c r="BO64">
        <f t="shared" ca="1" si="13"/>
        <v>0</v>
      </c>
      <c r="BP64">
        <f t="shared" ca="1" si="14"/>
        <v>0</v>
      </c>
      <c r="BQ64">
        <f t="shared" ca="1" si="15"/>
        <v>0</v>
      </c>
      <c r="BR64" t="str">
        <f ca="1">IF(ROW()&lt;($C$7+1),"",IFERROR((分析データ!F64-AVERAGE(OFFSET(分析データ!F$1,MAX(1,ROW()-$C$7),0,MIN($C$7,ROW()-1),1)))/STDEV(OFFSET(分析データ!F$1,MAX(1,ROW()-$C$7),0,MIN($C$7,ROW()-1),1)),0))</f>
        <v/>
      </c>
      <c r="BS64">
        <f t="shared" ca="1" si="16"/>
        <v>0</v>
      </c>
      <c r="BT64" t="str">
        <f ca="1">IF(BS64=1,IF(INDEX(分析データ!$A:$A,ROW()+$C$5)&lt;&gt;"",40000*SIGN(BR64)*(分析データ!F64-INDEX(分析データ!F:F,ROW()+$C$5)),""),"")</f>
        <v/>
      </c>
      <c r="BU64">
        <f t="shared" ca="1" si="17"/>
        <v>0</v>
      </c>
      <c r="BV64">
        <f t="shared" ca="1" si="18"/>
        <v>0</v>
      </c>
      <c r="BW64">
        <f t="shared" ca="1" si="19"/>
        <v>0</v>
      </c>
      <c r="BX64" t="str">
        <f ca="1">IF(ROW()&lt;($C$7+1),"",IFERROR((分析データ!G64-AVERAGE(OFFSET(分析データ!G$1,MAX(1,ROW()-$C$7),0,MIN($C$7,ROW()-1),1)))/STDEV(OFFSET(分析データ!G$1,MAX(1,ROW()-$C$7),0,MIN($C$7,ROW()-1),1)),0))</f>
        <v/>
      </c>
      <c r="BY64">
        <f t="shared" ca="1" si="20"/>
        <v>0</v>
      </c>
      <c r="BZ64" t="str">
        <f ca="1">IF(BY64=1,IF(INDEX(分析データ!$A:$A,ROW()+$C$5)&lt;&gt;"",40000*SIGN(BX64)*(分析データ!G64-INDEX(分析データ!G:G,ROW()+$C$5)),""),"")</f>
        <v/>
      </c>
      <c r="CA64">
        <f t="shared" ca="1" si="21"/>
        <v>0</v>
      </c>
      <c r="CB64">
        <f t="shared" ca="1" si="22"/>
        <v>0</v>
      </c>
      <c r="CC64">
        <f t="shared" ca="1" si="23"/>
        <v>0</v>
      </c>
      <c r="CD64">
        <f t="shared" ca="1" si="24"/>
        <v>0</v>
      </c>
      <c r="CE64">
        <f t="shared" ca="1" si="25"/>
        <v>0</v>
      </c>
      <c r="CF64">
        <f t="shared" ca="1" si="26"/>
        <v>0</v>
      </c>
      <c r="CG64">
        <f t="shared" ca="1" si="27"/>
        <v>0</v>
      </c>
      <c r="CH64" s="10">
        <f>分析データ!A64</f>
        <v>45019</v>
      </c>
    </row>
    <row r="65" spans="46:86">
      <c r="AT65" t="str">
        <f ca="1">IF(ROW()&lt;($C$7+1),"",IFERROR((分析データ!B65-AVERAGE(OFFSET(分析データ!B$1,MAX(1,ROW()-$C$7),0,MIN($C$7,ROW()-1),1)))/STDEV(OFFSET(分析データ!B$1,MAX(1,ROW()-$C$7),0,MIN($C$7,ROW()-1),1)),0))</f>
        <v/>
      </c>
      <c r="AU65">
        <f t="shared" ca="1" si="0"/>
        <v>0</v>
      </c>
      <c r="AV65" t="str">
        <f ca="1">IF(AU65=1,IF(INDEX(分析データ!$A:$A,ROW()+$C$5)&lt;&gt;"",80000*SIGN(AT65)*(分析データ!B65-INDEX(分析データ!B:B,ROW()+$C$5)),""),"")</f>
        <v/>
      </c>
      <c r="AW65">
        <f t="shared" ca="1" si="1"/>
        <v>0</v>
      </c>
      <c r="AX65">
        <f t="shared" ca="1" si="2"/>
        <v>0</v>
      </c>
      <c r="AY65">
        <f t="shared" ca="1" si="3"/>
        <v>0</v>
      </c>
      <c r="AZ65" t="str">
        <f ca="1">IF(ROW()&lt;($C$7+1),"",IFERROR((分析データ!C65-AVERAGE(OFFSET(分析データ!C$1,MAX(1,ROW()-$C$7),0,MIN($C$7,ROW()-1),1)))/STDEV(OFFSET(分析データ!C$1,MAX(1,ROW()-$C$7),0,MIN($C$7,ROW()-1),1)),0))</f>
        <v/>
      </c>
      <c r="BA65">
        <f t="shared" ca="1" si="4"/>
        <v>0</v>
      </c>
      <c r="BB65" t="str">
        <f ca="1">IF(BA65=1,IF(INDEX(分析データ!$A:$A,ROW()+$C$5)&lt;&gt;"",60000*SIGN(AZ65)*(分析データ!C65-INDEX(分析データ!C:C,ROW()+$C$5)),""),"")</f>
        <v/>
      </c>
      <c r="BC65">
        <f t="shared" ca="1" si="5"/>
        <v>0</v>
      </c>
      <c r="BD65">
        <f t="shared" ca="1" si="6"/>
        <v>0</v>
      </c>
      <c r="BE65">
        <f t="shared" ca="1" si="7"/>
        <v>0</v>
      </c>
      <c r="BF65" t="str">
        <f ca="1">IF(ROW()&lt;($C$7+1),"",IFERROR((分析データ!D65-AVERAGE(OFFSET(分析データ!D$1,MAX(1,ROW()-$C$7),0,MIN($C$7,ROW()-1),1)))/STDEV(OFFSET(分析データ!D$1,MAX(1,ROW()-$C$7),0,MIN($C$7,ROW()-1),1)),0))</f>
        <v/>
      </c>
      <c r="BG65">
        <f t="shared" ca="1" si="8"/>
        <v>0</v>
      </c>
      <c r="BH65" t="str">
        <f ca="1">IF(BG65=1,IF(INDEX(分析データ!$A:$A,ROW()+$C$5)&lt;&gt;"",50000*SIGN(BF65)*(分析データ!D65-INDEX(分析データ!D:D,ROW()+$C$5)),""),"")</f>
        <v/>
      </c>
      <c r="BI65">
        <f t="shared" ca="1" si="9"/>
        <v>0</v>
      </c>
      <c r="BJ65">
        <f t="shared" ca="1" si="10"/>
        <v>0</v>
      </c>
      <c r="BK65">
        <f t="shared" ca="1" si="11"/>
        <v>0</v>
      </c>
      <c r="BL65" t="str">
        <f ca="1">IF(ROW()&lt;($C$7+1),"",IFERROR((分析データ!E65-AVERAGE(OFFSET(分析データ!E$1,MAX(1,ROW()-$C$7),0,MIN($C$7,ROW()-1),1)))/STDEV(OFFSET(分析データ!E$1,MAX(1,ROW()-$C$7),0,MIN($C$7,ROW()-1),1)),0))</f>
        <v/>
      </c>
      <c r="BM65">
        <f t="shared" ca="1" si="12"/>
        <v>0</v>
      </c>
      <c r="BN65" t="str">
        <f ca="1">IF(BM65=1,IF(INDEX(分析データ!$A:$A,ROW()+$C$5)&lt;&gt;"",40000*SIGN(BL65)*(分析データ!E65-INDEX(分析データ!E:E,ROW()+$C$5)),""),"")</f>
        <v/>
      </c>
      <c r="BO65">
        <f t="shared" ca="1" si="13"/>
        <v>0</v>
      </c>
      <c r="BP65">
        <f t="shared" ca="1" si="14"/>
        <v>0</v>
      </c>
      <c r="BQ65">
        <f t="shared" ca="1" si="15"/>
        <v>0</v>
      </c>
      <c r="BR65" t="str">
        <f ca="1">IF(ROW()&lt;($C$7+1),"",IFERROR((分析データ!F65-AVERAGE(OFFSET(分析データ!F$1,MAX(1,ROW()-$C$7),0,MIN($C$7,ROW()-1),1)))/STDEV(OFFSET(分析データ!F$1,MAX(1,ROW()-$C$7),0,MIN($C$7,ROW()-1),1)),0))</f>
        <v/>
      </c>
      <c r="BS65">
        <f t="shared" ca="1" si="16"/>
        <v>0</v>
      </c>
      <c r="BT65" t="str">
        <f ca="1">IF(BS65=1,IF(INDEX(分析データ!$A:$A,ROW()+$C$5)&lt;&gt;"",40000*SIGN(BR65)*(分析データ!F65-INDEX(分析データ!F:F,ROW()+$C$5)),""),"")</f>
        <v/>
      </c>
      <c r="BU65">
        <f t="shared" ca="1" si="17"/>
        <v>0</v>
      </c>
      <c r="BV65">
        <f t="shared" ca="1" si="18"/>
        <v>0</v>
      </c>
      <c r="BW65">
        <f t="shared" ca="1" si="19"/>
        <v>0</v>
      </c>
      <c r="BX65" t="str">
        <f ca="1">IF(ROW()&lt;($C$7+1),"",IFERROR((分析データ!G65-AVERAGE(OFFSET(分析データ!G$1,MAX(1,ROW()-$C$7),0,MIN($C$7,ROW()-1),1)))/STDEV(OFFSET(分析データ!G$1,MAX(1,ROW()-$C$7),0,MIN($C$7,ROW()-1),1)),0))</f>
        <v/>
      </c>
      <c r="BY65">
        <f t="shared" ca="1" si="20"/>
        <v>0</v>
      </c>
      <c r="BZ65" t="str">
        <f ca="1">IF(BY65=1,IF(INDEX(分析データ!$A:$A,ROW()+$C$5)&lt;&gt;"",40000*SIGN(BX65)*(分析データ!G65-INDEX(分析データ!G:G,ROW()+$C$5)),""),"")</f>
        <v/>
      </c>
      <c r="CA65">
        <f t="shared" ca="1" si="21"/>
        <v>0</v>
      </c>
      <c r="CB65">
        <f t="shared" ca="1" si="22"/>
        <v>0</v>
      </c>
      <c r="CC65">
        <f t="shared" ca="1" si="23"/>
        <v>0</v>
      </c>
      <c r="CD65">
        <f t="shared" ca="1" si="24"/>
        <v>0</v>
      </c>
      <c r="CE65">
        <f t="shared" ca="1" si="25"/>
        <v>0</v>
      </c>
      <c r="CF65">
        <f t="shared" ca="1" si="26"/>
        <v>0</v>
      </c>
      <c r="CG65">
        <f t="shared" ca="1" si="27"/>
        <v>0</v>
      </c>
      <c r="CH65" s="10">
        <f>分析データ!A65</f>
        <v>45020</v>
      </c>
    </row>
    <row r="66" spans="46:86">
      <c r="AT66" t="str">
        <f ca="1">IF(ROW()&lt;($C$7+1),"",IFERROR((分析データ!B66-AVERAGE(OFFSET(分析データ!B$1,MAX(1,ROW()-$C$7),0,MIN($C$7,ROW()-1),1)))/STDEV(OFFSET(分析データ!B$1,MAX(1,ROW()-$C$7),0,MIN($C$7,ROW()-1),1)),0))</f>
        <v/>
      </c>
      <c r="AU66">
        <f t="shared" ref="AU66:AU129" ca="1" si="28">IF(ISNUMBER(AT66),IF(ABS(AT66)&gt;=$C$6,1,0),0)</f>
        <v>0</v>
      </c>
      <c r="AV66" t="str">
        <f ca="1">IF(AU66=1,IF(INDEX(分析データ!$A:$A,ROW()+$C$5)&lt;&gt;"",80000*SIGN(AT66)*(分析データ!B66-INDEX(分析データ!B:B,ROW()+$C$5)),""),"")</f>
        <v/>
      </c>
      <c r="AW66">
        <f t="shared" ref="AW66:AW129" ca="1" si="29">AW65+IF(AND(AU66=1,ISNUMBER(AV66)),AV66,0)</f>
        <v>0</v>
      </c>
      <c r="AX66">
        <f t="shared" ref="AX66:AX129" ca="1" si="30">MAX(AX65,AW66)</f>
        <v>0</v>
      </c>
      <c r="AY66">
        <f t="shared" ref="AY66:AY129" ca="1" si="31">AW66-AX66</f>
        <v>0</v>
      </c>
      <c r="AZ66" t="str">
        <f ca="1">IF(ROW()&lt;($C$7+1),"",IFERROR((分析データ!C66-AVERAGE(OFFSET(分析データ!C$1,MAX(1,ROW()-$C$7),0,MIN($C$7,ROW()-1),1)))/STDEV(OFFSET(分析データ!C$1,MAX(1,ROW()-$C$7),0,MIN($C$7,ROW()-1),1)),0))</f>
        <v/>
      </c>
      <c r="BA66">
        <f t="shared" ref="BA66:BA129" ca="1" si="32">IF(ISNUMBER(AZ66),IF(ABS(AZ66)&gt;=$C$6,1,0),0)</f>
        <v>0</v>
      </c>
      <c r="BB66" t="str">
        <f ca="1">IF(BA66=1,IF(INDEX(分析データ!$A:$A,ROW()+$C$5)&lt;&gt;"",60000*SIGN(AZ66)*(分析データ!C66-INDEX(分析データ!C:C,ROW()+$C$5)),""),"")</f>
        <v/>
      </c>
      <c r="BC66">
        <f t="shared" ref="BC66:BC129" ca="1" si="33">BC65+IF(AND(BA66=1,ISNUMBER(BB66)),BB66,0)</f>
        <v>0</v>
      </c>
      <c r="BD66">
        <f t="shared" ref="BD66:BD129" ca="1" si="34">MAX(BD65,BC66)</f>
        <v>0</v>
      </c>
      <c r="BE66">
        <f t="shared" ref="BE66:BE129" ca="1" si="35">BC66-BD66</f>
        <v>0</v>
      </c>
      <c r="BF66" t="str">
        <f ca="1">IF(ROW()&lt;($C$7+1),"",IFERROR((分析データ!D66-AVERAGE(OFFSET(分析データ!D$1,MAX(1,ROW()-$C$7),0,MIN($C$7,ROW()-1),1)))/STDEV(OFFSET(分析データ!D$1,MAX(1,ROW()-$C$7),0,MIN($C$7,ROW()-1),1)),0))</f>
        <v/>
      </c>
      <c r="BG66">
        <f t="shared" ref="BG66:BG129" ca="1" si="36">IF(ISNUMBER(BF66),IF(ABS(BF66)&gt;=$C$6,1,0),0)</f>
        <v>0</v>
      </c>
      <c r="BH66" t="str">
        <f ca="1">IF(BG66=1,IF(INDEX(分析データ!$A:$A,ROW()+$C$5)&lt;&gt;"",50000*SIGN(BF66)*(分析データ!D66-INDEX(分析データ!D:D,ROW()+$C$5)),""),"")</f>
        <v/>
      </c>
      <c r="BI66">
        <f t="shared" ref="BI66:BI129" ca="1" si="37">BI65+IF(AND(BG66=1,ISNUMBER(BH66)),BH66,0)</f>
        <v>0</v>
      </c>
      <c r="BJ66">
        <f t="shared" ref="BJ66:BJ129" ca="1" si="38">MAX(BJ65,BI66)</f>
        <v>0</v>
      </c>
      <c r="BK66">
        <f t="shared" ref="BK66:BK129" ca="1" si="39">BI66-BJ66</f>
        <v>0</v>
      </c>
      <c r="BL66" t="str">
        <f ca="1">IF(ROW()&lt;($C$7+1),"",IFERROR((分析データ!E66-AVERAGE(OFFSET(分析データ!E$1,MAX(1,ROW()-$C$7),0,MIN($C$7,ROW()-1),1)))/STDEV(OFFSET(分析データ!E$1,MAX(1,ROW()-$C$7),0,MIN($C$7,ROW()-1),1)),0))</f>
        <v/>
      </c>
      <c r="BM66">
        <f t="shared" ref="BM66:BM129" ca="1" si="40">IF(ISNUMBER(BL66),IF(ABS(BL66)&gt;=$C$6,1,0),0)</f>
        <v>0</v>
      </c>
      <c r="BN66" t="str">
        <f ca="1">IF(BM66=1,IF(INDEX(分析データ!$A:$A,ROW()+$C$5)&lt;&gt;"",40000*SIGN(BL66)*(分析データ!E66-INDEX(分析データ!E:E,ROW()+$C$5)),""),"")</f>
        <v/>
      </c>
      <c r="BO66">
        <f t="shared" ref="BO66:BO129" ca="1" si="41">BO65+IF(AND(BM66=1,ISNUMBER(BN66)),BN66,0)</f>
        <v>0</v>
      </c>
      <c r="BP66">
        <f t="shared" ref="BP66:BP129" ca="1" si="42">MAX(BP65,BO66)</f>
        <v>0</v>
      </c>
      <c r="BQ66">
        <f t="shared" ref="BQ66:BQ129" ca="1" si="43">BO66-BP66</f>
        <v>0</v>
      </c>
      <c r="BR66" t="str">
        <f ca="1">IF(ROW()&lt;($C$7+1),"",IFERROR((分析データ!F66-AVERAGE(OFFSET(分析データ!F$1,MAX(1,ROW()-$C$7),0,MIN($C$7,ROW()-1),1)))/STDEV(OFFSET(分析データ!F$1,MAX(1,ROW()-$C$7),0,MIN($C$7,ROW()-1),1)),0))</f>
        <v/>
      </c>
      <c r="BS66">
        <f t="shared" ref="BS66:BS129" ca="1" si="44">IF(ISNUMBER(BR66),IF(ABS(BR66)&gt;=$C$6,1,0),0)</f>
        <v>0</v>
      </c>
      <c r="BT66" t="str">
        <f ca="1">IF(BS66=1,IF(INDEX(分析データ!$A:$A,ROW()+$C$5)&lt;&gt;"",40000*SIGN(BR66)*(分析データ!F66-INDEX(分析データ!F:F,ROW()+$C$5)),""),"")</f>
        <v/>
      </c>
      <c r="BU66">
        <f t="shared" ref="BU66:BU129" ca="1" si="45">BU65+IF(AND(BS66=1,ISNUMBER(BT66)),BT66,0)</f>
        <v>0</v>
      </c>
      <c r="BV66">
        <f t="shared" ref="BV66:BV129" ca="1" si="46">MAX(BV65,BU66)</f>
        <v>0</v>
      </c>
      <c r="BW66">
        <f t="shared" ref="BW66:BW129" ca="1" si="47">BU66-BV66</f>
        <v>0</v>
      </c>
      <c r="BX66" t="str">
        <f ca="1">IF(ROW()&lt;($C$7+1),"",IFERROR((分析データ!G66-AVERAGE(OFFSET(分析データ!G$1,MAX(1,ROW()-$C$7),0,MIN($C$7,ROW()-1),1)))/STDEV(OFFSET(分析データ!G$1,MAX(1,ROW()-$C$7),0,MIN($C$7,ROW()-1),1)),0))</f>
        <v/>
      </c>
      <c r="BY66">
        <f t="shared" ref="BY66:BY129" ca="1" si="48">IF(ISNUMBER(BX66),IF(ABS(BX66)&gt;=$C$6,1,0),0)</f>
        <v>0</v>
      </c>
      <c r="BZ66" t="str">
        <f ca="1">IF(BY66=1,IF(INDEX(分析データ!$A:$A,ROW()+$C$5)&lt;&gt;"",40000*SIGN(BX66)*(分析データ!G66-INDEX(分析データ!G:G,ROW()+$C$5)),""),"")</f>
        <v/>
      </c>
      <c r="CA66">
        <f t="shared" ref="CA66:CA129" ca="1" si="49">CA65+IF(AND(BY66=1,ISNUMBER(BZ66)),BZ66,0)</f>
        <v>0</v>
      </c>
      <c r="CB66">
        <f t="shared" ref="CB66:CB129" ca="1" si="50">MAX(CB65,CA66)</f>
        <v>0</v>
      </c>
      <c r="CC66">
        <f t="shared" ref="CC66:CC129" ca="1" si="51">CA66-CB66</f>
        <v>0</v>
      </c>
      <c r="CD66">
        <f t="shared" ref="CD66:CD129" ca="1" si="52">N(AV66)+N(BB66)+N(BH66)+N(BN66)+N(BT66)+N(BZ66)</f>
        <v>0</v>
      </c>
      <c r="CE66">
        <f t="shared" ref="CE66:CE129" ca="1" si="53">CE65+CD66</f>
        <v>0</v>
      </c>
      <c r="CF66">
        <f t="shared" ref="CF66:CF129" ca="1" si="54">MAX(CF65,CE66)</f>
        <v>0</v>
      </c>
      <c r="CG66">
        <f t="shared" ref="CG66:CG129" ca="1" si="55">CE66-CF66</f>
        <v>0</v>
      </c>
      <c r="CH66" s="10">
        <f>分析データ!A66</f>
        <v>45021</v>
      </c>
    </row>
    <row r="67" spans="46:86">
      <c r="AT67" t="str">
        <f ca="1">IF(ROW()&lt;($C$7+1),"",IFERROR((分析データ!B67-AVERAGE(OFFSET(分析データ!B$1,MAX(1,ROW()-$C$7),0,MIN($C$7,ROW()-1),1)))/STDEV(OFFSET(分析データ!B$1,MAX(1,ROW()-$C$7),0,MIN($C$7,ROW()-1),1)),0))</f>
        <v/>
      </c>
      <c r="AU67">
        <f t="shared" ca="1" si="28"/>
        <v>0</v>
      </c>
      <c r="AV67" t="str">
        <f ca="1">IF(AU67=1,IF(INDEX(分析データ!$A:$A,ROW()+$C$5)&lt;&gt;"",80000*SIGN(AT67)*(分析データ!B67-INDEX(分析データ!B:B,ROW()+$C$5)),""),"")</f>
        <v/>
      </c>
      <c r="AW67">
        <f t="shared" ca="1" si="29"/>
        <v>0</v>
      </c>
      <c r="AX67">
        <f t="shared" ca="1" si="30"/>
        <v>0</v>
      </c>
      <c r="AY67">
        <f t="shared" ca="1" si="31"/>
        <v>0</v>
      </c>
      <c r="AZ67" t="str">
        <f ca="1">IF(ROW()&lt;($C$7+1),"",IFERROR((分析データ!C67-AVERAGE(OFFSET(分析データ!C$1,MAX(1,ROW()-$C$7),0,MIN($C$7,ROW()-1),1)))/STDEV(OFFSET(分析データ!C$1,MAX(1,ROW()-$C$7),0,MIN($C$7,ROW()-1),1)),0))</f>
        <v/>
      </c>
      <c r="BA67">
        <f t="shared" ca="1" si="32"/>
        <v>0</v>
      </c>
      <c r="BB67" t="str">
        <f ca="1">IF(BA67=1,IF(INDEX(分析データ!$A:$A,ROW()+$C$5)&lt;&gt;"",60000*SIGN(AZ67)*(分析データ!C67-INDEX(分析データ!C:C,ROW()+$C$5)),""),"")</f>
        <v/>
      </c>
      <c r="BC67">
        <f t="shared" ca="1" si="33"/>
        <v>0</v>
      </c>
      <c r="BD67">
        <f t="shared" ca="1" si="34"/>
        <v>0</v>
      </c>
      <c r="BE67">
        <f t="shared" ca="1" si="35"/>
        <v>0</v>
      </c>
      <c r="BF67" t="str">
        <f ca="1">IF(ROW()&lt;($C$7+1),"",IFERROR((分析データ!D67-AVERAGE(OFFSET(分析データ!D$1,MAX(1,ROW()-$C$7),0,MIN($C$7,ROW()-1),1)))/STDEV(OFFSET(分析データ!D$1,MAX(1,ROW()-$C$7),0,MIN($C$7,ROW()-1),1)),0))</f>
        <v/>
      </c>
      <c r="BG67">
        <f t="shared" ca="1" si="36"/>
        <v>0</v>
      </c>
      <c r="BH67" t="str">
        <f ca="1">IF(BG67=1,IF(INDEX(分析データ!$A:$A,ROW()+$C$5)&lt;&gt;"",50000*SIGN(BF67)*(分析データ!D67-INDEX(分析データ!D:D,ROW()+$C$5)),""),"")</f>
        <v/>
      </c>
      <c r="BI67">
        <f t="shared" ca="1" si="37"/>
        <v>0</v>
      </c>
      <c r="BJ67">
        <f t="shared" ca="1" si="38"/>
        <v>0</v>
      </c>
      <c r="BK67">
        <f t="shared" ca="1" si="39"/>
        <v>0</v>
      </c>
      <c r="BL67" t="str">
        <f ca="1">IF(ROW()&lt;($C$7+1),"",IFERROR((分析データ!E67-AVERAGE(OFFSET(分析データ!E$1,MAX(1,ROW()-$C$7),0,MIN($C$7,ROW()-1),1)))/STDEV(OFFSET(分析データ!E$1,MAX(1,ROW()-$C$7),0,MIN($C$7,ROW()-1),1)),0))</f>
        <v/>
      </c>
      <c r="BM67">
        <f t="shared" ca="1" si="40"/>
        <v>0</v>
      </c>
      <c r="BN67" t="str">
        <f ca="1">IF(BM67=1,IF(INDEX(分析データ!$A:$A,ROW()+$C$5)&lt;&gt;"",40000*SIGN(BL67)*(分析データ!E67-INDEX(分析データ!E:E,ROW()+$C$5)),""),"")</f>
        <v/>
      </c>
      <c r="BO67">
        <f t="shared" ca="1" si="41"/>
        <v>0</v>
      </c>
      <c r="BP67">
        <f t="shared" ca="1" si="42"/>
        <v>0</v>
      </c>
      <c r="BQ67">
        <f t="shared" ca="1" si="43"/>
        <v>0</v>
      </c>
      <c r="BR67" t="str">
        <f ca="1">IF(ROW()&lt;($C$7+1),"",IFERROR((分析データ!F67-AVERAGE(OFFSET(分析データ!F$1,MAX(1,ROW()-$C$7),0,MIN($C$7,ROW()-1),1)))/STDEV(OFFSET(分析データ!F$1,MAX(1,ROW()-$C$7),0,MIN($C$7,ROW()-1),1)),0))</f>
        <v/>
      </c>
      <c r="BS67">
        <f t="shared" ca="1" si="44"/>
        <v>0</v>
      </c>
      <c r="BT67" t="str">
        <f ca="1">IF(BS67=1,IF(INDEX(分析データ!$A:$A,ROW()+$C$5)&lt;&gt;"",40000*SIGN(BR67)*(分析データ!F67-INDEX(分析データ!F:F,ROW()+$C$5)),""),"")</f>
        <v/>
      </c>
      <c r="BU67">
        <f t="shared" ca="1" si="45"/>
        <v>0</v>
      </c>
      <c r="BV67">
        <f t="shared" ca="1" si="46"/>
        <v>0</v>
      </c>
      <c r="BW67">
        <f t="shared" ca="1" si="47"/>
        <v>0</v>
      </c>
      <c r="BX67" t="str">
        <f ca="1">IF(ROW()&lt;($C$7+1),"",IFERROR((分析データ!G67-AVERAGE(OFFSET(分析データ!G$1,MAX(1,ROW()-$C$7),0,MIN($C$7,ROW()-1),1)))/STDEV(OFFSET(分析データ!G$1,MAX(1,ROW()-$C$7),0,MIN($C$7,ROW()-1),1)),0))</f>
        <v/>
      </c>
      <c r="BY67">
        <f t="shared" ca="1" si="48"/>
        <v>0</v>
      </c>
      <c r="BZ67" t="str">
        <f ca="1">IF(BY67=1,IF(INDEX(分析データ!$A:$A,ROW()+$C$5)&lt;&gt;"",40000*SIGN(BX67)*(分析データ!G67-INDEX(分析データ!G:G,ROW()+$C$5)),""),"")</f>
        <v/>
      </c>
      <c r="CA67">
        <f t="shared" ca="1" si="49"/>
        <v>0</v>
      </c>
      <c r="CB67">
        <f t="shared" ca="1" si="50"/>
        <v>0</v>
      </c>
      <c r="CC67">
        <f t="shared" ca="1" si="51"/>
        <v>0</v>
      </c>
      <c r="CD67">
        <f t="shared" ca="1" si="52"/>
        <v>0</v>
      </c>
      <c r="CE67">
        <f t="shared" ca="1" si="53"/>
        <v>0</v>
      </c>
      <c r="CF67">
        <f t="shared" ca="1" si="54"/>
        <v>0</v>
      </c>
      <c r="CG67">
        <f t="shared" ca="1" si="55"/>
        <v>0</v>
      </c>
      <c r="CH67" s="10">
        <f>分析データ!A67</f>
        <v>45022</v>
      </c>
    </row>
    <row r="68" spans="46:86">
      <c r="AT68" t="str">
        <f ca="1">IF(ROW()&lt;($C$7+1),"",IFERROR((分析データ!B68-AVERAGE(OFFSET(分析データ!B$1,MAX(1,ROW()-$C$7),0,MIN($C$7,ROW()-1),1)))/STDEV(OFFSET(分析データ!B$1,MAX(1,ROW()-$C$7),0,MIN($C$7,ROW()-1),1)),0))</f>
        <v/>
      </c>
      <c r="AU68">
        <f t="shared" ca="1" si="28"/>
        <v>0</v>
      </c>
      <c r="AV68" t="str">
        <f ca="1">IF(AU68=1,IF(INDEX(分析データ!$A:$A,ROW()+$C$5)&lt;&gt;"",80000*SIGN(AT68)*(分析データ!B68-INDEX(分析データ!B:B,ROW()+$C$5)),""),"")</f>
        <v/>
      </c>
      <c r="AW68">
        <f t="shared" ca="1" si="29"/>
        <v>0</v>
      </c>
      <c r="AX68">
        <f t="shared" ca="1" si="30"/>
        <v>0</v>
      </c>
      <c r="AY68">
        <f t="shared" ca="1" si="31"/>
        <v>0</v>
      </c>
      <c r="AZ68" t="str">
        <f ca="1">IF(ROW()&lt;($C$7+1),"",IFERROR((分析データ!C68-AVERAGE(OFFSET(分析データ!C$1,MAX(1,ROW()-$C$7),0,MIN($C$7,ROW()-1),1)))/STDEV(OFFSET(分析データ!C$1,MAX(1,ROW()-$C$7),0,MIN($C$7,ROW()-1),1)),0))</f>
        <v/>
      </c>
      <c r="BA68">
        <f t="shared" ca="1" si="32"/>
        <v>0</v>
      </c>
      <c r="BB68" t="str">
        <f ca="1">IF(BA68=1,IF(INDEX(分析データ!$A:$A,ROW()+$C$5)&lt;&gt;"",60000*SIGN(AZ68)*(分析データ!C68-INDEX(分析データ!C:C,ROW()+$C$5)),""),"")</f>
        <v/>
      </c>
      <c r="BC68">
        <f t="shared" ca="1" si="33"/>
        <v>0</v>
      </c>
      <c r="BD68">
        <f t="shared" ca="1" si="34"/>
        <v>0</v>
      </c>
      <c r="BE68">
        <f t="shared" ca="1" si="35"/>
        <v>0</v>
      </c>
      <c r="BF68" t="str">
        <f ca="1">IF(ROW()&lt;($C$7+1),"",IFERROR((分析データ!D68-AVERAGE(OFFSET(分析データ!D$1,MAX(1,ROW()-$C$7),0,MIN($C$7,ROW()-1),1)))/STDEV(OFFSET(分析データ!D$1,MAX(1,ROW()-$C$7),0,MIN($C$7,ROW()-1),1)),0))</f>
        <v/>
      </c>
      <c r="BG68">
        <f t="shared" ca="1" si="36"/>
        <v>0</v>
      </c>
      <c r="BH68" t="str">
        <f ca="1">IF(BG68=1,IF(INDEX(分析データ!$A:$A,ROW()+$C$5)&lt;&gt;"",50000*SIGN(BF68)*(分析データ!D68-INDEX(分析データ!D:D,ROW()+$C$5)),""),"")</f>
        <v/>
      </c>
      <c r="BI68">
        <f t="shared" ca="1" si="37"/>
        <v>0</v>
      </c>
      <c r="BJ68">
        <f t="shared" ca="1" si="38"/>
        <v>0</v>
      </c>
      <c r="BK68">
        <f t="shared" ca="1" si="39"/>
        <v>0</v>
      </c>
      <c r="BL68" t="str">
        <f ca="1">IF(ROW()&lt;($C$7+1),"",IFERROR((分析データ!E68-AVERAGE(OFFSET(分析データ!E$1,MAX(1,ROW()-$C$7),0,MIN($C$7,ROW()-1),1)))/STDEV(OFFSET(分析データ!E$1,MAX(1,ROW()-$C$7),0,MIN($C$7,ROW()-1),1)),0))</f>
        <v/>
      </c>
      <c r="BM68">
        <f t="shared" ca="1" si="40"/>
        <v>0</v>
      </c>
      <c r="BN68" t="str">
        <f ca="1">IF(BM68=1,IF(INDEX(分析データ!$A:$A,ROW()+$C$5)&lt;&gt;"",40000*SIGN(BL68)*(分析データ!E68-INDEX(分析データ!E:E,ROW()+$C$5)),""),"")</f>
        <v/>
      </c>
      <c r="BO68">
        <f t="shared" ca="1" si="41"/>
        <v>0</v>
      </c>
      <c r="BP68">
        <f t="shared" ca="1" si="42"/>
        <v>0</v>
      </c>
      <c r="BQ68">
        <f t="shared" ca="1" si="43"/>
        <v>0</v>
      </c>
      <c r="BR68" t="str">
        <f ca="1">IF(ROW()&lt;($C$7+1),"",IFERROR((分析データ!F68-AVERAGE(OFFSET(分析データ!F$1,MAX(1,ROW()-$C$7),0,MIN($C$7,ROW()-1),1)))/STDEV(OFFSET(分析データ!F$1,MAX(1,ROW()-$C$7),0,MIN($C$7,ROW()-1),1)),0))</f>
        <v/>
      </c>
      <c r="BS68">
        <f t="shared" ca="1" si="44"/>
        <v>0</v>
      </c>
      <c r="BT68" t="str">
        <f ca="1">IF(BS68=1,IF(INDEX(分析データ!$A:$A,ROW()+$C$5)&lt;&gt;"",40000*SIGN(BR68)*(分析データ!F68-INDEX(分析データ!F:F,ROW()+$C$5)),""),"")</f>
        <v/>
      </c>
      <c r="BU68">
        <f t="shared" ca="1" si="45"/>
        <v>0</v>
      </c>
      <c r="BV68">
        <f t="shared" ca="1" si="46"/>
        <v>0</v>
      </c>
      <c r="BW68">
        <f t="shared" ca="1" si="47"/>
        <v>0</v>
      </c>
      <c r="BX68" t="str">
        <f ca="1">IF(ROW()&lt;($C$7+1),"",IFERROR((分析データ!G68-AVERAGE(OFFSET(分析データ!G$1,MAX(1,ROW()-$C$7),0,MIN($C$7,ROW()-1),1)))/STDEV(OFFSET(分析データ!G$1,MAX(1,ROW()-$C$7),0,MIN($C$7,ROW()-1),1)),0))</f>
        <v/>
      </c>
      <c r="BY68">
        <f t="shared" ca="1" si="48"/>
        <v>0</v>
      </c>
      <c r="BZ68" t="str">
        <f ca="1">IF(BY68=1,IF(INDEX(分析データ!$A:$A,ROW()+$C$5)&lt;&gt;"",40000*SIGN(BX68)*(分析データ!G68-INDEX(分析データ!G:G,ROW()+$C$5)),""),"")</f>
        <v/>
      </c>
      <c r="CA68">
        <f t="shared" ca="1" si="49"/>
        <v>0</v>
      </c>
      <c r="CB68">
        <f t="shared" ca="1" si="50"/>
        <v>0</v>
      </c>
      <c r="CC68">
        <f t="shared" ca="1" si="51"/>
        <v>0</v>
      </c>
      <c r="CD68">
        <f t="shared" ca="1" si="52"/>
        <v>0</v>
      </c>
      <c r="CE68">
        <f t="shared" ca="1" si="53"/>
        <v>0</v>
      </c>
      <c r="CF68">
        <f t="shared" ca="1" si="54"/>
        <v>0</v>
      </c>
      <c r="CG68">
        <f t="shared" ca="1" si="55"/>
        <v>0</v>
      </c>
      <c r="CH68" s="10">
        <f>分析データ!A68</f>
        <v>45023</v>
      </c>
    </row>
    <row r="69" spans="46:86">
      <c r="AT69" t="str">
        <f ca="1">IF(ROW()&lt;($C$7+1),"",IFERROR((分析データ!B69-AVERAGE(OFFSET(分析データ!B$1,MAX(1,ROW()-$C$7),0,MIN($C$7,ROW()-1),1)))/STDEV(OFFSET(分析データ!B$1,MAX(1,ROW()-$C$7),0,MIN($C$7,ROW()-1),1)),0))</f>
        <v/>
      </c>
      <c r="AU69">
        <f t="shared" ca="1" si="28"/>
        <v>0</v>
      </c>
      <c r="AV69" t="str">
        <f ca="1">IF(AU69=1,IF(INDEX(分析データ!$A:$A,ROW()+$C$5)&lt;&gt;"",80000*SIGN(AT69)*(分析データ!B69-INDEX(分析データ!B:B,ROW()+$C$5)),""),"")</f>
        <v/>
      </c>
      <c r="AW69">
        <f t="shared" ca="1" si="29"/>
        <v>0</v>
      </c>
      <c r="AX69">
        <f t="shared" ca="1" si="30"/>
        <v>0</v>
      </c>
      <c r="AY69">
        <f t="shared" ca="1" si="31"/>
        <v>0</v>
      </c>
      <c r="AZ69" t="str">
        <f ca="1">IF(ROW()&lt;($C$7+1),"",IFERROR((分析データ!C69-AVERAGE(OFFSET(分析データ!C$1,MAX(1,ROW()-$C$7),0,MIN($C$7,ROW()-1),1)))/STDEV(OFFSET(分析データ!C$1,MAX(1,ROW()-$C$7),0,MIN($C$7,ROW()-1),1)),0))</f>
        <v/>
      </c>
      <c r="BA69">
        <f t="shared" ca="1" si="32"/>
        <v>0</v>
      </c>
      <c r="BB69" t="str">
        <f ca="1">IF(BA69=1,IF(INDEX(分析データ!$A:$A,ROW()+$C$5)&lt;&gt;"",60000*SIGN(AZ69)*(分析データ!C69-INDEX(分析データ!C:C,ROW()+$C$5)),""),"")</f>
        <v/>
      </c>
      <c r="BC69">
        <f t="shared" ca="1" si="33"/>
        <v>0</v>
      </c>
      <c r="BD69">
        <f t="shared" ca="1" si="34"/>
        <v>0</v>
      </c>
      <c r="BE69">
        <f t="shared" ca="1" si="35"/>
        <v>0</v>
      </c>
      <c r="BF69" t="str">
        <f ca="1">IF(ROW()&lt;($C$7+1),"",IFERROR((分析データ!D69-AVERAGE(OFFSET(分析データ!D$1,MAX(1,ROW()-$C$7),0,MIN($C$7,ROW()-1),1)))/STDEV(OFFSET(分析データ!D$1,MAX(1,ROW()-$C$7),0,MIN($C$7,ROW()-1),1)),0))</f>
        <v/>
      </c>
      <c r="BG69">
        <f t="shared" ca="1" si="36"/>
        <v>0</v>
      </c>
      <c r="BH69" t="str">
        <f ca="1">IF(BG69=1,IF(INDEX(分析データ!$A:$A,ROW()+$C$5)&lt;&gt;"",50000*SIGN(BF69)*(分析データ!D69-INDEX(分析データ!D:D,ROW()+$C$5)),""),"")</f>
        <v/>
      </c>
      <c r="BI69">
        <f t="shared" ca="1" si="37"/>
        <v>0</v>
      </c>
      <c r="BJ69">
        <f t="shared" ca="1" si="38"/>
        <v>0</v>
      </c>
      <c r="BK69">
        <f t="shared" ca="1" si="39"/>
        <v>0</v>
      </c>
      <c r="BL69" t="str">
        <f ca="1">IF(ROW()&lt;($C$7+1),"",IFERROR((分析データ!E69-AVERAGE(OFFSET(分析データ!E$1,MAX(1,ROW()-$C$7),0,MIN($C$7,ROW()-1),1)))/STDEV(OFFSET(分析データ!E$1,MAX(1,ROW()-$C$7),0,MIN($C$7,ROW()-1),1)),0))</f>
        <v/>
      </c>
      <c r="BM69">
        <f t="shared" ca="1" si="40"/>
        <v>0</v>
      </c>
      <c r="BN69" t="str">
        <f ca="1">IF(BM69=1,IF(INDEX(分析データ!$A:$A,ROW()+$C$5)&lt;&gt;"",40000*SIGN(BL69)*(分析データ!E69-INDEX(分析データ!E:E,ROW()+$C$5)),""),"")</f>
        <v/>
      </c>
      <c r="BO69">
        <f t="shared" ca="1" si="41"/>
        <v>0</v>
      </c>
      <c r="BP69">
        <f t="shared" ca="1" si="42"/>
        <v>0</v>
      </c>
      <c r="BQ69">
        <f t="shared" ca="1" si="43"/>
        <v>0</v>
      </c>
      <c r="BR69" t="str">
        <f ca="1">IF(ROW()&lt;($C$7+1),"",IFERROR((分析データ!F69-AVERAGE(OFFSET(分析データ!F$1,MAX(1,ROW()-$C$7),0,MIN($C$7,ROW()-1),1)))/STDEV(OFFSET(分析データ!F$1,MAX(1,ROW()-$C$7),0,MIN($C$7,ROW()-1),1)),0))</f>
        <v/>
      </c>
      <c r="BS69">
        <f t="shared" ca="1" si="44"/>
        <v>0</v>
      </c>
      <c r="BT69" t="str">
        <f ca="1">IF(BS69=1,IF(INDEX(分析データ!$A:$A,ROW()+$C$5)&lt;&gt;"",40000*SIGN(BR69)*(分析データ!F69-INDEX(分析データ!F:F,ROW()+$C$5)),""),"")</f>
        <v/>
      </c>
      <c r="BU69">
        <f t="shared" ca="1" si="45"/>
        <v>0</v>
      </c>
      <c r="BV69">
        <f t="shared" ca="1" si="46"/>
        <v>0</v>
      </c>
      <c r="BW69">
        <f t="shared" ca="1" si="47"/>
        <v>0</v>
      </c>
      <c r="BX69" t="str">
        <f ca="1">IF(ROW()&lt;($C$7+1),"",IFERROR((分析データ!G69-AVERAGE(OFFSET(分析データ!G$1,MAX(1,ROW()-$C$7),0,MIN($C$7,ROW()-1),1)))/STDEV(OFFSET(分析データ!G$1,MAX(1,ROW()-$C$7),0,MIN($C$7,ROW()-1),1)),0))</f>
        <v/>
      </c>
      <c r="BY69">
        <f t="shared" ca="1" si="48"/>
        <v>0</v>
      </c>
      <c r="BZ69" t="str">
        <f ca="1">IF(BY69=1,IF(INDEX(分析データ!$A:$A,ROW()+$C$5)&lt;&gt;"",40000*SIGN(BX69)*(分析データ!G69-INDEX(分析データ!G:G,ROW()+$C$5)),""),"")</f>
        <v/>
      </c>
      <c r="CA69">
        <f t="shared" ca="1" si="49"/>
        <v>0</v>
      </c>
      <c r="CB69">
        <f t="shared" ca="1" si="50"/>
        <v>0</v>
      </c>
      <c r="CC69">
        <f t="shared" ca="1" si="51"/>
        <v>0</v>
      </c>
      <c r="CD69">
        <f t="shared" ca="1" si="52"/>
        <v>0</v>
      </c>
      <c r="CE69">
        <f t="shared" ca="1" si="53"/>
        <v>0</v>
      </c>
      <c r="CF69">
        <f t="shared" ca="1" si="54"/>
        <v>0</v>
      </c>
      <c r="CG69">
        <f t="shared" ca="1" si="55"/>
        <v>0</v>
      </c>
      <c r="CH69" s="10">
        <f>分析データ!A69</f>
        <v>45026</v>
      </c>
    </row>
    <row r="70" spans="46:86">
      <c r="AT70" t="str">
        <f ca="1">IF(ROW()&lt;($C$7+1),"",IFERROR((分析データ!B70-AVERAGE(OFFSET(分析データ!B$1,MAX(1,ROW()-$C$7),0,MIN($C$7,ROW()-1),1)))/STDEV(OFFSET(分析データ!B$1,MAX(1,ROW()-$C$7),0,MIN($C$7,ROW()-1),1)),0))</f>
        <v/>
      </c>
      <c r="AU70">
        <f t="shared" ca="1" si="28"/>
        <v>0</v>
      </c>
      <c r="AV70" t="str">
        <f ca="1">IF(AU70=1,IF(INDEX(分析データ!$A:$A,ROW()+$C$5)&lt;&gt;"",80000*SIGN(AT70)*(分析データ!B70-INDEX(分析データ!B:B,ROW()+$C$5)),""),"")</f>
        <v/>
      </c>
      <c r="AW70">
        <f t="shared" ca="1" si="29"/>
        <v>0</v>
      </c>
      <c r="AX70">
        <f t="shared" ca="1" si="30"/>
        <v>0</v>
      </c>
      <c r="AY70">
        <f t="shared" ca="1" si="31"/>
        <v>0</v>
      </c>
      <c r="AZ70" t="str">
        <f ca="1">IF(ROW()&lt;($C$7+1),"",IFERROR((分析データ!C70-AVERAGE(OFFSET(分析データ!C$1,MAX(1,ROW()-$C$7),0,MIN($C$7,ROW()-1),1)))/STDEV(OFFSET(分析データ!C$1,MAX(1,ROW()-$C$7),0,MIN($C$7,ROW()-1),1)),0))</f>
        <v/>
      </c>
      <c r="BA70">
        <f t="shared" ca="1" si="32"/>
        <v>0</v>
      </c>
      <c r="BB70" t="str">
        <f ca="1">IF(BA70=1,IF(INDEX(分析データ!$A:$A,ROW()+$C$5)&lt;&gt;"",60000*SIGN(AZ70)*(分析データ!C70-INDEX(分析データ!C:C,ROW()+$C$5)),""),"")</f>
        <v/>
      </c>
      <c r="BC70">
        <f t="shared" ca="1" si="33"/>
        <v>0</v>
      </c>
      <c r="BD70">
        <f t="shared" ca="1" si="34"/>
        <v>0</v>
      </c>
      <c r="BE70">
        <f t="shared" ca="1" si="35"/>
        <v>0</v>
      </c>
      <c r="BF70" t="str">
        <f ca="1">IF(ROW()&lt;($C$7+1),"",IFERROR((分析データ!D70-AVERAGE(OFFSET(分析データ!D$1,MAX(1,ROW()-$C$7),0,MIN($C$7,ROW()-1),1)))/STDEV(OFFSET(分析データ!D$1,MAX(1,ROW()-$C$7),0,MIN($C$7,ROW()-1),1)),0))</f>
        <v/>
      </c>
      <c r="BG70">
        <f t="shared" ca="1" si="36"/>
        <v>0</v>
      </c>
      <c r="BH70" t="str">
        <f ca="1">IF(BG70=1,IF(INDEX(分析データ!$A:$A,ROW()+$C$5)&lt;&gt;"",50000*SIGN(BF70)*(分析データ!D70-INDEX(分析データ!D:D,ROW()+$C$5)),""),"")</f>
        <v/>
      </c>
      <c r="BI70">
        <f t="shared" ca="1" si="37"/>
        <v>0</v>
      </c>
      <c r="BJ70">
        <f t="shared" ca="1" si="38"/>
        <v>0</v>
      </c>
      <c r="BK70">
        <f t="shared" ca="1" si="39"/>
        <v>0</v>
      </c>
      <c r="BL70" t="str">
        <f ca="1">IF(ROW()&lt;($C$7+1),"",IFERROR((分析データ!E70-AVERAGE(OFFSET(分析データ!E$1,MAX(1,ROW()-$C$7),0,MIN($C$7,ROW()-1),1)))/STDEV(OFFSET(分析データ!E$1,MAX(1,ROW()-$C$7),0,MIN($C$7,ROW()-1),1)),0))</f>
        <v/>
      </c>
      <c r="BM70">
        <f t="shared" ca="1" si="40"/>
        <v>0</v>
      </c>
      <c r="BN70" t="str">
        <f ca="1">IF(BM70=1,IF(INDEX(分析データ!$A:$A,ROW()+$C$5)&lt;&gt;"",40000*SIGN(BL70)*(分析データ!E70-INDEX(分析データ!E:E,ROW()+$C$5)),""),"")</f>
        <v/>
      </c>
      <c r="BO70">
        <f t="shared" ca="1" si="41"/>
        <v>0</v>
      </c>
      <c r="BP70">
        <f t="shared" ca="1" si="42"/>
        <v>0</v>
      </c>
      <c r="BQ70">
        <f t="shared" ca="1" si="43"/>
        <v>0</v>
      </c>
      <c r="BR70" t="str">
        <f ca="1">IF(ROW()&lt;($C$7+1),"",IFERROR((分析データ!F70-AVERAGE(OFFSET(分析データ!F$1,MAX(1,ROW()-$C$7),0,MIN($C$7,ROW()-1),1)))/STDEV(OFFSET(分析データ!F$1,MAX(1,ROW()-$C$7),0,MIN($C$7,ROW()-1),1)),0))</f>
        <v/>
      </c>
      <c r="BS70">
        <f t="shared" ca="1" si="44"/>
        <v>0</v>
      </c>
      <c r="BT70" t="str">
        <f ca="1">IF(BS70=1,IF(INDEX(分析データ!$A:$A,ROW()+$C$5)&lt;&gt;"",40000*SIGN(BR70)*(分析データ!F70-INDEX(分析データ!F:F,ROW()+$C$5)),""),"")</f>
        <v/>
      </c>
      <c r="BU70">
        <f t="shared" ca="1" si="45"/>
        <v>0</v>
      </c>
      <c r="BV70">
        <f t="shared" ca="1" si="46"/>
        <v>0</v>
      </c>
      <c r="BW70">
        <f t="shared" ca="1" si="47"/>
        <v>0</v>
      </c>
      <c r="BX70" t="str">
        <f ca="1">IF(ROW()&lt;($C$7+1),"",IFERROR((分析データ!G70-AVERAGE(OFFSET(分析データ!G$1,MAX(1,ROW()-$C$7),0,MIN($C$7,ROW()-1),1)))/STDEV(OFFSET(分析データ!G$1,MAX(1,ROW()-$C$7),0,MIN($C$7,ROW()-1),1)),0))</f>
        <v/>
      </c>
      <c r="BY70">
        <f t="shared" ca="1" si="48"/>
        <v>0</v>
      </c>
      <c r="BZ70" t="str">
        <f ca="1">IF(BY70=1,IF(INDEX(分析データ!$A:$A,ROW()+$C$5)&lt;&gt;"",40000*SIGN(BX70)*(分析データ!G70-INDEX(分析データ!G:G,ROW()+$C$5)),""),"")</f>
        <v/>
      </c>
      <c r="CA70">
        <f t="shared" ca="1" si="49"/>
        <v>0</v>
      </c>
      <c r="CB70">
        <f t="shared" ca="1" si="50"/>
        <v>0</v>
      </c>
      <c r="CC70">
        <f t="shared" ca="1" si="51"/>
        <v>0</v>
      </c>
      <c r="CD70">
        <f t="shared" ca="1" si="52"/>
        <v>0</v>
      </c>
      <c r="CE70">
        <f t="shared" ca="1" si="53"/>
        <v>0</v>
      </c>
      <c r="CF70">
        <f t="shared" ca="1" si="54"/>
        <v>0</v>
      </c>
      <c r="CG70">
        <f t="shared" ca="1" si="55"/>
        <v>0</v>
      </c>
      <c r="CH70" s="10">
        <f>分析データ!A70</f>
        <v>45027</v>
      </c>
    </row>
    <row r="71" spans="46:86">
      <c r="AT71" t="str">
        <f ca="1">IF(ROW()&lt;($C$7+1),"",IFERROR((分析データ!B71-AVERAGE(OFFSET(分析データ!B$1,MAX(1,ROW()-$C$7),0,MIN($C$7,ROW()-1),1)))/STDEV(OFFSET(分析データ!B$1,MAX(1,ROW()-$C$7),0,MIN($C$7,ROW()-1),1)),0))</f>
        <v/>
      </c>
      <c r="AU71">
        <f t="shared" ca="1" si="28"/>
        <v>0</v>
      </c>
      <c r="AV71" t="str">
        <f ca="1">IF(AU71=1,IF(INDEX(分析データ!$A:$A,ROW()+$C$5)&lt;&gt;"",80000*SIGN(AT71)*(分析データ!B71-INDEX(分析データ!B:B,ROW()+$C$5)),""),"")</f>
        <v/>
      </c>
      <c r="AW71">
        <f t="shared" ca="1" si="29"/>
        <v>0</v>
      </c>
      <c r="AX71">
        <f t="shared" ca="1" si="30"/>
        <v>0</v>
      </c>
      <c r="AY71">
        <f t="shared" ca="1" si="31"/>
        <v>0</v>
      </c>
      <c r="AZ71" t="str">
        <f ca="1">IF(ROW()&lt;($C$7+1),"",IFERROR((分析データ!C71-AVERAGE(OFFSET(分析データ!C$1,MAX(1,ROW()-$C$7),0,MIN($C$7,ROW()-1),1)))/STDEV(OFFSET(分析データ!C$1,MAX(1,ROW()-$C$7),0,MIN($C$7,ROW()-1),1)),0))</f>
        <v/>
      </c>
      <c r="BA71">
        <f t="shared" ca="1" si="32"/>
        <v>0</v>
      </c>
      <c r="BB71" t="str">
        <f ca="1">IF(BA71=1,IF(INDEX(分析データ!$A:$A,ROW()+$C$5)&lt;&gt;"",60000*SIGN(AZ71)*(分析データ!C71-INDEX(分析データ!C:C,ROW()+$C$5)),""),"")</f>
        <v/>
      </c>
      <c r="BC71">
        <f t="shared" ca="1" si="33"/>
        <v>0</v>
      </c>
      <c r="BD71">
        <f t="shared" ca="1" si="34"/>
        <v>0</v>
      </c>
      <c r="BE71">
        <f t="shared" ca="1" si="35"/>
        <v>0</v>
      </c>
      <c r="BF71" t="str">
        <f ca="1">IF(ROW()&lt;($C$7+1),"",IFERROR((分析データ!D71-AVERAGE(OFFSET(分析データ!D$1,MAX(1,ROW()-$C$7),0,MIN($C$7,ROW()-1),1)))/STDEV(OFFSET(分析データ!D$1,MAX(1,ROW()-$C$7),0,MIN($C$7,ROW()-1),1)),0))</f>
        <v/>
      </c>
      <c r="BG71">
        <f t="shared" ca="1" si="36"/>
        <v>0</v>
      </c>
      <c r="BH71" t="str">
        <f ca="1">IF(BG71=1,IF(INDEX(分析データ!$A:$A,ROW()+$C$5)&lt;&gt;"",50000*SIGN(BF71)*(分析データ!D71-INDEX(分析データ!D:D,ROW()+$C$5)),""),"")</f>
        <v/>
      </c>
      <c r="BI71">
        <f t="shared" ca="1" si="37"/>
        <v>0</v>
      </c>
      <c r="BJ71">
        <f t="shared" ca="1" si="38"/>
        <v>0</v>
      </c>
      <c r="BK71">
        <f t="shared" ca="1" si="39"/>
        <v>0</v>
      </c>
      <c r="BL71" t="str">
        <f ca="1">IF(ROW()&lt;($C$7+1),"",IFERROR((分析データ!E71-AVERAGE(OFFSET(分析データ!E$1,MAX(1,ROW()-$C$7),0,MIN($C$7,ROW()-1),1)))/STDEV(OFFSET(分析データ!E$1,MAX(1,ROW()-$C$7),0,MIN($C$7,ROW()-1),1)),0))</f>
        <v/>
      </c>
      <c r="BM71">
        <f t="shared" ca="1" si="40"/>
        <v>0</v>
      </c>
      <c r="BN71" t="str">
        <f ca="1">IF(BM71=1,IF(INDEX(分析データ!$A:$A,ROW()+$C$5)&lt;&gt;"",40000*SIGN(BL71)*(分析データ!E71-INDEX(分析データ!E:E,ROW()+$C$5)),""),"")</f>
        <v/>
      </c>
      <c r="BO71">
        <f t="shared" ca="1" si="41"/>
        <v>0</v>
      </c>
      <c r="BP71">
        <f t="shared" ca="1" si="42"/>
        <v>0</v>
      </c>
      <c r="BQ71">
        <f t="shared" ca="1" si="43"/>
        <v>0</v>
      </c>
      <c r="BR71" t="str">
        <f ca="1">IF(ROW()&lt;($C$7+1),"",IFERROR((分析データ!F71-AVERAGE(OFFSET(分析データ!F$1,MAX(1,ROW()-$C$7),0,MIN($C$7,ROW()-1),1)))/STDEV(OFFSET(分析データ!F$1,MAX(1,ROW()-$C$7),0,MIN($C$7,ROW()-1),1)),0))</f>
        <v/>
      </c>
      <c r="BS71">
        <f t="shared" ca="1" si="44"/>
        <v>0</v>
      </c>
      <c r="BT71" t="str">
        <f ca="1">IF(BS71=1,IF(INDEX(分析データ!$A:$A,ROW()+$C$5)&lt;&gt;"",40000*SIGN(BR71)*(分析データ!F71-INDEX(分析データ!F:F,ROW()+$C$5)),""),"")</f>
        <v/>
      </c>
      <c r="BU71">
        <f t="shared" ca="1" si="45"/>
        <v>0</v>
      </c>
      <c r="BV71">
        <f t="shared" ca="1" si="46"/>
        <v>0</v>
      </c>
      <c r="BW71">
        <f t="shared" ca="1" si="47"/>
        <v>0</v>
      </c>
      <c r="BX71" t="str">
        <f ca="1">IF(ROW()&lt;($C$7+1),"",IFERROR((分析データ!G71-AVERAGE(OFFSET(分析データ!G$1,MAX(1,ROW()-$C$7),0,MIN($C$7,ROW()-1),1)))/STDEV(OFFSET(分析データ!G$1,MAX(1,ROW()-$C$7),0,MIN($C$7,ROW()-1),1)),0))</f>
        <v/>
      </c>
      <c r="BY71">
        <f t="shared" ca="1" si="48"/>
        <v>0</v>
      </c>
      <c r="BZ71" t="str">
        <f ca="1">IF(BY71=1,IF(INDEX(分析データ!$A:$A,ROW()+$C$5)&lt;&gt;"",40000*SIGN(BX71)*(分析データ!G71-INDEX(分析データ!G:G,ROW()+$C$5)),""),"")</f>
        <v/>
      </c>
      <c r="CA71">
        <f t="shared" ca="1" si="49"/>
        <v>0</v>
      </c>
      <c r="CB71">
        <f t="shared" ca="1" si="50"/>
        <v>0</v>
      </c>
      <c r="CC71">
        <f t="shared" ca="1" si="51"/>
        <v>0</v>
      </c>
      <c r="CD71">
        <f t="shared" ca="1" si="52"/>
        <v>0</v>
      </c>
      <c r="CE71">
        <f t="shared" ca="1" si="53"/>
        <v>0</v>
      </c>
      <c r="CF71">
        <f t="shared" ca="1" si="54"/>
        <v>0</v>
      </c>
      <c r="CG71">
        <f t="shared" ca="1" si="55"/>
        <v>0</v>
      </c>
      <c r="CH71" s="10">
        <f>分析データ!A71</f>
        <v>45028</v>
      </c>
    </row>
    <row r="72" spans="46:86">
      <c r="AT72" t="str">
        <f ca="1">IF(ROW()&lt;($C$7+1),"",IFERROR((分析データ!B72-AVERAGE(OFFSET(分析データ!B$1,MAX(1,ROW()-$C$7),0,MIN($C$7,ROW()-1),1)))/STDEV(OFFSET(分析データ!B$1,MAX(1,ROW()-$C$7),0,MIN($C$7,ROW()-1),1)),0))</f>
        <v/>
      </c>
      <c r="AU72">
        <f t="shared" ca="1" si="28"/>
        <v>0</v>
      </c>
      <c r="AV72" t="str">
        <f ca="1">IF(AU72=1,IF(INDEX(分析データ!$A:$A,ROW()+$C$5)&lt;&gt;"",80000*SIGN(AT72)*(分析データ!B72-INDEX(分析データ!B:B,ROW()+$C$5)),""),"")</f>
        <v/>
      </c>
      <c r="AW72">
        <f t="shared" ca="1" si="29"/>
        <v>0</v>
      </c>
      <c r="AX72">
        <f t="shared" ca="1" si="30"/>
        <v>0</v>
      </c>
      <c r="AY72">
        <f t="shared" ca="1" si="31"/>
        <v>0</v>
      </c>
      <c r="AZ72" t="str">
        <f ca="1">IF(ROW()&lt;($C$7+1),"",IFERROR((分析データ!C72-AVERAGE(OFFSET(分析データ!C$1,MAX(1,ROW()-$C$7),0,MIN($C$7,ROW()-1),1)))/STDEV(OFFSET(分析データ!C$1,MAX(1,ROW()-$C$7),0,MIN($C$7,ROW()-1),1)),0))</f>
        <v/>
      </c>
      <c r="BA72">
        <f t="shared" ca="1" si="32"/>
        <v>0</v>
      </c>
      <c r="BB72" t="str">
        <f ca="1">IF(BA72=1,IF(INDEX(分析データ!$A:$A,ROW()+$C$5)&lt;&gt;"",60000*SIGN(AZ72)*(分析データ!C72-INDEX(分析データ!C:C,ROW()+$C$5)),""),"")</f>
        <v/>
      </c>
      <c r="BC72">
        <f t="shared" ca="1" si="33"/>
        <v>0</v>
      </c>
      <c r="BD72">
        <f t="shared" ca="1" si="34"/>
        <v>0</v>
      </c>
      <c r="BE72">
        <f t="shared" ca="1" si="35"/>
        <v>0</v>
      </c>
      <c r="BF72" t="str">
        <f ca="1">IF(ROW()&lt;($C$7+1),"",IFERROR((分析データ!D72-AVERAGE(OFFSET(分析データ!D$1,MAX(1,ROW()-$C$7),0,MIN($C$7,ROW()-1),1)))/STDEV(OFFSET(分析データ!D$1,MAX(1,ROW()-$C$7),0,MIN($C$7,ROW()-1),1)),0))</f>
        <v/>
      </c>
      <c r="BG72">
        <f t="shared" ca="1" si="36"/>
        <v>0</v>
      </c>
      <c r="BH72" t="str">
        <f ca="1">IF(BG72=1,IF(INDEX(分析データ!$A:$A,ROW()+$C$5)&lt;&gt;"",50000*SIGN(BF72)*(分析データ!D72-INDEX(分析データ!D:D,ROW()+$C$5)),""),"")</f>
        <v/>
      </c>
      <c r="BI72">
        <f t="shared" ca="1" si="37"/>
        <v>0</v>
      </c>
      <c r="BJ72">
        <f t="shared" ca="1" si="38"/>
        <v>0</v>
      </c>
      <c r="BK72">
        <f t="shared" ca="1" si="39"/>
        <v>0</v>
      </c>
      <c r="BL72" t="str">
        <f ca="1">IF(ROW()&lt;($C$7+1),"",IFERROR((分析データ!E72-AVERAGE(OFFSET(分析データ!E$1,MAX(1,ROW()-$C$7),0,MIN($C$7,ROW()-1),1)))/STDEV(OFFSET(分析データ!E$1,MAX(1,ROW()-$C$7),0,MIN($C$7,ROW()-1),1)),0))</f>
        <v/>
      </c>
      <c r="BM72">
        <f t="shared" ca="1" si="40"/>
        <v>0</v>
      </c>
      <c r="BN72" t="str">
        <f ca="1">IF(BM72=1,IF(INDEX(分析データ!$A:$A,ROW()+$C$5)&lt;&gt;"",40000*SIGN(BL72)*(分析データ!E72-INDEX(分析データ!E:E,ROW()+$C$5)),""),"")</f>
        <v/>
      </c>
      <c r="BO72">
        <f t="shared" ca="1" si="41"/>
        <v>0</v>
      </c>
      <c r="BP72">
        <f t="shared" ca="1" si="42"/>
        <v>0</v>
      </c>
      <c r="BQ72">
        <f t="shared" ca="1" si="43"/>
        <v>0</v>
      </c>
      <c r="BR72" t="str">
        <f ca="1">IF(ROW()&lt;($C$7+1),"",IFERROR((分析データ!F72-AVERAGE(OFFSET(分析データ!F$1,MAX(1,ROW()-$C$7),0,MIN($C$7,ROW()-1),1)))/STDEV(OFFSET(分析データ!F$1,MAX(1,ROW()-$C$7),0,MIN($C$7,ROW()-1),1)),0))</f>
        <v/>
      </c>
      <c r="BS72">
        <f t="shared" ca="1" si="44"/>
        <v>0</v>
      </c>
      <c r="BT72" t="str">
        <f ca="1">IF(BS72=1,IF(INDEX(分析データ!$A:$A,ROW()+$C$5)&lt;&gt;"",40000*SIGN(BR72)*(分析データ!F72-INDEX(分析データ!F:F,ROW()+$C$5)),""),"")</f>
        <v/>
      </c>
      <c r="BU72">
        <f t="shared" ca="1" si="45"/>
        <v>0</v>
      </c>
      <c r="BV72">
        <f t="shared" ca="1" si="46"/>
        <v>0</v>
      </c>
      <c r="BW72">
        <f t="shared" ca="1" si="47"/>
        <v>0</v>
      </c>
      <c r="BX72" t="str">
        <f ca="1">IF(ROW()&lt;($C$7+1),"",IFERROR((分析データ!G72-AVERAGE(OFFSET(分析データ!G$1,MAX(1,ROW()-$C$7),0,MIN($C$7,ROW()-1),1)))/STDEV(OFFSET(分析データ!G$1,MAX(1,ROW()-$C$7),0,MIN($C$7,ROW()-1),1)),0))</f>
        <v/>
      </c>
      <c r="BY72">
        <f t="shared" ca="1" si="48"/>
        <v>0</v>
      </c>
      <c r="BZ72" t="str">
        <f ca="1">IF(BY72=1,IF(INDEX(分析データ!$A:$A,ROW()+$C$5)&lt;&gt;"",40000*SIGN(BX72)*(分析データ!G72-INDEX(分析データ!G:G,ROW()+$C$5)),""),"")</f>
        <v/>
      </c>
      <c r="CA72">
        <f t="shared" ca="1" si="49"/>
        <v>0</v>
      </c>
      <c r="CB72">
        <f t="shared" ca="1" si="50"/>
        <v>0</v>
      </c>
      <c r="CC72">
        <f t="shared" ca="1" si="51"/>
        <v>0</v>
      </c>
      <c r="CD72">
        <f t="shared" ca="1" si="52"/>
        <v>0</v>
      </c>
      <c r="CE72">
        <f t="shared" ca="1" si="53"/>
        <v>0</v>
      </c>
      <c r="CF72">
        <f t="shared" ca="1" si="54"/>
        <v>0</v>
      </c>
      <c r="CG72">
        <f t="shared" ca="1" si="55"/>
        <v>0</v>
      </c>
      <c r="CH72" s="10">
        <f>分析データ!A72</f>
        <v>45029</v>
      </c>
    </row>
    <row r="73" spans="46:86">
      <c r="AT73" t="str">
        <f ca="1">IF(ROW()&lt;($C$7+1),"",IFERROR((分析データ!B73-AVERAGE(OFFSET(分析データ!B$1,MAX(1,ROW()-$C$7),0,MIN($C$7,ROW()-1),1)))/STDEV(OFFSET(分析データ!B$1,MAX(1,ROW()-$C$7),0,MIN($C$7,ROW()-1),1)),0))</f>
        <v/>
      </c>
      <c r="AU73">
        <f t="shared" ca="1" si="28"/>
        <v>0</v>
      </c>
      <c r="AV73" t="str">
        <f ca="1">IF(AU73=1,IF(INDEX(分析データ!$A:$A,ROW()+$C$5)&lt;&gt;"",80000*SIGN(AT73)*(分析データ!B73-INDEX(分析データ!B:B,ROW()+$C$5)),""),"")</f>
        <v/>
      </c>
      <c r="AW73">
        <f t="shared" ca="1" si="29"/>
        <v>0</v>
      </c>
      <c r="AX73">
        <f t="shared" ca="1" si="30"/>
        <v>0</v>
      </c>
      <c r="AY73">
        <f t="shared" ca="1" si="31"/>
        <v>0</v>
      </c>
      <c r="AZ73" t="str">
        <f ca="1">IF(ROW()&lt;($C$7+1),"",IFERROR((分析データ!C73-AVERAGE(OFFSET(分析データ!C$1,MAX(1,ROW()-$C$7),0,MIN($C$7,ROW()-1),1)))/STDEV(OFFSET(分析データ!C$1,MAX(1,ROW()-$C$7),0,MIN($C$7,ROW()-1),1)),0))</f>
        <v/>
      </c>
      <c r="BA73">
        <f t="shared" ca="1" si="32"/>
        <v>0</v>
      </c>
      <c r="BB73" t="str">
        <f ca="1">IF(BA73=1,IF(INDEX(分析データ!$A:$A,ROW()+$C$5)&lt;&gt;"",60000*SIGN(AZ73)*(分析データ!C73-INDEX(分析データ!C:C,ROW()+$C$5)),""),"")</f>
        <v/>
      </c>
      <c r="BC73">
        <f t="shared" ca="1" si="33"/>
        <v>0</v>
      </c>
      <c r="BD73">
        <f t="shared" ca="1" si="34"/>
        <v>0</v>
      </c>
      <c r="BE73">
        <f t="shared" ca="1" si="35"/>
        <v>0</v>
      </c>
      <c r="BF73" t="str">
        <f ca="1">IF(ROW()&lt;($C$7+1),"",IFERROR((分析データ!D73-AVERAGE(OFFSET(分析データ!D$1,MAX(1,ROW()-$C$7),0,MIN($C$7,ROW()-1),1)))/STDEV(OFFSET(分析データ!D$1,MAX(1,ROW()-$C$7),0,MIN($C$7,ROW()-1),1)),0))</f>
        <v/>
      </c>
      <c r="BG73">
        <f t="shared" ca="1" si="36"/>
        <v>0</v>
      </c>
      <c r="BH73" t="str">
        <f ca="1">IF(BG73=1,IF(INDEX(分析データ!$A:$A,ROW()+$C$5)&lt;&gt;"",50000*SIGN(BF73)*(分析データ!D73-INDEX(分析データ!D:D,ROW()+$C$5)),""),"")</f>
        <v/>
      </c>
      <c r="BI73">
        <f t="shared" ca="1" si="37"/>
        <v>0</v>
      </c>
      <c r="BJ73">
        <f t="shared" ca="1" si="38"/>
        <v>0</v>
      </c>
      <c r="BK73">
        <f t="shared" ca="1" si="39"/>
        <v>0</v>
      </c>
      <c r="BL73" t="str">
        <f ca="1">IF(ROW()&lt;($C$7+1),"",IFERROR((分析データ!E73-AVERAGE(OFFSET(分析データ!E$1,MAX(1,ROW()-$C$7),0,MIN($C$7,ROW()-1),1)))/STDEV(OFFSET(分析データ!E$1,MAX(1,ROW()-$C$7),0,MIN($C$7,ROW()-1),1)),0))</f>
        <v/>
      </c>
      <c r="BM73">
        <f t="shared" ca="1" si="40"/>
        <v>0</v>
      </c>
      <c r="BN73" t="str">
        <f ca="1">IF(BM73=1,IF(INDEX(分析データ!$A:$A,ROW()+$C$5)&lt;&gt;"",40000*SIGN(BL73)*(分析データ!E73-INDEX(分析データ!E:E,ROW()+$C$5)),""),"")</f>
        <v/>
      </c>
      <c r="BO73">
        <f t="shared" ca="1" si="41"/>
        <v>0</v>
      </c>
      <c r="BP73">
        <f t="shared" ca="1" si="42"/>
        <v>0</v>
      </c>
      <c r="BQ73">
        <f t="shared" ca="1" si="43"/>
        <v>0</v>
      </c>
      <c r="BR73" t="str">
        <f ca="1">IF(ROW()&lt;($C$7+1),"",IFERROR((分析データ!F73-AVERAGE(OFFSET(分析データ!F$1,MAX(1,ROW()-$C$7),0,MIN($C$7,ROW()-1),1)))/STDEV(OFFSET(分析データ!F$1,MAX(1,ROW()-$C$7),0,MIN($C$7,ROW()-1),1)),0))</f>
        <v/>
      </c>
      <c r="BS73">
        <f t="shared" ca="1" si="44"/>
        <v>0</v>
      </c>
      <c r="BT73" t="str">
        <f ca="1">IF(BS73=1,IF(INDEX(分析データ!$A:$A,ROW()+$C$5)&lt;&gt;"",40000*SIGN(BR73)*(分析データ!F73-INDEX(分析データ!F:F,ROW()+$C$5)),""),"")</f>
        <v/>
      </c>
      <c r="BU73">
        <f t="shared" ca="1" si="45"/>
        <v>0</v>
      </c>
      <c r="BV73">
        <f t="shared" ca="1" si="46"/>
        <v>0</v>
      </c>
      <c r="BW73">
        <f t="shared" ca="1" si="47"/>
        <v>0</v>
      </c>
      <c r="BX73" t="str">
        <f ca="1">IF(ROW()&lt;($C$7+1),"",IFERROR((分析データ!G73-AVERAGE(OFFSET(分析データ!G$1,MAX(1,ROW()-$C$7),0,MIN($C$7,ROW()-1),1)))/STDEV(OFFSET(分析データ!G$1,MAX(1,ROW()-$C$7),0,MIN($C$7,ROW()-1),1)),0))</f>
        <v/>
      </c>
      <c r="BY73">
        <f t="shared" ca="1" si="48"/>
        <v>0</v>
      </c>
      <c r="BZ73" t="str">
        <f ca="1">IF(BY73=1,IF(INDEX(分析データ!$A:$A,ROW()+$C$5)&lt;&gt;"",40000*SIGN(BX73)*(分析データ!G73-INDEX(分析データ!G:G,ROW()+$C$5)),""),"")</f>
        <v/>
      </c>
      <c r="CA73">
        <f t="shared" ca="1" si="49"/>
        <v>0</v>
      </c>
      <c r="CB73">
        <f t="shared" ca="1" si="50"/>
        <v>0</v>
      </c>
      <c r="CC73">
        <f t="shared" ca="1" si="51"/>
        <v>0</v>
      </c>
      <c r="CD73">
        <f t="shared" ca="1" si="52"/>
        <v>0</v>
      </c>
      <c r="CE73">
        <f t="shared" ca="1" si="53"/>
        <v>0</v>
      </c>
      <c r="CF73">
        <f t="shared" ca="1" si="54"/>
        <v>0</v>
      </c>
      <c r="CG73">
        <f t="shared" ca="1" si="55"/>
        <v>0</v>
      </c>
      <c r="CH73" s="10">
        <f>分析データ!A73</f>
        <v>45030</v>
      </c>
    </row>
    <row r="74" spans="46:86">
      <c r="AT74" t="str">
        <f ca="1">IF(ROW()&lt;($C$7+1),"",IFERROR((分析データ!B74-AVERAGE(OFFSET(分析データ!B$1,MAX(1,ROW()-$C$7),0,MIN($C$7,ROW()-1),1)))/STDEV(OFFSET(分析データ!B$1,MAX(1,ROW()-$C$7),0,MIN($C$7,ROW()-1),1)),0))</f>
        <v/>
      </c>
      <c r="AU74">
        <f t="shared" ca="1" si="28"/>
        <v>0</v>
      </c>
      <c r="AV74" t="str">
        <f ca="1">IF(AU74=1,IF(INDEX(分析データ!$A:$A,ROW()+$C$5)&lt;&gt;"",80000*SIGN(AT74)*(分析データ!B74-INDEX(分析データ!B:B,ROW()+$C$5)),""),"")</f>
        <v/>
      </c>
      <c r="AW74">
        <f t="shared" ca="1" si="29"/>
        <v>0</v>
      </c>
      <c r="AX74">
        <f t="shared" ca="1" si="30"/>
        <v>0</v>
      </c>
      <c r="AY74">
        <f t="shared" ca="1" si="31"/>
        <v>0</v>
      </c>
      <c r="AZ74" t="str">
        <f ca="1">IF(ROW()&lt;($C$7+1),"",IFERROR((分析データ!C74-AVERAGE(OFFSET(分析データ!C$1,MAX(1,ROW()-$C$7),0,MIN($C$7,ROW()-1),1)))/STDEV(OFFSET(分析データ!C$1,MAX(1,ROW()-$C$7),0,MIN($C$7,ROW()-1),1)),0))</f>
        <v/>
      </c>
      <c r="BA74">
        <f t="shared" ca="1" si="32"/>
        <v>0</v>
      </c>
      <c r="BB74" t="str">
        <f ca="1">IF(BA74=1,IF(INDEX(分析データ!$A:$A,ROW()+$C$5)&lt;&gt;"",60000*SIGN(AZ74)*(分析データ!C74-INDEX(分析データ!C:C,ROW()+$C$5)),""),"")</f>
        <v/>
      </c>
      <c r="BC74">
        <f t="shared" ca="1" si="33"/>
        <v>0</v>
      </c>
      <c r="BD74">
        <f t="shared" ca="1" si="34"/>
        <v>0</v>
      </c>
      <c r="BE74">
        <f t="shared" ca="1" si="35"/>
        <v>0</v>
      </c>
      <c r="BF74" t="str">
        <f ca="1">IF(ROW()&lt;($C$7+1),"",IFERROR((分析データ!D74-AVERAGE(OFFSET(分析データ!D$1,MAX(1,ROW()-$C$7),0,MIN($C$7,ROW()-1),1)))/STDEV(OFFSET(分析データ!D$1,MAX(1,ROW()-$C$7),0,MIN($C$7,ROW()-1),1)),0))</f>
        <v/>
      </c>
      <c r="BG74">
        <f t="shared" ca="1" si="36"/>
        <v>0</v>
      </c>
      <c r="BH74" t="str">
        <f ca="1">IF(BG74=1,IF(INDEX(分析データ!$A:$A,ROW()+$C$5)&lt;&gt;"",50000*SIGN(BF74)*(分析データ!D74-INDEX(分析データ!D:D,ROW()+$C$5)),""),"")</f>
        <v/>
      </c>
      <c r="BI74">
        <f t="shared" ca="1" si="37"/>
        <v>0</v>
      </c>
      <c r="BJ74">
        <f t="shared" ca="1" si="38"/>
        <v>0</v>
      </c>
      <c r="BK74">
        <f t="shared" ca="1" si="39"/>
        <v>0</v>
      </c>
      <c r="BL74" t="str">
        <f ca="1">IF(ROW()&lt;($C$7+1),"",IFERROR((分析データ!E74-AVERAGE(OFFSET(分析データ!E$1,MAX(1,ROW()-$C$7),0,MIN($C$7,ROW()-1),1)))/STDEV(OFFSET(分析データ!E$1,MAX(1,ROW()-$C$7),0,MIN($C$7,ROW()-1),1)),0))</f>
        <v/>
      </c>
      <c r="BM74">
        <f t="shared" ca="1" si="40"/>
        <v>0</v>
      </c>
      <c r="BN74" t="str">
        <f ca="1">IF(BM74=1,IF(INDEX(分析データ!$A:$A,ROW()+$C$5)&lt;&gt;"",40000*SIGN(BL74)*(分析データ!E74-INDEX(分析データ!E:E,ROW()+$C$5)),""),"")</f>
        <v/>
      </c>
      <c r="BO74">
        <f t="shared" ca="1" si="41"/>
        <v>0</v>
      </c>
      <c r="BP74">
        <f t="shared" ca="1" si="42"/>
        <v>0</v>
      </c>
      <c r="BQ74">
        <f t="shared" ca="1" si="43"/>
        <v>0</v>
      </c>
      <c r="BR74" t="str">
        <f ca="1">IF(ROW()&lt;($C$7+1),"",IFERROR((分析データ!F74-AVERAGE(OFFSET(分析データ!F$1,MAX(1,ROW()-$C$7),0,MIN($C$7,ROW()-1),1)))/STDEV(OFFSET(分析データ!F$1,MAX(1,ROW()-$C$7),0,MIN($C$7,ROW()-1),1)),0))</f>
        <v/>
      </c>
      <c r="BS74">
        <f t="shared" ca="1" si="44"/>
        <v>0</v>
      </c>
      <c r="BT74" t="str">
        <f ca="1">IF(BS74=1,IF(INDEX(分析データ!$A:$A,ROW()+$C$5)&lt;&gt;"",40000*SIGN(BR74)*(分析データ!F74-INDEX(分析データ!F:F,ROW()+$C$5)),""),"")</f>
        <v/>
      </c>
      <c r="BU74">
        <f t="shared" ca="1" si="45"/>
        <v>0</v>
      </c>
      <c r="BV74">
        <f t="shared" ca="1" si="46"/>
        <v>0</v>
      </c>
      <c r="BW74">
        <f t="shared" ca="1" si="47"/>
        <v>0</v>
      </c>
      <c r="BX74" t="str">
        <f ca="1">IF(ROW()&lt;($C$7+1),"",IFERROR((分析データ!G74-AVERAGE(OFFSET(分析データ!G$1,MAX(1,ROW()-$C$7),0,MIN($C$7,ROW()-1),1)))/STDEV(OFFSET(分析データ!G$1,MAX(1,ROW()-$C$7),0,MIN($C$7,ROW()-1),1)),0))</f>
        <v/>
      </c>
      <c r="BY74">
        <f t="shared" ca="1" si="48"/>
        <v>0</v>
      </c>
      <c r="BZ74" t="str">
        <f ca="1">IF(BY74=1,IF(INDEX(分析データ!$A:$A,ROW()+$C$5)&lt;&gt;"",40000*SIGN(BX74)*(分析データ!G74-INDEX(分析データ!G:G,ROW()+$C$5)),""),"")</f>
        <v/>
      </c>
      <c r="CA74">
        <f t="shared" ca="1" si="49"/>
        <v>0</v>
      </c>
      <c r="CB74">
        <f t="shared" ca="1" si="50"/>
        <v>0</v>
      </c>
      <c r="CC74">
        <f t="shared" ca="1" si="51"/>
        <v>0</v>
      </c>
      <c r="CD74">
        <f t="shared" ca="1" si="52"/>
        <v>0</v>
      </c>
      <c r="CE74">
        <f t="shared" ca="1" si="53"/>
        <v>0</v>
      </c>
      <c r="CF74">
        <f t="shared" ca="1" si="54"/>
        <v>0</v>
      </c>
      <c r="CG74">
        <f t="shared" ca="1" si="55"/>
        <v>0</v>
      </c>
      <c r="CH74" s="10">
        <f>分析データ!A74</f>
        <v>45033</v>
      </c>
    </row>
    <row r="75" spans="46:86">
      <c r="AT75" t="str">
        <f ca="1">IF(ROW()&lt;($C$7+1),"",IFERROR((分析データ!B75-AVERAGE(OFFSET(分析データ!B$1,MAX(1,ROW()-$C$7),0,MIN($C$7,ROW()-1),1)))/STDEV(OFFSET(分析データ!B$1,MAX(1,ROW()-$C$7),0,MIN($C$7,ROW()-1),1)),0))</f>
        <v/>
      </c>
      <c r="AU75">
        <f t="shared" ca="1" si="28"/>
        <v>0</v>
      </c>
      <c r="AV75" t="str">
        <f ca="1">IF(AU75=1,IF(INDEX(分析データ!$A:$A,ROW()+$C$5)&lt;&gt;"",80000*SIGN(AT75)*(分析データ!B75-INDEX(分析データ!B:B,ROW()+$C$5)),""),"")</f>
        <v/>
      </c>
      <c r="AW75">
        <f t="shared" ca="1" si="29"/>
        <v>0</v>
      </c>
      <c r="AX75">
        <f t="shared" ca="1" si="30"/>
        <v>0</v>
      </c>
      <c r="AY75">
        <f t="shared" ca="1" si="31"/>
        <v>0</v>
      </c>
      <c r="AZ75" t="str">
        <f ca="1">IF(ROW()&lt;($C$7+1),"",IFERROR((分析データ!C75-AVERAGE(OFFSET(分析データ!C$1,MAX(1,ROW()-$C$7),0,MIN($C$7,ROW()-1),1)))/STDEV(OFFSET(分析データ!C$1,MAX(1,ROW()-$C$7),0,MIN($C$7,ROW()-1),1)),0))</f>
        <v/>
      </c>
      <c r="BA75">
        <f t="shared" ca="1" si="32"/>
        <v>0</v>
      </c>
      <c r="BB75" t="str">
        <f ca="1">IF(BA75=1,IF(INDEX(分析データ!$A:$A,ROW()+$C$5)&lt;&gt;"",60000*SIGN(AZ75)*(分析データ!C75-INDEX(分析データ!C:C,ROW()+$C$5)),""),"")</f>
        <v/>
      </c>
      <c r="BC75">
        <f t="shared" ca="1" si="33"/>
        <v>0</v>
      </c>
      <c r="BD75">
        <f t="shared" ca="1" si="34"/>
        <v>0</v>
      </c>
      <c r="BE75">
        <f t="shared" ca="1" si="35"/>
        <v>0</v>
      </c>
      <c r="BF75" t="str">
        <f ca="1">IF(ROW()&lt;($C$7+1),"",IFERROR((分析データ!D75-AVERAGE(OFFSET(分析データ!D$1,MAX(1,ROW()-$C$7),0,MIN($C$7,ROW()-1),1)))/STDEV(OFFSET(分析データ!D$1,MAX(1,ROW()-$C$7),0,MIN($C$7,ROW()-1),1)),0))</f>
        <v/>
      </c>
      <c r="BG75">
        <f t="shared" ca="1" si="36"/>
        <v>0</v>
      </c>
      <c r="BH75" t="str">
        <f ca="1">IF(BG75=1,IF(INDEX(分析データ!$A:$A,ROW()+$C$5)&lt;&gt;"",50000*SIGN(BF75)*(分析データ!D75-INDEX(分析データ!D:D,ROW()+$C$5)),""),"")</f>
        <v/>
      </c>
      <c r="BI75">
        <f t="shared" ca="1" si="37"/>
        <v>0</v>
      </c>
      <c r="BJ75">
        <f t="shared" ca="1" si="38"/>
        <v>0</v>
      </c>
      <c r="BK75">
        <f t="shared" ca="1" si="39"/>
        <v>0</v>
      </c>
      <c r="BL75" t="str">
        <f ca="1">IF(ROW()&lt;($C$7+1),"",IFERROR((分析データ!E75-AVERAGE(OFFSET(分析データ!E$1,MAX(1,ROW()-$C$7),0,MIN($C$7,ROW()-1),1)))/STDEV(OFFSET(分析データ!E$1,MAX(1,ROW()-$C$7),0,MIN($C$7,ROW()-1),1)),0))</f>
        <v/>
      </c>
      <c r="BM75">
        <f t="shared" ca="1" si="40"/>
        <v>0</v>
      </c>
      <c r="BN75" t="str">
        <f ca="1">IF(BM75=1,IF(INDEX(分析データ!$A:$A,ROW()+$C$5)&lt;&gt;"",40000*SIGN(BL75)*(分析データ!E75-INDEX(分析データ!E:E,ROW()+$C$5)),""),"")</f>
        <v/>
      </c>
      <c r="BO75">
        <f t="shared" ca="1" si="41"/>
        <v>0</v>
      </c>
      <c r="BP75">
        <f t="shared" ca="1" si="42"/>
        <v>0</v>
      </c>
      <c r="BQ75">
        <f t="shared" ca="1" si="43"/>
        <v>0</v>
      </c>
      <c r="BR75" t="str">
        <f ca="1">IF(ROW()&lt;($C$7+1),"",IFERROR((分析データ!F75-AVERAGE(OFFSET(分析データ!F$1,MAX(1,ROW()-$C$7),0,MIN($C$7,ROW()-1),1)))/STDEV(OFFSET(分析データ!F$1,MAX(1,ROW()-$C$7),0,MIN($C$7,ROW()-1),1)),0))</f>
        <v/>
      </c>
      <c r="BS75">
        <f t="shared" ca="1" si="44"/>
        <v>0</v>
      </c>
      <c r="BT75" t="str">
        <f ca="1">IF(BS75=1,IF(INDEX(分析データ!$A:$A,ROW()+$C$5)&lt;&gt;"",40000*SIGN(BR75)*(分析データ!F75-INDEX(分析データ!F:F,ROW()+$C$5)),""),"")</f>
        <v/>
      </c>
      <c r="BU75">
        <f t="shared" ca="1" si="45"/>
        <v>0</v>
      </c>
      <c r="BV75">
        <f t="shared" ca="1" si="46"/>
        <v>0</v>
      </c>
      <c r="BW75">
        <f t="shared" ca="1" si="47"/>
        <v>0</v>
      </c>
      <c r="BX75" t="str">
        <f ca="1">IF(ROW()&lt;($C$7+1),"",IFERROR((分析データ!G75-AVERAGE(OFFSET(分析データ!G$1,MAX(1,ROW()-$C$7),0,MIN($C$7,ROW()-1),1)))/STDEV(OFFSET(分析データ!G$1,MAX(1,ROW()-$C$7),0,MIN($C$7,ROW()-1),1)),0))</f>
        <v/>
      </c>
      <c r="BY75">
        <f t="shared" ca="1" si="48"/>
        <v>0</v>
      </c>
      <c r="BZ75" t="str">
        <f ca="1">IF(BY75=1,IF(INDEX(分析データ!$A:$A,ROW()+$C$5)&lt;&gt;"",40000*SIGN(BX75)*(分析データ!G75-INDEX(分析データ!G:G,ROW()+$C$5)),""),"")</f>
        <v/>
      </c>
      <c r="CA75">
        <f t="shared" ca="1" si="49"/>
        <v>0</v>
      </c>
      <c r="CB75">
        <f t="shared" ca="1" si="50"/>
        <v>0</v>
      </c>
      <c r="CC75">
        <f t="shared" ca="1" si="51"/>
        <v>0</v>
      </c>
      <c r="CD75">
        <f t="shared" ca="1" si="52"/>
        <v>0</v>
      </c>
      <c r="CE75">
        <f t="shared" ca="1" si="53"/>
        <v>0</v>
      </c>
      <c r="CF75">
        <f t="shared" ca="1" si="54"/>
        <v>0</v>
      </c>
      <c r="CG75">
        <f t="shared" ca="1" si="55"/>
        <v>0</v>
      </c>
      <c r="CH75" s="10">
        <f>分析データ!A75</f>
        <v>45034</v>
      </c>
    </row>
    <row r="76" spans="46:86">
      <c r="AT76" t="str">
        <f ca="1">IF(ROW()&lt;($C$7+1),"",IFERROR((分析データ!B76-AVERAGE(OFFSET(分析データ!B$1,MAX(1,ROW()-$C$7),0,MIN($C$7,ROW()-1),1)))/STDEV(OFFSET(分析データ!B$1,MAX(1,ROW()-$C$7),0,MIN($C$7,ROW()-1),1)),0))</f>
        <v/>
      </c>
      <c r="AU76">
        <f t="shared" ca="1" si="28"/>
        <v>0</v>
      </c>
      <c r="AV76" t="str">
        <f ca="1">IF(AU76=1,IF(INDEX(分析データ!$A:$A,ROW()+$C$5)&lt;&gt;"",80000*SIGN(AT76)*(分析データ!B76-INDEX(分析データ!B:B,ROW()+$C$5)),""),"")</f>
        <v/>
      </c>
      <c r="AW76">
        <f t="shared" ca="1" si="29"/>
        <v>0</v>
      </c>
      <c r="AX76">
        <f t="shared" ca="1" si="30"/>
        <v>0</v>
      </c>
      <c r="AY76">
        <f t="shared" ca="1" si="31"/>
        <v>0</v>
      </c>
      <c r="AZ76" t="str">
        <f ca="1">IF(ROW()&lt;($C$7+1),"",IFERROR((分析データ!C76-AVERAGE(OFFSET(分析データ!C$1,MAX(1,ROW()-$C$7),0,MIN($C$7,ROW()-1),1)))/STDEV(OFFSET(分析データ!C$1,MAX(1,ROW()-$C$7),0,MIN($C$7,ROW()-1),1)),0))</f>
        <v/>
      </c>
      <c r="BA76">
        <f t="shared" ca="1" si="32"/>
        <v>0</v>
      </c>
      <c r="BB76" t="str">
        <f ca="1">IF(BA76=1,IF(INDEX(分析データ!$A:$A,ROW()+$C$5)&lt;&gt;"",60000*SIGN(AZ76)*(分析データ!C76-INDEX(分析データ!C:C,ROW()+$C$5)),""),"")</f>
        <v/>
      </c>
      <c r="BC76">
        <f t="shared" ca="1" si="33"/>
        <v>0</v>
      </c>
      <c r="BD76">
        <f t="shared" ca="1" si="34"/>
        <v>0</v>
      </c>
      <c r="BE76">
        <f t="shared" ca="1" si="35"/>
        <v>0</v>
      </c>
      <c r="BF76" t="str">
        <f ca="1">IF(ROW()&lt;($C$7+1),"",IFERROR((分析データ!D76-AVERAGE(OFFSET(分析データ!D$1,MAX(1,ROW()-$C$7),0,MIN($C$7,ROW()-1),1)))/STDEV(OFFSET(分析データ!D$1,MAX(1,ROW()-$C$7),0,MIN($C$7,ROW()-1),1)),0))</f>
        <v/>
      </c>
      <c r="BG76">
        <f t="shared" ca="1" si="36"/>
        <v>0</v>
      </c>
      <c r="BH76" t="str">
        <f ca="1">IF(BG76=1,IF(INDEX(分析データ!$A:$A,ROW()+$C$5)&lt;&gt;"",50000*SIGN(BF76)*(分析データ!D76-INDEX(分析データ!D:D,ROW()+$C$5)),""),"")</f>
        <v/>
      </c>
      <c r="BI76">
        <f t="shared" ca="1" si="37"/>
        <v>0</v>
      </c>
      <c r="BJ76">
        <f t="shared" ca="1" si="38"/>
        <v>0</v>
      </c>
      <c r="BK76">
        <f t="shared" ca="1" si="39"/>
        <v>0</v>
      </c>
      <c r="BL76" t="str">
        <f ca="1">IF(ROW()&lt;($C$7+1),"",IFERROR((分析データ!E76-AVERAGE(OFFSET(分析データ!E$1,MAX(1,ROW()-$C$7),0,MIN($C$7,ROW()-1),1)))/STDEV(OFFSET(分析データ!E$1,MAX(1,ROW()-$C$7),0,MIN($C$7,ROW()-1),1)),0))</f>
        <v/>
      </c>
      <c r="BM76">
        <f t="shared" ca="1" si="40"/>
        <v>0</v>
      </c>
      <c r="BN76" t="str">
        <f ca="1">IF(BM76=1,IF(INDEX(分析データ!$A:$A,ROW()+$C$5)&lt;&gt;"",40000*SIGN(BL76)*(分析データ!E76-INDEX(分析データ!E:E,ROW()+$C$5)),""),"")</f>
        <v/>
      </c>
      <c r="BO76">
        <f t="shared" ca="1" si="41"/>
        <v>0</v>
      </c>
      <c r="BP76">
        <f t="shared" ca="1" si="42"/>
        <v>0</v>
      </c>
      <c r="BQ76">
        <f t="shared" ca="1" si="43"/>
        <v>0</v>
      </c>
      <c r="BR76" t="str">
        <f ca="1">IF(ROW()&lt;($C$7+1),"",IFERROR((分析データ!F76-AVERAGE(OFFSET(分析データ!F$1,MAX(1,ROW()-$C$7),0,MIN($C$7,ROW()-1),1)))/STDEV(OFFSET(分析データ!F$1,MAX(1,ROW()-$C$7),0,MIN($C$7,ROW()-1),1)),0))</f>
        <v/>
      </c>
      <c r="BS76">
        <f t="shared" ca="1" si="44"/>
        <v>0</v>
      </c>
      <c r="BT76" t="str">
        <f ca="1">IF(BS76=1,IF(INDEX(分析データ!$A:$A,ROW()+$C$5)&lt;&gt;"",40000*SIGN(BR76)*(分析データ!F76-INDEX(分析データ!F:F,ROW()+$C$5)),""),"")</f>
        <v/>
      </c>
      <c r="BU76">
        <f t="shared" ca="1" si="45"/>
        <v>0</v>
      </c>
      <c r="BV76">
        <f t="shared" ca="1" si="46"/>
        <v>0</v>
      </c>
      <c r="BW76">
        <f t="shared" ca="1" si="47"/>
        <v>0</v>
      </c>
      <c r="BX76" t="str">
        <f ca="1">IF(ROW()&lt;($C$7+1),"",IFERROR((分析データ!G76-AVERAGE(OFFSET(分析データ!G$1,MAX(1,ROW()-$C$7),0,MIN($C$7,ROW()-1),1)))/STDEV(OFFSET(分析データ!G$1,MAX(1,ROW()-$C$7),0,MIN($C$7,ROW()-1),1)),0))</f>
        <v/>
      </c>
      <c r="BY76">
        <f t="shared" ca="1" si="48"/>
        <v>0</v>
      </c>
      <c r="BZ76" t="str">
        <f ca="1">IF(BY76=1,IF(INDEX(分析データ!$A:$A,ROW()+$C$5)&lt;&gt;"",40000*SIGN(BX76)*(分析データ!G76-INDEX(分析データ!G:G,ROW()+$C$5)),""),"")</f>
        <v/>
      </c>
      <c r="CA76">
        <f t="shared" ca="1" si="49"/>
        <v>0</v>
      </c>
      <c r="CB76">
        <f t="shared" ca="1" si="50"/>
        <v>0</v>
      </c>
      <c r="CC76">
        <f t="shared" ca="1" si="51"/>
        <v>0</v>
      </c>
      <c r="CD76">
        <f t="shared" ca="1" si="52"/>
        <v>0</v>
      </c>
      <c r="CE76">
        <f t="shared" ca="1" si="53"/>
        <v>0</v>
      </c>
      <c r="CF76">
        <f t="shared" ca="1" si="54"/>
        <v>0</v>
      </c>
      <c r="CG76">
        <f t="shared" ca="1" si="55"/>
        <v>0</v>
      </c>
      <c r="CH76" s="10">
        <f>分析データ!A76</f>
        <v>45035</v>
      </c>
    </row>
    <row r="77" spans="46:86">
      <c r="AT77" t="str">
        <f ca="1">IF(ROW()&lt;($C$7+1),"",IFERROR((分析データ!B77-AVERAGE(OFFSET(分析データ!B$1,MAX(1,ROW()-$C$7),0,MIN($C$7,ROW()-1),1)))/STDEV(OFFSET(分析データ!B$1,MAX(1,ROW()-$C$7),0,MIN($C$7,ROW()-1),1)),0))</f>
        <v/>
      </c>
      <c r="AU77">
        <f t="shared" ca="1" si="28"/>
        <v>0</v>
      </c>
      <c r="AV77" t="str">
        <f ca="1">IF(AU77=1,IF(INDEX(分析データ!$A:$A,ROW()+$C$5)&lt;&gt;"",80000*SIGN(AT77)*(分析データ!B77-INDEX(分析データ!B:B,ROW()+$C$5)),""),"")</f>
        <v/>
      </c>
      <c r="AW77">
        <f t="shared" ca="1" si="29"/>
        <v>0</v>
      </c>
      <c r="AX77">
        <f t="shared" ca="1" si="30"/>
        <v>0</v>
      </c>
      <c r="AY77">
        <f t="shared" ca="1" si="31"/>
        <v>0</v>
      </c>
      <c r="AZ77" t="str">
        <f ca="1">IF(ROW()&lt;($C$7+1),"",IFERROR((分析データ!C77-AVERAGE(OFFSET(分析データ!C$1,MAX(1,ROW()-$C$7),0,MIN($C$7,ROW()-1),1)))/STDEV(OFFSET(分析データ!C$1,MAX(1,ROW()-$C$7),0,MIN($C$7,ROW()-1),1)),0))</f>
        <v/>
      </c>
      <c r="BA77">
        <f t="shared" ca="1" si="32"/>
        <v>0</v>
      </c>
      <c r="BB77" t="str">
        <f ca="1">IF(BA77=1,IF(INDEX(分析データ!$A:$A,ROW()+$C$5)&lt;&gt;"",60000*SIGN(AZ77)*(分析データ!C77-INDEX(分析データ!C:C,ROW()+$C$5)),""),"")</f>
        <v/>
      </c>
      <c r="BC77">
        <f t="shared" ca="1" si="33"/>
        <v>0</v>
      </c>
      <c r="BD77">
        <f t="shared" ca="1" si="34"/>
        <v>0</v>
      </c>
      <c r="BE77">
        <f t="shared" ca="1" si="35"/>
        <v>0</v>
      </c>
      <c r="BF77" t="str">
        <f ca="1">IF(ROW()&lt;($C$7+1),"",IFERROR((分析データ!D77-AVERAGE(OFFSET(分析データ!D$1,MAX(1,ROW()-$C$7),0,MIN($C$7,ROW()-1),1)))/STDEV(OFFSET(分析データ!D$1,MAX(1,ROW()-$C$7),0,MIN($C$7,ROW()-1),1)),0))</f>
        <v/>
      </c>
      <c r="BG77">
        <f t="shared" ca="1" si="36"/>
        <v>0</v>
      </c>
      <c r="BH77" t="str">
        <f ca="1">IF(BG77=1,IF(INDEX(分析データ!$A:$A,ROW()+$C$5)&lt;&gt;"",50000*SIGN(BF77)*(分析データ!D77-INDEX(分析データ!D:D,ROW()+$C$5)),""),"")</f>
        <v/>
      </c>
      <c r="BI77">
        <f t="shared" ca="1" si="37"/>
        <v>0</v>
      </c>
      <c r="BJ77">
        <f t="shared" ca="1" si="38"/>
        <v>0</v>
      </c>
      <c r="BK77">
        <f t="shared" ca="1" si="39"/>
        <v>0</v>
      </c>
      <c r="BL77" t="str">
        <f ca="1">IF(ROW()&lt;($C$7+1),"",IFERROR((分析データ!E77-AVERAGE(OFFSET(分析データ!E$1,MAX(1,ROW()-$C$7),0,MIN($C$7,ROW()-1),1)))/STDEV(OFFSET(分析データ!E$1,MAX(1,ROW()-$C$7),0,MIN($C$7,ROW()-1),1)),0))</f>
        <v/>
      </c>
      <c r="BM77">
        <f t="shared" ca="1" si="40"/>
        <v>0</v>
      </c>
      <c r="BN77" t="str">
        <f ca="1">IF(BM77=1,IF(INDEX(分析データ!$A:$A,ROW()+$C$5)&lt;&gt;"",40000*SIGN(BL77)*(分析データ!E77-INDEX(分析データ!E:E,ROW()+$C$5)),""),"")</f>
        <v/>
      </c>
      <c r="BO77">
        <f t="shared" ca="1" si="41"/>
        <v>0</v>
      </c>
      <c r="BP77">
        <f t="shared" ca="1" si="42"/>
        <v>0</v>
      </c>
      <c r="BQ77">
        <f t="shared" ca="1" si="43"/>
        <v>0</v>
      </c>
      <c r="BR77" t="str">
        <f ca="1">IF(ROW()&lt;($C$7+1),"",IFERROR((分析データ!F77-AVERAGE(OFFSET(分析データ!F$1,MAX(1,ROW()-$C$7),0,MIN($C$7,ROW()-1),1)))/STDEV(OFFSET(分析データ!F$1,MAX(1,ROW()-$C$7),0,MIN($C$7,ROW()-1),1)),0))</f>
        <v/>
      </c>
      <c r="BS77">
        <f t="shared" ca="1" si="44"/>
        <v>0</v>
      </c>
      <c r="BT77" t="str">
        <f ca="1">IF(BS77=1,IF(INDEX(分析データ!$A:$A,ROW()+$C$5)&lt;&gt;"",40000*SIGN(BR77)*(分析データ!F77-INDEX(分析データ!F:F,ROW()+$C$5)),""),"")</f>
        <v/>
      </c>
      <c r="BU77">
        <f t="shared" ca="1" si="45"/>
        <v>0</v>
      </c>
      <c r="BV77">
        <f t="shared" ca="1" si="46"/>
        <v>0</v>
      </c>
      <c r="BW77">
        <f t="shared" ca="1" si="47"/>
        <v>0</v>
      </c>
      <c r="BX77" t="str">
        <f ca="1">IF(ROW()&lt;($C$7+1),"",IFERROR((分析データ!G77-AVERAGE(OFFSET(分析データ!G$1,MAX(1,ROW()-$C$7),0,MIN($C$7,ROW()-1),1)))/STDEV(OFFSET(分析データ!G$1,MAX(1,ROW()-$C$7),0,MIN($C$7,ROW()-1),1)),0))</f>
        <v/>
      </c>
      <c r="BY77">
        <f t="shared" ca="1" si="48"/>
        <v>0</v>
      </c>
      <c r="BZ77" t="str">
        <f ca="1">IF(BY77=1,IF(INDEX(分析データ!$A:$A,ROW()+$C$5)&lt;&gt;"",40000*SIGN(BX77)*(分析データ!G77-INDEX(分析データ!G:G,ROW()+$C$5)),""),"")</f>
        <v/>
      </c>
      <c r="CA77">
        <f t="shared" ca="1" si="49"/>
        <v>0</v>
      </c>
      <c r="CB77">
        <f t="shared" ca="1" si="50"/>
        <v>0</v>
      </c>
      <c r="CC77">
        <f t="shared" ca="1" si="51"/>
        <v>0</v>
      </c>
      <c r="CD77">
        <f t="shared" ca="1" si="52"/>
        <v>0</v>
      </c>
      <c r="CE77">
        <f t="shared" ca="1" si="53"/>
        <v>0</v>
      </c>
      <c r="CF77">
        <f t="shared" ca="1" si="54"/>
        <v>0</v>
      </c>
      <c r="CG77">
        <f t="shared" ca="1" si="55"/>
        <v>0</v>
      </c>
      <c r="CH77" s="10">
        <f>分析データ!A77</f>
        <v>45036</v>
      </c>
    </row>
    <row r="78" spans="46:86">
      <c r="AT78" t="str">
        <f ca="1">IF(ROW()&lt;($C$7+1),"",IFERROR((分析データ!B78-AVERAGE(OFFSET(分析データ!B$1,MAX(1,ROW()-$C$7),0,MIN($C$7,ROW()-1),1)))/STDEV(OFFSET(分析データ!B$1,MAX(1,ROW()-$C$7),0,MIN($C$7,ROW()-1),1)),0))</f>
        <v/>
      </c>
      <c r="AU78">
        <f t="shared" ca="1" si="28"/>
        <v>0</v>
      </c>
      <c r="AV78" t="str">
        <f ca="1">IF(AU78=1,IF(INDEX(分析データ!$A:$A,ROW()+$C$5)&lt;&gt;"",80000*SIGN(AT78)*(分析データ!B78-INDEX(分析データ!B:B,ROW()+$C$5)),""),"")</f>
        <v/>
      </c>
      <c r="AW78">
        <f t="shared" ca="1" si="29"/>
        <v>0</v>
      </c>
      <c r="AX78">
        <f t="shared" ca="1" si="30"/>
        <v>0</v>
      </c>
      <c r="AY78">
        <f t="shared" ca="1" si="31"/>
        <v>0</v>
      </c>
      <c r="AZ78" t="str">
        <f ca="1">IF(ROW()&lt;($C$7+1),"",IFERROR((分析データ!C78-AVERAGE(OFFSET(分析データ!C$1,MAX(1,ROW()-$C$7),0,MIN($C$7,ROW()-1),1)))/STDEV(OFFSET(分析データ!C$1,MAX(1,ROW()-$C$7),0,MIN($C$7,ROW()-1),1)),0))</f>
        <v/>
      </c>
      <c r="BA78">
        <f t="shared" ca="1" si="32"/>
        <v>0</v>
      </c>
      <c r="BB78" t="str">
        <f ca="1">IF(BA78=1,IF(INDEX(分析データ!$A:$A,ROW()+$C$5)&lt;&gt;"",60000*SIGN(AZ78)*(分析データ!C78-INDEX(分析データ!C:C,ROW()+$C$5)),""),"")</f>
        <v/>
      </c>
      <c r="BC78">
        <f t="shared" ca="1" si="33"/>
        <v>0</v>
      </c>
      <c r="BD78">
        <f t="shared" ca="1" si="34"/>
        <v>0</v>
      </c>
      <c r="BE78">
        <f t="shared" ca="1" si="35"/>
        <v>0</v>
      </c>
      <c r="BF78" t="str">
        <f ca="1">IF(ROW()&lt;($C$7+1),"",IFERROR((分析データ!D78-AVERAGE(OFFSET(分析データ!D$1,MAX(1,ROW()-$C$7),0,MIN($C$7,ROW()-1),1)))/STDEV(OFFSET(分析データ!D$1,MAX(1,ROW()-$C$7),0,MIN($C$7,ROW()-1),1)),0))</f>
        <v/>
      </c>
      <c r="BG78">
        <f t="shared" ca="1" si="36"/>
        <v>0</v>
      </c>
      <c r="BH78" t="str">
        <f ca="1">IF(BG78=1,IF(INDEX(分析データ!$A:$A,ROW()+$C$5)&lt;&gt;"",50000*SIGN(BF78)*(分析データ!D78-INDEX(分析データ!D:D,ROW()+$C$5)),""),"")</f>
        <v/>
      </c>
      <c r="BI78">
        <f t="shared" ca="1" si="37"/>
        <v>0</v>
      </c>
      <c r="BJ78">
        <f t="shared" ca="1" si="38"/>
        <v>0</v>
      </c>
      <c r="BK78">
        <f t="shared" ca="1" si="39"/>
        <v>0</v>
      </c>
      <c r="BL78" t="str">
        <f ca="1">IF(ROW()&lt;($C$7+1),"",IFERROR((分析データ!E78-AVERAGE(OFFSET(分析データ!E$1,MAX(1,ROW()-$C$7),0,MIN($C$7,ROW()-1),1)))/STDEV(OFFSET(分析データ!E$1,MAX(1,ROW()-$C$7),0,MIN($C$7,ROW()-1),1)),0))</f>
        <v/>
      </c>
      <c r="BM78">
        <f t="shared" ca="1" si="40"/>
        <v>0</v>
      </c>
      <c r="BN78" t="str">
        <f ca="1">IF(BM78=1,IF(INDEX(分析データ!$A:$A,ROW()+$C$5)&lt;&gt;"",40000*SIGN(BL78)*(分析データ!E78-INDEX(分析データ!E:E,ROW()+$C$5)),""),"")</f>
        <v/>
      </c>
      <c r="BO78">
        <f t="shared" ca="1" si="41"/>
        <v>0</v>
      </c>
      <c r="BP78">
        <f t="shared" ca="1" si="42"/>
        <v>0</v>
      </c>
      <c r="BQ78">
        <f t="shared" ca="1" si="43"/>
        <v>0</v>
      </c>
      <c r="BR78" t="str">
        <f ca="1">IF(ROW()&lt;($C$7+1),"",IFERROR((分析データ!F78-AVERAGE(OFFSET(分析データ!F$1,MAX(1,ROW()-$C$7),0,MIN($C$7,ROW()-1),1)))/STDEV(OFFSET(分析データ!F$1,MAX(1,ROW()-$C$7),0,MIN($C$7,ROW()-1),1)),0))</f>
        <v/>
      </c>
      <c r="BS78">
        <f t="shared" ca="1" si="44"/>
        <v>0</v>
      </c>
      <c r="BT78" t="str">
        <f ca="1">IF(BS78=1,IF(INDEX(分析データ!$A:$A,ROW()+$C$5)&lt;&gt;"",40000*SIGN(BR78)*(分析データ!F78-INDEX(分析データ!F:F,ROW()+$C$5)),""),"")</f>
        <v/>
      </c>
      <c r="BU78">
        <f t="shared" ca="1" si="45"/>
        <v>0</v>
      </c>
      <c r="BV78">
        <f t="shared" ca="1" si="46"/>
        <v>0</v>
      </c>
      <c r="BW78">
        <f t="shared" ca="1" si="47"/>
        <v>0</v>
      </c>
      <c r="BX78" t="str">
        <f ca="1">IF(ROW()&lt;($C$7+1),"",IFERROR((分析データ!G78-AVERAGE(OFFSET(分析データ!G$1,MAX(1,ROW()-$C$7),0,MIN($C$7,ROW()-1),1)))/STDEV(OFFSET(分析データ!G$1,MAX(1,ROW()-$C$7),0,MIN($C$7,ROW()-1),1)),0))</f>
        <v/>
      </c>
      <c r="BY78">
        <f t="shared" ca="1" si="48"/>
        <v>0</v>
      </c>
      <c r="BZ78" t="str">
        <f ca="1">IF(BY78=1,IF(INDEX(分析データ!$A:$A,ROW()+$C$5)&lt;&gt;"",40000*SIGN(BX78)*(分析データ!G78-INDEX(分析データ!G:G,ROW()+$C$5)),""),"")</f>
        <v/>
      </c>
      <c r="CA78">
        <f t="shared" ca="1" si="49"/>
        <v>0</v>
      </c>
      <c r="CB78">
        <f t="shared" ca="1" si="50"/>
        <v>0</v>
      </c>
      <c r="CC78">
        <f t="shared" ca="1" si="51"/>
        <v>0</v>
      </c>
      <c r="CD78">
        <f t="shared" ca="1" si="52"/>
        <v>0</v>
      </c>
      <c r="CE78">
        <f t="shared" ca="1" si="53"/>
        <v>0</v>
      </c>
      <c r="CF78">
        <f t="shared" ca="1" si="54"/>
        <v>0</v>
      </c>
      <c r="CG78">
        <f t="shared" ca="1" si="55"/>
        <v>0</v>
      </c>
      <c r="CH78" s="10">
        <f>分析データ!A78</f>
        <v>45037</v>
      </c>
    </row>
    <row r="79" spans="46:86">
      <c r="AT79" t="str">
        <f ca="1">IF(ROW()&lt;($C$7+1),"",IFERROR((分析データ!B79-AVERAGE(OFFSET(分析データ!B$1,MAX(1,ROW()-$C$7),0,MIN($C$7,ROW()-1),1)))/STDEV(OFFSET(分析データ!B$1,MAX(1,ROW()-$C$7),0,MIN($C$7,ROW()-1),1)),0))</f>
        <v/>
      </c>
      <c r="AU79">
        <f t="shared" ca="1" si="28"/>
        <v>0</v>
      </c>
      <c r="AV79" t="str">
        <f ca="1">IF(AU79=1,IF(INDEX(分析データ!$A:$A,ROW()+$C$5)&lt;&gt;"",80000*SIGN(AT79)*(分析データ!B79-INDEX(分析データ!B:B,ROW()+$C$5)),""),"")</f>
        <v/>
      </c>
      <c r="AW79">
        <f t="shared" ca="1" si="29"/>
        <v>0</v>
      </c>
      <c r="AX79">
        <f t="shared" ca="1" si="30"/>
        <v>0</v>
      </c>
      <c r="AY79">
        <f t="shared" ca="1" si="31"/>
        <v>0</v>
      </c>
      <c r="AZ79" t="str">
        <f ca="1">IF(ROW()&lt;($C$7+1),"",IFERROR((分析データ!C79-AVERAGE(OFFSET(分析データ!C$1,MAX(1,ROW()-$C$7),0,MIN($C$7,ROW()-1),1)))/STDEV(OFFSET(分析データ!C$1,MAX(1,ROW()-$C$7),0,MIN($C$7,ROW()-1),1)),0))</f>
        <v/>
      </c>
      <c r="BA79">
        <f t="shared" ca="1" si="32"/>
        <v>0</v>
      </c>
      <c r="BB79" t="str">
        <f ca="1">IF(BA79=1,IF(INDEX(分析データ!$A:$A,ROW()+$C$5)&lt;&gt;"",60000*SIGN(AZ79)*(分析データ!C79-INDEX(分析データ!C:C,ROW()+$C$5)),""),"")</f>
        <v/>
      </c>
      <c r="BC79">
        <f t="shared" ca="1" si="33"/>
        <v>0</v>
      </c>
      <c r="BD79">
        <f t="shared" ca="1" si="34"/>
        <v>0</v>
      </c>
      <c r="BE79">
        <f t="shared" ca="1" si="35"/>
        <v>0</v>
      </c>
      <c r="BF79" t="str">
        <f ca="1">IF(ROW()&lt;($C$7+1),"",IFERROR((分析データ!D79-AVERAGE(OFFSET(分析データ!D$1,MAX(1,ROW()-$C$7),0,MIN($C$7,ROW()-1),1)))/STDEV(OFFSET(分析データ!D$1,MAX(1,ROW()-$C$7),0,MIN($C$7,ROW()-1),1)),0))</f>
        <v/>
      </c>
      <c r="BG79">
        <f t="shared" ca="1" si="36"/>
        <v>0</v>
      </c>
      <c r="BH79" t="str">
        <f ca="1">IF(BG79=1,IF(INDEX(分析データ!$A:$A,ROW()+$C$5)&lt;&gt;"",50000*SIGN(BF79)*(分析データ!D79-INDEX(分析データ!D:D,ROW()+$C$5)),""),"")</f>
        <v/>
      </c>
      <c r="BI79">
        <f t="shared" ca="1" si="37"/>
        <v>0</v>
      </c>
      <c r="BJ79">
        <f t="shared" ca="1" si="38"/>
        <v>0</v>
      </c>
      <c r="BK79">
        <f t="shared" ca="1" si="39"/>
        <v>0</v>
      </c>
      <c r="BL79" t="str">
        <f ca="1">IF(ROW()&lt;($C$7+1),"",IFERROR((分析データ!E79-AVERAGE(OFFSET(分析データ!E$1,MAX(1,ROW()-$C$7),0,MIN($C$7,ROW()-1),1)))/STDEV(OFFSET(分析データ!E$1,MAX(1,ROW()-$C$7),0,MIN($C$7,ROW()-1),1)),0))</f>
        <v/>
      </c>
      <c r="BM79">
        <f t="shared" ca="1" si="40"/>
        <v>0</v>
      </c>
      <c r="BN79" t="str">
        <f ca="1">IF(BM79=1,IF(INDEX(分析データ!$A:$A,ROW()+$C$5)&lt;&gt;"",40000*SIGN(BL79)*(分析データ!E79-INDEX(分析データ!E:E,ROW()+$C$5)),""),"")</f>
        <v/>
      </c>
      <c r="BO79">
        <f t="shared" ca="1" si="41"/>
        <v>0</v>
      </c>
      <c r="BP79">
        <f t="shared" ca="1" si="42"/>
        <v>0</v>
      </c>
      <c r="BQ79">
        <f t="shared" ca="1" si="43"/>
        <v>0</v>
      </c>
      <c r="BR79" t="str">
        <f ca="1">IF(ROW()&lt;($C$7+1),"",IFERROR((分析データ!F79-AVERAGE(OFFSET(分析データ!F$1,MAX(1,ROW()-$C$7),0,MIN($C$7,ROW()-1),1)))/STDEV(OFFSET(分析データ!F$1,MAX(1,ROW()-$C$7),0,MIN($C$7,ROW()-1),1)),0))</f>
        <v/>
      </c>
      <c r="BS79">
        <f t="shared" ca="1" si="44"/>
        <v>0</v>
      </c>
      <c r="BT79" t="str">
        <f ca="1">IF(BS79=1,IF(INDEX(分析データ!$A:$A,ROW()+$C$5)&lt;&gt;"",40000*SIGN(BR79)*(分析データ!F79-INDEX(分析データ!F:F,ROW()+$C$5)),""),"")</f>
        <v/>
      </c>
      <c r="BU79">
        <f t="shared" ca="1" si="45"/>
        <v>0</v>
      </c>
      <c r="BV79">
        <f t="shared" ca="1" si="46"/>
        <v>0</v>
      </c>
      <c r="BW79">
        <f t="shared" ca="1" si="47"/>
        <v>0</v>
      </c>
      <c r="BX79" t="str">
        <f ca="1">IF(ROW()&lt;($C$7+1),"",IFERROR((分析データ!G79-AVERAGE(OFFSET(分析データ!G$1,MAX(1,ROW()-$C$7),0,MIN($C$7,ROW()-1),1)))/STDEV(OFFSET(分析データ!G$1,MAX(1,ROW()-$C$7),0,MIN($C$7,ROW()-1),1)),0))</f>
        <v/>
      </c>
      <c r="BY79">
        <f t="shared" ca="1" si="48"/>
        <v>0</v>
      </c>
      <c r="BZ79" t="str">
        <f ca="1">IF(BY79=1,IF(INDEX(分析データ!$A:$A,ROW()+$C$5)&lt;&gt;"",40000*SIGN(BX79)*(分析データ!G79-INDEX(分析データ!G:G,ROW()+$C$5)),""),"")</f>
        <v/>
      </c>
      <c r="CA79">
        <f t="shared" ca="1" si="49"/>
        <v>0</v>
      </c>
      <c r="CB79">
        <f t="shared" ca="1" si="50"/>
        <v>0</v>
      </c>
      <c r="CC79">
        <f t="shared" ca="1" si="51"/>
        <v>0</v>
      </c>
      <c r="CD79">
        <f t="shared" ca="1" si="52"/>
        <v>0</v>
      </c>
      <c r="CE79">
        <f t="shared" ca="1" si="53"/>
        <v>0</v>
      </c>
      <c r="CF79">
        <f t="shared" ca="1" si="54"/>
        <v>0</v>
      </c>
      <c r="CG79">
        <f t="shared" ca="1" si="55"/>
        <v>0</v>
      </c>
      <c r="CH79" s="10">
        <f>分析データ!A79</f>
        <v>45040</v>
      </c>
    </row>
    <row r="80" spans="46:86">
      <c r="AT80" t="str">
        <f ca="1">IF(ROW()&lt;($C$7+1),"",IFERROR((分析データ!B80-AVERAGE(OFFSET(分析データ!B$1,MAX(1,ROW()-$C$7),0,MIN($C$7,ROW()-1),1)))/STDEV(OFFSET(分析データ!B$1,MAX(1,ROW()-$C$7),0,MIN($C$7,ROW()-1),1)),0))</f>
        <v/>
      </c>
      <c r="AU80">
        <f t="shared" ca="1" si="28"/>
        <v>0</v>
      </c>
      <c r="AV80" t="str">
        <f ca="1">IF(AU80=1,IF(INDEX(分析データ!$A:$A,ROW()+$C$5)&lt;&gt;"",80000*SIGN(AT80)*(分析データ!B80-INDEX(分析データ!B:B,ROW()+$C$5)),""),"")</f>
        <v/>
      </c>
      <c r="AW80">
        <f t="shared" ca="1" si="29"/>
        <v>0</v>
      </c>
      <c r="AX80">
        <f t="shared" ca="1" si="30"/>
        <v>0</v>
      </c>
      <c r="AY80">
        <f t="shared" ca="1" si="31"/>
        <v>0</v>
      </c>
      <c r="AZ80" t="str">
        <f ca="1">IF(ROW()&lt;($C$7+1),"",IFERROR((分析データ!C80-AVERAGE(OFFSET(分析データ!C$1,MAX(1,ROW()-$C$7),0,MIN($C$7,ROW()-1),1)))/STDEV(OFFSET(分析データ!C$1,MAX(1,ROW()-$C$7),0,MIN($C$7,ROW()-1),1)),0))</f>
        <v/>
      </c>
      <c r="BA80">
        <f t="shared" ca="1" si="32"/>
        <v>0</v>
      </c>
      <c r="BB80" t="str">
        <f ca="1">IF(BA80=1,IF(INDEX(分析データ!$A:$A,ROW()+$C$5)&lt;&gt;"",60000*SIGN(AZ80)*(分析データ!C80-INDEX(分析データ!C:C,ROW()+$C$5)),""),"")</f>
        <v/>
      </c>
      <c r="BC80">
        <f t="shared" ca="1" si="33"/>
        <v>0</v>
      </c>
      <c r="BD80">
        <f t="shared" ca="1" si="34"/>
        <v>0</v>
      </c>
      <c r="BE80">
        <f t="shared" ca="1" si="35"/>
        <v>0</v>
      </c>
      <c r="BF80" t="str">
        <f ca="1">IF(ROW()&lt;($C$7+1),"",IFERROR((分析データ!D80-AVERAGE(OFFSET(分析データ!D$1,MAX(1,ROW()-$C$7),0,MIN($C$7,ROW()-1),1)))/STDEV(OFFSET(分析データ!D$1,MAX(1,ROW()-$C$7),0,MIN($C$7,ROW()-1),1)),0))</f>
        <v/>
      </c>
      <c r="BG80">
        <f t="shared" ca="1" si="36"/>
        <v>0</v>
      </c>
      <c r="BH80" t="str">
        <f ca="1">IF(BG80=1,IF(INDEX(分析データ!$A:$A,ROW()+$C$5)&lt;&gt;"",50000*SIGN(BF80)*(分析データ!D80-INDEX(分析データ!D:D,ROW()+$C$5)),""),"")</f>
        <v/>
      </c>
      <c r="BI80">
        <f t="shared" ca="1" si="37"/>
        <v>0</v>
      </c>
      <c r="BJ80">
        <f t="shared" ca="1" si="38"/>
        <v>0</v>
      </c>
      <c r="BK80">
        <f t="shared" ca="1" si="39"/>
        <v>0</v>
      </c>
      <c r="BL80" t="str">
        <f ca="1">IF(ROW()&lt;($C$7+1),"",IFERROR((分析データ!E80-AVERAGE(OFFSET(分析データ!E$1,MAX(1,ROW()-$C$7),0,MIN($C$7,ROW()-1),1)))/STDEV(OFFSET(分析データ!E$1,MAX(1,ROW()-$C$7),0,MIN($C$7,ROW()-1),1)),0))</f>
        <v/>
      </c>
      <c r="BM80">
        <f t="shared" ca="1" si="40"/>
        <v>0</v>
      </c>
      <c r="BN80" t="str">
        <f ca="1">IF(BM80=1,IF(INDEX(分析データ!$A:$A,ROW()+$C$5)&lt;&gt;"",40000*SIGN(BL80)*(分析データ!E80-INDEX(分析データ!E:E,ROW()+$C$5)),""),"")</f>
        <v/>
      </c>
      <c r="BO80">
        <f t="shared" ca="1" si="41"/>
        <v>0</v>
      </c>
      <c r="BP80">
        <f t="shared" ca="1" si="42"/>
        <v>0</v>
      </c>
      <c r="BQ80">
        <f t="shared" ca="1" si="43"/>
        <v>0</v>
      </c>
      <c r="BR80" t="str">
        <f ca="1">IF(ROW()&lt;($C$7+1),"",IFERROR((分析データ!F80-AVERAGE(OFFSET(分析データ!F$1,MAX(1,ROW()-$C$7),0,MIN($C$7,ROW()-1),1)))/STDEV(OFFSET(分析データ!F$1,MAX(1,ROW()-$C$7),0,MIN($C$7,ROW()-1),1)),0))</f>
        <v/>
      </c>
      <c r="BS80">
        <f t="shared" ca="1" si="44"/>
        <v>0</v>
      </c>
      <c r="BT80" t="str">
        <f ca="1">IF(BS80=1,IF(INDEX(分析データ!$A:$A,ROW()+$C$5)&lt;&gt;"",40000*SIGN(BR80)*(分析データ!F80-INDEX(分析データ!F:F,ROW()+$C$5)),""),"")</f>
        <v/>
      </c>
      <c r="BU80">
        <f t="shared" ca="1" si="45"/>
        <v>0</v>
      </c>
      <c r="BV80">
        <f t="shared" ca="1" si="46"/>
        <v>0</v>
      </c>
      <c r="BW80">
        <f t="shared" ca="1" si="47"/>
        <v>0</v>
      </c>
      <c r="BX80" t="str">
        <f ca="1">IF(ROW()&lt;($C$7+1),"",IFERROR((分析データ!G80-AVERAGE(OFFSET(分析データ!G$1,MAX(1,ROW()-$C$7),0,MIN($C$7,ROW()-1),1)))/STDEV(OFFSET(分析データ!G$1,MAX(1,ROW()-$C$7),0,MIN($C$7,ROW()-1),1)),0))</f>
        <v/>
      </c>
      <c r="BY80">
        <f t="shared" ca="1" si="48"/>
        <v>0</v>
      </c>
      <c r="BZ80" t="str">
        <f ca="1">IF(BY80=1,IF(INDEX(分析データ!$A:$A,ROW()+$C$5)&lt;&gt;"",40000*SIGN(BX80)*(分析データ!G80-INDEX(分析データ!G:G,ROW()+$C$5)),""),"")</f>
        <v/>
      </c>
      <c r="CA80">
        <f t="shared" ca="1" si="49"/>
        <v>0</v>
      </c>
      <c r="CB80">
        <f t="shared" ca="1" si="50"/>
        <v>0</v>
      </c>
      <c r="CC80">
        <f t="shared" ca="1" si="51"/>
        <v>0</v>
      </c>
      <c r="CD80">
        <f t="shared" ca="1" si="52"/>
        <v>0</v>
      </c>
      <c r="CE80">
        <f t="shared" ca="1" si="53"/>
        <v>0</v>
      </c>
      <c r="CF80">
        <f t="shared" ca="1" si="54"/>
        <v>0</v>
      </c>
      <c r="CG80">
        <f t="shared" ca="1" si="55"/>
        <v>0</v>
      </c>
      <c r="CH80" s="10">
        <f>分析データ!A80</f>
        <v>45041</v>
      </c>
    </row>
    <row r="81" spans="46:86">
      <c r="AT81" t="str">
        <f ca="1">IF(ROW()&lt;($C$7+1),"",IFERROR((分析データ!B81-AVERAGE(OFFSET(分析データ!B$1,MAX(1,ROW()-$C$7),0,MIN($C$7,ROW()-1),1)))/STDEV(OFFSET(分析データ!B$1,MAX(1,ROW()-$C$7),0,MIN($C$7,ROW()-1),1)),0))</f>
        <v/>
      </c>
      <c r="AU81">
        <f t="shared" ca="1" si="28"/>
        <v>0</v>
      </c>
      <c r="AV81" t="str">
        <f ca="1">IF(AU81=1,IF(INDEX(分析データ!$A:$A,ROW()+$C$5)&lt;&gt;"",80000*SIGN(AT81)*(分析データ!B81-INDEX(分析データ!B:B,ROW()+$C$5)),""),"")</f>
        <v/>
      </c>
      <c r="AW81">
        <f t="shared" ca="1" si="29"/>
        <v>0</v>
      </c>
      <c r="AX81">
        <f t="shared" ca="1" si="30"/>
        <v>0</v>
      </c>
      <c r="AY81">
        <f t="shared" ca="1" si="31"/>
        <v>0</v>
      </c>
      <c r="AZ81" t="str">
        <f ca="1">IF(ROW()&lt;($C$7+1),"",IFERROR((分析データ!C81-AVERAGE(OFFSET(分析データ!C$1,MAX(1,ROW()-$C$7),0,MIN($C$7,ROW()-1),1)))/STDEV(OFFSET(分析データ!C$1,MAX(1,ROW()-$C$7),0,MIN($C$7,ROW()-1),1)),0))</f>
        <v/>
      </c>
      <c r="BA81">
        <f t="shared" ca="1" si="32"/>
        <v>0</v>
      </c>
      <c r="BB81" t="str">
        <f ca="1">IF(BA81=1,IF(INDEX(分析データ!$A:$A,ROW()+$C$5)&lt;&gt;"",60000*SIGN(AZ81)*(分析データ!C81-INDEX(分析データ!C:C,ROW()+$C$5)),""),"")</f>
        <v/>
      </c>
      <c r="BC81">
        <f t="shared" ca="1" si="33"/>
        <v>0</v>
      </c>
      <c r="BD81">
        <f t="shared" ca="1" si="34"/>
        <v>0</v>
      </c>
      <c r="BE81">
        <f t="shared" ca="1" si="35"/>
        <v>0</v>
      </c>
      <c r="BF81" t="str">
        <f ca="1">IF(ROW()&lt;($C$7+1),"",IFERROR((分析データ!D81-AVERAGE(OFFSET(分析データ!D$1,MAX(1,ROW()-$C$7),0,MIN($C$7,ROW()-1),1)))/STDEV(OFFSET(分析データ!D$1,MAX(1,ROW()-$C$7),0,MIN($C$7,ROW()-1),1)),0))</f>
        <v/>
      </c>
      <c r="BG81">
        <f t="shared" ca="1" si="36"/>
        <v>0</v>
      </c>
      <c r="BH81" t="str">
        <f ca="1">IF(BG81=1,IF(INDEX(分析データ!$A:$A,ROW()+$C$5)&lt;&gt;"",50000*SIGN(BF81)*(分析データ!D81-INDEX(分析データ!D:D,ROW()+$C$5)),""),"")</f>
        <v/>
      </c>
      <c r="BI81">
        <f t="shared" ca="1" si="37"/>
        <v>0</v>
      </c>
      <c r="BJ81">
        <f t="shared" ca="1" si="38"/>
        <v>0</v>
      </c>
      <c r="BK81">
        <f t="shared" ca="1" si="39"/>
        <v>0</v>
      </c>
      <c r="BL81" t="str">
        <f ca="1">IF(ROW()&lt;($C$7+1),"",IFERROR((分析データ!E81-AVERAGE(OFFSET(分析データ!E$1,MAX(1,ROW()-$C$7),0,MIN($C$7,ROW()-1),1)))/STDEV(OFFSET(分析データ!E$1,MAX(1,ROW()-$C$7),0,MIN($C$7,ROW()-1),1)),0))</f>
        <v/>
      </c>
      <c r="BM81">
        <f t="shared" ca="1" si="40"/>
        <v>0</v>
      </c>
      <c r="BN81" t="str">
        <f ca="1">IF(BM81=1,IF(INDEX(分析データ!$A:$A,ROW()+$C$5)&lt;&gt;"",40000*SIGN(BL81)*(分析データ!E81-INDEX(分析データ!E:E,ROW()+$C$5)),""),"")</f>
        <v/>
      </c>
      <c r="BO81">
        <f t="shared" ca="1" si="41"/>
        <v>0</v>
      </c>
      <c r="BP81">
        <f t="shared" ca="1" si="42"/>
        <v>0</v>
      </c>
      <c r="BQ81">
        <f t="shared" ca="1" si="43"/>
        <v>0</v>
      </c>
      <c r="BR81" t="str">
        <f ca="1">IF(ROW()&lt;($C$7+1),"",IFERROR((分析データ!F81-AVERAGE(OFFSET(分析データ!F$1,MAX(1,ROW()-$C$7),0,MIN($C$7,ROW()-1),1)))/STDEV(OFFSET(分析データ!F$1,MAX(1,ROW()-$C$7),0,MIN($C$7,ROW()-1),1)),0))</f>
        <v/>
      </c>
      <c r="BS81">
        <f t="shared" ca="1" si="44"/>
        <v>0</v>
      </c>
      <c r="BT81" t="str">
        <f ca="1">IF(BS81=1,IF(INDEX(分析データ!$A:$A,ROW()+$C$5)&lt;&gt;"",40000*SIGN(BR81)*(分析データ!F81-INDEX(分析データ!F:F,ROW()+$C$5)),""),"")</f>
        <v/>
      </c>
      <c r="BU81">
        <f t="shared" ca="1" si="45"/>
        <v>0</v>
      </c>
      <c r="BV81">
        <f t="shared" ca="1" si="46"/>
        <v>0</v>
      </c>
      <c r="BW81">
        <f t="shared" ca="1" si="47"/>
        <v>0</v>
      </c>
      <c r="BX81" t="str">
        <f ca="1">IF(ROW()&lt;($C$7+1),"",IFERROR((分析データ!G81-AVERAGE(OFFSET(分析データ!G$1,MAX(1,ROW()-$C$7),0,MIN($C$7,ROW()-1),1)))/STDEV(OFFSET(分析データ!G$1,MAX(1,ROW()-$C$7),0,MIN($C$7,ROW()-1),1)),0))</f>
        <v/>
      </c>
      <c r="BY81">
        <f t="shared" ca="1" si="48"/>
        <v>0</v>
      </c>
      <c r="BZ81" t="str">
        <f ca="1">IF(BY81=1,IF(INDEX(分析データ!$A:$A,ROW()+$C$5)&lt;&gt;"",40000*SIGN(BX81)*(分析データ!G81-INDEX(分析データ!G:G,ROW()+$C$5)),""),"")</f>
        <v/>
      </c>
      <c r="CA81">
        <f t="shared" ca="1" si="49"/>
        <v>0</v>
      </c>
      <c r="CB81">
        <f t="shared" ca="1" si="50"/>
        <v>0</v>
      </c>
      <c r="CC81">
        <f t="shared" ca="1" si="51"/>
        <v>0</v>
      </c>
      <c r="CD81">
        <f t="shared" ca="1" si="52"/>
        <v>0</v>
      </c>
      <c r="CE81">
        <f t="shared" ca="1" si="53"/>
        <v>0</v>
      </c>
      <c r="CF81">
        <f t="shared" ca="1" si="54"/>
        <v>0</v>
      </c>
      <c r="CG81">
        <f t="shared" ca="1" si="55"/>
        <v>0</v>
      </c>
      <c r="CH81" s="10">
        <f>分析データ!A81</f>
        <v>45042</v>
      </c>
    </row>
    <row r="82" spans="46:86">
      <c r="AT82" t="str">
        <f ca="1">IF(ROW()&lt;($C$7+1),"",IFERROR((分析データ!B82-AVERAGE(OFFSET(分析データ!B$1,MAX(1,ROW()-$C$7),0,MIN($C$7,ROW()-1),1)))/STDEV(OFFSET(分析データ!B$1,MAX(1,ROW()-$C$7),0,MIN($C$7,ROW()-1),1)),0))</f>
        <v/>
      </c>
      <c r="AU82">
        <f t="shared" ca="1" si="28"/>
        <v>0</v>
      </c>
      <c r="AV82" t="str">
        <f ca="1">IF(AU82=1,IF(INDEX(分析データ!$A:$A,ROW()+$C$5)&lt;&gt;"",80000*SIGN(AT82)*(分析データ!B82-INDEX(分析データ!B:B,ROW()+$C$5)),""),"")</f>
        <v/>
      </c>
      <c r="AW82">
        <f t="shared" ca="1" si="29"/>
        <v>0</v>
      </c>
      <c r="AX82">
        <f t="shared" ca="1" si="30"/>
        <v>0</v>
      </c>
      <c r="AY82">
        <f t="shared" ca="1" si="31"/>
        <v>0</v>
      </c>
      <c r="AZ82" t="str">
        <f ca="1">IF(ROW()&lt;($C$7+1),"",IFERROR((分析データ!C82-AVERAGE(OFFSET(分析データ!C$1,MAX(1,ROW()-$C$7),0,MIN($C$7,ROW()-1),1)))/STDEV(OFFSET(分析データ!C$1,MAX(1,ROW()-$C$7),0,MIN($C$7,ROW()-1),1)),0))</f>
        <v/>
      </c>
      <c r="BA82">
        <f t="shared" ca="1" si="32"/>
        <v>0</v>
      </c>
      <c r="BB82" t="str">
        <f ca="1">IF(BA82=1,IF(INDEX(分析データ!$A:$A,ROW()+$C$5)&lt;&gt;"",60000*SIGN(AZ82)*(分析データ!C82-INDEX(分析データ!C:C,ROW()+$C$5)),""),"")</f>
        <v/>
      </c>
      <c r="BC82">
        <f t="shared" ca="1" si="33"/>
        <v>0</v>
      </c>
      <c r="BD82">
        <f t="shared" ca="1" si="34"/>
        <v>0</v>
      </c>
      <c r="BE82">
        <f t="shared" ca="1" si="35"/>
        <v>0</v>
      </c>
      <c r="BF82" t="str">
        <f ca="1">IF(ROW()&lt;($C$7+1),"",IFERROR((分析データ!D82-AVERAGE(OFFSET(分析データ!D$1,MAX(1,ROW()-$C$7),0,MIN($C$7,ROW()-1),1)))/STDEV(OFFSET(分析データ!D$1,MAX(1,ROW()-$C$7),0,MIN($C$7,ROW()-1),1)),0))</f>
        <v/>
      </c>
      <c r="BG82">
        <f t="shared" ca="1" si="36"/>
        <v>0</v>
      </c>
      <c r="BH82" t="str">
        <f ca="1">IF(BG82=1,IF(INDEX(分析データ!$A:$A,ROW()+$C$5)&lt;&gt;"",50000*SIGN(BF82)*(分析データ!D82-INDEX(分析データ!D:D,ROW()+$C$5)),""),"")</f>
        <v/>
      </c>
      <c r="BI82">
        <f t="shared" ca="1" si="37"/>
        <v>0</v>
      </c>
      <c r="BJ82">
        <f t="shared" ca="1" si="38"/>
        <v>0</v>
      </c>
      <c r="BK82">
        <f t="shared" ca="1" si="39"/>
        <v>0</v>
      </c>
      <c r="BL82" t="str">
        <f ca="1">IF(ROW()&lt;($C$7+1),"",IFERROR((分析データ!E82-AVERAGE(OFFSET(分析データ!E$1,MAX(1,ROW()-$C$7),0,MIN($C$7,ROW()-1),1)))/STDEV(OFFSET(分析データ!E$1,MAX(1,ROW()-$C$7),0,MIN($C$7,ROW()-1),1)),0))</f>
        <v/>
      </c>
      <c r="BM82">
        <f t="shared" ca="1" si="40"/>
        <v>0</v>
      </c>
      <c r="BN82" t="str">
        <f ca="1">IF(BM82=1,IF(INDEX(分析データ!$A:$A,ROW()+$C$5)&lt;&gt;"",40000*SIGN(BL82)*(分析データ!E82-INDEX(分析データ!E:E,ROW()+$C$5)),""),"")</f>
        <v/>
      </c>
      <c r="BO82">
        <f t="shared" ca="1" si="41"/>
        <v>0</v>
      </c>
      <c r="BP82">
        <f t="shared" ca="1" si="42"/>
        <v>0</v>
      </c>
      <c r="BQ82">
        <f t="shared" ca="1" si="43"/>
        <v>0</v>
      </c>
      <c r="BR82" t="str">
        <f ca="1">IF(ROW()&lt;($C$7+1),"",IFERROR((分析データ!F82-AVERAGE(OFFSET(分析データ!F$1,MAX(1,ROW()-$C$7),0,MIN($C$7,ROW()-1),1)))/STDEV(OFFSET(分析データ!F$1,MAX(1,ROW()-$C$7),0,MIN($C$7,ROW()-1),1)),0))</f>
        <v/>
      </c>
      <c r="BS82">
        <f t="shared" ca="1" si="44"/>
        <v>0</v>
      </c>
      <c r="BT82" t="str">
        <f ca="1">IF(BS82=1,IF(INDEX(分析データ!$A:$A,ROW()+$C$5)&lt;&gt;"",40000*SIGN(BR82)*(分析データ!F82-INDEX(分析データ!F:F,ROW()+$C$5)),""),"")</f>
        <v/>
      </c>
      <c r="BU82">
        <f t="shared" ca="1" si="45"/>
        <v>0</v>
      </c>
      <c r="BV82">
        <f t="shared" ca="1" si="46"/>
        <v>0</v>
      </c>
      <c r="BW82">
        <f t="shared" ca="1" si="47"/>
        <v>0</v>
      </c>
      <c r="BX82" t="str">
        <f ca="1">IF(ROW()&lt;($C$7+1),"",IFERROR((分析データ!G82-AVERAGE(OFFSET(分析データ!G$1,MAX(1,ROW()-$C$7),0,MIN($C$7,ROW()-1),1)))/STDEV(OFFSET(分析データ!G$1,MAX(1,ROW()-$C$7),0,MIN($C$7,ROW()-1),1)),0))</f>
        <v/>
      </c>
      <c r="BY82">
        <f t="shared" ca="1" si="48"/>
        <v>0</v>
      </c>
      <c r="BZ82" t="str">
        <f ca="1">IF(BY82=1,IF(INDEX(分析データ!$A:$A,ROW()+$C$5)&lt;&gt;"",40000*SIGN(BX82)*(分析データ!G82-INDEX(分析データ!G:G,ROW()+$C$5)),""),"")</f>
        <v/>
      </c>
      <c r="CA82">
        <f t="shared" ca="1" si="49"/>
        <v>0</v>
      </c>
      <c r="CB82">
        <f t="shared" ca="1" si="50"/>
        <v>0</v>
      </c>
      <c r="CC82">
        <f t="shared" ca="1" si="51"/>
        <v>0</v>
      </c>
      <c r="CD82">
        <f t="shared" ca="1" si="52"/>
        <v>0</v>
      </c>
      <c r="CE82">
        <f t="shared" ca="1" si="53"/>
        <v>0</v>
      </c>
      <c r="CF82">
        <f t="shared" ca="1" si="54"/>
        <v>0</v>
      </c>
      <c r="CG82">
        <f t="shared" ca="1" si="55"/>
        <v>0</v>
      </c>
      <c r="CH82" s="10">
        <f>分析データ!A82</f>
        <v>45043</v>
      </c>
    </row>
    <row r="83" spans="46:86">
      <c r="AT83" t="str">
        <f ca="1">IF(ROW()&lt;($C$7+1),"",IFERROR((分析データ!B83-AVERAGE(OFFSET(分析データ!B$1,MAX(1,ROW()-$C$7),0,MIN($C$7,ROW()-1),1)))/STDEV(OFFSET(分析データ!B$1,MAX(1,ROW()-$C$7),0,MIN($C$7,ROW()-1),1)),0))</f>
        <v/>
      </c>
      <c r="AU83">
        <f t="shared" ca="1" si="28"/>
        <v>0</v>
      </c>
      <c r="AV83" t="str">
        <f ca="1">IF(AU83=1,IF(INDEX(分析データ!$A:$A,ROW()+$C$5)&lt;&gt;"",80000*SIGN(AT83)*(分析データ!B83-INDEX(分析データ!B:B,ROW()+$C$5)),""),"")</f>
        <v/>
      </c>
      <c r="AW83">
        <f t="shared" ca="1" si="29"/>
        <v>0</v>
      </c>
      <c r="AX83">
        <f t="shared" ca="1" si="30"/>
        <v>0</v>
      </c>
      <c r="AY83">
        <f t="shared" ca="1" si="31"/>
        <v>0</v>
      </c>
      <c r="AZ83" t="str">
        <f ca="1">IF(ROW()&lt;($C$7+1),"",IFERROR((分析データ!C83-AVERAGE(OFFSET(分析データ!C$1,MAX(1,ROW()-$C$7),0,MIN($C$7,ROW()-1),1)))/STDEV(OFFSET(分析データ!C$1,MAX(1,ROW()-$C$7),0,MIN($C$7,ROW()-1),1)),0))</f>
        <v/>
      </c>
      <c r="BA83">
        <f t="shared" ca="1" si="32"/>
        <v>0</v>
      </c>
      <c r="BB83" t="str">
        <f ca="1">IF(BA83=1,IF(INDEX(分析データ!$A:$A,ROW()+$C$5)&lt;&gt;"",60000*SIGN(AZ83)*(分析データ!C83-INDEX(分析データ!C:C,ROW()+$C$5)),""),"")</f>
        <v/>
      </c>
      <c r="BC83">
        <f t="shared" ca="1" si="33"/>
        <v>0</v>
      </c>
      <c r="BD83">
        <f t="shared" ca="1" si="34"/>
        <v>0</v>
      </c>
      <c r="BE83">
        <f t="shared" ca="1" si="35"/>
        <v>0</v>
      </c>
      <c r="BF83" t="str">
        <f ca="1">IF(ROW()&lt;($C$7+1),"",IFERROR((分析データ!D83-AVERAGE(OFFSET(分析データ!D$1,MAX(1,ROW()-$C$7),0,MIN($C$7,ROW()-1),1)))/STDEV(OFFSET(分析データ!D$1,MAX(1,ROW()-$C$7),0,MIN($C$7,ROW()-1),1)),0))</f>
        <v/>
      </c>
      <c r="BG83">
        <f t="shared" ca="1" si="36"/>
        <v>0</v>
      </c>
      <c r="BH83" t="str">
        <f ca="1">IF(BG83=1,IF(INDEX(分析データ!$A:$A,ROW()+$C$5)&lt;&gt;"",50000*SIGN(BF83)*(分析データ!D83-INDEX(分析データ!D:D,ROW()+$C$5)),""),"")</f>
        <v/>
      </c>
      <c r="BI83">
        <f t="shared" ca="1" si="37"/>
        <v>0</v>
      </c>
      <c r="BJ83">
        <f t="shared" ca="1" si="38"/>
        <v>0</v>
      </c>
      <c r="BK83">
        <f t="shared" ca="1" si="39"/>
        <v>0</v>
      </c>
      <c r="BL83" t="str">
        <f ca="1">IF(ROW()&lt;($C$7+1),"",IFERROR((分析データ!E83-AVERAGE(OFFSET(分析データ!E$1,MAX(1,ROW()-$C$7),0,MIN($C$7,ROW()-1),1)))/STDEV(OFFSET(分析データ!E$1,MAX(1,ROW()-$C$7),0,MIN($C$7,ROW()-1),1)),0))</f>
        <v/>
      </c>
      <c r="BM83">
        <f t="shared" ca="1" si="40"/>
        <v>0</v>
      </c>
      <c r="BN83" t="str">
        <f ca="1">IF(BM83=1,IF(INDEX(分析データ!$A:$A,ROW()+$C$5)&lt;&gt;"",40000*SIGN(BL83)*(分析データ!E83-INDEX(分析データ!E:E,ROW()+$C$5)),""),"")</f>
        <v/>
      </c>
      <c r="BO83">
        <f t="shared" ca="1" si="41"/>
        <v>0</v>
      </c>
      <c r="BP83">
        <f t="shared" ca="1" si="42"/>
        <v>0</v>
      </c>
      <c r="BQ83">
        <f t="shared" ca="1" si="43"/>
        <v>0</v>
      </c>
      <c r="BR83" t="str">
        <f ca="1">IF(ROW()&lt;($C$7+1),"",IFERROR((分析データ!F83-AVERAGE(OFFSET(分析データ!F$1,MAX(1,ROW()-$C$7),0,MIN($C$7,ROW()-1),1)))/STDEV(OFFSET(分析データ!F$1,MAX(1,ROW()-$C$7),0,MIN($C$7,ROW()-1),1)),0))</f>
        <v/>
      </c>
      <c r="BS83">
        <f t="shared" ca="1" si="44"/>
        <v>0</v>
      </c>
      <c r="BT83" t="str">
        <f ca="1">IF(BS83=1,IF(INDEX(分析データ!$A:$A,ROW()+$C$5)&lt;&gt;"",40000*SIGN(BR83)*(分析データ!F83-INDEX(分析データ!F:F,ROW()+$C$5)),""),"")</f>
        <v/>
      </c>
      <c r="BU83">
        <f t="shared" ca="1" si="45"/>
        <v>0</v>
      </c>
      <c r="BV83">
        <f t="shared" ca="1" si="46"/>
        <v>0</v>
      </c>
      <c r="BW83">
        <f t="shared" ca="1" si="47"/>
        <v>0</v>
      </c>
      <c r="BX83" t="str">
        <f ca="1">IF(ROW()&lt;($C$7+1),"",IFERROR((分析データ!G83-AVERAGE(OFFSET(分析データ!G$1,MAX(1,ROW()-$C$7),0,MIN($C$7,ROW()-1),1)))/STDEV(OFFSET(分析データ!G$1,MAX(1,ROW()-$C$7),0,MIN($C$7,ROW()-1),1)),0))</f>
        <v/>
      </c>
      <c r="BY83">
        <f t="shared" ca="1" si="48"/>
        <v>0</v>
      </c>
      <c r="BZ83" t="str">
        <f ca="1">IF(BY83=1,IF(INDEX(分析データ!$A:$A,ROW()+$C$5)&lt;&gt;"",40000*SIGN(BX83)*(分析データ!G83-INDEX(分析データ!G:G,ROW()+$C$5)),""),"")</f>
        <v/>
      </c>
      <c r="CA83">
        <f t="shared" ca="1" si="49"/>
        <v>0</v>
      </c>
      <c r="CB83">
        <f t="shared" ca="1" si="50"/>
        <v>0</v>
      </c>
      <c r="CC83">
        <f t="shared" ca="1" si="51"/>
        <v>0</v>
      </c>
      <c r="CD83">
        <f t="shared" ca="1" si="52"/>
        <v>0</v>
      </c>
      <c r="CE83">
        <f t="shared" ca="1" si="53"/>
        <v>0</v>
      </c>
      <c r="CF83">
        <f t="shared" ca="1" si="54"/>
        <v>0</v>
      </c>
      <c r="CG83">
        <f t="shared" ca="1" si="55"/>
        <v>0</v>
      </c>
      <c r="CH83" s="10">
        <f>分析データ!A83</f>
        <v>45044</v>
      </c>
    </row>
    <row r="84" spans="46:86">
      <c r="AT84" t="str">
        <f ca="1">IF(ROW()&lt;($C$7+1),"",IFERROR((分析データ!B84-AVERAGE(OFFSET(分析データ!B$1,MAX(1,ROW()-$C$7),0,MIN($C$7,ROW()-1),1)))/STDEV(OFFSET(分析データ!B$1,MAX(1,ROW()-$C$7),0,MIN($C$7,ROW()-1),1)),0))</f>
        <v/>
      </c>
      <c r="AU84">
        <f t="shared" ca="1" si="28"/>
        <v>0</v>
      </c>
      <c r="AV84" t="str">
        <f ca="1">IF(AU84=1,IF(INDEX(分析データ!$A:$A,ROW()+$C$5)&lt;&gt;"",80000*SIGN(AT84)*(分析データ!B84-INDEX(分析データ!B:B,ROW()+$C$5)),""),"")</f>
        <v/>
      </c>
      <c r="AW84">
        <f t="shared" ca="1" si="29"/>
        <v>0</v>
      </c>
      <c r="AX84">
        <f t="shared" ca="1" si="30"/>
        <v>0</v>
      </c>
      <c r="AY84">
        <f t="shared" ca="1" si="31"/>
        <v>0</v>
      </c>
      <c r="AZ84" t="str">
        <f ca="1">IF(ROW()&lt;($C$7+1),"",IFERROR((分析データ!C84-AVERAGE(OFFSET(分析データ!C$1,MAX(1,ROW()-$C$7),0,MIN($C$7,ROW()-1),1)))/STDEV(OFFSET(分析データ!C$1,MAX(1,ROW()-$C$7),0,MIN($C$7,ROW()-1),1)),0))</f>
        <v/>
      </c>
      <c r="BA84">
        <f t="shared" ca="1" si="32"/>
        <v>0</v>
      </c>
      <c r="BB84" t="str">
        <f ca="1">IF(BA84=1,IF(INDEX(分析データ!$A:$A,ROW()+$C$5)&lt;&gt;"",60000*SIGN(AZ84)*(分析データ!C84-INDEX(分析データ!C:C,ROW()+$C$5)),""),"")</f>
        <v/>
      </c>
      <c r="BC84">
        <f t="shared" ca="1" si="33"/>
        <v>0</v>
      </c>
      <c r="BD84">
        <f t="shared" ca="1" si="34"/>
        <v>0</v>
      </c>
      <c r="BE84">
        <f t="shared" ca="1" si="35"/>
        <v>0</v>
      </c>
      <c r="BF84" t="str">
        <f ca="1">IF(ROW()&lt;($C$7+1),"",IFERROR((分析データ!D84-AVERAGE(OFFSET(分析データ!D$1,MAX(1,ROW()-$C$7),0,MIN($C$7,ROW()-1),1)))/STDEV(OFFSET(分析データ!D$1,MAX(1,ROW()-$C$7),0,MIN($C$7,ROW()-1),1)),0))</f>
        <v/>
      </c>
      <c r="BG84">
        <f t="shared" ca="1" si="36"/>
        <v>0</v>
      </c>
      <c r="BH84" t="str">
        <f ca="1">IF(BG84=1,IF(INDEX(分析データ!$A:$A,ROW()+$C$5)&lt;&gt;"",50000*SIGN(BF84)*(分析データ!D84-INDEX(分析データ!D:D,ROW()+$C$5)),""),"")</f>
        <v/>
      </c>
      <c r="BI84">
        <f t="shared" ca="1" si="37"/>
        <v>0</v>
      </c>
      <c r="BJ84">
        <f t="shared" ca="1" si="38"/>
        <v>0</v>
      </c>
      <c r="BK84">
        <f t="shared" ca="1" si="39"/>
        <v>0</v>
      </c>
      <c r="BL84" t="str">
        <f ca="1">IF(ROW()&lt;($C$7+1),"",IFERROR((分析データ!E84-AVERAGE(OFFSET(分析データ!E$1,MAX(1,ROW()-$C$7),0,MIN($C$7,ROW()-1),1)))/STDEV(OFFSET(分析データ!E$1,MAX(1,ROW()-$C$7),0,MIN($C$7,ROW()-1),1)),0))</f>
        <v/>
      </c>
      <c r="BM84">
        <f t="shared" ca="1" si="40"/>
        <v>0</v>
      </c>
      <c r="BN84" t="str">
        <f ca="1">IF(BM84=1,IF(INDEX(分析データ!$A:$A,ROW()+$C$5)&lt;&gt;"",40000*SIGN(BL84)*(分析データ!E84-INDEX(分析データ!E:E,ROW()+$C$5)),""),"")</f>
        <v/>
      </c>
      <c r="BO84">
        <f t="shared" ca="1" si="41"/>
        <v>0</v>
      </c>
      <c r="BP84">
        <f t="shared" ca="1" si="42"/>
        <v>0</v>
      </c>
      <c r="BQ84">
        <f t="shared" ca="1" si="43"/>
        <v>0</v>
      </c>
      <c r="BR84" t="str">
        <f ca="1">IF(ROW()&lt;($C$7+1),"",IFERROR((分析データ!F84-AVERAGE(OFFSET(分析データ!F$1,MAX(1,ROW()-$C$7),0,MIN($C$7,ROW()-1),1)))/STDEV(OFFSET(分析データ!F$1,MAX(1,ROW()-$C$7),0,MIN($C$7,ROW()-1),1)),0))</f>
        <v/>
      </c>
      <c r="BS84">
        <f t="shared" ca="1" si="44"/>
        <v>0</v>
      </c>
      <c r="BT84" t="str">
        <f ca="1">IF(BS84=1,IF(INDEX(分析データ!$A:$A,ROW()+$C$5)&lt;&gt;"",40000*SIGN(BR84)*(分析データ!F84-INDEX(分析データ!F:F,ROW()+$C$5)),""),"")</f>
        <v/>
      </c>
      <c r="BU84">
        <f t="shared" ca="1" si="45"/>
        <v>0</v>
      </c>
      <c r="BV84">
        <f t="shared" ca="1" si="46"/>
        <v>0</v>
      </c>
      <c r="BW84">
        <f t="shared" ca="1" si="47"/>
        <v>0</v>
      </c>
      <c r="BX84" t="str">
        <f ca="1">IF(ROW()&lt;($C$7+1),"",IFERROR((分析データ!G84-AVERAGE(OFFSET(分析データ!G$1,MAX(1,ROW()-$C$7),0,MIN($C$7,ROW()-1),1)))/STDEV(OFFSET(分析データ!G$1,MAX(1,ROW()-$C$7),0,MIN($C$7,ROW()-1),1)),0))</f>
        <v/>
      </c>
      <c r="BY84">
        <f t="shared" ca="1" si="48"/>
        <v>0</v>
      </c>
      <c r="BZ84" t="str">
        <f ca="1">IF(BY84=1,IF(INDEX(分析データ!$A:$A,ROW()+$C$5)&lt;&gt;"",40000*SIGN(BX84)*(分析データ!G84-INDEX(分析データ!G:G,ROW()+$C$5)),""),"")</f>
        <v/>
      </c>
      <c r="CA84">
        <f t="shared" ca="1" si="49"/>
        <v>0</v>
      </c>
      <c r="CB84">
        <f t="shared" ca="1" si="50"/>
        <v>0</v>
      </c>
      <c r="CC84">
        <f t="shared" ca="1" si="51"/>
        <v>0</v>
      </c>
      <c r="CD84">
        <f t="shared" ca="1" si="52"/>
        <v>0</v>
      </c>
      <c r="CE84">
        <f t="shared" ca="1" si="53"/>
        <v>0</v>
      </c>
      <c r="CF84">
        <f t="shared" ca="1" si="54"/>
        <v>0</v>
      </c>
      <c r="CG84">
        <f t="shared" ca="1" si="55"/>
        <v>0</v>
      </c>
      <c r="CH84" s="10">
        <f>分析データ!A84</f>
        <v>45047</v>
      </c>
    </row>
    <row r="85" spans="46:86">
      <c r="AT85" t="str">
        <f ca="1">IF(ROW()&lt;($C$7+1),"",IFERROR((分析データ!B85-AVERAGE(OFFSET(分析データ!B$1,MAX(1,ROW()-$C$7),0,MIN($C$7,ROW()-1),1)))/STDEV(OFFSET(分析データ!B$1,MAX(1,ROW()-$C$7),0,MIN($C$7,ROW()-1),1)),0))</f>
        <v/>
      </c>
      <c r="AU85">
        <f t="shared" ca="1" si="28"/>
        <v>0</v>
      </c>
      <c r="AV85" t="str">
        <f ca="1">IF(AU85=1,IF(INDEX(分析データ!$A:$A,ROW()+$C$5)&lt;&gt;"",80000*SIGN(AT85)*(分析データ!B85-INDEX(分析データ!B:B,ROW()+$C$5)),""),"")</f>
        <v/>
      </c>
      <c r="AW85">
        <f t="shared" ca="1" si="29"/>
        <v>0</v>
      </c>
      <c r="AX85">
        <f t="shared" ca="1" si="30"/>
        <v>0</v>
      </c>
      <c r="AY85">
        <f t="shared" ca="1" si="31"/>
        <v>0</v>
      </c>
      <c r="AZ85" t="str">
        <f ca="1">IF(ROW()&lt;($C$7+1),"",IFERROR((分析データ!C85-AVERAGE(OFFSET(分析データ!C$1,MAX(1,ROW()-$C$7),0,MIN($C$7,ROW()-1),1)))/STDEV(OFFSET(分析データ!C$1,MAX(1,ROW()-$C$7),0,MIN($C$7,ROW()-1),1)),0))</f>
        <v/>
      </c>
      <c r="BA85">
        <f t="shared" ca="1" si="32"/>
        <v>0</v>
      </c>
      <c r="BB85" t="str">
        <f ca="1">IF(BA85=1,IF(INDEX(分析データ!$A:$A,ROW()+$C$5)&lt;&gt;"",60000*SIGN(AZ85)*(分析データ!C85-INDEX(分析データ!C:C,ROW()+$C$5)),""),"")</f>
        <v/>
      </c>
      <c r="BC85">
        <f t="shared" ca="1" si="33"/>
        <v>0</v>
      </c>
      <c r="BD85">
        <f t="shared" ca="1" si="34"/>
        <v>0</v>
      </c>
      <c r="BE85">
        <f t="shared" ca="1" si="35"/>
        <v>0</v>
      </c>
      <c r="BF85" t="str">
        <f ca="1">IF(ROW()&lt;($C$7+1),"",IFERROR((分析データ!D85-AVERAGE(OFFSET(分析データ!D$1,MAX(1,ROW()-$C$7),0,MIN($C$7,ROW()-1),1)))/STDEV(OFFSET(分析データ!D$1,MAX(1,ROW()-$C$7),0,MIN($C$7,ROW()-1),1)),0))</f>
        <v/>
      </c>
      <c r="BG85">
        <f t="shared" ca="1" si="36"/>
        <v>0</v>
      </c>
      <c r="BH85" t="str">
        <f ca="1">IF(BG85=1,IF(INDEX(分析データ!$A:$A,ROW()+$C$5)&lt;&gt;"",50000*SIGN(BF85)*(分析データ!D85-INDEX(分析データ!D:D,ROW()+$C$5)),""),"")</f>
        <v/>
      </c>
      <c r="BI85">
        <f t="shared" ca="1" si="37"/>
        <v>0</v>
      </c>
      <c r="BJ85">
        <f t="shared" ca="1" si="38"/>
        <v>0</v>
      </c>
      <c r="BK85">
        <f t="shared" ca="1" si="39"/>
        <v>0</v>
      </c>
      <c r="BL85" t="str">
        <f ca="1">IF(ROW()&lt;($C$7+1),"",IFERROR((分析データ!E85-AVERAGE(OFFSET(分析データ!E$1,MAX(1,ROW()-$C$7),0,MIN($C$7,ROW()-1),1)))/STDEV(OFFSET(分析データ!E$1,MAX(1,ROW()-$C$7),0,MIN($C$7,ROW()-1),1)),0))</f>
        <v/>
      </c>
      <c r="BM85">
        <f t="shared" ca="1" si="40"/>
        <v>0</v>
      </c>
      <c r="BN85" t="str">
        <f ca="1">IF(BM85=1,IF(INDEX(分析データ!$A:$A,ROW()+$C$5)&lt;&gt;"",40000*SIGN(BL85)*(分析データ!E85-INDEX(分析データ!E:E,ROW()+$C$5)),""),"")</f>
        <v/>
      </c>
      <c r="BO85">
        <f t="shared" ca="1" si="41"/>
        <v>0</v>
      </c>
      <c r="BP85">
        <f t="shared" ca="1" si="42"/>
        <v>0</v>
      </c>
      <c r="BQ85">
        <f t="shared" ca="1" si="43"/>
        <v>0</v>
      </c>
      <c r="BR85" t="str">
        <f ca="1">IF(ROW()&lt;($C$7+1),"",IFERROR((分析データ!F85-AVERAGE(OFFSET(分析データ!F$1,MAX(1,ROW()-$C$7),0,MIN($C$7,ROW()-1),1)))/STDEV(OFFSET(分析データ!F$1,MAX(1,ROW()-$C$7),0,MIN($C$7,ROW()-1),1)),0))</f>
        <v/>
      </c>
      <c r="BS85">
        <f t="shared" ca="1" si="44"/>
        <v>0</v>
      </c>
      <c r="BT85" t="str">
        <f ca="1">IF(BS85=1,IF(INDEX(分析データ!$A:$A,ROW()+$C$5)&lt;&gt;"",40000*SIGN(BR85)*(分析データ!F85-INDEX(分析データ!F:F,ROW()+$C$5)),""),"")</f>
        <v/>
      </c>
      <c r="BU85">
        <f t="shared" ca="1" si="45"/>
        <v>0</v>
      </c>
      <c r="BV85">
        <f t="shared" ca="1" si="46"/>
        <v>0</v>
      </c>
      <c r="BW85">
        <f t="shared" ca="1" si="47"/>
        <v>0</v>
      </c>
      <c r="BX85" t="str">
        <f ca="1">IF(ROW()&lt;($C$7+1),"",IFERROR((分析データ!G85-AVERAGE(OFFSET(分析データ!G$1,MAX(1,ROW()-$C$7),0,MIN($C$7,ROW()-1),1)))/STDEV(OFFSET(分析データ!G$1,MAX(1,ROW()-$C$7),0,MIN($C$7,ROW()-1),1)),0))</f>
        <v/>
      </c>
      <c r="BY85">
        <f t="shared" ca="1" si="48"/>
        <v>0</v>
      </c>
      <c r="BZ85" t="str">
        <f ca="1">IF(BY85=1,IF(INDEX(分析データ!$A:$A,ROW()+$C$5)&lt;&gt;"",40000*SIGN(BX85)*(分析データ!G85-INDEX(分析データ!G:G,ROW()+$C$5)),""),"")</f>
        <v/>
      </c>
      <c r="CA85">
        <f t="shared" ca="1" si="49"/>
        <v>0</v>
      </c>
      <c r="CB85">
        <f t="shared" ca="1" si="50"/>
        <v>0</v>
      </c>
      <c r="CC85">
        <f t="shared" ca="1" si="51"/>
        <v>0</v>
      </c>
      <c r="CD85">
        <f t="shared" ca="1" si="52"/>
        <v>0</v>
      </c>
      <c r="CE85">
        <f t="shared" ca="1" si="53"/>
        <v>0</v>
      </c>
      <c r="CF85">
        <f t="shared" ca="1" si="54"/>
        <v>0</v>
      </c>
      <c r="CG85">
        <f t="shared" ca="1" si="55"/>
        <v>0</v>
      </c>
      <c r="CH85" s="10">
        <f>分析データ!A85</f>
        <v>45048</v>
      </c>
    </row>
    <row r="86" spans="46:86">
      <c r="AT86" t="str">
        <f ca="1">IF(ROW()&lt;($C$7+1),"",IFERROR((分析データ!B86-AVERAGE(OFFSET(分析データ!B$1,MAX(1,ROW()-$C$7),0,MIN($C$7,ROW()-1),1)))/STDEV(OFFSET(分析データ!B$1,MAX(1,ROW()-$C$7),0,MIN($C$7,ROW()-1),1)),0))</f>
        <v/>
      </c>
      <c r="AU86">
        <f t="shared" ca="1" si="28"/>
        <v>0</v>
      </c>
      <c r="AV86" t="str">
        <f ca="1">IF(AU86=1,IF(INDEX(分析データ!$A:$A,ROW()+$C$5)&lt;&gt;"",80000*SIGN(AT86)*(分析データ!B86-INDEX(分析データ!B:B,ROW()+$C$5)),""),"")</f>
        <v/>
      </c>
      <c r="AW86">
        <f t="shared" ca="1" si="29"/>
        <v>0</v>
      </c>
      <c r="AX86">
        <f t="shared" ca="1" si="30"/>
        <v>0</v>
      </c>
      <c r="AY86">
        <f t="shared" ca="1" si="31"/>
        <v>0</v>
      </c>
      <c r="AZ86" t="str">
        <f ca="1">IF(ROW()&lt;($C$7+1),"",IFERROR((分析データ!C86-AVERAGE(OFFSET(分析データ!C$1,MAX(1,ROW()-$C$7),0,MIN($C$7,ROW()-1),1)))/STDEV(OFFSET(分析データ!C$1,MAX(1,ROW()-$C$7),0,MIN($C$7,ROW()-1),1)),0))</f>
        <v/>
      </c>
      <c r="BA86">
        <f t="shared" ca="1" si="32"/>
        <v>0</v>
      </c>
      <c r="BB86" t="str">
        <f ca="1">IF(BA86=1,IF(INDEX(分析データ!$A:$A,ROW()+$C$5)&lt;&gt;"",60000*SIGN(AZ86)*(分析データ!C86-INDEX(分析データ!C:C,ROW()+$C$5)),""),"")</f>
        <v/>
      </c>
      <c r="BC86">
        <f t="shared" ca="1" si="33"/>
        <v>0</v>
      </c>
      <c r="BD86">
        <f t="shared" ca="1" si="34"/>
        <v>0</v>
      </c>
      <c r="BE86">
        <f t="shared" ca="1" si="35"/>
        <v>0</v>
      </c>
      <c r="BF86" t="str">
        <f ca="1">IF(ROW()&lt;($C$7+1),"",IFERROR((分析データ!D86-AVERAGE(OFFSET(分析データ!D$1,MAX(1,ROW()-$C$7),0,MIN($C$7,ROW()-1),1)))/STDEV(OFFSET(分析データ!D$1,MAX(1,ROW()-$C$7),0,MIN($C$7,ROW()-1),1)),0))</f>
        <v/>
      </c>
      <c r="BG86">
        <f t="shared" ca="1" si="36"/>
        <v>0</v>
      </c>
      <c r="BH86" t="str">
        <f ca="1">IF(BG86=1,IF(INDEX(分析データ!$A:$A,ROW()+$C$5)&lt;&gt;"",50000*SIGN(BF86)*(分析データ!D86-INDEX(分析データ!D:D,ROW()+$C$5)),""),"")</f>
        <v/>
      </c>
      <c r="BI86">
        <f t="shared" ca="1" si="37"/>
        <v>0</v>
      </c>
      <c r="BJ86">
        <f t="shared" ca="1" si="38"/>
        <v>0</v>
      </c>
      <c r="BK86">
        <f t="shared" ca="1" si="39"/>
        <v>0</v>
      </c>
      <c r="BL86" t="str">
        <f ca="1">IF(ROW()&lt;($C$7+1),"",IFERROR((分析データ!E86-AVERAGE(OFFSET(分析データ!E$1,MAX(1,ROW()-$C$7),0,MIN($C$7,ROW()-1),1)))/STDEV(OFFSET(分析データ!E$1,MAX(1,ROW()-$C$7),0,MIN($C$7,ROW()-1),1)),0))</f>
        <v/>
      </c>
      <c r="BM86">
        <f t="shared" ca="1" si="40"/>
        <v>0</v>
      </c>
      <c r="BN86" t="str">
        <f ca="1">IF(BM86=1,IF(INDEX(分析データ!$A:$A,ROW()+$C$5)&lt;&gt;"",40000*SIGN(BL86)*(分析データ!E86-INDEX(分析データ!E:E,ROW()+$C$5)),""),"")</f>
        <v/>
      </c>
      <c r="BO86">
        <f t="shared" ca="1" si="41"/>
        <v>0</v>
      </c>
      <c r="BP86">
        <f t="shared" ca="1" si="42"/>
        <v>0</v>
      </c>
      <c r="BQ86">
        <f t="shared" ca="1" si="43"/>
        <v>0</v>
      </c>
      <c r="BR86" t="str">
        <f ca="1">IF(ROW()&lt;($C$7+1),"",IFERROR((分析データ!F86-AVERAGE(OFFSET(分析データ!F$1,MAX(1,ROW()-$C$7),0,MIN($C$7,ROW()-1),1)))/STDEV(OFFSET(分析データ!F$1,MAX(1,ROW()-$C$7),0,MIN($C$7,ROW()-1),1)),0))</f>
        <v/>
      </c>
      <c r="BS86">
        <f t="shared" ca="1" si="44"/>
        <v>0</v>
      </c>
      <c r="BT86" t="str">
        <f ca="1">IF(BS86=1,IF(INDEX(分析データ!$A:$A,ROW()+$C$5)&lt;&gt;"",40000*SIGN(BR86)*(分析データ!F86-INDEX(分析データ!F:F,ROW()+$C$5)),""),"")</f>
        <v/>
      </c>
      <c r="BU86">
        <f t="shared" ca="1" si="45"/>
        <v>0</v>
      </c>
      <c r="BV86">
        <f t="shared" ca="1" si="46"/>
        <v>0</v>
      </c>
      <c r="BW86">
        <f t="shared" ca="1" si="47"/>
        <v>0</v>
      </c>
      <c r="BX86" t="str">
        <f ca="1">IF(ROW()&lt;($C$7+1),"",IFERROR((分析データ!G86-AVERAGE(OFFSET(分析データ!G$1,MAX(1,ROW()-$C$7),0,MIN($C$7,ROW()-1),1)))/STDEV(OFFSET(分析データ!G$1,MAX(1,ROW()-$C$7),0,MIN($C$7,ROW()-1),1)),0))</f>
        <v/>
      </c>
      <c r="BY86">
        <f t="shared" ca="1" si="48"/>
        <v>0</v>
      </c>
      <c r="BZ86" t="str">
        <f ca="1">IF(BY86=1,IF(INDEX(分析データ!$A:$A,ROW()+$C$5)&lt;&gt;"",40000*SIGN(BX86)*(分析データ!G86-INDEX(分析データ!G:G,ROW()+$C$5)),""),"")</f>
        <v/>
      </c>
      <c r="CA86">
        <f t="shared" ca="1" si="49"/>
        <v>0</v>
      </c>
      <c r="CB86">
        <f t="shared" ca="1" si="50"/>
        <v>0</v>
      </c>
      <c r="CC86">
        <f t="shared" ca="1" si="51"/>
        <v>0</v>
      </c>
      <c r="CD86">
        <f t="shared" ca="1" si="52"/>
        <v>0</v>
      </c>
      <c r="CE86">
        <f t="shared" ca="1" si="53"/>
        <v>0</v>
      </c>
      <c r="CF86">
        <f t="shared" ca="1" si="54"/>
        <v>0</v>
      </c>
      <c r="CG86">
        <f t="shared" ca="1" si="55"/>
        <v>0</v>
      </c>
      <c r="CH86" s="10">
        <f>分析データ!A86</f>
        <v>45049</v>
      </c>
    </row>
    <row r="87" spans="46:86">
      <c r="AT87" t="str">
        <f ca="1">IF(ROW()&lt;($C$7+1),"",IFERROR((分析データ!B87-AVERAGE(OFFSET(分析データ!B$1,MAX(1,ROW()-$C$7),0,MIN($C$7,ROW()-1),1)))/STDEV(OFFSET(分析データ!B$1,MAX(1,ROW()-$C$7),0,MIN($C$7,ROW()-1),1)),0))</f>
        <v/>
      </c>
      <c r="AU87">
        <f t="shared" ca="1" si="28"/>
        <v>0</v>
      </c>
      <c r="AV87" t="str">
        <f ca="1">IF(AU87=1,IF(INDEX(分析データ!$A:$A,ROW()+$C$5)&lt;&gt;"",80000*SIGN(AT87)*(分析データ!B87-INDEX(分析データ!B:B,ROW()+$C$5)),""),"")</f>
        <v/>
      </c>
      <c r="AW87">
        <f t="shared" ca="1" si="29"/>
        <v>0</v>
      </c>
      <c r="AX87">
        <f t="shared" ca="1" si="30"/>
        <v>0</v>
      </c>
      <c r="AY87">
        <f t="shared" ca="1" si="31"/>
        <v>0</v>
      </c>
      <c r="AZ87" t="str">
        <f ca="1">IF(ROW()&lt;($C$7+1),"",IFERROR((分析データ!C87-AVERAGE(OFFSET(分析データ!C$1,MAX(1,ROW()-$C$7),0,MIN($C$7,ROW()-1),1)))/STDEV(OFFSET(分析データ!C$1,MAX(1,ROW()-$C$7),0,MIN($C$7,ROW()-1),1)),0))</f>
        <v/>
      </c>
      <c r="BA87">
        <f t="shared" ca="1" si="32"/>
        <v>0</v>
      </c>
      <c r="BB87" t="str">
        <f ca="1">IF(BA87=1,IF(INDEX(分析データ!$A:$A,ROW()+$C$5)&lt;&gt;"",60000*SIGN(AZ87)*(分析データ!C87-INDEX(分析データ!C:C,ROW()+$C$5)),""),"")</f>
        <v/>
      </c>
      <c r="BC87">
        <f t="shared" ca="1" si="33"/>
        <v>0</v>
      </c>
      <c r="BD87">
        <f t="shared" ca="1" si="34"/>
        <v>0</v>
      </c>
      <c r="BE87">
        <f t="shared" ca="1" si="35"/>
        <v>0</v>
      </c>
      <c r="BF87" t="str">
        <f ca="1">IF(ROW()&lt;($C$7+1),"",IFERROR((分析データ!D87-AVERAGE(OFFSET(分析データ!D$1,MAX(1,ROW()-$C$7),0,MIN($C$7,ROW()-1),1)))/STDEV(OFFSET(分析データ!D$1,MAX(1,ROW()-$C$7),0,MIN($C$7,ROW()-1),1)),0))</f>
        <v/>
      </c>
      <c r="BG87">
        <f t="shared" ca="1" si="36"/>
        <v>0</v>
      </c>
      <c r="BH87" t="str">
        <f ca="1">IF(BG87=1,IF(INDEX(分析データ!$A:$A,ROW()+$C$5)&lt;&gt;"",50000*SIGN(BF87)*(分析データ!D87-INDEX(分析データ!D:D,ROW()+$C$5)),""),"")</f>
        <v/>
      </c>
      <c r="BI87">
        <f t="shared" ca="1" si="37"/>
        <v>0</v>
      </c>
      <c r="BJ87">
        <f t="shared" ca="1" si="38"/>
        <v>0</v>
      </c>
      <c r="BK87">
        <f t="shared" ca="1" si="39"/>
        <v>0</v>
      </c>
      <c r="BL87" t="str">
        <f ca="1">IF(ROW()&lt;($C$7+1),"",IFERROR((分析データ!E87-AVERAGE(OFFSET(分析データ!E$1,MAX(1,ROW()-$C$7),0,MIN($C$7,ROW()-1),1)))/STDEV(OFFSET(分析データ!E$1,MAX(1,ROW()-$C$7),0,MIN($C$7,ROW()-1),1)),0))</f>
        <v/>
      </c>
      <c r="BM87">
        <f t="shared" ca="1" si="40"/>
        <v>0</v>
      </c>
      <c r="BN87" t="str">
        <f ca="1">IF(BM87=1,IF(INDEX(分析データ!$A:$A,ROW()+$C$5)&lt;&gt;"",40000*SIGN(BL87)*(分析データ!E87-INDEX(分析データ!E:E,ROW()+$C$5)),""),"")</f>
        <v/>
      </c>
      <c r="BO87">
        <f t="shared" ca="1" si="41"/>
        <v>0</v>
      </c>
      <c r="BP87">
        <f t="shared" ca="1" si="42"/>
        <v>0</v>
      </c>
      <c r="BQ87">
        <f t="shared" ca="1" si="43"/>
        <v>0</v>
      </c>
      <c r="BR87" t="str">
        <f ca="1">IF(ROW()&lt;($C$7+1),"",IFERROR((分析データ!F87-AVERAGE(OFFSET(分析データ!F$1,MAX(1,ROW()-$C$7),0,MIN($C$7,ROW()-1),1)))/STDEV(OFFSET(分析データ!F$1,MAX(1,ROW()-$C$7),0,MIN($C$7,ROW()-1),1)),0))</f>
        <v/>
      </c>
      <c r="BS87">
        <f t="shared" ca="1" si="44"/>
        <v>0</v>
      </c>
      <c r="BT87" t="str">
        <f ca="1">IF(BS87=1,IF(INDEX(分析データ!$A:$A,ROW()+$C$5)&lt;&gt;"",40000*SIGN(BR87)*(分析データ!F87-INDEX(分析データ!F:F,ROW()+$C$5)),""),"")</f>
        <v/>
      </c>
      <c r="BU87">
        <f t="shared" ca="1" si="45"/>
        <v>0</v>
      </c>
      <c r="BV87">
        <f t="shared" ca="1" si="46"/>
        <v>0</v>
      </c>
      <c r="BW87">
        <f t="shared" ca="1" si="47"/>
        <v>0</v>
      </c>
      <c r="BX87" t="str">
        <f ca="1">IF(ROW()&lt;($C$7+1),"",IFERROR((分析データ!G87-AVERAGE(OFFSET(分析データ!G$1,MAX(1,ROW()-$C$7),0,MIN($C$7,ROW()-1),1)))/STDEV(OFFSET(分析データ!G$1,MAX(1,ROW()-$C$7),0,MIN($C$7,ROW()-1),1)),0))</f>
        <v/>
      </c>
      <c r="BY87">
        <f t="shared" ca="1" si="48"/>
        <v>0</v>
      </c>
      <c r="BZ87" t="str">
        <f ca="1">IF(BY87=1,IF(INDEX(分析データ!$A:$A,ROW()+$C$5)&lt;&gt;"",40000*SIGN(BX87)*(分析データ!G87-INDEX(分析データ!G:G,ROW()+$C$5)),""),"")</f>
        <v/>
      </c>
      <c r="CA87">
        <f t="shared" ca="1" si="49"/>
        <v>0</v>
      </c>
      <c r="CB87">
        <f t="shared" ca="1" si="50"/>
        <v>0</v>
      </c>
      <c r="CC87">
        <f t="shared" ca="1" si="51"/>
        <v>0</v>
      </c>
      <c r="CD87">
        <f t="shared" ca="1" si="52"/>
        <v>0</v>
      </c>
      <c r="CE87">
        <f t="shared" ca="1" si="53"/>
        <v>0</v>
      </c>
      <c r="CF87">
        <f t="shared" ca="1" si="54"/>
        <v>0</v>
      </c>
      <c r="CG87">
        <f t="shared" ca="1" si="55"/>
        <v>0</v>
      </c>
      <c r="CH87" s="10">
        <f>分析データ!A87</f>
        <v>45050</v>
      </c>
    </row>
    <row r="88" spans="46:86">
      <c r="AT88" t="str">
        <f ca="1">IF(ROW()&lt;($C$7+1),"",IFERROR((分析データ!B88-AVERAGE(OFFSET(分析データ!B$1,MAX(1,ROW()-$C$7),0,MIN($C$7,ROW()-1),1)))/STDEV(OFFSET(分析データ!B$1,MAX(1,ROW()-$C$7),0,MIN($C$7,ROW()-1),1)),0))</f>
        <v/>
      </c>
      <c r="AU88">
        <f t="shared" ca="1" si="28"/>
        <v>0</v>
      </c>
      <c r="AV88" t="str">
        <f ca="1">IF(AU88=1,IF(INDEX(分析データ!$A:$A,ROW()+$C$5)&lt;&gt;"",80000*SIGN(AT88)*(分析データ!B88-INDEX(分析データ!B:B,ROW()+$C$5)),""),"")</f>
        <v/>
      </c>
      <c r="AW88">
        <f t="shared" ca="1" si="29"/>
        <v>0</v>
      </c>
      <c r="AX88">
        <f t="shared" ca="1" si="30"/>
        <v>0</v>
      </c>
      <c r="AY88">
        <f t="shared" ca="1" si="31"/>
        <v>0</v>
      </c>
      <c r="AZ88" t="str">
        <f ca="1">IF(ROW()&lt;($C$7+1),"",IFERROR((分析データ!C88-AVERAGE(OFFSET(分析データ!C$1,MAX(1,ROW()-$C$7),0,MIN($C$7,ROW()-1),1)))/STDEV(OFFSET(分析データ!C$1,MAX(1,ROW()-$C$7),0,MIN($C$7,ROW()-1),1)),0))</f>
        <v/>
      </c>
      <c r="BA88">
        <f t="shared" ca="1" si="32"/>
        <v>0</v>
      </c>
      <c r="BB88" t="str">
        <f ca="1">IF(BA88=1,IF(INDEX(分析データ!$A:$A,ROW()+$C$5)&lt;&gt;"",60000*SIGN(AZ88)*(分析データ!C88-INDEX(分析データ!C:C,ROW()+$C$5)),""),"")</f>
        <v/>
      </c>
      <c r="BC88">
        <f t="shared" ca="1" si="33"/>
        <v>0</v>
      </c>
      <c r="BD88">
        <f t="shared" ca="1" si="34"/>
        <v>0</v>
      </c>
      <c r="BE88">
        <f t="shared" ca="1" si="35"/>
        <v>0</v>
      </c>
      <c r="BF88" t="str">
        <f ca="1">IF(ROW()&lt;($C$7+1),"",IFERROR((分析データ!D88-AVERAGE(OFFSET(分析データ!D$1,MAX(1,ROW()-$C$7),0,MIN($C$7,ROW()-1),1)))/STDEV(OFFSET(分析データ!D$1,MAX(1,ROW()-$C$7),0,MIN($C$7,ROW()-1),1)),0))</f>
        <v/>
      </c>
      <c r="BG88">
        <f t="shared" ca="1" si="36"/>
        <v>0</v>
      </c>
      <c r="BH88" t="str">
        <f ca="1">IF(BG88=1,IF(INDEX(分析データ!$A:$A,ROW()+$C$5)&lt;&gt;"",50000*SIGN(BF88)*(分析データ!D88-INDEX(分析データ!D:D,ROW()+$C$5)),""),"")</f>
        <v/>
      </c>
      <c r="BI88">
        <f t="shared" ca="1" si="37"/>
        <v>0</v>
      </c>
      <c r="BJ88">
        <f t="shared" ca="1" si="38"/>
        <v>0</v>
      </c>
      <c r="BK88">
        <f t="shared" ca="1" si="39"/>
        <v>0</v>
      </c>
      <c r="BL88" t="str">
        <f ca="1">IF(ROW()&lt;($C$7+1),"",IFERROR((分析データ!E88-AVERAGE(OFFSET(分析データ!E$1,MAX(1,ROW()-$C$7),0,MIN($C$7,ROW()-1),1)))/STDEV(OFFSET(分析データ!E$1,MAX(1,ROW()-$C$7),0,MIN($C$7,ROW()-1),1)),0))</f>
        <v/>
      </c>
      <c r="BM88">
        <f t="shared" ca="1" si="40"/>
        <v>0</v>
      </c>
      <c r="BN88" t="str">
        <f ca="1">IF(BM88=1,IF(INDEX(分析データ!$A:$A,ROW()+$C$5)&lt;&gt;"",40000*SIGN(BL88)*(分析データ!E88-INDEX(分析データ!E:E,ROW()+$C$5)),""),"")</f>
        <v/>
      </c>
      <c r="BO88">
        <f t="shared" ca="1" si="41"/>
        <v>0</v>
      </c>
      <c r="BP88">
        <f t="shared" ca="1" si="42"/>
        <v>0</v>
      </c>
      <c r="BQ88">
        <f t="shared" ca="1" si="43"/>
        <v>0</v>
      </c>
      <c r="BR88" t="str">
        <f ca="1">IF(ROW()&lt;($C$7+1),"",IFERROR((分析データ!F88-AVERAGE(OFFSET(分析データ!F$1,MAX(1,ROW()-$C$7),0,MIN($C$7,ROW()-1),1)))/STDEV(OFFSET(分析データ!F$1,MAX(1,ROW()-$C$7),0,MIN($C$7,ROW()-1),1)),0))</f>
        <v/>
      </c>
      <c r="BS88">
        <f t="shared" ca="1" si="44"/>
        <v>0</v>
      </c>
      <c r="BT88" t="str">
        <f ca="1">IF(BS88=1,IF(INDEX(分析データ!$A:$A,ROW()+$C$5)&lt;&gt;"",40000*SIGN(BR88)*(分析データ!F88-INDEX(分析データ!F:F,ROW()+$C$5)),""),"")</f>
        <v/>
      </c>
      <c r="BU88">
        <f t="shared" ca="1" si="45"/>
        <v>0</v>
      </c>
      <c r="BV88">
        <f t="shared" ca="1" si="46"/>
        <v>0</v>
      </c>
      <c r="BW88">
        <f t="shared" ca="1" si="47"/>
        <v>0</v>
      </c>
      <c r="BX88" t="str">
        <f ca="1">IF(ROW()&lt;($C$7+1),"",IFERROR((分析データ!G88-AVERAGE(OFFSET(分析データ!G$1,MAX(1,ROW()-$C$7),0,MIN($C$7,ROW()-1),1)))/STDEV(OFFSET(分析データ!G$1,MAX(1,ROW()-$C$7),0,MIN($C$7,ROW()-1),1)),0))</f>
        <v/>
      </c>
      <c r="BY88">
        <f t="shared" ca="1" si="48"/>
        <v>0</v>
      </c>
      <c r="BZ88" t="str">
        <f ca="1">IF(BY88=1,IF(INDEX(分析データ!$A:$A,ROW()+$C$5)&lt;&gt;"",40000*SIGN(BX88)*(分析データ!G88-INDEX(分析データ!G:G,ROW()+$C$5)),""),"")</f>
        <v/>
      </c>
      <c r="CA88">
        <f t="shared" ca="1" si="49"/>
        <v>0</v>
      </c>
      <c r="CB88">
        <f t="shared" ca="1" si="50"/>
        <v>0</v>
      </c>
      <c r="CC88">
        <f t="shared" ca="1" si="51"/>
        <v>0</v>
      </c>
      <c r="CD88">
        <f t="shared" ca="1" si="52"/>
        <v>0</v>
      </c>
      <c r="CE88">
        <f t="shared" ca="1" si="53"/>
        <v>0</v>
      </c>
      <c r="CF88">
        <f t="shared" ca="1" si="54"/>
        <v>0</v>
      </c>
      <c r="CG88">
        <f t="shared" ca="1" si="55"/>
        <v>0</v>
      </c>
      <c r="CH88" s="10">
        <f>分析データ!A88</f>
        <v>45051</v>
      </c>
    </row>
    <row r="89" spans="46:86">
      <c r="AT89" t="str">
        <f ca="1">IF(ROW()&lt;($C$7+1),"",IFERROR((分析データ!B89-AVERAGE(OFFSET(分析データ!B$1,MAX(1,ROW()-$C$7),0,MIN($C$7,ROW()-1),1)))/STDEV(OFFSET(分析データ!B$1,MAX(1,ROW()-$C$7),0,MIN($C$7,ROW()-1),1)),0))</f>
        <v/>
      </c>
      <c r="AU89">
        <f t="shared" ca="1" si="28"/>
        <v>0</v>
      </c>
      <c r="AV89" t="str">
        <f ca="1">IF(AU89=1,IF(INDEX(分析データ!$A:$A,ROW()+$C$5)&lt;&gt;"",80000*SIGN(AT89)*(分析データ!B89-INDEX(分析データ!B:B,ROW()+$C$5)),""),"")</f>
        <v/>
      </c>
      <c r="AW89">
        <f t="shared" ca="1" si="29"/>
        <v>0</v>
      </c>
      <c r="AX89">
        <f t="shared" ca="1" si="30"/>
        <v>0</v>
      </c>
      <c r="AY89">
        <f t="shared" ca="1" si="31"/>
        <v>0</v>
      </c>
      <c r="AZ89" t="str">
        <f ca="1">IF(ROW()&lt;($C$7+1),"",IFERROR((分析データ!C89-AVERAGE(OFFSET(分析データ!C$1,MAX(1,ROW()-$C$7),0,MIN($C$7,ROW()-1),1)))/STDEV(OFFSET(分析データ!C$1,MAX(1,ROW()-$C$7),0,MIN($C$7,ROW()-1),1)),0))</f>
        <v/>
      </c>
      <c r="BA89">
        <f t="shared" ca="1" si="32"/>
        <v>0</v>
      </c>
      <c r="BB89" t="str">
        <f ca="1">IF(BA89=1,IF(INDEX(分析データ!$A:$A,ROW()+$C$5)&lt;&gt;"",60000*SIGN(AZ89)*(分析データ!C89-INDEX(分析データ!C:C,ROW()+$C$5)),""),"")</f>
        <v/>
      </c>
      <c r="BC89">
        <f t="shared" ca="1" si="33"/>
        <v>0</v>
      </c>
      <c r="BD89">
        <f t="shared" ca="1" si="34"/>
        <v>0</v>
      </c>
      <c r="BE89">
        <f t="shared" ca="1" si="35"/>
        <v>0</v>
      </c>
      <c r="BF89" t="str">
        <f ca="1">IF(ROW()&lt;($C$7+1),"",IFERROR((分析データ!D89-AVERAGE(OFFSET(分析データ!D$1,MAX(1,ROW()-$C$7),0,MIN($C$7,ROW()-1),1)))/STDEV(OFFSET(分析データ!D$1,MAX(1,ROW()-$C$7),0,MIN($C$7,ROW()-1),1)),0))</f>
        <v/>
      </c>
      <c r="BG89">
        <f t="shared" ca="1" si="36"/>
        <v>0</v>
      </c>
      <c r="BH89" t="str">
        <f ca="1">IF(BG89=1,IF(INDEX(分析データ!$A:$A,ROW()+$C$5)&lt;&gt;"",50000*SIGN(BF89)*(分析データ!D89-INDEX(分析データ!D:D,ROW()+$C$5)),""),"")</f>
        <v/>
      </c>
      <c r="BI89">
        <f t="shared" ca="1" si="37"/>
        <v>0</v>
      </c>
      <c r="BJ89">
        <f t="shared" ca="1" si="38"/>
        <v>0</v>
      </c>
      <c r="BK89">
        <f t="shared" ca="1" si="39"/>
        <v>0</v>
      </c>
      <c r="BL89" t="str">
        <f ca="1">IF(ROW()&lt;($C$7+1),"",IFERROR((分析データ!E89-AVERAGE(OFFSET(分析データ!E$1,MAX(1,ROW()-$C$7),0,MIN($C$7,ROW()-1),1)))/STDEV(OFFSET(分析データ!E$1,MAX(1,ROW()-$C$7),0,MIN($C$7,ROW()-1),1)),0))</f>
        <v/>
      </c>
      <c r="BM89">
        <f t="shared" ca="1" si="40"/>
        <v>0</v>
      </c>
      <c r="BN89" t="str">
        <f ca="1">IF(BM89=1,IF(INDEX(分析データ!$A:$A,ROW()+$C$5)&lt;&gt;"",40000*SIGN(BL89)*(分析データ!E89-INDEX(分析データ!E:E,ROW()+$C$5)),""),"")</f>
        <v/>
      </c>
      <c r="BO89">
        <f t="shared" ca="1" si="41"/>
        <v>0</v>
      </c>
      <c r="BP89">
        <f t="shared" ca="1" si="42"/>
        <v>0</v>
      </c>
      <c r="BQ89">
        <f t="shared" ca="1" si="43"/>
        <v>0</v>
      </c>
      <c r="BR89" t="str">
        <f ca="1">IF(ROW()&lt;($C$7+1),"",IFERROR((分析データ!F89-AVERAGE(OFFSET(分析データ!F$1,MAX(1,ROW()-$C$7),0,MIN($C$7,ROW()-1),1)))/STDEV(OFFSET(分析データ!F$1,MAX(1,ROW()-$C$7),0,MIN($C$7,ROW()-1),1)),0))</f>
        <v/>
      </c>
      <c r="BS89">
        <f t="shared" ca="1" si="44"/>
        <v>0</v>
      </c>
      <c r="BT89" t="str">
        <f ca="1">IF(BS89=1,IF(INDEX(分析データ!$A:$A,ROW()+$C$5)&lt;&gt;"",40000*SIGN(BR89)*(分析データ!F89-INDEX(分析データ!F:F,ROW()+$C$5)),""),"")</f>
        <v/>
      </c>
      <c r="BU89">
        <f t="shared" ca="1" si="45"/>
        <v>0</v>
      </c>
      <c r="BV89">
        <f t="shared" ca="1" si="46"/>
        <v>0</v>
      </c>
      <c r="BW89">
        <f t="shared" ca="1" si="47"/>
        <v>0</v>
      </c>
      <c r="BX89" t="str">
        <f ca="1">IF(ROW()&lt;($C$7+1),"",IFERROR((分析データ!G89-AVERAGE(OFFSET(分析データ!G$1,MAX(1,ROW()-$C$7),0,MIN($C$7,ROW()-1),1)))/STDEV(OFFSET(分析データ!G$1,MAX(1,ROW()-$C$7),0,MIN($C$7,ROW()-1),1)),0))</f>
        <v/>
      </c>
      <c r="BY89">
        <f t="shared" ca="1" si="48"/>
        <v>0</v>
      </c>
      <c r="BZ89" t="str">
        <f ca="1">IF(BY89=1,IF(INDEX(分析データ!$A:$A,ROW()+$C$5)&lt;&gt;"",40000*SIGN(BX89)*(分析データ!G89-INDEX(分析データ!G:G,ROW()+$C$5)),""),"")</f>
        <v/>
      </c>
      <c r="CA89">
        <f t="shared" ca="1" si="49"/>
        <v>0</v>
      </c>
      <c r="CB89">
        <f t="shared" ca="1" si="50"/>
        <v>0</v>
      </c>
      <c r="CC89">
        <f t="shared" ca="1" si="51"/>
        <v>0</v>
      </c>
      <c r="CD89">
        <f t="shared" ca="1" si="52"/>
        <v>0</v>
      </c>
      <c r="CE89">
        <f t="shared" ca="1" si="53"/>
        <v>0</v>
      </c>
      <c r="CF89">
        <f t="shared" ca="1" si="54"/>
        <v>0</v>
      </c>
      <c r="CG89">
        <f t="shared" ca="1" si="55"/>
        <v>0</v>
      </c>
      <c r="CH89" s="10">
        <f>分析データ!A89</f>
        <v>45054</v>
      </c>
    </row>
    <row r="90" spans="46:86">
      <c r="AT90" t="str">
        <f ca="1">IF(ROW()&lt;($C$7+1),"",IFERROR((分析データ!B90-AVERAGE(OFFSET(分析データ!B$1,MAX(1,ROW()-$C$7),0,MIN($C$7,ROW()-1),1)))/STDEV(OFFSET(分析データ!B$1,MAX(1,ROW()-$C$7),0,MIN($C$7,ROW()-1),1)),0))</f>
        <v/>
      </c>
      <c r="AU90">
        <f t="shared" ca="1" si="28"/>
        <v>0</v>
      </c>
      <c r="AV90" t="str">
        <f ca="1">IF(AU90=1,IF(INDEX(分析データ!$A:$A,ROW()+$C$5)&lt;&gt;"",80000*SIGN(AT90)*(分析データ!B90-INDEX(分析データ!B:B,ROW()+$C$5)),""),"")</f>
        <v/>
      </c>
      <c r="AW90">
        <f t="shared" ca="1" si="29"/>
        <v>0</v>
      </c>
      <c r="AX90">
        <f t="shared" ca="1" si="30"/>
        <v>0</v>
      </c>
      <c r="AY90">
        <f t="shared" ca="1" si="31"/>
        <v>0</v>
      </c>
      <c r="AZ90" t="str">
        <f ca="1">IF(ROW()&lt;($C$7+1),"",IFERROR((分析データ!C90-AVERAGE(OFFSET(分析データ!C$1,MAX(1,ROW()-$C$7),0,MIN($C$7,ROW()-1),1)))/STDEV(OFFSET(分析データ!C$1,MAX(1,ROW()-$C$7),0,MIN($C$7,ROW()-1),1)),0))</f>
        <v/>
      </c>
      <c r="BA90">
        <f t="shared" ca="1" si="32"/>
        <v>0</v>
      </c>
      <c r="BB90" t="str">
        <f ca="1">IF(BA90=1,IF(INDEX(分析データ!$A:$A,ROW()+$C$5)&lt;&gt;"",60000*SIGN(AZ90)*(分析データ!C90-INDEX(分析データ!C:C,ROW()+$C$5)),""),"")</f>
        <v/>
      </c>
      <c r="BC90">
        <f t="shared" ca="1" si="33"/>
        <v>0</v>
      </c>
      <c r="BD90">
        <f t="shared" ca="1" si="34"/>
        <v>0</v>
      </c>
      <c r="BE90">
        <f t="shared" ca="1" si="35"/>
        <v>0</v>
      </c>
      <c r="BF90" t="str">
        <f ca="1">IF(ROW()&lt;($C$7+1),"",IFERROR((分析データ!D90-AVERAGE(OFFSET(分析データ!D$1,MAX(1,ROW()-$C$7),0,MIN($C$7,ROW()-1),1)))/STDEV(OFFSET(分析データ!D$1,MAX(1,ROW()-$C$7),0,MIN($C$7,ROW()-1),1)),0))</f>
        <v/>
      </c>
      <c r="BG90">
        <f t="shared" ca="1" si="36"/>
        <v>0</v>
      </c>
      <c r="BH90" t="str">
        <f ca="1">IF(BG90=1,IF(INDEX(分析データ!$A:$A,ROW()+$C$5)&lt;&gt;"",50000*SIGN(BF90)*(分析データ!D90-INDEX(分析データ!D:D,ROW()+$C$5)),""),"")</f>
        <v/>
      </c>
      <c r="BI90">
        <f t="shared" ca="1" si="37"/>
        <v>0</v>
      </c>
      <c r="BJ90">
        <f t="shared" ca="1" si="38"/>
        <v>0</v>
      </c>
      <c r="BK90">
        <f t="shared" ca="1" si="39"/>
        <v>0</v>
      </c>
      <c r="BL90" t="str">
        <f ca="1">IF(ROW()&lt;($C$7+1),"",IFERROR((分析データ!E90-AVERAGE(OFFSET(分析データ!E$1,MAX(1,ROW()-$C$7),0,MIN($C$7,ROW()-1),1)))/STDEV(OFFSET(分析データ!E$1,MAX(1,ROW()-$C$7),0,MIN($C$7,ROW()-1),1)),0))</f>
        <v/>
      </c>
      <c r="BM90">
        <f t="shared" ca="1" si="40"/>
        <v>0</v>
      </c>
      <c r="BN90" t="str">
        <f ca="1">IF(BM90=1,IF(INDEX(分析データ!$A:$A,ROW()+$C$5)&lt;&gt;"",40000*SIGN(BL90)*(分析データ!E90-INDEX(分析データ!E:E,ROW()+$C$5)),""),"")</f>
        <v/>
      </c>
      <c r="BO90">
        <f t="shared" ca="1" si="41"/>
        <v>0</v>
      </c>
      <c r="BP90">
        <f t="shared" ca="1" si="42"/>
        <v>0</v>
      </c>
      <c r="BQ90">
        <f t="shared" ca="1" si="43"/>
        <v>0</v>
      </c>
      <c r="BR90" t="str">
        <f ca="1">IF(ROW()&lt;($C$7+1),"",IFERROR((分析データ!F90-AVERAGE(OFFSET(分析データ!F$1,MAX(1,ROW()-$C$7),0,MIN($C$7,ROW()-1),1)))/STDEV(OFFSET(分析データ!F$1,MAX(1,ROW()-$C$7),0,MIN($C$7,ROW()-1),1)),0))</f>
        <v/>
      </c>
      <c r="BS90">
        <f t="shared" ca="1" si="44"/>
        <v>0</v>
      </c>
      <c r="BT90" t="str">
        <f ca="1">IF(BS90=1,IF(INDEX(分析データ!$A:$A,ROW()+$C$5)&lt;&gt;"",40000*SIGN(BR90)*(分析データ!F90-INDEX(分析データ!F:F,ROW()+$C$5)),""),"")</f>
        <v/>
      </c>
      <c r="BU90">
        <f t="shared" ca="1" si="45"/>
        <v>0</v>
      </c>
      <c r="BV90">
        <f t="shared" ca="1" si="46"/>
        <v>0</v>
      </c>
      <c r="BW90">
        <f t="shared" ca="1" si="47"/>
        <v>0</v>
      </c>
      <c r="BX90" t="str">
        <f ca="1">IF(ROW()&lt;($C$7+1),"",IFERROR((分析データ!G90-AVERAGE(OFFSET(分析データ!G$1,MAX(1,ROW()-$C$7),0,MIN($C$7,ROW()-1),1)))/STDEV(OFFSET(分析データ!G$1,MAX(1,ROW()-$C$7),0,MIN($C$7,ROW()-1),1)),0))</f>
        <v/>
      </c>
      <c r="BY90">
        <f t="shared" ca="1" si="48"/>
        <v>0</v>
      </c>
      <c r="BZ90" t="str">
        <f ca="1">IF(BY90=1,IF(INDEX(分析データ!$A:$A,ROW()+$C$5)&lt;&gt;"",40000*SIGN(BX90)*(分析データ!G90-INDEX(分析データ!G:G,ROW()+$C$5)),""),"")</f>
        <v/>
      </c>
      <c r="CA90">
        <f t="shared" ca="1" si="49"/>
        <v>0</v>
      </c>
      <c r="CB90">
        <f t="shared" ca="1" si="50"/>
        <v>0</v>
      </c>
      <c r="CC90">
        <f t="shared" ca="1" si="51"/>
        <v>0</v>
      </c>
      <c r="CD90">
        <f t="shared" ca="1" si="52"/>
        <v>0</v>
      </c>
      <c r="CE90">
        <f t="shared" ca="1" si="53"/>
        <v>0</v>
      </c>
      <c r="CF90">
        <f t="shared" ca="1" si="54"/>
        <v>0</v>
      </c>
      <c r="CG90">
        <f t="shared" ca="1" si="55"/>
        <v>0</v>
      </c>
      <c r="CH90" s="10">
        <f>分析データ!A90</f>
        <v>45055</v>
      </c>
    </row>
    <row r="91" spans="46:86">
      <c r="AT91" t="str">
        <f ca="1">IF(ROW()&lt;($C$7+1),"",IFERROR((分析データ!B91-AVERAGE(OFFSET(分析データ!B$1,MAX(1,ROW()-$C$7),0,MIN($C$7,ROW()-1),1)))/STDEV(OFFSET(分析データ!B$1,MAX(1,ROW()-$C$7),0,MIN($C$7,ROW()-1),1)),0))</f>
        <v/>
      </c>
      <c r="AU91">
        <f t="shared" ca="1" si="28"/>
        <v>0</v>
      </c>
      <c r="AV91" t="str">
        <f ca="1">IF(AU91=1,IF(INDEX(分析データ!$A:$A,ROW()+$C$5)&lt;&gt;"",80000*SIGN(AT91)*(分析データ!B91-INDEX(分析データ!B:B,ROW()+$C$5)),""),"")</f>
        <v/>
      </c>
      <c r="AW91">
        <f t="shared" ca="1" si="29"/>
        <v>0</v>
      </c>
      <c r="AX91">
        <f t="shared" ca="1" si="30"/>
        <v>0</v>
      </c>
      <c r="AY91">
        <f t="shared" ca="1" si="31"/>
        <v>0</v>
      </c>
      <c r="AZ91" t="str">
        <f ca="1">IF(ROW()&lt;($C$7+1),"",IFERROR((分析データ!C91-AVERAGE(OFFSET(分析データ!C$1,MAX(1,ROW()-$C$7),0,MIN($C$7,ROW()-1),1)))/STDEV(OFFSET(分析データ!C$1,MAX(1,ROW()-$C$7),0,MIN($C$7,ROW()-1),1)),0))</f>
        <v/>
      </c>
      <c r="BA91">
        <f t="shared" ca="1" si="32"/>
        <v>0</v>
      </c>
      <c r="BB91" t="str">
        <f ca="1">IF(BA91=1,IF(INDEX(分析データ!$A:$A,ROW()+$C$5)&lt;&gt;"",60000*SIGN(AZ91)*(分析データ!C91-INDEX(分析データ!C:C,ROW()+$C$5)),""),"")</f>
        <v/>
      </c>
      <c r="BC91">
        <f t="shared" ca="1" si="33"/>
        <v>0</v>
      </c>
      <c r="BD91">
        <f t="shared" ca="1" si="34"/>
        <v>0</v>
      </c>
      <c r="BE91">
        <f t="shared" ca="1" si="35"/>
        <v>0</v>
      </c>
      <c r="BF91" t="str">
        <f ca="1">IF(ROW()&lt;($C$7+1),"",IFERROR((分析データ!D91-AVERAGE(OFFSET(分析データ!D$1,MAX(1,ROW()-$C$7),0,MIN($C$7,ROW()-1),1)))/STDEV(OFFSET(分析データ!D$1,MAX(1,ROW()-$C$7),0,MIN($C$7,ROW()-1),1)),0))</f>
        <v/>
      </c>
      <c r="BG91">
        <f t="shared" ca="1" si="36"/>
        <v>0</v>
      </c>
      <c r="BH91" t="str">
        <f ca="1">IF(BG91=1,IF(INDEX(分析データ!$A:$A,ROW()+$C$5)&lt;&gt;"",50000*SIGN(BF91)*(分析データ!D91-INDEX(分析データ!D:D,ROW()+$C$5)),""),"")</f>
        <v/>
      </c>
      <c r="BI91">
        <f t="shared" ca="1" si="37"/>
        <v>0</v>
      </c>
      <c r="BJ91">
        <f t="shared" ca="1" si="38"/>
        <v>0</v>
      </c>
      <c r="BK91">
        <f t="shared" ca="1" si="39"/>
        <v>0</v>
      </c>
      <c r="BL91" t="str">
        <f ca="1">IF(ROW()&lt;($C$7+1),"",IFERROR((分析データ!E91-AVERAGE(OFFSET(分析データ!E$1,MAX(1,ROW()-$C$7),0,MIN($C$7,ROW()-1),1)))/STDEV(OFFSET(分析データ!E$1,MAX(1,ROW()-$C$7),0,MIN($C$7,ROW()-1),1)),0))</f>
        <v/>
      </c>
      <c r="BM91">
        <f t="shared" ca="1" si="40"/>
        <v>0</v>
      </c>
      <c r="BN91" t="str">
        <f ca="1">IF(BM91=1,IF(INDEX(分析データ!$A:$A,ROW()+$C$5)&lt;&gt;"",40000*SIGN(BL91)*(分析データ!E91-INDEX(分析データ!E:E,ROW()+$C$5)),""),"")</f>
        <v/>
      </c>
      <c r="BO91">
        <f t="shared" ca="1" si="41"/>
        <v>0</v>
      </c>
      <c r="BP91">
        <f t="shared" ca="1" si="42"/>
        <v>0</v>
      </c>
      <c r="BQ91">
        <f t="shared" ca="1" si="43"/>
        <v>0</v>
      </c>
      <c r="BR91" t="str">
        <f ca="1">IF(ROW()&lt;($C$7+1),"",IFERROR((分析データ!F91-AVERAGE(OFFSET(分析データ!F$1,MAX(1,ROW()-$C$7),0,MIN($C$7,ROW()-1),1)))/STDEV(OFFSET(分析データ!F$1,MAX(1,ROW()-$C$7),0,MIN($C$7,ROW()-1),1)),0))</f>
        <v/>
      </c>
      <c r="BS91">
        <f t="shared" ca="1" si="44"/>
        <v>0</v>
      </c>
      <c r="BT91" t="str">
        <f ca="1">IF(BS91=1,IF(INDEX(分析データ!$A:$A,ROW()+$C$5)&lt;&gt;"",40000*SIGN(BR91)*(分析データ!F91-INDEX(分析データ!F:F,ROW()+$C$5)),""),"")</f>
        <v/>
      </c>
      <c r="BU91">
        <f t="shared" ca="1" si="45"/>
        <v>0</v>
      </c>
      <c r="BV91">
        <f t="shared" ca="1" si="46"/>
        <v>0</v>
      </c>
      <c r="BW91">
        <f t="shared" ca="1" si="47"/>
        <v>0</v>
      </c>
      <c r="BX91" t="str">
        <f ca="1">IF(ROW()&lt;($C$7+1),"",IFERROR((分析データ!G91-AVERAGE(OFFSET(分析データ!G$1,MAX(1,ROW()-$C$7),0,MIN($C$7,ROW()-1),1)))/STDEV(OFFSET(分析データ!G$1,MAX(1,ROW()-$C$7),0,MIN($C$7,ROW()-1),1)),0))</f>
        <v/>
      </c>
      <c r="BY91">
        <f t="shared" ca="1" si="48"/>
        <v>0</v>
      </c>
      <c r="BZ91" t="str">
        <f ca="1">IF(BY91=1,IF(INDEX(分析データ!$A:$A,ROW()+$C$5)&lt;&gt;"",40000*SIGN(BX91)*(分析データ!G91-INDEX(分析データ!G:G,ROW()+$C$5)),""),"")</f>
        <v/>
      </c>
      <c r="CA91">
        <f t="shared" ca="1" si="49"/>
        <v>0</v>
      </c>
      <c r="CB91">
        <f t="shared" ca="1" si="50"/>
        <v>0</v>
      </c>
      <c r="CC91">
        <f t="shared" ca="1" si="51"/>
        <v>0</v>
      </c>
      <c r="CD91">
        <f t="shared" ca="1" si="52"/>
        <v>0</v>
      </c>
      <c r="CE91">
        <f t="shared" ca="1" si="53"/>
        <v>0</v>
      </c>
      <c r="CF91">
        <f t="shared" ca="1" si="54"/>
        <v>0</v>
      </c>
      <c r="CG91">
        <f t="shared" ca="1" si="55"/>
        <v>0</v>
      </c>
      <c r="CH91" s="10">
        <f>分析データ!A91</f>
        <v>45056</v>
      </c>
    </row>
    <row r="92" spans="46:86">
      <c r="AT92" t="str">
        <f ca="1">IF(ROW()&lt;($C$7+1),"",IFERROR((分析データ!B92-AVERAGE(OFFSET(分析データ!B$1,MAX(1,ROW()-$C$7),0,MIN($C$7,ROW()-1),1)))/STDEV(OFFSET(分析データ!B$1,MAX(1,ROW()-$C$7),0,MIN($C$7,ROW()-1),1)),0))</f>
        <v/>
      </c>
      <c r="AU92">
        <f t="shared" ca="1" si="28"/>
        <v>0</v>
      </c>
      <c r="AV92" t="str">
        <f ca="1">IF(AU92=1,IF(INDEX(分析データ!$A:$A,ROW()+$C$5)&lt;&gt;"",80000*SIGN(AT92)*(分析データ!B92-INDEX(分析データ!B:B,ROW()+$C$5)),""),"")</f>
        <v/>
      </c>
      <c r="AW92">
        <f t="shared" ca="1" si="29"/>
        <v>0</v>
      </c>
      <c r="AX92">
        <f t="shared" ca="1" si="30"/>
        <v>0</v>
      </c>
      <c r="AY92">
        <f t="shared" ca="1" si="31"/>
        <v>0</v>
      </c>
      <c r="AZ92" t="str">
        <f ca="1">IF(ROW()&lt;($C$7+1),"",IFERROR((分析データ!C92-AVERAGE(OFFSET(分析データ!C$1,MAX(1,ROW()-$C$7),0,MIN($C$7,ROW()-1),1)))/STDEV(OFFSET(分析データ!C$1,MAX(1,ROW()-$C$7),0,MIN($C$7,ROW()-1),1)),0))</f>
        <v/>
      </c>
      <c r="BA92">
        <f t="shared" ca="1" si="32"/>
        <v>0</v>
      </c>
      <c r="BB92" t="str">
        <f ca="1">IF(BA92=1,IF(INDEX(分析データ!$A:$A,ROW()+$C$5)&lt;&gt;"",60000*SIGN(AZ92)*(分析データ!C92-INDEX(分析データ!C:C,ROW()+$C$5)),""),"")</f>
        <v/>
      </c>
      <c r="BC92">
        <f t="shared" ca="1" si="33"/>
        <v>0</v>
      </c>
      <c r="BD92">
        <f t="shared" ca="1" si="34"/>
        <v>0</v>
      </c>
      <c r="BE92">
        <f t="shared" ca="1" si="35"/>
        <v>0</v>
      </c>
      <c r="BF92" t="str">
        <f ca="1">IF(ROW()&lt;($C$7+1),"",IFERROR((分析データ!D92-AVERAGE(OFFSET(分析データ!D$1,MAX(1,ROW()-$C$7),0,MIN($C$7,ROW()-1),1)))/STDEV(OFFSET(分析データ!D$1,MAX(1,ROW()-$C$7),0,MIN($C$7,ROW()-1),1)),0))</f>
        <v/>
      </c>
      <c r="BG92">
        <f t="shared" ca="1" si="36"/>
        <v>0</v>
      </c>
      <c r="BH92" t="str">
        <f ca="1">IF(BG92=1,IF(INDEX(分析データ!$A:$A,ROW()+$C$5)&lt;&gt;"",50000*SIGN(BF92)*(分析データ!D92-INDEX(分析データ!D:D,ROW()+$C$5)),""),"")</f>
        <v/>
      </c>
      <c r="BI92">
        <f t="shared" ca="1" si="37"/>
        <v>0</v>
      </c>
      <c r="BJ92">
        <f t="shared" ca="1" si="38"/>
        <v>0</v>
      </c>
      <c r="BK92">
        <f t="shared" ca="1" si="39"/>
        <v>0</v>
      </c>
      <c r="BL92" t="str">
        <f ca="1">IF(ROW()&lt;($C$7+1),"",IFERROR((分析データ!E92-AVERAGE(OFFSET(分析データ!E$1,MAX(1,ROW()-$C$7),0,MIN($C$7,ROW()-1),1)))/STDEV(OFFSET(分析データ!E$1,MAX(1,ROW()-$C$7),0,MIN($C$7,ROW()-1),1)),0))</f>
        <v/>
      </c>
      <c r="BM92">
        <f t="shared" ca="1" si="40"/>
        <v>0</v>
      </c>
      <c r="BN92" t="str">
        <f ca="1">IF(BM92=1,IF(INDEX(分析データ!$A:$A,ROW()+$C$5)&lt;&gt;"",40000*SIGN(BL92)*(分析データ!E92-INDEX(分析データ!E:E,ROW()+$C$5)),""),"")</f>
        <v/>
      </c>
      <c r="BO92">
        <f t="shared" ca="1" si="41"/>
        <v>0</v>
      </c>
      <c r="BP92">
        <f t="shared" ca="1" si="42"/>
        <v>0</v>
      </c>
      <c r="BQ92">
        <f t="shared" ca="1" si="43"/>
        <v>0</v>
      </c>
      <c r="BR92" t="str">
        <f ca="1">IF(ROW()&lt;($C$7+1),"",IFERROR((分析データ!F92-AVERAGE(OFFSET(分析データ!F$1,MAX(1,ROW()-$C$7),0,MIN($C$7,ROW()-1),1)))/STDEV(OFFSET(分析データ!F$1,MAX(1,ROW()-$C$7),0,MIN($C$7,ROW()-1),1)),0))</f>
        <v/>
      </c>
      <c r="BS92">
        <f t="shared" ca="1" si="44"/>
        <v>0</v>
      </c>
      <c r="BT92" t="str">
        <f ca="1">IF(BS92=1,IF(INDEX(分析データ!$A:$A,ROW()+$C$5)&lt;&gt;"",40000*SIGN(BR92)*(分析データ!F92-INDEX(分析データ!F:F,ROW()+$C$5)),""),"")</f>
        <v/>
      </c>
      <c r="BU92">
        <f t="shared" ca="1" si="45"/>
        <v>0</v>
      </c>
      <c r="BV92">
        <f t="shared" ca="1" si="46"/>
        <v>0</v>
      </c>
      <c r="BW92">
        <f t="shared" ca="1" si="47"/>
        <v>0</v>
      </c>
      <c r="BX92" t="str">
        <f ca="1">IF(ROW()&lt;($C$7+1),"",IFERROR((分析データ!G92-AVERAGE(OFFSET(分析データ!G$1,MAX(1,ROW()-$C$7),0,MIN($C$7,ROW()-1),1)))/STDEV(OFFSET(分析データ!G$1,MAX(1,ROW()-$C$7),0,MIN($C$7,ROW()-1),1)),0))</f>
        <v/>
      </c>
      <c r="BY92">
        <f t="shared" ca="1" si="48"/>
        <v>0</v>
      </c>
      <c r="BZ92" t="str">
        <f ca="1">IF(BY92=1,IF(INDEX(分析データ!$A:$A,ROW()+$C$5)&lt;&gt;"",40000*SIGN(BX92)*(分析データ!G92-INDEX(分析データ!G:G,ROW()+$C$5)),""),"")</f>
        <v/>
      </c>
      <c r="CA92">
        <f t="shared" ca="1" si="49"/>
        <v>0</v>
      </c>
      <c r="CB92">
        <f t="shared" ca="1" si="50"/>
        <v>0</v>
      </c>
      <c r="CC92">
        <f t="shared" ca="1" si="51"/>
        <v>0</v>
      </c>
      <c r="CD92">
        <f t="shared" ca="1" si="52"/>
        <v>0</v>
      </c>
      <c r="CE92">
        <f t="shared" ca="1" si="53"/>
        <v>0</v>
      </c>
      <c r="CF92">
        <f t="shared" ca="1" si="54"/>
        <v>0</v>
      </c>
      <c r="CG92">
        <f t="shared" ca="1" si="55"/>
        <v>0</v>
      </c>
      <c r="CH92" s="10">
        <f>分析データ!A92</f>
        <v>45057</v>
      </c>
    </row>
    <row r="93" spans="46:86">
      <c r="AT93" t="str">
        <f ca="1">IF(ROW()&lt;($C$7+1),"",IFERROR((分析データ!B93-AVERAGE(OFFSET(分析データ!B$1,MAX(1,ROW()-$C$7),0,MIN($C$7,ROW()-1),1)))/STDEV(OFFSET(分析データ!B$1,MAX(1,ROW()-$C$7),0,MIN($C$7,ROW()-1),1)),0))</f>
        <v/>
      </c>
      <c r="AU93">
        <f t="shared" ca="1" si="28"/>
        <v>0</v>
      </c>
      <c r="AV93" t="str">
        <f ca="1">IF(AU93=1,IF(INDEX(分析データ!$A:$A,ROW()+$C$5)&lt;&gt;"",80000*SIGN(AT93)*(分析データ!B93-INDEX(分析データ!B:B,ROW()+$C$5)),""),"")</f>
        <v/>
      </c>
      <c r="AW93">
        <f t="shared" ca="1" si="29"/>
        <v>0</v>
      </c>
      <c r="AX93">
        <f t="shared" ca="1" si="30"/>
        <v>0</v>
      </c>
      <c r="AY93">
        <f t="shared" ca="1" si="31"/>
        <v>0</v>
      </c>
      <c r="AZ93" t="str">
        <f ca="1">IF(ROW()&lt;($C$7+1),"",IFERROR((分析データ!C93-AVERAGE(OFFSET(分析データ!C$1,MAX(1,ROW()-$C$7),0,MIN($C$7,ROW()-1),1)))/STDEV(OFFSET(分析データ!C$1,MAX(1,ROW()-$C$7),0,MIN($C$7,ROW()-1),1)),0))</f>
        <v/>
      </c>
      <c r="BA93">
        <f t="shared" ca="1" si="32"/>
        <v>0</v>
      </c>
      <c r="BB93" t="str">
        <f ca="1">IF(BA93=1,IF(INDEX(分析データ!$A:$A,ROW()+$C$5)&lt;&gt;"",60000*SIGN(AZ93)*(分析データ!C93-INDEX(分析データ!C:C,ROW()+$C$5)),""),"")</f>
        <v/>
      </c>
      <c r="BC93">
        <f t="shared" ca="1" si="33"/>
        <v>0</v>
      </c>
      <c r="BD93">
        <f t="shared" ca="1" si="34"/>
        <v>0</v>
      </c>
      <c r="BE93">
        <f t="shared" ca="1" si="35"/>
        <v>0</v>
      </c>
      <c r="BF93" t="str">
        <f ca="1">IF(ROW()&lt;($C$7+1),"",IFERROR((分析データ!D93-AVERAGE(OFFSET(分析データ!D$1,MAX(1,ROW()-$C$7),0,MIN($C$7,ROW()-1),1)))/STDEV(OFFSET(分析データ!D$1,MAX(1,ROW()-$C$7),0,MIN($C$7,ROW()-1),1)),0))</f>
        <v/>
      </c>
      <c r="BG93">
        <f t="shared" ca="1" si="36"/>
        <v>0</v>
      </c>
      <c r="BH93" t="str">
        <f ca="1">IF(BG93=1,IF(INDEX(分析データ!$A:$A,ROW()+$C$5)&lt;&gt;"",50000*SIGN(BF93)*(分析データ!D93-INDEX(分析データ!D:D,ROW()+$C$5)),""),"")</f>
        <v/>
      </c>
      <c r="BI93">
        <f t="shared" ca="1" si="37"/>
        <v>0</v>
      </c>
      <c r="BJ93">
        <f t="shared" ca="1" si="38"/>
        <v>0</v>
      </c>
      <c r="BK93">
        <f t="shared" ca="1" si="39"/>
        <v>0</v>
      </c>
      <c r="BL93" t="str">
        <f ca="1">IF(ROW()&lt;($C$7+1),"",IFERROR((分析データ!E93-AVERAGE(OFFSET(分析データ!E$1,MAX(1,ROW()-$C$7),0,MIN($C$7,ROW()-1),1)))/STDEV(OFFSET(分析データ!E$1,MAX(1,ROW()-$C$7),0,MIN($C$7,ROW()-1),1)),0))</f>
        <v/>
      </c>
      <c r="BM93">
        <f t="shared" ca="1" si="40"/>
        <v>0</v>
      </c>
      <c r="BN93" t="str">
        <f ca="1">IF(BM93=1,IF(INDEX(分析データ!$A:$A,ROW()+$C$5)&lt;&gt;"",40000*SIGN(BL93)*(分析データ!E93-INDEX(分析データ!E:E,ROW()+$C$5)),""),"")</f>
        <v/>
      </c>
      <c r="BO93">
        <f t="shared" ca="1" si="41"/>
        <v>0</v>
      </c>
      <c r="BP93">
        <f t="shared" ca="1" si="42"/>
        <v>0</v>
      </c>
      <c r="BQ93">
        <f t="shared" ca="1" si="43"/>
        <v>0</v>
      </c>
      <c r="BR93" t="str">
        <f ca="1">IF(ROW()&lt;($C$7+1),"",IFERROR((分析データ!F93-AVERAGE(OFFSET(分析データ!F$1,MAX(1,ROW()-$C$7),0,MIN($C$7,ROW()-1),1)))/STDEV(OFFSET(分析データ!F$1,MAX(1,ROW()-$C$7),0,MIN($C$7,ROW()-1),1)),0))</f>
        <v/>
      </c>
      <c r="BS93">
        <f t="shared" ca="1" si="44"/>
        <v>0</v>
      </c>
      <c r="BT93" t="str">
        <f ca="1">IF(BS93=1,IF(INDEX(分析データ!$A:$A,ROW()+$C$5)&lt;&gt;"",40000*SIGN(BR93)*(分析データ!F93-INDEX(分析データ!F:F,ROW()+$C$5)),""),"")</f>
        <v/>
      </c>
      <c r="BU93">
        <f t="shared" ca="1" si="45"/>
        <v>0</v>
      </c>
      <c r="BV93">
        <f t="shared" ca="1" si="46"/>
        <v>0</v>
      </c>
      <c r="BW93">
        <f t="shared" ca="1" si="47"/>
        <v>0</v>
      </c>
      <c r="BX93" t="str">
        <f ca="1">IF(ROW()&lt;($C$7+1),"",IFERROR((分析データ!G93-AVERAGE(OFFSET(分析データ!G$1,MAX(1,ROW()-$C$7),0,MIN($C$7,ROW()-1),1)))/STDEV(OFFSET(分析データ!G$1,MAX(1,ROW()-$C$7),0,MIN($C$7,ROW()-1),1)),0))</f>
        <v/>
      </c>
      <c r="BY93">
        <f t="shared" ca="1" si="48"/>
        <v>0</v>
      </c>
      <c r="BZ93" t="str">
        <f ca="1">IF(BY93=1,IF(INDEX(分析データ!$A:$A,ROW()+$C$5)&lt;&gt;"",40000*SIGN(BX93)*(分析データ!G93-INDEX(分析データ!G:G,ROW()+$C$5)),""),"")</f>
        <v/>
      </c>
      <c r="CA93">
        <f t="shared" ca="1" si="49"/>
        <v>0</v>
      </c>
      <c r="CB93">
        <f t="shared" ca="1" si="50"/>
        <v>0</v>
      </c>
      <c r="CC93">
        <f t="shared" ca="1" si="51"/>
        <v>0</v>
      </c>
      <c r="CD93">
        <f t="shared" ca="1" si="52"/>
        <v>0</v>
      </c>
      <c r="CE93">
        <f t="shared" ca="1" si="53"/>
        <v>0</v>
      </c>
      <c r="CF93">
        <f t="shared" ca="1" si="54"/>
        <v>0</v>
      </c>
      <c r="CG93">
        <f t="shared" ca="1" si="55"/>
        <v>0</v>
      </c>
      <c r="CH93" s="10">
        <f>分析データ!A93</f>
        <v>45058</v>
      </c>
    </row>
    <row r="94" spans="46:86">
      <c r="AT94" t="str">
        <f ca="1">IF(ROW()&lt;($C$7+1),"",IFERROR((分析データ!B94-AVERAGE(OFFSET(分析データ!B$1,MAX(1,ROW()-$C$7),0,MIN($C$7,ROW()-1),1)))/STDEV(OFFSET(分析データ!B$1,MAX(1,ROW()-$C$7),0,MIN($C$7,ROW()-1),1)),0))</f>
        <v/>
      </c>
      <c r="AU94">
        <f t="shared" ca="1" si="28"/>
        <v>0</v>
      </c>
      <c r="AV94" t="str">
        <f ca="1">IF(AU94=1,IF(INDEX(分析データ!$A:$A,ROW()+$C$5)&lt;&gt;"",80000*SIGN(AT94)*(分析データ!B94-INDEX(分析データ!B:B,ROW()+$C$5)),""),"")</f>
        <v/>
      </c>
      <c r="AW94">
        <f t="shared" ca="1" si="29"/>
        <v>0</v>
      </c>
      <c r="AX94">
        <f t="shared" ca="1" si="30"/>
        <v>0</v>
      </c>
      <c r="AY94">
        <f t="shared" ca="1" si="31"/>
        <v>0</v>
      </c>
      <c r="AZ94" t="str">
        <f ca="1">IF(ROW()&lt;($C$7+1),"",IFERROR((分析データ!C94-AVERAGE(OFFSET(分析データ!C$1,MAX(1,ROW()-$C$7),0,MIN($C$7,ROW()-1),1)))/STDEV(OFFSET(分析データ!C$1,MAX(1,ROW()-$C$7),0,MIN($C$7,ROW()-1),1)),0))</f>
        <v/>
      </c>
      <c r="BA94">
        <f t="shared" ca="1" si="32"/>
        <v>0</v>
      </c>
      <c r="BB94" t="str">
        <f ca="1">IF(BA94=1,IF(INDEX(分析データ!$A:$A,ROW()+$C$5)&lt;&gt;"",60000*SIGN(AZ94)*(分析データ!C94-INDEX(分析データ!C:C,ROW()+$C$5)),""),"")</f>
        <v/>
      </c>
      <c r="BC94">
        <f t="shared" ca="1" si="33"/>
        <v>0</v>
      </c>
      <c r="BD94">
        <f t="shared" ca="1" si="34"/>
        <v>0</v>
      </c>
      <c r="BE94">
        <f t="shared" ca="1" si="35"/>
        <v>0</v>
      </c>
      <c r="BF94" t="str">
        <f ca="1">IF(ROW()&lt;($C$7+1),"",IFERROR((分析データ!D94-AVERAGE(OFFSET(分析データ!D$1,MAX(1,ROW()-$C$7),0,MIN($C$7,ROW()-1),1)))/STDEV(OFFSET(分析データ!D$1,MAX(1,ROW()-$C$7),0,MIN($C$7,ROW()-1),1)),0))</f>
        <v/>
      </c>
      <c r="BG94">
        <f t="shared" ca="1" si="36"/>
        <v>0</v>
      </c>
      <c r="BH94" t="str">
        <f ca="1">IF(BG94=1,IF(INDEX(分析データ!$A:$A,ROW()+$C$5)&lt;&gt;"",50000*SIGN(BF94)*(分析データ!D94-INDEX(分析データ!D:D,ROW()+$C$5)),""),"")</f>
        <v/>
      </c>
      <c r="BI94">
        <f t="shared" ca="1" si="37"/>
        <v>0</v>
      </c>
      <c r="BJ94">
        <f t="shared" ca="1" si="38"/>
        <v>0</v>
      </c>
      <c r="BK94">
        <f t="shared" ca="1" si="39"/>
        <v>0</v>
      </c>
      <c r="BL94" t="str">
        <f ca="1">IF(ROW()&lt;($C$7+1),"",IFERROR((分析データ!E94-AVERAGE(OFFSET(分析データ!E$1,MAX(1,ROW()-$C$7),0,MIN($C$7,ROW()-1),1)))/STDEV(OFFSET(分析データ!E$1,MAX(1,ROW()-$C$7),0,MIN($C$7,ROW()-1),1)),0))</f>
        <v/>
      </c>
      <c r="BM94">
        <f t="shared" ca="1" si="40"/>
        <v>0</v>
      </c>
      <c r="BN94" t="str">
        <f ca="1">IF(BM94=1,IF(INDEX(分析データ!$A:$A,ROW()+$C$5)&lt;&gt;"",40000*SIGN(BL94)*(分析データ!E94-INDEX(分析データ!E:E,ROW()+$C$5)),""),"")</f>
        <v/>
      </c>
      <c r="BO94">
        <f t="shared" ca="1" si="41"/>
        <v>0</v>
      </c>
      <c r="BP94">
        <f t="shared" ca="1" si="42"/>
        <v>0</v>
      </c>
      <c r="BQ94">
        <f t="shared" ca="1" si="43"/>
        <v>0</v>
      </c>
      <c r="BR94" t="str">
        <f ca="1">IF(ROW()&lt;($C$7+1),"",IFERROR((分析データ!F94-AVERAGE(OFFSET(分析データ!F$1,MAX(1,ROW()-$C$7),0,MIN($C$7,ROW()-1),1)))/STDEV(OFFSET(分析データ!F$1,MAX(1,ROW()-$C$7),0,MIN($C$7,ROW()-1),1)),0))</f>
        <v/>
      </c>
      <c r="BS94">
        <f t="shared" ca="1" si="44"/>
        <v>0</v>
      </c>
      <c r="BT94" t="str">
        <f ca="1">IF(BS94=1,IF(INDEX(分析データ!$A:$A,ROW()+$C$5)&lt;&gt;"",40000*SIGN(BR94)*(分析データ!F94-INDEX(分析データ!F:F,ROW()+$C$5)),""),"")</f>
        <v/>
      </c>
      <c r="BU94">
        <f t="shared" ca="1" si="45"/>
        <v>0</v>
      </c>
      <c r="BV94">
        <f t="shared" ca="1" si="46"/>
        <v>0</v>
      </c>
      <c r="BW94">
        <f t="shared" ca="1" si="47"/>
        <v>0</v>
      </c>
      <c r="BX94" t="str">
        <f ca="1">IF(ROW()&lt;($C$7+1),"",IFERROR((分析データ!G94-AVERAGE(OFFSET(分析データ!G$1,MAX(1,ROW()-$C$7),0,MIN($C$7,ROW()-1),1)))/STDEV(OFFSET(分析データ!G$1,MAX(1,ROW()-$C$7),0,MIN($C$7,ROW()-1),1)),0))</f>
        <v/>
      </c>
      <c r="BY94">
        <f t="shared" ca="1" si="48"/>
        <v>0</v>
      </c>
      <c r="BZ94" t="str">
        <f ca="1">IF(BY94=1,IF(INDEX(分析データ!$A:$A,ROW()+$C$5)&lt;&gt;"",40000*SIGN(BX94)*(分析データ!G94-INDEX(分析データ!G:G,ROW()+$C$5)),""),"")</f>
        <v/>
      </c>
      <c r="CA94">
        <f t="shared" ca="1" si="49"/>
        <v>0</v>
      </c>
      <c r="CB94">
        <f t="shared" ca="1" si="50"/>
        <v>0</v>
      </c>
      <c r="CC94">
        <f t="shared" ca="1" si="51"/>
        <v>0</v>
      </c>
      <c r="CD94">
        <f t="shared" ca="1" si="52"/>
        <v>0</v>
      </c>
      <c r="CE94">
        <f t="shared" ca="1" si="53"/>
        <v>0</v>
      </c>
      <c r="CF94">
        <f t="shared" ca="1" si="54"/>
        <v>0</v>
      </c>
      <c r="CG94">
        <f t="shared" ca="1" si="55"/>
        <v>0</v>
      </c>
      <c r="CH94" s="10">
        <f>分析データ!A94</f>
        <v>45061</v>
      </c>
    </row>
    <row r="95" spans="46:86">
      <c r="AT95" t="str">
        <f ca="1">IF(ROW()&lt;($C$7+1),"",IFERROR((分析データ!B95-AVERAGE(OFFSET(分析データ!B$1,MAX(1,ROW()-$C$7),0,MIN($C$7,ROW()-1),1)))/STDEV(OFFSET(分析データ!B$1,MAX(1,ROW()-$C$7),0,MIN($C$7,ROW()-1),1)),0))</f>
        <v/>
      </c>
      <c r="AU95">
        <f t="shared" ca="1" si="28"/>
        <v>0</v>
      </c>
      <c r="AV95" t="str">
        <f ca="1">IF(AU95=1,IF(INDEX(分析データ!$A:$A,ROW()+$C$5)&lt;&gt;"",80000*SIGN(AT95)*(分析データ!B95-INDEX(分析データ!B:B,ROW()+$C$5)),""),"")</f>
        <v/>
      </c>
      <c r="AW95">
        <f t="shared" ca="1" si="29"/>
        <v>0</v>
      </c>
      <c r="AX95">
        <f t="shared" ca="1" si="30"/>
        <v>0</v>
      </c>
      <c r="AY95">
        <f t="shared" ca="1" si="31"/>
        <v>0</v>
      </c>
      <c r="AZ95" t="str">
        <f ca="1">IF(ROW()&lt;($C$7+1),"",IFERROR((分析データ!C95-AVERAGE(OFFSET(分析データ!C$1,MAX(1,ROW()-$C$7),0,MIN($C$7,ROW()-1),1)))/STDEV(OFFSET(分析データ!C$1,MAX(1,ROW()-$C$7),0,MIN($C$7,ROW()-1),1)),0))</f>
        <v/>
      </c>
      <c r="BA95">
        <f t="shared" ca="1" si="32"/>
        <v>0</v>
      </c>
      <c r="BB95" t="str">
        <f ca="1">IF(BA95=1,IF(INDEX(分析データ!$A:$A,ROW()+$C$5)&lt;&gt;"",60000*SIGN(AZ95)*(分析データ!C95-INDEX(分析データ!C:C,ROW()+$C$5)),""),"")</f>
        <v/>
      </c>
      <c r="BC95">
        <f t="shared" ca="1" si="33"/>
        <v>0</v>
      </c>
      <c r="BD95">
        <f t="shared" ca="1" si="34"/>
        <v>0</v>
      </c>
      <c r="BE95">
        <f t="shared" ca="1" si="35"/>
        <v>0</v>
      </c>
      <c r="BF95" t="str">
        <f ca="1">IF(ROW()&lt;($C$7+1),"",IFERROR((分析データ!D95-AVERAGE(OFFSET(分析データ!D$1,MAX(1,ROW()-$C$7),0,MIN($C$7,ROW()-1),1)))/STDEV(OFFSET(分析データ!D$1,MAX(1,ROW()-$C$7),0,MIN($C$7,ROW()-1),1)),0))</f>
        <v/>
      </c>
      <c r="BG95">
        <f t="shared" ca="1" si="36"/>
        <v>0</v>
      </c>
      <c r="BH95" t="str">
        <f ca="1">IF(BG95=1,IF(INDEX(分析データ!$A:$A,ROW()+$C$5)&lt;&gt;"",50000*SIGN(BF95)*(分析データ!D95-INDEX(分析データ!D:D,ROW()+$C$5)),""),"")</f>
        <v/>
      </c>
      <c r="BI95">
        <f t="shared" ca="1" si="37"/>
        <v>0</v>
      </c>
      <c r="BJ95">
        <f t="shared" ca="1" si="38"/>
        <v>0</v>
      </c>
      <c r="BK95">
        <f t="shared" ca="1" si="39"/>
        <v>0</v>
      </c>
      <c r="BL95" t="str">
        <f ca="1">IF(ROW()&lt;($C$7+1),"",IFERROR((分析データ!E95-AVERAGE(OFFSET(分析データ!E$1,MAX(1,ROW()-$C$7),0,MIN($C$7,ROW()-1),1)))/STDEV(OFFSET(分析データ!E$1,MAX(1,ROW()-$C$7),0,MIN($C$7,ROW()-1),1)),0))</f>
        <v/>
      </c>
      <c r="BM95">
        <f t="shared" ca="1" si="40"/>
        <v>0</v>
      </c>
      <c r="BN95" t="str">
        <f ca="1">IF(BM95=1,IF(INDEX(分析データ!$A:$A,ROW()+$C$5)&lt;&gt;"",40000*SIGN(BL95)*(分析データ!E95-INDEX(分析データ!E:E,ROW()+$C$5)),""),"")</f>
        <v/>
      </c>
      <c r="BO95">
        <f t="shared" ca="1" si="41"/>
        <v>0</v>
      </c>
      <c r="BP95">
        <f t="shared" ca="1" si="42"/>
        <v>0</v>
      </c>
      <c r="BQ95">
        <f t="shared" ca="1" si="43"/>
        <v>0</v>
      </c>
      <c r="BR95" t="str">
        <f ca="1">IF(ROW()&lt;($C$7+1),"",IFERROR((分析データ!F95-AVERAGE(OFFSET(分析データ!F$1,MAX(1,ROW()-$C$7),0,MIN($C$7,ROW()-1),1)))/STDEV(OFFSET(分析データ!F$1,MAX(1,ROW()-$C$7),0,MIN($C$7,ROW()-1),1)),0))</f>
        <v/>
      </c>
      <c r="BS95">
        <f t="shared" ca="1" si="44"/>
        <v>0</v>
      </c>
      <c r="BT95" t="str">
        <f ca="1">IF(BS95=1,IF(INDEX(分析データ!$A:$A,ROW()+$C$5)&lt;&gt;"",40000*SIGN(BR95)*(分析データ!F95-INDEX(分析データ!F:F,ROW()+$C$5)),""),"")</f>
        <v/>
      </c>
      <c r="BU95">
        <f t="shared" ca="1" si="45"/>
        <v>0</v>
      </c>
      <c r="BV95">
        <f t="shared" ca="1" si="46"/>
        <v>0</v>
      </c>
      <c r="BW95">
        <f t="shared" ca="1" si="47"/>
        <v>0</v>
      </c>
      <c r="BX95" t="str">
        <f ca="1">IF(ROW()&lt;($C$7+1),"",IFERROR((分析データ!G95-AVERAGE(OFFSET(分析データ!G$1,MAX(1,ROW()-$C$7),0,MIN($C$7,ROW()-1),1)))/STDEV(OFFSET(分析データ!G$1,MAX(1,ROW()-$C$7),0,MIN($C$7,ROW()-1),1)),0))</f>
        <v/>
      </c>
      <c r="BY95">
        <f t="shared" ca="1" si="48"/>
        <v>0</v>
      </c>
      <c r="BZ95" t="str">
        <f ca="1">IF(BY95=1,IF(INDEX(分析データ!$A:$A,ROW()+$C$5)&lt;&gt;"",40000*SIGN(BX95)*(分析データ!G95-INDEX(分析データ!G:G,ROW()+$C$5)),""),"")</f>
        <v/>
      </c>
      <c r="CA95">
        <f t="shared" ca="1" si="49"/>
        <v>0</v>
      </c>
      <c r="CB95">
        <f t="shared" ca="1" si="50"/>
        <v>0</v>
      </c>
      <c r="CC95">
        <f t="shared" ca="1" si="51"/>
        <v>0</v>
      </c>
      <c r="CD95">
        <f t="shared" ca="1" si="52"/>
        <v>0</v>
      </c>
      <c r="CE95">
        <f t="shared" ca="1" si="53"/>
        <v>0</v>
      </c>
      <c r="CF95">
        <f t="shared" ca="1" si="54"/>
        <v>0</v>
      </c>
      <c r="CG95">
        <f t="shared" ca="1" si="55"/>
        <v>0</v>
      </c>
      <c r="CH95" s="10">
        <f>分析データ!A95</f>
        <v>45062</v>
      </c>
    </row>
    <row r="96" spans="46:86">
      <c r="AT96" t="str">
        <f ca="1">IF(ROW()&lt;($C$7+1),"",IFERROR((分析データ!B96-AVERAGE(OFFSET(分析データ!B$1,MAX(1,ROW()-$C$7),0,MIN($C$7,ROW()-1),1)))/STDEV(OFFSET(分析データ!B$1,MAX(1,ROW()-$C$7),0,MIN($C$7,ROW()-1),1)),0))</f>
        <v/>
      </c>
      <c r="AU96">
        <f t="shared" ca="1" si="28"/>
        <v>0</v>
      </c>
      <c r="AV96" t="str">
        <f ca="1">IF(AU96=1,IF(INDEX(分析データ!$A:$A,ROW()+$C$5)&lt;&gt;"",80000*SIGN(AT96)*(分析データ!B96-INDEX(分析データ!B:B,ROW()+$C$5)),""),"")</f>
        <v/>
      </c>
      <c r="AW96">
        <f t="shared" ca="1" si="29"/>
        <v>0</v>
      </c>
      <c r="AX96">
        <f t="shared" ca="1" si="30"/>
        <v>0</v>
      </c>
      <c r="AY96">
        <f t="shared" ca="1" si="31"/>
        <v>0</v>
      </c>
      <c r="AZ96" t="str">
        <f ca="1">IF(ROW()&lt;($C$7+1),"",IFERROR((分析データ!C96-AVERAGE(OFFSET(分析データ!C$1,MAX(1,ROW()-$C$7),0,MIN($C$7,ROW()-1),1)))/STDEV(OFFSET(分析データ!C$1,MAX(1,ROW()-$C$7),0,MIN($C$7,ROW()-1),1)),0))</f>
        <v/>
      </c>
      <c r="BA96">
        <f t="shared" ca="1" si="32"/>
        <v>0</v>
      </c>
      <c r="BB96" t="str">
        <f ca="1">IF(BA96=1,IF(INDEX(分析データ!$A:$A,ROW()+$C$5)&lt;&gt;"",60000*SIGN(AZ96)*(分析データ!C96-INDEX(分析データ!C:C,ROW()+$C$5)),""),"")</f>
        <v/>
      </c>
      <c r="BC96">
        <f t="shared" ca="1" si="33"/>
        <v>0</v>
      </c>
      <c r="BD96">
        <f t="shared" ca="1" si="34"/>
        <v>0</v>
      </c>
      <c r="BE96">
        <f t="shared" ca="1" si="35"/>
        <v>0</v>
      </c>
      <c r="BF96" t="str">
        <f ca="1">IF(ROW()&lt;($C$7+1),"",IFERROR((分析データ!D96-AVERAGE(OFFSET(分析データ!D$1,MAX(1,ROW()-$C$7),0,MIN($C$7,ROW()-1),1)))/STDEV(OFFSET(分析データ!D$1,MAX(1,ROW()-$C$7),0,MIN($C$7,ROW()-1),1)),0))</f>
        <v/>
      </c>
      <c r="BG96">
        <f t="shared" ca="1" si="36"/>
        <v>0</v>
      </c>
      <c r="BH96" t="str">
        <f ca="1">IF(BG96=1,IF(INDEX(分析データ!$A:$A,ROW()+$C$5)&lt;&gt;"",50000*SIGN(BF96)*(分析データ!D96-INDEX(分析データ!D:D,ROW()+$C$5)),""),"")</f>
        <v/>
      </c>
      <c r="BI96">
        <f t="shared" ca="1" si="37"/>
        <v>0</v>
      </c>
      <c r="BJ96">
        <f t="shared" ca="1" si="38"/>
        <v>0</v>
      </c>
      <c r="BK96">
        <f t="shared" ca="1" si="39"/>
        <v>0</v>
      </c>
      <c r="BL96" t="str">
        <f ca="1">IF(ROW()&lt;($C$7+1),"",IFERROR((分析データ!E96-AVERAGE(OFFSET(分析データ!E$1,MAX(1,ROW()-$C$7),0,MIN($C$7,ROW()-1),1)))/STDEV(OFFSET(分析データ!E$1,MAX(1,ROW()-$C$7),0,MIN($C$7,ROW()-1),1)),0))</f>
        <v/>
      </c>
      <c r="BM96">
        <f t="shared" ca="1" si="40"/>
        <v>0</v>
      </c>
      <c r="BN96" t="str">
        <f ca="1">IF(BM96=1,IF(INDEX(分析データ!$A:$A,ROW()+$C$5)&lt;&gt;"",40000*SIGN(BL96)*(分析データ!E96-INDEX(分析データ!E:E,ROW()+$C$5)),""),"")</f>
        <v/>
      </c>
      <c r="BO96">
        <f t="shared" ca="1" si="41"/>
        <v>0</v>
      </c>
      <c r="BP96">
        <f t="shared" ca="1" si="42"/>
        <v>0</v>
      </c>
      <c r="BQ96">
        <f t="shared" ca="1" si="43"/>
        <v>0</v>
      </c>
      <c r="BR96" t="str">
        <f ca="1">IF(ROW()&lt;($C$7+1),"",IFERROR((分析データ!F96-AVERAGE(OFFSET(分析データ!F$1,MAX(1,ROW()-$C$7),0,MIN($C$7,ROW()-1),1)))/STDEV(OFFSET(分析データ!F$1,MAX(1,ROW()-$C$7),0,MIN($C$7,ROW()-1),1)),0))</f>
        <v/>
      </c>
      <c r="BS96">
        <f t="shared" ca="1" si="44"/>
        <v>0</v>
      </c>
      <c r="BT96" t="str">
        <f ca="1">IF(BS96=1,IF(INDEX(分析データ!$A:$A,ROW()+$C$5)&lt;&gt;"",40000*SIGN(BR96)*(分析データ!F96-INDEX(分析データ!F:F,ROW()+$C$5)),""),"")</f>
        <v/>
      </c>
      <c r="BU96">
        <f t="shared" ca="1" si="45"/>
        <v>0</v>
      </c>
      <c r="BV96">
        <f t="shared" ca="1" si="46"/>
        <v>0</v>
      </c>
      <c r="BW96">
        <f t="shared" ca="1" si="47"/>
        <v>0</v>
      </c>
      <c r="BX96" t="str">
        <f ca="1">IF(ROW()&lt;($C$7+1),"",IFERROR((分析データ!G96-AVERAGE(OFFSET(分析データ!G$1,MAX(1,ROW()-$C$7),0,MIN($C$7,ROW()-1),1)))/STDEV(OFFSET(分析データ!G$1,MAX(1,ROW()-$C$7),0,MIN($C$7,ROW()-1),1)),0))</f>
        <v/>
      </c>
      <c r="BY96">
        <f t="shared" ca="1" si="48"/>
        <v>0</v>
      </c>
      <c r="BZ96" t="str">
        <f ca="1">IF(BY96=1,IF(INDEX(分析データ!$A:$A,ROW()+$C$5)&lt;&gt;"",40000*SIGN(BX96)*(分析データ!G96-INDEX(分析データ!G:G,ROW()+$C$5)),""),"")</f>
        <v/>
      </c>
      <c r="CA96">
        <f t="shared" ca="1" si="49"/>
        <v>0</v>
      </c>
      <c r="CB96">
        <f t="shared" ca="1" si="50"/>
        <v>0</v>
      </c>
      <c r="CC96">
        <f t="shared" ca="1" si="51"/>
        <v>0</v>
      </c>
      <c r="CD96">
        <f t="shared" ca="1" si="52"/>
        <v>0</v>
      </c>
      <c r="CE96">
        <f t="shared" ca="1" si="53"/>
        <v>0</v>
      </c>
      <c r="CF96">
        <f t="shared" ca="1" si="54"/>
        <v>0</v>
      </c>
      <c r="CG96">
        <f t="shared" ca="1" si="55"/>
        <v>0</v>
      </c>
      <c r="CH96" s="10">
        <f>分析データ!A96</f>
        <v>45063</v>
      </c>
    </row>
    <row r="97" spans="46:86">
      <c r="AT97" t="str">
        <f ca="1">IF(ROW()&lt;($C$7+1),"",IFERROR((分析データ!B97-AVERAGE(OFFSET(分析データ!B$1,MAX(1,ROW()-$C$7),0,MIN($C$7,ROW()-1),1)))/STDEV(OFFSET(分析データ!B$1,MAX(1,ROW()-$C$7),0,MIN($C$7,ROW()-1),1)),0))</f>
        <v/>
      </c>
      <c r="AU97">
        <f t="shared" ca="1" si="28"/>
        <v>0</v>
      </c>
      <c r="AV97" t="str">
        <f ca="1">IF(AU97=1,IF(INDEX(分析データ!$A:$A,ROW()+$C$5)&lt;&gt;"",80000*SIGN(AT97)*(分析データ!B97-INDEX(分析データ!B:B,ROW()+$C$5)),""),"")</f>
        <v/>
      </c>
      <c r="AW97">
        <f t="shared" ca="1" si="29"/>
        <v>0</v>
      </c>
      <c r="AX97">
        <f t="shared" ca="1" si="30"/>
        <v>0</v>
      </c>
      <c r="AY97">
        <f t="shared" ca="1" si="31"/>
        <v>0</v>
      </c>
      <c r="AZ97" t="str">
        <f ca="1">IF(ROW()&lt;($C$7+1),"",IFERROR((分析データ!C97-AVERAGE(OFFSET(分析データ!C$1,MAX(1,ROW()-$C$7),0,MIN($C$7,ROW()-1),1)))/STDEV(OFFSET(分析データ!C$1,MAX(1,ROW()-$C$7),0,MIN($C$7,ROW()-1),1)),0))</f>
        <v/>
      </c>
      <c r="BA97">
        <f t="shared" ca="1" si="32"/>
        <v>0</v>
      </c>
      <c r="BB97" t="str">
        <f ca="1">IF(BA97=1,IF(INDEX(分析データ!$A:$A,ROW()+$C$5)&lt;&gt;"",60000*SIGN(AZ97)*(分析データ!C97-INDEX(分析データ!C:C,ROW()+$C$5)),""),"")</f>
        <v/>
      </c>
      <c r="BC97">
        <f t="shared" ca="1" si="33"/>
        <v>0</v>
      </c>
      <c r="BD97">
        <f t="shared" ca="1" si="34"/>
        <v>0</v>
      </c>
      <c r="BE97">
        <f t="shared" ca="1" si="35"/>
        <v>0</v>
      </c>
      <c r="BF97" t="str">
        <f ca="1">IF(ROW()&lt;($C$7+1),"",IFERROR((分析データ!D97-AVERAGE(OFFSET(分析データ!D$1,MAX(1,ROW()-$C$7),0,MIN($C$7,ROW()-1),1)))/STDEV(OFFSET(分析データ!D$1,MAX(1,ROW()-$C$7),0,MIN($C$7,ROW()-1),1)),0))</f>
        <v/>
      </c>
      <c r="BG97">
        <f t="shared" ca="1" si="36"/>
        <v>0</v>
      </c>
      <c r="BH97" t="str">
        <f ca="1">IF(BG97=1,IF(INDEX(分析データ!$A:$A,ROW()+$C$5)&lt;&gt;"",50000*SIGN(BF97)*(分析データ!D97-INDEX(分析データ!D:D,ROW()+$C$5)),""),"")</f>
        <v/>
      </c>
      <c r="BI97">
        <f t="shared" ca="1" si="37"/>
        <v>0</v>
      </c>
      <c r="BJ97">
        <f t="shared" ca="1" si="38"/>
        <v>0</v>
      </c>
      <c r="BK97">
        <f t="shared" ca="1" si="39"/>
        <v>0</v>
      </c>
      <c r="BL97" t="str">
        <f ca="1">IF(ROW()&lt;($C$7+1),"",IFERROR((分析データ!E97-AVERAGE(OFFSET(分析データ!E$1,MAX(1,ROW()-$C$7),0,MIN($C$7,ROW()-1),1)))/STDEV(OFFSET(分析データ!E$1,MAX(1,ROW()-$C$7),0,MIN($C$7,ROW()-1),1)),0))</f>
        <v/>
      </c>
      <c r="BM97">
        <f t="shared" ca="1" si="40"/>
        <v>0</v>
      </c>
      <c r="BN97" t="str">
        <f ca="1">IF(BM97=1,IF(INDEX(分析データ!$A:$A,ROW()+$C$5)&lt;&gt;"",40000*SIGN(BL97)*(分析データ!E97-INDEX(分析データ!E:E,ROW()+$C$5)),""),"")</f>
        <v/>
      </c>
      <c r="BO97">
        <f t="shared" ca="1" si="41"/>
        <v>0</v>
      </c>
      <c r="BP97">
        <f t="shared" ca="1" si="42"/>
        <v>0</v>
      </c>
      <c r="BQ97">
        <f t="shared" ca="1" si="43"/>
        <v>0</v>
      </c>
      <c r="BR97" t="str">
        <f ca="1">IF(ROW()&lt;($C$7+1),"",IFERROR((分析データ!F97-AVERAGE(OFFSET(分析データ!F$1,MAX(1,ROW()-$C$7),0,MIN($C$7,ROW()-1),1)))/STDEV(OFFSET(分析データ!F$1,MAX(1,ROW()-$C$7),0,MIN($C$7,ROW()-1),1)),0))</f>
        <v/>
      </c>
      <c r="BS97">
        <f t="shared" ca="1" si="44"/>
        <v>0</v>
      </c>
      <c r="BT97" t="str">
        <f ca="1">IF(BS97=1,IF(INDEX(分析データ!$A:$A,ROW()+$C$5)&lt;&gt;"",40000*SIGN(BR97)*(分析データ!F97-INDEX(分析データ!F:F,ROW()+$C$5)),""),"")</f>
        <v/>
      </c>
      <c r="BU97">
        <f t="shared" ca="1" si="45"/>
        <v>0</v>
      </c>
      <c r="BV97">
        <f t="shared" ca="1" si="46"/>
        <v>0</v>
      </c>
      <c r="BW97">
        <f t="shared" ca="1" si="47"/>
        <v>0</v>
      </c>
      <c r="BX97" t="str">
        <f ca="1">IF(ROW()&lt;($C$7+1),"",IFERROR((分析データ!G97-AVERAGE(OFFSET(分析データ!G$1,MAX(1,ROW()-$C$7),0,MIN($C$7,ROW()-1),1)))/STDEV(OFFSET(分析データ!G$1,MAX(1,ROW()-$C$7),0,MIN($C$7,ROW()-1),1)),0))</f>
        <v/>
      </c>
      <c r="BY97">
        <f t="shared" ca="1" si="48"/>
        <v>0</v>
      </c>
      <c r="BZ97" t="str">
        <f ca="1">IF(BY97=1,IF(INDEX(分析データ!$A:$A,ROW()+$C$5)&lt;&gt;"",40000*SIGN(BX97)*(分析データ!G97-INDEX(分析データ!G:G,ROW()+$C$5)),""),"")</f>
        <v/>
      </c>
      <c r="CA97">
        <f t="shared" ca="1" si="49"/>
        <v>0</v>
      </c>
      <c r="CB97">
        <f t="shared" ca="1" si="50"/>
        <v>0</v>
      </c>
      <c r="CC97">
        <f t="shared" ca="1" si="51"/>
        <v>0</v>
      </c>
      <c r="CD97">
        <f t="shared" ca="1" si="52"/>
        <v>0</v>
      </c>
      <c r="CE97">
        <f t="shared" ca="1" si="53"/>
        <v>0</v>
      </c>
      <c r="CF97">
        <f t="shared" ca="1" si="54"/>
        <v>0</v>
      </c>
      <c r="CG97">
        <f t="shared" ca="1" si="55"/>
        <v>0</v>
      </c>
      <c r="CH97" s="10">
        <f>分析データ!A97</f>
        <v>45064</v>
      </c>
    </row>
    <row r="98" spans="46:86">
      <c r="AT98" t="str">
        <f ca="1">IF(ROW()&lt;($C$7+1),"",IFERROR((分析データ!B98-AVERAGE(OFFSET(分析データ!B$1,MAX(1,ROW()-$C$7),0,MIN($C$7,ROW()-1),1)))/STDEV(OFFSET(分析データ!B$1,MAX(1,ROW()-$C$7),0,MIN($C$7,ROW()-1),1)),0))</f>
        <v/>
      </c>
      <c r="AU98">
        <f t="shared" ca="1" si="28"/>
        <v>0</v>
      </c>
      <c r="AV98" t="str">
        <f ca="1">IF(AU98=1,IF(INDEX(分析データ!$A:$A,ROW()+$C$5)&lt;&gt;"",80000*SIGN(AT98)*(分析データ!B98-INDEX(分析データ!B:B,ROW()+$C$5)),""),"")</f>
        <v/>
      </c>
      <c r="AW98">
        <f t="shared" ca="1" si="29"/>
        <v>0</v>
      </c>
      <c r="AX98">
        <f t="shared" ca="1" si="30"/>
        <v>0</v>
      </c>
      <c r="AY98">
        <f t="shared" ca="1" si="31"/>
        <v>0</v>
      </c>
      <c r="AZ98" t="str">
        <f ca="1">IF(ROW()&lt;($C$7+1),"",IFERROR((分析データ!C98-AVERAGE(OFFSET(分析データ!C$1,MAX(1,ROW()-$C$7),0,MIN($C$7,ROW()-1),1)))/STDEV(OFFSET(分析データ!C$1,MAX(1,ROW()-$C$7),0,MIN($C$7,ROW()-1),1)),0))</f>
        <v/>
      </c>
      <c r="BA98">
        <f t="shared" ca="1" si="32"/>
        <v>0</v>
      </c>
      <c r="BB98" t="str">
        <f ca="1">IF(BA98=1,IF(INDEX(分析データ!$A:$A,ROW()+$C$5)&lt;&gt;"",60000*SIGN(AZ98)*(分析データ!C98-INDEX(分析データ!C:C,ROW()+$C$5)),""),"")</f>
        <v/>
      </c>
      <c r="BC98">
        <f t="shared" ca="1" si="33"/>
        <v>0</v>
      </c>
      <c r="BD98">
        <f t="shared" ca="1" si="34"/>
        <v>0</v>
      </c>
      <c r="BE98">
        <f t="shared" ca="1" si="35"/>
        <v>0</v>
      </c>
      <c r="BF98" t="str">
        <f ca="1">IF(ROW()&lt;($C$7+1),"",IFERROR((分析データ!D98-AVERAGE(OFFSET(分析データ!D$1,MAX(1,ROW()-$C$7),0,MIN($C$7,ROW()-1),1)))/STDEV(OFFSET(分析データ!D$1,MAX(1,ROW()-$C$7),0,MIN($C$7,ROW()-1),1)),0))</f>
        <v/>
      </c>
      <c r="BG98">
        <f t="shared" ca="1" si="36"/>
        <v>0</v>
      </c>
      <c r="BH98" t="str">
        <f ca="1">IF(BG98=1,IF(INDEX(分析データ!$A:$A,ROW()+$C$5)&lt;&gt;"",50000*SIGN(BF98)*(分析データ!D98-INDEX(分析データ!D:D,ROW()+$C$5)),""),"")</f>
        <v/>
      </c>
      <c r="BI98">
        <f t="shared" ca="1" si="37"/>
        <v>0</v>
      </c>
      <c r="BJ98">
        <f t="shared" ca="1" si="38"/>
        <v>0</v>
      </c>
      <c r="BK98">
        <f t="shared" ca="1" si="39"/>
        <v>0</v>
      </c>
      <c r="BL98" t="str">
        <f ca="1">IF(ROW()&lt;($C$7+1),"",IFERROR((分析データ!E98-AVERAGE(OFFSET(分析データ!E$1,MAX(1,ROW()-$C$7),0,MIN($C$7,ROW()-1),1)))/STDEV(OFFSET(分析データ!E$1,MAX(1,ROW()-$C$7),0,MIN($C$7,ROW()-1),1)),0))</f>
        <v/>
      </c>
      <c r="BM98">
        <f t="shared" ca="1" si="40"/>
        <v>0</v>
      </c>
      <c r="BN98" t="str">
        <f ca="1">IF(BM98=1,IF(INDEX(分析データ!$A:$A,ROW()+$C$5)&lt;&gt;"",40000*SIGN(BL98)*(分析データ!E98-INDEX(分析データ!E:E,ROW()+$C$5)),""),"")</f>
        <v/>
      </c>
      <c r="BO98">
        <f t="shared" ca="1" si="41"/>
        <v>0</v>
      </c>
      <c r="BP98">
        <f t="shared" ca="1" si="42"/>
        <v>0</v>
      </c>
      <c r="BQ98">
        <f t="shared" ca="1" si="43"/>
        <v>0</v>
      </c>
      <c r="BR98" t="str">
        <f ca="1">IF(ROW()&lt;($C$7+1),"",IFERROR((分析データ!F98-AVERAGE(OFFSET(分析データ!F$1,MAX(1,ROW()-$C$7),0,MIN($C$7,ROW()-1),1)))/STDEV(OFFSET(分析データ!F$1,MAX(1,ROW()-$C$7),0,MIN($C$7,ROW()-1),1)),0))</f>
        <v/>
      </c>
      <c r="BS98">
        <f t="shared" ca="1" si="44"/>
        <v>0</v>
      </c>
      <c r="BT98" t="str">
        <f ca="1">IF(BS98=1,IF(INDEX(分析データ!$A:$A,ROW()+$C$5)&lt;&gt;"",40000*SIGN(BR98)*(分析データ!F98-INDEX(分析データ!F:F,ROW()+$C$5)),""),"")</f>
        <v/>
      </c>
      <c r="BU98">
        <f t="shared" ca="1" si="45"/>
        <v>0</v>
      </c>
      <c r="BV98">
        <f t="shared" ca="1" si="46"/>
        <v>0</v>
      </c>
      <c r="BW98">
        <f t="shared" ca="1" si="47"/>
        <v>0</v>
      </c>
      <c r="BX98" t="str">
        <f ca="1">IF(ROW()&lt;($C$7+1),"",IFERROR((分析データ!G98-AVERAGE(OFFSET(分析データ!G$1,MAX(1,ROW()-$C$7),0,MIN($C$7,ROW()-1),1)))/STDEV(OFFSET(分析データ!G$1,MAX(1,ROW()-$C$7),0,MIN($C$7,ROW()-1),1)),0))</f>
        <v/>
      </c>
      <c r="BY98">
        <f t="shared" ca="1" si="48"/>
        <v>0</v>
      </c>
      <c r="BZ98" t="str">
        <f ca="1">IF(BY98=1,IF(INDEX(分析データ!$A:$A,ROW()+$C$5)&lt;&gt;"",40000*SIGN(BX98)*(分析データ!G98-INDEX(分析データ!G:G,ROW()+$C$5)),""),"")</f>
        <v/>
      </c>
      <c r="CA98">
        <f t="shared" ca="1" si="49"/>
        <v>0</v>
      </c>
      <c r="CB98">
        <f t="shared" ca="1" si="50"/>
        <v>0</v>
      </c>
      <c r="CC98">
        <f t="shared" ca="1" si="51"/>
        <v>0</v>
      </c>
      <c r="CD98">
        <f t="shared" ca="1" si="52"/>
        <v>0</v>
      </c>
      <c r="CE98">
        <f t="shared" ca="1" si="53"/>
        <v>0</v>
      </c>
      <c r="CF98">
        <f t="shared" ca="1" si="54"/>
        <v>0</v>
      </c>
      <c r="CG98">
        <f t="shared" ca="1" si="55"/>
        <v>0</v>
      </c>
      <c r="CH98" s="10">
        <f>分析データ!A98</f>
        <v>45065</v>
      </c>
    </row>
    <row r="99" spans="46:86">
      <c r="AT99" t="str">
        <f ca="1">IF(ROW()&lt;($C$7+1),"",IFERROR((分析データ!B99-AVERAGE(OFFSET(分析データ!B$1,MAX(1,ROW()-$C$7),0,MIN($C$7,ROW()-1),1)))/STDEV(OFFSET(分析データ!B$1,MAX(1,ROW()-$C$7),0,MIN($C$7,ROW()-1),1)),0))</f>
        <v/>
      </c>
      <c r="AU99">
        <f t="shared" ca="1" si="28"/>
        <v>0</v>
      </c>
      <c r="AV99" t="str">
        <f ca="1">IF(AU99=1,IF(INDEX(分析データ!$A:$A,ROW()+$C$5)&lt;&gt;"",80000*SIGN(AT99)*(分析データ!B99-INDEX(分析データ!B:B,ROW()+$C$5)),""),"")</f>
        <v/>
      </c>
      <c r="AW99">
        <f t="shared" ca="1" si="29"/>
        <v>0</v>
      </c>
      <c r="AX99">
        <f t="shared" ca="1" si="30"/>
        <v>0</v>
      </c>
      <c r="AY99">
        <f t="shared" ca="1" si="31"/>
        <v>0</v>
      </c>
      <c r="AZ99" t="str">
        <f ca="1">IF(ROW()&lt;($C$7+1),"",IFERROR((分析データ!C99-AVERAGE(OFFSET(分析データ!C$1,MAX(1,ROW()-$C$7),0,MIN($C$7,ROW()-1),1)))/STDEV(OFFSET(分析データ!C$1,MAX(1,ROW()-$C$7),0,MIN($C$7,ROW()-1),1)),0))</f>
        <v/>
      </c>
      <c r="BA99">
        <f t="shared" ca="1" si="32"/>
        <v>0</v>
      </c>
      <c r="BB99" t="str">
        <f ca="1">IF(BA99=1,IF(INDEX(分析データ!$A:$A,ROW()+$C$5)&lt;&gt;"",60000*SIGN(AZ99)*(分析データ!C99-INDEX(分析データ!C:C,ROW()+$C$5)),""),"")</f>
        <v/>
      </c>
      <c r="BC99">
        <f t="shared" ca="1" si="33"/>
        <v>0</v>
      </c>
      <c r="BD99">
        <f t="shared" ca="1" si="34"/>
        <v>0</v>
      </c>
      <c r="BE99">
        <f t="shared" ca="1" si="35"/>
        <v>0</v>
      </c>
      <c r="BF99" t="str">
        <f ca="1">IF(ROW()&lt;($C$7+1),"",IFERROR((分析データ!D99-AVERAGE(OFFSET(分析データ!D$1,MAX(1,ROW()-$C$7),0,MIN($C$7,ROW()-1),1)))/STDEV(OFFSET(分析データ!D$1,MAX(1,ROW()-$C$7),0,MIN($C$7,ROW()-1),1)),0))</f>
        <v/>
      </c>
      <c r="BG99">
        <f t="shared" ca="1" si="36"/>
        <v>0</v>
      </c>
      <c r="BH99" t="str">
        <f ca="1">IF(BG99=1,IF(INDEX(分析データ!$A:$A,ROW()+$C$5)&lt;&gt;"",50000*SIGN(BF99)*(分析データ!D99-INDEX(分析データ!D:D,ROW()+$C$5)),""),"")</f>
        <v/>
      </c>
      <c r="BI99">
        <f t="shared" ca="1" si="37"/>
        <v>0</v>
      </c>
      <c r="BJ99">
        <f t="shared" ca="1" si="38"/>
        <v>0</v>
      </c>
      <c r="BK99">
        <f t="shared" ca="1" si="39"/>
        <v>0</v>
      </c>
      <c r="BL99" t="str">
        <f ca="1">IF(ROW()&lt;($C$7+1),"",IFERROR((分析データ!E99-AVERAGE(OFFSET(分析データ!E$1,MAX(1,ROW()-$C$7),0,MIN($C$7,ROW()-1),1)))/STDEV(OFFSET(分析データ!E$1,MAX(1,ROW()-$C$7),0,MIN($C$7,ROW()-1),1)),0))</f>
        <v/>
      </c>
      <c r="BM99">
        <f t="shared" ca="1" si="40"/>
        <v>0</v>
      </c>
      <c r="BN99" t="str">
        <f ca="1">IF(BM99=1,IF(INDEX(分析データ!$A:$A,ROW()+$C$5)&lt;&gt;"",40000*SIGN(BL99)*(分析データ!E99-INDEX(分析データ!E:E,ROW()+$C$5)),""),"")</f>
        <v/>
      </c>
      <c r="BO99">
        <f t="shared" ca="1" si="41"/>
        <v>0</v>
      </c>
      <c r="BP99">
        <f t="shared" ca="1" si="42"/>
        <v>0</v>
      </c>
      <c r="BQ99">
        <f t="shared" ca="1" si="43"/>
        <v>0</v>
      </c>
      <c r="BR99" t="str">
        <f ca="1">IF(ROW()&lt;($C$7+1),"",IFERROR((分析データ!F99-AVERAGE(OFFSET(分析データ!F$1,MAX(1,ROW()-$C$7),0,MIN($C$7,ROW()-1),1)))/STDEV(OFFSET(分析データ!F$1,MAX(1,ROW()-$C$7),0,MIN($C$7,ROW()-1),1)),0))</f>
        <v/>
      </c>
      <c r="BS99">
        <f t="shared" ca="1" si="44"/>
        <v>0</v>
      </c>
      <c r="BT99" t="str">
        <f ca="1">IF(BS99=1,IF(INDEX(分析データ!$A:$A,ROW()+$C$5)&lt;&gt;"",40000*SIGN(BR99)*(分析データ!F99-INDEX(分析データ!F:F,ROW()+$C$5)),""),"")</f>
        <v/>
      </c>
      <c r="BU99">
        <f t="shared" ca="1" si="45"/>
        <v>0</v>
      </c>
      <c r="BV99">
        <f t="shared" ca="1" si="46"/>
        <v>0</v>
      </c>
      <c r="BW99">
        <f t="shared" ca="1" si="47"/>
        <v>0</v>
      </c>
      <c r="BX99" t="str">
        <f ca="1">IF(ROW()&lt;($C$7+1),"",IFERROR((分析データ!G99-AVERAGE(OFFSET(分析データ!G$1,MAX(1,ROW()-$C$7),0,MIN($C$7,ROW()-1),1)))/STDEV(OFFSET(分析データ!G$1,MAX(1,ROW()-$C$7),0,MIN($C$7,ROW()-1),1)),0))</f>
        <v/>
      </c>
      <c r="BY99">
        <f t="shared" ca="1" si="48"/>
        <v>0</v>
      </c>
      <c r="BZ99" t="str">
        <f ca="1">IF(BY99=1,IF(INDEX(分析データ!$A:$A,ROW()+$C$5)&lt;&gt;"",40000*SIGN(BX99)*(分析データ!G99-INDEX(分析データ!G:G,ROW()+$C$5)),""),"")</f>
        <v/>
      </c>
      <c r="CA99">
        <f t="shared" ca="1" si="49"/>
        <v>0</v>
      </c>
      <c r="CB99">
        <f t="shared" ca="1" si="50"/>
        <v>0</v>
      </c>
      <c r="CC99">
        <f t="shared" ca="1" si="51"/>
        <v>0</v>
      </c>
      <c r="CD99">
        <f t="shared" ca="1" si="52"/>
        <v>0</v>
      </c>
      <c r="CE99">
        <f t="shared" ca="1" si="53"/>
        <v>0</v>
      </c>
      <c r="CF99">
        <f t="shared" ca="1" si="54"/>
        <v>0</v>
      </c>
      <c r="CG99">
        <f t="shared" ca="1" si="55"/>
        <v>0</v>
      </c>
      <c r="CH99" s="10">
        <f>分析データ!A99</f>
        <v>45068</v>
      </c>
    </row>
    <row r="100" spans="46:86">
      <c r="AT100" t="str">
        <f ca="1">IF(ROW()&lt;($C$7+1),"",IFERROR((分析データ!B100-AVERAGE(OFFSET(分析データ!B$1,MAX(1,ROW()-$C$7),0,MIN($C$7,ROW()-1),1)))/STDEV(OFFSET(分析データ!B$1,MAX(1,ROW()-$C$7),0,MIN($C$7,ROW()-1),1)),0))</f>
        <v/>
      </c>
      <c r="AU100">
        <f t="shared" ca="1" si="28"/>
        <v>0</v>
      </c>
      <c r="AV100" t="str">
        <f ca="1">IF(AU100=1,IF(INDEX(分析データ!$A:$A,ROW()+$C$5)&lt;&gt;"",80000*SIGN(AT100)*(分析データ!B100-INDEX(分析データ!B:B,ROW()+$C$5)),""),"")</f>
        <v/>
      </c>
      <c r="AW100">
        <f t="shared" ca="1" si="29"/>
        <v>0</v>
      </c>
      <c r="AX100">
        <f t="shared" ca="1" si="30"/>
        <v>0</v>
      </c>
      <c r="AY100">
        <f t="shared" ca="1" si="31"/>
        <v>0</v>
      </c>
      <c r="AZ100" t="str">
        <f ca="1">IF(ROW()&lt;($C$7+1),"",IFERROR((分析データ!C100-AVERAGE(OFFSET(分析データ!C$1,MAX(1,ROW()-$C$7),0,MIN($C$7,ROW()-1),1)))/STDEV(OFFSET(分析データ!C$1,MAX(1,ROW()-$C$7),0,MIN($C$7,ROW()-1),1)),0))</f>
        <v/>
      </c>
      <c r="BA100">
        <f t="shared" ca="1" si="32"/>
        <v>0</v>
      </c>
      <c r="BB100" t="str">
        <f ca="1">IF(BA100=1,IF(INDEX(分析データ!$A:$A,ROW()+$C$5)&lt;&gt;"",60000*SIGN(AZ100)*(分析データ!C100-INDEX(分析データ!C:C,ROW()+$C$5)),""),"")</f>
        <v/>
      </c>
      <c r="BC100">
        <f t="shared" ca="1" si="33"/>
        <v>0</v>
      </c>
      <c r="BD100">
        <f t="shared" ca="1" si="34"/>
        <v>0</v>
      </c>
      <c r="BE100">
        <f t="shared" ca="1" si="35"/>
        <v>0</v>
      </c>
      <c r="BF100" t="str">
        <f ca="1">IF(ROW()&lt;($C$7+1),"",IFERROR((分析データ!D100-AVERAGE(OFFSET(分析データ!D$1,MAX(1,ROW()-$C$7),0,MIN($C$7,ROW()-1),1)))/STDEV(OFFSET(分析データ!D$1,MAX(1,ROW()-$C$7),0,MIN($C$7,ROW()-1),1)),0))</f>
        <v/>
      </c>
      <c r="BG100">
        <f t="shared" ca="1" si="36"/>
        <v>0</v>
      </c>
      <c r="BH100" t="str">
        <f ca="1">IF(BG100=1,IF(INDEX(分析データ!$A:$A,ROW()+$C$5)&lt;&gt;"",50000*SIGN(BF100)*(分析データ!D100-INDEX(分析データ!D:D,ROW()+$C$5)),""),"")</f>
        <v/>
      </c>
      <c r="BI100">
        <f t="shared" ca="1" si="37"/>
        <v>0</v>
      </c>
      <c r="BJ100">
        <f t="shared" ca="1" si="38"/>
        <v>0</v>
      </c>
      <c r="BK100">
        <f t="shared" ca="1" si="39"/>
        <v>0</v>
      </c>
      <c r="BL100" t="str">
        <f ca="1">IF(ROW()&lt;($C$7+1),"",IFERROR((分析データ!E100-AVERAGE(OFFSET(分析データ!E$1,MAX(1,ROW()-$C$7),0,MIN($C$7,ROW()-1),1)))/STDEV(OFFSET(分析データ!E$1,MAX(1,ROW()-$C$7),0,MIN($C$7,ROW()-1),1)),0))</f>
        <v/>
      </c>
      <c r="BM100">
        <f t="shared" ca="1" si="40"/>
        <v>0</v>
      </c>
      <c r="BN100" t="str">
        <f ca="1">IF(BM100=1,IF(INDEX(分析データ!$A:$A,ROW()+$C$5)&lt;&gt;"",40000*SIGN(BL100)*(分析データ!E100-INDEX(分析データ!E:E,ROW()+$C$5)),""),"")</f>
        <v/>
      </c>
      <c r="BO100">
        <f t="shared" ca="1" si="41"/>
        <v>0</v>
      </c>
      <c r="BP100">
        <f t="shared" ca="1" si="42"/>
        <v>0</v>
      </c>
      <c r="BQ100">
        <f t="shared" ca="1" si="43"/>
        <v>0</v>
      </c>
      <c r="BR100" t="str">
        <f ca="1">IF(ROW()&lt;($C$7+1),"",IFERROR((分析データ!F100-AVERAGE(OFFSET(分析データ!F$1,MAX(1,ROW()-$C$7),0,MIN($C$7,ROW()-1),1)))/STDEV(OFFSET(分析データ!F$1,MAX(1,ROW()-$C$7),0,MIN($C$7,ROW()-1),1)),0))</f>
        <v/>
      </c>
      <c r="BS100">
        <f t="shared" ca="1" si="44"/>
        <v>0</v>
      </c>
      <c r="BT100" t="str">
        <f ca="1">IF(BS100=1,IF(INDEX(分析データ!$A:$A,ROW()+$C$5)&lt;&gt;"",40000*SIGN(BR100)*(分析データ!F100-INDEX(分析データ!F:F,ROW()+$C$5)),""),"")</f>
        <v/>
      </c>
      <c r="BU100">
        <f t="shared" ca="1" si="45"/>
        <v>0</v>
      </c>
      <c r="BV100">
        <f t="shared" ca="1" si="46"/>
        <v>0</v>
      </c>
      <c r="BW100">
        <f t="shared" ca="1" si="47"/>
        <v>0</v>
      </c>
      <c r="BX100" t="str">
        <f ca="1">IF(ROW()&lt;($C$7+1),"",IFERROR((分析データ!G100-AVERAGE(OFFSET(分析データ!G$1,MAX(1,ROW()-$C$7),0,MIN($C$7,ROW()-1),1)))/STDEV(OFFSET(分析データ!G$1,MAX(1,ROW()-$C$7),0,MIN($C$7,ROW()-1),1)),0))</f>
        <v/>
      </c>
      <c r="BY100">
        <f t="shared" ca="1" si="48"/>
        <v>0</v>
      </c>
      <c r="BZ100" t="str">
        <f ca="1">IF(BY100=1,IF(INDEX(分析データ!$A:$A,ROW()+$C$5)&lt;&gt;"",40000*SIGN(BX100)*(分析データ!G100-INDEX(分析データ!G:G,ROW()+$C$5)),""),"")</f>
        <v/>
      </c>
      <c r="CA100">
        <f t="shared" ca="1" si="49"/>
        <v>0</v>
      </c>
      <c r="CB100">
        <f t="shared" ca="1" si="50"/>
        <v>0</v>
      </c>
      <c r="CC100">
        <f t="shared" ca="1" si="51"/>
        <v>0</v>
      </c>
      <c r="CD100">
        <f t="shared" ca="1" si="52"/>
        <v>0</v>
      </c>
      <c r="CE100">
        <f t="shared" ca="1" si="53"/>
        <v>0</v>
      </c>
      <c r="CF100">
        <f t="shared" ca="1" si="54"/>
        <v>0</v>
      </c>
      <c r="CG100">
        <f t="shared" ca="1" si="55"/>
        <v>0</v>
      </c>
      <c r="CH100" s="10">
        <f>分析データ!A100</f>
        <v>45069</v>
      </c>
    </row>
    <row r="101" spans="46:86">
      <c r="AT101" t="str">
        <f ca="1">IF(ROW()&lt;($C$7+1),"",IFERROR((分析データ!B101-AVERAGE(OFFSET(分析データ!B$1,MAX(1,ROW()-$C$7),0,MIN($C$7,ROW()-1),1)))/STDEV(OFFSET(分析データ!B$1,MAX(1,ROW()-$C$7),0,MIN($C$7,ROW()-1),1)),0))</f>
        <v/>
      </c>
      <c r="AU101">
        <f t="shared" ca="1" si="28"/>
        <v>0</v>
      </c>
      <c r="AV101" t="str">
        <f ca="1">IF(AU101=1,IF(INDEX(分析データ!$A:$A,ROW()+$C$5)&lt;&gt;"",80000*SIGN(AT101)*(分析データ!B101-INDEX(分析データ!B:B,ROW()+$C$5)),""),"")</f>
        <v/>
      </c>
      <c r="AW101">
        <f t="shared" ca="1" si="29"/>
        <v>0</v>
      </c>
      <c r="AX101">
        <f t="shared" ca="1" si="30"/>
        <v>0</v>
      </c>
      <c r="AY101">
        <f t="shared" ca="1" si="31"/>
        <v>0</v>
      </c>
      <c r="AZ101" t="str">
        <f ca="1">IF(ROW()&lt;($C$7+1),"",IFERROR((分析データ!C101-AVERAGE(OFFSET(分析データ!C$1,MAX(1,ROW()-$C$7),0,MIN($C$7,ROW()-1),1)))/STDEV(OFFSET(分析データ!C$1,MAX(1,ROW()-$C$7),0,MIN($C$7,ROW()-1),1)),0))</f>
        <v/>
      </c>
      <c r="BA101">
        <f t="shared" ca="1" si="32"/>
        <v>0</v>
      </c>
      <c r="BB101" t="str">
        <f ca="1">IF(BA101=1,IF(INDEX(分析データ!$A:$A,ROW()+$C$5)&lt;&gt;"",60000*SIGN(AZ101)*(分析データ!C101-INDEX(分析データ!C:C,ROW()+$C$5)),""),"")</f>
        <v/>
      </c>
      <c r="BC101">
        <f t="shared" ca="1" si="33"/>
        <v>0</v>
      </c>
      <c r="BD101">
        <f t="shared" ca="1" si="34"/>
        <v>0</v>
      </c>
      <c r="BE101">
        <f t="shared" ca="1" si="35"/>
        <v>0</v>
      </c>
      <c r="BF101" t="str">
        <f ca="1">IF(ROW()&lt;($C$7+1),"",IFERROR((分析データ!D101-AVERAGE(OFFSET(分析データ!D$1,MAX(1,ROW()-$C$7),0,MIN($C$7,ROW()-1),1)))/STDEV(OFFSET(分析データ!D$1,MAX(1,ROW()-$C$7),0,MIN($C$7,ROW()-1),1)),0))</f>
        <v/>
      </c>
      <c r="BG101">
        <f t="shared" ca="1" si="36"/>
        <v>0</v>
      </c>
      <c r="BH101" t="str">
        <f ca="1">IF(BG101=1,IF(INDEX(分析データ!$A:$A,ROW()+$C$5)&lt;&gt;"",50000*SIGN(BF101)*(分析データ!D101-INDEX(分析データ!D:D,ROW()+$C$5)),""),"")</f>
        <v/>
      </c>
      <c r="BI101">
        <f t="shared" ca="1" si="37"/>
        <v>0</v>
      </c>
      <c r="BJ101">
        <f t="shared" ca="1" si="38"/>
        <v>0</v>
      </c>
      <c r="BK101">
        <f t="shared" ca="1" si="39"/>
        <v>0</v>
      </c>
      <c r="BL101" t="str">
        <f ca="1">IF(ROW()&lt;($C$7+1),"",IFERROR((分析データ!E101-AVERAGE(OFFSET(分析データ!E$1,MAX(1,ROW()-$C$7),0,MIN($C$7,ROW()-1),1)))/STDEV(OFFSET(分析データ!E$1,MAX(1,ROW()-$C$7),0,MIN($C$7,ROW()-1),1)),0))</f>
        <v/>
      </c>
      <c r="BM101">
        <f t="shared" ca="1" si="40"/>
        <v>0</v>
      </c>
      <c r="BN101" t="str">
        <f ca="1">IF(BM101=1,IF(INDEX(分析データ!$A:$A,ROW()+$C$5)&lt;&gt;"",40000*SIGN(BL101)*(分析データ!E101-INDEX(分析データ!E:E,ROW()+$C$5)),""),"")</f>
        <v/>
      </c>
      <c r="BO101">
        <f t="shared" ca="1" si="41"/>
        <v>0</v>
      </c>
      <c r="BP101">
        <f t="shared" ca="1" si="42"/>
        <v>0</v>
      </c>
      <c r="BQ101">
        <f t="shared" ca="1" si="43"/>
        <v>0</v>
      </c>
      <c r="BR101" t="str">
        <f ca="1">IF(ROW()&lt;($C$7+1),"",IFERROR((分析データ!F101-AVERAGE(OFFSET(分析データ!F$1,MAX(1,ROW()-$C$7),0,MIN($C$7,ROW()-1),1)))/STDEV(OFFSET(分析データ!F$1,MAX(1,ROW()-$C$7),0,MIN($C$7,ROW()-1),1)),0))</f>
        <v/>
      </c>
      <c r="BS101">
        <f t="shared" ca="1" si="44"/>
        <v>0</v>
      </c>
      <c r="BT101" t="str">
        <f ca="1">IF(BS101=1,IF(INDEX(分析データ!$A:$A,ROW()+$C$5)&lt;&gt;"",40000*SIGN(BR101)*(分析データ!F101-INDEX(分析データ!F:F,ROW()+$C$5)),""),"")</f>
        <v/>
      </c>
      <c r="BU101">
        <f t="shared" ca="1" si="45"/>
        <v>0</v>
      </c>
      <c r="BV101">
        <f t="shared" ca="1" si="46"/>
        <v>0</v>
      </c>
      <c r="BW101">
        <f t="shared" ca="1" si="47"/>
        <v>0</v>
      </c>
      <c r="BX101" t="str">
        <f ca="1">IF(ROW()&lt;($C$7+1),"",IFERROR((分析データ!G101-AVERAGE(OFFSET(分析データ!G$1,MAX(1,ROW()-$C$7),0,MIN($C$7,ROW()-1),1)))/STDEV(OFFSET(分析データ!G$1,MAX(1,ROW()-$C$7),0,MIN($C$7,ROW()-1),1)),0))</f>
        <v/>
      </c>
      <c r="BY101">
        <f t="shared" ca="1" si="48"/>
        <v>0</v>
      </c>
      <c r="BZ101" t="str">
        <f ca="1">IF(BY101=1,IF(INDEX(分析データ!$A:$A,ROW()+$C$5)&lt;&gt;"",40000*SIGN(BX101)*(分析データ!G101-INDEX(分析データ!G:G,ROW()+$C$5)),""),"")</f>
        <v/>
      </c>
      <c r="CA101">
        <f t="shared" ca="1" si="49"/>
        <v>0</v>
      </c>
      <c r="CB101">
        <f t="shared" ca="1" si="50"/>
        <v>0</v>
      </c>
      <c r="CC101">
        <f t="shared" ca="1" si="51"/>
        <v>0</v>
      </c>
      <c r="CD101">
        <f t="shared" ca="1" si="52"/>
        <v>0</v>
      </c>
      <c r="CE101">
        <f t="shared" ca="1" si="53"/>
        <v>0</v>
      </c>
      <c r="CF101">
        <f t="shared" ca="1" si="54"/>
        <v>0</v>
      </c>
      <c r="CG101">
        <f t="shared" ca="1" si="55"/>
        <v>0</v>
      </c>
      <c r="CH101" s="10">
        <f>分析データ!A101</f>
        <v>45070</v>
      </c>
    </row>
    <row r="102" spans="46:86">
      <c r="AT102" t="str">
        <f ca="1">IF(ROW()&lt;($C$7+1),"",IFERROR((分析データ!B102-AVERAGE(OFFSET(分析データ!B$1,MAX(1,ROW()-$C$7),0,MIN($C$7,ROW()-1),1)))/STDEV(OFFSET(分析データ!B$1,MAX(1,ROW()-$C$7),0,MIN($C$7,ROW()-1),1)),0))</f>
        <v/>
      </c>
      <c r="AU102">
        <f t="shared" ca="1" si="28"/>
        <v>0</v>
      </c>
      <c r="AV102" t="str">
        <f ca="1">IF(AU102=1,IF(INDEX(分析データ!$A:$A,ROW()+$C$5)&lt;&gt;"",80000*SIGN(AT102)*(分析データ!B102-INDEX(分析データ!B:B,ROW()+$C$5)),""),"")</f>
        <v/>
      </c>
      <c r="AW102">
        <f t="shared" ca="1" si="29"/>
        <v>0</v>
      </c>
      <c r="AX102">
        <f t="shared" ca="1" si="30"/>
        <v>0</v>
      </c>
      <c r="AY102">
        <f t="shared" ca="1" si="31"/>
        <v>0</v>
      </c>
      <c r="AZ102" t="str">
        <f ca="1">IF(ROW()&lt;($C$7+1),"",IFERROR((分析データ!C102-AVERAGE(OFFSET(分析データ!C$1,MAX(1,ROW()-$C$7),0,MIN($C$7,ROW()-1),1)))/STDEV(OFFSET(分析データ!C$1,MAX(1,ROW()-$C$7),0,MIN($C$7,ROW()-1),1)),0))</f>
        <v/>
      </c>
      <c r="BA102">
        <f t="shared" ca="1" si="32"/>
        <v>0</v>
      </c>
      <c r="BB102" t="str">
        <f ca="1">IF(BA102=1,IF(INDEX(分析データ!$A:$A,ROW()+$C$5)&lt;&gt;"",60000*SIGN(AZ102)*(分析データ!C102-INDEX(分析データ!C:C,ROW()+$C$5)),""),"")</f>
        <v/>
      </c>
      <c r="BC102">
        <f t="shared" ca="1" si="33"/>
        <v>0</v>
      </c>
      <c r="BD102">
        <f t="shared" ca="1" si="34"/>
        <v>0</v>
      </c>
      <c r="BE102">
        <f t="shared" ca="1" si="35"/>
        <v>0</v>
      </c>
      <c r="BF102" t="str">
        <f ca="1">IF(ROW()&lt;($C$7+1),"",IFERROR((分析データ!D102-AVERAGE(OFFSET(分析データ!D$1,MAX(1,ROW()-$C$7),0,MIN($C$7,ROW()-1),1)))/STDEV(OFFSET(分析データ!D$1,MAX(1,ROW()-$C$7),0,MIN($C$7,ROW()-1),1)),0))</f>
        <v/>
      </c>
      <c r="BG102">
        <f t="shared" ca="1" si="36"/>
        <v>0</v>
      </c>
      <c r="BH102" t="str">
        <f ca="1">IF(BG102=1,IF(INDEX(分析データ!$A:$A,ROW()+$C$5)&lt;&gt;"",50000*SIGN(BF102)*(分析データ!D102-INDEX(分析データ!D:D,ROW()+$C$5)),""),"")</f>
        <v/>
      </c>
      <c r="BI102">
        <f t="shared" ca="1" si="37"/>
        <v>0</v>
      </c>
      <c r="BJ102">
        <f t="shared" ca="1" si="38"/>
        <v>0</v>
      </c>
      <c r="BK102">
        <f t="shared" ca="1" si="39"/>
        <v>0</v>
      </c>
      <c r="BL102" t="str">
        <f ca="1">IF(ROW()&lt;($C$7+1),"",IFERROR((分析データ!E102-AVERAGE(OFFSET(分析データ!E$1,MAX(1,ROW()-$C$7),0,MIN($C$7,ROW()-1),1)))/STDEV(OFFSET(分析データ!E$1,MAX(1,ROW()-$C$7),0,MIN($C$7,ROW()-1),1)),0))</f>
        <v/>
      </c>
      <c r="BM102">
        <f t="shared" ca="1" si="40"/>
        <v>0</v>
      </c>
      <c r="BN102" t="str">
        <f ca="1">IF(BM102=1,IF(INDEX(分析データ!$A:$A,ROW()+$C$5)&lt;&gt;"",40000*SIGN(BL102)*(分析データ!E102-INDEX(分析データ!E:E,ROW()+$C$5)),""),"")</f>
        <v/>
      </c>
      <c r="BO102">
        <f t="shared" ca="1" si="41"/>
        <v>0</v>
      </c>
      <c r="BP102">
        <f t="shared" ca="1" si="42"/>
        <v>0</v>
      </c>
      <c r="BQ102">
        <f t="shared" ca="1" si="43"/>
        <v>0</v>
      </c>
      <c r="BR102" t="str">
        <f ca="1">IF(ROW()&lt;($C$7+1),"",IFERROR((分析データ!F102-AVERAGE(OFFSET(分析データ!F$1,MAX(1,ROW()-$C$7),0,MIN($C$7,ROW()-1),1)))/STDEV(OFFSET(分析データ!F$1,MAX(1,ROW()-$C$7),0,MIN($C$7,ROW()-1),1)),0))</f>
        <v/>
      </c>
      <c r="BS102">
        <f t="shared" ca="1" si="44"/>
        <v>0</v>
      </c>
      <c r="BT102" t="str">
        <f ca="1">IF(BS102=1,IF(INDEX(分析データ!$A:$A,ROW()+$C$5)&lt;&gt;"",40000*SIGN(BR102)*(分析データ!F102-INDEX(分析データ!F:F,ROW()+$C$5)),""),"")</f>
        <v/>
      </c>
      <c r="BU102">
        <f t="shared" ca="1" si="45"/>
        <v>0</v>
      </c>
      <c r="BV102">
        <f t="shared" ca="1" si="46"/>
        <v>0</v>
      </c>
      <c r="BW102">
        <f t="shared" ca="1" si="47"/>
        <v>0</v>
      </c>
      <c r="BX102" t="str">
        <f ca="1">IF(ROW()&lt;($C$7+1),"",IFERROR((分析データ!G102-AVERAGE(OFFSET(分析データ!G$1,MAX(1,ROW()-$C$7),0,MIN($C$7,ROW()-1),1)))/STDEV(OFFSET(分析データ!G$1,MAX(1,ROW()-$C$7),0,MIN($C$7,ROW()-1),1)),0))</f>
        <v/>
      </c>
      <c r="BY102">
        <f t="shared" ca="1" si="48"/>
        <v>0</v>
      </c>
      <c r="BZ102" t="str">
        <f ca="1">IF(BY102=1,IF(INDEX(分析データ!$A:$A,ROW()+$C$5)&lt;&gt;"",40000*SIGN(BX102)*(分析データ!G102-INDEX(分析データ!G:G,ROW()+$C$5)),""),"")</f>
        <v/>
      </c>
      <c r="CA102">
        <f t="shared" ca="1" si="49"/>
        <v>0</v>
      </c>
      <c r="CB102">
        <f t="shared" ca="1" si="50"/>
        <v>0</v>
      </c>
      <c r="CC102">
        <f t="shared" ca="1" si="51"/>
        <v>0</v>
      </c>
      <c r="CD102">
        <f t="shared" ca="1" si="52"/>
        <v>0</v>
      </c>
      <c r="CE102">
        <f t="shared" ca="1" si="53"/>
        <v>0</v>
      </c>
      <c r="CF102">
        <f t="shared" ca="1" si="54"/>
        <v>0</v>
      </c>
      <c r="CG102">
        <f t="shared" ca="1" si="55"/>
        <v>0</v>
      </c>
      <c r="CH102" s="10">
        <f>分析データ!A102</f>
        <v>45071</v>
      </c>
    </row>
    <row r="103" spans="46:86">
      <c r="AT103" t="str">
        <f ca="1">IF(ROW()&lt;($C$7+1),"",IFERROR((分析データ!B103-AVERAGE(OFFSET(分析データ!B$1,MAX(1,ROW()-$C$7),0,MIN($C$7,ROW()-1),1)))/STDEV(OFFSET(分析データ!B$1,MAX(1,ROW()-$C$7),0,MIN($C$7,ROW()-1),1)),0))</f>
        <v/>
      </c>
      <c r="AU103">
        <f t="shared" ca="1" si="28"/>
        <v>0</v>
      </c>
      <c r="AV103" t="str">
        <f ca="1">IF(AU103=1,IF(INDEX(分析データ!$A:$A,ROW()+$C$5)&lt;&gt;"",80000*SIGN(AT103)*(分析データ!B103-INDEX(分析データ!B:B,ROW()+$C$5)),""),"")</f>
        <v/>
      </c>
      <c r="AW103">
        <f t="shared" ca="1" si="29"/>
        <v>0</v>
      </c>
      <c r="AX103">
        <f t="shared" ca="1" si="30"/>
        <v>0</v>
      </c>
      <c r="AY103">
        <f t="shared" ca="1" si="31"/>
        <v>0</v>
      </c>
      <c r="AZ103" t="str">
        <f ca="1">IF(ROW()&lt;($C$7+1),"",IFERROR((分析データ!C103-AVERAGE(OFFSET(分析データ!C$1,MAX(1,ROW()-$C$7),0,MIN($C$7,ROW()-1),1)))/STDEV(OFFSET(分析データ!C$1,MAX(1,ROW()-$C$7),0,MIN($C$7,ROW()-1),1)),0))</f>
        <v/>
      </c>
      <c r="BA103">
        <f t="shared" ca="1" si="32"/>
        <v>0</v>
      </c>
      <c r="BB103" t="str">
        <f ca="1">IF(BA103=1,IF(INDEX(分析データ!$A:$A,ROW()+$C$5)&lt;&gt;"",60000*SIGN(AZ103)*(分析データ!C103-INDEX(分析データ!C:C,ROW()+$C$5)),""),"")</f>
        <v/>
      </c>
      <c r="BC103">
        <f t="shared" ca="1" si="33"/>
        <v>0</v>
      </c>
      <c r="BD103">
        <f t="shared" ca="1" si="34"/>
        <v>0</v>
      </c>
      <c r="BE103">
        <f t="shared" ca="1" si="35"/>
        <v>0</v>
      </c>
      <c r="BF103" t="str">
        <f ca="1">IF(ROW()&lt;($C$7+1),"",IFERROR((分析データ!D103-AVERAGE(OFFSET(分析データ!D$1,MAX(1,ROW()-$C$7),0,MIN($C$7,ROW()-1),1)))/STDEV(OFFSET(分析データ!D$1,MAX(1,ROW()-$C$7),0,MIN($C$7,ROW()-1),1)),0))</f>
        <v/>
      </c>
      <c r="BG103">
        <f t="shared" ca="1" si="36"/>
        <v>0</v>
      </c>
      <c r="BH103" t="str">
        <f ca="1">IF(BG103=1,IF(INDEX(分析データ!$A:$A,ROW()+$C$5)&lt;&gt;"",50000*SIGN(BF103)*(分析データ!D103-INDEX(分析データ!D:D,ROW()+$C$5)),""),"")</f>
        <v/>
      </c>
      <c r="BI103">
        <f t="shared" ca="1" si="37"/>
        <v>0</v>
      </c>
      <c r="BJ103">
        <f t="shared" ca="1" si="38"/>
        <v>0</v>
      </c>
      <c r="BK103">
        <f t="shared" ca="1" si="39"/>
        <v>0</v>
      </c>
      <c r="BL103" t="str">
        <f ca="1">IF(ROW()&lt;($C$7+1),"",IFERROR((分析データ!E103-AVERAGE(OFFSET(分析データ!E$1,MAX(1,ROW()-$C$7),0,MIN($C$7,ROW()-1),1)))/STDEV(OFFSET(分析データ!E$1,MAX(1,ROW()-$C$7),0,MIN($C$7,ROW()-1),1)),0))</f>
        <v/>
      </c>
      <c r="BM103">
        <f t="shared" ca="1" si="40"/>
        <v>0</v>
      </c>
      <c r="BN103" t="str">
        <f ca="1">IF(BM103=1,IF(INDEX(分析データ!$A:$A,ROW()+$C$5)&lt;&gt;"",40000*SIGN(BL103)*(分析データ!E103-INDEX(分析データ!E:E,ROW()+$C$5)),""),"")</f>
        <v/>
      </c>
      <c r="BO103">
        <f t="shared" ca="1" si="41"/>
        <v>0</v>
      </c>
      <c r="BP103">
        <f t="shared" ca="1" si="42"/>
        <v>0</v>
      </c>
      <c r="BQ103">
        <f t="shared" ca="1" si="43"/>
        <v>0</v>
      </c>
      <c r="BR103" t="str">
        <f ca="1">IF(ROW()&lt;($C$7+1),"",IFERROR((分析データ!F103-AVERAGE(OFFSET(分析データ!F$1,MAX(1,ROW()-$C$7),0,MIN($C$7,ROW()-1),1)))/STDEV(OFFSET(分析データ!F$1,MAX(1,ROW()-$C$7),0,MIN($C$7,ROW()-1),1)),0))</f>
        <v/>
      </c>
      <c r="BS103">
        <f t="shared" ca="1" si="44"/>
        <v>0</v>
      </c>
      <c r="BT103" t="str">
        <f ca="1">IF(BS103=1,IF(INDEX(分析データ!$A:$A,ROW()+$C$5)&lt;&gt;"",40000*SIGN(BR103)*(分析データ!F103-INDEX(分析データ!F:F,ROW()+$C$5)),""),"")</f>
        <v/>
      </c>
      <c r="BU103">
        <f t="shared" ca="1" si="45"/>
        <v>0</v>
      </c>
      <c r="BV103">
        <f t="shared" ca="1" si="46"/>
        <v>0</v>
      </c>
      <c r="BW103">
        <f t="shared" ca="1" si="47"/>
        <v>0</v>
      </c>
      <c r="BX103" t="str">
        <f ca="1">IF(ROW()&lt;($C$7+1),"",IFERROR((分析データ!G103-AVERAGE(OFFSET(分析データ!G$1,MAX(1,ROW()-$C$7),0,MIN($C$7,ROW()-1),1)))/STDEV(OFFSET(分析データ!G$1,MAX(1,ROW()-$C$7),0,MIN($C$7,ROW()-1),1)),0))</f>
        <v/>
      </c>
      <c r="BY103">
        <f t="shared" ca="1" si="48"/>
        <v>0</v>
      </c>
      <c r="BZ103" t="str">
        <f ca="1">IF(BY103=1,IF(INDEX(分析データ!$A:$A,ROW()+$C$5)&lt;&gt;"",40000*SIGN(BX103)*(分析データ!G103-INDEX(分析データ!G:G,ROW()+$C$5)),""),"")</f>
        <v/>
      </c>
      <c r="CA103">
        <f t="shared" ca="1" si="49"/>
        <v>0</v>
      </c>
      <c r="CB103">
        <f t="shared" ca="1" si="50"/>
        <v>0</v>
      </c>
      <c r="CC103">
        <f t="shared" ca="1" si="51"/>
        <v>0</v>
      </c>
      <c r="CD103">
        <f t="shared" ca="1" si="52"/>
        <v>0</v>
      </c>
      <c r="CE103">
        <f t="shared" ca="1" si="53"/>
        <v>0</v>
      </c>
      <c r="CF103">
        <f t="shared" ca="1" si="54"/>
        <v>0</v>
      </c>
      <c r="CG103">
        <f t="shared" ca="1" si="55"/>
        <v>0</v>
      </c>
      <c r="CH103" s="10">
        <f>分析データ!A103</f>
        <v>45072</v>
      </c>
    </row>
    <row r="104" spans="46:86">
      <c r="AT104" t="str">
        <f ca="1">IF(ROW()&lt;($C$7+1),"",IFERROR((分析データ!B104-AVERAGE(OFFSET(分析データ!B$1,MAX(1,ROW()-$C$7),0,MIN($C$7,ROW()-1),1)))/STDEV(OFFSET(分析データ!B$1,MAX(1,ROW()-$C$7),0,MIN($C$7,ROW()-1),1)),0))</f>
        <v/>
      </c>
      <c r="AU104">
        <f t="shared" ca="1" si="28"/>
        <v>0</v>
      </c>
      <c r="AV104" t="str">
        <f ca="1">IF(AU104=1,IF(INDEX(分析データ!$A:$A,ROW()+$C$5)&lt;&gt;"",80000*SIGN(AT104)*(分析データ!B104-INDEX(分析データ!B:B,ROW()+$C$5)),""),"")</f>
        <v/>
      </c>
      <c r="AW104">
        <f t="shared" ca="1" si="29"/>
        <v>0</v>
      </c>
      <c r="AX104">
        <f t="shared" ca="1" si="30"/>
        <v>0</v>
      </c>
      <c r="AY104">
        <f t="shared" ca="1" si="31"/>
        <v>0</v>
      </c>
      <c r="AZ104" t="str">
        <f ca="1">IF(ROW()&lt;($C$7+1),"",IFERROR((分析データ!C104-AVERAGE(OFFSET(分析データ!C$1,MAX(1,ROW()-$C$7),0,MIN($C$7,ROW()-1),1)))/STDEV(OFFSET(分析データ!C$1,MAX(1,ROW()-$C$7),0,MIN($C$7,ROW()-1),1)),0))</f>
        <v/>
      </c>
      <c r="BA104">
        <f t="shared" ca="1" si="32"/>
        <v>0</v>
      </c>
      <c r="BB104" t="str">
        <f ca="1">IF(BA104=1,IF(INDEX(分析データ!$A:$A,ROW()+$C$5)&lt;&gt;"",60000*SIGN(AZ104)*(分析データ!C104-INDEX(分析データ!C:C,ROW()+$C$5)),""),"")</f>
        <v/>
      </c>
      <c r="BC104">
        <f t="shared" ca="1" si="33"/>
        <v>0</v>
      </c>
      <c r="BD104">
        <f t="shared" ca="1" si="34"/>
        <v>0</v>
      </c>
      <c r="BE104">
        <f t="shared" ca="1" si="35"/>
        <v>0</v>
      </c>
      <c r="BF104" t="str">
        <f ca="1">IF(ROW()&lt;($C$7+1),"",IFERROR((分析データ!D104-AVERAGE(OFFSET(分析データ!D$1,MAX(1,ROW()-$C$7),0,MIN($C$7,ROW()-1),1)))/STDEV(OFFSET(分析データ!D$1,MAX(1,ROW()-$C$7),0,MIN($C$7,ROW()-1),1)),0))</f>
        <v/>
      </c>
      <c r="BG104">
        <f t="shared" ca="1" si="36"/>
        <v>0</v>
      </c>
      <c r="BH104" t="str">
        <f ca="1">IF(BG104=1,IF(INDEX(分析データ!$A:$A,ROW()+$C$5)&lt;&gt;"",50000*SIGN(BF104)*(分析データ!D104-INDEX(分析データ!D:D,ROW()+$C$5)),""),"")</f>
        <v/>
      </c>
      <c r="BI104">
        <f t="shared" ca="1" si="37"/>
        <v>0</v>
      </c>
      <c r="BJ104">
        <f t="shared" ca="1" si="38"/>
        <v>0</v>
      </c>
      <c r="BK104">
        <f t="shared" ca="1" si="39"/>
        <v>0</v>
      </c>
      <c r="BL104" t="str">
        <f ca="1">IF(ROW()&lt;($C$7+1),"",IFERROR((分析データ!E104-AVERAGE(OFFSET(分析データ!E$1,MAX(1,ROW()-$C$7),0,MIN($C$7,ROW()-1),1)))/STDEV(OFFSET(分析データ!E$1,MAX(1,ROW()-$C$7),0,MIN($C$7,ROW()-1),1)),0))</f>
        <v/>
      </c>
      <c r="BM104">
        <f t="shared" ca="1" si="40"/>
        <v>0</v>
      </c>
      <c r="BN104" t="str">
        <f ca="1">IF(BM104=1,IF(INDEX(分析データ!$A:$A,ROW()+$C$5)&lt;&gt;"",40000*SIGN(BL104)*(分析データ!E104-INDEX(分析データ!E:E,ROW()+$C$5)),""),"")</f>
        <v/>
      </c>
      <c r="BO104">
        <f t="shared" ca="1" si="41"/>
        <v>0</v>
      </c>
      <c r="BP104">
        <f t="shared" ca="1" si="42"/>
        <v>0</v>
      </c>
      <c r="BQ104">
        <f t="shared" ca="1" si="43"/>
        <v>0</v>
      </c>
      <c r="BR104" t="str">
        <f ca="1">IF(ROW()&lt;($C$7+1),"",IFERROR((分析データ!F104-AVERAGE(OFFSET(分析データ!F$1,MAX(1,ROW()-$C$7),0,MIN($C$7,ROW()-1),1)))/STDEV(OFFSET(分析データ!F$1,MAX(1,ROW()-$C$7),0,MIN($C$7,ROW()-1),1)),0))</f>
        <v/>
      </c>
      <c r="BS104">
        <f t="shared" ca="1" si="44"/>
        <v>0</v>
      </c>
      <c r="BT104" t="str">
        <f ca="1">IF(BS104=1,IF(INDEX(分析データ!$A:$A,ROW()+$C$5)&lt;&gt;"",40000*SIGN(BR104)*(分析データ!F104-INDEX(分析データ!F:F,ROW()+$C$5)),""),"")</f>
        <v/>
      </c>
      <c r="BU104">
        <f t="shared" ca="1" si="45"/>
        <v>0</v>
      </c>
      <c r="BV104">
        <f t="shared" ca="1" si="46"/>
        <v>0</v>
      </c>
      <c r="BW104">
        <f t="shared" ca="1" si="47"/>
        <v>0</v>
      </c>
      <c r="BX104" t="str">
        <f ca="1">IF(ROW()&lt;($C$7+1),"",IFERROR((分析データ!G104-AVERAGE(OFFSET(分析データ!G$1,MAX(1,ROW()-$C$7),0,MIN($C$7,ROW()-1),1)))/STDEV(OFFSET(分析データ!G$1,MAX(1,ROW()-$C$7),0,MIN($C$7,ROW()-1),1)),0))</f>
        <v/>
      </c>
      <c r="BY104">
        <f t="shared" ca="1" si="48"/>
        <v>0</v>
      </c>
      <c r="BZ104" t="str">
        <f ca="1">IF(BY104=1,IF(INDEX(分析データ!$A:$A,ROW()+$C$5)&lt;&gt;"",40000*SIGN(BX104)*(分析データ!G104-INDEX(分析データ!G:G,ROW()+$C$5)),""),"")</f>
        <v/>
      </c>
      <c r="CA104">
        <f t="shared" ca="1" si="49"/>
        <v>0</v>
      </c>
      <c r="CB104">
        <f t="shared" ca="1" si="50"/>
        <v>0</v>
      </c>
      <c r="CC104">
        <f t="shared" ca="1" si="51"/>
        <v>0</v>
      </c>
      <c r="CD104">
        <f t="shared" ca="1" si="52"/>
        <v>0</v>
      </c>
      <c r="CE104">
        <f t="shared" ca="1" si="53"/>
        <v>0</v>
      </c>
      <c r="CF104">
        <f t="shared" ca="1" si="54"/>
        <v>0</v>
      </c>
      <c r="CG104">
        <f t="shared" ca="1" si="55"/>
        <v>0</v>
      </c>
      <c r="CH104" s="10">
        <f>分析データ!A104</f>
        <v>45076</v>
      </c>
    </row>
    <row r="105" spans="46:86">
      <c r="AT105" t="str">
        <f ca="1">IF(ROW()&lt;($C$7+1),"",IFERROR((分析データ!B105-AVERAGE(OFFSET(分析データ!B$1,MAX(1,ROW()-$C$7),0,MIN($C$7,ROW()-1),1)))/STDEV(OFFSET(分析データ!B$1,MAX(1,ROW()-$C$7),0,MIN($C$7,ROW()-1),1)),0))</f>
        <v/>
      </c>
      <c r="AU105">
        <f t="shared" ca="1" si="28"/>
        <v>0</v>
      </c>
      <c r="AV105" t="str">
        <f ca="1">IF(AU105=1,IF(INDEX(分析データ!$A:$A,ROW()+$C$5)&lt;&gt;"",80000*SIGN(AT105)*(分析データ!B105-INDEX(分析データ!B:B,ROW()+$C$5)),""),"")</f>
        <v/>
      </c>
      <c r="AW105">
        <f t="shared" ca="1" si="29"/>
        <v>0</v>
      </c>
      <c r="AX105">
        <f t="shared" ca="1" si="30"/>
        <v>0</v>
      </c>
      <c r="AY105">
        <f t="shared" ca="1" si="31"/>
        <v>0</v>
      </c>
      <c r="AZ105" t="str">
        <f ca="1">IF(ROW()&lt;($C$7+1),"",IFERROR((分析データ!C105-AVERAGE(OFFSET(分析データ!C$1,MAX(1,ROW()-$C$7),0,MIN($C$7,ROW()-1),1)))/STDEV(OFFSET(分析データ!C$1,MAX(1,ROW()-$C$7),0,MIN($C$7,ROW()-1),1)),0))</f>
        <v/>
      </c>
      <c r="BA105">
        <f t="shared" ca="1" si="32"/>
        <v>0</v>
      </c>
      <c r="BB105" t="str">
        <f ca="1">IF(BA105=1,IF(INDEX(分析データ!$A:$A,ROW()+$C$5)&lt;&gt;"",60000*SIGN(AZ105)*(分析データ!C105-INDEX(分析データ!C:C,ROW()+$C$5)),""),"")</f>
        <v/>
      </c>
      <c r="BC105">
        <f t="shared" ca="1" si="33"/>
        <v>0</v>
      </c>
      <c r="BD105">
        <f t="shared" ca="1" si="34"/>
        <v>0</v>
      </c>
      <c r="BE105">
        <f t="shared" ca="1" si="35"/>
        <v>0</v>
      </c>
      <c r="BF105" t="str">
        <f ca="1">IF(ROW()&lt;($C$7+1),"",IFERROR((分析データ!D105-AVERAGE(OFFSET(分析データ!D$1,MAX(1,ROW()-$C$7),0,MIN($C$7,ROW()-1),1)))/STDEV(OFFSET(分析データ!D$1,MAX(1,ROW()-$C$7),0,MIN($C$7,ROW()-1),1)),0))</f>
        <v/>
      </c>
      <c r="BG105">
        <f t="shared" ca="1" si="36"/>
        <v>0</v>
      </c>
      <c r="BH105" t="str">
        <f ca="1">IF(BG105=1,IF(INDEX(分析データ!$A:$A,ROW()+$C$5)&lt;&gt;"",50000*SIGN(BF105)*(分析データ!D105-INDEX(分析データ!D:D,ROW()+$C$5)),""),"")</f>
        <v/>
      </c>
      <c r="BI105">
        <f t="shared" ca="1" si="37"/>
        <v>0</v>
      </c>
      <c r="BJ105">
        <f t="shared" ca="1" si="38"/>
        <v>0</v>
      </c>
      <c r="BK105">
        <f t="shared" ca="1" si="39"/>
        <v>0</v>
      </c>
      <c r="BL105" t="str">
        <f ca="1">IF(ROW()&lt;($C$7+1),"",IFERROR((分析データ!E105-AVERAGE(OFFSET(分析データ!E$1,MAX(1,ROW()-$C$7),0,MIN($C$7,ROW()-1),1)))/STDEV(OFFSET(分析データ!E$1,MAX(1,ROW()-$C$7),0,MIN($C$7,ROW()-1),1)),0))</f>
        <v/>
      </c>
      <c r="BM105">
        <f t="shared" ca="1" si="40"/>
        <v>0</v>
      </c>
      <c r="BN105" t="str">
        <f ca="1">IF(BM105=1,IF(INDEX(分析データ!$A:$A,ROW()+$C$5)&lt;&gt;"",40000*SIGN(BL105)*(分析データ!E105-INDEX(分析データ!E:E,ROW()+$C$5)),""),"")</f>
        <v/>
      </c>
      <c r="BO105">
        <f t="shared" ca="1" si="41"/>
        <v>0</v>
      </c>
      <c r="BP105">
        <f t="shared" ca="1" si="42"/>
        <v>0</v>
      </c>
      <c r="BQ105">
        <f t="shared" ca="1" si="43"/>
        <v>0</v>
      </c>
      <c r="BR105" t="str">
        <f ca="1">IF(ROW()&lt;($C$7+1),"",IFERROR((分析データ!F105-AVERAGE(OFFSET(分析データ!F$1,MAX(1,ROW()-$C$7),0,MIN($C$7,ROW()-1),1)))/STDEV(OFFSET(分析データ!F$1,MAX(1,ROW()-$C$7),0,MIN($C$7,ROW()-1),1)),0))</f>
        <v/>
      </c>
      <c r="BS105">
        <f t="shared" ca="1" si="44"/>
        <v>0</v>
      </c>
      <c r="BT105" t="str">
        <f ca="1">IF(BS105=1,IF(INDEX(分析データ!$A:$A,ROW()+$C$5)&lt;&gt;"",40000*SIGN(BR105)*(分析データ!F105-INDEX(分析データ!F:F,ROW()+$C$5)),""),"")</f>
        <v/>
      </c>
      <c r="BU105">
        <f t="shared" ca="1" si="45"/>
        <v>0</v>
      </c>
      <c r="BV105">
        <f t="shared" ca="1" si="46"/>
        <v>0</v>
      </c>
      <c r="BW105">
        <f t="shared" ca="1" si="47"/>
        <v>0</v>
      </c>
      <c r="BX105" t="str">
        <f ca="1">IF(ROW()&lt;($C$7+1),"",IFERROR((分析データ!G105-AVERAGE(OFFSET(分析データ!G$1,MAX(1,ROW()-$C$7),0,MIN($C$7,ROW()-1),1)))/STDEV(OFFSET(分析データ!G$1,MAX(1,ROW()-$C$7),0,MIN($C$7,ROW()-1),1)),0))</f>
        <v/>
      </c>
      <c r="BY105">
        <f t="shared" ca="1" si="48"/>
        <v>0</v>
      </c>
      <c r="BZ105" t="str">
        <f ca="1">IF(BY105=1,IF(INDEX(分析データ!$A:$A,ROW()+$C$5)&lt;&gt;"",40000*SIGN(BX105)*(分析データ!G105-INDEX(分析データ!G:G,ROW()+$C$5)),""),"")</f>
        <v/>
      </c>
      <c r="CA105">
        <f t="shared" ca="1" si="49"/>
        <v>0</v>
      </c>
      <c r="CB105">
        <f t="shared" ca="1" si="50"/>
        <v>0</v>
      </c>
      <c r="CC105">
        <f t="shared" ca="1" si="51"/>
        <v>0</v>
      </c>
      <c r="CD105">
        <f t="shared" ca="1" si="52"/>
        <v>0</v>
      </c>
      <c r="CE105">
        <f t="shared" ca="1" si="53"/>
        <v>0</v>
      </c>
      <c r="CF105">
        <f t="shared" ca="1" si="54"/>
        <v>0</v>
      </c>
      <c r="CG105">
        <f t="shared" ca="1" si="55"/>
        <v>0</v>
      </c>
      <c r="CH105" s="10">
        <f>分析データ!A105</f>
        <v>45077</v>
      </c>
    </row>
    <row r="106" spans="46:86">
      <c r="AT106" t="str">
        <f ca="1">IF(ROW()&lt;($C$7+1),"",IFERROR((分析データ!B106-AVERAGE(OFFSET(分析データ!B$1,MAX(1,ROW()-$C$7),0,MIN($C$7,ROW()-1),1)))/STDEV(OFFSET(分析データ!B$1,MAX(1,ROW()-$C$7),0,MIN($C$7,ROW()-1),1)),0))</f>
        <v/>
      </c>
      <c r="AU106">
        <f t="shared" ca="1" si="28"/>
        <v>0</v>
      </c>
      <c r="AV106" t="str">
        <f ca="1">IF(AU106=1,IF(INDEX(分析データ!$A:$A,ROW()+$C$5)&lt;&gt;"",80000*SIGN(AT106)*(分析データ!B106-INDEX(分析データ!B:B,ROW()+$C$5)),""),"")</f>
        <v/>
      </c>
      <c r="AW106">
        <f t="shared" ca="1" si="29"/>
        <v>0</v>
      </c>
      <c r="AX106">
        <f t="shared" ca="1" si="30"/>
        <v>0</v>
      </c>
      <c r="AY106">
        <f t="shared" ca="1" si="31"/>
        <v>0</v>
      </c>
      <c r="AZ106" t="str">
        <f ca="1">IF(ROW()&lt;($C$7+1),"",IFERROR((分析データ!C106-AVERAGE(OFFSET(分析データ!C$1,MAX(1,ROW()-$C$7),0,MIN($C$7,ROW()-1),1)))/STDEV(OFFSET(分析データ!C$1,MAX(1,ROW()-$C$7),0,MIN($C$7,ROW()-1),1)),0))</f>
        <v/>
      </c>
      <c r="BA106">
        <f t="shared" ca="1" si="32"/>
        <v>0</v>
      </c>
      <c r="BB106" t="str">
        <f ca="1">IF(BA106=1,IF(INDEX(分析データ!$A:$A,ROW()+$C$5)&lt;&gt;"",60000*SIGN(AZ106)*(分析データ!C106-INDEX(分析データ!C:C,ROW()+$C$5)),""),"")</f>
        <v/>
      </c>
      <c r="BC106">
        <f t="shared" ca="1" si="33"/>
        <v>0</v>
      </c>
      <c r="BD106">
        <f t="shared" ca="1" si="34"/>
        <v>0</v>
      </c>
      <c r="BE106">
        <f t="shared" ca="1" si="35"/>
        <v>0</v>
      </c>
      <c r="BF106" t="str">
        <f ca="1">IF(ROW()&lt;($C$7+1),"",IFERROR((分析データ!D106-AVERAGE(OFFSET(分析データ!D$1,MAX(1,ROW()-$C$7),0,MIN($C$7,ROW()-1),1)))/STDEV(OFFSET(分析データ!D$1,MAX(1,ROW()-$C$7),0,MIN($C$7,ROW()-1),1)),0))</f>
        <v/>
      </c>
      <c r="BG106">
        <f t="shared" ca="1" si="36"/>
        <v>0</v>
      </c>
      <c r="BH106" t="str">
        <f ca="1">IF(BG106=1,IF(INDEX(分析データ!$A:$A,ROW()+$C$5)&lt;&gt;"",50000*SIGN(BF106)*(分析データ!D106-INDEX(分析データ!D:D,ROW()+$C$5)),""),"")</f>
        <v/>
      </c>
      <c r="BI106">
        <f t="shared" ca="1" si="37"/>
        <v>0</v>
      </c>
      <c r="BJ106">
        <f t="shared" ca="1" si="38"/>
        <v>0</v>
      </c>
      <c r="BK106">
        <f t="shared" ca="1" si="39"/>
        <v>0</v>
      </c>
      <c r="BL106" t="str">
        <f ca="1">IF(ROW()&lt;($C$7+1),"",IFERROR((分析データ!E106-AVERAGE(OFFSET(分析データ!E$1,MAX(1,ROW()-$C$7),0,MIN($C$7,ROW()-1),1)))/STDEV(OFFSET(分析データ!E$1,MAX(1,ROW()-$C$7),0,MIN($C$7,ROW()-1),1)),0))</f>
        <v/>
      </c>
      <c r="BM106">
        <f t="shared" ca="1" si="40"/>
        <v>0</v>
      </c>
      <c r="BN106" t="str">
        <f ca="1">IF(BM106=1,IF(INDEX(分析データ!$A:$A,ROW()+$C$5)&lt;&gt;"",40000*SIGN(BL106)*(分析データ!E106-INDEX(分析データ!E:E,ROW()+$C$5)),""),"")</f>
        <v/>
      </c>
      <c r="BO106">
        <f t="shared" ca="1" si="41"/>
        <v>0</v>
      </c>
      <c r="BP106">
        <f t="shared" ca="1" si="42"/>
        <v>0</v>
      </c>
      <c r="BQ106">
        <f t="shared" ca="1" si="43"/>
        <v>0</v>
      </c>
      <c r="BR106" t="str">
        <f ca="1">IF(ROW()&lt;($C$7+1),"",IFERROR((分析データ!F106-AVERAGE(OFFSET(分析データ!F$1,MAX(1,ROW()-$C$7),0,MIN($C$7,ROW()-1),1)))/STDEV(OFFSET(分析データ!F$1,MAX(1,ROW()-$C$7),0,MIN($C$7,ROW()-1),1)),0))</f>
        <v/>
      </c>
      <c r="BS106">
        <f t="shared" ca="1" si="44"/>
        <v>0</v>
      </c>
      <c r="BT106" t="str">
        <f ca="1">IF(BS106=1,IF(INDEX(分析データ!$A:$A,ROW()+$C$5)&lt;&gt;"",40000*SIGN(BR106)*(分析データ!F106-INDEX(分析データ!F:F,ROW()+$C$5)),""),"")</f>
        <v/>
      </c>
      <c r="BU106">
        <f t="shared" ca="1" si="45"/>
        <v>0</v>
      </c>
      <c r="BV106">
        <f t="shared" ca="1" si="46"/>
        <v>0</v>
      </c>
      <c r="BW106">
        <f t="shared" ca="1" si="47"/>
        <v>0</v>
      </c>
      <c r="BX106" t="str">
        <f ca="1">IF(ROW()&lt;($C$7+1),"",IFERROR((分析データ!G106-AVERAGE(OFFSET(分析データ!G$1,MAX(1,ROW()-$C$7),0,MIN($C$7,ROW()-1),1)))/STDEV(OFFSET(分析データ!G$1,MAX(1,ROW()-$C$7),0,MIN($C$7,ROW()-1),1)),0))</f>
        <v/>
      </c>
      <c r="BY106">
        <f t="shared" ca="1" si="48"/>
        <v>0</v>
      </c>
      <c r="BZ106" t="str">
        <f ca="1">IF(BY106=1,IF(INDEX(分析データ!$A:$A,ROW()+$C$5)&lt;&gt;"",40000*SIGN(BX106)*(分析データ!G106-INDEX(分析データ!G:G,ROW()+$C$5)),""),"")</f>
        <v/>
      </c>
      <c r="CA106">
        <f t="shared" ca="1" si="49"/>
        <v>0</v>
      </c>
      <c r="CB106">
        <f t="shared" ca="1" si="50"/>
        <v>0</v>
      </c>
      <c r="CC106">
        <f t="shared" ca="1" si="51"/>
        <v>0</v>
      </c>
      <c r="CD106">
        <f t="shared" ca="1" si="52"/>
        <v>0</v>
      </c>
      <c r="CE106">
        <f t="shared" ca="1" si="53"/>
        <v>0</v>
      </c>
      <c r="CF106">
        <f t="shared" ca="1" si="54"/>
        <v>0</v>
      </c>
      <c r="CG106">
        <f t="shared" ca="1" si="55"/>
        <v>0</v>
      </c>
      <c r="CH106" s="10">
        <f>分析データ!A106</f>
        <v>45078</v>
      </c>
    </row>
    <row r="107" spans="46:86">
      <c r="AT107" t="str">
        <f ca="1">IF(ROW()&lt;($C$7+1),"",IFERROR((分析データ!B107-AVERAGE(OFFSET(分析データ!B$1,MAX(1,ROW()-$C$7),0,MIN($C$7,ROW()-1),1)))/STDEV(OFFSET(分析データ!B$1,MAX(1,ROW()-$C$7),0,MIN($C$7,ROW()-1),1)),0))</f>
        <v/>
      </c>
      <c r="AU107">
        <f t="shared" ca="1" si="28"/>
        <v>0</v>
      </c>
      <c r="AV107" t="str">
        <f ca="1">IF(AU107=1,IF(INDEX(分析データ!$A:$A,ROW()+$C$5)&lt;&gt;"",80000*SIGN(AT107)*(分析データ!B107-INDEX(分析データ!B:B,ROW()+$C$5)),""),"")</f>
        <v/>
      </c>
      <c r="AW107">
        <f t="shared" ca="1" si="29"/>
        <v>0</v>
      </c>
      <c r="AX107">
        <f t="shared" ca="1" si="30"/>
        <v>0</v>
      </c>
      <c r="AY107">
        <f t="shared" ca="1" si="31"/>
        <v>0</v>
      </c>
      <c r="AZ107" t="str">
        <f ca="1">IF(ROW()&lt;($C$7+1),"",IFERROR((分析データ!C107-AVERAGE(OFFSET(分析データ!C$1,MAX(1,ROW()-$C$7),0,MIN($C$7,ROW()-1),1)))/STDEV(OFFSET(分析データ!C$1,MAX(1,ROW()-$C$7),0,MIN($C$7,ROW()-1),1)),0))</f>
        <v/>
      </c>
      <c r="BA107">
        <f t="shared" ca="1" si="32"/>
        <v>0</v>
      </c>
      <c r="BB107" t="str">
        <f ca="1">IF(BA107=1,IF(INDEX(分析データ!$A:$A,ROW()+$C$5)&lt;&gt;"",60000*SIGN(AZ107)*(分析データ!C107-INDEX(分析データ!C:C,ROW()+$C$5)),""),"")</f>
        <v/>
      </c>
      <c r="BC107">
        <f t="shared" ca="1" si="33"/>
        <v>0</v>
      </c>
      <c r="BD107">
        <f t="shared" ca="1" si="34"/>
        <v>0</v>
      </c>
      <c r="BE107">
        <f t="shared" ca="1" si="35"/>
        <v>0</v>
      </c>
      <c r="BF107" t="str">
        <f ca="1">IF(ROW()&lt;($C$7+1),"",IFERROR((分析データ!D107-AVERAGE(OFFSET(分析データ!D$1,MAX(1,ROW()-$C$7),0,MIN($C$7,ROW()-1),1)))/STDEV(OFFSET(分析データ!D$1,MAX(1,ROW()-$C$7),0,MIN($C$7,ROW()-1),1)),0))</f>
        <v/>
      </c>
      <c r="BG107">
        <f t="shared" ca="1" si="36"/>
        <v>0</v>
      </c>
      <c r="BH107" t="str">
        <f ca="1">IF(BG107=1,IF(INDEX(分析データ!$A:$A,ROW()+$C$5)&lt;&gt;"",50000*SIGN(BF107)*(分析データ!D107-INDEX(分析データ!D:D,ROW()+$C$5)),""),"")</f>
        <v/>
      </c>
      <c r="BI107">
        <f t="shared" ca="1" si="37"/>
        <v>0</v>
      </c>
      <c r="BJ107">
        <f t="shared" ca="1" si="38"/>
        <v>0</v>
      </c>
      <c r="BK107">
        <f t="shared" ca="1" si="39"/>
        <v>0</v>
      </c>
      <c r="BL107" t="str">
        <f ca="1">IF(ROW()&lt;($C$7+1),"",IFERROR((分析データ!E107-AVERAGE(OFFSET(分析データ!E$1,MAX(1,ROW()-$C$7),0,MIN($C$7,ROW()-1),1)))/STDEV(OFFSET(分析データ!E$1,MAX(1,ROW()-$C$7),0,MIN($C$7,ROW()-1),1)),0))</f>
        <v/>
      </c>
      <c r="BM107">
        <f t="shared" ca="1" si="40"/>
        <v>0</v>
      </c>
      <c r="BN107" t="str">
        <f ca="1">IF(BM107=1,IF(INDEX(分析データ!$A:$A,ROW()+$C$5)&lt;&gt;"",40000*SIGN(BL107)*(分析データ!E107-INDEX(分析データ!E:E,ROW()+$C$5)),""),"")</f>
        <v/>
      </c>
      <c r="BO107">
        <f t="shared" ca="1" si="41"/>
        <v>0</v>
      </c>
      <c r="BP107">
        <f t="shared" ca="1" si="42"/>
        <v>0</v>
      </c>
      <c r="BQ107">
        <f t="shared" ca="1" si="43"/>
        <v>0</v>
      </c>
      <c r="BR107" t="str">
        <f ca="1">IF(ROW()&lt;($C$7+1),"",IFERROR((分析データ!F107-AVERAGE(OFFSET(分析データ!F$1,MAX(1,ROW()-$C$7),0,MIN($C$7,ROW()-1),1)))/STDEV(OFFSET(分析データ!F$1,MAX(1,ROW()-$C$7),0,MIN($C$7,ROW()-1),1)),0))</f>
        <v/>
      </c>
      <c r="BS107">
        <f t="shared" ca="1" si="44"/>
        <v>0</v>
      </c>
      <c r="BT107" t="str">
        <f ca="1">IF(BS107=1,IF(INDEX(分析データ!$A:$A,ROW()+$C$5)&lt;&gt;"",40000*SIGN(BR107)*(分析データ!F107-INDEX(分析データ!F:F,ROW()+$C$5)),""),"")</f>
        <v/>
      </c>
      <c r="BU107">
        <f t="shared" ca="1" si="45"/>
        <v>0</v>
      </c>
      <c r="BV107">
        <f t="shared" ca="1" si="46"/>
        <v>0</v>
      </c>
      <c r="BW107">
        <f t="shared" ca="1" si="47"/>
        <v>0</v>
      </c>
      <c r="BX107" t="str">
        <f ca="1">IF(ROW()&lt;($C$7+1),"",IFERROR((分析データ!G107-AVERAGE(OFFSET(分析データ!G$1,MAX(1,ROW()-$C$7),0,MIN($C$7,ROW()-1),1)))/STDEV(OFFSET(分析データ!G$1,MAX(1,ROW()-$C$7),0,MIN($C$7,ROW()-1),1)),0))</f>
        <v/>
      </c>
      <c r="BY107">
        <f t="shared" ca="1" si="48"/>
        <v>0</v>
      </c>
      <c r="BZ107" t="str">
        <f ca="1">IF(BY107=1,IF(INDEX(分析データ!$A:$A,ROW()+$C$5)&lt;&gt;"",40000*SIGN(BX107)*(分析データ!G107-INDEX(分析データ!G:G,ROW()+$C$5)),""),"")</f>
        <v/>
      </c>
      <c r="CA107">
        <f t="shared" ca="1" si="49"/>
        <v>0</v>
      </c>
      <c r="CB107">
        <f t="shared" ca="1" si="50"/>
        <v>0</v>
      </c>
      <c r="CC107">
        <f t="shared" ca="1" si="51"/>
        <v>0</v>
      </c>
      <c r="CD107">
        <f t="shared" ca="1" si="52"/>
        <v>0</v>
      </c>
      <c r="CE107">
        <f t="shared" ca="1" si="53"/>
        <v>0</v>
      </c>
      <c r="CF107">
        <f t="shared" ca="1" si="54"/>
        <v>0</v>
      </c>
      <c r="CG107">
        <f t="shared" ca="1" si="55"/>
        <v>0</v>
      </c>
      <c r="CH107" s="10">
        <f>分析データ!A107</f>
        <v>45079</v>
      </c>
    </row>
    <row r="108" spans="46:86">
      <c r="AT108" t="str">
        <f ca="1">IF(ROW()&lt;($C$7+1),"",IFERROR((分析データ!B108-AVERAGE(OFFSET(分析データ!B$1,MAX(1,ROW()-$C$7),0,MIN($C$7,ROW()-1),1)))/STDEV(OFFSET(分析データ!B$1,MAX(1,ROW()-$C$7),0,MIN($C$7,ROW()-1),1)),0))</f>
        <v/>
      </c>
      <c r="AU108">
        <f t="shared" ca="1" si="28"/>
        <v>0</v>
      </c>
      <c r="AV108" t="str">
        <f ca="1">IF(AU108=1,IF(INDEX(分析データ!$A:$A,ROW()+$C$5)&lt;&gt;"",80000*SIGN(AT108)*(分析データ!B108-INDEX(分析データ!B:B,ROW()+$C$5)),""),"")</f>
        <v/>
      </c>
      <c r="AW108">
        <f t="shared" ca="1" si="29"/>
        <v>0</v>
      </c>
      <c r="AX108">
        <f t="shared" ca="1" si="30"/>
        <v>0</v>
      </c>
      <c r="AY108">
        <f t="shared" ca="1" si="31"/>
        <v>0</v>
      </c>
      <c r="AZ108" t="str">
        <f ca="1">IF(ROW()&lt;($C$7+1),"",IFERROR((分析データ!C108-AVERAGE(OFFSET(分析データ!C$1,MAX(1,ROW()-$C$7),0,MIN($C$7,ROW()-1),1)))/STDEV(OFFSET(分析データ!C$1,MAX(1,ROW()-$C$7),0,MIN($C$7,ROW()-1),1)),0))</f>
        <v/>
      </c>
      <c r="BA108">
        <f t="shared" ca="1" si="32"/>
        <v>0</v>
      </c>
      <c r="BB108" t="str">
        <f ca="1">IF(BA108=1,IF(INDEX(分析データ!$A:$A,ROW()+$C$5)&lt;&gt;"",60000*SIGN(AZ108)*(分析データ!C108-INDEX(分析データ!C:C,ROW()+$C$5)),""),"")</f>
        <v/>
      </c>
      <c r="BC108">
        <f t="shared" ca="1" si="33"/>
        <v>0</v>
      </c>
      <c r="BD108">
        <f t="shared" ca="1" si="34"/>
        <v>0</v>
      </c>
      <c r="BE108">
        <f t="shared" ca="1" si="35"/>
        <v>0</v>
      </c>
      <c r="BF108" t="str">
        <f ca="1">IF(ROW()&lt;($C$7+1),"",IFERROR((分析データ!D108-AVERAGE(OFFSET(分析データ!D$1,MAX(1,ROW()-$C$7),0,MIN($C$7,ROW()-1),1)))/STDEV(OFFSET(分析データ!D$1,MAX(1,ROW()-$C$7),0,MIN($C$7,ROW()-1),1)),0))</f>
        <v/>
      </c>
      <c r="BG108">
        <f t="shared" ca="1" si="36"/>
        <v>0</v>
      </c>
      <c r="BH108" t="str">
        <f ca="1">IF(BG108=1,IF(INDEX(分析データ!$A:$A,ROW()+$C$5)&lt;&gt;"",50000*SIGN(BF108)*(分析データ!D108-INDEX(分析データ!D:D,ROW()+$C$5)),""),"")</f>
        <v/>
      </c>
      <c r="BI108">
        <f t="shared" ca="1" si="37"/>
        <v>0</v>
      </c>
      <c r="BJ108">
        <f t="shared" ca="1" si="38"/>
        <v>0</v>
      </c>
      <c r="BK108">
        <f t="shared" ca="1" si="39"/>
        <v>0</v>
      </c>
      <c r="BL108" t="str">
        <f ca="1">IF(ROW()&lt;($C$7+1),"",IFERROR((分析データ!E108-AVERAGE(OFFSET(分析データ!E$1,MAX(1,ROW()-$C$7),0,MIN($C$7,ROW()-1),1)))/STDEV(OFFSET(分析データ!E$1,MAX(1,ROW()-$C$7),0,MIN($C$7,ROW()-1),1)),0))</f>
        <v/>
      </c>
      <c r="BM108">
        <f t="shared" ca="1" si="40"/>
        <v>0</v>
      </c>
      <c r="BN108" t="str">
        <f ca="1">IF(BM108=1,IF(INDEX(分析データ!$A:$A,ROW()+$C$5)&lt;&gt;"",40000*SIGN(BL108)*(分析データ!E108-INDEX(分析データ!E:E,ROW()+$C$5)),""),"")</f>
        <v/>
      </c>
      <c r="BO108">
        <f t="shared" ca="1" si="41"/>
        <v>0</v>
      </c>
      <c r="BP108">
        <f t="shared" ca="1" si="42"/>
        <v>0</v>
      </c>
      <c r="BQ108">
        <f t="shared" ca="1" si="43"/>
        <v>0</v>
      </c>
      <c r="BR108" t="str">
        <f ca="1">IF(ROW()&lt;($C$7+1),"",IFERROR((分析データ!F108-AVERAGE(OFFSET(分析データ!F$1,MAX(1,ROW()-$C$7),0,MIN($C$7,ROW()-1),1)))/STDEV(OFFSET(分析データ!F$1,MAX(1,ROW()-$C$7),0,MIN($C$7,ROW()-1),1)),0))</f>
        <v/>
      </c>
      <c r="BS108">
        <f t="shared" ca="1" si="44"/>
        <v>0</v>
      </c>
      <c r="BT108" t="str">
        <f ca="1">IF(BS108=1,IF(INDEX(分析データ!$A:$A,ROW()+$C$5)&lt;&gt;"",40000*SIGN(BR108)*(分析データ!F108-INDEX(分析データ!F:F,ROW()+$C$5)),""),"")</f>
        <v/>
      </c>
      <c r="BU108">
        <f t="shared" ca="1" si="45"/>
        <v>0</v>
      </c>
      <c r="BV108">
        <f t="shared" ca="1" si="46"/>
        <v>0</v>
      </c>
      <c r="BW108">
        <f t="shared" ca="1" si="47"/>
        <v>0</v>
      </c>
      <c r="BX108" t="str">
        <f ca="1">IF(ROW()&lt;($C$7+1),"",IFERROR((分析データ!G108-AVERAGE(OFFSET(分析データ!G$1,MAX(1,ROW()-$C$7),0,MIN($C$7,ROW()-1),1)))/STDEV(OFFSET(分析データ!G$1,MAX(1,ROW()-$C$7),0,MIN($C$7,ROW()-1),1)),0))</f>
        <v/>
      </c>
      <c r="BY108">
        <f t="shared" ca="1" si="48"/>
        <v>0</v>
      </c>
      <c r="BZ108" t="str">
        <f ca="1">IF(BY108=1,IF(INDEX(分析データ!$A:$A,ROW()+$C$5)&lt;&gt;"",40000*SIGN(BX108)*(分析データ!G108-INDEX(分析データ!G:G,ROW()+$C$5)),""),"")</f>
        <v/>
      </c>
      <c r="CA108">
        <f t="shared" ca="1" si="49"/>
        <v>0</v>
      </c>
      <c r="CB108">
        <f t="shared" ca="1" si="50"/>
        <v>0</v>
      </c>
      <c r="CC108">
        <f t="shared" ca="1" si="51"/>
        <v>0</v>
      </c>
      <c r="CD108">
        <f t="shared" ca="1" si="52"/>
        <v>0</v>
      </c>
      <c r="CE108">
        <f t="shared" ca="1" si="53"/>
        <v>0</v>
      </c>
      <c r="CF108">
        <f t="shared" ca="1" si="54"/>
        <v>0</v>
      </c>
      <c r="CG108">
        <f t="shared" ca="1" si="55"/>
        <v>0</v>
      </c>
      <c r="CH108" s="10">
        <f>分析データ!A108</f>
        <v>45082</v>
      </c>
    </row>
    <row r="109" spans="46:86">
      <c r="AT109" t="str">
        <f ca="1">IF(ROW()&lt;($C$7+1),"",IFERROR((分析データ!B109-AVERAGE(OFFSET(分析データ!B$1,MAX(1,ROW()-$C$7),0,MIN($C$7,ROW()-1),1)))/STDEV(OFFSET(分析データ!B$1,MAX(1,ROW()-$C$7),0,MIN($C$7,ROW()-1),1)),0))</f>
        <v/>
      </c>
      <c r="AU109">
        <f t="shared" ca="1" si="28"/>
        <v>0</v>
      </c>
      <c r="AV109" t="str">
        <f ca="1">IF(AU109=1,IF(INDEX(分析データ!$A:$A,ROW()+$C$5)&lt;&gt;"",80000*SIGN(AT109)*(分析データ!B109-INDEX(分析データ!B:B,ROW()+$C$5)),""),"")</f>
        <v/>
      </c>
      <c r="AW109">
        <f t="shared" ca="1" si="29"/>
        <v>0</v>
      </c>
      <c r="AX109">
        <f t="shared" ca="1" si="30"/>
        <v>0</v>
      </c>
      <c r="AY109">
        <f t="shared" ca="1" si="31"/>
        <v>0</v>
      </c>
      <c r="AZ109" t="str">
        <f ca="1">IF(ROW()&lt;($C$7+1),"",IFERROR((分析データ!C109-AVERAGE(OFFSET(分析データ!C$1,MAX(1,ROW()-$C$7),0,MIN($C$7,ROW()-1),1)))/STDEV(OFFSET(分析データ!C$1,MAX(1,ROW()-$C$7),0,MIN($C$7,ROW()-1),1)),0))</f>
        <v/>
      </c>
      <c r="BA109">
        <f t="shared" ca="1" si="32"/>
        <v>0</v>
      </c>
      <c r="BB109" t="str">
        <f ca="1">IF(BA109=1,IF(INDEX(分析データ!$A:$A,ROW()+$C$5)&lt;&gt;"",60000*SIGN(AZ109)*(分析データ!C109-INDEX(分析データ!C:C,ROW()+$C$5)),""),"")</f>
        <v/>
      </c>
      <c r="BC109">
        <f t="shared" ca="1" si="33"/>
        <v>0</v>
      </c>
      <c r="BD109">
        <f t="shared" ca="1" si="34"/>
        <v>0</v>
      </c>
      <c r="BE109">
        <f t="shared" ca="1" si="35"/>
        <v>0</v>
      </c>
      <c r="BF109" t="str">
        <f ca="1">IF(ROW()&lt;($C$7+1),"",IFERROR((分析データ!D109-AVERAGE(OFFSET(分析データ!D$1,MAX(1,ROW()-$C$7),0,MIN($C$7,ROW()-1),1)))/STDEV(OFFSET(分析データ!D$1,MAX(1,ROW()-$C$7),0,MIN($C$7,ROW()-1),1)),0))</f>
        <v/>
      </c>
      <c r="BG109">
        <f t="shared" ca="1" si="36"/>
        <v>0</v>
      </c>
      <c r="BH109" t="str">
        <f ca="1">IF(BG109=1,IF(INDEX(分析データ!$A:$A,ROW()+$C$5)&lt;&gt;"",50000*SIGN(BF109)*(分析データ!D109-INDEX(分析データ!D:D,ROW()+$C$5)),""),"")</f>
        <v/>
      </c>
      <c r="BI109">
        <f t="shared" ca="1" si="37"/>
        <v>0</v>
      </c>
      <c r="BJ109">
        <f t="shared" ca="1" si="38"/>
        <v>0</v>
      </c>
      <c r="BK109">
        <f t="shared" ca="1" si="39"/>
        <v>0</v>
      </c>
      <c r="BL109" t="str">
        <f ca="1">IF(ROW()&lt;($C$7+1),"",IFERROR((分析データ!E109-AVERAGE(OFFSET(分析データ!E$1,MAX(1,ROW()-$C$7),0,MIN($C$7,ROW()-1),1)))/STDEV(OFFSET(分析データ!E$1,MAX(1,ROW()-$C$7),0,MIN($C$7,ROW()-1),1)),0))</f>
        <v/>
      </c>
      <c r="BM109">
        <f t="shared" ca="1" si="40"/>
        <v>0</v>
      </c>
      <c r="BN109" t="str">
        <f ca="1">IF(BM109=1,IF(INDEX(分析データ!$A:$A,ROW()+$C$5)&lt;&gt;"",40000*SIGN(BL109)*(分析データ!E109-INDEX(分析データ!E:E,ROW()+$C$5)),""),"")</f>
        <v/>
      </c>
      <c r="BO109">
        <f t="shared" ca="1" si="41"/>
        <v>0</v>
      </c>
      <c r="BP109">
        <f t="shared" ca="1" si="42"/>
        <v>0</v>
      </c>
      <c r="BQ109">
        <f t="shared" ca="1" si="43"/>
        <v>0</v>
      </c>
      <c r="BR109" t="str">
        <f ca="1">IF(ROW()&lt;($C$7+1),"",IFERROR((分析データ!F109-AVERAGE(OFFSET(分析データ!F$1,MAX(1,ROW()-$C$7),0,MIN($C$7,ROW()-1),1)))/STDEV(OFFSET(分析データ!F$1,MAX(1,ROW()-$C$7),0,MIN($C$7,ROW()-1),1)),0))</f>
        <v/>
      </c>
      <c r="BS109">
        <f t="shared" ca="1" si="44"/>
        <v>0</v>
      </c>
      <c r="BT109" t="str">
        <f ca="1">IF(BS109=1,IF(INDEX(分析データ!$A:$A,ROW()+$C$5)&lt;&gt;"",40000*SIGN(BR109)*(分析データ!F109-INDEX(分析データ!F:F,ROW()+$C$5)),""),"")</f>
        <v/>
      </c>
      <c r="BU109">
        <f t="shared" ca="1" si="45"/>
        <v>0</v>
      </c>
      <c r="BV109">
        <f t="shared" ca="1" si="46"/>
        <v>0</v>
      </c>
      <c r="BW109">
        <f t="shared" ca="1" si="47"/>
        <v>0</v>
      </c>
      <c r="BX109" t="str">
        <f ca="1">IF(ROW()&lt;($C$7+1),"",IFERROR((分析データ!G109-AVERAGE(OFFSET(分析データ!G$1,MAX(1,ROW()-$C$7),0,MIN($C$7,ROW()-1),1)))/STDEV(OFFSET(分析データ!G$1,MAX(1,ROW()-$C$7),0,MIN($C$7,ROW()-1),1)),0))</f>
        <v/>
      </c>
      <c r="BY109">
        <f t="shared" ca="1" si="48"/>
        <v>0</v>
      </c>
      <c r="BZ109" t="str">
        <f ca="1">IF(BY109=1,IF(INDEX(分析データ!$A:$A,ROW()+$C$5)&lt;&gt;"",40000*SIGN(BX109)*(分析データ!G109-INDEX(分析データ!G:G,ROW()+$C$5)),""),"")</f>
        <v/>
      </c>
      <c r="CA109">
        <f t="shared" ca="1" si="49"/>
        <v>0</v>
      </c>
      <c r="CB109">
        <f t="shared" ca="1" si="50"/>
        <v>0</v>
      </c>
      <c r="CC109">
        <f t="shared" ca="1" si="51"/>
        <v>0</v>
      </c>
      <c r="CD109">
        <f t="shared" ca="1" si="52"/>
        <v>0</v>
      </c>
      <c r="CE109">
        <f t="shared" ca="1" si="53"/>
        <v>0</v>
      </c>
      <c r="CF109">
        <f t="shared" ca="1" si="54"/>
        <v>0</v>
      </c>
      <c r="CG109">
        <f t="shared" ca="1" si="55"/>
        <v>0</v>
      </c>
      <c r="CH109" s="10">
        <f>分析データ!A109</f>
        <v>45083</v>
      </c>
    </row>
    <row r="110" spans="46:86">
      <c r="AT110" t="str">
        <f ca="1">IF(ROW()&lt;($C$7+1),"",IFERROR((分析データ!B110-AVERAGE(OFFSET(分析データ!B$1,MAX(1,ROW()-$C$7),0,MIN($C$7,ROW()-1),1)))/STDEV(OFFSET(分析データ!B$1,MAX(1,ROW()-$C$7),0,MIN($C$7,ROW()-1),1)),0))</f>
        <v/>
      </c>
      <c r="AU110">
        <f t="shared" ca="1" si="28"/>
        <v>0</v>
      </c>
      <c r="AV110" t="str">
        <f ca="1">IF(AU110=1,IF(INDEX(分析データ!$A:$A,ROW()+$C$5)&lt;&gt;"",80000*SIGN(AT110)*(分析データ!B110-INDEX(分析データ!B:B,ROW()+$C$5)),""),"")</f>
        <v/>
      </c>
      <c r="AW110">
        <f t="shared" ca="1" si="29"/>
        <v>0</v>
      </c>
      <c r="AX110">
        <f t="shared" ca="1" si="30"/>
        <v>0</v>
      </c>
      <c r="AY110">
        <f t="shared" ca="1" si="31"/>
        <v>0</v>
      </c>
      <c r="AZ110" t="str">
        <f ca="1">IF(ROW()&lt;($C$7+1),"",IFERROR((分析データ!C110-AVERAGE(OFFSET(分析データ!C$1,MAX(1,ROW()-$C$7),0,MIN($C$7,ROW()-1),1)))/STDEV(OFFSET(分析データ!C$1,MAX(1,ROW()-$C$7),0,MIN($C$7,ROW()-1),1)),0))</f>
        <v/>
      </c>
      <c r="BA110">
        <f t="shared" ca="1" si="32"/>
        <v>0</v>
      </c>
      <c r="BB110" t="str">
        <f ca="1">IF(BA110=1,IF(INDEX(分析データ!$A:$A,ROW()+$C$5)&lt;&gt;"",60000*SIGN(AZ110)*(分析データ!C110-INDEX(分析データ!C:C,ROW()+$C$5)),""),"")</f>
        <v/>
      </c>
      <c r="BC110">
        <f t="shared" ca="1" si="33"/>
        <v>0</v>
      </c>
      <c r="BD110">
        <f t="shared" ca="1" si="34"/>
        <v>0</v>
      </c>
      <c r="BE110">
        <f t="shared" ca="1" si="35"/>
        <v>0</v>
      </c>
      <c r="BF110" t="str">
        <f ca="1">IF(ROW()&lt;($C$7+1),"",IFERROR((分析データ!D110-AVERAGE(OFFSET(分析データ!D$1,MAX(1,ROW()-$C$7),0,MIN($C$7,ROW()-1),1)))/STDEV(OFFSET(分析データ!D$1,MAX(1,ROW()-$C$7),0,MIN($C$7,ROW()-1),1)),0))</f>
        <v/>
      </c>
      <c r="BG110">
        <f t="shared" ca="1" si="36"/>
        <v>0</v>
      </c>
      <c r="BH110" t="str">
        <f ca="1">IF(BG110=1,IF(INDEX(分析データ!$A:$A,ROW()+$C$5)&lt;&gt;"",50000*SIGN(BF110)*(分析データ!D110-INDEX(分析データ!D:D,ROW()+$C$5)),""),"")</f>
        <v/>
      </c>
      <c r="BI110">
        <f t="shared" ca="1" si="37"/>
        <v>0</v>
      </c>
      <c r="BJ110">
        <f t="shared" ca="1" si="38"/>
        <v>0</v>
      </c>
      <c r="BK110">
        <f t="shared" ca="1" si="39"/>
        <v>0</v>
      </c>
      <c r="BL110" t="str">
        <f ca="1">IF(ROW()&lt;($C$7+1),"",IFERROR((分析データ!E110-AVERAGE(OFFSET(分析データ!E$1,MAX(1,ROW()-$C$7),0,MIN($C$7,ROW()-1),1)))/STDEV(OFFSET(分析データ!E$1,MAX(1,ROW()-$C$7),0,MIN($C$7,ROW()-1),1)),0))</f>
        <v/>
      </c>
      <c r="BM110">
        <f t="shared" ca="1" si="40"/>
        <v>0</v>
      </c>
      <c r="BN110" t="str">
        <f ca="1">IF(BM110=1,IF(INDEX(分析データ!$A:$A,ROW()+$C$5)&lt;&gt;"",40000*SIGN(BL110)*(分析データ!E110-INDEX(分析データ!E:E,ROW()+$C$5)),""),"")</f>
        <v/>
      </c>
      <c r="BO110">
        <f t="shared" ca="1" si="41"/>
        <v>0</v>
      </c>
      <c r="BP110">
        <f t="shared" ca="1" si="42"/>
        <v>0</v>
      </c>
      <c r="BQ110">
        <f t="shared" ca="1" si="43"/>
        <v>0</v>
      </c>
      <c r="BR110" t="str">
        <f ca="1">IF(ROW()&lt;($C$7+1),"",IFERROR((分析データ!F110-AVERAGE(OFFSET(分析データ!F$1,MAX(1,ROW()-$C$7),0,MIN($C$7,ROW()-1),1)))/STDEV(OFFSET(分析データ!F$1,MAX(1,ROW()-$C$7),0,MIN($C$7,ROW()-1),1)),0))</f>
        <v/>
      </c>
      <c r="BS110">
        <f t="shared" ca="1" si="44"/>
        <v>0</v>
      </c>
      <c r="BT110" t="str">
        <f ca="1">IF(BS110=1,IF(INDEX(分析データ!$A:$A,ROW()+$C$5)&lt;&gt;"",40000*SIGN(BR110)*(分析データ!F110-INDEX(分析データ!F:F,ROW()+$C$5)),""),"")</f>
        <v/>
      </c>
      <c r="BU110">
        <f t="shared" ca="1" si="45"/>
        <v>0</v>
      </c>
      <c r="BV110">
        <f t="shared" ca="1" si="46"/>
        <v>0</v>
      </c>
      <c r="BW110">
        <f t="shared" ca="1" si="47"/>
        <v>0</v>
      </c>
      <c r="BX110" t="str">
        <f ca="1">IF(ROW()&lt;($C$7+1),"",IFERROR((分析データ!G110-AVERAGE(OFFSET(分析データ!G$1,MAX(1,ROW()-$C$7),0,MIN($C$7,ROW()-1),1)))/STDEV(OFFSET(分析データ!G$1,MAX(1,ROW()-$C$7),0,MIN($C$7,ROW()-1),1)),0))</f>
        <v/>
      </c>
      <c r="BY110">
        <f t="shared" ca="1" si="48"/>
        <v>0</v>
      </c>
      <c r="BZ110" t="str">
        <f ca="1">IF(BY110=1,IF(INDEX(分析データ!$A:$A,ROW()+$C$5)&lt;&gt;"",40000*SIGN(BX110)*(分析データ!G110-INDEX(分析データ!G:G,ROW()+$C$5)),""),"")</f>
        <v/>
      </c>
      <c r="CA110">
        <f t="shared" ca="1" si="49"/>
        <v>0</v>
      </c>
      <c r="CB110">
        <f t="shared" ca="1" si="50"/>
        <v>0</v>
      </c>
      <c r="CC110">
        <f t="shared" ca="1" si="51"/>
        <v>0</v>
      </c>
      <c r="CD110">
        <f t="shared" ca="1" si="52"/>
        <v>0</v>
      </c>
      <c r="CE110">
        <f t="shared" ca="1" si="53"/>
        <v>0</v>
      </c>
      <c r="CF110">
        <f t="shared" ca="1" si="54"/>
        <v>0</v>
      </c>
      <c r="CG110">
        <f t="shared" ca="1" si="55"/>
        <v>0</v>
      </c>
      <c r="CH110" s="10">
        <f>分析データ!A110</f>
        <v>45084</v>
      </c>
    </row>
    <row r="111" spans="46:86">
      <c r="AT111" t="str">
        <f ca="1">IF(ROW()&lt;($C$7+1),"",IFERROR((分析データ!B111-AVERAGE(OFFSET(分析データ!B$1,MAX(1,ROW()-$C$7),0,MIN($C$7,ROW()-1),1)))/STDEV(OFFSET(分析データ!B$1,MAX(1,ROW()-$C$7),0,MIN($C$7,ROW()-1),1)),0))</f>
        <v/>
      </c>
      <c r="AU111">
        <f t="shared" ca="1" si="28"/>
        <v>0</v>
      </c>
      <c r="AV111" t="str">
        <f ca="1">IF(AU111=1,IF(INDEX(分析データ!$A:$A,ROW()+$C$5)&lt;&gt;"",80000*SIGN(AT111)*(分析データ!B111-INDEX(分析データ!B:B,ROW()+$C$5)),""),"")</f>
        <v/>
      </c>
      <c r="AW111">
        <f t="shared" ca="1" si="29"/>
        <v>0</v>
      </c>
      <c r="AX111">
        <f t="shared" ca="1" si="30"/>
        <v>0</v>
      </c>
      <c r="AY111">
        <f t="shared" ca="1" si="31"/>
        <v>0</v>
      </c>
      <c r="AZ111" t="str">
        <f ca="1">IF(ROW()&lt;($C$7+1),"",IFERROR((分析データ!C111-AVERAGE(OFFSET(分析データ!C$1,MAX(1,ROW()-$C$7),0,MIN($C$7,ROW()-1),1)))/STDEV(OFFSET(分析データ!C$1,MAX(1,ROW()-$C$7),0,MIN($C$7,ROW()-1),1)),0))</f>
        <v/>
      </c>
      <c r="BA111">
        <f t="shared" ca="1" si="32"/>
        <v>0</v>
      </c>
      <c r="BB111" t="str">
        <f ca="1">IF(BA111=1,IF(INDEX(分析データ!$A:$A,ROW()+$C$5)&lt;&gt;"",60000*SIGN(AZ111)*(分析データ!C111-INDEX(分析データ!C:C,ROW()+$C$5)),""),"")</f>
        <v/>
      </c>
      <c r="BC111">
        <f t="shared" ca="1" si="33"/>
        <v>0</v>
      </c>
      <c r="BD111">
        <f t="shared" ca="1" si="34"/>
        <v>0</v>
      </c>
      <c r="BE111">
        <f t="shared" ca="1" si="35"/>
        <v>0</v>
      </c>
      <c r="BF111" t="str">
        <f ca="1">IF(ROW()&lt;($C$7+1),"",IFERROR((分析データ!D111-AVERAGE(OFFSET(分析データ!D$1,MAX(1,ROW()-$C$7),0,MIN($C$7,ROW()-1),1)))/STDEV(OFFSET(分析データ!D$1,MAX(1,ROW()-$C$7),0,MIN($C$7,ROW()-1),1)),0))</f>
        <v/>
      </c>
      <c r="BG111">
        <f t="shared" ca="1" si="36"/>
        <v>0</v>
      </c>
      <c r="BH111" t="str">
        <f ca="1">IF(BG111=1,IF(INDEX(分析データ!$A:$A,ROW()+$C$5)&lt;&gt;"",50000*SIGN(BF111)*(分析データ!D111-INDEX(分析データ!D:D,ROW()+$C$5)),""),"")</f>
        <v/>
      </c>
      <c r="BI111">
        <f t="shared" ca="1" si="37"/>
        <v>0</v>
      </c>
      <c r="BJ111">
        <f t="shared" ca="1" si="38"/>
        <v>0</v>
      </c>
      <c r="BK111">
        <f t="shared" ca="1" si="39"/>
        <v>0</v>
      </c>
      <c r="BL111" t="str">
        <f ca="1">IF(ROW()&lt;($C$7+1),"",IFERROR((分析データ!E111-AVERAGE(OFFSET(分析データ!E$1,MAX(1,ROW()-$C$7),0,MIN($C$7,ROW()-1),1)))/STDEV(OFFSET(分析データ!E$1,MAX(1,ROW()-$C$7),0,MIN($C$7,ROW()-1),1)),0))</f>
        <v/>
      </c>
      <c r="BM111">
        <f t="shared" ca="1" si="40"/>
        <v>0</v>
      </c>
      <c r="BN111" t="str">
        <f ca="1">IF(BM111=1,IF(INDEX(分析データ!$A:$A,ROW()+$C$5)&lt;&gt;"",40000*SIGN(BL111)*(分析データ!E111-INDEX(分析データ!E:E,ROW()+$C$5)),""),"")</f>
        <v/>
      </c>
      <c r="BO111">
        <f t="shared" ca="1" si="41"/>
        <v>0</v>
      </c>
      <c r="BP111">
        <f t="shared" ca="1" si="42"/>
        <v>0</v>
      </c>
      <c r="BQ111">
        <f t="shared" ca="1" si="43"/>
        <v>0</v>
      </c>
      <c r="BR111" t="str">
        <f ca="1">IF(ROW()&lt;($C$7+1),"",IFERROR((分析データ!F111-AVERAGE(OFFSET(分析データ!F$1,MAX(1,ROW()-$C$7),0,MIN($C$7,ROW()-1),1)))/STDEV(OFFSET(分析データ!F$1,MAX(1,ROW()-$C$7),0,MIN($C$7,ROW()-1),1)),0))</f>
        <v/>
      </c>
      <c r="BS111">
        <f t="shared" ca="1" si="44"/>
        <v>0</v>
      </c>
      <c r="BT111" t="str">
        <f ca="1">IF(BS111=1,IF(INDEX(分析データ!$A:$A,ROW()+$C$5)&lt;&gt;"",40000*SIGN(BR111)*(分析データ!F111-INDEX(分析データ!F:F,ROW()+$C$5)),""),"")</f>
        <v/>
      </c>
      <c r="BU111">
        <f t="shared" ca="1" si="45"/>
        <v>0</v>
      </c>
      <c r="BV111">
        <f t="shared" ca="1" si="46"/>
        <v>0</v>
      </c>
      <c r="BW111">
        <f t="shared" ca="1" si="47"/>
        <v>0</v>
      </c>
      <c r="BX111" t="str">
        <f ca="1">IF(ROW()&lt;($C$7+1),"",IFERROR((分析データ!G111-AVERAGE(OFFSET(分析データ!G$1,MAX(1,ROW()-$C$7),0,MIN($C$7,ROW()-1),1)))/STDEV(OFFSET(分析データ!G$1,MAX(1,ROW()-$C$7),0,MIN($C$7,ROW()-1),1)),0))</f>
        <v/>
      </c>
      <c r="BY111">
        <f t="shared" ca="1" si="48"/>
        <v>0</v>
      </c>
      <c r="BZ111" t="str">
        <f ca="1">IF(BY111=1,IF(INDEX(分析データ!$A:$A,ROW()+$C$5)&lt;&gt;"",40000*SIGN(BX111)*(分析データ!G111-INDEX(分析データ!G:G,ROW()+$C$5)),""),"")</f>
        <v/>
      </c>
      <c r="CA111">
        <f t="shared" ca="1" si="49"/>
        <v>0</v>
      </c>
      <c r="CB111">
        <f t="shared" ca="1" si="50"/>
        <v>0</v>
      </c>
      <c r="CC111">
        <f t="shared" ca="1" si="51"/>
        <v>0</v>
      </c>
      <c r="CD111">
        <f t="shared" ca="1" si="52"/>
        <v>0</v>
      </c>
      <c r="CE111">
        <f t="shared" ca="1" si="53"/>
        <v>0</v>
      </c>
      <c r="CF111">
        <f t="shared" ca="1" si="54"/>
        <v>0</v>
      </c>
      <c r="CG111">
        <f t="shared" ca="1" si="55"/>
        <v>0</v>
      </c>
      <c r="CH111" s="10">
        <f>分析データ!A111</f>
        <v>45085</v>
      </c>
    </row>
    <row r="112" spans="46:86">
      <c r="AT112" t="str">
        <f ca="1">IF(ROW()&lt;($C$7+1),"",IFERROR((分析データ!B112-AVERAGE(OFFSET(分析データ!B$1,MAX(1,ROW()-$C$7),0,MIN($C$7,ROW()-1),1)))/STDEV(OFFSET(分析データ!B$1,MAX(1,ROW()-$C$7),0,MIN($C$7,ROW()-1),1)),0))</f>
        <v/>
      </c>
      <c r="AU112">
        <f t="shared" ca="1" si="28"/>
        <v>0</v>
      </c>
      <c r="AV112" t="str">
        <f ca="1">IF(AU112=1,IF(INDEX(分析データ!$A:$A,ROW()+$C$5)&lt;&gt;"",80000*SIGN(AT112)*(分析データ!B112-INDEX(分析データ!B:B,ROW()+$C$5)),""),"")</f>
        <v/>
      </c>
      <c r="AW112">
        <f t="shared" ca="1" si="29"/>
        <v>0</v>
      </c>
      <c r="AX112">
        <f t="shared" ca="1" si="30"/>
        <v>0</v>
      </c>
      <c r="AY112">
        <f t="shared" ca="1" si="31"/>
        <v>0</v>
      </c>
      <c r="AZ112" t="str">
        <f ca="1">IF(ROW()&lt;($C$7+1),"",IFERROR((分析データ!C112-AVERAGE(OFFSET(分析データ!C$1,MAX(1,ROW()-$C$7),0,MIN($C$7,ROW()-1),1)))/STDEV(OFFSET(分析データ!C$1,MAX(1,ROW()-$C$7),0,MIN($C$7,ROW()-1),1)),0))</f>
        <v/>
      </c>
      <c r="BA112">
        <f t="shared" ca="1" si="32"/>
        <v>0</v>
      </c>
      <c r="BB112" t="str">
        <f ca="1">IF(BA112=1,IF(INDEX(分析データ!$A:$A,ROW()+$C$5)&lt;&gt;"",60000*SIGN(AZ112)*(分析データ!C112-INDEX(分析データ!C:C,ROW()+$C$5)),""),"")</f>
        <v/>
      </c>
      <c r="BC112">
        <f t="shared" ca="1" si="33"/>
        <v>0</v>
      </c>
      <c r="BD112">
        <f t="shared" ca="1" si="34"/>
        <v>0</v>
      </c>
      <c r="BE112">
        <f t="shared" ca="1" si="35"/>
        <v>0</v>
      </c>
      <c r="BF112" t="str">
        <f ca="1">IF(ROW()&lt;($C$7+1),"",IFERROR((分析データ!D112-AVERAGE(OFFSET(分析データ!D$1,MAX(1,ROW()-$C$7),0,MIN($C$7,ROW()-1),1)))/STDEV(OFFSET(分析データ!D$1,MAX(1,ROW()-$C$7),0,MIN($C$7,ROW()-1),1)),0))</f>
        <v/>
      </c>
      <c r="BG112">
        <f t="shared" ca="1" si="36"/>
        <v>0</v>
      </c>
      <c r="BH112" t="str">
        <f ca="1">IF(BG112=1,IF(INDEX(分析データ!$A:$A,ROW()+$C$5)&lt;&gt;"",50000*SIGN(BF112)*(分析データ!D112-INDEX(分析データ!D:D,ROW()+$C$5)),""),"")</f>
        <v/>
      </c>
      <c r="BI112">
        <f t="shared" ca="1" si="37"/>
        <v>0</v>
      </c>
      <c r="BJ112">
        <f t="shared" ca="1" si="38"/>
        <v>0</v>
      </c>
      <c r="BK112">
        <f t="shared" ca="1" si="39"/>
        <v>0</v>
      </c>
      <c r="BL112" t="str">
        <f ca="1">IF(ROW()&lt;($C$7+1),"",IFERROR((分析データ!E112-AVERAGE(OFFSET(分析データ!E$1,MAX(1,ROW()-$C$7),0,MIN($C$7,ROW()-1),1)))/STDEV(OFFSET(分析データ!E$1,MAX(1,ROW()-$C$7),0,MIN($C$7,ROW()-1),1)),0))</f>
        <v/>
      </c>
      <c r="BM112">
        <f t="shared" ca="1" si="40"/>
        <v>0</v>
      </c>
      <c r="BN112" t="str">
        <f ca="1">IF(BM112=1,IF(INDEX(分析データ!$A:$A,ROW()+$C$5)&lt;&gt;"",40000*SIGN(BL112)*(分析データ!E112-INDEX(分析データ!E:E,ROW()+$C$5)),""),"")</f>
        <v/>
      </c>
      <c r="BO112">
        <f t="shared" ca="1" si="41"/>
        <v>0</v>
      </c>
      <c r="BP112">
        <f t="shared" ca="1" si="42"/>
        <v>0</v>
      </c>
      <c r="BQ112">
        <f t="shared" ca="1" si="43"/>
        <v>0</v>
      </c>
      <c r="BR112" t="str">
        <f ca="1">IF(ROW()&lt;($C$7+1),"",IFERROR((分析データ!F112-AVERAGE(OFFSET(分析データ!F$1,MAX(1,ROW()-$C$7),0,MIN($C$7,ROW()-1),1)))/STDEV(OFFSET(分析データ!F$1,MAX(1,ROW()-$C$7),0,MIN($C$7,ROW()-1),1)),0))</f>
        <v/>
      </c>
      <c r="BS112">
        <f t="shared" ca="1" si="44"/>
        <v>0</v>
      </c>
      <c r="BT112" t="str">
        <f ca="1">IF(BS112=1,IF(INDEX(分析データ!$A:$A,ROW()+$C$5)&lt;&gt;"",40000*SIGN(BR112)*(分析データ!F112-INDEX(分析データ!F:F,ROW()+$C$5)),""),"")</f>
        <v/>
      </c>
      <c r="BU112">
        <f t="shared" ca="1" si="45"/>
        <v>0</v>
      </c>
      <c r="BV112">
        <f t="shared" ca="1" si="46"/>
        <v>0</v>
      </c>
      <c r="BW112">
        <f t="shared" ca="1" si="47"/>
        <v>0</v>
      </c>
      <c r="BX112" t="str">
        <f ca="1">IF(ROW()&lt;($C$7+1),"",IFERROR((分析データ!G112-AVERAGE(OFFSET(分析データ!G$1,MAX(1,ROW()-$C$7),0,MIN($C$7,ROW()-1),1)))/STDEV(OFFSET(分析データ!G$1,MAX(1,ROW()-$C$7),0,MIN($C$7,ROW()-1),1)),0))</f>
        <v/>
      </c>
      <c r="BY112">
        <f t="shared" ca="1" si="48"/>
        <v>0</v>
      </c>
      <c r="BZ112" t="str">
        <f ca="1">IF(BY112=1,IF(INDEX(分析データ!$A:$A,ROW()+$C$5)&lt;&gt;"",40000*SIGN(BX112)*(分析データ!G112-INDEX(分析データ!G:G,ROW()+$C$5)),""),"")</f>
        <v/>
      </c>
      <c r="CA112">
        <f t="shared" ca="1" si="49"/>
        <v>0</v>
      </c>
      <c r="CB112">
        <f t="shared" ca="1" si="50"/>
        <v>0</v>
      </c>
      <c r="CC112">
        <f t="shared" ca="1" si="51"/>
        <v>0</v>
      </c>
      <c r="CD112">
        <f t="shared" ca="1" si="52"/>
        <v>0</v>
      </c>
      <c r="CE112">
        <f t="shared" ca="1" si="53"/>
        <v>0</v>
      </c>
      <c r="CF112">
        <f t="shared" ca="1" si="54"/>
        <v>0</v>
      </c>
      <c r="CG112">
        <f t="shared" ca="1" si="55"/>
        <v>0</v>
      </c>
      <c r="CH112" s="10">
        <f>分析データ!A112</f>
        <v>45086</v>
      </c>
    </row>
    <row r="113" spans="46:86">
      <c r="AT113" t="str">
        <f ca="1">IF(ROW()&lt;($C$7+1),"",IFERROR((分析データ!B113-AVERAGE(OFFSET(分析データ!B$1,MAX(1,ROW()-$C$7),0,MIN($C$7,ROW()-1),1)))/STDEV(OFFSET(分析データ!B$1,MAX(1,ROW()-$C$7),0,MIN($C$7,ROW()-1),1)),0))</f>
        <v/>
      </c>
      <c r="AU113">
        <f t="shared" ca="1" si="28"/>
        <v>0</v>
      </c>
      <c r="AV113" t="str">
        <f ca="1">IF(AU113=1,IF(INDEX(分析データ!$A:$A,ROW()+$C$5)&lt;&gt;"",80000*SIGN(AT113)*(分析データ!B113-INDEX(分析データ!B:B,ROW()+$C$5)),""),"")</f>
        <v/>
      </c>
      <c r="AW113">
        <f t="shared" ca="1" si="29"/>
        <v>0</v>
      </c>
      <c r="AX113">
        <f t="shared" ca="1" si="30"/>
        <v>0</v>
      </c>
      <c r="AY113">
        <f t="shared" ca="1" si="31"/>
        <v>0</v>
      </c>
      <c r="AZ113" t="str">
        <f ca="1">IF(ROW()&lt;($C$7+1),"",IFERROR((分析データ!C113-AVERAGE(OFFSET(分析データ!C$1,MAX(1,ROW()-$C$7),0,MIN($C$7,ROW()-1),1)))/STDEV(OFFSET(分析データ!C$1,MAX(1,ROW()-$C$7),0,MIN($C$7,ROW()-1),1)),0))</f>
        <v/>
      </c>
      <c r="BA113">
        <f t="shared" ca="1" si="32"/>
        <v>0</v>
      </c>
      <c r="BB113" t="str">
        <f ca="1">IF(BA113=1,IF(INDEX(分析データ!$A:$A,ROW()+$C$5)&lt;&gt;"",60000*SIGN(AZ113)*(分析データ!C113-INDEX(分析データ!C:C,ROW()+$C$5)),""),"")</f>
        <v/>
      </c>
      <c r="BC113">
        <f t="shared" ca="1" si="33"/>
        <v>0</v>
      </c>
      <c r="BD113">
        <f t="shared" ca="1" si="34"/>
        <v>0</v>
      </c>
      <c r="BE113">
        <f t="shared" ca="1" si="35"/>
        <v>0</v>
      </c>
      <c r="BF113" t="str">
        <f ca="1">IF(ROW()&lt;($C$7+1),"",IFERROR((分析データ!D113-AVERAGE(OFFSET(分析データ!D$1,MAX(1,ROW()-$C$7),0,MIN($C$7,ROW()-1),1)))/STDEV(OFFSET(分析データ!D$1,MAX(1,ROW()-$C$7),0,MIN($C$7,ROW()-1),1)),0))</f>
        <v/>
      </c>
      <c r="BG113">
        <f t="shared" ca="1" si="36"/>
        <v>0</v>
      </c>
      <c r="BH113" t="str">
        <f ca="1">IF(BG113=1,IF(INDEX(分析データ!$A:$A,ROW()+$C$5)&lt;&gt;"",50000*SIGN(BF113)*(分析データ!D113-INDEX(分析データ!D:D,ROW()+$C$5)),""),"")</f>
        <v/>
      </c>
      <c r="BI113">
        <f t="shared" ca="1" si="37"/>
        <v>0</v>
      </c>
      <c r="BJ113">
        <f t="shared" ca="1" si="38"/>
        <v>0</v>
      </c>
      <c r="BK113">
        <f t="shared" ca="1" si="39"/>
        <v>0</v>
      </c>
      <c r="BL113" t="str">
        <f ca="1">IF(ROW()&lt;($C$7+1),"",IFERROR((分析データ!E113-AVERAGE(OFFSET(分析データ!E$1,MAX(1,ROW()-$C$7),0,MIN($C$7,ROW()-1),1)))/STDEV(OFFSET(分析データ!E$1,MAX(1,ROW()-$C$7),0,MIN($C$7,ROW()-1),1)),0))</f>
        <v/>
      </c>
      <c r="BM113">
        <f t="shared" ca="1" si="40"/>
        <v>0</v>
      </c>
      <c r="BN113" t="str">
        <f ca="1">IF(BM113=1,IF(INDEX(分析データ!$A:$A,ROW()+$C$5)&lt;&gt;"",40000*SIGN(BL113)*(分析データ!E113-INDEX(分析データ!E:E,ROW()+$C$5)),""),"")</f>
        <v/>
      </c>
      <c r="BO113">
        <f t="shared" ca="1" si="41"/>
        <v>0</v>
      </c>
      <c r="BP113">
        <f t="shared" ca="1" si="42"/>
        <v>0</v>
      </c>
      <c r="BQ113">
        <f t="shared" ca="1" si="43"/>
        <v>0</v>
      </c>
      <c r="BR113" t="str">
        <f ca="1">IF(ROW()&lt;($C$7+1),"",IFERROR((分析データ!F113-AVERAGE(OFFSET(分析データ!F$1,MAX(1,ROW()-$C$7),0,MIN($C$7,ROW()-1),1)))/STDEV(OFFSET(分析データ!F$1,MAX(1,ROW()-$C$7),0,MIN($C$7,ROW()-1),1)),0))</f>
        <v/>
      </c>
      <c r="BS113">
        <f t="shared" ca="1" si="44"/>
        <v>0</v>
      </c>
      <c r="BT113" t="str">
        <f ca="1">IF(BS113=1,IF(INDEX(分析データ!$A:$A,ROW()+$C$5)&lt;&gt;"",40000*SIGN(BR113)*(分析データ!F113-INDEX(分析データ!F:F,ROW()+$C$5)),""),"")</f>
        <v/>
      </c>
      <c r="BU113">
        <f t="shared" ca="1" si="45"/>
        <v>0</v>
      </c>
      <c r="BV113">
        <f t="shared" ca="1" si="46"/>
        <v>0</v>
      </c>
      <c r="BW113">
        <f t="shared" ca="1" si="47"/>
        <v>0</v>
      </c>
      <c r="BX113" t="str">
        <f ca="1">IF(ROW()&lt;($C$7+1),"",IFERROR((分析データ!G113-AVERAGE(OFFSET(分析データ!G$1,MAX(1,ROW()-$C$7),0,MIN($C$7,ROW()-1),1)))/STDEV(OFFSET(分析データ!G$1,MAX(1,ROW()-$C$7),0,MIN($C$7,ROW()-1),1)),0))</f>
        <v/>
      </c>
      <c r="BY113">
        <f t="shared" ca="1" si="48"/>
        <v>0</v>
      </c>
      <c r="BZ113" t="str">
        <f ca="1">IF(BY113=1,IF(INDEX(分析データ!$A:$A,ROW()+$C$5)&lt;&gt;"",40000*SIGN(BX113)*(分析データ!G113-INDEX(分析データ!G:G,ROW()+$C$5)),""),"")</f>
        <v/>
      </c>
      <c r="CA113">
        <f t="shared" ca="1" si="49"/>
        <v>0</v>
      </c>
      <c r="CB113">
        <f t="shared" ca="1" si="50"/>
        <v>0</v>
      </c>
      <c r="CC113">
        <f t="shared" ca="1" si="51"/>
        <v>0</v>
      </c>
      <c r="CD113">
        <f t="shared" ca="1" si="52"/>
        <v>0</v>
      </c>
      <c r="CE113">
        <f t="shared" ca="1" si="53"/>
        <v>0</v>
      </c>
      <c r="CF113">
        <f t="shared" ca="1" si="54"/>
        <v>0</v>
      </c>
      <c r="CG113">
        <f t="shared" ca="1" si="55"/>
        <v>0</v>
      </c>
      <c r="CH113" s="10">
        <f>分析データ!A113</f>
        <v>45089</v>
      </c>
    </row>
    <row r="114" spans="46:86">
      <c r="AT114" t="str">
        <f ca="1">IF(ROW()&lt;($C$7+1),"",IFERROR((分析データ!B114-AVERAGE(OFFSET(分析データ!B$1,MAX(1,ROW()-$C$7),0,MIN($C$7,ROW()-1),1)))/STDEV(OFFSET(分析データ!B$1,MAX(1,ROW()-$C$7),0,MIN($C$7,ROW()-1),1)),0))</f>
        <v/>
      </c>
      <c r="AU114">
        <f t="shared" ca="1" si="28"/>
        <v>0</v>
      </c>
      <c r="AV114" t="str">
        <f ca="1">IF(AU114=1,IF(INDEX(分析データ!$A:$A,ROW()+$C$5)&lt;&gt;"",80000*SIGN(AT114)*(分析データ!B114-INDEX(分析データ!B:B,ROW()+$C$5)),""),"")</f>
        <v/>
      </c>
      <c r="AW114">
        <f t="shared" ca="1" si="29"/>
        <v>0</v>
      </c>
      <c r="AX114">
        <f t="shared" ca="1" si="30"/>
        <v>0</v>
      </c>
      <c r="AY114">
        <f t="shared" ca="1" si="31"/>
        <v>0</v>
      </c>
      <c r="AZ114" t="str">
        <f ca="1">IF(ROW()&lt;($C$7+1),"",IFERROR((分析データ!C114-AVERAGE(OFFSET(分析データ!C$1,MAX(1,ROW()-$C$7),0,MIN($C$7,ROW()-1),1)))/STDEV(OFFSET(分析データ!C$1,MAX(1,ROW()-$C$7),0,MIN($C$7,ROW()-1),1)),0))</f>
        <v/>
      </c>
      <c r="BA114">
        <f t="shared" ca="1" si="32"/>
        <v>0</v>
      </c>
      <c r="BB114" t="str">
        <f ca="1">IF(BA114=1,IF(INDEX(分析データ!$A:$A,ROW()+$C$5)&lt;&gt;"",60000*SIGN(AZ114)*(分析データ!C114-INDEX(分析データ!C:C,ROW()+$C$5)),""),"")</f>
        <v/>
      </c>
      <c r="BC114">
        <f t="shared" ca="1" si="33"/>
        <v>0</v>
      </c>
      <c r="BD114">
        <f t="shared" ca="1" si="34"/>
        <v>0</v>
      </c>
      <c r="BE114">
        <f t="shared" ca="1" si="35"/>
        <v>0</v>
      </c>
      <c r="BF114" t="str">
        <f ca="1">IF(ROW()&lt;($C$7+1),"",IFERROR((分析データ!D114-AVERAGE(OFFSET(分析データ!D$1,MAX(1,ROW()-$C$7),0,MIN($C$7,ROW()-1),1)))/STDEV(OFFSET(分析データ!D$1,MAX(1,ROW()-$C$7),0,MIN($C$7,ROW()-1),1)),0))</f>
        <v/>
      </c>
      <c r="BG114">
        <f t="shared" ca="1" si="36"/>
        <v>0</v>
      </c>
      <c r="BH114" t="str">
        <f ca="1">IF(BG114=1,IF(INDEX(分析データ!$A:$A,ROW()+$C$5)&lt;&gt;"",50000*SIGN(BF114)*(分析データ!D114-INDEX(分析データ!D:D,ROW()+$C$5)),""),"")</f>
        <v/>
      </c>
      <c r="BI114">
        <f t="shared" ca="1" si="37"/>
        <v>0</v>
      </c>
      <c r="BJ114">
        <f t="shared" ca="1" si="38"/>
        <v>0</v>
      </c>
      <c r="BK114">
        <f t="shared" ca="1" si="39"/>
        <v>0</v>
      </c>
      <c r="BL114" t="str">
        <f ca="1">IF(ROW()&lt;($C$7+1),"",IFERROR((分析データ!E114-AVERAGE(OFFSET(分析データ!E$1,MAX(1,ROW()-$C$7),0,MIN($C$7,ROW()-1),1)))/STDEV(OFFSET(分析データ!E$1,MAX(1,ROW()-$C$7),0,MIN($C$7,ROW()-1),1)),0))</f>
        <v/>
      </c>
      <c r="BM114">
        <f t="shared" ca="1" si="40"/>
        <v>0</v>
      </c>
      <c r="BN114" t="str">
        <f ca="1">IF(BM114=1,IF(INDEX(分析データ!$A:$A,ROW()+$C$5)&lt;&gt;"",40000*SIGN(BL114)*(分析データ!E114-INDEX(分析データ!E:E,ROW()+$C$5)),""),"")</f>
        <v/>
      </c>
      <c r="BO114">
        <f t="shared" ca="1" si="41"/>
        <v>0</v>
      </c>
      <c r="BP114">
        <f t="shared" ca="1" si="42"/>
        <v>0</v>
      </c>
      <c r="BQ114">
        <f t="shared" ca="1" si="43"/>
        <v>0</v>
      </c>
      <c r="BR114" t="str">
        <f ca="1">IF(ROW()&lt;($C$7+1),"",IFERROR((分析データ!F114-AVERAGE(OFFSET(分析データ!F$1,MAX(1,ROW()-$C$7),0,MIN($C$7,ROW()-1),1)))/STDEV(OFFSET(分析データ!F$1,MAX(1,ROW()-$C$7),0,MIN($C$7,ROW()-1),1)),0))</f>
        <v/>
      </c>
      <c r="BS114">
        <f t="shared" ca="1" si="44"/>
        <v>0</v>
      </c>
      <c r="BT114" t="str">
        <f ca="1">IF(BS114=1,IF(INDEX(分析データ!$A:$A,ROW()+$C$5)&lt;&gt;"",40000*SIGN(BR114)*(分析データ!F114-INDEX(分析データ!F:F,ROW()+$C$5)),""),"")</f>
        <v/>
      </c>
      <c r="BU114">
        <f t="shared" ca="1" si="45"/>
        <v>0</v>
      </c>
      <c r="BV114">
        <f t="shared" ca="1" si="46"/>
        <v>0</v>
      </c>
      <c r="BW114">
        <f t="shared" ca="1" si="47"/>
        <v>0</v>
      </c>
      <c r="BX114" t="str">
        <f ca="1">IF(ROW()&lt;($C$7+1),"",IFERROR((分析データ!G114-AVERAGE(OFFSET(分析データ!G$1,MAX(1,ROW()-$C$7),0,MIN($C$7,ROW()-1),1)))/STDEV(OFFSET(分析データ!G$1,MAX(1,ROW()-$C$7),0,MIN($C$7,ROW()-1),1)),0))</f>
        <v/>
      </c>
      <c r="BY114">
        <f t="shared" ca="1" si="48"/>
        <v>0</v>
      </c>
      <c r="BZ114" t="str">
        <f ca="1">IF(BY114=1,IF(INDEX(分析データ!$A:$A,ROW()+$C$5)&lt;&gt;"",40000*SIGN(BX114)*(分析データ!G114-INDEX(分析データ!G:G,ROW()+$C$5)),""),"")</f>
        <v/>
      </c>
      <c r="CA114">
        <f t="shared" ca="1" si="49"/>
        <v>0</v>
      </c>
      <c r="CB114">
        <f t="shared" ca="1" si="50"/>
        <v>0</v>
      </c>
      <c r="CC114">
        <f t="shared" ca="1" si="51"/>
        <v>0</v>
      </c>
      <c r="CD114">
        <f t="shared" ca="1" si="52"/>
        <v>0</v>
      </c>
      <c r="CE114">
        <f t="shared" ca="1" si="53"/>
        <v>0</v>
      </c>
      <c r="CF114">
        <f t="shared" ca="1" si="54"/>
        <v>0</v>
      </c>
      <c r="CG114">
        <f t="shared" ca="1" si="55"/>
        <v>0</v>
      </c>
      <c r="CH114" s="10">
        <f>分析データ!A114</f>
        <v>45090</v>
      </c>
    </row>
    <row r="115" spans="46:86">
      <c r="AT115" t="str">
        <f ca="1">IF(ROW()&lt;($C$7+1),"",IFERROR((分析データ!B115-AVERAGE(OFFSET(分析データ!B$1,MAX(1,ROW()-$C$7),0,MIN($C$7,ROW()-1),1)))/STDEV(OFFSET(分析データ!B$1,MAX(1,ROW()-$C$7),0,MIN($C$7,ROW()-1),1)),0))</f>
        <v/>
      </c>
      <c r="AU115">
        <f t="shared" ca="1" si="28"/>
        <v>0</v>
      </c>
      <c r="AV115" t="str">
        <f ca="1">IF(AU115=1,IF(INDEX(分析データ!$A:$A,ROW()+$C$5)&lt;&gt;"",80000*SIGN(AT115)*(分析データ!B115-INDEX(分析データ!B:B,ROW()+$C$5)),""),"")</f>
        <v/>
      </c>
      <c r="AW115">
        <f t="shared" ca="1" si="29"/>
        <v>0</v>
      </c>
      <c r="AX115">
        <f t="shared" ca="1" si="30"/>
        <v>0</v>
      </c>
      <c r="AY115">
        <f t="shared" ca="1" si="31"/>
        <v>0</v>
      </c>
      <c r="AZ115" t="str">
        <f ca="1">IF(ROW()&lt;($C$7+1),"",IFERROR((分析データ!C115-AVERAGE(OFFSET(分析データ!C$1,MAX(1,ROW()-$C$7),0,MIN($C$7,ROW()-1),1)))/STDEV(OFFSET(分析データ!C$1,MAX(1,ROW()-$C$7),0,MIN($C$7,ROW()-1),1)),0))</f>
        <v/>
      </c>
      <c r="BA115">
        <f t="shared" ca="1" si="32"/>
        <v>0</v>
      </c>
      <c r="BB115" t="str">
        <f ca="1">IF(BA115=1,IF(INDEX(分析データ!$A:$A,ROW()+$C$5)&lt;&gt;"",60000*SIGN(AZ115)*(分析データ!C115-INDEX(分析データ!C:C,ROW()+$C$5)),""),"")</f>
        <v/>
      </c>
      <c r="BC115">
        <f t="shared" ca="1" si="33"/>
        <v>0</v>
      </c>
      <c r="BD115">
        <f t="shared" ca="1" si="34"/>
        <v>0</v>
      </c>
      <c r="BE115">
        <f t="shared" ca="1" si="35"/>
        <v>0</v>
      </c>
      <c r="BF115" t="str">
        <f ca="1">IF(ROW()&lt;($C$7+1),"",IFERROR((分析データ!D115-AVERAGE(OFFSET(分析データ!D$1,MAX(1,ROW()-$C$7),0,MIN($C$7,ROW()-1),1)))/STDEV(OFFSET(分析データ!D$1,MAX(1,ROW()-$C$7),0,MIN($C$7,ROW()-1),1)),0))</f>
        <v/>
      </c>
      <c r="BG115">
        <f t="shared" ca="1" si="36"/>
        <v>0</v>
      </c>
      <c r="BH115" t="str">
        <f ca="1">IF(BG115=1,IF(INDEX(分析データ!$A:$A,ROW()+$C$5)&lt;&gt;"",50000*SIGN(BF115)*(分析データ!D115-INDEX(分析データ!D:D,ROW()+$C$5)),""),"")</f>
        <v/>
      </c>
      <c r="BI115">
        <f t="shared" ca="1" si="37"/>
        <v>0</v>
      </c>
      <c r="BJ115">
        <f t="shared" ca="1" si="38"/>
        <v>0</v>
      </c>
      <c r="BK115">
        <f t="shared" ca="1" si="39"/>
        <v>0</v>
      </c>
      <c r="BL115" t="str">
        <f ca="1">IF(ROW()&lt;($C$7+1),"",IFERROR((分析データ!E115-AVERAGE(OFFSET(分析データ!E$1,MAX(1,ROW()-$C$7),0,MIN($C$7,ROW()-1),1)))/STDEV(OFFSET(分析データ!E$1,MAX(1,ROW()-$C$7),0,MIN($C$7,ROW()-1),1)),0))</f>
        <v/>
      </c>
      <c r="BM115">
        <f t="shared" ca="1" si="40"/>
        <v>0</v>
      </c>
      <c r="BN115" t="str">
        <f ca="1">IF(BM115=1,IF(INDEX(分析データ!$A:$A,ROW()+$C$5)&lt;&gt;"",40000*SIGN(BL115)*(分析データ!E115-INDEX(分析データ!E:E,ROW()+$C$5)),""),"")</f>
        <v/>
      </c>
      <c r="BO115">
        <f t="shared" ca="1" si="41"/>
        <v>0</v>
      </c>
      <c r="BP115">
        <f t="shared" ca="1" si="42"/>
        <v>0</v>
      </c>
      <c r="BQ115">
        <f t="shared" ca="1" si="43"/>
        <v>0</v>
      </c>
      <c r="BR115" t="str">
        <f ca="1">IF(ROW()&lt;($C$7+1),"",IFERROR((分析データ!F115-AVERAGE(OFFSET(分析データ!F$1,MAX(1,ROW()-$C$7),0,MIN($C$7,ROW()-1),1)))/STDEV(OFFSET(分析データ!F$1,MAX(1,ROW()-$C$7),0,MIN($C$7,ROW()-1),1)),0))</f>
        <v/>
      </c>
      <c r="BS115">
        <f t="shared" ca="1" si="44"/>
        <v>0</v>
      </c>
      <c r="BT115" t="str">
        <f ca="1">IF(BS115=1,IF(INDEX(分析データ!$A:$A,ROW()+$C$5)&lt;&gt;"",40000*SIGN(BR115)*(分析データ!F115-INDEX(分析データ!F:F,ROW()+$C$5)),""),"")</f>
        <v/>
      </c>
      <c r="BU115">
        <f t="shared" ca="1" si="45"/>
        <v>0</v>
      </c>
      <c r="BV115">
        <f t="shared" ca="1" si="46"/>
        <v>0</v>
      </c>
      <c r="BW115">
        <f t="shared" ca="1" si="47"/>
        <v>0</v>
      </c>
      <c r="BX115" t="str">
        <f ca="1">IF(ROW()&lt;($C$7+1),"",IFERROR((分析データ!G115-AVERAGE(OFFSET(分析データ!G$1,MAX(1,ROW()-$C$7),0,MIN($C$7,ROW()-1),1)))/STDEV(OFFSET(分析データ!G$1,MAX(1,ROW()-$C$7),0,MIN($C$7,ROW()-1),1)),0))</f>
        <v/>
      </c>
      <c r="BY115">
        <f t="shared" ca="1" si="48"/>
        <v>0</v>
      </c>
      <c r="BZ115" t="str">
        <f ca="1">IF(BY115=1,IF(INDEX(分析データ!$A:$A,ROW()+$C$5)&lt;&gt;"",40000*SIGN(BX115)*(分析データ!G115-INDEX(分析データ!G:G,ROW()+$C$5)),""),"")</f>
        <v/>
      </c>
      <c r="CA115">
        <f t="shared" ca="1" si="49"/>
        <v>0</v>
      </c>
      <c r="CB115">
        <f t="shared" ca="1" si="50"/>
        <v>0</v>
      </c>
      <c r="CC115">
        <f t="shared" ca="1" si="51"/>
        <v>0</v>
      </c>
      <c r="CD115">
        <f t="shared" ca="1" si="52"/>
        <v>0</v>
      </c>
      <c r="CE115">
        <f t="shared" ca="1" si="53"/>
        <v>0</v>
      </c>
      <c r="CF115">
        <f t="shared" ca="1" si="54"/>
        <v>0</v>
      </c>
      <c r="CG115">
        <f t="shared" ca="1" si="55"/>
        <v>0</v>
      </c>
      <c r="CH115" s="10">
        <f>分析データ!A115</f>
        <v>45091</v>
      </c>
    </row>
    <row r="116" spans="46:86">
      <c r="AT116" t="str">
        <f ca="1">IF(ROW()&lt;($C$7+1),"",IFERROR((分析データ!B116-AVERAGE(OFFSET(分析データ!B$1,MAX(1,ROW()-$C$7),0,MIN($C$7,ROW()-1),1)))/STDEV(OFFSET(分析データ!B$1,MAX(1,ROW()-$C$7),0,MIN($C$7,ROW()-1),1)),0))</f>
        <v/>
      </c>
      <c r="AU116">
        <f t="shared" ca="1" si="28"/>
        <v>0</v>
      </c>
      <c r="AV116" t="str">
        <f ca="1">IF(AU116=1,IF(INDEX(分析データ!$A:$A,ROW()+$C$5)&lt;&gt;"",80000*SIGN(AT116)*(分析データ!B116-INDEX(分析データ!B:B,ROW()+$C$5)),""),"")</f>
        <v/>
      </c>
      <c r="AW116">
        <f t="shared" ca="1" si="29"/>
        <v>0</v>
      </c>
      <c r="AX116">
        <f t="shared" ca="1" si="30"/>
        <v>0</v>
      </c>
      <c r="AY116">
        <f t="shared" ca="1" si="31"/>
        <v>0</v>
      </c>
      <c r="AZ116" t="str">
        <f ca="1">IF(ROW()&lt;($C$7+1),"",IFERROR((分析データ!C116-AVERAGE(OFFSET(分析データ!C$1,MAX(1,ROW()-$C$7),0,MIN($C$7,ROW()-1),1)))/STDEV(OFFSET(分析データ!C$1,MAX(1,ROW()-$C$7),0,MIN($C$7,ROW()-1),1)),0))</f>
        <v/>
      </c>
      <c r="BA116">
        <f t="shared" ca="1" si="32"/>
        <v>0</v>
      </c>
      <c r="BB116" t="str">
        <f ca="1">IF(BA116=1,IF(INDEX(分析データ!$A:$A,ROW()+$C$5)&lt;&gt;"",60000*SIGN(AZ116)*(分析データ!C116-INDEX(分析データ!C:C,ROW()+$C$5)),""),"")</f>
        <v/>
      </c>
      <c r="BC116">
        <f t="shared" ca="1" si="33"/>
        <v>0</v>
      </c>
      <c r="BD116">
        <f t="shared" ca="1" si="34"/>
        <v>0</v>
      </c>
      <c r="BE116">
        <f t="shared" ca="1" si="35"/>
        <v>0</v>
      </c>
      <c r="BF116" t="str">
        <f ca="1">IF(ROW()&lt;($C$7+1),"",IFERROR((分析データ!D116-AVERAGE(OFFSET(分析データ!D$1,MAX(1,ROW()-$C$7),0,MIN($C$7,ROW()-1),1)))/STDEV(OFFSET(分析データ!D$1,MAX(1,ROW()-$C$7),0,MIN($C$7,ROW()-1),1)),0))</f>
        <v/>
      </c>
      <c r="BG116">
        <f t="shared" ca="1" si="36"/>
        <v>0</v>
      </c>
      <c r="BH116" t="str">
        <f ca="1">IF(BG116=1,IF(INDEX(分析データ!$A:$A,ROW()+$C$5)&lt;&gt;"",50000*SIGN(BF116)*(分析データ!D116-INDEX(分析データ!D:D,ROW()+$C$5)),""),"")</f>
        <v/>
      </c>
      <c r="BI116">
        <f t="shared" ca="1" si="37"/>
        <v>0</v>
      </c>
      <c r="BJ116">
        <f t="shared" ca="1" si="38"/>
        <v>0</v>
      </c>
      <c r="BK116">
        <f t="shared" ca="1" si="39"/>
        <v>0</v>
      </c>
      <c r="BL116" t="str">
        <f ca="1">IF(ROW()&lt;($C$7+1),"",IFERROR((分析データ!E116-AVERAGE(OFFSET(分析データ!E$1,MAX(1,ROW()-$C$7),0,MIN($C$7,ROW()-1),1)))/STDEV(OFFSET(分析データ!E$1,MAX(1,ROW()-$C$7),0,MIN($C$7,ROW()-1),1)),0))</f>
        <v/>
      </c>
      <c r="BM116">
        <f t="shared" ca="1" si="40"/>
        <v>0</v>
      </c>
      <c r="BN116" t="str">
        <f ca="1">IF(BM116=1,IF(INDEX(分析データ!$A:$A,ROW()+$C$5)&lt;&gt;"",40000*SIGN(BL116)*(分析データ!E116-INDEX(分析データ!E:E,ROW()+$C$5)),""),"")</f>
        <v/>
      </c>
      <c r="BO116">
        <f t="shared" ca="1" si="41"/>
        <v>0</v>
      </c>
      <c r="BP116">
        <f t="shared" ca="1" si="42"/>
        <v>0</v>
      </c>
      <c r="BQ116">
        <f t="shared" ca="1" si="43"/>
        <v>0</v>
      </c>
      <c r="BR116" t="str">
        <f ca="1">IF(ROW()&lt;($C$7+1),"",IFERROR((分析データ!F116-AVERAGE(OFFSET(分析データ!F$1,MAX(1,ROW()-$C$7),0,MIN($C$7,ROW()-1),1)))/STDEV(OFFSET(分析データ!F$1,MAX(1,ROW()-$C$7),0,MIN($C$7,ROW()-1),1)),0))</f>
        <v/>
      </c>
      <c r="BS116">
        <f t="shared" ca="1" si="44"/>
        <v>0</v>
      </c>
      <c r="BT116" t="str">
        <f ca="1">IF(BS116=1,IF(INDEX(分析データ!$A:$A,ROW()+$C$5)&lt;&gt;"",40000*SIGN(BR116)*(分析データ!F116-INDEX(分析データ!F:F,ROW()+$C$5)),""),"")</f>
        <v/>
      </c>
      <c r="BU116">
        <f t="shared" ca="1" si="45"/>
        <v>0</v>
      </c>
      <c r="BV116">
        <f t="shared" ca="1" si="46"/>
        <v>0</v>
      </c>
      <c r="BW116">
        <f t="shared" ca="1" si="47"/>
        <v>0</v>
      </c>
      <c r="BX116" t="str">
        <f ca="1">IF(ROW()&lt;($C$7+1),"",IFERROR((分析データ!G116-AVERAGE(OFFSET(分析データ!G$1,MAX(1,ROW()-$C$7),0,MIN($C$7,ROW()-1),1)))/STDEV(OFFSET(分析データ!G$1,MAX(1,ROW()-$C$7),0,MIN($C$7,ROW()-1),1)),0))</f>
        <v/>
      </c>
      <c r="BY116">
        <f t="shared" ca="1" si="48"/>
        <v>0</v>
      </c>
      <c r="BZ116" t="str">
        <f ca="1">IF(BY116=1,IF(INDEX(分析データ!$A:$A,ROW()+$C$5)&lt;&gt;"",40000*SIGN(BX116)*(分析データ!G116-INDEX(分析データ!G:G,ROW()+$C$5)),""),"")</f>
        <v/>
      </c>
      <c r="CA116">
        <f t="shared" ca="1" si="49"/>
        <v>0</v>
      </c>
      <c r="CB116">
        <f t="shared" ca="1" si="50"/>
        <v>0</v>
      </c>
      <c r="CC116">
        <f t="shared" ca="1" si="51"/>
        <v>0</v>
      </c>
      <c r="CD116">
        <f t="shared" ca="1" si="52"/>
        <v>0</v>
      </c>
      <c r="CE116">
        <f t="shared" ca="1" si="53"/>
        <v>0</v>
      </c>
      <c r="CF116">
        <f t="shared" ca="1" si="54"/>
        <v>0</v>
      </c>
      <c r="CG116">
        <f t="shared" ca="1" si="55"/>
        <v>0</v>
      </c>
      <c r="CH116" s="10">
        <f>分析データ!A116</f>
        <v>45092</v>
      </c>
    </row>
    <row r="117" spans="46:86">
      <c r="AT117" t="str">
        <f ca="1">IF(ROW()&lt;($C$7+1),"",IFERROR((分析データ!B117-AVERAGE(OFFSET(分析データ!B$1,MAX(1,ROW()-$C$7),0,MIN($C$7,ROW()-1),1)))/STDEV(OFFSET(分析データ!B$1,MAX(1,ROW()-$C$7),0,MIN($C$7,ROW()-1),1)),0))</f>
        <v/>
      </c>
      <c r="AU117">
        <f t="shared" ca="1" si="28"/>
        <v>0</v>
      </c>
      <c r="AV117" t="str">
        <f ca="1">IF(AU117=1,IF(INDEX(分析データ!$A:$A,ROW()+$C$5)&lt;&gt;"",80000*SIGN(AT117)*(分析データ!B117-INDEX(分析データ!B:B,ROW()+$C$5)),""),"")</f>
        <v/>
      </c>
      <c r="AW117">
        <f t="shared" ca="1" si="29"/>
        <v>0</v>
      </c>
      <c r="AX117">
        <f t="shared" ca="1" si="30"/>
        <v>0</v>
      </c>
      <c r="AY117">
        <f t="shared" ca="1" si="31"/>
        <v>0</v>
      </c>
      <c r="AZ117" t="str">
        <f ca="1">IF(ROW()&lt;($C$7+1),"",IFERROR((分析データ!C117-AVERAGE(OFFSET(分析データ!C$1,MAX(1,ROW()-$C$7),0,MIN($C$7,ROW()-1),1)))/STDEV(OFFSET(分析データ!C$1,MAX(1,ROW()-$C$7),0,MIN($C$7,ROW()-1),1)),0))</f>
        <v/>
      </c>
      <c r="BA117">
        <f t="shared" ca="1" si="32"/>
        <v>0</v>
      </c>
      <c r="BB117" t="str">
        <f ca="1">IF(BA117=1,IF(INDEX(分析データ!$A:$A,ROW()+$C$5)&lt;&gt;"",60000*SIGN(AZ117)*(分析データ!C117-INDEX(分析データ!C:C,ROW()+$C$5)),""),"")</f>
        <v/>
      </c>
      <c r="BC117">
        <f t="shared" ca="1" si="33"/>
        <v>0</v>
      </c>
      <c r="BD117">
        <f t="shared" ca="1" si="34"/>
        <v>0</v>
      </c>
      <c r="BE117">
        <f t="shared" ca="1" si="35"/>
        <v>0</v>
      </c>
      <c r="BF117" t="str">
        <f ca="1">IF(ROW()&lt;($C$7+1),"",IFERROR((分析データ!D117-AVERAGE(OFFSET(分析データ!D$1,MAX(1,ROW()-$C$7),0,MIN($C$7,ROW()-1),1)))/STDEV(OFFSET(分析データ!D$1,MAX(1,ROW()-$C$7),0,MIN($C$7,ROW()-1),1)),0))</f>
        <v/>
      </c>
      <c r="BG117">
        <f t="shared" ca="1" si="36"/>
        <v>0</v>
      </c>
      <c r="BH117" t="str">
        <f ca="1">IF(BG117=1,IF(INDEX(分析データ!$A:$A,ROW()+$C$5)&lt;&gt;"",50000*SIGN(BF117)*(分析データ!D117-INDEX(分析データ!D:D,ROW()+$C$5)),""),"")</f>
        <v/>
      </c>
      <c r="BI117">
        <f t="shared" ca="1" si="37"/>
        <v>0</v>
      </c>
      <c r="BJ117">
        <f t="shared" ca="1" si="38"/>
        <v>0</v>
      </c>
      <c r="BK117">
        <f t="shared" ca="1" si="39"/>
        <v>0</v>
      </c>
      <c r="BL117" t="str">
        <f ca="1">IF(ROW()&lt;($C$7+1),"",IFERROR((分析データ!E117-AVERAGE(OFFSET(分析データ!E$1,MAX(1,ROW()-$C$7),0,MIN($C$7,ROW()-1),1)))/STDEV(OFFSET(分析データ!E$1,MAX(1,ROW()-$C$7),0,MIN($C$7,ROW()-1),1)),0))</f>
        <v/>
      </c>
      <c r="BM117">
        <f t="shared" ca="1" si="40"/>
        <v>0</v>
      </c>
      <c r="BN117" t="str">
        <f ca="1">IF(BM117=1,IF(INDEX(分析データ!$A:$A,ROW()+$C$5)&lt;&gt;"",40000*SIGN(BL117)*(分析データ!E117-INDEX(分析データ!E:E,ROW()+$C$5)),""),"")</f>
        <v/>
      </c>
      <c r="BO117">
        <f t="shared" ca="1" si="41"/>
        <v>0</v>
      </c>
      <c r="BP117">
        <f t="shared" ca="1" si="42"/>
        <v>0</v>
      </c>
      <c r="BQ117">
        <f t="shared" ca="1" si="43"/>
        <v>0</v>
      </c>
      <c r="BR117" t="str">
        <f ca="1">IF(ROW()&lt;($C$7+1),"",IFERROR((分析データ!F117-AVERAGE(OFFSET(分析データ!F$1,MAX(1,ROW()-$C$7),0,MIN($C$7,ROW()-1),1)))/STDEV(OFFSET(分析データ!F$1,MAX(1,ROW()-$C$7),0,MIN($C$7,ROW()-1),1)),0))</f>
        <v/>
      </c>
      <c r="BS117">
        <f t="shared" ca="1" si="44"/>
        <v>0</v>
      </c>
      <c r="BT117" t="str">
        <f ca="1">IF(BS117=1,IF(INDEX(分析データ!$A:$A,ROW()+$C$5)&lt;&gt;"",40000*SIGN(BR117)*(分析データ!F117-INDEX(分析データ!F:F,ROW()+$C$5)),""),"")</f>
        <v/>
      </c>
      <c r="BU117">
        <f t="shared" ca="1" si="45"/>
        <v>0</v>
      </c>
      <c r="BV117">
        <f t="shared" ca="1" si="46"/>
        <v>0</v>
      </c>
      <c r="BW117">
        <f t="shared" ca="1" si="47"/>
        <v>0</v>
      </c>
      <c r="BX117" t="str">
        <f ca="1">IF(ROW()&lt;($C$7+1),"",IFERROR((分析データ!G117-AVERAGE(OFFSET(分析データ!G$1,MAX(1,ROW()-$C$7),0,MIN($C$7,ROW()-1),1)))/STDEV(OFFSET(分析データ!G$1,MAX(1,ROW()-$C$7),0,MIN($C$7,ROW()-1),1)),0))</f>
        <v/>
      </c>
      <c r="BY117">
        <f t="shared" ca="1" si="48"/>
        <v>0</v>
      </c>
      <c r="BZ117" t="str">
        <f ca="1">IF(BY117=1,IF(INDEX(分析データ!$A:$A,ROW()+$C$5)&lt;&gt;"",40000*SIGN(BX117)*(分析データ!G117-INDEX(分析データ!G:G,ROW()+$C$5)),""),"")</f>
        <v/>
      </c>
      <c r="CA117">
        <f t="shared" ca="1" si="49"/>
        <v>0</v>
      </c>
      <c r="CB117">
        <f t="shared" ca="1" si="50"/>
        <v>0</v>
      </c>
      <c r="CC117">
        <f t="shared" ca="1" si="51"/>
        <v>0</v>
      </c>
      <c r="CD117">
        <f t="shared" ca="1" si="52"/>
        <v>0</v>
      </c>
      <c r="CE117">
        <f t="shared" ca="1" si="53"/>
        <v>0</v>
      </c>
      <c r="CF117">
        <f t="shared" ca="1" si="54"/>
        <v>0</v>
      </c>
      <c r="CG117">
        <f t="shared" ca="1" si="55"/>
        <v>0</v>
      </c>
      <c r="CH117" s="10">
        <f>分析データ!A117</f>
        <v>45093</v>
      </c>
    </row>
    <row r="118" spans="46:86">
      <c r="AT118" t="str">
        <f ca="1">IF(ROW()&lt;($C$7+1),"",IFERROR((分析データ!B118-AVERAGE(OFFSET(分析データ!B$1,MAX(1,ROW()-$C$7),0,MIN($C$7,ROW()-1),1)))/STDEV(OFFSET(分析データ!B$1,MAX(1,ROW()-$C$7),0,MIN($C$7,ROW()-1),1)),0))</f>
        <v/>
      </c>
      <c r="AU118">
        <f t="shared" ca="1" si="28"/>
        <v>0</v>
      </c>
      <c r="AV118" t="str">
        <f ca="1">IF(AU118=1,IF(INDEX(分析データ!$A:$A,ROW()+$C$5)&lt;&gt;"",80000*SIGN(AT118)*(分析データ!B118-INDEX(分析データ!B:B,ROW()+$C$5)),""),"")</f>
        <v/>
      </c>
      <c r="AW118">
        <f t="shared" ca="1" si="29"/>
        <v>0</v>
      </c>
      <c r="AX118">
        <f t="shared" ca="1" si="30"/>
        <v>0</v>
      </c>
      <c r="AY118">
        <f t="shared" ca="1" si="31"/>
        <v>0</v>
      </c>
      <c r="AZ118" t="str">
        <f ca="1">IF(ROW()&lt;($C$7+1),"",IFERROR((分析データ!C118-AVERAGE(OFFSET(分析データ!C$1,MAX(1,ROW()-$C$7),0,MIN($C$7,ROW()-1),1)))/STDEV(OFFSET(分析データ!C$1,MAX(1,ROW()-$C$7),0,MIN($C$7,ROW()-1),1)),0))</f>
        <v/>
      </c>
      <c r="BA118">
        <f t="shared" ca="1" si="32"/>
        <v>0</v>
      </c>
      <c r="BB118" t="str">
        <f ca="1">IF(BA118=1,IF(INDEX(分析データ!$A:$A,ROW()+$C$5)&lt;&gt;"",60000*SIGN(AZ118)*(分析データ!C118-INDEX(分析データ!C:C,ROW()+$C$5)),""),"")</f>
        <v/>
      </c>
      <c r="BC118">
        <f t="shared" ca="1" si="33"/>
        <v>0</v>
      </c>
      <c r="BD118">
        <f t="shared" ca="1" si="34"/>
        <v>0</v>
      </c>
      <c r="BE118">
        <f t="shared" ca="1" si="35"/>
        <v>0</v>
      </c>
      <c r="BF118" t="str">
        <f ca="1">IF(ROW()&lt;($C$7+1),"",IFERROR((分析データ!D118-AVERAGE(OFFSET(分析データ!D$1,MAX(1,ROW()-$C$7),0,MIN($C$7,ROW()-1),1)))/STDEV(OFFSET(分析データ!D$1,MAX(1,ROW()-$C$7),0,MIN($C$7,ROW()-1),1)),0))</f>
        <v/>
      </c>
      <c r="BG118">
        <f t="shared" ca="1" si="36"/>
        <v>0</v>
      </c>
      <c r="BH118" t="str">
        <f ca="1">IF(BG118=1,IF(INDEX(分析データ!$A:$A,ROW()+$C$5)&lt;&gt;"",50000*SIGN(BF118)*(分析データ!D118-INDEX(分析データ!D:D,ROW()+$C$5)),""),"")</f>
        <v/>
      </c>
      <c r="BI118">
        <f t="shared" ca="1" si="37"/>
        <v>0</v>
      </c>
      <c r="BJ118">
        <f t="shared" ca="1" si="38"/>
        <v>0</v>
      </c>
      <c r="BK118">
        <f t="shared" ca="1" si="39"/>
        <v>0</v>
      </c>
      <c r="BL118" t="str">
        <f ca="1">IF(ROW()&lt;($C$7+1),"",IFERROR((分析データ!E118-AVERAGE(OFFSET(分析データ!E$1,MAX(1,ROW()-$C$7),0,MIN($C$7,ROW()-1),1)))/STDEV(OFFSET(分析データ!E$1,MAX(1,ROW()-$C$7),0,MIN($C$7,ROW()-1),1)),0))</f>
        <v/>
      </c>
      <c r="BM118">
        <f t="shared" ca="1" si="40"/>
        <v>0</v>
      </c>
      <c r="BN118" t="str">
        <f ca="1">IF(BM118=1,IF(INDEX(分析データ!$A:$A,ROW()+$C$5)&lt;&gt;"",40000*SIGN(BL118)*(分析データ!E118-INDEX(分析データ!E:E,ROW()+$C$5)),""),"")</f>
        <v/>
      </c>
      <c r="BO118">
        <f t="shared" ca="1" si="41"/>
        <v>0</v>
      </c>
      <c r="BP118">
        <f t="shared" ca="1" si="42"/>
        <v>0</v>
      </c>
      <c r="BQ118">
        <f t="shared" ca="1" si="43"/>
        <v>0</v>
      </c>
      <c r="BR118" t="str">
        <f ca="1">IF(ROW()&lt;($C$7+1),"",IFERROR((分析データ!F118-AVERAGE(OFFSET(分析データ!F$1,MAX(1,ROW()-$C$7),0,MIN($C$7,ROW()-1),1)))/STDEV(OFFSET(分析データ!F$1,MAX(1,ROW()-$C$7),0,MIN($C$7,ROW()-1),1)),0))</f>
        <v/>
      </c>
      <c r="BS118">
        <f t="shared" ca="1" si="44"/>
        <v>0</v>
      </c>
      <c r="BT118" t="str">
        <f ca="1">IF(BS118=1,IF(INDEX(分析データ!$A:$A,ROW()+$C$5)&lt;&gt;"",40000*SIGN(BR118)*(分析データ!F118-INDEX(分析データ!F:F,ROW()+$C$5)),""),"")</f>
        <v/>
      </c>
      <c r="BU118">
        <f t="shared" ca="1" si="45"/>
        <v>0</v>
      </c>
      <c r="BV118">
        <f t="shared" ca="1" si="46"/>
        <v>0</v>
      </c>
      <c r="BW118">
        <f t="shared" ca="1" si="47"/>
        <v>0</v>
      </c>
      <c r="BX118" t="str">
        <f ca="1">IF(ROW()&lt;($C$7+1),"",IFERROR((分析データ!G118-AVERAGE(OFFSET(分析データ!G$1,MAX(1,ROW()-$C$7),0,MIN($C$7,ROW()-1),1)))/STDEV(OFFSET(分析データ!G$1,MAX(1,ROW()-$C$7),0,MIN($C$7,ROW()-1),1)),0))</f>
        <v/>
      </c>
      <c r="BY118">
        <f t="shared" ca="1" si="48"/>
        <v>0</v>
      </c>
      <c r="BZ118" t="str">
        <f ca="1">IF(BY118=1,IF(INDEX(分析データ!$A:$A,ROW()+$C$5)&lt;&gt;"",40000*SIGN(BX118)*(分析データ!G118-INDEX(分析データ!G:G,ROW()+$C$5)),""),"")</f>
        <v/>
      </c>
      <c r="CA118">
        <f t="shared" ca="1" si="49"/>
        <v>0</v>
      </c>
      <c r="CB118">
        <f t="shared" ca="1" si="50"/>
        <v>0</v>
      </c>
      <c r="CC118">
        <f t="shared" ca="1" si="51"/>
        <v>0</v>
      </c>
      <c r="CD118">
        <f t="shared" ca="1" si="52"/>
        <v>0</v>
      </c>
      <c r="CE118">
        <f t="shared" ca="1" si="53"/>
        <v>0</v>
      </c>
      <c r="CF118">
        <f t="shared" ca="1" si="54"/>
        <v>0</v>
      </c>
      <c r="CG118">
        <f t="shared" ca="1" si="55"/>
        <v>0</v>
      </c>
      <c r="CH118" s="10">
        <f>分析データ!A118</f>
        <v>45097</v>
      </c>
    </row>
    <row r="119" spans="46:86">
      <c r="AT119" t="str">
        <f ca="1">IF(ROW()&lt;($C$7+1),"",IFERROR((分析データ!B119-AVERAGE(OFFSET(分析データ!B$1,MAX(1,ROW()-$C$7),0,MIN($C$7,ROW()-1),1)))/STDEV(OFFSET(分析データ!B$1,MAX(1,ROW()-$C$7),0,MIN($C$7,ROW()-1),1)),0))</f>
        <v/>
      </c>
      <c r="AU119">
        <f t="shared" ca="1" si="28"/>
        <v>0</v>
      </c>
      <c r="AV119" t="str">
        <f ca="1">IF(AU119=1,IF(INDEX(分析データ!$A:$A,ROW()+$C$5)&lt;&gt;"",80000*SIGN(AT119)*(分析データ!B119-INDEX(分析データ!B:B,ROW()+$C$5)),""),"")</f>
        <v/>
      </c>
      <c r="AW119">
        <f t="shared" ca="1" si="29"/>
        <v>0</v>
      </c>
      <c r="AX119">
        <f t="shared" ca="1" si="30"/>
        <v>0</v>
      </c>
      <c r="AY119">
        <f t="shared" ca="1" si="31"/>
        <v>0</v>
      </c>
      <c r="AZ119" t="str">
        <f ca="1">IF(ROW()&lt;($C$7+1),"",IFERROR((分析データ!C119-AVERAGE(OFFSET(分析データ!C$1,MAX(1,ROW()-$C$7),0,MIN($C$7,ROW()-1),1)))/STDEV(OFFSET(分析データ!C$1,MAX(1,ROW()-$C$7),0,MIN($C$7,ROW()-1),1)),0))</f>
        <v/>
      </c>
      <c r="BA119">
        <f t="shared" ca="1" si="32"/>
        <v>0</v>
      </c>
      <c r="BB119" t="str">
        <f ca="1">IF(BA119=1,IF(INDEX(分析データ!$A:$A,ROW()+$C$5)&lt;&gt;"",60000*SIGN(AZ119)*(分析データ!C119-INDEX(分析データ!C:C,ROW()+$C$5)),""),"")</f>
        <v/>
      </c>
      <c r="BC119">
        <f t="shared" ca="1" si="33"/>
        <v>0</v>
      </c>
      <c r="BD119">
        <f t="shared" ca="1" si="34"/>
        <v>0</v>
      </c>
      <c r="BE119">
        <f t="shared" ca="1" si="35"/>
        <v>0</v>
      </c>
      <c r="BF119" t="str">
        <f ca="1">IF(ROW()&lt;($C$7+1),"",IFERROR((分析データ!D119-AVERAGE(OFFSET(分析データ!D$1,MAX(1,ROW()-$C$7),0,MIN($C$7,ROW()-1),1)))/STDEV(OFFSET(分析データ!D$1,MAX(1,ROW()-$C$7),0,MIN($C$7,ROW()-1),1)),0))</f>
        <v/>
      </c>
      <c r="BG119">
        <f t="shared" ca="1" si="36"/>
        <v>0</v>
      </c>
      <c r="BH119" t="str">
        <f ca="1">IF(BG119=1,IF(INDEX(分析データ!$A:$A,ROW()+$C$5)&lt;&gt;"",50000*SIGN(BF119)*(分析データ!D119-INDEX(分析データ!D:D,ROW()+$C$5)),""),"")</f>
        <v/>
      </c>
      <c r="BI119">
        <f t="shared" ca="1" si="37"/>
        <v>0</v>
      </c>
      <c r="BJ119">
        <f t="shared" ca="1" si="38"/>
        <v>0</v>
      </c>
      <c r="BK119">
        <f t="shared" ca="1" si="39"/>
        <v>0</v>
      </c>
      <c r="BL119" t="str">
        <f ca="1">IF(ROW()&lt;($C$7+1),"",IFERROR((分析データ!E119-AVERAGE(OFFSET(分析データ!E$1,MAX(1,ROW()-$C$7),0,MIN($C$7,ROW()-1),1)))/STDEV(OFFSET(分析データ!E$1,MAX(1,ROW()-$C$7),0,MIN($C$7,ROW()-1),1)),0))</f>
        <v/>
      </c>
      <c r="BM119">
        <f t="shared" ca="1" si="40"/>
        <v>0</v>
      </c>
      <c r="BN119" t="str">
        <f ca="1">IF(BM119=1,IF(INDEX(分析データ!$A:$A,ROW()+$C$5)&lt;&gt;"",40000*SIGN(BL119)*(分析データ!E119-INDEX(分析データ!E:E,ROW()+$C$5)),""),"")</f>
        <v/>
      </c>
      <c r="BO119">
        <f t="shared" ca="1" si="41"/>
        <v>0</v>
      </c>
      <c r="BP119">
        <f t="shared" ca="1" si="42"/>
        <v>0</v>
      </c>
      <c r="BQ119">
        <f t="shared" ca="1" si="43"/>
        <v>0</v>
      </c>
      <c r="BR119" t="str">
        <f ca="1">IF(ROW()&lt;($C$7+1),"",IFERROR((分析データ!F119-AVERAGE(OFFSET(分析データ!F$1,MAX(1,ROW()-$C$7),0,MIN($C$7,ROW()-1),1)))/STDEV(OFFSET(分析データ!F$1,MAX(1,ROW()-$C$7),0,MIN($C$7,ROW()-1),1)),0))</f>
        <v/>
      </c>
      <c r="BS119">
        <f t="shared" ca="1" si="44"/>
        <v>0</v>
      </c>
      <c r="BT119" t="str">
        <f ca="1">IF(BS119=1,IF(INDEX(分析データ!$A:$A,ROW()+$C$5)&lt;&gt;"",40000*SIGN(BR119)*(分析データ!F119-INDEX(分析データ!F:F,ROW()+$C$5)),""),"")</f>
        <v/>
      </c>
      <c r="BU119">
        <f t="shared" ca="1" si="45"/>
        <v>0</v>
      </c>
      <c r="BV119">
        <f t="shared" ca="1" si="46"/>
        <v>0</v>
      </c>
      <c r="BW119">
        <f t="shared" ca="1" si="47"/>
        <v>0</v>
      </c>
      <c r="BX119" t="str">
        <f ca="1">IF(ROW()&lt;($C$7+1),"",IFERROR((分析データ!G119-AVERAGE(OFFSET(分析データ!G$1,MAX(1,ROW()-$C$7),0,MIN($C$7,ROW()-1),1)))/STDEV(OFFSET(分析データ!G$1,MAX(1,ROW()-$C$7),0,MIN($C$7,ROW()-1),1)),0))</f>
        <v/>
      </c>
      <c r="BY119">
        <f t="shared" ca="1" si="48"/>
        <v>0</v>
      </c>
      <c r="BZ119" t="str">
        <f ca="1">IF(BY119=1,IF(INDEX(分析データ!$A:$A,ROW()+$C$5)&lt;&gt;"",40000*SIGN(BX119)*(分析データ!G119-INDEX(分析データ!G:G,ROW()+$C$5)),""),"")</f>
        <v/>
      </c>
      <c r="CA119">
        <f t="shared" ca="1" si="49"/>
        <v>0</v>
      </c>
      <c r="CB119">
        <f t="shared" ca="1" si="50"/>
        <v>0</v>
      </c>
      <c r="CC119">
        <f t="shared" ca="1" si="51"/>
        <v>0</v>
      </c>
      <c r="CD119">
        <f t="shared" ca="1" si="52"/>
        <v>0</v>
      </c>
      <c r="CE119">
        <f t="shared" ca="1" si="53"/>
        <v>0</v>
      </c>
      <c r="CF119">
        <f t="shared" ca="1" si="54"/>
        <v>0</v>
      </c>
      <c r="CG119">
        <f t="shared" ca="1" si="55"/>
        <v>0</v>
      </c>
      <c r="CH119" s="10">
        <f>分析データ!A119</f>
        <v>45098</v>
      </c>
    </row>
    <row r="120" spans="46:86">
      <c r="AT120" t="str">
        <f ca="1">IF(ROW()&lt;($C$7+1),"",IFERROR((分析データ!B120-AVERAGE(OFFSET(分析データ!B$1,MAX(1,ROW()-$C$7),0,MIN($C$7,ROW()-1),1)))/STDEV(OFFSET(分析データ!B$1,MAX(1,ROW()-$C$7),0,MIN($C$7,ROW()-1),1)),0))</f>
        <v/>
      </c>
      <c r="AU120">
        <f t="shared" ca="1" si="28"/>
        <v>0</v>
      </c>
      <c r="AV120" t="str">
        <f ca="1">IF(AU120=1,IF(INDEX(分析データ!$A:$A,ROW()+$C$5)&lt;&gt;"",80000*SIGN(AT120)*(分析データ!B120-INDEX(分析データ!B:B,ROW()+$C$5)),""),"")</f>
        <v/>
      </c>
      <c r="AW120">
        <f t="shared" ca="1" si="29"/>
        <v>0</v>
      </c>
      <c r="AX120">
        <f t="shared" ca="1" si="30"/>
        <v>0</v>
      </c>
      <c r="AY120">
        <f t="shared" ca="1" si="31"/>
        <v>0</v>
      </c>
      <c r="AZ120" t="str">
        <f ca="1">IF(ROW()&lt;($C$7+1),"",IFERROR((分析データ!C120-AVERAGE(OFFSET(分析データ!C$1,MAX(1,ROW()-$C$7),0,MIN($C$7,ROW()-1),1)))/STDEV(OFFSET(分析データ!C$1,MAX(1,ROW()-$C$7),0,MIN($C$7,ROW()-1),1)),0))</f>
        <v/>
      </c>
      <c r="BA120">
        <f t="shared" ca="1" si="32"/>
        <v>0</v>
      </c>
      <c r="BB120" t="str">
        <f ca="1">IF(BA120=1,IF(INDEX(分析データ!$A:$A,ROW()+$C$5)&lt;&gt;"",60000*SIGN(AZ120)*(分析データ!C120-INDEX(分析データ!C:C,ROW()+$C$5)),""),"")</f>
        <v/>
      </c>
      <c r="BC120">
        <f t="shared" ca="1" si="33"/>
        <v>0</v>
      </c>
      <c r="BD120">
        <f t="shared" ca="1" si="34"/>
        <v>0</v>
      </c>
      <c r="BE120">
        <f t="shared" ca="1" si="35"/>
        <v>0</v>
      </c>
      <c r="BF120" t="str">
        <f ca="1">IF(ROW()&lt;($C$7+1),"",IFERROR((分析データ!D120-AVERAGE(OFFSET(分析データ!D$1,MAX(1,ROW()-$C$7),0,MIN($C$7,ROW()-1),1)))/STDEV(OFFSET(分析データ!D$1,MAX(1,ROW()-$C$7),0,MIN($C$7,ROW()-1),1)),0))</f>
        <v/>
      </c>
      <c r="BG120">
        <f t="shared" ca="1" si="36"/>
        <v>0</v>
      </c>
      <c r="BH120" t="str">
        <f ca="1">IF(BG120=1,IF(INDEX(分析データ!$A:$A,ROW()+$C$5)&lt;&gt;"",50000*SIGN(BF120)*(分析データ!D120-INDEX(分析データ!D:D,ROW()+$C$5)),""),"")</f>
        <v/>
      </c>
      <c r="BI120">
        <f t="shared" ca="1" si="37"/>
        <v>0</v>
      </c>
      <c r="BJ120">
        <f t="shared" ca="1" si="38"/>
        <v>0</v>
      </c>
      <c r="BK120">
        <f t="shared" ca="1" si="39"/>
        <v>0</v>
      </c>
      <c r="BL120" t="str">
        <f ca="1">IF(ROW()&lt;($C$7+1),"",IFERROR((分析データ!E120-AVERAGE(OFFSET(分析データ!E$1,MAX(1,ROW()-$C$7),0,MIN($C$7,ROW()-1),1)))/STDEV(OFFSET(分析データ!E$1,MAX(1,ROW()-$C$7),0,MIN($C$7,ROW()-1),1)),0))</f>
        <v/>
      </c>
      <c r="BM120">
        <f t="shared" ca="1" si="40"/>
        <v>0</v>
      </c>
      <c r="BN120" t="str">
        <f ca="1">IF(BM120=1,IF(INDEX(分析データ!$A:$A,ROW()+$C$5)&lt;&gt;"",40000*SIGN(BL120)*(分析データ!E120-INDEX(分析データ!E:E,ROW()+$C$5)),""),"")</f>
        <v/>
      </c>
      <c r="BO120">
        <f t="shared" ca="1" si="41"/>
        <v>0</v>
      </c>
      <c r="BP120">
        <f t="shared" ca="1" si="42"/>
        <v>0</v>
      </c>
      <c r="BQ120">
        <f t="shared" ca="1" si="43"/>
        <v>0</v>
      </c>
      <c r="BR120" t="str">
        <f ca="1">IF(ROW()&lt;($C$7+1),"",IFERROR((分析データ!F120-AVERAGE(OFFSET(分析データ!F$1,MAX(1,ROW()-$C$7),0,MIN($C$7,ROW()-1),1)))/STDEV(OFFSET(分析データ!F$1,MAX(1,ROW()-$C$7),0,MIN($C$7,ROW()-1),1)),0))</f>
        <v/>
      </c>
      <c r="BS120">
        <f t="shared" ca="1" si="44"/>
        <v>0</v>
      </c>
      <c r="BT120" t="str">
        <f ca="1">IF(BS120=1,IF(INDEX(分析データ!$A:$A,ROW()+$C$5)&lt;&gt;"",40000*SIGN(BR120)*(分析データ!F120-INDEX(分析データ!F:F,ROW()+$C$5)),""),"")</f>
        <v/>
      </c>
      <c r="BU120">
        <f t="shared" ca="1" si="45"/>
        <v>0</v>
      </c>
      <c r="BV120">
        <f t="shared" ca="1" si="46"/>
        <v>0</v>
      </c>
      <c r="BW120">
        <f t="shared" ca="1" si="47"/>
        <v>0</v>
      </c>
      <c r="BX120" t="str">
        <f ca="1">IF(ROW()&lt;($C$7+1),"",IFERROR((分析データ!G120-AVERAGE(OFFSET(分析データ!G$1,MAX(1,ROW()-$C$7),0,MIN($C$7,ROW()-1),1)))/STDEV(OFFSET(分析データ!G$1,MAX(1,ROW()-$C$7),0,MIN($C$7,ROW()-1),1)),0))</f>
        <v/>
      </c>
      <c r="BY120">
        <f t="shared" ca="1" si="48"/>
        <v>0</v>
      </c>
      <c r="BZ120" t="str">
        <f ca="1">IF(BY120=1,IF(INDEX(分析データ!$A:$A,ROW()+$C$5)&lt;&gt;"",40000*SIGN(BX120)*(分析データ!G120-INDEX(分析データ!G:G,ROW()+$C$5)),""),"")</f>
        <v/>
      </c>
      <c r="CA120">
        <f t="shared" ca="1" si="49"/>
        <v>0</v>
      </c>
      <c r="CB120">
        <f t="shared" ca="1" si="50"/>
        <v>0</v>
      </c>
      <c r="CC120">
        <f t="shared" ca="1" si="51"/>
        <v>0</v>
      </c>
      <c r="CD120">
        <f t="shared" ca="1" si="52"/>
        <v>0</v>
      </c>
      <c r="CE120">
        <f t="shared" ca="1" si="53"/>
        <v>0</v>
      </c>
      <c r="CF120">
        <f t="shared" ca="1" si="54"/>
        <v>0</v>
      </c>
      <c r="CG120">
        <f t="shared" ca="1" si="55"/>
        <v>0</v>
      </c>
      <c r="CH120" s="10">
        <f>分析データ!A120</f>
        <v>45099</v>
      </c>
    </row>
    <row r="121" spans="46:86">
      <c r="AT121" t="str">
        <f ca="1">IF(ROW()&lt;($C$7+1),"",IFERROR((分析データ!B121-AVERAGE(OFFSET(分析データ!B$1,MAX(1,ROW()-$C$7),0,MIN($C$7,ROW()-1),1)))/STDEV(OFFSET(分析データ!B$1,MAX(1,ROW()-$C$7),0,MIN($C$7,ROW()-1),1)),0))</f>
        <v/>
      </c>
      <c r="AU121">
        <f t="shared" ca="1" si="28"/>
        <v>0</v>
      </c>
      <c r="AV121" t="str">
        <f ca="1">IF(AU121=1,IF(INDEX(分析データ!$A:$A,ROW()+$C$5)&lt;&gt;"",80000*SIGN(AT121)*(分析データ!B121-INDEX(分析データ!B:B,ROW()+$C$5)),""),"")</f>
        <v/>
      </c>
      <c r="AW121">
        <f t="shared" ca="1" si="29"/>
        <v>0</v>
      </c>
      <c r="AX121">
        <f t="shared" ca="1" si="30"/>
        <v>0</v>
      </c>
      <c r="AY121">
        <f t="shared" ca="1" si="31"/>
        <v>0</v>
      </c>
      <c r="AZ121" t="str">
        <f ca="1">IF(ROW()&lt;($C$7+1),"",IFERROR((分析データ!C121-AVERAGE(OFFSET(分析データ!C$1,MAX(1,ROW()-$C$7),0,MIN($C$7,ROW()-1),1)))/STDEV(OFFSET(分析データ!C$1,MAX(1,ROW()-$C$7),0,MIN($C$7,ROW()-1),1)),0))</f>
        <v/>
      </c>
      <c r="BA121">
        <f t="shared" ca="1" si="32"/>
        <v>0</v>
      </c>
      <c r="BB121" t="str">
        <f ca="1">IF(BA121=1,IF(INDEX(分析データ!$A:$A,ROW()+$C$5)&lt;&gt;"",60000*SIGN(AZ121)*(分析データ!C121-INDEX(分析データ!C:C,ROW()+$C$5)),""),"")</f>
        <v/>
      </c>
      <c r="BC121">
        <f t="shared" ca="1" si="33"/>
        <v>0</v>
      </c>
      <c r="BD121">
        <f t="shared" ca="1" si="34"/>
        <v>0</v>
      </c>
      <c r="BE121">
        <f t="shared" ca="1" si="35"/>
        <v>0</v>
      </c>
      <c r="BF121" t="str">
        <f ca="1">IF(ROW()&lt;($C$7+1),"",IFERROR((分析データ!D121-AVERAGE(OFFSET(分析データ!D$1,MAX(1,ROW()-$C$7),0,MIN($C$7,ROW()-1),1)))/STDEV(OFFSET(分析データ!D$1,MAX(1,ROW()-$C$7),0,MIN($C$7,ROW()-1),1)),0))</f>
        <v/>
      </c>
      <c r="BG121">
        <f t="shared" ca="1" si="36"/>
        <v>0</v>
      </c>
      <c r="BH121" t="str">
        <f ca="1">IF(BG121=1,IF(INDEX(分析データ!$A:$A,ROW()+$C$5)&lt;&gt;"",50000*SIGN(BF121)*(分析データ!D121-INDEX(分析データ!D:D,ROW()+$C$5)),""),"")</f>
        <v/>
      </c>
      <c r="BI121">
        <f t="shared" ca="1" si="37"/>
        <v>0</v>
      </c>
      <c r="BJ121">
        <f t="shared" ca="1" si="38"/>
        <v>0</v>
      </c>
      <c r="BK121">
        <f t="shared" ca="1" si="39"/>
        <v>0</v>
      </c>
      <c r="BL121" t="str">
        <f ca="1">IF(ROW()&lt;($C$7+1),"",IFERROR((分析データ!E121-AVERAGE(OFFSET(分析データ!E$1,MAX(1,ROW()-$C$7),0,MIN($C$7,ROW()-1),1)))/STDEV(OFFSET(分析データ!E$1,MAX(1,ROW()-$C$7),0,MIN($C$7,ROW()-1),1)),0))</f>
        <v/>
      </c>
      <c r="BM121">
        <f t="shared" ca="1" si="40"/>
        <v>0</v>
      </c>
      <c r="BN121" t="str">
        <f ca="1">IF(BM121=1,IF(INDEX(分析データ!$A:$A,ROW()+$C$5)&lt;&gt;"",40000*SIGN(BL121)*(分析データ!E121-INDEX(分析データ!E:E,ROW()+$C$5)),""),"")</f>
        <v/>
      </c>
      <c r="BO121">
        <f t="shared" ca="1" si="41"/>
        <v>0</v>
      </c>
      <c r="BP121">
        <f t="shared" ca="1" si="42"/>
        <v>0</v>
      </c>
      <c r="BQ121">
        <f t="shared" ca="1" si="43"/>
        <v>0</v>
      </c>
      <c r="BR121" t="str">
        <f ca="1">IF(ROW()&lt;($C$7+1),"",IFERROR((分析データ!F121-AVERAGE(OFFSET(分析データ!F$1,MAX(1,ROW()-$C$7),0,MIN($C$7,ROW()-1),1)))/STDEV(OFFSET(分析データ!F$1,MAX(1,ROW()-$C$7),0,MIN($C$7,ROW()-1),1)),0))</f>
        <v/>
      </c>
      <c r="BS121">
        <f t="shared" ca="1" si="44"/>
        <v>0</v>
      </c>
      <c r="BT121" t="str">
        <f ca="1">IF(BS121=1,IF(INDEX(分析データ!$A:$A,ROW()+$C$5)&lt;&gt;"",40000*SIGN(BR121)*(分析データ!F121-INDEX(分析データ!F:F,ROW()+$C$5)),""),"")</f>
        <v/>
      </c>
      <c r="BU121">
        <f t="shared" ca="1" si="45"/>
        <v>0</v>
      </c>
      <c r="BV121">
        <f t="shared" ca="1" si="46"/>
        <v>0</v>
      </c>
      <c r="BW121">
        <f t="shared" ca="1" si="47"/>
        <v>0</v>
      </c>
      <c r="BX121" t="str">
        <f ca="1">IF(ROW()&lt;($C$7+1),"",IFERROR((分析データ!G121-AVERAGE(OFFSET(分析データ!G$1,MAX(1,ROW()-$C$7),0,MIN($C$7,ROW()-1),1)))/STDEV(OFFSET(分析データ!G$1,MAX(1,ROW()-$C$7),0,MIN($C$7,ROW()-1),1)),0))</f>
        <v/>
      </c>
      <c r="BY121">
        <f t="shared" ca="1" si="48"/>
        <v>0</v>
      </c>
      <c r="BZ121" t="str">
        <f ca="1">IF(BY121=1,IF(INDEX(分析データ!$A:$A,ROW()+$C$5)&lt;&gt;"",40000*SIGN(BX121)*(分析データ!G121-INDEX(分析データ!G:G,ROW()+$C$5)),""),"")</f>
        <v/>
      </c>
      <c r="CA121">
        <f t="shared" ca="1" si="49"/>
        <v>0</v>
      </c>
      <c r="CB121">
        <f t="shared" ca="1" si="50"/>
        <v>0</v>
      </c>
      <c r="CC121">
        <f t="shared" ca="1" si="51"/>
        <v>0</v>
      </c>
      <c r="CD121">
        <f t="shared" ca="1" si="52"/>
        <v>0</v>
      </c>
      <c r="CE121">
        <f t="shared" ca="1" si="53"/>
        <v>0</v>
      </c>
      <c r="CF121">
        <f t="shared" ca="1" si="54"/>
        <v>0</v>
      </c>
      <c r="CG121">
        <f t="shared" ca="1" si="55"/>
        <v>0</v>
      </c>
      <c r="CH121" s="10">
        <f>分析データ!A121</f>
        <v>45100</v>
      </c>
    </row>
    <row r="122" spans="46:86">
      <c r="AT122" t="str">
        <f ca="1">IF(ROW()&lt;($C$7+1),"",IFERROR((分析データ!B122-AVERAGE(OFFSET(分析データ!B$1,MAX(1,ROW()-$C$7),0,MIN($C$7,ROW()-1),1)))/STDEV(OFFSET(分析データ!B$1,MAX(1,ROW()-$C$7),0,MIN($C$7,ROW()-1),1)),0))</f>
        <v/>
      </c>
      <c r="AU122">
        <f t="shared" ca="1" si="28"/>
        <v>0</v>
      </c>
      <c r="AV122" t="str">
        <f ca="1">IF(AU122=1,IF(INDEX(分析データ!$A:$A,ROW()+$C$5)&lt;&gt;"",80000*SIGN(AT122)*(分析データ!B122-INDEX(分析データ!B:B,ROW()+$C$5)),""),"")</f>
        <v/>
      </c>
      <c r="AW122">
        <f t="shared" ca="1" si="29"/>
        <v>0</v>
      </c>
      <c r="AX122">
        <f t="shared" ca="1" si="30"/>
        <v>0</v>
      </c>
      <c r="AY122">
        <f t="shared" ca="1" si="31"/>
        <v>0</v>
      </c>
      <c r="AZ122" t="str">
        <f ca="1">IF(ROW()&lt;($C$7+1),"",IFERROR((分析データ!C122-AVERAGE(OFFSET(分析データ!C$1,MAX(1,ROW()-$C$7),0,MIN($C$7,ROW()-1),1)))/STDEV(OFFSET(分析データ!C$1,MAX(1,ROW()-$C$7),0,MIN($C$7,ROW()-1),1)),0))</f>
        <v/>
      </c>
      <c r="BA122">
        <f t="shared" ca="1" si="32"/>
        <v>0</v>
      </c>
      <c r="BB122" t="str">
        <f ca="1">IF(BA122=1,IF(INDEX(分析データ!$A:$A,ROW()+$C$5)&lt;&gt;"",60000*SIGN(AZ122)*(分析データ!C122-INDEX(分析データ!C:C,ROW()+$C$5)),""),"")</f>
        <v/>
      </c>
      <c r="BC122">
        <f t="shared" ca="1" si="33"/>
        <v>0</v>
      </c>
      <c r="BD122">
        <f t="shared" ca="1" si="34"/>
        <v>0</v>
      </c>
      <c r="BE122">
        <f t="shared" ca="1" si="35"/>
        <v>0</v>
      </c>
      <c r="BF122" t="str">
        <f ca="1">IF(ROW()&lt;($C$7+1),"",IFERROR((分析データ!D122-AVERAGE(OFFSET(分析データ!D$1,MAX(1,ROW()-$C$7),0,MIN($C$7,ROW()-1),1)))/STDEV(OFFSET(分析データ!D$1,MAX(1,ROW()-$C$7),0,MIN($C$7,ROW()-1),1)),0))</f>
        <v/>
      </c>
      <c r="BG122">
        <f t="shared" ca="1" si="36"/>
        <v>0</v>
      </c>
      <c r="BH122" t="str">
        <f ca="1">IF(BG122=1,IF(INDEX(分析データ!$A:$A,ROW()+$C$5)&lt;&gt;"",50000*SIGN(BF122)*(分析データ!D122-INDEX(分析データ!D:D,ROW()+$C$5)),""),"")</f>
        <v/>
      </c>
      <c r="BI122">
        <f t="shared" ca="1" si="37"/>
        <v>0</v>
      </c>
      <c r="BJ122">
        <f t="shared" ca="1" si="38"/>
        <v>0</v>
      </c>
      <c r="BK122">
        <f t="shared" ca="1" si="39"/>
        <v>0</v>
      </c>
      <c r="BL122" t="str">
        <f ca="1">IF(ROW()&lt;($C$7+1),"",IFERROR((分析データ!E122-AVERAGE(OFFSET(分析データ!E$1,MAX(1,ROW()-$C$7),0,MIN($C$7,ROW()-1),1)))/STDEV(OFFSET(分析データ!E$1,MAX(1,ROW()-$C$7),0,MIN($C$7,ROW()-1),1)),0))</f>
        <v/>
      </c>
      <c r="BM122">
        <f t="shared" ca="1" si="40"/>
        <v>0</v>
      </c>
      <c r="BN122" t="str">
        <f ca="1">IF(BM122=1,IF(INDEX(分析データ!$A:$A,ROW()+$C$5)&lt;&gt;"",40000*SIGN(BL122)*(分析データ!E122-INDEX(分析データ!E:E,ROW()+$C$5)),""),"")</f>
        <v/>
      </c>
      <c r="BO122">
        <f t="shared" ca="1" si="41"/>
        <v>0</v>
      </c>
      <c r="BP122">
        <f t="shared" ca="1" si="42"/>
        <v>0</v>
      </c>
      <c r="BQ122">
        <f t="shared" ca="1" si="43"/>
        <v>0</v>
      </c>
      <c r="BR122" t="str">
        <f ca="1">IF(ROW()&lt;($C$7+1),"",IFERROR((分析データ!F122-AVERAGE(OFFSET(分析データ!F$1,MAX(1,ROW()-$C$7),0,MIN($C$7,ROW()-1),1)))/STDEV(OFFSET(分析データ!F$1,MAX(1,ROW()-$C$7),0,MIN($C$7,ROW()-1),1)),0))</f>
        <v/>
      </c>
      <c r="BS122">
        <f t="shared" ca="1" si="44"/>
        <v>0</v>
      </c>
      <c r="BT122" t="str">
        <f ca="1">IF(BS122=1,IF(INDEX(分析データ!$A:$A,ROW()+$C$5)&lt;&gt;"",40000*SIGN(BR122)*(分析データ!F122-INDEX(分析データ!F:F,ROW()+$C$5)),""),"")</f>
        <v/>
      </c>
      <c r="BU122">
        <f t="shared" ca="1" si="45"/>
        <v>0</v>
      </c>
      <c r="BV122">
        <f t="shared" ca="1" si="46"/>
        <v>0</v>
      </c>
      <c r="BW122">
        <f t="shared" ca="1" si="47"/>
        <v>0</v>
      </c>
      <c r="BX122" t="str">
        <f ca="1">IF(ROW()&lt;($C$7+1),"",IFERROR((分析データ!G122-AVERAGE(OFFSET(分析データ!G$1,MAX(1,ROW()-$C$7),0,MIN($C$7,ROW()-1),1)))/STDEV(OFFSET(分析データ!G$1,MAX(1,ROW()-$C$7),0,MIN($C$7,ROW()-1),1)),0))</f>
        <v/>
      </c>
      <c r="BY122">
        <f t="shared" ca="1" si="48"/>
        <v>0</v>
      </c>
      <c r="BZ122" t="str">
        <f ca="1">IF(BY122=1,IF(INDEX(分析データ!$A:$A,ROW()+$C$5)&lt;&gt;"",40000*SIGN(BX122)*(分析データ!G122-INDEX(分析データ!G:G,ROW()+$C$5)),""),"")</f>
        <v/>
      </c>
      <c r="CA122">
        <f t="shared" ca="1" si="49"/>
        <v>0</v>
      </c>
      <c r="CB122">
        <f t="shared" ca="1" si="50"/>
        <v>0</v>
      </c>
      <c r="CC122">
        <f t="shared" ca="1" si="51"/>
        <v>0</v>
      </c>
      <c r="CD122">
        <f t="shared" ca="1" si="52"/>
        <v>0</v>
      </c>
      <c r="CE122">
        <f t="shared" ca="1" si="53"/>
        <v>0</v>
      </c>
      <c r="CF122">
        <f t="shared" ca="1" si="54"/>
        <v>0</v>
      </c>
      <c r="CG122">
        <f t="shared" ca="1" si="55"/>
        <v>0</v>
      </c>
      <c r="CH122" s="10">
        <f>分析データ!A122</f>
        <v>45103</v>
      </c>
    </row>
    <row r="123" spans="46:86">
      <c r="AT123" t="str">
        <f ca="1">IF(ROW()&lt;($C$7+1),"",IFERROR((分析データ!B123-AVERAGE(OFFSET(分析データ!B$1,MAX(1,ROW()-$C$7),0,MIN($C$7,ROW()-1),1)))/STDEV(OFFSET(分析データ!B$1,MAX(1,ROW()-$C$7),0,MIN($C$7,ROW()-1),1)),0))</f>
        <v/>
      </c>
      <c r="AU123">
        <f t="shared" ca="1" si="28"/>
        <v>0</v>
      </c>
      <c r="AV123" t="str">
        <f ca="1">IF(AU123=1,IF(INDEX(分析データ!$A:$A,ROW()+$C$5)&lt;&gt;"",80000*SIGN(AT123)*(分析データ!B123-INDEX(分析データ!B:B,ROW()+$C$5)),""),"")</f>
        <v/>
      </c>
      <c r="AW123">
        <f t="shared" ca="1" si="29"/>
        <v>0</v>
      </c>
      <c r="AX123">
        <f t="shared" ca="1" si="30"/>
        <v>0</v>
      </c>
      <c r="AY123">
        <f t="shared" ca="1" si="31"/>
        <v>0</v>
      </c>
      <c r="AZ123" t="str">
        <f ca="1">IF(ROW()&lt;($C$7+1),"",IFERROR((分析データ!C123-AVERAGE(OFFSET(分析データ!C$1,MAX(1,ROW()-$C$7),0,MIN($C$7,ROW()-1),1)))/STDEV(OFFSET(分析データ!C$1,MAX(1,ROW()-$C$7),0,MIN($C$7,ROW()-1),1)),0))</f>
        <v/>
      </c>
      <c r="BA123">
        <f t="shared" ca="1" si="32"/>
        <v>0</v>
      </c>
      <c r="BB123" t="str">
        <f ca="1">IF(BA123=1,IF(INDEX(分析データ!$A:$A,ROW()+$C$5)&lt;&gt;"",60000*SIGN(AZ123)*(分析データ!C123-INDEX(分析データ!C:C,ROW()+$C$5)),""),"")</f>
        <v/>
      </c>
      <c r="BC123">
        <f t="shared" ca="1" si="33"/>
        <v>0</v>
      </c>
      <c r="BD123">
        <f t="shared" ca="1" si="34"/>
        <v>0</v>
      </c>
      <c r="BE123">
        <f t="shared" ca="1" si="35"/>
        <v>0</v>
      </c>
      <c r="BF123" t="str">
        <f ca="1">IF(ROW()&lt;($C$7+1),"",IFERROR((分析データ!D123-AVERAGE(OFFSET(分析データ!D$1,MAX(1,ROW()-$C$7),0,MIN($C$7,ROW()-1),1)))/STDEV(OFFSET(分析データ!D$1,MAX(1,ROW()-$C$7),0,MIN($C$7,ROW()-1),1)),0))</f>
        <v/>
      </c>
      <c r="BG123">
        <f t="shared" ca="1" si="36"/>
        <v>0</v>
      </c>
      <c r="BH123" t="str">
        <f ca="1">IF(BG123=1,IF(INDEX(分析データ!$A:$A,ROW()+$C$5)&lt;&gt;"",50000*SIGN(BF123)*(分析データ!D123-INDEX(分析データ!D:D,ROW()+$C$5)),""),"")</f>
        <v/>
      </c>
      <c r="BI123">
        <f t="shared" ca="1" si="37"/>
        <v>0</v>
      </c>
      <c r="BJ123">
        <f t="shared" ca="1" si="38"/>
        <v>0</v>
      </c>
      <c r="BK123">
        <f t="shared" ca="1" si="39"/>
        <v>0</v>
      </c>
      <c r="BL123" t="str">
        <f ca="1">IF(ROW()&lt;($C$7+1),"",IFERROR((分析データ!E123-AVERAGE(OFFSET(分析データ!E$1,MAX(1,ROW()-$C$7),0,MIN($C$7,ROW()-1),1)))/STDEV(OFFSET(分析データ!E$1,MAX(1,ROW()-$C$7),0,MIN($C$7,ROW()-1),1)),0))</f>
        <v/>
      </c>
      <c r="BM123">
        <f t="shared" ca="1" si="40"/>
        <v>0</v>
      </c>
      <c r="BN123" t="str">
        <f ca="1">IF(BM123=1,IF(INDEX(分析データ!$A:$A,ROW()+$C$5)&lt;&gt;"",40000*SIGN(BL123)*(分析データ!E123-INDEX(分析データ!E:E,ROW()+$C$5)),""),"")</f>
        <v/>
      </c>
      <c r="BO123">
        <f t="shared" ca="1" si="41"/>
        <v>0</v>
      </c>
      <c r="BP123">
        <f t="shared" ca="1" si="42"/>
        <v>0</v>
      </c>
      <c r="BQ123">
        <f t="shared" ca="1" si="43"/>
        <v>0</v>
      </c>
      <c r="BR123" t="str">
        <f ca="1">IF(ROW()&lt;($C$7+1),"",IFERROR((分析データ!F123-AVERAGE(OFFSET(分析データ!F$1,MAX(1,ROW()-$C$7),0,MIN($C$7,ROW()-1),1)))/STDEV(OFFSET(分析データ!F$1,MAX(1,ROW()-$C$7),0,MIN($C$7,ROW()-1),1)),0))</f>
        <v/>
      </c>
      <c r="BS123">
        <f t="shared" ca="1" si="44"/>
        <v>0</v>
      </c>
      <c r="BT123" t="str">
        <f ca="1">IF(BS123=1,IF(INDEX(分析データ!$A:$A,ROW()+$C$5)&lt;&gt;"",40000*SIGN(BR123)*(分析データ!F123-INDEX(分析データ!F:F,ROW()+$C$5)),""),"")</f>
        <v/>
      </c>
      <c r="BU123">
        <f t="shared" ca="1" si="45"/>
        <v>0</v>
      </c>
      <c r="BV123">
        <f t="shared" ca="1" si="46"/>
        <v>0</v>
      </c>
      <c r="BW123">
        <f t="shared" ca="1" si="47"/>
        <v>0</v>
      </c>
      <c r="BX123" t="str">
        <f ca="1">IF(ROW()&lt;($C$7+1),"",IFERROR((分析データ!G123-AVERAGE(OFFSET(分析データ!G$1,MAX(1,ROW()-$C$7),0,MIN($C$7,ROW()-1),1)))/STDEV(OFFSET(分析データ!G$1,MAX(1,ROW()-$C$7),0,MIN($C$7,ROW()-1),1)),0))</f>
        <v/>
      </c>
      <c r="BY123">
        <f t="shared" ca="1" si="48"/>
        <v>0</v>
      </c>
      <c r="BZ123" t="str">
        <f ca="1">IF(BY123=1,IF(INDEX(分析データ!$A:$A,ROW()+$C$5)&lt;&gt;"",40000*SIGN(BX123)*(分析データ!G123-INDEX(分析データ!G:G,ROW()+$C$5)),""),"")</f>
        <v/>
      </c>
      <c r="CA123">
        <f t="shared" ca="1" si="49"/>
        <v>0</v>
      </c>
      <c r="CB123">
        <f t="shared" ca="1" si="50"/>
        <v>0</v>
      </c>
      <c r="CC123">
        <f t="shared" ca="1" si="51"/>
        <v>0</v>
      </c>
      <c r="CD123">
        <f t="shared" ca="1" si="52"/>
        <v>0</v>
      </c>
      <c r="CE123">
        <f t="shared" ca="1" si="53"/>
        <v>0</v>
      </c>
      <c r="CF123">
        <f t="shared" ca="1" si="54"/>
        <v>0</v>
      </c>
      <c r="CG123">
        <f t="shared" ca="1" si="55"/>
        <v>0</v>
      </c>
      <c r="CH123" s="10">
        <f>分析データ!A123</f>
        <v>45104</v>
      </c>
    </row>
    <row r="124" spans="46:86">
      <c r="AT124" t="str">
        <f ca="1">IF(ROW()&lt;($C$7+1),"",IFERROR((分析データ!B124-AVERAGE(OFFSET(分析データ!B$1,MAX(1,ROW()-$C$7),0,MIN($C$7,ROW()-1),1)))/STDEV(OFFSET(分析データ!B$1,MAX(1,ROW()-$C$7),0,MIN($C$7,ROW()-1),1)),0))</f>
        <v/>
      </c>
      <c r="AU124">
        <f t="shared" ca="1" si="28"/>
        <v>0</v>
      </c>
      <c r="AV124" t="str">
        <f ca="1">IF(AU124=1,IF(INDEX(分析データ!$A:$A,ROW()+$C$5)&lt;&gt;"",80000*SIGN(AT124)*(分析データ!B124-INDEX(分析データ!B:B,ROW()+$C$5)),""),"")</f>
        <v/>
      </c>
      <c r="AW124">
        <f t="shared" ca="1" si="29"/>
        <v>0</v>
      </c>
      <c r="AX124">
        <f t="shared" ca="1" si="30"/>
        <v>0</v>
      </c>
      <c r="AY124">
        <f t="shared" ca="1" si="31"/>
        <v>0</v>
      </c>
      <c r="AZ124" t="str">
        <f ca="1">IF(ROW()&lt;($C$7+1),"",IFERROR((分析データ!C124-AVERAGE(OFFSET(分析データ!C$1,MAX(1,ROW()-$C$7),0,MIN($C$7,ROW()-1),1)))/STDEV(OFFSET(分析データ!C$1,MAX(1,ROW()-$C$7),0,MIN($C$7,ROW()-1),1)),0))</f>
        <v/>
      </c>
      <c r="BA124">
        <f t="shared" ca="1" si="32"/>
        <v>0</v>
      </c>
      <c r="BB124" t="str">
        <f ca="1">IF(BA124=1,IF(INDEX(分析データ!$A:$A,ROW()+$C$5)&lt;&gt;"",60000*SIGN(AZ124)*(分析データ!C124-INDEX(分析データ!C:C,ROW()+$C$5)),""),"")</f>
        <v/>
      </c>
      <c r="BC124">
        <f t="shared" ca="1" si="33"/>
        <v>0</v>
      </c>
      <c r="BD124">
        <f t="shared" ca="1" si="34"/>
        <v>0</v>
      </c>
      <c r="BE124">
        <f t="shared" ca="1" si="35"/>
        <v>0</v>
      </c>
      <c r="BF124" t="str">
        <f ca="1">IF(ROW()&lt;($C$7+1),"",IFERROR((分析データ!D124-AVERAGE(OFFSET(分析データ!D$1,MAX(1,ROW()-$C$7),0,MIN($C$7,ROW()-1),1)))/STDEV(OFFSET(分析データ!D$1,MAX(1,ROW()-$C$7),0,MIN($C$7,ROW()-1),1)),0))</f>
        <v/>
      </c>
      <c r="BG124">
        <f t="shared" ca="1" si="36"/>
        <v>0</v>
      </c>
      <c r="BH124" t="str">
        <f ca="1">IF(BG124=1,IF(INDEX(分析データ!$A:$A,ROW()+$C$5)&lt;&gt;"",50000*SIGN(BF124)*(分析データ!D124-INDEX(分析データ!D:D,ROW()+$C$5)),""),"")</f>
        <v/>
      </c>
      <c r="BI124">
        <f t="shared" ca="1" si="37"/>
        <v>0</v>
      </c>
      <c r="BJ124">
        <f t="shared" ca="1" si="38"/>
        <v>0</v>
      </c>
      <c r="BK124">
        <f t="shared" ca="1" si="39"/>
        <v>0</v>
      </c>
      <c r="BL124" t="str">
        <f ca="1">IF(ROW()&lt;($C$7+1),"",IFERROR((分析データ!E124-AVERAGE(OFFSET(分析データ!E$1,MAX(1,ROW()-$C$7),0,MIN($C$7,ROW()-1),1)))/STDEV(OFFSET(分析データ!E$1,MAX(1,ROW()-$C$7),0,MIN($C$7,ROW()-1),1)),0))</f>
        <v/>
      </c>
      <c r="BM124">
        <f t="shared" ca="1" si="40"/>
        <v>0</v>
      </c>
      <c r="BN124" t="str">
        <f ca="1">IF(BM124=1,IF(INDEX(分析データ!$A:$A,ROW()+$C$5)&lt;&gt;"",40000*SIGN(BL124)*(分析データ!E124-INDEX(分析データ!E:E,ROW()+$C$5)),""),"")</f>
        <v/>
      </c>
      <c r="BO124">
        <f t="shared" ca="1" si="41"/>
        <v>0</v>
      </c>
      <c r="BP124">
        <f t="shared" ca="1" si="42"/>
        <v>0</v>
      </c>
      <c r="BQ124">
        <f t="shared" ca="1" si="43"/>
        <v>0</v>
      </c>
      <c r="BR124" t="str">
        <f ca="1">IF(ROW()&lt;($C$7+1),"",IFERROR((分析データ!F124-AVERAGE(OFFSET(分析データ!F$1,MAX(1,ROW()-$C$7),0,MIN($C$7,ROW()-1),1)))/STDEV(OFFSET(分析データ!F$1,MAX(1,ROW()-$C$7),0,MIN($C$7,ROW()-1),1)),0))</f>
        <v/>
      </c>
      <c r="BS124">
        <f t="shared" ca="1" si="44"/>
        <v>0</v>
      </c>
      <c r="BT124" t="str">
        <f ca="1">IF(BS124=1,IF(INDEX(分析データ!$A:$A,ROW()+$C$5)&lt;&gt;"",40000*SIGN(BR124)*(分析データ!F124-INDEX(分析データ!F:F,ROW()+$C$5)),""),"")</f>
        <v/>
      </c>
      <c r="BU124">
        <f t="shared" ca="1" si="45"/>
        <v>0</v>
      </c>
      <c r="BV124">
        <f t="shared" ca="1" si="46"/>
        <v>0</v>
      </c>
      <c r="BW124">
        <f t="shared" ca="1" si="47"/>
        <v>0</v>
      </c>
      <c r="BX124" t="str">
        <f ca="1">IF(ROW()&lt;($C$7+1),"",IFERROR((分析データ!G124-AVERAGE(OFFSET(分析データ!G$1,MAX(1,ROW()-$C$7),0,MIN($C$7,ROW()-1),1)))/STDEV(OFFSET(分析データ!G$1,MAX(1,ROW()-$C$7),0,MIN($C$7,ROW()-1),1)),0))</f>
        <v/>
      </c>
      <c r="BY124">
        <f t="shared" ca="1" si="48"/>
        <v>0</v>
      </c>
      <c r="BZ124" t="str">
        <f ca="1">IF(BY124=1,IF(INDEX(分析データ!$A:$A,ROW()+$C$5)&lt;&gt;"",40000*SIGN(BX124)*(分析データ!G124-INDEX(分析データ!G:G,ROW()+$C$5)),""),"")</f>
        <v/>
      </c>
      <c r="CA124">
        <f t="shared" ca="1" si="49"/>
        <v>0</v>
      </c>
      <c r="CB124">
        <f t="shared" ca="1" si="50"/>
        <v>0</v>
      </c>
      <c r="CC124">
        <f t="shared" ca="1" si="51"/>
        <v>0</v>
      </c>
      <c r="CD124">
        <f t="shared" ca="1" si="52"/>
        <v>0</v>
      </c>
      <c r="CE124">
        <f t="shared" ca="1" si="53"/>
        <v>0</v>
      </c>
      <c r="CF124">
        <f t="shared" ca="1" si="54"/>
        <v>0</v>
      </c>
      <c r="CG124">
        <f t="shared" ca="1" si="55"/>
        <v>0</v>
      </c>
      <c r="CH124" s="10">
        <f>分析データ!A124</f>
        <v>45105</v>
      </c>
    </row>
    <row r="125" spans="46:86">
      <c r="AT125" t="str">
        <f ca="1">IF(ROW()&lt;($C$7+1),"",IFERROR((分析データ!B125-AVERAGE(OFFSET(分析データ!B$1,MAX(1,ROW()-$C$7),0,MIN($C$7,ROW()-1),1)))/STDEV(OFFSET(分析データ!B$1,MAX(1,ROW()-$C$7),0,MIN($C$7,ROW()-1),1)),0))</f>
        <v/>
      </c>
      <c r="AU125">
        <f t="shared" ca="1" si="28"/>
        <v>0</v>
      </c>
      <c r="AV125" t="str">
        <f ca="1">IF(AU125=1,IF(INDEX(分析データ!$A:$A,ROW()+$C$5)&lt;&gt;"",80000*SIGN(AT125)*(分析データ!B125-INDEX(分析データ!B:B,ROW()+$C$5)),""),"")</f>
        <v/>
      </c>
      <c r="AW125">
        <f t="shared" ca="1" si="29"/>
        <v>0</v>
      </c>
      <c r="AX125">
        <f t="shared" ca="1" si="30"/>
        <v>0</v>
      </c>
      <c r="AY125">
        <f t="shared" ca="1" si="31"/>
        <v>0</v>
      </c>
      <c r="AZ125" t="str">
        <f ca="1">IF(ROW()&lt;($C$7+1),"",IFERROR((分析データ!C125-AVERAGE(OFFSET(分析データ!C$1,MAX(1,ROW()-$C$7),0,MIN($C$7,ROW()-1),1)))/STDEV(OFFSET(分析データ!C$1,MAX(1,ROW()-$C$7),0,MIN($C$7,ROW()-1),1)),0))</f>
        <v/>
      </c>
      <c r="BA125">
        <f t="shared" ca="1" si="32"/>
        <v>0</v>
      </c>
      <c r="BB125" t="str">
        <f ca="1">IF(BA125=1,IF(INDEX(分析データ!$A:$A,ROW()+$C$5)&lt;&gt;"",60000*SIGN(AZ125)*(分析データ!C125-INDEX(分析データ!C:C,ROW()+$C$5)),""),"")</f>
        <v/>
      </c>
      <c r="BC125">
        <f t="shared" ca="1" si="33"/>
        <v>0</v>
      </c>
      <c r="BD125">
        <f t="shared" ca="1" si="34"/>
        <v>0</v>
      </c>
      <c r="BE125">
        <f t="shared" ca="1" si="35"/>
        <v>0</v>
      </c>
      <c r="BF125" t="str">
        <f ca="1">IF(ROW()&lt;($C$7+1),"",IFERROR((分析データ!D125-AVERAGE(OFFSET(分析データ!D$1,MAX(1,ROW()-$C$7),0,MIN($C$7,ROW()-1),1)))/STDEV(OFFSET(分析データ!D$1,MAX(1,ROW()-$C$7),0,MIN($C$7,ROW()-1),1)),0))</f>
        <v/>
      </c>
      <c r="BG125">
        <f t="shared" ca="1" si="36"/>
        <v>0</v>
      </c>
      <c r="BH125" t="str">
        <f ca="1">IF(BG125=1,IF(INDEX(分析データ!$A:$A,ROW()+$C$5)&lt;&gt;"",50000*SIGN(BF125)*(分析データ!D125-INDEX(分析データ!D:D,ROW()+$C$5)),""),"")</f>
        <v/>
      </c>
      <c r="BI125">
        <f t="shared" ca="1" si="37"/>
        <v>0</v>
      </c>
      <c r="BJ125">
        <f t="shared" ca="1" si="38"/>
        <v>0</v>
      </c>
      <c r="BK125">
        <f t="shared" ca="1" si="39"/>
        <v>0</v>
      </c>
      <c r="BL125" t="str">
        <f ca="1">IF(ROW()&lt;($C$7+1),"",IFERROR((分析データ!E125-AVERAGE(OFFSET(分析データ!E$1,MAX(1,ROW()-$C$7),0,MIN($C$7,ROW()-1),1)))/STDEV(OFFSET(分析データ!E$1,MAX(1,ROW()-$C$7),0,MIN($C$7,ROW()-1),1)),0))</f>
        <v/>
      </c>
      <c r="BM125">
        <f t="shared" ca="1" si="40"/>
        <v>0</v>
      </c>
      <c r="BN125" t="str">
        <f ca="1">IF(BM125=1,IF(INDEX(分析データ!$A:$A,ROW()+$C$5)&lt;&gt;"",40000*SIGN(BL125)*(分析データ!E125-INDEX(分析データ!E:E,ROW()+$C$5)),""),"")</f>
        <v/>
      </c>
      <c r="BO125">
        <f t="shared" ca="1" si="41"/>
        <v>0</v>
      </c>
      <c r="BP125">
        <f t="shared" ca="1" si="42"/>
        <v>0</v>
      </c>
      <c r="BQ125">
        <f t="shared" ca="1" si="43"/>
        <v>0</v>
      </c>
      <c r="BR125" t="str">
        <f ca="1">IF(ROW()&lt;($C$7+1),"",IFERROR((分析データ!F125-AVERAGE(OFFSET(分析データ!F$1,MAX(1,ROW()-$C$7),0,MIN($C$7,ROW()-1),1)))/STDEV(OFFSET(分析データ!F$1,MAX(1,ROW()-$C$7),0,MIN($C$7,ROW()-1),1)),0))</f>
        <v/>
      </c>
      <c r="BS125">
        <f t="shared" ca="1" si="44"/>
        <v>0</v>
      </c>
      <c r="BT125" t="str">
        <f ca="1">IF(BS125=1,IF(INDEX(分析データ!$A:$A,ROW()+$C$5)&lt;&gt;"",40000*SIGN(BR125)*(分析データ!F125-INDEX(分析データ!F:F,ROW()+$C$5)),""),"")</f>
        <v/>
      </c>
      <c r="BU125">
        <f t="shared" ca="1" si="45"/>
        <v>0</v>
      </c>
      <c r="BV125">
        <f t="shared" ca="1" si="46"/>
        <v>0</v>
      </c>
      <c r="BW125">
        <f t="shared" ca="1" si="47"/>
        <v>0</v>
      </c>
      <c r="BX125" t="str">
        <f ca="1">IF(ROW()&lt;($C$7+1),"",IFERROR((分析データ!G125-AVERAGE(OFFSET(分析データ!G$1,MAX(1,ROW()-$C$7),0,MIN($C$7,ROW()-1),1)))/STDEV(OFFSET(分析データ!G$1,MAX(1,ROW()-$C$7),0,MIN($C$7,ROW()-1),1)),0))</f>
        <v/>
      </c>
      <c r="BY125">
        <f t="shared" ca="1" si="48"/>
        <v>0</v>
      </c>
      <c r="BZ125" t="str">
        <f ca="1">IF(BY125=1,IF(INDEX(分析データ!$A:$A,ROW()+$C$5)&lt;&gt;"",40000*SIGN(BX125)*(分析データ!G125-INDEX(分析データ!G:G,ROW()+$C$5)),""),"")</f>
        <v/>
      </c>
      <c r="CA125">
        <f t="shared" ca="1" si="49"/>
        <v>0</v>
      </c>
      <c r="CB125">
        <f t="shared" ca="1" si="50"/>
        <v>0</v>
      </c>
      <c r="CC125">
        <f t="shared" ca="1" si="51"/>
        <v>0</v>
      </c>
      <c r="CD125">
        <f t="shared" ca="1" si="52"/>
        <v>0</v>
      </c>
      <c r="CE125">
        <f t="shared" ca="1" si="53"/>
        <v>0</v>
      </c>
      <c r="CF125">
        <f t="shared" ca="1" si="54"/>
        <v>0</v>
      </c>
      <c r="CG125">
        <f t="shared" ca="1" si="55"/>
        <v>0</v>
      </c>
      <c r="CH125" s="10">
        <f>分析データ!A125</f>
        <v>45106</v>
      </c>
    </row>
    <row r="126" spans="46:86">
      <c r="AT126" t="str">
        <f ca="1">IF(ROW()&lt;($C$7+1),"",IFERROR((分析データ!B126-AVERAGE(OFFSET(分析データ!B$1,MAX(1,ROW()-$C$7),0,MIN($C$7,ROW()-1),1)))/STDEV(OFFSET(分析データ!B$1,MAX(1,ROW()-$C$7),0,MIN($C$7,ROW()-1),1)),0))</f>
        <v/>
      </c>
      <c r="AU126">
        <f t="shared" ca="1" si="28"/>
        <v>0</v>
      </c>
      <c r="AV126" t="str">
        <f ca="1">IF(AU126=1,IF(INDEX(分析データ!$A:$A,ROW()+$C$5)&lt;&gt;"",80000*SIGN(AT126)*(分析データ!B126-INDEX(分析データ!B:B,ROW()+$C$5)),""),"")</f>
        <v/>
      </c>
      <c r="AW126">
        <f t="shared" ca="1" si="29"/>
        <v>0</v>
      </c>
      <c r="AX126">
        <f t="shared" ca="1" si="30"/>
        <v>0</v>
      </c>
      <c r="AY126">
        <f t="shared" ca="1" si="31"/>
        <v>0</v>
      </c>
      <c r="AZ126" t="str">
        <f ca="1">IF(ROW()&lt;($C$7+1),"",IFERROR((分析データ!C126-AVERAGE(OFFSET(分析データ!C$1,MAX(1,ROW()-$C$7),0,MIN($C$7,ROW()-1),1)))/STDEV(OFFSET(分析データ!C$1,MAX(1,ROW()-$C$7),0,MIN($C$7,ROW()-1),1)),0))</f>
        <v/>
      </c>
      <c r="BA126">
        <f t="shared" ca="1" si="32"/>
        <v>0</v>
      </c>
      <c r="BB126" t="str">
        <f ca="1">IF(BA126=1,IF(INDEX(分析データ!$A:$A,ROW()+$C$5)&lt;&gt;"",60000*SIGN(AZ126)*(分析データ!C126-INDEX(分析データ!C:C,ROW()+$C$5)),""),"")</f>
        <v/>
      </c>
      <c r="BC126">
        <f t="shared" ca="1" si="33"/>
        <v>0</v>
      </c>
      <c r="BD126">
        <f t="shared" ca="1" si="34"/>
        <v>0</v>
      </c>
      <c r="BE126">
        <f t="shared" ca="1" si="35"/>
        <v>0</v>
      </c>
      <c r="BF126" t="str">
        <f ca="1">IF(ROW()&lt;($C$7+1),"",IFERROR((分析データ!D126-AVERAGE(OFFSET(分析データ!D$1,MAX(1,ROW()-$C$7),0,MIN($C$7,ROW()-1),1)))/STDEV(OFFSET(分析データ!D$1,MAX(1,ROW()-$C$7),0,MIN($C$7,ROW()-1),1)),0))</f>
        <v/>
      </c>
      <c r="BG126">
        <f t="shared" ca="1" si="36"/>
        <v>0</v>
      </c>
      <c r="BH126" t="str">
        <f ca="1">IF(BG126=1,IF(INDEX(分析データ!$A:$A,ROW()+$C$5)&lt;&gt;"",50000*SIGN(BF126)*(分析データ!D126-INDEX(分析データ!D:D,ROW()+$C$5)),""),"")</f>
        <v/>
      </c>
      <c r="BI126">
        <f t="shared" ca="1" si="37"/>
        <v>0</v>
      </c>
      <c r="BJ126">
        <f t="shared" ca="1" si="38"/>
        <v>0</v>
      </c>
      <c r="BK126">
        <f t="shared" ca="1" si="39"/>
        <v>0</v>
      </c>
      <c r="BL126" t="str">
        <f ca="1">IF(ROW()&lt;($C$7+1),"",IFERROR((分析データ!E126-AVERAGE(OFFSET(分析データ!E$1,MAX(1,ROW()-$C$7),0,MIN($C$7,ROW()-1),1)))/STDEV(OFFSET(分析データ!E$1,MAX(1,ROW()-$C$7),0,MIN($C$7,ROW()-1),1)),0))</f>
        <v/>
      </c>
      <c r="BM126">
        <f t="shared" ca="1" si="40"/>
        <v>0</v>
      </c>
      <c r="BN126" t="str">
        <f ca="1">IF(BM126=1,IF(INDEX(分析データ!$A:$A,ROW()+$C$5)&lt;&gt;"",40000*SIGN(BL126)*(分析データ!E126-INDEX(分析データ!E:E,ROW()+$C$5)),""),"")</f>
        <v/>
      </c>
      <c r="BO126">
        <f t="shared" ca="1" si="41"/>
        <v>0</v>
      </c>
      <c r="BP126">
        <f t="shared" ca="1" si="42"/>
        <v>0</v>
      </c>
      <c r="BQ126">
        <f t="shared" ca="1" si="43"/>
        <v>0</v>
      </c>
      <c r="BR126" t="str">
        <f ca="1">IF(ROW()&lt;($C$7+1),"",IFERROR((分析データ!F126-AVERAGE(OFFSET(分析データ!F$1,MAX(1,ROW()-$C$7),0,MIN($C$7,ROW()-1),1)))/STDEV(OFFSET(分析データ!F$1,MAX(1,ROW()-$C$7),0,MIN($C$7,ROW()-1),1)),0))</f>
        <v/>
      </c>
      <c r="BS126">
        <f t="shared" ca="1" si="44"/>
        <v>0</v>
      </c>
      <c r="BT126" t="str">
        <f ca="1">IF(BS126=1,IF(INDEX(分析データ!$A:$A,ROW()+$C$5)&lt;&gt;"",40000*SIGN(BR126)*(分析データ!F126-INDEX(分析データ!F:F,ROW()+$C$5)),""),"")</f>
        <v/>
      </c>
      <c r="BU126">
        <f t="shared" ca="1" si="45"/>
        <v>0</v>
      </c>
      <c r="BV126">
        <f t="shared" ca="1" si="46"/>
        <v>0</v>
      </c>
      <c r="BW126">
        <f t="shared" ca="1" si="47"/>
        <v>0</v>
      </c>
      <c r="BX126" t="str">
        <f ca="1">IF(ROW()&lt;($C$7+1),"",IFERROR((分析データ!G126-AVERAGE(OFFSET(分析データ!G$1,MAX(1,ROW()-$C$7),0,MIN($C$7,ROW()-1),1)))/STDEV(OFFSET(分析データ!G$1,MAX(1,ROW()-$C$7),0,MIN($C$7,ROW()-1),1)),0))</f>
        <v/>
      </c>
      <c r="BY126">
        <f t="shared" ca="1" si="48"/>
        <v>0</v>
      </c>
      <c r="BZ126" t="str">
        <f ca="1">IF(BY126=1,IF(INDEX(分析データ!$A:$A,ROW()+$C$5)&lt;&gt;"",40000*SIGN(BX126)*(分析データ!G126-INDEX(分析データ!G:G,ROW()+$C$5)),""),"")</f>
        <v/>
      </c>
      <c r="CA126">
        <f t="shared" ca="1" si="49"/>
        <v>0</v>
      </c>
      <c r="CB126">
        <f t="shared" ca="1" si="50"/>
        <v>0</v>
      </c>
      <c r="CC126">
        <f t="shared" ca="1" si="51"/>
        <v>0</v>
      </c>
      <c r="CD126">
        <f t="shared" ca="1" si="52"/>
        <v>0</v>
      </c>
      <c r="CE126">
        <f t="shared" ca="1" si="53"/>
        <v>0</v>
      </c>
      <c r="CF126">
        <f t="shared" ca="1" si="54"/>
        <v>0</v>
      </c>
      <c r="CG126">
        <f t="shared" ca="1" si="55"/>
        <v>0</v>
      </c>
      <c r="CH126" s="10">
        <f>分析データ!A126</f>
        <v>45107</v>
      </c>
    </row>
    <row r="127" spans="46:86">
      <c r="AT127" t="str">
        <f ca="1">IF(ROW()&lt;($C$7+1),"",IFERROR((分析データ!B127-AVERAGE(OFFSET(分析データ!B$1,MAX(1,ROW()-$C$7),0,MIN($C$7,ROW()-1),1)))/STDEV(OFFSET(分析データ!B$1,MAX(1,ROW()-$C$7),0,MIN($C$7,ROW()-1),1)),0))</f>
        <v/>
      </c>
      <c r="AU127">
        <f t="shared" ca="1" si="28"/>
        <v>0</v>
      </c>
      <c r="AV127" t="str">
        <f ca="1">IF(AU127=1,IF(INDEX(分析データ!$A:$A,ROW()+$C$5)&lt;&gt;"",80000*SIGN(AT127)*(分析データ!B127-INDEX(分析データ!B:B,ROW()+$C$5)),""),"")</f>
        <v/>
      </c>
      <c r="AW127">
        <f t="shared" ca="1" si="29"/>
        <v>0</v>
      </c>
      <c r="AX127">
        <f t="shared" ca="1" si="30"/>
        <v>0</v>
      </c>
      <c r="AY127">
        <f t="shared" ca="1" si="31"/>
        <v>0</v>
      </c>
      <c r="AZ127" t="str">
        <f ca="1">IF(ROW()&lt;($C$7+1),"",IFERROR((分析データ!C127-AVERAGE(OFFSET(分析データ!C$1,MAX(1,ROW()-$C$7),0,MIN($C$7,ROW()-1),1)))/STDEV(OFFSET(分析データ!C$1,MAX(1,ROW()-$C$7),0,MIN($C$7,ROW()-1),1)),0))</f>
        <v/>
      </c>
      <c r="BA127">
        <f t="shared" ca="1" si="32"/>
        <v>0</v>
      </c>
      <c r="BB127" t="str">
        <f ca="1">IF(BA127=1,IF(INDEX(分析データ!$A:$A,ROW()+$C$5)&lt;&gt;"",60000*SIGN(AZ127)*(分析データ!C127-INDEX(分析データ!C:C,ROW()+$C$5)),""),"")</f>
        <v/>
      </c>
      <c r="BC127">
        <f t="shared" ca="1" si="33"/>
        <v>0</v>
      </c>
      <c r="BD127">
        <f t="shared" ca="1" si="34"/>
        <v>0</v>
      </c>
      <c r="BE127">
        <f t="shared" ca="1" si="35"/>
        <v>0</v>
      </c>
      <c r="BF127" t="str">
        <f ca="1">IF(ROW()&lt;($C$7+1),"",IFERROR((分析データ!D127-AVERAGE(OFFSET(分析データ!D$1,MAX(1,ROW()-$C$7),0,MIN($C$7,ROW()-1),1)))/STDEV(OFFSET(分析データ!D$1,MAX(1,ROW()-$C$7),0,MIN($C$7,ROW()-1),1)),0))</f>
        <v/>
      </c>
      <c r="BG127">
        <f t="shared" ca="1" si="36"/>
        <v>0</v>
      </c>
      <c r="BH127" t="str">
        <f ca="1">IF(BG127=1,IF(INDEX(分析データ!$A:$A,ROW()+$C$5)&lt;&gt;"",50000*SIGN(BF127)*(分析データ!D127-INDEX(分析データ!D:D,ROW()+$C$5)),""),"")</f>
        <v/>
      </c>
      <c r="BI127">
        <f t="shared" ca="1" si="37"/>
        <v>0</v>
      </c>
      <c r="BJ127">
        <f t="shared" ca="1" si="38"/>
        <v>0</v>
      </c>
      <c r="BK127">
        <f t="shared" ca="1" si="39"/>
        <v>0</v>
      </c>
      <c r="BL127" t="str">
        <f ca="1">IF(ROW()&lt;($C$7+1),"",IFERROR((分析データ!E127-AVERAGE(OFFSET(分析データ!E$1,MAX(1,ROW()-$C$7),0,MIN($C$7,ROW()-1),1)))/STDEV(OFFSET(分析データ!E$1,MAX(1,ROW()-$C$7),0,MIN($C$7,ROW()-1),1)),0))</f>
        <v/>
      </c>
      <c r="BM127">
        <f t="shared" ca="1" si="40"/>
        <v>0</v>
      </c>
      <c r="BN127" t="str">
        <f ca="1">IF(BM127=1,IF(INDEX(分析データ!$A:$A,ROW()+$C$5)&lt;&gt;"",40000*SIGN(BL127)*(分析データ!E127-INDEX(分析データ!E:E,ROW()+$C$5)),""),"")</f>
        <v/>
      </c>
      <c r="BO127">
        <f t="shared" ca="1" si="41"/>
        <v>0</v>
      </c>
      <c r="BP127">
        <f t="shared" ca="1" si="42"/>
        <v>0</v>
      </c>
      <c r="BQ127">
        <f t="shared" ca="1" si="43"/>
        <v>0</v>
      </c>
      <c r="BR127" t="str">
        <f ca="1">IF(ROW()&lt;($C$7+1),"",IFERROR((分析データ!F127-AVERAGE(OFFSET(分析データ!F$1,MAX(1,ROW()-$C$7),0,MIN($C$7,ROW()-1),1)))/STDEV(OFFSET(分析データ!F$1,MAX(1,ROW()-$C$7),0,MIN($C$7,ROW()-1),1)),0))</f>
        <v/>
      </c>
      <c r="BS127">
        <f t="shared" ca="1" si="44"/>
        <v>0</v>
      </c>
      <c r="BT127" t="str">
        <f ca="1">IF(BS127=1,IF(INDEX(分析データ!$A:$A,ROW()+$C$5)&lt;&gt;"",40000*SIGN(BR127)*(分析データ!F127-INDEX(分析データ!F:F,ROW()+$C$5)),""),"")</f>
        <v/>
      </c>
      <c r="BU127">
        <f t="shared" ca="1" si="45"/>
        <v>0</v>
      </c>
      <c r="BV127">
        <f t="shared" ca="1" si="46"/>
        <v>0</v>
      </c>
      <c r="BW127">
        <f t="shared" ca="1" si="47"/>
        <v>0</v>
      </c>
      <c r="BX127" t="str">
        <f ca="1">IF(ROW()&lt;($C$7+1),"",IFERROR((分析データ!G127-AVERAGE(OFFSET(分析データ!G$1,MAX(1,ROW()-$C$7),0,MIN($C$7,ROW()-1),1)))/STDEV(OFFSET(分析データ!G$1,MAX(1,ROW()-$C$7),0,MIN($C$7,ROW()-1),1)),0))</f>
        <v/>
      </c>
      <c r="BY127">
        <f t="shared" ca="1" si="48"/>
        <v>0</v>
      </c>
      <c r="BZ127" t="str">
        <f ca="1">IF(BY127=1,IF(INDEX(分析データ!$A:$A,ROW()+$C$5)&lt;&gt;"",40000*SIGN(BX127)*(分析データ!G127-INDEX(分析データ!G:G,ROW()+$C$5)),""),"")</f>
        <v/>
      </c>
      <c r="CA127">
        <f t="shared" ca="1" si="49"/>
        <v>0</v>
      </c>
      <c r="CB127">
        <f t="shared" ca="1" si="50"/>
        <v>0</v>
      </c>
      <c r="CC127">
        <f t="shared" ca="1" si="51"/>
        <v>0</v>
      </c>
      <c r="CD127">
        <f t="shared" ca="1" si="52"/>
        <v>0</v>
      </c>
      <c r="CE127">
        <f t="shared" ca="1" si="53"/>
        <v>0</v>
      </c>
      <c r="CF127">
        <f t="shared" ca="1" si="54"/>
        <v>0</v>
      </c>
      <c r="CG127">
        <f t="shared" ca="1" si="55"/>
        <v>0</v>
      </c>
      <c r="CH127" s="10">
        <f>分析データ!A127</f>
        <v>45110</v>
      </c>
    </row>
    <row r="128" spans="46:86">
      <c r="AT128" t="str">
        <f ca="1">IF(ROW()&lt;($C$7+1),"",IFERROR((分析データ!B128-AVERAGE(OFFSET(分析データ!B$1,MAX(1,ROW()-$C$7),0,MIN($C$7,ROW()-1),1)))/STDEV(OFFSET(分析データ!B$1,MAX(1,ROW()-$C$7),0,MIN($C$7,ROW()-1),1)),0))</f>
        <v/>
      </c>
      <c r="AU128">
        <f t="shared" ca="1" si="28"/>
        <v>0</v>
      </c>
      <c r="AV128" t="str">
        <f ca="1">IF(AU128=1,IF(INDEX(分析データ!$A:$A,ROW()+$C$5)&lt;&gt;"",80000*SIGN(AT128)*(分析データ!B128-INDEX(分析データ!B:B,ROW()+$C$5)),""),"")</f>
        <v/>
      </c>
      <c r="AW128">
        <f t="shared" ca="1" si="29"/>
        <v>0</v>
      </c>
      <c r="AX128">
        <f t="shared" ca="1" si="30"/>
        <v>0</v>
      </c>
      <c r="AY128">
        <f t="shared" ca="1" si="31"/>
        <v>0</v>
      </c>
      <c r="AZ128" t="str">
        <f ca="1">IF(ROW()&lt;($C$7+1),"",IFERROR((分析データ!C128-AVERAGE(OFFSET(分析データ!C$1,MAX(1,ROW()-$C$7),0,MIN($C$7,ROW()-1),1)))/STDEV(OFFSET(分析データ!C$1,MAX(1,ROW()-$C$7),0,MIN($C$7,ROW()-1),1)),0))</f>
        <v/>
      </c>
      <c r="BA128">
        <f t="shared" ca="1" si="32"/>
        <v>0</v>
      </c>
      <c r="BB128" t="str">
        <f ca="1">IF(BA128=1,IF(INDEX(分析データ!$A:$A,ROW()+$C$5)&lt;&gt;"",60000*SIGN(AZ128)*(分析データ!C128-INDEX(分析データ!C:C,ROW()+$C$5)),""),"")</f>
        <v/>
      </c>
      <c r="BC128">
        <f t="shared" ca="1" si="33"/>
        <v>0</v>
      </c>
      <c r="BD128">
        <f t="shared" ca="1" si="34"/>
        <v>0</v>
      </c>
      <c r="BE128">
        <f t="shared" ca="1" si="35"/>
        <v>0</v>
      </c>
      <c r="BF128" t="str">
        <f ca="1">IF(ROW()&lt;($C$7+1),"",IFERROR((分析データ!D128-AVERAGE(OFFSET(分析データ!D$1,MAX(1,ROW()-$C$7),0,MIN($C$7,ROW()-1),1)))/STDEV(OFFSET(分析データ!D$1,MAX(1,ROW()-$C$7),0,MIN($C$7,ROW()-1),1)),0))</f>
        <v/>
      </c>
      <c r="BG128">
        <f t="shared" ca="1" si="36"/>
        <v>0</v>
      </c>
      <c r="BH128" t="str">
        <f ca="1">IF(BG128=1,IF(INDEX(分析データ!$A:$A,ROW()+$C$5)&lt;&gt;"",50000*SIGN(BF128)*(分析データ!D128-INDEX(分析データ!D:D,ROW()+$C$5)),""),"")</f>
        <v/>
      </c>
      <c r="BI128">
        <f t="shared" ca="1" si="37"/>
        <v>0</v>
      </c>
      <c r="BJ128">
        <f t="shared" ca="1" si="38"/>
        <v>0</v>
      </c>
      <c r="BK128">
        <f t="shared" ca="1" si="39"/>
        <v>0</v>
      </c>
      <c r="BL128" t="str">
        <f ca="1">IF(ROW()&lt;($C$7+1),"",IFERROR((分析データ!E128-AVERAGE(OFFSET(分析データ!E$1,MAX(1,ROW()-$C$7),0,MIN($C$7,ROW()-1),1)))/STDEV(OFFSET(分析データ!E$1,MAX(1,ROW()-$C$7),0,MIN($C$7,ROW()-1),1)),0))</f>
        <v/>
      </c>
      <c r="BM128">
        <f t="shared" ca="1" si="40"/>
        <v>0</v>
      </c>
      <c r="BN128" t="str">
        <f ca="1">IF(BM128=1,IF(INDEX(分析データ!$A:$A,ROW()+$C$5)&lt;&gt;"",40000*SIGN(BL128)*(分析データ!E128-INDEX(分析データ!E:E,ROW()+$C$5)),""),"")</f>
        <v/>
      </c>
      <c r="BO128">
        <f t="shared" ca="1" si="41"/>
        <v>0</v>
      </c>
      <c r="BP128">
        <f t="shared" ca="1" si="42"/>
        <v>0</v>
      </c>
      <c r="BQ128">
        <f t="shared" ca="1" si="43"/>
        <v>0</v>
      </c>
      <c r="BR128" t="str">
        <f ca="1">IF(ROW()&lt;($C$7+1),"",IFERROR((分析データ!F128-AVERAGE(OFFSET(分析データ!F$1,MAX(1,ROW()-$C$7),0,MIN($C$7,ROW()-1),1)))/STDEV(OFFSET(分析データ!F$1,MAX(1,ROW()-$C$7),0,MIN($C$7,ROW()-1),1)),0))</f>
        <v/>
      </c>
      <c r="BS128">
        <f t="shared" ca="1" si="44"/>
        <v>0</v>
      </c>
      <c r="BT128" t="str">
        <f ca="1">IF(BS128=1,IF(INDEX(分析データ!$A:$A,ROW()+$C$5)&lt;&gt;"",40000*SIGN(BR128)*(分析データ!F128-INDEX(分析データ!F:F,ROW()+$C$5)),""),"")</f>
        <v/>
      </c>
      <c r="BU128">
        <f t="shared" ca="1" si="45"/>
        <v>0</v>
      </c>
      <c r="BV128">
        <f t="shared" ca="1" si="46"/>
        <v>0</v>
      </c>
      <c r="BW128">
        <f t="shared" ca="1" si="47"/>
        <v>0</v>
      </c>
      <c r="BX128" t="str">
        <f ca="1">IF(ROW()&lt;($C$7+1),"",IFERROR((分析データ!G128-AVERAGE(OFFSET(分析データ!G$1,MAX(1,ROW()-$C$7),0,MIN($C$7,ROW()-1),1)))/STDEV(OFFSET(分析データ!G$1,MAX(1,ROW()-$C$7),0,MIN($C$7,ROW()-1),1)),0))</f>
        <v/>
      </c>
      <c r="BY128">
        <f t="shared" ca="1" si="48"/>
        <v>0</v>
      </c>
      <c r="BZ128" t="str">
        <f ca="1">IF(BY128=1,IF(INDEX(分析データ!$A:$A,ROW()+$C$5)&lt;&gt;"",40000*SIGN(BX128)*(分析データ!G128-INDEX(分析データ!G:G,ROW()+$C$5)),""),"")</f>
        <v/>
      </c>
      <c r="CA128">
        <f t="shared" ca="1" si="49"/>
        <v>0</v>
      </c>
      <c r="CB128">
        <f t="shared" ca="1" si="50"/>
        <v>0</v>
      </c>
      <c r="CC128">
        <f t="shared" ca="1" si="51"/>
        <v>0</v>
      </c>
      <c r="CD128">
        <f t="shared" ca="1" si="52"/>
        <v>0</v>
      </c>
      <c r="CE128">
        <f t="shared" ca="1" si="53"/>
        <v>0</v>
      </c>
      <c r="CF128">
        <f t="shared" ca="1" si="54"/>
        <v>0</v>
      </c>
      <c r="CG128">
        <f t="shared" ca="1" si="55"/>
        <v>0</v>
      </c>
      <c r="CH128" s="10">
        <f>分析データ!A128</f>
        <v>45112</v>
      </c>
    </row>
    <row r="129" spans="46:86">
      <c r="AT129" t="str">
        <f ca="1">IF(ROW()&lt;($C$7+1),"",IFERROR((分析データ!B129-AVERAGE(OFFSET(分析データ!B$1,MAX(1,ROW()-$C$7),0,MIN($C$7,ROW()-1),1)))/STDEV(OFFSET(分析データ!B$1,MAX(1,ROW()-$C$7),0,MIN($C$7,ROW()-1),1)),0))</f>
        <v/>
      </c>
      <c r="AU129">
        <f t="shared" ca="1" si="28"/>
        <v>0</v>
      </c>
      <c r="AV129" t="str">
        <f ca="1">IF(AU129=1,IF(INDEX(分析データ!$A:$A,ROW()+$C$5)&lt;&gt;"",80000*SIGN(AT129)*(分析データ!B129-INDEX(分析データ!B:B,ROW()+$C$5)),""),"")</f>
        <v/>
      </c>
      <c r="AW129">
        <f t="shared" ca="1" si="29"/>
        <v>0</v>
      </c>
      <c r="AX129">
        <f t="shared" ca="1" si="30"/>
        <v>0</v>
      </c>
      <c r="AY129">
        <f t="shared" ca="1" si="31"/>
        <v>0</v>
      </c>
      <c r="AZ129" t="str">
        <f ca="1">IF(ROW()&lt;($C$7+1),"",IFERROR((分析データ!C129-AVERAGE(OFFSET(分析データ!C$1,MAX(1,ROW()-$C$7),0,MIN($C$7,ROW()-1),1)))/STDEV(OFFSET(分析データ!C$1,MAX(1,ROW()-$C$7),0,MIN($C$7,ROW()-1),1)),0))</f>
        <v/>
      </c>
      <c r="BA129">
        <f t="shared" ca="1" si="32"/>
        <v>0</v>
      </c>
      <c r="BB129" t="str">
        <f ca="1">IF(BA129=1,IF(INDEX(分析データ!$A:$A,ROW()+$C$5)&lt;&gt;"",60000*SIGN(AZ129)*(分析データ!C129-INDEX(分析データ!C:C,ROW()+$C$5)),""),"")</f>
        <v/>
      </c>
      <c r="BC129">
        <f t="shared" ca="1" si="33"/>
        <v>0</v>
      </c>
      <c r="BD129">
        <f t="shared" ca="1" si="34"/>
        <v>0</v>
      </c>
      <c r="BE129">
        <f t="shared" ca="1" si="35"/>
        <v>0</v>
      </c>
      <c r="BF129" t="str">
        <f ca="1">IF(ROW()&lt;($C$7+1),"",IFERROR((分析データ!D129-AVERAGE(OFFSET(分析データ!D$1,MAX(1,ROW()-$C$7),0,MIN($C$7,ROW()-1),1)))/STDEV(OFFSET(分析データ!D$1,MAX(1,ROW()-$C$7),0,MIN($C$7,ROW()-1),1)),0))</f>
        <v/>
      </c>
      <c r="BG129">
        <f t="shared" ca="1" si="36"/>
        <v>0</v>
      </c>
      <c r="BH129" t="str">
        <f ca="1">IF(BG129=1,IF(INDEX(分析データ!$A:$A,ROW()+$C$5)&lt;&gt;"",50000*SIGN(BF129)*(分析データ!D129-INDEX(分析データ!D:D,ROW()+$C$5)),""),"")</f>
        <v/>
      </c>
      <c r="BI129">
        <f t="shared" ca="1" si="37"/>
        <v>0</v>
      </c>
      <c r="BJ129">
        <f t="shared" ca="1" si="38"/>
        <v>0</v>
      </c>
      <c r="BK129">
        <f t="shared" ca="1" si="39"/>
        <v>0</v>
      </c>
      <c r="BL129" t="str">
        <f ca="1">IF(ROW()&lt;($C$7+1),"",IFERROR((分析データ!E129-AVERAGE(OFFSET(分析データ!E$1,MAX(1,ROW()-$C$7),0,MIN($C$7,ROW()-1),1)))/STDEV(OFFSET(分析データ!E$1,MAX(1,ROW()-$C$7),0,MIN($C$7,ROW()-1),1)),0))</f>
        <v/>
      </c>
      <c r="BM129">
        <f t="shared" ca="1" si="40"/>
        <v>0</v>
      </c>
      <c r="BN129" t="str">
        <f ca="1">IF(BM129=1,IF(INDEX(分析データ!$A:$A,ROW()+$C$5)&lt;&gt;"",40000*SIGN(BL129)*(分析データ!E129-INDEX(分析データ!E:E,ROW()+$C$5)),""),"")</f>
        <v/>
      </c>
      <c r="BO129">
        <f t="shared" ca="1" si="41"/>
        <v>0</v>
      </c>
      <c r="BP129">
        <f t="shared" ca="1" si="42"/>
        <v>0</v>
      </c>
      <c r="BQ129">
        <f t="shared" ca="1" si="43"/>
        <v>0</v>
      </c>
      <c r="BR129" t="str">
        <f ca="1">IF(ROW()&lt;($C$7+1),"",IFERROR((分析データ!F129-AVERAGE(OFFSET(分析データ!F$1,MAX(1,ROW()-$C$7),0,MIN($C$7,ROW()-1),1)))/STDEV(OFFSET(分析データ!F$1,MAX(1,ROW()-$C$7),0,MIN($C$7,ROW()-1),1)),0))</f>
        <v/>
      </c>
      <c r="BS129">
        <f t="shared" ca="1" si="44"/>
        <v>0</v>
      </c>
      <c r="BT129" t="str">
        <f ca="1">IF(BS129=1,IF(INDEX(分析データ!$A:$A,ROW()+$C$5)&lt;&gt;"",40000*SIGN(BR129)*(分析データ!F129-INDEX(分析データ!F:F,ROW()+$C$5)),""),"")</f>
        <v/>
      </c>
      <c r="BU129">
        <f t="shared" ca="1" si="45"/>
        <v>0</v>
      </c>
      <c r="BV129">
        <f t="shared" ca="1" si="46"/>
        <v>0</v>
      </c>
      <c r="BW129">
        <f t="shared" ca="1" si="47"/>
        <v>0</v>
      </c>
      <c r="BX129" t="str">
        <f ca="1">IF(ROW()&lt;($C$7+1),"",IFERROR((分析データ!G129-AVERAGE(OFFSET(分析データ!G$1,MAX(1,ROW()-$C$7),0,MIN($C$7,ROW()-1),1)))/STDEV(OFFSET(分析データ!G$1,MAX(1,ROW()-$C$7),0,MIN($C$7,ROW()-1),1)),0))</f>
        <v/>
      </c>
      <c r="BY129">
        <f t="shared" ca="1" si="48"/>
        <v>0</v>
      </c>
      <c r="BZ129" t="str">
        <f ca="1">IF(BY129=1,IF(INDEX(分析データ!$A:$A,ROW()+$C$5)&lt;&gt;"",40000*SIGN(BX129)*(分析データ!G129-INDEX(分析データ!G:G,ROW()+$C$5)),""),"")</f>
        <v/>
      </c>
      <c r="CA129">
        <f t="shared" ca="1" si="49"/>
        <v>0</v>
      </c>
      <c r="CB129">
        <f t="shared" ca="1" si="50"/>
        <v>0</v>
      </c>
      <c r="CC129">
        <f t="shared" ca="1" si="51"/>
        <v>0</v>
      </c>
      <c r="CD129">
        <f t="shared" ca="1" si="52"/>
        <v>0</v>
      </c>
      <c r="CE129">
        <f t="shared" ca="1" si="53"/>
        <v>0</v>
      </c>
      <c r="CF129">
        <f t="shared" ca="1" si="54"/>
        <v>0</v>
      </c>
      <c r="CG129">
        <f t="shared" ca="1" si="55"/>
        <v>0</v>
      </c>
      <c r="CH129" s="10">
        <f>分析データ!A129</f>
        <v>45113</v>
      </c>
    </row>
    <row r="130" spans="46:86">
      <c r="AT130" t="str">
        <f ca="1">IF(ROW()&lt;($C$7+1),"",IFERROR((分析データ!B130-AVERAGE(OFFSET(分析データ!B$1,MAX(1,ROW()-$C$7),0,MIN($C$7,ROW()-1),1)))/STDEV(OFFSET(分析データ!B$1,MAX(1,ROW()-$C$7),0,MIN($C$7,ROW()-1),1)),0))</f>
        <v/>
      </c>
      <c r="AU130">
        <f t="shared" ref="AU130:AU193" ca="1" si="56">IF(ISNUMBER(AT130),IF(ABS(AT130)&gt;=$C$6,1,0),0)</f>
        <v>0</v>
      </c>
      <c r="AV130" t="str">
        <f ca="1">IF(AU130=1,IF(INDEX(分析データ!$A:$A,ROW()+$C$5)&lt;&gt;"",80000*SIGN(AT130)*(分析データ!B130-INDEX(分析データ!B:B,ROW()+$C$5)),""),"")</f>
        <v/>
      </c>
      <c r="AW130">
        <f t="shared" ref="AW130:AW193" ca="1" si="57">AW129+IF(AND(AU130=1,ISNUMBER(AV130)),AV130,0)</f>
        <v>0</v>
      </c>
      <c r="AX130">
        <f t="shared" ref="AX130:AX193" ca="1" si="58">MAX(AX129,AW130)</f>
        <v>0</v>
      </c>
      <c r="AY130">
        <f t="shared" ref="AY130:AY193" ca="1" si="59">AW130-AX130</f>
        <v>0</v>
      </c>
      <c r="AZ130" t="str">
        <f ca="1">IF(ROW()&lt;($C$7+1),"",IFERROR((分析データ!C130-AVERAGE(OFFSET(分析データ!C$1,MAX(1,ROW()-$C$7),0,MIN($C$7,ROW()-1),1)))/STDEV(OFFSET(分析データ!C$1,MAX(1,ROW()-$C$7),0,MIN($C$7,ROW()-1),1)),0))</f>
        <v/>
      </c>
      <c r="BA130">
        <f t="shared" ref="BA130:BA193" ca="1" si="60">IF(ISNUMBER(AZ130),IF(ABS(AZ130)&gt;=$C$6,1,0),0)</f>
        <v>0</v>
      </c>
      <c r="BB130" t="str">
        <f ca="1">IF(BA130=1,IF(INDEX(分析データ!$A:$A,ROW()+$C$5)&lt;&gt;"",60000*SIGN(AZ130)*(分析データ!C130-INDEX(分析データ!C:C,ROW()+$C$5)),""),"")</f>
        <v/>
      </c>
      <c r="BC130">
        <f t="shared" ref="BC130:BC193" ca="1" si="61">BC129+IF(AND(BA130=1,ISNUMBER(BB130)),BB130,0)</f>
        <v>0</v>
      </c>
      <c r="BD130">
        <f t="shared" ref="BD130:BD193" ca="1" si="62">MAX(BD129,BC130)</f>
        <v>0</v>
      </c>
      <c r="BE130">
        <f t="shared" ref="BE130:BE193" ca="1" si="63">BC130-BD130</f>
        <v>0</v>
      </c>
      <c r="BF130" t="str">
        <f ca="1">IF(ROW()&lt;($C$7+1),"",IFERROR((分析データ!D130-AVERAGE(OFFSET(分析データ!D$1,MAX(1,ROW()-$C$7),0,MIN($C$7,ROW()-1),1)))/STDEV(OFFSET(分析データ!D$1,MAX(1,ROW()-$C$7),0,MIN($C$7,ROW()-1),1)),0))</f>
        <v/>
      </c>
      <c r="BG130">
        <f t="shared" ref="BG130:BG193" ca="1" si="64">IF(ISNUMBER(BF130),IF(ABS(BF130)&gt;=$C$6,1,0),0)</f>
        <v>0</v>
      </c>
      <c r="BH130" t="str">
        <f ca="1">IF(BG130=1,IF(INDEX(分析データ!$A:$A,ROW()+$C$5)&lt;&gt;"",50000*SIGN(BF130)*(分析データ!D130-INDEX(分析データ!D:D,ROW()+$C$5)),""),"")</f>
        <v/>
      </c>
      <c r="BI130">
        <f t="shared" ref="BI130:BI193" ca="1" si="65">BI129+IF(AND(BG130=1,ISNUMBER(BH130)),BH130,0)</f>
        <v>0</v>
      </c>
      <c r="BJ130">
        <f t="shared" ref="BJ130:BJ193" ca="1" si="66">MAX(BJ129,BI130)</f>
        <v>0</v>
      </c>
      <c r="BK130">
        <f t="shared" ref="BK130:BK193" ca="1" si="67">BI130-BJ130</f>
        <v>0</v>
      </c>
      <c r="BL130" t="str">
        <f ca="1">IF(ROW()&lt;($C$7+1),"",IFERROR((分析データ!E130-AVERAGE(OFFSET(分析データ!E$1,MAX(1,ROW()-$C$7),0,MIN($C$7,ROW()-1),1)))/STDEV(OFFSET(分析データ!E$1,MAX(1,ROW()-$C$7),0,MIN($C$7,ROW()-1),1)),0))</f>
        <v/>
      </c>
      <c r="BM130">
        <f t="shared" ref="BM130:BM193" ca="1" si="68">IF(ISNUMBER(BL130),IF(ABS(BL130)&gt;=$C$6,1,0),0)</f>
        <v>0</v>
      </c>
      <c r="BN130" t="str">
        <f ca="1">IF(BM130=1,IF(INDEX(分析データ!$A:$A,ROW()+$C$5)&lt;&gt;"",40000*SIGN(BL130)*(分析データ!E130-INDEX(分析データ!E:E,ROW()+$C$5)),""),"")</f>
        <v/>
      </c>
      <c r="BO130">
        <f t="shared" ref="BO130:BO193" ca="1" si="69">BO129+IF(AND(BM130=1,ISNUMBER(BN130)),BN130,0)</f>
        <v>0</v>
      </c>
      <c r="BP130">
        <f t="shared" ref="BP130:BP193" ca="1" si="70">MAX(BP129,BO130)</f>
        <v>0</v>
      </c>
      <c r="BQ130">
        <f t="shared" ref="BQ130:BQ193" ca="1" si="71">BO130-BP130</f>
        <v>0</v>
      </c>
      <c r="BR130" t="str">
        <f ca="1">IF(ROW()&lt;($C$7+1),"",IFERROR((分析データ!F130-AVERAGE(OFFSET(分析データ!F$1,MAX(1,ROW()-$C$7),0,MIN($C$7,ROW()-1),1)))/STDEV(OFFSET(分析データ!F$1,MAX(1,ROW()-$C$7),0,MIN($C$7,ROW()-1),1)),0))</f>
        <v/>
      </c>
      <c r="BS130">
        <f t="shared" ref="BS130:BS193" ca="1" si="72">IF(ISNUMBER(BR130),IF(ABS(BR130)&gt;=$C$6,1,0),0)</f>
        <v>0</v>
      </c>
      <c r="BT130" t="str">
        <f ca="1">IF(BS130=1,IF(INDEX(分析データ!$A:$A,ROW()+$C$5)&lt;&gt;"",40000*SIGN(BR130)*(分析データ!F130-INDEX(分析データ!F:F,ROW()+$C$5)),""),"")</f>
        <v/>
      </c>
      <c r="BU130">
        <f t="shared" ref="BU130:BU193" ca="1" si="73">BU129+IF(AND(BS130=1,ISNUMBER(BT130)),BT130,0)</f>
        <v>0</v>
      </c>
      <c r="BV130">
        <f t="shared" ref="BV130:BV193" ca="1" si="74">MAX(BV129,BU130)</f>
        <v>0</v>
      </c>
      <c r="BW130">
        <f t="shared" ref="BW130:BW193" ca="1" si="75">BU130-BV130</f>
        <v>0</v>
      </c>
      <c r="BX130" t="str">
        <f ca="1">IF(ROW()&lt;($C$7+1),"",IFERROR((分析データ!G130-AVERAGE(OFFSET(分析データ!G$1,MAX(1,ROW()-$C$7),0,MIN($C$7,ROW()-1),1)))/STDEV(OFFSET(分析データ!G$1,MAX(1,ROW()-$C$7),0,MIN($C$7,ROW()-1),1)),0))</f>
        <v/>
      </c>
      <c r="BY130">
        <f t="shared" ref="BY130:BY193" ca="1" si="76">IF(ISNUMBER(BX130),IF(ABS(BX130)&gt;=$C$6,1,0),0)</f>
        <v>0</v>
      </c>
      <c r="BZ130" t="str">
        <f ca="1">IF(BY130=1,IF(INDEX(分析データ!$A:$A,ROW()+$C$5)&lt;&gt;"",40000*SIGN(BX130)*(分析データ!G130-INDEX(分析データ!G:G,ROW()+$C$5)),""),"")</f>
        <v/>
      </c>
      <c r="CA130">
        <f t="shared" ref="CA130:CA193" ca="1" si="77">CA129+IF(AND(BY130=1,ISNUMBER(BZ130)),BZ130,0)</f>
        <v>0</v>
      </c>
      <c r="CB130">
        <f t="shared" ref="CB130:CB193" ca="1" si="78">MAX(CB129,CA130)</f>
        <v>0</v>
      </c>
      <c r="CC130">
        <f t="shared" ref="CC130:CC193" ca="1" si="79">CA130-CB130</f>
        <v>0</v>
      </c>
      <c r="CD130">
        <f t="shared" ref="CD130:CD193" ca="1" si="80">N(AV130)+N(BB130)+N(BH130)+N(BN130)+N(BT130)+N(BZ130)</f>
        <v>0</v>
      </c>
      <c r="CE130">
        <f t="shared" ref="CE130:CE193" ca="1" si="81">CE129+CD130</f>
        <v>0</v>
      </c>
      <c r="CF130">
        <f t="shared" ref="CF130:CF193" ca="1" si="82">MAX(CF129,CE130)</f>
        <v>0</v>
      </c>
      <c r="CG130">
        <f t="shared" ref="CG130:CG193" ca="1" si="83">CE130-CF130</f>
        <v>0</v>
      </c>
      <c r="CH130" s="10">
        <f>分析データ!A130</f>
        <v>45114</v>
      </c>
    </row>
    <row r="131" spans="46:86">
      <c r="AT131" t="str">
        <f ca="1">IF(ROW()&lt;($C$7+1),"",IFERROR((分析データ!B131-AVERAGE(OFFSET(分析データ!B$1,MAX(1,ROW()-$C$7),0,MIN($C$7,ROW()-1),1)))/STDEV(OFFSET(分析データ!B$1,MAX(1,ROW()-$C$7),0,MIN($C$7,ROW()-1),1)),0))</f>
        <v/>
      </c>
      <c r="AU131">
        <f t="shared" ca="1" si="56"/>
        <v>0</v>
      </c>
      <c r="AV131" t="str">
        <f ca="1">IF(AU131=1,IF(INDEX(分析データ!$A:$A,ROW()+$C$5)&lt;&gt;"",80000*SIGN(AT131)*(分析データ!B131-INDEX(分析データ!B:B,ROW()+$C$5)),""),"")</f>
        <v/>
      </c>
      <c r="AW131">
        <f t="shared" ca="1" si="57"/>
        <v>0</v>
      </c>
      <c r="AX131">
        <f t="shared" ca="1" si="58"/>
        <v>0</v>
      </c>
      <c r="AY131">
        <f t="shared" ca="1" si="59"/>
        <v>0</v>
      </c>
      <c r="AZ131" t="str">
        <f ca="1">IF(ROW()&lt;($C$7+1),"",IFERROR((分析データ!C131-AVERAGE(OFFSET(分析データ!C$1,MAX(1,ROW()-$C$7),0,MIN($C$7,ROW()-1),1)))/STDEV(OFFSET(分析データ!C$1,MAX(1,ROW()-$C$7),0,MIN($C$7,ROW()-1),1)),0))</f>
        <v/>
      </c>
      <c r="BA131">
        <f t="shared" ca="1" si="60"/>
        <v>0</v>
      </c>
      <c r="BB131" t="str">
        <f ca="1">IF(BA131=1,IF(INDEX(分析データ!$A:$A,ROW()+$C$5)&lt;&gt;"",60000*SIGN(AZ131)*(分析データ!C131-INDEX(分析データ!C:C,ROW()+$C$5)),""),"")</f>
        <v/>
      </c>
      <c r="BC131">
        <f t="shared" ca="1" si="61"/>
        <v>0</v>
      </c>
      <c r="BD131">
        <f t="shared" ca="1" si="62"/>
        <v>0</v>
      </c>
      <c r="BE131">
        <f t="shared" ca="1" si="63"/>
        <v>0</v>
      </c>
      <c r="BF131" t="str">
        <f ca="1">IF(ROW()&lt;($C$7+1),"",IFERROR((分析データ!D131-AVERAGE(OFFSET(分析データ!D$1,MAX(1,ROW()-$C$7),0,MIN($C$7,ROW()-1),1)))/STDEV(OFFSET(分析データ!D$1,MAX(1,ROW()-$C$7),0,MIN($C$7,ROW()-1),1)),0))</f>
        <v/>
      </c>
      <c r="BG131">
        <f t="shared" ca="1" si="64"/>
        <v>0</v>
      </c>
      <c r="BH131" t="str">
        <f ca="1">IF(BG131=1,IF(INDEX(分析データ!$A:$A,ROW()+$C$5)&lt;&gt;"",50000*SIGN(BF131)*(分析データ!D131-INDEX(分析データ!D:D,ROW()+$C$5)),""),"")</f>
        <v/>
      </c>
      <c r="BI131">
        <f t="shared" ca="1" si="65"/>
        <v>0</v>
      </c>
      <c r="BJ131">
        <f t="shared" ca="1" si="66"/>
        <v>0</v>
      </c>
      <c r="BK131">
        <f t="shared" ca="1" si="67"/>
        <v>0</v>
      </c>
      <c r="BL131" t="str">
        <f ca="1">IF(ROW()&lt;($C$7+1),"",IFERROR((分析データ!E131-AVERAGE(OFFSET(分析データ!E$1,MAX(1,ROW()-$C$7),0,MIN($C$7,ROW()-1),1)))/STDEV(OFFSET(分析データ!E$1,MAX(1,ROW()-$C$7),0,MIN($C$7,ROW()-1),1)),0))</f>
        <v/>
      </c>
      <c r="BM131">
        <f t="shared" ca="1" si="68"/>
        <v>0</v>
      </c>
      <c r="BN131" t="str">
        <f ca="1">IF(BM131=1,IF(INDEX(分析データ!$A:$A,ROW()+$C$5)&lt;&gt;"",40000*SIGN(BL131)*(分析データ!E131-INDEX(分析データ!E:E,ROW()+$C$5)),""),"")</f>
        <v/>
      </c>
      <c r="BO131">
        <f t="shared" ca="1" si="69"/>
        <v>0</v>
      </c>
      <c r="BP131">
        <f t="shared" ca="1" si="70"/>
        <v>0</v>
      </c>
      <c r="BQ131">
        <f t="shared" ca="1" si="71"/>
        <v>0</v>
      </c>
      <c r="BR131" t="str">
        <f ca="1">IF(ROW()&lt;($C$7+1),"",IFERROR((分析データ!F131-AVERAGE(OFFSET(分析データ!F$1,MAX(1,ROW()-$C$7),0,MIN($C$7,ROW()-1),1)))/STDEV(OFFSET(分析データ!F$1,MAX(1,ROW()-$C$7),0,MIN($C$7,ROW()-1),1)),0))</f>
        <v/>
      </c>
      <c r="BS131">
        <f t="shared" ca="1" si="72"/>
        <v>0</v>
      </c>
      <c r="BT131" t="str">
        <f ca="1">IF(BS131=1,IF(INDEX(分析データ!$A:$A,ROW()+$C$5)&lt;&gt;"",40000*SIGN(BR131)*(分析データ!F131-INDEX(分析データ!F:F,ROW()+$C$5)),""),"")</f>
        <v/>
      </c>
      <c r="BU131">
        <f t="shared" ca="1" si="73"/>
        <v>0</v>
      </c>
      <c r="BV131">
        <f t="shared" ca="1" si="74"/>
        <v>0</v>
      </c>
      <c r="BW131">
        <f t="shared" ca="1" si="75"/>
        <v>0</v>
      </c>
      <c r="BX131" t="str">
        <f ca="1">IF(ROW()&lt;($C$7+1),"",IFERROR((分析データ!G131-AVERAGE(OFFSET(分析データ!G$1,MAX(1,ROW()-$C$7),0,MIN($C$7,ROW()-1),1)))/STDEV(OFFSET(分析データ!G$1,MAX(1,ROW()-$C$7),0,MIN($C$7,ROW()-1),1)),0))</f>
        <v/>
      </c>
      <c r="BY131">
        <f t="shared" ca="1" si="76"/>
        <v>0</v>
      </c>
      <c r="BZ131" t="str">
        <f ca="1">IF(BY131=1,IF(INDEX(分析データ!$A:$A,ROW()+$C$5)&lt;&gt;"",40000*SIGN(BX131)*(分析データ!G131-INDEX(分析データ!G:G,ROW()+$C$5)),""),"")</f>
        <v/>
      </c>
      <c r="CA131">
        <f t="shared" ca="1" si="77"/>
        <v>0</v>
      </c>
      <c r="CB131">
        <f t="shared" ca="1" si="78"/>
        <v>0</v>
      </c>
      <c r="CC131">
        <f t="shared" ca="1" si="79"/>
        <v>0</v>
      </c>
      <c r="CD131">
        <f t="shared" ca="1" si="80"/>
        <v>0</v>
      </c>
      <c r="CE131">
        <f t="shared" ca="1" si="81"/>
        <v>0</v>
      </c>
      <c r="CF131">
        <f t="shared" ca="1" si="82"/>
        <v>0</v>
      </c>
      <c r="CG131">
        <f t="shared" ca="1" si="83"/>
        <v>0</v>
      </c>
      <c r="CH131" s="10">
        <f>分析データ!A131</f>
        <v>45117</v>
      </c>
    </row>
    <row r="132" spans="46:86">
      <c r="AT132" t="str">
        <f ca="1">IF(ROW()&lt;($C$7+1),"",IFERROR((分析データ!B132-AVERAGE(OFFSET(分析データ!B$1,MAX(1,ROW()-$C$7),0,MIN($C$7,ROW()-1),1)))/STDEV(OFFSET(分析データ!B$1,MAX(1,ROW()-$C$7),0,MIN($C$7,ROW()-1),1)),0))</f>
        <v/>
      </c>
      <c r="AU132">
        <f t="shared" ca="1" si="56"/>
        <v>0</v>
      </c>
      <c r="AV132" t="str">
        <f ca="1">IF(AU132=1,IF(INDEX(分析データ!$A:$A,ROW()+$C$5)&lt;&gt;"",80000*SIGN(AT132)*(分析データ!B132-INDEX(分析データ!B:B,ROW()+$C$5)),""),"")</f>
        <v/>
      </c>
      <c r="AW132">
        <f t="shared" ca="1" si="57"/>
        <v>0</v>
      </c>
      <c r="AX132">
        <f t="shared" ca="1" si="58"/>
        <v>0</v>
      </c>
      <c r="AY132">
        <f t="shared" ca="1" si="59"/>
        <v>0</v>
      </c>
      <c r="AZ132" t="str">
        <f ca="1">IF(ROW()&lt;($C$7+1),"",IFERROR((分析データ!C132-AVERAGE(OFFSET(分析データ!C$1,MAX(1,ROW()-$C$7),0,MIN($C$7,ROW()-1),1)))/STDEV(OFFSET(分析データ!C$1,MAX(1,ROW()-$C$7),0,MIN($C$7,ROW()-1),1)),0))</f>
        <v/>
      </c>
      <c r="BA132">
        <f t="shared" ca="1" si="60"/>
        <v>0</v>
      </c>
      <c r="BB132" t="str">
        <f ca="1">IF(BA132=1,IF(INDEX(分析データ!$A:$A,ROW()+$C$5)&lt;&gt;"",60000*SIGN(AZ132)*(分析データ!C132-INDEX(分析データ!C:C,ROW()+$C$5)),""),"")</f>
        <v/>
      </c>
      <c r="BC132">
        <f t="shared" ca="1" si="61"/>
        <v>0</v>
      </c>
      <c r="BD132">
        <f t="shared" ca="1" si="62"/>
        <v>0</v>
      </c>
      <c r="BE132">
        <f t="shared" ca="1" si="63"/>
        <v>0</v>
      </c>
      <c r="BF132" t="str">
        <f ca="1">IF(ROW()&lt;($C$7+1),"",IFERROR((分析データ!D132-AVERAGE(OFFSET(分析データ!D$1,MAX(1,ROW()-$C$7),0,MIN($C$7,ROW()-1),1)))/STDEV(OFFSET(分析データ!D$1,MAX(1,ROW()-$C$7),0,MIN($C$7,ROW()-1),1)),0))</f>
        <v/>
      </c>
      <c r="BG132">
        <f t="shared" ca="1" si="64"/>
        <v>0</v>
      </c>
      <c r="BH132" t="str">
        <f ca="1">IF(BG132=1,IF(INDEX(分析データ!$A:$A,ROW()+$C$5)&lt;&gt;"",50000*SIGN(BF132)*(分析データ!D132-INDEX(分析データ!D:D,ROW()+$C$5)),""),"")</f>
        <v/>
      </c>
      <c r="BI132">
        <f t="shared" ca="1" si="65"/>
        <v>0</v>
      </c>
      <c r="BJ132">
        <f t="shared" ca="1" si="66"/>
        <v>0</v>
      </c>
      <c r="BK132">
        <f t="shared" ca="1" si="67"/>
        <v>0</v>
      </c>
      <c r="BL132" t="str">
        <f ca="1">IF(ROW()&lt;($C$7+1),"",IFERROR((分析データ!E132-AVERAGE(OFFSET(分析データ!E$1,MAX(1,ROW()-$C$7),0,MIN($C$7,ROW()-1),1)))/STDEV(OFFSET(分析データ!E$1,MAX(1,ROW()-$C$7),0,MIN($C$7,ROW()-1),1)),0))</f>
        <v/>
      </c>
      <c r="BM132">
        <f t="shared" ca="1" si="68"/>
        <v>0</v>
      </c>
      <c r="BN132" t="str">
        <f ca="1">IF(BM132=1,IF(INDEX(分析データ!$A:$A,ROW()+$C$5)&lt;&gt;"",40000*SIGN(BL132)*(分析データ!E132-INDEX(分析データ!E:E,ROW()+$C$5)),""),"")</f>
        <v/>
      </c>
      <c r="BO132">
        <f t="shared" ca="1" si="69"/>
        <v>0</v>
      </c>
      <c r="BP132">
        <f t="shared" ca="1" si="70"/>
        <v>0</v>
      </c>
      <c r="BQ132">
        <f t="shared" ca="1" si="71"/>
        <v>0</v>
      </c>
      <c r="BR132" t="str">
        <f ca="1">IF(ROW()&lt;($C$7+1),"",IFERROR((分析データ!F132-AVERAGE(OFFSET(分析データ!F$1,MAX(1,ROW()-$C$7),0,MIN($C$7,ROW()-1),1)))/STDEV(OFFSET(分析データ!F$1,MAX(1,ROW()-$C$7),0,MIN($C$7,ROW()-1),1)),0))</f>
        <v/>
      </c>
      <c r="BS132">
        <f t="shared" ca="1" si="72"/>
        <v>0</v>
      </c>
      <c r="BT132" t="str">
        <f ca="1">IF(BS132=1,IF(INDEX(分析データ!$A:$A,ROW()+$C$5)&lt;&gt;"",40000*SIGN(BR132)*(分析データ!F132-INDEX(分析データ!F:F,ROW()+$C$5)),""),"")</f>
        <v/>
      </c>
      <c r="BU132">
        <f t="shared" ca="1" si="73"/>
        <v>0</v>
      </c>
      <c r="BV132">
        <f t="shared" ca="1" si="74"/>
        <v>0</v>
      </c>
      <c r="BW132">
        <f t="shared" ca="1" si="75"/>
        <v>0</v>
      </c>
      <c r="BX132" t="str">
        <f ca="1">IF(ROW()&lt;($C$7+1),"",IFERROR((分析データ!G132-AVERAGE(OFFSET(分析データ!G$1,MAX(1,ROW()-$C$7),0,MIN($C$7,ROW()-1),1)))/STDEV(OFFSET(分析データ!G$1,MAX(1,ROW()-$C$7),0,MIN($C$7,ROW()-1),1)),0))</f>
        <v/>
      </c>
      <c r="BY132">
        <f t="shared" ca="1" si="76"/>
        <v>0</v>
      </c>
      <c r="BZ132" t="str">
        <f ca="1">IF(BY132=1,IF(INDEX(分析データ!$A:$A,ROW()+$C$5)&lt;&gt;"",40000*SIGN(BX132)*(分析データ!G132-INDEX(分析データ!G:G,ROW()+$C$5)),""),"")</f>
        <v/>
      </c>
      <c r="CA132">
        <f t="shared" ca="1" si="77"/>
        <v>0</v>
      </c>
      <c r="CB132">
        <f t="shared" ca="1" si="78"/>
        <v>0</v>
      </c>
      <c r="CC132">
        <f t="shared" ca="1" si="79"/>
        <v>0</v>
      </c>
      <c r="CD132">
        <f t="shared" ca="1" si="80"/>
        <v>0</v>
      </c>
      <c r="CE132">
        <f t="shared" ca="1" si="81"/>
        <v>0</v>
      </c>
      <c r="CF132">
        <f t="shared" ca="1" si="82"/>
        <v>0</v>
      </c>
      <c r="CG132">
        <f t="shared" ca="1" si="83"/>
        <v>0</v>
      </c>
      <c r="CH132" s="10">
        <f>分析データ!A132</f>
        <v>45118</v>
      </c>
    </row>
    <row r="133" spans="46:86">
      <c r="AT133" t="str">
        <f ca="1">IF(ROW()&lt;($C$7+1),"",IFERROR((分析データ!B133-AVERAGE(OFFSET(分析データ!B$1,MAX(1,ROW()-$C$7),0,MIN($C$7,ROW()-1),1)))/STDEV(OFFSET(分析データ!B$1,MAX(1,ROW()-$C$7),0,MIN($C$7,ROW()-1),1)),0))</f>
        <v/>
      </c>
      <c r="AU133">
        <f t="shared" ca="1" si="56"/>
        <v>0</v>
      </c>
      <c r="AV133" t="str">
        <f ca="1">IF(AU133=1,IF(INDEX(分析データ!$A:$A,ROW()+$C$5)&lt;&gt;"",80000*SIGN(AT133)*(分析データ!B133-INDEX(分析データ!B:B,ROW()+$C$5)),""),"")</f>
        <v/>
      </c>
      <c r="AW133">
        <f t="shared" ca="1" si="57"/>
        <v>0</v>
      </c>
      <c r="AX133">
        <f t="shared" ca="1" si="58"/>
        <v>0</v>
      </c>
      <c r="AY133">
        <f t="shared" ca="1" si="59"/>
        <v>0</v>
      </c>
      <c r="AZ133" t="str">
        <f ca="1">IF(ROW()&lt;($C$7+1),"",IFERROR((分析データ!C133-AVERAGE(OFFSET(分析データ!C$1,MAX(1,ROW()-$C$7),0,MIN($C$7,ROW()-1),1)))/STDEV(OFFSET(分析データ!C$1,MAX(1,ROW()-$C$7),0,MIN($C$7,ROW()-1),1)),0))</f>
        <v/>
      </c>
      <c r="BA133">
        <f t="shared" ca="1" si="60"/>
        <v>0</v>
      </c>
      <c r="BB133" t="str">
        <f ca="1">IF(BA133=1,IF(INDEX(分析データ!$A:$A,ROW()+$C$5)&lt;&gt;"",60000*SIGN(AZ133)*(分析データ!C133-INDEX(分析データ!C:C,ROW()+$C$5)),""),"")</f>
        <v/>
      </c>
      <c r="BC133">
        <f t="shared" ca="1" si="61"/>
        <v>0</v>
      </c>
      <c r="BD133">
        <f t="shared" ca="1" si="62"/>
        <v>0</v>
      </c>
      <c r="BE133">
        <f t="shared" ca="1" si="63"/>
        <v>0</v>
      </c>
      <c r="BF133" t="str">
        <f ca="1">IF(ROW()&lt;($C$7+1),"",IFERROR((分析データ!D133-AVERAGE(OFFSET(分析データ!D$1,MAX(1,ROW()-$C$7),0,MIN($C$7,ROW()-1),1)))/STDEV(OFFSET(分析データ!D$1,MAX(1,ROW()-$C$7),0,MIN($C$7,ROW()-1),1)),0))</f>
        <v/>
      </c>
      <c r="BG133">
        <f t="shared" ca="1" si="64"/>
        <v>0</v>
      </c>
      <c r="BH133" t="str">
        <f ca="1">IF(BG133=1,IF(INDEX(分析データ!$A:$A,ROW()+$C$5)&lt;&gt;"",50000*SIGN(BF133)*(分析データ!D133-INDEX(分析データ!D:D,ROW()+$C$5)),""),"")</f>
        <v/>
      </c>
      <c r="BI133">
        <f t="shared" ca="1" si="65"/>
        <v>0</v>
      </c>
      <c r="BJ133">
        <f t="shared" ca="1" si="66"/>
        <v>0</v>
      </c>
      <c r="BK133">
        <f t="shared" ca="1" si="67"/>
        <v>0</v>
      </c>
      <c r="BL133" t="str">
        <f ca="1">IF(ROW()&lt;($C$7+1),"",IFERROR((分析データ!E133-AVERAGE(OFFSET(分析データ!E$1,MAX(1,ROW()-$C$7),0,MIN($C$7,ROW()-1),1)))/STDEV(OFFSET(分析データ!E$1,MAX(1,ROW()-$C$7),0,MIN($C$7,ROW()-1),1)),0))</f>
        <v/>
      </c>
      <c r="BM133">
        <f t="shared" ca="1" si="68"/>
        <v>0</v>
      </c>
      <c r="BN133" t="str">
        <f ca="1">IF(BM133=1,IF(INDEX(分析データ!$A:$A,ROW()+$C$5)&lt;&gt;"",40000*SIGN(BL133)*(分析データ!E133-INDEX(分析データ!E:E,ROW()+$C$5)),""),"")</f>
        <v/>
      </c>
      <c r="BO133">
        <f t="shared" ca="1" si="69"/>
        <v>0</v>
      </c>
      <c r="BP133">
        <f t="shared" ca="1" si="70"/>
        <v>0</v>
      </c>
      <c r="BQ133">
        <f t="shared" ca="1" si="71"/>
        <v>0</v>
      </c>
      <c r="BR133" t="str">
        <f ca="1">IF(ROW()&lt;($C$7+1),"",IFERROR((分析データ!F133-AVERAGE(OFFSET(分析データ!F$1,MAX(1,ROW()-$C$7),0,MIN($C$7,ROW()-1),1)))/STDEV(OFFSET(分析データ!F$1,MAX(1,ROW()-$C$7),0,MIN($C$7,ROW()-1),1)),0))</f>
        <v/>
      </c>
      <c r="BS133">
        <f t="shared" ca="1" si="72"/>
        <v>0</v>
      </c>
      <c r="BT133" t="str">
        <f ca="1">IF(BS133=1,IF(INDEX(分析データ!$A:$A,ROW()+$C$5)&lt;&gt;"",40000*SIGN(BR133)*(分析データ!F133-INDEX(分析データ!F:F,ROW()+$C$5)),""),"")</f>
        <v/>
      </c>
      <c r="BU133">
        <f t="shared" ca="1" si="73"/>
        <v>0</v>
      </c>
      <c r="BV133">
        <f t="shared" ca="1" si="74"/>
        <v>0</v>
      </c>
      <c r="BW133">
        <f t="shared" ca="1" si="75"/>
        <v>0</v>
      </c>
      <c r="BX133" t="str">
        <f ca="1">IF(ROW()&lt;($C$7+1),"",IFERROR((分析データ!G133-AVERAGE(OFFSET(分析データ!G$1,MAX(1,ROW()-$C$7),0,MIN($C$7,ROW()-1),1)))/STDEV(OFFSET(分析データ!G$1,MAX(1,ROW()-$C$7),0,MIN($C$7,ROW()-1),1)),0))</f>
        <v/>
      </c>
      <c r="BY133">
        <f t="shared" ca="1" si="76"/>
        <v>0</v>
      </c>
      <c r="BZ133" t="str">
        <f ca="1">IF(BY133=1,IF(INDEX(分析データ!$A:$A,ROW()+$C$5)&lt;&gt;"",40000*SIGN(BX133)*(分析データ!G133-INDEX(分析データ!G:G,ROW()+$C$5)),""),"")</f>
        <v/>
      </c>
      <c r="CA133">
        <f t="shared" ca="1" si="77"/>
        <v>0</v>
      </c>
      <c r="CB133">
        <f t="shared" ca="1" si="78"/>
        <v>0</v>
      </c>
      <c r="CC133">
        <f t="shared" ca="1" si="79"/>
        <v>0</v>
      </c>
      <c r="CD133">
        <f t="shared" ca="1" si="80"/>
        <v>0</v>
      </c>
      <c r="CE133">
        <f t="shared" ca="1" si="81"/>
        <v>0</v>
      </c>
      <c r="CF133">
        <f t="shared" ca="1" si="82"/>
        <v>0</v>
      </c>
      <c r="CG133">
        <f t="shared" ca="1" si="83"/>
        <v>0</v>
      </c>
      <c r="CH133" s="10">
        <f>分析データ!A133</f>
        <v>45119</v>
      </c>
    </row>
    <row r="134" spans="46:86">
      <c r="AT134" t="str">
        <f ca="1">IF(ROW()&lt;($C$7+1),"",IFERROR((分析データ!B134-AVERAGE(OFFSET(分析データ!B$1,MAX(1,ROW()-$C$7),0,MIN($C$7,ROW()-1),1)))/STDEV(OFFSET(分析データ!B$1,MAX(1,ROW()-$C$7),0,MIN($C$7,ROW()-1),1)),0))</f>
        <v/>
      </c>
      <c r="AU134">
        <f t="shared" ca="1" si="56"/>
        <v>0</v>
      </c>
      <c r="AV134" t="str">
        <f ca="1">IF(AU134=1,IF(INDEX(分析データ!$A:$A,ROW()+$C$5)&lt;&gt;"",80000*SIGN(AT134)*(分析データ!B134-INDEX(分析データ!B:B,ROW()+$C$5)),""),"")</f>
        <v/>
      </c>
      <c r="AW134">
        <f t="shared" ca="1" si="57"/>
        <v>0</v>
      </c>
      <c r="AX134">
        <f t="shared" ca="1" si="58"/>
        <v>0</v>
      </c>
      <c r="AY134">
        <f t="shared" ca="1" si="59"/>
        <v>0</v>
      </c>
      <c r="AZ134" t="str">
        <f ca="1">IF(ROW()&lt;($C$7+1),"",IFERROR((分析データ!C134-AVERAGE(OFFSET(分析データ!C$1,MAX(1,ROW()-$C$7),0,MIN($C$7,ROW()-1),1)))/STDEV(OFFSET(分析データ!C$1,MAX(1,ROW()-$C$7),0,MIN($C$7,ROW()-1),1)),0))</f>
        <v/>
      </c>
      <c r="BA134">
        <f t="shared" ca="1" si="60"/>
        <v>0</v>
      </c>
      <c r="BB134" t="str">
        <f ca="1">IF(BA134=1,IF(INDEX(分析データ!$A:$A,ROW()+$C$5)&lt;&gt;"",60000*SIGN(AZ134)*(分析データ!C134-INDEX(分析データ!C:C,ROW()+$C$5)),""),"")</f>
        <v/>
      </c>
      <c r="BC134">
        <f t="shared" ca="1" si="61"/>
        <v>0</v>
      </c>
      <c r="BD134">
        <f t="shared" ca="1" si="62"/>
        <v>0</v>
      </c>
      <c r="BE134">
        <f t="shared" ca="1" si="63"/>
        <v>0</v>
      </c>
      <c r="BF134" t="str">
        <f ca="1">IF(ROW()&lt;($C$7+1),"",IFERROR((分析データ!D134-AVERAGE(OFFSET(分析データ!D$1,MAX(1,ROW()-$C$7),0,MIN($C$7,ROW()-1),1)))/STDEV(OFFSET(分析データ!D$1,MAX(1,ROW()-$C$7),0,MIN($C$7,ROW()-1),1)),0))</f>
        <v/>
      </c>
      <c r="BG134">
        <f t="shared" ca="1" si="64"/>
        <v>0</v>
      </c>
      <c r="BH134" t="str">
        <f ca="1">IF(BG134=1,IF(INDEX(分析データ!$A:$A,ROW()+$C$5)&lt;&gt;"",50000*SIGN(BF134)*(分析データ!D134-INDEX(分析データ!D:D,ROW()+$C$5)),""),"")</f>
        <v/>
      </c>
      <c r="BI134">
        <f t="shared" ca="1" si="65"/>
        <v>0</v>
      </c>
      <c r="BJ134">
        <f t="shared" ca="1" si="66"/>
        <v>0</v>
      </c>
      <c r="BK134">
        <f t="shared" ca="1" si="67"/>
        <v>0</v>
      </c>
      <c r="BL134" t="str">
        <f ca="1">IF(ROW()&lt;($C$7+1),"",IFERROR((分析データ!E134-AVERAGE(OFFSET(分析データ!E$1,MAX(1,ROW()-$C$7),0,MIN($C$7,ROW()-1),1)))/STDEV(OFFSET(分析データ!E$1,MAX(1,ROW()-$C$7),0,MIN($C$7,ROW()-1),1)),0))</f>
        <v/>
      </c>
      <c r="BM134">
        <f t="shared" ca="1" si="68"/>
        <v>0</v>
      </c>
      <c r="BN134" t="str">
        <f ca="1">IF(BM134=1,IF(INDEX(分析データ!$A:$A,ROW()+$C$5)&lt;&gt;"",40000*SIGN(BL134)*(分析データ!E134-INDEX(分析データ!E:E,ROW()+$C$5)),""),"")</f>
        <v/>
      </c>
      <c r="BO134">
        <f t="shared" ca="1" si="69"/>
        <v>0</v>
      </c>
      <c r="BP134">
        <f t="shared" ca="1" si="70"/>
        <v>0</v>
      </c>
      <c r="BQ134">
        <f t="shared" ca="1" si="71"/>
        <v>0</v>
      </c>
      <c r="BR134" t="str">
        <f ca="1">IF(ROW()&lt;($C$7+1),"",IFERROR((分析データ!F134-AVERAGE(OFFSET(分析データ!F$1,MAX(1,ROW()-$C$7),0,MIN($C$7,ROW()-1),1)))/STDEV(OFFSET(分析データ!F$1,MAX(1,ROW()-$C$7),0,MIN($C$7,ROW()-1),1)),0))</f>
        <v/>
      </c>
      <c r="BS134">
        <f t="shared" ca="1" si="72"/>
        <v>0</v>
      </c>
      <c r="BT134" t="str">
        <f ca="1">IF(BS134=1,IF(INDEX(分析データ!$A:$A,ROW()+$C$5)&lt;&gt;"",40000*SIGN(BR134)*(分析データ!F134-INDEX(分析データ!F:F,ROW()+$C$5)),""),"")</f>
        <v/>
      </c>
      <c r="BU134">
        <f t="shared" ca="1" si="73"/>
        <v>0</v>
      </c>
      <c r="BV134">
        <f t="shared" ca="1" si="74"/>
        <v>0</v>
      </c>
      <c r="BW134">
        <f t="shared" ca="1" si="75"/>
        <v>0</v>
      </c>
      <c r="BX134" t="str">
        <f ca="1">IF(ROW()&lt;($C$7+1),"",IFERROR((分析データ!G134-AVERAGE(OFFSET(分析データ!G$1,MAX(1,ROW()-$C$7),0,MIN($C$7,ROW()-1),1)))/STDEV(OFFSET(分析データ!G$1,MAX(1,ROW()-$C$7),0,MIN($C$7,ROW()-1),1)),0))</f>
        <v/>
      </c>
      <c r="BY134">
        <f t="shared" ca="1" si="76"/>
        <v>0</v>
      </c>
      <c r="BZ134" t="str">
        <f ca="1">IF(BY134=1,IF(INDEX(分析データ!$A:$A,ROW()+$C$5)&lt;&gt;"",40000*SIGN(BX134)*(分析データ!G134-INDEX(分析データ!G:G,ROW()+$C$5)),""),"")</f>
        <v/>
      </c>
      <c r="CA134">
        <f t="shared" ca="1" si="77"/>
        <v>0</v>
      </c>
      <c r="CB134">
        <f t="shared" ca="1" si="78"/>
        <v>0</v>
      </c>
      <c r="CC134">
        <f t="shared" ca="1" si="79"/>
        <v>0</v>
      </c>
      <c r="CD134">
        <f t="shared" ca="1" si="80"/>
        <v>0</v>
      </c>
      <c r="CE134">
        <f t="shared" ca="1" si="81"/>
        <v>0</v>
      </c>
      <c r="CF134">
        <f t="shared" ca="1" si="82"/>
        <v>0</v>
      </c>
      <c r="CG134">
        <f t="shared" ca="1" si="83"/>
        <v>0</v>
      </c>
      <c r="CH134" s="10">
        <f>分析データ!A134</f>
        <v>45120</v>
      </c>
    </row>
    <row r="135" spans="46:86">
      <c r="AT135" t="str">
        <f ca="1">IF(ROW()&lt;($C$7+1),"",IFERROR((分析データ!B135-AVERAGE(OFFSET(分析データ!B$1,MAX(1,ROW()-$C$7),0,MIN($C$7,ROW()-1),1)))/STDEV(OFFSET(分析データ!B$1,MAX(1,ROW()-$C$7),0,MIN($C$7,ROW()-1),1)),0))</f>
        <v/>
      </c>
      <c r="AU135">
        <f t="shared" ca="1" si="56"/>
        <v>0</v>
      </c>
      <c r="AV135" t="str">
        <f ca="1">IF(AU135=1,IF(INDEX(分析データ!$A:$A,ROW()+$C$5)&lt;&gt;"",80000*SIGN(AT135)*(分析データ!B135-INDEX(分析データ!B:B,ROW()+$C$5)),""),"")</f>
        <v/>
      </c>
      <c r="AW135">
        <f t="shared" ca="1" si="57"/>
        <v>0</v>
      </c>
      <c r="AX135">
        <f t="shared" ca="1" si="58"/>
        <v>0</v>
      </c>
      <c r="AY135">
        <f t="shared" ca="1" si="59"/>
        <v>0</v>
      </c>
      <c r="AZ135" t="str">
        <f ca="1">IF(ROW()&lt;($C$7+1),"",IFERROR((分析データ!C135-AVERAGE(OFFSET(分析データ!C$1,MAX(1,ROW()-$C$7),0,MIN($C$7,ROW()-1),1)))/STDEV(OFFSET(分析データ!C$1,MAX(1,ROW()-$C$7),0,MIN($C$7,ROW()-1),1)),0))</f>
        <v/>
      </c>
      <c r="BA135">
        <f t="shared" ca="1" si="60"/>
        <v>0</v>
      </c>
      <c r="BB135" t="str">
        <f ca="1">IF(BA135=1,IF(INDEX(分析データ!$A:$A,ROW()+$C$5)&lt;&gt;"",60000*SIGN(AZ135)*(分析データ!C135-INDEX(分析データ!C:C,ROW()+$C$5)),""),"")</f>
        <v/>
      </c>
      <c r="BC135">
        <f t="shared" ca="1" si="61"/>
        <v>0</v>
      </c>
      <c r="BD135">
        <f t="shared" ca="1" si="62"/>
        <v>0</v>
      </c>
      <c r="BE135">
        <f t="shared" ca="1" si="63"/>
        <v>0</v>
      </c>
      <c r="BF135" t="str">
        <f ca="1">IF(ROW()&lt;($C$7+1),"",IFERROR((分析データ!D135-AVERAGE(OFFSET(分析データ!D$1,MAX(1,ROW()-$C$7),0,MIN($C$7,ROW()-1),1)))/STDEV(OFFSET(分析データ!D$1,MAX(1,ROW()-$C$7),0,MIN($C$7,ROW()-1),1)),0))</f>
        <v/>
      </c>
      <c r="BG135">
        <f t="shared" ca="1" si="64"/>
        <v>0</v>
      </c>
      <c r="BH135" t="str">
        <f ca="1">IF(BG135=1,IF(INDEX(分析データ!$A:$A,ROW()+$C$5)&lt;&gt;"",50000*SIGN(BF135)*(分析データ!D135-INDEX(分析データ!D:D,ROW()+$C$5)),""),"")</f>
        <v/>
      </c>
      <c r="BI135">
        <f t="shared" ca="1" si="65"/>
        <v>0</v>
      </c>
      <c r="BJ135">
        <f t="shared" ca="1" si="66"/>
        <v>0</v>
      </c>
      <c r="BK135">
        <f t="shared" ca="1" si="67"/>
        <v>0</v>
      </c>
      <c r="BL135" t="str">
        <f ca="1">IF(ROW()&lt;($C$7+1),"",IFERROR((分析データ!E135-AVERAGE(OFFSET(分析データ!E$1,MAX(1,ROW()-$C$7),0,MIN($C$7,ROW()-1),1)))/STDEV(OFFSET(分析データ!E$1,MAX(1,ROW()-$C$7),0,MIN($C$7,ROW()-1),1)),0))</f>
        <v/>
      </c>
      <c r="BM135">
        <f t="shared" ca="1" si="68"/>
        <v>0</v>
      </c>
      <c r="BN135" t="str">
        <f ca="1">IF(BM135=1,IF(INDEX(分析データ!$A:$A,ROW()+$C$5)&lt;&gt;"",40000*SIGN(BL135)*(分析データ!E135-INDEX(分析データ!E:E,ROW()+$C$5)),""),"")</f>
        <v/>
      </c>
      <c r="BO135">
        <f t="shared" ca="1" si="69"/>
        <v>0</v>
      </c>
      <c r="BP135">
        <f t="shared" ca="1" si="70"/>
        <v>0</v>
      </c>
      <c r="BQ135">
        <f t="shared" ca="1" si="71"/>
        <v>0</v>
      </c>
      <c r="BR135" t="str">
        <f ca="1">IF(ROW()&lt;($C$7+1),"",IFERROR((分析データ!F135-AVERAGE(OFFSET(分析データ!F$1,MAX(1,ROW()-$C$7),0,MIN($C$7,ROW()-1),1)))/STDEV(OFFSET(分析データ!F$1,MAX(1,ROW()-$C$7),0,MIN($C$7,ROW()-1),1)),0))</f>
        <v/>
      </c>
      <c r="BS135">
        <f t="shared" ca="1" si="72"/>
        <v>0</v>
      </c>
      <c r="BT135" t="str">
        <f ca="1">IF(BS135=1,IF(INDEX(分析データ!$A:$A,ROW()+$C$5)&lt;&gt;"",40000*SIGN(BR135)*(分析データ!F135-INDEX(分析データ!F:F,ROW()+$C$5)),""),"")</f>
        <v/>
      </c>
      <c r="BU135">
        <f t="shared" ca="1" si="73"/>
        <v>0</v>
      </c>
      <c r="BV135">
        <f t="shared" ca="1" si="74"/>
        <v>0</v>
      </c>
      <c r="BW135">
        <f t="shared" ca="1" si="75"/>
        <v>0</v>
      </c>
      <c r="BX135" t="str">
        <f ca="1">IF(ROW()&lt;($C$7+1),"",IFERROR((分析データ!G135-AVERAGE(OFFSET(分析データ!G$1,MAX(1,ROW()-$C$7),0,MIN($C$7,ROW()-1),1)))/STDEV(OFFSET(分析データ!G$1,MAX(1,ROW()-$C$7),0,MIN($C$7,ROW()-1),1)),0))</f>
        <v/>
      </c>
      <c r="BY135">
        <f t="shared" ca="1" si="76"/>
        <v>0</v>
      </c>
      <c r="BZ135" t="str">
        <f ca="1">IF(BY135=1,IF(INDEX(分析データ!$A:$A,ROW()+$C$5)&lt;&gt;"",40000*SIGN(BX135)*(分析データ!G135-INDEX(分析データ!G:G,ROW()+$C$5)),""),"")</f>
        <v/>
      </c>
      <c r="CA135">
        <f t="shared" ca="1" si="77"/>
        <v>0</v>
      </c>
      <c r="CB135">
        <f t="shared" ca="1" si="78"/>
        <v>0</v>
      </c>
      <c r="CC135">
        <f t="shared" ca="1" si="79"/>
        <v>0</v>
      </c>
      <c r="CD135">
        <f t="shared" ca="1" si="80"/>
        <v>0</v>
      </c>
      <c r="CE135">
        <f t="shared" ca="1" si="81"/>
        <v>0</v>
      </c>
      <c r="CF135">
        <f t="shared" ca="1" si="82"/>
        <v>0</v>
      </c>
      <c r="CG135">
        <f t="shared" ca="1" si="83"/>
        <v>0</v>
      </c>
      <c r="CH135" s="10">
        <f>分析データ!A135</f>
        <v>45121</v>
      </c>
    </row>
    <row r="136" spans="46:86">
      <c r="AT136" t="str">
        <f ca="1">IF(ROW()&lt;($C$7+1),"",IFERROR((分析データ!B136-AVERAGE(OFFSET(分析データ!B$1,MAX(1,ROW()-$C$7),0,MIN($C$7,ROW()-1),1)))/STDEV(OFFSET(分析データ!B$1,MAX(1,ROW()-$C$7),0,MIN($C$7,ROW()-1),1)),0))</f>
        <v/>
      </c>
      <c r="AU136">
        <f t="shared" ca="1" si="56"/>
        <v>0</v>
      </c>
      <c r="AV136" t="str">
        <f ca="1">IF(AU136=1,IF(INDEX(分析データ!$A:$A,ROW()+$C$5)&lt;&gt;"",80000*SIGN(AT136)*(分析データ!B136-INDEX(分析データ!B:B,ROW()+$C$5)),""),"")</f>
        <v/>
      </c>
      <c r="AW136">
        <f t="shared" ca="1" si="57"/>
        <v>0</v>
      </c>
      <c r="AX136">
        <f t="shared" ca="1" si="58"/>
        <v>0</v>
      </c>
      <c r="AY136">
        <f t="shared" ca="1" si="59"/>
        <v>0</v>
      </c>
      <c r="AZ136" t="str">
        <f ca="1">IF(ROW()&lt;($C$7+1),"",IFERROR((分析データ!C136-AVERAGE(OFFSET(分析データ!C$1,MAX(1,ROW()-$C$7),0,MIN($C$7,ROW()-1),1)))/STDEV(OFFSET(分析データ!C$1,MAX(1,ROW()-$C$7),0,MIN($C$7,ROW()-1),1)),0))</f>
        <v/>
      </c>
      <c r="BA136">
        <f t="shared" ca="1" si="60"/>
        <v>0</v>
      </c>
      <c r="BB136" t="str">
        <f ca="1">IF(BA136=1,IF(INDEX(分析データ!$A:$A,ROW()+$C$5)&lt;&gt;"",60000*SIGN(AZ136)*(分析データ!C136-INDEX(分析データ!C:C,ROW()+$C$5)),""),"")</f>
        <v/>
      </c>
      <c r="BC136">
        <f t="shared" ca="1" si="61"/>
        <v>0</v>
      </c>
      <c r="BD136">
        <f t="shared" ca="1" si="62"/>
        <v>0</v>
      </c>
      <c r="BE136">
        <f t="shared" ca="1" si="63"/>
        <v>0</v>
      </c>
      <c r="BF136" t="str">
        <f ca="1">IF(ROW()&lt;($C$7+1),"",IFERROR((分析データ!D136-AVERAGE(OFFSET(分析データ!D$1,MAX(1,ROW()-$C$7),0,MIN($C$7,ROW()-1),1)))/STDEV(OFFSET(分析データ!D$1,MAX(1,ROW()-$C$7),0,MIN($C$7,ROW()-1),1)),0))</f>
        <v/>
      </c>
      <c r="BG136">
        <f t="shared" ca="1" si="64"/>
        <v>0</v>
      </c>
      <c r="BH136" t="str">
        <f ca="1">IF(BG136=1,IF(INDEX(分析データ!$A:$A,ROW()+$C$5)&lt;&gt;"",50000*SIGN(BF136)*(分析データ!D136-INDEX(分析データ!D:D,ROW()+$C$5)),""),"")</f>
        <v/>
      </c>
      <c r="BI136">
        <f t="shared" ca="1" si="65"/>
        <v>0</v>
      </c>
      <c r="BJ136">
        <f t="shared" ca="1" si="66"/>
        <v>0</v>
      </c>
      <c r="BK136">
        <f t="shared" ca="1" si="67"/>
        <v>0</v>
      </c>
      <c r="BL136" t="str">
        <f ca="1">IF(ROW()&lt;($C$7+1),"",IFERROR((分析データ!E136-AVERAGE(OFFSET(分析データ!E$1,MAX(1,ROW()-$C$7),0,MIN($C$7,ROW()-1),1)))/STDEV(OFFSET(分析データ!E$1,MAX(1,ROW()-$C$7),0,MIN($C$7,ROW()-1),1)),0))</f>
        <v/>
      </c>
      <c r="BM136">
        <f t="shared" ca="1" si="68"/>
        <v>0</v>
      </c>
      <c r="BN136" t="str">
        <f ca="1">IF(BM136=1,IF(INDEX(分析データ!$A:$A,ROW()+$C$5)&lt;&gt;"",40000*SIGN(BL136)*(分析データ!E136-INDEX(分析データ!E:E,ROW()+$C$5)),""),"")</f>
        <v/>
      </c>
      <c r="BO136">
        <f t="shared" ca="1" si="69"/>
        <v>0</v>
      </c>
      <c r="BP136">
        <f t="shared" ca="1" si="70"/>
        <v>0</v>
      </c>
      <c r="BQ136">
        <f t="shared" ca="1" si="71"/>
        <v>0</v>
      </c>
      <c r="BR136" t="str">
        <f ca="1">IF(ROW()&lt;($C$7+1),"",IFERROR((分析データ!F136-AVERAGE(OFFSET(分析データ!F$1,MAX(1,ROW()-$C$7),0,MIN($C$7,ROW()-1),1)))/STDEV(OFFSET(分析データ!F$1,MAX(1,ROW()-$C$7),0,MIN($C$7,ROW()-1),1)),0))</f>
        <v/>
      </c>
      <c r="BS136">
        <f t="shared" ca="1" si="72"/>
        <v>0</v>
      </c>
      <c r="BT136" t="str">
        <f ca="1">IF(BS136=1,IF(INDEX(分析データ!$A:$A,ROW()+$C$5)&lt;&gt;"",40000*SIGN(BR136)*(分析データ!F136-INDEX(分析データ!F:F,ROW()+$C$5)),""),"")</f>
        <v/>
      </c>
      <c r="BU136">
        <f t="shared" ca="1" si="73"/>
        <v>0</v>
      </c>
      <c r="BV136">
        <f t="shared" ca="1" si="74"/>
        <v>0</v>
      </c>
      <c r="BW136">
        <f t="shared" ca="1" si="75"/>
        <v>0</v>
      </c>
      <c r="BX136" t="str">
        <f ca="1">IF(ROW()&lt;($C$7+1),"",IFERROR((分析データ!G136-AVERAGE(OFFSET(分析データ!G$1,MAX(1,ROW()-$C$7),0,MIN($C$7,ROW()-1),1)))/STDEV(OFFSET(分析データ!G$1,MAX(1,ROW()-$C$7),0,MIN($C$7,ROW()-1),1)),0))</f>
        <v/>
      </c>
      <c r="BY136">
        <f t="shared" ca="1" si="76"/>
        <v>0</v>
      </c>
      <c r="BZ136" t="str">
        <f ca="1">IF(BY136=1,IF(INDEX(分析データ!$A:$A,ROW()+$C$5)&lt;&gt;"",40000*SIGN(BX136)*(分析データ!G136-INDEX(分析データ!G:G,ROW()+$C$5)),""),"")</f>
        <v/>
      </c>
      <c r="CA136">
        <f t="shared" ca="1" si="77"/>
        <v>0</v>
      </c>
      <c r="CB136">
        <f t="shared" ca="1" si="78"/>
        <v>0</v>
      </c>
      <c r="CC136">
        <f t="shared" ca="1" si="79"/>
        <v>0</v>
      </c>
      <c r="CD136">
        <f t="shared" ca="1" si="80"/>
        <v>0</v>
      </c>
      <c r="CE136">
        <f t="shared" ca="1" si="81"/>
        <v>0</v>
      </c>
      <c r="CF136">
        <f t="shared" ca="1" si="82"/>
        <v>0</v>
      </c>
      <c r="CG136">
        <f t="shared" ca="1" si="83"/>
        <v>0</v>
      </c>
      <c r="CH136" s="10">
        <f>分析データ!A136</f>
        <v>45124</v>
      </c>
    </row>
    <row r="137" spans="46:86">
      <c r="AT137" t="str">
        <f ca="1">IF(ROW()&lt;($C$7+1),"",IFERROR((分析データ!B137-AVERAGE(OFFSET(分析データ!B$1,MAX(1,ROW()-$C$7),0,MIN($C$7,ROW()-1),1)))/STDEV(OFFSET(分析データ!B$1,MAX(1,ROW()-$C$7),0,MIN($C$7,ROW()-1),1)),0))</f>
        <v/>
      </c>
      <c r="AU137">
        <f t="shared" ca="1" si="56"/>
        <v>0</v>
      </c>
      <c r="AV137" t="str">
        <f ca="1">IF(AU137=1,IF(INDEX(分析データ!$A:$A,ROW()+$C$5)&lt;&gt;"",80000*SIGN(AT137)*(分析データ!B137-INDEX(分析データ!B:B,ROW()+$C$5)),""),"")</f>
        <v/>
      </c>
      <c r="AW137">
        <f t="shared" ca="1" si="57"/>
        <v>0</v>
      </c>
      <c r="AX137">
        <f t="shared" ca="1" si="58"/>
        <v>0</v>
      </c>
      <c r="AY137">
        <f t="shared" ca="1" si="59"/>
        <v>0</v>
      </c>
      <c r="AZ137" t="str">
        <f ca="1">IF(ROW()&lt;($C$7+1),"",IFERROR((分析データ!C137-AVERAGE(OFFSET(分析データ!C$1,MAX(1,ROW()-$C$7),0,MIN($C$7,ROW()-1),1)))/STDEV(OFFSET(分析データ!C$1,MAX(1,ROW()-$C$7),0,MIN($C$7,ROW()-1),1)),0))</f>
        <v/>
      </c>
      <c r="BA137">
        <f t="shared" ca="1" si="60"/>
        <v>0</v>
      </c>
      <c r="BB137" t="str">
        <f ca="1">IF(BA137=1,IF(INDEX(分析データ!$A:$A,ROW()+$C$5)&lt;&gt;"",60000*SIGN(AZ137)*(分析データ!C137-INDEX(分析データ!C:C,ROW()+$C$5)),""),"")</f>
        <v/>
      </c>
      <c r="BC137">
        <f t="shared" ca="1" si="61"/>
        <v>0</v>
      </c>
      <c r="BD137">
        <f t="shared" ca="1" si="62"/>
        <v>0</v>
      </c>
      <c r="BE137">
        <f t="shared" ca="1" si="63"/>
        <v>0</v>
      </c>
      <c r="BF137" t="str">
        <f ca="1">IF(ROW()&lt;($C$7+1),"",IFERROR((分析データ!D137-AVERAGE(OFFSET(分析データ!D$1,MAX(1,ROW()-$C$7),0,MIN($C$7,ROW()-1),1)))/STDEV(OFFSET(分析データ!D$1,MAX(1,ROW()-$C$7),0,MIN($C$7,ROW()-1),1)),0))</f>
        <v/>
      </c>
      <c r="BG137">
        <f t="shared" ca="1" si="64"/>
        <v>0</v>
      </c>
      <c r="BH137" t="str">
        <f ca="1">IF(BG137=1,IF(INDEX(分析データ!$A:$A,ROW()+$C$5)&lt;&gt;"",50000*SIGN(BF137)*(分析データ!D137-INDEX(分析データ!D:D,ROW()+$C$5)),""),"")</f>
        <v/>
      </c>
      <c r="BI137">
        <f t="shared" ca="1" si="65"/>
        <v>0</v>
      </c>
      <c r="BJ137">
        <f t="shared" ca="1" si="66"/>
        <v>0</v>
      </c>
      <c r="BK137">
        <f t="shared" ca="1" si="67"/>
        <v>0</v>
      </c>
      <c r="BL137" t="str">
        <f ca="1">IF(ROW()&lt;($C$7+1),"",IFERROR((分析データ!E137-AVERAGE(OFFSET(分析データ!E$1,MAX(1,ROW()-$C$7),0,MIN($C$7,ROW()-1),1)))/STDEV(OFFSET(分析データ!E$1,MAX(1,ROW()-$C$7),0,MIN($C$7,ROW()-1),1)),0))</f>
        <v/>
      </c>
      <c r="BM137">
        <f t="shared" ca="1" si="68"/>
        <v>0</v>
      </c>
      <c r="BN137" t="str">
        <f ca="1">IF(BM137=1,IF(INDEX(分析データ!$A:$A,ROW()+$C$5)&lt;&gt;"",40000*SIGN(BL137)*(分析データ!E137-INDEX(分析データ!E:E,ROW()+$C$5)),""),"")</f>
        <v/>
      </c>
      <c r="BO137">
        <f t="shared" ca="1" si="69"/>
        <v>0</v>
      </c>
      <c r="BP137">
        <f t="shared" ca="1" si="70"/>
        <v>0</v>
      </c>
      <c r="BQ137">
        <f t="shared" ca="1" si="71"/>
        <v>0</v>
      </c>
      <c r="BR137" t="str">
        <f ca="1">IF(ROW()&lt;($C$7+1),"",IFERROR((分析データ!F137-AVERAGE(OFFSET(分析データ!F$1,MAX(1,ROW()-$C$7),0,MIN($C$7,ROW()-1),1)))/STDEV(OFFSET(分析データ!F$1,MAX(1,ROW()-$C$7),0,MIN($C$7,ROW()-1),1)),0))</f>
        <v/>
      </c>
      <c r="BS137">
        <f t="shared" ca="1" si="72"/>
        <v>0</v>
      </c>
      <c r="BT137" t="str">
        <f ca="1">IF(BS137=1,IF(INDEX(分析データ!$A:$A,ROW()+$C$5)&lt;&gt;"",40000*SIGN(BR137)*(分析データ!F137-INDEX(分析データ!F:F,ROW()+$C$5)),""),"")</f>
        <v/>
      </c>
      <c r="BU137">
        <f t="shared" ca="1" si="73"/>
        <v>0</v>
      </c>
      <c r="BV137">
        <f t="shared" ca="1" si="74"/>
        <v>0</v>
      </c>
      <c r="BW137">
        <f t="shared" ca="1" si="75"/>
        <v>0</v>
      </c>
      <c r="BX137" t="str">
        <f ca="1">IF(ROW()&lt;($C$7+1),"",IFERROR((分析データ!G137-AVERAGE(OFFSET(分析データ!G$1,MAX(1,ROW()-$C$7),0,MIN($C$7,ROW()-1),1)))/STDEV(OFFSET(分析データ!G$1,MAX(1,ROW()-$C$7),0,MIN($C$7,ROW()-1),1)),0))</f>
        <v/>
      </c>
      <c r="BY137">
        <f t="shared" ca="1" si="76"/>
        <v>0</v>
      </c>
      <c r="BZ137" t="str">
        <f ca="1">IF(BY137=1,IF(INDEX(分析データ!$A:$A,ROW()+$C$5)&lt;&gt;"",40000*SIGN(BX137)*(分析データ!G137-INDEX(分析データ!G:G,ROW()+$C$5)),""),"")</f>
        <v/>
      </c>
      <c r="CA137">
        <f t="shared" ca="1" si="77"/>
        <v>0</v>
      </c>
      <c r="CB137">
        <f t="shared" ca="1" si="78"/>
        <v>0</v>
      </c>
      <c r="CC137">
        <f t="shared" ca="1" si="79"/>
        <v>0</v>
      </c>
      <c r="CD137">
        <f t="shared" ca="1" si="80"/>
        <v>0</v>
      </c>
      <c r="CE137">
        <f t="shared" ca="1" si="81"/>
        <v>0</v>
      </c>
      <c r="CF137">
        <f t="shared" ca="1" si="82"/>
        <v>0</v>
      </c>
      <c r="CG137">
        <f t="shared" ca="1" si="83"/>
        <v>0</v>
      </c>
      <c r="CH137" s="10">
        <f>分析データ!A137</f>
        <v>45125</v>
      </c>
    </row>
    <row r="138" spans="46:86">
      <c r="AT138" t="str">
        <f ca="1">IF(ROW()&lt;($C$7+1),"",IFERROR((分析データ!B138-AVERAGE(OFFSET(分析データ!B$1,MAX(1,ROW()-$C$7),0,MIN($C$7,ROW()-1),1)))/STDEV(OFFSET(分析データ!B$1,MAX(1,ROW()-$C$7),0,MIN($C$7,ROW()-1),1)),0))</f>
        <v/>
      </c>
      <c r="AU138">
        <f t="shared" ca="1" si="56"/>
        <v>0</v>
      </c>
      <c r="AV138" t="str">
        <f ca="1">IF(AU138=1,IF(INDEX(分析データ!$A:$A,ROW()+$C$5)&lt;&gt;"",80000*SIGN(AT138)*(分析データ!B138-INDEX(分析データ!B:B,ROW()+$C$5)),""),"")</f>
        <v/>
      </c>
      <c r="AW138">
        <f t="shared" ca="1" si="57"/>
        <v>0</v>
      </c>
      <c r="AX138">
        <f t="shared" ca="1" si="58"/>
        <v>0</v>
      </c>
      <c r="AY138">
        <f t="shared" ca="1" si="59"/>
        <v>0</v>
      </c>
      <c r="AZ138" t="str">
        <f ca="1">IF(ROW()&lt;($C$7+1),"",IFERROR((分析データ!C138-AVERAGE(OFFSET(分析データ!C$1,MAX(1,ROW()-$C$7),0,MIN($C$7,ROW()-1),1)))/STDEV(OFFSET(分析データ!C$1,MAX(1,ROW()-$C$7),0,MIN($C$7,ROW()-1),1)),0))</f>
        <v/>
      </c>
      <c r="BA138">
        <f t="shared" ca="1" si="60"/>
        <v>0</v>
      </c>
      <c r="BB138" t="str">
        <f ca="1">IF(BA138=1,IF(INDEX(分析データ!$A:$A,ROW()+$C$5)&lt;&gt;"",60000*SIGN(AZ138)*(分析データ!C138-INDEX(分析データ!C:C,ROW()+$C$5)),""),"")</f>
        <v/>
      </c>
      <c r="BC138">
        <f t="shared" ca="1" si="61"/>
        <v>0</v>
      </c>
      <c r="BD138">
        <f t="shared" ca="1" si="62"/>
        <v>0</v>
      </c>
      <c r="BE138">
        <f t="shared" ca="1" si="63"/>
        <v>0</v>
      </c>
      <c r="BF138" t="str">
        <f ca="1">IF(ROW()&lt;($C$7+1),"",IFERROR((分析データ!D138-AVERAGE(OFFSET(分析データ!D$1,MAX(1,ROW()-$C$7),0,MIN($C$7,ROW()-1),1)))/STDEV(OFFSET(分析データ!D$1,MAX(1,ROW()-$C$7),0,MIN($C$7,ROW()-1),1)),0))</f>
        <v/>
      </c>
      <c r="BG138">
        <f t="shared" ca="1" si="64"/>
        <v>0</v>
      </c>
      <c r="BH138" t="str">
        <f ca="1">IF(BG138=1,IF(INDEX(分析データ!$A:$A,ROW()+$C$5)&lt;&gt;"",50000*SIGN(BF138)*(分析データ!D138-INDEX(分析データ!D:D,ROW()+$C$5)),""),"")</f>
        <v/>
      </c>
      <c r="BI138">
        <f t="shared" ca="1" si="65"/>
        <v>0</v>
      </c>
      <c r="BJ138">
        <f t="shared" ca="1" si="66"/>
        <v>0</v>
      </c>
      <c r="BK138">
        <f t="shared" ca="1" si="67"/>
        <v>0</v>
      </c>
      <c r="BL138" t="str">
        <f ca="1">IF(ROW()&lt;($C$7+1),"",IFERROR((分析データ!E138-AVERAGE(OFFSET(分析データ!E$1,MAX(1,ROW()-$C$7),0,MIN($C$7,ROW()-1),1)))/STDEV(OFFSET(分析データ!E$1,MAX(1,ROW()-$C$7),0,MIN($C$7,ROW()-1),1)),0))</f>
        <v/>
      </c>
      <c r="BM138">
        <f t="shared" ca="1" si="68"/>
        <v>0</v>
      </c>
      <c r="BN138" t="str">
        <f ca="1">IF(BM138=1,IF(INDEX(分析データ!$A:$A,ROW()+$C$5)&lt;&gt;"",40000*SIGN(BL138)*(分析データ!E138-INDEX(分析データ!E:E,ROW()+$C$5)),""),"")</f>
        <v/>
      </c>
      <c r="BO138">
        <f t="shared" ca="1" si="69"/>
        <v>0</v>
      </c>
      <c r="BP138">
        <f t="shared" ca="1" si="70"/>
        <v>0</v>
      </c>
      <c r="BQ138">
        <f t="shared" ca="1" si="71"/>
        <v>0</v>
      </c>
      <c r="BR138" t="str">
        <f ca="1">IF(ROW()&lt;($C$7+1),"",IFERROR((分析データ!F138-AVERAGE(OFFSET(分析データ!F$1,MAX(1,ROW()-$C$7),0,MIN($C$7,ROW()-1),1)))/STDEV(OFFSET(分析データ!F$1,MAX(1,ROW()-$C$7),0,MIN($C$7,ROW()-1),1)),0))</f>
        <v/>
      </c>
      <c r="BS138">
        <f t="shared" ca="1" si="72"/>
        <v>0</v>
      </c>
      <c r="BT138" t="str">
        <f ca="1">IF(BS138=1,IF(INDEX(分析データ!$A:$A,ROW()+$C$5)&lt;&gt;"",40000*SIGN(BR138)*(分析データ!F138-INDEX(分析データ!F:F,ROW()+$C$5)),""),"")</f>
        <v/>
      </c>
      <c r="BU138">
        <f t="shared" ca="1" si="73"/>
        <v>0</v>
      </c>
      <c r="BV138">
        <f t="shared" ca="1" si="74"/>
        <v>0</v>
      </c>
      <c r="BW138">
        <f t="shared" ca="1" si="75"/>
        <v>0</v>
      </c>
      <c r="BX138" t="str">
        <f ca="1">IF(ROW()&lt;($C$7+1),"",IFERROR((分析データ!G138-AVERAGE(OFFSET(分析データ!G$1,MAX(1,ROW()-$C$7),0,MIN($C$7,ROW()-1),1)))/STDEV(OFFSET(分析データ!G$1,MAX(1,ROW()-$C$7),0,MIN($C$7,ROW()-1),1)),0))</f>
        <v/>
      </c>
      <c r="BY138">
        <f t="shared" ca="1" si="76"/>
        <v>0</v>
      </c>
      <c r="BZ138" t="str">
        <f ca="1">IF(BY138=1,IF(INDEX(分析データ!$A:$A,ROW()+$C$5)&lt;&gt;"",40000*SIGN(BX138)*(分析データ!G138-INDEX(分析データ!G:G,ROW()+$C$5)),""),"")</f>
        <v/>
      </c>
      <c r="CA138">
        <f t="shared" ca="1" si="77"/>
        <v>0</v>
      </c>
      <c r="CB138">
        <f t="shared" ca="1" si="78"/>
        <v>0</v>
      </c>
      <c r="CC138">
        <f t="shared" ca="1" si="79"/>
        <v>0</v>
      </c>
      <c r="CD138">
        <f t="shared" ca="1" si="80"/>
        <v>0</v>
      </c>
      <c r="CE138">
        <f t="shared" ca="1" si="81"/>
        <v>0</v>
      </c>
      <c r="CF138">
        <f t="shared" ca="1" si="82"/>
        <v>0</v>
      </c>
      <c r="CG138">
        <f t="shared" ca="1" si="83"/>
        <v>0</v>
      </c>
      <c r="CH138" s="10">
        <f>分析データ!A138</f>
        <v>45126</v>
      </c>
    </row>
    <row r="139" spans="46:86">
      <c r="AT139" t="str">
        <f ca="1">IF(ROW()&lt;($C$7+1),"",IFERROR((分析データ!B139-AVERAGE(OFFSET(分析データ!B$1,MAX(1,ROW()-$C$7),0,MIN($C$7,ROW()-1),1)))/STDEV(OFFSET(分析データ!B$1,MAX(1,ROW()-$C$7),0,MIN($C$7,ROW()-1),1)),0))</f>
        <v/>
      </c>
      <c r="AU139">
        <f t="shared" ca="1" si="56"/>
        <v>0</v>
      </c>
      <c r="AV139" t="str">
        <f ca="1">IF(AU139=1,IF(INDEX(分析データ!$A:$A,ROW()+$C$5)&lt;&gt;"",80000*SIGN(AT139)*(分析データ!B139-INDEX(分析データ!B:B,ROW()+$C$5)),""),"")</f>
        <v/>
      </c>
      <c r="AW139">
        <f t="shared" ca="1" si="57"/>
        <v>0</v>
      </c>
      <c r="AX139">
        <f t="shared" ca="1" si="58"/>
        <v>0</v>
      </c>
      <c r="AY139">
        <f t="shared" ca="1" si="59"/>
        <v>0</v>
      </c>
      <c r="AZ139" t="str">
        <f ca="1">IF(ROW()&lt;($C$7+1),"",IFERROR((分析データ!C139-AVERAGE(OFFSET(分析データ!C$1,MAX(1,ROW()-$C$7),0,MIN($C$7,ROW()-1),1)))/STDEV(OFFSET(分析データ!C$1,MAX(1,ROW()-$C$7),0,MIN($C$7,ROW()-1),1)),0))</f>
        <v/>
      </c>
      <c r="BA139">
        <f t="shared" ca="1" si="60"/>
        <v>0</v>
      </c>
      <c r="BB139" t="str">
        <f ca="1">IF(BA139=1,IF(INDEX(分析データ!$A:$A,ROW()+$C$5)&lt;&gt;"",60000*SIGN(AZ139)*(分析データ!C139-INDEX(分析データ!C:C,ROW()+$C$5)),""),"")</f>
        <v/>
      </c>
      <c r="BC139">
        <f t="shared" ca="1" si="61"/>
        <v>0</v>
      </c>
      <c r="BD139">
        <f t="shared" ca="1" si="62"/>
        <v>0</v>
      </c>
      <c r="BE139">
        <f t="shared" ca="1" si="63"/>
        <v>0</v>
      </c>
      <c r="BF139" t="str">
        <f ca="1">IF(ROW()&lt;($C$7+1),"",IFERROR((分析データ!D139-AVERAGE(OFFSET(分析データ!D$1,MAX(1,ROW()-$C$7),0,MIN($C$7,ROW()-1),1)))/STDEV(OFFSET(分析データ!D$1,MAX(1,ROW()-$C$7),0,MIN($C$7,ROW()-1),1)),0))</f>
        <v/>
      </c>
      <c r="BG139">
        <f t="shared" ca="1" si="64"/>
        <v>0</v>
      </c>
      <c r="BH139" t="str">
        <f ca="1">IF(BG139=1,IF(INDEX(分析データ!$A:$A,ROW()+$C$5)&lt;&gt;"",50000*SIGN(BF139)*(分析データ!D139-INDEX(分析データ!D:D,ROW()+$C$5)),""),"")</f>
        <v/>
      </c>
      <c r="BI139">
        <f t="shared" ca="1" si="65"/>
        <v>0</v>
      </c>
      <c r="BJ139">
        <f t="shared" ca="1" si="66"/>
        <v>0</v>
      </c>
      <c r="BK139">
        <f t="shared" ca="1" si="67"/>
        <v>0</v>
      </c>
      <c r="BL139" t="str">
        <f ca="1">IF(ROW()&lt;($C$7+1),"",IFERROR((分析データ!E139-AVERAGE(OFFSET(分析データ!E$1,MAX(1,ROW()-$C$7),0,MIN($C$7,ROW()-1),1)))/STDEV(OFFSET(分析データ!E$1,MAX(1,ROW()-$C$7),0,MIN($C$7,ROW()-1),1)),0))</f>
        <v/>
      </c>
      <c r="BM139">
        <f t="shared" ca="1" si="68"/>
        <v>0</v>
      </c>
      <c r="BN139" t="str">
        <f ca="1">IF(BM139=1,IF(INDEX(分析データ!$A:$A,ROW()+$C$5)&lt;&gt;"",40000*SIGN(BL139)*(分析データ!E139-INDEX(分析データ!E:E,ROW()+$C$5)),""),"")</f>
        <v/>
      </c>
      <c r="BO139">
        <f t="shared" ca="1" si="69"/>
        <v>0</v>
      </c>
      <c r="BP139">
        <f t="shared" ca="1" si="70"/>
        <v>0</v>
      </c>
      <c r="BQ139">
        <f t="shared" ca="1" si="71"/>
        <v>0</v>
      </c>
      <c r="BR139" t="str">
        <f ca="1">IF(ROW()&lt;($C$7+1),"",IFERROR((分析データ!F139-AVERAGE(OFFSET(分析データ!F$1,MAX(1,ROW()-$C$7),0,MIN($C$7,ROW()-1),1)))/STDEV(OFFSET(分析データ!F$1,MAX(1,ROW()-$C$7),0,MIN($C$7,ROW()-1),1)),0))</f>
        <v/>
      </c>
      <c r="BS139">
        <f t="shared" ca="1" si="72"/>
        <v>0</v>
      </c>
      <c r="BT139" t="str">
        <f ca="1">IF(BS139=1,IF(INDEX(分析データ!$A:$A,ROW()+$C$5)&lt;&gt;"",40000*SIGN(BR139)*(分析データ!F139-INDEX(分析データ!F:F,ROW()+$C$5)),""),"")</f>
        <v/>
      </c>
      <c r="BU139">
        <f t="shared" ca="1" si="73"/>
        <v>0</v>
      </c>
      <c r="BV139">
        <f t="shared" ca="1" si="74"/>
        <v>0</v>
      </c>
      <c r="BW139">
        <f t="shared" ca="1" si="75"/>
        <v>0</v>
      </c>
      <c r="BX139" t="str">
        <f ca="1">IF(ROW()&lt;($C$7+1),"",IFERROR((分析データ!G139-AVERAGE(OFFSET(分析データ!G$1,MAX(1,ROW()-$C$7),0,MIN($C$7,ROW()-1),1)))/STDEV(OFFSET(分析データ!G$1,MAX(1,ROW()-$C$7),0,MIN($C$7,ROW()-1),1)),0))</f>
        <v/>
      </c>
      <c r="BY139">
        <f t="shared" ca="1" si="76"/>
        <v>0</v>
      </c>
      <c r="BZ139" t="str">
        <f ca="1">IF(BY139=1,IF(INDEX(分析データ!$A:$A,ROW()+$C$5)&lt;&gt;"",40000*SIGN(BX139)*(分析データ!G139-INDEX(分析データ!G:G,ROW()+$C$5)),""),"")</f>
        <v/>
      </c>
      <c r="CA139">
        <f t="shared" ca="1" si="77"/>
        <v>0</v>
      </c>
      <c r="CB139">
        <f t="shared" ca="1" si="78"/>
        <v>0</v>
      </c>
      <c r="CC139">
        <f t="shared" ca="1" si="79"/>
        <v>0</v>
      </c>
      <c r="CD139">
        <f t="shared" ca="1" si="80"/>
        <v>0</v>
      </c>
      <c r="CE139">
        <f t="shared" ca="1" si="81"/>
        <v>0</v>
      </c>
      <c r="CF139">
        <f t="shared" ca="1" si="82"/>
        <v>0</v>
      </c>
      <c r="CG139">
        <f t="shared" ca="1" si="83"/>
        <v>0</v>
      </c>
      <c r="CH139" s="10">
        <f>分析データ!A139</f>
        <v>45127</v>
      </c>
    </row>
    <row r="140" spans="46:86">
      <c r="AT140" t="str">
        <f ca="1">IF(ROW()&lt;($C$7+1),"",IFERROR((分析データ!B140-AVERAGE(OFFSET(分析データ!B$1,MAX(1,ROW()-$C$7),0,MIN($C$7,ROW()-1),1)))/STDEV(OFFSET(分析データ!B$1,MAX(1,ROW()-$C$7),0,MIN($C$7,ROW()-1),1)),0))</f>
        <v/>
      </c>
      <c r="AU140">
        <f t="shared" ca="1" si="56"/>
        <v>0</v>
      </c>
      <c r="AV140" t="str">
        <f ca="1">IF(AU140=1,IF(INDEX(分析データ!$A:$A,ROW()+$C$5)&lt;&gt;"",80000*SIGN(AT140)*(分析データ!B140-INDEX(分析データ!B:B,ROW()+$C$5)),""),"")</f>
        <v/>
      </c>
      <c r="AW140">
        <f t="shared" ca="1" si="57"/>
        <v>0</v>
      </c>
      <c r="AX140">
        <f t="shared" ca="1" si="58"/>
        <v>0</v>
      </c>
      <c r="AY140">
        <f t="shared" ca="1" si="59"/>
        <v>0</v>
      </c>
      <c r="AZ140" t="str">
        <f ca="1">IF(ROW()&lt;($C$7+1),"",IFERROR((分析データ!C140-AVERAGE(OFFSET(分析データ!C$1,MAX(1,ROW()-$C$7),0,MIN($C$7,ROW()-1),1)))/STDEV(OFFSET(分析データ!C$1,MAX(1,ROW()-$C$7),0,MIN($C$7,ROW()-1),1)),0))</f>
        <v/>
      </c>
      <c r="BA140">
        <f t="shared" ca="1" si="60"/>
        <v>0</v>
      </c>
      <c r="BB140" t="str">
        <f ca="1">IF(BA140=1,IF(INDEX(分析データ!$A:$A,ROW()+$C$5)&lt;&gt;"",60000*SIGN(AZ140)*(分析データ!C140-INDEX(分析データ!C:C,ROW()+$C$5)),""),"")</f>
        <v/>
      </c>
      <c r="BC140">
        <f t="shared" ca="1" si="61"/>
        <v>0</v>
      </c>
      <c r="BD140">
        <f t="shared" ca="1" si="62"/>
        <v>0</v>
      </c>
      <c r="BE140">
        <f t="shared" ca="1" si="63"/>
        <v>0</v>
      </c>
      <c r="BF140" t="str">
        <f ca="1">IF(ROW()&lt;($C$7+1),"",IFERROR((分析データ!D140-AVERAGE(OFFSET(分析データ!D$1,MAX(1,ROW()-$C$7),0,MIN($C$7,ROW()-1),1)))/STDEV(OFFSET(分析データ!D$1,MAX(1,ROW()-$C$7),0,MIN($C$7,ROW()-1),1)),0))</f>
        <v/>
      </c>
      <c r="BG140">
        <f t="shared" ca="1" si="64"/>
        <v>0</v>
      </c>
      <c r="BH140" t="str">
        <f ca="1">IF(BG140=1,IF(INDEX(分析データ!$A:$A,ROW()+$C$5)&lt;&gt;"",50000*SIGN(BF140)*(分析データ!D140-INDEX(分析データ!D:D,ROW()+$C$5)),""),"")</f>
        <v/>
      </c>
      <c r="BI140">
        <f t="shared" ca="1" si="65"/>
        <v>0</v>
      </c>
      <c r="BJ140">
        <f t="shared" ca="1" si="66"/>
        <v>0</v>
      </c>
      <c r="BK140">
        <f t="shared" ca="1" si="67"/>
        <v>0</v>
      </c>
      <c r="BL140" t="str">
        <f ca="1">IF(ROW()&lt;($C$7+1),"",IFERROR((分析データ!E140-AVERAGE(OFFSET(分析データ!E$1,MAX(1,ROW()-$C$7),0,MIN($C$7,ROW()-1),1)))/STDEV(OFFSET(分析データ!E$1,MAX(1,ROW()-$C$7),0,MIN($C$7,ROW()-1),1)),0))</f>
        <v/>
      </c>
      <c r="BM140">
        <f t="shared" ca="1" si="68"/>
        <v>0</v>
      </c>
      <c r="BN140" t="str">
        <f ca="1">IF(BM140=1,IF(INDEX(分析データ!$A:$A,ROW()+$C$5)&lt;&gt;"",40000*SIGN(BL140)*(分析データ!E140-INDEX(分析データ!E:E,ROW()+$C$5)),""),"")</f>
        <v/>
      </c>
      <c r="BO140">
        <f t="shared" ca="1" si="69"/>
        <v>0</v>
      </c>
      <c r="BP140">
        <f t="shared" ca="1" si="70"/>
        <v>0</v>
      </c>
      <c r="BQ140">
        <f t="shared" ca="1" si="71"/>
        <v>0</v>
      </c>
      <c r="BR140" t="str">
        <f ca="1">IF(ROW()&lt;($C$7+1),"",IFERROR((分析データ!F140-AVERAGE(OFFSET(分析データ!F$1,MAX(1,ROW()-$C$7),0,MIN($C$7,ROW()-1),1)))/STDEV(OFFSET(分析データ!F$1,MAX(1,ROW()-$C$7),0,MIN($C$7,ROW()-1),1)),0))</f>
        <v/>
      </c>
      <c r="BS140">
        <f t="shared" ca="1" si="72"/>
        <v>0</v>
      </c>
      <c r="BT140" t="str">
        <f ca="1">IF(BS140=1,IF(INDEX(分析データ!$A:$A,ROW()+$C$5)&lt;&gt;"",40000*SIGN(BR140)*(分析データ!F140-INDEX(分析データ!F:F,ROW()+$C$5)),""),"")</f>
        <v/>
      </c>
      <c r="BU140">
        <f t="shared" ca="1" si="73"/>
        <v>0</v>
      </c>
      <c r="BV140">
        <f t="shared" ca="1" si="74"/>
        <v>0</v>
      </c>
      <c r="BW140">
        <f t="shared" ca="1" si="75"/>
        <v>0</v>
      </c>
      <c r="BX140" t="str">
        <f ca="1">IF(ROW()&lt;($C$7+1),"",IFERROR((分析データ!G140-AVERAGE(OFFSET(分析データ!G$1,MAX(1,ROW()-$C$7),0,MIN($C$7,ROW()-1),1)))/STDEV(OFFSET(分析データ!G$1,MAX(1,ROW()-$C$7),0,MIN($C$7,ROW()-1),1)),0))</f>
        <v/>
      </c>
      <c r="BY140">
        <f t="shared" ca="1" si="76"/>
        <v>0</v>
      </c>
      <c r="BZ140" t="str">
        <f ca="1">IF(BY140=1,IF(INDEX(分析データ!$A:$A,ROW()+$C$5)&lt;&gt;"",40000*SIGN(BX140)*(分析データ!G140-INDEX(分析データ!G:G,ROW()+$C$5)),""),"")</f>
        <v/>
      </c>
      <c r="CA140">
        <f t="shared" ca="1" si="77"/>
        <v>0</v>
      </c>
      <c r="CB140">
        <f t="shared" ca="1" si="78"/>
        <v>0</v>
      </c>
      <c r="CC140">
        <f t="shared" ca="1" si="79"/>
        <v>0</v>
      </c>
      <c r="CD140">
        <f t="shared" ca="1" si="80"/>
        <v>0</v>
      </c>
      <c r="CE140">
        <f t="shared" ca="1" si="81"/>
        <v>0</v>
      </c>
      <c r="CF140">
        <f t="shared" ca="1" si="82"/>
        <v>0</v>
      </c>
      <c r="CG140">
        <f t="shared" ca="1" si="83"/>
        <v>0</v>
      </c>
      <c r="CH140" s="10">
        <f>分析データ!A140</f>
        <v>45128</v>
      </c>
    </row>
    <row r="141" spans="46:86">
      <c r="AT141" t="str">
        <f ca="1">IF(ROW()&lt;($C$7+1),"",IFERROR((分析データ!B141-AVERAGE(OFFSET(分析データ!B$1,MAX(1,ROW()-$C$7),0,MIN($C$7,ROW()-1),1)))/STDEV(OFFSET(分析データ!B$1,MAX(1,ROW()-$C$7),0,MIN($C$7,ROW()-1),1)),0))</f>
        <v/>
      </c>
      <c r="AU141">
        <f t="shared" ca="1" si="56"/>
        <v>0</v>
      </c>
      <c r="AV141" t="str">
        <f ca="1">IF(AU141=1,IF(INDEX(分析データ!$A:$A,ROW()+$C$5)&lt;&gt;"",80000*SIGN(AT141)*(分析データ!B141-INDEX(分析データ!B:B,ROW()+$C$5)),""),"")</f>
        <v/>
      </c>
      <c r="AW141">
        <f t="shared" ca="1" si="57"/>
        <v>0</v>
      </c>
      <c r="AX141">
        <f t="shared" ca="1" si="58"/>
        <v>0</v>
      </c>
      <c r="AY141">
        <f t="shared" ca="1" si="59"/>
        <v>0</v>
      </c>
      <c r="AZ141" t="str">
        <f ca="1">IF(ROW()&lt;($C$7+1),"",IFERROR((分析データ!C141-AVERAGE(OFFSET(分析データ!C$1,MAX(1,ROW()-$C$7),0,MIN($C$7,ROW()-1),1)))/STDEV(OFFSET(分析データ!C$1,MAX(1,ROW()-$C$7),0,MIN($C$7,ROW()-1),1)),0))</f>
        <v/>
      </c>
      <c r="BA141">
        <f t="shared" ca="1" si="60"/>
        <v>0</v>
      </c>
      <c r="BB141" t="str">
        <f ca="1">IF(BA141=1,IF(INDEX(分析データ!$A:$A,ROW()+$C$5)&lt;&gt;"",60000*SIGN(AZ141)*(分析データ!C141-INDEX(分析データ!C:C,ROW()+$C$5)),""),"")</f>
        <v/>
      </c>
      <c r="BC141">
        <f t="shared" ca="1" si="61"/>
        <v>0</v>
      </c>
      <c r="BD141">
        <f t="shared" ca="1" si="62"/>
        <v>0</v>
      </c>
      <c r="BE141">
        <f t="shared" ca="1" si="63"/>
        <v>0</v>
      </c>
      <c r="BF141" t="str">
        <f ca="1">IF(ROW()&lt;($C$7+1),"",IFERROR((分析データ!D141-AVERAGE(OFFSET(分析データ!D$1,MAX(1,ROW()-$C$7),0,MIN($C$7,ROW()-1),1)))/STDEV(OFFSET(分析データ!D$1,MAX(1,ROW()-$C$7),0,MIN($C$7,ROW()-1),1)),0))</f>
        <v/>
      </c>
      <c r="BG141">
        <f t="shared" ca="1" si="64"/>
        <v>0</v>
      </c>
      <c r="BH141" t="str">
        <f ca="1">IF(BG141=1,IF(INDEX(分析データ!$A:$A,ROW()+$C$5)&lt;&gt;"",50000*SIGN(BF141)*(分析データ!D141-INDEX(分析データ!D:D,ROW()+$C$5)),""),"")</f>
        <v/>
      </c>
      <c r="BI141">
        <f t="shared" ca="1" si="65"/>
        <v>0</v>
      </c>
      <c r="BJ141">
        <f t="shared" ca="1" si="66"/>
        <v>0</v>
      </c>
      <c r="BK141">
        <f t="shared" ca="1" si="67"/>
        <v>0</v>
      </c>
      <c r="BL141" t="str">
        <f ca="1">IF(ROW()&lt;($C$7+1),"",IFERROR((分析データ!E141-AVERAGE(OFFSET(分析データ!E$1,MAX(1,ROW()-$C$7),0,MIN($C$7,ROW()-1),1)))/STDEV(OFFSET(分析データ!E$1,MAX(1,ROW()-$C$7),0,MIN($C$7,ROW()-1),1)),0))</f>
        <v/>
      </c>
      <c r="BM141">
        <f t="shared" ca="1" si="68"/>
        <v>0</v>
      </c>
      <c r="BN141" t="str">
        <f ca="1">IF(BM141=1,IF(INDEX(分析データ!$A:$A,ROW()+$C$5)&lt;&gt;"",40000*SIGN(BL141)*(分析データ!E141-INDEX(分析データ!E:E,ROW()+$C$5)),""),"")</f>
        <v/>
      </c>
      <c r="BO141">
        <f t="shared" ca="1" si="69"/>
        <v>0</v>
      </c>
      <c r="BP141">
        <f t="shared" ca="1" si="70"/>
        <v>0</v>
      </c>
      <c r="BQ141">
        <f t="shared" ca="1" si="71"/>
        <v>0</v>
      </c>
      <c r="BR141" t="str">
        <f ca="1">IF(ROW()&lt;($C$7+1),"",IFERROR((分析データ!F141-AVERAGE(OFFSET(分析データ!F$1,MAX(1,ROW()-$C$7),0,MIN($C$7,ROW()-1),1)))/STDEV(OFFSET(分析データ!F$1,MAX(1,ROW()-$C$7),0,MIN($C$7,ROW()-1),1)),0))</f>
        <v/>
      </c>
      <c r="BS141">
        <f t="shared" ca="1" si="72"/>
        <v>0</v>
      </c>
      <c r="BT141" t="str">
        <f ca="1">IF(BS141=1,IF(INDEX(分析データ!$A:$A,ROW()+$C$5)&lt;&gt;"",40000*SIGN(BR141)*(分析データ!F141-INDEX(分析データ!F:F,ROW()+$C$5)),""),"")</f>
        <v/>
      </c>
      <c r="BU141">
        <f t="shared" ca="1" si="73"/>
        <v>0</v>
      </c>
      <c r="BV141">
        <f t="shared" ca="1" si="74"/>
        <v>0</v>
      </c>
      <c r="BW141">
        <f t="shared" ca="1" si="75"/>
        <v>0</v>
      </c>
      <c r="BX141" t="str">
        <f ca="1">IF(ROW()&lt;($C$7+1),"",IFERROR((分析データ!G141-AVERAGE(OFFSET(分析データ!G$1,MAX(1,ROW()-$C$7),0,MIN($C$7,ROW()-1),1)))/STDEV(OFFSET(分析データ!G$1,MAX(1,ROW()-$C$7),0,MIN($C$7,ROW()-1),1)),0))</f>
        <v/>
      </c>
      <c r="BY141">
        <f t="shared" ca="1" si="76"/>
        <v>0</v>
      </c>
      <c r="BZ141" t="str">
        <f ca="1">IF(BY141=1,IF(INDEX(分析データ!$A:$A,ROW()+$C$5)&lt;&gt;"",40000*SIGN(BX141)*(分析データ!G141-INDEX(分析データ!G:G,ROW()+$C$5)),""),"")</f>
        <v/>
      </c>
      <c r="CA141">
        <f t="shared" ca="1" si="77"/>
        <v>0</v>
      </c>
      <c r="CB141">
        <f t="shared" ca="1" si="78"/>
        <v>0</v>
      </c>
      <c r="CC141">
        <f t="shared" ca="1" si="79"/>
        <v>0</v>
      </c>
      <c r="CD141">
        <f t="shared" ca="1" si="80"/>
        <v>0</v>
      </c>
      <c r="CE141">
        <f t="shared" ca="1" si="81"/>
        <v>0</v>
      </c>
      <c r="CF141">
        <f t="shared" ca="1" si="82"/>
        <v>0</v>
      </c>
      <c r="CG141">
        <f t="shared" ca="1" si="83"/>
        <v>0</v>
      </c>
      <c r="CH141" s="10">
        <f>分析データ!A141</f>
        <v>45131</v>
      </c>
    </row>
    <row r="142" spans="46:86">
      <c r="AT142" t="str">
        <f ca="1">IF(ROW()&lt;($C$7+1),"",IFERROR((分析データ!B142-AVERAGE(OFFSET(分析データ!B$1,MAX(1,ROW()-$C$7),0,MIN($C$7,ROW()-1),1)))/STDEV(OFFSET(分析データ!B$1,MAX(1,ROW()-$C$7),0,MIN($C$7,ROW()-1),1)),0))</f>
        <v/>
      </c>
      <c r="AU142">
        <f t="shared" ca="1" si="56"/>
        <v>0</v>
      </c>
      <c r="AV142" t="str">
        <f ca="1">IF(AU142=1,IF(INDEX(分析データ!$A:$A,ROW()+$C$5)&lt;&gt;"",80000*SIGN(AT142)*(分析データ!B142-INDEX(分析データ!B:B,ROW()+$C$5)),""),"")</f>
        <v/>
      </c>
      <c r="AW142">
        <f t="shared" ca="1" si="57"/>
        <v>0</v>
      </c>
      <c r="AX142">
        <f t="shared" ca="1" si="58"/>
        <v>0</v>
      </c>
      <c r="AY142">
        <f t="shared" ca="1" si="59"/>
        <v>0</v>
      </c>
      <c r="AZ142" t="str">
        <f ca="1">IF(ROW()&lt;($C$7+1),"",IFERROR((分析データ!C142-AVERAGE(OFFSET(分析データ!C$1,MAX(1,ROW()-$C$7),0,MIN($C$7,ROW()-1),1)))/STDEV(OFFSET(分析データ!C$1,MAX(1,ROW()-$C$7),0,MIN($C$7,ROW()-1),1)),0))</f>
        <v/>
      </c>
      <c r="BA142">
        <f t="shared" ca="1" si="60"/>
        <v>0</v>
      </c>
      <c r="BB142" t="str">
        <f ca="1">IF(BA142=1,IF(INDEX(分析データ!$A:$A,ROW()+$C$5)&lt;&gt;"",60000*SIGN(AZ142)*(分析データ!C142-INDEX(分析データ!C:C,ROW()+$C$5)),""),"")</f>
        <v/>
      </c>
      <c r="BC142">
        <f t="shared" ca="1" si="61"/>
        <v>0</v>
      </c>
      <c r="BD142">
        <f t="shared" ca="1" si="62"/>
        <v>0</v>
      </c>
      <c r="BE142">
        <f t="shared" ca="1" si="63"/>
        <v>0</v>
      </c>
      <c r="BF142" t="str">
        <f ca="1">IF(ROW()&lt;($C$7+1),"",IFERROR((分析データ!D142-AVERAGE(OFFSET(分析データ!D$1,MAX(1,ROW()-$C$7),0,MIN($C$7,ROW()-1),1)))/STDEV(OFFSET(分析データ!D$1,MAX(1,ROW()-$C$7),0,MIN($C$7,ROW()-1),1)),0))</f>
        <v/>
      </c>
      <c r="BG142">
        <f t="shared" ca="1" si="64"/>
        <v>0</v>
      </c>
      <c r="BH142" t="str">
        <f ca="1">IF(BG142=1,IF(INDEX(分析データ!$A:$A,ROW()+$C$5)&lt;&gt;"",50000*SIGN(BF142)*(分析データ!D142-INDEX(分析データ!D:D,ROW()+$C$5)),""),"")</f>
        <v/>
      </c>
      <c r="BI142">
        <f t="shared" ca="1" si="65"/>
        <v>0</v>
      </c>
      <c r="BJ142">
        <f t="shared" ca="1" si="66"/>
        <v>0</v>
      </c>
      <c r="BK142">
        <f t="shared" ca="1" si="67"/>
        <v>0</v>
      </c>
      <c r="BL142" t="str">
        <f ca="1">IF(ROW()&lt;($C$7+1),"",IFERROR((分析データ!E142-AVERAGE(OFFSET(分析データ!E$1,MAX(1,ROW()-$C$7),0,MIN($C$7,ROW()-1),1)))/STDEV(OFFSET(分析データ!E$1,MAX(1,ROW()-$C$7),0,MIN($C$7,ROW()-1),1)),0))</f>
        <v/>
      </c>
      <c r="BM142">
        <f t="shared" ca="1" si="68"/>
        <v>0</v>
      </c>
      <c r="BN142" t="str">
        <f ca="1">IF(BM142=1,IF(INDEX(分析データ!$A:$A,ROW()+$C$5)&lt;&gt;"",40000*SIGN(BL142)*(分析データ!E142-INDEX(分析データ!E:E,ROW()+$C$5)),""),"")</f>
        <v/>
      </c>
      <c r="BO142">
        <f t="shared" ca="1" si="69"/>
        <v>0</v>
      </c>
      <c r="BP142">
        <f t="shared" ca="1" si="70"/>
        <v>0</v>
      </c>
      <c r="BQ142">
        <f t="shared" ca="1" si="71"/>
        <v>0</v>
      </c>
      <c r="BR142" t="str">
        <f ca="1">IF(ROW()&lt;($C$7+1),"",IFERROR((分析データ!F142-AVERAGE(OFFSET(分析データ!F$1,MAX(1,ROW()-$C$7),0,MIN($C$7,ROW()-1),1)))/STDEV(OFFSET(分析データ!F$1,MAX(1,ROW()-$C$7),0,MIN($C$7,ROW()-1),1)),0))</f>
        <v/>
      </c>
      <c r="BS142">
        <f t="shared" ca="1" si="72"/>
        <v>0</v>
      </c>
      <c r="BT142" t="str">
        <f ca="1">IF(BS142=1,IF(INDEX(分析データ!$A:$A,ROW()+$C$5)&lt;&gt;"",40000*SIGN(BR142)*(分析データ!F142-INDEX(分析データ!F:F,ROW()+$C$5)),""),"")</f>
        <v/>
      </c>
      <c r="BU142">
        <f t="shared" ca="1" si="73"/>
        <v>0</v>
      </c>
      <c r="BV142">
        <f t="shared" ca="1" si="74"/>
        <v>0</v>
      </c>
      <c r="BW142">
        <f t="shared" ca="1" si="75"/>
        <v>0</v>
      </c>
      <c r="BX142" t="str">
        <f ca="1">IF(ROW()&lt;($C$7+1),"",IFERROR((分析データ!G142-AVERAGE(OFFSET(分析データ!G$1,MAX(1,ROW()-$C$7),0,MIN($C$7,ROW()-1),1)))/STDEV(OFFSET(分析データ!G$1,MAX(1,ROW()-$C$7),0,MIN($C$7,ROW()-1),1)),0))</f>
        <v/>
      </c>
      <c r="BY142">
        <f t="shared" ca="1" si="76"/>
        <v>0</v>
      </c>
      <c r="BZ142" t="str">
        <f ca="1">IF(BY142=1,IF(INDEX(分析データ!$A:$A,ROW()+$C$5)&lt;&gt;"",40000*SIGN(BX142)*(分析データ!G142-INDEX(分析データ!G:G,ROW()+$C$5)),""),"")</f>
        <v/>
      </c>
      <c r="CA142">
        <f t="shared" ca="1" si="77"/>
        <v>0</v>
      </c>
      <c r="CB142">
        <f t="shared" ca="1" si="78"/>
        <v>0</v>
      </c>
      <c r="CC142">
        <f t="shared" ca="1" si="79"/>
        <v>0</v>
      </c>
      <c r="CD142">
        <f t="shared" ca="1" si="80"/>
        <v>0</v>
      </c>
      <c r="CE142">
        <f t="shared" ca="1" si="81"/>
        <v>0</v>
      </c>
      <c r="CF142">
        <f t="shared" ca="1" si="82"/>
        <v>0</v>
      </c>
      <c r="CG142">
        <f t="shared" ca="1" si="83"/>
        <v>0</v>
      </c>
      <c r="CH142" s="10">
        <f>分析データ!A142</f>
        <v>45132</v>
      </c>
    </row>
    <row r="143" spans="46:86">
      <c r="AT143" t="str">
        <f ca="1">IF(ROW()&lt;($C$7+1),"",IFERROR((分析データ!B143-AVERAGE(OFFSET(分析データ!B$1,MAX(1,ROW()-$C$7),0,MIN($C$7,ROW()-1),1)))/STDEV(OFFSET(分析データ!B$1,MAX(1,ROW()-$C$7),0,MIN($C$7,ROW()-1),1)),0))</f>
        <v/>
      </c>
      <c r="AU143">
        <f t="shared" ca="1" si="56"/>
        <v>0</v>
      </c>
      <c r="AV143" t="str">
        <f ca="1">IF(AU143=1,IF(INDEX(分析データ!$A:$A,ROW()+$C$5)&lt;&gt;"",80000*SIGN(AT143)*(分析データ!B143-INDEX(分析データ!B:B,ROW()+$C$5)),""),"")</f>
        <v/>
      </c>
      <c r="AW143">
        <f t="shared" ca="1" si="57"/>
        <v>0</v>
      </c>
      <c r="AX143">
        <f t="shared" ca="1" si="58"/>
        <v>0</v>
      </c>
      <c r="AY143">
        <f t="shared" ca="1" si="59"/>
        <v>0</v>
      </c>
      <c r="AZ143" t="str">
        <f ca="1">IF(ROW()&lt;($C$7+1),"",IFERROR((分析データ!C143-AVERAGE(OFFSET(分析データ!C$1,MAX(1,ROW()-$C$7),0,MIN($C$7,ROW()-1),1)))/STDEV(OFFSET(分析データ!C$1,MAX(1,ROW()-$C$7),0,MIN($C$7,ROW()-1),1)),0))</f>
        <v/>
      </c>
      <c r="BA143">
        <f t="shared" ca="1" si="60"/>
        <v>0</v>
      </c>
      <c r="BB143" t="str">
        <f ca="1">IF(BA143=1,IF(INDEX(分析データ!$A:$A,ROW()+$C$5)&lt;&gt;"",60000*SIGN(AZ143)*(分析データ!C143-INDEX(分析データ!C:C,ROW()+$C$5)),""),"")</f>
        <v/>
      </c>
      <c r="BC143">
        <f t="shared" ca="1" si="61"/>
        <v>0</v>
      </c>
      <c r="BD143">
        <f t="shared" ca="1" si="62"/>
        <v>0</v>
      </c>
      <c r="BE143">
        <f t="shared" ca="1" si="63"/>
        <v>0</v>
      </c>
      <c r="BF143" t="str">
        <f ca="1">IF(ROW()&lt;($C$7+1),"",IFERROR((分析データ!D143-AVERAGE(OFFSET(分析データ!D$1,MAX(1,ROW()-$C$7),0,MIN($C$7,ROW()-1),1)))/STDEV(OFFSET(分析データ!D$1,MAX(1,ROW()-$C$7),0,MIN($C$7,ROW()-1),1)),0))</f>
        <v/>
      </c>
      <c r="BG143">
        <f t="shared" ca="1" si="64"/>
        <v>0</v>
      </c>
      <c r="BH143" t="str">
        <f ca="1">IF(BG143=1,IF(INDEX(分析データ!$A:$A,ROW()+$C$5)&lt;&gt;"",50000*SIGN(BF143)*(分析データ!D143-INDEX(分析データ!D:D,ROW()+$C$5)),""),"")</f>
        <v/>
      </c>
      <c r="BI143">
        <f t="shared" ca="1" si="65"/>
        <v>0</v>
      </c>
      <c r="BJ143">
        <f t="shared" ca="1" si="66"/>
        <v>0</v>
      </c>
      <c r="BK143">
        <f t="shared" ca="1" si="67"/>
        <v>0</v>
      </c>
      <c r="BL143" t="str">
        <f ca="1">IF(ROW()&lt;($C$7+1),"",IFERROR((分析データ!E143-AVERAGE(OFFSET(分析データ!E$1,MAX(1,ROW()-$C$7),0,MIN($C$7,ROW()-1),1)))/STDEV(OFFSET(分析データ!E$1,MAX(1,ROW()-$C$7),0,MIN($C$7,ROW()-1),1)),0))</f>
        <v/>
      </c>
      <c r="BM143">
        <f t="shared" ca="1" si="68"/>
        <v>0</v>
      </c>
      <c r="BN143" t="str">
        <f ca="1">IF(BM143=1,IF(INDEX(分析データ!$A:$A,ROW()+$C$5)&lt;&gt;"",40000*SIGN(BL143)*(分析データ!E143-INDEX(分析データ!E:E,ROW()+$C$5)),""),"")</f>
        <v/>
      </c>
      <c r="BO143">
        <f t="shared" ca="1" si="69"/>
        <v>0</v>
      </c>
      <c r="BP143">
        <f t="shared" ca="1" si="70"/>
        <v>0</v>
      </c>
      <c r="BQ143">
        <f t="shared" ca="1" si="71"/>
        <v>0</v>
      </c>
      <c r="BR143" t="str">
        <f ca="1">IF(ROW()&lt;($C$7+1),"",IFERROR((分析データ!F143-AVERAGE(OFFSET(分析データ!F$1,MAX(1,ROW()-$C$7),0,MIN($C$7,ROW()-1),1)))/STDEV(OFFSET(分析データ!F$1,MAX(1,ROW()-$C$7),0,MIN($C$7,ROW()-1),1)),0))</f>
        <v/>
      </c>
      <c r="BS143">
        <f t="shared" ca="1" si="72"/>
        <v>0</v>
      </c>
      <c r="BT143" t="str">
        <f ca="1">IF(BS143=1,IF(INDEX(分析データ!$A:$A,ROW()+$C$5)&lt;&gt;"",40000*SIGN(BR143)*(分析データ!F143-INDEX(分析データ!F:F,ROW()+$C$5)),""),"")</f>
        <v/>
      </c>
      <c r="BU143">
        <f t="shared" ca="1" si="73"/>
        <v>0</v>
      </c>
      <c r="BV143">
        <f t="shared" ca="1" si="74"/>
        <v>0</v>
      </c>
      <c r="BW143">
        <f t="shared" ca="1" si="75"/>
        <v>0</v>
      </c>
      <c r="BX143" t="str">
        <f ca="1">IF(ROW()&lt;($C$7+1),"",IFERROR((分析データ!G143-AVERAGE(OFFSET(分析データ!G$1,MAX(1,ROW()-$C$7),0,MIN($C$7,ROW()-1),1)))/STDEV(OFFSET(分析データ!G$1,MAX(1,ROW()-$C$7),0,MIN($C$7,ROW()-1),1)),0))</f>
        <v/>
      </c>
      <c r="BY143">
        <f t="shared" ca="1" si="76"/>
        <v>0</v>
      </c>
      <c r="BZ143" t="str">
        <f ca="1">IF(BY143=1,IF(INDEX(分析データ!$A:$A,ROW()+$C$5)&lt;&gt;"",40000*SIGN(BX143)*(分析データ!G143-INDEX(分析データ!G:G,ROW()+$C$5)),""),"")</f>
        <v/>
      </c>
      <c r="CA143">
        <f t="shared" ca="1" si="77"/>
        <v>0</v>
      </c>
      <c r="CB143">
        <f t="shared" ca="1" si="78"/>
        <v>0</v>
      </c>
      <c r="CC143">
        <f t="shared" ca="1" si="79"/>
        <v>0</v>
      </c>
      <c r="CD143">
        <f t="shared" ca="1" si="80"/>
        <v>0</v>
      </c>
      <c r="CE143">
        <f t="shared" ca="1" si="81"/>
        <v>0</v>
      </c>
      <c r="CF143">
        <f t="shared" ca="1" si="82"/>
        <v>0</v>
      </c>
      <c r="CG143">
        <f t="shared" ca="1" si="83"/>
        <v>0</v>
      </c>
      <c r="CH143" s="10">
        <f>分析データ!A143</f>
        <v>45133</v>
      </c>
    </row>
    <row r="144" spans="46:86">
      <c r="AT144" t="str">
        <f ca="1">IF(ROW()&lt;($C$7+1),"",IFERROR((分析データ!B144-AVERAGE(OFFSET(分析データ!B$1,MAX(1,ROW()-$C$7),0,MIN($C$7,ROW()-1),1)))/STDEV(OFFSET(分析データ!B$1,MAX(1,ROW()-$C$7),0,MIN($C$7,ROW()-1),1)),0))</f>
        <v/>
      </c>
      <c r="AU144">
        <f t="shared" ca="1" si="56"/>
        <v>0</v>
      </c>
      <c r="AV144" t="str">
        <f ca="1">IF(AU144=1,IF(INDEX(分析データ!$A:$A,ROW()+$C$5)&lt;&gt;"",80000*SIGN(AT144)*(分析データ!B144-INDEX(分析データ!B:B,ROW()+$C$5)),""),"")</f>
        <v/>
      </c>
      <c r="AW144">
        <f t="shared" ca="1" si="57"/>
        <v>0</v>
      </c>
      <c r="AX144">
        <f t="shared" ca="1" si="58"/>
        <v>0</v>
      </c>
      <c r="AY144">
        <f t="shared" ca="1" si="59"/>
        <v>0</v>
      </c>
      <c r="AZ144" t="str">
        <f ca="1">IF(ROW()&lt;($C$7+1),"",IFERROR((分析データ!C144-AVERAGE(OFFSET(分析データ!C$1,MAX(1,ROW()-$C$7),0,MIN($C$7,ROW()-1),1)))/STDEV(OFFSET(分析データ!C$1,MAX(1,ROW()-$C$7),0,MIN($C$7,ROW()-1),1)),0))</f>
        <v/>
      </c>
      <c r="BA144">
        <f t="shared" ca="1" si="60"/>
        <v>0</v>
      </c>
      <c r="BB144" t="str">
        <f ca="1">IF(BA144=1,IF(INDEX(分析データ!$A:$A,ROW()+$C$5)&lt;&gt;"",60000*SIGN(AZ144)*(分析データ!C144-INDEX(分析データ!C:C,ROW()+$C$5)),""),"")</f>
        <v/>
      </c>
      <c r="BC144">
        <f t="shared" ca="1" si="61"/>
        <v>0</v>
      </c>
      <c r="BD144">
        <f t="shared" ca="1" si="62"/>
        <v>0</v>
      </c>
      <c r="BE144">
        <f t="shared" ca="1" si="63"/>
        <v>0</v>
      </c>
      <c r="BF144" t="str">
        <f ca="1">IF(ROW()&lt;($C$7+1),"",IFERROR((分析データ!D144-AVERAGE(OFFSET(分析データ!D$1,MAX(1,ROW()-$C$7),0,MIN($C$7,ROW()-1),1)))/STDEV(OFFSET(分析データ!D$1,MAX(1,ROW()-$C$7),0,MIN($C$7,ROW()-1),1)),0))</f>
        <v/>
      </c>
      <c r="BG144">
        <f t="shared" ca="1" si="64"/>
        <v>0</v>
      </c>
      <c r="BH144" t="str">
        <f ca="1">IF(BG144=1,IF(INDEX(分析データ!$A:$A,ROW()+$C$5)&lt;&gt;"",50000*SIGN(BF144)*(分析データ!D144-INDEX(分析データ!D:D,ROW()+$C$5)),""),"")</f>
        <v/>
      </c>
      <c r="BI144">
        <f t="shared" ca="1" si="65"/>
        <v>0</v>
      </c>
      <c r="BJ144">
        <f t="shared" ca="1" si="66"/>
        <v>0</v>
      </c>
      <c r="BK144">
        <f t="shared" ca="1" si="67"/>
        <v>0</v>
      </c>
      <c r="BL144" t="str">
        <f ca="1">IF(ROW()&lt;($C$7+1),"",IFERROR((分析データ!E144-AVERAGE(OFFSET(分析データ!E$1,MAX(1,ROW()-$C$7),0,MIN($C$7,ROW()-1),1)))/STDEV(OFFSET(分析データ!E$1,MAX(1,ROW()-$C$7),0,MIN($C$7,ROW()-1),1)),0))</f>
        <v/>
      </c>
      <c r="BM144">
        <f t="shared" ca="1" si="68"/>
        <v>0</v>
      </c>
      <c r="BN144" t="str">
        <f ca="1">IF(BM144=1,IF(INDEX(分析データ!$A:$A,ROW()+$C$5)&lt;&gt;"",40000*SIGN(BL144)*(分析データ!E144-INDEX(分析データ!E:E,ROW()+$C$5)),""),"")</f>
        <v/>
      </c>
      <c r="BO144">
        <f t="shared" ca="1" si="69"/>
        <v>0</v>
      </c>
      <c r="BP144">
        <f t="shared" ca="1" si="70"/>
        <v>0</v>
      </c>
      <c r="BQ144">
        <f t="shared" ca="1" si="71"/>
        <v>0</v>
      </c>
      <c r="BR144" t="str">
        <f ca="1">IF(ROW()&lt;($C$7+1),"",IFERROR((分析データ!F144-AVERAGE(OFFSET(分析データ!F$1,MAX(1,ROW()-$C$7),0,MIN($C$7,ROW()-1),1)))/STDEV(OFFSET(分析データ!F$1,MAX(1,ROW()-$C$7),0,MIN($C$7,ROW()-1),1)),0))</f>
        <v/>
      </c>
      <c r="BS144">
        <f t="shared" ca="1" si="72"/>
        <v>0</v>
      </c>
      <c r="BT144" t="str">
        <f ca="1">IF(BS144=1,IF(INDEX(分析データ!$A:$A,ROW()+$C$5)&lt;&gt;"",40000*SIGN(BR144)*(分析データ!F144-INDEX(分析データ!F:F,ROW()+$C$5)),""),"")</f>
        <v/>
      </c>
      <c r="BU144">
        <f t="shared" ca="1" si="73"/>
        <v>0</v>
      </c>
      <c r="BV144">
        <f t="shared" ca="1" si="74"/>
        <v>0</v>
      </c>
      <c r="BW144">
        <f t="shared" ca="1" si="75"/>
        <v>0</v>
      </c>
      <c r="BX144" t="str">
        <f ca="1">IF(ROW()&lt;($C$7+1),"",IFERROR((分析データ!G144-AVERAGE(OFFSET(分析データ!G$1,MAX(1,ROW()-$C$7),0,MIN($C$7,ROW()-1),1)))/STDEV(OFFSET(分析データ!G$1,MAX(1,ROW()-$C$7),0,MIN($C$7,ROW()-1),1)),0))</f>
        <v/>
      </c>
      <c r="BY144">
        <f t="shared" ca="1" si="76"/>
        <v>0</v>
      </c>
      <c r="BZ144" t="str">
        <f ca="1">IF(BY144=1,IF(INDEX(分析データ!$A:$A,ROW()+$C$5)&lt;&gt;"",40000*SIGN(BX144)*(分析データ!G144-INDEX(分析データ!G:G,ROW()+$C$5)),""),"")</f>
        <v/>
      </c>
      <c r="CA144">
        <f t="shared" ca="1" si="77"/>
        <v>0</v>
      </c>
      <c r="CB144">
        <f t="shared" ca="1" si="78"/>
        <v>0</v>
      </c>
      <c r="CC144">
        <f t="shared" ca="1" si="79"/>
        <v>0</v>
      </c>
      <c r="CD144">
        <f t="shared" ca="1" si="80"/>
        <v>0</v>
      </c>
      <c r="CE144">
        <f t="shared" ca="1" si="81"/>
        <v>0</v>
      </c>
      <c r="CF144">
        <f t="shared" ca="1" si="82"/>
        <v>0</v>
      </c>
      <c r="CG144">
        <f t="shared" ca="1" si="83"/>
        <v>0</v>
      </c>
      <c r="CH144" s="10">
        <f>分析データ!A144</f>
        <v>45134</v>
      </c>
    </row>
    <row r="145" spans="46:86">
      <c r="AT145" t="str">
        <f ca="1">IF(ROW()&lt;($C$7+1),"",IFERROR((分析データ!B145-AVERAGE(OFFSET(分析データ!B$1,MAX(1,ROW()-$C$7),0,MIN($C$7,ROW()-1),1)))/STDEV(OFFSET(分析データ!B$1,MAX(1,ROW()-$C$7),0,MIN($C$7,ROW()-1),1)),0))</f>
        <v/>
      </c>
      <c r="AU145">
        <f t="shared" ca="1" si="56"/>
        <v>0</v>
      </c>
      <c r="AV145" t="str">
        <f ca="1">IF(AU145=1,IF(INDEX(分析データ!$A:$A,ROW()+$C$5)&lt;&gt;"",80000*SIGN(AT145)*(分析データ!B145-INDEX(分析データ!B:B,ROW()+$C$5)),""),"")</f>
        <v/>
      </c>
      <c r="AW145">
        <f t="shared" ca="1" si="57"/>
        <v>0</v>
      </c>
      <c r="AX145">
        <f t="shared" ca="1" si="58"/>
        <v>0</v>
      </c>
      <c r="AY145">
        <f t="shared" ca="1" si="59"/>
        <v>0</v>
      </c>
      <c r="AZ145" t="str">
        <f ca="1">IF(ROW()&lt;($C$7+1),"",IFERROR((分析データ!C145-AVERAGE(OFFSET(分析データ!C$1,MAX(1,ROW()-$C$7),0,MIN($C$7,ROW()-1),1)))/STDEV(OFFSET(分析データ!C$1,MAX(1,ROW()-$C$7),0,MIN($C$7,ROW()-1),1)),0))</f>
        <v/>
      </c>
      <c r="BA145">
        <f t="shared" ca="1" si="60"/>
        <v>0</v>
      </c>
      <c r="BB145" t="str">
        <f ca="1">IF(BA145=1,IF(INDEX(分析データ!$A:$A,ROW()+$C$5)&lt;&gt;"",60000*SIGN(AZ145)*(分析データ!C145-INDEX(分析データ!C:C,ROW()+$C$5)),""),"")</f>
        <v/>
      </c>
      <c r="BC145">
        <f t="shared" ca="1" si="61"/>
        <v>0</v>
      </c>
      <c r="BD145">
        <f t="shared" ca="1" si="62"/>
        <v>0</v>
      </c>
      <c r="BE145">
        <f t="shared" ca="1" si="63"/>
        <v>0</v>
      </c>
      <c r="BF145" t="str">
        <f ca="1">IF(ROW()&lt;($C$7+1),"",IFERROR((分析データ!D145-AVERAGE(OFFSET(分析データ!D$1,MAX(1,ROW()-$C$7),0,MIN($C$7,ROW()-1),1)))/STDEV(OFFSET(分析データ!D$1,MAX(1,ROW()-$C$7),0,MIN($C$7,ROW()-1),1)),0))</f>
        <v/>
      </c>
      <c r="BG145">
        <f t="shared" ca="1" si="64"/>
        <v>0</v>
      </c>
      <c r="BH145" t="str">
        <f ca="1">IF(BG145=1,IF(INDEX(分析データ!$A:$A,ROW()+$C$5)&lt;&gt;"",50000*SIGN(BF145)*(分析データ!D145-INDEX(分析データ!D:D,ROW()+$C$5)),""),"")</f>
        <v/>
      </c>
      <c r="BI145">
        <f t="shared" ca="1" si="65"/>
        <v>0</v>
      </c>
      <c r="BJ145">
        <f t="shared" ca="1" si="66"/>
        <v>0</v>
      </c>
      <c r="BK145">
        <f t="shared" ca="1" si="67"/>
        <v>0</v>
      </c>
      <c r="BL145" t="str">
        <f ca="1">IF(ROW()&lt;($C$7+1),"",IFERROR((分析データ!E145-AVERAGE(OFFSET(分析データ!E$1,MAX(1,ROW()-$C$7),0,MIN($C$7,ROW()-1),1)))/STDEV(OFFSET(分析データ!E$1,MAX(1,ROW()-$C$7),0,MIN($C$7,ROW()-1),1)),0))</f>
        <v/>
      </c>
      <c r="BM145">
        <f t="shared" ca="1" si="68"/>
        <v>0</v>
      </c>
      <c r="BN145" t="str">
        <f ca="1">IF(BM145=1,IF(INDEX(分析データ!$A:$A,ROW()+$C$5)&lt;&gt;"",40000*SIGN(BL145)*(分析データ!E145-INDEX(分析データ!E:E,ROW()+$C$5)),""),"")</f>
        <v/>
      </c>
      <c r="BO145">
        <f t="shared" ca="1" si="69"/>
        <v>0</v>
      </c>
      <c r="BP145">
        <f t="shared" ca="1" si="70"/>
        <v>0</v>
      </c>
      <c r="BQ145">
        <f t="shared" ca="1" si="71"/>
        <v>0</v>
      </c>
      <c r="BR145" t="str">
        <f ca="1">IF(ROW()&lt;($C$7+1),"",IFERROR((分析データ!F145-AVERAGE(OFFSET(分析データ!F$1,MAX(1,ROW()-$C$7),0,MIN($C$7,ROW()-1),1)))/STDEV(OFFSET(分析データ!F$1,MAX(1,ROW()-$C$7),0,MIN($C$7,ROW()-1),1)),0))</f>
        <v/>
      </c>
      <c r="BS145">
        <f t="shared" ca="1" si="72"/>
        <v>0</v>
      </c>
      <c r="BT145" t="str">
        <f ca="1">IF(BS145=1,IF(INDEX(分析データ!$A:$A,ROW()+$C$5)&lt;&gt;"",40000*SIGN(BR145)*(分析データ!F145-INDEX(分析データ!F:F,ROW()+$C$5)),""),"")</f>
        <v/>
      </c>
      <c r="BU145">
        <f t="shared" ca="1" si="73"/>
        <v>0</v>
      </c>
      <c r="BV145">
        <f t="shared" ca="1" si="74"/>
        <v>0</v>
      </c>
      <c r="BW145">
        <f t="shared" ca="1" si="75"/>
        <v>0</v>
      </c>
      <c r="BX145" t="str">
        <f ca="1">IF(ROW()&lt;($C$7+1),"",IFERROR((分析データ!G145-AVERAGE(OFFSET(分析データ!G$1,MAX(1,ROW()-$C$7),0,MIN($C$7,ROW()-1),1)))/STDEV(OFFSET(分析データ!G$1,MAX(1,ROW()-$C$7),0,MIN($C$7,ROW()-1),1)),0))</f>
        <v/>
      </c>
      <c r="BY145">
        <f t="shared" ca="1" si="76"/>
        <v>0</v>
      </c>
      <c r="BZ145" t="str">
        <f ca="1">IF(BY145=1,IF(INDEX(分析データ!$A:$A,ROW()+$C$5)&lt;&gt;"",40000*SIGN(BX145)*(分析データ!G145-INDEX(分析データ!G:G,ROW()+$C$5)),""),"")</f>
        <v/>
      </c>
      <c r="CA145">
        <f t="shared" ca="1" si="77"/>
        <v>0</v>
      </c>
      <c r="CB145">
        <f t="shared" ca="1" si="78"/>
        <v>0</v>
      </c>
      <c r="CC145">
        <f t="shared" ca="1" si="79"/>
        <v>0</v>
      </c>
      <c r="CD145">
        <f t="shared" ca="1" si="80"/>
        <v>0</v>
      </c>
      <c r="CE145">
        <f t="shared" ca="1" si="81"/>
        <v>0</v>
      </c>
      <c r="CF145">
        <f t="shared" ca="1" si="82"/>
        <v>0</v>
      </c>
      <c r="CG145">
        <f t="shared" ca="1" si="83"/>
        <v>0</v>
      </c>
      <c r="CH145" s="10">
        <f>分析データ!A145</f>
        <v>45135</v>
      </c>
    </row>
    <row r="146" spans="46:86">
      <c r="AT146" t="str">
        <f ca="1">IF(ROW()&lt;($C$7+1),"",IFERROR((分析データ!B146-AVERAGE(OFFSET(分析データ!B$1,MAX(1,ROW()-$C$7),0,MIN($C$7,ROW()-1),1)))/STDEV(OFFSET(分析データ!B$1,MAX(1,ROW()-$C$7),0,MIN($C$7,ROW()-1),1)),0))</f>
        <v/>
      </c>
      <c r="AU146">
        <f t="shared" ca="1" si="56"/>
        <v>0</v>
      </c>
      <c r="AV146" t="str">
        <f ca="1">IF(AU146=1,IF(INDEX(分析データ!$A:$A,ROW()+$C$5)&lt;&gt;"",80000*SIGN(AT146)*(分析データ!B146-INDEX(分析データ!B:B,ROW()+$C$5)),""),"")</f>
        <v/>
      </c>
      <c r="AW146">
        <f t="shared" ca="1" si="57"/>
        <v>0</v>
      </c>
      <c r="AX146">
        <f t="shared" ca="1" si="58"/>
        <v>0</v>
      </c>
      <c r="AY146">
        <f t="shared" ca="1" si="59"/>
        <v>0</v>
      </c>
      <c r="AZ146" t="str">
        <f ca="1">IF(ROW()&lt;($C$7+1),"",IFERROR((分析データ!C146-AVERAGE(OFFSET(分析データ!C$1,MAX(1,ROW()-$C$7),0,MIN($C$7,ROW()-1),1)))/STDEV(OFFSET(分析データ!C$1,MAX(1,ROW()-$C$7),0,MIN($C$7,ROW()-1),1)),0))</f>
        <v/>
      </c>
      <c r="BA146">
        <f t="shared" ca="1" si="60"/>
        <v>0</v>
      </c>
      <c r="BB146" t="str">
        <f ca="1">IF(BA146=1,IF(INDEX(分析データ!$A:$A,ROW()+$C$5)&lt;&gt;"",60000*SIGN(AZ146)*(分析データ!C146-INDEX(分析データ!C:C,ROW()+$C$5)),""),"")</f>
        <v/>
      </c>
      <c r="BC146">
        <f t="shared" ca="1" si="61"/>
        <v>0</v>
      </c>
      <c r="BD146">
        <f t="shared" ca="1" si="62"/>
        <v>0</v>
      </c>
      <c r="BE146">
        <f t="shared" ca="1" si="63"/>
        <v>0</v>
      </c>
      <c r="BF146" t="str">
        <f ca="1">IF(ROW()&lt;($C$7+1),"",IFERROR((分析データ!D146-AVERAGE(OFFSET(分析データ!D$1,MAX(1,ROW()-$C$7),0,MIN($C$7,ROW()-1),1)))/STDEV(OFFSET(分析データ!D$1,MAX(1,ROW()-$C$7),0,MIN($C$7,ROW()-1),1)),0))</f>
        <v/>
      </c>
      <c r="BG146">
        <f t="shared" ca="1" si="64"/>
        <v>0</v>
      </c>
      <c r="BH146" t="str">
        <f ca="1">IF(BG146=1,IF(INDEX(分析データ!$A:$A,ROW()+$C$5)&lt;&gt;"",50000*SIGN(BF146)*(分析データ!D146-INDEX(分析データ!D:D,ROW()+$C$5)),""),"")</f>
        <v/>
      </c>
      <c r="BI146">
        <f t="shared" ca="1" si="65"/>
        <v>0</v>
      </c>
      <c r="BJ146">
        <f t="shared" ca="1" si="66"/>
        <v>0</v>
      </c>
      <c r="BK146">
        <f t="shared" ca="1" si="67"/>
        <v>0</v>
      </c>
      <c r="BL146" t="str">
        <f ca="1">IF(ROW()&lt;($C$7+1),"",IFERROR((分析データ!E146-AVERAGE(OFFSET(分析データ!E$1,MAX(1,ROW()-$C$7),0,MIN($C$7,ROW()-1),1)))/STDEV(OFFSET(分析データ!E$1,MAX(1,ROW()-$C$7),0,MIN($C$7,ROW()-1),1)),0))</f>
        <v/>
      </c>
      <c r="BM146">
        <f t="shared" ca="1" si="68"/>
        <v>0</v>
      </c>
      <c r="BN146" t="str">
        <f ca="1">IF(BM146=1,IF(INDEX(分析データ!$A:$A,ROW()+$C$5)&lt;&gt;"",40000*SIGN(BL146)*(分析データ!E146-INDEX(分析データ!E:E,ROW()+$C$5)),""),"")</f>
        <v/>
      </c>
      <c r="BO146">
        <f t="shared" ca="1" si="69"/>
        <v>0</v>
      </c>
      <c r="BP146">
        <f t="shared" ca="1" si="70"/>
        <v>0</v>
      </c>
      <c r="BQ146">
        <f t="shared" ca="1" si="71"/>
        <v>0</v>
      </c>
      <c r="BR146" t="str">
        <f ca="1">IF(ROW()&lt;($C$7+1),"",IFERROR((分析データ!F146-AVERAGE(OFFSET(分析データ!F$1,MAX(1,ROW()-$C$7),0,MIN($C$7,ROW()-1),1)))/STDEV(OFFSET(分析データ!F$1,MAX(1,ROW()-$C$7),0,MIN($C$7,ROW()-1),1)),0))</f>
        <v/>
      </c>
      <c r="BS146">
        <f t="shared" ca="1" si="72"/>
        <v>0</v>
      </c>
      <c r="BT146" t="str">
        <f ca="1">IF(BS146=1,IF(INDEX(分析データ!$A:$A,ROW()+$C$5)&lt;&gt;"",40000*SIGN(BR146)*(分析データ!F146-INDEX(分析データ!F:F,ROW()+$C$5)),""),"")</f>
        <v/>
      </c>
      <c r="BU146">
        <f t="shared" ca="1" si="73"/>
        <v>0</v>
      </c>
      <c r="BV146">
        <f t="shared" ca="1" si="74"/>
        <v>0</v>
      </c>
      <c r="BW146">
        <f t="shared" ca="1" si="75"/>
        <v>0</v>
      </c>
      <c r="BX146" t="str">
        <f ca="1">IF(ROW()&lt;($C$7+1),"",IFERROR((分析データ!G146-AVERAGE(OFFSET(分析データ!G$1,MAX(1,ROW()-$C$7),0,MIN($C$7,ROW()-1),1)))/STDEV(OFFSET(分析データ!G$1,MAX(1,ROW()-$C$7),0,MIN($C$7,ROW()-1),1)),0))</f>
        <v/>
      </c>
      <c r="BY146">
        <f t="shared" ca="1" si="76"/>
        <v>0</v>
      </c>
      <c r="BZ146" t="str">
        <f ca="1">IF(BY146=1,IF(INDEX(分析データ!$A:$A,ROW()+$C$5)&lt;&gt;"",40000*SIGN(BX146)*(分析データ!G146-INDEX(分析データ!G:G,ROW()+$C$5)),""),"")</f>
        <v/>
      </c>
      <c r="CA146">
        <f t="shared" ca="1" si="77"/>
        <v>0</v>
      </c>
      <c r="CB146">
        <f t="shared" ca="1" si="78"/>
        <v>0</v>
      </c>
      <c r="CC146">
        <f t="shared" ca="1" si="79"/>
        <v>0</v>
      </c>
      <c r="CD146">
        <f t="shared" ca="1" si="80"/>
        <v>0</v>
      </c>
      <c r="CE146">
        <f t="shared" ca="1" si="81"/>
        <v>0</v>
      </c>
      <c r="CF146">
        <f t="shared" ca="1" si="82"/>
        <v>0</v>
      </c>
      <c r="CG146">
        <f t="shared" ca="1" si="83"/>
        <v>0</v>
      </c>
      <c r="CH146" s="10">
        <f>分析データ!A146</f>
        <v>45138</v>
      </c>
    </row>
    <row r="147" spans="46:86">
      <c r="AT147" t="str">
        <f ca="1">IF(ROW()&lt;($C$7+1),"",IFERROR((分析データ!B147-AVERAGE(OFFSET(分析データ!B$1,MAX(1,ROW()-$C$7),0,MIN($C$7,ROW()-1),1)))/STDEV(OFFSET(分析データ!B$1,MAX(1,ROW()-$C$7),0,MIN($C$7,ROW()-1),1)),0))</f>
        <v/>
      </c>
      <c r="AU147">
        <f t="shared" ca="1" si="56"/>
        <v>0</v>
      </c>
      <c r="AV147" t="str">
        <f ca="1">IF(AU147=1,IF(INDEX(分析データ!$A:$A,ROW()+$C$5)&lt;&gt;"",80000*SIGN(AT147)*(分析データ!B147-INDEX(分析データ!B:B,ROW()+$C$5)),""),"")</f>
        <v/>
      </c>
      <c r="AW147">
        <f t="shared" ca="1" si="57"/>
        <v>0</v>
      </c>
      <c r="AX147">
        <f t="shared" ca="1" si="58"/>
        <v>0</v>
      </c>
      <c r="AY147">
        <f t="shared" ca="1" si="59"/>
        <v>0</v>
      </c>
      <c r="AZ147" t="str">
        <f ca="1">IF(ROW()&lt;($C$7+1),"",IFERROR((分析データ!C147-AVERAGE(OFFSET(分析データ!C$1,MAX(1,ROW()-$C$7),0,MIN($C$7,ROW()-1),1)))/STDEV(OFFSET(分析データ!C$1,MAX(1,ROW()-$C$7),0,MIN($C$7,ROW()-1),1)),0))</f>
        <v/>
      </c>
      <c r="BA147">
        <f t="shared" ca="1" si="60"/>
        <v>0</v>
      </c>
      <c r="BB147" t="str">
        <f ca="1">IF(BA147=1,IF(INDEX(分析データ!$A:$A,ROW()+$C$5)&lt;&gt;"",60000*SIGN(AZ147)*(分析データ!C147-INDEX(分析データ!C:C,ROW()+$C$5)),""),"")</f>
        <v/>
      </c>
      <c r="BC147">
        <f t="shared" ca="1" si="61"/>
        <v>0</v>
      </c>
      <c r="BD147">
        <f t="shared" ca="1" si="62"/>
        <v>0</v>
      </c>
      <c r="BE147">
        <f t="shared" ca="1" si="63"/>
        <v>0</v>
      </c>
      <c r="BF147" t="str">
        <f ca="1">IF(ROW()&lt;($C$7+1),"",IFERROR((分析データ!D147-AVERAGE(OFFSET(分析データ!D$1,MAX(1,ROW()-$C$7),0,MIN($C$7,ROW()-1),1)))/STDEV(OFFSET(分析データ!D$1,MAX(1,ROW()-$C$7),0,MIN($C$7,ROW()-1),1)),0))</f>
        <v/>
      </c>
      <c r="BG147">
        <f t="shared" ca="1" si="64"/>
        <v>0</v>
      </c>
      <c r="BH147" t="str">
        <f ca="1">IF(BG147=1,IF(INDEX(分析データ!$A:$A,ROW()+$C$5)&lt;&gt;"",50000*SIGN(BF147)*(分析データ!D147-INDEX(分析データ!D:D,ROW()+$C$5)),""),"")</f>
        <v/>
      </c>
      <c r="BI147">
        <f t="shared" ca="1" si="65"/>
        <v>0</v>
      </c>
      <c r="BJ147">
        <f t="shared" ca="1" si="66"/>
        <v>0</v>
      </c>
      <c r="BK147">
        <f t="shared" ca="1" si="67"/>
        <v>0</v>
      </c>
      <c r="BL147" t="str">
        <f ca="1">IF(ROW()&lt;($C$7+1),"",IFERROR((分析データ!E147-AVERAGE(OFFSET(分析データ!E$1,MAX(1,ROW()-$C$7),0,MIN($C$7,ROW()-1),1)))/STDEV(OFFSET(分析データ!E$1,MAX(1,ROW()-$C$7),0,MIN($C$7,ROW()-1),1)),0))</f>
        <v/>
      </c>
      <c r="BM147">
        <f t="shared" ca="1" si="68"/>
        <v>0</v>
      </c>
      <c r="BN147" t="str">
        <f ca="1">IF(BM147=1,IF(INDEX(分析データ!$A:$A,ROW()+$C$5)&lt;&gt;"",40000*SIGN(BL147)*(分析データ!E147-INDEX(分析データ!E:E,ROW()+$C$5)),""),"")</f>
        <v/>
      </c>
      <c r="BO147">
        <f t="shared" ca="1" si="69"/>
        <v>0</v>
      </c>
      <c r="BP147">
        <f t="shared" ca="1" si="70"/>
        <v>0</v>
      </c>
      <c r="BQ147">
        <f t="shared" ca="1" si="71"/>
        <v>0</v>
      </c>
      <c r="BR147" t="str">
        <f ca="1">IF(ROW()&lt;($C$7+1),"",IFERROR((分析データ!F147-AVERAGE(OFFSET(分析データ!F$1,MAX(1,ROW()-$C$7),0,MIN($C$7,ROW()-1),1)))/STDEV(OFFSET(分析データ!F$1,MAX(1,ROW()-$C$7),0,MIN($C$7,ROW()-1),1)),0))</f>
        <v/>
      </c>
      <c r="BS147">
        <f t="shared" ca="1" si="72"/>
        <v>0</v>
      </c>
      <c r="BT147" t="str">
        <f ca="1">IF(BS147=1,IF(INDEX(分析データ!$A:$A,ROW()+$C$5)&lt;&gt;"",40000*SIGN(BR147)*(分析データ!F147-INDEX(分析データ!F:F,ROW()+$C$5)),""),"")</f>
        <v/>
      </c>
      <c r="BU147">
        <f t="shared" ca="1" si="73"/>
        <v>0</v>
      </c>
      <c r="BV147">
        <f t="shared" ca="1" si="74"/>
        <v>0</v>
      </c>
      <c r="BW147">
        <f t="shared" ca="1" si="75"/>
        <v>0</v>
      </c>
      <c r="BX147" t="str">
        <f ca="1">IF(ROW()&lt;($C$7+1),"",IFERROR((分析データ!G147-AVERAGE(OFFSET(分析データ!G$1,MAX(1,ROW()-$C$7),0,MIN($C$7,ROW()-1),1)))/STDEV(OFFSET(分析データ!G$1,MAX(1,ROW()-$C$7),0,MIN($C$7,ROW()-1),1)),0))</f>
        <v/>
      </c>
      <c r="BY147">
        <f t="shared" ca="1" si="76"/>
        <v>0</v>
      </c>
      <c r="BZ147" t="str">
        <f ca="1">IF(BY147=1,IF(INDEX(分析データ!$A:$A,ROW()+$C$5)&lt;&gt;"",40000*SIGN(BX147)*(分析データ!G147-INDEX(分析データ!G:G,ROW()+$C$5)),""),"")</f>
        <v/>
      </c>
      <c r="CA147">
        <f t="shared" ca="1" si="77"/>
        <v>0</v>
      </c>
      <c r="CB147">
        <f t="shared" ca="1" si="78"/>
        <v>0</v>
      </c>
      <c r="CC147">
        <f t="shared" ca="1" si="79"/>
        <v>0</v>
      </c>
      <c r="CD147">
        <f t="shared" ca="1" si="80"/>
        <v>0</v>
      </c>
      <c r="CE147">
        <f t="shared" ca="1" si="81"/>
        <v>0</v>
      </c>
      <c r="CF147">
        <f t="shared" ca="1" si="82"/>
        <v>0</v>
      </c>
      <c r="CG147">
        <f t="shared" ca="1" si="83"/>
        <v>0</v>
      </c>
      <c r="CH147" s="10">
        <f>分析データ!A147</f>
        <v>45139</v>
      </c>
    </row>
    <row r="148" spans="46:86">
      <c r="AT148" t="str">
        <f ca="1">IF(ROW()&lt;($C$7+1),"",IFERROR((分析データ!B148-AVERAGE(OFFSET(分析データ!B$1,MAX(1,ROW()-$C$7),0,MIN($C$7,ROW()-1),1)))/STDEV(OFFSET(分析データ!B$1,MAX(1,ROW()-$C$7),0,MIN($C$7,ROW()-1),1)),0))</f>
        <v/>
      </c>
      <c r="AU148">
        <f t="shared" ca="1" si="56"/>
        <v>0</v>
      </c>
      <c r="AV148" t="str">
        <f ca="1">IF(AU148=1,IF(INDEX(分析データ!$A:$A,ROW()+$C$5)&lt;&gt;"",80000*SIGN(AT148)*(分析データ!B148-INDEX(分析データ!B:B,ROW()+$C$5)),""),"")</f>
        <v/>
      </c>
      <c r="AW148">
        <f t="shared" ca="1" si="57"/>
        <v>0</v>
      </c>
      <c r="AX148">
        <f t="shared" ca="1" si="58"/>
        <v>0</v>
      </c>
      <c r="AY148">
        <f t="shared" ca="1" si="59"/>
        <v>0</v>
      </c>
      <c r="AZ148" t="str">
        <f ca="1">IF(ROW()&lt;($C$7+1),"",IFERROR((分析データ!C148-AVERAGE(OFFSET(分析データ!C$1,MAX(1,ROW()-$C$7),0,MIN($C$7,ROW()-1),1)))/STDEV(OFFSET(分析データ!C$1,MAX(1,ROW()-$C$7),0,MIN($C$7,ROW()-1),1)),0))</f>
        <v/>
      </c>
      <c r="BA148">
        <f t="shared" ca="1" si="60"/>
        <v>0</v>
      </c>
      <c r="BB148" t="str">
        <f ca="1">IF(BA148=1,IF(INDEX(分析データ!$A:$A,ROW()+$C$5)&lt;&gt;"",60000*SIGN(AZ148)*(分析データ!C148-INDEX(分析データ!C:C,ROW()+$C$5)),""),"")</f>
        <v/>
      </c>
      <c r="BC148">
        <f t="shared" ca="1" si="61"/>
        <v>0</v>
      </c>
      <c r="BD148">
        <f t="shared" ca="1" si="62"/>
        <v>0</v>
      </c>
      <c r="BE148">
        <f t="shared" ca="1" si="63"/>
        <v>0</v>
      </c>
      <c r="BF148" t="str">
        <f ca="1">IF(ROW()&lt;($C$7+1),"",IFERROR((分析データ!D148-AVERAGE(OFFSET(分析データ!D$1,MAX(1,ROW()-$C$7),0,MIN($C$7,ROW()-1),1)))/STDEV(OFFSET(分析データ!D$1,MAX(1,ROW()-$C$7),0,MIN($C$7,ROW()-1),1)),0))</f>
        <v/>
      </c>
      <c r="BG148">
        <f t="shared" ca="1" si="64"/>
        <v>0</v>
      </c>
      <c r="BH148" t="str">
        <f ca="1">IF(BG148=1,IF(INDEX(分析データ!$A:$A,ROW()+$C$5)&lt;&gt;"",50000*SIGN(BF148)*(分析データ!D148-INDEX(分析データ!D:D,ROW()+$C$5)),""),"")</f>
        <v/>
      </c>
      <c r="BI148">
        <f t="shared" ca="1" si="65"/>
        <v>0</v>
      </c>
      <c r="BJ148">
        <f t="shared" ca="1" si="66"/>
        <v>0</v>
      </c>
      <c r="BK148">
        <f t="shared" ca="1" si="67"/>
        <v>0</v>
      </c>
      <c r="BL148" t="str">
        <f ca="1">IF(ROW()&lt;($C$7+1),"",IFERROR((分析データ!E148-AVERAGE(OFFSET(分析データ!E$1,MAX(1,ROW()-$C$7),0,MIN($C$7,ROW()-1),1)))/STDEV(OFFSET(分析データ!E$1,MAX(1,ROW()-$C$7),0,MIN($C$7,ROW()-1),1)),0))</f>
        <v/>
      </c>
      <c r="BM148">
        <f t="shared" ca="1" si="68"/>
        <v>0</v>
      </c>
      <c r="BN148" t="str">
        <f ca="1">IF(BM148=1,IF(INDEX(分析データ!$A:$A,ROW()+$C$5)&lt;&gt;"",40000*SIGN(BL148)*(分析データ!E148-INDEX(分析データ!E:E,ROW()+$C$5)),""),"")</f>
        <v/>
      </c>
      <c r="BO148">
        <f t="shared" ca="1" si="69"/>
        <v>0</v>
      </c>
      <c r="BP148">
        <f t="shared" ca="1" si="70"/>
        <v>0</v>
      </c>
      <c r="BQ148">
        <f t="shared" ca="1" si="71"/>
        <v>0</v>
      </c>
      <c r="BR148" t="str">
        <f ca="1">IF(ROW()&lt;($C$7+1),"",IFERROR((分析データ!F148-AVERAGE(OFFSET(分析データ!F$1,MAX(1,ROW()-$C$7),0,MIN($C$7,ROW()-1),1)))/STDEV(OFFSET(分析データ!F$1,MAX(1,ROW()-$C$7),0,MIN($C$7,ROW()-1),1)),0))</f>
        <v/>
      </c>
      <c r="BS148">
        <f t="shared" ca="1" si="72"/>
        <v>0</v>
      </c>
      <c r="BT148" t="str">
        <f ca="1">IF(BS148=1,IF(INDEX(分析データ!$A:$A,ROW()+$C$5)&lt;&gt;"",40000*SIGN(BR148)*(分析データ!F148-INDEX(分析データ!F:F,ROW()+$C$5)),""),"")</f>
        <v/>
      </c>
      <c r="BU148">
        <f t="shared" ca="1" si="73"/>
        <v>0</v>
      </c>
      <c r="BV148">
        <f t="shared" ca="1" si="74"/>
        <v>0</v>
      </c>
      <c r="BW148">
        <f t="shared" ca="1" si="75"/>
        <v>0</v>
      </c>
      <c r="BX148" t="str">
        <f ca="1">IF(ROW()&lt;($C$7+1),"",IFERROR((分析データ!G148-AVERAGE(OFFSET(分析データ!G$1,MAX(1,ROW()-$C$7),0,MIN($C$7,ROW()-1),1)))/STDEV(OFFSET(分析データ!G$1,MAX(1,ROW()-$C$7),0,MIN($C$7,ROW()-1),1)),0))</f>
        <v/>
      </c>
      <c r="BY148">
        <f t="shared" ca="1" si="76"/>
        <v>0</v>
      </c>
      <c r="BZ148" t="str">
        <f ca="1">IF(BY148=1,IF(INDEX(分析データ!$A:$A,ROW()+$C$5)&lt;&gt;"",40000*SIGN(BX148)*(分析データ!G148-INDEX(分析データ!G:G,ROW()+$C$5)),""),"")</f>
        <v/>
      </c>
      <c r="CA148">
        <f t="shared" ca="1" si="77"/>
        <v>0</v>
      </c>
      <c r="CB148">
        <f t="shared" ca="1" si="78"/>
        <v>0</v>
      </c>
      <c r="CC148">
        <f t="shared" ca="1" si="79"/>
        <v>0</v>
      </c>
      <c r="CD148">
        <f t="shared" ca="1" si="80"/>
        <v>0</v>
      </c>
      <c r="CE148">
        <f t="shared" ca="1" si="81"/>
        <v>0</v>
      </c>
      <c r="CF148">
        <f t="shared" ca="1" si="82"/>
        <v>0</v>
      </c>
      <c r="CG148">
        <f t="shared" ca="1" si="83"/>
        <v>0</v>
      </c>
      <c r="CH148" s="10">
        <f>分析データ!A148</f>
        <v>45140</v>
      </c>
    </row>
    <row r="149" spans="46:86">
      <c r="AT149" t="str">
        <f ca="1">IF(ROW()&lt;($C$7+1),"",IFERROR((分析データ!B149-AVERAGE(OFFSET(分析データ!B$1,MAX(1,ROW()-$C$7),0,MIN($C$7,ROW()-1),1)))/STDEV(OFFSET(分析データ!B$1,MAX(1,ROW()-$C$7),0,MIN($C$7,ROW()-1),1)),0))</f>
        <v/>
      </c>
      <c r="AU149">
        <f t="shared" ca="1" si="56"/>
        <v>0</v>
      </c>
      <c r="AV149" t="str">
        <f ca="1">IF(AU149=1,IF(INDEX(分析データ!$A:$A,ROW()+$C$5)&lt;&gt;"",80000*SIGN(AT149)*(分析データ!B149-INDEX(分析データ!B:B,ROW()+$C$5)),""),"")</f>
        <v/>
      </c>
      <c r="AW149">
        <f t="shared" ca="1" si="57"/>
        <v>0</v>
      </c>
      <c r="AX149">
        <f t="shared" ca="1" si="58"/>
        <v>0</v>
      </c>
      <c r="AY149">
        <f t="shared" ca="1" si="59"/>
        <v>0</v>
      </c>
      <c r="AZ149" t="str">
        <f ca="1">IF(ROW()&lt;($C$7+1),"",IFERROR((分析データ!C149-AVERAGE(OFFSET(分析データ!C$1,MAX(1,ROW()-$C$7),0,MIN($C$7,ROW()-1),1)))/STDEV(OFFSET(分析データ!C$1,MAX(1,ROW()-$C$7),0,MIN($C$7,ROW()-1),1)),0))</f>
        <v/>
      </c>
      <c r="BA149">
        <f t="shared" ca="1" si="60"/>
        <v>0</v>
      </c>
      <c r="BB149" t="str">
        <f ca="1">IF(BA149=1,IF(INDEX(分析データ!$A:$A,ROW()+$C$5)&lt;&gt;"",60000*SIGN(AZ149)*(分析データ!C149-INDEX(分析データ!C:C,ROW()+$C$5)),""),"")</f>
        <v/>
      </c>
      <c r="BC149">
        <f t="shared" ca="1" si="61"/>
        <v>0</v>
      </c>
      <c r="BD149">
        <f t="shared" ca="1" si="62"/>
        <v>0</v>
      </c>
      <c r="BE149">
        <f t="shared" ca="1" si="63"/>
        <v>0</v>
      </c>
      <c r="BF149" t="str">
        <f ca="1">IF(ROW()&lt;($C$7+1),"",IFERROR((分析データ!D149-AVERAGE(OFFSET(分析データ!D$1,MAX(1,ROW()-$C$7),0,MIN($C$7,ROW()-1),1)))/STDEV(OFFSET(分析データ!D$1,MAX(1,ROW()-$C$7),0,MIN($C$7,ROW()-1),1)),0))</f>
        <v/>
      </c>
      <c r="BG149">
        <f t="shared" ca="1" si="64"/>
        <v>0</v>
      </c>
      <c r="BH149" t="str">
        <f ca="1">IF(BG149=1,IF(INDEX(分析データ!$A:$A,ROW()+$C$5)&lt;&gt;"",50000*SIGN(BF149)*(分析データ!D149-INDEX(分析データ!D:D,ROW()+$C$5)),""),"")</f>
        <v/>
      </c>
      <c r="BI149">
        <f t="shared" ca="1" si="65"/>
        <v>0</v>
      </c>
      <c r="BJ149">
        <f t="shared" ca="1" si="66"/>
        <v>0</v>
      </c>
      <c r="BK149">
        <f t="shared" ca="1" si="67"/>
        <v>0</v>
      </c>
      <c r="BL149" t="str">
        <f ca="1">IF(ROW()&lt;($C$7+1),"",IFERROR((分析データ!E149-AVERAGE(OFFSET(分析データ!E$1,MAX(1,ROW()-$C$7),0,MIN($C$7,ROW()-1),1)))/STDEV(OFFSET(分析データ!E$1,MAX(1,ROW()-$C$7),0,MIN($C$7,ROW()-1),1)),0))</f>
        <v/>
      </c>
      <c r="BM149">
        <f t="shared" ca="1" si="68"/>
        <v>0</v>
      </c>
      <c r="BN149" t="str">
        <f ca="1">IF(BM149=1,IF(INDEX(分析データ!$A:$A,ROW()+$C$5)&lt;&gt;"",40000*SIGN(BL149)*(分析データ!E149-INDEX(分析データ!E:E,ROW()+$C$5)),""),"")</f>
        <v/>
      </c>
      <c r="BO149">
        <f t="shared" ca="1" si="69"/>
        <v>0</v>
      </c>
      <c r="BP149">
        <f t="shared" ca="1" si="70"/>
        <v>0</v>
      </c>
      <c r="BQ149">
        <f t="shared" ca="1" si="71"/>
        <v>0</v>
      </c>
      <c r="BR149" t="str">
        <f ca="1">IF(ROW()&lt;($C$7+1),"",IFERROR((分析データ!F149-AVERAGE(OFFSET(分析データ!F$1,MAX(1,ROW()-$C$7),0,MIN($C$7,ROW()-1),1)))/STDEV(OFFSET(分析データ!F$1,MAX(1,ROW()-$C$7),0,MIN($C$7,ROW()-1),1)),0))</f>
        <v/>
      </c>
      <c r="BS149">
        <f t="shared" ca="1" si="72"/>
        <v>0</v>
      </c>
      <c r="BT149" t="str">
        <f ca="1">IF(BS149=1,IF(INDEX(分析データ!$A:$A,ROW()+$C$5)&lt;&gt;"",40000*SIGN(BR149)*(分析データ!F149-INDEX(分析データ!F:F,ROW()+$C$5)),""),"")</f>
        <v/>
      </c>
      <c r="BU149">
        <f t="shared" ca="1" si="73"/>
        <v>0</v>
      </c>
      <c r="BV149">
        <f t="shared" ca="1" si="74"/>
        <v>0</v>
      </c>
      <c r="BW149">
        <f t="shared" ca="1" si="75"/>
        <v>0</v>
      </c>
      <c r="BX149" t="str">
        <f ca="1">IF(ROW()&lt;($C$7+1),"",IFERROR((分析データ!G149-AVERAGE(OFFSET(分析データ!G$1,MAX(1,ROW()-$C$7),0,MIN($C$7,ROW()-1),1)))/STDEV(OFFSET(分析データ!G$1,MAX(1,ROW()-$C$7),0,MIN($C$7,ROW()-1),1)),0))</f>
        <v/>
      </c>
      <c r="BY149">
        <f t="shared" ca="1" si="76"/>
        <v>0</v>
      </c>
      <c r="BZ149" t="str">
        <f ca="1">IF(BY149=1,IF(INDEX(分析データ!$A:$A,ROW()+$C$5)&lt;&gt;"",40000*SIGN(BX149)*(分析データ!G149-INDEX(分析データ!G:G,ROW()+$C$5)),""),"")</f>
        <v/>
      </c>
      <c r="CA149">
        <f t="shared" ca="1" si="77"/>
        <v>0</v>
      </c>
      <c r="CB149">
        <f t="shared" ca="1" si="78"/>
        <v>0</v>
      </c>
      <c r="CC149">
        <f t="shared" ca="1" si="79"/>
        <v>0</v>
      </c>
      <c r="CD149">
        <f t="shared" ca="1" si="80"/>
        <v>0</v>
      </c>
      <c r="CE149">
        <f t="shared" ca="1" si="81"/>
        <v>0</v>
      </c>
      <c r="CF149">
        <f t="shared" ca="1" si="82"/>
        <v>0</v>
      </c>
      <c r="CG149">
        <f t="shared" ca="1" si="83"/>
        <v>0</v>
      </c>
      <c r="CH149" s="10">
        <f>分析データ!A149</f>
        <v>45141</v>
      </c>
    </row>
    <row r="150" spans="46:86">
      <c r="AT150" t="str">
        <f ca="1">IF(ROW()&lt;($C$7+1),"",IFERROR((分析データ!B150-AVERAGE(OFFSET(分析データ!B$1,MAX(1,ROW()-$C$7),0,MIN($C$7,ROW()-1),1)))/STDEV(OFFSET(分析データ!B$1,MAX(1,ROW()-$C$7),0,MIN($C$7,ROW()-1),1)),0))</f>
        <v/>
      </c>
      <c r="AU150">
        <f t="shared" ca="1" si="56"/>
        <v>0</v>
      </c>
      <c r="AV150" t="str">
        <f ca="1">IF(AU150=1,IF(INDEX(分析データ!$A:$A,ROW()+$C$5)&lt;&gt;"",80000*SIGN(AT150)*(分析データ!B150-INDEX(分析データ!B:B,ROW()+$C$5)),""),"")</f>
        <v/>
      </c>
      <c r="AW150">
        <f t="shared" ca="1" si="57"/>
        <v>0</v>
      </c>
      <c r="AX150">
        <f t="shared" ca="1" si="58"/>
        <v>0</v>
      </c>
      <c r="AY150">
        <f t="shared" ca="1" si="59"/>
        <v>0</v>
      </c>
      <c r="AZ150" t="str">
        <f ca="1">IF(ROW()&lt;($C$7+1),"",IFERROR((分析データ!C150-AVERAGE(OFFSET(分析データ!C$1,MAX(1,ROW()-$C$7),0,MIN($C$7,ROW()-1),1)))/STDEV(OFFSET(分析データ!C$1,MAX(1,ROW()-$C$7),0,MIN($C$7,ROW()-1),1)),0))</f>
        <v/>
      </c>
      <c r="BA150">
        <f t="shared" ca="1" si="60"/>
        <v>0</v>
      </c>
      <c r="BB150" t="str">
        <f ca="1">IF(BA150=1,IF(INDEX(分析データ!$A:$A,ROW()+$C$5)&lt;&gt;"",60000*SIGN(AZ150)*(分析データ!C150-INDEX(分析データ!C:C,ROW()+$C$5)),""),"")</f>
        <v/>
      </c>
      <c r="BC150">
        <f t="shared" ca="1" si="61"/>
        <v>0</v>
      </c>
      <c r="BD150">
        <f t="shared" ca="1" si="62"/>
        <v>0</v>
      </c>
      <c r="BE150">
        <f t="shared" ca="1" si="63"/>
        <v>0</v>
      </c>
      <c r="BF150" t="str">
        <f ca="1">IF(ROW()&lt;($C$7+1),"",IFERROR((分析データ!D150-AVERAGE(OFFSET(分析データ!D$1,MAX(1,ROW()-$C$7),0,MIN($C$7,ROW()-1),1)))/STDEV(OFFSET(分析データ!D$1,MAX(1,ROW()-$C$7),0,MIN($C$7,ROW()-1),1)),0))</f>
        <v/>
      </c>
      <c r="BG150">
        <f t="shared" ca="1" si="64"/>
        <v>0</v>
      </c>
      <c r="BH150" t="str">
        <f ca="1">IF(BG150=1,IF(INDEX(分析データ!$A:$A,ROW()+$C$5)&lt;&gt;"",50000*SIGN(BF150)*(分析データ!D150-INDEX(分析データ!D:D,ROW()+$C$5)),""),"")</f>
        <v/>
      </c>
      <c r="BI150">
        <f t="shared" ca="1" si="65"/>
        <v>0</v>
      </c>
      <c r="BJ150">
        <f t="shared" ca="1" si="66"/>
        <v>0</v>
      </c>
      <c r="BK150">
        <f t="shared" ca="1" si="67"/>
        <v>0</v>
      </c>
      <c r="BL150" t="str">
        <f ca="1">IF(ROW()&lt;($C$7+1),"",IFERROR((分析データ!E150-AVERAGE(OFFSET(分析データ!E$1,MAX(1,ROW()-$C$7),0,MIN($C$7,ROW()-1),1)))/STDEV(OFFSET(分析データ!E$1,MAX(1,ROW()-$C$7),0,MIN($C$7,ROW()-1),1)),0))</f>
        <v/>
      </c>
      <c r="BM150">
        <f t="shared" ca="1" si="68"/>
        <v>0</v>
      </c>
      <c r="BN150" t="str">
        <f ca="1">IF(BM150=1,IF(INDEX(分析データ!$A:$A,ROW()+$C$5)&lt;&gt;"",40000*SIGN(BL150)*(分析データ!E150-INDEX(分析データ!E:E,ROW()+$C$5)),""),"")</f>
        <v/>
      </c>
      <c r="BO150">
        <f t="shared" ca="1" si="69"/>
        <v>0</v>
      </c>
      <c r="BP150">
        <f t="shared" ca="1" si="70"/>
        <v>0</v>
      </c>
      <c r="BQ150">
        <f t="shared" ca="1" si="71"/>
        <v>0</v>
      </c>
      <c r="BR150" t="str">
        <f ca="1">IF(ROW()&lt;($C$7+1),"",IFERROR((分析データ!F150-AVERAGE(OFFSET(分析データ!F$1,MAX(1,ROW()-$C$7),0,MIN($C$7,ROW()-1),1)))/STDEV(OFFSET(分析データ!F$1,MAX(1,ROW()-$C$7),0,MIN($C$7,ROW()-1),1)),0))</f>
        <v/>
      </c>
      <c r="BS150">
        <f t="shared" ca="1" si="72"/>
        <v>0</v>
      </c>
      <c r="BT150" t="str">
        <f ca="1">IF(BS150=1,IF(INDEX(分析データ!$A:$A,ROW()+$C$5)&lt;&gt;"",40000*SIGN(BR150)*(分析データ!F150-INDEX(分析データ!F:F,ROW()+$C$5)),""),"")</f>
        <v/>
      </c>
      <c r="BU150">
        <f t="shared" ca="1" si="73"/>
        <v>0</v>
      </c>
      <c r="BV150">
        <f t="shared" ca="1" si="74"/>
        <v>0</v>
      </c>
      <c r="BW150">
        <f t="shared" ca="1" si="75"/>
        <v>0</v>
      </c>
      <c r="BX150" t="str">
        <f ca="1">IF(ROW()&lt;($C$7+1),"",IFERROR((分析データ!G150-AVERAGE(OFFSET(分析データ!G$1,MAX(1,ROW()-$C$7),0,MIN($C$7,ROW()-1),1)))/STDEV(OFFSET(分析データ!G$1,MAX(1,ROW()-$C$7),0,MIN($C$7,ROW()-1),1)),0))</f>
        <v/>
      </c>
      <c r="BY150">
        <f t="shared" ca="1" si="76"/>
        <v>0</v>
      </c>
      <c r="BZ150" t="str">
        <f ca="1">IF(BY150=1,IF(INDEX(分析データ!$A:$A,ROW()+$C$5)&lt;&gt;"",40000*SIGN(BX150)*(分析データ!G150-INDEX(分析データ!G:G,ROW()+$C$5)),""),"")</f>
        <v/>
      </c>
      <c r="CA150">
        <f t="shared" ca="1" si="77"/>
        <v>0</v>
      </c>
      <c r="CB150">
        <f t="shared" ca="1" si="78"/>
        <v>0</v>
      </c>
      <c r="CC150">
        <f t="shared" ca="1" si="79"/>
        <v>0</v>
      </c>
      <c r="CD150">
        <f t="shared" ca="1" si="80"/>
        <v>0</v>
      </c>
      <c r="CE150">
        <f t="shared" ca="1" si="81"/>
        <v>0</v>
      </c>
      <c r="CF150">
        <f t="shared" ca="1" si="82"/>
        <v>0</v>
      </c>
      <c r="CG150">
        <f t="shared" ca="1" si="83"/>
        <v>0</v>
      </c>
      <c r="CH150" s="10">
        <f>分析データ!A150</f>
        <v>45142</v>
      </c>
    </row>
    <row r="151" spans="46:86">
      <c r="AT151" t="str">
        <f ca="1">IF(ROW()&lt;($C$7+1),"",IFERROR((分析データ!B151-AVERAGE(OFFSET(分析データ!B$1,MAX(1,ROW()-$C$7),0,MIN($C$7,ROW()-1),1)))/STDEV(OFFSET(分析データ!B$1,MAX(1,ROW()-$C$7),0,MIN($C$7,ROW()-1),1)),0))</f>
        <v/>
      </c>
      <c r="AU151">
        <f t="shared" ca="1" si="56"/>
        <v>0</v>
      </c>
      <c r="AV151" t="str">
        <f ca="1">IF(AU151=1,IF(INDEX(分析データ!$A:$A,ROW()+$C$5)&lt;&gt;"",80000*SIGN(AT151)*(分析データ!B151-INDEX(分析データ!B:B,ROW()+$C$5)),""),"")</f>
        <v/>
      </c>
      <c r="AW151">
        <f t="shared" ca="1" si="57"/>
        <v>0</v>
      </c>
      <c r="AX151">
        <f t="shared" ca="1" si="58"/>
        <v>0</v>
      </c>
      <c r="AY151">
        <f t="shared" ca="1" si="59"/>
        <v>0</v>
      </c>
      <c r="AZ151" t="str">
        <f ca="1">IF(ROW()&lt;($C$7+1),"",IFERROR((分析データ!C151-AVERAGE(OFFSET(分析データ!C$1,MAX(1,ROW()-$C$7),0,MIN($C$7,ROW()-1),1)))/STDEV(OFFSET(分析データ!C$1,MAX(1,ROW()-$C$7),0,MIN($C$7,ROW()-1),1)),0))</f>
        <v/>
      </c>
      <c r="BA151">
        <f t="shared" ca="1" si="60"/>
        <v>0</v>
      </c>
      <c r="BB151" t="str">
        <f ca="1">IF(BA151=1,IF(INDEX(分析データ!$A:$A,ROW()+$C$5)&lt;&gt;"",60000*SIGN(AZ151)*(分析データ!C151-INDEX(分析データ!C:C,ROW()+$C$5)),""),"")</f>
        <v/>
      </c>
      <c r="BC151">
        <f t="shared" ca="1" si="61"/>
        <v>0</v>
      </c>
      <c r="BD151">
        <f t="shared" ca="1" si="62"/>
        <v>0</v>
      </c>
      <c r="BE151">
        <f t="shared" ca="1" si="63"/>
        <v>0</v>
      </c>
      <c r="BF151" t="str">
        <f ca="1">IF(ROW()&lt;($C$7+1),"",IFERROR((分析データ!D151-AVERAGE(OFFSET(分析データ!D$1,MAX(1,ROW()-$C$7),0,MIN($C$7,ROW()-1),1)))/STDEV(OFFSET(分析データ!D$1,MAX(1,ROW()-$C$7),0,MIN($C$7,ROW()-1),1)),0))</f>
        <v/>
      </c>
      <c r="BG151">
        <f t="shared" ca="1" si="64"/>
        <v>0</v>
      </c>
      <c r="BH151" t="str">
        <f ca="1">IF(BG151=1,IF(INDEX(分析データ!$A:$A,ROW()+$C$5)&lt;&gt;"",50000*SIGN(BF151)*(分析データ!D151-INDEX(分析データ!D:D,ROW()+$C$5)),""),"")</f>
        <v/>
      </c>
      <c r="BI151">
        <f t="shared" ca="1" si="65"/>
        <v>0</v>
      </c>
      <c r="BJ151">
        <f t="shared" ca="1" si="66"/>
        <v>0</v>
      </c>
      <c r="BK151">
        <f t="shared" ca="1" si="67"/>
        <v>0</v>
      </c>
      <c r="BL151" t="str">
        <f ca="1">IF(ROW()&lt;($C$7+1),"",IFERROR((分析データ!E151-AVERAGE(OFFSET(分析データ!E$1,MAX(1,ROW()-$C$7),0,MIN($C$7,ROW()-1),1)))/STDEV(OFFSET(分析データ!E$1,MAX(1,ROW()-$C$7),0,MIN($C$7,ROW()-1),1)),0))</f>
        <v/>
      </c>
      <c r="BM151">
        <f t="shared" ca="1" si="68"/>
        <v>0</v>
      </c>
      <c r="BN151" t="str">
        <f ca="1">IF(BM151=1,IF(INDEX(分析データ!$A:$A,ROW()+$C$5)&lt;&gt;"",40000*SIGN(BL151)*(分析データ!E151-INDEX(分析データ!E:E,ROW()+$C$5)),""),"")</f>
        <v/>
      </c>
      <c r="BO151">
        <f t="shared" ca="1" si="69"/>
        <v>0</v>
      </c>
      <c r="BP151">
        <f t="shared" ca="1" si="70"/>
        <v>0</v>
      </c>
      <c r="BQ151">
        <f t="shared" ca="1" si="71"/>
        <v>0</v>
      </c>
      <c r="BR151" t="str">
        <f ca="1">IF(ROW()&lt;($C$7+1),"",IFERROR((分析データ!F151-AVERAGE(OFFSET(分析データ!F$1,MAX(1,ROW()-$C$7),0,MIN($C$7,ROW()-1),1)))/STDEV(OFFSET(分析データ!F$1,MAX(1,ROW()-$C$7),0,MIN($C$7,ROW()-1),1)),0))</f>
        <v/>
      </c>
      <c r="BS151">
        <f t="shared" ca="1" si="72"/>
        <v>0</v>
      </c>
      <c r="BT151" t="str">
        <f ca="1">IF(BS151=1,IF(INDEX(分析データ!$A:$A,ROW()+$C$5)&lt;&gt;"",40000*SIGN(BR151)*(分析データ!F151-INDEX(分析データ!F:F,ROW()+$C$5)),""),"")</f>
        <v/>
      </c>
      <c r="BU151">
        <f t="shared" ca="1" si="73"/>
        <v>0</v>
      </c>
      <c r="BV151">
        <f t="shared" ca="1" si="74"/>
        <v>0</v>
      </c>
      <c r="BW151">
        <f t="shared" ca="1" si="75"/>
        <v>0</v>
      </c>
      <c r="BX151" t="str">
        <f ca="1">IF(ROW()&lt;($C$7+1),"",IFERROR((分析データ!G151-AVERAGE(OFFSET(分析データ!G$1,MAX(1,ROW()-$C$7),0,MIN($C$7,ROW()-1),1)))/STDEV(OFFSET(分析データ!G$1,MAX(1,ROW()-$C$7),0,MIN($C$7,ROW()-1),1)),0))</f>
        <v/>
      </c>
      <c r="BY151">
        <f t="shared" ca="1" si="76"/>
        <v>0</v>
      </c>
      <c r="BZ151" t="str">
        <f ca="1">IF(BY151=1,IF(INDEX(分析データ!$A:$A,ROW()+$C$5)&lt;&gt;"",40000*SIGN(BX151)*(分析データ!G151-INDEX(分析データ!G:G,ROW()+$C$5)),""),"")</f>
        <v/>
      </c>
      <c r="CA151">
        <f t="shared" ca="1" si="77"/>
        <v>0</v>
      </c>
      <c r="CB151">
        <f t="shared" ca="1" si="78"/>
        <v>0</v>
      </c>
      <c r="CC151">
        <f t="shared" ca="1" si="79"/>
        <v>0</v>
      </c>
      <c r="CD151">
        <f t="shared" ca="1" si="80"/>
        <v>0</v>
      </c>
      <c r="CE151">
        <f t="shared" ca="1" si="81"/>
        <v>0</v>
      </c>
      <c r="CF151">
        <f t="shared" ca="1" si="82"/>
        <v>0</v>
      </c>
      <c r="CG151">
        <f t="shared" ca="1" si="83"/>
        <v>0</v>
      </c>
      <c r="CH151" s="10">
        <f>分析データ!A151</f>
        <v>45145</v>
      </c>
    </row>
    <row r="152" spans="46:86">
      <c r="AT152" t="str">
        <f ca="1">IF(ROW()&lt;($C$7+1),"",IFERROR((分析データ!B152-AVERAGE(OFFSET(分析データ!B$1,MAX(1,ROW()-$C$7),0,MIN($C$7,ROW()-1),1)))/STDEV(OFFSET(分析データ!B$1,MAX(1,ROW()-$C$7),0,MIN($C$7,ROW()-1),1)),0))</f>
        <v/>
      </c>
      <c r="AU152">
        <f t="shared" ca="1" si="56"/>
        <v>0</v>
      </c>
      <c r="AV152" t="str">
        <f ca="1">IF(AU152=1,IF(INDEX(分析データ!$A:$A,ROW()+$C$5)&lt;&gt;"",80000*SIGN(AT152)*(分析データ!B152-INDEX(分析データ!B:B,ROW()+$C$5)),""),"")</f>
        <v/>
      </c>
      <c r="AW152">
        <f t="shared" ca="1" si="57"/>
        <v>0</v>
      </c>
      <c r="AX152">
        <f t="shared" ca="1" si="58"/>
        <v>0</v>
      </c>
      <c r="AY152">
        <f t="shared" ca="1" si="59"/>
        <v>0</v>
      </c>
      <c r="AZ152" t="str">
        <f ca="1">IF(ROW()&lt;($C$7+1),"",IFERROR((分析データ!C152-AVERAGE(OFFSET(分析データ!C$1,MAX(1,ROW()-$C$7),0,MIN($C$7,ROW()-1),1)))/STDEV(OFFSET(分析データ!C$1,MAX(1,ROW()-$C$7),0,MIN($C$7,ROW()-1),1)),0))</f>
        <v/>
      </c>
      <c r="BA152">
        <f t="shared" ca="1" si="60"/>
        <v>0</v>
      </c>
      <c r="BB152" t="str">
        <f ca="1">IF(BA152=1,IF(INDEX(分析データ!$A:$A,ROW()+$C$5)&lt;&gt;"",60000*SIGN(AZ152)*(分析データ!C152-INDEX(分析データ!C:C,ROW()+$C$5)),""),"")</f>
        <v/>
      </c>
      <c r="BC152">
        <f t="shared" ca="1" si="61"/>
        <v>0</v>
      </c>
      <c r="BD152">
        <f t="shared" ca="1" si="62"/>
        <v>0</v>
      </c>
      <c r="BE152">
        <f t="shared" ca="1" si="63"/>
        <v>0</v>
      </c>
      <c r="BF152" t="str">
        <f ca="1">IF(ROW()&lt;($C$7+1),"",IFERROR((分析データ!D152-AVERAGE(OFFSET(分析データ!D$1,MAX(1,ROW()-$C$7),0,MIN($C$7,ROW()-1),1)))/STDEV(OFFSET(分析データ!D$1,MAX(1,ROW()-$C$7),0,MIN($C$7,ROW()-1),1)),0))</f>
        <v/>
      </c>
      <c r="BG152">
        <f t="shared" ca="1" si="64"/>
        <v>0</v>
      </c>
      <c r="BH152" t="str">
        <f ca="1">IF(BG152=1,IF(INDEX(分析データ!$A:$A,ROW()+$C$5)&lt;&gt;"",50000*SIGN(BF152)*(分析データ!D152-INDEX(分析データ!D:D,ROW()+$C$5)),""),"")</f>
        <v/>
      </c>
      <c r="BI152">
        <f t="shared" ca="1" si="65"/>
        <v>0</v>
      </c>
      <c r="BJ152">
        <f t="shared" ca="1" si="66"/>
        <v>0</v>
      </c>
      <c r="BK152">
        <f t="shared" ca="1" si="67"/>
        <v>0</v>
      </c>
      <c r="BL152" t="str">
        <f ca="1">IF(ROW()&lt;($C$7+1),"",IFERROR((分析データ!E152-AVERAGE(OFFSET(分析データ!E$1,MAX(1,ROW()-$C$7),0,MIN($C$7,ROW()-1),1)))/STDEV(OFFSET(分析データ!E$1,MAX(1,ROW()-$C$7),0,MIN($C$7,ROW()-1),1)),0))</f>
        <v/>
      </c>
      <c r="BM152">
        <f t="shared" ca="1" si="68"/>
        <v>0</v>
      </c>
      <c r="BN152" t="str">
        <f ca="1">IF(BM152=1,IF(INDEX(分析データ!$A:$A,ROW()+$C$5)&lt;&gt;"",40000*SIGN(BL152)*(分析データ!E152-INDEX(分析データ!E:E,ROW()+$C$5)),""),"")</f>
        <v/>
      </c>
      <c r="BO152">
        <f t="shared" ca="1" si="69"/>
        <v>0</v>
      </c>
      <c r="BP152">
        <f t="shared" ca="1" si="70"/>
        <v>0</v>
      </c>
      <c r="BQ152">
        <f t="shared" ca="1" si="71"/>
        <v>0</v>
      </c>
      <c r="BR152" t="str">
        <f ca="1">IF(ROW()&lt;($C$7+1),"",IFERROR((分析データ!F152-AVERAGE(OFFSET(分析データ!F$1,MAX(1,ROW()-$C$7),0,MIN($C$7,ROW()-1),1)))/STDEV(OFFSET(分析データ!F$1,MAX(1,ROW()-$C$7),0,MIN($C$7,ROW()-1),1)),0))</f>
        <v/>
      </c>
      <c r="BS152">
        <f t="shared" ca="1" si="72"/>
        <v>0</v>
      </c>
      <c r="BT152" t="str">
        <f ca="1">IF(BS152=1,IF(INDEX(分析データ!$A:$A,ROW()+$C$5)&lt;&gt;"",40000*SIGN(BR152)*(分析データ!F152-INDEX(分析データ!F:F,ROW()+$C$5)),""),"")</f>
        <v/>
      </c>
      <c r="BU152">
        <f t="shared" ca="1" si="73"/>
        <v>0</v>
      </c>
      <c r="BV152">
        <f t="shared" ca="1" si="74"/>
        <v>0</v>
      </c>
      <c r="BW152">
        <f t="shared" ca="1" si="75"/>
        <v>0</v>
      </c>
      <c r="BX152" t="str">
        <f ca="1">IF(ROW()&lt;($C$7+1),"",IFERROR((分析データ!G152-AVERAGE(OFFSET(分析データ!G$1,MAX(1,ROW()-$C$7),0,MIN($C$7,ROW()-1),1)))/STDEV(OFFSET(分析データ!G$1,MAX(1,ROW()-$C$7),0,MIN($C$7,ROW()-1),1)),0))</f>
        <v/>
      </c>
      <c r="BY152">
        <f t="shared" ca="1" si="76"/>
        <v>0</v>
      </c>
      <c r="BZ152" t="str">
        <f ca="1">IF(BY152=1,IF(INDEX(分析データ!$A:$A,ROW()+$C$5)&lt;&gt;"",40000*SIGN(BX152)*(分析データ!G152-INDEX(分析データ!G:G,ROW()+$C$5)),""),"")</f>
        <v/>
      </c>
      <c r="CA152">
        <f t="shared" ca="1" si="77"/>
        <v>0</v>
      </c>
      <c r="CB152">
        <f t="shared" ca="1" si="78"/>
        <v>0</v>
      </c>
      <c r="CC152">
        <f t="shared" ca="1" si="79"/>
        <v>0</v>
      </c>
      <c r="CD152">
        <f t="shared" ca="1" si="80"/>
        <v>0</v>
      </c>
      <c r="CE152">
        <f t="shared" ca="1" si="81"/>
        <v>0</v>
      </c>
      <c r="CF152">
        <f t="shared" ca="1" si="82"/>
        <v>0</v>
      </c>
      <c r="CG152">
        <f t="shared" ca="1" si="83"/>
        <v>0</v>
      </c>
      <c r="CH152" s="10">
        <f>分析データ!A152</f>
        <v>45146</v>
      </c>
    </row>
    <row r="153" spans="46:86">
      <c r="AT153" t="str">
        <f ca="1">IF(ROW()&lt;($C$7+1),"",IFERROR((分析データ!B153-AVERAGE(OFFSET(分析データ!B$1,MAX(1,ROW()-$C$7),0,MIN($C$7,ROW()-1),1)))/STDEV(OFFSET(分析データ!B$1,MAX(1,ROW()-$C$7),0,MIN($C$7,ROW()-1),1)),0))</f>
        <v/>
      </c>
      <c r="AU153">
        <f t="shared" ca="1" si="56"/>
        <v>0</v>
      </c>
      <c r="AV153" t="str">
        <f ca="1">IF(AU153=1,IF(INDEX(分析データ!$A:$A,ROW()+$C$5)&lt;&gt;"",80000*SIGN(AT153)*(分析データ!B153-INDEX(分析データ!B:B,ROW()+$C$5)),""),"")</f>
        <v/>
      </c>
      <c r="AW153">
        <f t="shared" ca="1" si="57"/>
        <v>0</v>
      </c>
      <c r="AX153">
        <f t="shared" ca="1" si="58"/>
        <v>0</v>
      </c>
      <c r="AY153">
        <f t="shared" ca="1" si="59"/>
        <v>0</v>
      </c>
      <c r="AZ153" t="str">
        <f ca="1">IF(ROW()&lt;($C$7+1),"",IFERROR((分析データ!C153-AVERAGE(OFFSET(分析データ!C$1,MAX(1,ROW()-$C$7),0,MIN($C$7,ROW()-1),1)))/STDEV(OFFSET(分析データ!C$1,MAX(1,ROW()-$C$7),0,MIN($C$7,ROW()-1),1)),0))</f>
        <v/>
      </c>
      <c r="BA153">
        <f t="shared" ca="1" si="60"/>
        <v>0</v>
      </c>
      <c r="BB153" t="str">
        <f ca="1">IF(BA153=1,IF(INDEX(分析データ!$A:$A,ROW()+$C$5)&lt;&gt;"",60000*SIGN(AZ153)*(分析データ!C153-INDEX(分析データ!C:C,ROW()+$C$5)),""),"")</f>
        <v/>
      </c>
      <c r="BC153">
        <f t="shared" ca="1" si="61"/>
        <v>0</v>
      </c>
      <c r="BD153">
        <f t="shared" ca="1" si="62"/>
        <v>0</v>
      </c>
      <c r="BE153">
        <f t="shared" ca="1" si="63"/>
        <v>0</v>
      </c>
      <c r="BF153" t="str">
        <f ca="1">IF(ROW()&lt;($C$7+1),"",IFERROR((分析データ!D153-AVERAGE(OFFSET(分析データ!D$1,MAX(1,ROW()-$C$7),0,MIN($C$7,ROW()-1),1)))/STDEV(OFFSET(分析データ!D$1,MAX(1,ROW()-$C$7),0,MIN($C$7,ROW()-1),1)),0))</f>
        <v/>
      </c>
      <c r="BG153">
        <f t="shared" ca="1" si="64"/>
        <v>0</v>
      </c>
      <c r="BH153" t="str">
        <f ca="1">IF(BG153=1,IF(INDEX(分析データ!$A:$A,ROW()+$C$5)&lt;&gt;"",50000*SIGN(BF153)*(分析データ!D153-INDEX(分析データ!D:D,ROW()+$C$5)),""),"")</f>
        <v/>
      </c>
      <c r="BI153">
        <f t="shared" ca="1" si="65"/>
        <v>0</v>
      </c>
      <c r="BJ153">
        <f t="shared" ca="1" si="66"/>
        <v>0</v>
      </c>
      <c r="BK153">
        <f t="shared" ca="1" si="67"/>
        <v>0</v>
      </c>
      <c r="BL153" t="str">
        <f ca="1">IF(ROW()&lt;($C$7+1),"",IFERROR((分析データ!E153-AVERAGE(OFFSET(分析データ!E$1,MAX(1,ROW()-$C$7),0,MIN($C$7,ROW()-1),1)))/STDEV(OFFSET(分析データ!E$1,MAX(1,ROW()-$C$7),0,MIN($C$7,ROW()-1),1)),0))</f>
        <v/>
      </c>
      <c r="BM153">
        <f t="shared" ca="1" si="68"/>
        <v>0</v>
      </c>
      <c r="BN153" t="str">
        <f ca="1">IF(BM153=1,IF(INDEX(分析データ!$A:$A,ROW()+$C$5)&lt;&gt;"",40000*SIGN(BL153)*(分析データ!E153-INDEX(分析データ!E:E,ROW()+$C$5)),""),"")</f>
        <v/>
      </c>
      <c r="BO153">
        <f t="shared" ca="1" si="69"/>
        <v>0</v>
      </c>
      <c r="BP153">
        <f t="shared" ca="1" si="70"/>
        <v>0</v>
      </c>
      <c r="BQ153">
        <f t="shared" ca="1" si="71"/>
        <v>0</v>
      </c>
      <c r="BR153" t="str">
        <f ca="1">IF(ROW()&lt;($C$7+1),"",IFERROR((分析データ!F153-AVERAGE(OFFSET(分析データ!F$1,MAX(1,ROW()-$C$7),0,MIN($C$7,ROW()-1),1)))/STDEV(OFFSET(分析データ!F$1,MAX(1,ROW()-$C$7),0,MIN($C$7,ROW()-1),1)),0))</f>
        <v/>
      </c>
      <c r="BS153">
        <f t="shared" ca="1" si="72"/>
        <v>0</v>
      </c>
      <c r="BT153" t="str">
        <f ca="1">IF(BS153=1,IF(INDEX(分析データ!$A:$A,ROW()+$C$5)&lt;&gt;"",40000*SIGN(BR153)*(分析データ!F153-INDEX(分析データ!F:F,ROW()+$C$5)),""),"")</f>
        <v/>
      </c>
      <c r="BU153">
        <f t="shared" ca="1" si="73"/>
        <v>0</v>
      </c>
      <c r="BV153">
        <f t="shared" ca="1" si="74"/>
        <v>0</v>
      </c>
      <c r="BW153">
        <f t="shared" ca="1" si="75"/>
        <v>0</v>
      </c>
      <c r="BX153" t="str">
        <f ca="1">IF(ROW()&lt;($C$7+1),"",IFERROR((分析データ!G153-AVERAGE(OFFSET(分析データ!G$1,MAX(1,ROW()-$C$7),0,MIN($C$7,ROW()-1),1)))/STDEV(OFFSET(分析データ!G$1,MAX(1,ROW()-$C$7),0,MIN($C$7,ROW()-1),1)),0))</f>
        <v/>
      </c>
      <c r="BY153">
        <f t="shared" ca="1" si="76"/>
        <v>0</v>
      </c>
      <c r="BZ153" t="str">
        <f ca="1">IF(BY153=1,IF(INDEX(分析データ!$A:$A,ROW()+$C$5)&lt;&gt;"",40000*SIGN(BX153)*(分析データ!G153-INDEX(分析データ!G:G,ROW()+$C$5)),""),"")</f>
        <v/>
      </c>
      <c r="CA153">
        <f t="shared" ca="1" si="77"/>
        <v>0</v>
      </c>
      <c r="CB153">
        <f t="shared" ca="1" si="78"/>
        <v>0</v>
      </c>
      <c r="CC153">
        <f t="shared" ca="1" si="79"/>
        <v>0</v>
      </c>
      <c r="CD153">
        <f t="shared" ca="1" si="80"/>
        <v>0</v>
      </c>
      <c r="CE153">
        <f t="shared" ca="1" si="81"/>
        <v>0</v>
      </c>
      <c r="CF153">
        <f t="shared" ca="1" si="82"/>
        <v>0</v>
      </c>
      <c r="CG153">
        <f t="shared" ca="1" si="83"/>
        <v>0</v>
      </c>
      <c r="CH153" s="10">
        <f>分析データ!A153</f>
        <v>45147</v>
      </c>
    </row>
    <row r="154" spans="46:86">
      <c r="AT154" t="str">
        <f ca="1">IF(ROW()&lt;($C$7+1),"",IFERROR((分析データ!B154-AVERAGE(OFFSET(分析データ!B$1,MAX(1,ROW()-$C$7),0,MIN($C$7,ROW()-1),1)))/STDEV(OFFSET(分析データ!B$1,MAX(1,ROW()-$C$7),0,MIN($C$7,ROW()-1),1)),0))</f>
        <v/>
      </c>
      <c r="AU154">
        <f t="shared" ca="1" si="56"/>
        <v>0</v>
      </c>
      <c r="AV154" t="str">
        <f ca="1">IF(AU154=1,IF(INDEX(分析データ!$A:$A,ROW()+$C$5)&lt;&gt;"",80000*SIGN(AT154)*(分析データ!B154-INDEX(分析データ!B:B,ROW()+$C$5)),""),"")</f>
        <v/>
      </c>
      <c r="AW154">
        <f t="shared" ca="1" si="57"/>
        <v>0</v>
      </c>
      <c r="AX154">
        <f t="shared" ca="1" si="58"/>
        <v>0</v>
      </c>
      <c r="AY154">
        <f t="shared" ca="1" si="59"/>
        <v>0</v>
      </c>
      <c r="AZ154" t="str">
        <f ca="1">IF(ROW()&lt;($C$7+1),"",IFERROR((分析データ!C154-AVERAGE(OFFSET(分析データ!C$1,MAX(1,ROW()-$C$7),0,MIN($C$7,ROW()-1),1)))/STDEV(OFFSET(分析データ!C$1,MAX(1,ROW()-$C$7),0,MIN($C$7,ROW()-1),1)),0))</f>
        <v/>
      </c>
      <c r="BA154">
        <f t="shared" ca="1" si="60"/>
        <v>0</v>
      </c>
      <c r="BB154" t="str">
        <f ca="1">IF(BA154=1,IF(INDEX(分析データ!$A:$A,ROW()+$C$5)&lt;&gt;"",60000*SIGN(AZ154)*(分析データ!C154-INDEX(分析データ!C:C,ROW()+$C$5)),""),"")</f>
        <v/>
      </c>
      <c r="BC154">
        <f t="shared" ca="1" si="61"/>
        <v>0</v>
      </c>
      <c r="BD154">
        <f t="shared" ca="1" si="62"/>
        <v>0</v>
      </c>
      <c r="BE154">
        <f t="shared" ca="1" si="63"/>
        <v>0</v>
      </c>
      <c r="BF154" t="str">
        <f ca="1">IF(ROW()&lt;($C$7+1),"",IFERROR((分析データ!D154-AVERAGE(OFFSET(分析データ!D$1,MAX(1,ROW()-$C$7),0,MIN($C$7,ROW()-1),1)))/STDEV(OFFSET(分析データ!D$1,MAX(1,ROW()-$C$7),0,MIN($C$7,ROW()-1),1)),0))</f>
        <v/>
      </c>
      <c r="BG154">
        <f t="shared" ca="1" si="64"/>
        <v>0</v>
      </c>
      <c r="BH154" t="str">
        <f ca="1">IF(BG154=1,IF(INDEX(分析データ!$A:$A,ROW()+$C$5)&lt;&gt;"",50000*SIGN(BF154)*(分析データ!D154-INDEX(分析データ!D:D,ROW()+$C$5)),""),"")</f>
        <v/>
      </c>
      <c r="BI154">
        <f t="shared" ca="1" si="65"/>
        <v>0</v>
      </c>
      <c r="BJ154">
        <f t="shared" ca="1" si="66"/>
        <v>0</v>
      </c>
      <c r="BK154">
        <f t="shared" ca="1" si="67"/>
        <v>0</v>
      </c>
      <c r="BL154" t="str">
        <f ca="1">IF(ROW()&lt;($C$7+1),"",IFERROR((分析データ!E154-AVERAGE(OFFSET(分析データ!E$1,MAX(1,ROW()-$C$7),0,MIN($C$7,ROW()-1),1)))/STDEV(OFFSET(分析データ!E$1,MAX(1,ROW()-$C$7),0,MIN($C$7,ROW()-1),1)),0))</f>
        <v/>
      </c>
      <c r="BM154">
        <f t="shared" ca="1" si="68"/>
        <v>0</v>
      </c>
      <c r="BN154" t="str">
        <f ca="1">IF(BM154=1,IF(INDEX(分析データ!$A:$A,ROW()+$C$5)&lt;&gt;"",40000*SIGN(BL154)*(分析データ!E154-INDEX(分析データ!E:E,ROW()+$C$5)),""),"")</f>
        <v/>
      </c>
      <c r="BO154">
        <f t="shared" ca="1" si="69"/>
        <v>0</v>
      </c>
      <c r="BP154">
        <f t="shared" ca="1" si="70"/>
        <v>0</v>
      </c>
      <c r="BQ154">
        <f t="shared" ca="1" si="71"/>
        <v>0</v>
      </c>
      <c r="BR154" t="str">
        <f ca="1">IF(ROW()&lt;($C$7+1),"",IFERROR((分析データ!F154-AVERAGE(OFFSET(分析データ!F$1,MAX(1,ROW()-$C$7),0,MIN($C$7,ROW()-1),1)))/STDEV(OFFSET(分析データ!F$1,MAX(1,ROW()-$C$7),0,MIN($C$7,ROW()-1),1)),0))</f>
        <v/>
      </c>
      <c r="BS154">
        <f t="shared" ca="1" si="72"/>
        <v>0</v>
      </c>
      <c r="BT154" t="str">
        <f ca="1">IF(BS154=1,IF(INDEX(分析データ!$A:$A,ROW()+$C$5)&lt;&gt;"",40000*SIGN(BR154)*(分析データ!F154-INDEX(分析データ!F:F,ROW()+$C$5)),""),"")</f>
        <v/>
      </c>
      <c r="BU154">
        <f t="shared" ca="1" si="73"/>
        <v>0</v>
      </c>
      <c r="BV154">
        <f t="shared" ca="1" si="74"/>
        <v>0</v>
      </c>
      <c r="BW154">
        <f t="shared" ca="1" si="75"/>
        <v>0</v>
      </c>
      <c r="BX154" t="str">
        <f ca="1">IF(ROW()&lt;($C$7+1),"",IFERROR((分析データ!G154-AVERAGE(OFFSET(分析データ!G$1,MAX(1,ROW()-$C$7),0,MIN($C$7,ROW()-1),1)))/STDEV(OFFSET(分析データ!G$1,MAX(1,ROW()-$C$7),0,MIN($C$7,ROW()-1),1)),0))</f>
        <v/>
      </c>
      <c r="BY154">
        <f t="shared" ca="1" si="76"/>
        <v>0</v>
      </c>
      <c r="BZ154" t="str">
        <f ca="1">IF(BY154=1,IF(INDEX(分析データ!$A:$A,ROW()+$C$5)&lt;&gt;"",40000*SIGN(BX154)*(分析データ!G154-INDEX(分析データ!G:G,ROW()+$C$5)),""),"")</f>
        <v/>
      </c>
      <c r="CA154">
        <f t="shared" ca="1" si="77"/>
        <v>0</v>
      </c>
      <c r="CB154">
        <f t="shared" ca="1" si="78"/>
        <v>0</v>
      </c>
      <c r="CC154">
        <f t="shared" ca="1" si="79"/>
        <v>0</v>
      </c>
      <c r="CD154">
        <f t="shared" ca="1" si="80"/>
        <v>0</v>
      </c>
      <c r="CE154">
        <f t="shared" ca="1" si="81"/>
        <v>0</v>
      </c>
      <c r="CF154">
        <f t="shared" ca="1" si="82"/>
        <v>0</v>
      </c>
      <c r="CG154">
        <f t="shared" ca="1" si="83"/>
        <v>0</v>
      </c>
      <c r="CH154" s="10">
        <f>分析データ!A154</f>
        <v>45148</v>
      </c>
    </row>
    <row r="155" spans="46:86">
      <c r="AT155" t="str">
        <f ca="1">IF(ROW()&lt;($C$7+1),"",IFERROR((分析データ!B155-AVERAGE(OFFSET(分析データ!B$1,MAX(1,ROW()-$C$7),0,MIN($C$7,ROW()-1),1)))/STDEV(OFFSET(分析データ!B$1,MAX(1,ROW()-$C$7),0,MIN($C$7,ROW()-1),1)),0))</f>
        <v/>
      </c>
      <c r="AU155">
        <f t="shared" ca="1" si="56"/>
        <v>0</v>
      </c>
      <c r="AV155" t="str">
        <f ca="1">IF(AU155=1,IF(INDEX(分析データ!$A:$A,ROW()+$C$5)&lt;&gt;"",80000*SIGN(AT155)*(分析データ!B155-INDEX(分析データ!B:B,ROW()+$C$5)),""),"")</f>
        <v/>
      </c>
      <c r="AW155">
        <f t="shared" ca="1" si="57"/>
        <v>0</v>
      </c>
      <c r="AX155">
        <f t="shared" ca="1" si="58"/>
        <v>0</v>
      </c>
      <c r="AY155">
        <f t="shared" ca="1" si="59"/>
        <v>0</v>
      </c>
      <c r="AZ155" t="str">
        <f ca="1">IF(ROW()&lt;($C$7+1),"",IFERROR((分析データ!C155-AVERAGE(OFFSET(分析データ!C$1,MAX(1,ROW()-$C$7),0,MIN($C$7,ROW()-1),1)))/STDEV(OFFSET(分析データ!C$1,MAX(1,ROW()-$C$7),0,MIN($C$7,ROW()-1),1)),0))</f>
        <v/>
      </c>
      <c r="BA155">
        <f t="shared" ca="1" si="60"/>
        <v>0</v>
      </c>
      <c r="BB155" t="str">
        <f ca="1">IF(BA155=1,IF(INDEX(分析データ!$A:$A,ROW()+$C$5)&lt;&gt;"",60000*SIGN(AZ155)*(分析データ!C155-INDEX(分析データ!C:C,ROW()+$C$5)),""),"")</f>
        <v/>
      </c>
      <c r="BC155">
        <f t="shared" ca="1" si="61"/>
        <v>0</v>
      </c>
      <c r="BD155">
        <f t="shared" ca="1" si="62"/>
        <v>0</v>
      </c>
      <c r="BE155">
        <f t="shared" ca="1" si="63"/>
        <v>0</v>
      </c>
      <c r="BF155" t="str">
        <f ca="1">IF(ROW()&lt;($C$7+1),"",IFERROR((分析データ!D155-AVERAGE(OFFSET(分析データ!D$1,MAX(1,ROW()-$C$7),0,MIN($C$7,ROW()-1),1)))/STDEV(OFFSET(分析データ!D$1,MAX(1,ROW()-$C$7),0,MIN($C$7,ROW()-1),1)),0))</f>
        <v/>
      </c>
      <c r="BG155">
        <f t="shared" ca="1" si="64"/>
        <v>0</v>
      </c>
      <c r="BH155" t="str">
        <f ca="1">IF(BG155=1,IF(INDEX(分析データ!$A:$A,ROW()+$C$5)&lt;&gt;"",50000*SIGN(BF155)*(分析データ!D155-INDEX(分析データ!D:D,ROW()+$C$5)),""),"")</f>
        <v/>
      </c>
      <c r="BI155">
        <f t="shared" ca="1" si="65"/>
        <v>0</v>
      </c>
      <c r="BJ155">
        <f t="shared" ca="1" si="66"/>
        <v>0</v>
      </c>
      <c r="BK155">
        <f t="shared" ca="1" si="67"/>
        <v>0</v>
      </c>
      <c r="BL155" t="str">
        <f ca="1">IF(ROW()&lt;($C$7+1),"",IFERROR((分析データ!E155-AVERAGE(OFFSET(分析データ!E$1,MAX(1,ROW()-$C$7),0,MIN($C$7,ROW()-1),1)))/STDEV(OFFSET(分析データ!E$1,MAX(1,ROW()-$C$7),0,MIN($C$7,ROW()-1),1)),0))</f>
        <v/>
      </c>
      <c r="BM155">
        <f t="shared" ca="1" si="68"/>
        <v>0</v>
      </c>
      <c r="BN155" t="str">
        <f ca="1">IF(BM155=1,IF(INDEX(分析データ!$A:$A,ROW()+$C$5)&lt;&gt;"",40000*SIGN(BL155)*(分析データ!E155-INDEX(分析データ!E:E,ROW()+$C$5)),""),"")</f>
        <v/>
      </c>
      <c r="BO155">
        <f t="shared" ca="1" si="69"/>
        <v>0</v>
      </c>
      <c r="BP155">
        <f t="shared" ca="1" si="70"/>
        <v>0</v>
      </c>
      <c r="BQ155">
        <f t="shared" ca="1" si="71"/>
        <v>0</v>
      </c>
      <c r="BR155" t="str">
        <f ca="1">IF(ROW()&lt;($C$7+1),"",IFERROR((分析データ!F155-AVERAGE(OFFSET(分析データ!F$1,MAX(1,ROW()-$C$7),0,MIN($C$7,ROW()-1),1)))/STDEV(OFFSET(分析データ!F$1,MAX(1,ROW()-$C$7),0,MIN($C$7,ROW()-1),1)),0))</f>
        <v/>
      </c>
      <c r="BS155">
        <f t="shared" ca="1" si="72"/>
        <v>0</v>
      </c>
      <c r="BT155" t="str">
        <f ca="1">IF(BS155=1,IF(INDEX(分析データ!$A:$A,ROW()+$C$5)&lt;&gt;"",40000*SIGN(BR155)*(分析データ!F155-INDEX(分析データ!F:F,ROW()+$C$5)),""),"")</f>
        <v/>
      </c>
      <c r="BU155">
        <f t="shared" ca="1" si="73"/>
        <v>0</v>
      </c>
      <c r="BV155">
        <f t="shared" ca="1" si="74"/>
        <v>0</v>
      </c>
      <c r="BW155">
        <f t="shared" ca="1" si="75"/>
        <v>0</v>
      </c>
      <c r="BX155" t="str">
        <f ca="1">IF(ROW()&lt;($C$7+1),"",IFERROR((分析データ!G155-AVERAGE(OFFSET(分析データ!G$1,MAX(1,ROW()-$C$7),0,MIN($C$7,ROW()-1),1)))/STDEV(OFFSET(分析データ!G$1,MAX(1,ROW()-$C$7),0,MIN($C$7,ROW()-1),1)),0))</f>
        <v/>
      </c>
      <c r="BY155">
        <f t="shared" ca="1" si="76"/>
        <v>0</v>
      </c>
      <c r="BZ155" t="str">
        <f ca="1">IF(BY155=1,IF(INDEX(分析データ!$A:$A,ROW()+$C$5)&lt;&gt;"",40000*SIGN(BX155)*(分析データ!G155-INDEX(分析データ!G:G,ROW()+$C$5)),""),"")</f>
        <v/>
      </c>
      <c r="CA155">
        <f t="shared" ca="1" si="77"/>
        <v>0</v>
      </c>
      <c r="CB155">
        <f t="shared" ca="1" si="78"/>
        <v>0</v>
      </c>
      <c r="CC155">
        <f t="shared" ca="1" si="79"/>
        <v>0</v>
      </c>
      <c r="CD155">
        <f t="shared" ca="1" si="80"/>
        <v>0</v>
      </c>
      <c r="CE155">
        <f t="shared" ca="1" si="81"/>
        <v>0</v>
      </c>
      <c r="CF155">
        <f t="shared" ca="1" si="82"/>
        <v>0</v>
      </c>
      <c r="CG155">
        <f t="shared" ca="1" si="83"/>
        <v>0</v>
      </c>
      <c r="CH155" s="10">
        <f>分析データ!A155</f>
        <v>45149</v>
      </c>
    </row>
    <row r="156" spans="46:86">
      <c r="AT156" t="str">
        <f ca="1">IF(ROW()&lt;($C$7+1),"",IFERROR((分析データ!B156-AVERAGE(OFFSET(分析データ!B$1,MAX(1,ROW()-$C$7),0,MIN($C$7,ROW()-1),1)))/STDEV(OFFSET(分析データ!B$1,MAX(1,ROW()-$C$7),0,MIN($C$7,ROW()-1),1)),0))</f>
        <v/>
      </c>
      <c r="AU156">
        <f t="shared" ca="1" si="56"/>
        <v>0</v>
      </c>
      <c r="AV156" t="str">
        <f ca="1">IF(AU156=1,IF(INDEX(分析データ!$A:$A,ROW()+$C$5)&lt;&gt;"",80000*SIGN(AT156)*(分析データ!B156-INDEX(分析データ!B:B,ROW()+$C$5)),""),"")</f>
        <v/>
      </c>
      <c r="AW156">
        <f t="shared" ca="1" si="57"/>
        <v>0</v>
      </c>
      <c r="AX156">
        <f t="shared" ca="1" si="58"/>
        <v>0</v>
      </c>
      <c r="AY156">
        <f t="shared" ca="1" si="59"/>
        <v>0</v>
      </c>
      <c r="AZ156" t="str">
        <f ca="1">IF(ROW()&lt;($C$7+1),"",IFERROR((分析データ!C156-AVERAGE(OFFSET(分析データ!C$1,MAX(1,ROW()-$C$7),0,MIN($C$7,ROW()-1),1)))/STDEV(OFFSET(分析データ!C$1,MAX(1,ROW()-$C$7),0,MIN($C$7,ROW()-1),1)),0))</f>
        <v/>
      </c>
      <c r="BA156">
        <f t="shared" ca="1" si="60"/>
        <v>0</v>
      </c>
      <c r="BB156" t="str">
        <f ca="1">IF(BA156=1,IF(INDEX(分析データ!$A:$A,ROW()+$C$5)&lt;&gt;"",60000*SIGN(AZ156)*(分析データ!C156-INDEX(分析データ!C:C,ROW()+$C$5)),""),"")</f>
        <v/>
      </c>
      <c r="BC156">
        <f t="shared" ca="1" si="61"/>
        <v>0</v>
      </c>
      <c r="BD156">
        <f t="shared" ca="1" si="62"/>
        <v>0</v>
      </c>
      <c r="BE156">
        <f t="shared" ca="1" si="63"/>
        <v>0</v>
      </c>
      <c r="BF156" t="str">
        <f ca="1">IF(ROW()&lt;($C$7+1),"",IFERROR((分析データ!D156-AVERAGE(OFFSET(分析データ!D$1,MAX(1,ROW()-$C$7),0,MIN($C$7,ROW()-1),1)))/STDEV(OFFSET(分析データ!D$1,MAX(1,ROW()-$C$7),0,MIN($C$7,ROW()-1),1)),0))</f>
        <v/>
      </c>
      <c r="BG156">
        <f t="shared" ca="1" si="64"/>
        <v>0</v>
      </c>
      <c r="BH156" t="str">
        <f ca="1">IF(BG156=1,IF(INDEX(分析データ!$A:$A,ROW()+$C$5)&lt;&gt;"",50000*SIGN(BF156)*(分析データ!D156-INDEX(分析データ!D:D,ROW()+$C$5)),""),"")</f>
        <v/>
      </c>
      <c r="BI156">
        <f t="shared" ca="1" si="65"/>
        <v>0</v>
      </c>
      <c r="BJ156">
        <f t="shared" ca="1" si="66"/>
        <v>0</v>
      </c>
      <c r="BK156">
        <f t="shared" ca="1" si="67"/>
        <v>0</v>
      </c>
      <c r="BL156" t="str">
        <f ca="1">IF(ROW()&lt;($C$7+1),"",IFERROR((分析データ!E156-AVERAGE(OFFSET(分析データ!E$1,MAX(1,ROW()-$C$7),0,MIN($C$7,ROW()-1),1)))/STDEV(OFFSET(分析データ!E$1,MAX(1,ROW()-$C$7),0,MIN($C$7,ROW()-1),1)),0))</f>
        <v/>
      </c>
      <c r="BM156">
        <f t="shared" ca="1" si="68"/>
        <v>0</v>
      </c>
      <c r="BN156" t="str">
        <f ca="1">IF(BM156=1,IF(INDEX(分析データ!$A:$A,ROW()+$C$5)&lt;&gt;"",40000*SIGN(BL156)*(分析データ!E156-INDEX(分析データ!E:E,ROW()+$C$5)),""),"")</f>
        <v/>
      </c>
      <c r="BO156">
        <f t="shared" ca="1" si="69"/>
        <v>0</v>
      </c>
      <c r="BP156">
        <f t="shared" ca="1" si="70"/>
        <v>0</v>
      </c>
      <c r="BQ156">
        <f t="shared" ca="1" si="71"/>
        <v>0</v>
      </c>
      <c r="BR156" t="str">
        <f ca="1">IF(ROW()&lt;($C$7+1),"",IFERROR((分析データ!F156-AVERAGE(OFFSET(分析データ!F$1,MAX(1,ROW()-$C$7),0,MIN($C$7,ROW()-1),1)))/STDEV(OFFSET(分析データ!F$1,MAX(1,ROW()-$C$7),0,MIN($C$7,ROW()-1),1)),0))</f>
        <v/>
      </c>
      <c r="BS156">
        <f t="shared" ca="1" si="72"/>
        <v>0</v>
      </c>
      <c r="BT156" t="str">
        <f ca="1">IF(BS156=1,IF(INDEX(分析データ!$A:$A,ROW()+$C$5)&lt;&gt;"",40000*SIGN(BR156)*(分析データ!F156-INDEX(分析データ!F:F,ROW()+$C$5)),""),"")</f>
        <v/>
      </c>
      <c r="BU156">
        <f t="shared" ca="1" si="73"/>
        <v>0</v>
      </c>
      <c r="BV156">
        <f t="shared" ca="1" si="74"/>
        <v>0</v>
      </c>
      <c r="BW156">
        <f t="shared" ca="1" si="75"/>
        <v>0</v>
      </c>
      <c r="BX156" t="str">
        <f ca="1">IF(ROW()&lt;($C$7+1),"",IFERROR((分析データ!G156-AVERAGE(OFFSET(分析データ!G$1,MAX(1,ROW()-$C$7),0,MIN($C$7,ROW()-1),1)))/STDEV(OFFSET(分析データ!G$1,MAX(1,ROW()-$C$7),0,MIN($C$7,ROW()-1),1)),0))</f>
        <v/>
      </c>
      <c r="BY156">
        <f t="shared" ca="1" si="76"/>
        <v>0</v>
      </c>
      <c r="BZ156" t="str">
        <f ca="1">IF(BY156=1,IF(INDEX(分析データ!$A:$A,ROW()+$C$5)&lt;&gt;"",40000*SIGN(BX156)*(分析データ!G156-INDEX(分析データ!G:G,ROW()+$C$5)),""),"")</f>
        <v/>
      </c>
      <c r="CA156">
        <f t="shared" ca="1" si="77"/>
        <v>0</v>
      </c>
      <c r="CB156">
        <f t="shared" ca="1" si="78"/>
        <v>0</v>
      </c>
      <c r="CC156">
        <f t="shared" ca="1" si="79"/>
        <v>0</v>
      </c>
      <c r="CD156">
        <f t="shared" ca="1" si="80"/>
        <v>0</v>
      </c>
      <c r="CE156">
        <f t="shared" ca="1" si="81"/>
        <v>0</v>
      </c>
      <c r="CF156">
        <f t="shared" ca="1" si="82"/>
        <v>0</v>
      </c>
      <c r="CG156">
        <f t="shared" ca="1" si="83"/>
        <v>0</v>
      </c>
      <c r="CH156" s="10">
        <f>分析データ!A156</f>
        <v>45152</v>
      </c>
    </row>
    <row r="157" spans="46:86">
      <c r="AT157" t="str">
        <f ca="1">IF(ROW()&lt;($C$7+1),"",IFERROR((分析データ!B157-AVERAGE(OFFSET(分析データ!B$1,MAX(1,ROW()-$C$7),0,MIN($C$7,ROW()-1),1)))/STDEV(OFFSET(分析データ!B$1,MAX(1,ROW()-$C$7),0,MIN($C$7,ROW()-1),1)),0))</f>
        <v/>
      </c>
      <c r="AU157">
        <f t="shared" ca="1" si="56"/>
        <v>0</v>
      </c>
      <c r="AV157" t="str">
        <f ca="1">IF(AU157=1,IF(INDEX(分析データ!$A:$A,ROW()+$C$5)&lt;&gt;"",80000*SIGN(AT157)*(分析データ!B157-INDEX(分析データ!B:B,ROW()+$C$5)),""),"")</f>
        <v/>
      </c>
      <c r="AW157">
        <f t="shared" ca="1" si="57"/>
        <v>0</v>
      </c>
      <c r="AX157">
        <f t="shared" ca="1" si="58"/>
        <v>0</v>
      </c>
      <c r="AY157">
        <f t="shared" ca="1" si="59"/>
        <v>0</v>
      </c>
      <c r="AZ157" t="str">
        <f ca="1">IF(ROW()&lt;($C$7+1),"",IFERROR((分析データ!C157-AVERAGE(OFFSET(分析データ!C$1,MAX(1,ROW()-$C$7),0,MIN($C$7,ROW()-1),1)))/STDEV(OFFSET(分析データ!C$1,MAX(1,ROW()-$C$7),0,MIN($C$7,ROW()-1),1)),0))</f>
        <v/>
      </c>
      <c r="BA157">
        <f t="shared" ca="1" si="60"/>
        <v>0</v>
      </c>
      <c r="BB157" t="str">
        <f ca="1">IF(BA157=1,IF(INDEX(分析データ!$A:$A,ROW()+$C$5)&lt;&gt;"",60000*SIGN(AZ157)*(分析データ!C157-INDEX(分析データ!C:C,ROW()+$C$5)),""),"")</f>
        <v/>
      </c>
      <c r="BC157">
        <f t="shared" ca="1" si="61"/>
        <v>0</v>
      </c>
      <c r="BD157">
        <f t="shared" ca="1" si="62"/>
        <v>0</v>
      </c>
      <c r="BE157">
        <f t="shared" ca="1" si="63"/>
        <v>0</v>
      </c>
      <c r="BF157" t="str">
        <f ca="1">IF(ROW()&lt;($C$7+1),"",IFERROR((分析データ!D157-AVERAGE(OFFSET(分析データ!D$1,MAX(1,ROW()-$C$7),0,MIN($C$7,ROW()-1),1)))/STDEV(OFFSET(分析データ!D$1,MAX(1,ROW()-$C$7),0,MIN($C$7,ROW()-1),1)),0))</f>
        <v/>
      </c>
      <c r="BG157">
        <f t="shared" ca="1" si="64"/>
        <v>0</v>
      </c>
      <c r="BH157" t="str">
        <f ca="1">IF(BG157=1,IF(INDEX(分析データ!$A:$A,ROW()+$C$5)&lt;&gt;"",50000*SIGN(BF157)*(分析データ!D157-INDEX(分析データ!D:D,ROW()+$C$5)),""),"")</f>
        <v/>
      </c>
      <c r="BI157">
        <f t="shared" ca="1" si="65"/>
        <v>0</v>
      </c>
      <c r="BJ157">
        <f t="shared" ca="1" si="66"/>
        <v>0</v>
      </c>
      <c r="BK157">
        <f t="shared" ca="1" si="67"/>
        <v>0</v>
      </c>
      <c r="BL157" t="str">
        <f ca="1">IF(ROW()&lt;($C$7+1),"",IFERROR((分析データ!E157-AVERAGE(OFFSET(分析データ!E$1,MAX(1,ROW()-$C$7),0,MIN($C$7,ROW()-1),1)))/STDEV(OFFSET(分析データ!E$1,MAX(1,ROW()-$C$7),0,MIN($C$7,ROW()-1),1)),0))</f>
        <v/>
      </c>
      <c r="BM157">
        <f t="shared" ca="1" si="68"/>
        <v>0</v>
      </c>
      <c r="BN157" t="str">
        <f ca="1">IF(BM157=1,IF(INDEX(分析データ!$A:$A,ROW()+$C$5)&lt;&gt;"",40000*SIGN(BL157)*(分析データ!E157-INDEX(分析データ!E:E,ROW()+$C$5)),""),"")</f>
        <v/>
      </c>
      <c r="BO157">
        <f t="shared" ca="1" si="69"/>
        <v>0</v>
      </c>
      <c r="BP157">
        <f t="shared" ca="1" si="70"/>
        <v>0</v>
      </c>
      <c r="BQ157">
        <f t="shared" ca="1" si="71"/>
        <v>0</v>
      </c>
      <c r="BR157" t="str">
        <f ca="1">IF(ROW()&lt;($C$7+1),"",IFERROR((分析データ!F157-AVERAGE(OFFSET(分析データ!F$1,MAX(1,ROW()-$C$7),0,MIN($C$7,ROW()-1),1)))/STDEV(OFFSET(分析データ!F$1,MAX(1,ROW()-$C$7),0,MIN($C$7,ROW()-1),1)),0))</f>
        <v/>
      </c>
      <c r="BS157">
        <f t="shared" ca="1" si="72"/>
        <v>0</v>
      </c>
      <c r="BT157" t="str">
        <f ca="1">IF(BS157=1,IF(INDEX(分析データ!$A:$A,ROW()+$C$5)&lt;&gt;"",40000*SIGN(BR157)*(分析データ!F157-INDEX(分析データ!F:F,ROW()+$C$5)),""),"")</f>
        <v/>
      </c>
      <c r="BU157">
        <f t="shared" ca="1" si="73"/>
        <v>0</v>
      </c>
      <c r="BV157">
        <f t="shared" ca="1" si="74"/>
        <v>0</v>
      </c>
      <c r="BW157">
        <f t="shared" ca="1" si="75"/>
        <v>0</v>
      </c>
      <c r="BX157" t="str">
        <f ca="1">IF(ROW()&lt;($C$7+1),"",IFERROR((分析データ!G157-AVERAGE(OFFSET(分析データ!G$1,MAX(1,ROW()-$C$7),0,MIN($C$7,ROW()-1),1)))/STDEV(OFFSET(分析データ!G$1,MAX(1,ROW()-$C$7),0,MIN($C$7,ROW()-1),1)),0))</f>
        <v/>
      </c>
      <c r="BY157">
        <f t="shared" ca="1" si="76"/>
        <v>0</v>
      </c>
      <c r="BZ157" t="str">
        <f ca="1">IF(BY157=1,IF(INDEX(分析データ!$A:$A,ROW()+$C$5)&lt;&gt;"",40000*SIGN(BX157)*(分析データ!G157-INDEX(分析データ!G:G,ROW()+$C$5)),""),"")</f>
        <v/>
      </c>
      <c r="CA157">
        <f t="shared" ca="1" si="77"/>
        <v>0</v>
      </c>
      <c r="CB157">
        <f t="shared" ca="1" si="78"/>
        <v>0</v>
      </c>
      <c r="CC157">
        <f t="shared" ca="1" si="79"/>
        <v>0</v>
      </c>
      <c r="CD157">
        <f t="shared" ca="1" si="80"/>
        <v>0</v>
      </c>
      <c r="CE157">
        <f t="shared" ca="1" si="81"/>
        <v>0</v>
      </c>
      <c r="CF157">
        <f t="shared" ca="1" si="82"/>
        <v>0</v>
      </c>
      <c r="CG157">
        <f t="shared" ca="1" si="83"/>
        <v>0</v>
      </c>
      <c r="CH157" s="10">
        <f>分析データ!A157</f>
        <v>45153</v>
      </c>
    </row>
    <row r="158" spans="46:86">
      <c r="AT158" t="str">
        <f ca="1">IF(ROW()&lt;($C$7+1),"",IFERROR((分析データ!B158-AVERAGE(OFFSET(分析データ!B$1,MAX(1,ROW()-$C$7),0,MIN($C$7,ROW()-1),1)))/STDEV(OFFSET(分析データ!B$1,MAX(1,ROW()-$C$7),0,MIN($C$7,ROW()-1),1)),0))</f>
        <v/>
      </c>
      <c r="AU158">
        <f t="shared" ca="1" si="56"/>
        <v>0</v>
      </c>
      <c r="AV158" t="str">
        <f ca="1">IF(AU158=1,IF(INDEX(分析データ!$A:$A,ROW()+$C$5)&lt;&gt;"",80000*SIGN(AT158)*(分析データ!B158-INDEX(分析データ!B:B,ROW()+$C$5)),""),"")</f>
        <v/>
      </c>
      <c r="AW158">
        <f t="shared" ca="1" si="57"/>
        <v>0</v>
      </c>
      <c r="AX158">
        <f t="shared" ca="1" si="58"/>
        <v>0</v>
      </c>
      <c r="AY158">
        <f t="shared" ca="1" si="59"/>
        <v>0</v>
      </c>
      <c r="AZ158" t="str">
        <f ca="1">IF(ROW()&lt;($C$7+1),"",IFERROR((分析データ!C158-AVERAGE(OFFSET(分析データ!C$1,MAX(1,ROW()-$C$7),0,MIN($C$7,ROW()-1),1)))/STDEV(OFFSET(分析データ!C$1,MAX(1,ROW()-$C$7),0,MIN($C$7,ROW()-1),1)),0))</f>
        <v/>
      </c>
      <c r="BA158">
        <f t="shared" ca="1" si="60"/>
        <v>0</v>
      </c>
      <c r="BB158" t="str">
        <f ca="1">IF(BA158=1,IF(INDEX(分析データ!$A:$A,ROW()+$C$5)&lt;&gt;"",60000*SIGN(AZ158)*(分析データ!C158-INDEX(分析データ!C:C,ROW()+$C$5)),""),"")</f>
        <v/>
      </c>
      <c r="BC158">
        <f t="shared" ca="1" si="61"/>
        <v>0</v>
      </c>
      <c r="BD158">
        <f t="shared" ca="1" si="62"/>
        <v>0</v>
      </c>
      <c r="BE158">
        <f t="shared" ca="1" si="63"/>
        <v>0</v>
      </c>
      <c r="BF158" t="str">
        <f ca="1">IF(ROW()&lt;($C$7+1),"",IFERROR((分析データ!D158-AVERAGE(OFFSET(分析データ!D$1,MAX(1,ROW()-$C$7),0,MIN($C$7,ROW()-1),1)))/STDEV(OFFSET(分析データ!D$1,MAX(1,ROW()-$C$7),0,MIN($C$7,ROW()-1),1)),0))</f>
        <v/>
      </c>
      <c r="BG158">
        <f t="shared" ca="1" si="64"/>
        <v>0</v>
      </c>
      <c r="BH158" t="str">
        <f ca="1">IF(BG158=1,IF(INDEX(分析データ!$A:$A,ROW()+$C$5)&lt;&gt;"",50000*SIGN(BF158)*(分析データ!D158-INDEX(分析データ!D:D,ROW()+$C$5)),""),"")</f>
        <v/>
      </c>
      <c r="BI158">
        <f t="shared" ca="1" si="65"/>
        <v>0</v>
      </c>
      <c r="BJ158">
        <f t="shared" ca="1" si="66"/>
        <v>0</v>
      </c>
      <c r="BK158">
        <f t="shared" ca="1" si="67"/>
        <v>0</v>
      </c>
      <c r="BL158" t="str">
        <f ca="1">IF(ROW()&lt;($C$7+1),"",IFERROR((分析データ!E158-AVERAGE(OFFSET(分析データ!E$1,MAX(1,ROW()-$C$7),0,MIN($C$7,ROW()-1),1)))/STDEV(OFFSET(分析データ!E$1,MAX(1,ROW()-$C$7),0,MIN($C$7,ROW()-1),1)),0))</f>
        <v/>
      </c>
      <c r="BM158">
        <f t="shared" ca="1" si="68"/>
        <v>0</v>
      </c>
      <c r="BN158" t="str">
        <f ca="1">IF(BM158=1,IF(INDEX(分析データ!$A:$A,ROW()+$C$5)&lt;&gt;"",40000*SIGN(BL158)*(分析データ!E158-INDEX(分析データ!E:E,ROW()+$C$5)),""),"")</f>
        <v/>
      </c>
      <c r="BO158">
        <f t="shared" ca="1" si="69"/>
        <v>0</v>
      </c>
      <c r="BP158">
        <f t="shared" ca="1" si="70"/>
        <v>0</v>
      </c>
      <c r="BQ158">
        <f t="shared" ca="1" si="71"/>
        <v>0</v>
      </c>
      <c r="BR158" t="str">
        <f ca="1">IF(ROW()&lt;($C$7+1),"",IFERROR((分析データ!F158-AVERAGE(OFFSET(分析データ!F$1,MAX(1,ROW()-$C$7),0,MIN($C$7,ROW()-1),1)))/STDEV(OFFSET(分析データ!F$1,MAX(1,ROW()-$C$7),0,MIN($C$7,ROW()-1),1)),0))</f>
        <v/>
      </c>
      <c r="BS158">
        <f t="shared" ca="1" si="72"/>
        <v>0</v>
      </c>
      <c r="BT158" t="str">
        <f ca="1">IF(BS158=1,IF(INDEX(分析データ!$A:$A,ROW()+$C$5)&lt;&gt;"",40000*SIGN(BR158)*(分析データ!F158-INDEX(分析データ!F:F,ROW()+$C$5)),""),"")</f>
        <v/>
      </c>
      <c r="BU158">
        <f t="shared" ca="1" si="73"/>
        <v>0</v>
      </c>
      <c r="BV158">
        <f t="shared" ca="1" si="74"/>
        <v>0</v>
      </c>
      <c r="BW158">
        <f t="shared" ca="1" si="75"/>
        <v>0</v>
      </c>
      <c r="BX158" t="str">
        <f ca="1">IF(ROW()&lt;($C$7+1),"",IFERROR((分析データ!G158-AVERAGE(OFFSET(分析データ!G$1,MAX(1,ROW()-$C$7),0,MIN($C$7,ROW()-1),1)))/STDEV(OFFSET(分析データ!G$1,MAX(1,ROW()-$C$7),0,MIN($C$7,ROW()-1),1)),0))</f>
        <v/>
      </c>
      <c r="BY158">
        <f t="shared" ca="1" si="76"/>
        <v>0</v>
      </c>
      <c r="BZ158" t="str">
        <f ca="1">IF(BY158=1,IF(INDEX(分析データ!$A:$A,ROW()+$C$5)&lt;&gt;"",40000*SIGN(BX158)*(分析データ!G158-INDEX(分析データ!G:G,ROW()+$C$5)),""),"")</f>
        <v/>
      </c>
      <c r="CA158">
        <f t="shared" ca="1" si="77"/>
        <v>0</v>
      </c>
      <c r="CB158">
        <f t="shared" ca="1" si="78"/>
        <v>0</v>
      </c>
      <c r="CC158">
        <f t="shared" ca="1" si="79"/>
        <v>0</v>
      </c>
      <c r="CD158">
        <f t="shared" ca="1" si="80"/>
        <v>0</v>
      </c>
      <c r="CE158">
        <f t="shared" ca="1" si="81"/>
        <v>0</v>
      </c>
      <c r="CF158">
        <f t="shared" ca="1" si="82"/>
        <v>0</v>
      </c>
      <c r="CG158">
        <f t="shared" ca="1" si="83"/>
        <v>0</v>
      </c>
      <c r="CH158" s="10">
        <f>分析データ!A158</f>
        <v>45154</v>
      </c>
    </row>
    <row r="159" spans="46:86">
      <c r="AT159" t="str">
        <f ca="1">IF(ROW()&lt;($C$7+1),"",IFERROR((分析データ!B159-AVERAGE(OFFSET(分析データ!B$1,MAX(1,ROW()-$C$7),0,MIN($C$7,ROW()-1),1)))/STDEV(OFFSET(分析データ!B$1,MAX(1,ROW()-$C$7),0,MIN($C$7,ROW()-1),1)),0))</f>
        <v/>
      </c>
      <c r="AU159">
        <f t="shared" ca="1" si="56"/>
        <v>0</v>
      </c>
      <c r="AV159" t="str">
        <f ca="1">IF(AU159=1,IF(INDEX(分析データ!$A:$A,ROW()+$C$5)&lt;&gt;"",80000*SIGN(AT159)*(分析データ!B159-INDEX(分析データ!B:B,ROW()+$C$5)),""),"")</f>
        <v/>
      </c>
      <c r="AW159">
        <f t="shared" ca="1" si="57"/>
        <v>0</v>
      </c>
      <c r="AX159">
        <f t="shared" ca="1" si="58"/>
        <v>0</v>
      </c>
      <c r="AY159">
        <f t="shared" ca="1" si="59"/>
        <v>0</v>
      </c>
      <c r="AZ159" t="str">
        <f ca="1">IF(ROW()&lt;($C$7+1),"",IFERROR((分析データ!C159-AVERAGE(OFFSET(分析データ!C$1,MAX(1,ROW()-$C$7),0,MIN($C$7,ROW()-1),1)))/STDEV(OFFSET(分析データ!C$1,MAX(1,ROW()-$C$7),0,MIN($C$7,ROW()-1),1)),0))</f>
        <v/>
      </c>
      <c r="BA159">
        <f t="shared" ca="1" si="60"/>
        <v>0</v>
      </c>
      <c r="BB159" t="str">
        <f ca="1">IF(BA159=1,IF(INDEX(分析データ!$A:$A,ROW()+$C$5)&lt;&gt;"",60000*SIGN(AZ159)*(分析データ!C159-INDEX(分析データ!C:C,ROW()+$C$5)),""),"")</f>
        <v/>
      </c>
      <c r="BC159">
        <f t="shared" ca="1" si="61"/>
        <v>0</v>
      </c>
      <c r="BD159">
        <f t="shared" ca="1" si="62"/>
        <v>0</v>
      </c>
      <c r="BE159">
        <f t="shared" ca="1" si="63"/>
        <v>0</v>
      </c>
      <c r="BF159" t="str">
        <f ca="1">IF(ROW()&lt;($C$7+1),"",IFERROR((分析データ!D159-AVERAGE(OFFSET(分析データ!D$1,MAX(1,ROW()-$C$7),0,MIN($C$7,ROW()-1),1)))/STDEV(OFFSET(分析データ!D$1,MAX(1,ROW()-$C$7),0,MIN($C$7,ROW()-1),1)),0))</f>
        <v/>
      </c>
      <c r="BG159">
        <f t="shared" ca="1" si="64"/>
        <v>0</v>
      </c>
      <c r="BH159" t="str">
        <f ca="1">IF(BG159=1,IF(INDEX(分析データ!$A:$A,ROW()+$C$5)&lt;&gt;"",50000*SIGN(BF159)*(分析データ!D159-INDEX(分析データ!D:D,ROW()+$C$5)),""),"")</f>
        <v/>
      </c>
      <c r="BI159">
        <f t="shared" ca="1" si="65"/>
        <v>0</v>
      </c>
      <c r="BJ159">
        <f t="shared" ca="1" si="66"/>
        <v>0</v>
      </c>
      <c r="BK159">
        <f t="shared" ca="1" si="67"/>
        <v>0</v>
      </c>
      <c r="BL159" t="str">
        <f ca="1">IF(ROW()&lt;($C$7+1),"",IFERROR((分析データ!E159-AVERAGE(OFFSET(分析データ!E$1,MAX(1,ROW()-$C$7),0,MIN($C$7,ROW()-1),1)))/STDEV(OFFSET(分析データ!E$1,MAX(1,ROW()-$C$7),0,MIN($C$7,ROW()-1),1)),0))</f>
        <v/>
      </c>
      <c r="BM159">
        <f t="shared" ca="1" si="68"/>
        <v>0</v>
      </c>
      <c r="BN159" t="str">
        <f ca="1">IF(BM159=1,IF(INDEX(分析データ!$A:$A,ROW()+$C$5)&lt;&gt;"",40000*SIGN(BL159)*(分析データ!E159-INDEX(分析データ!E:E,ROW()+$C$5)),""),"")</f>
        <v/>
      </c>
      <c r="BO159">
        <f t="shared" ca="1" si="69"/>
        <v>0</v>
      </c>
      <c r="BP159">
        <f t="shared" ca="1" si="70"/>
        <v>0</v>
      </c>
      <c r="BQ159">
        <f t="shared" ca="1" si="71"/>
        <v>0</v>
      </c>
      <c r="BR159" t="str">
        <f ca="1">IF(ROW()&lt;($C$7+1),"",IFERROR((分析データ!F159-AVERAGE(OFFSET(分析データ!F$1,MAX(1,ROW()-$C$7),0,MIN($C$7,ROW()-1),1)))/STDEV(OFFSET(分析データ!F$1,MAX(1,ROW()-$C$7),0,MIN($C$7,ROW()-1),1)),0))</f>
        <v/>
      </c>
      <c r="BS159">
        <f t="shared" ca="1" si="72"/>
        <v>0</v>
      </c>
      <c r="BT159" t="str">
        <f ca="1">IF(BS159=1,IF(INDEX(分析データ!$A:$A,ROW()+$C$5)&lt;&gt;"",40000*SIGN(BR159)*(分析データ!F159-INDEX(分析データ!F:F,ROW()+$C$5)),""),"")</f>
        <v/>
      </c>
      <c r="BU159">
        <f t="shared" ca="1" si="73"/>
        <v>0</v>
      </c>
      <c r="BV159">
        <f t="shared" ca="1" si="74"/>
        <v>0</v>
      </c>
      <c r="BW159">
        <f t="shared" ca="1" si="75"/>
        <v>0</v>
      </c>
      <c r="BX159" t="str">
        <f ca="1">IF(ROW()&lt;($C$7+1),"",IFERROR((分析データ!G159-AVERAGE(OFFSET(分析データ!G$1,MAX(1,ROW()-$C$7),0,MIN($C$7,ROW()-1),1)))/STDEV(OFFSET(分析データ!G$1,MAX(1,ROW()-$C$7),0,MIN($C$7,ROW()-1),1)),0))</f>
        <v/>
      </c>
      <c r="BY159">
        <f t="shared" ca="1" si="76"/>
        <v>0</v>
      </c>
      <c r="BZ159" t="str">
        <f ca="1">IF(BY159=1,IF(INDEX(分析データ!$A:$A,ROW()+$C$5)&lt;&gt;"",40000*SIGN(BX159)*(分析データ!G159-INDEX(分析データ!G:G,ROW()+$C$5)),""),"")</f>
        <v/>
      </c>
      <c r="CA159">
        <f t="shared" ca="1" si="77"/>
        <v>0</v>
      </c>
      <c r="CB159">
        <f t="shared" ca="1" si="78"/>
        <v>0</v>
      </c>
      <c r="CC159">
        <f t="shared" ca="1" si="79"/>
        <v>0</v>
      </c>
      <c r="CD159">
        <f t="shared" ca="1" si="80"/>
        <v>0</v>
      </c>
      <c r="CE159">
        <f t="shared" ca="1" si="81"/>
        <v>0</v>
      </c>
      <c r="CF159">
        <f t="shared" ca="1" si="82"/>
        <v>0</v>
      </c>
      <c r="CG159">
        <f t="shared" ca="1" si="83"/>
        <v>0</v>
      </c>
      <c r="CH159" s="10">
        <f>分析データ!A159</f>
        <v>45155</v>
      </c>
    </row>
    <row r="160" spans="46:86">
      <c r="AT160" t="str">
        <f ca="1">IF(ROW()&lt;($C$7+1),"",IFERROR((分析データ!B160-AVERAGE(OFFSET(分析データ!B$1,MAX(1,ROW()-$C$7),0,MIN($C$7,ROW()-1),1)))/STDEV(OFFSET(分析データ!B$1,MAX(1,ROW()-$C$7),0,MIN($C$7,ROW()-1),1)),0))</f>
        <v/>
      </c>
      <c r="AU160">
        <f t="shared" ca="1" si="56"/>
        <v>0</v>
      </c>
      <c r="AV160" t="str">
        <f ca="1">IF(AU160=1,IF(INDEX(分析データ!$A:$A,ROW()+$C$5)&lt;&gt;"",80000*SIGN(AT160)*(分析データ!B160-INDEX(分析データ!B:B,ROW()+$C$5)),""),"")</f>
        <v/>
      </c>
      <c r="AW160">
        <f t="shared" ca="1" si="57"/>
        <v>0</v>
      </c>
      <c r="AX160">
        <f t="shared" ca="1" si="58"/>
        <v>0</v>
      </c>
      <c r="AY160">
        <f t="shared" ca="1" si="59"/>
        <v>0</v>
      </c>
      <c r="AZ160" t="str">
        <f ca="1">IF(ROW()&lt;($C$7+1),"",IFERROR((分析データ!C160-AVERAGE(OFFSET(分析データ!C$1,MAX(1,ROW()-$C$7),0,MIN($C$7,ROW()-1),1)))/STDEV(OFFSET(分析データ!C$1,MAX(1,ROW()-$C$7),0,MIN($C$7,ROW()-1),1)),0))</f>
        <v/>
      </c>
      <c r="BA160">
        <f t="shared" ca="1" si="60"/>
        <v>0</v>
      </c>
      <c r="BB160" t="str">
        <f ca="1">IF(BA160=1,IF(INDEX(分析データ!$A:$A,ROW()+$C$5)&lt;&gt;"",60000*SIGN(AZ160)*(分析データ!C160-INDEX(分析データ!C:C,ROW()+$C$5)),""),"")</f>
        <v/>
      </c>
      <c r="BC160">
        <f t="shared" ca="1" si="61"/>
        <v>0</v>
      </c>
      <c r="BD160">
        <f t="shared" ca="1" si="62"/>
        <v>0</v>
      </c>
      <c r="BE160">
        <f t="shared" ca="1" si="63"/>
        <v>0</v>
      </c>
      <c r="BF160" t="str">
        <f ca="1">IF(ROW()&lt;($C$7+1),"",IFERROR((分析データ!D160-AVERAGE(OFFSET(分析データ!D$1,MAX(1,ROW()-$C$7),0,MIN($C$7,ROW()-1),1)))/STDEV(OFFSET(分析データ!D$1,MAX(1,ROW()-$C$7),0,MIN($C$7,ROW()-1),1)),0))</f>
        <v/>
      </c>
      <c r="BG160">
        <f t="shared" ca="1" si="64"/>
        <v>0</v>
      </c>
      <c r="BH160" t="str">
        <f ca="1">IF(BG160=1,IF(INDEX(分析データ!$A:$A,ROW()+$C$5)&lt;&gt;"",50000*SIGN(BF160)*(分析データ!D160-INDEX(分析データ!D:D,ROW()+$C$5)),""),"")</f>
        <v/>
      </c>
      <c r="BI160">
        <f t="shared" ca="1" si="65"/>
        <v>0</v>
      </c>
      <c r="BJ160">
        <f t="shared" ca="1" si="66"/>
        <v>0</v>
      </c>
      <c r="BK160">
        <f t="shared" ca="1" si="67"/>
        <v>0</v>
      </c>
      <c r="BL160" t="str">
        <f ca="1">IF(ROW()&lt;($C$7+1),"",IFERROR((分析データ!E160-AVERAGE(OFFSET(分析データ!E$1,MAX(1,ROW()-$C$7),0,MIN($C$7,ROW()-1),1)))/STDEV(OFFSET(分析データ!E$1,MAX(1,ROW()-$C$7),0,MIN($C$7,ROW()-1),1)),0))</f>
        <v/>
      </c>
      <c r="BM160">
        <f t="shared" ca="1" si="68"/>
        <v>0</v>
      </c>
      <c r="BN160" t="str">
        <f ca="1">IF(BM160=1,IF(INDEX(分析データ!$A:$A,ROW()+$C$5)&lt;&gt;"",40000*SIGN(BL160)*(分析データ!E160-INDEX(分析データ!E:E,ROW()+$C$5)),""),"")</f>
        <v/>
      </c>
      <c r="BO160">
        <f t="shared" ca="1" si="69"/>
        <v>0</v>
      </c>
      <c r="BP160">
        <f t="shared" ca="1" si="70"/>
        <v>0</v>
      </c>
      <c r="BQ160">
        <f t="shared" ca="1" si="71"/>
        <v>0</v>
      </c>
      <c r="BR160" t="str">
        <f ca="1">IF(ROW()&lt;($C$7+1),"",IFERROR((分析データ!F160-AVERAGE(OFFSET(分析データ!F$1,MAX(1,ROW()-$C$7),0,MIN($C$7,ROW()-1),1)))/STDEV(OFFSET(分析データ!F$1,MAX(1,ROW()-$C$7),0,MIN($C$7,ROW()-1),1)),0))</f>
        <v/>
      </c>
      <c r="BS160">
        <f t="shared" ca="1" si="72"/>
        <v>0</v>
      </c>
      <c r="BT160" t="str">
        <f ca="1">IF(BS160=1,IF(INDEX(分析データ!$A:$A,ROW()+$C$5)&lt;&gt;"",40000*SIGN(BR160)*(分析データ!F160-INDEX(分析データ!F:F,ROW()+$C$5)),""),"")</f>
        <v/>
      </c>
      <c r="BU160">
        <f t="shared" ca="1" si="73"/>
        <v>0</v>
      </c>
      <c r="BV160">
        <f t="shared" ca="1" si="74"/>
        <v>0</v>
      </c>
      <c r="BW160">
        <f t="shared" ca="1" si="75"/>
        <v>0</v>
      </c>
      <c r="BX160" t="str">
        <f ca="1">IF(ROW()&lt;($C$7+1),"",IFERROR((分析データ!G160-AVERAGE(OFFSET(分析データ!G$1,MAX(1,ROW()-$C$7),0,MIN($C$7,ROW()-1),1)))/STDEV(OFFSET(分析データ!G$1,MAX(1,ROW()-$C$7),0,MIN($C$7,ROW()-1),1)),0))</f>
        <v/>
      </c>
      <c r="BY160">
        <f t="shared" ca="1" si="76"/>
        <v>0</v>
      </c>
      <c r="BZ160" t="str">
        <f ca="1">IF(BY160=1,IF(INDEX(分析データ!$A:$A,ROW()+$C$5)&lt;&gt;"",40000*SIGN(BX160)*(分析データ!G160-INDEX(分析データ!G:G,ROW()+$C$5)),""),"")</f>
        <v/>
      </c>
      <c r="CA160">
        <f t="shared" ca="1" si="77"/>
        <v>0</v>
      </c>
      <c r="CB160">
        <f t="shared" ca="1" si="78"/>
        <v>0</v>
      </c>
      <c r="CC160">
        <f t="shared" ca="1" si="79"/>
        <v>0</v>
      </c>
      <c r="CD160">
        <f t="shared" ca="1" si="80"/>
        <v>0</v>
      </c>
      <c r="CE160">
        <f t="shared" ca="1" si="81"/>
        <v>0</v>
      </c>
      <c r="CF160">
        <f t="shared" ca="1" si="82"/>
        <v>0</v>
      </c>
      <c r="CG160">
        <f t="shared" ca="1" si="83"/>
        <v>0</v>
      </c>
      <c r="CH160" s="10">
        <f>分析データ!A160</f>
        <v>45156</v>
      </c>
    </row>
    <row r="161" spans="46:86">
      <c r="AT161" t="str">
        <f ca="1">IF(ROW()&lt;($C$7+1),"",IFERROR((分析データ!B161-AVERAGE(OFFSET(分析データ!B$1,MAX(1,ROW()-$C$7),0,MIN($C$7,ROW()-1),1)))/STDEV(OFFSET(分析データ!B$1,MAX(1,ROW()-$C$7),0,MIN($C$7,ROW()-1),1)),0))</f>
        <v/>
      </c>
      <c r="AU161">
        <f t="shared" ca="1" si="56"/>
        <v>0</v>
      </c>
      <c r="AV161" t="str">
        <f ca="1">IF(AU161=1,IF(INDEX(分析データ!$A:$A,ROW()+$C$5)&lt;&gt;"",80000*SIGN(AT161)*(分析データ!B161-INDEX(分析データ!B:B,ROW()+$C$5)),""),"")</f>
        <v/>
      </c>
      <c r="AW161">
        <f t="shared" ca="1" si="57"/>
        <v>0</v>
      </c>
      <c r="AX161">
        <f t="shared" ca="1" si="58"/>
        <v>0</v>
      </c>
      <c r="AY161">
        <f t="shared" ca="1" si="59"/>
        <v>0</v>
      </c>
      <c r="AZ161" t="str">
        <f ca="1">IF(ROW()&lt;($C$7+1),"",IFERROR((分析データ!C161-AVERAGE(OFFSET(分析データ!C$1,MAX(1,ROW()-$C$7),0,MIN($C$7,ROW()-1),1)))/STDEV(OFFSET(分析データ!C$1,MAX(1,ROW()-$C$7),0,MIN($C$7,ROW()-1),1)),0))</f>
        <v/>
      </c>
      <c r="BA161">
        <f t="shared" ca="1" si="60"/>
        <v>0</v>
      </c>
      <c r="BB161" t="str">
        <f ca="1">IF(BA161=1,IF(INDEX(分析データ!$A:$A,ROW()+$C$5)&lt;&gt;"",60000*SIGN(AZ161)*(分析データ!C161-INDEX(分析データ!C:C,ROW()+$C$5)),""),"")</f>
        <v/>
      </c>
      <c r="BC161">
        <f t="shared" ca="1" si="61"/>
        <v>0</v>
      </c>
      <c r="BD161">
        <f t="shared" ca="1" si="62"/>
        <v>0</v>
      </c>
      <c r="BE161">
        <f t="shared" ca="1" si="63"/>
        <v>0</v>
      </c>
      <c r="BF161" t="str">
        <f ca="1">IF(ROW()&lt;($C$7+1),"",IFERROR((分析データ!D161-AVERAGE(OFFSET(分析データ!D$1,MAX(1,ROW()-$C$7),0,MIN($C$7,ROW()-1),1)))/STDEV(OFFSET(分析データ!D$1,MAX(1,ROW()-$C$7),0,MIN($C$7,ROW()-1),1)),0))</f>
        <v/>
      </c>
      <c r="BG161">
        <f t="shared" ca="1" si="64"/>
        <v>0</v>
      </c>
      <c r="BH161" t="str">
        <f ca="1">IF(BG161=1,IF(INDEX(分析データ!$A:$A,ROW()+$C$5)&lt;&gt;"",50000*SIGN(BF161)*(分析データ!D161-INDEX(分析データ!D:D,ROW()+$C$5)),""),"")</f>
        <v/>
      </c>
      <c r="BI161">
        <f t="shared" ca="1" si="65"/>
        <v>0</v>
      </c>
      <c r="BJ161">
        <f t="shared" ca="1" si="66"/>
        <v>0</v>
      </c>
      <c r="BK161">
        <f t="shared" ca="1" si="67"/>
        <v>0</v>
      </c>
      <c r="BL161" t="str">
        <f ca="1">IF(ROW()&lt;($C$7+1),"",IFERROR((分析データ!E161-AVERAGE(OFFSET(分析データ!E$1,MAX(1,ROW()-$C$7),0,MIN($C$7,ROW()-1),1)))/STDEV(OFFSET(分析データ!E$1,MAX(1,ROW()-$C$7),0,MIN($C$7,ROW()-1),1)),0))</f>
        <v/>
      </c>
      <c r="BM161">
        <f t="shared" ca="1" si="68"/>
        <v>0</v>
      </c>
      <c r="BN161" t="str">
        <f ca="1">IF(BM161=1,IF(INDEX(分析データ!$A:$A,ROW()+$C$5)&lt;&gt;"",40000*SIGN(BL161)*(分析データ!E161-INDEX(分析データ!E:E,ROW()+$C$5)),""),"")</f>
        <v/>
      </c>
      <c r="BO161">
        <f t="shared" ca="1" si="69"/>
        <v>0</v>
      </c>
      <c r="BP161">
        <f t="shared" ca="1" si="70"/>
        <v>0</v>
      </c>
      <c r="BQ161">
        <f t="shared" ca="1" si="71"/>
        <v>0</v>
      </c>
      <c r="BR161" t="str">
        <f ca="1">IF(ROW()&lt;($C$7+1),"",IFERROR((分析データ!F161-AVERAGE(OFFSET(分析データ!F$1,MAX(1,ROW()-$C$7),0,MIN($C$7,ROW()-1),1)))/STDEV(OFFSET(分析データ!F$1,MAX(1,ROW()-$C$7),0,MIN($C$7,ROW()-1),1)),0))</f>
        <v/>
      </c>
      <c r="BS161">
        <f t="shared" ca="1" si="72"/>
        <v>0</v>
      </c>
      <c r="BT161" t="str">
        <f ca="1">IF(BS161=1,IF(INDEX(分析データ!$A:$A,ROW()+$C$5)&lt;&gt;"",40000*SIGN(BR161)*(分析データ!F161-INDEX(分析データ!F:F,ROW()+$C$5)),""),"")</f>
        <v/>
      </c>
      <c r="BU161">
        <f t="shared" ca="1" si="73"/>
        <v>0</v>
      </c>
      <c r="BV161">
        <f t="shared" ca="1" si="74"/>
        <v>0</v>
      </c>
      <c r="BW161">
        <f t="shared" ca="1" si="75"/>
        <v>0</v>
      </c>
      <c r="BX161" t="str">
        <f ca="1">IF(ROW()&lt;($C$7+1),"",IFERROR((分析データ!G161-AVERAGE(OFFSET(分析データ!G$1,MAX(1,ROW()-$C$7),0,MIN($C$7,ROW()-1),1)))/STDEV(OFFSET(分析データ!G$1,MAX(1,ROW()-$C$7),0,MIN($C$7,ROW()-1),1)),0))</f>
        <v/>
      </c>
      <c r="BY161">
        <f t="shared" ca="1" si="76"/>
        <v>0</v>
      </c>
      <c r="BZ161" t="str">
        <f ca="1">IF(BY161=1,IF(INDEX(分析データ!$A:$A,ROW()+$C$5)&lt;&gt;"",40000*SIGN(BX161)*(分析データ!G161-INDEX(分析データ!G:G,ROW()+$C$5)),""),"")</f>
        <v/>
      </c>
      <c r="CA161">
        <f t="shared" ca="1" si="77"/>
        <v>0</v>
      </c>
      <c r="CB161">
        <f t="shared" ca="1" si="78"/>
        <v>0</v>
      </c>
      <c r="CC161">
        <f t="shared" ca="1" si="79"/>
        <v>0</v>
      </c>
      <c r="CD161">
        <f t="shared" ca="1" si="80"/>
        <v>0</v>
      </c>
      <c r="CE161">
        <f t="shared" ca="1" si="81"/>
        <v>0</v>
      </c>
      <c r="CF161">
        <f t="shared" ca="1" si="82"/>
        <v>0</v>
      </c>
      <c r="CG161">
        <f t="shared" ca="1" si="83"/>
        <v>0</v>
      </c>
      <c r="CH161" s="10">
        <f>分析データ!A161</f>
        <v>45159</v>
      </c>
    </row>
    <row r="162" spans="46:86">
      <c r="AT162" t="str">
        <f ca="1">IF(ROW()&lt;($C$7+1),"",IFERROR((分析データ!B162-AVERAGE(OFFSET(分析データ!B$1,MAX(1,ROW()-$C$7),0,MIN($C$7,ROW()-1),1)))/STDEV(OFFSET(分析データ!B$1,MAX(1,ROW()-$C$7),0,MIN($C$7,ROW()-1),1)),0))</f>
        <v/>
      </c>
      <c r="AU162">
        <f t="shared" ca="1" si="56"/>
        <v>0</v>
      </c>
      <c r="AV162" t="str">
        <f ca="1">IF(AU162=1,IF(INDEX(分析データ!$A:$A,ROW()+$C$5)&lt;&gt;"",80000*SIGN(AT162)*(分析データ!B162-INDEX(分析データ!B:B,ROW()+$C$5)),""),"")</f>
        <v/>
      </c>
      <c r="AW162">
        <f t="shared" ca="1" si="57"/>
        <v>0</v>
      </c>
      <c r="AX162">
        <f t="shared" ca="1" si="58"/>
        <v>0</v>
      </c>
      <c r="AY162">
        <f t="shared" ca="1" si="59"/>
        <v>0</v>
      </c>
      <c r="AZ162" t="str">
        <f ca="1">IF(ROW()&lt;($C$7+1),"",IFERROR((分析データ!C162-AVERAGE(OFFSET(分析データ!C$1,MAX(1,ROW()-$C$7),0,MIN($C$7,ROW()-1),1)))/STDEV(OFFSET(分析データ!C$1,MAX(1,ROW()-$C$7),0,MIN($C$7,ROW()-1),1)),0))</f>
        <v/>
      </c>
      <c r="BA162">
        <f t="shared" ca="1" si="60"/>
        <v>0</v>
      </c>
      <c r="BB162" t="str">
        <f ca="1">IF(BA162=1,IF(INDEX(分析データ!$A:$A,ROW()+$C$5)&lt;&gt;"",60000*SIGN(AZ162)*(分析データ!C162-INDEX(分析データ!C:C,ROW()+$C$5)),""),"")</f>
        <v/>
      </c>
      <c r="BC162">
        <f t="shared" ca="1" si="61"/>
        <v>0</v>
      </c>
      <c r="BD162">
        <f t="shared" ca="1" si="62"/>
        <v>0</v>
      </c>
      <c r="BE162">
        <f t="shared" ca="1" si="63"/>
        <v>0</v>
      </c>
      <c r="BF162" t="str">
        <f ca="1">IF(ROW()&lt;($C$7+1),"",IFERROR((分析データ!D162-AVERAGE(OFFSET(分析データ!D$1,MAX(1,ROW()-$C$7),0,MIN($C$7,ROW()-1),1)))/STDEV(OFFSET(分析データ!D$1,MAX(1,ROW()-$C$7),0,MIN($C$7,ROW()-1),1)),0))</f>
        <v/>
      </c>
      <c r="BG162">
        <f t="shared" ca="1" si="64"/>
        <v>0</v>
      </c>
      <c r="BH162" t="str">
        <f ca="1">IF(BG162=1,IF(INDEX(分析データ!$A:$A,ROW()+$C$5)&lt;&gt;"",50000*SIGN(BF162)*(分析データ!D162-INDEX(分析データ!D:D,ROW()+$C$5)),""),"")</f>
        <v/>
      </c>
      <c r="BI162">
        <f t="shared" ca="1" si="65"/>
        <v>0</v>
      </c>
      <c r="BJ162">
        <f t="shared" ca="1" si="66"/>
        <v>0</v>
      </c>
      <c r="BK162">
        <f t="shared" ca="1" si="67"/>
        <v>0</v>
      </c>
      <c r="BL162" t="str">
        <f ca="1">IF(ROW()&lt;($C$7+1),"",IFERROR((分析データ!E162-AVERAGE(OFFSET(分析データ!E$1,MAX(1,ROW()-$C$7),0,MIN($C$7,ROW()-1),1)))/STDEV(OFFSET(分析データ!E$1,MAX(1,ROW()-$C$7),0,MIN($C$7,ROW()-1),1)),0))</f>
        <v/>
      </c>
      <c r="BM162">
        <f t="shared" ca="1" si="68"/>
        <v>0</v>
      </c>
      <c r="BN162" t="str">
        <f ca="1">IF(BM162=1,IF(INDEX(分析データ!$A:$A,ROW()+$C$5)&lt;&gt;"",40000*SIGN(BL162)*(分析データ!E162-INDEX(分析データ!E:E,ROW()+$C$5)),""),"")</f>
        <v/>
      </c>
      <c r="BO162">
        <f t="shared" ca="1" si="69"/>
        <v>0</v>
      </c>
      <c r="BP162">
        <f t="shared" ca="1" si="70"/>
        <v>0</v>
      </c>
      <c r="BQ162">
        <f t="shared" ca="1" si="71"/>
        <v>0</v>
      </c>
      <c r="BR162" t="str">
        <f ca="1">IF(ROW()&lt;($C$7+1),"",IFERROR((分析データ!F162-AVERAGE(OFFSET(分析データ!F$1,MAX(1,ROW()-$C$7),0,MIN($C$7,ROW()-1),1)))/STDEV(OFFSET(分析データ!F$1,MAX(1,ROW()-$C$7),0,MIN($C$7,ROW()-1),1)),0))</f>
        <v/>
      </c>
      <c r="BS162">
        <f t="shared" ca="1" si="72"/>
        <v>0</v>
      </c>
      <c r="BT162" t="str">
        <f ca="1">IF(BS162=1,IF(INDEX(分析データ!$A:$A,ROW()+$C$5)&lt;&gt;"",40000*SIGN(BR162)*(分析データ!F162-INDEX(分析データ!F:F,ROW()+$C$5)),""),"")</f>
        <v/>
      </c>
      <c r="BU162">
        <f t="shared" ca="1" si="73"/>
        <v>0</v>
      </c>
      <c r="BV162">
        <f t="shared" ca="1" si="74"/>
        <v>0</v>
      </c>
      <c r="BW162">
        <f t="shared" ca="1" si="75"/>
        <v>0</v>
      </c>
      <c r="BX162" t="str">
        <f ca="1">IF(ROW()&lt;($C$7+1),"",IFERROR((分析データ!G162-AVERAGE(OFFSET(分析データ!G$1,MAX(1,ROW()-$C$7),0,MIN($C$7,ROW()-1),1)))/STDEV(OFFSET(分析データ!G$1,MAX(1,ROW()-$C$7),0,MIN($C$7,ROW()-1),1)),0))</f>
        <v/>
      </c>
      <c r="BY162">
        <f t="shared" ca="1" si="76"/>
        <v>0</v>
      </c>
      <c r="BZ162" t="str">
        <f ca="1">IF(BY162=1,IF(INDEX(分析データ!$A:$A,ROW()+$C$5)&lt;&gt;"",40000*SIGN(BX162)*(分析データ!G162-INDEX(分析データ!G:G,ROW()+$C$5)),""),"")</f>
        <v/>
      </c>
      <c r="CA162">
        <f t="shared" ca="1" si="77"/>
        <v>0</v>
      </c>
      <c r="CB162">
        <f t="shared" ca="1" si="78"/>
        <v>0</v>
      </c>
      <c r="CC162">
        <f t="shared" ca="1" si="79"/>
        <v>0</v>
      </c>
      <c r="CD162">
        <f t="shared" ca="1" si="80"/>
        <v>0</v>
      </c>
      <c r="CE162">
        <f t="shared" ca="1" si="81"/>
        <v>0</v>
      </c>
      <c r="CF162">
        <f t="shared" ca="1" si="82"/>
        <v>0</v>
      </c>
      <c r="CG162">
        <f t="shared" ca="1" si="83"/>
        <v>0</v>
      </c>
      <c r="CH162" s="10">
        <f>分析データ!A162</f>
        <v>45160</v>
      </c>
    </row>
    <row r="163" spans="46:86">
      <c r="AT163" t="str">
        <f ca="1">IF(ROW()&lt;($C$7+1),"",IFERROR((分析データ!B163-AVERAGE(OFFSET(分析データ!B$1,MAX(1,ROW()-$C$7),0,MIN($C$7,ROW()-1),1)))/STDEV(OFFSET(分析データ!B$1,MAX(1,ROW()-$C$7),0,MIN($C$7,ROW()-1),1)),0))</f>
        <v/>
      </c>
      <c r="AU163">
        <f t="shared" ca="1" si="56"/>
        <v>0</v>
      </c>
      <c r="AV163" t="str">
        <f ca="1">IF(AU163=1,IF(INDEX(分析データ!$A:$A,ROW()+$C$5)&lt;&gt;"",80000*SIGN(AT163)*(分析データ!B163-INDEX(分析データ!B:B,ROW()+$C$5)),""),"")</f>
        <v/>
      </c>
      <c r="AW163">
        <f t="shared" ca="1" si="57"/>
        <v>0</v>
      </c>
      <c r="AX163">
        <f t="shared" ca="1" si="58"/>
        <v>0</v>
      </c>
      <c r="AY163">
        <f t="shared" ca="1" si="59"/>
        <v>0</v>
      </c>
      <c r="AZ163" t="str">
        <f ca="1">IF(ROW()&lt;($C$7+1),"",IFERROR((分析データ!C163-AVERAGE(OFFSET(分析データ!C$1,MAX(1,ROW()-$C$7),0,MIN($C$7,ROW()-1),1)))/STDEV(OFFSET(分析データ!C$1,MAX(1,ROW()-$C$7),0,MIN($C$7,ROW()-1),1)),0))</f>
        <v/>
      </c>
      <c r="BA163">
        <f t="shared" ca="1" si="60"/>
        <v>0</v>
      </c>
      <c r="BB163" t="str">
        <f ca="1">IF(BA163=1,IF(INDEX(分析データ!$A:$A,ROW()+$C$5)&lt;&gt;"",60000*SIGN(AZ163)*(分析データ!C163-INDEX(分析データ!C:C,ROW()+$C$5)),""),"")</f>
        <v/>
      </c>
      <c r="BC163">
        <f t="shared" ca="1" si="61"/>
        <v>0</v>
      </c>
      <c r="BD163">
        <f t="shared" ca="1" si="62"/>
        <v>0</v>
      </c>
      <c r="BE163">
        <f t="shared" ca="1" si="63"/>
        <v>0</v>
      </c>
      <c r="BF163" t="str">
        <f ca="1">IF(ROW()&lt;($C$7+1),"",IFERROR((分析データ!D163-AVERAGE(OFFSET(分析データ!D$1,MAX(1,ROW()-$C$7),0,MIN($C$7,ROW()-1),1)))/STDEV(OFFSET(分析データ!D$1,MAX(1,ROW()-$C$7),0,MIN($C$7,ROW()-1),1)),0))</f>
        <v/>
      </c>
      <c r="BG163">
        <f t="shared" ca="1" si="64"/>
        <v>0</v>
      </c>
      <c r="BH163" t="str">
        <f ca="1">IF(BG163=1,IF(INDEX(分析データ!$A:$A,ROW()+$C$5)&lt;&gt;"",50000*SIGN(BF163)*(分析データ!D163-INDEX(分析データ!D:D,ROW()+$C$5)),""),"")</f>
        <v/>
      </c>
      <c r="BI163">
        <f t="shared" ca="1" si="65"/>
        <v>0</v>
      </c>
      <c r="BJ163">
        <f t="shared" ca="1" si="66"/>
        <v>0</v>
      </c>
      <c r="BK163">
        <f t="shared" ca="1" si="67"/>
        <v>0</v>
      </c>
      <c r="BL163" t="str">
        <f ca="1">IF(ROW()&lt;($C$7+1),"",IFERROR((分析データ!E163-AVERAGE(OFFSET(分析データ!E$1,MAX(1,ROW()-$C$7),0,MIN($C$7,ROW()-1),1)))/STDEV(OFFSET(分析データ!E$1,MAX(1,ROW()-$C$7),0,MIN($C$7,ROW()-1),1)),0))</f>
        <v/>
      </c>
      <c r="BM163">
        <f t="shared" ca="1" si="68"/>
        <v>0</v>
      </c>
      <c r="BN163" t="str">
        <f ca="1">IF(BM163=1,IF(INDEX(分析データ!$A:$A,ROW()+$C$5)&lt;&gt;"",40000*SIGN(BL163)*(分析データ!E163-INDEX(分析データ!E:E,ROW()+$C$5)),""),"")</f>
        <v/>
      </c>
      <c r="BO163">
        <f t="shared" ca="1" si="69"/>
        <v>0</v>
      </c>
      <c r="BP163">
        <f t="shared" ca="1" si="70"/>
        <v>0</v>
      </c>
      <c r="BQ163">
        <f t="shared" ca="1" si="71"/>
        <v>0</v>
      </c>
      <c r="BR163" t="str">
        <f ca="1">IF(ROW()&lt;($C$7+1),"",IFERROR((分析データ!F163-AVERAGE(OFFSET(分析データ!F$1,MAX(1,ROW()-$C$7),0,MIN($C$7,ROW()-1),1)))/STDEV(OFFSET(分析データ!F$1,MAX(1,ROW()-$C$7),0,MIN($C$7,ROW()-1),1)),0))</f>
        <v/>
      </c>
      <c r="BS163">
        <f t="shared" ca="1" si="72"/>
        <v>0</v>
      </c>
      <c r="BT163" t="str">
        <f ca="1">IF(BS163=1,IF(INDEX(分析データ!$A:$A,ROW()+$C$5)&lt;&gt;"",40000*SIGN(BR163)*(分析データ!F163-INDEX(分析データ!F:F,ROW()+$C$5)),""),"")</f>
        <v/>
      </c>
      <c r="BU163">
        <f t="shared" ca="1" si="73"/>
        <v>0</v>
      </c>
      <c r="BV163">
        <f t="shared" ca="1" si="74"/>
        <v>0</v>
      </c>
      <c r="BW163">
        <f t="shared" ca="1" si="75"/>
        <v>0</v>
      </c>
      <c r="BX163" t="str">
        <f ca="1">IF(ROW()&lt;($C$7+1),"",IFERROR((分析データ!G163-AVERAGE(OFFSET(分析データ!G$1,MAX(1,ROW()-$C$7),0,MIN($C$7,ROW()-1),1)))/STDEV(OFFSET(分析データ!G$1,MAX(1,ROW()-$C$7),0,MIN($C$7,ROW()-1),1)),0))</f>
        <v/>
      </c>
      <c r="BY163">
        <f t="shared" ca="1" si="76"/>
        <v>0</v>
      </c>
      <c r="BZ163" t="str">
        <f ca="1">IF(BY163=1,IF(INDEX(分析データ!$A:$A,ROW()+$C$5)&lt;&gt;"",40000*SIGN(BX163)*(分析データ!G163-INDEX(分析データ!G:G,ROW()+$C$5)),""),"")</f>
        <v/>
      </c>
      <c r="CA163">
        <f t="shared" ca="1" si="77"/>
        <v>0</v>
      </c>
      <c r="CB163">
        <f t="shared" ca="1" si="78"/>
        <v>0</v>
      </c>
      <c r="CC163">
        <f t="shared" ca="1" si="79"/>
        <v>0</v>
      </c>
      <c r="CD163">
        <f t="shared" ca="1" si="80"/>
        <v>0</v>
      </c>
      <c r="CE163">
        <f t="shared" ca="1" si="81"/>
        <v>0</v>
      </c>
      <c r="CF163">
        <f t="shared" ca="1" si="82"/>
        <v>0</v>
      </c>
      <c r="CG163">
        <f t="shared" ca="1" si="83"/>
        <v>0</v>
      </c>
      <c r="CH163" s="10">
        <f>分析データ!A163</f>
        <v>45161</v>
      </c>
    </row>
    <row r="164" spans="46:86">
      <c r="AT164" t="str">
        <f ca="1">IF(ROW()&lt;($C$7+1),"",IFERROR((分析データ!B164-AVERAGE(OFFSET(分析データ!B$1,MAX(1,ROW()-$C$7),0,MIN($C$7,ROW()-1),1)))/STDEV(OFFSET(分析データ!B$1,MAX(1,ROW()-$C$7),0,MIN($C$7,ROW()-1),1)),0))</f>
        <v/>
      </c>
      <c r="AU164">
        <f t="shared" ca="1" si="56"/>
        <v>0</v>
      </c>
      <c r="AV164" t="str">
        <f ca="1">IF(AU164=1,IF(INDEX(分析データ!$A:$A,ROW()+$C$5)&lt;&gt;"",80000*SIGN(AT164)*(分析データ!B164-INDEX(分析データ!B:B,ROW()+$C$5)),""),"")</f>
        <v/>
      </c>
      <c r="AW164">
        <f t="shared" ca="1" si="57"/>
        <v>0</v>
      </c>
      <c r="AX164">
        <f t="shared" ca="1" si="58"/>
        <v>0</v>
      </c>
      <c r="AY164">
        <f t="shared" ca="1" si="59"/>
        <v>0</v>
      </c>
      <c r="AZ164" t="str">
        <f ca="1">IF(ROW()&lt;($C$7+1),"",IFERROR((分析データ!C164-AVERAGE(OFFSET(分析データ!C$1,MAX(1,ROW()-$C$7),0,MIN($C$7,ROW()-1),1)))/STDEV(OFFSET(分析データ!C$1,MAX(1,ROW()-$C$7),0,MIN($C$7,ROW()-1),1)),0))</f>
        <v/>
      </c>
      <c r="BA164">
        <f t="shared" ca="1" si="60"/>
        <v>0</v>
      </c>
      <c r="BB164" t="str">
        <f ca="1">IF(BA164=1,IF(INDEX(分析データ!$A:$A,ROW()+$C$5)&lt;&gt;"",60000*SIGN(AZ164)*(分析データ!C164-INDEX(分析データ!C:C,ROW()+$C$5)),""),"")</f>
        <v/>
      </c>
      <c r="BC164">
        <f t="shared" ca="1" si="61"/>
        <v>0</v>
      </c>
      <c r="BD164">
        <f t="shared" ca="1" si="62"/>
        <v>0</v>
      </c>
      <c r="BE164">
        <f t="shared" ca="1" si="63"/>
        <v>0</v>
      </c>
      <c r="BF164" t="str">
        <f ca="1">IF(ROW()&lt;($C$7+1),"",IFERROR((分析データ!D164-AVERAGE(OFFSET(分析データ!D$1,MAX(1,ROW()-$C$7),0,MIN($C$7,ROW()-1),1)))/STDEV(OFFSET(分析データ!D$1,MAX(1,ROW()-$C$7),0,MIN($C$7,ROW()-1),1)),0))</f>
        <v/>
      </c>
      <c r="BG164">
        <f t="shared" ca="1" si="64"/>
        <v>0</v>
      </c>
      <c r="BH164" t="str">
        <f ca="1">IF(BG164=1,IF(INDEX(分析データ!$A:$A,ROW()+$C$5)&lt;&gt;"",50000*SIGN(BF164)*(分析データ!D164-INDEX(分析データ!D:D,ROW()+$C$5)),""),"")</f>
        <v/>
      </c>
      <c r="BI164">
        <f t="shared" ca="1" si="65"/>
        <v>0</v>
      </c>
      <c r="BJ164">
        <f t="shared" ca="1" si="66"/>
        <v>0</v>
      </c>
      <c r="BK164">
        <f t="shared" ca="1" si="67"/>
        <v>0</v>
      </c>
      <c r="BL164" t="str">
        <f ca="1">IF(ROW()&lt;($C$7+1),"",IFERROR((分析データ!E164-AVERAGE(OFFSET(分析データ!E$1,MAX(1,ROW()-$C$7),0,MIN($C$7,ROW()-1),1)))/STDEV(OFFSET(分析データ!E$1,MAX(1,ROW()-$C$7),0,MIN($C$7,ROW()-1),1)),0))</f>
        <v/>
      </c>
      <c r="BM164">
        <f t="shared" ca="1" si="68"/>
        <v>0</v>
      </c>
      <c r="BN164" t="str">
        <f ca="1">IF(BM164=1,IF(INDEX(分析データ!$A:$A,ROW()+$C$5)&lt;&gt;"",40000*SIGN(BL164)*(分析データ!E164-INDEX(分析データ!E:E,ROW()+$C$5)),""),"")</f>
        <v/>
      </c>
      <c r="BO164">
        <f t="shared" ca="1" si="69"/>
        <v>0</v>
      </c>
      <c r="BP164">
        <f t="shared" ca="1" si="70"/>
        <v>0</v>
      </c>
      <c r="BQ164">
        <f t="shared" ca="1" si="71"/>
        <v>0</v>
      </c>
      <c r="BR164" t="str">
        <f ca="1">IF(ROW()&lt;($C$7+1),"",IFERROR((分析データ!F164-AVERAGE(OFFSET(分析データ!F$1,MAX(1,ROW()-$C$7),0,MIN($C$7,ROW()-1),1)))/STDEV(OFFSET(分析データ!F$1,MAX(1,ROW()-$C$7),0,MIN($C$7,ROW()-1),1)),0))</f>
        <v/>
      </c>
      <c r="BS164">
        <f t="shared" ca="1" si="72"/>
        <v>0</v>
      </c>
      <c r="BT164" t="str">
        <f ca="1">IF(BS164=1,IF(INDEX(分析データ!$A:$A,ROW()+$C$5)&lt;&gt;"",40000*SIGN(BR164)*(分析データ!F164-INDEX(分析データ!F:F,ROW()+$C$5)),""),"")</f>
        <v/>
      </c>
      <c r="BU164">
        <f t="shared" ca="1" si="73"/>
        <v>0</v>
      </c>
      <c r="BV164">
        <f t="shared" ca="1" si="74"/>
        <v>0</v>
      </c>
      <c r="BW164">
        <f t="shared" ca="1" si="75"/>
        <v>0</v>
      </c>
      <c r="BX164" t="str">
        <f ca="1">IF(ROW()&lt;($C$7+1),"",IFERROR((分析データ!G164-AVERAGE(OFFSET(分析データ!G$1,MAX(1,ROW()-$C$7),0,MIN($C$7,ROW()-1),1)))/STDEV(OFFSET(分析データ!G$1,MAX(1,ROW()-$C$7),0,MIN($C$7,ROW()-1),1)),0))</f>
        <v/>
      </c>
      <c r="BY164">
        <f t="shared" ca="1" si="76"/>
        <v>0</v>
      </c>
      <c r="BZ164" t="str">
        <f ca="1">IF(BY164=1,IF(INDEX(分析データ!$A:$A,ROW()+$C$5)&lt;&gt;"",40000*SIGN(BX164)*(分析データ!G164-INDEX(分析データ!G:G,ROW()+$C$5)),""),"")</f>
        <v/>
      </c>
      <c r="CA164">
        <f t="shared" ca="1" si="77"/>
        <v>0</v>
      </c>
      <c r="CB164">
        <f t="shared" ca="1" si="78"/>
        <v>0</v>
      </c>
      <c r="CC164">
        <f t="shared" ca="1" si="79"/>
        <v>0</v>
      </c>
      <c r="CD164">
        <f t="shared" ca="1" si="80"/>
        <v>0</v>
      </c>
      <c r="CE164">
        <f t="shared" ca="1" si="81"/>
        <v>0</v>
      </c>
      <c r="CF164">
        <f t="shared" ca="1" si="82"/>
        <v>0</v>
      </c>
      <c r="CG164">
        <f t="shared" ca="1" si="83"/>
        <v>0</v>
      </c>
      <c r="CH164" s="10">
        <f>分析データ!A164</f>
        <v>45162</v>
      </c>
    </row>
    <row r="165" spans="46:86">
      <c r="AT165" t="str">
        <f ca="1">IF(ROW()&lt;($C$7+1),"",IFERROR((分析データ!B165-AVERAGE(OFFSET(分析データ!B$1,MAX(1,ROW()-$C$7),0,MIN($C$7,ROW()-1),1)))/STDEV(OFFSET(分析データ!B$1,MAX(1,ROW()-$C$7),0,MIN($C$7,ROW()-1),1)),0))</f>
        <v/>
      </c>
      <c r="AU165">
        <f t="shared" ca="1" si="56"/>
        <v>0</v>
      </c>
      <c r="AV165" t="str">
        <f ca="1">IF(AU165=1,IF(INDEX(分析データ!$A:$A,ROW()+$C$5)&lt;&gt;"",80000*SIGN(AT165)*(分析データ!B165-INDEX(分析データ!B:B,ROW()+$C$5)),""),"")</f>
        <v/>
      </c>
      <c r="AW165">
        <f t="shared" ca="1" si="57"/>
        <v>0</v>
      </c>
      <c r="AX165">
        <f t="shared" ca="1" si="58"/>
        <v>0</v>
      </c>
      <c r="AY165">
        <f t="shared" ca="1" si="59"/>
        <v>0</v>
      </c>
      <c r="AZ165" t="str">
        <f ca="1">IF(ROW()&lt;($C$7+1),"",IFERROR((分析データ!C165-AVERAGE(OFFSET(分析データ!C$1,MAX(1,ROW()-$C$7),0,MIN($C$7,ROW()-1),1)))/STDEV(OFFSET(分析データ!C$1,MAX(1,ROW()-$C$7),0,MIN($C$7,ROW()-1),1)),0))</f>
        <v/>
      </c>
      <c r="BA165">
        <f t="shared" ca="1" si="60"/>
        <v>0</v>
      </c>
      <c r="BB165" t="str">
        <f ca="1">IF(BA165=1,IF(INDEX(分析データ!$A:$A,ROW()+$C$5)&lt;&gt;"",60000*SIGN(AZ165)*(分析データ!C165-INDEX(分析データ!C:C,ROW()+$C$5)),""),"")</f>
        <v/>
      </c>
      <c r="BC165">
        <f t="shared" ca="1" si="61"/>
        <v>0</v>
      </c>
      <c r="BD165">
        <f t="shared" ca="1" si="62"/>
        <v>0</v>
      </c>
      <c r="BE165">
        <f t="shared" ca="1" si="63"/>
        <v>0</v>
      </c>
      <c r="BF165" t="str">
        <f ca="1">IF(ROW()&lt;($C$7+1),"",IFERROR((分析データ!D165-AVERAGE(OFFSET(分析データ!D$1,MAX(1,ROW()-$C$7),0,MIN($C$7,ROW()-1),1)))/STDEV(OFFSET(分析データ!D$1,MAX(1,ROW()-$C$7),0,MIN($C$7,ROW()-1),1)),0))</f>
        <v/>
      </c>
      <c r="BG165">
        <f t="shared" ca="1" si="64"/>
        <v>0</v>
      </c>
      <c r="BH165" t="str">
        <f ca="1">IF(BG165=1,IF(INDEX(分析データ!$A:$A,ROW()+$C$5)&lt;&gt;"",50000*SIGN(BF165)*(分析データ!D165-INDEX(分析データ!D:D,ROW()+$C$5)),""),"")</f>
        <v/>
      </c>
      <c r="BI165">
        <f t="shared" ca="1" si="65"/>
        <v>0</v>
      </c>
      <c r="BJ165">
        <f t="shared" ca="1" si="66"/>
        <v>0</v>
      </c>
      <c r="BK165">
        <f t="shared" ca="1" si="67"/>
        <v>0</v>
      </c>
      <c r="BL165" t="str">
        <f ca="1">IF(ROW()&lt;($C$7+1),"",IFERROR((分析データ!E165-AVERAGE(OFFSET(分析データ!E$1,MAX(1,ROW()-$C$7),0,MIN($C$7,ROW()-1),1)))/STDEV(OFFSET(分析データ!E$1,MAX(1,ROW()-$C$7),0,MIN($C$7,ROW()-1),1)),0))</f>
        <v/>
      </c>
      <c r="BM165">
        <f t="shared" ca="1" si="68"/>
        <v>0</v>
      </c>
      <c r="BN165" t="str">
        <f ca="1">IF(BM165=1,IF(INDEX(分析データ!$A:$A,ROW()+$C$5)&lt;&gt;"",40000*SIGN(BL165)*(分析データ!E165-INDEX(分析データ!E:E,ROW()+$C$5)),""),"")</f>
        <v/>
      </c>
      <c r="BO165">
        <f t="shared" ca="1" si="69"/>
        <v>0</v>
      </c>
      <c r="BP165">
        <f t="shared" ca="1" si="70"/>
        <v>0</v>
      </c>
      <c r="BQ165">
        <f t="shared" ca="1" si="71"/>
        <v>0</v>
      </c>
      <c r="BR165" t="str">
        <f ca="1">IF(ROW()&lt;($C$7+1),"",IFERROR((分析データ!F165-AVERAGE(OFFSET(分析データ!F$1,MAX(1,ROW()-$C$7),0,MIN($C$7,ROW()-1),1)))/STDEV(OFFSET(分析データ!F$1,MAX(1,ROW()-$C$7),0,MIN($C$7,ROW()-1),1)),0))</f>
        <v/>
      </c>
      <c r="BS165">
        <f t="shared" ca="1" si="72"/>
        <v>0</v>
      </c>
      <c r="BT165" t="str">
        <f ca="1">IF(BS165=1,IF(INDEX(分析データ!$A:$A,ROW()+$C$5)&lt;&gt;"",40000*SIGN(BR165)*(分析データ!F165-INDEX(分析データ!F:F,ROW()+$C$5)),""),"")</f>
        <v/>
      </c>
      <c r="BU165">
        <f t="shared" ca="1" si="73"/>
        <v>0</v>
      </c>
      <c r="BV165">
        <f t="shared" ca="1" si="74"/>
        <v>0</v>
      </c>
      <c r="BW165">
        <f t="shared" ca="1" si="75"/>
        <v>0</v>
      </c>
      <c r="BX165" t="str">
        <f ca="1">IF(ROW()&lt;($C$7+1),"",IFERROR((分析データ!G165-AVERAGE(OFFSET(分析データ!G$1,MAX(1,ROW()-$C$7),0,MIN($C$7,ROW()-1),1)))/STDEV(OFFSET(分析データ!G$1,MAX(1,ROW()-$C$7),0,MIN($C$7,ROW()-1),1)),0))</f>
        <v/>
      </c>
      <c r="BY165">
        <f t="shared" ca="1" si="76"/>
        <v>0</v>
      </c>
      <c r="BZ165" t="str">
        <f ca="1">IF(BY165=1,IF(INDEX(分析データ!$A:$A,ROW()+$C$5)&lt;&gt;"",40000*SIGN(BX165)*(分析データ!G165-INDEX(分析データ!G:G,ROW()+$C$5)),""),"")</f>
        <v/>
      </c>
      <c r="CA165">
        <f t="shared" ca="1" si="77"/>
        <v>0</v>
      </c>
      <c r="CB165">
        <f t="shared" ca="1" si="78"/>
        <v>0</v>
      </c>
      <c r="CC165">
        <f t="shared" ca="1" si="79"/>
        <v>0</v>
      </c>
      <c r="CD165">
        <f t="shared" ca="1" si="80"/>
        <v>0</v>
      </c>
      <c r="CE165">
        <f t="shared" ca="1" si="81"/>
        <v>0</v>
      </c>
      <c r="CF165">
        <f t="shared" ca="1" si="82"/>
        <v>0</v>
      </c>
      <c r="CG165">
        <f t="shared" ca="1" si="83"/>
        <v>0</v>
      </c>
      <c r="CH165" s="10">
        <f>分析データ!A165</f>
        <v>45163</v>
      </c>
    </row>
    <row r="166" spans="46:86">
      <c r="AT166" t="str">
        <f ca="1">IF(ROW()&lt;($C$7+1),"",IFERROR((分析データ!B166-AVERAGE(OFFSET(分析データ!B$1,MAX(1,ROW()-$C$7),0,MIN($C$7,ROW()-1),1)))/STDEV(OFFSET(分析データ!B$1,MAX(1,ROW()-$C$7),0,MIN($C$7,ROW()-1),1)),0))</f>
        <v/>
      </c>
      <c r="AU166">
        <f t="shared" ca="1" si="56"/>
        <v>0</v>
      </c>
      <c r="AV166" t="str">
        <f ca="1">IF(AU166=1,IF(INDEX(分析データ!$A:$A,ROW()+$C$5)&lt;&gt;"",80000*SIGN(AT166)*(分析データ!B166-INDEX(分析データ!B:B,ROW()+$C$5)),""),"")</f>
        <v/>
      </c>
      <c r="AW166">
        <f t="shared" ca="1" si="57"/>
        <v>0</v>
      </c>
      <c r="AX166">
        <f t="shared" ca="1" si="58"/>
        <v>0</v>
      </c>
      <c r="AY166">
        <f t="shared" ca="1" si="59"/>
        <v>0</v>
      </c>
      <c r="AZ166" t="str">
        <f ca="1">IF(ROW()&lt;($C$7+1),"",IFERROR((分析データ!C166-AVERAGE(OFFSET(分析データ!C$1,MAX(1,ROW()-$C$7),0,MIN($C$7,ROW()-1),1)))/STDEV(OFFSET(分析データ!C$1,MAX(1,ROW()-$C$7),0,MIN($C$7,ROW()-1),1)),0))</f>
        <v/>
      </c>
      <c r="BA166">
        <f t="shared" ca="1" si="60"/>
        <v>0</v>
      </c>
      <c r="BB166" t="str">
        <f ca="1">IF(BA166=1,IF(INDEX(分析データ!$A:$A,ROW()+$C$5)&lt;&gt;"",60000*SIGN(AZ166)*(分析データ!C166-INDEX(分析データ!C:C,ROW()+$C$5)),""),"")</f>
        <v/>
      </c>
      <c r="BC166">
        <f t="shared" ca="1" si="61"/>
        <v>0</v>
      </c>
      <c r="BD166">
        <f t="shared" ca="1" si="62"/>
        <v>0</v>
      </c>
      <c r="BE166">
        <f t="shared" ca="1" si="63"/>
        <v>0</v>
      </c>
      <c r="BF166" t="str">
        <f ca="1">IF(ROW()&lt;($C$7+1),"",IFERROR((分析データ!D166-AVERAGE(OFFSET(分析データ!D$1,MAX(1,ROW()-$C$7),0,MIN($C$7,ROW()-1),1)))/STDEV(OFFSET(分析データ!D$1,MAX(1,ROW()-$C$7),0,MIN($C$7,ROW()-1),1)),0))</f>
        <v/>
      </c>
      <c r="BG166">
        <f t="shared" ca="1" si="64"/>
        <v>0</v>
      </c>
      <c r="BH166" t="str">
        <f ca="1">IF(BG166=1,IF(INDEX(分析データ!$A:$A,ROW()+$C$5)&lt;&gt;"",50000*SIGN(BF166)*(分析データ!D166-INDEX(分析データ!D:D,ROW()+$C$5)),""),"")</f>
        <v/>
      </c>
      <c r="BI166">
        <f t="shared" ca="1" si="65"/>
        <v>0</v>
      </c>
      <c r="BJ166">
        <f t="shared" ca="1" si="66"/>
        <v>0</v>
      </c>
      <c r="BK166">
        <f t="shared" ca="1" si="67"/>
        <v>0</v>
      </c>
      <c r="BL166" t="str">
        <f ca="1">IF(ROW()&lt;($C$7+1),"",IFERROR((分析データ!E166-AVERAGE(OFFSET(分析データ!E$1,MAX(1,ROW()-$C$7),0,MIN($C$7,ROW()-1),1)))/STDEV(OFFSET(分析データ!E$1,MAX(1,ROW()-$C$7),0,MIN($C$7,ROW()-1),1)),0))</f>
        <v/>
      </c>
      <c r="BM166">
        <f t="shared" ca="1" si="68"/>
        <v>0</v>
      </c>
      <c r="BN166" t="str">
        <f ca="1">IF(BM166=1,IF(INDEX(分析データ!$A:$A,ROW()+$C$5)&lt;&gt;"",40000*SIGN(BL166)*(分析データ!E166-INDEX(分析データ!E:E,ROW()+$C$5)),""),"")</f>
        <v/>
      </c>
      <c r="BO166">
        <f t="shared" ca="1" si="69"/>
        <v>0</v>
      </c>
      <c r="BP166">
        <f t="shared" ca="1" si="70"/>
        <v>0</v>
      </c>
      <c r="BQ166">
        <f t="shared" ca="1" si="71"/>
        <v>0</v>
      </c>
      <c r="BR166" t="str">
        <f ca="1">IF(ROW()&lt;($C$7+1),"",IFERROR((分析データ!F166-AVERAGE(OFFSET(分析データ!F$1,MAX(1,ROW()-$C$7),0,MIN($C$7,ROW()-1),1)))/STDEV(OFFSET(分析データ!F$1,MAX(1,ROW()-$C$7),0,MIN($C$7,ROW()-1),1)),0))</f>
        <v/>
      </c>
      <c r="BS166">
        <f t="shared" ca="1" si="72"/>
        <v>0</v>
      </c>
      <c r="BT166" t="str">
        <f ca="1">IF(BS166=1,IF(INDEX(分析データ!$A:$A,ROW()+$C$5)&lt;&gt;"",40000*SIGN(BR166)*(分析データ!F166-INDEX(分析データ!F:F,ROW()+$C$5)),""),"")</f>
        <v/>
      </c>
      <c r="BU166">
        <f t="shared" ca="1" si="73"/>
        <v>0</v>
      </c>
      <c r="BV166">
        <f t="shared" ca="1" si="74"/>
        <v>0</v>
      </c>
      <c r="BW166">
        <f t="shared" ca="1" si="75"/>
        <v>0</v>
      </c>
      <c r="BX166" t="str">
        <f ca="1">IF(ROW()&lt;($C$7+1),"",IFERROR((分析データ!G166-AVERAGE(OFFSET(分析データ!G$1,MAX(1,ROW()-$C$7),0,MIN($C$7,ROW()-1),1)))/STDEV(OFFSET(分析データ!G$1,MAX(1,ROW()-$C$7),0,MIN($C$7,ROW()-1),1)),0))</f>
        <v/>
      </c>
      <c r="BY166">
        <f t="shared" ca="1" si="76"/>
        <v>0</v>
      </c>
      <c r="BZ166" t="str">
        <f ca="1">IF(BY166=1,IF(INDEX(分析データ!$A:$A,ROW()+$C$5)&lt;&gt;"",40000*SIGN(BX166)*(分析データ!G166-INDEX(分析データ!G:G,ROW()+$C$5)),""),"")</f>
        <v/>
      </c>
      <c r="CA166">
        <f t="shared" ca="1" si="77"/>
        <v>0</v>
      </c>
      <c r="CB166">
        <f t="shared" ca="1" si="78"/>
        <v>0</v>
      </c>
      <c r="CC166">
        <f t="shared" ca="1" si="79"/>
        <v>0</v>
      </c>
      <c r="CD166">
        <f t="shared" ca="1" si="80"/>
        <v>0</v>
      </c>
      <c r="CE166">
        <f t="shared" ca="1" si="81"/>
        <v>0</v>
      </c>
      <c r="CF166">
        <f t="shared" ca="1" si="82"/>
        <v>0</v>
      </c>
      <c r="CG166">
        <f t="shared" ca="1" si="83"/>
        <v>0</v>
      </c>
      <c r="CH166" s="10">
        <f>分析データ!A166</f>
        <v>45166</v>
      </c>
    </row>
    <row r="167" spans="46:86">
      <c r="AT167" t="str">
        <f ca="1">IF(ROW()&lt;($C$7+1),"",IFERROR((分析データ!B167-AVERAGE(OFFSET(分析データ!B$1,MAX(1,ROW()-$C$7),0,MIN($C$7,ROW()-1),1)))/STDEV(OFFSET(分析データ!B$1,MAX(1,ROW()-$C$7),0,MIN($C$7,ROW()-1),1)),0))</f>
        <v/>
      </c>
      <c r="AU167">
        <f t="shared" ca="1" si="56"/>
        <v>0</v>
      </c>
      <c r="AV167" t="str">
        <f ca="1">IF(AU167=1,IF(INDEX(分析データ!$A:$A,ROW()+$C$5)&lt;&gt;"",80000*SIGN(AT167)*(分析データ!B167-INDEX(分析データ!B:B,ROW()+$C$5)),""),"")</f>
        <v/>
      </c>
      <c r="AW167">
        <f t="shared" ca="1" si="57"/>
        <v>0</v>
      </c>
      <c r="AX167">
        <f t="shared" ca="1" si="58"/>
        <v>0</v>
      </c>
      <c r="AY167">
        <f t="shared" ca="1" si="59"/>
        <v>0</v>
      </c>
      <c r="AZ167" t="str">
        <f ca="1">IF(ROW()&lt;($C$7+1),"",IFERROR((分析データ!C167-AVERAGE(OFFSET(分析データ!C$1,MAX(1,ROW()-$C$7),0,MIN($C$7,ROW()-1),1)))/STDEV(OFFSET(分析データ!C$1,MAX(1,ROW()-$C$7),0,MIN($C$7,ROW()-1),1)),0))</f>
        <v/>
      </c>
      <c r="BA167">
        <f t="shared" ca="1" si="60"/>
        <v>0</v>
      </c>
      <c r="BB167" t="str">
        <f ca="1">IF(BA167=1,IF(INDEX(分析データ!$A:$A,ROW()+$C$5)&lt;&gt;"",60000*SIGN(AZ167)*(分析データ!C167-INDEX(分析データ!C:C,ROW()+$C$5)),""),"")</f>
        <v/>
      </c>
      <c r="BC167">
        <f t="shared" ca="1" si="61"/>
        <v>0</v>
      </c>
      <c r="BD167">
        <f t="shared" ca="1" si="62"/>
        <v>0</v>
      </c>
      <c r="BE167">
        <f t="shared" ca="1" si="63"/>
        <v>0</v>
      </c>
      <c r="BF167" t="str">
        <f ca="1">IF(ROW()&lt;($C$7+1),"",IFERROR((分析データ!D167-AVERAGE(OFFSET(分析データ!D$1,MAX(1,ROW()-$C$7),0,MIN($C$7,ROW()-1),1)))/STDEV(OFFSET(分析データ!D$1,MAX(1,ROW()-$C$7),0,MIN($C$7,ROW()-1),1)),0))</f>
        <v/>
      </c>
      <c r="BG167">
        <f t="shared" ca="1" si="64"/>
        <v>0</v>
      </c>
      <c r="BH167" t="str">
        <f ca="1">IF(BG167=1,IF(INDEX(分析データ!$A:$A,ROW()+$C$5)&lt;&gt;"",50000*SIGN(BF167)*(分析データ!D167-INDEX(分析データ!D:D,ROW()+$C$5)),""),"")</f>
        <v/>
      </c>
      <c r="BI167">
        <f t="shared" ca="1" si="65"/>
        <v>0</v>
      </c>
      <c r="BJ167">
        <f t="shared" ca="1" si="66"/>
        <v>0</v>
      </c>
      <c r="BK167">
        <f t="shared" ca="1" si="67"/>
        <v>0</v>
      </c>
      <c r="BL167" t="str">
        <f ca="1">IF(ROW()&lt;($C$7+1),"",IFERROR((分析データ!E167-AVERAGE(OFFSET(分析データ!E$1,MAX(1,ROW()-$C$7),0,MIN($C$7,ROW()-1),1)))/STDEV(OFFSET(分析データ!E$1,MAX(1,ROW()-$C$7),0,MIN($C$7,ROW()-1),1)),0))</f>
        <v/>
      </c>
      <c r="BM167">
        <f t="shared" ca="1" si="68"/>
        <v>0</v>
      </c>
      <c r="BN167" t="str">
        <f ca="1">IF(BM167=1,IF(INDEX(分析データ!$A:$A,ROW()+$C$5)&lt;&gt;"",40000*SIGN(BL167)*(分析データ!E167-INDEX(分析データ!E:E,ROW()+$C$5)),""),"")</f>
        <v/>
      </c>
      <c r="BO167">
        <f t="shared" ca="1" si="69"/>
        <v>0</v>
      </c>
      <c r="BP167">
        <f t="shared" ca="1" si="70"/>
        <v>0</v>
      </c>
      <c r="BQ167">
        <f t="shared" ca="1" si="71"/>
        <v>0</v>
      </c>
      <c r="BR167" t="str">
        <f ca="1">IF(ROW()&lt;($C$7+1),"",IFERROR((分析データ!F167-AVERAGE(OFFSET(分析データ!F$1,MAX(1,ROW()-$C$7),0,MIN($C$7,ROW()-1),1)))/STDEV(OFFSET(分析データ!F$1,MAX(1,ROW()-$C$7),0,MIN($C$7,ROW()-1),1)),0))</f>
        <v/>
      </c>
      <c r="BS167">
        <f t="shared" ca="1" si="72"/>
        <v>0</v>
      </c>
      <c r="BT167" t="str">
        <f ca="1">IF(BS167=1,IF(INDEX(分析データ!$A:$A,ROW()+$C$5)&lt;&gt;"",40000*SIGN(BR167)*(分析データ!F167-INDEX(分析データ!F:F,ROW()+$C$5)),""),"")</f>
        <v/>
      </c>
      <c r="BU167">
        <f t="shared" ca="1" si="73"/>
        <v>0</v>
      </c>
      <c r="BV167">
        <f t="shared" ca="1" si="74"/>
        <v>0</v>
      </c>
      <c r="BW167">
        <f t="shared" ca="1" si="75"/>
        <v>0</v>
      </c>
      <c r="BX167" t="str">
        <f ca="1">IF(ROW()&lt;($C$7+1),"",IFERROR((分析データ!G167-AVERAGE(OFFSET(分析データ!G$1,MAX(1,ROW()-$C$7),0,MIN($C$7,ROW()-1),1)))/STDEV(OFFSET(分析データ!G$1,MAX(1,ROW()-$C$7),0,MIN($C$7,ROW()-1),1)),0))</f>
        <v/>
      </c>
      <c r="BY167">
        <f t="shared" ca="1" si="76"/>
        <v>0</v>
      </c>
      <c r="BZ167" t="str">
        <f ca="1">IF(BY167=1,IF(INDEX(分析データ!$A:$A,ROW()+$C$5)&lt;&gt;"",40000*SIGN(BX167)*(分析データ!G167-INDEX(分析データ!G:G,ROW()+$C$5)),""),"")</f>
        <v/>
      </c>
      <c r="CA167">
        <f t="shared" ca="1" si="77"/>
        <v>0</v>
      </c>
      <c r="CB167">
        <f t="shared" ca="1" si="78"/>
        <v>0</v>
      </c>
      <c r="CC167">
        <f t="shared" ca="1" si="79"/>
        <v>0</v>
      </c>
      <c r="CD167">
        <f t="shared" ca="1" si="80"/>
        <v>0</v>
      </c>
      <c r="CE167">
        <f t="shared" ca="1" si="81"/>
        <v>0</v>
      </c>
      <c r="CF167">
        <f t="shared" ca="1" si="82"/>
        <v>0</v>
      </c>
      <c r="CG167">
        <f t="shared" ca="1" si="83"/>
        <v>0</v>
      </c>
      <c r="CH167" s="10">
        <f>分析データ!A167</f>
        <v>45167</v>
      </c>
    </row>
    <row r="168" spans="46:86">
      <c r="AT168" t="str">
        <f ca="1">IF(ROW()&lt;($C$7+1),"",IFERROR((分析データ!B168-AVERAGE(OFFSET(分析データ!B$1,MAX(1,ROW()-$C$7),0,MIN($C$7,ROW()-1),1)))/STDEV(OFFSET(分析データ!B$1,MAX(1,ROW()-$C$7),0,MIN($C$7,ROW()-1),1)),0))</f>
        <v/>
      </c>
      <c r="AU168">
        <f t="shared" ca="1" si="56"/>
        <v>0</v>
      </c>
      <c r="AV168" t="str">
        <f ca="1">IF(AU168=1,IF(INDEX(分析データ!$A:$A,ROW()+$C$5)&lt;&gt;"",80000*SIGN(AT168)*(分析データ!B168-INDEX(分析データ!B:B,ROW()+$C$5)),""),"")</f>
        <v/>
      </c>
      <c r="AW168">
        <f t="shared" ca="1" si="57"/>
        <v>0</v>
      </c>
      <c r="AX168">
        <f t="shared" ca="1" si="58"/>
        <v>0</v>
      </c>
      <c r="AY168">
        <f t="shared" ca="1" si="59"/>
        <v>0</v>
      </c>
      <c r="AZ168" t="str">
        <f ca="1">IF(ROW()&lt;($C$7+1),"",IFERROR((分析データ!C168-AVERAGE(OFFSET(分析データ!C$1,MAX(1,ROW()-$C$7),0,MIN($C$7,ROW()-1),1)))/STDEV(OFFSET(分析データ!C$1,MAX(1,ROW()-$C$7),0,MIN($C$7,ROW()-1),1)),0))</f>
        <v/>
      </c>
      <c r="BA168">
        <f t="shared" ca="1" si="60"/>
        <v>0</v>
      </c>
      <c r="BB168" t="str">
        <f ca="1">IF(BA168=1,IF(INDEX(分析データ!$A:$A,ROW()+$C$5)&lt;&gt;"",60000*SIGN(AZ168)*(分析データ!C168-INDEX(分析データ!C:C,ROW()+$C$5)),""),"")</f>
        <v/>
      </c>
      <c r="BC168">
        <f t="shared" ca="1" si="61"/>
        <v>0</v>
      </c>
      <c r="BD168">
        <f t="shared" ca="1" si="62"/>
        <v>0</v>
      </c>
      <c r="BE168">
        <f t="shared" ca="1" si="63"/>
        <v>0</v>
      </c>
      <c r="BF168" t="str">
        <f ca="1">IF(ROW()&lt;($C$7+1),"",IFERROR((分析データ!D168-AVERAGE(OFFSET(分析データ!D$1,MAX(1,ROW()-$C$7),0,MIN($C$7,ROW()-1),1)))/STDEV(OFFSET(分析データ!D$1,MAX(1,ROW()-$C$7),0,MIN($C$7,ROW()-1),1)),0))</f>
        <v/>
      </c>
      <c r="BG168">
        <f t="shared" ca="1" si="64"/>
        <v>0</v>
      </c>
      <c r="BH168" t="str">
        <f ca="1">IF(BG168=1,IF(INDEX(分析データ!$A:$A,ROW()+$C$5)&lt;&gt;"",50000*SIGN(BF168)*(分析データ!D168-INDEX(分析データ!D:D,ROW()+$C$5)),""),"")</f>
        <v/>
      </c>
      <c r="BI168">
        <f t="shared" ca="1" si="65"/>
        <v>0</v>
      </c>
      <c r="BJ168">
        <f t="shared" ca="1" si="66"/>
        <v>0</v>
      </c>
      <c r="BK168">
        <f t="shared" ca="1" si="67"/>
        <v>0</v>
      </c>
      <c r="BL168" t="str">
        <f ca="1">IF(ROW()&lt;($C$7+1),"",IFERROR((分析データ!E168-AVERAGE(OFFSET(分析データ!E$1,MAX(1,ROW()-$C$7),0,MIN($C$7,ROW()-1),1)))/STDEV(OFFSET(分析データ!E$1,MAX(1,ROW()-$C$7),0,MIN($C$7,ROW()-1),1)),0))</f>
        <v/>
      </c>
      <c r="BM168">
        <f t="shared" ca="1" si="68"/>
        <v>0</v>
      </c>
      <c r="BN168" t="str">
        <f ca="1">IF(BM168=1,IF(INDEX(分析データ!$A:$A,ROW()+$C$5)&lt;&gt;"",40000*SIGN(BL168)*(分析データ!E168-INDEX(分析データ!E:E,ROW()+$C$5)),""),"")</f>
        <v/>
      </c>
      <c r="BO168">
        <f t="shared" ca="1" si="69"/>
        <v>0</v>
      </c>
      <c r="BP168">
        <f t="shared" ca="1" si="70"/>
        <v>0</v>
      </c>
      <c r="BQ168">
        <f t="shared" ca="1" si="71"/>
        <v>0</v>
      </c>
      <c r="BR168" t="str">
        <f ca="1">IF(ROW()&lt;($C$7+1),"",IFERROR((分析データ!F168-AVERAGE(OFFSET(分析データ!F$1,MAX(1,ROW()-$C$7),0,MIN($C$7,ROW()-1),1)))/STDEV(OFFSET(分析データ!F$1,MAX(1,ROW()-$C$7),0,MIN($C$7,ROW()-1),1)),0))</f>
        <v/>
      </c>
      <c r="BS168">
        <f t="shared" ca="1" si="72"/>
        <v>0</v>
      </c>
      <c r="BT168" t="str">
        <f ca="1">IF(BS168=1,IF(INDEX(分析データ!$A:$A,ROW()+$C$5)&lt;&gt;"",40000*SIGN(BR168)*(分析データ!F168-INDEX(分析データ!F:F,ROW()+$C$5)),""),"")</f>
        <v/>
      </c>
      <c r="BU168">
        <f t="shared" ca="1" si="73"/>
        <v>0</v>
      </c>
      <c r="BV168">
        <f t="shared" ca="1" si="74"/>
        <v>0</v>
      </c>
      <c r="BW168">
        <f t="shared" ca="1" si="75"/>
        <v>0</v>
      </c>
      <c r="BX168" t="str">
        <f ca="1">IF(ROW()&lt;($C$7+1),"",IFERROR((分析データ!G168-AVERAGE(OFFSET(分析データ!G$1,MAX(1,ROW()-$C$7),0,MIN($C$7,ROW()-1),1)))/STDEV(OFFSET(分析データ!G$1,MAX(1,ROW()-$C$7),0,MIN($C$7,ROW()-1),1)),0))</f>
        <v/>
      </c>
      <c r="BY168">
        <f t="shared" ca="1" si="76"/>
        <v>0</v>
      </c>
      <c r="BZ168" t="str">
        <f ca="1">IF(BY168=1,IF(INDEX(分析データ!$A:$A,ROW()+$C$5)&lt;&gt;"",40000*SIGN(BX168)*(分析データ!G168-INDEX(分析データ!G:G,ROW()+$C$5)),""),"")</f>
        <v/>
      </c>
      <c r="CA168">
        <f t="shared" ca="1" si="77"/>
        <v>0</v>
      </c>
      <c r="CB168">
        <f t="shared" ca="1" si="78"/>
        <v>0</v>
      </c>
      <c r="CC168">
        <f t="shared" ca="1" si="79"/>
        <v>0</v>
      </c>
      <c r="CD168">
        <f t="shared" ca="1" si="80"/>
        <v>0</v>
      </c>
      <c r="CE168">
        <f t="shared" ca="1" si="81"/>
        <v>0</v>
      </c>
      <c r="CF168">
        <f t="shared" ca="1" si="82"/>
        <v>0</v>
      </c>
      <c r="CG168">
        <f t="shared" ca="1" si="83"/>
        <v>0</v>
      </c>
      <c r="CH168" s="10">
        <f>分析データ!A168</f>
        <v>45168</v>
      </c>
    </row>
    <row r="169" spans="46:86">
      <c r="AT169" t="str">
        <f ca="1">IF(ROW()&lt;($C$7+1),"",IFERROR((分析データ!B169-AVERAGE(OFFSET(分析データ!B$1,MAX(1,ROW()-$C$7),0,MIN($C$7,ROW()-1),1)))/STDEV(OFFSET(分析データ!B$1,MAX(1,ROW()-$C$7),0,MIN($C$7,ROW()-1),1)),0))</f>
        <v/>
      </c>
      <c r="AU169">
        <f t="shared" ca="1" si="56"/>
        <v>0</v>
      </c>
      <c r="AV169" t="str">
        <f ca="1">IF(AU169=1,IF(INDEX(分析データ!$A:$A,ROW()+$C$5)&lt;&gt;"",80000*SIGN(AT169)*(分析データ!B169-INDEX(分析データ!B:B,ROW()+$C$5)),""),"")</f>
        <v/>
      </c>
      <c r="AW169">
        <f t="shared" ca="1" si="57"/>
        <v>0</v>
      </c>
      <c r="AX169">
        <f t="shared" ca="1" si="58"/>
        <v>0</v>
      </c>
      <c r="AY169">
        <f t="shared" ca="1" si="59"/>
        <v>0</v>
      </c>
      <c r="AZ169" t="str">
        <f ca="1">IF(ROW()&lt;($C$7+1),"",IFERROR((分析データ!C169-AVERAGE(OFFSET(分析データ!C$1,MAX(1,ROW()-$C$7),0,MIN($C$7,ROW()-1),1)))/STDEV(OFFSET(分析データ!C$1,MAX(1,ROW()-$C$7),0,MIN($C$7,ROW()-1),1)),0))</f>
        <v/>
      </c>
      <c r="BA169">
        <f t="shared" ca="1" si="60"/>
        <v>0</v>
      </c>
      <c r="BB169" t="str">
        <f ca="1">IF(BA169=1,IF(INDEX(分析データ!$A:$A,ROW()+$C$5)&lt;&gt;"",60000*SIGN(AZ169)*(分析データ!C169-INDEX(分析データ!C:C,ROW()+$C$5)),""),"")</f>
        <v/>
      </c>
      <c r="BC169">
        <f t="shared" ca="1" si="61"/>
        <v>0</v>
      </c>
      <c r="BD169">
        <f t="shared" ca="1" si="62"/>
        <v>0</v>
      </c>
      <c r="BE169">
        <f t="shared" ca="1" si="63"/>
        <v>0</v>
      </c>
      <c r="BF169" t="str">
        <f ca="1">IF(ROW()&lt;($C$7+1),"",IFERROR((分析データ!D169-AVERAGE(OFFSET(分析データ!D$1,MAX(1,ROW()-$C$7),0,MIN($C$7,ROW()-1),1)))/STDEV(OFFSET(分析データ!D$1,MAX(1,ROW()-$C$7),0,MIN($C$7,ROW()-1),1)),0))</f>
        <v/>
      </c>
      <c r="BG169">
        <f t="shared" ca="1" si="64"/>
        <v>0</v>
      </c>
      <c r="BH169" t="str">
        <f ca="1">IF(BG169=1,IF(INDEX(分析データ!$A:$A,ROW()+$C$5)&lt;&gt;"",50000*SIGN(BF169)*(分析データ!D169-INDEX(分析データ!D:D,ROW()+$C$5)),""),"")</f>
        <v/>
      </c>
      <c r="BI169">
        <f t="shared" ca="1" si="65"/>
        <v>0</v>
      </c>
      <c r="BJ169">
        <f t="shared" ca="1" si="66"/>
        <v>0</v>
      </c>
      <c r="BK169">
        <f t="shared" ca="1" si="67"/>
        <v>0</v>
      </c>
      <c r="BL169" t="str">
        <f ca="1">IF(ROW()&lt;($C$7+1),"",IFERROR((分析データ!E169-AVERAGE(OFFSET(分析データ!E$1,MAX(1,ROW()-$C$7),0,MIN($C$7,ROW()-1),1)))/STDEV(OFFSET(分析データ!E$1,MAX(1,ROW()-$C$7),0,MIN($C$7,ROW()-1),1)),0))</f>
        <v/>
      </c>
      <c r="BM169">
        <f t="shared" ca="1" si="68"/>
        <v>0</v>
      </c>
      <c r="BN169" t="str">
        <f ca="1">IF(BM169=1,IF(INDEX(分析データ!$A:$A,ROW()+$C$5)&lt;&gt;"",40000*SIGN(BL169)*(分析データ!E169-INDEX(分析データ!E:E,ROW()+$C$5)),""),"")</f>
        <v/>
      </c>
      <c r="BO169">
        <f t="shared" ca="1" si="69"/>
        <v>0</v>
      </c>
      <c r="BP169">
        <f t="shared" ca="1" si="70"/>
        <v>0</v>
      </c>
      <c r="BQ169">
        <f t="shared" ca="1" si="71"/>
        <v>0</v>
      </c>
      <c r="BR169" t="str">
        <f ca="1">IF(ROW()&lt;($C$7+1),"",IFERROR((分析データ!F169-AVERAGE(OFFSET(分析データ!F$1,MAX(1,ROW()-$C$7),0,MIN($C$7,ROW()-1),1)))/STDEV(OFFSET(分析データ!F$1,MAX(1,ROW()-$C$7),0,MIN($C$7,ROW()-1),1)),0))</f>
        <v/>
      </c>
      <c r="BS169">
        <f t="shared" ca="1" si="72"/>
        <v>0</v>
      </c>
      <c r="BT169" t="str">
        <f ca="1">IF(BS169=1,IF(INDEX(分析データ!$A:$A,ROW()+$C$5)&lt;&gt;"",40000*SIGN(BR169)*(分析データ!F169-INDEX(分析データ!F:F,ROW()+$C$5)),""),"")</f>
        <v/>
      </c>
      <c r="BU169">
        <f t="shared" ca="1" si="73"/>
        <v>0</v>
      </c>
      <c r="BV169">
        <f t="shared" ca="1" si="74"/>
        <v>0</v>
      </c>
      <c r="BW169">
        <f t="shared" ca="1" si="75"/>
        <v>0</v>
      </c>
      <c r="BX169" t="str">
        <f ca="1">IF(ROW()&lt;($C$7+1),"",IFERROR((分析データ!G169-AVERAGE(OFFSET(分析データ!G$1,MAX(1,ROW()-$C$7),0,MIN($C$7,ROW()-1),1)))/STDEV(OFFSET(分析データ!G$1,MAX(1,ROW()-$C$7),0,MIN($C$7,ROW()-1),1)),0))</f>
        <v/>
      </c>
      <c r="BY169">
        <f t="shared" ca="1" si="76"/>
        <v>0</v>
      </c>
      <c r="BZ169" t="str">
        <f ca="1">IF(BY169=1,IF(INDEX(分析データ!$A:$A,ROW()+$C$5)&lt;&gt;"",40000*SIGN(BX169)*(分析データ!G169-INDEX(分析データ!G:G,ROW()+$C$5)),""),"")</f>
        <v/>
      </c>
      <c r="CA169">
        <f t="shared" ca="1" si="77"/>
        <v>0</v>
      </c>
      <c r="CB169">
        <f t="shared" ca="1" si="78"/>
        <v>0</v>
      </c>
      <c r="CC169">
        <f t="shared" ca="1" si="79"/>
        <v>0</v>
      </c>
      <c r="CD169">
        <f t="shared" ca="1" si="80"/>
        <v>0</v>
      </c>
      <c r="CE169">
        <f t="shared" ca="1" si="81"/>
        <v>0</v>
      </c>
      <c r="CF169">
        <f t="shared" ca="1" si="82"/>
        <v>0</v>
      </c>
      <c r="CG169">
        <f t="shared" ca="1" si="83"/>
        <v>0</v>
      </c>
      <c r="CH169" s="10">
        <f>分析データ!A169</f>
        <v>45169</v>
      </c>
    </row>
    <row r="170" spans="46:86">
      <c r="AT170" t="str">
        <f ca="1">IF(ROW()&lt;($C$7+1),"",IFERROR((分析データ!B170-AVERAGE(OFFSET(分析データ!B$1,MAX(1,ROW()-$C$7),0,MIN($C$7,ROW()-1),1)))/STDEV(OFFSET(分析データ!B$1,MAX(1,ROW()-$C$7),0,MIN($C$7,ROW()-1),1)),0))</f>
        <v/>
      </c>
      <c r="AU170">
        <f t="shared" ca="1" si="56"/>
        <v>0</v>
      </c>
      <c r="AV170" t="str">
        <f ca="1">IF(AU170=1,IF(INDEX(分析データ!$A:$A,ROW()+$C$5)&lt;&gt;"",80000*SIGN(AT170)*(分析データ!B170-INDEX(分析データ!B:B,ROW()+$C$5)),""),"")</f>
        <v/>
      </c>
      <c r="AW170">
        <f t="shared" ca="1" si="57"/>
        <v>0</v>
      </c>
      <c r="AX170">
        <f t="shared" ca="1" si="58"/>
        <v>0</v>
      </c>
      <c r="AY170">
        <f t="shared" ca="1" si="59"/>
        <v>0</v>
      </c>
      <c r="AZ170" t="str">
        <f ca="1">IF(ROW()&lt;($C$7+1),"",IFERROR((分析データ!C170-AVERAGE(OFFSET(分析データ!C$1,MAX(1,ROW()-$C$7),0,MIN($C$7,ROW()-1),1)))/STDEV(OFFSET(分析データ!C$1,MAX(1,ROW()-$C$7),0,MIN($C$7,ROW()-1),1)),0))</f>
        <v/>
      </c>
      <c r="BA170">
        <f t="shared" ca="1" si="60"/>
        <v>0</v>
      </c>
      <c r="BB170" t="str">
        <f ca="1">IF(BA170=1,IF(INDEX(分析データ!$A:$A,ROW()+$C$5)&lt;&gt;"",60000*SIGN(AZ170)*(分析データ!C170-INDEX(分析データ!C:C,ROW()+$C$5)),""),"")</f>
        <v/>
      </c>
      <c r="BC170">
        <f t="shared" ca="1" si="61"/>
        <v>0</v>
      </c>
      <c r="BD170">
        <f t="shared" ca="1" si="62"/>
        <v>0</v>
      </c>
      <c r="BE170">
        <f t="shared" ca="1" si="63"/>
        <v>0</v>
      </c>
      <c r="BF170" t="str">
        <f ca="1">IF(ROW()&lt;($C$7+1),"",IFERROR((分析データ!D170-AVERAGE(OFFSET(分析データ!D$1,MAX(1,ROW()-$C$7),0,MIN($C$7,ROW()-1),1)))/STDEV(OFFSET(分析データ!D$1,MAX(1,ROW()-$C$7),0,MIN($C$7,ROW()-1),1)),0))</f>
        <v/>
      </c>
      <c r="BG170">
        <f t="shared" ca="1" si="64"/>
        <v>0</v>
      </c>
      <c r="BH170" t="str">
        <f ca="1">IF(BG170=1,IF(INDEX(分析データ!$A:$A,ROW()+$C$5)&lt;&gt;"",50000*SIGN(BF170)*(分析データ!D170-INDEX(分析データ!D:D,ROW()+$C$5)),""),"")</f>
        <v/>
      </c>
      <c r="BI170">
        <f t="shared" ca="1" si="65"/>
        <v>0</v>
      </c>
      <c r="BJ170">
        <f t="shared" ca="1" si="66"/>
        <v>0</v>
      </c>
      <c r="BK170">
        <f t="shared" ca="1" si="67"/>
        <v>0</v>
      </c>
      <c r="BL170" t="str">
        <f ca="1">IF(ROW()&lt;($C$7+1),"",IFERROR((分析データ!E170-AVERAGE(OFFSET(分析データ!E$1,MAX(1,ROW()-$C$7),0,MIN($C$7,ROW()-1),1)))/STDEV(OFFSET(分析データ!E$1,MAX(1,ROW()-$C$7),0,MIN($C$7,ROW()-1),1)),0))</f>
        <v/>
      </c>
      <c r="BM170">
        <f t="shared" ca="1" si="68"/>
        <v>0</v>
      </c>
      <c r="BN170" t="str">
        <f ca="1">IF(BM170=1,IF(INDEX(分析データ!$A:$A,ROW()+$C$5)&lt;&gt;"",40000*SIGN(BL170)*(分析データ!E170-INDEX(分析データ!E:E,ROW()+$C$5)),""),"")</f>
        <v/>
      </c>
      <c r="BO170">
        <f t="shared" ca="1" si="69"/>
        <v>0</v>
      </c>
      <c r="BP170">
        <f t="shared" ca="1" si="70"/>
        <v>0</v>
      </c>
      <c r="BQ170">
        <f t="shared" ca="1" si="71"/>
        <v>0</v>
      </c>
      <c r="BR170" t="str">
        <f ca="1">IF(ROW()&lt;($C$7+1),"",IFERROR((分析データ!F170-AVERAGE(OFFSET(分析データ!F$1,MAX(1,ROW()-$C$7),0,MIN($C$7,ROW()-1),1)))/STDEV(OFFSET(分析データ!F$1,MAX(1,ROW()-$C$7),0,MIN($C$7,ROW()-1),1)),0))</f>
        <v/>
      </c>
      <c r="BS170">
        <f t="shared" ca="1" si="72"/>
        <v>0</v>
      </c>
      <c r="BT170" t="str">
        <f ca="1">IF(BS170=1,IF(INDEX(分析データ!$A:$A,ROW()+$C$5)&lt;&gt;"",40000*SIGN(BR170)*(分析データ!F170-INDEX(分析データ!F:F,ROW()+$C$5)),""),"")</f>
        <v/>
      </c>
      <c r="BU170">
        <f t="shared" ca="1" si="73"/>
        <v>0</v>
      </c>
      <c r="BV170">
        <f t="shared" ca="1" si="74"/>
        <v>0</v>
      </c>
      <c r="BW170">
        <f t="shared" ca="1" si="75"/>
        <v>0</v>
      </c>
      <c r="BX170" t="str">
        <f ca="1">IF(ROW()&lt;($C$7+1),"",IFERROR((分析データ!G170-AVERAGE(OFFSET(分析データ!G$1,MAX(1,ROW()-$C$7),0,MIN($C$7,ROW()-1),1)))/STDEV(OFFSET(分析データ!G$1,MAX(1,ROW()-$C$7),0,MIN($C$7,ROW()-1),1)),0))</f>
        <v/>
      </c>
      <c r="BY170">
        <f t="shared" ca="1" si="76"/>
        <v>0</v>
      </c>
      <c r="BZ170" t="str">
        <f ca="1">IF(BY170=1,IF(INDEX(分析データ!$A:$A,ROW()+$C$5)&lt;&gt;"",40000*SIGN(BX170)*(分析データ!G170-INDEX(分析データ!G:G,ROW()+$C$5)),""),"")</f>
        <v/>
      </c>
      <c r="CA170">
        <f t="shared" ca="1" si="77"/>
        <v>0</v>
      </c>
      <c r="CB170">
        <f t="shared" ca="1" si="78"/>
        <v>0</v>
      </c>
      <c r="CC170">
        <f t="shared" ca="1" si="79"/>
        <v>0</v>
      </c>
      <c r="CD170">
        <f t="shared" ca="1" si="80"/>
        <v>0</v>
      </c>
      <c r="CE170">
        <f t="shared" ca="1" si="81"/>
        <v>0</v>
      </c>
      <c r="CF170">
        <f t="shared" ca="1" si="82"/>
        <v>0</v>
      </c>
      <c r="CG170">
        <f t="shared" ca="1" si="83"/>
        <v>0</v>
      </c>
      <c r="CH170" s="10">
        <f>分析データ!A170</f>
        <v>45170</v>
      </c>
    </row>
    <row r="171" spans="46:86">
      <c r="AT171" t="str">
        <f ca="1">IF(ROW()&lt;($C$7+1),"",IFERROR((分析データ!B171-AVERAGE(OFFSET(分析データ!B$1,MAX(1,ROW()-$C$7),0,MIN($C$7,ROW()-1),1)))/STDEV(OFFSET(分析データ!B$1,MAX(1,ROW()-$C$7),0,MIN($C$7,ROW()-1),1)),0))</f>
        <v/>
      </c>
      <c r="AU171">
        <f t="shared" ca="1" si="56"/>
        <v>0</v>
      </c>
      <c r="AV171" t="str">
        <f ca="1">IF(AU171=1,IF(INDEX(分析データ!$A:$A,ROW()+$C$5)&lt;&gt;"",80000*SIGN(AT171)*(分析データ!B171-INDEX(分析データ!B:B,ROW()+$C$5)),""),"")</f>
        <v/>
      </c>
      <c r="AW171">
        <f t="shared" ca="1" si="57"/>
        <v>0</v>
      </c>
      <c r="AX171">
        <f t="shared" ca="1" si="58"/>
        <v>0</v>
      </c>
      <c r="AY171">
        <f t="shared" ca="1" si="59"/>
        <v>0</v>
      </c>
      <c r="AZ171" t="str">
        <f ca="1">IF(ROW()&lt;($C$7+1),"",IFERROR((分析データ!C171-AVERAGE(OFFSET(分析データ!C$1,MAX(1,ROW()-$C$7),0,MIN($C$7,ROW()-1),1)))/STDEV(OFFSET(分析データ!C$1,MAX(1,ROW()-$C$7),0,MIN($C$7,ROW()-1),1)),0))</f>
        <v/>
      </c>
      <c r="BA171">
        <f t="shared" ca="1" si="60"/>
        <v>0</v>
      </c>
      <c r="BB171" t="str">
        <f ca="1">IF(BA171=1,IF(INDEX(分析データ!$A:$A,ROW()+$C$5)&lt;&gt;"",60000*SIGN(AZ171)*(分析データ!C171-INDEX(分析データ!C:C,ROW()+$C$5)),""),"")</f>
        <v/>
      </c>
      <c r="BC171">
        <f t="shared" ca="1" si="61"/>
        <v>0</v>
      </c>
      <c r="BD171">
        <f t="shared" ca="1" si="62"/>
        <v>0</v>
      </c>
      <c r="BE171">
        <f t="shared" ca="1" si="63"/>
        <v>0</v>
      </c>
      <c r="BF171" t="str">
        <f ca="1">IF(ROW()&lt;($C$7+1),"",IFERROR((分析データ!D171-AVERAGE(OFFSET(分析データ!D$1,MAX(1,ROW()-$C$7),0,MIN($C$7,ROW()-1),1)))/STDEV(OFFSET(分析データ!D$1,MAX(1,ROW()-$C$7),0,MIN($C$7,ROW()-1),1)),0))</f>
        <v/>
      </c>
      <c r="BG171">
        <f t="shared" ca="1" si="64"/>
        <v>0</v>
      </c>
      <c r="BH171" t="str">
        <f ca="1">IF(BG171=1,IF(INDEX(分析データ!$A:$A,ROW()+$C$5)&lt;&gt;"",50000*SIGN(BF171)*(分析データ!D171-INDEX(分析データ!D:D,ROW()+$C$5)),""),"")</f>
        <v/>
      </c>
      <c r="BI171">
        <f t="shared" ca="1" si="65"/>
        <v>0</v>
      </c>
      <c r="BJ171">
        <f t="shared" ca="1" si="66"/>
        <v>0</v>
      </c>
      <c r="BK171">
        <f t="shared" ca="1" si="67"/>
        <v>0</v>
      </c>
      <c r="BL171" t="str">
        <f ca="1">IF(ROW()&lt;($C$7+1),"",IFERROR((分析データ!E171-AVERAGE(OFFSET(分析データ!E$1,MAX(1,ROW()-$C$7),0,MIN($C$7,ROW()-1),1)))/STDEV(OFFSET(分析データ!E$1,MAX(1,ROW()-$C$7),0,MIN($C$7,ROW()-1),1)),0))</f>
        <v/>
      </c>
      <c r="BM171">
        <f t="shared" ca="1" si="68"/>
        <v>0</v>
      </c>
      <c r="BN171" t="str">
        <f ca="1">IF(BM171=1,IF(INDEX(分析データ!$A:$A,ROW()+$C$5)&lt;&gt;"",40000*SIGN(BL171)*(分析データ!E171-INDEX(分析データ!E:E,ROW()+$C$5)),""),"")</f>
        <v/>
      </c>
      <c r="BO171">
        <f t="shared" ca="1" si="69"/>
        <v>0</v>
      </c>
      <c r="BP171">
        <f t="shared" ca="1" si="70"/>
        <v>0</v>
      </c>
      <c r="BQ171">
        <f t="shared" ca="1" si="71"/>
        <v>0</v>
      </c>
      <c r="BR171" t="str">
        <f ca="1">IF(ROW()&lt;($C$7+1),"",IFERROR((分析データ!F171-AVERAGE(OFFSET(分析データ!F$1,MAX(1,ROW()-$C$7),0,MIN($C$7,ROW()-1),1)))/STDEV(OFFSET(分析データ!F$1,MAX(1,ROW()-$C$7),0,MIN($C$7,ROW()-1),1)),0))</f>
        <v/>
      </c>
      <c r="BS171">
        <f t="shared" ca="1" si="72"/>
        <v>0</v>
      </c>
      <c r="BT171" t="str">
        <f ca="1">IF(BS171=1,IF(INDEX(分析データ!$A:$A,ROW()+$C$5)&lt;&gt;"",40000*SIGN(BR171)*(分析データ!F171-INDEX(分析データ!F:F,ROW()+$C$5)),""),"")</f>
        <v/>
      </c>
      <c r="BU171">
        <f t="shared" ca="1" si="73"/>
        <v>0</v>
      </c>
      <c r="BV171">
        <f t="shared" ca="1" si="74"/>
        <v>0</v>
      </c>
      <c r="BW171">
        <f t="shared" ca="1" si="75"/>
        <v>0</v>
      </c>
      <c r="BX171" t="str">
        <f ca="1">IF(ROW()&lt;($C$7+1),"",IFERROR((分析データ!G171-AVERAGE(OFFSET(分析データ!G$1,MAX(1,ROW()-$C$7),0,MIN($C$7,ROW()-1),1)))/STDEV(OFFSET(分析データ!G$1,MAX(1,ROW()-$C$7),0,MIN($C$7,ROW()-1),1)),0))</f>
        <v/>
      </c>
      <c r="BY171">
        <f t="shared" ca="1" si="76"/>
        <v>0</v>
      </c>
      <c r="BZ171" t="str">
        <f ca="1">IF(BY171=1,IF(INDEX(分析データ!$A:$A,ROW()+$C$5)&lt;&gt;"",40000*SIGN(BX171)*(分析データ!G171-INDEX(分析データ!G:G,ROW()+$C$5)),""),"")</f>
        <v/>
      </c>
      <c r="CA171">
        <f t="shared" ca="1" si="77"/>
        <v>0</v>
      </c>
      <c r="CB171">
        <f t="shared" ca="1" si="78"/>
        <v>0</v>
      </c>
      <c r="CC171">
        <f t="shared" ca="1" si="79"/>
        <v>0</v>
      </c>
      <c r="CD171">
        <f t="shared" ca="1" si="80"/>
        <v>0</v>
      </c>
      <c r="CE171">
        <f t="shared" ca="1" si="81"/>
        <v>0</v>
      </c>
      <c r="CF171">
        <f t="shared" ca="1" si="82"/>
        <v>0</v>
      </c>
      <c r="CG171">
        <f t="shared" ca="1" si="83"/>
        <v>0</v>
      </c>
      <c r="CH171" s="10">
        <f>分析データ!A171</f>
        <v>45174</v>
      </c>
    </row>
    <row r="172" spans="46:86">
      <c r="AT172" t="str">
        <f ca="1">IF(ROW()&lt;($C$7+1),"",IFERROR((分析データ!B172-AVERAGE(OFFSET(分析データ!B$1,MAX(1,ROW()-$C$7),0,MIN($C$7,ROW()-1),1)))/STDEV(OFFSET(分析データ!B$1,MAX(1,ROW()-$C$7),0,MIN($C$7,ROW()-1),1)),0))</f>
        <v/>
      </c>
      <c r="AU172">
        <f t="shared" ca="1" si="56"/>
        <v>0</v>
      </c>
      <c r="AV172" t="str">
        <f ca="1">IF(AU172=1,IF(INDEX(分析データ!$A:$A,ROW()+$C$5)&lt;&gt;"",80000*SIGN(AT172)*(分析データ!B172-INDEX(分析データ!B:B,ROW()+$C$5)),""),"")</f>
        <v/>
      </c>
      <c r="AW172">
        <f t="shared" ca="1" si="57"/>
        <v>0</v>
      </c>
      <c r="AX172">
        <f t="shared" ca="1" si="58"/>
        <v>0</v>
      </c>
      <c r="AY172">
        <f t="shared" ca="1" si="59"/>
        <v>0</v>
      </c>
      <c r="AZ172" t="str">
        <f ca="1">IF(ROW()&lt;($C$7+1),"",IFERROR((分析データ!C172-AVERAGE(OFFSET(分析データ!C$1,MAX(1,ROW()-$C$7),0,MIN($C$7,ROW()-1),1)))/STDEV(OFFSET(分析データ!C$1,MAX(1,ROW()-$C$7),0,MIN($C$7,ROW()-1),1)),0))</f>
        <v/>
      </c>
      <c r="BA172">
        <f t="shared" ca="1" si="60"/>
        <v>0</v>
      </c>
      <c r="BB172" t="str">
        <f ca="1">IF(BA172=1,IF(INDEX(分析データ!$A:$A,ROW()+$C$5)&lt;&gt;"",60000*SIGN(AZ172)*(分析データ!C172-INDEX(分析データ!C:C,ROW()+$C$5)),""),"")</f>
        <v/>
      </c>
      <c r="BC172">
        <f t="shared" ca="1" si="61"/>
        <v>0</v>
      </c>
      <c r="BD172">
        <f t="shared" ca="1" si="62"/>
        <v>0</v>
      </c>
      <c r="BE172">
        <f t="shared" ca="1" si="63"/>
        <v>0</v>
      </c>
      <c r="BF172" t="str">
        <f ca="1">IF(ROW()&lt;($C$7+1),"",IFERROR((分析データ!D172-AVERAGE(OFFSET(分析データ!D$1,MAX(1,ROW()-$C$7),0,MIN($C$7,ROW()-1),1)))/STDEV(OFFSET(分析データ!D$1,MAX(1,ROW()-$C$7),0,MIN($C$7,ROW()-1),1)),0))</f>
        <v/>
      </c>
      <c r="BG172">
        <f t="shared" ca="1" si="64"/>
        <v>0</v>
      </c>
      <c r="BH172" t="str">
        <f ca="1">IF(BG172=1,IF(INDEX(分析データ!$A:$A,ROW()+$C$5)&lt;&gt;"",50000*SIGN(BF172)*(分析データ!D172-INDEX(分析データ!D:D,ROW()+$C$5)),""),"")</f>
        <v/>
      </c>
      <c r="BI172">
        <f t="shared" ca="1" si="65"/>
        <v>0</v>
      </c>
      <c r="BJ172">
        <f t="shared" ca="1" si="66"/>
        <v>0</v>
      </c>
      <c r="BK172">
        <f t="shared" ca="1" si="67"/>
        <v>0</v>
      </c>
      <c r="BL172" t="str">
        <f ca="1">IF(ROW()&lt;($C$7+1),"",IFERROR((分析データ!E172-AVERAGE(OFFSET(分析データ!E$1,MAX(1,ROW()-$C$7),0,MIN($C$7,ROW()-1),1)))/STDEV(OFFSET(分析データ!E$1,MAX(1,ROW()-$C$7),0,MIN($C$7,ROW()-1),1)),0))</f>
        <v/>
      </c>
      <c r="BM172">
        <f t="shared" ca="1" si="68"/>
        <v>0</v>
      </c>
      <c r="BN172" t="str">
        <f ca="1">IF(BM172=1,IF(INDEX(分析データ!$A:$A,ROW()+$C$5)&lt;&gt;"",40000*SIGN(BL172)*(分析データ!E172-INDEX(分析データ!E:E,ROW()+$C$5)),""),"")</f>
        <v/>
      </c>
      <c r="BO172">
        <f t="shared" ca="1" si="69"/>
        <v>0</v>
      </c>
      <c r="BP172">
        <f t="shared" ca="1" si="70"/>
        <v>0</v>
      </c>
      <c r="BQ172">
        <f t="shared" ca="1" si="71"/>
        <v>0</v>
      </c>
      <c r="BR172" t="str">
        <f ca="1">IF(ROW()&lt;($C$7+1),"",IFERROR((分析データ!F172-AVERAGE(OFFSET(分析データ!F$1,MAX(1,ROW()-$C$7),0,MIN($C$7,ROW()-1),1)))/STDEV(OFFSET(分析データ!F$1,MAX(1,ROW()-$C$7),0,MIN($C$7,ROW()-1),1)),0))</f>
        <v/>
      </c>
      <c r="BS172">
        <f t="shared" ca="1" si="72"/>
        <v>0</v>
      </c>
      <c r="BT172" t="str">
        <f ca="1">IF(BS172=1,IF(INDEX(分析データ!$A:$A,ROW()+$C$5)&lt;&gt;"",40000*SIGN(BR172)*(分析データ!F172-INDEX(分析データ!F:F,ROW()+$C$5)),""),"")</f>
        <v/>
      </c>
      <c r="BU172">
        <f t="shared" ca="1" si="73"/>
        <v>0</v>
      </c>
      <c r="BV172">
        <f t="shared" ca="1" si="74"/>
        <v>0</v>
      </c>
      <c r="BW172">
        <f t="shared" ca="1" si="75"/>
        <v>0</v>
      </c>
      <c r="BX172" t="str">
        <f ca="1">IF(ROW()&lt;($C$7+1),"",IFERROR((分析データ!G172-AVERAGE(OFFSET(分析データ!G$1,MAX(1,ROW()-$C$7),0,MIN($C$7,ROW()-1),1)))/STDEV(OFFSET(分析データ!G$1,MAX(1,ROW()-$C$7),0,MIN($C$7,ROW()-1),1)),0))</f>
        <v/>
      </c>
      <c r="BY172">
        <f t="shared" ca="1" si="76"/>
        <v>0</v>
      </c>
      <c r="BZ172" t="str">
        <f ca="1">IF(BY172=1,IF(INDEX(分析データ!$A:$A,ROW()+$C$5)&lt;&gt;"",40000*SIGN(BX172)*(分析データ!G172-INDEX(分析データ!G:G,ROW()+$C$5)),""),"")</f>
        <v/>
      </c>
      <c r="CA172">
        <f t="shared" ca="1" si="77"/>
        <v>0</v>
      </c>
      <c r="CB172">
        <f t="shared" ca="1" si="78"/>
        <v>0</v>
      </c>
      <c r="CC172">
        <f t="shared" ca="1" si="79"/>
        <v>0</v>
      </c>
      <c r="CD172">
        <f t="shared" ca="1" si="80"/>
        <v>0</v>
      </c>
      <c r="CE172">
        <f t="shared" ca="1" si="81"/>
        <v>0</v>
      </c>
      <c r="CF172">
        <f t="shared" ca="1" si="82"/>
        <v>0</v>
      </c>
      <c r="CG172">
        <f t="shared" ca="1" si="83"/>
        <v>0</v>
      </c>
      <c r="CH172" s="10">
        <f>分析データ!A172</f>
        <v>45175</v>
      </c>
    </row>
    <row r="173" spans="46:86">
      <c r="AT173" t="str">
        <f ca="1">IF(ROW()&lt;($C$7+1),"",IFERROR((分析データ!B173-AVERAGE(OFFSET(分析データ!B$1,MAX(1,ROW()-$C$7),0,MIN($C$7,ROW()-1),1)))/STDEV(OFFSET(分析データ!B$1,MAX(1,ROW()-$C$7),0,MIN($C$7,ROW()-1),1)),0))</f>
        <v/>
      </c>
      <c r="AU173">
        <f t="shared" ca="1" si="56"/>
        <v>0</v>
      </c>
      <c r="AV173" t="str">
        <f ca="1">IF(AU173=1,IF(INDEX(分析データ!$A:$A,ROW()+$C$5)&lt;&gt;"",80000*SIGN(AT173)*(分析データ!B173-INDEX(分析データ!B:B,ROW()+$C$5)),""),"")</f>
        <v/>
      </c>
      <c r="AW173">
        <f t="shared" ca="1" si="57"/>
        <v>0</v>
      </c>
      <c r="AX173">
        <f t="shared" ca="1" si="58"/>
        <v>0</v>
      </c>
      <c r="AY173">
        <f t="shared" ca="1" si="59"/>
        <v>0</v>
      </c>
      <c r="AZ173" t="str">
        <f ca="1">IF(ROW()&lt;($C$7+1),"",IFERROR((分析データ!C173-AVERAGE(OFFSET(分析データ!C$1,MAX(1,ROW()-$C$7),0,MIN($C$7,ROW()-1),1)))/STDEV(OFFSET(分析データ!C$1,MAX(1,ROW()-$C$7),0,MIN($C$7,ROW()-1),1)),0))</f>
        <v/>
      </c>
      <c r="BA173">
        <f t="shared" ca="1" si="60"/>
        <v>0</v>
      </c>
      <c r="BB173" t="str">
        <f ca="1">IF(BA173=1,IF(INDEX(分析データ!$A:$A,ROW()+$C$5)&lt;&gt;"",60000*SIGN(AZ173)*(分析データ!C173-INDEX(分析データ!C:C,ROW()+$C$5)),""),"")</f>
        <v/>
      </c>
      <c r="BC173">
        <f t="shared" ca="1" si="61"/>
        <v>0</v>
      </c>
      <c r="BD173">
        <f t="shared" ca="1" si="62"/>
        <v>0</v>
      </c>
      <c r="BE173">
        <f t="shared" ca="1" si="63"/>
        <v>0</v>
      </c>
      <c r="BF173" t="str">
        <f ca="1">IF(ROW()&lt;($C$7+1),"",IFERROR((分析データ!D173-AVERAGE(OFFSET(分析データ!D$1,MAX(1,ROW()-$C$7),0,MIN($C$7,ROW()-1),1)))/STDEV(OFFSET(分析データ!D$1,MAX(1,ROW()-$C$7),0,MIN($C$7,ROW()-1),1)),0))</f>
        <v/>
      </c>
      <c r="BG173">
        <f t="shared" ca="1" si="64"/>
        <v>0</v>
      </c>
      <c r="BH173" t="str">
        <f ca="1">IF(BG173=1,IF(INDEX(分析データ!$A:$A,ROW()+$C$5)&lt;&gt;"",50000*SIGN(BF173)*(分析データ!D173-INDEX(分析データ!D:D,ROW()+$C$5)),""),"")</f>
        <v/>
      </c>
      <c r="BI173">
        <f t="shared" ca="1" si="65"/>
        <v>0</v>
      </c>
      <c r="BJ173">
        <f t="shared" ca="1" si="66"/>
        <v>0</v>
      </c>
      <c r="BK173">
        <f t="shared" ca="1" si="67"/>
        <v>0</v>
      </c>
      <c r="BL173" t="str">
        <f ca="1">IF(ROW()&lt;($C$7+1),"",IFERROR((分析データ!E173-AVERAGE(OFFSET(分析データ!E$1,MAX(1,ROW()-$C$7),0,MIN($C$7,ROW()-1),1)))/STDEV(OFFSET(分析データ!E$1,MAX(1,ROW()-$C$7),0,MIN($C$7,ROW()-1),1)),0))</f>
        <v/>
      </c>
      <c r="BM173">
        <f t="shared" ca="1" si="68"/>
        <v>0</v>
      </c>
      <c r="BN173" t="str">
        <f ca="1">IF(BM173=1,IF(INDEX(分析データ!$A:$A,ROW()+$C$5)&lt;&gt;"",40000*SIGN(BL173)*(分析データ!E173-INDEX(分析データ!E:E,ROW()+$C$5)),""),"")</f>
        <v/>
      </c>
      <c r="BO173">
        <f t="shared" ca="1" si="69"/>
        <v>0</v>
      </c>
      <c r="BP173">
        <f t="shared" ca="1" si="70"/>
        <v>0</v>
      </c>
      <c r="BQ173">
        <f t="shared" ca="1" si="71"/>
        <v>0</v>
      </c>
      <c r="BR173" t="str">
        <f ca="1">IF(ROW()&lt;($C$7+1),"",IFERROR((分析データ!F173-AVERAGE(OFFSET(分析データ!F$1,MAX(1,ROW()-$C$7),0,MIN($C$7,ROW()-1),1)))/STDEV(OFFSET(分析データ!F$1,MAX(1,ROW()-$C$7),0,MIN($C$7,ROW()-1),1)),0))</f>
        <v/>
      </c>
      <c r="BS173">
        <f t="shared" ca="1" si="72"/>
        <v>0</v>
      </c>
      <c r="BT173" t="str">
        <f ca="1">IF(BS173=1,IF(INDEX(分析データ!$A:$A,ROW()+$C$5)&lt;&gt;"",40000*SIGN(BR173)*(分析データ!F173-INDEX(分析データ!F:F,ROW()+$C$5)),""),"")</f>
        <v/>
      </c>
      <c r="BU173">
        <f t="shared" ca="1" si="73"/>
        <v>0</v>
      </c>
      <c r="BV173">
        <f t="shared" ca="1" si="74"/>
        <v>0</v>
      </c>
      <c r="BW173">
        <f t="shared" ca="1" si="75"/>
        <v>0</v>
      </c>
      <c r="BX173" t="str">
        <f ca="1">IF(ROW()&lt;($C$7+1),"",IFERROR((分析データ!G173-AVERAGE(OFFSET(分析データ!G$1,MAX(1,ROW()-$C$7),0,MIN($C$7,ROW()-1),1)))/STDEV(OFFSET(分析データ!G$1,MAX(1,ROW()-$C$7),0,MIN($C$7,ROW()-1),1)),0))</f>
        <v/>
      </c>
      <c r="BY173">
        <f t="shared" ca="1" si="76"/>
        <v>0</v>
      </c>
      <c r="BZ173" t="str">
        <f ca="1">IF(BY173=1,IF(INDEX(分析データ!$A:$A,ROW()+$C$5)&lt;&gt;"",40000*SIGN(BX173)*(分析データ!G173-INDEX(分析データ!G:G,ROW()+$C$5)),""),"")</f>
        <v/>
      </c>
      <c r="CA173">
        <f t="shared" ca="1" si="77"/>
        <v>0</v>
      </c>
      <c r="CB173">
        <f t="shared" ca="1" si="78"/>
        <v>0</v>
      </c>
      <c r="CC173">
        <f t="shared" ca="1" si="79"/>
        <v>0</v>
      </c>
      <c r="CD173">
        <f t="shared" ca="1" si="80"/>
        <v>0</v>
      </c>
      <c r="CE173">
        <f t="shared" ca="1" si="81"/>
        <v>0</v>
      </c>
      <c r="CF173">
        <f t="shared" ca="1" si="82"/>
        <v>0</v>
      </c>
      <c r="CG173">
        <f t="shared" ca="1" si="83"/>
        <v>0</v>
      </c>
      <c r="CH173" s="10">
        <f>分析データ!A173</f>
        <v>45176</v>
      </c>
    </row>
    <row r="174" spans="46:86">
      <c r="AT174" t="str">
        <f ca="1">IF(ROW()&lt;($C$7+1),"",IFERROR((分析データ!B174-AVERAGE(OFFSET(分析データ!B$1,MAX(1,ROW()-$C$7),0,MIN($C$7,ROW()-1),1)))/STDEV(OFFSET(分析データ!B$1,MAX(1,ROW()-$C$7),0,MIN($C$7,ROW()-1),1)),0))</f>
        <v/>
      </c>
      <c r="AU174">
        <f t="shared" ca="1" si="56"/>
        <v>0</v>
      </c>
      <c r="AV174" t="str">
        <f ca="1">IF(AU174=1,IF(INDEX(分析データ!$A:$A,ROW()+$C$5)&lt;&gt;"",80000*SIGN(AT174)*(分析データ!B174-INDEX(分析データ!B:B,ROW()+$C$5)),""),"")</f>
        <v/>
      </c>
      <c r="AW174">
        <f t="shared" ca="1" si="57"/>
        <v>0</v>
      </c>
      <c r="AX174">
        <f t="shared" ca="1" si="58"/>
        <v>0</v>
      </c>
      <c r="AY174">
        <f t="shared" ca="1" si="59"/>
        <v>0</v>
      </c>
      <c r="AZ174" t="str">
        <f ca="1">IF(ROW()&lt;($C$7+1),"",IFERROR((分析データ!C174-AVERAGE(OFFSET(分析データ!C$1,MAX(1,ROW()-$C$7),0,MIN($C$7,ROW()-1),1)))/STDEV(OFFSET(分析データ!C$1,MAX(1,ROW()-$C$7),0,MIN($C$7,ROW()-1),1)),0))</f>
        <v/>
      </c>
      <c r="BA174">
        <f t="shared" ca="1" si="60"/>
        <v>0</v>
      </c>
      <c r="BB174" t="str">
        <f ca="1">IF(BA174=1,IF(INDEX(分析データ!$A:$A,ROW()+$C$5)&lt;&gt;"",60000*SIGN(AZ174)*(分析データ!C174-INDEX(分析データ!C:C,ROW()+$C$5)),""),"")</f>
        <v/>
      </c>
      <c r="BC174">
        <f t="shared" ca="1" si="61"/>
        <v>0</v>
      </c>
      <c r="BD174">
        <f t="shared" ca="1" si="62"/>
        <v>0</v>
      </c>
      <c r="BE174">
        <f t="shared" ca="1" si="63"/>
        <v>0</v>
      </c>
      <c r="BF174" t="str">
        <f ca="1">IF(ROW()&lt;($C$7+1),"",IFERROR((分析データ!D174-AVERAGE(OFFSET(分析データ!D$1,MAX(1,ROW()-$C$7),0,MIN($C$7,ROW()-1),1)))/STDEV(OFFSET(分析データ!D$1,MAX(1,ROW()-$C$7),0,MIN($C$7,ROW()-1),1)),0))</f>
        <v/>
      </c>
      <c r="BG174">
        <f t="shared" ca="1" si="64"/>
        <v>0</v>
      </c>
      <c r="BH174" t="str">
        <f ca="1">IF(BG174=1,IF(INDEX(分析データ!$A:$A,ROW()+$C$5)&lt;&gt;"",50000*SIGN(BF174)*(分析データ!D174-INDEX(分析データ!D:D,ROW()+$C$5)),""),"")</f>
        <v/>
      </c>
      <c r="BI174">
        <f t="shared" ca="1" si="65"/>
        <v>0</v>
      </c>
      <c r="BJ174">
        <f t="shared" ca="1" si="66"/>
        <v>0</v>
      </c>
      <c r="BK174">
        <f t="shared" ca="1" si="67"/>
        <v>0</v>
      </c>
      <c r="BL174" t="str">
        <f ca="1">IF(ROW()&lt;($C$7+1),"",IFERROR((分析データ!E174-AVERAGE(OFFSET(分析データ!E$1,MAX(1,ROW()-$C$7),0,MIN($C$7,ROW()-1),1)))/STDEV(OFFSET(分析データ!E$1,MAX(1,ROW()-$C$7),0,MIN($C$7,ROW()-1),1)),0))</f>
        <v/>
      </c>
      <c r="BM174">
        <f t="shared" ca="1" si="68"/>
        <v>0</v>
      </c>
      <c r="BN174" t="str">
        <f ca="1">IF(BM174=1,IF(INDEX(分析データ!$A:$A,ROW()+$C$5)&lt;&gt;"",40000*SIGN(BL174)*(分析データ!E174-INDEX(分析データ!E:E,ROW()+$C$5)),""),"")</f>
        <v/>
      </c>
      <c r="BO174">
        <f t="shared" ca="1" si="69"/>
        <v>0</v>
      </c>
      <c r="BP174">
        <f t="shared" ca="1" si="70"/>
        <v>0</v>
      </c>
      <c r="BQ174">
        <f t="shared" ca="1" si="71"/>
        <v>0</v>
      </c>
      <c r="BR174" t="str">
        <f ca="1">IF(ROW()&lt;($C$7+1),"",IFERROR((分析データ!F174-AVERAGE(OFFSET(分析データ!F$1,MAX(1,ROW()-$C$7),0,MIN($C$7,ROW()-1),1)))/STDEV(OFFSET(分析データ!F$1,MAX(1,ROW()-$C$7),0,MIN($C$7,ROW()-1),1)),0))</f>
        <v/>
      </c>
      <c r="BS174">
        <f t="shared" ca="1" si="72"/>
        <v>0</v>
      </c>
      <c r="BT174" t="str">
        <f ca="1">IF(BS174=1,IF(INDEX(分析データ!$A:$A,ROW()+$C$5)&lt;&gt;"",40000*SIGN(BR174)*(分析データ!F174-INDEX(分析データ!F:F,ROW()+$C$5)),""),"")</f>
        <v/>
      </c>
      <c r="BU174">
        <f t="shared" ca="1" si="73"/>
        <v>0</v>
      </c>
      <c r="BV174">
        <f t="shared" ca="1" si="74"/>
        <v>0</v>
      </c>
      <c r="BW174">
        <f t="shared" ca="1" si="75"/>
        <v>0</v>
      </c>
      <c r="BX174" t="str">
        <f ca="1">IF(ROW()&lt;($C$7+1),"",IFERROR((分析データ!G174-AVERAGE(OFFSET(分析データ!G$1,MAX(1,ROW()-$C$7),0,MIN($C$7,ROW()-1),1)))/STDEV(OFFSET(分析データ!G$1,MAX(1,ROW()-$C$7),0,MIN($C$7,ROW()-1),1)),0))</f>
        <v/>
      </c>
      <c r="BY174">
        <f t="shared" ca="1" si="76"/>
        <v>0</v>
      </c>
      <c r="BZ174" t="str">
        <f ca="1">IF(BY174=1,IF(INDEX(分析データ!$A:$A,ROW()+$C$5)&lt;&gt;"",40000*SIGN(BX174)*(分析データ!G174-INDEX(分析データ!G:G,ROW()+$C$5)),""),"")</f>
        <v/>
      </c>
      <c r="CA174">
        <f t="shared" ca="1" si="77"/>
        <v>0</v>
      </c>
      <c r="CB174">
        <f t="shared" ca="1" si="78"/>
        <v>0</v>
      </c>
      <c r="CC174">
        <f t="shared" ca="1" si="79"/>
        <v>0</v>
      </c>
      <c r="CD174">
        <f t="shared" ca="1" si="80"/>
        <v>0</v>
      </c>
      <c r="CE174">
        <f t="shared" ca="1" si="81"/>
        <v>0</v>
      </c>
      <c r="CF174">
        <f t="shared" ca="1" si="82"/>
        <v>0</v>
      </c>
      <c r="CG174">
        <f t="shared" ca="1" si="83"/>
        <v>0</v>
      </c>
      <c r="CH174" s="10">
        <f>分析データ!A174</f>
        <v>45177</v>
      </c>
    </row>
    <row r="175" spans="46:86">
      <c r="AT175" t="str">
        <f ca="1">IF(ROW()&lt;($C$7+1),"",IFERROR((分析データ!B175-AVERAGE(OFFSET(分析データ!B$1,MAX(1,ROW()-$C$7),0,MIN($C$7,ROW()-1),1)))/STDEV(OFFSET(分析データ!B$1,MAX(1,ROW()-$C$7),0,MIN($C$7,ROW()-1),1)),0))</f>
        <v/>
      </c>
      <c r="AU175">
        <f t="shared" ca="1" si="56"/>
        <v>0</v>
      </c>
      <c r="AV175" t="str">
        <f ca="1">IF(AU175=1,IF(INDEX(分析データ!$A:$A,ROW()+$C$5)&lt;&gt;"",80000*SIGN(AT175)*(分析データ!B175-INDEX(分析データ!B:B,ROW()+$C$5)),""),"")</f>
        <v/>
      </c>
      <c r="AW175">
        <f t="shared" ca="1" si="57"/>
        <v>0</v>
      </c>
      <c r="AX175">
        <f t="shared" ca="1" si="58"/>
        <v>0</v>
      </c>
      <c r="AY175">
        <f t="shared" ca="1" si="59"/>
        <v>0</v>
      </c>
      <c r="AZ175" t="str">
        <f ca="1">IF(ROW()&lt;($C$7+1),"",IFERROR((分析データ!C175-AVERAGE(OFFSET(分析データ!C$1,MAX(1,ROW()-$C$7),0,MIN($C$7,ROW()-1),1)))/STDEV(OFFSET(分析データ!C$1,MAX(1,ROW()-$C$7),0,MIN($C$7,ROW()-1),1)),0))</f>
        <v/>
      </c>
      <c r="BA175">
        <f t="shared" ca="1" si="60"/>
        <v>0</v>
      </c>
      <c r="BB175" t="str">
        <f ca="1">IF(BA175=1,IF(INDEX(分析データ!$A:$A,ROW()+$C$5)&lt;&gt;"",60000*SIGN(AZ175)*(分析データ!C175-INDEX(分析データ!C:C,ROW()+$C$5)),""),"")</f>
        <v/>
      </c>
      <c r="BC175">
        <f t="shared" ca="1" si="61"/>
        <v>0</v>
      </c>
      <c r="BD175">
        <f t="shared" ca="1" si="62"/>
        <v>0</v>
      </c>
      <c r="BE175">
        <f t="shared" ca="1" si="63"/>
        <v>0</v>
      </c>
      <c r="BF175" t="str">
        <f ca="1">IF(ROW()&lt;($C$7+1),"",IFERROR((分析データ!D175-AVERAGE(OFFSET(分析データ!D$1,MAX(1,ROW()-$C$7),0,MIN($C$7,ROW()-1),1)))/STDEV(OFFSET(分析データ!D$1,MAX(1,ROW()-$C$7),0,MIN($C$7,ROW()-1),1)),0))</f>
        <v/>
      </c>
      <c r="BG175">
        <f t="shared" ca="1" si="64"/>
        <v>0</v>
      </c>
      <c r="BH175" t="str">
        <f ca="1">IF(BG175=1,IF(INDEX(分析データ!$A:$A,ROW()+$C$5)&lt;&gt;"",50000*SIGN(BF175)*(分析データ!D175-INDEX(分析データ!D:D,ROW()+$C$5)),""),"")</f>
        <v/>
      </c>
      <c r="BI175">
        <f t="shared" ca="1" si="65"/>
        <v>0</v>
      </c>
      <c r="BJ175">
        <f t="shared" ca="1" si="66"/>
        <v>0</v>
      </c>
      <c r="BK175">
        <f t="shared" ca="1" si="67"/>
        <v>0</v>
      </c>
      <c r="BL175" t="str">
        <f ca="1">IF(ROW()&lt;($C$7+1),"",IFERROR((分析データ!E175-AVERAGE(OFFSET(分析データ!E$1,MAX(1,ROW()-$C$7),0,MIN($C$7,ROW()-1),1)))/STDEV(OFFSET(分析データ!E$1,MAX(1,ROW()-$C$7),0,MIN($C$7,ROW()-1),1)),0))</f>
        <v/>
      </c>
      <c r="BM175">
        <f t="shared" ca="1" si="68"/>
        <v>0</v>
      </c>
      <c r="BN175" t="str">
        <f ca="1">IF(BM175=1,IF(INDEX(分析データ!$A:$A,ROW()+$C$5)&lt;&gt;"",40000*SIGN(BL175)*(分析データ!E175-INDEX(分析データ!E:E,ROW()+$C$5)),""),"")</f>
        <v/>
      </c>
      <c r="BO175">
        <f t="shared" ca="1" si="69"/>
        <v>0</v>
      </c>
      <c r="BP175">
        <f t="shared" ca="1" si="70"/>
        <v>0</v>
      </c>
      <c r="BQ175">
        <f t="shared" ca="1" si="71"/>
        <v>0</v>
      </c>
      <c r="BR175" t="str">
        <f ca="1">IF(ROW()&lt;($C$7+1),"",IFERROR((分析データ!F175-AVERAGE(OFFSET(分析データ!F$1,MAX(1,ROW()-$C$7),0,MIN($C$7,ROW()-1),1)))/STDEV(OFFSET(分析データ!F$1,MAX(1,ROW()-$C$7),0,MIN($C$7,ROW()-1),1)),0))</f>
        <v/>
      </c>
      <c r="BS175">
        <f t="shared" ca="1" si="72"/>
        <v>0</v>
      </c>
      <c r="BT175" t="str">
        <f ca="1">IF(BS175=1,IF(INDEX(分析データ!$A:$A,ROW()+$C$5)&lt;&gt;"",40000*SIGN(BR175)*(分析データ!F175-INDEX(分析データ!F:F,ROW()+$C$5)),""),"")</f>
        <v/>
      </c>
      <c r="BU175">
        <f t="shared" ca="1" si="73"/>
        <v>0</v>
      </c>
      <c r="BV175">
        <f t="shared" ca="1" si="74"/>
        <v>0</v>
      </c>
      <c r="BW175">
        <f t="shared" ca="1" si="75"/>
        <v>0</v>
      </c>
      <c r="BX175" t="str">
        <f ca="1">IF(ROW()&lt;($C$7+1),"",IFERROR((分析データ!G175-AVERAGE(OFFSET(分析データ!G$1,MAX(1,ROW()-$C$7),0,MIN($C$7,ROW()-1),1)))/STDEV(OFFSET(分析データ!G$1,MAX(1,ROW()-$C$7),0,MIN($C$7,ROW()-1),1)),0))</f>
        <v/>
      </c>
      <c r="BY175">
        <f t="shared" ca="1" si="76"/>
        <v>0</v>
      </c>
      <c r="BZ175" t="str">
        <f ca="1">IF(BY175=1,IF(INDEX(分析データ!$A:$A,ROW()+$C$5)&lt;&gt;"",40000*SIGN(BX175)*(分析データ!G175-INDEX(分析データ!G:G,ROW()+$C$5)),""),"")</f>
        <v/>
      </c>
      <c r="CA175">
        <f t="shared" ca="1" si="77"/>
        <v>0</v>
      </c>
      <c r="CB175">
        <f t="shared" ca="1" si="78"/>
        <v>0</v>
      </c>
      <c r="CC175">
        <f t="shared" ca="1" si="79"/>
        <v>0</v>
      </c>
      <c r="CD175">
        <f t="shared" ca="1" si="80"/>
        <v>0</v>
      </c>
      <c r="CE175">
        <f t="shared" ca="1" si="81"/>
        <v>0</v>
      </c>
      <c r="CF175">
        <f t="shared" ca="1" si="82"/>
        <v>0</v>
      </c>
      <c r="CG175">
        <f t="shared" ca="1" si="83"/>
        <v>0</v>
      </c>
      <c r="CH175" s="10">
        <f>分析データ!A175</f>
        <v>45180</v>
      </c>
    </row>
    <row r="176" spans="46:86">
      <c r="AT176" t="str">
        <f ca="1">IF(ROW()&lt;($C$7+1),"",IFERROR((分析データ!B176-AVERAGE(OFFSET(分析データ!B$1,MAX(1,ROW()-$C$7),0,MIN($C$7,ROW()-1),1)))/STDEV(OFFSET(分析データ!B$1,MAX(1,ROW()-$C$7),0,MIN($C$7,ROW()-1),1)),0))</f>
        <v/>
      </c>
      <c r="AU176">
        <f t="shared" ca="1" si="56"/>
        <v>0</v>
      </c>
      <c r="AV176" t="str">
        <f ca="1">IF(AU176=1,IF(INDEX(分析データ!$A:$A,ROW()+$C$5)&lt;&gt;"",80000*SIGN(AT176)*(分析データ!B176-INDEX(分析データ!B:B,ROW()+$C$5)),""),"")</f>
        <v/>
      </c>
      <c r="AW176">
        <f t="shared" ca="1" si="57"/>
        <v>0</v>
      </c>
      <c r="AX176">
        <f t="shared" ca="1" si="58"/>
        <v>0</v>
      </c>
      <c r="AY176">
        <f t="shared" ca="1" si="59"/>
        <v>0</v>
      </c>
      <c r="AZ176" t="str">
        <f ca="1">IF(ROW()&lt;($C$7+1),"",IFERROR((分析データ!C176-AVERAGE(OFFSET(分析データ!C$1,MAX(1,ROW()-$C$7),0,MIN($C$7,ROW()-1),1)))/STDEV(OFFSET(分析データ!C$1,MAX(1,ROW()-$C$7),0,MIN($C$7,ROW()-1),1)),0))</f>
        <v/>
      </c>
      <c r="BA176">
        <f t="shared" ca="1" si="60"/>
        <v>0</v>
      </c>
      <c r="BB176" t="str">
        <f ca="1">IF(BA176=1,IF(INDEX(分析データ!$A:$A,ROW()+$C$5)&lt;&gt;"",60000*SIGN(AZ176)*(分析データ!C176-INDEX(分析データ!C:C,ROW()+$C$5)),""),"")</f>
        <v/>
      </c>
      <c r="BC176">
        <f t="shared" ca="1" si="61"/>
        <v>0</v>
      </c>
      <c r="BD176">
        <f t="shared" ca="1" si="62"/>
        <v>0</v>
      </c>
      <c r="BE176">
        <f t="shared" ca="1" si="63"/>
        <v>0</v>
      </c>
      <c r="BF176" t="str">
        <f ca="1">IF(ROW()&lt;($C$7+1),"",IFERROR((分析データ!D176-AVERAGE(OFFSET(分析データ!D$1,MAX(1,ROW()-$C$7),0,MIN($C$7,ROW()-1),1)))/STDEV(OFFSET(分析データ!D$1,MAX(1,ROW()-$C$7),0,MIN($C$7,ROW()-1),1)),0))</f>
        <v/>
      </c>
      <c r="BG176">
        <f t="shared" ca="1" si="64"/>
        <v>0</v>
      </c>
      <c r="BH176" t="str">
        <f ca="1">IF(BG176=1,IF(INDEX(分析データ!$A:$A,ROW()+$C$5)&lt;&gt;"",50000*SIGN(BF176)*(分析データ!D176-INDEX(分析データ!D:D,ROW()+$C$5)),""),"")</f>
        <v/>
      </c>
      <c r="BI176">
        <f t="shared" ca="1" si="65"/>
        <v>0</v>
      </c>
      <c r="BJ176">
        <f t="shared" ca="1" si="66"/>
        <v>0</v>
      </c>
      <c r="BK176">
        <f t="shared" ca="1" si="67"/>
        <v>0</v>
      </c>
      <c r="BL176" t="str">
        <f ca="1">IF(ROW()&lt;($C$7+1),"",IFERROR((分析データ!E176-AVERAGE(OFFSET(分析データ!E$1,MAX(1,ROW()-$C$7),0,MIN($C$7,ROW()-1),1)))/STDEV(OFFSET(分析データ!E$1,MAX(1,ROW()-$C$7),0,MIN($C$7,ROW()-1),1)),0))</f>
        <v/>
      </c>
      <c r="BM176">
        <f t="shared" ca="1" si="68"/>
        <v>0</v>
      </c>
      <c r="BN176" t="str">
        <f ca="1">IF(BM176=1,IF(INDEX(分析データ!$A:$A,ROW()+$C$5)&lt;&gt;"",40000*SIGN(BL176)*(分析データ!E176-INDEX(分析データ!E:E,ROW()+$C$5)),""),"")</f>
        <v/>
      </c>
      <c r="BO176">
        <f t="shared" ca="1" si="69"/>
        <v>0</v>
      </c>
      <c r="BP176">
        <f t="shared" ca="1" si="70"/>
        <v>0</v>
      </c>
      <c r="BQ176">
        <f t="shared" ca="1" si="71"/>
        <v>0</v>
      </c>
      <c r="BR176" t="str">
        <f ca="1">IF(ROW()&lt;($C$7+1),"",IFERROR((分析データ!F176-AVERAGE(OFFSET(分析データ!F$1,MAX(1,ROW()-$C$7),0,MIN($C$7,ROW()-1),1)))/STDEV(OFFSET(分析データ!F$1,MAX(1,ROW()-$C$7),0,MIN($C$7,ROW()-1),1)),0))</f>
        <v/>
      </c>
      <c r="BS176">
        <f t="shared" ca="1" si="72"/>
        <v>0</v>
      </c>
      <c r="BT176" t="str">
        <f ca="1">IF(BS176=1,IF(INDEX(分析データ!$A:$A,ROW()+$C$5)&lt;&gt;"",40000*SIGN(BR176)*(分析データ!F176-INDEX(分析データ!F:F,ROW()+$C$5)),""),"")</f>
        <v/>
      </c>
      <c r="BU176">
        <f t="shared" ca="1" si="73"/>
        <v>0</v>
      </c>
      <c r="BV176">
        <f t="shared" ca="1" si="74"/>
        <v>0</v>
      </c>
      <c r="BW176">
        <f t="shared" ca="1" si="75"/>
        <v>0</v>
      </c>
      <c r="BX176" t="str">
        <f ca="1">IF(ROW()&lt;($C$7+1),"",IFERROR((分析データ!G176-AVERAGE(OFFSET(分析データ!G$1,MAX(1,ROW()-$C$7),0,MIN($C$7,ROW()-1),1)))/STDEV(OFFSET(分析データ!G$1,MAX(1,ROW()-$C$7),0,MIN($C$7,ROW()-1),1)),0))</f>
        <v/>
      </c>
      <c r="BY176">
        <f t="shared" ca="1" si="76"/>
        <v>0</v>
      </c>
      <c r="BZ176" t="str">
        <f ca="1">IF(BY176=1,IF(INDEX(分析データ!$A:$A,ROW()+$C$5)&lt;&gt;"",40000*SIGN(BX176)*(分析データ!G176-INDEX(分析データ!G:G,ROW()+$C$5)),""),"")</f>
        <v/>
      </c>
      <c r="CA176">
        <f t="shared" ca="1" si="77"/>
        <v>0</v>
      </c>
      <c r="CB176">
        <f t="shared" ca="1" si="78"/>
        <v>0</v>
      </c>
      <c r="CC176">
        <f t="shared" ca="1" si="79"/>
        <v>0</v>
      </c>
      <c r="CD176">
        <f t="shared" ca="1" si="80"/>
        <v>0</v>
      </c>
      <c r="CE176">
        <f t="shared" ca="1" si="81"/>
        <v>0</v>
      </c>
      <c r="CF176">
        <f t="shared" ca="1" si="82"/>
        <v>0</v>
      </c>
      <c r="CG176">
        <f t="shared" ca="1" si="83"/>
        <v>0</v>
      </c>
      <c r="CH176" s="10">
        <f>分析データ!A176</f>
        <v>45181</v>
      </c>
    </row>
    <row r="177" spans="46:86">
      <c r="AT177" t="str">
        <f ca="1">IF(ROW()&lt;($C$7+1),"",IFERROR((分析データ!B177-AVERAGE(OFFSET(分析データ!B$1,MAX(1,ROW()-$C$7),0,MIN($C$7,ROW()-1),1)))/STDEV(OFFSET(分析データ!B$1,MAX(1,ROW()-$C$7),0,MIN($C$7,ROW()-1),1)),0))</f>
        <v/>
      </c>
      <c r="AU177">
        <f t="shared" ca="1" si="56"/>
        <v>0</v>
      </c>
      <c r="AV177" t="str">
        <f ca="1">IF(AU177=1,IF(INDEX(分析データ!$A:$A,ROW()+$C$5)&lt;&gt;"",80000*SIGN(AT177)*(分析データ!B177-INDEX(分析データ!B:B,ROW()+$C$5)),""),"")</f>
        <v/>
      </c>
      <c r="AW177">
        <f t="shared" ca="1" si="57"/>
        <v>0</v>
      </c>
      <c r="AX177">
        <f t="shared" ca="1" si="58"/>
        <v>0</v>
      </c>
      <c r="AY177">
        <f t="shared" ca="1" si="59"/>
        <v>0</v>
      </c>
      <c r="AZ177" t="str">
        <f ca="1">IF(ROW()&lt;($C$7+1),"",IFERROR((分析データ!C177-AVERAGE(OFFSET(分析データ!C$1,MAX(1,ROW()-$C$7),0,MIN($C$7,ROW()-1),1)))/STDEV(OFFSET(分析データ!C$1,MAX(1,ROW()-$C$7),0,MIN($C$7,ROW()-1),1)),0))</f>
        <v/>
      </c>
      <c r="BA177">
        <f t="shared" ca="1" si="60"/>
        <v>0</v>
      </c>
      <c r="BB177" t="str">
        <f ca="1">IF(BA177=1,IF(INDEX(分析データ!$A:$A,ROW()+$C$5)&lt;&gt;"",60000*SIGN(AZ177)*(分析データ!C177-INDEX(分析データ!C:C,ROW()+$C$5)),""),"")</f>
        <v/>
      </c>
      <c r="BC177">
        <f t="shared" ca="1" si="61"/>
        <v>0</v>
      </c>
      <c r="BD177">
        <f t="shared" ca="1" si="62"/>
        <v>0</v>
      </c>
      <c r="BE177">
        <f t="shared" ca="1" si="63"/>
        <v>0</v>
      </c>
      <c r="BF177" t="str">
        <f ca="1">IF(ROW()&lt;($C$7+1),"",IFERROR((分析データ!D177-AVERAGE(OFFSET(分析データ!D$1,MAX(1,ROW()-$C$7),0,MIN($C$7,ROW()-1),1)))/STDEV(OFFSET(分析データ!D$1,MAX(1,ROW()-$C$7),0,MIN($C$7,ROW()-1),1)),0))</f>
        <v/>
      </c>
      <c r="BG177">
        <f t="shared" ca="1" si="64"/>
        <v>0</v>
      </c>
      <c r="BH177" t="str">
        <f ca="1">IF(BG177=1,IF(INDEX(分析データ!$A:$A,ROW()+$C$5)&lt;&gt;"",50000*SIGN(BF177)*(分析データ!D177-INDEX(分析データ!D:D,ROW()+$C$5)),""),"")</f>
        <v/>
      </c>
      <c r="BI177">
        <f t="shared" ca="1" si="65"/>
        <v>0</v>
      </c>
      <c r="BJ177">
        <f t="shared" ca="1" si="66"/>
        <v>0</v>
      </c>
      <c r="BK177">
        <f t="shared" ca="1" si="67"/>
        <v>0</v>
      </c>
      <c r="BL177" t="str">
        <f ca="1">IF(ROW()&lt;($C$7+1),"",IFERROR((分析データ!E177-AVERAGE(OFFSET(分析データ!E$1,MAX(1,ROW()-$C$7),0,MIN($C$7,ROW()-1),1)))/STDEV(OFFSET(分析データ!E$1,MAX(1,ROW()-$C$7),0,MIN($C$7,ROW()-1),1)),0))</f>
        <v/>
      </c>
      <c r="BM177">
        <f t="shared" ca="1" si="68"/>
        <v>0</v>
      </c>
      <c r="BN177" t="str">
        <f ca="1">IF(BM177=1,IF(INDEX(分析データ!$A:$A,ROW()+$C$5)&lt;&gt;"",40000*SIGN(BL177)*(分析データ!E177-INDEX(分析データ!E:E,ROW()+$C$5)),""),"")</f>
        <v/>
      </c>
      <c r="BO177">
        <f t="shared" ca="1" si="69"/>
        <v>0</v>
      </c>
      <c r="BP177">
        <f t="shared" ca="1" si="70"/>
        <v>0</v>
      </c>
      <c r="BQ177">
        <f t="shared" ca="1" si="71"/>
        <v>0</v>
      </c>
      <c r="BR177" t="str">
        <f ca="1">IF(ROW()&lt;($C$7+1),"",IFERROR((分析データ!F177-AVERAGE(OFFSET(分析データ!F$1,MAX(1,ROW()-$C$7),0,MIN($C$7,ROW()-1),1)))/STDEV(OFFSET(分析データ!F$1,MAX(1,ROW()-$C$7),0,MIN($C$7,ROW()-1),1)),0))</f>
        <v/>
      </c>
      <c r="BS177">
        <f t="shared" ca="1" si="72"/>
        <v>0</v>
      </c>
      <c r="BT177" t="str">
        <f ca="1">IF(BS177=1,IF(INDEX(分析データ!$A:$A,ROW()+$C$5)&lt;&gt;"",40000*SIGN(BR177)*(分析データ!F177-INDEX(分析データ!F:F,ROW()+$C$5)),""),"")</f>
        <v/>
      </c>
      <c r="BU177">
        <f t="shared" ca="1" si="73"/>
        <v>0</v>
      </c>
      <c r="BV177">
        <f t="shared" ca="1" si="74"/>
        <v>0</v>
      </c>
      <c r="BW177">
        <f t="shared" ca="1" si="75"/>
        <v>0</v>
      </c>
      <c r="BX177" t="str">
        <f ca="1">IF(ROW()&lt;($C$7+1),"",IFERROR((分析データ!G177-AVERAGE(OFFSET(分析データ!G$1,MAX(1,ROW()-$C$7),0,MIN($C$7,ROW()-1),1)))/STDEV(OFFSET(分析データ!G$1,MAX(1,ROW()-$C$7),0,MIN($C$7,ROW()-1),1)),0))</f>
        <v/>
      </c>
      <c r="BY177">
        <f t="shared" ca="1" si="76"/>
        <v>0</v>
      </c>
      <c r="BZ177" t="str">
        <f ca="1">IF(BY177=1,IF(INDEX(分析データ!$A:$A,ROW()+$C$5)&lt;&gt;"",40000*SIGN(BX177)*(分析データ!G177-INDEX(分析データ!G:G,ROW()+$C$5)),""),"")</f>
        <v/>
      </c>
      <c r="CA177">
        <f t="shared" ca="1" si="77"/>
        <v>0</v>
      </c>
      <c r="CB177">
        <f t="shared" ca="1" si="78"/>
        <v>0</v>
      </c>
      <c r="CC177">
        <f t="shared" ca="1" si="79"/>
        <v>0</v>
      </c>
      <c r="CD177">
        <f t="shared" ca="1" si="80"/>
        <v>0</v>
      </c>
      <c r="CE177">
        <f t="shared" ca="1" si="81"/>
        <v>0</v>
      </c>
      <c r="CF177">
        <f t="shared" ca="1" si="82"/>
        <v>0</v>
      </c>
      <c r="CG177">
        <f t="shared" ca="1" si="83"/>
        <v>0</v>
      </c>
      <c r="CH177" s="10">
        <f>分析データ!A177</f>
        <v>45182</v>
      </c>
    </row>
    <row r="178" spans="46:86">
      <c r="AT178" t="str">
        <f ca="1">IF(ROW()&lt;($C$7+1),"",IFERROR((分析データ!B178-AVERAGE(OFFSET(分析データ!B$1,MAX(1,ROW()-$C$7),0,MIN($C$7,ROW()-1),1)))/STDEV(OFFSET(分析データ!B$1,MAX(1,ROW()-$C$7),0,MIN($C$7,ROW()-1),1)),0))</f>
        <v/>
      </c>
      <c r="AU178">
        <f t="shared" ca="1" si="56"/>
        <v>0</v>
      </c>
      <c r="AV178" t="str">
        <f ca="1">IF(AU178=1,IF(INDEX(分析データ!$A:$A,ROW()+$C$5)&lt;&gt;"",80000*SIGN(AT178)*(分析データ!B178-INDEX(分析データ!B:B,ROW()+$C$5)),""),"")</f>
        <v/>
      </c>
      <c r="AW178">
        <f t="shared" ca="1" si="57"/>
        <v>0</v>
      </c>
      <c r="AX178">
        <f t="shared" ca="1" si="58"/>
        <v>0</v>
      </c>
      <c r="AY178">
        <f t="shared" ca="1" si="59"/>
        <v>0</v>
      </c>
      <c r="AZ178" t="str">
        <f ca="1">IF(ROW()&lt;($C$7+1),"",IFERROR((分析データ!C178-AVERAGE(OFFSET(分析データ!C$1,MAX(1,ROW()-$C$7),0,MIN($C$7,ROW()-1),1)))/STDEV(OFFSET(分析データ!C$1,MAX(1,ROW()-$C$7),0,MIN($C$7,ROW()-1),1)),0))</f>
        <v/>
      </c>
      <c r="BA178">
        <f t="shared" ca="1" si="60"/>
        <v>0</v>
      </c>
      <c r="BB178" t="str">
        <f ca="1">IF(BA178=1,IF(INDEX(分析データ!$A:$A,ROW()+$C$5)&lt;&gt;"",60000*SIGN(AZ178)*(分析データ!C178-INDEX(分析データ!C:C,ROW()+$C$5)),""),"")</f>
        <v/>
      </c>
      <c r="BC178">
        <f t="shared" ca="1" si="61"/>
        <v>0</v>
      </c>
      <c r="BD178">
        <f t="shared" ca="1" si="62"/>
        <v>0</v>
      </c>
      <c r="BE178">
        <f t="shared" ca="1" si="63"/>
        <v>0</v>
      </c>
      <c r="BF178" t="str">
        <f ca="1">IF(ROW()&lt;($C$7+1),"",IFERROR((分析データ!D178-AVERAGE(OFFSET(分析データ!D$1,MAX(1,ROW()-$C$7),0,MIN($C$7,ROW()-1),1)))/STDEV(OFFSET(分析データ!D$1,MAX(1,ROW()-$C$7),0,MIN($C$7,ROW()-1),1)),0))</f>
        <v/>
      </c>
      <c r="BG178">
        <f t="shared" ca="1" si="64"/>
        <v>0</v>
      </c>
      <c r="BH178" t="str">
        <f ca="1">IF(BG178=1,IF(INDEX(分析データ!$A:$A,ROW()+$C$5)&lt;&gt;"",50000*SIGN(BF178)*(分析データ!D178-INDEX(分析データ!D:D,ROW()+$C$5)),""),"")</f>
        <v/>
      </c>
      <c r="BI178">
        <f t="shared" ca="1" si="65"/>
        <v>0</v>
      </c>
      <c r="BJ178">
        <f t="shared" ca="1" si="66"/>
        <v>0</v>
      </c>
      <c r="BK178">
        <f t="shared" ca="1" si="67"/>
        <v>0</v>
      </c>
      <c r="BL178" t="str">
        <f ca="1">IF(ROW()&lt;($C$7+1),"",IFERROR((分析データ!E178-AVERAGE(OFFSET(分析データ!E$1,MAX(1,ROW()-$C$7),0,MIN($C$7,ROW()-1),1)))/STDEV(OFFSET(分析データ!E$1,MAX(1,ROW()-$C$7),0,MIN($C$7,ROW()-1),1)),0))</f>
        <v/>
      </c>
      <c r="BM178">
        <f t="shared" ca="1" si="68"/>
        <v>0</v>
      </c>
      <c r="BN178" t="str">
        <f ca="1">IF(BM178=1,IF(INDEX(分析データ!$A:$A,ROW()+$C$5)&lt;&gt;"",40000*SIGN(BL178)*(分析データ!E178-INDEX(分析データ!E:E,ROW()+$C$5)),""),"")</f>
        <v/>
      </c>
      <c r="BO178">
        <f t="shared" ca="1" si="69"/>
        <v>0</v>
      </c>
      <c r="BP178">
        <f t="shared" ca="1" si="70"/>
        <v>0</v>
      </c>
      <c r="BQ178">
        <f t="shared" ca="1" si="71"/>
        <v>0</v>
      </c>
      <c r="BR178" t="str">
        <f ca="1">IF(ROW()&lt;($C$7+1),"",IFERROR((分析データ!F178-AVERAGE(OFFSET(分析データ!F$1,MAX(1,ROW()-$C$7),0,MIN($C$7,ROW()-1),1)))/STDEV(OFFSET(分析データ!F$1,MAX(1,ROW()-$C$7),0,MIN($C$7,ROW()-1),1)),0))</f>
        <v/>
      </c>
      <c r="BS178">
        <f t="shared" ca="1" si="72"/>
        <v>0</v>
      </c>
      <c r="BT178" t="str">
        <f ca="1">IF(BS178=1,IF(INDEX(分析データ!$A:$A,ROW()+$C$5)&lt;&gt;"",40000*SIGN(BR178)*(分析データ!F178-INDEX(分析データ!F:F,ROW()+$C$5)),""),"")</f>
        <v/>
      </c>
      <c r="BU178">
        <f t="shared" ca="1" si="73"/>
        <v>0</v>
      </c>
      <c r="BV178">
        <f t="shared" ca="1" si="74"/>
        <v>0</v>
      </c>
      <c r="BW178">
        <f t="shared" ca="1" si="75"/>
        <v>0</v>
      </c>
      <c r="BX178" t="str">
        <f ca="1">IF(ROW()&lt;($C$7+1),"",IFERROR((分析データ!G178-AVERAGE(OFFSET(分析データ!G$1,MAX(1,ROW()-$C$7),0,MIN($C$7,ROW()-1),1)))/STDEV(OFFSET(分析データ!G$1,MAX(1,ROW()-$C$7),0,MIN($C$7,ROW()-1),1)),0))</f>
        <v/>
      </c>
      <c r="BY178">
        <f t="shared" ca="1" si="76"/>
        <v>0</v>
      </c>
      <c r="BZ178" t="str">
        <f ca="1">IF(BY178=1,IF(INDEX(分析データ!$A:$A,ROW()+$C$5)&lt;&gt;"",40000*SIGN(BX178)*(分析データ!G178-INDEX(分析データ!G:G,ROW()+$C$5)),""),"")</f>
        <v/>
      </c>
      <c r="CA178">
        <f t="shared" ca="1" si="77"/>
        <v>0</v>
      </c>
      <c r="CB178">
        <f t="shared" ca="1" si="78"/>
        <v>0</v>
      </c>
      <c r="CC178">
        <f t="shared" ca="1" si="79"/>
        <v>0</v>
      </c>
      <c r="CD178">
        <f t="shared" ca="1" si="80"/>
        <v>0</v>
      </c>
      <c r="CE178">
        <f t="shared" ca="1" si="81"/>
        <v>0</v>
      </c>
      <c r="CF178">
        <f t="shared" ca="1" si="82"/>
        <v>0</v>
      </c>
      <c r="CG178">
        <f t="shared" ca="1" si="83"/>
        <v>0</v>
      </c>
      <c r="CH178" s="10">
        <f>分析データ!A178</f>
        <v>45183</v>
      </c>
    </row>
    <row r="179" spans="46:86">
      <c r="AT179" t="str">
        <f ca="1">IF(ROW()&lt;($C$7+1),"",IFERROR((分析データ!B179-AVERAGE(OFFSET(分析データ!B$1,MAX(1,ROW()-$C$7),0,MIN($C$7,ROW()-1),1)))/STDEV(OFFSET(分析データ!B$1,MAX(1,ROW()-$C$7),0,MIN($C$7,ROW()-1),1)),0))</f>
        <v/>
      </c>
      <c r="AU179">
        <f t="shared" ca="1" si="56"/>
        <v>0</v>
      </c>
      <c r="AV179" t="str">
        <f ca="1">IF(AU179=1,IF(INDEX(分析データ!$A:$A,ROW()+$C$5)&lt;&gt;"",80000*SIGN(AT179)*(分析データ!B179-INDEX(分析データ!B:B,ROW()+$C$5)),""),"")</f>
        <v/>
      </c>
      <c r="AW179">
        <f t="shared" ca="1" si="57"/>
        <v>0</v>
      </c>
      <c r="AX179">
        <f t="shared" ca="1" si="58"/>
        <v>0</v>
      </c>
      <c r="AY179">
        <f t="shared" ca="1" si="59"/>
        <v>0</v>
      </c>
      <c r="AZ179" t="str">
        <f ca="1">IF(ROW()&lt;($C$7+1),"",IFERROR((分析データ!C179-AVERAGE(OFFSET(分析データ!C$1,MAX(1,ROW()-$C$7),0,MIN($C$7,ROW()-1),1)))/STDEV(OFFSET(分析データ!C$1,MAX(1,ROW()-$C$7),0,MIN($C$7,ROW()-1),1)),0))</f>
        <v/>
      </c>
      <c r="BA179">
        <f t="shared" ca="1" si="60"/>
        <v>0</v>
      </c>
      <c r="BB179" t="str">
        <f ca="1">IF(BA179=1,IF(INDEX(分析データ!$A:$A,ROW()+$C$5)&lt;&gt;"",60000*SIGN(AZ179)*(分析データ!C179-INDEX(分析データ!C:C,ROW()+$C$5)),""),"")</f>
        <v/>
      </c>
      <c r="BC179">
        <f t="shared" ca="1" si="61"/>
        <v>0</v>
      </c>
      <c r="BD179">
        <f t="shared" ca="1" si="62"/>
        <v>0</v>
      </c>
      <c r="BE179">
        <f t="shared" ca="1" si="63"/>
        <v>0</v>
      </c>
      <c r="BF179" t="str">
        <f ca="1">IF(ROW()&lt;($C$7+1),"",IFERROR((分析データ!D179-AVERAGE(OFFSET(分析データ!D$1,MAX(1,ROW()-$C$7),0,MIN($C$7,ROW()-1),1)))/STDEV(OFFSET(分析データ!D$1,MAX(1,ROW()-$C$7),0,MIN($C$7,ROW()-1),1)),0))</f>
        <v/>
      </c>
      <c r="BG179">
        <f t="shared" ca="1" si="64"/>
        <v>0</v>
      </c>
      <c r="BH179" t="str">
        <f ca="1">IF(BG179=1,IF(INDEX(分析データ!$A:$A,ROW()+$C$5)&lt;&gt;"",50000*SIGN(BF179)*(分析データ!D179-INDEX(分析データ!D:D,ROW()+$C$5)),""),"")</f>
        <v/>
      </c>
      <c r="BI179">
        <f t="shared" ca="1" si="65"/>
        <v>0</v>
      </c>
      <c r="BJ179">
        <f t="shared" ca="1" si="66"/>
        <v>0</v>
      </c>
      <c r="BK179">
        <f t="shared" ca="1" si="67"/>
        <v>0</v>
      </c>
      <c r="BL179" t="str">
        <f ca="1">IF(ROW()&lt;($C$7+1),"",IFERROR((分析データ!E179-AVERAGE(OFFSET(分析データ!E$1,MAX(1,ROW()-$C$7),0,MIN($C$7,ROW()-1),1)))/STDEV(OFFSET(分析データ!E$1,MAX(1,ROW()-$C$7),0,MIN($C$7,ROW()-1),1)),0))</f>
        <v/>
      </c>
      <c r="BM179">
        <f t="shared" ca="1" si="68"/>
        <v>0</v>
      </c>
      <c r="BN179" t="str">
        <f ca="1">IF(BM179=1,IF(INDEX(分析データ!$A:$A,ROW()+$C$5)&lt;&gt;"",40000*SIGN(BL179)*(分析データ!E179-INDEX(分析データ!E:E,ROW()+$C$5)),""),"")</f>
        <v/>
      </c>
      <c r="BO179">
        <f t="shared" ca="1" si="69"/>
        <v>0</v>
      </c>
      <c r="BP179">
        <f t="shared" ca="1" si="70"/>
        <v>0</v>
      </c>
      <c r="BQ179">
        <f t="shared" ca="1" si="71"/>
        <v>0</v>
      </c>
      <c r="BR179" t="str">
        <f ca="1">IF(ROW()&lt;($C$7+1),"",IFERROR((分析データ!F179-AVERAGE(OFFSET(分析データ!F$1,MAX(1,ROW()-$C$7),0,MIN($C$7,ROW()-1),1)))/STDEV(OFFSET(分析データ!F$1,MAX(1,ROW()-$C$7),0,MIN($C$7,ROW()-1),1)),0))</f>
        <v/>
      </c>
      <c r="BS179">
        <f t="shared" ca="1" si="72"/>
        <v>0</v>
      </c>
      <c r="BT179" t="str">
        <f ca="1">IF(BS179=1,IF(INDEX(分析データ!$A:$A,ROW()+$C$5)&lt;&gt;"",40000*SIGN(BR179)*(分析データ!F179-INDEX(分析データ!F:F,ROW()+$C$5)),""),"")</f>
        <v/>
      </c>
      <c r="BU179">
        <f t="shared" ca="1" si="73"/>
        <v>0</v>
      </c>
      <c r="BV179">
        <f t="shared" ca="1" si="74"/>
        <v>0</v>
      </c>
      <c r="BW179">
        <f t="shared" ca="1" si="75"/>
        <v>0</v>
      </c>
      <c r="BX179" t="str">
        <f ca="1">IF(ROW()&lt;($C$7+1),"",IFERROR((分析データ!G179-AVERAGE(OFFSET(分析データ!G$1,MAX(1,ROW()-$C$7),0,MIN($C$7,ROW()-1),1)))/STDEV(OFFSET(分析データ!G$1,MAX(1,ROW()-$C$7),0,MIN($C$7,ROW()-1),1)),0))</f>
        <v/>
      </c>
      <c r="BY179">
        <f t="shared" ca="1" si="76"/>
        <v>0</v>
      </c>
      <c r="BZ179" t="str">
        <f ca="1">IF(BY179=1,IF(INDEX(分析データ!$A:$A,ROW()+$C$5)&lt;&gt;"",40000*SIGN(BX179)*(分析データ!G179-INDEX(分析データ!G:G,ROW()+$C$5)),""),"")</f>
        <v/>
      </c>
      <c r="CA179">
        <f t="shared" ca="1" si="77"/>
        <v>0</v>
      </c>
      <c r="CB179">
        <f t="shared" ca="1" si="78"/>
        <v>0</v>
      </c>
      <c r="CC179">
        <f t="shared" ca="1" si="79"/>
        <v>0</v>
      </c>
      <c r="CD179">
        <f t="shared" ca="1" si="80"/>
        <v>0</v>
      </c>
      <c r="CE179">
        <f t="shared" ca="1" si="81"/>
        <v>0</v>
      </c>
      <c r="CF179">
        <f t="shared" ca="1" si="82"/>
        <v>0</v>
      </c>
      <c r="CG179">
        <f t="shared" ca="1" si="83"/>
        <v>0</v>
      </c>
      <c r="CH179" s="10">
        <f>分析データ!A179</f>
        <v>45184</v>
      </c>
    </row>
    <row r="180" spans="46:86">
      <c r="AT180" t="str">
        <f ca="1">IF(ROW()&lt;($C$7+1),"",IFERROR((分析データ!B180-AVERAGE(OFFSET(分析データ!B$1,MAX(1,ROW()-$C$7),0,MIN($C$7,ROW()-1),1)))/STDEV(OFFSET(分析データ!B$1,MAX(1,ROW()-$C$7),0,MIN($C$7,ROW()-1),1)),0))</f>
        <v/>
      </c>
      <c r="AU180">
        <f t="shared" ca="1" si="56"/>
        <v>0</v>
      </c>
      <c r="AV180" t="str">
        <f ca="1">IF(AU180=1,IF(INDEX(分析データ!$A:$A,ROW()+$C$5)&lt;&gt;"",80000*SIGN(AT180)*(分析データ!B180-INDEX(分析データ!B:B,ROW()+$C$5)),""),"")</f>
        <v/>
      </c>
      <c r="AW180">
        <f t="shared" ca="1" si="57"/>
        <v>0</v>
      </c>
      <c r="AX180">
        <f t="shared" ca="1" si="58"/>
        <v>0</v>
      </c>
      <c r="AY180">
        <f t="shared" ca="1" si="59"/>
        <v>0</v>
      </c>
      <c r="AZ180" t="str">
        <f ca="1">IF(ROW()&lt;($C$7+1),"",IFERROR((分析データ!C180-AVERAGE(OFFSET(分析データ!C$1,MAX(1,ROW()-$C$7),0,MIN($C$7,ROW()-1),1)))/STDEV(OFFSET(分析データ!C$1,MAX(1,ROW()-$C$7),0,MIN($C$7,ROW()-1),1)),0))</f>
        <v/>
      </c>
      <c r="BA180">
        <f t="shared" ca="1" si="60"/>
        <v>0</v>
      </c>
      <c r="BB180" t="str">
        <f ca="1">IF(BA180=1,IF(INDEX(分析データ!$A:$A,ROW()+$C$5)&lt;&gt;"",60000*SIGN(AZ180)*(分析データ!C180-INDEX(分析データ!C:C,ROW()+$C$5)),""),"")</f>
        <v/>
      </c>
      <c r="BC180">
        <f t="shared" ca="1" si="61"/>
        <v>0</v>
      </c>
      <c r="BD180">
        <f t="shared" ca="1" si="62"/>
        <v>0</v>
      </c>
      <c r="BE180">
        <f t="shared" ca="1" si="63"/>
        <v>0</v>
      </c>
      <c r="BF180" t="str">
        <f ca="1">IF(ROW()&lt;($C$7+1),"",IFERROR((分析データ!D180-AVERAGE(OFFSET(分析データ!D$1,MAX(1,ROW()-$C$7),0,MIN($C$7,ROW()-1),1)))/STDEV(OFFSET(分析データ!D$1,MAX(1,ROW()-$C$7),0,MIN($C$7,ROW()-1),1)),0))</f>
        <v/>
      </c>
      <c r="BG180">
        <f t="shared" ca="1" si="64"/>
        <v>0</v>
      </c>
      <c r="BH180" t="str">
        <f ca="1">IF(BG180=1,IF(INDEX(分析データ!$A:$A,ROW()+$C$5)&lt;&gt;"",50000*SIGN(BF180)*(分析データ!D180-INDEX(分析データ!D:D,ROW()+$C$5)),""),"")</f>
        <v/>
      </c>
      <c r="BI180">
        <f t="shared" ca="1" si="65"/>
        <v>0</v>
      </c>
      <c r="BJ180">
        <f t="shared" ca="1" si="66"/>
        <v>0</v>
      </c>
      <c r="BK180">
        <f t="shared" ca="1" si="67"/>
        <v>0</v>
      </c>
      <c r="BL180" t="str">
        <f ca="1">IF(ROW()&lt;($C$7+1),"",IFERROR((分析データ!E180-AVERAGE(OFFSET(分析データ!E$1,MAX(1,ROW()-$C$7),0,MIN($C$7,ROW()-1),1)))/STDEV(OFFSET(分析データ!E$1,MAX(1,ROW()-$C$7),0,MIN($C$7,ROW()-1),1)),0))</f>
        <v/>
      </c>
      <c r="BM180">
        <f t="shared" ca="1" si="68"/>
        <v>0</v>
      </c>
      <c r="BN180" t="str">
        <f ca="1">IF(BM180=1,IF(INDEX(分析データ!$A:$A,ROW()+$C$5)&lt;&gt;"",40000*SIGN(BL180)*(分析データ!E180-INDEX(分析データ!E:E,ROW()+$C$5)),""),"")</f>
        <v/>
      </c>
      <c r="BO180">
        <f t="shared" ca="1" si="69"/>
        <v>0</v>
      </c>
      <c r="BP180">
        <f t="shared" ca="1" si="70"/>
        <v>0</v>
      </c>
      <c r="BQ180">
        <f t="shared" ca="1" si="71"/>
        <v>0</v>
      </c>
      <c r="BR180" t="str">
        <f ca="1">IF(ROW()&lt;($C$7+1),"",IFERROR((分析データ!F180-AVERAGE(OFFSET(分析データ!F$1,MAX(1,ROW()-$C$7),0,MIN($C$7,ROW()-1),1)))/STDEV(OFFSET(分析データ!F$1,MAX(1,ROW()-$C$7),0,MIN($C$7,ROW()-1),1)),0))</f>
        <v/>
      </c>
      <c r="BS180">
        <f t="shared" ca="1" si="72"/>
        <v>0</v>
      </c>
      <c r="BT180" t="str">
        <f ca="1">IF(BS180=1,IF(INDEX(分析データ!$A:$A,ROW()+$C$5)&lt;&gt;"",40000*SIGN(BR180)*(分析データ!F180-INDEX(分析データ!F:F,ROW()+$C$5)),""),"")</f>
        <v/>
      </c>
      <c r="BU180">
        <f t="shared" ca="1" si="73"/>
        <v>0</v>
      </c>
      <c r="BV180">
        <f t="shared" ca="1" si="74"/>
        <v>0</v>
      </c>
      <c r="BW180">
        <f t="shared" ca="1" si="75"/>
        <v>0</v>
      </c>
      <c r="BX180" t="str">
        <f ca="1">IF(ROW()&lt;($C$7+1),"",IFERROR((分析データ!G180-AVERAGE(OFFSET(分析データ!G$1,MAX(1,ROW()-$C$7),0,MIN($C$7,ROW()-1),1)))/STDEV(OFFSET(分析データ!G$1,MAX(1,ROW()-$C$7),0,MIN($C$7,ROW()-1),1)),0))</f>
        <v/>
      </c>
      <c r="BY180">
        <f t="shared" ca="1" si="76"/>
        <v>0</v>
      </c>
      <c r="BZ180" t="str">
        <f ca="1">IF(BY180=1,IF(INDEX(分析データ!$A:$A,ROW()+$C$5)&lt;&gt;"",40000*SIGN(BX180)*(分析データ!G180-INDEX(分析データ!G:G,ROW()+$C$5)),""),"")</f>
        <v/>
      </c>
      <c r="CA180">
        <f t="shared" ca="1" si="77"/>
        <v>0</v>
      </c>
      <c r="CB180">
        <f t="shared" ca="1" si="78"/>
        <v>0</v>
      </c>
      <c r="CC180">
        <f t="shared" ca="1" si="79"/>
        <v>0</v>
      </c>
      <c r="CD180">
        <f t="shared" ca="1" si="80"/>
        <v>0</v>
      </c>
      <c r="CE180">
        <f t="shared" ca="1" si="81"/>
        <v>0</v>
      </c>
      <c r="CF180">
        <f t="shared" ca="1" si="82"/>
        <v>0</v>
      </c>
      <c r="CG180">
        <f t="shared" ca="1" si="83"/>
        <v>0</v>
      </c>
      <c r="CH180" s="10">
        <f>分析データ!A180</f>
        <v>45187</v>
      </c>
    </row>
    <row r="181" spans="46:86">
      <c r="AT181" t="str">
        <f ca="1">IF(ROW()&lt;($C$7+1),"",IFERROR((分析データ!B181-AVERAGE(OFFSET(分析データ!B$1,MAX(1,ROW()-$C$7),0,MIN($C$7,ROW()-1),1)))/STDEV(OFFSET(分析データ!B$1,MAX(1,ROW()-$C$7),0,MIN($C$7,ROW()-1),1)),0))</f>
        <v/>
      </c>
      <c r="AU181">
        <f t="shared" ca="1" si="56"/>
        <v>0</v>
      </c>
      <c r="AV181" t="str">
        <f ca="1">IF(AU181=1,IF(INDEX(分析データ!$A:$A,ROW()+$C$5)&lt;&gt;"",80000*SIGN(AT181)*(分析データ!B181-INDEX(分析データ!B:B,ROW()+$C$5)),""),"")</f>
        <v/>
      </c>
      <c r="AW181">
        <f t="shared" ca="1" si="57"/>
        <v>0</v>
      </c>
      <c r="AX181">
        <f t="shared" ca="1" si="58"/>
        <v>0</v>
      </c>
      <c r="AY181">
        <f t="shared" ca="1" si="59"/>
        <v>0</v>
      </c>
      <c r="AZ181" t="str">
        <f ca="1">IF(ROW()&lt;($C$7+1),"",IFERROR((分析データ!C181-AVERAGE(OFFSET(分析データ!C$1,MAX(1,ROW()-$C$7),0,MIN($C$7,ROW()-1),1)))/STDEV(OFFSET(分析データ!C$1,MAX(1,ROW()-$C$7),0,MIN($C$7,ROW()-1),1)),0))</f>
        <v/>
      </c>
      <c r="BA181">
        <f t="shared" ca="1" si="60"/>
        <v>0</v>
      </c>
      <c r="BB181" t="str">
        <f ca="1">IF(BA181=1,IF(INDEX(分析データ!$A:$A,ROW()+$C$5)&lt;&gt;"",60000*SIGN(AZ181)*(分析データ!C181-INDEX(分析データ!C:C,ROW()+$C$5)),""),"")</f>
        <v/>
      </c>
      <c r="BC181">
        <f t="shared" ca="1" si="61"/>
        <v>0</v>
      </c>
      <c r="BD181">
        <f t="shared" ca="1" si="62"/>
        <v>0</v>
      </c>
      <c r="BE181">
        <f t="shared" ca="1" si="63"/>
        <v>0</v>
      </c>
      <c r="BF181" t="str">
        <f ca="1">IF(ROW()&lt;($C$7+1),"",IFERROR((分析データ!D181-AVERAGE(OFFSET(分析データ!D$1,MAX(1,ROW()-$C$7),0,MIN($C$7,ROW()-1),1)))/STDEV(OFFSET(分析データ!D$1,MAX(1,ROW()-$C$7),0,MIN($C$7,ROW()-1),1)),0))</f>
        <v/>
      </c>
      <c r="BG181">
        <f t="shared" ca="1" si="64"/>
        <v>0</v>
      </c>
      <c r="BH181" t="str">
        <f ca="1">IF(BG181=1,IF(INDEX(分析データ!$A:$A,ROW()+$C$5)&lt;&gt;"",50000*SIGN(BF181)*(分析データ!D181-INDEX(分析データ!D:D,ROW()+$C$5)),""),"")</f>
        <v/>
      </c>
      <c r="BI181">
        <f t="shared" ca="1" si="65"/>
        <v>0</v>
      </c>
      <c r="BJ181">
        <f t="shared" ca="1" si="66"/>
        <v>0</v>
      </c>
      <c r="BK181">
        <f t="shared" ca="1" si="67"/>
        <v>0</v>
      </c>
      <c r="BL181" t="str">
        <f ca="1">IF(ROW()&lt;($C$7+1),"",IFERROR((分析データ!E181-AVERAGE(OFFSET(分析データ!E$1,MAX(1,ROW()-$C$7),0,MIN($C$7,ROW()-1),1)))/STDEV(OFFSET(分析データ!E$1,MAX(1,ROW()-$C$7),0,MIN($C$7,ROW()-1),1)),0))</f>
        <v/>
      </c>
      <c r="BM181">
        <f t="shared" ca="1" si="68"/>
        <v>0</v>
      </c>
      <c r="BN181" t="str">
        <f ca="1">IF(BM181=1,IF(INDEX(分析データ!$A:$A,ROW()+$C$5)&lt;&gt;"",40000*SIGN(BL181)*(分析データ!E181-INDEX(分析データ!E:E,ROW()+$C$5)),""),"")</f>
        <v/>
      </c>
      <c r="BO181">
        <f t="shared" ca="1" si="69"/>
        <v>0</v>
      </c>
      <c r="BP181">
        <f t="shared" ca="1" si="70"/>
        <v>0</v>
      </c>
      <c r="BQ181">
        <f t="shared" ca="1" si="71"/>
        <v>0</v>
      </c>
      <c r="BR181" t="str">
        <f ca="1">IF(ROW()&lt;($C$7+1),"",IFERROR((分析データ!F181-AVERAGE(OFFSET(分析データ!F$1,MAX(1,ROW()-$C$7),0,MIN($C$7,ROW()-1),1)))/STDEV(OFFSET(分析データ!F$1,MAX(1,ROW()-$C$7),0,MIN($C$7,ROW()-1),1)),0))</f>
        <v/>
      </c>
      <c r="BS181">
        <f t="shared" ca="1" si="72"/>
        <v>0</v>
      </c>
      <c r="BT181" t="str">
        <f ca="1">IF(BS181=1,IF(INDEX(分析データ!$A:$A,ROW()+$C$5)&lt;&gt;"",40000*SIGN(BR181)*(分析データ!F181-INDEX(分析データ!F:F,ROW()+$C$5)),""),"")</f>
        <v/>
      </c>
      <c r="BU181">
        <f t="shared" ca="1" si="73"/>
        <v>0</v>
      </c>
      <c r="BV181">
        <f t="shared" ca="1" si="74"/>
        <v>0</v>
      </c>
      <c r="BW181">
        <f t="shared" ca="1" si="75"/>
        <v>0</v>
      </c>
      <c r="BX181" t="str">
        <f ca="1">IF(ROW()&lt;($C$7+1),"",IFERROR((分析データ!G181-AVERAGE(OFFSET(分析データ!G$1,MAX(1,ROW()-$C$7),0,MIN($C$7,ROW()-1),1)))/STDEV(OFFSET(分析データ!G$1,MAX(1,ROW()-$C$7),0,MIN($C$7,ROW()-1),1)),0))</f>
        <v/>
      </c>
      <c r="BY181">
        <f t="shared" ca="1" si="76"/>
        <v>0</v>
      </c>
      <c r="BZ181" t="str">
        <f ca="1">IF(BY181=1,IF(INDEX(分析データ!$A:$A,ROW()+$C$5)&lt;&gt;"",40000*SIGN(BX181)*(分析データ!G181-INDEX(分析データ!G:G,ROW()+$C$5)),""),"")</f>
        <v/>
      </c>
      <c r="CA181">
        <f t="shared" ca="1" si="77"/>
        <v>0</v>
      </c>
      <c r="CB181">
        <f t="shared" ca="1" si="78"/>
        <v>0</v>
      </c>
      <c r="CC181">
        <f t="shared" ca="1" si="79"/>
        <v>0</v>
      </c>
      <c r="CD181">
        <f t="shared" ca="1" si="80"/>
        <v>0</v>
      </c>
      <c r="CE181">
        <f t="shared" ca="1" si="81"/>
        <v>0</v>
      </c>
      <c r="CF181">
        <f t="shared" ca="1" si="82"/>
        <v>0</v>
      </c>
      <c r="CG181">
        <f t="shared" ca="1" si="83"/>
        <v>0</v>
      </c>
      <c r="CH181" s="10">
        <f>分析データ!A181</f>
        <v>45188</v>
      </c>
    </row>
    <row r="182" spans="46:86">
      <c r="AT182" t="str">
        <f ca="1">IF(ROW()&lt;($C$7+1),"",IFERROR((分析データ!B182-AVERAGE(OFFSET(分析データ!B$1,MAX(1,ROW()-$C$7),0,MIN($C$7,ROW()-1),1)))/STDEV(OFFSET(分析データ!B$1,MAX(1,ROW()-$C$7),0,MIN($C$7,ROW()-1),1)),0))</f>
        <v/>
      </c>
      <c r="AU182">
        <f t="shared" ca="1" si="56"/>
        <v>0</v>
      </c>
      <c r="AV182" t="str">
        <f ca="1">IF(AU182=1,IF(INDEX(分析データ!$A:$A,ROW()+$C$5)&lt;&gt;"",80000*SIGN(AT182)*(分析データ!B182-INDEX(分析データ!B:B,ROW()+$C$5)),""),"")</f>
        <v/>
      </c>
      <c r="AW182">
        <f t="shared" ca="1" si="57"/>
        <v>0</v>
      </c>
      <c r="AX182">
        <f t="shared" ca="1" si="58"/>
        <v>0</v>
      </c>
      <c r="AY182">
        <f t="shared" ca="1" si="59"/>
        <v>0</v>
      </c>
      <c r="AZ182" t="str">
        <f ca="1">IF(ROW()&lt;($C$7+1),"",IFERROR((分析データ!C182-AVERAGE(OFFSET(分析データ!C$1,MAX(1,ROW()-$C$7),0,MIN($C$7,ROW()-1),1)))/STDEV(OFFSET(分析データ!C$1,MAX(1,ROW()-$C$7),0,MIN($C$7,ROW()-1),1)),0))</f>
        <v/>
      </c>
      <c r="BA182">
        <f t="shared" ca="1" si="60"/>
        <v>0</v>
      </c>
      <c r="BB182" t="str">
        <f ca="1">IF(BA182=1,IF(INDEX(分析データ!$A:$A,ROW()+$C$5)&lt;&gt;"",60000*SIGN(AZ182)*(分析データ!C182-INDEX(分析データ!C:C,ROW()+$C$5)),""),"")</f>
        <v/>
      </c>
      <c r="BC182">
        <f t="shared" ca="1" si="61"/>
        <v>0</v>
      </c>
      <c r="BD182">
        <f t="shared" ca="1" si="62"/>
        <v>0</v>
      </c>
      <c r="BE182">
        <f t="shared" ca="1" si="63"/>
        <v>0</v>
      </c>
      <c r="BF182" t="str">
        <f ca="1">IF(ROW()&lt;($C$7+1),"",IFERROR((分析データ!D182-AVERAGE(OFFSET(分析データ!D$1,MAX(1,ROW()-$C$7),0,MIN($C$7,ROW()-1),1)))/STDEV(OFFSET(分析データ!D$1,MAX(1,ROW()-$C$7),0,MIN($C$7,ROW()-1),1)),0))</f>
        <v/>
      </c>
      <c r="BG182">
        <f t="shared" ca="1" si="64"/>
        <v>0</v>
      </c>
      <c r="BH182" t="str">
        <f ca="1">IF(BG182=1,IF(INDEX(分析データ!$A:$A,ROW()+$C$5)&lt;&gt;"",50000*SIGN(BF182)*(分析データ!D182-INDEX(分析データ!D:D,ROW()+$C$5)),""),"")</f>
        <v/>
      </c>
      <c r="BI182">
        <f t="shared" ca="1" si="65"/>
        <v>0</v>
      </c>
      <c r="BJ182">
        <f t="shared" ca="1" si="66"/>
        <v>0</v>
      </c>
      <c r="BK182">
        <f t="shared" ca="1" si="67"/>
        <v>0</v>
      </c>
      <c r="BL182" t="str">
        <f ca="1">IF(ROW()&lt;($C$7+1),"",IFERROR((分析データ!E182-AVERAGE(OFFSET(分析データ!E$1,MAX(1,ROW()-$C$7),0,MIN($C$7,ROW()-1),1)))/STDEV(OFFSET(分析データ!E$1,MAX(1,ROW()-$C$7),0,MIN($C$7,ROW()-1),1)),0))</f>
        <v/>
      </c>
      <c r="BM182">
        <f t="shared" ca="1" si="68"/>
        <v>0</v>
      </c>
      <c r="BN182" t="str">
        <f ca="1">IF(BM182=1,IF(INDEX(分析データ!$A:$A,ROW()+$C$5)&lt;&gt;"",40000*SIGN(BL182)*(分析データ!E182-INDEX(分析データ!E:E,ROW()+$C$5)),""),"")</f>
        <v/>
      </c>
      <c r="BO182">
        <f t="shared" ca="1" si="69"/>
        <v>0</v>
      </c>
      <c r="BP182">
        <f t="shared" ca="1" si="70"/>
        <v>0</v>
      </c>
      <c r="BQ182">
        <f t="shared" ca="1" si="71"/>
        <v>0</v>
      </c>
      <c r="BR182" t="str">
        <f ca="1">IF(ROW()&lt;($C$7+1),"",IFERROR((分析データ!F182-AVERAGE(OFFSET(分析データ!F$1,MAX(1,ROW()-$C$7),0,MIN($C$7,ROW()-1),1)))/STDEV(OFFSET(分析データ!F$1,MAX(1,ROW()-$C$7),0,MIN($C$7,ROW()-1),1)),0))</f>
        <v/>
      </c>
      <c r="BS182">
        <f t="shared" ca="1" si="72"/>
        <v>0</v>
      </c>
      <c r="BT182" t="str">
        <f ca="1">IF(BS182=1,IF(INDEX(分析データ!$A:$A,ROW()+$C$5)&lt;&gt;"",40000*SIGN(BR182)*(分析データ!F182-INDEX(分析データ!F:F,ROW()+$C$5)),""),"")</f>
        <v/>
      </c>
      <c r="BU182">
        <f t="shared" ca="1" si="73"/>
        <v>0</v>
      </c>
      <c r="BV182">
        <f t="shared" ca="1" si="74"/>
        <v>0</v>
      </c>
      <c r="BW182">
        <f t="shared" ca="1" si="75"/>
        <v>0</v>
      </c>
      <c r="BX182" t="str">
        <f ca="1">IF(ROW()&lt;($C$7+1),"",IFERROR((分析データ!G182-AVERAGE(OFFSET(分析データ!G$1,MAX(1,ROW()-$C$7),0,MIN($C$7,ROW()-1),1)))/STDEV(OFFSET(分析データ!G$1,MAX(1,ROW()-$C$7),0,MIN($C$7,ROW()-1),1)),0))</f>
        <v/>
      </c>
      <c r="BY182">
        <f t="shared" ca="1" si="76"/>
        <v>0</v>
      </c>
      <c r="BZ182" t="str">
        <f ca="1">IF(BY182=1,IF(INDEX(分析データ!$A:$A,ROW()+$C$5)&lt;&gt;"",40000*SIGN(BX182)*(分析データ!G182-INDEX(分析データ!G:G,ROW()+$C$5)),""),"")</f>
        <v/>
      </c>
      <c r="CA182">
        <f t="shared" ca="1" si="77"/>
        <v>0</v>
      </c>
      <c r="CB182">
        <f t="shared" ca="1" si="78"/>
        <v>0</v>
      </c>
      <c r="CC182">
        <f t="shared" ca="1" si="79"/>
        <v>0</v>
      </c>
      <c r="CD182">
        <f t="shared" ca="1" si="80"/>
        <v>0</v>
      </c>
      <c r="CE182">
        <f t="shared" ca="1" si="81"/>
        <v>0</v>
      </c>
      <c r="CF182">
        <f t="shared" ca="1" si="82"/>
        <v>0</v>
      </c>
      <c r="CG182">
        <f t="shared" ca="1" si="83"/>
        <v>0</v>
      </c>
      <c r="CH182" s="10">
        <f>分析データ!A182</f>
        <v>45189</v>
      </c>
    </row>
    <row r="183" spans="46:86">
      <c r="AT183" t="str">
        <f ca="1">IF(ROW()&lt;($C$7+1),"",IFERROR((分析データ!B183-AVERAGE(OFFSET(分析データ!B$1,MAX(1,ROW()-$C$7),0,MIN($C$7,ROW()-1),1)))/STDEV(OFFSET(分析データ!B$1,MAX(1,ROW()-$C$7),0,MIN($C$7,ROW()-1),1)),0))</f>
        <v/>
      </c>
      <c r="AU183">
        <f t="shared" ca="1" si="56"/>
        <v>0</v>
      </c>
      <c r="AV183" t="str">
        <f ca="1">IF(AU183=1,IF(INDEX(分析データ!$A:$A,ROW()+$C$5)&lt;&gt;"",80000*SIGN(AT183)*(分析データ!B183-INDEX(分析データ!B:B,ROW()+$C$5)),""),"")</f>
        <v/>
      </c>
      <c r="AW183">
        <f t="shared" ca="1" si="57"/>
        <v>0</v>
      </c>
      <c r="AX183">
        <f t="shared" ca="1" si="58"/>
        <v>0</v>
      </c>
      <c r="AY183">
        <f t="shared" ca="1" si="59"/>
        <v>0</v>
      </c>
      <c r="AZ183" t="str">
        <f ca="1">IF(ROW()&lt;($C$7+1),"",IFERROR((分析データ!C183-AVERAGE(OFFSET(分析データ!C$1,MAX(1,ROW()-$C$7),0,MIN($C$7,ROW()-1),1)))/STDEV(OFFSET(分析データ!C$1,MAX(1,ROW()-$C$7),0,MIN($C$7,ROW()-1),1)),0))</f>
        <v/>
      </c>
      <c r="BA183">
        <f t="shared" ca="1" si="60"/>
        <v>0</v>
      </c>
      <c r="BB183" t="str">
        <f ca="1">IF(BA183=1,IF(INDEX(分析データ!$A:$A,ROW()+$C$5)&lt;&gt;"",60000*SIGN(AZ183)*(分析データ!C183-INDEX(分析データ!C:C,ROW()+$C$5)),""),"")</f>
        <v/>
      </c>
      <c r="BC183">
        <f t="shared" ca="1" si="61"/>
        <v>0</v>
      </c>
      <c r="BD183">
        <f t="shared" ca="1" si="62"/>
        <v>0</v>
      </c>
      <c r="BE183">
        <f t="shared" ca="1" si="63"/>
        <v>0</v>
      </c>
      <c r="BF183" t="str">
        <f ca="1">IF(ROW()&lt;($C$7+1),"",IFERROR((分析データ!D183-AVERAGE(OFFSET(分析データ!D$1,MAX(1,ROW()-$C$7),0,MIN($C$7,ROW()-1),1)))/STDEV(OFFSET(分析データ!D$1,MAX(1,ROW()-$C$7),0,MIN($C$7,ROW()-1),1)),0))</f>
        <v/>
      </c>
      <c r="BG183">
        <f t="shared" ca="1" si="64"/>
        <v>0</v>
      </c>
      <c r="BH183" t="str">
        <f ca="1">IF(BG183=1,IF(INDEX(分析データ!$A:$A,ROW()+$C$5)&lt;&gt;"",50000*SIGN(BF183)*(分析データ!D183-INDEX(分析データ!D:D,ROW()+$C$5)),""),"")</f>
        <v/>
      </c>
      <c r="BI183">
        <f t="shared" ca="1" si="65"/>
        <v>0</v>
      </c>
      <c r="BJ183">
        <f t="shared" ca="1" si="66"/>
        <v>0</v>
      </c>
      <c r="BK183">
        <f t="shared" ca="1" si="67"/>
        <v>0</v>
      </c>
      <c r="BL183" t="str">
        <f ca="1">IF(ROW()&lt;($C$7+1),"",IFERROR((分析データ!E183-AVERAGE(OFFSET(分析データ!E$1,MAX(1,ROW()-$C$7),0,MIN($C$7,ROW()-1),1)))/STDEV(OFFSET(分析データ!E$1,MAX(1,ROW()-$C$7),0,MIN($C$7,ROW()-1),1)),0))</f>
        <v/>
      </c>
      <c r="BM183">
        <f t="shared" ca="1" si="68"/>
        <v>0</v>
      </c>
      <c r="BN183" t="str">
        <f ca="1">IF(BM183=1,IF(INDEX(分析データ!$A:$A,ROW()+$C$5)&lt;&gt;"",40000*SIGN(BL183)*(分析データ!E183-INDEX(分析データ!E:E,ROW()+$C$5)),""),"")</f>
        <v/>
      </c>
      <c r="BO183">
        <f t="shared" ca="1" si="69"/>
        <v>0</v>
      </c>
      <c r="BP183">
        <f t="shared" ca="1" si="70"/>
        <v>0</v>
      </c>
      <c r="BQ183">
        <f t="shared" ca="1" si="71"/>
        <v>0</v>
      </c>
      <c r="BR183" t="str">
        <f ca="1">IF(ROW()&lt;($C$7+1),"",IFERROR((分析データ!F183-AVERAGE(OFFSET(分析データ!F$1,MAX(1,ROW()-$C$7),0,MIN($C$7,ROW()-1),1)))/STDEV(OFFSET(分析データ!F$1,MAX(1,ROW()-$C$7),0,MIN($C$7,ROW()-1),1)),0))</f>
        <v/>
      </c>
      <c r="BS183">
        <f t="shared" ca="1" si="72"/>
        <v>0</v>
      </c>
      <c r="BT183" t="str">
        <f ca="1">IF(BS183=1,IF(INDEX(分析データ!$A:$A,ROW()+$C$5)&lt;&gt;"",40000*SIGN(BR183)*(分析データ!F183-INDEX(分析データ!F:F,ROW()+$C$5)),""),"")</f>
        <v/>
      </c>
      <c r="BU183">
        <f t="shared" ca="1" si="73"/>
        <v>0</v>
      </c>
      <c r="BV183">
        <f t="shared" ca="1" si="74"/>
        <v>0</v>
      </c>
      <c r="BW183">
        <f t="shared" ca="1" si="75"/>
        <v>0</v>
      </c>
      <c r="BX183" t="str">
        <f ca="1">IF(ROW()&lt;($C$7+1),"",IFERROR((分析データ!G183-AVERAGE(OFFSET(分析データ!G$1,MAX(1,ROW()-$C$7),0,MIN($C$7,ROW()-1),1)))/STDEV(OFFSET(分析データ!G$1,MAX(1,ROW()-$C$7),0,MIN($C$7,ROW()-1),1)),0))</f>
        <v/>
      </c>
      <c r="BY183">
        <f t="shared" ca="1" si="76"/>
        <v>0</v>
      </c>
      <c r="BZ183" t="str">
        <f ca="1">IF(BY183=1,IF(INDEX(分析データ!$A:$A,ROW()+$C$5)&lt;&gt;"",40000*SIGN(BX183)*(分析データ!G183-INDEX(分析データ!G:G,ROW()+$C$5)),""),"")</f>
        <v/>
      </c>
      <c r="CA183">
        <f t="shared" ca="1" si="77"/>
        <v>0</v>
      </c>
      <c r="CB183">
        <f t="shared" ca="1" si="78"/>
        <v>0</v>
      </c>
      <c r="CC183">
        <f t="shared" ca="1" si="79"/>
        <v>0</v>
      </c>
      <c r="CD183">
        <f t="shared" ca="1" si="80"/>
        <v>0</v>
      </c>
      <c r="CE183">
        <f t="shared" ca="1" si="81"/>
        <v>0</v>
      </c>
      <c r="CF183">
        <f t="shared" ca="1" si="82"/>
        <v>0</v>
      </c>
      <c r="CG183">
        <f t="shared" ca="1" si="83"/>
        <v>0</v>
      </c>
      <c r="CH183" s="10">
        <f>分析データ!A183</f>
        <v>45190</v>
      </c>
    </row>
    <row r="184" spans="46:86">
      <c r="AT184" t="str">
        <f ca="1">IF(ROW()&lt;($C$7+1),"",IFERROR((分析データ!B184-AVERAGE(OFFSET(分析データ!B$1,MAX(1,ROW()-$C$7),0,MIN($C$7,ROW()-1),1)))/STDEV(OFFSET(分析データ!B$1,MAX(1,ROW()-$C$7),0,MIN($C$7,ROW()-1),1)),0))</f>
        <v/>
      </c>
      <c r="AU184">
        <f t="shared" ca="1" si="56"/>
        <v>0</v>
      </c>
      <c r="AV184" t="str">
        <f ca="1">IF(AU184=1,IF(INDEX(分析データ!$A:$A,ROW()+$C$5)&lt;&gt;"",80000*SIGN(AT184)*(分析データ!B184-INDEX(分析データ!B:B,ROW()+$C$5)),""),"")</f>
        <v/>
      </c>
      <c r="AW184">
        <f t="shared" ca="1" si="57"/>
        <v>0</v>
      </c>
      <c r="AX184">
        <f t="shared" ca="1" si="58"/>
        <v>0</v>
      </c>
      <c r="AY184">
        <f t="shared" ca="1" si="59"/>
        <v>0</v>
      </c>
      <c r="AZ184" t="str">
        <f ca="1">IF(ROW()&lt;($C$7+1),"",IFERROR((分析データ!C184-AVERAGE(OFFSET(分析データ!C$1,MAX(1,ROW()-$C$7),0,MIN($C$7,ROW()-1),1)))/STDEV(OFFSET(分析データ!C$1,MAX(1,ROW()-$C$7),0,MIN($C$7,ROW()-1),1)),0))</f>
        <v/>
      </c>
      <c r="BA184">
        <f t="shared" ca="1" si="60"/>
        <v>0</v>
      </c>
      <c r="BB184" t="str">
        <f ca="1">IF(BA184=1,IF(INDEX(分析データ!$A:$A,ROW()+$C$5)&lt;&gt;"",60000*SIGN(AZ184)*(分析データ!C184-INDEX(分析データ!C:C,ROW()+$C$5)),""),"")</f>
        <v/>
      </c>
      <c r="BC184">
        <f t="shared" ca="1" si="61"/>
        <v>0</v>
      </c>
      <c r="BD184">
        <f t="shared" ca="1" si="62"/>
        <v>0</v>
      </c>
      <c r="BE184">
        <f t="shared" ca="1" si="63"/>
        <v>0</v>
      </c>
      <c r="BF184" t="str">
        <f ca="1">IF(ROW()&lt;($C$7+1),"",IFERROR((分析データ!D184-AVERAGE(OFFSET(分析データ!D$1,MAX(1,ROW()-$C$7),0,MIN($C$7,ROW()-1),1)))/STDEV(OFFSET(分析データ!D$1,MAX(1,ROW()-$C$7),0,MIN($C$7,ROW()-1),1)),0))</f>
        <v/>
      </c>
      <c r="BG184">
        <f t="shared" ca="1" si="64"/>
        <v>0</v>
      </c>
      <c r="BH184" t="str">
        <f ca="1">IF(BG184=1,IF(INDEX(分析データ!$A:$A,ROW()+$C$5)&lt;&gt;"",50000*SIGN(BF184)*(分析データ!D184-INDEX(分析データ!D:D,ROW()+$C$5)),""),"")</f>
        <v/>
      </c>
      <c r="BI184">
        <f t="shared" ca="1" si="65"/>
        <v>0</v>
      </c>
      <c r="BJ184">
        <f t="shared" ca="1" si="66"/>
        <v>0</v>
      </c>
      <c r="BK184">
        <f t="shared" ca="1" si="67"/>
        <v>0</v>
      </c>
      <c r="BL184" t="str">
        <f ca="1">IF(ROW()&lt;($C$7+1),"",IFERROR((分析データ!E184-AVERAGE(OFFSET(分析データ!E$1,MAX(1,ROW()-$C$7),0,MIN($C$7,ROW()-1),1)))/STDEV(OFFSET(分析データ!E$1,MAX(1,ROW()-$C$7),0,MIN($C$7,ROW()-1),1)),0))</f>
        <v/>
      </c>
      <c r="BM184">
        <f t="shared" ca="1" si="68"/>
        <v>0</v>
      </c>
      <c r="BN184" t="str">
        <f ca="1">IF(BM184=1,IF(INDEX(分析データ!$A:$A,ROW()+$C$5)&lt;&gt;"",40000*SIGN(BL184)*(分析データ!E184-INDEX(分析データ!E:E,ROW()+$C$5)),""),"")</f>
        <v/>
      </c>
      <c r="BO184">
        <f t="shared" ca="1" si="69"/>
        <v>0</v>
      </c>
      <c r="BP184">
        <f t="shared" ca="1" si="70"/>
        <v>0</v>
      </c>
      <c r="BQ184">
        <f t="shared" ca="1" si="71"/>
        <v>0</v>
      </c>
      <c r="BR184" t="str">
        <f ca="1">IF(ROW()&lt;($C$7+1),"",IFERROR((分析データ!F184-AVERAGE(OFFSET(分析データ!F$1,MAX(1,ROW()-$C$7),0,MIN($C$7,ROW()-1),1)))/STDEV(OFFSET(分析データ!F$1,MAX(1,ROW()-$C$7),0,MIN($C$7,ROW()-1),1)),0))</f>
        <v/>
      </c>
      <c r="BS184">
        <f t="shared" ca="1" si="72"/>
        <v>0</v>
      </c>
      <c r="BT184" t="str">
        <f ca="1">IF(BS184=1,IF(INDEX(分析データ!$A:$A,ROW()+$C$5)&lt;&gt;"",40000*SIGN(BR184)*(分析データ!F184-INDEX(分析データ!F:F,ROW()+$C$5)),""),"")</f>
        <v/>
      </c>
      <c r="BU184">
        <f t="shared" ca="1" si="73"/>
        <v>0</v>
      </c>
      <c r="BV184">
        <f t="shared" ca="1" si="74"/>
        <v>0</v>
      </c>
      <c r="BW184">
        <f t="shared" ca="1" si="75"/>
        <v>0</v>
      </c>
      <c r="BX184" t="str">
        <f ca="1">IF(ROW()&lt;($C$7+1),"",IFERROR((分析データ!G184-AVERAGE(OFFSET(分析データ!G$1,MAX(1,ROW()-$C$7),0,MIN($C$7,ROW()-1),1)))/STDEV(OFFSET(分析データ!G$1,MAX(1,ROW()-$C$7),0,MIN($C$7,ROW()-1),1)),0))</f>
        <v/>
      </c>
      <c r="BY184">
        <f t="shared" ca="1" si="76"/>
        <v>0</v>
      </c>
      <c r="BZ184" t="str">
        <f ca="1">IF(BY184=1,IF(INDEX(分析データ!$A:$A,ROW()+$C$5)&lt;&gt;"",40000*SIGN(BX184)*(分析データ!G184-INDEX(分析データ!G:G,ROW()+$C$5)),""),"")</f>
        <v/>
      </c>
      <c r="CA184">
        <f t="shared" ca="1" si="77"/>
        <v>0</v>
      </c>
      <c r="CB184">
        <f t="shared" ca="1" si="78"/>
        <v>0</v>
      </c>
      <c r="CC184">
        <f t="shared" ca="1" si="79"/>
        <v>0</v>
      </c>
      <c r="CD184">
        <f t="shared" ca="1" si="80"/>
        <v>0</v>
      </c>
      <c r="CE184">
        <f t="shared" ca="1" si="81"/>
        <v>0</v>
      </c>
      <c r="CF184">
        <f t="shared" ca="1" si="82"/>
        <v>0</v>
      </c>
      <c r="CG184">
        <f t="shared" ca="1" si="83"/>
        <v>0</v>
      </c>
      <c r="CH184" s="10">
        <f>分析データ!A184</f>
        <v>45191</v>
      </c>
    </row>
    <row r="185" spans="46:86">
      <c r="AT185" t="str">
        <f ca="1">IF(ROW()&lt;($C$7+1),"",IFERROR((分析データ!B185-AVERAGE(OFFSET(分析データ!B$1,MAX(1,ROW()-$C$7),0,MIN($C$7,ROW()-1),1)))/STDEV(OFFSET(分析データ!B$1,MAX(1,ROW()-$C$7),0,MIN($C$7,ROW()-1),1)),0))</f>
        <v/>
      </c>
      <c r="AU185">
        <f t="shared" ca="1" si="56"/>
        <v>0</v>
      </c>
      <c r="AV185" t="str">
        <f ca="1">IF(AU185=1,IF(INDEX(分析データ!$A:$A,ROW()+$C$5)&lt;&gt;"",80000*SIGN(AT185)*(分析データ!B185-INDEX(分析データ!B:B,ROW()+$C$5)),""),"")</f>
        <v/>
      </c>
      <c r="AW185">
        <f t="shared" ca="1" si="57"/>
        <v>0</v>
      </c>
      <c r="AX185">
        <f t="shared" ca="1" si="58"/>
        <v>0</v>
      </c>
      <c r="AY185">
        <f t="shared" ca="1" si="59"/>
        <v>0</v>
      </c>
      <c r="AZ185" t="str">
        <f ca="1">IF(ROW()&lt;($C$7+1),"",IFERROR((分析データ!C185-AVERAGE(OFFSET(分析データ!C$1,MAX(1,ROW()-$C$7),0,MIN($C$7,ROW()-1),1)))/STDEV(OFFSET(分析データ!C$1,MAX(1,ROW()-$C$7),0,MIN($C$7,ROW()-1),1)),0))</f>
        <v/>
      </c>
      <c r="BA185">
        <f t="shared" ca="1" si="60"/>
        <v>0</v>
      </c>
      <c r="BB185" t="str">
        <f ca="1">IF(BA185=1,IF(INDEX(分析データ!$A:$A,ROW()+$C$5)&lt;&gt;"",60000*SIGN(AZ185)*(分析データ!C185-INDEX(分析データ!C:C,ROW()+$C$5)),""),"")</f>
        <v/>
      </c>
      <c r="BC185">
        <f t="shared" ca="1" si="61"/>
        <v>0</v>
      </c>
      <c r="BD185">
        <f t="shared" ca="1" si="62"/>
        <v>0</v>
      </c>
      <c r="BE185">
        <f t="shared" ca="1" si="63"/>
        <v>0</v>
      </c>
      <c r="BF185" t="str">
        <f ca="1">IF(ROW()&lt;($C$7+1),"",IFERROR((分析データ!D185-AVERAGE(OFFSET(分析データ!D$1,MAX(1,ROW()-$C$7),0,MIN($C$7,ROW()-1),1)))/STDEV(OFFSET(分析データ!D$1,MAX(1,ROW()-$C$7),0,MIN($C$7,ROW()-1),1)),0))</f>
        <v/>
      </c>
      <c r="BG185">
        <f t="shared" ca="1" si="64"/>
        <v>0</v>
      </c>
      <c r="BH185" t="str">
        <f ca="1">IF(BG185=1,IF(INDEX(分析データ!$A:$A,ROW()+$C$5)&lt;&gt;"",50000*SIGN(BF185)*(分析データ!D185-INDEX(分析データ!D:D,ROW()+$C$5)),""),"")</f>
        <v/>
      </c>
      <c r="BI185">
        <f t="shared" ca="1" si="65"/>
        <v>0</v>
      </c>
      <c r="BJ185">
        <f t="shared" ca="1" si="66"/>
        <v>0</v>
      </c>
      <c r="BK185">
        <f t="shared" ca="1" si="67"/>
        <v>0</v>
      </c>
      <c r="BL185" t="str">
        <f ca="1">IF(ROW()&lt;($C$7+1),"",IFERROR((分析データ!E185-AVERAGE(OFFSET(分析データ!E$1,MAX(1,ROW()-$C$7),0,MIN($C$7,ROW()-1),1)))/STDEV(OFFSET(分析データ!E$1,MAX(1,ROW()-$C$7),0,MIN($C$7,ROW()-1),1)),0))</f>
        <v/>
      </c>
      <c r="BM185">
        <f t="shared" ca="1" si="68"/>
        <v>0</v>
      </c>
      <c r="BN185" t="str">
        <f ca="1">IF(BM185=1,IF(INDEX(分析データ!$A:$A,ROW()+$C$5)&lt;&gt;"",40000*SIGN(BL185)*(分析データ!E185-INDEX(分析データ!E:E,ROW()+$C$5)),""),"")</f>
        <v/>
      </c>
      <c r="BO185">
        <f t="shared" ca="1" si="69"/>
        <v>0</v>
      </c>
      <c r="BP185">
        <f t="shared" ca="1" si="70"/>
        <v>0</v>
      </c>
      <c r="BQ185">
        <f t="shared" ca="1" si="71"/>
        <v>0</v>
      </c>
      <c r="BR185" t="str">
        <f ca="1">IF(ROW()&lt;($C$7+1),"",IFERROR((分析データ!F185-AVERAGE(OFFSET(分析データ!F$1,MAX(1,ROW()-$C$7),0,MIN($C$7,ROW()-1),1)))/STDEV(OFFSET(分析データ!F$1,MAX(1,ROW()-$C$7),0,MIN($C$7,ROW()-1),1)),0))</f>
        <v/>
      </c>
      <c r="BS185">
        <f t="shared" ca="1" si="72"/>
        <v>0</v>
      </c>
      <c r="BT185" t="str">
        <f ca="1">IF(BS185=1,IF(INDEX(分析データ!$A:$A,ROW()+$C$5)&lt;&gt;"",40000*SIGN(BR185)*(分析データ!F185-INDEX(分析データ!F:F,ROW()+$C$5)),""),"")</f>
        <v/>
      </c>
      <c r="BU185">
        <f t="shared" ca="1" si="73"/>
        <v>0</v>
      </c>
      <c r="BV185">
        <f t="shared" ca="1" si="74"/>
        <v>0</v>
      </c>
      <c r="BW185">
        <f t="shared" ca="1" si="75"/>
        <v>0</v>
      </c>
      <c r="BX185" t="str">
        <f ca="1">IF(ROW()&lt;($C$7+1),"",IFERROR((分析データ!G185-AVERAGE(OFFSET(分析データ!G$1,MAX(1,ROW()-$C$7),0,MIN($C$7,ROW()-1),1)))/STDEV(OFFSET(分析データ!G$1,MAX(1,ROW()-$C$7),0,MIN($C$7,ROW()-1),1)),0))</f>
        <v/>
      </c>
      <c r="BY185">
        <f t="shared" ca="1" si="76"/>
        <v>0</v>
      </c>
      <c r="BZ185" t="str">
        <f ca="1">IF(BY185=1,IF(INDEX(分析データ!$A:$A,ROW()+$C$5)&lt;&gt;"",40000*SIGN(BX185)*(分析データ!G185-INDEX(分析データ!G:G,ROW()+$C$5)),""),"")</f>
        <v/>
      </c>
      <c r="CA185">
        <f t="shared" ca="1" si="77"/>
        <v>0</v>
      </c>
      <c r="CB185">
        <f t="shared" ca="1" si="78"/>
        <v>0</v>
      </c>
      <c r="CC185">
        <f t="shared" ca="1" si="79"/>
        <v>0</v>
      </c>
      <c r="CD185">
        <f t="shared" ca="1" si="80"/>
        <v>0</v>
      </c>
      <c r="CE185">
        <f t="shared" ca="1" si="81"/>
        <v>0</v>
      </c>
      <c r="CF185">
        <f t="shared" ca="1" si="82"/>
        <v>0</v>
      </c>
      <c r="CG185">
        <f t="shared" ca="1" si="83"/>
        <v>0</v>
      </c>
      <c r="CH185" s="10">
        <f>分析データ!A185</f>
        <v>45194</v>
      </c>
    </row>
    <row r="186" spans="46:86">
      <c r="AT186" t="str">
        <f ca="1">IF(ROW()&lt;($C$7+1),"",IFERROR((分析データ!B186-AVERAGE(OFFSET(分析データ!B$1,MAX(1,ROW()-$C$7),0,MIN($C$7,ROW()-1),1)))/STDEV(OFFSET(分析データ!B$1,MAX(1,ROW()-$C$7),0,MIN($C$7,ROW()-1),1)),0))</f>
        <v/>
      </c>
      <c r="AU186">
        <f t="shared" ca="1" si="56"/>
        <v>0</v>
      </c>
      <c r="AV186" t="str">
        <f ca="1">IF(AU186=1,IF(INDEX(分析データ!$A:$A,ROW()+$C$5)&lt;&gt;"",80000*SIGN(AT186)*(分析データ!B186-INDEX(分析データ!B:B,ROW()+$C$5)),""),"")</f>
        <v/>
      </c>
      <c r="AW186">
        <f t="shared" ca="1" si="57"/>
        <v>0</v>
      </c>
      <c r="AX186">
        <f t="shared" ca="1" si="58"/>
        <v>0</v>
      </c>
      <c r="AY186">
        <f t="shared" ca="1" si="59"/>
        <v>0</v>
      </c>
      <c r="AZ186" t="str">
        <f ca="1">IF(ROW()&lt;($C$7+1),"",IFERROR((分析データ!C186-AVERAGE(OFFSET(分析データ!C$1,MAX(1,ROW()-$C$7),0,MIN($C$7,ROW()-1),1)))/STDEV(OFFSET(分析データ!C$1,MAX(1,ROW()-$C$7),0,MIN($C$7,ROW()-1),1)),0))</f>
        <v/>
      </c>
      <c r="BA186">
        <f t="shared" ca="1" si="60"/>
        <v>0</v>
      </c>
      <c r="BB186" t="str">
        <f ca="1">IF(BA186=1,IF(INDEX(分析データ!$A:$A,ROW()+$C$5)&lt;&gt;"",60000*SIGN(AZ186)*(分析データ!C186-INDEX(分析データ!C:C,ROW()+$C$5)),""),"")</f>
        <v/>
      </c>
      <c r="BC186">
        <f t="shared" ca="1" si="61"/>
        <v>0</v>
      </c>
      <c r="BD186">
        <f t="shared" ca="1" si="62"/>
        <v>0</v>
      </c>
      <c r="BE186">
        <f t="shared" ca="1" si="63"/>
        <v>0</v>
      </c>
      <c r="BF186" t="str">
        <f ca="1">IF(ROW()&lt;($C$7+1),"",IFERROR((分析データ!D186-AVERAGE(OFFSET(分析データ!D$1,MAX(1,ROW()-$C$7),0,MIN($C$7,ROW()-1),1)))/STDEV(OFFSET(分析データ!D$1,MAX(1,ROW()-$C$7),0,MIN($C$7,ROW()-1),1)),0))</f>
        <v/>
      </c>
      <c r="BG186">
        <f t="shared" ca="1" si="64"/>
        <v>0</v>
      </c>
      <c r="BH186" t="str">
        <f ca="1">IF(BG186=1,IF(INDEX(分析データ!$A:$A,ROW()+$C$5)&lt;&gt;"",50000*SIGN(BF186)*(分析データ!D186-INDEX(分析データ!D:D,ROW()+$C$5)),""),"")</f>
        <v/>
      </c>
      <c r="BI186">
        <f t="shared" ca="1" si="65"/>
        <v>0</v>
      </c>
      <c r="BJ186">
        <f t="shared" ca="1" si="66"/>
        <v>0</v>
      </c>
      <c r="BK186">
        <f t="shared" ca="1" si="67"/>
        <v>0</v>
      </c>
      <c r="BL186" t="str">
        <f ca="1">IF(ROW()&lt;($C$7+1),"",IFERROR((分析データ!E186-AVERAGE(OFFSET(分析データ!E$1,MAX(1,ROW()-$C$7),0,MIN($C$7,ROW()-1),1)))/STDEV(OFFSET(分析データ!E$1,MAX(1,ROW()-$C$7),0,MIN($C$7,ROW()-1),1)),0))</f>
        <v/>
      </c>
      <c r="BM186">
        <f t="shared" ca="1" si="68"/>
        <v>0</v>
      </c>
      <c r="BN186" t="str">
        <f ca="1">IF(BM186=1,IF(INDEX(分析データ!$A:$A,ROW()+$C$5)&lt;&gt;"",40000*SIGN(BL186)*(分析データ!E186-INDEX(分析データ!E:E,ROW()+$C$5)),""),"")</f>
        <v/>
      </c>
      <c r="BO186">
        <f t="shared" ca="1" si="69"/>
        <v>0</v>
      </c>
      <c r="BP186">
        <f t="shared" ca="1" si="70"/>
        <v>0</v>
      </c>
      <c r="BQ186">
        <f t="shared" ca="1" si="71"/>
        <v>0</v>
      </c>
      <c r="BR186" t="str">
        <f ca="1">IF(ROW()&lt;($C$7+1),"",IFERROR((分析データ!F186-AVERAGE(OFFSET(分析データ!F$1,MAX(1,ROW()-$C$7),0,MIN($C$7,ROW()-1),1)))/STDEV(OFFSET(分析データ!F$1,MAX(1,ROW()-$C$7),0,MIN($C$7,ROW()-1),1)),0))</f>
        <v/>
      </c>
      <c r="BS186">
        <f t="shared" ca="1" si="72"/>
        <v>0</v>
      </c>
      <c r="BT186" t="str">
        <f ca="1">IF(BS186=1,IF(INDEX(分析データ!$A:$A,ROW()+$C$5)&lt;&gt;"",40000*SIGN(BR186)*(分析データ!F186-INDEX(分析データ!F:F,ROW()+$C$5)),""),"")</f>
        <v/>
      </c>
      <c r="BU186">
        <f t="shared" ca="1" si="73"/>
        <v>0</v>
      </c>
      <c r="BV186">
        <f t="shared" ca="1" si="74"/>
        <v>0</v>
      </c>
      <c r="BW186">
        <f t="shared" ca="1" si="75"/>
        <v>0</v>
      </c>
      <c r="BX186" t="str">
        <f ca="1">IF(ROW()&lt;($C$7+1),"",IFERROR((分析データ!G186-AVERAGE(OFFSET(分析データ!G$1,MAX(1,ROW()-$C$7),0,MIN($C$7,ROW()-1),1)))/STDEV(OFFSET(分析データ!G$1,MAX(1,ROW()-$C$7),0,MIN($C$7,ROW()-1),1)),0))</f>
        <v/>
      </c>
      <c r="BY186">
        <f t="shared" ca="1" si="76"/>
        <v>0</v>
      </c>
      <c r="BZ186" t="str">
        <f ca="1">IF(BY186=1,IF(INDEX(分析データ!$A:$A,ROW()+$C$5)&lt;&gt;"",40000*SIGN(BX186)*(分析データ!G186-INDEX(分析データ!G:G,ROW()+$C$5)),""),"")</f>
        <v/>
      </c>
      <c r="CA186">
        <f t="shared" ca="1" si="77"/>
        <v>0</v>
      </c>
      <c r="CB186">
        <f t="shared" ca="1" si="78"/>
        <v>0</v>
      </c>
      <c r="CC186">
        <f t="shared" ca="1" si="79"/>
        <v>0</v>
      </c>
      <c r="CD186">
        <f t="shared" ca="1" si="80"/>
        <v>0</v>
      </c>
      <c r="CE186">
        <f t="shared" ca="1" si="81"/>
        <v>0</v>
      </c>
      <c r="CF186">
        <f t="shared" ca="1" si="82"/>
        <v>0</v>
      </c>
      <c r="CG186">
        <f t="shared" ca="1" si="83"/>
        <v>0</v>
      </c>
      <c r="CH186" s="10">
        <f>分析データ!A186</f>
        <v>45195</v>
      </c>
    </row>
    <row r="187" spans="46:86">
      <c r="AT187" t="str">
        <f ca="1">IF(ROW()&lt;($C$7+1),"",IFERROR((分析データ!B187-AVERAGE(OFFSET(分析データ!B$1,MAX(1,ROW()-$C$7),0,MIN($C$7,ROW()-1),1)))/STDEV(OFFSET(分析データ!B$1,MAX(1,ROW()-$C$7),0,MIN($C$7,ROW()-1),1)),0))</f>
        <v/>
      </c>
      <c r="AU187">
        <f t="shared" ca="1" si="56"/>
        <v>0</v>
      </c>
      <c r="AV187" t="str">
        <f ca="1">IF(AU187=1,IF(INDEX(分析データ!$A:$A,ROW()+$C$5)&lt;&gt;"",80000*SIGN(AT187)*(分析データ!B187-INDEX(分析データ!B:B,ROW()+$C$5)),""),"")</f>
        <v/>
      </c>
      <c r="AW187">
        <f t="shared" ca="1" si="57"/>
        <v>0</v>
      </c>
      <c r="AX187">
        <f t="shared" ca="1" si="58"/>
        <v>0</v>
      </c>
      <c r="AY187">
        <f t="shared" ca="1" si="59"/>
        <v>0</v>
      </c>
      <c r="AZ187" t="str">
        <f ca="1">IF(ROW()&lt;($C$7+1),"",IFERROR((分析データ!C187-AVERAGE(OFFSET(分析データ!C$1,MAX(1,ROW()-$C$7),0,MIN($C$7,ROW()-1),1)))/STDEV(OFFSET(分析データ!C$1,MAX(1,ROW()-$C$7),0,MIN($C$7,ROW()-1),1)),0))</f>
        <v/>
      </c>
      <c r="BA187">
        <f t="shared" ca="1" si="60"/>
        <v>0</v>
      </c>
      <c r="BB187" t="str">
        <f ca="1">IF(BA187=1,IF(INDEX(分析データ!$A:$A,ROW()+$C$5)&lt;&gt;"",60000*SIGN(AZ187)*(分析データ!C187-INDEX(分析データ!C:C,ROW()+$C$5)),""),"")</f>
        <v/>
      </c>
      <c r="BC187">
        <f t="shared" ca="1" si="61"/>
        <v>0</v>
      </c>
      <c r="BD187">
        <f t="shared" ca="1" si="62"/>
        <v>0</v>
      </c>
      <c r="BE187">
        <f t="shared" ca="1" si="63"/>
        <v>0</v>
      </c>
      <c r="BF187" t="str">
        <f ca="1">IF(ROW()&lt;($C$7+1),"",IFERROR((分析データ!D187-AVERAGE(OFFSET(分析データ!D$1,MAX(1,ROW()-$C$7),0,MIN($C$7,ROW()-1),1)))/STDEV(OFFSET(分析データ!D$1,MAX(1,ROW()-$C$7),0,MIN($C$7,ROW()-1),1)),0))</f>
        <v/>
      </c>
      <c r="BG187">
        <f t="shared" ca="1" si="64"/>
        <v>0</v>
      </c>
      <c r="BH187" t="str">
        <f ca="1">IF(BG187=1,IF(INDEX(分析データ!$A:$A,ROW()+$C$5)&lt;&gt;"",50000*SIGN(BF187)*(分析データ!D187-INDEX(分析データ!D:D,ROW()+$C$5)),""),"")</f>
        <v/>
      </c>
      <c r="BI187">
        <f t="shared" ca="1" si="65"/>
        <v>0</v>
      </c>
      <c r="BJ187">
        <f t="shared" ca="1" si="66"/>
        <v>0</v>
      </c>
      <c r="BK187">
        <f t="shared" ca="1" si="67"/>
        <v>0</v>
      </c>
      <c r="BL187" t="str">
        <f ca="1">IF(ROW()&lt;($C$7+1),"",IFERROR((分析データ!E187-AVERAGE(OFFSET(分析データ!E$1,MAX(1,ROW()-$C$7),0,MIN($C$7,ROW()-1),1)))/STDEV(OFFSET(分析データ!E$1,MAX(1,ROW()-$C$7),0,MIN($C$7,ROW()-1),1)),0))</f>
        <v/>
      </c>
      <c r="BM187">
        <f t="shared" ca="1" si="68"/>
        <v>0</v>
      </c>
      <c r="BN187" t="str">
        <f ca="1">IF(BM187=1,IF(INDEX(分析データ!$A:$A,ROW()+$C$5)&lt;&gt;"",40000*SIGN(BL187)*(分析データ!E187-INDEX(分析データ!E:E,ROW()+$C$5)),""),"")</f>
        <v/>
      </c>
      <c r="BO187">
        <f t="shared" ca="1" si="69"/>
        <v>0</v>
      </c>
      <c r="BP187">
        <f t="shared" ca="1" si="70"/>
        <v>0</v>
      </c>
      <c r="BQ187">
        <f t="shared" ca="1" si="71"/>
        <v>0</v>
      </c>
      <c r="BR187" t="str">
        <f ca="1">IF(ROW()&lt;($C$7+1),"",IFERROR((分析データ!F187-AVERAGE(OFFSET(分析データ!F$1,MAX(1,ROW()-$C$7),0,MIN($C$7,ROW()-1),1)))/STDEV(OFFSET(分析データ!F$1,MAX(1,ROW()-$C$7),0,MIN($C$7,ROW()-1),1)),0))</f>
        <v/>
      </c>
      <c r="BS187">
        <f t="shared" ca="1" si="72"/>
        <v>0</v>
      </c>
      <c r="BT187" t="str">
        <f ca="1">IF(BS187=1,IF(INDEX(分析データ!$A:$A,ROW()+$C$5)&lt;&gt;"",40000*SIGN(BR187)*(分析データ!F187-INDEX(分析データ!F:F,ROW()+$C$5)),""),"")</f>
        <v/>
      </c>
      <c r="BU187">
        <f t="shared" ca="1" si="73"/>
        <v>0</v>
      </c>
      <c r="BV187">
        <f t="shared" ca="1" si="74"/>
        <v>0</v>
      </c>
      <c r="BW187">
        <f t="shared" ca="1" si="75"/>
        <v>0</v>
      </c>
      <c r="BX187" t="str">
        <f ca="1">IF(ROW()&lt;($C$7+1),"",IFERROR((分析データ!G187-AVERAGE(OFFSET(分析データ!G$1,MAX(1,ROW()-$C$7),0,MIN($C$7,ROW()-1),1)))/STDEV(OFFSET(分析データ!G$1,MAX(1,ROW()-$C$7),0,MIN($C$7,ROW()-1),1)),0))</f>
        <v/>
      </c>
      <c r="BY187">
        <f t="shared" ca="1" si="76"/>
        <v>0</v>
      </c>
      <c r="BZ187" t="str">
        <f ca="1">IF(BY187=1,IF(INDEX(分析データ!$A:$A,ROW()+$C$5)&lt;&gt;"",40000*SIGN(BX187)*(分析データ!G187-INDEX(分析データ!G:G,ROW()+$C$5)),""),"")</f>
        <v/>
      </c>
      <c r="CA187">
        <f t="shared" ca="1" si="77"/>
        <v>0</v>
      </c>
      <c r="CB187">
        <f t="shared" ca="1" si="78"/>
        <v>0</v>
      </c>
      <c r="CC187">
        <f t="shared" ca="1" si="79"/>
        <v>0</v>
      </c>
      <c r="CD187">
        <f t="shared" ca="1" si="80"/>
        <v>0</v>
      </c>
      <c r="CE187">
        <f t="shared" ca="1" si="81"/>
        <v>0</v>
      </c>
      <c r="CF187">
        <f t="shared" ca="1" si="82"/>
        <v>0</v>
      </c>
      <c r="CG187">
        <f t="shared" ca="1" si="83"/>
        <v>0</v>
      </c>
      <c r="CH187" s="10">
        <f>分析データ!A187</f>
        <v>45196</v>
      </c>
    </row>
    <row r="188" spans="46:86">
      <c r="AT188" t="str">
        <f ca="1">IF(ROW()&lt;($C$7+1),"",IFERROR((分析データ!B188-AVERAGE(OFFSET(分析データ!B$1,MAX(1,ROW()-$C$7),0,MIN($C$7,ROW()-1),1)))/STDEV(OFFSET(分析データ!B$1,MAX(1,ROW()-$C$7),0,MIN($C$7,ROW()-1),1)),0))</f>
        <v/>
      </c>
      <c r="AU188">
        <f t="shared" ca="1" si="56"/>
        <v>0</v>
      </c>
      <c r="AV188" t="str">
        <f ca="1">IF(AU188=1,IF(INDEX(分析データ!$A:$A,ROW()+$C$5)&lt;&gt;"",80000*SIGN(AT188)*(分析データ!B188-INDEX(分析データ!B:B,ROW()+$C$5)),""),"")</f>
        <v/>
      </c>
      <c r="AW188">
        <f t="shared" ca="1" si="57"/>
        <v>0</v>
      </c>
      <c r="AX188">
        <f t="shared" ca="1" si="58"/>
        <v>0</v>
      </c>
      <c r="AY188">
        <f t="shared" ca="1" si="59"/>
        <v>0</v>
      </c>
      <c r="AZ188" t="str">
        <f ca="1">IF(ROW()&lt;($C$7+1),"",IFERROR((分析データ!C188-AVERAGE(OFFSET(分析データ!C$1,MAX(1,ROW()-$C$7),0,MIN($C$7,ROW()-1),1)))/STDEV(OFFSET(分析データ!C$1,MAX(1,ROW()-$C$7),0,MIN($C$7,ROW()-1),1)),0))</f>
        <v/>
      </c>
      <c r="BA188">
        <f t="shared" ca="1" si="60"/>
        <v>0</v>
      </c>
      <c r="BB188" t="str">
        <f ca="1">IF(BA188=1,IF(INDEX(分析データ!$A:$A,ROW()+$C$5)&lt;&gt;"",60000*SIGN(AZ188)*(分析データ!C188-INDEX(分析データ!C:C,ROW()+$C$5)),""),"")</f>
        <v/>
      </c>
      <c r="BC188">
        <f t="shared" ca="1" si="61"/>
        <v>0</v>
      </c>
      <c r="BD188">
        <f t="shared" ca="1" si="62"/>
        <v>0</v>
      </c>
      <c r="BE188">
        <f t="shared" ca="1" si="63"/>
        <v>0</v>
      </c>
      <c r="BF188" t="str">
        <f ca="1">IF(ROW()&lt;($C$7+1),"",IFERROR((分析データ!D188-AVERAGE(OFFSET(分析データ!D$1,MAX(1,ROW()-$C$7),0,MIN($C$7,ROW()-1),1)))/STDEV(OFFSET(分析データ!D$1,MAX(1,ROW()-$C$7),0,MIN($C$7,ROW()-1),1)),0))</f>
        <v/>
      </c>
      <c r="BG188">
        <f t="shared" ca="1" si="64"/>
        <v>0</v>
      </c>
      <c r="BH188" t="str">
        <f ca="1">IF(BG188=1,IF(INDEX(分析データ!$A:$A,ROW()+$C$5)&lt;&gt;"",50000*SIGN(BF188)*(分析データ!D188-INDEX(分析データ!D:D,ROW()+$C$5)),""),"")</f>
        <v/>
      </c>
      <c r="BI188">
        <f t="shared" ca="1" si="65"/>
        <v>0</v>
      </c>
      <c r="BJ188">
        <f t="shared" ca="1" si="66"/>
        <v>0</v>
      </c>
      <c r="BK188">
        <f t="shared" ca="1" si="67"/>
        <v>0</v>
      </c>
      <c r="BL188" t="str">
        <f ca="1">IF(ROW()&lt;($C$7+1),"",IFERROR((分析データ!E188-AVERAGE(OFFSET(分析データ!E$1,MAX(1,ROW()-$C$7),0,MIN($C$7,ROW()-1),1)))/STDEV(OFFSET(分析データ!E$1,MAX(1,ROW()-$C$7),0,MIN($C$7,ROW()-1),1)),0))</f>
        <v/>
      </c>
      <c r="BM188">
        <f t="shared" ca="1" si="68"/>
        <v>0</v>
      </c>
      <c r="BN188" t="str">
        <f ca="1">IF(BM188=1,IF(INDEX(分析データ!$A:$A,ROW()+$C$5)&lt;&gt;"",40000*SIGN(BL188)*(分析データ!E188-INDEX(分析データ!E:E,ROW()+$C$5)),""),"")</f>
        <v/>
      </c>
      <c r="BO188">
        <f t="shared" ca="1" si="69"/>
        <v>0</v>
      </c>
      <c r="BP188">
        <f t="shared" ca="1" si="70"/>
        <v>0</v>
      </c>
      <c r="BQ188">
        <f t="shared" ca="1" si="71"/>
        <v>0</v>
      </c>
      <c r="BR188" t="str">
        <f ca="1">IF(ROW()&lt;($C$7+1),"",IFERROR((分析データ!F188-AVERAGE(OFFSET(分析データ!F$1,MAX(1,ROW()-$C$7),0,MIN($C$7,ROW()-1),1)))/STDEV(OFFSET(分析データ!F$1,MAX(1,ROW()-$C$7),0,MIN($C$7,ROW()-1),1)),0))</f>
        <v/>
      </c>
      <c r="BS188">
        <f t="shared" ca="1" si="72"/>
        <v>0</v>
      </c>
      <c r="BT188" t="str">
        <f ca="1">IF(BS188=1,IF(INDEX(分析データ!$A:$A,ROW()+$C$5)&lt;&gt;"",40000*SIGN(BR188)*(分析データ!F188-INDEX(分析データ!F:F,ROW()+$C$5)),""),"")</f>
        <v/>
      </c>
      <c r="BU188">
        <f t="shared" ca="1" si="73"/>
        <v>0</v>
      </c>
      <c r="BV188">
        <f t="shared" ca="1" si="74"/>
        <v>0</v>
      </c>
      <c r="BW188">
        <f t="shared" ca="1" si="75"/>
        <v>0</v>
      </c>
      <c r="BX188" t="str">
        <f ca="1">IF(ROW()&lt;($C$7+1),"",IFERROR((分析データ!G188-AVERAGE(OFFSET(分析データ!G$1,MAX(1,ROW()-$C$7),0,MIN($C$7,ROW()-1),1)))/STDEV(OFFSET(分析データ!G$1,MAX(1,ROW()-$C$7),0,MIN($C$7,ROW()-1),1)),0))</f>
        <v/>
      </c>
      <c r="BY188">
        <f t="shared" ca="1" si="76"/>
        <v>0</v>
      </c>
      <c r="BZ188" t="str">
        <f ca="1">IF(BY188=1,IF(INDEX(分析データ!$A:$A,ROW()+$C$5)&lt;&gt;"",40000*SIGN(BX188)*(分析データ!G188-INDEX(分析データ!G:G,ROW()+$C$5)),""),"")</f>
        <v/>
      </c>
      <c r="CA188">
        <f t="shared" ca="1" si="77"/>
        <v>0</v>
      </c>
      <c r="CB188">
        <f t="shared" ca="1" si="78"/>
        <v>0</v>
      </c>
      <c r="CC188">
        <f t="shared" ca="1" si="79"/>
        <v>0</v>
      </c>
      <c r="CD188">
        <f t="shared" ca="1" si="80"/>
        <v>0</v>
      </c>
      <c r="CE188">
        <f t="shared" ca="1" si="81"/>
        <v>0</v>
      </c>
      <c r="CF188">
        <f t="shared" ca="1" si="82"/>
        <v>0</v>
      </c>
      <c r="CG188">
        <f t="shared" ca="1" si="83"/>
        <v>0</v>
      </c>
      <c r="CH188" s="10">
        <f>分析データ!A188</f>
        <v>45197</v>
      </c>
    </row>
    <row r="189" spans="46:86">
      <c r="AT189" t="str">
        <f ca="1">IF(ROW()&lt;($C$7+1),"",IFERROR((分析データ!B189-AVERAGE(OFFSET(分析データ!B$1,MAX(1,ROW()-$C$7),0,MIN($C$7,ROW()-1),1)))/STDEV(OFFSET(分析データ!B$1,MAX(1,ROW()-$C$7),0,MIN($C$7,ROW()-1),1)),0))</f>
        <v/>
      </c>
      <c r="AU189">
        <f t="shared" ca="1" si="56"/>
        <v>0</v>
      </c>
      <c r="AV189" t="str">
        <f ca="1">IF(AU189=1,IF(INDEX(分析データ!$A:$A,ROW()+$C$5)&lt;&gt;"",80000*SIGN(AT189)*(分析データ!B189-INDEX(分析データ!B:B,ROW()+$C$5)),""),"")</f>
        <v/>
      </c>
      <c r="AW189">
        <f t="shared" ca="1" si="57"/>
        <v>0</v>
      </c>
      <c r="AX189">
        <f t="shared" ca="1" si="58"/>
        <v>0</v>
      </c>
      <c r="AY189">
        <f t="shared" ca="1" si="59"/>
        <v>0</v>
      </c>
      <c r="AZ189" t="str">
        <f ca="1">IF(ROW()&lt;($C$7+1),"",IFERROR((分析データ!C189-AVERAGE(OFFSET(分析データ!C$1,MAX(1,ROW()-$C$7),0,MIN($C$7,ROW()-1),1)))/STDEV(OFFSET(分析データ!C$1,MAX(1,ROW()-$C$7),0,MIN($C$7,ROW()-1),1)),0))</f>
        <v/>
      </c>
      <c r="BA189">
        <f t="shared" ca="1" si="60"/>
        <v>0</v>
      </c>
      <c r="BB189" t="str">
        <f ca="1">IF(BA189=1,IF(INDEX(分析データ!$A:$A,ROW()+$C$5)&lt;&gt;"",60000*SIGN(AZ189)*(分析データ!C189-INDEX(分析データ!C:C,ROW()+$C$5)),""),"")</f>
        <v/>
      </c>
      <c r="BC189">
        <f t="shared" ca="1" si="61"/>
        <v>0</v>
      </c>
      <c r="BD189">
        <f t="shared" ca="1" si="62"/>
        <v>0</v>
      </c>
      <c r="BE189">
        <f t="shared" ca="1" si="63"/>
        <v>0</v>
      </c>
      <c r="BF189" t="str">
        <f ca="1">IF(ROW()&lt;($C$7+1),"",IFERROR((分析データ!D189-AVERAGE(OFFSET(分析データ!D$1,MAX(1,ROW()-$C$7),0,MIN($C$7,ROW()-1),1)))/STDEV(OFFSET(分析データ!D$1,MAX(1,ROW()-$C$7),0,MIN($C$7,ROW()-1),1)),0))</f>
        <v/>
      </c>
      <c r="BG189">
        <f t="shared" ca="1" si="64"/>
        <v>0</v>
      </c>
      <c r="BH189" t="str">
        <f ca="1">IF(BG189=1,IF(INDEX(分析データ!$A:$A,ROW()+$C$5)&lt;&gt;"",50000*SIGN(BF189)*(分析データ!D189-INDEX(分析データ!D:D,ROW()+$C$5)),""),"")</f>
        <v/>
      </c>
      <c r="BI189">
        <f t="shared" ca="1" si="65"/>
        <v>0</v>
      </c>
      <c r="BJ189">
        <f t="shared" ca="1" si="66"/>
        <v>0</v>
      </c>
      <c r="BK189">
        <f t="shared" ca="1" si="67"/>
        <v>0</v>
      </c>
      <c r="BL189" t="str">
        <f ca="1">IF(ROW()&lt;($C$7+1),"",IFERROR((分析データ!E189-AVERAGE(OFFSET(分析データ!E$1,MAX(1,ROW()-$C$7),0,MIN($C$7,ROW()-1),1)))/STDEV(OFFSET(分析データ!E$1,MAX(1,ROW()-$C$7),0,MIN($C$7,ROW()-1),1)),0))</f>
        <v/>
      </c>
      <c r="BM189">
        <f t="shared" ca="1" si="68"/>
        <v>0</v>
      </c>
      <c r="BN189" t="str">
        <f ca="1">IF(BM189=1,IF(INDEX(分析データ!$A:$A,ROW()+$C$5)&lt;&gt;"",40000*SIGN(BL189)*(分析データ!E189-INDEX(分析データ!E:E,ROW()+$C$5)),""),"")</f>
        <v/>
      </c>
      <c r="BO189">
        <f t="shared" ca="1" si="69"/>
        <v>0</v>
      </c>
      <c r="BP189">
        <f t="shared" ca="1" si="70"/>
        <v>0</v>
      </c>
      <c r="BQ189">
        <f t="shared" ca="1" si="71"/>
        <v>0</v>
      </c>
      <c r="BR189" t="str">
        <f ca="1">IF(ROW()&lt;($C$7+1),"",IFERROR((分析データ!F189-AVERAGE(OFFSET(分析データ!F$1,MAX(1,ROW()-$C$7),0,MIN($C$7,ROW()-1),1)))/STDEV(OFFSET(分析データ!F$1,MAX(1,ROW()-$C$7),0,MIN($C$7,ROW()-1),1)),0))</f>
        <v/>
      </c>
      <c r="BS189">
        <f t="shared" ca="1" si="72"/>
        <v>0</v>
      </c>
      <c r="BT189" t="str">
        <f ca="1">IF(BS189=1,IF(INDEX(分析データ!$A:$A,ROW()+$C$5)&lt;&gt;"",40000*SIGN(BR189)*(分析データ!F189-INDEX(分析データ!F:F,ROW()+$C$5)),""),"")</f>
        <v/>
      </c>
      <c r="BU189">
        <f t="shared" ca="1" si="73"/>
        <v>0</v>
      </c>
      <c r="BV189">
        <f t="shared" ca="1" si="74"/>
        <v>0</v>
      </c>
      <c r="BW189">
        <f t="shared" ca="1" si="75"/>
        <v>0</v>
      </c>
      <c r="BX189" t="str">
        <f ca="1">IF(ROW()&lt;($C$7+1),"",IFERROR((分析データ!G189-AVERAGE(OFFSET(分析データ!G$1,MAX(1,ROW()-$C$7),0,MIN($C$7,ROW()-1),1)))/STDEV(OFFSET(分析データ!G$1,MAX(1,ROW()-$C$7),0,MIN($C$7,ROW()-1),1)),0))</f>
        <v/>
      </c>
      <c r="BY189">
        <f t="shared" ca="1" si="76"/>
        <v>0</v>
      </c>
      <c r="BZ189" t="str">
        <f ca="1">IF(BY189=1,IF(INDEX(分析データ!$A:$A,ROW()+$C$5)&lt;&gt;"",40000*SIGN(BX189)*(分析データ!G189-INDEX(分析データ!G:G,ROW()+$C$5)),""),"")</f>
        <v/>
      </c>
      <c r="CA189">
        <f t="shared" ca="1" si="77"/>
        <v>0</v>
      </c>
      <c r="CB189">
        <f t="shared" ca="1" si="78"/>
        <v>0</v>
      </c>
      <c r="CC189">
        <f t="shared" ca="1" si="79"/>
        <v>0</v>
      </c>
      <c r="CD189">
        <f t="shared" ca="1" si="80"/>
        <v>0</v>
      </c>
      <c r="CE189">
        <f t="shared" ca="1" si="81"/>
        <v>0</v>
      </c>
      <c r="CF189">
        <f t="shared" ca="1" si="82"/>
        <v>0</v>
      </c>
      <c r="CG189">
        <f t="shared" ca="1" si="83"/>
        <v>0</v>
      </c>
      <c r="CH189" s="10">
        <f>分析データ!A189</f>
        <v>45198</v>
      </c>
    </row>
    <row r="190" spans="46:86">
      <c r="AT190" t="str">
        <f ca="1">IF(ROW()&lt;($C$7+1),"",IFERROR((分析データ!B190-AVERAGE(OFFSET(分析データ!B$1,MAX(1,ROW()-$C$7),0,MIN($C$7,ROW()-1),1)))/STDEV(OFFSET(分析データ!B$1,MAX(1,ROW()-$C$7),0,MIN($C$7,ROW()-1),1)),0))</f>
        <v/>
      </c>
      <c r="AU190">
        <f t="shared" ca="1" si="56"/>
        <v>0</v>
      </c>
      <c r="AV190" t="str">
        <f ca="1">IF(AU190=1,IF(INDEX(分析データ!$A:$A,ROW()+$C$5)&lt;&gt;"",80000*SIGN(AT190)*(分析データ!B190-INDEX(分析データ!B:B,ROW()+$C$5)),""),"")</f>
        <v/>
      </c>
      <c r="AW190">
        <f t="shared" ca="1" si="57"/>
        <v>0</v>
      </c>
      <c r="AX190">
        <f t="shared" ca="1" si="58"/>
        <v>0</v>
      </c>
      <c r="AY190">
        <f t="shared" ca="1" si="59"/>
        <v>0</v>
      </c>
      <c r="AZ190" t="str">
        <f ca="1">IF(ROW()&lt;($C$7+1),"",IFERROR((分析データ!C190-AVERAGE(OFFSET(分析データ!C$1,MAX(1,ROW()-$C$7),0,MIN($C$7,ROW()-1),1)))/STDEV(OFFSET(分析データ!C$1,MAX(1,ROW()-$C$7),0,MIN($C$7,ROW()-1),1)),0))</f>
        <v/>
      </c>
      <c r="BA190">
        <f t="shared" ca="1" si="60"/>
        <v>0</v>
      </c>
      <c r="BB190" t="str">
        <f ca="1">IF(BA190=1,IF(INDEX(分析データ!$A:$A,ROW()+$C$5)&lt;&gt;"",60000*SIGN(AZ190)*(分析データ!C190-INDEX(分析データ!C:C,ROW()+$C$5)),""),"")</f>
        <v/>
      </c>
      <c r="BC190">
        <f t="shared" ca="1" si="61"/>
        <v>0</v>
      </c>
      <c r="BD190">
        <f t="shared" ca="1" si="62"/>
        <v>0</v>
      </c>
      <c r="BE190">
        <f t="shared" ca="1" si="63"/>
        <v>0</v>
      </c>
      <c r="BF190" t="str">
        <f ca="1">IF(ROW()&lt;($C$7+1),"",IFERROR((分析データ!D190-AVERAGE(OFFSET(分析データ!D$1,MAX(1,ROW()-$C$7),0,MIN($C$7,ROW()-1),1)))/STDEV(OFFSET(分析データ!D$1,MAX(1,ROW()-$C$7),0,MIN($C$7,ROW()-1),1)),0))</f>
        <v/>
      </c>
      <c r="BG190">
        <f t="shared" ca="1" si="64"/>
        <v>0</v>
      </c>
      <c r="BH190" t="str">
        <f ca="1">IF(BG190=1,IF(INDEX(分析データ!$A:$A,ROW()+$C$5)&lt;&gt;"",50000*SIGN(BF190)*(分析データ!D190-INDEX(分析データ!D:D,ROW()+$C$5)),""),"")</f>
        <v/>
      </c>
      <c r="BI190">
        <f t="shared" ca="1" si="65"/>
        <v>0</v>
      </c>
      <c r="BJ190">
        <f t="shared" ca="1" si="66"/>
        <v>0</v>
      </c>
      <c r="BK190">
        <f t="shared" ca="1" si="67"/>
        <v>0</v>
      </c>
      <c r="BL190" t="str">
        <f ca="1">IF(ROW()&lt;($C$7+1),"",IFERROR((分析データ!E190-AVERAGE(OFFSET(分析データ!E$1,MAX(1,ROW()-$C$7),0,MIN($C$7,ROW()-1),1)))/STDEV(OFFSET(分析データ!E$1,MAX(1,ROW()-$C$7),0,MIN($C$7,ROW()-1),1)),0))</f>
        <v/>
      </c>
      <c r="BM190">
        <f t="shared" ca="1" si="68"/>
        <v>0</v>
      </c>
      <c r="BN190" t="str">
        <f ca="1">IF(BM190=1,IF(INDEX(分析データ!$A:$A,ROW()+$C$5)&lt;&gt;"",40000*SIGN(BL190)*(分析データ!E190-INDEX(分析データ!E:E,ROW()+$C$5)),""),"")</f>
        <v/>
      </c>
      <c r="BO190">
        <f t="shared" ca="1" si="69"/>
        <v>0</v>
      </c>
      <c r="BP190">
        <f t="shared" ca="1" si="70"/>
        <v>0</v>
      </c>
      <c r="BQ190">
        <f t="shared" ca="1" si="71"/>
        <v>0</v>
      </c>
      <c r="BR190" t="str">
        <f ca="1">IF(ROW()&lt;($C$7+1),"",IFERROR((分析データ!F190-AVERAGE(OFFSET(分析データ!F$1,MAX(1,ROW()-$C$7),0,MIN($C$7,ROW()-1),1)))/STDEV(OFFSET(分析データ!F$1,MAX(1,ROW()-$C$7),0,MIN($C$7,ROW()-1),1)),0))</f>
        <v/>
      </c>
      <c r="BS190">
        <f t="shared" ca="1" si="72"/>
        <v>0</v>
      </c>
      <c r="BT190" t="str">
        <f ca="1">IF(BS190=1,IF(INDEX(分析データ!$A:$A,ROW()+$C$5)&lt;&gt;"",40000*SIGN(BR190)*(分析データ!F190-INDEX(分析データ!F:F,ROW()+$C$5)),""),"")</f>
        <v/>
      </c>
      <c r="BU190">
        <f t="shared" ca="1" si="73"/>
        <v>0</v>
      </c>
      <c r="BV190">
        <f t="shared" ca="1" si="74"/>
        <v>0</v>
      </c>
      <c r="BW190">
        <f t="shared" ca="1" si="75"/>
        <v>0</v>
      </c>
      <c r="BX190" t="str">
        <f ca="1">IF(ROW()&lt;($C$7+1),"",IFERROR((分析データ!G190-AVERAGE(OFFSET(分析データ!G$1,MAX(1,ROW()-$C$7),0,MIN($C$7,ROW()-1),1)))/STDEV(OFFSET(分析データ!G$1,MAX(1,ROW()-$C$7),0,MIN($C$7,ROW()-1),1)),0))</f>
        <v/>
      </c>
      <c r="BY190">
        <f t="shared" ca="1" si="76"/>
        <v>0</v>
      </c>
      <c r="BZ190" t="str">
        <f ca="1">IF(BY190=1,IF(INDEX(分析データ!$A:$A,ROW()+$C$5)&lt;&gt;"",40000*SIGN(BX190)*(分析データ!G190-INDEX(分析データ!G:G,ROW()+$C$5)),""),"")</f>
        <v/>
      </c>
      <c r="CA190">
        <f t="shared" ca="1" si="77"/>
        <v>0</v>
      </c>
      <c r="CB190">
        <f t="shared" ca="1" si="78"/>
        <v>0</v>
      </c>
      <c r="CC190">
        <f t="shared" ca="1" si="79"/>
        <v>0</v>
      </c>
      <c r="CD190">
        <f t="shared" ca="1" si="80"/>
        <v>0</v>
      </c>
      <c r="CE190">
        <f t="shared" ca="1" si="81"/>
        <v>0</v>
      </c>
      <c r="CF190">
        <f t="shared" ca="1" si="82"/>
        <v>0</v>
      </c>
      <c r="CG190">
        <f t="shared" ca="1" si="83"/>
        <v>0</v>
      </c>
      <c r="CH190" s="10">
        <f>分析データ!A190</f>
        <v>45201</v>
      </c>
    </row>
    <row r="191" spans="46:86">
      <c r="AT191" t="str">
        <f ca="1">IF(ROW()&lt;($C$7+1),"",IFERROR((分析データ!B191-AVERAGE(OFFSET(分析データ!B$1,MAX(1,ROW()-$C$7),0,MIN($C$7,ROW()-1),1)))/STDEV(OFFSET(分析データ!B$1,MAX(1,ROW()-$C$7),0,MIN($C$7,ROW()-1),1)),0))</f>
        <v/>
      </c>
      <c r="AU191">
        <f t="shared" ca="1" si="56"/>
        <v>0</v>
      </c>
      <c r="AV191" t="str">
        <f ca="1">IF(AU191=1,IF(INDEX(分析データ!$A:$A,ROW()+$C$5)&lt;&gt;"",80000*SIGN(AT191)*(分析データ!B191-INDEX(分析データ!B:B,ROW()+$C$5)),""),"")</f>
        <v/>
      </c>
      <c r="AW191">
        <f t="shared" ca="1" si="57"/>
        <v>0</v>
      </c>
      <c r="AX191">
        <f t="shared" ca="1" si="58"/>
        <v>0</v>
      </c>
      <c r="AY191">
        <f t="shared" ca="1" si="59"/>
        <v>0</v>
      </c>
      <c r="AZ191" t="str">
        <f ca="1">IF(ROW()&lt;($C$7+1),"",IFERROR((分析データ!C191-AVERAGE(OFFSET(分析データ!C$1,MAX(1,ROW()-$C$7),0,MIN($C$7,ROW()-1),1)))/STDEV(OFFSET(分析データ!C$1,MAX(1,ROW()-$C$7),0,MIN($C$7,ROW()-1),1)),0))</f>
        <v/>
      </c>
      <c r="BA191">
        <f t="shared" ca="1" si="60"/>
        <v>0</v>
      </c>
      <c r="BB191" t="str">
        <f ca="1">IF(BA191=1,IF(INDEX(分析データ!$A:$A,ROW()+$C$5)&lt;&gt;"",60000*SIGN(AZ191)*(分析データ!C191-INDEX(分析データ!C:C,ROW()+$C$5)),""),"")</f>
        <v/>
      </c>
      <c r="BC191">
        <f t="shared" ca="1" si="61"/>
        <v>0</v>
      </c>
      <c r="BD191">
        <f t="shared" ca="1" si="62"/>
        <v>0</v>
      </c>
      <c r="BE191">
        <f t="shared" ca="1" si="63"/>
        <v>0</v>
      </c>
      <c r="BF191" t="str">
        <f ca="1">IF(ROW()&lt;($C$7+1),"",IFERROR((分析データ!D191-AVERAGE(OFFSET(分析データ!D$1,MAX(1,ROW()-$C$7),0,MIN($C$7,ROW()-1),1)))/STDEV(OFFSET(分析データ!D$1,MAX(1,ROW()-$C$7),0,MIN($C$7,ROW()-1),1)),0))</f>
        <v/>
      </c>
      <c r="BG191">
        <f t="shared" ca="1" si="64"/>
        <v>0</v>
      </c>
      <c r="BH191" t="str">
        <f ca="1">IF(BG191=1,IF(INDEX(分析データ!$A:$A,ROW()+$C$5)&lt;&gt;"",50000*SIGN(BF191)*(分析データ!D191-INDEX(分析データ!D:D,ROW()+$C$5)),""),"")</f>
        <v/>
      </c>
      <c r="BI191">
        <f t="shared" ca="1" si="65"/>
        <v>0</v>
      </c>
      <c r="BJ191">
        <f t="shared" ca="1" si="66"/>
        <v>0</v>
      </c>
      <c r="BK191">
        <f t="shared" ca="1" si="67"/>
        <v>0</v>
      </c>
      <c r="BL191" t="str">
        <f ca="1">IF(ROW()&lt;($C$7+1),"",IFERROR((分析データ!E191-AVERAGE(OFFSET(分析データ!E$1,MAX(1,ROW()-$C$7),0,MIN($C$7,ROW()-1),1)))/STDEV(OFFSET(分析データ!E$1,MAX(1,ROW()-$C$7),0,MIN($C$7,ROW()-1),1)),0))</f>
        <v/>
      </c>
      <c r="BM191">
        <f t="shared" ca="1" si="68"/>
        <v>0</v>
      </c>
      <c r="BN191" t="str">
        <f ca="1">IF(BM191=1,IF(INDEX(分析データ!$A:$A,ROW()+$C$5)&lt;&gt;"",40000*SIGN(BL191)*(分析データ!E191-INDEX(分析データ!E:E,ROW()+$C$5)),""),"")</f>
        <v/>
      </c>
      <c r="BO191">
        <f t="shared" ca="1" si="69"/>
        <v>0</v>
      </c>
      <c r="BP191">
        <f t="shared" ca="1" si="70"/>
        <v>0</v>
      </c>
      <c r="BQ191">
        <f t="shared" ca="1" si="71"/>
        <v>0</v>
      </c>
      <c r="BR191" t="str">
        <f ca="1">IF(ROW()&lt;($C$7+1),"",IFERROR((分析データ!F191-AVERAGE(OFFSET(分析データ!F$1,MAX(1,ROW()-$C$7),0,MIN($C$7,ROW()-1),1)))/STDEV(OFFSET(分析データ!F$1,MAX(1,ROW()-$C$7),0,MIN($C$7,ROW()-1),1)),0))</f>
        <v/>
      </c>
      <c r="BS191">
        <f t="shared" ca="1" si="72"/>
        <v>0</v>
      </c>
      <c r="BT191" t="str">
        <f ca="1">IF(BS191=1,IF(INDEX(分析データ!$A:$A,ROW()+$C$5)&lt;&gt;"",40000*SIGN(BR191)*(分析データ!F191-INDEX(分析データ!F:F,ROW()+$C$5)),""),"")</f>
        <v/>
      </c>
      <c r="BU191">
        <f t="shared" ca="1" si="73"/>
        <v>0</v>
      </c>
      <c r="BV191">
        <f t="shared" ca="1" si="74"/>
        <v>0</v>
      </c>
      <c r="BW191">
        <f t="shared" ca="1" si="75"/>
        <v>0</v>
      </c>
      <c r="BX191" t="str">
        <f ca="1">IF(ROW()&lt;($C$7+1),"",IFERROR((分析データ!G191-AVERAGE(OFFSET(分析データ!G$1,MAX(1,ROW()-$C$7),0,MIN($C$7,ROW()-1),1)))/STDEV(OFFSET(分析データ!G$1,MAX(1,ROW()-$C$7),0,MIN($C$7,ROW()-1),1)),0))</f>
        <v/>
      </c>
      <c r="BY191">
        <f t="shared" ca="1" si="76"/>
        <v>0</v>
      </c>
      <c r="BZ191" t="str">
        <f ca="1">IF(BY191=1,IF(INDEX(分析データ!$A:$A,ROW()+$C$5)&lt;&gt;"",40000*SIGN(BX191)*(分析データ!G191-INDEX(分析データ!G:G,ROW()+$C$5)),""),"")</f>
        <v/>
      </c>
      <c r="CA191">
        <f t="shared" ca="1" si="77"/>
        <v>0</v>
      </c>
      <c r="CB191">
        <f t="shared" ca="1" si="78"/>
        <v>0</v>
      </c>
      <c r="CC191">
        <f t="shared" ca="1" si="79"/>
        <v>0</v>
      </c>
      <c r="CD191">
        <f t="shared" ca="1" si="80"/>
        <v>0</v>
      </c>
      <c r="CE191">
        <f t="shared" ca="1" si="81"/>
        <v>0</v>
      </c>
      <c r="CF191">
        <f t="shared" ca="1" si="82"/>
        <v>0</v>
      </c>
      <c r="CG191">
        <f t="shared" ca="1" si="83"/>
        <v>0</v>
      </c>
      <c r="CH191" s="10">
        <f>分析データ!A191</f>
        <v>45202</v>
      </c>
    </row>
    <row r="192" spans="46:86">
      <c r="AT192" t="str">
        <f ca="1">IF(ROW()&lt;($C$7+1),"",IFERROR((分析データ!B192-AVERAGE(OFFSET(分析データ!B$1,MAX(1,ROW()-$C$7),0,MIN($C$7,ROW()-1),1)))/STDEV(OFFSET(分析データ!B$1,MAX(1,ROW()-$C$7),0,MIN($C$7,ROW()-1),1)),0))</f>
        <v/>
      </c>
      <c r="AU192">
        <f t="shared" ca="1" si="56"/>
        <v>0</v>
      </c>
      <c r="AV192" t="str">
        <f ca="1">IF(AU192=1,IF(INDEX(分析データ!$A:$A,ROW()+$C$5)&lt;&gt;"",80000*SIGN(AT192)*(分析データ!B192-INDEX(分析データ!B:B,ROW()+$C$5)),""),"")</f>
        <v/>
      </c>
      <c r="AW192">
        <f t="shared" ca="1" si="57"/>
        <v>0</v>
      </c>
      <c r="AX192">
        <f t="shared" ca="1" si="58"/>
        <v>0</v>
      </c>
      <c r="AY192">
        <f t="shared" ca="1" si="59"/>
        <v>0</v>
      </c>
      <c r="AZ192" t="str">
        <f ca="1">IF(ROW()&lt;($C$7+1),"",IFERROR((分析データ!C192-AVERAGE(OFFSET(分析データ!C$1,MAX(1,ROW()-$C$7),0,MIN($C$7,ROW()-1),1)))/STDEV(OFFSET(分析データ!C$1,MAX(1,ROW()-$C$7),0,MIN($C$7,ROW()-1),1)),0))</f>
        <v/>
      </c>
      <c r="BA192">
        <f t="shared" ca="1" si="60"/>
        <v>0</v>
      </c>
      <c r="BB192" t="str">
        <f ca="1">IF(BA192=1,IF(INDEX(分析データ!$A:$A,ROW()+$C$5)&lt;&gt;"",60000*SIGN(AZ192)*(分析データ!C192-INDEX(分析データ!C:C,ROW()+$C$5)),""),"")</f>
        <v/>
      </c>
      <c r="BC192">
        <f t="shared" ca="1" si="61"/>
        <v>0</v>
      </c>
      <c r="BD192">
        <f t="shared" ca="1" si="62"/>
        <v>0</v>
      </c>
      <c r="BE192">
        <f t="shared" ca="1" si="63"/>
        <v>0</v>
      </c>
      <c r="BF192" t="str">
        <f ca="1">IF(ROW()&lt;($C$7+1),"",IFERROR((分析データ!D192-AVERAGE(OFFSET(分析データ!D$1,MAX(1,ROW()-$C$7),0,MIN($C$7,ROW()-1),1)))/STDEV(OFFSET(分析データ!D$1,MAX(1,ROW()-$C$7),0,MIN($C$7,ROW()-1),1)),0))</f>
        <v/>
      </c>
      <c r="BG192">
        <f t="shared" ca="1" si="64"/>
        <v>0</v>
      </c>
      <c r="BH192" t="str">
        <f ca="1">IF(BG192=1,IF(INDEX(分析データ!$A:$A,ROW()+$C$5)&lt;&gt;"",50000*SIGN(BF192)*(分析データ!D192-INDEX(分析データ!D:D,ROW()+$C$5)),""),"")</f>
        <v/>
      </c>
      <c r="BI192">
        <f t="shared" ca="1" si="65"/>
        <v>0</v>
      </c>
      <c r="BJ192">
        <f t="shared" ca="1" si="66"/>
        <v>0</v>
      </c>
      <c r="BK192">
        <f t="shared" ca="1" si="67"/>
        <v>0</v>
      </c>
      <c r="BL192" t="str">
        <f ca="1">IF(ROW()&lt;($C$7+1),"",IFERROR((分析データ!E192-AVERAGE(OFFSET(分析データ!E$1,MAX(1,ROW()-$C$7),0,MIN($C$7,ROW()-1),1)))/STDEV(OFFSET(分析データ!E$1,MAX(1,ROW()-$C$7),0,MIN($C$7,ROW()-1),1)),0))</f>
        <v/>
      </c>
      <c r="BM192">
        <f t="shared" ca="1" si="68"/>
        <v>0</v>
      </c>
      <c r="BN192" t="str">
        <f ca="1">IF(BM192=1,IF(INDEX(分析データ!$A:$A,ROW()+$C$5)&lt;&gt;"",40000*SIGN(BL192)*(分析データ!E192-INDEX(分析データ!E:E,ROW()+$C$5)),""),"")</f>
        <v/>
      </c>
      <c r="BO192">
        <f t="shared" ca="1" si="69"/>
        <v>0</v>
      </c>
      <c r="BP192">
        <f t="shared" ca="1" si="70"/>
        <v>0</v>
      </c>
      <c r="BQ192">
        <f t="shared" ca="1" si="71"/>
        <v>0</v>
      </c>
      <c r="BR192" t="str">
        <f ca="1">IF(ROW()&lt;($C$7+1),"",IFERROR((分析データ!F192-AVERAGE(OFFSET(分析データ!F$1,MAX(1,ROW()-$C$7),0,MIN($C$7,ROW()-1),1)))/STDEV(OFFSET(分析データ!F$1,MAX(1,ROW()-$C$7),0,MIN($C$7,ROW()-1),1)),0))</f>
        <v/>
      </c>
      <c r="BS192">
        <f t="shared" ca="1" si="72"/>
        <v>0</v>
      </c>
      <c r="BT192" t="str">
        <f ca="1">IF(BS192=1,IF(INDEX(分析データ!$A:$A,ROW()+$C$5)&lt;&gt;"",40000*SIGN(BR192)*(分析データ!F192-INDEX(分析データ!F:F,ROW()+$C$5)),""),"")</f>
        <v/>
      </c>
      <c r="BU192">
        <f t="shared" ca="1" si="73"/>
        <v>0</v>
      </c>
      <c r="BV192">
        <f t="shared" ca="1" si="74"/>
        <v>0</v>
      </c>
      <c r="BW192">
        <f t="shared" ca="1" si="75"/>
        <v>0</v>
      </c>
      <c r="BX192" t="str">
        <f ca="1">IF(ROW()&lt;($C$7+1),"",IFERROR((分析データ!G192-AVERAGE(OFFSET(分析データ!G$1,MAX(1,ROW()-$C$7),0,MIN($C$7,ROW()-1),1)))/STDEV(OFFSET(分析データ!G$1,MAX(1,ROW()-$C$7),0,MIN($C$7,ROW()-1),1)),0))</f>
        <v/>
      </c>
      <c r="BY192">
        <f t="shared" ca="1" si="76"/>
        <v>0</v>
      </c>
      <c r="BZ192" t="str">
        <f ca="1">IF(BY192=1,IF(INDEX(分析データ!$A:$A,ROW()+$C$5)&lt;&gt;"",40000*SIGN(BX192)*(分析データ!G192-INDEX(分析データ!G:G,ROW()+$C$5)),""),"")</f>
        <v/>
      </c>
      <c r="CA192">
        <f t="shared" ca="1" si="77"/>
        <v>0</v>
      </c>
      <c r="CB192">
        <f t="shared" ca="1" si="78"/>
        <v>0</v>
      </c>
      <c r="CC192">
        <f t="shared" ca="1" si="79"/>
        <v>0</v>
      </c>
      <c r="CD192">
        <f t="shared" ca="1" si="80"/>
        <v>0</v>
      </c>
      <c r="CE192">
        <f t="shared" ca="1" si="81"/>
        <v>0</v>
      </c>
      <c r="CF192">
        <f t="shared" ca="1" si="82"/>
        <v>0</v>
      </c>
      <c r="CG192">
        <f t="shared" ca="1" si="83"/>
        <v>0</v>
      </c>
      <c r="CH192" s="10">
        <f>分析データ!A192</f>
        <v>45203</v>
      </c>
    </row>
    <row r="193" spans="46:86">
      <c r="AT193" t="str">
        <f ca="1">IF(ROW()&lt;($C$7+1),"",IFERROR((分析データ!B193-AVERAGE(OFFSET(分析データ!B$1,MAX(1,ROW()-$C$7),0,MIN($C$7,ROW()-1),1)))/STDEV(OFFSET(分析データ!B$1,MAX(1,ROW()-$C$7),0,MIN($C$7,ROW()-1),1)),0))</f>
        <v/>
      </c>
      <c r="AU193">
        <f t="shared" ca="1" si="56"/>
        <v>0</v>
      </c>
      <c r="AV193" t="str">
        <f ca="1">IF(AU193=1,IF(INDEX(分析データ!$A:$A,ROW()+$C$5)&lt;&gt;"",80000*SIGN(AT193)*(分析データ!B193-INDEX(分析データ!B:B,ROW()+$C$5)),""),"")</f>
        <v/>
      </c>
      <c r="AW193">
        <f t="shared" ca="1" si="57"/>
        <v>0</v>
      </c>
      <c r="AX193">
        <f t="shared" ca="1" si="58"/>
        <v>0</v>
      </c>
      <c r="AY193">
        <f t="shared" ca="1" si="59"/>
        <v>0</v>
      </c>
      <c r="AZ193" t="str">
        <f ca="1">IF(ROW()&lt;($C$7+1),"",IFERROR((分析データ!C193-AVERAGE(OFFSET(分析データ!C$1,MAX(1,ROW()-$C$7),0,MIN($C$7,ROW()-1),1)))/STDEV(OFFSET(分析データ!C$1,MAX(1,ROW()-$C$7),0,MIN($C$7,ROW()-1),1)),0))</f>
        <v/>
      </c>
      <c r="BA193">
        <f t="shared" ca="1" si="60"/>
        <v>0</v>
      </c>
      <c r="BB193" t="str">
        <f ca="1">IF(BA193=1,IF(INDEX(分析データ!$A:$A,ROW()+$C$5)&lt;&gt;"",60000*SIGN(AZ193)*(分析データ!C193-INDEX(分析データ!C:C,ROW()+$C$5)),""),"")</f>
        <v/>
      </c>
      <c r="BC193">
        <f t="shared" ca="1" si="61"/>
        <v>0</v>
      </c>
      <c r="BD193">
        <f t="shared" ca="1" si="62"/>
        <v>0</v>
      </c>
      <c r="BE193">
        <f t="shared" ca="1" si="63"/>
        <v>0</v>
      </c>
      <c r="BF193" t="str">
        <f ca="1">IF(ROW()&lt;($C$7+1),"",IFERROR((分析データ!D193-AVERAGE(OFFSET(分析データ!D$1,MAX(1,ROW()-$C$7),0,MIN($C$7,ROW()-1),1)))/STDEV(OFFSET(分析データ!D$1,MAX(1,ROW()-$C$7),0,MIN($C$7,ROW()-1),1)),0))</f>
        <v/>
      </c>
      <c r="BG193">
        <f t="shared" ca="1" si="64"/>
        <v>0</v>
      </c>
      <c r="BH193" t="str">
        <f ca="1">IF(BG193=1,IF(INDEX(分析データ!$A:$A,ROW()+$C$5)&lt;&gt;"",50000*SIGN(BF193)*(分析データ!D193-INDEX(分析データ!D:D,ROW()+$C$5)),""),"")</f>
        <v/>
      </c>
      <c r="BI193">
        <f t="shared" ca="1" si="65"/>
        <v>0</v>
      </c>
      <c r="BJ193">
        <f t="shared" ca="1" si="66"/>
        <v>0</v>
      </c>
      <c r="BK193">
        <f t="shared" ca="1" si="67"/>
        <v>0</v>
      </c>
      <c r="BL193" t="str">
        <f ca="1">IF(ROW()&lt;($C$7+1),"",IFERROR((分析データ!E193-AVERAGE(OFFSET(分析データ!E$1,MAX(1,ROW()-$C$7),0,MIN($C$7,ROW()-1),1)))/STDEV(OFFSET(分析データ!E$1,MAX(1,ROW()-$C$7),0,MIN($C$7,ROW()-1),1)),0))</f>
        <v/>
      </c>
      <c r="BM193">
        <f t="shared" ca="1" si="68"/>
        <v>0</v>
      </c>
      <c r="BN193" t="str">
        <f ca="1">IF(BM193=1,IF(INDEX(分析データ!$A:$A,ROW()+$C$5)&lt;&gt;"",40000*SIGN(BL193)*(分析データ!E193-INDEX(分析データ!E:E,ROW()+$C$5)),""),"")</f>
        <v/>
      </c>
      <c r="BO193">
        <f t="shared" ca="1" si="69"/>
        <v>0</v>
      </c>
      <c r="BP193">
        <f t="shared" ca="1" si="70"/>
        <v>0</v>
      </c>
      <c r="BQ193">
        <f t="shared" ca="1" si="71"/>
        <v>0</v>
      </c>
      <c r="BR193" t="str">
        <f ca="1">IF(ROW()&lt;($C$7+1),"",IFERROR((分析データ!F193-AVERAGE(OFFSET(分析データ!F$1,MAX(1,ROW()-$C$7),0,MIN($C$7,ROW()-1),1)))/STDEV(OFFSET(分析データ!F$1,MAX(1,ROW()-$C$7),0,MIN($C$7,ROW()-1),1)),0))</f>
        <v/>
      </c>
      <c r="BS193">
        <f t="shared" ca="1" si="72"/>
        <v>0</v>
      </c>
      <c r="BT193" t="str">
        <f ca="1">IF(BS193=1,IF(INDEX(分析データ!$A:$A,ROW()+$C$5)&lt;&gt;"",40000*SIGN(BR193)*(分析データ!F193-INDEX(分析データ!F:F,ROW()+$C$5)),""),"")</f>
        <v/>
      </c>
      <c r="BU193">
        <f t="shared" ca="1" si="73"/>
        <v>0</v>
      </c>
      <c r="BV193">
        <f t="shared" ca="1" si="74"/>
        <v>0</v>
      </c>
      <c r="BW193">
        <f t="shared" ca="1" si="75"/>
        <v>0</v>
      </c>
      <c r="BX193" t="str">
        <f ca="1">IF(ROW()&lt;($C$7+1),"",IFERROR((分析データ!G193-AVERAGE(OFFSET(分析データ!G$1,MAX(1,ROW()-$C$7),0,MIN($C$7,ROW()-1),1)))/STDEV(OFFSET(分析データ!G$1,MAX(1,ROW()-$C$7),0,MIN($C$7,ROW()-1),1)),0))</f>
        <v/>
      </c>
      <c r="BY193">
        <f t="shared" ca="1" si="76"/>
        <v>0</v>
      </c>
      <c r="BZ193" t="str">
        <f ca="1">IF(BY193=1,IF(INDEX(分析データ!$A:$A,ROW()+$C$5)&lt;&gt;"",40000*SIGN(BX193)*(分析データ!G193-INDEX(分析データ!G:G,ROW()+$C$5)),""),"")</f>
        <v/>
      </c>
      <c r="CA193">
        <f t="shared" ca="1" si="77"/>
        <v>0</v>
      </c>
      <c r="CB193">
        <f t="shared" ca="1" si="78"/>
        <v>0</v>
      </c>
      <c r="CC193">
        <f t="shared" ca="1" si="79"/>
        <v>0</v>
      </c>
      <c r="CD193">
        <f t="shared" ca="1" si="80"/>
        <v>0</v>
      </c>
      <c r="CE193">
        <f t="shared" ca="1" si="81"/>
        <v>0</v>
      </c>
      <c r="CF193">
        <f t="shared" ca="1" si="82"/>
        <v>0</v>
      </c>
      <c r="CG193">
        <f t="shared" ca="1" si="83"/>
        <v>0</v>
      </c>
      <c r="CH193" s="10">
        <f>分析データ!A193</f>
        <v>45204</v>
      </c>
    </row>
    <row r="194" spans="46:86">
      <c r="AT194" t="str">
        <f ca="1">IF(ROW()&lt;($C$7+1),"",IFERROR((分析データ!B194-AVERAGE(OFFSET(分析データ!B$1,MAX(1,ROW()-$C$7),0,MIN($C$7,ROW()-1),1)))/STDEV(OFFSET(分析データ!B$1,MAX(1,ROW()-$C$7),0,MIN($C$7,ROW()-1),1)),0))</f>
        <v/>
      </c>
      <c r="AU194">
        <f t="shared" ref="AU194:AU257" ca="1" si="84">IF(ISNUMBER(AT194),IF(ABS(AT194)&gt;=$C$6,1,0),0)</f>
        <v>0</v>
      </c>
      <c r="AV194" t="str">
        <f ca="1">IF(AU194=1,IF(INDEX(分析データ!$A:$A,ROW()+$C$5)&lt;&gt;"",80000*SIGN(AT194)*(分析データ!B194-INDEX(分析データ!B:B,ROW()+$C$5)),""),"")</f>
        <v/>
      </c>
      <c r="AW194">
        <f t="shared" ref="AW194:AW257" ca="1" si="85">AW193+IF(AND(AU194=1,ISNUMBER(AV194)),AV194,0)</f>
        <v>0</v>
      </c>
      <c r="AX194">
        <f t="shared" ref="AX194:AX257" ca="1" si="86">MAX(AX193,AW194)</f>
        <v>0</v>
      </c>
      <c r="AY194">
        <f t="shared" ref="AY194:AY257" ca="1" si="87">AW194-AX194</f>
        <v>0</v>
      </c>
      <c r="AZ194" t="str">
        <f ca="1">IF(ROW()&lt;($C$7+1),"",IFERROR((分析データ!C194-AVERAGE(OFFSET(分析データ!C$1,MAX(1,ROW()-$C$7),0,MIN($C$7,ROW()-1),1)))/STDEV(OFFSET(分析データ!C$1,MAX(1,ROW()-$C$7),0,MIN($C$7,ROW()-1),1)),0))</f>
        <v/>
      </c>
      <c r="BA194">
        <f t="shared" ref="BA194:BA257" ca="1" si="88">IF(ISNUMBER(AZ194),IF(ABS(AZ194)&gt;=$C$6,1,0),0)</f>
        <v>0</v>
      </c>
      <c r="BB194" t="str">
        <f ca="1">IF(BA194=1,IF(INDEX(分析データ!$A:$A,ROW()+$C$5)&lt;&gt;"",60000*SIGN(AZ194)*(分析データ!C194-INDEX(分析データ!C:C,ROW()+$C$5)),""),"")</f>
        <v/>
      </c>
      <c r="BC194">
        <f t="shared" ref="BC194:BC257" ca="1" si="89">BC193+IF(AND(BA194=1,ISNUMBER(BB194)),BB194,0)</f>
        <v>0</v>
      </c>
      <c r="BD194">
        <f t="shared" ref="BD194:BD257" ca="1" si="90">MAX(BD193,BC194)</f>
        <v>0</v>
      </c>
      <c r="BE194">
        <f t="shared" ref="BE194:BE257" ca="1" si="91">BC194-BD194</f>
        <v>0</v>
      </c>
      <c r="BF194" t="str">
        <f ca="1">IF(ROW()&lt;($C$7+1),"",IFERROR((分析データ!D194-AVERAGE(OFFSET(分析データ!D$1,MAX(1,ROW()-$C$7),0,MIN($C$7,ROW()-1),1)))/STDEV(OFFSET(分析データ!D$1,MAX(1,ROW()-$C$7),0,MIN($C$7,ROW()-1),1)),0))</f>
        <v/>
      </c>
      <c r="BG194">
        <f t="shared" ref="BG194:BG257" ca="1" si="92">IF(ISNUMBER(BF194),IF(ABS(BF194)&gt;=$C$6,1,0),0)</f>
        <v>0</v>
      </c>
      <c r="BH194" t="str">
        <f ca="1">IF(BG194=1,IF(INDEX(分析データ!$A:$A,ROW()+$C$5)&lt;&gt;"",50000*SIGN(BF194)*(分析データ!D194-INDEX(分析データ!D:D,ROW()+$C$5)),""),"")</f>
        <v/>
      </c>
      <c r="BI194">
        <f t="shared" ref="BI194:BI257" ca="1" si="93">BI193+IF(AND(BG194=1,ISNUMBER(BH194)),BH194,0)</f>
        <v>0</v>
      </c>
      <c r="BJ194">
        <f t="shared" ref="BJ194:BJ257" ca="1" si="94">MAX(BJ193,BI194)</f>
        <v>0</v>
      </c>
      <c r="BK194">
        <f t="shared" ref="BK194:BK257" ca="1" si="95">BI194-BJ194</f>
        <v>0</v>
      </c>
      <c r="BL194" t="str">
        <f ca="1">IF(ROW()&lt;($C$7+1),"",IFERROR((分析データ!E194-AVERAGE(OFFSET(分析データ!E$1,MAX(1,ROW()-$C$7),0,MIN($C$7,ROW()-1),1)))/STDEV(OFFSET(分析データ!E$1,MAX(1,ROW()-$C$7),0,MIN($C$7,ROW()-1),1)),0))</f>
        <v/>
      </c>
      <c r="BM194">
        <f t="shared" ref="BM194:BM257" ca="1" si="96">IF(ISNUMBER(BL194),IF(ABS(BL194)&gt;=$C$6,1,0),0)</f>
        <v>0</v>
      </c>
      <c r="BN194" t="str">
        <f ca="1">IF(BM194=1,IF(INDEX(分析データ!$A:$A,ROW()+$C$5)&lt;&gt;"",40000*SIGN(BL194)*(分析データ!E194-INDEX(分析データ!E:E,ROW()+$C$5)),""),"")</f>
        <v/>
      </c>
      <c r="BO194">
        <f t="shared" ref="BO194:BO257" ca="1" si="97">BO193+IF(AND(BM194=1,ISNUMBER(BN194)),BN194,0)</f>
        <v>0</v>
      </c>
      <c r="BP194">
        <f t="shared" ref="BP194:BP257" ca="1" si="98">MAX(BP193,BO194)</f>
        <v>0</v>
      </c>
      <c r="BQ194">
        <f t="shared" ref="BQ194:BQ257" ca="1" si="99">BO194-BP194</f>
        <v>0</v>
      </c>
      <c r="BR194" t="str">
        <f ca="1">IF(ROW()&lt;($C$7+1),"",IFERROR((分析データ!F194-AVERAGE(OFFSET(分析データ!F$1,MAX(1,ROW()-$C$7),0,MIN($C$7,ROW()-1),1)))/STDEV(OFFSET(分析データ!F$1,MAX(1,ROW()-$C$7),0,MIN($C$7,ROW()-1),1)),0))</f>
        <v/>
      </c>
      <c r="BS194">
        <f t="shared" ref="BS194:BS257" ca="1" si="100">IF(ISNUMBER(BR194),IF(ABS(BR194)&gt;=$C$6,1,0),0)</f>
        <v>0</v>
      </c>
      <c r="BT194" t="str">
        <f ca="1">IF(BS194=1,IF(INDEX(分析データ!$A:$A,ROW()+$C$5)&lt;&gt;"",40000*SIGN(BR194)*(分析データ!F194-INDEX(分析データ!F:F,ROW()+$C$5)),""),"")</f>
        <v/>
      </c>
      <c r="BU194">
        <f t="shared" ref="BU194:BU257" ca="1" si="101">BU193+IF(AND(BS194=1,ISNUMBER(BT194)),BT194,0)</f>
        <v>0</v>
      </c>
      <c r="BV194">
        <f t="shared" ref="BV194:BV257" ca="1" si="102">MAX(BV193,BU194)</f>
        <v>0</v>
      </c>
      <c r="BW194">
        <f t="shared" ref="BW194:BW257" ca="1" si="103">BU194-BV194</f>
        <v>0</v>
      </c>
      <c r="BX194" t="str">
        <f ca="1">IF(ROW()&lt;($C$7+1),"",IFERROR((分析データ!G194-AVERAGE(OFFSET(分析データ!G$1,MAX(1,ROW()-$C$7),0,MIN($C$7,ROW()-1),1)))/STDEV(OFFSET(分析データ!G$1,MAX(1,ROW()-$C$7),0,MIN($C$7,ROW()-1),1)),0))</f>
        <v/>
      </c>
      <c r="BY194">
        <f t="shared" ref="BY194:BY257" ca="1" si="104">IF(ISNUMBER(BX194),IF(ABS(BX194)&gt;=$C$6,1,0),0)</f>
        <v>0</v>
      </c>
      <c r="BZ194" t="str">
        <f ca="1">IF(BY194=1,IF(INDEX(分析データ!$A:$A,ROW()+$C$5)&lt;&gt;"",40000*SIGN(BX194)*(分析データ!G194-INDEX(分析データ!G:G,ROW()+$C$5)),""),"")</f>
        <v/>
      </c>
      <c r="CA194">
        <f t="shared" ref="CA194:CA257" ca="1" si="105">CA193+IF(AND(BY194=1,ISNUMBER(BZ194)),BZ194,0)</f>
        <v>0</v>
      </c>
      <c r="CB194">
        <f t="shared" ref="CB194:CB257" ca="1" si="106">MAX(CB193,CA194)</f>
        <v>0</v>
      </c>
      <c r="CC194">
        <f t="shared" ref="CC194:CC257" ca="1" si="107">CA194-CB194</f>
        <v>0</v>
      </c>
      <c r="CD194">
        <f t="shared" ref="CD194:CD257" ca="1" si="108">N(AV194)+N(BB194)+N(BH194)+N(BN194)+N(BT194)+N(BZ194)</f>
        <v>0</v>
      </c>
      <c r="CE194">
        <f t="shared" ref="CE194:CE257" ca="1" si="109">CE193+CD194</f>
        <v>0</v>
      </c>
      <c r="CF194">
        <f t="shared" ref="CF194:CF257" ca="1" si="110">MAX(CF193,CE194)</f>
        <v>0</v>
      </c>
      <c r="CG194">
        <f t="shared" ref="CG194:CG257" ca="1" si="111">CE194-CF194</f>
        <v>0</v>
      </c>
      <c r="CH194" s="10">
        <f>分析データ!A194</f>
        <v>45205</v>
      </c>
    </row>
    <row r="195" spans="46:86">
      <c r="AT195" t="str">
        <f ca="1">IF(ROW()&lt;($C$7+1),"",IFERROR((分析データ!B195-AVERAGE(OFFSET(分析データ!B$1,MAX(1,ROW()-$C$7),0,MIN($C$7,ROW()-1),1)))/STDEV(OFFSET(分析データ!B$1,MAX(1,ROW()-$C$7),0,MIN($C$7,ROW()-1),1)),0))</f>
        <v/>
      </c>
      <c r="AU195">
        <f t="shared" ca="1" si="84"/>
        <v>0</v>
      </c>
      <c r="AV195" t="str">
        <f ca="1">IF(AU195=1,IF(INDEX(分析データ!$A:$A,ROW()+$C$5)&lt;&gt;"",80000*SIGN(AT195)*(分析データ!B195-INDEX(分析データ!B:B,ROW()+$C$5)),""),"")</f>
        <v/>
      </c>
      <c r="AW195">
        <f t="shared" ca="1" si="85"/>
        <v>0</v>
      </c>
      <c r="AX195">
        <f t="shared" ca="1" si="86"/>
        <v>0</v>
      </c>
      <c r="AY195">
        <f t="shared" ca="1" si="87"/>
        <v>0</v>
      </c>
      <c r="AZ195" t="str">
        <f ca="1">IF(ROW()&lt;($C$7+1),"",IFERROR((分析データ!C195-AVERAGE(OFFSET(分析データ!C$1,MAX(1,ROW()-$C$7),0,MIN($C$7,ROW()-1),1)))/STDEV(OFFSET(分析データ!C$1,MAX(1,ROW()-$C$7),0,MIN($C$7,ROW()-1),1)),0))</f>
        <v/>
      </c>
      <c r="BA195">
        <f t="shared" ca="1" si="88"/>
        <v>0</v>
      </c>
      <c r="BB195" t="str">
        <f ca="1">IF(BA195=1,IF(INDEX(分析データ!$A:$A,ROW()+$C$5)&lt;&gt;"",60000*SIGN(AZ195)*(分析データ!C195-INDEX(分析データ!C:C,ROW()+$C$5)),""),"")</f>
        <v/>
      </c>
      <c r="BC195">
        <f t="shared" ca="1" si="89"/>
        <v>0</v>
      </c>
      <c r="BD195">
        <f t="shared" ca="1" si="90"/>
        <v>0</v>
      </c>
      <c r="BE195">
        <f t="shared" ca="1" si="91"/>
        <v>0</v>
      </c>
      <c r="BF195" t="str">
        <f ca="1">IF(ROW()&lt;($C$7+1),"",IFERROR((分析データ!D195-AVERAGE(OFFSET(分析データ!D$1,MAX(1,ROW()-$C$7),0,MIN($C$7,ROW()-1),1)))/STDEV(OFFSET(分析データ!D$1,MAX(1,ROW()-$C$7),0,MIN($C$7,ROW()-1),1)),0))</f>
        <v/>
      </c>
      <c r="BG195">
        <f t="shared" ca="1" si="92"/>
        <v>0</v>
      </c>
      <c r="BH195" t="str">
        <f ca="1">IF(BG195=1,IF(INDEX(分析データ!$A:$A,ROW()+$C$5)&lt;&gt;"",50000*SIGN(BF195)*(分析データ!D195-INDEX(分析データ!D:D,ROW()+$C$5)),""),"")</f>
        <v/>
      </c>
      <c r="BI195">
        <f t="shared" ca="1" si="93"/>
        <v>0</v>
      </c>
      <c r="BJ195">
        <f t="shared" ca="1" si="94"/>
        <v>0</v>
      </c>
      <c r="BK195">
        <f t="shared" ca="1" si="95"/>
        <v>0</v>
      </c>
      <c r="BL195" t="str">
        <f ca="1">IF(ROW()&lt;($C$7+1),"",IFERROR((分析データ!E195-AVERAGE(OFFSET(分析データ!E$1,MAX(1,ROW()-$C$7),0,MIN($C$7,ROW()-1),1)))/STDEV(OFFSET(分析データ!E$1,MAX(1,ROW()-$C$7),0,MIN($C$7,ROW()-1),1)),0))</f>
        <v/>
      </c>
      <c r="BM195">
        <f t="shared" ca="1" si="96"/>
        <v>0</v>
      </c>
      <c r="BN195" t="str">
        <f ca="1">IF(BM195=1,IF(INDEX(分析データ!$A:$A,ROW()+$C$5)&lt;&gt;"",40000*SIGN(BL195)*(分析データ!E195-INDEX(分析データ!E:E,ROW()+$C$5)),""),"")</f>
        <v/>
      </c>
      <c r="BO195">
        <f t="shared" ca="1" si="97"/>
        <v>0</v>
      </c>
      <c r="BP195">
        <f t="shared" ca="1" si="98"/>
        <v>0</v>
      </c>
      <c r="BQ195">
        <f t="shared" ca="1" si="99"/>
        <v>0</v>
      </c>
      <c r="BR195" t="str">
        <f ca="1">IF(ROW()&lt;($C$7+1),"",IFERROR((分析データ!F195-AVERAGE(OFFSET(分析データ!F$1,MAX(1,ROW()-$C$7),0,MIN($C$7,ROW()-1),1)))/STDEV(OFFSET(分析データ!F$1,MAX(1,ROW()-$C$7),0,MIN($C$7,ROW()-1),1)),0))</f>
        <v/>
      </c>
      <c r="BS195">
        <f t="shared" ca="1" si="100"/>
        <v>0</v>
      </c>
      <c r="BT195" t="str">
        <f ca="1">IF(BS195=1,IF(INDEX(分析データ!$A:$A,ROW()+$C$5)&lt;&gt;"",40000*SIGN(BR195)*(分析データ!F195-INDEX(分析データ!F:F,ROW()+$C$5)),""),"")</f>
        <v/>
      </c>
      <c r="BU195">
        <f t="shared" ca="1" si="101"/>
        <v>0</v>
      </c>
      <c r="BV195">
        <f t="shared" ca="1" si="102"/>
        <v>0</v>
      </c>
      <c r="BW195">
        <f t="shared" ca="1" si="103"/>
        <v>0</v>
      </c>
      <c r="BX195" t="str">
        <f ca="1">IF(ROW()&lt;($C$7+1),"",IFERROR((分析データ!G195-AVERAGE(OFFSET(分析データ!G$1,MAX(1,ROW()-$C$7),0,MIN($C$7,ROW()-1),1)))/STDEV(OFFSET(分析データ!G$1,MAX(1,ROW()-$C$7),0,MIN($C$7,ROW()-1),1)),0))</f>
        <v/>
      </c>
      <c r="BY195">
        <f t="shared" ca="1" si="104"/>
        <v>0</v>
      </c>
      <c r="BZ195" t="str">
        <f ca="1">IF(BY195=1,IF(INDEX(分析データ!$A:$A,ROW()+$C$5)&lt;&gt;"",40000*SIGN(BX195)*(分析データ!G195-INDEX(分析データ!G:G,ROW()+$C$5)),""),"")</f>
        <v/>
      </c>
      <c r="CA195">
        <f t="shared" ca="1" si="105"/>
        <v>0</v>
      </c>
      <c r="CB195">
        <f t="shared" ca="1" si="106"/>
        <v>0</v>
      </c>
      <c r="CC195">
        <f t="shared" ca="1" si="107"/>
        <v>0</v>
      </c>
      <c r="CD195">
        <f t="shared" ca="1" si="108"/>
        <v>0</v>
      </c>
      <c r="CE195">
        <f t="shared" ca="1" si="109"/>
        <v>0</v>
      </c>
      <c r="CF195">
        <f t="shared" ca="1" si="110"/>
        <v>0</v>
      </c>
      <c r="CG195">
        <f t="shared" ca="1" si="111"/>
        <v>0</v>
      </c>
      <c r="CH195" s="10">
        <f>分析データ!A195</f>
        <v>45209</v>
      </c>
    </row>
    <row r="196" spans="46:86">
      <c r="AT196" t="str">
        <f ca="1">IF(ROW()&lt;($C$7+1),"",IFERROR((分析データ!B196-AVERAGE(OFFSET(分析データ!B$1,MAX(1,ROW()-$C$7),0,MIN($C$7,ROW()-1),1)))/STDEV(OFFSET(分析データ!B$1,MAX(1,ROW()-$C$7),0,MIN($C$7,ROW()-1),1)),0))</f>
        <v/>
      </c>
      <c r="AU196">
        <f t="shared" ca="1" si="84"/>
        <v>0</v>
      </c>
      <c r="AV196" t="str">
        <f ca="1">IF(AU196=1,IF(INDEX(分析データ!$A:$A,ROW()+$C$5)&lt;&gt;"",80000*SIGN(AT196)*(分析データ!B196-INDEX(分析データ!B:B,ROW()+$C$5)),""),"")</f>
        <v/>
      </c>
      <c r="AW196">
        <f t="shared" ca="1" si="85"/>
        <v>0</v>
      </c>
      <c r="AX196">
        <f t="shared" ca="1" si="86"/>
        <v>0</v>
      </c>
      <c r="AY196">
        <f t="shared" ca="1" si="87"/>
        <v>0</v>
      </c>
      <c r="AZ196" t="str">
        <f ca="1">IF(ROW()&lt;($C$7+1),"",IFERROR((分析データ!C196-AVERAGE(OFFSET(分析データ!C$1,MAX(1,ROW()-$C$7),0,MIN($C$7,ROW()-1),1)))/STDEV(OFFSET(分析データ!C$1,MAX(1,ROW()-$C$7),0,MIN($C$7,ROW()-1),1)),0))</f>
        <v/>
      </c>
      <c r="BA196">
        <f t="shared" ca="1" si="88"/>
        <v>0</v>
      </c>
      <c r="BB196" t="str">
        <f ca="1">IF(BA196=1,IF(INDEX(分析データ!$A:$A,ROW()+$C$5)&lt;&gt;"",60000*SIGN(AZ196)*(分析データ!C196-INDEX(分析データ!C:C,ROW()+$C$5)),""),"")</f>
        <v/>
      </c>
      <c r="BC196">
        <f t="shared" ca="1" si="89"/>
        <v>0</v>
      </c>
      <c r="BD196">
        <f t="shared" ca="1" si="90"/>
        <v>0</v>
      </c>
      <c r="BE196">
        <f t="shared" ca="1" si="91"/>
        <v>0</v>
      </c>
      <c r="BF196" t="str">
        <f ca="1">IF(ROW()&lt;($C$7+1),"",IFERROR((分析データ!D196-AVERAGE(OFFSET(分析データ!D$1,MAX(1,ROW()-$C$7),0,MIN($C$7,ROW()-1),1)))/STDEV(OFFSET(分析データ!D$1,MAX(1,ROW()-$C$7),0,MIN($C$7,ROW()-1),1)),0))</f>
        <v/>
      </c>
      <c r="BG196">
        <f t="shared" ca="1" si="92"/>
        <v>0</v>
      </c>
      <c r="BH196" t="str">
        <f ca="1">IF(BG196=1,IF(INDEX(分析データ!$A:$A,ROW()+$C$5)&lt;&gt;"",50000*SIGN(BF196)*(分析データ!D196-INDEX(分析データ!D:D,ROW()+$C$5)),""),"")</f>
        <v/>
      </c>
      <c r="BI196">
        <f t="shared" ca="1" si="93"/>
        <v>0</v>
      </c>
      <c r="BJ196">
        <f t="shared" ca="1" si="94"/>
        <v>0</v>
      </c>
      <c r="BK196">
        <f t="shared" ca="1" si="95"/>
        <v>0</v>
      </c>
      <c r="BL196" t="str">
        <f ca="1">IF(ROW()&lt;($C$7+1),"",IFERROR((分析データ!E196-AVERAGE(OFFSET(分析データ!E$1,MAX(1,ROW()-$C$7),0,MIN($C$7,ROW()-1),1)))/STDEV(OFFSET(分析データ!E$1,MAX(1,ROW()-$C$7),0,MIN($C$7,ROW()-1),1)),0))</f>
        <v/>
      </c>
      <c r="BM196">
        <f t="shared" ca="1" si="96"/>
        <v>0</v>
      </c>
      <c r="BN196" t="str">
        <f ca="1">IF(BM196=1,IF(INDEX(分析データ!$A:$A,ROW()+$C$5)&lt;&gt;"",40000*SIGN(BL196)*(分析データ!E196-INDEX(分析データ!E:E,ROW()+$C$5)),""),"")</f>
        <v/>
      </c>
      <c r="BO196">
        <f t="shared" ca="1" si="97"/>
        <v>0</v>
      </c>
      <c r="BP196">
        <f t="shared" ca="1" si="98"/>
        <v>0</v>
      </c>
      <c r="BQ196">
        <f t="shared" ca="1" si="99"/>
        <v>0</v>
      </c>
      <c r="BR196" t="str">
        <f ca="1">IF(ROW()&lt;($C$7+1),"",IFERROR((分析データ!F196-AVERAGE(OFFSET(分析データ!F$1,MAX(1,ROW()-$C$7),0,MIN($C$7,ROW()-1),1)))/STDEV(OFFSET(分析データ!F$1,MAX(1,ROW()-$C$7),0,MIN($C$7,ROW()-1),1)),0))</f>
        <v/>
      </c>
      <c r="BS196">
        <f t="shared" ca="1" si="100"/>
        <v>0</v>
      </c>
      <c r="BT196" t="str">
        <f ca="1">IF(BS196=1,IF(INDEX(分析データ!$A:$A,ROW()+$C$5)&lt;&gt;"",40000*SIGN(BR196)*(分析データ!F196-INDEX(分析データ!F:F,ROW()+$C$5)),""),"")</f>
        <v/>
      </c>
      <c r="BU196">
        <f t="shared" ca="1" si="101"/>
        <v>0</v>
      </c>
      <c r="BV196">
        <f t="shared" ca="1" si="102"/>
        <v>0</v>
      </c>
      <c r="BW196">
        <f t="shared" ca="1" si="103"/>
        <v>0</v>
      </c>
      <c r="BX196" t="str">
        <f ca="1">IF(ROW()&lt;($C$7+1),"",IFERROR((分析データ!G196-AVERAGE(OFFSET(分析データ!G$1,MAX(1,ROW()-$C$7),0,MIN($C$7,ROW()-1),1)))/STDEV(OFFSET(分析データ!G$1,MAX(1,ROW()-$C$7),0,MIN($C$7,ROW()-1),1)),0))</f>
        <v/>
      </c>
      <c r="BY196">
        <f t="shared" ca="1" si="104"/>
        <v>0</v>
      </c>
      <c r="BZ196" t="str">
        <f ca="1">IF(BY196=1,IF(INDEX(分析データ!$A:$A,ROW()+$C$5)&lt;&gt;"",40000*SIGN(BX196)*(分析データ!G196-INDEX(分析データ!G:G,ROW()+$C$5)),""),"")</f>
        <v/>
      </c>
      <c r="CA196">
        <f t="shared" ca="1" si="105"/>
        <v>0</v>
      </c>
      <c r="CB196">
        <f t="shared" ca="1" si="106"/>
        <v>0</v>
      </c>
      <c r="CC196">
        <f t="shared" ca="1" si="107"/>
        <v>0</v>
      </c>
      <c r="CD196">
        <f t="shared" ca="1" si="108"/>
        <v>0</v>
      </c>
      <c r="CE196">
        <f t="shared" ca="1" si="109"/>
        <v>0</v>
      </c>
      <c r="CF196">
        <f t="shared" ca="1" si="110"/>
        <v>0</v>
      </c>
      <c r="CG196">
        <f t="shared" ca="1" si="111"/>
        <v>0</v>
      </c>
      <c r="CH196" s="10">
        <f>分析データ!A196</f>
        <v>45210</v>
      </c>
    </row>
    <row r="197" spans="46:86">
      <c r="AT197" t="str">
        <f ca="1">IF(ROW()&lt;($C$7+1),"",IFERROR((分析データ!B197-AVERAGE(OFFSET(分析データ!B$1,MAX(1,ROW()-$C$7),0,MIN($C$7,ROW()-1),1)))/STDEV(OFFSET(分析データ!B$1,MAX(1,ROW()-$C$7),0,MIN($C$7,ROW()-1),1)),0))</f>
        <v/>
      </c>
      <c r="AU197">
        <f t="shared" ca="1" si="84"/>
        <v>0</v>
      </c>
      <c r="AV197" t="str">
        <f ca="1">IF(AU197=1,IF(INDEX(分析データ!$A:$A,ROW()+$C$5)&lt;&gt;"",80000*SIGN(AT197)*(分析データ!B197-INDEX(分析データ!B:B,ROW()+$C$5)),""),"")</f>
        <v/>
      </c>
      <c r="AW197">
        <f t="shared" ca="1" si="85"/>
        <v>0</v>
      </c>
      <c r="AX197">
        <f t="shared" ca="1" si="86"/>
        <v>0</v>
      </c>
      <c r="AY197">
        <f t="shared" ca="1" si="87"/>
        <v>0</v>
      </c>
      <c r="AZ197" t="str">
        <f ca="1">IF(ROW()&lt;($C$7+1),"",IFERROR((分析データ!C197-AVERAGE(OFFSET(分析データ!C$1,MAX(1,ROW()-$C$7),0,MIN($C$7,ROW()-1),1)))/STDEV(OFFSET(分析データ!C$1,MAX(1,ROW()-$C$7),0,MIN($C$7,ROW()-1),1)),0))</f>
        <v/>
      </c>
      <c r="BA197">
        <f t="shared" ca="1" si="88"/>
        <v>0</v>
      </c>
      <c r="BB197" t="str">
        <f ca="1">IF(BA197=1,IF(INDEX(分析データ!$A:$A,ROW()+$C$5)&lt;&gt;"",60000*SIGN(AZ197)*(分析データ!C197-INDEX(分析データ!C:C,ROW()+$C$5)),""),"")</f>
        <v/>
      </c>
      <c r="BC197">
        <f t="shared" ca="1" si="89"/>
        <v>0</v>
      </c>
      <c r="BD197">
        <f t="shared" ca="1" si="90"/>
        <v>0</v>
      </c>
      <c r="BE197">
        <f t="shared" ca="1" si="91"/>
        <v>0</v>
      </c>
      <c r="BF197" t="str">
        <f ca="1">IF(ROW()&lt;($C$7+1),"",IFERROR((分析データ!D197-AVERAGE(OFFSET(分析データ!D$1,MAX(1,ROW()-$C$7),0,MIN($C$7,ROW()-1),1)))/STDEV(OFFSET(分析データ!D$1,MAX(1,ROW()-$C$7),0,MIN($C$7,ROW()-1),1)),0))</f>
        <v/>
      </c>
      <c r="BG197">
        <f t="shared" ca="1" si="92"/>
        <v>0</v>
      </c>
      <c r="BH197" t="str">
        <f ca="1">IF(BG197=1,IF(INDEX(分析データ!$A:$A,ROW()+$C$5)&lt;&gt;"",50000*SIGN(BF197)*(分析データ!D197-INDEX(分析データ!D:D,ROW()+$C$5)),""),"")</f>
        <v/>
      </c>
      <c r="BI197">
        <f t="shared" ca="1" si="93"/>
        <v>0</v>
      </c>
      <c r="BJ197">
        <f t="shared" ca="1" si="94"/>
        <v>0</v>
      </c>
      <c r="BK197">
        <f t="shared" ca="1" si="95"/>
        <v>0</v>
      </c>
      <c r="BL197" t="str">
        <f ca="1">IF(ROW()&lt;($C$7+1),"",IFERROR((分析データ!E197-AVERAGE(OFFSET(分析データ!E$1,MAX(1,ROW()-$C$7),0,MIN($C$7,ROW()-1),1)))/STDEV(OFFSET(分析データ!E$1,MAX(1,ROW()-$C$7),0,MIN($C$7,ROW()-1),1)),0))</f>
        <v/>
      </c>
      <c r="BM197">
        <f t="shared" ca="1" si="96"/>
        <v>0</v>
      </c>
      <c r="BN197" t="str">
        <f ca="1">IF(BM197=1,IF(INDEX(分析データ!$A:$A,ROW()+$C$5)&lt;&gt;"",40000*SIGN(BL197)*(分析データ!E197-INDEX(分析データ!E:E,ROW()+$C$5)),""),"")</f>
        <v/>
      </c>
      <c r="BO197">
        <f t="shared" ca="1" si="97"/>
        <v>0</v>
      </c>
      <c r="BP197">
        <f t="shared" ca="1" si="98"/>
        <v>0</v>
      </c>
      <c r="BQ197">
        <f t="shared" ca="1" si="99"/>
        <v>0</v>
      </c>
      <c r="BR197" t="str">
        <f ca="1">IF(ROW()&lt;($C$7+1),"",IFERROR((分析データ!F197-AVERAGE(OFFSET(分析データ!F$1,MAX(1,ROW()-$C$7),0,MIN($C$7,ROW()-1),1)))/STDEV(OFFSET(分析データ!F$1,MAX(1,ROW()-$C$7),0,MIN($C$7,ROW()-1),1)),0))</f>
        <v/>
      </c>
      <c r="BS197">
        <f t="shared" ca="1" si="100"/>
        <v>0</v>
      </c>
      <c r="BT197" t="str">
        <f ca="1">IF(BS197=1,IF(INDEX(分析データ!$A:$A,ROW()+$C$5)&lt;&gt;"",40000*SIGN(BR197)*(分析データ!F197-INDEX(分析データ!F:F,ROW()+$C$5)),""),"")</f>
        <v/>
      </c>
      <c r="BU197">
        <f t="shared" ca="1" si="101"/>
        <v>0</v>
      </c>
      <c r="BV197">
        <f t="shared" ca="1" si="102"/>
        <v>0</v>
      </c>
      <c r="BW197">
        <f t="shared" ca="1" si="103"/>
        <v>0</v>
      </c>
      <c r="BX197" t="str">
        <f ca="1">IF(ROW()&lt;($C$7+1),"",IFERROR((分析データ!G197-AVERAGE(OFFSET(分析データ!G$1,MAX(1,ROW()-$C$7),0,MIN($C$7,ROW()-1),1)))/STDEV(OFFSET(分析データ!G$1,MAX(1,ROW()-$C$7),0,MIN($C$7,ROW()-1),1)),0))</f>
        <v/>
      </c>
      <c r="BY197">
        <f t="shared" ca="1" si="104"/>
        <v>0</v>
      </c>
      <c r="BZ197" t="str">
        <f ca="1">IF(BY197=1,IF(INDEX(分析データ!$A:$A,ROW()+$C$5)&lt;&gt;"",40000*SIGN(BX197)*(分析データ!G197-INDEX(分析データ!G:G,ROW()+$C$5)),""),"")</f>
        <v/>
      </c>
      <c r="CA197">
        <f t="shared" ca="1" si="105"/>
        <v>0</v>
      </c>
      <c r="CB197">
        <f t="shared" ca="1" si="106"/>
        <v>0</v>
      </c>
      <c r="CC197">
        <f t="shared" ca="1" si="107"/>
        <v>0</v>
      </c>
      <c r="CD197">
        <f t="shared" ca="1" si="108"/>
        <v>0</v>
      </c>
      <c r="CE197">
        <f t="shared" ca="1" si="109"/>
        <v>0</v>
      </c>
      <c r="CF197">
        <f t="shared" ca="1" si="110"/>
        <v>0</v>
      </c>
      <c r="CG197">
        <f t="shared" ca="1" si="111"/>
        <v>0</v>
      </c>
      <c r="CH197" s="10">
        <f>分析データ!A197</f>
        <v>45211</v>
      </c>
    </row>
    <row r="198" spans="46:86">
      <c r="AT198" t="str">
        <f ca="1">IF(ROW()&lt;($C$7+1),"",IFERROR((分析データ!B198-AVERAGE(OFFSET(分析データ!B$1,MAX(1,ROW()-$C$7),0,MIN($C$7,ROW()-1),1)))/STDEV(OFFSET(分析データ!B$1,MAX(1,ROW()-$C$7),0,MIN($C$7,ROW()-1),1)),0))</f>
        <v/>
      </c>
      <c r="AU198">
        <f t="shared" ca="1" si="84"/>
        <v>0</v>
      </c>
      <c r="AV198" t="str">
        <f ca="1">IF(AU198=1,IF(INDEX(分析データ!$A:$A,ROW()+$C$5)&lt;&gt;"",80000*SIGN(AT198)*(分析データ!B198-INDEX(分析データ!B:B,ROW()+$C$5)),""),"")</f>
        <v/>
      </c>
      <c r="AW198">
        <f t="shared" ca="1" si="85"/>
        <v>0</v>
      </c>
      <c r="AX198">
        <f t="shared" ca="1" si="86"/>
        <v>0</v>
      </c>
      <c r="AY198">
        <f t="shared" ca="1" si="87"/>
        <v>0</v>
      </c>
      <c r="AZ198" t="str">
        <f ca="1">IF(ROW()&lt;($C$7+1),"",IFERROR((分析データ!C198-AVERAGE(OFFSET(分析データ!C$1,MAX(1,ROW()-$C$7),0,MIN($C$7,ROW()-1),1)))/STDEV(OFFSET(分析データ!C$1,MAX(1,ROW()-$C$7),0,MIN($C$7,ROW()-1),1)),0))</f>
        <v/>
      </c>
      <c r="BA198">
        <f t="shared" ca="1" si="88"/>
        <v>0</v>
      </c>
      <c r="BB198" t="str">
        <f ca="1">IF(BA198=1,IF(INDEX(分析データ!$A:$A,ROW()+$C$5)&lt;&gt;"",60000*SIGN(AZ198)*(分析データ!C198-INDEX(分析データ!C:C,ROW()+$C$5)),""),"")</f>
        <v/>
      </c>
      <c r="BC198">
        <f t="shared" ca="1" si="89"/>
        <v>0</v>
      </c>
      <c r="BD198">
        <f t="shared" ca="1" si="90"/>
        <v>0</v>
      </c>
      <c r="BE198">
        <f t="shared" ca="1" si="91"/>
        <v>0</v>
      </c>
      <c r="BF198" t="str">
        <f ca="1">IF(ROW()&lt;($C$7+1),"",IFERROR((分析データ!D198-AVERAGE(OFFSET(分析データ!D$1,MAX(1,ROW()-$C$7),0,MIN($C$7,ROW()-1),1)))/STDEV(OFFSET(分析データ!D$1,MAX(1,ROW()-$C$7),0,MIN($C$7,ROW()-1),1)),0))</f>
        <v/>
      </c>
      <c r="BG198">
        <f t="shared" ca="1" si="92"/>
        <v>0</v>
      </c>
      <c r="BH198" t="str">
        <f ca="1">IF(BG198=1,IF(INDEX(分析データ!$A:$A,ROW()+$C$5)&lt;&gt;"",50000*SIGN(BF198)*(分析データ!D198-INDEX(分析データ!D:D,ROW()+$C$5)),""),"")</f>
        <v/>
      </c>
      <c r="BI198">
        <f t="shared" ca="1" si="93"/>
        <v>0</v>
      </c>
      <c r="BJ198">
        <f t="shared" ca="1" si="94"/>
        <v>0</v>
      </c>
      <c r="BK198">
        <f t="shared" ca="1" si="95"/>
        <v>0</v>
      </c>
      <c r="BL198" t="str">
        <f ca="1">IF(ROW()&lt;($C$7+1),"",IFERROR((分析データ!E198-AVERAGE(OFFSET(分析データ!E$1,MAX(1,ROW()-$C$7),0,MIN($C$7,ROW()-1),1)))/STDEV(OFFSET(分析データ!E$1,MAX(1,ROW()-$C$7),0,MIN($C$7,ROW()-1),1)),0))</f>
        <v/>
      </c>
      <c r="BM198">
        <f t="shared" ca="1" si="96"/>
        <v>0</v>
      </c>
      <c r="BN198" t="str">
        <f ca="1">IF(BM198=1,IF(INDEX(分析データ!$A:$A,ROW()+$C$5)&lt;&gt;"",40000*SIGN(BL198)*(分析データ!E198-INDEX(分析データ!E:E,ROW()+$C$5)),""),"")</f>
        <v/>
      </c>
      <c r="BO198">
        <f t="shared" ca="1" si="97"/>
        <v>0</v>
      </c>
      <c r="BP198">
        <f t="shared" ca="1" si="98"/>
        <v>0</v>
      </c>
      <c r="BQ198">
        <f t="shared" ca="1" si="99"/>
        <v>0</v>
      </c>
      <c r="BR198" t="str">
        <f ca="1">IF(ROW()&lt;($C$7+1),"",IFERROR((分析データ!F198-AVERAGE(OFFSET(分析データ!F$1,MAX(1,ROW()-$C$7),0,MIN($C$7,ROW()-1),1)))/STDEV(OFFSET(分析データ!F$1,MAX(1,ROW()-$C$7),0,MIN($C$7,ROW()-1),1)),0))</f>
        <v/>
      </c>
      <c r="BS198">
        <f t="shared" ca="1" si="100"/>
        <v>0</v>
      </c>
      <c r="BT198" t="str">
        <f ca="1">IF(BS198=1,IF(INDEX(分析データ!$A:$A,ROW()+$C$5)&lt;&gt;"",40000*SIGN(BR198)*(分析データ!F198-INDEX(分析データ!F:F,ROW()+$C$5)),""),"")</f>
        <v/>
      </c>
      <c r="BU198">
        <f t="shared" ca="1" si="101"/>
        <v>0</v>
      </c>
      <c r="BV198">
        <f t="shared" ca="1" si="102"/>
        <v>0</v>
      </c>
      <c r="BW198">
        <f t="shared" ca="1" si="103"/>
        <v>0</v>
      </c>
      <c r="BX198" t="str">
        <f ca="1">IF(ROW()&lt;($C$7+1),"",IFERROR((分析データ!G198-AVERAGE(OFFSET(分析データ!G$1,MAX(1,ROW()-$C$7),0,MIN($C$7,ROW()-1),1)))/STDEV(OFFSET(分析データ!G$1,MAX(1,ROW()-$C$7),0,MIN($C$7,ROW()-1),1)),0))</f>
        <v/>
      </c>
      <c r="BY198">
        <f t="shared" ca="1" si="104"/>
        <v>0</v>
      </c>
      <c r="BZ198" t="str">
        <f ca="1">IF(BY198=1,IF(INDEX(分析データ!$A:$A,ROW()+$C$5)&lt;&gt;"",40000*SIGN(BX198)*(分析データ!G198-INDEX(分析データ!G:G,ROW()+$C$5)),""),"")</f>
        <v/>
      </c>
      <c r="CA198">
        <f t="shared" ca="1" si="105"/>
        <v>0</v>
      </c>
      <c r="CB198">
        <f t="shared" ca="1" si="106"/>
        <v>0</v>
      </c>
      <c r="CC198">
        <f t="shared" ca="1" si="107"/>
        <v>0</v>
      </c>
      <c r="CD198">
        <f t="shared" ca="1" si="108"/>
        <v>0</v>
      </c>
      <c r="CE198">
        <f t="shared" ca="1" si="109"/>
        <v>0</v>
      </c>
      <c r="CF198">
        <f t="shared" ca="1" si="110"/>
        <v>0</v>
      </c>
      <c r="CG198">
        <f t="shared" ca="1" si="111"/>
        <v>0</v>
      </c>
      <c r="CH198" s="10">
        <f>分析データ!A198</f>
        <v>45212</v>
      </c>
    </row>
    <row r="199" spans="46:86">
      <c r="AT199" t="str">
        <f ca="1">IF(ROW()&lt;($C$7+1),"",IFERROR((分析データ!B199-AVERAGE(OFFSET(分析データ!B$1,MAX(1,ROW()-$C$7),0,MIN($C$7,ROW()-1),1)))/STDEV(OFFSET(分析データ!B$1,MAX(1,ROW()-$C$7),0,MIN($C$7,ROW()-1),1)),0))</f>
        <v/>
      </c>
      <c r="AU199">
        <f t="shared" ca="1" si="84"/>
        <v>0</v>
      </c>
      <c r="AV199" t="str">
        <f ca="1">IF(AU199=1,IF(INDEX(分析データ!$A:$A,ROW()+$C$5)&lt;&gt;"",80000*SIGN(AT199)*(分析データ!B199-INDEX(分析データ!B:B,ROW()+$C$5)),""),"")</f>
        <v/>
      </c>
      <c r="AW199">
        <f t="shared" ca="1" si="85"/>
        <v>0</v>
      </c>
      <c r="AX199">
        <f t="shared" ca="1" si="86"/>
        <v>0</v>
      </c>
      <c r="AY199">
        <f t="shared" ca="1" si="87"/>
        <v>0</v>
      </c>
      <c r="AZ199" t="str">
        <f ca="1">IF(ROW()&lt;($C$7+1),"",IFERROR((分析データ!C199-AVERAGE(OFFSET(分析データ!C$1,MAX(1,ROW()-$C$7),0,MIN($C$7,ROW()-1),1)))/STDEV(OFFSET(分析データ!C$1,MAX(1,ROW()-$C$7),0,MIN($C$7,ROW()-1),1)),0))</f>
        <v/>
      </c>
      <c r="BA199">
        <f t="shared" ca="1" si="88"/>
        <v>0</v>
      </c>
      <c r="BB199" t="str">
        <f ca="1">IF(BA199=1,IF(INDEX(分析データ!$A:$A,ROW()+$C$5)&lt;&gt;"",60000*SIGN(AZ199)*(分析データ!C199-INDEX(分析データ!C:C,ROW()+$C$5)),""),"")</f>
        <v/>
      </c>
      <c r="BC199">
        <f t="shared" ca="1" si="89"/>
        <v>0</v>
      </c>
      <c r="BD199">
        <f t="shared" ca="1" si="90"/>
        <v>0</v>
      </c>
      <c r="BE199">
        <f t="shared" ca="1" si="91"/>
        <v>0</v>
      </c>
      <c r="BF199" t="str">
        <f ca="1">IF(ROW()&lt;($C$7+1),"",IFERROR((分析データ!D199-AVERAGE(OFFSET(分析データ!D$1,MAX(1,ROW()-$C$7),0,MIN($C$7,ROW()-1),1)))/STDEV(OFFSET(分析データ!D$1,MAX(1,ROW()-$C$7),0,MIN($C$7,ROW()-1),1)),0))</f>
        <v/>
      </c>
      <c r="BG199">
        <f t="shared" ca="1" si="92"/>
        <v>0</v>
      </c>
      <c r="BH199" t="str">
        <f ca="1">IF(BG199=1,IF(INDEX(分析データ!$A:$A,ROW()+$C$5)&lt;&gt;"",50000*SIGN(BF199)*(分析データ!D199-INDEX(分析データ!D:D,ROW()+$C$5)),""),"")</f>
        <v/>
      </c>
      <c r="BI199">
        <f t="shared" ca="1" si="93"/>
        <v>0</v>
      </c>
      <c r="BJ199">
        <f t="shared" ca="1" si="94"/>
        <v>0</v>
      </c>
      <c r="BK199">
        <f t="shared" ca="1" si="95"/>
        <v>0</v>
      </c>
      <c r="BL199" t="str">
        <f ca="1">IF(ROW()&lt;($C$7+1),"",IFERROR((分析データ!E199-AVERAGE(OFFSET(分析データ!E$1,MAX(1,ROW()-$C$7),0,MIN($C$7,ROW()-1),1)))/STDEV(OFFSET(分析データ!E$1,MAX(1,ROW()-$C$7),0,MIN($C$7,ROW()-1),1)),0))</f>
        <v/>
      </c>
      <c r="BM199">
        <f t="shared" ca="1" si="96"/>
        <v>0</v>
      </c>
      <c r="BN199" t="str">
        <f ca="1">IF(BM199=1,IF(INDEX(分析データ!$A:$A,ROW()+$C$5)&lt;&gt;"",40000*SIGN(BL199)*(分析データ!E199-INDEX(分析データ!E:E,ROW()+$C$5)),""),"")</f>
        <v/>
      </c>
      <c r="BO199">
        <f t="shared" ca="1" si="97"/>
        <v>0</v>
      </c>
      <c r="BP199">
        <f t="shared" ca="1" si="98"/>
        <v>0</v>
      </c>
      <c r="BQ199">
        <f t="shared" ca="1" si="99"/>
        <v>0</v>
      </c>
      <c r="BR199" t="str">
        <f ca="1">IF(ROW()&lt;($C$7+1),"",IFERROR((分析データ!F199-AVERAGE(OFFSET(分析データ!F$1,MAX(1,ROW()-$C$7),0,MIN($C$7,ROW()-1),1)))/STDEV(OFFSET(分析データ!F$1,MAX(1,ROW()-$C$7),0,MIN($C$7,ROW()-1),1)),0))</f>
        <v/>
      </c>
      <c r="BS199">
        <f t="shared" ca="1" si="100"/>
        <v>0</v>
      </c>
      <c r="BT199" t="str">
        <f ca="1">IF(BS199=1,IF(INDEX(分析データ!$A:$A,ROW()+$C$5)&lt;&gt;"",40000*SIGN(BR199)*(分析データ!F199-INDEX(分析データ!F:F,ROW()+$C$5)),""),"")</f>
        <v/>
      </c>
      <c r="BU199">
        <f t="shared" ca="1" si="101"/>
        <v>0</v>
      </c>
      <c r="BV199">
        <f t="shared" ca="1" si="102"/>
        <v>0</v>
      </c>
      <c r="BW199">
        <f t="shared" ca="1" si="103"/>
        <v>0</v>
      </c>
      <c r="BX199" t="str">
        <f ca="1">IF(ROW()&lt;($C$7+1),"",IFERROR((分析データ!G199-AVERAGE(OFFSET(分析データ!G$1,MAX(1,ROW()-$C$7),0,MIN($C$7,ROW()-1),1)))/STDEV(OFFSET(分析データ!G$1,MAX(1,ROW()-$C$7),0,MIN($C$7,ROW()-1),1)),0))</f>
        <v/>
      </c>
      <c r="BY199">
        <f t="shared" ca="1" si="104"/>
        <v>0</v>
      </c>
      <c r="BZ199" t="str">
        <f ca="1">IF(BY199=1,IF(INDEX(分析データ!$A:$A,ROW()+$C$5)&lt;&gt;"",40000*SIGN(BX199)*(分析データ!G199-INDEX(分析データ!G:G,ROW()+$C$5)),""),"")</f>
        <v/>
      </c>
      <c r="CA199">
        <f t="shared" ca="1" si="105"/>
        <v>0</v>
      </c>
      <c r="CB199">
        <f t="shared" ca="1" si="106"/>
        <v>0</v>
      </c>
      <c r="CC199">
        <f t="shared" ca="1" si="107"/>
        <v>0</v>
      </c>
      <c r="CD199">
        <f t="shared" ca="1" si="108"/>
        <v>0</v>
      </c>
      <c r="CE199">
        <f t="shared" ca="1" si="109"/>
        <v>0</v>
      </c>
      <c r="CF199">
        <f t="shared" ca="1" si="110"/>
        <v>0</v>
      </c>
      <c r="CG199">
        <f t="shared" ca="1" si="111"/>
        <v>0</v>
      </c>
      <c r="CH199" s="10">
        <f>分析データ!A199</f>
        <v>45215</v>
      </c>
    </row>
    <row r="200" spans="46:86">
      <c r="AT200" t="str">
        <f ca="1">IF(ROW()&lt;($C$7+1),"",IFERROR((分析データ!B200-AVERAGE(OFFSET(分析データ!B$1,MAX(1,ROW()-$C$7),0,MIN($C$7,ROW()-1),1)))/STDEV(OFFSET(分析データ!B$1,MAX(1,ROW()-$C$7),0,MIN($C$7,ROW()-1),1)),0))</f>
        <v/>
      </c>
      <c r="AU200">
        <f t="shared" ca="1" si="84"/>
        <v>0</v>
      </c>
      <c r="AV200" t="str">
        <f ca="1">IF(AU200=1,IF(INDEX(分析データ!$A:$A,ROW()+$C$5)&lt;&gt;"",80000*SIGN(AT200)*(分析データ!B200-INDEX(分析データ!B:B,ROW()+$C$5)),""),"")</f>
        <v/>
      </c>
      <c r="AW200">
        <f t="shared" ca="1" si="85"/>
        <v>0</v>
      </c>
      <c r="AX200">
        <f t="shared" ca="1" si="86"/>
        <v>0</v>
      </c>
      <c r="AY200">
        <f t="shared" ca="1" si="87"/>
        <v>0</v>
      </c>
      <c r="AZ200" t="str">
        <f ca="1">IF(ROW()&lt;($C$7+1),"",IFERROR((分析データ!C200-AVERAGE(OFFSET(分析データ!C$1,MAX(1,ROW()-$C$7),0,MIN($C$7,ROW()-1),1)))/STDEV(OFFSET(分析データ!C$1,MAX(1,ROW()-$C$7),0,MIN($C$7,ROW()-1),1)),0))</f>
        <v/>
      </c>
      <c r="BA200">
        <f t="shared" ca="1" si="88"/>
        <v>0</v>
      </c>
      <c r="BB200" t="str">
        <f ca="1">IF(BA200=1,IF(INDEX(分析データ!$A:$A,ROW()+$C$5)&lt;&gt;"",60000*SIGN(AZ200)*(分析データ!C200-INDEX(分析データ!C:C,ROW()+$C$5)),""),"")</f>
        <v/>
      </c>
      <c r="BC200">
        <f t="shared" ca="1" si="89"/>
        <v>0</v>
      </c>
      <c r="BD200">
        <f t="shared" ca="1" si="90"/>
        <v>0</v>
      </c>
      <c r="BE200">
        <f t="shared" ca="1" si="91"/>
        <v>0</v>
      </c>
      <c r="BF200" t="str">
        <f ca="1">IF(ROW()&lt;($C$7+1),"",IFERROR((分析データ!D200-AVERAGE(OFFSET(分析データ!D$1,MAX(1,ROW()-$C$7),0,MIN($C$7,ROW()-1),1)))/STDEV(OFFSET(分析データ!D$1,MAX(1,ROW()-$C$7),0,MIN($C$7,ROW()-1),1)),0))</f>
        <v/>
      </c>
      <c r="BG200">
        <f t="shared" ca="1" si="92"/>
        <v>0</v>
      </c>
      <c r="BH200" t="str">
        <f ca="1">IF(BG200=1,IF(INDEX(分析データ!$A:$A,ROW()+$C$5)&lt;&gt;"",50000*SIGN(BF200)*(分析データ!D200-INDEX(分析データ!D:D,ROW()+$C$5)),""),"")</f>
        <v/>
      </c>
      <c r="BI200">
        <f t="shared" ca="1" si="93"/>
        <v>0</v>
      </c>
      <c r="BJ200">
        <f t="shared" ca="1" si="94"/>
        <v>0</v>
      </c>
      <c r="BK200">
        <f t="shared" ca="1" si="95"/>
        <v>0</v>
      </c>
      <c r="BL200" t="str">
        <f ca="1">IF(ROW()&lt;($C$7+1),"",IFERROR((分析データ!E200-AVERAGE(OFFSET(分析データ!E$1,MAX(1,ROW()-$C$7),0,MIN($C$7,ROW()-1),1)))/STDEV(OFFSET(分析データ!E$1,MAX(1,ROW()-$C$7),0,MIN($C$7,ROW()-1),1)),0))</f>
        <v/>
      </c>
      <c r="BM200">
        <f t="shared" ca="1" si="96"/>
        <v>0</v>
      </c>
      <c r="BN200" t="str">
        <f ca="1">IF(BM200=1,IF(INDEX(分析データ!$A:$A,ROW()+$C$5)&lt;&gt;"",40000*SIGN(BL200)*(分析データ!E200-INDEX(分析データ!E:E,ROW()+$C$5)),""),"")</f>
        <v/>
      </c>
      <c r="BO200">
        <f t="shared" ca="1" si="97"/>
        <v>0</v>
      </c>
      <c r="BP200">
        <f t="shared" ca="1" si="98"/>
        <v>0</v>
      </c>
      <c r="BQ200">
        <f t="shared" ca="1" si="99"/>
        <v>0</v>
      </c>
      <c r="BR200" t="str">
        <f ca="1">IF(ROW()&lt;($C$7+1),"",IFERROR((分析データ!F200-AVERAGE(OFFSET(分析データ!F$1,MAX(1,ROW()-$C$7),0,MIN($C$7,ROW()-1),1)))/STDEV(OFFSET(分析データ!F$1,MAX(1,ROW()-$C$7),0,MIN($C$7,ROW()-1),1)),0))</f>
        <v/>
      </c>
      <c r="BS200">
        <f t="shared" ca="1" si="100"/>
        <v>0</v>
      </c>
      <c r="BT200" t="str">
        <f ca="1">IF(BS200=1,IF(INDEX(分析データ!$A:$A,ROW()+$C$5)&lt;&gt;"",40000*SIGN(BR200)*(分析データ!F200-INDEX(分析データ!F:F,ROW()+$C$5)),""),"")</f>
        <v/>
      </c>
      <c r="BU200">
        <f t="shared" ca="1" si="101"/>
        <v>0</v>
      </c>
      <c r="BV200">
        <f t="shared" ca="1" si="102"/>
        <v>0</v>
      </c>
      <c r="BW200">
        <f t="shared" ca="1" si="103"/>
        <v>0</v>
      </c>
      <c r="BX200" t="str">
        <f ca="1">IF(ROW()&lt;($C$7+1),"",IFERROR((分析データ!G200-AVERAGE(OFFSET(分析データ!G$1,MAX(1,ROW()-$C$7),0,MIN($C$7,ROW()-1),1)))/STDEV(OFFSET(分析データ!G$1,MAX(1,ROW()-$C$7),0,MIN($C$7,ROW()-1),1)),0))</f>
        <v/>
      </c>
      <c r="BY200">
        <f t="shared" ca="1" si="104"/>
        <v>0</v>
      </c>
      <c r="BZ200" t="str">
        <f ca="1">IF(BY200=1,IF(INDEX(分析データ!$A:$A,ROW()+$C$5)&lt;&gt;"",40000*SIGN(BX200)*(分析データ!G200-INDEX(分析データ!G:G,ROW()+$C$5)),""),"")</f>
        <v/>
      </c>
      <c r="CA200">
        <f t="shared" ca="1" si="105"/>
        <v>0</v>
      </c>
      <c r="CB200">
        <f t="shared" ca="1" si="106"/>
        <v>0</v>
      </c>
      <c r="CC200">
        <f t="shared" ca="1" si="107"/>
        <v>0</v>
      </c>
      <c r="CD200">
        <f t="shared" ca="1" si="108"/>
        <v>0</v>
      </c>
      <c r="CE200">
        <f t="shared" ca="1" si="109"/>
        <v>0</v>
      </c>
      <c r="CF200">
        <f t="shared" ca="1" si="110"/>
        <v>0</v>
      </c>
      <c r="CG200">
        <f t="shared" ca="1" si="111"/>
        <v>0</v>
      </c>
      <c r="CH200" s="10">
        <f>分析データ!A200</f>
        <v>45216</v>
      </c>
    </row>
    <row r="201" spans="46:86">
      <c r="AT201" t="str">
        <f ca="1">IF(ROW()&lt;($C$7+1),"",IFERROR((分析データ!B201-AVERAGE(OFFSET(分析データ!B$1,MAX(1,ROW()-$C$7),0,MIN($C$7,ROW()-1),1)))/STDEV(OFFSET(分析データ!B$1,MAX(1,ROW()-$C$7),0,MIN($C$7,ROW()-1),1)),0))</f>
        <v/>
      </c>
      <c r="AU201">
        <f t="shared" ca="1" si="84"/>
        <v>0</v>
      </c>
      <c r="AV201" t="str">
        <f ca="1">IF(AU201=1,IF(INDEX(分析データ!$A:$A,ROW()+$C$5)&lt;&gt;"",80000*SIGN(AT201)*(分析データ!B201-INDEX(分析データ!B:B,ROW()+$C$5)),""),"")</f>
        <v/>
      </c>
      <c r="AW201">
        <f t="shared" ca="1" si="85"/>
        <v>0</v>
      </c>
      <c r="AX201">
        <f t="shared" ca="1" si="86"/>
        <v>0</v>
      </c>
      <c r="AY201">
        <f t="shared" ca="1" si="87"/>
        <v>0</v>
      </c>
      <c r="AZ201" t="str">
        <f ca="1">IF(ROW()&lt;($C$7+1),"",IFERROR((分析データ!C201-AVERAGE(OFFSET(分析データ!C$1,MAX(1,ROW()-$C$7),0,MIN($C$7,ROW()-1),1)))/STDEV(OFFSET(分析データ!C$1,MAX(1,ROW()-$C$7),0,MIN($C$7,ROW()-1),1)),0))</f>
        <v/>
      </c>
      <c r="BA201">
        <f t="shared" ca="1" si="88"/>
        <v>0</v>
      </c>
      <c r="BB201" t="str">
        <f ca="1">IF(BA201=1,IF(INDEX(分析データ!$A:$A,ROW()+$C$5)&lt;&gt;"",60000*SIGN(AZ201)*(分析データ!C201-INDEX(分析データ!C:C,ROW()+$C$5)),""),"")</f>
        <v/>
      </c>
      <c r="BC201">
        <f t="shared" ca="1" si="89"/>
        <v>0</v>
      </c>
      <c r="BD201">
        <f t="shared" ca="1" si="90"/>
        <v>0</v>
      </c>
      <c r="BE201">
        <f t="shared" ca="1" si="91"/>
        <v>0</v>
      </c>
      <c r="BF201" t="str">
        <f ca="1">IF(ROW()&lt;($C$7+1),"",IFERROR((分析データ!D201-AVERAGE(OFFSET(分析データ!D$1,MAX(1,ROW()-$C$7),0,MIN($C$7,ROW()-1),1)))/STDEV(OFFSET(分析データ!D$1,MAX(1,ROW()-$C$7),0,MIN($C$7,ROW()-1),1)),0))</f>
        <v/>
      </c>
      <c r="BG201">
        <f t="shared" ca="1" si="92"/>
        <v>0</v>
      </c>
      <c r="BH201" t="str">
        <f ca="1">IF(BG201=1,IF(INDEX(分析データ!$A:$A,ROW()+$C$5)&lt;&gt;"",50000*SIGN(BF201)*(分析データ!D201-INDEX(分析データ!D:D,ROW()+$C$5)),""),"")</f>
        <v/>
      </c>
      <c r="BI201">
        <f t="shared" ca="1" si="93"/>
        <v>0</v>
      </c>
      <c r="BJ201">
        <f t="shared" ca="1" si="94"/>
        <v>0</v>
      </c>
      <c r="BK201">
        <f t="shared" ca="1" si="95"/>
        <v>0</v>
      </c>
      <c r="BL201" t="str">
        <f ca="1">IF(ROW()&lt;($C$7+1),"",IFERROR((分析データ!E201-AVERAGE(OFFSET(分析データ!E$1,MAX(1,ROW()-$C$7),0,MIN($C$7,ROW()-1),1)))/STDEV(OFFSET(分析データ!E$1,MAX(1,ROW()-$C$7),0,MIN($C$7,ROW()-1),1)),0))</f>
        <v/>
      </c>
      <c r="BM201">
        <f t="shared" ca="1" si="96"/>
        <v>0</v>
      </c>
      <c r="BN201" t="str">
        <f ca="1">IF(BM201=1,IF(INDEX(分析データ!$A:$A,ROW()+$C$5)&lt;&gt;"",40000*SIGN(BL201)*(分析データ!E201-INDEX(分析データ!E:E,ROW()+$C$5)),""),"")</f>
        <v/>
      </c>
      <c r="BO201">
        <f t="shared" ca="1" si="97"/>
        <v>0</v>
      </c>
      <c r="BP201">
        <f t="shared" ca="1" si="98"/>
        <v>0</v>
      </c>
      <c r="BQ201">
        <f t="shared" ca="1" si="99"/>
        <v>0</v>
      </c>
      <c r="BR201" t="str">
        <f ca="1">IF(ROW()&lt;($C$7+1),"",IFERROR((分析データ!F201-AVERAGE(OFFSET(分析データ!F$1,MAX(1,ROW()-$C$7),0,MIN($C$7,ROW()-1),1)))/STDEV(OFFSET(分析データ!F$1,MAX(1,ROW()-$C$7),0,MIN($C$7,ROW()-1),1)),0))</f>
        <v/>
      </c>
      <c r="BS201">
        <f t="shared" ca="1" si="100"/>
        <v>0</v>
      </c>
      <c r="BT201" t="str">
        <f ca="1">IF(BS201=1,IF(INDEX(分析データ!$A:$A,ROW()+$C$5)&lt;&gt;"",40000*SIGN(BR201)*(分析データ!F201-INDEX(分析データ!F:F,ROW()+$C$5)),""),"")</f>
        <v/>
      </c>
      <c r="BU201">
        <f t="shared" ca="1" si="101"/>
        <v>0</v>
      </c>
      <c r="BV201">
        <f t="shared" ca="1" si="102"/>
        <v>0</v>
      </c>
      <c r="BW201">
        <f t="shared" ca="1" si="103"/>
        <v>0</v>
      </c>
      <c r="BX201" t="str">
        <f ca="1">IF(ROW()&lt;($C$7+1),"",IFERROR((分析データ!G201-AVERAGE(OFFSET(分析データ!G$1,MAX(1,ROW()-$C$7),0,MIN($C$7,ROW()-1),1)))/STDEV(OFFSET(分析データ!G$1,MAX(1,ROW()-$C$7),0,MIN($C$7,ROW()-1),1)),0))</f>
        <v/>
      </c>
      <c r="BY201">
        <f t="shared" ca="1" si="104"/>
        <v>0</v>
      </c>
      <c r="BZ201" t="str">
        <f ca="1">IF(BY201=1,IF(INDEX(分析データ!$A:$A,ROW()+$C$5)&lt;&gt;"",40000*SIGN(BX201)*(分析データ!G201-INDEX(分析データ!G:G,ROW()+$C$5)),""),"")</f>
        <v/>
      </c>
      <c r="CA201">
        <f t="shared" ca="1" si="105"/>
        <v>0</v>
      </c>
      <c r="CB201">
        <f t="shared" ca="1" si="106"/>
        <v>0</v>
      </c>
      <c r="CC201">
        <f t="shared" ca="1" si="107"/>
        <v>0</v>
      </c>
      <c r="CD201">
        <f t="shared" ca="1" si="108"/>
        <v>0</v>
      </c>
      <c r="CE201">
        <f t="shared" ca="1" si="109"/>
        <v>0</v>
      </c>
      <c r="CF201">
        <f t="shared" ca="1" si="110"/>
        <v>0</v>
      </c>
      <c r="CG201">
        <f t="shared" ca="1" si="111"/>
        <v>0</v>
      </c>
      <c r="CH201" s="10">
        <f>分析データ!A201</f>
        <v>45217</v>
      </c>
    </row>
    <row r="202" spans="46:86">
      <c r="AT202" t="str">
        <f ca="1">IF(ROW()&lt;($C$7+1),"",IFERROR((分析データ!B202-AVERAGE(OFFSET(分析データ!B$1,MAX(1,ROW()-$C$7),0,MIN($C$7,ROW()-1),1)))/STDEV(OFFSET(分析データ!B$1,MAX(1,ROW()-$C$7),0,MIN($C$7,ROW()-1),1)),0))</f>
        <v/>
      </c>
      <c r="AU202">
        <f t="shared" ca="1" si="84"/>
        <v>0</v>
      </c>
      <c r="AV202" t="str">
        <f ca="1">IF(AU202=1,IF(INDEX(分析データ!$A:$A,ROW()+$C$5)&lt;&gt;"",80000*SIGN(AT202)*(分析データ!B202-INDEX(分析データ!B:B,ROW()+$C$5)),""),"")</f>
        <v/>
      </c>
      <c r="AW202">
        <f t="shared" ca="1" si="85"/>
        <v>0</v>
      </c>
      <c r="AX202">
        <f t="shared" ca="1" si="86"/>
        <v>0</v>
      </c>
      <c r="AY202">
        <f t="shared" ca="1" si="87"/>
        <v>0</v>
      </c>
      <c r="AZ202" t="str">
        <f ca="1">IF(ROW()&lt;($C$7+1),"",IFERROR((分析データ!C202-AVERAGE(OFFSET(分析データ!C$1,MAX(1,ROW()-$C$7),0,MIN($C$7,ROW()-1),1)))/STDEV(OFFSET(分析データ!C$1,MAX(1,ROW()-$C$7),0,MIN($C$7,ROW()-1),1)),0))</f>
        <v/>
      </c>
      <c r="BA202">
        <f t="shared" ca="1" si="88"/>
        <v>0</v>
      </c>
      <c r="BB202" t="str">
        <f ca="1">IF(BA202=1,IF(INDEX(分析データ!$A:$A,ROW()+$C$5)&lt;&gt;"",60000*SIGN(AZ202)*(分析データ!C202-INDEX(分析データ!C:C,ROW()+$C$5)),""),"")</f>
        <v/>
      </c>
      <c r="BC202">
        <f t="shared" ca="1" si="89"/>
        <v>0</v>
      </c>
      <c r="BD202">
        <f t="shared" ca="1" si="90"/>
        <v>0</v>
      </c>
      <c r="BE202">
        <f t="shared" ca="1" si="91"/>
        <v>0</v>
      </c>
      <c r="BF202" t="str">
        <f ca="1">IF(ROW()&lt;($C$7+1),"",IFERROR((分析データ!D202-AVERAGE(OFFSET(分析データ!D$1,MAX(1,ROW()-$C$7),0,MIN($C$7,ROW()-1),1)))/STDEV(OFFSET(分析データ!D$1,MAX(1,ROW()-$C$7),0,MIN($C$7,ROW()-1),1)),0))</f>
        <v/>
      </c>
      <c r="BG202">
        <f t="shared" ca="1" si="92"/>
        <v>0</v>
      </c>
      <c r="BH202" t="str">
        <f ca="1">IF(BG202=1,IF(INDEX(分析データ!$A:$A,ROW()+$C$5)&lt;&gt;"",50000*SIGN(BF202)*(分析データ!D202-INDEX(分析データ!D:D,ROW()+$C$5)),""),"")</f>
        <v/>
      </c>
      <c r="BI202">
        <f t="shared" ca="1" si="93"/>
        <v>0</v>
      </c>
      <c r="BJ202">
        <f t="shared" ca="1" si="94"/>
        <v>0</v>
      </c>
      <c r="BK202">
        <f t="shared" ca="1" si="95"/>
        <v>0</v>
      </c>
      <c r="BL202" t="str">
        <f ca="1">IF(ROW()&lt;($C$7+1),"",IFERROR((分析データ!E202-AVERAGE(OFFSET(分析データ!E$1,MAX(1,ROW()-$C$7),0,MIN($C$7,ROW()-1),1)))/STDEV(OFFSET(分析データ!E$1,MAX(1,ROW()-$C$7),0,MIN($C$7,ROW()-1),1)),0))</f>
        <v/>
      </c>
      <c r="BM202">
        <f t="shared" ca="1" si="96"/>
        <v>0</v>
      </c>
      <c r="BN202" t="str">
        <f ca="1">IF(BM202=1,IF(INDEX(分析データ!$A:$A,ROW()+$C$5)&lt;&gt;"",40000*SIGN(BL202)*(分析データ!E202-INDEX(分析データ!E:E,ROW()+$C$5)),""),"")</f>
        <v/>
      </c>
      <c r="BO202">
        <f t="shared" ca="1" si="97"/>
        <v>0</v>
      </c>
      <c r="BP202">
        <f t="shared" ca="1" si="98"/>
        <v>0</v>
      </c>
      <c r="BQ202">
        <f t="shared" ca="1" si="99"/>
        <v>0</v>
      </c>
      <c r="BR202" t="str">
        <f ca="1">IF(ROW()&lt;($C$7+1),"",IFERROR((分析データ!F202-AVERAGE(OFFSET(分析データ!F$1,MAX(1,ROW()-$C$7),0,MIN($C$7,ROW()-1),1)))/STDEV(OFFSET(分析データ!F$1,MAX(1,ROW()-$C$7),0,MIN($C$7,ROW()-1),1)),0))</f>
        <v/>
      </c>
      <c r="BS202">
        <f t="shared" ca="1" si="100"/>
        <v>0</v>
      </c>
      <c r="BT202" t="str">
        <f ca="1">IF(BS202=1,IF(INDEX(分析データ!$A:$A,ROW()+$C$5)&lt;&gt;"",40000*SIGN(BR202)*(分析データ!F202-INDEX(分析データ!F:F,ROW()+$C$5)),""),"")</f>
        <v/>
      </c>
      <c r="BU202">
        <f t="shared" ca="1" si="101"/>
        <v>0</v>
      </c>
      <c r="BV202">
        <f t="shared" ca="1" si="102"/>
        <v>0</v>
      </c>
      <c r="BW202">
        <f t="shared" ca="1" si="103"/>
        <v>0</v>
      </c>
      <c r="BX202" t="str">
        <f ca="1">IF(ROW()&lt;($C$7+1),"",IFERROR((分析データ!G202-AVERAGE(OFFSET(分析データ!G$1,MAX(1,ROW()-$C$7),0,MIN($C$7,ROW()-1),1)))/STDEV(OFFSET(分析データ!G$1,MAX(1,ROW()-$C$7),0,MIN($C$7,ROW()-1),1)),0))</f>
        <v/>
      </c>
      <c r="BY202">
        <f t="shared" ca="1" si="104"/>
        <v>0</v>
      </c>
      <c r="BZ202" t="str">
        <f ca="1">IF(BY202=1,IF(INDEX(分析データ!$A:$A,ROW()+$C$5)&lt;&gt;"",40000*SIGN(BX202)*(分析データ!G202-INDEX(分析データ!G:G,ROW()+$C$5)),""),"")</f>
        <v/>
      </c>
      <c r="CA202">
        <f t="shared" ca="1" si="105"/>
        <v>0</v>
      </c>
      <c r="CB202">
        <f t="shared" ca="1" si="106"/>
        <v>0</v>
      </c>
      <c r="CC202">
        <f t="shared" ca="1" si="107"/>
        <v>0</v>
      </c>
      <c r="CD202">
        <f t="shared" ca="1" si="108"/>
        <v>0</v>
      </c>
      <c r="CE202">
        <f t="shared" ca="1" si="109"/>
        <v>0</v>
      </c>
      <c r="CF202">
        <f t="shared" ca="1" si="110"/>
        <v>0</v>
      </c>
      <c r="CG202">
        <f t="shared" ca="1" si="111"/>
        <v>0</v>
      </c>
      <c r="CH202" s="10">
        <f>分析データ!A202</f>
        <v>45218</v>
      </c>
    </row>
    <row r="203" spans="46:86">
      <c r="AT203" t="str">
        <f ca="1">IF(ROW()&lt;($C$7+1),"",IFERROR((分析データ!B203-AVERAGE(OFFSET(分析データ!B$1,MAX(1,ROW()-$C$7),0,MIN($C$7,ROW()-1),1)))/STDEV(OFFSET(分析データ!B$1,MAX(1,ROW()-$C$7),0,MIN($C$7,ROW()-1),1)),0))</f>
        <v/>
      </c>
      <c r="AU203">
        <f t="shared" ca="1" si="84"/>
        <v>0</v>
      </c>
      <c r="AV203" t="str">
        <f ca="1">IF(AU203=1,IF(INDEX(分析データ!$A:$A,ROW()+$C$5)&lt;&gt;"",80000*SIGN(AT203)*(分析データ!B203-INDEX(分析データ!B:B,ROW()+$C$5)),""),"")</f>
        <v/>
      </c>
      <c r="AW203">
        <f t="shared" ca="1" si="85"/>
        <v>0</v>
      </c>
      <c r="AX203">
        <f t="shared" ca="1" si="86"/>
        <v>0</v>
      </c>
      <c r="AY203">
        <f t="shared" ca="1" si="87"/>
        <v>0</v>
      </c>
      <c r="AZ203" t="str">
        <f ca="1">IF(ROW()&lt;($C$7+1),"",IFERROR((分析データ!C203-AVERAGE(OFFSET(分析データ!C$1,MAX(1,ROW()-$C$7),0,MIN($C$7,ROW()-1),1)))/STDEV(OFFSET(分析データ!C$1,MAX(1,ROW()-$C$7),0,MIN($C$7,ROW()-1),1)),0))</f>
        <v/>
      </c>
      <c r="BA203">
        <f t="shared" ca="1" si="88"/>
        <v>0</v>
      </c>
      <c r="BB203" t="str">
        <f ca="1">IF(BA203=1,IF(INDEX(分析データ!$A:$A,ROW()+$C$5)&lt;&gt;"",60000*SIGN(AZ203)*(分析データ!C203-INDEX(分析データ!C:C,ROW()+$C$5)),""),"")</f>
        <v/>
      </c>
      <c r="BC203">
        <f t="shared" ca="1" si="89"/>
        <v>0</v>
      </c>
      <c r="BD203">
        <f t="shared" ca="1" si="90"/>
        <v>0</v>
      </c>
      <c r="BE203">
        <f t="shared" ca="1" si="91"/>
        <v>0</v>
      </c>
      <c r="BF203" t="str">
        <f ca="1">IF(ROW()&lt;($C$7+1),"",IFERROR((分析データ!D203-AVERAGE(OFFSET(分析データ!D$1,MAX(1,ROW()-$C$7),0,MIN($C$7,ROW()-1),1)))/STDEV(OFFSET(分析データ!D$1,MAX(1,ROW()-$C$7),0,MIN($C$7,ROW()-1),1)),0))</f>
        <v/>
      </c>
      <c r="BG203">
        <f t="shared" ca="1" si="92"/>
        <v>0</v>
      </c>
      <c r="BH203" t="str">
        <f ca="1">IF(BG203=1,IF(INDEX(分析データ!$A:$A,ROW()+$C$5)&lt;&gt;"",50000*SIGN(BF203)*(分析データ!D203-INDEX(分析データ!D:D,ROW()+$C$5)),""),"")</f>
        <v/>
      </c>
      <c r="BI203">
        <f t="shared" ca="1" si="93"/>
        <v>0</v>
      </c>
      <c r="BJ203">
        <f t="shared" ca="1" si="94"/>
        <v>0</v>
      </c>
      <c r="BK203">
        <f t="shared" ca="1" si="95"/>
        <v>0</v>
      </c>
      <c r="BL203" t="str">
        <f ca="1">IF(ROW()&lt;($C$7+1),"",IFERROR((分析データ!E203-AVERAGE(OFFSET(分析データ!E$1,MAX(1,ROW()-$C$7),0,MIN($C$7,ROW()-1),1)))/STDEV(OFFSET(分析データ!E$1,MAX(1,ROW()-$C$7),0,MIN($C$7,ROW()-1),1)),0))</f>
        <v/>
      </c>
      <c r="BM203">
        <f t="shared" ca="1" si="96"/>
        <v>0</v>
      </c>
      <c r="BN203" t="str">
        <f ca="1">IF(BM203=1,IF(INDEX(分析データ!$A:$A,ROW()+$C$5)&lt;&gt;"",40000*SIGN(BL203)*(分析データ!E203-INDEX(分析データ!E:E,ROW()+$C$5)),""),"")</f>
        <v/>
      </c>
      <c r="BO203">
        <f t="shared" ca="1" si="97"/>
        <v>0</v>
      </c>
      <c r="BP203">
        <f t="shared" ca="1" si="98"/>
        <v>0</v>
      </c>
      <c r="BQ203">
        <f t="shared" ca="1" si="99"/>
        <v>0</v>
      </c>
      <c r="BR203" t="str">
        <f ca="1">IF(ROW()&lt;($C$7+1),"",IFERROR((分析データ!F203-AVERAGE(OFFSET(分析データ!F$1,MAX(1,ROW()-$C$7),0,MIN($C$7,ROW()-1),1)))/STDEV(OFFSET(分析データ!F$1,MAX(1,ROW()-$C$7),0,MIN($C$7,ROW()-1),1)),0))</f>
        <v/>
      </c>
      <c r="BS203">
        <f t="shared" ca="1" si="100"/>
        <v>0</v>
      </c>
      <c r="BT203" t="str">
        <f ca="1">IF(BS203=1,IF(INDEX(分析データ!$A:$A,ROW()+$C$5)&lt;&gt;"",40000*SIGN(BR203)*(分析データ!F203-INDEX(分析データ!F:F,ROW()+$C$5)),""),"")</f>
        <v/>
      </c>
      <c r="BU203">
        <f t="shared" ca="1" si="101"/>
        <v>0</v>
      </c>
      <c r="BV203">
        <f t="shared" ca="1" si="102"/>
        <v>0</v>
      </c>
      <c r="BW203">
        <f t="shared" ca="1" si="103"/>
        <v>0</v>
      </c>
      <c r="BX203" t="str">
        <f ca="1">IF(ROW()&lt;($C$7+1),"",IFERROR((分析データ!G203-AVERAGE(OFFSET(分析データ!G$1,MAX(1,ROW()-$C$7),0,MIN($C$7,ROW()-1),1)))/STDEV(OFFSET(分析データ!G$1,MAX(1,ROW()-$C$7),0,MIN($C$7,ROW()-1),1)),0))</f>
        <v/>
      </c>
      <c r="BY203">
        <f t="shared" ca="1" si="104"/>
        <v>0</v>
      </c>
      <c r="BZ203" t="str">
        <f ca="1">IF(BY203=1,IF(INDEX(分析データ!$A:$A,ROW()+$C$5)&lt;&gt;"",40000*SIGN(BX203)*(分析データ!G203-INDEX(分析データ!G:G,ROW()+$C$5)),""),"")</f>
        <v/>
      </c>
      <c r="CA203">
        <f t="shared" ca="1" si="105"/>
        <v>0</v>
      </c>
      <c r="CB203">
        <f t="shared" ca="1" si="106"/>
        <v>0</v>
      </c>
      <c r="CC203">
        <f t="shared" ca="1" si="107"/>
        <v>0</v>
      </c>
      <c r="CD203">
        <f t="shared" ca="1" si="108"/>
        <v>0</v>
      </c>
      <c r="CE203">
        <f t="shared" ca="1" si="109"/>
        <v>0</v>
      </c>
      <c r="CF203">
        <f t="shared" ca="1" si="110"/>
        <v>0</v>
      </c>
      <c r="CG203">
        <f t="shared" ca="1" si="111"/>
        <v>0</v>
      </c>
      <c r="CH203" s="10">
        <f>分析データ!A203</f>
        <v>45219</v>
      </c>
    </row>
    <row r="204" spans="46:86">
      <c r="AT204" t="str">
        <f ca="1">IF(ROW()&lt;($C$7+1),"",IFERROR((分析データ!B204-AVERAGE(OFFSET(分析データ!B$1,MAX(1,ROW()-$C$7),0,MIN($C$7,ROW()-1),1)))/STDEV(OFFSET(分析データ!B$1,MAX(1,ROW()-$C$7),0,MIN($C$7,ROW()-1),1)),0))</f>
        <v/>
      </c>
      <c r="AU204">
        <f t="shared" ca="1" si="84"/>
        <v>0</v>
      </c>
      <c r="AV204" t="str">
        <f ca="1">IF(AU204=1,IF(INDEX(分析データ!$A:$A,ROW()+$C$5)&lt;&gt;"",80000*SIGN(AT204)*(分析データ!B204-INDEX(分析データ!B:B,ROW()+$C$5)),""),"")</f>
        <v/>
      </c>
      <c r="AW204">
        <f t="shared" ca="1" si="85"/>
        <v>0</v>
      </c>
      <c r="AX204">
        <f t="shared" ca="1" si="86"/>
        <v>0</v>
      </c>
      <c r="AY204">
        <f t="shared" ca="1" si="87"/>
        <v>0</v>
      </c>
      <c r="AZ204" t="str">
        <f ca="1">IF(ROW()&lt;($C$7+1),"",IFERROR((分析データ!C204-AVERAGE(OFFSET(分析データ!C$1,MAX(1,ROW()-$C$7),0,MIN($C$7,ROW()-1),1)))/STDEV(OFFSET(分析データ!C$1,MAX(1,ROW()-$C$7),0,MIN($C$7,ROW()-1),1)),0))</f>
        <v/>
      </c>
      <c r="BA204">
        <f t="shared" ca="1" si="88"/>
        <v>0</v>
      </c>
      <c r="BB204" t="str">
        <f ca="1">IF(BA204=1,IF(INDEX(分析データ!$A:$A,ROW()+$C$5)&lt;&gt;"",60000*SIGN(AZ204)*(分析データ!C204-INDEX(分析データ!C:C,ROW()+$C$5)),""),"")</f>
        <v/>
      </c>
      <c r="BC204">
        <f t="shared" ca="1" si="89"/>
        <v>0</v>
      </c>
      <c r="BD204">
        <f t="shared" ca="1" si="90"/>
        <v>0</v>
      </c>
      <c r="BE204">
        <f t="shared" ca="1" si="91"/>
        <v>0</v>
      </c>
      <c r="BF204" t="str">
        <f ca="1">IF(ROW()&lt;($C$7+1),"",IFERROR((分析データ!D204-AVERAGE(OFFSET(分析データ!D$1,MAX(1,ROW()-$C$7),0,MIN($C$7,ROW()-1),1)))/STDEV(OFFSET(分析データ!D$1,MAX(1,ROW()-$C$7),0,MIN($C$7,ROW()-1),1)),0))</f>
        <v/>
      </c>
      <c r="BG204">
        <f t="shared" ca="1" si="92"/>
        <v>0</v>
      </c>
      <c r="BH204" t="str">
        <f ca="1">IF(BG204=1,IF(INDEX(分析データ!$A:$A,ROW()+$C$5)&lt;&gt;"",50000*SIGN(BF204)*(分析データ!D204-INDEX(分析データ!D:D,ROW()+$C$5)),""),"")</f>
        <v/>
      </c>
      <c r="BI204">
        <f t="shared" ca="1" si="93"/>
        <v>0</v>
      </c>
      <c r="BJ204">
        <f t="shared" ca="1" si="94"/>
        <v>0</v>
      </c>
      <c r="BK204">
        <f t="shared" ca="1" si="95"/>
        <v>0</v>
      </c>
      <c r="BL204" t="str">
        <f ca="1">IF(ROW()&lt;($C$7+1),"",IFERROR((分析データ!E204-AVERAGE(OFFSET(分析データ!E$1,MAX(1,ROW()-$C$7),0,MIN($C$7,ROW()-1),1)))/STDEV(OFFSET(分析データ!E$1,MAX(1,ROW()-$C$7),0,MIN($C$7,ROW()-1),1)),0))</f>
        <v/>
      </c>
      <c r="BM204">
        <f t="shared" ca="1" si="96"/>
        <v>0</v>
      </c>
      <c r="BN204" t="str">
        <f ca="1">IF(BM204=1,IF(INDEX(分析データ!$A:$A,ROW()+$C$5)&lt;&gt;"",40000*SIGN(BL204)*(分析データ!E204-INDEX(分析データ!E:E,ROW()+$C$5)),""),"")</f>
        <v/>
      </c>
      <c r="BO204">
        <f t="shared" ca="1" si="97"/>
        <v>0</v>
      </c>
      <c r="BP204">
        <f t="shared" ca="1" si="98"/>
        <v>0</v>
      </c>
      <c r="BQ204">
        <f t="shared" ca="1" si="99"/>
        <v>0</v>
      </c>
      <c r="BR204" t="str">
        <f ca="1">IF(ROW()&lt;($C$7+1),"",IFERROR((分析データ!F204-AVERAGE(OFFSET(分析データ!F$1,MAX(1,ROW()-$C$7),0,MIN($C$7,ROW()-1),1)))/STDEV(OFFSET(分析データ!F$1,MAX(1,ROW()-$C$7),0,MIN($C$7,ROW()-1),1)),0))</f>
        <v/>
      </c>
      <c r="BS204">
        <f t="shared" ca="1" si="100"/>
        <v>0</v>
      </c>
      <c r="BT204" t="str">
        <f ca="1">IF(BS204=1,IF(INDEX(分析データ!$A:$A,ROW()+$C$5)&lt;&gt;"",40000*SIGN(BR204)*(分析データ!F204-INDEX(分析データ!F:F,ROW()+$C$5)),""),"")</f>
        <v/>
      </c>
      <c r="BU204">
        <f t="shared" ca="1" si="101"/>
        <v>0</v>
      </c>
      <c r="BV204">
        <f t="shared" ca="1" si="102"/>
        <v>0</v>
      </c>
      <c r="BW204">
        <f t="shared" ca="1" si="103"/>
        <v>0</v>
      </c>
      <c r="BX204" t="str">
        <f ca="1">IF(ROW()&lt;($C$7+1),"",IFERROR((分析データ!G204-AVERAGE(OFFSET(分析データ!G$1,MAX(1,ROW()-$C$7),0,MIN($C$7,ROW()-1),1)))/STDEV(OFFSET(分析データ!G$1,MAX(1,ROW()-$C$7),0,MIN($C$7,ROW()-1),1)),0))</f>
        <v/>
      </c>
      <c r="BY204">
        <f t="shared" ca="1" si="104"/>
        <v>0</v>
      </c>
      <c r="BZ204" t="str">
        <f ca="1">IF(BY204=1,IF(INDEX(分析データ!$A:$A,ROW()+$C$5)&lt;&gt;"",40000*SIGN(BX204)*(分析データ!G204-INDEX(分析データ!G:G,ROW()+$C$5)),""),"")</f>
        <v/>
      </c>
      <c r="CA204">
        <f t="shared" ca="1" si="105"/>
        <v>0</v>
      </c>
      <c r="CB204">
        <f t="shared" ca="1" si="106"/>
        <v>0</v>
      </c>
      <c r="CC204">
        <f t="shared" ca="1" si="107"/>
        <v>0</v>
      </c>
      <c r="CD204">
        <f t="shared" ca="1" si="108"/>
        <v>0</v>
      </c>
      <c r="CE204">
        <f t="shared" ca="1" si="109"/>
        <v>0</v>
      </c>
      <c r="CF204">
        <f t="shared" ca="1" si="110"/>
        <v>0</v>
      </c>
      <c r="CG204">
        <f t="shared" ca="1" si="111"/>
        <v>0</v>
      </c>
      <c r="CH204" s="10">
        <f>分析データ!A204</f>
        <v>45222</v>
      </c>
    </row>
    <row r="205" spans="46:86">
      <c r="AT205" t="str">
        <f ca="1">IF(ROW()&lt;($C$7+1),"",IFERROR((分析データ!B205-AVERAGE(OFFSET(分析データ!B$1,MAX(1,ROW()-$C$7),0,MIN($C$7,ROW()-1),1)))/STDEV(OFFSET(分析データ!B$1,MAX(1,ROW()-$C$7),0,MIN($C$7,ROW()-1),1)),0))</f>
        <v/>
      </c>
      <c r="AU205">
        <f t="shared" ca="1" si="84"/>
        <v>0</v>
      </c>
      <c r="AV205" t="str">
        <f ca="1">IF(AU205=1,IF(INDEX(分析データ!$A:$A,ROW()+$C$5)&lt;&gt;"",80000*SIGN(AT205)*(分析データ!B205-INDEX(分析データ!B:B,ROW()+$C$5)),""),"")</f>
        <v/>
      </c>
      <c r="AW205">
        <f t="shared" ca="1" si="85"/>
        <v>0</v>
      </c>
      <c r="AX205">
        <f t="shared" ca="1" si="86"/>
        <v>0</v>
      </c>
      <c r="AY205">
        <f t="shared" ca="1" si="87"/>
        <v>0</v>
      </c>
      <c r="AZ205" t="str">
        <f ca="1">IF(ROW()&lt;($C$7+1),"",IFERROR((分析データ!C205-AVERAGE(OFFSET(分析データ!C$1,MAX(1,ROW()-$C$7),0,MIN($C$7,ROW()-1),1)))/STDEV(OFFSET(分析データ!C$1,MAX(1,ROW()-$C$7),0,MIN($C$7,ROW()-1),1)),0))</f>
        <v/>
      </c>
      <c r="BA205">
        <f t="shared" ca="1" si="88"/>
        <v>0</v>
      </c>
      <c r="BB205" t="str">
        <f ca="1">IF(BA205=1,IF(INDEX(分析データ!$A:$A,ROW()+$C$5)&lt;&gt;"",60000*SIGN(AZ205)*(分析データ!C205-INDEX(分析データ!C:C,ROW()+$C$5)),""),"")</f>
        <v/>
      </c>
      <c r="BC205">
        <f t="shared" ca="1" si="89"/>
        <v>0</v>
      </c>
      <c r="BD205">
        <f t="shared" ca="1" si="90"/>
        <v>0</v>
      </c>
      <c r="BE205">
        <f t="shared" ca="1" si="91"/>
        <v>0</v>
      </c>
      <c r="BF205" t="str">
        <f ca="1">IF(ROW()&lt;($C$7+1),"",IFERROR((分析データ!D205-AVERAGE(OFFSET(分析データ!D$1,MAX(1,ROW()-$C$7),0,MIN($C$7,ROW()-1),1)))/STDEV(OFFSET(分析データ!D$1,MAX(1,ROW()-$C$7),0,MIN($C$7,ROW()-1),1)),0))</f>
        <v/>
      </c>
      <c r="BG205">
        <f t="shared" ca="1" si="92"/>
        <v>0</v>
      </c>
      <c r="BH205" t="str">
        <f ca="1">IF(BG205=1,IF(INDEX(分析データ!$A:$A,ROW()+$C$5)&lt;&gt;"",50000*SIGN(BF205)*(分析データ!D205-INDEX(分析データ!D:D,ROW()+$C$5)),""),"")</f>
        <v/>
      </c>
      <c r="BI205">
        <f t="shared" ca="1" si="93"/>
        <v>0</v>
      </c>
      <c r="BJ205">
        <f t="shared" ca="1" si="94"/>
        <v>0</v>
      </c>
      <c r="BK205">
        <f t="shared" ca="1" si="95"/>
        <v>0</v>
      </c>
      <c r="BL205" t="str">
        <f ca="1">IF(ROW()&lt;($C$7+1),"",IFERROR((分析データ!E205-AVERAGE(OFFSET(分析データ!E$1,MAX(1,ROW()-$C$7),0,MIN($C$7,ROW()-1),1)))/STDEV(OFFSET(分析データ!E$1,MAX(1,ROW()-$C$7),0,MIN($C$7,ROW()-1),1)),0))</f>
        <v/>
      </c>
      <c r="BM205">
        <f t="shared" ca="1" si="96"/>
        <v>0</v>
      </c>
      <c r="BN205" t="str">
        <f ca="1">IF(BM205=1,IF(INDEX(分析データ!$A:$A,ROW()+$C$5)&lt;&gt;"",40000*SIGN(BL205)*(分析データ!E205-INDEX(分析データ!E:E,ROW()+$C$5)),""),"")</f>
        <v/>
      </c>
      <c r="BO205">
        <f t="shared" ca="1" si="97"/>
        <v>0</v>
      </c>
      <c r="BP205">
        <f t="shared" ca="1" si="98"/>
        <v>0</v>
      </c>
      <c r="BQ205">
        <f t="shared" ca="1" si="99"/>
        <v>0</v>
      </c>
      <c r="BR205" t="str">
        <f ca="1">IF(ROW()&lt;($C$7+1),"",IFERROR((分析データ!F205-AVERAGE(OFFSET(分析データ!F$1,MAX(1,ROW()-$C$7),0,MIN($C$7,ROW()-1),1)))/STDEV(OFFSET(分析データ!F$1,MAX(1,ROW()-$C$7),0,MIN($C$7,ROW()-1),1)),0))</f>
        <v/>
      </c>
      <c r="BS205">
        <f t="shared" ca="1" si="100"/>
        <v>0</v>
      </c>
      <c r="BT205" t="str">
        <f ca="1">IF(BS205=1,IF(INDEX(分析データ!$A:$A,ROW()+$C$5)&lt;&gt;"",40000*SIGN(BR205)*(分析データ!F205-INDEX(分析データ!F:F,ROW()+$C$5)),""),"")</f>
        <v/>
      </c>
      <c r="BU205">
        <f t="shared" ca="1" si="101"/>
        <v>0</v>
      </c>
      <c r="BV205">
        <f t="shared" ca="1" si="102"/>
        <v>0</v>
      </c>
      <c r="BW205">
        <f t="shared" ca="1" si="103"/>
        <v>0</v>
      </c>
      <c r="BX205" t="str">
        <f ca="1">IF(ROW()&lt;($C$7+1),"",IFERROR((分析データ!G205-AVERAGE(OFFSET(分析データ!G$1,MAX(1,ROW()-$C$7),0,MIN($C$7,ROW()-1),1)))/STDEV(OFFSET(分析データ!G$1,MAX(1,ROW()-$C$7),0,MIN($C$7,ROW()-1),1)),0))</f>
        <v/>
      </c>
      <c r="BY205">
        <f t="shared" ca="1" si="104"/>
        <v>0</v>
      </c>
      <c r="BZ205" t="str">
        <f ca="1">IF(BY205=1,IF(INDEX(分析データ!$A:$A,ROW()+$C$5)&lt;&gt;"",40000*SIGN(BX205)*(分析データ!G205-INDEX(分析データ!G:G,ROW()+$C$5)),""),"")</f>
        <v/>
      </c>
      <c r="CA205">
        <f t="shared" ca="1" si="105"/>
        <v>0</v>
      </c>
      <c r="CB205">
        <f t="shared" ca="1" si="106"/>
        <v>0</v>
      </c>
      <c r="CC205">
        <f t="shared" ca="1" si="107"/>
        <v>0</v>
      </c>
      <c r="CD205">
        <f t="shared" ca="1" si="108"/>
        <v>0</v>
      </c>
      <c r="CE205">
        <f t="shared" ca="1" si="109"/>
        <v>0</v>
      </c>
      <c r="CF205">
        <f t="shared" ca="1" si="110"/>
        <v>0</v>
      </c>
      <c r="CG205">
        <f t="shared" ca="1" si="111"/>
        <v>0</v>
      </c>
      <c r="CH205" s="10">
        <f>分析データ!A205</f>
        <v>45223</v>
      </c>
    </row>
    <row r="206" spans="46:86">
      <c r="AT206" t="str">
        <f ca="1">IF(ROW()&lt;($C$7+1),"",IFERROR((分析データ!B206-AVERAGE(OFFSET(分析データ!B$1,MAX(1,ROW()-$C$7),0,MIN($C$7,ROW()-1),1)))/STDEV(OFFSET(分析データ!B$1,MAX(1,ROW()-$C$7),0,MIN($C$7,ROW()-1),1)),0))</f>
        <v/>
      </c>
      <c r="AU206">
        <f t="shared" ca="1" si="84"/>
        <v>0</v>
      </c>
      <c r="AV206" t="str">
        <f ca="1">IF(AU206=1,IF(INDEX(分析データ!$A:$A,ROW()+$C$5)&lt;&gt;"",80000*SIGN(AT206)*(分析データ!B206-INDEX(分析データ!B:B,ROW()+$C$5)),""),"")</f>
        <v/>
      </c>
      <c r="AW206">
        <f t="shared" ca="1" si="85"/>
        <v>0</v>
      </c>
      <c r="AX206">
        <f t="shared" ca="1" si="86"/>
        <v>0</v>
      </c>
      <c r="AY206">
        <f t="shared" ca="1" si="87"/>
        <v>0</v>
      </c>
      <c r="AZ206" t="str">
        <f ca="1">IF(ROW()&lt;($C$7+1),"",IFERROR((分析データ!C206-AVERAGE(OFFSET(分析データ!C$1,MAX(1,ROW()-$C$7),0,MIN($C$7,ROW()-1),1)))/STDEV(OFFSET(分析データ!C$1,MAX(1,ROW()-$C$7),0,MIN($C$7,ROW()-1),1)),0))</f>
        <v/>
      </c>
      <c r="BA206">
        <f t="shared" ca="1" si="88"/>
        <v>0</v>
      </c>
      <c r="BB206" t="str">
        <f ca="1">IF(BA206=1,IF(INDEX(分析データ!$A:$A,ROW()+$C$5)&lt;&gt;"",60000*SIGN(AZ206)*(分析データ!C206-INDEX(分析データ!C:C,ROW()+$C$5)),""),"")</f>
        <v/>
      </c>
      <c r="BC206">
        <f t="shared" ca="1" si="89"/>
        <v>0</v>
      </c>
      <c r="BD206">
        <f t="shared" ca="1" si="90"/>
        <v>0</v>
      </c>
      <c r="BE206">
        <f t="shared" ca="1" si="91"/>
        <v>0</v>
      </c>
      <c r="BF206" t="str">
        <f ca="1">IF(ROW()&lt;($C$7+1),"",IFERROR((分析データ!D206-AVERAGE(OFFSET(分析データ!D$1,MAX(1,ROW()-$C$7),0,MIN($C$7,ROW()-1),1)))/STDEV(OFFSET(分析データ!D$1,MAX(1,ROW()-$C$7),0,MIN($C$7,ROW()-1),1)),0))</f>
        <v/>
      </c>
      <c r="BG206">
        <f t="shared" ca="1" si="92"/>
        <v>0</v>
      </c>
      <c r="BH206" t="str">
        <f ca="1">IF(BG206=1,IF(INDEX(分析データ!$A:$A,ROW()+$C$5)&lt;&gt;"",50000*SIGN(BF206)*(分析データ!D206-INDEX(分析データ!D:D,ROW()+$C$5)),""),"")</f>
        <v/>
      </c>
      <c r="BI206">
        <f t="shared" ca="1" si="93"/>
        <v>0</v>
      </c>
      <c r="BJ206">
        <f t="shared" ca="1" si="94"/>
        <v>0</v>
      </c>
      <c r="BK206">
        <f t="shared" ca="1" si="95"/>
        <v>0</v>
      </c>
      <c r="BL206" t="str">
        <f ca="1">IF(ROW()&lt;($C$7+1),"",IFERROR((分析データ!E206-AVERAGE(OFFSET(分析データ!E$1,MAX(1,ROW()-$C$7),0,MIN($C$7,ROW()-1),1)))/STDEV(OFFSET(分析データ!E$1,MAX(1,ROW()-$C$7),0,MIN($C$7,ROW()-1),1)),0))</f>
        <v/>
      </c>
      <c r="BM206">
        <f t="shared" ca="1" si="96"/>
        <v>0</v>
      </c>
      <c r="BN206" t="str">
        <f ca="1">IF(BM206=1,IF(INDEX(分析データ!$A:$A,ROW()+$C$5)&lt;&gt;"",40000*SIGN(BL206)*(分析データ!E206-INDEX(分析データ!E:E,ROW()+$C$5)),""),"")</f>
        <v/>
      </c>
      <c r="BO206">
        <f t="shared" ca="1" si="97"/>
        <v>0</v>
      </c>
      <c r="BP206">
        <f t="shared" ca="1" si="98"/>
        <v>0</v>
      </c>
      <c r="BQ206">
        <f t="shared" ca="1" si="99"/>
        <v>0</v>
      </c>
      <c r="BR206" t="str">
        <f ca="1">IF(ROW()&lt;($C$7+1),"",IFERROR((分析データ!F206-AVERAGE(OFFSET(分析データ!F$1,MAX(1,ROW()-$C$7),0,MIN($C$7,ROW()-1),1)))/STDEV(OFFSET(分析データ!F$1,MAX(1,ROW()-$C$7),0,MIN($C$7,ROW()-1),1)),0))</f>
        <v/>
      </c>
      <c r="BS206">
        <f t="shared" ca="1" si="100"/>
        <v>0</v>
      </c>
      <c r="BT206" t="str">
        <f ca="1">IF(BS206=1,IF(INDEX(分析データ!$A:$A,ROW()+$C$5)&lt;&gt;"",40000*SIGN(BR206)*(分析データ!F206-INDEX(分析データ!F:F,ROW()+$C$5)),""),"")</f>
        <v/>
      </c>
      <c r="BU206">
        <f t="shared" ca="1" si="101"/>
        <v>0</v>
      </c>
      <c r="BV206">
        <f t="shared" ca="1" si="102"/>
        <v>0</v>
      </c>
      <c r="BW206">
        <f t="shared" ca="1" si="103"/>
        <v>0</v>
      </c>
      <c r="BX206" t="str">
        <f ca="1">IF(ROW()&lt;($C$7+1),"",IFERROR((分析データ!G206-AVERAGE(OFFSET(分析データ!G$1,MAX(1,ROW()-$C$7),0,MIN($C$7,ROW()-1),1)))/STDEV(OFFSET(分析データ!G$1,MAX(1,ROW()-$C$7),0,MIN($C$7,ROW()-1),1)),0))</f>
        <v/>
      </c>
      <c r="BY206">
        <f t="shared" ca="1" si="104"/>
        <v>0</v>
      </c>
      <c r="BZ206" t="str">
        <f ca="1">IF(BY206=1,IF(INDEX(分析データ!$A:$A,ROW()+$C$5)&lt;&gt;"",40000*SIGN(BX206)*(分析データ!G206-INDEX(分析データ!G:G,ROW()+$C$5)),""),"")</f>
        <v/>
      </c>
      <c r="CA206">
        <f t="shared" ca="1" si="105"/>
        <v>0</v>
      </c>
      <c r="CB206">
        <f t="shared" ca="1" si="106"/>
        <v>0</v>
      </c>
      <c r="CC206">
        <f t="shared" ca="1" si="107"/>
        <v>0</v>
      </c>
      <c r="CD206">
        <f t="shared" ca="1" si="108"/>
        <v>0</v>
      </c>
      <c r="CE206">
        <f t="shared" ca="1" si="109"/>
        <v>0</v>
      </c>
      <c r="CF206">
        <f t="shared" ca="1" si="110"/>
        <v>0</v>
      </c>
      <c r="CG206">
        <f t="shared" ca="1" si="111"/>
        <v>0</v>
      </c>
      <c r="CH206" s="10">
        <f>分析データ!A206</f>
        <v>45224</v>
      </c>
    </row>
    <row r="207" spans="46:86">
      <c r="AT207" t="str">
        <f ca="1">IF(ROW()&lt;($C$7+1),"",IFERROR((分析データ!B207-AVERAGE(OFFSET(分析データ!B$1,MAX(1,ROW()-$C$7),0,MIN($C$7,ROW()-1),1)))/STDEV(OFFSET(分析データ!B$1,MAX(1,ROW()-$C$7),0,MIN($C$7,ROW()-1),1)),0))</f>
        <v/>
      </c>
      <c r="AU207">
        <f t="shared" ca="1" si="84"/>
        <v>0</v>
      </c>
      <c r="AV207" t="str">
        <f ca="1">IF(AU207=1,IF(INDEX(分析データ!$A:$A,ROW()+$C$5)&lt;&gt;"",80000*SIGN(AT207)*(分析データ!B207-INDEX(分析データ!B:B,ROW()+$C$5)),""),"")</f>
        <v/>
      </c>
      <c r="AW207">
        <f t="shared" ca="1" si="85"/>
        <v>0</v>
      </c>
      <c r="AX207">
        <f t="shared" ca="1" si="86"/>
        <v>0</v>
      </c>
      <c r="AY207">
        <f t="shared" ca="1" si="87"/>
        <v>0</v>
      </c>
      <c r="AZ207" t="str">
        <f ca="1">IF(ROW()&lt;($C$7+1),"",IFERROR((分析データ!C207-AVERAGE(OFFSET(分析データ!C$1,MAX(1,ROW()-$C$7),0,MIN($C$7,ROW()-1),1)))/STDEV(OFFSET(分析データ!C$1,MAX(1,ROW()-$C$7),0,MIN($C$7,ROW()-1),1)),0))</f>
        <v/>
      </c>
      <c r="BA207">
        <f t="shared" ca="1" si="88"/>
        <v>0</v>
      </c>
      <c r="BB207" t="str">
        <f ca="1">IF(BA207=1,IF(INDEX(分析データ!$A:$A,ROW()+$C$5)&lt;&gt;"",60000*SIGN(AZ207)*(分析データ!C207-INDEX(分析データ!C:C,ROW()+$C$5)),""),"")</f>
        <v/>
      </c>
      <c r="BC207">
        <f t="shared" ca="1" si="89"/>
        <v>0</v>
      </c>
      <c r="BD207">
        <f t="shared" ca="1" si="90"/>
        <v>0</v>
      </c>
      <c r="BE207">
        <f t="shared" ca="1" si="91"/>
        <v>0</v>
      </c>
      <c r="BF207" t="str">
        <f ca="1">IF(ROW()&lt;($C$7+1),"",IFERROR((分析データ!D207-AVERAGE(OFFSET(分析データ!D$1,MAX(1,ROW()-$C$7),0,MIN($C$7,ROW()-1),1)))/STDEV(OFFSET(分析データ!D$1,MAX(1,ROW()-$C$7),0,MIN($C$7,ROW()-1),1)),0))</f>
        <v/>
      </c>
      <c r="BG207">
        <f t="shared" ca="1" si="92"/>
        <v>0</v>
      </c>
      <c r="BH207" t="str">
        <f ca="1">IF(BG207=1,IF(INDEX(分析データ!$A:$A,ROW()+$C$5)&lt;&gt;"",50000*SIGN(BF207)*(分析データ!D207-INDEX(分析データ!D:D,ROW()+$C$5)),""),"")</f>
        <v/>
      </c>
      <c r="BI207">
        <f t="shared" ca="1" si="93"/>
        <v>0</v>
      </c>
      <c r="BJ207">
        <f t="shared" ca="1" si="94"/>
        <v>0</v>
      </c>
      <c r="BK207">
        <f t="shared" ca="1" si="95"/>
        <v>0</v>
      </c>
      <c r="BL207" t="str">
        <f ca="1">IF(ROW()&lt;($C$7+1),"",IFERROR((分析データ!E207-AVERAGE(OFFSET(分析データ!E$1,MAX(1,ROW()-$C$7),0,MIN($C$7,ROW()-1),1)))/STDEV(OFFSET(分析データ!E$1,MAX(1,ROW()-$C$7),0,MIN($C$7,ROW()-1),1)),0))</f>
        <v/>
      </c>
      <c r="BM207">
        <f t="shared" ca="1" si="96"/>
        <v>0</v>
      </c>
      <c r="BN207" t="str">
        <f ca="1">IF(BM207=1,IF(INDEX(分析データ!$A:$A,ROW()+$C$5)&lt;&gt;"",40000*SIGN(BL207)*(分析データ!E207-INDEX(分析データ!E:E,ROW()+$C$5)),""),"")</f>
        <v/>
      </c>
      <c r="BO207">
        <f t="shared" ca="1" si="97"/>
        <v>0</v>
      </c>
      <c r="BP207">
        <f t="shared" ca="1" si="98"/>
        <v>0</v>
      </c>
      <c r="BQ207">
        <f t="shared" ca="1" si="99"/>
        <v>0</v>
      </c>
      <c r="BR207" t="str">
        <f ca="1">IF(ROW()&lt;($C$7+1),"",IFERROR((分析データ!F207-AVERAGE(OFFSET(分析データ!F$1,MAX(1,ROW()-$C$7),0,MIN($C$7,ROW()-1),1)))/STDEV(OFFSET(分析データ!F$1,MAX(1,ROW()-$C$7),0,MIN($C$7,ROW()-1),1)),0))</f>
        <v/>
      </c>
      <c r="BS207">
        <f t="shared" ca="1" si="100"/>
        <v>0</v>
      </c>
      <c r="BT207" t="str">
        <f ca="1">IF(BS207=1,IF(INDEX(分析データ!$A:$A,ROW()+$C$5)&lt;&gt;"",40000*SIGN(BR207)*(分析データ!F207-INDEX(分析データ!F:F,ROW()+$C$5)),""),"")</f>
        <v/>
      </c>
      <c r="BU207">
        <f t="shared" ca="1" si="101"/>
        <v>0</v>
      </c>
      <c r="BV207">
        <f t="shared" ca="1" si="102"/>
        <v>0</v>
      </c>
      <c r="BW207">
        <f t="shared" ca="1" si="103"/>
        <v>0</v>
      </c>
      <c r="BX207" t="str">
        <f ca="1">IF(ROW()&lt;($C$7+1),"",IFERROR((分析データ!G207-AVERAGE(OFFSET(分析データ!G$1,MAX(1,ROW()-$C$7),0,MIN($C$7,ROW()-1),1)))/STDEV(OFFSET(分析データ!G$1,MAX(1,ROW()-$C$7),0,MIN($C$7,ROW()-1),1)),0))</f>
        <v/>
      </c>
      <c r="BY207">
        <f t="shared" ca="1" si="104"/>
        <v>0</v>
      </c>
      <c r="BZ207" t="str">
        <f ca="1">IF(BY207=1,IF(INDEX(分析データ!$A:$A,ROW()+$C$5)&lt;&gt;"",40000*SIGN(BX207)*(分析データ!G207-INDEX(分析データ!G:G,ROW()+$C$5)),""),"")</f>
        <v/>
      </c>
      <c r="CA207">
        <f t="shared" ca="1" si="105"/>
        <v>0</v>
      </c>
      <c r="CB207">
        <f t="shared" ca="1" si="106"/>
        <v>0</v>
      </c>
      <c r="CC207">
        <f t="shared" ca="1" si="107"/>
        <v>0</v>
      </c>
      <c r="CD207">
        <f t="shared" ca="1" si="108"/>
        <v>0</v>
      </c>
      <c r="CE207">
        <f t="shared" ca="1" si="109"/>
        <v>0</v>
      </c>
      <c r="CF207">
        <f t="shared" ca="1" si="110"/>
        <v>0</v>
      </c>
      <c r="CG207">
        <f t="shared" ca="1" si="111"/>
        <v>0</v>
      </c>
      <c r="CH207" s="10">
        <f>分析データ!A207</f>
        <v>45225</v>
      </c>
    </row>
    <row r="208" spans="46:86">
      <c r="AT208" t="str">
        <f ca="1">IF(ROW()&lt;($C$7+1),"",IFERROR((分析データ!B208-AVERAGE(OFFSET(分析データ!B$1,MAX(1,ROW()-$C$7),0,MIN($C$7,ROW()-1),1)))/STDEV(OFFSET(分析データ!B$1,MAX(1,ROW()-$C$7),0,MIN($C$7,ROW()-1),1)),0))</f>
        <v/>
      </c>
      <c r="AU208">
        <f t="shared" ca="1" si="84"/>
        <v>0</v>
      </c>
      <c r="AV208" t="str">
        <f ca="1">IF(AU208=1,IF(INDEX(分析データ!$A:$A,ROW()+$C$5)&lt;&gt;"",80000*SIGN(AT208)*(分析データ!B208-INDEX(分析データ!B:B,ROW()+$C$5)),""),"")</f>
        <v/>
      </c>
      <c r="AW208">
        <f t="shared" ca="1" si="85"/>
        <v>0</v>
      </c>
      <c r="AX208">
        <f t="shared" ca="1" si="86"/>
        <v>0</v>
      </c>
      <c r="AY208">
        <f t="shared" ca="1" si="87"/>
        <v>0</v>
      </c>
      <c r="AZ208" t="str">
        <f ca="1">IF(ROW()&lt;($C$7+1),"",IFERROR((分析データ!C208-AVERAGE(OFFSET(分析データ!C$1,MAX(1,ROW()-$C$7),0,MIN($C$7,ROW()-1),1)))/STDEV(OFFSET(分析データ!C$1,MAX(1,ROW()-$C$7),0,MIN($C$7,ROW()-1),1)),0))</f>
        <v/>
      </c>
      <c r="BA208">
        <f t="shared" ca="1" si="88"/>
        <v>0</v>
      </c>
      <c r="BB208" t="str">
        <f ca="1">IF(BA208=1,IF(INDEX(分析データ!$A:$A,ROW()+$C$5)&lt;&gt;"",60000*SIGN(AZ208)*(分析データ!C208-INDEX(分析データ!C:C,ROW()+$C$5)),""),"")</f>
        <v/>
      </c>
      <c r="BC208">
        <f t="shared" ca="1" si="89"/>
        <v>0</v>
      </c>
      <c r="BD208">
        <f t="shared" ca="1" si="90"/>
        <v>0</v>
      </c>
      <c r="BE208">
        <f t="shared" ca="1" si="91"/>
        <v>0</v>
      </c>
      <c r="BF208" t="str">
        <f ca="1">IF(ROW()&lt;($C$7+1),"",IFERROR((分析データ!D208-AVERAGE(OFFSET(分析データ!D$1,MAX(1,ROW()-$C$7),0,MIN($C$7,ROW()-1),1)))/STDEV(OFFSET(分析データ!D$1,MAX(1,ROW()-$C$7),0,MIN($C$7,ROW()-1),1)),0))</f>
        <v/>
      </c>
      <c r="BG208">
        <f t="shared" ca="1" si="92"/>
        <v>0</v>
      </c>
      <c r="BH208" t="str">
        <f ca="1">IF(BG208=1,IF(INDEX(分析データ!$A:$A,ROW()+$C$5)&lt;&gt;"",50000*SIGN(BF208)*(分析データ!D208-INDEX(分析データ!D:D,ROW()+$C$5)),""),"")</f>
        <v/>
      </c>
      <c r="BI208">
        <f t="shared" ca="1" si="93"/>
        <v>0</v>
      </c>
      <c r="BJ208">
        <f t="shared" ca="1" si="94"/>
        <v>0</v>
      </c>
      <c r="BK208">
        <f t="shared" ca="1" si="95"/>
        <v>0</v>
      </c>
      <c r="BL208" t="str">
        <f ca="1">IF(ROW()&lt;($C$7+1),"",IFERROR((分析データ!E208-AVERAGE(OFFSET(分析データ!E$1,MAX(1,ROW()-$C$7),0,MIN($C$7,ROW()-1),1)))/STDEV(OFFSET(分析データ!E$1,MAX(1,ROW()-$C$7),0,MIN($C$7,ROW()-1),1)),0))</f>
        <v/>
      </c>
      <c r="BM208">
        <f t="shared" ca="1" si="96"/>
        <v>0</v>
      </c>
      <c r="BN208" t="str">
        <f ca="1">IF(BM208=1,IF(INDEX(分析データ!$A:$A,ROW()+$C$5)&lt;&gt;"",40000*SIGN(BL208)*(分析データ!E208-INDEX(分析データ!E:E,ROW()+$C$5)),""),"")</f>
        <v/>
      </c>
      <c r="BO208">
        <f t="shared" ca="1" si="97"/>
        <v>0</v>
      </c>
      <c r="BP208">
        <f t="shared" ca="1" si="98"/>
        <v>0</v>
      </c>
      <c r="BQ208">
        <f t="shared" ca="1" si="99"/>
        <v>0</v>
      </c>
      <c r="BR208" t="str">
        <f ca="1">IF(ROW()&lt;($C$7+1),"",IFERROR((分析データ!F208-AVERAGE(OFFSET(分析データ!F$1,MAX(1,ROW()-$C$7),0,MIN($C$7,ROW()-1),1)))/STDEV(OFFSET(分析データ!F$1,MAX(1,ROW()-$C$7),0,MIN($C$7,ROW()-1),1)),0))</f>
        <v/>
      </c>
      <c r="BS208">
        <f t="shared" ca="1" si="100"/>
        <v>0</v>
      </c>
      <c r="BT208" t="str">
        <f ca="1">IF(BS208=1,IF(INDEX(分析データ!$A:$A,ROW()+$C$5)&lt;&gt;"",40000*SIGN(BR208)*(分析データ!F208-INDEX(分析データ!F:F,ROW()+$C$5)),""),"")</f>
        <v/>
      </c>
      <c r="BU208">
        <f t="shared" ca="1" si="101"/>
        <v>0</v>
      </c>
      <c r="BV208">
        <f t="shared" ca="1" si="102"/>
        <v>0</v>
      </c>
      <c r="BW208">
        <f t="shared" ca="1" si="103"/>
        <v>0</v>
      </c>
      <c r="BX208" t="str">
        <f ca="1">IF(ROW()&lt;($C$7+1),"",IFERROR((分析データ!G208-AVERAGE(OFFSET(分析データ!G$1,MAX(1,ROW()-$C$7),0,MIN($C$7,ROW()-1),1)))/STDEV(OFFSET(分析データ!G$1,MAX(1,ROW()-$C$7),0,MIN($C$7,ROW()-1),1)),0))</f>
        <v/>
      </c>
      <c r="BY208">
        <f t="shared" ca="1" si="104"/>
        <v>0</v>
      </c>
      <c r="BZ208" t="str">
        <f ca="1">IF(BY208=1,IF(INDEX(分析データ!$A:$A,ROW()+$C$5)&lt;&gt;"",40000*SIGN(BX208)*(分析データ!G208-INDEX(分析データ!G:G,ROW()+$C$5)),""),"")</f>
        <v/>
      </c>
      <c r="CA208">
        <f t="shared" ca="1" si="105"/>
        <v>0</v>
      </c>
      <c r="CB208">
        <f t="shared" ca="1" si="106"/>
        <v>0</v>
      </c>
      <c r="CC208">
        <f t="shared" ca="1" si="107"/>
        <v>0</v>
      </c>
      <c r="CD208">
        <f t="shared" ca="1" si="108"/>
        <v>0</v>
      </c>
      <c r="CE208">
        <f t="shared" ca="1" si="109"/>
        <v>0</v>
      </c>
      <c r="CF208">
        <f t="shared" ca="1" si="110"/>
        <v>0</v>
      </c>
      <c r="CG208">
        <f t="shared" ca="1" si="111"/>
        <v>0</v>
      </c>
      <c r="CH208" s="10">
        <f>分析データ!A208</f>
        <v>45226</v>
      </c>
    </row>
    <row r="209" spans="46:86">
      <c r="AT209" t="str">
        <f ca="1">IF(ROW()&lt;($C$7+1),"",IFERROR((分析データ!B209-AVERAGE(OFFSET(分析データ!B$1,MAX(1,ROW()-$C$7),0,MIN($C$7,ROW()-1),1)))/STDEV(OFFSET(分析データ!B$1,MAX(1,ROW()-$C$7),0,MIN($C$7,ROW()-1),1)),0))</f>
        <v/>
      </c>
      <c r="AU209">
        <f t="shared" ca="1" si="84"/>
        <v>0</v>
      </c>
      <c r="AV209" t="str">
        <f ca="1">IF(AU209=1,IF(INDEX(分析データ!$A:$A,ROW()+$C$5)&lt;&gt;"",80000*SIGN(AT209)*(分析データ!B209-INDEX(分析データ!B:B,ROW()+$C$5)),""),"")</f>
        <v/>
      </c>
      <c r="AW209">
        <f t="shared" ca="1" si="85"/>
        <v>0</v>
      </c>
      <c r="AX209">
        <f t="shared" ca="1" si="86"/>
        <v>0</v>
      </c>
      <c r="AY209">
        <f t="shared" ca="1" si="87"/>
        <v>0</v>
      </c>
      <c r="AZ209" t="str">
        <f ca="1">IF(ROW()&lt;($C$7+1),"",IFERROR((分析データ!C209-AVERAGE(OFFSET(分析データ!C$1,MAX(1,ROW()-$C$7),0,MIN($C$7,ROW()-1),1)))/STDEV(OFFSET(分析データ!C$1,MAX(1,ROW()-$C$7),0,MIN($C$7,ROW()-1),1)),0))</f>
        <v/>
      </c>
      <c r="BA209">
        <f t="shared" ca="1" si="88"/>
        <v>0</v>
      </c>
      <c r="BB209" t="str">
        <f ca="1">IF(BA209=1,IF(INDEX(分析データ!$A:$A,ROW()+$C$5)&lt;&gt;"",60000*SIGN(AZ209)*(分析データ!C209-INDEX(分析データ!C:C,ROW()+$C$5)),""),"")</f>
        <v/>
      </c>
      <c r="BC209">
        <f t="shared" ca="1" si="89"/>
        <v>0</v>
      </c>
      <c r="BD209">
        <f t="shared" ca="1" si="90"/>
        <v>0</v>
      </c>
      <c r="BE209">
        <f t="shared" ca="1" si="91"/>
        <v>0</v>
      </c>
      <c r="BF209" t="str">
        <f ca="1">IF(ROW()&lt;($C$7+1),"",IFERROR((分析データ!D209-AVERAGE(OFFSET(分析データ!D$1,MAX(1,ROW()-$C$7),0,MIN($C$7,ROW()-1),1)))/STDEV(OFFSET(分析データ!D$1,MAX(1,ROW()-$C$7),0,MIN($C$7,ROW()-1),1)),0))</f>
        <v/>
      </c>
      <c r="BG209">
        <f t="shared" ca="1" si="92"/>
        <v>0</v>
      </c>
      <c r="BH209" t="str">
        <f ca="1">IF(BG209=1,IF(INDEX(分析データ!$A:$A,ROW()+$C$5)&lt;&gt;"",50000*SIGN(BF209)*(分析データ!D209-INDEX(分析データ!D:D,ROW()+$C$5)),""),"")</f>
        <v/>
      </c>
      <c r="BI209">
        <f t="shared" ca="1" si="93"/>
        <v>0</v>
      </c>
      <c r="BJ209">
        <f t="shared" ca="1" si="94"/>
        <v>0</v>
      </c>
      <c r="BK209">
        <f t="shared" ca="1" si="95"/>
        <v>0</v>
      </c>
      <c r="BL209" t="str">
        <f ca="1">IF(ROW()&lt;($C$7+1),"",IFERROR((分析データ!E209-AVERAGE(OFFSET(分析データ!E$1,MAX(1,ROW()-$C$7),0,MIN($C$7,ROW()-1),1)))/STDEV(OFFSET(分析データ!E$1,MAX(1,ROW()-$C$7),0,MIN($C$7,ROW()-1),1)),0))</f>
        <v/>
      </c>
      <c r="BM209">
        <f t="shared" ca="1" si="96"/>
        <v>0</v>
      </c>
      <c r="BN209" t="str">
        <f ca="1">IF(BM209=1,IF(INDEX(分析データ!$A:$A,ROW()+$C$5)&lt;&gt;"",40000*SIGN(BL209)*(分析データ!E209-INDEX(分析データ!E:E,ROW()+$C$5)),""),"")</f>
        <v/>
      </c>
      <c r="BO209">
        <f t="shared" ca="1" si="97"/>
        <v>0</v>
      </c>
      <c r="BP209">
        <f t="shared" ca="1" si="98"/>
        <v>0</v>
      </c>
      <c r="BQ209">
        <f t="shared" ca="1" si="99"/>
        <v>0</v>
      </c>
      <c r="BR209" t="str">
        <f ca="1">IF(ROW()&lt;($C$7+1),"",IFERROR((分析データ!F209-AVERAGE(OFFSET(分析データ!F$1,MAX(1,ROW()-$C$7),0,MIN($C$7,ROW()-1),1)))/STDEV(OFFSET(分析データ!F$1,MAX(1,ROW()-$C$7),0,MIN($C$7,ROW()-1),1)),0))</f>
        <v/>
      </c>
      <c r="BS209">
        <f t="shared" ca="1" si="100"/>
        <v>0</v>
      </c>
      <c r="BT209" t="str">
        <f ca="1">IF(BS209=1,IF(INDEX(分析データ!$A:$A,ROW()+$C$5)&lt;&gt;"",40000*SIGN(BR209)*(分析データ!F209-INDEX(分析データ!F:F,ROW()+$C$5)),""),"")</f>
        <v/>
      </c>
      <c r="BU209">
        <f t="shared" ca="1" si="101"/>
        <v>0</v>
      </c>
      <c r="BV209">
        <f t="shared" ca="1" si="102"/>
        <v>0</v>
      </c>
      <c r="BW209">
        <f t="shared" ca="1" si="103"/>
        <v>0</v>
      </c>
      <c r="BX209" t="str">
        <f ca="1">IF(ROW()&lt;($C$7+1),"",IFERROR((分析データ!G209-AVERAGE(OFFSET(分析データ!G$1,MAX(1,ROW()-$C$7),0,MIN($C$7,ROW()-1),1)))/STDEV(OFFSET(分析データ!G$1,MAX(1,ROW()-$C$7),0,MIN($C$7,ROW()-1),1)),0))</f>
        <v/>
      </c>
      <c r="BY209">
        <f t="shared" ca="1" si="104"/>
        <v>0</v>
      </c>
      <c r="BZ209" t="str">
        <f ca="1">IF(BY209=1,IF(INDEX(分析データ!$A:$A,ROW()+$C$5)&lt;&gt;"",40000*SIGN(BX209)*(分析データ!G209-INDEX(分析データ!G:G,ROW()+$C$5)),""),"")</f>
        <v/>
      </c>
      <c r="CA209">
        <f t="shared" ca="1" si="105"/>
        <v>0</v>
      </c>
      <c r="CB209">
        <f t="shared" ca="1" si="106"/>
        <v>0</v>
      </c>
      <c r="CC209">
        <f t="shared" ca="1" si="107"/>
        <v>0</v>
      </c>
      <c r="CD209">
        <f t="shared" ca="1" si="108"/>
        <v>0</v>
      </c>
      <c r="CE209">
        <f t="shared" ca="1" si="109"/>
        <v>0</v>
      </c>
      <c r="CF209">
        <f t="shared" ca="1" si="110"/>
        <v>0</v>
      </c>
      <c r="CG209">
        <f t="shared" ca="1" si="111"/>
        <v>0</v>
      </c>
      <c r="CH209" s="10">
        <f>分析データ!A209</f>
        <v>45229</v>
      </c>
    </row>
    <row r="210" spans="46:86">
      <c r="AT210" t="str">
        <f ca="1">IF(ROW()&lt;($C$7+1),"",IFERROR((分析データ!B210-AVERAGE(OFFSET(分析データ!B$1,MAX(1,ROW()-$C$7),0,MIN($C$7,ROW()-1),1)))/STDEV(OFFSET(分析データ!B$1,MAX(1,ROW()-$C$7),0,MIN($C$7,ROW()-1),1)),0))</f>
        <v/>
      </c>
      <c r="AU210">
        <f t="shared" ca="1" si="84"/>
        <v>0</v>
      </c>
      <c r="AV210" t="str">
        <f ca="1">IF(AU210=1,IF(INDEX(分析データ!$A:$A,ROW()+$C$5)&lt;&gt;"",80000*SIGN(AT210)*(分析データ!B210-INDEX(分析データ!B:B,ROW()+$C$5)),""),"")</f>
        <v/>
      </c>
      <c r="AW210">
        <f t="shared" ca="1" si="85"/>
        <v>0</v>
      </c>
      <c r="AX210">
        <f t="shared" ca="1" si="86"/>
        <v>0</v>
      </c>
      <c r="AY210">
        <f t="shared" ca="1" si="87"/>
        <v>0</v>
      </c>
      <c r="AZ210" t="str">
        <f ca="1">IF(ROW()&lt;($C$7+1),"",IFERROR((分析データ!C210-AVERAGE(OFFSET(分析データ!C$1,MAX(1,ROW()-$C$7),0,MIN($C$7,ROW()-1),1)))/STDEV(OFFSET(分析データ!C$1,MAX(1,ROW()-$C$7),0,MIN($C$7,ROW()-1),1)),0))</f>
        <v/>
      </c>
      <c r="BA210">
        <f t="shared" ca="1" si="88"/>
        <v>0</v>
      </c>
      <c r="BB210" t="str">
        <f ca="1">IF(BA210=1,IF(INDEX(分析データ!$A:$A,ROW()+$C$5)&lt;&gt;"",60000*SIGN(AZ210)*(分析データ!C210-INDEX(分析データ!C:C,ROW()+$C$5)),""),"")</f>
        <v/>
      </c>
      <c r="BC210">
        <f t="shared" ca="1" si="89"/>
        <v>0</v>
      </c>
      <c r="BD210">
        <f t="shared" ca="1" si="90"/>
        <v>0</v>
      </c>
      <c r="BE210">
        <f t="shared" ca="1" si="91"/>
        <v>0</v>
      </c>
      <c r="BF210" t="str">
        <f ca="1">IF(ROW()&lt;($C$7+1),"",IFERROR((分析データ!D210-AVERAGE(OFFSET(分析データ!D$1,MAX(1,ROW()-$C$7),0,MIN($C$7,ROW()-1),1)))/STDEV(OFFSET(分析データ!D$1,MAX(1,ROW()-$C$7),0,MIN($C$7,ROW()-1),1)),0))</f>
        <v/>
      </c>
      <c r="BG210">
        <f t="shared" ca="1" si="92"/>
        <v>0</v>
      </c>
      <c r="BH210" t="str">
        <f ca="1">IF(BG210=1,IF(INDEX(分析データ!$A:$A,ROW()+$C$5)&lt;&gt;"",50000*SIGN(BF210)*(分析データ!D210-INDEX(分析データ!D:D,ROW()+$C$5)),""),"")</f>
        <v/>
      </c>
      <c r="BI210">
        <f t="shared" ca="1" si="93"/>
        <v>0</v>
      </c>
      <c r="BJ210">
        <f t="shared" ca="1" si="94"/>
        <v>0</v>
      </c>
      <c r="BK210">
        <f t="shared" ca="1" si="95"/>
        <v>0</v>
      </c>
      <c r="BL210" t="str">
        <f ca="1">IF(ROW()&lt;($C$7+1),"",IFERROR((分析データ!E210-AVERAGE(OFFSET(分析データ!E$1,MAX(1,ROW()-$C$7),0,MIN($C$7,ROW()-1),1)))/STDEV(OFFSET(分析データ!E$1,MAX(1,ROW()-$C$7),0,MIN($C$7,ROW()-1),1)),0))</f>
        <v/>
      </c>
      <c r="BM210">
        <f t="shared" ca="1" si="96"/>
        <v>0</v>
      </c>
      <c r="BN210" t="str">
        <f ca="1">IF(BM210=1,IF(INDEX(分析データ!$A:$A,ROW()+$C$5)&lt;&gt;"",40000*SIGN(BL210)*(分析データ!E210-INDEX(分析データ!E:E,ROW()+$C$5)),""),"")</f>
        <v/>
      </c>
      <c r="BO210">
        <f t="shared" ca="1" si="97"/>
        <v>0</v>
      </c>
      <c r="BP210">
        <f t="shared" ca="1" si="98"/>
        <v>0</v>
      </c>
      <c r="BQ210">
        <f t="shared" ca="1" si="99"/>
        <v>0</v>
      </c>
      <c r="BR210" t="str">
        <f ca="1">IF(ROW()&lt;($C$7+1),"",IFERROR((分析データ!F210-AVERAGE(OFFSET(分析データ!F$1,MAX(1,ROW()-$C$7),0,MIN($C$7,ROW()-1),1)))/STDEV(OFFSET(分析データ!F$1,MAX(1,ROW()-$C$7),0,MIN($C$7,ROW()-1),1)),0))</f>
        <v/>
      </c>
      <c r="BS210">
        <f t="shared" ca="1" si="100"/>
        <v>0</v>
      </c>
      <c r="BT210" t="str">
        <f ca="1">IF(BS210=1,IF(INDEX(分析データ!$A:$A,ROW()+$C$5)&lt;&gt;"",40000*SIGN(BR210)*(分析データ!F210-INDEX(分析データ!F:F,ROW()+$C$5)),""),"")</f>
        <v/>
      </c>
      <c r="BU210">
        <f t="shared" ca="1" si="101"/>
        <v>0</v>
      </c>
      <c r="BV210">
        <f t="shared" ca="1" si="102"/>
        <v>0</v>
      </c>
      <c r="BW210">
        <f t="shared" ca="1" si="103"/>
        <v>0</v>
      </c>
      <c r="BX210" t="str">
        <f ca="1">IF(ROW()&lt;($C$7+1),"",IFERROR((分析データ!G210-AVERAGE(OFFSET(分析データ!G$1,MAX(1,ROW()-$C$7),0,MIN($C$7,ROW()-1),1)))/STDEV(OFFSET(分析データ!G$1,MAX(1,ROW()-$C$7),0,MIN($C$7,ROW()-1),1)),0))</f>
        <v/>
      </c>
      <c r="BY210">
        <f t="shared" ca="1" si="104"/>
        <v>0</v>
      </c>
      <c r="BZ210" t="str">
        <f ca="1">IF(BY210=1,IF(INDEX(分析データ!$A:$A,ROW()+$C$5)&lt;&gt;"",40000*SIGN(BX210)*(分析データ!G210-INDEX(分析データ!G:G,ROW()+$C$5)),""),"")</f>
        <v/>
      </c>
      <c r="CA210">
        <f t="shared" ca="1" si="105"/>
        <v>0</v>
      </c>
      <c r="CB210">
        <f t="shared" ca="1" si="106"/>
        <v>0</v>
      </c>
      <c r="CC210">
        <f t="shared" ca="1" si="107"/>
        <v>0</v>
      </c>
      <c r="CD210">
        <f t="shared" ca="1" si="108"/>
        <v>0</v>
      </c>
      <c r="CE210">
        <f t="shared" ca="1" si="109"/>
        <v>0</v>
      </c>
      <c r="CF210">
        <f t="shared" ca="1" si="110"/>
        <v>0</v>
      </c>
      <c r="CG210">
        <f t="shared" ca="1" si="111"/>
        <v>0</v>
      </c>
      <c r="CH210" s="10">
        <f>分析データ!A210</f>
        <v>45230</v>
      </c>
    </row>
    <row r="211" spans="46:86">
      <c r="AT211" t="str">
        <f ca="1">IF(ROW()&lt;($C$7+1),"",IFERROR((分析データ!B211-AVERAGE(OFFSET(分析データ!B$1,MAX(1,ROW()-$C$7),0,MIN($C$7,ROW()-1),1)))/STDEV(OFFSET(分析データ!B$1,MAX(1,ROW()-$C$7),0,MIN($C$7,ROW()-1),1)),0))</f>
        <v/>
      </c>
      <c r="AU211">
        <f t="shared" ca="1" si="84"/>
        <v>0</v>
      </c>
      <c r="AV211" t="str">
        <f ca="1">IF(AU211=1,IF(INDEX(分析データ!$A:$A,ROW()+$C$5)&lt;&gt;"",80000*SIGN(AT211)*(分析データ!B211-INDEX(分析データ!B:B,ROW()+$C$5)),""),"")</f>
        <v/>
      </c>
      <c r="AW211">
        <f t="shared" ca="1" si="85"/>
        <v>0</v>
      </c>
      <c r="AX211">
        <f t="shared" ca="1" si="86"/>
        <v>0</v>
      </c>
      <c r="AY211">
        <f t="shared" ca="1" si="87"/>
        <v>0</v>
      </c>
      <c r="AZ211" t="str">
        <f ca="1">IF(ROW()&lt;($C$7+1),"",IFERROR((分析データ!C211-AVERAGE(OFFSET(分析データ!C$1,MAX(1,ROW()-$C$7),0,MIN($C$7,ROW()-1),1)))/STDEV(OFFSET(分析データ!C$1,MAX(1,ROW()-$C$7),0,MIN($C$7,ROW()-1),1)),0))</f>
        <v/>
      </c>
      <c r="BA211">
        <f t="shared" ca="1" si="88"/>
        <v>0</v>
      </c>
      <c r="BB211" t="str">
        <f ca="1">IF(BA211=1,IF(INDEX(分析データ!$A:$A,ROW()+$C$5)&lt;&gt;"",60000*SIGN(AZ211)*(分析データ!C211-INDEX(分析データ!C:C,ROW()+$C$5)),""),"")</f>
        <v/>
      </c>
      <c r="BC211">
        <f t="shared" ca="1" si="89"/>
        <v>0</v>
      </c>
      <c r="BD211">
        <f t="shared" ca="1" si="90"/>
        <v>0</v>
      </c>
      <c r="BE211">
        <f t="shared" ca="1" si="91"/>
        <v>0</v>
      </c>
      <c r="BF211" t="str">
        <f ca="1">IF(ROW()&lt;($C$7+1),"",IFERROR((分析データ!D211-AVERAGE(OFFSET(分析データ!D$1,MAX(1,ROW()-$C$7),0,MIN($C$7,ROW()-1),1)))/STDEV(OFFSET(分析データ!D$1,MAX(1,ROW()-$C$7),0,MIN($C$7,ROW()-1),1)),0))</f>
        <v/>
      </c>
      <c r="BG211">
        <f t="shared" ca="1" si="92"/>
        <v>0</v>
      </c>
      <c r="BH211" t="str">
        <f ca="1">IF(BG211=1,IF(INDEX(分析データ!$A:$A,ROW()+$C$5)&lt;&gt;"",50000*SIGN(BF211)*(分析データ!D211-INDEX(分析データ!D:D,ROW()+$C$5)),""),"")</f>
        <v/>
      </c>
      <c r="BI211">
        <f t="shared" ca="1" si="93"/>
        <v>0</v>
      </c>
      <c r="BJ211">
        <f t="shared" ca="1" si="94"/>
        <v>0</v>
      </c>
      <c r="BK211">
        <f t="shared" ca="1" si="95"/>
        <v>0</v>
      </c>
      <c r="BL211" t="str">
        <f ca="1">IF(ROW()&lt;($C$7+1),"",IFERROR((分析データ!E211-AVERAGE(OFFSET(分析データ!E$1,MAX(1,ROW()-$C$7),0,MIN($C$7,ROW()-1),1)))/STDEV(OFFSET(分析データ!E$1,MAX(1,ROW()-$C$7),0,MIN($C$7,ROW()-1),1)),0))</f>
        <v/>
      </c>
      <c r="BM211">
        <f t="shared" ca="1" si="96"/>
        <v>0</v>
      </c>
      <c r="BN211" t="str">
        <f ca="1">IF(BM211=1,IF(INDEX(分析データ!$A:$A,ROW()+$C$5)&lt;&gt;"",40000*SIGN(BL211)*(分析データ!E211-INDEX(分析データ!E:E,ROW()+$C$5)),""),"")</f>
        <v/>
      </c>
      <c r="BO211">
        <f t="shared" ca="1" si="97"/>
        <v>0</v>
      </c>
      <c r="BP211">
        <f t="shared" ca="1" si="98"/>
        <v>0</v>
      </c>
      <c r="BQ211">
        <f t="shared" ca="1" si="99"/>
        <v>0</v>
      </c>
      <c r="BR211" t="str">
        <f ca="1">IF(ROW()&lt;($C$7+1),"",IFERROR((分析データ!F211-AVERAGE(OFFSET(分析データ!F$1,MAX(1,ROW()-$C$7),0,MIN($C$7,ROW()-1),1)))/STDEV(OFFSET(分析データ!F$1,MAX(1,ROW()-$C$7),0,MIN($C$7,ROW()-1),1)),0))</f>
        <v/>
      </c>
      <c r="BS211">
        <f t="shared" ca="1" si="100"/>
        <v>0</v>
      </c>
      <c r="BT211" t="str">
        <f ca="1">IF(BS211=1,IF(INDEX(分析データ!$A:$A,ROW()+$C$5)&lt;&gt;"",40000*SIGN(BR211)*(分析データ!F211-INDEX(分析データ!F:F,ROW()+$C$5)),""),"")</f>
        <v/>
      </c>
      <c r="BU211">
        <f t="shared" ca="1" si="101"/>
        <v>0</v>
      </c>
      <c r="BV211">
        <f t="shared" ca="1" si="102"/>
        <v>0</v>
      </c>
      <c r="BW211">
        <f t="shared" ca="1" si="103"/>
        <v>0</v>
      </c>
      <c r="BX211" t="str">
        <f ca="1">IF(ROW()&lt;($C$7+1),"",IFERROR((分析データ!G211-AVERAGE(OFFSET(分析データ!G$1,MAX(1,ROW()-$C$7),0,MIN($C$7,ROW()-1),1)))/STDEV(OFFSET(分析データ!G$1,MAX(1,ROW()-$C$7),0,MIN($C$7,ROW()-1),1)),0))</f>
        <v/>
      </c>
      <c r="BY211">
        <f t="shared" ca="1" si="104"/>
        <v>0</v>
      </c>
      <c r="BZ211" t="str">
        <f ca="1">IF(BY211=1,IF(INDEX(分析データ!$A:$A,ROW()+$C$5)&lt;&gt;"",40000*SIGN(BX211)*(分析データ!G211-INDEX(分析データ!G:G,ROW()+$C$5)),""),"")</f>
        <v/>
      </c>
      <c r="CA211">
        <f t="shared" ca="1" si="105"/>
        <v>0</v>
      </c>
      <c r="CB211">
        <f t="shared" ca="1" si="106"/>
        <v>0</v>
      </c>
      <c r="CC211">
        <f t="shared" ca="1" si="107"/>
        <v>0</v>
      </c>
      <c r="CD211">
        <f t="shared" ca="1" si="108"/>
        <v>0</v>
      </c>
      <c r="CE211">
        <f t="shared" ca="1" si="109"/>
        <v>0</v>
      </c>
      <c r="CF211">
        <f t="shared" ca="1" si="110"/>
        <v>0</v>
      </c>
      <c r="CG211">
        <f t="shared" ca="1" si="111"/>
        <v>0</v>
      </c>
      <c r="CH211" s="10">
        <f>分析データ!A211</f>
        <v>45231</v>
      </c>
    </row>
    <row r="212" spans="46:86">
      <c r="AT212" t="str">
        <f ca="1">IF(ROW()&lt;($C$7+1),"",IFERROR((分析データ!B212-AVERAGE(OFFSET(分析データ!B$1,MAX(1,ROW()-$C$7),0,MIN($C$7,ROW()-1),1)))/STDEV(OFFSET(分析データ!B$1,MAX(1,ROW()-$C$7),0,MIN($C$7,ROW()-1),1)),0))</f>
        <v/>
      </c>
      <c r="AU212">
        <f t="shared" ca="1" si="84"/>
        <v>0</v>
      </c>
      <c r="AV212" t="str">
        <f ca="1">IF(AU212=1,IF(INDEX(分析データ!$A:$A,ROW()+$C$5)&lt;&gt;"",80000*SIGN(AT212)*(分析データ!B212-INDEX(分析データ!B:B,ROW()+$C$5)),""),"")</f>
        <v/>
      </c>
      <c r="AW212">
        <f t="shared" ca="1" si="85"/>
        <v>0</v>
      </c>
      <c r="AX212">
        <f t="shared" ca="1" si="86"/>
        <v>0</v>
      </c>
      <c r="AY212">
        <f t="shared" ca="1" si="87"/>
        <v>0</v>
      </c>
      <c r="AZ212" t="str">
        <f ca="1">IF(ROW()&lt;($C$7+1),"",IFERROR((分析データ!C212-AVERAGE(OFFSET(分析データ!C$1,MAX(1,ROW()-$C$7),0,MIN($C$7,ROW()-1),1)))/STDEV(OFFSET(分析データ!C$1,MAX(1,ROW()-$C$7),0,MIN($C$7,ROW()-1),1)),0))</f>
        <v/>
      </c>
      <c r="BA212">
        <f t="shared" ca="1" si="88"/>
        <v>0</v>
      </c>
      <c r="BB212" t="str">
        <f ca="1">IF(BA212=1,IF(INDEX(分析データ!$A:$A,ROW()+$C$5)&lt;&gt;"",60000*SIGN(AZ212)*(分析データ!C212-INDEX(分析データ!C:C,ROW()+$C$5)),""),"")</f>
        <v/>
      </c>
      <c r="BC212">
        <f t="shared" ca="1" si="89"/>
        <v>0</v>
      </c>
      <c r="BD212">
        <f t="shared" ca="1" si="90"/>
        <v>0</v>
      </c>
      <c r="BE212">
        <f t="shared" ca="1" si="91"/>
        <v>0</v>
      </c>
      <c r="BF212" t="str">
        <f ca="1">IF(ROW()&lt;($C$7+1),"",IFERROR((分析データ!D212-AVERAGE(OFFSET(分析データ!D$1,MAX(1,ROW()-$C$7),0,MIN($C$7,ROW()-1),1)))/STDEV(OFFSET(分析データ!D$1,MAX(1,ROW()-$C$7),0,MIN($C$7,ROW()-1),1)),0))</f>
        <v/>
      </c>
      <c r="BG212">
        <f t="shared" ca="1" si="92"/>
        <v>0</v>
      </c>
      <c r="BH212" t="str">
        <f ca="1">IF(BG212=1,IF(INDEX(分析データ!$A:$A,ROW()+$C$5)&lt;&gt;"",50000*SIGN(BF212)*(分析データ!D212-INDEX(分析データ!D:D,ROW()+$C$5)),""),"")</f>
        <v/>
      </c>
      <c r="BI212">
        <f t="shared" ca="1" si="93"/>
        <v>0</v>
      </c>
      <c r="BJ212">
        <f t="shared" ca="1" si="94"/>
        <v>0</v>
      </c>
      <c r="BK212">
        <f t="shared" ca="1" si="95"/>
        <v>0</v>
      </c>
      <c r="BL212" t="str">
        <f ca="1">IF(ROW()&lt;($C$7+1),"",IFERROR((分析データ!E212-AVERAGE(OFFSET(分析データ!E$1,MAX(1,ROW()-$C$7),0,MIN($C$7,ROW()-1),1)))/STDEV(OFFSET(分析データ!E$1,MAX(1,ROW()-$C$7),0,MIN($C$7,ROW()-1),1)),0))</f>
        <v/>
      </c>
      <c r="BM212">
        <f t="shared" ca="1" si="96"/>
        <v>0</v>
      </c>
      <c r="BN212" t="str">
        <f ca="1">IF(BM212=1,IF(INDEX(分析データ!$A:$A,ROW()+$C$5)&lt;&gt;"",40000*SIGN(BL212)*(分析データ!E212-INDEX(分析データ!E:E,ROW()+$C$5)),""),"")</f>
        <v/>
      </c>
      <c r="BO212">
        <f t="shared" ca="1" si="97"/>
        <v>0</v>
      </c>
      <c r="BP212">
        <f t="shared" ca="1" si="98"/>
        <v>0</v>
      </c>
      <c r="BQ212">
        <f t="shared" ca="1" si="99"/>
        <v>0</v>
      </c>
      <c r="BR212" t="str">
        <f ca="1">IF(ROW()&lt;($C$7+1),"",IFERROR((分析データ!F212-AVERAGE(OFFSET(分析データ!F$1,MAX(1,ROW()-$C$7),0,MIN($C$7,ROW()-1),1)))/STDEV(OFFSET(分析データ!F$1,MAX(1,ROW()-$C$7),0,MIN($C$7,ROW()-1),1)),0))</f>
        <v/>
      </c>
      <c r="BS212">
        <f t="shared" ca="1" si="100"/>
        <v>0</v>
      </c>
      <c r="BT212" t="str">
        <f ca="1">IF(BS212=1,IF(INDEX(分析データ!$A:$A,ROW()+$C$5)&lt;&gt;"",40000*SIGN(BR212)*(分析データ!F212-INDEX(分析データ!F:F,ROW()+$C$5)),""),"")</f>
        <v/>
      </c>
      <c r="BU212">
        <f t="shared" ca="1" si="101"/>
        <v>0</v>
      </c>
      <c r="BV212">
        <f t="shared" ca="1" si="102"/>
        <v>0</v>
      </c>
      <c r="BW212">
        <f t="shared" ca="1" si="103"/>
        <v>0</v>
      </c>
      <c r="BX212" t="str">
        <f ca="1">IF(ROW()&lt;($C$7+1),"",IFERROR((分析データ!G212-AVERAGE(OFFSET(分析データ!G$1,MAX(1,ROW()-$C$7),0,MIN($C$7,ROW()-1),1)))/STDEV(OFFSET(分析データ!G$1,MAX(1,ROW()-$C$7),0,MIN($C$7,ROW()-1),1)),0))</f>
        <v/>
      </c>
      <c r="BY212">
        <f t="shared" ca="1" si="104"/>
        <v>0</v>
      </c>
      <c r="BZ212" t="str">
        <f ca="1">IF(BY212=1,IF(INDEX(分析データ!$A:$A,ROW()+$C$5)&lt;&gt;"",40000*SIGN(BX212)*(分析データ!G212-INDEX(分析データ!G:G,ROW()+$C$5)),""),"")</f>
        <v/>
      </c>
      <c r="CA212">
        <f t="shared" ca="1" si="105"/>
        <v>0</v>
      </c>
      <c r="CB212">
        <f t="shared" ca="1" si="106"/>
        <v>0</v>
      </c>
      <c r="CC212">
        <f t="shared" ca="1" si="107"/>
        <v>0</v>
      </c>
      <c r="CD212">
        <f t="shared" ca="1" si="108"/>
        <v>0</v>
      </c>
      <c r="CE212">
        <f t="shared" ca="1" si="109"/>
        <v>0</v>
      </c>
      <c r="CF212">
        <f t="shared" ca="1" si="110"/>
        <v>0</v>
      </c>
      <c r="CG212">
        <f t="shared" ca="1" si="111"/>
        <v>0</v>
      </c>
      <c r="CH212" s="10">
        <f>分析データ!A212</f>
        <v>45232</v>
      </c>
    </row>
    <row r="213" spans="46:86">
      <c r="AT213" t="str">
        <f ca="1">IF(ROW()&lt;($C$7+1),"",IFERROR((分析データ!B213-AVERAGE(OFFSET(分析データ!B$1,MAX(1,ROW()-$C$7),0,MIN($C$7,ROW()-1),1)))/STDEV(OFFSET(分析データ!B$1,MAX(1,ROW()-$C$7),0,MIN($C$7,ROW()-1),1)),0))</f>
        <v/>
      </c>
      <c r="AU213">
        <f t="shared" ca="1" si="84"/>
        <v>0</v>
      </c>
      <c r="AV213" t="str">
        <f ca="1">IF(AU213=1,IF(INDEX(分析データ!$A:$A,ROW()+$C$5)&lt;&gt;"",80000*SIGN(AT213)*(分析データ!B213-INDEX(分析データ!B:B,ROW()+$C$5)),""),"")</f>
        <v/>
      </c>
      <c r="AW213">
        <f t="shared" ca="1" si="85"/>
        <v>0</v>
      </c>
      <c r="AX213">
        <f t="shared" ca="1" si="86"/>
        <v>0</v>
      </c>
      <c r="AY213">
        <f t="shared" ca="1" si="87"/>
        <v>0</v>
      </c>
      <c r="AZ213" t="str">
        <f ca="1">IF(ROW()&lt;($C$7+1),"",IFERROR((分析データ!C213-AVERAGE(OFFSET(分析データ!C$1,MAX(1,ROW()-$C$7),0,MIN($C$7,ROW()-1),1)))/STDEV(OFFSET(分析データ!C$1,MAX(1,ROW()-$C$7),0,MIN($C$7,ROW()-1),1)),0))</f>
        <v/>
      </c>
      <c r="BA213">
        <f t="shared" ca="1" si="88"/>
        <v>0</v>
      </c>
      <c r="BB213" t="str">
        <f ca="1">IF(BA213=1,IF(INDEX(分析データ!$A:$A,ROW()+$C$5)&lt;&gt;"",60000*SIGN(AZ213)*(分析データ!C213-INDEX(分析データ!C:C,ROW()+$C$5)),""),"")</f>
        <v/>
      </c>
      <c r="BC213">
        <f t="shared" ca="1" si="89"/>
        <v>0</v>
      </c>
      <c r="BD213">
        <f t="shared" ca="1" si="90"/>
        <v>0</v>
      </c>
      <c r="BE213">
        <f t="shared" ca="1" si="91"/>
        <v>0</v>
      </c>
      <c r="BF213" t="str">
        <f ca="1">IF(ROW()&lt;($C$7+1),"",IFERROR((分析データ!D213-AVERAGE(OFFSET(分析データ!D$1,MAX(1,ROW()-$C$7),0,MIN($C$7,ROW()-1),1)))/STDEV(OFFSET(分析データ!D$1,MAX(1,ROW()-$C$7),0,MIN($C$7,ROW()-1),1)),0))</f>
        <v/>
      </c>
      <c r="BG213">
        <f t="shared" ca="1" si="92"/>
        <v>0</v>
      </c>
      <c r="BH213" t="str">
        <f ca="1">IF(BG213=1,IF(INDEX(分析データ!$A:$A,ROW()+$C$5)&lt;&gt;"",50000*SIGN(BF213)*(分析データ!D213-INDEX(分析データ!D:D,ROW()+$C$5)),""),"")</f>
        <v/>
      </c>
      <c r="BI213">
        <f t="shared" ca="1" si="93"/>
        <v>0</v>
      </c>
      <c r="BJ213">
        <f t="shared" ca="1" si="94"/>
        <v>0</v>
      </c>
      <c r="BK213">
        <f t="shared" ca="1" si="95"/>
        <v>0</v>
      </c>
      <c r="BL213" t="str">
        <f ca="1">IF(ROW()&lt;($C$7+1),"",IFERROR((分析データ!E213-AVERAGE(OFFSET(分析データ!E$1,MAX(1,ROW()-$C$7),0,MIN($C$7,ROW()-1),1)))/STDEV(OFFSET(分析データ!E$1,MAX(1,ROW()-$C$7),0,MIN($C$7,ROW()-1),1)),0))</f>
        <v/>
      </c>
      <c r="BM213">
        <f t="shared" ca="1" si="96"/>
        <v>0</v>
      </c>
      <c r="BN213" t="str">
        <f ca="1">IF(BM213=1,IF(INDEX(分析データ!$A:$A,ROW()+$C$5)&lt;&gt;"",40000*SIGN(BL213)*(分析データ!E213-INDEX(分析データ!E:E,ROW()+$C$5)),""),"")</f>
        <v/>
      </c>
      <c r="BO213">
        <f t="shared" ca="1" si="97"/>
        <v>0</v>
      </c>
      <c r="BP213">
        <f t="shared" ca="1" si="98"/>
        <v>0</v>
      </c>
      <c r="BQ213">
        <f t="shared" ca="1" si="99"/>
        <v>0</v>
      </c>
      <c r="BR213" t="str">
        <f ca="1">IF(ROW()&lt;($C$7+1),"",IFERROR((分析データ!F213-AVERAGE(OFFSET(分析データ!F$1,MAX(1,ROW()-$C$7),0,MIN($C$7,ROW()-1),1)))/STDEV(OFFSET(分析データ!F$1,MAX(1,ROW()-$C$7),0,MIN($C$7,ROW()-1),1)),0))</f>
        <v/>
      </c>
      <c r="BS213">
        <f t="shared" ca="1" si="100"/>
        <v>0</v>
      </c>
      <c r="BT213" t="str">
        <f ca="1">IF(BS213=1,IF(INDEX(分析データ!$A:$A,ROW()+$C$5)&lt;&gt;"",40000*SIGN(BR213)*(分析データ!F213-INDEX(分析データ!F:F,ROW()+$C$5)),""),"")</f>
        <v/>
      </c>
      <c r="BU213">
        <f t="shared" ca="1" si="101"/>
        <v>0</v>
      </c>
      <c r="BV213">
        <f t="shared" ca="1" si="102"/>
        <v>0</v>
      </c>
      <c r="BW213">
        <f t="shared" ca="1" si="103"/>
        <v>0</v>
      </c>
      <c r="BX213" t="str">
        <f ca="1">IF(ROW()&lt;($C$7+1),"",IFERROR((分析データ!G213-AVERAGE(OFFSET(分析データ!G$1,MAX(1,ROW()-$C$7),0,MIN($C$7,ROW()-1),1)))/STDEV(OFFSET(分析データ!G$1,MAX(1,ROW()-$C$7),0,MIN($C$7,ROW()-1),1)),0))</f>
        <v/>
      </c>
      <c r="BY213">
        <f t="shared" ca="1" si="104"/>
        <v>0</v>
      </c>
      <c r="BZ213" t="str">
        <f ca="1">IF(BY213=1,IF(INDEX(分析データ!$A:$A,ROW()+$C$5)&lt;&gt;"",40000*SIGN(BX213)*(分析データ!G213-INDEX(分析データ!G:G,ROW()+$C$5)),""),"")</f>
        <v/>
      </c>
      <c r="CA213">
        <f t="shared" ca="1" si="105"/>
        <v>0</v>
      </c>
      <c r="CB213">
        <f t="shared" ca="1" si="106"/>
        <v>0</v>
      </c>
      <c r="CC213">
        <f t="shared" ca="1" si="107"/>
        <v>0</v>
      </c>
      <c r="CD213">
        <f t="shared" ca="1" si="108"/>
        <v>0</v>
      </c>
      <c r="CE213">
        <f t="shared" ca="1" si="109"/>
        <v>0</v>
      </c>
      <c r="CF213">
        <f t="shared" ca="1" si="110"/>
        <v>0</v>
      </c>
      <c r="CG213">
        <f t="shared" ca="1" si="111"/>
        <v>0</v>
      </c>
      <c r="CH213" s="10">
        <f>分析データ!A213</f>
        <v>45233</v>
      </c>
    </row>
    <row r="214" spans="46:86">
      <c r="AT214" t="str">
        <f ca="1">IF(ROW()&lt;($C$7+1),"",IFERROR((分析データ!B214-AVERAGE(OFFSET(分析データ!B$1,MAX(1,ROW()-$C$7),0,MIN($C$7,ROW()-1),1)))/STDEV(OFFSET(分析データ!B$1,MAX(1,ROW()-$C$7),0,MIN($C$7,ROW()-1),1)),0))</f>
        <v/>
      </c>
      <c r="AU214">
        <f t="shared" ca="1" si="84"/>
        <v>0</v>
      </c>
      <c r="AV214" t="str">
        <f ca="1">IF(AU214=1,IF(INDEX(分析データ!$A:$A,ROW()+$C$5)&lt;&gt;"",80000*SIGN(AT214)*(分析データ!B214-INDEX(分析データ!B:B,ROW()+$C$5)),""),"")</f>
        <v/>
      </c>
      <c r="AW214">
        <f t="shared" ca="1" si="85"/>
        <v>0</v>
      </c>
      <c r="AX214">
        <f t="shared" ca="1" si="86"/>
        <v>0</v>
      </c>
      <c r="AY214">
        <f t="shared" ca="1" si="87"/>
        <v>0</v>
      </c>
      <c r="AZ214" t="str">
        <f ca="1">IF(ROW()&lt;($C$7+1),"",IFERROR((分析データ!C214-AVERAGE(OFFSET(分析データ!C$1,MAX(1,ROW()-$C$7),0,MIN($C$7,ROW()-1),1)))/STDEV(OFFSET(分析データ!C$1,MAX(1,ROW()-$C$7),0,MIN($C$7,ROW()-1),1)),0))</f>
        <v/>
      </c>
      <c r="BA214">
        <f t="shared" ca="1" si="88"/>
        <v>0</v>
      </c>
      <c r="BB214" t="str">
        <f ca="1">IF(BA214=1,IF(INDEX(分析データ!$A:$A,ROW()+$C$5)&lt;&gt;"",60000*SIGN(AZ214)*(分析データ!C214-INDEX(分析データ!C:C,ROW()+$C$5)),""),"")</f>
        <v/>
      </c>
      <c r="BC214">
        <f t="shared" ca="1" si="89"/>
        <v>0</v>
      </c>
      <c r="BD214">
        <f t="shared" ca="1" si="90"/>
        <v>0</v>
      </c>
      <c r="BE214">
        <f t="shared" ca="1" si="91"/>
        <v>0</v>
      </c>
      <c r="BF214" t="str">
        <f ca="1">IF(ROW()&lt;($C$7+1),"",IFERROR((分析データ!D214-AVERAGE(OFFSET(分析データ!D$1,MAX(1,ROW()-$C$7),0,MIN($C$7,ROW()-1),1)))/STDEV(OFFSET(分析データ!D$1,MAX(1,ROW()-$C$7),0,MIN($C$7,ROW()-1),1)),0))</f>
        <v/>
      </c>
      <c r="BG214">
        <f t="shared" ca="1" si="92"/>
        <v>0</v>
      </c>
      <c r="BH214" t="str">
        <f ca="1">IF(BG214=1,IF(INDEX(分析データ!$A:$A,ROW()+$C$5)&lt;&gt;"",50000*SIGN(BF214)*(分析データ!D214-INDEX(分析データ!D:D,ROW()+$C$5)),""),"")</f>
        <v/>
      </c>
      <c r="BI214">
        <f t="shared" ca="1" si="93"/>
        <v>0</v>
      </c>
      <c r="BJ214">
        <f t="shared" ca="1" si="94"/>
        <v>0</v>
      </c>
      <c r="BK214">
        <f t="shared" ca="1" si="95"/>
        <v>0</v>
      </c>
      <c r="BL214" t="str">
        <f ca="1">IF(ROW()&lt;($C$7+1),"",IFERROR((分析データ!E214-AVERAGE(OFFSET(分析データ!E$1,MAX(1,ROW()-$C$7),0,MIN($C$7,ROW()-1),1)))/STDEV(OFFSET(分析データ!E$1,MAX(1,ROW()-$C$7),0,MIN($C$7,ROW()-1),1)),0))</f>
        <v/>
      </c>
      <c r="BM214">
        <f t="shared" ca="1" si="96"/>
        <v>0</v>
      </c>
      <c r="BN214" t="str">
        <f ca="1">IF(BM214=1,IF(INDEX(分析データ!$A:$A,ROW()+$C$5)&lt;&gt;"",40000*SIGN(BL214)*(分析データ!E214-INDEX(分析データ!E:E,ROW()+$C$5)),""),"")</f>
        <v/>
      </c>
      <c r="BO214">
        <f t="shared" ca="1" si="97"/>
        <v>0</v>
      </c>
      <c r="BP214">
        <f t="shared" ca="1" si="98"/>
        <v>0</v>
      </c>
      <c r="BQ214">
        <f t="shared" ca="1" si="99"/>
        <v>0</v>
      </c>
      <c r="BR214" t="str">
        <f ca="1">IF(ROW()&lt;($C$7+1),"",IFERROR((分析データ!F214-AVERAGE(OFFSET(分析データ!F$1,MAX(1,ROW()-$C$7),0,MIN($C$7,ROW()-1),1)))/STDEV(OFFSET(分析データ!F$1,MAX(1,ROW()-$C$7),0,MIN($C$7,ROW()-1),1)),0))</f>
        <v/>
      </c>
      <c r="BS214">
        <f t="shared" ca="1" si="100"/>
        <v>0</v>
      </c>
      <c r="BT214" t="str">
        <f ca="1">IF(BS214=1,IF(INDEX(分析データ!$A:$A,ROW()+$C$5)&lt;&gt;"",40000*SIGN(BR214)*(分析データ!F214-INDEX(分析データ!F:F,ROW()+$C$5)),""),"")</f>
        <v/>
      </c>
      <c r="BU214">
        <f t="shared" ca="1" si="101"/>
        <v>0</v>
      </c>
      <c r="BV214">
        <f t="shared" ca="1" si="102"/>
        <v>0</v>
      </c>
      <c r="BW214">
        <f t="shared" ca="1" si="103"/>
        <v>0</v>
      </c>
      <c r="BX214" t="str">
        <f ca="1">IF(ROW()&lt;($C$7+1),"",IFERROR((分析データ!G214-AVERAGE(OFFSET(分析データ!G$1,MAX(1,ROW()-$C$7),0,MIN($C$7,ROW()-1),1)))/STDEV(OFFSET(分析データ!G$1,MAX(1,ROW()-$C$7),0,MIN($C$7,ROW()-1),1)),0))</f>
        <v/>
      </c>
      <c r="BY214">
        <f t="shared" ca="1" si="104"/>
        <v>0</v>
      </c>
      <c r="BZ214" t="str">
        <f ca="1">IF(BY214=1,IF(INDEX(分析データ!$A:$A,ROW()+$C$5)&lt;&gt;"",40000*SIGN(BX214)*(分析データ!G214-INDEX(分析データ!G:G,ROW()+$C$5)),""),"")</f>
        <v/>
      </c>
      <c r="CA214">
        <f t="shared" ca="1" si="105"/>
        <v>0</v>
      </c>
      <c r="CB214">
        <f t="shared" ca="1" si="106"/>
        <v>0</v>
      </c>
      <c r="CC214">
        <f t="shared" ca="1" si="107"/>
        <v>0</v>
      </c>
      <c r="CD214">
        <f t="shared" ca="1" si="108"/>
        <v>0</v>
      </c>
      <c r="CE214">
        <f t="shared" ca="1" si="109"/>
        <v>0</v>
      </c>
      <c r="CF214">
        <f t="shared" ca="1" si="110"/>
        <v>0</v>
      </c>
      <c r="CG214">
        <f t="shared" ca="1" si="111"/>
        <v>0</v>
      </c>
      <c r="CH214" s="10">
        <f>分析データ!A214</f>
        <v>45236</v>
      </c>
    </row>
    <row r="215" spans="46:86">
      <c r="AT215" t="str">
        <f ca="1">IF(ROW()&lt;($C$7+1),"",IFERROR((分析データ!B215-AVERAGE(OFFSET(分析データ!B$1,MAX(1,ROW()-$C$7),0,MIN($C$7,ROW()-1),1)))/STDEV(OFFSET(分析データ!B$1,MAX(1,ROW()-$C$7),0,MIN($C$7,ROW()-1),1)),0))</f>
        <v/>
      </c>
      <c r="AU215">
        <f t="shared" ca="1" si="84"/>
        <v>0</v>
      </c>
      <c r="AV215" t="str">
        <f ca="1">IF(AU215=1,IF(INDEX(分析データ!$A:$A,ROW()+$C$5)&lt;&gt;"",80000*SIGN(AT215)*(分析データ!B215-INDEX(分析データ!B:B,ROW()+$C$5)),""),"")</f>
        <v/>
      </c>
      <c r="AW215">
        <f t="shared" ca="1" si="85"/>
        <v>0</v>
      </c>
      <c r="AX215">
        <f t="shared" ca="1" si="86"/>
        <v>0</v>
      </c>
      <c r="AY215">
        <f t="shared" ca="1" si="87"/>
        <v>0</v>
      </c>
      <c r="AZ215" t="str">
        <f ca="1">IF(ROW()&lt;($C$7+1),"",IFERROR((分析データ!C215-AVERAGE(OFFSET(分析データ!C$1,MAX(1,ROW()-$C$7),0,MIN($C$7,ROW()-1),1)))/STDEV(OFFSET(分析データ!C$1,MAX(1,ROW()-$C$7),0,MIN($C$7,ROW()-1),1)),0))</f>
        <v/>
      </c>
      <c r="BA215">
        <f t="shared" ca="1" si="88"/>
        <v>0</v>
      </c>
      <c r="BB215" t="str">
        <f ca="1">IF(BA215=1,IF(INDEX(分析データ!$A:$A,ROW()+$C$5)&lt;&gt;"",60000*SIGN(AZ215)*(分析データ!C215-INDEX(分析データ!C:C,ROW()+$C$5)),""),"")</f>
        <v/>
      </c>
      <c r="BC215">
        <f t="shared" ca="1" si="89"/>
        <v>0</v>
      </c>
      <c r="BD215">
        <f t="shared" ca="1" si="90"/>
        <v>0</v>
      </c>
      <c r="BE215">
        <f t="shared" ca="1" si="91"/>
        <v>0</v>
      </c>
      <c r="BF215" t="str">
        <f ca="1">IF(ROW()&lt;($C$7+1),"",IFERROR((分析データ!D215-AVERAGE(OFFSET(分析データ!D$1,MAX(1,ROW()-$C$7),0,MIN($C$7,ROW()-1),1)))/STDEV(OFFSET(分析データ!D$1,MAX(1,ROW()-$C$7),0,MIN($C$7,ROW()-1),1)),0))</f>
        <v/>
      </c>
      <c r="BG215">
        <f t="shared" ca="1" si="92"/>
        <v>0</v>
      </c>
      <c r="BH215" t="str">
        <f ca="1">IF(BG215=1,IF(INDEX(分析データ!$A:$A,ROW()+$C$5)&lt;&gt;"",50000*SIGN(BF215)*(分析データ!D215-INDEX(分析データ!D:D,ROW()+$C$5)),""),"")</f>
        <v/>
      </c>
      <c r="BI215">
        <f t="shared" ca="1" si="93"/>
        <v>0</v>
      </c>
      <c r="BJ215">
        <f t="shared" ca="1" si="94"/>
        <v>0</v>
      </c>
      <c r="BK215">
        <f t="shared" ca="1" si="95"/>
        <v>0</v>
      </c>
      <c r="BL215" t="str">
        <f ca="1">IF(ROW()&lt;($C$7+1),"",IFERROR((分析データ!E215-AVERAGE(OFFSET(分析データ!E$1,MAX(1,ROW()-$C$7),0,MIN($C$7,ROW()-1),1)))/STDEV(OFFSET(分析データ!E$1,MAX(1,ROW()-$C$7),0,MIN($C$7,ROW()-1),1)),0))</f>
        <v/>
      </c>
      <c r="BM215">
        <f t="shared" ca="1" si="96"/>
        <v>0</v>
      </c>
      <c r="BN215" t="str">
        <f ca="1">IF(BM215=1,IF(INDEX(分析データ!$A:$A,ROW()+$C$5)&lt;&gt;"",40000*SIGN(BL215)*(分析データ!E215-INDEX(分析データ!E:E,ROW()+$C$5)),""),"")</f>
        <v/>
      </c>
      <c r="BO215">
        <f t="shared" ca="1" si="97"/>
        <v>0</v>
      </c>
      <c r="BP215">
        <f t="shared" ca="1" si="98"/>
        <v>0</v>
      </c>
      <c r="BQ215">
        <f t="shared" ca="1" si="99"/>
        <v>0</v>
      </c>
      <c r="BR215" t="str">
        <f ca="1">IF(ROW()&lt;($C$7+1),"",IFERROR((分析データ!F215-AVERAGE(OFFSET(分析データ!F$1,MAX(1,ROW()-$C$7),0,MIN($C$7,ROW()-1),1)))/STDEV(OFFSET(分析データ!F$1,MAX(1,ROW()-$C$7),0,MIN($C$7,ROW()-1),1)),0))</f>
        <v/>
      </c>
      <c r="BS215">
        <f t="shared" ca="1" si="100"/>
        <v>0</v>
      </c>
      <c r="BT215" t="str">
        <f ca="1">IF(BS215=1,IF(INDEX(分析データ!$A:$A,ROW()+$C$5)&lt;&gt;"",40000*SIGN(BR215)*(分析データ!F215-INDEX(分析データ!F:F,ROW()+$C$5)),""),"")</f>
        <v/>
      </c>
      <c r="BU215">
        <f t="shared" ca="1" si="101"/>
        <v>0</v>
      </c>
      <c r="BV215">
        <f t="shared" ca="1" si="102"/>
        <v>0</v>
      </c>
      <c r="BW215">
        <f t="shared" ca="1" si="103"/>
        <v>0</v>
      </c>
      <c r="BX215" t="str">
        <f ca="1">IF(ROW()&lt;($C$7+1),"",IFERROR((分析データ!G215-AVERAGE(OFFSET(分析データ!G$1,MAX(1,ROW()-$C$7),0,MIN($C$7,ROW()-1),1)))/STDEV(OFFSET(分析データ!G$1,MAX(1,ROW()-$C$7),0,MIN($C$7,ROW()-1),1)),0))</f>
        <v/>
      </c>
      <c r="BY215">
        <f t="shared" ca="1" si="104"/>
        <v>0</v>
      </c>
      <c r="BZ215" t="str">
        <f ca="1">IF(BY215=1,IF(INDEX(分析データ!$A:$A,ROW()+$C$5)&lt;&gt;"",40000*SIGN(BX215)*(分析データ!G215-INDEX(分析データ!G:G,ROW()+$C$5)),""),"")</f>
        <v/>
      </c>
      <c r="CA215">
        <f t="shared" ca="1" si="105"/>
        <v>0</v>
      </c>
      <c r="CB215">
        <f t="shared" ca="1" si="106"/>
        <v>0</v>
      </c>
      <c r="CC215">
        <f t="shared" ca="1" si="107"/>
        <v>0</v>
      </c>
      <c r="CD215">
        <f t="shared" ca="1" si="108"/>
        <v>0</v>
      </c>
      <c r="CE215">
        <f t="shared" ca="1" si="109"/>
        <v>0</v>
      </c>
      <c r="CF215">
        <f t="shared" ca="1" si="110"/>
        <v>0</v>
      </c>
      <c r="CG215">
        <f t="shared" ca="1" si="111"/>
        <v>0</v>
      </c>
      <c r="CH215" s="10">
        <f>分析データ!A215</f>
        <v>45237</v>
      </c>
    </row>
    <row r="216" spans="46:86">
      <c r="AT216" t="str">
        <f ca="1">IF(ROW()&lt;($C$7+1),"",IFERROR((分析データ!B216-AVERAGE(OFFSET(分析データ!B$1,MAX(1,ROW()-$C$7),0,MIN($C$7,ROW()-1),1)))/STDEV(OFFSET(分析データ!B$1,MAX(1,ROW()-$C$7),0,MIN($C$7,ROW()-1),1)),0))</f>
        <v/>
      </c>
      <c r="AU216">
        <f t="shared" ca="1" si="84"/>
        <v>0</v>
      </c>
      <c r="AV216" t="str">
        <f ca="1">IF(AU216=1,IF(INDEX(分析データ!$A:$A,ROW()+$C$5)&lt;&gt;"",80000*SIGN(AT216)*(分析データ!B216-INDEX(分析データ!B:B,ROW()+$C$5)),""),"")</f>
        <v/>
      </c>
      <c r="AW216">
        <f t="shared" ca="1" si="85"/>
        <v>0</v>
      </c>
      <c r="AX216">
        <f t="shared" ca="1" si="86"/>
        <v>0</v>
      </c>
      <c r="AY216">
        <f t="shared" ca="1" si="87"/>
        <v>0</v>
      </c>
      <c r="AZ216" t="str">
        <f ca="1">IF(ROW()&lt;($C$7+1),"",IFERROR((分析データ!C216-AVERAGE(OFFSET(分析データ!C$1,MAX(1,ROW()-$C$7),0,MIN($C$7,ROW()-1),1)))/STDEV(OFFSET(分析データ!C$1,MAX(1,ROW()-$C$7),0,MIN($C$7,ROW()-1),1)),0))</f>
        <v/>
      </c>
      <c r="BA216">
        <f t="shared" ca="1" si="88"/>
        <v>0</v>
      </c>
      <c r="BB216" t="str">
        <f ca="1">IF(BA216=1,IF(INDEX(分析データ!$A:$A,ROW()+$C$5)&lt;&gt;"",60000*SIGN(AZ216)*(分析データ!C216-INDEX(分析データ!C:C,ROW()+$C$5)),""),"")</f>
        <v/>
      </c>
      <c r="BC216">
        <f t="shared" ca="1" si="89"/>
        <v>0</v>
      </c>
      <c r="BD216">
        <f t="shared" ca="1" si="90"/>
        <v>0</v>
      </c>
      <c r="BE216">
        <f t="shared" ca="1" si="91"/>
        <v>0</v>
      </c>
      <c r="BF216" t="str">
        <f ca="1">IF(ROW()&lt;($C$7+1),"",IFERROR((分析データ!D216-AVERAGE(OFFSET(分析データ!D$1,MAX(1,ROW()-$C$7),0,MIN($C$7,ROW()-1),1)))/STDEV(OFFSET(分析データ!D$1,MAX(1,ROW()-$C$7),0,MIN($C$7,ROW()-1),1)),0))</f>
        <v/>
      </c>
      <c r="BG216">
        <f t="shared" ca="1" si="92"/>
        <v>0</v>
      </c>
      <c r="BH216" t="str">
        <f ca="1">IF(BG216=1,IF(INDEX(分析データ!$A:$A,ROW()+$C$5)&lt;&gt;"",50000*SIGN(BF216)*(分析データ!D216-INDEX(分析データ!D:D,ROW()+$C$5)),""),"")</f>
        <v/>
      </c>
      <c r="BI216">
        <f t="shared" ca="1" si="93"/>
        <v>0</v>
      </c>
      <c r="BJ216">
        <f t="shared" ca="1" si="94"/>
        <v>0</v>
      </c>
      <c r="BK216">
        <f t="shared" ca="1" si="95"/>
        <v>0</v>
      </c>
      <c r="BL216" t="str">
        <f ca="1">IF(ROW()&lt;($C$7+1),"",IFERROR((分析データ!E216-AVERAGE(OFFSET(分析データ!E$1,MAX(1,ROW()-$C$7),0,MIN($C$7,ROW()-1),1)))/STDEV(OFFSET(分析データ!E$1,MAX(1,ROW()-$C$7),0,MIN($C$7,ROW()-1),1)),0))</f>
        <v/>
      </c>
      <c r="BM216">
        <f t="shared" ca="1" si="96"/>
        <v>0</v>
      </c>
      <c r="BN216" t="str">
        <f ca="1">IF(BM216=1,IF(INDEX(分析データ!$A:$A,ROW()+$C$5)&lt;&gt;"",40000*SIGN(BL216)*(分析データ!E216-INDEX(分析データ!E:E,ROW()+$C$5)),""),"")</f>
        <v/>
      </c>
      <c r="BO216">
        <f t="shared" ca="1" si="97"/>
        <v>0</v>
      </c>
      <c r="BP216">
        <f t="shared" ca="1" si="98"/>
        <v>0</v>
      </c>
      <c r="BQ216">
        <f t="shared" ca="1" si="99"/>
        <v>0</v>
      </c>
      <c r="BR216" t="str">
        <f ca="1">IF(ROW()&lt;($C$7+1),"",IFERROR((分析データ!F216-AVERAGE(OFFSET(分析データ!F$1,MAX(1,ROW()-$C$7),0,MIN($C$7,ROW()-1),1)))/STDEV(OFFSET(分析データ!F$1,MAX(1,ROW()-$C$7),0,MIN($C$7,ROW()-1),1)),0))</f>
        <v/>
      </c>
      <c r="BS216">
        <f t="shared" ca="1" si="100"/>
        <v>0</v>
      </c>
      <c r="BT216" t="str">
        <f ca="1">IF(BS216=1,IF(INDEX(分析データ!$A:$A,ROW()+$C$5)&lt;&gt;"",40000*SIGN(BR216)*(分析データ!F216-INDEX(分析データ!F:F,ROW()+$C$5)),""),"")</f>
        <v/>
      </c>
      <c r="BU216">
        <f t="shared" ca="1" si="101"/>
        <v>0</v>
      </c>
      <c r="BV216">
        <f t="shared" ca="1" si="102"/>
        <v>0</v>
      </c>
      <c r="BW216">
        <f t="shared" ca="1" si="103"/>
        <v>0</v>
      </c>
      <c r="BX216" t="str">
        <f ca="1">IF(ROW()&lt;($C$7+1),"",IFERROR((分析データ!G216-AVERAGE(OFFSET(分析データ!G$1,MAX(1,ROW()-$C$7),0,MIN($C$7,ROW()-1),1)))/STDEV(OFFSET(分析データ!G$1,MAX(1,ROW()-$C$7),0,MIN($C$7,ROW()-1),1)),0))</f>
        <v/>
      </c>
      <c r="BY216">
        <f t="shared" ca="1" si="104"/>
        <v>0</v>
      </c>
      <c r="BZ216" t="str">
        <f ca="1">IF(BY216=1,IF(INDEX(分析データ!$A:$A,ROW()+$C$5)&lt;&gt;"",40000*SIGN(BX216)*(分析データ!G216-INDEX(分析データ!G:G,ROW()+$C$5)),""),"")</f>
        <v/>
      </c>
      <c r="CA216">
        <f t="shared" ca="1" si="105"/>
        <v>0</v>
      </c>
      <c r="CB216">
        <f t="shared" ca="1" si="106"/>
        <v>0</v>
      </c>
      <c r="CC216">
        <f t="shared" ca="1" si="107"/>
        <v>0</v>
      </c>
      <c r="CD216">
        <f t="shared" ca="1" si="108"/>
        <v>0</v>
      </c>
      <c r="CE216">
        <f t="shared" ca="1" si="109"/>
        <v>0</v>
      </c>
      <c r="CF216">
        <f t="shared" ca="1" si="110"/>
        <v>0</v>
      </c>
      <c r="CG216">
        <f t="shared" ca="1" si="111"/>
        <v>0</v>
      </c>
      <c r="CH216" s="10">
        <f>分析データ!A216</f>
        <v>45238</v>
      </c>
    </row>
    <row r="217" spans="46:86">
      <c r="AT217" t="str">
        <f ca="1">IF(ROW()&lt;($C$7+1),"",IFERROR((分析データ!B217-AVERAGE(OFFSET(分析データ!B$1,MAX(1,ROW()-$C$7),0,MIN($C$7,ROW()-1),1)))/STDEV(OFFSET(分析データ!B$1,MAX(1,ROW()-$C$7),0,MIN($C$7,ROW()-1),1)),0))</f>
        <v/>
      </c>
      <c r="AU217">
        <f t="shared" ca="1" si="84"/>
        <v>0</v>
      </c>
      <c r="AV217" t="str">
        <f ca="1">IF(AU217=1,IF(INDEX(分析データ!$A:$A,ROW()+$C$5)&lt;&gt;"",80000*SIGN(AT217)*(分析データ!B217-INDEX(分析データ!B:B,ROW()+$C$5)),""),"")</f>
        <v/>
      </c>
      <c r="AW217">
        <f t="shared" ca="1" si="85"/>
        <v>0</v>
      </c>
      <c r="AX217">
        <f t="shared" ca="1" si="86"/>
        <v>0</v>
      </c>
      <c r="AY217">
        <f t="shared" ca="1" si="87"/>
        <v>0</v>
      </c>
      <c r="AZ217" t="str">
        <f ca="1">IF(ROW()&lt;($C$7+1),"",IFERROR((分析データ!C217-AVERAGE(OFFSET(分析データ!C$1,MAX(1,ROW()-$C$7),0,MIN($C$7,ROW()-1),1)))/STDEV(OFFSET(分析データ!C$1,MAX(1,ROW()-$C$7),0,MIN($C$7,ROW()-1),1)),0))</f>
        <v/>
      </c>
      <c r="BA217">
        <f t="shared" ca="1" si="88"/>
        <v>0</v>
      </c>
      <c r="BB217" t="str">
        <f ca="1">IF(BA217=1,IF(INDEX(分析データ!$A:$A,ROW()+$C$5)&lt;&gt;"",60000*SIGN(AZ217)*(分析データ!C217-INDEX(分析データ!C:C,ROW()+$C$5)),""),"")</f>
        <v/>
      </c>
      <c r="BC217">
        <f t="shared" ca="1" si="89"/>
        <v>0</v>
      </c>
      <c r="BD217">
        <f t="shared" ca="1" si="90"/>
        <v>0</v>
      </c>
      <c r="BE217">
        <f t="shared" ca="1" si="91"/>
        <v>0</v>
      </c>
      <c r="BF217" t="str">
        <f ca="1">IF(ROW()&lt;($C$7+1),"",IFERROR((分析データ!D217-AVERAGE(OFFSET(分析データ!D$1,MAX(1,ROW()-$C$7),0,MIN($C$7,ROW()-1),1)))/STDEV(OFFSET(分析データ!D$1,MAX(1,ROW()-$C$7),0,MIN($C$7,ROW()-1),1)),0))</f>
        <v/>
      </c>
      <c r="BG217">
        <f t="shared" ca="1" si="92"/>
        <v>0</v>
      </c>
      <c r="BH217" t="str">
        <f ca="1">IF(BG217=1,IF(INDEX(分析データ!$A:$A,ROW()+$C$5)&lt;&gt;"",50000*SIGN(BF217)*(分析データ!D217-INDEX(分析データ!D:D,ROW()+$C$5)),""),"")</f>
        <v/>
      </c>
      <c r="BI217">
        <f t="shared" ca="1" si="93"/>
        <v>0</v>
      </c>
      <c r="BJ217">
        <f t="shared" ca="1" si="94"/>
        <v>0</v>
      </c>
      <c r="BK217">
        <f t="shared" ca="1" si="95"/>
        <v>0</v>
      </c>
      <c r="BL217" t="str">
        <f ca="1">IF(ROW()&lt;($C$7+1),"",IFERROR((分析データ!E217-AVERAGE(OFFSET(分析データ!E$1,MAX(1,ROW()-$C$7),0,MIN($C$7,ROW()-1),1)))/STDEV(OFFSET(分析データ!E$1,MAX(1,ROW()-$C$7),0,MIN($C$7,ROW()-1),1)),0))</f>
        <v/>
      </c>
      <c r="BM217">
        <f t="shared" ca="1" si="96"/>
        <v>0</v>
      </c>
      <c r="BN217" t="str">
        <f ca="1">IF(BM217=1,IF(INDEX(分析データ!$A:$A,ROW()+$C$5)&lt;&gt;"",40000*SIGN(BL217)*(分析データ!E217-INDEX(分析データ!E:E,ROW()+$C$5)),""),"")</f>
        <v/>
      </c>
      <c r="BO217">
        <f t="shared" ca="1" si="97"/>
        <v>0</v>
      </c>
      <c r="BP217">
        <f t="shared" ca="1" si="98"/>
        <v>0</v>
      </c>
      <c r="BQ217">
        <f t="shared" ca="1" si="99"/>
        <v>0</v>
      </c>
      <c r="BR217" t="str">
        <f ca="1">IF(ROW()&lt;($C$7+1),"",IFERROR((分析データ!F217-AVERAGE(OFFSET(分析データ!F$1,MAX(1,ROW()-$C$7),0,MIN($C$7,ROW()-1),1)))/STDEV(OFFSET(分析データ!F$1,MAX(1,ROW()-$C$7),0,MIN($C$7,ROW()-1),1)),0))</f>
        <v/>
      </c>
      <c r="BS217">
        <f t="shared" ca="1" si="100"/>
        <v>0</v>
      </c>
      <c r="BT217" t="str">
        <f ca="1">IF(BS217=1,IF(INDEX(分析データ!$A:$A,ROW()+$C$5)&lt;&gt;"",40000*SIGN(BR217)*(分析データ!F217-INDEX(分析データ!F:F,ROW()+$C$5)),""),"")</f>
        <v/>
      </c>
      <c r="BU217">
        <f t="shared" ca="1" si="101"/>
        <v>0</v>
      </c>
      <c r="BV217">
        <f t="shared" ca="1" si="102"/>
        <v>0</v>
      </c>
      <c r="BW217">
        <f t="shared" ca="1" si="103"/>
        <v>0</v>
      </c>
      <c r="BX217" t="str">
        <f ca="1">IF(ROW()&lt;($C$7+1),"",IFERROR((分析データ!G217-AVERAGE(OFFSET(分析データ!G$1,MAX(1,ROW()-$C$7),0,MIN($C$7,ROW()-1),1)))/STDEV(OFFSET(分析データ!G$1,MAX(1,ROW()-$C$7),0,MIN($C$7,ROW()-1),1)),0))</f>
        <v/>
      </c>
      <c r="BY217">
        <f t="shared" ca="1" si="104"/>
        <v>0</v>
      </c>
      <c r="BZ217" t="str">
        <f ca="1">IF(BY217=1,IF(INDEX(分析データ!$A:$A,ROW()+$C$5)&lt;&gt;"",40000*SIGN(BX217)*(分析データ!G217-INDEX(分析データ!G:G,ROW()+$C$5)),""),"")</f>
        <v/>
      </c>
      <c r="CA217">
        <f t="shared" ca="1" si="105"/>
        <v>0</v>
      </c>
      <c r="CB217">
        <f t="shared" ca="1" si="106"/>
        <v>0</v>
      </c>
      <c r="CC217">
        <f t="shared" ca="1" si="107"/>
        <v>0</v>
      </c>
      <c r="CD217">
        <f t="shared" ca="1" si="108"/>
        <v>0</v>
      </c>
      <c r="CE217">
        <f t="shared" ca="1" si="109"/>
        <v>0</v>
      </c>
      <c r="CF217">
        <f t="shared" ca="1" si="110"/>
        <v>0</v>
      </c>
      <c r="CG217">
        <f t="shared" ca="1" si="111"/>
        <v>0</v>
      </c>
      <c r="CH217" s="10">
        <f>分析データ!A217</f>
        <v>45239</v>
      </c>
    </row>
    <row r="218" spans="46:86">
      <c r="AT218" t="str">
        <f ca="1">IF(ROW()&lt;($C$7+1),"",IFERROR((分析データ!B218-AVERAGE(OFFSET(分析データ!B$1,MAX(1,ROW()-$C$7),0,MIN($C$7,ROW()-1),1)))/STDEV(OFFSET(分析データ!B$1,MAX(1,ROW()-$C$7),0,MIN($C$7,ROW()-1),1)),0))</f>
        <v/>
      </c>
      <c r="AU218">
        <f t="shared" ca="1" si="84"/>
        <v>0</v>
      </c>
      <c r="AV218" t="str">
        <f ca="1">IF(AU218=1,IF(INDEX(分析データ!$A:$A,ROW()+$C$5)&lt;&gt;"",80000*SIGN(AT218)*(分析データ!B218-INDEX(分析データ!B:B,ROW()+$C$5)),""),"")</f>
        <v/>
      </c>
      <c r="AW218">
        <f t="shared" ca="1" si="85"/>
        <v>0</v>
      </c>
      <c r="AX218">
        <f t="shared" ca="1" si="86"/>
        <v>0</v>
      </c>
      <c r="AY218">
        <f t="shared" ca="1" si="87"/>
        <v>0</v>
      </c>
      <c r="AZ218" t="str">
        <f ca="1">IF(ROW()&lt;($C$7+1),"",IFERROR((分析データ!C218-AVERAGE(OFFSET(分析データ!C$1,MAX(1,ROW()-$C$7),0,MIN($C$7,ROW()-1),1)))/STDEV(OFFSET(分析データ!C$1,MAX(1,ROW()-$C$7),0,MIN($C$7,ROW()-1),1)),0))</f>
        <v/>
      </c>
      <c r="BA218">
        <f t="shared" ca="1" si="88"/>
        <v>0</v>
      </c>
      <c r="BB218" t="str">
        <f ca="1">IF(BA218=1,IF(INDEX(分析データ!$A:$A,ROW()+$C$5)&lt;&gt;"",60000*SIGN(AZ218)*(分析データ!C218-INDEX(分析データ!C:C,ROW()+$C$5)),""),"")</f>
        <v/>
      </c>
      <c r="BC218">
        <f t="shared" ca="1" si="89"/>
        <v>0</v>
      </c>
      <c r="BD218">
        <f t="shared" ca="1" si="90"/>
        <v>0</v>
      </c>
      <c r="BE218">
        <f t="shared" ca="1" si="91"/>
        <v>0</v>
      </c>
      <c r="BF218" t="str">
        <f ca="1">IF(ROW()&lt;($C$7+1),"",IFERROR((分析データ!D218-AVERAGE(OFFSET(分析データ!D$1,MAX(1,ROW()-$C$7),0,MIN($C$7,ROW()-1),1)))/STDEV(OFFSET(分析データ!D$1,MAX(1,ROW()-$C$7),0,MIN($C$7,ROW()-1),1)),0))</f>
        <v/>
      </c>
      <c r="BG218">
        <f t="shared" ca="1" si="92"/>
        <v>0</v>
      </c>
      <c r="BH218" t="str">
        <f ca="1">IF(BG218=1,IF(INDEX(分析データ!$A:$A,ROW()+$C$5)&lt;&gt;"",50000*SIGN(BF218)*(分析データ!D218-INDEX(分析データ!D:D,ROW()+$C$5)),""),"")</f>
        <v/>
      </c>
      <c r="BI218">
        <f t="shared" ca="1" si="93"/>
        <v>0</v>
      </c>
      <c r="BJ218">
        <f t="shared" ca="1" si="94"/>
        <v>0</v>
      </c>
      <c r="BK218">
        <f t="shared" ca="1" si="95"/>
        <v>0</v>
      </c>
      <c r="BL218" t="str">
        <f ca="1">IF(ROW()&lt;($C$7+1),"",IFERROR((分析データ!E218-AVERAGE(OFFSET(分析データ!E$1,MAX(1,ROW()-$C$7),0,MIN($C$7,ROW()-1),1)))/STDEV(OFFSET(分析データ!E$1,MAX(1,ROW()-$C$7),0,MIN($C$7,ROW()-1),1)),0))</f>
        <v/>
      </c>
      <c r="BM218">
        <f t="shared" ca="1" si="96"/>
        <v>0</v>
      </c>
      <c r="BN218" t="str">
        <f ca="1">IF(BM218=1,IF(INDEX(分析データ!$A:$A,ROW()+$C$5)&lt;&gt;"",40000*SIGN(BL218)*(分析データ!E218-INDEX(分析データ!E:E,ROW()+$C$5)),""),"")</f>
        <v/>
      </c>
      <c r="BO218">
        <f t="shared" ca="1" si="97"/>
        <v>0</v>
      </c>
      <c r="BP218">
        <f t="shared" ca="1" si="98"/>
        <v>0</v>
      </c>
      <c r="BQ218">
        <f t="shared" ca="1" si="99"/>
        <v>0</v>
      </c>
      <c r="BR218" t="str">
        <f ca="1">IF(ROW()&lt;($C$7+1),"",IFERROR((分析データ!F218-AVERAGE(OFFSET(分析データ!F$1,MAX(1,ROW()-$C$7),0,MIN($C$7,ROW()-1),1)))/STDEV(OFFSET(分析データ!F$1,MAX(1,ROW()-$C$7),0,MIN($C$7,ROW()-1),1)),0))</f>
        <v/>
      </c>
      <c r="BS218">
        <f t="shared" ca="1" si="100"/>
        <v>0</v>
      </c>
      <c r="BT218" t="str">
        <f ca="1">IF(BS218=1,IF(INDEX(分析データ!$A:$A,ROW()+$C$5)&lt;&gt;"",40000*SIGN(BR218)*(分析データ!F218-INDEX(分析データ!F:F,ROW()+$C$5)),""),"")</f>
        <v/>
      </c>
      <c r="BU218">
        <f t="shared" ca="1" si="101"/>
        <v>0</v>
      </c>
      <c r="BV218">
        <f t="shared" ca="1" si="102"/>
        <v>0</v>
      </c>
      <c r="BW218">
        <f t="shared" ca="1" si="103"/>
        <v>0</v>
      </c>
      <c r="BX218" t="str">
        <f ca="1">IF(ROW()&lt;($C$7+1),"",IFERROR((分析データ!G218-AVERAGE(OFFSET(分析データ!G$1,MAX(1,ROW()-$C$7),0,MIN($C$7,ROW()-1),1)))/STDEV(OFFSET(分析データ!G$1,MAX(1,ROW()-$C$7),0,MIN($C$7,ROW()-1),1)),0))</f>
        <v/>
      </c>
      <c r="BY218">
        <f t="shared" ca="1" si="104"/>
        <v>0</v>
      </c>
      <c r="BZ218" t="str">
        <f ca="1">IF(BY218=1,IF(INDEX(分析データ!$A:$A,ROW()+$C$5)&lt;&gt;"",40000*SIGN(BX218)*(分析データ!G218-INDEX(分析データ!G:G,ROW()+$C$5)),""),"")</f>
        <v/>
      </c>
      <c r="CA218">
        <f t="shared" ca="1" si="105"/>
        <v>0</v>
      </c>
      <c r="CB218">
        <f t="shared" ca="1" si="106"/>
        <v>0</v>
      </c>
      <c r="CC218">
        <f t="shared" ca="1" si="107"/>
        <v>0</v>
      </c>
      <c r="CD218">
        <f t="shared" ca="1" si="108"/>
        <v>0</v>
      </c>
      <c r="CE218">
        <f t="shared" ca="1" si="109"/>
        <v>0</v>
      </c>
      <c r="CF218">
        <f t="shared" ca="1" si="110"/>
        <v>0</v>
      </c>
      <c r="CG218">
        <f t="shared" ca="1" si="111"/>
        <v>0</v>
      </c>
      <c r="CH218" s="10">
        <f>分析データ!A218</f>
        <v>45240</v>
      </c>
    </row>
    <row r="219" spans="46:86">
      <c r="AT219" t="str">
        <f ca="1">IF(ROW()&lt;($C$7+1),"",IFERROR((分析データ!B219-AVERAGE(OFFSET(分析データ!B$1,MAX(1,ROW()-$C$7),0,MIN($C$7,ROW()-1),1)))/STDEV(OFFSET(分析データ!B$1,MAX(1,ROW()-$C$7),0,MIN($C$7,ROW()-1),1)),0))</f>
        <v/>
      </c>
      <c r="AU219">
        <f t="shared" ca="1" si="84"/>
        <v>0</v>
      </c>
      <c r="AV219" t="str">
        <f ca="1">IF(AU219=1,IF(INDEX(分析データ!$A:$A,ROW()+$C$5)&lt;&gt;"",80000*SIGN(AT219)*(分析データ!B219-INDEX(分析データ!B:B,ROW()+$C$5)),""),"")</f>
        <v/>
      </c>
      <c r="AW219">
        <f t="shared" ca="1" si="85"/>
        <v>0</v>
      </c>
      <c r="AX219">
        <f t="shared" ca="1" si="86"/>
        <v>0</v>
      </c>
      <c r="AY219">
        <f t="shared" ca="1" si="87"/>
        <v>0</v>
      </c>
      <c r="AZ219" t="str">
        <f ca="1">IF(ROW()&lt;($C$7+1),"",IFERROR((分析データ!C219-AVERAGE(OFFSET(分析データ!C$1,MAX(1,ROW()-$C$7),0,MIN($C$7,ROW()-1),1)))/STDEV(OFFSET(分析データ!C$1,MAX(1,ROW()-$C$7),0,MIN($C$7,ROW()-1),1)),0))</f>
        <v/>
      </c>
      <c r="BA219">
        <f t="shared" ca="1" si="88"/>
        <v>0</v>
      </c>
      <c r="BB219" t="str">
        <f ca="1">IF(BA219=1,IF(INDEX(分析データ!$A:$A,ROW()+$C$5)&lt;&gt;"",60000*SIGN(AZ219)*(分析データ!C219-INDEX(分析データ!C:C,ROW()+$C$5)),""),"")</f>
        <v/>
      </c>
      <c r="BC219">
        <f t="shared" ca="1" si="89"/>
        <v>0</v>
      </c>
      <c r="BD219">
        <f t="shared" ca="1" si="90"/>
        <v>0</v>
      </c>
      <c r="BE219">
        <f t="shared" ca="1" si="91"/>
        <v>0</v>
      </c>
      <c r="BF219" t="str">
        <f ca="1">IF(ROW()&lt;($C$7+1),"",IFERROR((分析データ!D219-AVERAGE(OFFSET(分析データ!D$1,MAX(1,ROW()-$C$7),0,MIN($C$7,ROW()-1),1)))/STDEV(OFFSET(分析データ!D$1,MAX(1,ROW()-$C$7),0,MIN($C$7,ROW()-1),1)),0))</f>
        <v/>
      </c>
      <c r="BG219">
        <f t="shared" ca="1" si="92"/>
        <v>0</v>
      </c>
      <c r="BH219" t="str">
        <f ca="1">IF(BG219=1,IF(INDEX(分析データ!$A:$A,ROW()+$C$5)&lt;&gt;"",50000*SIGN(BF219)*(分析データ!D219-INDEX(分析データ!D:D,ROW()+$C$5)),""),"")</f>
        <v/>
      </c>
      <c r="BI219">
        <f t="shared" ca="1" si="93"/>
        <v>0</v>
      </c>
      <c r="BJ219">
        <f t="shared" ca="1" si="94"/>
        <v>0</v>
      </c>
      <c r="BK219">
        <f t="shared" ca="1" si="95"/>
        <v>0</v>
      </c>
      <c r="BL219" t="str">
        <f ca="1">IF(ROW()&lt;($C$7+1),"",IFERROR((分析データ!E219-AVERAGE(OFFSET(分析データ!E$1,MAX(1,ROW()-$C$7),0,MIN($C$7,ROW()-1),1)))/STDEV(OFFSET(分析データ!E$1,MAX(1,ROW()-$C$7),0,MIN($C$7,ROW()-1),1)),0))</f>
        <v/>
      </c>
      <c r="BM219">
        <f t="shared" ca="1" si="96"/>
        <v>0</v>
      </c>
      <c r="BN219" t="str">
        <f ca="1">IF(BM219=1,IF(INDEX(分析データ!$A:$A,ROW()+$C$5)&lt;&gt;"",40000*SIGN(BL219)*(分析データ!E219-INDEX(分析データ!E:E,ROW()+$C$5)),""),"")</f>
        <v/>
      </c>
      <c r="BO219">
        <f t="shared" ca="1" si="97"/>
        <v>0</v>
      </c>
      <c r="BP219">
        <f t="shared" ca="1" si="98"/>
        <v>0</v>
      </c>
      <c r="BQ219">
        <f t="shared" ca="1" si="99"/>
        <v>0</v>
      </c>
      <c r="BR219" t="str">
        <f ca="1">IF(ROW()&lt;($C$7+1),"",IFERROR((分析データ!F219-AVERAGE(OFFSET(分析データ!F$1,MAX(1,ROW()-$C$7),0,MIN($C$7,ROW()-1),1)))/STDEV(OFFSET(分析データ!F$1,MAX(1,ROW()-$C$7),0,MIN($C$7,ROW()-1),1)),0))</f>
        <v/>
      </c>
      <c r="BS219">
        <f t="shared" ca="1" si="100"/>
        <v>0</v>
      </c>
      <c r="BT219" t="str">
        <f ca="1">IF(BS219=1,IF(INDEX(分析データ!$A:$A,ROW()+$C$5)&lt;&gt;"",40000*SIGN(BR219)*(分析データ!F219-INDEX(分析データ!F:F,ROW()+$C$5)),""),"")</f>
        <v/>
      </c>
      <c r="BU219">
        <f t="shared" ca="1" si="101"/>
        <v>0</v>
      </c>
      <c r="BV219">
        <f t="shared" ca="1" si="102"/>
        <v>0</v>
      </c>
      <c r="BW219">
        <f t="shared" ca="1" si="103"/>
        <v>0</v>
      </c>
      <c r="BX219" t="str">
        <f ca="1">IF(ROW()&lt;($C$7+1),"",IFERROR((分析データ!G219-AVERAGE(OFFSET(分析データ!G$1,MAX(1,ROW()-$C$7),0,MIN($C$7,ROW()-1),1)))/STDEV(OFFSET(分析データ!G$1,MAX(1,ROW()-$C$7),0,MIN($C$7,ROW()-1),1)),0))</f>
        <v/>
      </c>
      <c r="BY219">
        <f t="shared" ca="1" si="104"/>
        <v>0</v>
      </c>
      <c r="BZ219" t="str">
        <f ca="1">IF(BY219=1,IF(INDEX(分析データ!$A:$A,ROW()+$C$5)&lt;&gt;"",40000*SIGN(BX219)*(分析データ!G219-INDEX(分析データ!G:G,ROW()+$C$5)),""),"")</f>
        <v/>
      </c>
      <c r="CA219">
        <f t="shared" ca="1" si="105"/>
        <v>0</v>
      </c>
      <c r="CB219">
        <f t="shared" ca="1" si="106"/>
        <v>0</v>
      </c>
      <c r="CC219">
        <f t="shared" ca="1" si="107"/>
        <v>0</v>
      </c>
      <c r="CD219">
        <f t="shared" ca="1" si="108"/>
        <v>0</v>
      </c>
      <c r="CE219">
        <f t="shared" ca="1" si="109"/>
        <v>0</v>
      </c>
      <c r="CF219">
        <f t="shared" ca="1" si="110"/>
        <v>0</v>
      </c>
      <c r="CG219">
        <f t="shared" ca="1" si="111"/>
        <v>0</v>
      </c>
      <c r="CH219" s="10">
        <f>分析データ!A219</f>
        <v>45243</v>
      </c>
    </row>
    <row r="220" spans="46:86">
      <c r="AT220" t="str">
        <f ca="1">IF(ROW()&lt;($C$7+1),"",IFERROR((分析データ!B220-AVERAGE(OFFSET(分析データ!B$1,MAX(1,ROW()-$C$7),0,MIN($C$7,ROW()-1),1)))/STDEV(OFFSET(分析データ!B$1,MAX(1,ROW()-$C$7),0,MIN($C$7,ROW()-1),1)),0))</f>
        <v/>
      </c>
      <c r="AU220">
        <f t="shared" ca="1" si="84"/>
        <v>0</v>
      </c>
      <c r="AV220" t="str">
        <f ca="1">IF(AU220=1,IF(INDEX(分析データ!$A:$A,ROW()+$C$5)&lt;&gt;"",80000*SIGN(AT220)*(分析データ!B220-INDEX(分析データ!B:B,ROW()+$C$5)),""),"")</f>
        <v/>
      </c>
      <c r="AW220">
        <f t="shared" ca="1" si="85"/>
        <v>0</v>
      </c>
      <c r="AX220">
        <f t="shared" ca="1" si="86"/>
        <v>0</v>
      </c>
      <c r="AY220">
        <f t="shared" ca="1" si="87"/>
        <v>0</v>
      </c>
      <c r="AZ220" t="str">
        <f ca="1">IF(ROW()&lt;($C$7+1),"",IFERROR((分析データ!C220-AVERAGE(OFFSET(分析データ!C$1,MAX(1,ROW()-$C$7),0,MIN($C$7,ROW()-1),1)))/STDEV(OFFSET(分析データ!C$1,MAX(1,ROW()-$C$7),0,MIN($C$7,ROW()-1),1)),0))</f>
        <v/>
      </c>
      <c r="BA220">
        <f t="shared" ca="1" si="88"/>
        <v>0</v>
      </c>
      <c r="BB220" t="str">
        <f ca="1">IF(BA220=1,IF(INDEX(分析データ!$A:$A,ROW()+$C$5)&lt;&gt;"",60000*SIGN(AZ220)*(分析データ!C220-INDEX(分析データ!C:C,ROW()+$C$5)),""),"")</f>
        <v/>
      </c>
      <c r="BC220">
        <f t="shared" ca="1" si="89"/>
        <v>0</v>
      </c>
      <c r="BD220">
        <f t="shared" ca="1" si="90"/>
        <v>0</v>
      </c>
      <c r="BE220">
        <f t="shared" ca="1" si="91"/>
        <v>0</v>
      </c>
      <c r="BF220" t="str">
        <f ca="1">IF(ROW()&lt;($C$7+1),"",IFERROR((分析データ!D220-AVERAGE(OFFSET(分析データ!D$1,MAX(1,ROW()-$C$7),0,MIN($C$7,ROW()-1),1)))/STDEV(OFFSET(分析データ!D$1,MAX(1,ROW()-$C$7),0,MIN($C$7,ROW()-1),1)),0))</f>
        <v/>
      </c>
      <c r="BG220">
        <f t="shared" ca="1" si="92"/>
        <v>0</v>
      </c>
      <c r="BH220" t="str">
        <f ca="1">IF(BG220=1,IF(INDEX(分析データ!$A:$A,ROW()+$C$5)&lt;&gt;"",50000*SIGN(BF220)*(分析データ!D220-INDEX(分析データ!D:D,ROW()+$C$5)),""),"")</f>
        <v/>
      </c>
      <c r="BI220">
        <f t="shared" ca="1" si="93"/>
        <v>0</v>
      </c>
      <c r="BJ220">
        <f t="shared" ca="1" si="94"/>
        <v>0</v>
      </c>
      <c r="BK220">
        <f t="shared" ca="1" si="95"/>
        <v>0</v>
      </c>
      <c r="BL220" t="str">
        <f ca="1">IF(ROW()&lt;($C$7+1),"",IFERROR((分析データ!E220-AVERAGE(OFFSET(分析データ!E$1,MAX(1,ROW()-$C$7),0,MIN($C$7,ROW()-1),1)))/STDEV(OFFSET(分析データ!E$1,MAX(1,ROW()-$C$7),0,MIN($C$7,ROW()-1),1)),0))</f>
        <v/>
      </c>
      <c r="BM220">
        <f t="shared" ca="1" si="96"/>
        <v>0</v>
      </c>
      <c r="BN220" t="str">
        <f ca="1">IF(BM220=1,IF(INDEX(分析データ!$A:$A,ROW()+$C$5)&lt;&gt;"",40000*SIGN(BL220)*(分析データ!E220-INDEX(分析データ!E:E,ROW()+$C$5)),""),"")</f>
        <v/>
      </c>
      <c r="BO220">
        <f t="shared" ca="1" si="97"/>
        <v>0</v>
      </c>
      <c r="BP220">
        <f t="shared" ca="1" si="98"/>
        <v>0</v>
      </c>
      <c r="BQ220">
        <f t="shared" ca="1" si="99"/>
        <v>0</v>
      </c>
      <c r="BR220" t="str">
        <f ca="1">IF(ROW()&lt;($C$7+1),"",IFERROR((分析データ!F220-AVERAGE(OFFSET(分析データ!F$1,MAX(1,ROW()-$C$7),0,MIN($C$7,ROW()-1),1)))/STDEV(OFFSET(分析データ!F$1,MAX(1,ROW()-$C$7),0,MIN($C$7,ROW()-1),1)),0))</f>
        <v/>
      </c>
      <c r="BS220">
        <f t="shared" ca="1" si="100"/>
        <v>0</v>
      </c>
      <c r="BT220" t="str">
        <f ca="1">IF(BS220=1,IF(INDEX(分析データ!$A:$A,ROW()+$C$5)&lt;&gt;"",40000*SIGN(BR220)*(分析データ!F220-INDEX(分析データ!F:F,ROW()+$C$5)),""),"")</f>
        <v/>
      </c>
      <c r="BU220">
        <f t="shared" ca="1" si="101"/>
        <v>0</v>
      </c>
      <c r="BV220">
        <f t="shared" ca="1" si="102"/>
        <v>0</v>
      </c>
      <c r="BW220">
        <f t="shared" ca="1" si="103"/>
        <v>0</v>
      </c>
      <c r="BX220" t="str">
        <f ca="1">IF(ROW()&lt;($C$7+1),"",IFERROR((分析データ!G220-AVERAGE(OFFSET(分析データ!G$1,MAX(1,ROW()-$C$7),0,MIN($C$7,ROW()-1),1)))/STDEV(OFFSET(分析データ!G$1,MAX(1,ROW()-$C$7),0,MIN($C$7,ROW()-1),1)),0))</f>
        <v/>
      </c>
      <c r="BY220">
        <f t="shared" ca="1" si="104"/>
        <v>0</v>
      </c>
      <c r="BZ220" t="str">
        <f ca="1">IF(BY220=1,IF(INDEX(分析データ!$A:$A,ROW()+$C$5)&lt;&gt;"",40000*SIGN(BX220)*(分析データ!G220-INDEX(分析データ!G:G,ROW()+$C$5)),""),"")</f>
        <v/>
      </c>
      <c r="CA220">
        <f t="shared" ca="1" si="105"/>
        <v>0</v>
      </c>
      <c r="CB220">
        <f t="shared" ca="1" si="106"/>
        <v>0</v>
      </c>
      <c r="CC220">
        <f t="shared" ca="1" si="107"/>
        <v>0</v>
      </c>
      <c r="CD220">
        <f t="shared" ca="1" si="108"/>
        <v>0</v>
      </c>
      <c r="CE220">
        <f t="shared" ca="1" si="109"/>
        <v>0</v>
      </c>
      <c r="CF220">
        <f t="shared" ca="1" si="110"/>
        <v>0</v>
      </c>
      <c r="CG220">
        <f t="shared" ca="1" si="111"/>
        <v>0</v>
      </c>
      <c r="CH220" s="10">
        <f>分析データ!A220</f>
        <v>45244</v>
      </c>
    </row>
    <row r="221" spans="46:86">
      <c r="AT221" t="str">
        <f ca="1">IF(ROW()&lt;($C$7+1),"",IFERROR((分析データ!B221-AVERAGE(OFFSET(分析データ!B$1,MAX(1,ROW()-$C$7),0,MIN($C$7,ROW()-1),1)))/STDEV(OFFSET(分析データ!B$1,MAX(1,ROW()-$C$7),0,MIN($C$7,ROW()-1),1)),0))</f>
        <v/>
      </c>
      <c r="AU221">
        <f t="shared" ca="1" si="84"/>
        <v>0</v>
      </c>
      <c r="AV221" t="str">
        <f ca="1">IF(AU221=1,IF(INDEX(分析データ!$A:$A,ROW()+$C$5)&lt;&gt;"",80000*SIGN(AT221)*(分析データ!B221-INDEX(分析データ!B:B,ROW()+$C$5)),""),"")</f>
        <v/>
      </c>
      <c r="AW221">
        <f t="shared" ca="1" si="85"/>
        <v>0</v>
      </c>
      <c r="AX221">
        <f t="shared" ca="1" si="86"/>
        <v>0</v>
      </c>
      <c r="AY221">
        <f t="shared" ca="1" si="87"/>
        <v>0</v>
      </c>
      <c r="AZ221" t="str">
        <f ca="1">IF(ROW()&lt;($C$7+1),"",IFERROR((分析データ!C221-AVERAGE(OFFSET(分析データ!C$1,MAX(1,ROW()-$C$7),0,MIN($C$7,ROW()-1),1)))/STDEV(OFFSET(分析データ!C$1,MAX(1,ROW()-$C$7),0,MIN($C$7,ROW()-1),1)),0))</f>
        <v/>
      </c>
      <c r="BA221">
        <f t="shared" ca="1" si="88"/>
        <v>0</v>
      </c>
      <c r="BB221" t="str">
        <f ca="1">IF(BA221=1,IF(INDEX(分析データ!$A:$A,ROW()+$C$5)&lt;&gt;"",60000*SIGN(AZ221)*(分析データ!C221-INDEX(分析データ!C:C,ROW()+$C$5)),""),"")</f>
        <v/>
      </c>
      <c r="BC221">
        <f t="shared" ca="1" si="89"/>
        <v>0</v>
      </c>
      <c r="BD221">
        <f t="shared" ca="1" si="90"/>
        <v>0</v>
      </c>
      <c r="BE221">
        <f t="shared" ca="1" si="91"/>
        <v>0</v>
      </c>
      <c r="BF221" t="str">
        <f ca="1">IF(ROW()&lt;($C$7+1),"",IFERROR((分析データ!D221-AVERAGE(OFFSET(分析データ!D$1,MAX(1,ROW()-$C$7),0,MIN($C$7,ROW()-1),1)))/STDEV(OFFSET(分析データ!D$1,MAX(1,ROW()-$C$7),0,MIN($C$7,ROW()-1),1)),0))</f>
        <v/>
      </c>
      <c r="BG221">
        <f t="shared" ca="1" si="92"/>
        <v>0</v>
      </c>
      <c r="BH221" t="str">
        <f ca="1">IF(BG221=1,IF(INDEX(分析データ!$A:$A,ROW()+$C$5)&lt;&gt;"",50000*SIGN(BF221)*(分析データ!D221-INDEX(分析データ!D:D,ROW()+$C$5)),""),"")</f>
        <v/>
      </c>
      <c r="BI221">
        <f t="shared" ca="1" si="93"/>
        <v>0</v>
      </c>
      <c r="BJ221">
        <f t="shared" ca="1" si="94"/>
        <v>0</v>
      </c>
      <c r="BK221">
        <f t="shared" ca="1" si="95"/>
        <v>0</v>
      </c>
      <c r="BL221" t="str">
        <f ca="1">IF(ROW()&lt;($C$7+1),"",IFERROR((分析データ!E221-AVERAGE(OFFSET(分析データ!E$1,MAX(1,ROW()-$C$7),0,MIN($C$7,ROW()-1),1)))/STDEV(OFFSET(分析データ!E$1,MAX(1,ROW()-$C$7),0,MIN($C$7,ROW()-1),1)),0))</f>
        <v/>
      </c>
      <c r="BM221">
        <f t="shared" ca="1" si="96"/>
        <v>0</v>
      </c>
      <c r="BN221" t="str">
        <f ca="1">IF(BM221=1,IF(INDEX(分析データ!$A:$A,ROW()+$C$5)&lt;&gt;"",40000*SIGN(BL221)*(分析データ!E221-INDEX(分析データ!E:E,ROW()+$C$5)),""),"")</f>
        <v/>
      </c>
      <c r="BO221">
        <f t="shared" ca="1" si="97"/>
        <v>0</v>
      </c>
      <c r="BP221">
        <f t="shared" ca="1" si="98"/>
        <v>0</v>
      </c>
      <c r="BQ221">
        <f t="shared" ca="1" si="99"/>
        <v>0</v>
      </c>
      <c r="BR221" t="str">
        <f ca="1">IF(ROW()&lt;($C$7+1),"",IFERROR((分析データ!F221-AVERAGE(OFFSET(分析データ!F$1,MAX(1,ROW()-$C$7),0,MIN($C$7,ROW()-1),1)))/STDEV(OFFSET(分析データ!F$1,MAX(1,ROW()-$C$7),0,MIN($C$7,ROW()-1),1)),0))</f>
        <v/>
      </c>
      <c r="BS221">
        <f t="shared" ca="1" si="100"/>
        <v>0</v>
      </c>
      <c r="BT221" t="str">
        <f ca="1">IF(BS221=1,IF(INDEX(分析データ!$A:$A,ROW()+$C$5)&lt;&gt;"",40000*SIGN(BR221)*(分析データ!F221-INDEX(分析データ!F:F,ROW()+$C$5)),""),"")</f>
        <v/>
      </c>
      <c r="BU221">
        <f t="shared" ca="1" si="101"/>
        <v>0</v>
      </c>
      <c r="BV221">
        <f t="shared" ca="1" si="102"/>
        <v>0</v>
      </c>
      <c r="BW221">
        <f t="shared" ca="1" si="103"/>
        <v>0</v>
      </c>
      <c r="BX221" t="str">
        <f ca="1">IF(ROW()&lt;($C$7+1),"",IFERROR((分析データ!G221-AVERAGE(OFFSET(分析データ!G$1,MAX(1,ROW()-$C$7),0,MIN($C$7,ROW()-1),1)))/STDEV(OFFSET(分析データ!G$1,MAX(1,ROW()-$C$7),0,MIN($C$7,ROW()-1),1)),0))</f>
        <v/>
      </c>
      <c r="BY221">
        <f t="shared" ca="1" si="104"/>
        <v>0</v>
      </c>
      <c r="BZ221" t="str">
        <f ca="1">IF(BY221=1,IF(INDEX(分析データ!$A:$A,ROW()+$C$5)&lt;&gt;"",40000*SIGN(BX221)*(分析データ!G221-INDEX(分析データ!G:G,ROW()+$C$5)),""),"")</f>
        <v/>
      </c>
      <c r="CA221">
        <f t="shared" ca="1" si="105"/>
        <v>0</v>
      </c>
      <c r="CB221">
        <f t="shared" ca="1" si="106"/>
        <v>0</v>
      </c>
      <c r="CC221">
        <f t="shared" ca="1" si="107"/>
        <v>0</v>
      </c>
      <c r="CD221">
        <f t="shared" ca="1" si="108"/>
        <v>0</v>
      </c>
      <c r="CE221">
        <f t="shared" ca="1" si="109"/>
        <v>0</v>
      </c>
      <c r="CF221">
        <f t="shared" ca="1" si="110"/>
        <v>0</v>
      </c>
      <c r="CG221">
        <f t="shared" ca="1" si="111"/>
        <v>0</v>
      </c>
      <c r="CH221" s="10">
        <f>分析データ!A221</f>
        <v>45245</v>
      </c>
    </row>
    <row r="222" spans="46:86">
      <c r="AT222" t="str">
        <f ca="1">IF(ROW()&lt;($C$7+1),"",IFERROR((分析データ!B222-AVERAGE(OFFSET(分析データ!B$1,MAX(1,ROW()-$C$7),0,MIN($C$7,ROW()-1),1)))/STDEV(OFFSET(分析データ!B$1,MAX(1,ROW()-$C$7),0,MIN($C$7,ROW()-1),1)),0))</f>
        <v/>
      </c>
      <c r="AU222">
        <f t="shared" ca="1" si="84"/>
        <v>0</v>
      </c>
      <c r="AV222" t="str">
        <f ca="1">IF(AU222=1,IF(INDEX(分析データ!$A:$A,ROW()+$C$5)&lt;&gt;"",80000*SIGN(AT222)*(分析データ!B222-INDEX(分析データ!B:B,ROW()+$C$5)),""),"")</f>
        <v/>
      </c>
      <c r="AW222">
        <f t="shared" ca="1" si="85"/>
        <v>0</v>
      </c>
      <c r="AX222">
        <f t="shared" ca="1" si="86"/>
        <v>0</v>
      </c>
      <c r="AY222">
        <f t="shared" ca="1" si="87"/>
        <v>0</v>
      </c>
      <c r="AZ222" t="str">
        <f ca="1">IF(ROW()&lt;($C$7+1),"",IFERROR((分析データ!C222-AVERAGE(OFFSET(分析データ!C$1,MAX(1,ROW()-$C$7),0,MIN($C$7,ROW()-1),1)))/STDEV(OFFSET(分析データ!C$1,MAX(1,ROW()-$C$7),0,MIN($C$7,ROW()-1),1)),0))</f>
        <v/>
      </c>
      <c r="BA222">
        <f t="shared" ca="1" si="88"/>
        <v>0</v>
      </c>
      <c r="BB222" t="str">
        <f ca="1">IF(BA222=1,IF(INDEX(分析データ!$A:$A,ROW()+$C$5)&lt;&gt;"",60000*SIGN(AZ222)*(分析データ!C222-INDEX(分析データ!C:C,ROW()+$C$5)),""),"")</f>
        <v/>
      </c>
      <c r="BC222">
        <f t="shared" ca="1" si="89"/>
        <v>0</v>
      </c>
      <c r="BD222">
        <f t="shared" ca="1" si="90"/>
        <v>0</v>
      </c>
      <c r="BE222">
        <f t="shared" ca="1" si="91"/>
        <v>0</v>
      </c>
      <c r="BF222" t="str">
        <f ca="1">IF(ROW()&lt;($C$7+1),"",IFERROR((分析データ!D222-AVERAGE(OFFSET(分析データ!D$1,MAX(1,ROW()-$C$7),0,MIN($C$7,ROW()-1),1)))/STDEV(OFFSET(分析データ!D$1,MAX(1,ROW()-$C$7),0,MIN($C$7,ROW()-1),1)),0))</f>
        <v/>
      </c>
      <c r="BG222">
        <f t="shared" ca="1" si="92"/>
        <v>0</v>
      </c>
      <c r="BH222" t="str">
        <f ca="1">IF(BG222=1,IF(INDEX(分析データ!$A:$A,ROW()+$C$5)&lt;&gt;"",50000*SIGN(BF222)*(分析データ!D222-INDEX(分析データ!D:D,ROW()+$C$5)),""),"")</f>
        <v/>
      </c>
      <c r="BI222">
        <f t="shared" ca="1" si="93"/>
        <v>0</v>
      </c>
      <c r="BJ222">
        <f t="shared" ca="1" si="94"/>
        <v>0</v>
      </c>
      <c r="BK222">
        <f t="shared" ca="1" si="95"/>
        <v>0</v>
      </c>
      <c r="BL222" t="str">
        <f ca="1">IF(ROW()&lt;($C$7+1),"",IFERROR((分析データ!E222-AVERAGE(OFFSET(分析データ!E$1,MAX(1,ROW()-$C$7),0,MIN($C$7,ROW()-1),1)))/STDEV(OFFSET(分析データ!E$1,MAX(1,ROW()-$C$7),0,MIN($C$7,ROW()-1),1)),0))</f>
        <v/>
      </c>
      <c r="BM222">
        <f t="shared" ca="1" si="96"/>
        <v>0</v>
      </c>
      <c r="BN222" t="str">
        <f ca="1">IF(BM222=1,IF(INDEX(分析データ!$A:$A,ROW()+$C$5)&lt;&gt;"",40000*SIGN(BL222)*(分析データ!E222-INDEX(分析データ!E:E,ROW()+$C$5)),""),"")</f>
        <v/>
      </c>
      <c r="BO222">
        <f t="shared" ca="1" si="97"/>
        <v>0</v>
      </c>
      <c r="BP222">
        <f t="shared" ca="1" si="98"/>
        <v>0</v>
      </c>
      <c r="BQ222">
        <f t="shared" ca="1" si="99"/>
        <v>0</v>
      </c>
      <c r="BR222" t="str">
        <f ca="1">IF(ROW()&lt;($C$7+1),"",IFERROR((分析データ!F222-AVERAGE(OFFSET(分析データ!F$1,MAX(1,ROW()-$C$7),0,MIN($C$7,ROW()-1),1)))/STDEV(OFFSET(分析データ!F$1,MAX(1,ROW()-$C$7),0,MIN($C$7,ROW()-1),1)),0))</f>
        <v/>
      </c>
      <c r="BS222">
        <f t="shared" ca="1" si="100"/>
        <v>0</v>
      </c>
      <c r="BT222" t="str">
        <f ca="1">IF(BS222=1,IF(INDEX(分析データ!$A:$A,ROW()+$C$5)&lt;&gt;"",40000*SIGN(BR222)*(分析データ!F222-INDEX(分析データ!F:F,ROW()+$C$5)),""),"")</f>
        <v/>
      </c>
      <c r="BU222">
        <f t="shared" ca="1" si="101"/>
        <v>0</v>
      </c>
      <c r="BV222">
        <f t="shared" ca="1" si="102"/>
        <v>0</v>
      </c>
      <c r="BW222">
        <f t="shared" ca="1" si="103"/>
        <v>0</v>
      </c>
      <c r="BX222" t="str">
        <f ca="1">IF(ROW()&lt;($C$7+1),"",IFERROR((分析データ!G222-AVERAGE(OFFSET(分析データ!G$1,MAX(1,ROW()-$C$7),0,MIN($C$7,ROW()-1),1)))/STDEV(OFFSET(分析データ!G$1,MAX(1,ROW()-$C$7),0,MIN($C$7,ROW()-1),1)),0))</f>
        <v/>
      </c>
      <c r="BY222">
        <f t="shared" ca="1" si="104"/>
        <v>0</v>
      </c>
      <c r="BZ222" t="str">
        <f ca="1">IF(BY222=1,IF(INDEX(分析データ!$A:$A,ROW()+$C$5)&lt;&gt;"",40000*SIGN(BX222)*(分析データ!G222-INDEX(分析データ!G:G,ROW()+$C$5)),""),"")</f>
        <v/>
      </c>
      <c r="CA222">
        <f t="shared" ca="1" si="105"/>
        <v>0</v>
      </c>
      <c r="CB222">
        <f t="shared" ca="1" si="106"/>
        <v>0</v>
      </c>
      <c r="CC222">
        <f t="shared" ca="1" si="107"/>
        <v>0</v>
      </c>
      <c r="CD222">
        <f t="shared" ca="1" si="108"/>
        <v>0</v>
      </c>
      <c r="CE222">
        <f t="shared" ca="1" si="109"/>
        <v>0</v>
      </c>
      <c r="CF222">
        <f t="shared" ca="1" si="110"/>
        <v>0</v>
      </c>
      <c r="CG222">
        <f t="shared" ca="1" si="111"/>
        <v>0</v>
      </c>
      <c r="CH222" s="10">
        <f>分析データ!A222</f>
        <v>45246</v>
      </c>
    </row>
    <row r="223" spans="46:86">
      <c r="AT223" t="str">
        <f ca="1">IF(ROW()&lt;($C$7+1),"",IFERROR((分析データ!B223-AVERAGE(OFFSET(分析データ!B$1,MAX(1,ROW()-$C$7),0,MIN($C$7,ROW()-1),1)))/STDEV(OFFSET(分析データ!B$1,MAX(1,ROW()-$C$7),0,MIN($C$7,ROW()-1),1)),0))</f>
        <v/>
      </c>
      <c r="AU223">
        <f t="shared" ca="1" si="84"/>
        <v>0</v>
      </c>
      <c r="AV223" t="str">
        <f ca="1">IF(AU223=1,IF(INDEX(分析データ!$A:$A,ROW()+$C$5)&lt;&gt;"",80000*SIGN(AT223)*(分析データ!B223-INDEX(分析データ!B:B,ROW()+$C$5)),""),"")</f>
        <v/>
      </c>
      <c r="AW223">
        <f t="shared" ca="1" si="85"/>
        <v>0</v>
      </c>
      <c r="AX223">
        <f t="shared" ca="1" si="86"/>
        <v>0</v>
      </c>
      <c r="AY223">
        <f t="shared" ca="1" si="87"/>
        <v>0</v>
      </c>
      <c r="AZ223" t="str">
        <f ca="1">IF(ROW()&lt;($C$7+1),"",IFERROR((分析データ!C223-AVERAGE(OFFSET(分析データ!C$1,MAX(1,ROW()-$C$7),0,MIN($C$7,ROW()-1),1)))/STDEV(OFFSET(分析データ!C$1,MAX(1,ROW()-$C$7),0,MIN($C$7,ROW()-1),1)),0))</f>
        <v/>
      </c>
      <c r="BA223">
        <f t="shared" ca="1" si="88"/>
        <v>0</v>
      </c>
      <c r="BB223" t="str">
        <f ca="1">IF(BA223=1,IF(INDEX(分析データ!$A:$A,ROW()+$C$5)&lt;&gt;"",60000*SIGN(AZ223)*(分析データ!C223-INDEX(分析データ!C:C,ROW()+$C$5)),""),"")</f>
        <v/>
      </c>
      <c r="BC223">
        <f t="shared" ca="1" si="89"/>
        <v>0</v>
      </c>
      <c r="BD223">
        <f t="shared" ca="1" si="90"/>
        <v>0</v>
      </c>
      <c r="BE223">
        <f t="shared" ca="1" si="91"/>
        <v>0</v>
      </c>
      <c r="BF223" t="str">
        <f ca="1">IF(ROW()&lt;($C$7+1),"",IFERROR((分析データ!D223-AVERAGE(OFFSET(分析データ!D$1,MAX(1,ROW()-$C$7),0,MIN($C$7,ROW()-1),1)))/STDEV(OFFSET(分析データ!D$1,MAX(1,ROW()-$C$7),0,MIN($C$7,ROW()-1),1)),0))</f>
        <v/>
      </c>
      <c r="BG223">
        <f t="shared" ca="1" si="92"/>
        <v>0</v>
      </c>
      <c r="BH223" t="str">
        <f ca="1">IF(BG223=1,IF(INDEX(分析データ!$A:$A,ROW()+$C$5)&lt;&gt;"",50000*SIGN(BF223)*(分析データ!D223-INDEX(分析データ!D:D,ROW()+$C$5)),""),"")</f>
        <v/>
      </c>
      <c r="BI223">
        <f t="shared" ca="1" si="93"/>
        <v>0</v>
      </c>
      <c r="BJ223">
        <f t="shared" ca="1" si="94"/>
        <v>0</v>
      </c>
      <c r="BK223">
        <f t="shared" ca="1" si="95"/>
        <v>0</v>
      </c>
      <c r="BL223" t="str">
        <f ca="1">IF(ROW()&lt;($C$7+1),"",IFERROR((分析データ!E223-AVERAGE(OFFSET(分析データ!E$1,MAX(1,ROW()-$C$7),0,MIN($C$7,ROW()-1),1)))/STDEV(OFFSET(分析データ!E$1,MAX(1,ROW()-$C$7),0,MIN($C$7,ROW()-1),1)),0))</f>
        <v/>
      </c>
      <c r="BM223">
        <f t="shared" ca="1" si="96"/>
        <v>0</v>
      </c>
      <c r="BN223" t="str">
        <f ca="1">IF(BM223=1,IF(INDEX(分析データ!$A:$A,ROW()+$C$5)&lt;&gt;"",40000*SIGN(BL223)*(分析データ!E223-INDEX(分析データ!E:E,ROW()+$C$5)),""),"")</f>
        <v/>
      </c>
      <c r="BO223">
        <f t="shared" ca="1" si="97"/>
        <v>0</v>
      </c>
      <c r="BP223">
        <f t="shared" ca="1" si="98"/>
        <v>0</v>
      </c>
      <c r="BQ223">
        <f t="shared" ca="1" si="99"/>
        <v>0</v>
      </c>
      <c r="BR223" t="str">
        <f ca="1">IF(ROW()&lt;($C$7+1),"",IFERROR((分析データ!F223-AVERAGE(OFFSET(分析データ!F$1,MAX(1,ROW()-$C$7),0,MIN($C$7,ROW()-1),1)))/STDEV(OFFSET(分析データ!F$1,MAX(1,ROW()-$C$7),0,MIN($C$7,ROW()-1),1)),0))</f>
        <v/>
      </c>
      <c r="BS223">
        <f t="shared" ca="1" si="100"/>
        <v>0</v>
      </c>
      <c r="BT223" t="str">
        <f ca="1">IF(BS223=1,IF(INDEX(分析データ!$A:$A,ROW()+$C$5)&lt;&gt;"",40000*SIGN(BR223)*(分析データ!F223-INDEX(分析データ!F:F,ROW()+$C$5)),""),"")</f>
        <v/>
      </c>
      <c r="BU223">
        <f t="shared" ca="1" si="101"/>
        <v>0</v>
      </c>
      <c r="BV223">
        <f t="shared" ca="1" si="102"/>
        <v>0</v>
      </c>
      <c r="BW223">
        <f t="shared" ca="1" si="103"/>
        <v>0</v>
      </c>
      <c r="BX223" t="str">
        <f ca="1">IF(ROW()&lt;($C$7+1),"",IFERROR((分析データ!G223-AVERAGE(OFFSET(分析データ!G$1,MAX(1,ROW()-$C$7),0,MIN($C$7,ROW()-1),1)))/STDEV(OFFSET(分析データ!G$1,MAX(1,ROW()-$C$7),0,MIN($C$7,ROW()-1),1)),0))</f>
        <v/>
      </c>
      <c r="BY223">
        <f t="shared" ca="1" si="104"/>
        <v>0</v>
      </c>
      <c r="BZ223" t="str">
        <f ca="1">IF(BY223=1,IF(INDEX(分析データ!$A:$A,ROW()+$C$5)&lt;&gt;"",40000*SIGN(BX223)*(分析データ!G223-INDEX(分析データ!G:G,ROW()+$C$5)),""),"")</f>
        <v/>
      </c>
      <c r="CA223">
        <f t="shared" ca="1" si="105"/>
        <v>0</v>
      </c>
      <c r="CB223">
        <f t="shared" ca="1" si="106"/>
        <v>0</v>
      </c>
      <c r="CC223">
        <f t="shared" ca="1" si="107"/>
        <v>0</v>
      </c>
      <c r="CD223">
        <f t="shared" ca="1" si="108"/>
        <v>0</v>
      </c>
      <c r="CE223">
        <f t="shared" ca="1" si="109"/>
        <v>0</v>
      </c>
      <c r="CF223">
        <f t="shared" ca="1" si="110"/>
        <v>0</v>
      </c>
      <c r="CG223">
        <f t="shared" ca="1" si="111"/>
        <v>0</v>
      </c>
      <c r="CH223" s="10">
        <f>分析データ!A223</f>
        <v>45247</v>
      </c>
    </row>
    <row r="224" spans="46:86">
      <c r="AT224" t="str">
        <f ca="1">IF(ROW()&lt;($C$7+1),"",IFERROR((分析データ!B224-AVERAGE(OFFSET(分析データ!B$1,MAX(1,ROW()-$C$7),0,MIN($C$7,ROW()-1),1)))/STDEV(OFFSET(分析データ!B$1,MAX(1,ROW()-$C$7),0,MIN($C$7,ROW()-1),1)),0))</f>
        <v/>
      </c>
      <c r="AU224">
        <f t="shared" ca="1" si="84"/>
        <v>0</v>
      </c>
      <c r="AV224" t="str">
        <f ca="1">IF(AU224=1,IF(INDEX(分析データ!$A:$A,ROW()+$C$5)&lt;&gt;"",80000*SIGN(AT224)*(分析データ!B224-INDEX(分析データ!B:B,ROW()+$C$5)),""),"")</f>
        <v/>
      </c>
      <c r="AW224">
        <f t="shared" ca="1" si="85"/>
        <v>0</v>
      </c>
      <c r="AX224">
        <f t="shared" ca="1" si="86"/>
        <v>0</v>
      </c>
      <c r="AY224">
        <f t="shared" ca="1" si="87"/>
        <v>0</v>
      </c>
      <c r="AZ224" t="str">
        <f ca="1">IF(ROW()&lt;($C$7+1),"",IFERROR((分析データ!C224-AVERAGE(OFFSET(分析データ!C$1,MAX(1,ROW()-$C$7),0,MIN($C$7,ROW()-1),1)))/STDEV(OFFSET(分析データ!C$1,MAX(1,ROW()-$C$7),0,MIN($C$7,ROW()-1),1)),0))</f>
        <v/>
      </c>
      <c r="BA224">
        <f t="shared" ca="1" si="88"/>
        <v>0</v>
      </c>
      <c r="BB224" t="str">
        <f ca="1">IF(BA224=1,IF(INDEX(分析データ!$A:$A,ROW()+$C$5)&lt;&gt;"",60000*SIGN(AZ224)*(分析データ!C224-INDEX(分析データ!C:C,ROW()+$C$5)),""),"")</f>
        <v/>
      </c>
      <c r="BC224">
        <f t="shared" ca="1" si="89"/>
        <v>0</v>
      </c>
      <c r="BD224">
        <f t="shared" ca="1" si="90"/>
        <v>0</v>
      </c>
      <c r="BE224">
        <f t="shared" ca="1" si="91"/>
        <v>0</v>
      </c>
      <c r="BF224" t="str">
        <f ca="1">IF(ROW()&lt;($C$7+1),"",IFERROR((分析データ!D224-AVERAGE(OFFSET(分析データ!D$1,MAX(1,ROW()-$C$7),0,MIN($C$7,ROW()-1),1)))/STDEV(OFFSET(分析データ!D$1,MAX(1,ROW()-$C$7),0,MIN($C$7,ROW()-1),1)),0))</f>
        <v/>
      </c>
      <c r="BG224">
        <f t="shared" ca="1" si="92"/>
        <v>0</v>
      </c>
      <c r="BH224" t="str">
        <f ca="1">IF(BG224=1,IF(INDEX(分析データ!$A:$A,ROW()+$C$5)&lt;&gt;"",50000*SIGN(BF224)*(分析データ!D224-INDEX(分析データ!D:D,ROW()+$C$5)),""),"")</f>
        <v/>
      </c>
      <c r="BI224">
        <f t="shared" ca="1" si="93"/>
        <v>0</v>
      </c>
      <c r="BJ224">
        <f t="shared" ca="1" si="94"/>
        <v>0</v>
      </c>
      <c r="BK224">
        <f t="shared" ca="1" si="95"/>
        <v>0</v>
      </c>
      <c r="BL224" t="str">
        <f ca="1">IF(ROW()&lt;($C$7+1),"",IFERROR((分析データ!E224-AVERAGE(OFFSET(分析データ!E$1,MAX(1,ROW()-$C$7),0,MIN($C$7,ROW()-1),1)))/STDEV(OFFSET(分析データ!E$1,MAX(1,ROW()-$C$7),0,MIN($C$7,ROW()-1),1)),0))</f>
        <v/>
      </c>
      <c r="BM224">
        <f t="shared" ca="1" si="96"/>
        <v>0</v>
      </c>
      <c r="BN224" t="str">
        <f ca="1">IF(BM224=1,IF(INDEX(分析データ!$A:$A,ROW()+$C$5)&lt;&gt;"",40000*SIGN(BL224)*(分析データ!E224-INDEX(分析データ!E:E,ROW()+$C$5)),""),"")</f>
        <v/>
      </c>
      <c r="BO224">
        <f t="shared" ca="1" si="97"/>
        <v>0</v>
      </c>
      <c r="BP224">
        <f t="shared" ca="1" si="98"/>
        <v>0</v>
      </c>
      <c r="BQ224">
        <f t="shared" ca="1" si="99"/>
        <v>0</v>
      </c>
      <c r="BR224" t="str">
        <f ca="1">IF(ROW()&lt;($C$7+1),"",IFERROR((分析データ!F224-AVERAGE(OFFSET(分析データ!F$1,MAX(1,ROW()-$C$7),0,MIN($C$7,ROW()-1),1)))/STDEV(OFFSET(分析データ!F$1,MAX(1,ROW()-$C$7),0,MIN($C$7,ROW()-1),1)),0))</f>
        <v/>
      </c>
      <c r="BS224">
        <f t="shared" ca="1" si="100"/>
        <v>0</v>
      </c>
      <c r="BT224" t="str">
        <f ca="1">IF(BS224=1,IF(INDEX(分析データ!$A:$A,ROW()+$C$5)&lt;&gt;"",40000*SIGN(BR224)*(分析データ!F224-INDEX(分析データ!F:F,ROW()+$C$5)),""),"")</f>
        <v/>
      </c>
      <c r="BU224">
        <f t="shared" ca="1" si="101"/>
        <v>0</v>
      </c>
      <c r="BV224">
        <f t="shared" ca="1" si="102"/>
        <v>0</v>
      </c>
      <c r="BW224">
        <f t="shared" ca="1" si="103"/>
        <v>0</v>
      </c>
      <c r="BX224" t="str">
        <f ca="1">IF(ROW()&lt;($C$7+1),"",IFERROR((分析データ!G224-AVERAGE(OFFSET(分析データ!G$1,MAX(1,ROW()-$C$7),0,MIN($C$7,ROW()-1),1)))/STDEV(OFFSET(分析データ!G$1,MAX(1,ROW()-$C$7),0,MIN($C$7,ROW()-1),1)),0))</f>
        <v/>
      </c>
      <c r="BY224">
        <f t="shared" ca="1" si="104"/>
        <v>0</v>
      </c>
      <c r="BZ224" t="str">
        <f ca="1">IF(BY224=1,IF(INDEX(分析データ!$A:$A,ROW()+$C$5)&lt;&gt;"",40000*SIGN(BX224)*(分析データ!G224-INDEX(分析データ!G:G,ROW()+$C$5)),""),"")</f>
        <v/>
      </c>
      <c r="CA224">
        <f t="shared" ca="1" si="105"/>
        <v>0</v>
      </c>
      <c r="CB224">
        <f t="shared" ca="1" si="106"/>
        <v>0</v>
      </c>
      <c r="CC224">
        <f t="shared" ca="1" si="107"/>
        <v>0</v>
      </c>
      <c r="CD224">
        <f t="shared" ca="1" si="108"/>
        <v>0</v>
      </c>
      <c r="CE224">
        <f t="shared" ca="1" si="109"/>
        <v>0</v>
      </c>
      <c r="CF224">
        <f t="shared" ca="1" si="110"/>
        <v>0</v>
      </c>
      <c r="CG224">
        <f t="shared" ca="1" si="111"/>
        <v>0</v>
      </c>
      <c r="CH224" s="10">
        <f>分析データ!A224</f>
        <v>45250</v>
      </c>
    </row>
    <row r="225" spans="46:86">
      <c r="AT225" t="str">
        <f ca="1">IF(ROW()&lt;($C$7+1),"",IFERROR((分析データ!B225-AVERAGE(OFFSET(分析データ!B$1,MAX(1,ROW()-$C$7),0,MIN($C$7,ROW()-1),1)))/STDEV(OFFSET(分析データ!B$1,MAX(1,ROW()-$C$7),0,MIN($C$7,ROW()-1),1)),0))</f>
        <v/>
      </c>
      <c r="AU225">
        <f t="shared" ca="1" si="84"/>
        <v>0</v>
      </c>
      <c r="AV225" t="str">
        <f ca="1">IF(AU225=1,IF(INDEX(分析データ!$A:$A,ROW()+$C$5)&lt;&gt;"",80000*SIGN(AT225)*(分析データ!B225-INDEX(分析データ!B:B,ROW()+$C$5)),""),"")</f>
        <v/>
      </c>
      <c r="AW225">
        <f t="shared" ca="1" si="85"/>
        <v>0</v>
      </c>
      <c r="AX225">
        <f t="shared" ca="1" si="86"/>
        <v>0</v>
      </c>
      <c r="AY225">
        <f t="shared" ca="1" si="87"/>
        <v>0</v>
      </c>
      <c r="AZ225" t="str">
        <f ca="1">IF(ROW()&lt;($C$7+1),"",IFERROR((分析データ!C225-AVERAGE(OFFSET(分析データ!C$1,MAX(1,ROW()-$C$7),0,MIN($C$7,ROW()-1),1)))/STDEV(OFFSET(分析データ!C$1,MAX(1,ROW()-$C$7),0,MIN($C$7,ROW()-1),1)),0))</f>
        <v/>
      </c>
      <c r="BA225">
        <f t="shared" ca="1" si="88"/>
        <v>0</v>
      </c>
      <c r="BB225" t="str">
        <f ca="1">IF(BA225=1,IF(INDEX(分析データ!$A:$A,ROW()+$C$5)&lt;&gt;"",60000*SIGN(AZ225)*(分析データ!C225-INDEX(分析データ!C:C,ROW()+$C$5)),""),"")</f>
        <v/>
      </c>
      <c r="BC225">
        <f t="shared" ca="1" si="89"/>
        <v>0</v>
      </c>
      <c r="BD225">
        <f t="shared" ca="1" si="90"/>
        <v>0</v>
      </c>
      <c r="BE225">
        <f t="shared" ca="1" si="91"/>
        <v>0</v>
      </c>
      <c r="BF225" t="str">
        <f ca="1">IF(ROW()&lt;($C$7+1),"",IFERROR((分析データ!D225-AVERAGE(OFFSET(分析データ!D$1,MAX(1,ROW()-$C$7),0,MIN($C$7,ROW()-1),1)))/STDEV(OFFSET(分析データ!D$1,MAX(1,ROW()-$C$7),0,MIN($C$7,ROW()-1),1)),0))</f>
        <v/>
      </c>
      <c r="BG225">
        <f t="shared" ca="1" si="92"/>
        <v>0</v>
      </c>
      <c r="BH225" t="str">
        <f ca="1">IF(BG225=1,IF(INDEX(分析データ!$A:$A,ROW()+$C$5)&lt;&gt;"",50000*SIGN(BF225)*(分析データ!D225-INDEX(分析データ!D:D,ROW()+$C$5)),""),"")</f>
        <v/>
      </c>
      <c r="BI225">
        <f t="shared" ca="1" si="93"/>
        <v>0</v>
      </c>
      <c r="BJ225">
        <f t="shared" ca="1" si="94"/>
        <v>0</v>
      </c>
      <c r="BK225">
        <f t="shared" ca="1" si="95"/>
        <v>0</v>
      </c>
      <c r="BL225" t="str">
        <f ca="1">IF(ROW()&lt;($C$7+1),"",IFERROR((分析データ!E225-AVERAGE(OFFSET(分析データ!E$1,MAX(1,ROW()-$C$7),0,MIN($C$7,ROW()-1),1)))/STDEV(OFFSET(分析データ!E$1,MAX(1,ROW()-$C$7),0,MIN($C$7,ROW()-1),1)),0))</f>
        <v/>
      </c>
      <c r="BM225">
        <f t="shared" ca="1" si="96"/>
        <v>0</v>
      </c>
      <c r="BN225" t="str">
        <f ca="1">IF(BM225=1,IF(INDEX(分析データ!$A:$A,ROW()+$C$5)&lt;&gt;"",40000*SIGN(BL225)*(分析データ!E225-INDEX(分析データ!E:E,ROW()+$C$5)),""),"")</f>
        <v/>
      </c>
      <c r="BO225">
        <f t="shared" ca="1" si="97"/>
        <v>0</v>
      </c>
      <c r="BP225">
        <f t="shared" ca="1" si="98"/>
        <v>0</v>
      </c>
      <c r="BQ225">
        <f t="shared" ca="1" si="99"/>
        <v>0</v>
      </c>
      <c r="BR225" t="str">
        <f ca="1">IF(ROW()&lt;($C$7+1),"",IFERROR((分析データ!F225-AVERAGE(OFFSET(分析データ!F$1,MAX(1,ROW()-$C$7),0,MIN($C$7,ROW()-1),1)))/STDEV(OFFSET(分析データ!F$1,MAX(1,ROW()-$C$7),0,MIN($C$7,ROW()-1),1)),0))</f>
        <v/>
      </c>
      <c r="BS225">
        <f t="shared" ca="1" si="100"/>
        <v>0</v>
      </c>
      <c r="BT225" t="str">
        <f ca="1">IF(BS225=1,IF(INDEX(分析データ!$A:$A,ROW()+$C$5)&lt;&gt;"",40000*SIGN(BR225)*(分析データ!F225-INDEX(分析データ!F:F,ROW()+$C$5)),""),"")</f>
        <v/>
      </c>
      <c r="BU225">
        <f t="shared" ca="1" si="101"/>
        <v>0</v>
      </c>
      <c r="BV225">
        <f t="shared" ca="1" si="102"/>
        <v>0</v>
      </c>
      <c r="BW225">
        <f t="shared" ca="1" si="103"/>
        <v>0</v>
      </c>
      <c r="BX225" t="str">
        <f ca="1">IF(ROW()&lt;($C$7+1),"",IFERROR((分析データ!G225-AVERAGE(OFFSET(分析データ!G$1,MAX(1,ROW()-$C$7),0,MIN($C$7,ROW()-1),1)))/STDEV(OFFSET(分析データ!G$1,MAX(1,ROW()-$C$7),0,MIN($C$7,ROW()-1),1)),0))</f>
        <v/>
      </c>
      <c r="BY225">
        <f t="shared" ca="1" si="104"/>
        <v>0</v>
      </c>
      <c r="BZ225" t="str">
        <f ca="1">IF(BY225=1,IF(INDEX(分析データ!$A:$A,ROW()+$C$5)&lt;&gt;"",40000*SIGN(BX225)*(分析データ!G225-INDEX(分析データ!G:G,ROW()+$C$5)),""),"")</f>
        <v/>
      </c>
      <c r="CA225">
        <f t="shared" ca="1" si="105"/>
        <v>0</v>
      </c>
      <c r="CB225">
        <f t="shared" ca="1" si="106"/>
        <v>0</v>
      </c>
      <c r="CC225">
        <f t="shared" ca="1" si="107"/>
        <v>0</v>
      </c>
      <c r="CD225">
        <f t="shared" ca="1" si="108"/>
        <v>0</v>
      </c>
      <c r="CE225">
        <f t="shared" ca="1" si="109"/>
        <v>0</v>
      </c>
      <c r="CF225">
        <f t="shared" ca="1" si="110"/>
        <v>0</v>
      </c>
      <c r="CG225">
        <f t="shared" ca="1" si="111"/>
        <v>0</v>
      </c>
      <c r="CH225" s="10">
        <f>分析データ!A225</f>
        <v>45251</v>
      </c>
    </row>
    <row r="226" spans="46:86">
      <c r="AT226" t="str">
        <f ca="1">IF(ROW()&lt;($C$7+1),"",IFERROR((分析データ!B226-AVERAGE(OFFSET(分析データ!B$1,MAX(1,ROW()-$C$7),0,MIN($C$7,ROW()-1),1)))/STDEV(OFFSET(分析データ!B$1,MAX(1,ROW()-$C$7),0,MIN($C$7,ROW()-1),1)),0))</f>
        <v/>
      </c>
      <c r="AU226">
        <f t="shared" ca="1" si="84"/>
        <v>0</v>
      </c>
      <c r="AV226" t="str">
        <f ca="1">IF(AU226=1,IF(INDEX(分析データ!$A:$A,ROW()+$C$5)&lt;&gt;"",80000*SIGN(AT226)*(分析データ!B226-INDEX(分析データ!B:B,ROW()+$C$5)),""),"")</f>
        <v/>
      </c>
      <c r="AW226">
        <f t="shared" ca="1" si="85"/>
        <v>0</v>
      </c>
      <c r="AX226">
        <f t="shared" ca="1" si="86"/>
        <v>0</v>
      </c>
      <c r="AY226">
        <f t="shared" ca="1" si="87"/>
        <v>0</v>
      </c>
      <c r="AZ226" t="str">
        <f ca="1">IF(ROW()&lt;($C$7+1),"",IFERROR((分析データ!C226-AVERAGE(OFFSET(分析データ!C$1,MAX(1,ROW()-$C$7),0,MIN($C$7,ROW()-1),1)))/STDEV(OFFSET(分析データ!C$1,MAX(1,ROW()-$C$7),0,MIN($C$7,ROW()-1),1)),0))</f>
        <v/>
      </c>
      <c r="BA226">
        <f t="shared" ca="1" si="88"/>
        <v>0</v>
      </c>
      <c r="BB226" t="str">
        <f ca="1">IF(BA226=1,IF(INDEX(分析データ!$A:$A,ROW()+$C$5)&lt;&gt;"",60000*SIGN(AZ226)*(分析データ!C226-INDEX(分析データ!C:C,ROW()+$C$5)),""),"")</f>
        <v/>
      </c>
      <c r="BC226">
        <f t="shared" ca="1" si="89"/>
        <v>0</v>
      </c>
      <c r="BD226">
        <f t="shared" ca="1" si="90"/>
        <v>0</v>
      </c>
      <c r="BE226">
        <f t="shared" ca="1" si="91"/>
        <v>0</v>
      </c>
      <c r="BF226" t="str">
        <f ca="1">IF(ROW()&lt;($C$7+1),"",IFERROR((分析データ!D226-AVERAGE(OFFSET(分析データ!D$1,MAX(1,ROW()-$C$7),0,MIN($C$7,ROW()-1),1)))/STDEV(OFFSET(分析データ!D$1,MAX(1,ROW()-$C$7),0,MIN($C$7,ROW()-1),1)),0))</f>
        <v/>
      </c>
      <c r="BG226">
        <f t="shared" ca="1" si="92"/>
        <v>0</v>
      </c>
      <c r="BH226" t="str">
        <f ca="1">IF(BG226=1,IF(INDEX(分析データ!$A:$A,ROW()+$C$5)&lt;&gt;"",50000*SIGN(BF226)*(分析データ!D226-INDEX(分析データ!D:D,ROW()+$C$5)),""),"")</f>
        <v/>
      </c>
      <c r="BI226">
        <f t="shared" ca="1" si="93"/>
        <v>0</v>
      </c>
      <c r="BJ226">
        <f t="shared" ca="1" si="94"/>
        <v>0</v>
      </c>
      <c r="BK226">
        <f t="shared" ca="1" si="95"/>
        <v>0</v>
      </c>
      <c r="BL226" t="str">
        <f ca="1">IF(ROW()&lt;($C$7+1),"",IFERROR((分析データ!E226-AVERAGE(OFFSET(分析データ!E$1,MAX(1,ROW()-$C$7),0,MIN($C$7,ROW()-1),1)))/STDEV(OFFSET(分析データ!E$1,MAX(1,ROW()-$C$7),0,MIN($C$7,ROW()-1),1)),0))</f>
        <v/>
      </c>
      <c r="BM226">
        <f t="shared" ca="1" si="96"/>
        <v>0</v>
      </c>
      <c r="BN226" t="str">
        <f ca="1">IF(BM226=1,IF(INDEX(分析データ!$A:$A,ROW()+$C$5)&lt;&gt;"",40000*SIGN(BL226)*(分析データ!E226-INDEX(分析データ!E:E,ROW()+$C$5)),""),"")</f>
        <v/>
      </c>
      <c r="BO226">
        <f t="shared" ca="1" si="97"/>
        <v>0</v>
      </c>
      <c r="BP226">
        <f t="shared" ca="1" si="98"/>
        <v>0</v>
      </c>
      <c r="BQ226">
        <f t="shared" ca="1" si="99"/>
        <v>0</v>
      </c>
      <c r="BR226" t="str">
        <f ca="1">IF(ROW()&lt;($C$7+1),"",IFERROR((分析データ!F226-AVERAGE(OFFSET(分析データ!F$1,MAX(1,ROW()-$C$7),0,MIN($C$7,ROW()-1),1)))/STDEV(OFFSET(分析データ!F$1,MAX(1,ROW()-$C$7),0,MIN($C$7,ROW()-1),1)),0))</f>
        <v/>
      </c>
      <c r="BS226">
        <f t="shared" ca="1" si="100"/>
        <v>0</v>
      </c>
      <c r="BT226" t="str">
        <f ca="1">IF(BS226=1,IF(INDEX(分析データ!$A:$A,ROW()+$C$5)&lt;&gt;"",40000*SIGN(BR226)*(分析データ!F226-INDEX(分析データ!F:F,ROW()+$C$5)),""),"")</f>
        <v/>
      </c>
      <c r="BU226">
        <f t="shared" ca="1" si="101"/>
        <v>0</v>
      </c>
      <c r="BV226">
        <f t="shared" ca="1" si="102"/>
        <v>0</v>
      </c>
      <c r="BW226">
        <f t="shared" ca="1" si="103"/>
        <v>0</v>
      </c>
      <c r="BX226" t="str">
        <f ca="1">IF(ROW()&lt;($C$7+1),"",IFERROR((分析データ!G226-AVERAGE(OFFSET(分析データ!G$1,MAX(1,ROW()-$C$7),0,MIN($C$7,ROW()-1),1)))/STDEV(OFFSET(分析データ!G$1,MAX(1,ROW()-$C$7),0,MIN($C$7,ROW()-1),1)),0))</f>
        <v/>
      </c>
      <c r="BY226">
        <f t="shared" ca="1" si="104"/>
        <v>0</v>
      </c>
      <c r="BZ226" t="str">
        <f ca="1">IF(BY226=1,IF(INDEX(分析データ!$A:$A,ROW()+$C$5)&lt;&gt;"",40000*SIGN(BX226)*(分析データ!G226-INDEX(分析データ!G:G,ROW()+$C$5)),""),"")</f>
        <v/>
      </c>
      <c r="CA226">
        <f t="shared" ca="1" si="105"/>
        <v>0</v>
      </c>
      <c r="CB226">
        <f t="shared" ca="1" si="106"/>
        <v>0</v>
      </c>
      <c r="CC226">
        <f t="shared" ca="1" si="107"/>
        <v>0</v>
      </c>
      <c r="CD226">
        <f t="shared" ca="1" si="108"/>
        <v>0</v>
      </c>
      <c r="CE226">
        <f t="shared" ca="1" si="109"/>
        <v>0</v>
      </c>
      <c r="CF226">
        <f t="shared" ca="1" si="110"/>
        <v>0</v>
      </c>
      <c r="CG226">
        <f t="shared" ca="1" si="111"/>
        <v>0</v>
      </c>
      <c r="CH226" s="10">
        <f>分析データ!A226</f>
        <v>45252</v>
      </c>
    </row>
    <row r="227" spans="46:86">
      <c r="AT227" t="str">
        <f ca="1">IF(ROW()&lt;($C$7+1),"",IFERROR((分析データ!B227-AVERAGE(OFFSET(分析データ!B$1,MAX(1,ROW()-$C$7),0,MIN($C$7,ROW()-1),1)))/STDEV(OFFSET(分析データ!B$1,MAX(1,ROW()-$C$7),0,MIN($C$7,ROW()-1),1)),0))</f>
        <v/>
      </c>
      <c r="AU227">
        <f t="shared" ca="1" si="84"/>
        <v>0</v>
      </c>
      <c r="AV227" t="str">
        <f ca="1">IF(AU227=1,IF(INDEX(分析データ!$A:$A,ROW()+$C$5)&lt;&gt;"",80000*SIGN(AT227)*(分析データ!B227-INDEX(分析データ!B:B,ROW()+$C$5)),""),"")</f>
        <v/>
      </c>
      <c r="AW227">
        <f t="shared" ca="1" si="85"/>
        <v>0</v>
      </c>
      <c r="AX227">
        <f t="shared" ca="1" si="86"/>
        <v>0</v>
      </c>
      <c r="AY227">
        <f t="shared" ca="1" si="87"/>
        <v>0</v>
      </c>
      <c r="AZ227" t="str">
        <f ca="1">IF(ROW()&lt;($C$7+1),"",IFERROR((分析データ!C227-AVERAGE(OFFSET(分析データ!C$1,MAX(1,ROW()-$C$7),0,MIN($C$7,ROW()-1),1)))/STDEV(OFFSET(分析データ!C$1,MAX(1,ROW()-$C$7),0,MIN($C$7,ROW()-1),1)),0))</f>
        <v/>
      </c>
      <c r="BA227">
        <f t="shared" ca="1" si="88"/>
        <v>0</v>
      </c>
      <c r="BB227" t="str">
        <f ca="1">IF(BA227=1,IF(INDEX(分析データ!$A:$A,ROW()+$C$5)&lt;&gt;"",60000*SIGN(AZ227)*(分析データ!C227-INDEX(分析データ!C:C,ROW()+$C$5)),""),"")</f>
        <v/>
      </c>
      <c r="BC227">
        <f t="shared" ca="1" si="89"/>
        <v>0</v>
      </c>
      <c r="BD227">
        <f t="shared" ca="1" si="90"/>
        <v>0</v>
      </c>
      <c r="BE227">
        <f t="shared" ca="1" si="91"/>
        <v>0</v>
      </c>
      <c r="BF227" t="str">
        <f ca="1">IF(ROW()&lt;($C$7+1),"",IFERROR((分析データ!D227-AVERAGE(OFFSET(分析データ!D$1,MAX(1,ROW()-$C$7),0,MIN($C$7,ROW()-1),1)))/STDEV(OFFSET(分析データ!D$1,MAX(1,ROW()-$C$7),0,MIN($C$7,ROW()-1),1)),0))</f>
        <v/>
      </c>
      <c r="BG227">
        <f t="shared" ca="1" si="92"/>
        <v>0</v>
      </c>
      <c r="BH227" t="str">
        <f ca="1">IF(BG227=1,IF(INDEX(分析データ!$A:$A,ROW()+$C$5)&lt;&gt;"",50000*SIGN(BF227)*(分析データ!D227-INDEX(分析データ!D:D,ROW()+$C$5)),""),"")</f>
        <v/>
      </c>
      <c r="BI227">
        <f t="shared" ca="1" si="93"/>
        <v>0</v>
      </c>
      <c r="BJ227">
        <f t="shared" ca="1" si="94"/>
        <v>0</v>
      </c>
      <c r="BK227">
        <f t="shared" ca="1" si="95"/>
        <v>0</v>
      </c>
      <c r="BL227" t="str">
        <f ca="1">IF(ROW()&lt;($C$7+1),"",IFERROR((分析データ!E227-AVERAGE(OFFSET(分析データ!E$1,MAX(1,ROW()-$C$7),0,MIN($C$7,ROW()-1),1)))/STDEV(OFFSET(分析データ!E$1,MAX(1,ROW()-$C$7),0,MIN($C$7,ROW()-1),1)),0))</f>
        <v/>
      </c>
      <c r="BM227">
        <f t="shared" ca="1" si="96"/>
        <v>0</v>
      </c>
      <c r="BN227" t="str">
        <f ca="1">IF(BM227=1,IF(INDEX(分析データ!$A:$A,ROW()+$C$5)&lt;&gt;"",40000*SIGN(BL227)*(分析データ!E227-INDEX(分析データ!E:E,ROW()+$C$5)),""),"")</f>
        <v/>
      </c>
      <c r="BO227">
        <f t="shared" ca="1" si="97"/>
        <v>0</v>
      </c>
      <c r="BP227">
        <f t="shared" ca="1" si="98"/>
        <v>0</v>
      </c>
      <c r="BQ227">
        <f t="shared" ca="1" si="99"/>
        <v>0</v>
      </c>
      <c r="BR227" t="str">
        <f ca="1">IF(ROW()&lt;($C$7+1),"",IFERROR((分析データ!F227-AVERAGE(OFFSET(分析データ!F$1,MAX(1,ROW()-$C$7),0,MIN($C$7,ROW()-1),1)))/STDEV(OFFSET(分析データ!F$1,MAX(1,ROW()-$C$7),0,MIN($C$7,ROW()-1),1)),0))</f>
        <v/>
      </c>
      <c r="BS227">
        <f t="shared" ca="1" si="100"/>
        <v>0</v>
      </c>
      <c r="BT227" t="str">
        <f ca="1">IF(BS227=1,IF(INDEX(分析データ!$A:$A,ROW()+$C$5)&lt;&gt;"",40000*SIGN(BR227)*(分析データ!F227-INDEX(分析データ!F:F,ROW()+$C$5)),""),"")</f>
        <v/>
      </c>
      <c r="BU227">
        <f t="shared" ca="1" si="101"/>
        <v>0</v>
      </c>
      <c r="BV227">
        <f t="shared" ca="1" si="102"/>
        <v>0</v>
      </c>
      <c r="BW227">
        <f t="shared" ca="1" si="103"/>
        <v>0</v>
      </c>
      <c r="BX227" t="str">
        <f ca="1">IF(ROW()&lt;($C$7+1),"",IFERROR((分析データ!G227-AVERAGE(OFFSET(分析データ!G$1,MAX(1,ROW()-$C$7),0,MIN($C$7,ROW()-1),1)))/STDEV(OFFSET(分析データ!G$1,MAX(1,ROW()-$C$7),0,MIN($C$7,ROW()-1),1)),0))</f>
        <v/>
      </c>
      <c r="BY227">
        <f t="shared" ca="1" si="104"/>
        <v>0</v>
      </c>
      <c r="BZ227" t="str">
        <f ca="1">IF(BY227=1,IF(INDEX(分析データ!$A:$A,ROW()+$C$5)&lt;&gt;"",40000*SIGN(BX227)*(分析データ!G227-INDEX(分析データ!G:G,ROW()+$C$5)),""),"")</f>
        <v/>
      </c>
      <c r="CA227">
        <f t="shared" ca="1" si="105"/>
        <v>0</v>
      </c>
      <c r="CB227">
        <f t="shared" ca="1" si="106"/>
        <v>0</v>
      </c>
      <c r="CC227">
        <f t="shared" ca="1" si="107"/>
        <v>0</v>
      </c>
      <c r="CD227">
        <f t="shared" ca="1" si="108"/>
        <v>0</v>
      </c>
      <c r="CE227">
        <f t="shared" ca="1" si="109"/>
        <v>0</v>
      </c>
      <c r="CF227">
        <f t="shared" ca="1" si="110"/>
        <v>0</v>
      </c>
      <c r="CG227">
        <f t="shared" ca="1" si="111"/>
        <v>0</v>
      </c>
      <c r="CH227" s="10">
        <f>分析データ!A227</f>
        <v>45254</v>
      </c>
    </row>
    <row r="228" spans="46:86">
      <c r="AT228" t="str">
        <f ca="1">IF(ROW()&lt;($C$7+1),"",IFERROR((分析データ!B228-AVERAGE(OFFSET(分析データ!B$1,MAX(1,ROW()-$C$7),0,MIN($C$7,ROW()-1),1)))/STDEV(OFFSET(分析データ!B$1,MAX(1,ROW()-$C$7),0,MIN($C$7,ROW()-1),1)),0))</f>
        <v/>
      </c>
      <c r="AU228">
        <f t="shared" ca="1" si="84"/>
        <v>0</v>
      </c>
      <c r="AV228" t="str">
        <f ca="1">IF(AU228=1,IF(INDEX(分析データ!$A:$A,ROW()+$C$5)&lt;&gt;"",80000*SIGN(AT228)*(分析データ!B228-INDEX(分析データ!B:B,ROW()+$C$5)),""),"")</f>
        <v/>
      </c>
      <c r="AW228">
        <f t="shared" ca="1" si="85"/>
        <v>0</v>
      </c>
      <c r="AX228">
        <f t="shared" ca="1" si="86"/>
        <v>0</v>
      </c>
      <c r="AY228">
        <f t="shared" ca="1" si="87"/>
        <v>0</v>
      </c>
      <c r="AZ228" t="str">
        <f ca="1">IF(ROW()&lt;($C$7+1),"",IFERROR((分析データ!C228-AVERAGE(OFFSET(分析データ!C$1,MAX(1,ROW()-$C$7),0,MIN($C$7,ROW()-1),1)))/STDEV(OFFSET(分析データ!C$1,MAX(1,ROW()-$C$7),0,MIN($C$7,ROW()-1),1)),0))</f>
        <v/>
      </c>
      <c r="BA228">
        <f t="shared" ca="1" si="88"/>
        <v>0</v>
      </c>
      <c r="BB228" t="str">
        <f ca="1">IF(BA228=1,IF(INDEX(分析データ!$A:$A,ROW()+$C$5)&lt;&gt;"",60000*SIGN(AZ228)*(分析データ!C228-INDEX(分析データ!C:C,ROW()+$C$5)),""),"")</f>
        <v/>
      </c>
      <c r="BC228">
        <f t="shared" ca="1" si="89"/>
        <v>0</v>
      </c>
      <c r="BD228">
        <f t="shared" ca="1" si="90"/>
        <v>0</v>
      </c>
      <c r="BE228">
        <f t="shared" ca="1" si="91"/>
        <v>0</v>
      </c>
      <c r="BF228" t="str">
        <f ca="1">IF(ROW()&lt;($C$7+1),"",IFERROR((分析データ!D228-AVERAGE(OFFSET(分析データ!D$1,MAX(1,ROW()-$C$7),0,MIN($C$7,ROW()-1),1)))/STDEV(OFFSET(分析データ!D$1,MAX(1,ROW()-$C$7),0,MIN($C$7,ROW()-1),1)),0))</f>
        <v/>
      </c>
      <c r="BG228">
        <f t="shared" ca="1" si="92"/>
        <v>0</v>
      </c>
      <c r="BH228" t="str">
        <f ca="1">IF(BG228=1,IF(INDEX(分析データ!$A:$A,ROW()+$C$5)&lt;&gt;"",50000*SIGN(BF228)*(分析データ!D228-INDEX(分析データ!D:D,ROW()+$C$5)),""),"")</f>
        <v/>
      </c>
      <c r="BI228">
        <f t="shared" ca="1" si="93"/>
        <v>0</v>
      </c>
      <c r="BJ228">
        <f t="shared" ca="1" si="94"/>
        <v>0</v>
      </c>
      <c r="BK228">
        <f t="shared" ca="1" si="95"/>
        <v>0</v>
      </c>
      <c r="BL228" t="str">
        <f ca="1">IF(ROW()&lt;($C$7+1),"",IFERROR((分析データ!E228-AVERAGE(OFFSET(分析データ!E$1,MAX(1,ROW()-$C$7),0,MIN($C$7,ROW()-1),1)))/STDEV(OFFSET(分析データ!E$1,MAX(1,ROW()-$C$7),0,MIN($C$7,ROW()-1),1)),0))</f>
        <v/>
      </c>
      <c r="BM228">
        <f t="shared" ca="1" si="96"/>
        <v>0</v>
      </c>
      <c r="BN228" t="str">
        <f ca="1">IF(BM228=1,IF(INDEX(分析データ!$A:$A,ROW()+$C$5)&lt;&gt;"",40000*SIGN(BL228)*(分析データ!E228-INDEX(分析データ!E:E,ROW()+$C$5)),""),"")</f>
        <v/>
      </c>
      <c r="BO228">
        <f t="shared" ca="1" si="97"/>
        <v>0</v>
      </c>
      <c r="BP228">
        <f t="shared" ca="1" si="98"/>
        <v>0</v>
      </c>
      <c r="BQ228">
        <f t="shared" ca="1" si="99"/>
        <v>0</v>
      </c>
      <c r="BR228" t="str">
        <f ca="1">IF(ROW()&lt;($C$7+1),"",IFERROR((分析データ!F228-AVERAGE(OFFSET(分析データ!F$1,MAX(1,ROW()-$C$7),0,MIN($C$7,ROW()-1),1)))/STDEV(OFFSET(分析データ!F$1,MAX(1,ROW()-$C$7),0,MIN($C$7,ROW()-1),1)),0))</f>
        <v/>
      </c>
      <c r="BS228">
        <f t="shared" ca="1" si="100"/>
        <v>0</v>
      </c>
      <c r="BT228" t="str">
        <f ca="1">IF(BS228=1,IF(INDEX(分析データ!$A:$A,ROW()+$C$5)&lt;&gt;"",40000*SIGN(BR228)*(分析データ!F228-INDEX(分析データ!F:F,ROW()+$C$5)),""),"")</f>
        <v/>
      </c>
      <c r="BU228">
        <f t="shared" ca="1" si="101"/>
        <v>0</v>
      </c>
      <c r="BV228">
        <f t="shared" ca="1" si="102"/>
        <v>0</v>
      </c>
      <c r="BW228">
        <f t="shared" ca="1" si="103"/>
        <v>0</v>
      </c>
      <c r="BX228" t="str">
        <f ca="1">IF(ROW()&lt;($C$7+1),"",IFERROR((分析データ!G228-AVERAGE(OFFSET(分析データ!G$1,MAX(1,ROW()-$C$7),0,MIN($C$7,ROW()-1),1)))/STDEV(OFFSET(分析データ!G$1,MAX(1,ROW()-$C$7),0,MIN($C$7,ROW()-1),1)),0))</f>
        <v/>
      </c>
      <c r="BY228">
        <f t="shared" ca="1" si="104"/>
        <v>0</v>
      </c>
      <c r="BZ228" t="str">
        <f ca="1">IF(BY228=1,IF(INDEX(分析データ!$A:$A,ROW()+$C$5)&lt;&gt;"",40000*SIGN(BX228)*(分析データ!G228-INDEX(分析データ!G:G,ROW()+$C$5)),""),"")</f>
        <v/>
      </c>
      <c r="CA228">
        <f t="shared" ca="1" si="105"/>
        <v>0</v>
      </c>
      <c r="CB228">
        <f t="shared" ca="1" si="106"/>
        <v>0</v>
      </c>
      <c r="CC228">
        <f t="shared" ca="1" si="107"/>
        <v>0</v>
      </c>
      <c r="CD228">
        <f t="shared" ca="1" si="108"/>
        <v>0</v>
      </c>
      <c r="CE228">
        <f t="shared" ca="1" si="109"/>
        <v>0</v>
      </c>
      <c r="CF228">
        <f t="shared" ca="1" si="110"/>
        <v>0</v>
      </c>
      <c r="CG228">
        <f t="shared" ca="1" si="111"/>
        <v>0</v>
      </c>
      <c r="CH228" s="10">
        <f>分析データ!A228</f>
        <v>45257</v>
      </c>
    </row>
    <row r="229" spans="46:86">
      <c r="AT229" t="str">
        <f ca="1">IF(ROW()&lt;($C$7+1),"",IFERROR((分析データ!B229-AVERAGE(OFFSET(分析データ!B$1,MAX(1,ROW()-$C$7),0,MIN($C$7,ROW()-1),1)))/STDEV(OFFSET(分析データ!B$1,MAX(1,ROW()-$C$7),0,MIN($C$7,ROW()-1),1)),0))</f>
        <v/>
      </c>
      <c r="AU229">
        <f t="shared" ca="1" si="84"/>
        <v>0</v>
      </c>
      <c r="AV229" t="str">
        <f ca="1">IF(AU229=1,IF(INDEX(分析データ!$A:$A,ROW()+$C$5)&lt;&gt;"",80000*SIGN(AT229)*(分析データ!B229-INDEX(分析データ!B:B,ROW()+$C$5)),""),"")</f>
        <v/>
      </c>
      <c r="AW229">
        <f t="shared" ca="1" si="85"/>
        <v>0</v>
      </c>
      <c r="AX229">
        <f t="shared" ca="1" si="86"/>
        <v>0</v>
      </c>
      <c r="AY229">
        <f t="shared" ca="1" si="87"/>
        <v>0</v>
      </c>
      <c r="AZ229" t="str">
        <f ca="1">IF(ROW()&lt;($C$7+1),"",IFERROR((分析データ!C229-AVERAGE(OFFSET(分析データ!C$1,MAX(1,ROW()-$C$7),0,MIN($C$7,ROW()-1),1)))/STDEV(OFFSET(分析データ!C$1,MAX(1,ROW()-$C$7),0,MIN($C$7,ROW()-1),1)),0))</f>
        <v/>
      </c>
      <c r="BA229">
        <f t="shared" ca="1" si="88"/>
        <v>0</v>
      </c>
      <c r="BB229" t="str">
        <f ca="1">IF(BA229=1,IF(INDEX(分析データ!$A:$A,ROW()+$C$5)&lt;&gt;"",60000*SIGN(AZ229)*(分析データ!C229-INDEX(分析データ!C:C,ROW()+$C$5)),""),"")</f>
        <v/>
      </c>
      <c r="BC229">
        <f t="shared" ca="1" si="89"/>
        <v>0</v>
      </c>
      <c r="BD229">
        <f t="shared" ca="1" si="90"/>
        <v>0</v>
      </c>
      <c r="BE229">
        <f t="shared" ca="1" si="91"/>
        <v>0</v>
      </c>
      <c r="BF229" t="str">
        <f ca="1">IF(ROW()&lt;($C$7+1),"",IFERROR((分析データ!D229-AVERAGE(OFFSET(分析データ!D$1,MAX(1,ROW()-$C$7),0,MIN($C$7,ROW()-1),1)))/STDEV(OFFSET(分析データ!D$1,MAX(1,ROW()-$C$7),0,MIN($C$7,ROW()-1),1)),0))</f>
        <v/>
      </c>
      <c r="BG229">
        <f t="shared" ca="1" si="92"/>
        <v>0</v>
      </c>
      <c r="BH229" t="str">
        <f ca="1">IF(BG229=1,IF(INDEX(分析データ!$A:$A,ROW()+$C$5)&lt;&gt;"",50000*SIGN(BF229)*(分析データ!D229-INDEX(分析データ!D:D,ROW()+$C$5)),""),"")</f>
        <v/>
      </c>
      <c r="BI229">
        <f t="shared" ca="1" si="93"/>
        <v>0</v>
      </c>
      <c r="BJ229">
        <f t="shared" ca="1" si="94"/>
        <v>0</v>
      </c>
      <c r="BK229">
        <f t="shared" ca="1" si="95"/>
        <v>0</v>
      </c>
      <c r="BL229" t="str">
        <f ca="1">IF(ROW()&lt;($C$7+1),"",IFERROR((分析データ!E229-AVERAGE(OFFSET(分析データ!E$1,MAX(1,ROW()-$C$7),0,MIN($C$7,ROW()-1),1)))/STDEV(OFFSET(分析データ!E$1,MAX(1,ROW()-$C$7),0,MIN($C$7,ROW()-1),1)),0))</f>
        <v/>
      </c>
      <c r="BM229">
        <f t="shared" ca="1" si="96"/>
        <v>0</v>
      </c>
      <c r="BN229" t="str">
        <f ca="1">IF(BM229=1,IF(INDEX(分析データ!$A:$A,ROW()+$C$5)&lt;&gt;"",40000*SIGN(BL229)*(分析データ!E229-INDEX(分析データ!E:E,ROW()+$C$5)),""),"")</f>
        <v/>
      </c>
      <c r="BO229">
        <f t="shared" ca="1" si="97"/>
        <v>0</v>
      </c>
      <c r="BP229">
        <f t="shared" ca="1" si="98"/>
        <v>0</v>
      </c>
      <c r="BQ229">
        <f t="shared" ca="1" si="99"/>
        <v>0</v>
      </c>
      <c r="BR229" t="str">
        <f ca="1">IF(ROW()&lt;($C$7+1),"",IFERROR((分析データ!F229-AVERAGE(OFFSET(分析データ!F$1,MAX(1,ROW()-$C$7),0,MIN($C$7,ROW()-1),1)))/STDEV(OFFSET(分析データ!F$1,MAX(1,ROW()-$C$7),0,MIN($C$7,ROW()-1),1)),0))</f>
        <v/>
      </c>
      <c r="BS229">
        <f t="shared" ca="1" si="100"/>
        <v>0</v>
      </c>
      <c r="BT229" t="str">
        <f ca="1">IF(BS229=1,IF(INDEX(分析データ!$A:$A,ROW()+$C$5)&lt;&gt;"",40000*SIGN(BR229)*(分析データ!F229-INDEX(分析データ!F:F,ROW()+$C$5)),""),"")</f>
        <v/>
      </c>
      <c r="BU229">
        <f t="shared" ca="1" si="101"/>
        <v>0</v>
      </c>
      <c r="BV229">
        <f t="shared" ca="1" si="102"/>
        <v>0</v>
      </c>
      <c r="BW229">
        <f t="shared" ca="1" si="103"/>
        <v>0</v>
      </c>
      <c r="BX229" t="str">
        <f ca="1">IF(ROW()&lt;($C$7+1),"",IFERROR((分析データ!G229-AVERAGE(OFFSET(分析データ!G$1,MAX(1,ROW()-$C$7),0,MIN($C$7,ROW()-1),1)))/STDEV(OFFSET(分析データ!G$1,MAX(1,ROW()-$C$7),0,MIN($C$7,ROW()-1),1)),0))</f>
        <v/>
      </c>
      <c r="BY229">
        <f t="shared" ca="1" si="104"/>
        <v>0</v>
      </c>
      <c r="BZ229" t="str">
        <f ca="1">IF(BY229=1,IF(INDEX(分析データ!$A:$A,ROW()+$C$5)&lt;&gt;"",40000*SIGN(BX229)*(分析データ!G229-INDEX(分析データ!G:G,ROW()+$C$5)),""),"")</f>
        <v/>
      </c>
      <c r="CA229">
        <f t="shared" ca="1" si="105"/>
        <v>0</v>
      </c>
      <c r="CB229">
        <f t="shared" ca="1" si="106"/>
        <v>0</v>
      </c>
      <c r="CC229">
        <f t="shared" ca="1" si="107"/>
        <v>0</v>
      </c>
      <c r="CD229">
        <f t="shared" ca="1" si="108"/>
        <v>0</v>
      </c>
      <c r="CE229">
        <f t="shared" ca="1" si="109"/>
        <v>0</v>
      </c>
      <c r="CF229">
        <f t="shared" ca="1" si="110"/>
        <v>0</v>
      </c>
      <c r="CG229">
        <f t="shared" ca="1" si="111"/>
        <v>0</v>
      </c>
      <c r="CH229" s="10">
        <f>分析データ!A229</f>
        <v>45258</v>
      </c>
    </row>
    <row r="230" spans="46:86">
      <c r="AT230" t="str">
        <f ca="1">IF(ROW()&lt;($C$7+1),"",IFERROR((分析データ!B230-AVERAGE(OFFSET(分析データ!B$1,MAX(1,ROW()-$C$7),0,MIN($C$7,ROW()-1),1)))/STDEV(OFFSET(分析データ!B$1,MAX(1,ROW()-$C$7),0,MIN($C$7,ROW()-1),1)),0))</f>
        <v/>
      </c>
      <c r="AU230">
        <f t="shared" ca="1" si="84"/>
        <v>0</v>
      </c>
      <c r="AV230" t="str">
        <f ca="1">IF(AU230=1,IF(INDEX(分析データ!$A:$A,ROW()+$C$5)&lt;&gt;"",80000*SIGN(AT230)*(分析データ!B230-INDEX(分析データ!B:B,ROW()+$C$5)),""),"")</f>
        <v/>
      </c>
      <c r="AW230">
        <f t="shared" ca="1" si="85"/>
        <v>0</v>
      </c>
      <c r="AX230">
        <f t="shared" ca="1" si="86"/>
        <v>0</v>
      </c>
      <c r="AY230">
        <f t="shared" ca="1" si="87"/>
        <v>0</v>
      </c>
      <c r="AZ230" t="str">
        <f ca="1">IF(ROW()&lt;($C$7+1),"",IFERROR((分析データ!C230-AVERAGE(OFFSET(分析データ!C$1,MAX(1,ROW()-$C$7),0,MIN($C$7,ROW()-1),1)))/STDEV(OFFSET(分析データ!C$1,MAX(1,ROW()-$C$7),0,MIN($C$7,ROW()-1),1)),0))</f>
        <v/>
      </c>
      <c r="BA230">
        <f t="shared" ca="1" si="88"/>
        <v>0</v>
      </c>
      <c r="BB230" t="str">
        <f ca="1">IF(BA230=1,IF(INDEX(分析データ!$A:$A,ROW()+$C$5)&lt;&gt;"",60000*SIGN(AZ230)*(分析データ!C230-INDEX(分析データ!C:C,ROW()+$C$5)),""),"")</f>
        <v/>
      </c>
      <c r="BC230">
        <f t="shared" ca="1" si="89"/>
        <v>0</v>
      </c>
      <c r="BD230">
        <f t="shared" ca="1" si="90"/>
        <v>0</v>
      </c>
      <c r="BE230">
        <f t="shared" ca="1" si="91"/>
        <v>0</v>
      </c>
      <c r="BF230" t="str">
        <f ca="1">IF(ROW()&lt;($C$7+1),"",IFERROR((分析データ!D230-AVERAGE(OFFSET(分析データ!D$1,MAX(1,ROW()-$C$7),0,MIN($C$7,ROW()-1),1)))/STDEV(OFFSET(分析データ!D$1,MAX(1,ROW()-$C$7),0,MIN($C$7,ROW()-1),1)),0))</f>
        <v/>
      </c>
      <c r="BG230">
        <f t="shared" ca="1" si="92"/>
        <v>0</v>
      </c>
      <c r="BH230" t="str">
        <f ca="1">IF(BG230=1,IF(INDEX(分析データ!$A:$A,ROW()+$C$5)&lt;&gt;"",50000*SIGN(BF230)*(分析データ!D230-INDEX(分析データ!D:D,ROW()+$C$5)),""),"")</f>
        <v/>
      </c>
      <c r="BI230">
        <f t="shared" ca="1" si="93"/>
        <v>0</v>
      </c>
      <c r="BJ230">
        <f t="shared" ca="1" si="94"/>
        <v>0</v>
      </c>
      <c r="BK230">
        <f t="shared" ca="1" si="95"/>
        <v>0</v>
      </c>
      <c r="BL230" t="str">
        <f ca="1">IF(ROW()&lt;($C$7+1),"",IFERROR((分析データ!E230-AVERAGE(OFFSET(分析データ!E$1,MAX(1,ROW()-$C$7),0,MIN($C$7,ROW()-1),1)))/STDEV(OFFSET(分析データ!E$1,MAX(1,ROW()-$C$7),0,MIN($C$7,ROW()-1),1)),0))</f>
        <v/>
      </c>
      <c r="BM230">
        <f t="shared" ca="1" si="96"/>
        <v>0</v>
      </c>
      <c r="BN230" t="str">
        <f ca="1">IF(BM230=1,IF(INDEX(分析データ!$A:$A,ROW()+$C$5)&lt;&gt;"",40000*SIGN(BL230)*(分析データ!E230-INDEX(分析データ!E:E,ROW()+$C$5)),""),"")</f>
        <v/>
      </c>
      <c r="BO230">
        <f t="shared" ca="1" si="97"/>
        <v>0</v>
      </c>
      <c r="BP230">
        <f t="shared" ca="1" si="98"/>
        <v>0</v>
      </c>
      <c r="BQ230">
        <f t="shared" ca="1" si="99"/>
        <v>0</v>
      </c>
      <c r="BR230" t="str">
        <f ca="1">IF(ROW()&lt;($C$7+1),"",IFERROR((分析データ!F230-AVERAGE(OFFSET(分析データ!F$1,MAX(1,ROW()-$C$7),0,MIN($C$7,ROW()-1),1)))/STDEV(OFFSET(分析データ!F$1,MAX(1,ROW()-$C$7),0,MIN($C$7,ROW()-1),1)),0))</f>
        <v/>
      </c>
      <c r="BS230">
        <f t="shared" ca="1" si="100"/>
        <v>0</v>
      </c>
      <c r="BT230" t="str">
        <f ca="1">IF(BS230=1,IF(INDEX(分析データ!$A:$A,ROW()+$C$5)&lt;&gt;"",40000*SIGN(BR230)*(分析データ!F230-INDEX(分析データ!F:F,ROW()+$C$5)),""),"")</f>
        <v/>
      </c>
      <c r="BU230">
        <f t="shared" ca="1" si="101"/>
        <v>0</v>
      </c>
      <c r="BV230">
        <f t="shared" ca="1" si="102"/>
        <v>0</v>
      </c>
      <c r="BW230">
        <f t="shared" ca="1" si="103"/>
        <v>0</v>
      </c>
      <c r="BX230" t="str">
        <f ca="1">IF(ROW()&lt;($C$7+1),"",IFERROR((分析データ!G230-AVERAGE(OFFSET(分析データ!G$1,MAX(1,ROW()-$C$7),0,MIN($C$7,ROW()-1),1)))/STDEV(OFFSET(分析データ!G$1,MAX(1,ROW()-$C$7),0,MIN($C$7,ROW()-1),1)),0))</f>
        <v/>
      </c>
      <c r="BY230">
        <f t="shared" ca="1" si="104"/>
        <v>0</v>
      </c>
      <c r="BZ230" t="str">
        <f ca="1">IF(BY230=1,IF(INDEX(分析データ!$A:$A,ROW()+$C$5)&lt;&gt;"",40000*SIGN(BX230)*(分析データ!G230-INDEX(分析データ!G:G,ROW()+$C$5)),""),"")</f>
        <v/>
      </c>
      <c r="CA230">
        <f t="shared" ca="1" si="105"/>
        <v>0</v>
      </c>
      <c r="CB230">
        <f t="shared" ca="1" si="106"/>
        <v>0</v>
      </c>
      <c r="CC230">
        <f t="shared" ca="1" si="107"/>
        <v>0</v>
      </c>
      <c r="CD230">
        <f t="shared" ca="1" si="108"/>
        <v>0</v>
      </c>
      <c r="CE230">
        <f t="shared" ca="1" si="109"/>
        <v>0</v>
      </c>
      <c r="CF230">
        <f t="shared" ca="1" si="110"/>
        <v>0</v>
      </c>
      <c r="CG230">
        <f t="shared" ca="1" si="111"/>
        <v>0</v>
      </c>
      <c r="CH230" s="10">
        <f>分析データ!A230</f>
        <v>45259</v>
      </c>
    </row>
    <row r="231" spans="46:86">
      <c r="AT231" t="str">
        <f ca="1">IF(ROW()&lt;($C$7+1),"",IFERROR((分析データ!B231-AVERAGE(OFFSET(分析データ!B$1,MAX(1,ROW()-$C$7),0,MIN($C$7,ROW()-1),1)))/STDEV(OFFSET(分析データ!B$1,MAX(1,ROW()-$C$7),0,MIN($C$7,ROW()-1),1)),0))</f>
        <v/>
      </c>
      <c r="AU231">
        <f t="shared" ca="1" si="84"/>
        <v>0</v>
      </c>
      <c r="AV231" t="str">
        <f ca="1">IF(AU231=1,IF(INDEX(分析データ!$A:$A,ROW()+$C$5)&lt;&gt;"",80000*SIGN(AT231)*(分析データ!B231-INDEX(分析データ!B:B,ROW()+$C$5)),""),"")</f>
        <v/>
      </c>
      <c r="AW231">
        <f t="shared" ca="1" si="85"/>
        <v>0</v>
      </c>
      <c r="AX231">
        <f t="shared" ca="1" si="86"/>
        <v>0</v>
      </c>
      <c r="AY231">
        <f t="shared" ca="1" si="87"/>
        <v>0</v>
      </c>
      <c r="AZ231" t="str">
        <f ca="1">IF(ROW()&lt;($C$7+1),"",IFERROR((分析データ!C231-AVERAGE(OFFSET(分析データ!C$1,MAX(1,ROW()-$C$7),0,MIN($C$7,ROW()-1),1)))/STDEV(OFFSET(分析データ!C$1,MAX(1,ROW()-$C$7),0,MIN($C$7,ROW()-1),1)),0))</f>
        <v/>
      </c>
      <c r="BA231">
        <f t="shared" ca="1" si="88"/>
        <v>0</v>
      </c>
      <c r="BB231" t="str">
        <f ca="1">IF(BA231=1,IF(INDEX(分析データ!$A:$A,ROW()+$C$5)&lt;&gt;"",60000*SIGN(AZ231)*(分析データ!C231-INDEX(分析データ!C:C,ROW()+$C$5)),""),"")</f>
        <v/>
      </c>
      <c r="BC231">
        <f t="shared" ca="1" si="89"/>
        <v>0</v>
      </c>
      <c r="BD231">
        <f t="shared" ca="1" si="90"/>
        <v>0</v>
      </c>
      <c r="BE231">
        <f t="shared" ca="1" si="91"/>
        <v>0</v>
      </c>
      <c r="BF231" t="str">
        <f ca="1">IF(ROW()&lt;($C$7+1),"",IFERROR((分析データ!D231-AVERAGE(OFFSET(分析データ!D$1,MAX(1,ROW()-$C$7),0,MIN($C$7,ROW()-1),1)))/STDEV(OFFSET(分析データ!D$1,MAX(1,ROW()-$C$7),0,MIN($C$7,ROW()-1),1)),0))</f>
        <v/>
      </c>
      <c r="BG231">
        <f t="shared" ca="1" si="92"/>
        <v>0</v>
      </c>
      <c r="BH231" t="str">
        <f ca="1">IF(BG231=1,IF(INDEX(分析データ!$A:$A,ROW()+$C$5)&lt;&gt;"",50000*SIGN(BF231)*(分析データ!D231-INDEX(分析データ!D:D,ROW()+$C$5)),""),"")</f>
        <v/>
      </c>
      <c r="BI231">
        <f t="shared" ca="1" si="93"/>
        <v>0</v>
      </c>
      <c r="BJ231">
        <f t="shared" ca="1" si="94"/>
        <v>0</v>
      </c>
      <c r="BK231">
        <f t="shared" ca="1" si="95"/>
        <v>0</v>
      </c>
      <c r="BL231" t="str">
        <f ca="1">IF(ROW()&lt;($C$7+1),"",IFERROR((分析データ!E231-AVERAGE(OFFSET(分析データ!E$1,MAX(1,ROW()-$C$7),0,MIN($C$7,ROW()-1),1)))/STDEV(OFFSET(分析データ!E$1,MAX(1,ROW()-$C$7),0,MIN($C$7,ROW()-1),1)),0))</f>
        <v/>
      </c>
      <c r="BM231">
        <f t="shared" ca="1" si="96"/>
        <v>0</v>
      </c>
      <c r="BN231" t="str">
        <f ca="1">IF(BM231=1,IF(INDEX(分析データ!$A:$A,ROW()+$C$5)&lt;&gt;"",40000*SIGN(BL231)*(分析データ!E231-INDEX(分析データ!E:E,ROW()+$C$5)),""),"")</f>
        <v/>
      </c>
      <c r="BO231">
        <f t="shared" ca="1" si="97"/>
        <v>0</v>
      </c>
      <c r="BP231">
        <f t="shared" ca="1" si="98"/>
        <v>0</v>
      </c>
      <c r="BQ231">
        <f t="shared" ca="1" si="99"/>
        <v>0</v>
      </c>
      <c r="BR231" t="str">
        <f ca="1">IF(ROW()&lt;($C$7+1),"",IFERROR((分析データ!F231-AVERAGE(OFFSET(分析データ!F$1,MAX(1,ROW()-$C$7),0,MIN($C$7,ROW()-1),1)))/STDEV(OFFSET(分析データ!F$1,MAX(1,ROW()-$C$7),0,MIN($C$7,ROW()-1),1)),0))</f>
        <v/>
      </c>
      <c r="BS231">
        <f t="shared" ca="1" si="100"/>
        <v>0</v>
      </c>
      <c r="BT231" t="str">
        <f ca="1">IF(BS231=1,IF(INDEX(分析データ!$A:$A,ROW()+$C$5)&lt;&gt;"",40000*SIGN(BR231)*(分析データ!F231-INDEX(分析データ!F:F,ROW()+$C$5)),""),"")</f>
        <v/>
      </c>
      <c r="BU231">
        <f t="shared" ca="1" si="101"/>
        <v>0</v>
      </c>
      <c r="BV231">
        <f t="shared" ca="1" si="102"/>
        <v>0</v>
      </c>
      <c r="BW231">
        <f t="shared" ca="1" si="103"/>
        <v>0</v>
      </c>
      <c r="BX231" t="str">
        <f ca="1">IF(ROW()&lt;($C$7+1),"",IFERROR((分析データ!G231-AVERAGE(OFFSET(分析データ!G$1,MAX(1,ROW()-$C$7),0,MIN($C$7,ROW()-1),1)))/STDEV(OFFSET(分析データ!G$1,MAX(1,ROW()-$C$7),0,MIN($C$7,ROW()-1),1)),0))</f>
        <v/>
      </c>
      <c r="BY231">
        <f t="shared" ca="1" si="104"/>
        <v>0</v>
      </c>
      <c r="BZ231" t="str">
        <f ca="1">IF(BY231=1,IF(INDEX(分析データ!$A:$A,ROW()+$C$5)&lt;&gt;"",40000*SIGN(BX231)*(分析データ!G231-INDEX(分析データ!G:G,ROW()+$C$5)),""),"")</f>
        <v/>
      </c>
      <c r="CA231">
        <f t="shared" ca="1" si="105"/>
        <v>0</v>
      </c>
      <c r="CB231">
        <f t="shared" ca="1" si="106"/>
        <v>0</v>
      </c>
      <c r="CC231">
        <f t="shared" ca="1" si="107"/>
        <v>0</v>
      </c>
      <c r="CD231">
        <f t="shared" ca="1" si="108"/>
        <v>0</v>
      </c>
      <c r="CE231">
        <f t="shared" ca="1" si="109"/>
        <v>0</v>
      </c>
      <c r="CF231">
        <f t="shared" ca="1" si="110"/>
        <v>0</v>
      </c>
      <c r="CG231">
        <f t="shared" ca="1" si="111"/>
        <v>0</v>
      </c>
      <c r="CH231" s="10">
        <f>分析データ!A231</f>
        <v>45260</v>
      </c>
    </row>
    <row r="232" spans="46:86">
      <c r="AT232" t="str">
        <f ca="1">IF(ROW()&lt;($C$7+1),"",IFERROR((分析データ!B232-AVERAGE(OFFSET(分析データ!B$1,MAX(1,ROW()-$C$7),0,MIN($C$7,ROW()-1),1)))/STDEV(OFFSET(分析データ!B$1,MAX(1,ROW()-$C$7),0,MIN($C$7,ROW()-1),1)),0))</f>
        <v/>
      </c>
      <c r="AU232">
        <f t="shared" ca="1" si="84"/>
        <v>0</v>
      </c>
      <c r="AV232" t="str">
        <f ca="1">IF(AU232=1,IF(INDEX(分析データ!$A:$A,ROW()+$C$5)&lt;&gt;"",80000*SIGN(AT232)*(分析データ!B232-INDEX(分析データ!B:B,ROW()+$C$5)),""),"")</f>
        <v/>
      </c>
      <c r="AW232">
        <f t="shared" ca="1" si="85"/>
        <v>0</v>
      </c>
      <c r="AX232">
        <f t="shared" ca="1" si="86"/>
        <v>0</v>
      </c>
      <c r="AY232">
        <f t="shared" ca="1" si="87"/>
        <v>0</v>
      </c>
      <c r="AZ232" t="str">
        <f ca="1">IF(ROW()&lt;($C$7+1),"",IFERROR((分析データ!C232-AVERAGE(OFFSET(分析データ!C$1,MAX(1,ROW()-$C$7),0,MIN($C$7,ROW()-1),1)))/STDEV(OFFSET(分析データ!C$1,MAX(1,ROW()-$C$7),0,MIN($C$7,ROW()-1),1)),0))</f>
        <v/>
      </c>
      <c r="BA232">
        <f t="shared" ca="1" si="88"/>
        <v>0</v>
      </c>
      <c r="BB232" t="str">
        <f ca="1">IF(BA232=1,IF(INDEX(分析データ!$A:$A,ROW()+$C$5)&lt;&gt;"",60000*SIGN(AZ232)*(分析データ!C232-INDEX(分析データ!C:C,ROW()+$C$5)),""),"")</f>
        <v/>
      </c>
      <c r="BC232">
        <f t="shared" ca="1" si="89"/>
        <v>0</v>
      </c>
      <c r="BD232">
        <f t="shared" ca="1" si="90"/>
        <v>0</v>
      </c>
      <c r="BE232">
        <f t="shared" ca="1" si="91"/>
        <v>0</v>
      </c>
      <c r="BF232" t="str">
        <f ca="1">IF(ROW()&lt;($C$7+1),"",IFERROR((分析データ!D232-AVERAGE(OFFSET(分析データ!D$1,MAX(1,ROW()-$C$7),0,MIN($C$7,ROW()-1),1)))/STDEV(OFFSET(分析データ!D$1,MAX(1,ROW()-$C$7),0,MIN($C$7,ROW()-1),1)),0))</f>
        <v/>
      </c>
      <c r="BG232">
        <f t="shared" ca="1" si="92"/>
        <v>0</v>
      </c>
      <c r="BH232" t="str">
        <f ca="1">IF(BG232=1,IF(INDEX(分析データ!$A:$A,ROW()+$C$5)&lt;&gt;"",50000*SIGN(BF232)*(分析データ!D232-INDEX(分析データ!D:D,ROW()+$C$5)),""),"")</f>
        <v/>
      </c>
      <c r="BI232">
        <f t="shared" ca="1" si="93"/>
        <v>0</v>
      </c>
      <c r="BJ232">
        <f t="shared" ca="1" si="94"/>
        <v>0</v>
      </c>
      <c r="BK232">
        <f t="shared" ca="1" si="95"/>
        <v>0</v>
      </c>
      <c r="BL232" t="str">
        <f ca="1">IF(ROW()&lt;($C$7+1),"",IFERROR((分析データ!E232-AVERAGE(OFFSET(分析データ!E$1,MAX(1,ROW()-$C$7),0,MIN($C$7,ROW()-1),1)))/STDEV(OFFSET(分析データ!E$1,MAX(1,ROW()-$C$7),0,MIN($C$7,ROW()-1),1)),0))</f>
        <v/>
      </c>
      <c r="BM232">
        <f t="shared" ca="1" si="96"/>
        <v>0</v>
      </c>
      <c r="BN232" t="str">
        <f ca="1">IF(BM232=1,IF(INDEX(分析データ!$A:$A,ROW()+$C$5)&lt;&gt;"",40000*SIGN(BL232)*(分析データ!E232-INDEX(分析データ!E:E,ROW()+$C$5)),""),"")</f>
        <v/>
      </c>
      <c r="BO232">
        <f t="shared" ca="1" si="97"/>
        <v>0</v>
      </c>
      <c r="BP232">
        <f t="shared" ca="1" si="98"/>
        <v>0</v>
      </c>
      <c r="BQ232">
        <f t="shared" ca="1" si="99"/>
        <v>0</v>
      </c>
      <c r="BR232" t="str">
        <f ca="1">IF(ROW()&lt;($C$7+1),"",IFERROR((分析データ!F232-AVERAGE(OFFSET(分析データ!F$1,MAX(1,ROW()-$C$7),0,MIN($C$7,ROW()-1),1)))/STDEV(OFFSET(分析データ!F$1,MAX(1,ROW()-$C$7),0,MIN($C$7,ROW()-1),1)),0))</f>
        <v/>
      </c>
      <c r="BS232">
        <f t="shared" ca="1" si="100"/>
        <v>0</v>
      </c>
      <c r="BT232" t="str">
        <f ca="1">IF(BS232=1,IF(INDEX(分析データ!$A:$A,ROW()+$C$5)&lt;&gt;"",40000*SIGN(BR232)*(分析データ!F232-INDEX(分析データ!F:F,ROW()+$C$5)),""),"")</f>
        <v/>
      </c>
      <c r="BU232">
        <f t="shared" ca="1" si="101"/>
        <v>0</v>
      </c>
      <c r="BV232">
        <f t="shared" ca="1" si="102"/>
        <v>0</v>
      </c>
      <c r="BW232">
        <f t="shared" ca="1" si="103"/>
        <v>0</v>
      </c>
      <c r="BX232" t="str">
        <f ca="1">IF(ROW()&lt;($C$7+1),"",IFERROR((分析データ!G232-AVERAGE(OFFSET(分析データ!G$1,MAX(1,ROW()-$C$7),0,MIN($C$7,ROW()-1),1)))/STDEV(OFFSET(分析データ!G$1,MAX(1,ROW()-$C$7),0,MIN($C$7,ROW()-1),1)),0))</f>
        <v/>
      </c>
      <c r="BY232">
        <f t="shared" ca="1" si="104"/>
        <v>0</v>
      </c>
      <c r="BZ232" t="str">
        <f ca="1">IF(BY232=1,IF(INDEX(分析データ!$A:$A,ROW()+$C$5)&lt;&gt;"",40000*SIGN(BX232)*(分析データ!G232-INDEX(分析データ!G:G,ROW()+$C$5)),""),"")</f>
        <v/>
      </c>
      <c r="CA232">
        <f t="shared" ca="1" si="105"/>
        <v>0</v>
      </c>
      <c r="CB232">
        <f t="shared" ca="1" si="106"/>
        <v>0</v>
      </c>
      <c r="CC232">
        <f t="shared" ca="1" si="107"/>
        <v>0</v>
      </c>
      <c r="CD232">
        <f t="shared" ca="1" si="108"/>
        <v>0</v>
      </c>
      <c r="CE232">
        <f t="shared" ca="1" si="109"/>
        <v>0</v>
      </c>
      <c r="CF232">
        <f t="shared" ca="1" si="110"/>
        <v>0</v>
      </c>
      <c r="CG232">
        <f t="shared" ca="1" si="111"/>
        <v>0</v>
      </c>
      <c r="CH232" s="10">
        <f>分析データ!A232</f>
        <v>45261</v>
      </c>
    </row>
    <row r="233" spans="46:86">
      <c r="AT233" t="str">
        <f ca="1">IF(ROW()&lt;($C$7+1),"",IFERROR((分析データ!B233-AVERAGE(OFFSET(分析データ!B$1,MAX(1,ROW()-$C$7),0,MIN($C$7,ROW()-1),1)))/STDEV(OFFSET(分析データ!B$1,MAX(1,ROW()-$C$7),0,MIN($C$7,ROW()-1),1)),0))</f>
        <v/>
      </c>
      <c r="AU233">
        <f t="shared" ca="1" si="84"/>
        <v>0</v>
      </c>
      <c r="AV233" t="str">
        <f ca="1">IF(AU233=1,IF(INDEX(分析データ!$A:$A,ROW()+$C$5)&lt;&gt;"",80000*SIGN(AT233)*(分析データ!B233-INDEX(分析データ!B:B,ROW()+$C$5)),""),"")</f>
        <v/>
      </c>
      <c r="AW233">
        <f t="shared" ca="1" si="85"/>
        <v>0</v>
      </c>
      <c r="AX233">
        <f t="shared" ca="1" si="86"/>
        <v>0</v>
      </c>
      <c r="AY233">
        <f t="shared" ca="1" si="87"/>
        <v>0</v>
      </c>
      <c r="AZ233" t="str">
        <f ca="1">IF(ROW()&lt;($C$7+1),"",IFERROR((分析データ!C233-AVERAGE(OFFSET(分析データ!C$1,MAX(1,ROW()-$C$7),0,MIN($C$7,ROW()-1),1)))/STDEV(OFFSET(分析データ!C$1,MAX(1,ROW()-$C$7),0,MIN($C$7,ROW()-1),1)),0))</f>
        <v/>
      </c>
      <c r="BA233">
        <f t="shared" ca="1" si="88"/>
        <v>0</v>
      </c>
      <c r="BB233" t="str">
        <f ca="1">IF(BA233=1,IF(INDEX(分析データ!$A:$A,ROW()+$C$5)&lt;&gt;"",60000*SIGN(AZ233)*(分析データ!C233-INDEX(分析データ!C:C,ROW()+$C$5)),""),"")</f>
        <v/>
      </c>
      <c r="BC233">
        <f t="shared" ca="1" si="89"/>
        <v>0</v>
      </c>
      <c r="BD233">
        <f t="shared" ca="1" si="90"/>
        <v>0</v>
      </c>
      <c r="BE233">
        <f t="shared" ca="1" si="91"/>
        <v>0</v>
      </c>
      <c r="BF233" t="str">
        <f ca="1">IF(ROW()&lt;($C$7+1),"",IFERROR((分析データ!D233-AVERAGE(OFFSET(分析データ!D$1,MAX(1,ROW()-$C$7),0,MIN($C$7,ROW()-1),1)))/STDEV(OFFSET(分析データ!D$1,MAX(1,ROW()-$C$7),0,MIN($C$7,ROW()-1),1)),0))</f>
        <v/>
      </c>
      <c r="BG233">
        <f t="shared" ca="1" si="92"/>
        <v>0</v>
      </c>
      <c r="BH233" t="str">
        <f ca="1">IF(BG233=1,IF(INDEX(分析データ!$A:$A,ROW()+$C$5)&lt;&gt;"",50000*SIGN(BF233)*(分析データ!D233-INDEX(分析データ!D:D,ROW()+$C$5)),""),"")</f>
        <v/>
      </c>
      <c r="BI233">
        <f t="shared" ca="1" si="93"/>
        <v>0</v>
      </c>
      <c r="BJ233">
        <f t="shared" ca="1" si="94"/>
        <v>0</v>
      </c>
      <c r="BK233">
        <f t="shared" ca="1" si="95"/>
        <v>0</v>
      </c>
      <c r="BL233" t="str">
        <f ca="1">IF(ROW()&lt;($C$7+1),"",IFERROR((分析データ!E233-AVERAGE(OFFSET(分析データ!E$1,MAX(1,ROW()-$C$7),0,MIN($C$7,ROW()-1),1)))/STDEV(OFFSET(分析データ!E$1,MAX(1,ROW()-$C$7),0,MIN($C$7,ROW()-1),1)),0))</f>
        <v/>
      </c>
      <c r="BM233">
        <f t="shared" ca="1" si="96"/>
        <v>0</v>
      </c>
      <c r="BN233" t="str">
        <f ca="1">IF(BM233=1,IF(INDEX(分析データ!$A:$A,ROW()+$C$5)&lt;&gt;"",40000*SIGN(BL233)*(分析データ!E233-INDEX(分析データ!E:E,ROW()+$C$5)),""),"")</f>
        <v/>
      </c>
      <c r="BO233">
        <f t="shared" ca="1" si="97"/>
        <v>0</v>
      </c>
      <c r="BP233">
        <f t="shared" ca="1" si="98"/>
        <v>0</v>
      </c>
      <c r="BQ233">
        <f t="shared" ca="1" si="99"/>
        <v>0</v>
      </c>
      <c r="BR233" t="str">
        <f ca="1">IF(ROW()&lt;($C$7+1),"",IFERROR((分析データ!F233-AVERAGE(OFFSET(分析データ!F$1,MAX(1,ROW()-$C$7),0,MIN($C$7,ROW()-1),1)))/STDEV(OFFSET(分析データ!F$1,MAX(1,ROW()-$C$7),0,MIN($C$7,ROW()-1),1)),0))</f>
        <v/>
      </c>
      <c r="BS233">
        <f t="shared" ca="1" si="100"/>
        <v>0</v>
      </c>
      <c r="BT233" t="str">
        <f ca="1">IF(BS233=1,IF(INDEX(分析データ!$A:$A,ROW()+$C$5)&lt;&gt;"",40000*SIGN(BR233)*(分析データ!F233-INDEX(分析データ!F:F,ROW()+$C$5)),""),"")</f>
        <v/>
      </c>
      <c r="BU233">
        <f t="shared" ca="1" si="101"/>
        <v>0</v>
      </c>
      <c r="BV233">
        <f t="shared" ca="1" si="102"/>
        <v>0</v>
      </c>
      <c r="BW233">
        <f t="shared" ca="1" si="103"/>
        <v>0</v>
      </c>
      <c r="BX233" t="str">
        <f ca="1">IF(ROW()&lt;($C$7+1),"",IFERROR((分析データ!G233-AVERAGE(OFFSET(分析データ!G$1,MAX(1,ROW()-$C$7),0,MIN($C$7,ROW()-1),1)))/STDEV(OFFSET(分析データ!G$1,MAX(1,ROW()-$C$7),0,MIN($C$7,ROW()-1),1)),0))</f>
        <v/>
      </c>
      <c r="BY233">
        <f t="shared" ca="1" si="104"/>
        <v>0</v>
      </c>
      <c r="BZ233" t="str">
        <f ca="1">IF(BY233=1,IF(INDEX(分析データ!$A:$A,ROW()+$C$5)&lt;&gt;"",40000*SIGN(BX233)*(分析データ!G233-INDEX(分析データ!G:G,ROW()+$C$5)),""),"")</f>
        <v/>
      </c>
      <c r="CA233">
        <f t="shared" ca="1" si="105"/>
        <v>0</v>
      </c>
      <c r="CB233">
        <f t="shared" ca="1" si="106"/>
        <v>0</v>
      </c>
      <c r="CC233">
        <f t="shared" ca="1" si="107"/>
        <v>0</v>
      </c>
      <c r="CD233">
        <f t="shared" ca="1" si="108"/>
        <v>0</v>
      </c>
      <c r="CE233">
        <f t="shared" ca="1" si="109"/>
        <v>0</v>
      </c>
      <c r="CF233">
        <f t="shared" ca="1" si="110"/>
        <v>0</v>
      </c>
      <c r="CG233">
        <f t="shared" ca="1" si="111"/>
        <v>0</v>
      </c>
      <c r="CH233" s="10">
        <f>分析データ!A233</f>
        <v>45264</v>
      </c>
    </row>
    <row r="234" spans="46:86">
      <c r="AT234" t="str">
        <f ca="1">IF(ROW()&lt;($C$7+1),"",IFERROR((分析データ!B234-AVERAGE(OFFSET(分析データ!B$1,MAX(1,ROW()-$C$7),0,MIN($C$7,ROW()-1),1)))/STDEV(OFFSET(分析データ!B$1,MAX(1,ROW()-$C$7),0,MIN($C$7,ROW()-1),1)),0))</f>
        <v/>
      </c>
      <c r="AU234">
        <f t="shared" ca="1" si="84"/>
        <v>0</v>
      </c>
      <c r="AV234" t="str">
        <f ca="1">IF(AU234=1,IF(INDEX(分析データ!$A:$A,ROW()+$C$5)&lt;&gt;"",80000*SIGN(AT234)*(分析データ!B234-INDEX(分析データ!B:B,ROW()+$C$5)),""),"")</f>
        <v/>
      </c>
      <c r="AW234">
        <f t="shared" ca="1" si="85"/>
        <v>0</v>
      </c>
      <c r="AX234">
        <f t="shared" ca="1" si="86"/>
        <v>0</v>
      </c>
      <c r="AY234">
        <f t="shared" ca="1" si="87"/>
        <v>0</v>
      </c>
      <c r="AZ234" t="str">
        <f ca="1">IF(ROW()&lt;($C$7+1),"",IFERROR((分析データ!C234-AVERAGE(OFFSET(分析データ!C$1,MAX(1,ROW()-$C$7),0,MIN($C$7,ROW()-1),1)))/STDEV(OFFSET(分析データ!C$1,MAX(1,ROW()-$C$7),0,MIN($C$7,ROW()-1),1)),0))</f>
        <v/>
      </c>
      <c r="BA234">
        <f t="shared" ca="1" si="88"/>
        <v>0</v>
      </c>
      <c r="BB234" t="str">
        <f ca="1">IF(BA234=1,IF(INDEX(分析データ!$A:$A,ROW()+$C$5)&lt;&gt;"",60000*SIGN(AZ234)*(分析データ!C234-INDEX(分析データ!C:C,ROW()+$C$5)),""),"")</f>
        <v/>
      </c>
      <c r="BC234">
        <f t="shared" ca="1" si="89"/>
        <v>0</v>
      </c>
      <c r="BD234">
        <f t="shared" ca="1" si="90"/>
        <v>0</v>
      </c>
      <c r="BE234">
        <f t="shared" ca="1" si="91"/>
        <v>0</v>
      </c>
      <c r="BF234" t="str">
        <f ca="1">IF(ROW()&lt;($C$7+1),"",IFERROR((分析データ!D234-AVERAGE(OFFSET(分析データ!D$1,MAX(1,ROW()-$C$7),0,MIN($C$7,ROW()-1),1)))/STDEV(OFFSET(分析データ!D$1,MAX(1,ROW()-$C$7),0,MIN($C$7,ROW()-1),1)),0))</f>
        <v/>
      </c>
      <c r="BG234">
        <f t="shared" ca="1" si="92"/>
        <v>0</v>
      </c>
      <c r="BH234" t="str">
        <f ca="1">IF(BG234=1,IF(INDEX(分析データ!$A:$A,ROW()+$C$5)&lt;&gt;"",50000*SIGN(BF234)*(分析データ!D234-INDEX(分析データ!D:D,ROW()+$C$5)),""),"")</f>
        <v/>
      </c>
      <c r="BI234">
        <f t="shared" ca="1" si="93"/>
        <v>0</v>
      </c>
      <c r="BJ234">
        <f t="shared" ca="1" si="94"/>
        <v>0</v>
      </c>
      <c r="BK234">
        <f t="shared" ca="1" si="95"/>
        <v>0</v>
      </c>
      <c r="BL234" t="str">
        <f ca="1">IF(ROW()&lt;($C$7+1),"",IFERROR((分析データ!E234-AVERAGE(OFFSET(分析データ!E$1,MAX(1,ROW()-$C$7),0,MIN($C$7,ROW()-1),1)))/STDEV(OFFSET(分析データ!E$1,MAX(1,ROW()-$C$7),0,MIN($C$7,ROW()-1),1)),0))</f>
        <v/>
      </c>
      <c r="BM234">
        <f t="shared" ca="1" si="96"/>
        <v>0</v>
      </c>
      <c r="BN234" t="str">
        <f ca="1">IF(BM234=1,IF(INDEX(分析データ!$A:$A,ROW()+$C$5)&lt;&gt;"",40000*SIGN(BL234)*(分析データ!E234-INDEX(分析データ!E:E,ROW()+$C$5)),""),"")</f>
        <v/>
      </c>
      <c r="BO234">
        <f t="shared" ca="1" si="97"/>
        <v>0</v>
      </c>
      <c r="BP234">
        <f t="shared" ca="1" si="98"/>
        <v>0</v>
      </c>
      <c r="BQ234">
        <f t="shared" ca="1" si="99"/>
        <v>0</v>
      </c>
      <c r="BR234" t="str">
        <f ca="1">IF(ROW()&lt;($C$7+1),"",IFERROR((分析データ!F234-AVERAGE(OFFSET(分析データ!F$1,MAX(1,ROW()-$C$7),0,MIN($C$7,ROW()-1),1)))/STDEV(OFFSET(分析データ!F$1,MAX(1,ROW()-$C$7),0,MIN($C$7,ROW()-1),1)),0))</f>
        <v/>
      </c>
      <c r="BS234">
        <f t="shared" ca="1" si="100"/>
        <v>0</v>
      </c>
      <c r="BT234" t="str">
        <f ca="1">IF(BS234=1,IF(INDEX(分析データ!$A:$A,ROW()+$C$5)&lt;&gt;"",40000*SIGN(BR234)*(分析データ!F234-INDEX(分析データ!F:F,ROW()+$C$5)),""),"")</f>
        <v/>
      </c>
      <c r="BU234">
        <f t="shared" ca="1" si="101"/>
        <v>0</v>
      </c>
      <c r="BV234">
        <f t="shared" ca="1" si="102"/>
        <v>0</v>
      </c>
      <c r="BW234">
        <f t="shared" ca="1" si="103"/>
        <v>0</v>
      </c>
      <c r="BX234" t="str">
        <f ca="1">IF(ROW()&lt;($C$7+1),"",IFERROR((分析データ!G234-AVERAGE(OFFSET(分析データ!G$1,MAX(1,ROW()-$C$7),0,MIN($C$7,ROW()-1),1)))/STDEV(OFFSET(分析データ!G$1,MAX(1,ROW()-$C$7),0,MIN($C$7,ROW()-1),1)),0))</f>
        <v/>
      </c>
      <c r="BY234">
        <f t="shared" ca="1" si="104"/>
        <v>0</v>
      </c>
      <c r="BZ234" t="str">
        <f ca="1">IF(BY234=1,IF(INDEX(分析データ!$A:$A,ROW()+$C$5)&lt;&gt;"",40000*SIGN(BX234)*(分析データ!G234-INDEX(分析データ!G:G,ROW()+$C$5)),""),"")</f>
        <v/>
      </c>
      <c r="CA234">
        <f t="shared" ca="1" si="105"/>
        <v>0</v>
      </c>
      <c r="CB234">
        <f t="shared" ca="1" si="106"/>
        <v>0</v>
      </c>
      <c r="CC234">
        <f t="shared" ca="1" si="107"/>
        <v>0</v>
      </c>
      <c r="CD234">
        <f t="shared" ca="1" si="108"/>
        <v>0</v>
      </c>
      <c r="CE234">
        <f t="shared" ca="1" si="109"/>
        <v>0</v>
      </c>
      <c r="CF234">
        <f t="shared" ca="1" si="110"/>
        <v>0</v>
      </c>
      <c r="CG234">
        <f t="shared" ca="1" si="111"/>
        <v>0</v>
      </c>
      <c r="CH234" s="10">
        <f>分析データ!A234</f>
        <v>45265</v>
      </c>
    </row>
    <row r="235" spans="46:86">
      <c r="AT235" t="str">
        <f ca="1">IF(ROW()&lt;($C$7+1),"",IFERROR((分析データ!B235-AVERAGE(OFFSET(分析データ!B$1,MAX(1,ROW()-$C$7),0,MIN($C$7,ROW()-1),1)))/STDEV(OFFSET(分析データ!B$1,MAX(1,ROW()-$C$7),0,MIN($C$7,ROW()-1),1)),0))</f>
        <v/>
      </c>
      <c r="AU235">
        <f t="shared" ca="1" si="84"/>
        <v>0</v>
      </c>
      <c r="AV235" t="str">
        <f ca="1">IF(AU235=1,IF(INDEX(分析データ!$A:$A,ROW()+$C$5)&lt;&gt;"",80000*SIGN(AT235)*(分析データ!B235-INDEX(分析データ!B:B,ROW()+$C$5)),""),"")</f>
        <v/>
      </c>
      <c r="AW235">
        <f t="shared" ca="1" si="85"/>
        <v>0</v>
      </c>
      <c r="AX235">
        <f t="shared" ca="1" si="86"/>
        <v>0</v>
      </c>
      <c r="AY235">
        <f t="shared" ca="1" si="87"/>
        <v>0</v>
      </c>
      <c r="AZ235" t="str">
        <f ca="1">IF(ROW()&lt;($C$7+1),"",IFERROR((分析データ!C235-AVERAGE(OFFSET(分析データ!C$1,MAX(1,ROW()-$C$7),0,MIN($C$7,ROW()-1),1)))/STDEV(OFFSET(分析データ!C$1,MAX(1,ROW()-$C$7),0,MIN($C$7,ROW()-1),1)),0))</f>
        <v/>
      </c>
      <c r="BA235">
        <f t="shared" ca="1" si="88"/>
        <v>0</v>
      </c>
      <c r="BB235" t="str">
        <f ca="1">IF(BA235=1,IF(INDEX(分析データ!$A:$A,ROW()+$C$5)&lt;&gt;"",60000*SIGN(AZ235)*(分析データ!C235-INDEX(分析データ!C:C,ROW()+$C$5)),""),"")</f>
        <v/>
      </c>
      <c r="BC235">
        <f t="shared" ca="1" si="89"/>
        <v>0</v>
      </c>
      <c r="BD235">
        <f t="shared" ca="1" si="90"/>
        <v>0</v>
      </c>
      <c r="BE235">
        <f t="shared" ca="1" si="91"/>
        <v>0</v>
      </c>
      <c r="BF235" t="str">
        <f ca="1">IF(ROW()&lt;($C$7+1),"",IFERROR((分析データ!D235-AVERAGE(OFFSET(分析データ!D$1,MAX(1,ROW()-$C$7),0,MIN($C$7,ROW()-1),1)))/STDEV(OFFSET(分析データ!D$1,MAX(1,ROW()-$C$7),0,MIN($C$7,ROW()-1),1)),0))</f>
        <v/>
      </c>
      <c r="BG235">
        <f t="shared" ca="1" si="92"/>
        <v>0</v>
      </c>
      <c r="BH235" t="str">
        <f ca="1">IF(BG235=1,IF(INDEX(分析データ!$A:$A,ROW()+$C$5)&lt;&gt;"",50000*SIGN(BF235)*(分析データ!D235-INDEX(分析データ!D:D,ROW()+$C$5)),""),"")</f>
        <v/>
      </c>
      <c r="BI235">
        <f t="shared" ca="1" si="93"/>
        <v>0</v>
      </c>
      <c r="BJ235">
        <f t="shared" ca="1" si="94"/>
        <v>0</v>
      </c>
      <c r="BK235">
        <f t="shared" ca="1" si="95"/>
        <v>0</v>
      </c>
      <c r="BL235" t="str">
        <f ca="1">IF(ROW()&lt;($C$7+1),"",IFERROR((分析データ!E235-AVERAGE(OFFSET(分析データ!E$1,MAX(1,ROW()-$C$7),0,MIN($C$7,ROW()-1),1)))/STDEV(OFFSET(分析データ!E$1,MAX(1,ROW()-$C$7),0,MIN($C$7,ROW()-1),1)),0))</f>
        <v/>
      </c>
      <c r="BM235">
        <f t="shared" ca="1" si="96"/>
        <v>0</v>
      </c>
      <c r="BN235" t="str">
        <f ca="1">IF(BM235=1,IF(INDEX(分析データ!$A:$A,ROW()+$C$5)&lt;&gt;"",40000*SIGN(BL235)*(分析データ!E235-INDEX(分析データ!E:E,ROW()+$C$5)),""),"")</f>
        <v/>
      </c>
      <c r="BO235">
        <f t="shared" ca="1" si="97"/>
        <v>0</v>
      </c>
      <c r="BP235">
        <f t="shared" ca="1" si="98"/>
        <v>0</v>
      </c>
      <c r="BQ235">
        <f t="shared" ca="1" si="99"/>
        <v>0</v>
      </c>
      <c r="BR235" t="str">
        <f ca="1">IF(ROW()&lt;($C$7+1),"",IFERROR((分析データ!F235-AVERAGE(OFFSET(分析データ!F$1,MAX(1,ROW()-$C$7),0,MIN($C$7,ROW()-1),1)))/STDEV(OFFSET(分析データ!F$1,MAX(1,ROW()-$C$7),0,MIN($C$7,ROW()-1),1)),0))</f>
        <v/>
      </c>
      <c r="BS235">
        <f t="shared" ca="1" si="100"/>
        <v>0</v>
      </c>
      <c r="BT235" t="str">
        <f ca="1">IF(BS235=1,IF(INDEX(分析データ!$A:$A,ROW()+$C$5)&lt;&gt;"",40000*SIGN(BR235)*(分析データ!F235-INDEX(分析データ!F:F,ROW()+$C$5)),""),"")</f>
        <v/>
      </c>
      <c r="BU235">
        <f t="shared" ca="1" si="101"/>
        <v>0</v>
      </c>
      <c r="BV235">
        <f t="shared" ca="1" si="102"/>
        <v>0</v>
      </c>
      <c r="BW235">
        <f t="shared" ca="1" si="103"/>
        <v>0</v>
      </c>
      <c r="BX235" t="str">
        <f ca="1">IF(ROW()&lt;($C$7+1),"",IFERROR((分析データ!G235-AVERAGE(OFFSET(分析データ!G$1,MAX(1,ROW()-$C$7),0,MIN($C$7,ROW()-1),1)))/STDEV(OFFSET(分析データ!G$1,MAX(1,ROW()-$C$7),0,MIN($C$7,ROW()-1),1)),0))</f>
        <v/>
      </c>
      <c r="BY235">
        <f t="shared" ca="1" si="104"/>
        <v>0</v>
      </c>
      <c r="BZ235" t="str">
        <f ca="1">IF(BY235=1,IF(INDEX(分析データ!$A:$A,ROW()+$C$5)&lt;&gt;"",40000*SIGN(BX235)*(分析データ!G235-INDEX(分析データ!G:G,ROW()+$C$5)),""),"")</f>
        <v/>
      </c>
      <c r="CA235">
        <f t="shared" ca="1" si="105"/>
        <v>0</v>
      </c>
      <c r="CB235">
        <f t="shared" ca="1" si="106"/>
        <v>0</v>
      </c>
      <c r="CC235">
        <f t="shared" ca="1" si="107"/>
        <v>0</v>
      </c>
      <c r="CD235">
        <f t="shared" ca="1" si="108"/>
        <v>0</v>
      </c>
      <c r="CE235">
        <f t="shared" ca="1" si="109"/>
        <v>0</v>
      </c>
      <c r="CF235">
        <f t="shared" ca="1" si="110"/>
        <v>0</v>
      </c>
      <c r="CG235">
        <f t="shared" ca="1" si="111"/>
        <v>0</v>
      </c>
      <c r="CH235" s="10">
        <f>分析データ!A235</f>
        <v>45266</v>
      </c>
    </row>
    <row r="236" spans="46:86">
      <c r="AT236" t="str">
        <f ca="1">IF(ROW()&lt;($C$7+1),"",IFERROR((分析データ!B236-AVERAGE(OFFSET(分析データ!B$1,MAX(1,ROW()-$C$7),0,MIN($C$7,ROW()-1),1)))/STDEV(OFFSET(分析データ!B$1,MAX(1,ROW()-$C$7),0,MIN($C$7,ROW()-1),1)),0))</f>
        <v/>
      </c>
      <c r="AU236">
        <f t="shared" ca="1" si="84"/>
        <v>0</v>
      </c>
      <c r="AV236" t="str">
        <f ca="1">IF(AU236=1,IF(INDEX(分析データ!$A:$A,ROW()+$C$5)&lt;&gt;"",80000*SIGN(AT236)*(分析データ!B236-INDEX(分析データ!B:B,ROW()+$C$5)),""),"")</f>
        <v/>
      </c>
      <c r="AW236">
        <f t="shared" ca="1" si="85"/>
        <v>0</v>
      </c>
      <c r="AX236">
        <f t="shared" ca="1" si="86"/>
        <v>0</v>
      </c>
      <c r="AY236">
        <f t="shared" ca="1" si="87"/>
        <v>0</v>
      </c>
      <c r="AZ236" t="str">
        <f ca="1">IF(ROW()&lt;($C$7+1),"",IFERROR((分析データ!C236-AVERAGE(OFFSET(分析データ!C$1,MAX(1,ROW()-$C$7),0,MIN($C$7,ROW()-1),1)))/STDEV(OFFSET(分析データ!C$1,MAX(1,ROW()-$C$7),0,MIN($C$7,ROW()-1),1)),0))</f>
        <v/>
      </c>
      <c r="BA236">
        <f t="shared" ca="1" si="88"/>
        <v>0</v>
      </c>
      <c r="BB236" t="str">
        <f ca="1">IF(BA236=1,IF(INDEX(分析データ!$A:$A,ROW()+$C$5)&lt;&gt;"",60000*SIGN(AZ236)*(分析データ!C236-INDEX(分析データ!C:C,ROW()+$C$5)),""),"")</f>
        <v/>
      </c>
      <c r="BC236">
        <f t="shared" ca="1" si="89"/>
        <v>0</v>
      </c>
      <c r="BD236">
        <f t="shared" ca="1" si="90"/>
        <v>0</v>
      </c>
      <c r="BE236">
        <f t="shared" ca="1" si="91"/>
        <v>0</v>
      </c>
      <c r="BF236" t="str">
        <f ca="1">IF(ROW()&lt;($C$7+1),"",IFERROR((分析データ!D236-AVERAGE(OFFSET(分析データ!D$1,MAX(1,ROW()-$C$7),0,MIN($C$7,ROW()-1),1)))/STDEV(OFFSET(分析データ!D$1,MAX(1,ROW()-$C$7),0,MIN($C$7,ROW()-1),1)),0))</f>
        <v/>
      </c>
      <c r="BG236">
        <f t="shared" ca="1" si="92"/>
        <v>0</v>
      </c>
      <c r="BH236" t="str">
        <f ca="1">IF(BG236=1,IF(INDEX(分析データ!$A:$A,ROW()+$C$5)&lt;&gt;"",50000*SIGN(BF236)*(分析データ!D236-INDEX(分析データ!D:D,ROW()+$C$5)),""),"")</f>
        <v/>
      </c>
      <c r="BI236">
        <f t="shared" ca="1" si="93"/>
        <v>0</v>
      </c>
      <c r="BJ236">
        <f t="shared" ca="1" si="94"/>
        <v>0</v>
      </c>
      <c r="BK236">
        <f t="shared" ca="1" si="95"/>
        <v>0</v>
      </c>
      <c r="BL236" t="str">
        <f ca="1">IF(ROW()&lt;($C$7+1),"",IFERROR((分析データ!E236-AVERAGE(OFFSET(分析データ!E$1,MAX(1,ROW()-$C$7),0,MIN($C$7,ROW()-1),1)))/STDEV(OFFSET(分析データ!E$1,MAX(1,ROW()-$C$7),0,MIN($C$7,ROW()-1),1)),0))</f>
        <v/>
      </c>
      <c r="BM236">
        <f t="shared" ca="1" si="96"/>
        <v>0</v>
      </c>
      <c r="BN236" t="str">
        <f ca="1">IF(BM236=1,IF(INDEX(分析データ!$A:$A,ROW()+$C$5)&lt;&gt;"",40000*SIGN(BL236)*(分析データ!E236-INDEX(分析データ!E:E,ROW()+$C$5)),""),"")</f>
        <v/>
      </c>
      <c r="BO236">
        <f t="shared" ca="1" si="97"/>
        <v>0</v>
      </c>
      <c r="BP236">
        <f t="shared" ca="1" si="98"/>
        <v>0</v>
      </c>
      <c r="BQ236">
        <f t="shared" ca="1" si="99"/>
        <v>0</v>
      </c>
      <c r="BR236" t="str">
        <f ca="1">IF(ROW()&lt;($C$7+1),"",IFERROR((分析データ!F236-AVERAGE(OFFSET(分析データ!F$1,MAX(1,ROW()-$C$7),0,MIN($C$7,ROW()-1),1)))/STDEV(OFFSET(分析データ!F$1,MAX(1,ROW()-$C$7),0,MIN($C$7,ROW()-1),1)),0))</f>
        <v/>
      </c>
      <c r="BS236">
        <f t="shared" ca="1" si="100"/>
        <v>0</v>
      </c>
      <c r="BT236" t="str">
        <f ca="1">IF(BS236=1,IF(INDEX(分析データ!$A:$A,ROW()+$C$5)&lt;&gt;"",40000*SIGN(BR236)*(分析データ!F236-INDEX(分析データ!F:F,ROW()+$C$5)),""),"")</f>
        <v/>
      </c>
      <c r="BU236">
        <f t="shared" ca="1" si="101"/>
        <v>0</v>
      </c>
      <c r="BV236">
        <f t="shared" ca="1" si="102"/>
        <v>0</v>
      </c>
      <c r="BW236">
        <f t="shared" ca="1" si="103"/>
        <v>0</v>
      </c>
      <c r="BX236" t="str">
        <f ca="1">IF(ROW()&lt;($C$7+1),"",IFERROR((分析データ!G236-AVERAGE(OFFSET(分析データ!G$1,MAX(1,ROW()-$C$7),0,MIN($C$7,ROW()-1),1)))/STDEV(OFFSET(分析データ!G$1,MAX(1,ROW()-$C$7),0,MIN($C$7,ROW()-1),1)),0))</f>
        <v/>
      </c>
      <c r="BY236">
        <f t="shared" ca="1" si="104"/>
        <v>0</v>
      </c>
      <c r="BZ236" t="str">
        <f ca="1">IF(BY236=1,IF(INDEX(分析データ!$A:$A,ROW()+$C$5)&lt;&gt;"",40000*SIGN(BX236)*(分析データ!G236-INDEX(分析データ!G:G,ROW()+$C$5)),""),"")</f>
        <v/>
      </c>
      <c r="CA236">
        <f t="shared" ca="1" si="105"/>
        <v>0</v>
      </c>
      <c r="CB236">
        <f t="shared" ca="1" si="106"/>
        <v>0</v>
      </c>
      <c r="CC236">
        <f t="shared" ca="1" si="107"/>
        <v>0</v>
      </c>
      <c r="CD236">
        <f t="shared" ca="1" si="108"/>
        <v>0</v>
      </c>
      <c r="CE236">
        <f t="shared" ca="1" si="109"/>
        <v>0</v>
      </c>
      <c r="CF236">
        <f t="shared" ca="1" si="110"/>
        <v>0</v>
      </c>
      <c r="CG236">
        <f t="shared" ca="1" si="111"/>
        <v>0</v>
      </c>
      <c r="CH236" s="10">
        <f>分析データ!A236</f>
        <v>45267</v>
      </c>
    </row>
    <row r="237" spans="46:86">
      <c r="AT237" t="str">
        <f ca="1">IF(ROW()&lt;($C$7+1),"",IFERROR((分析データ!B237-AVERAGE(OFFSET(分析データ!B$1,MAX(1,ROW()-$C$7),0,MIN($C$7,ROW()-1),1)))/STDEV(OFFSET(分析データ!B$1,MAX(1,ROW()-$C$7),0,MIN($C$7,ROW()-1),1)),0))</f>
        <v/>
      </c>
      <c r="AU237">
        <f t="shared" ca="1" si="84"/>
        <v>0</v>
      </c>
      <c r="AV237" t="str">
        <f ca="1">IF(AU237=1,IF(INDEX(分析データ!$A:$A,ROW()+$C$5)&lt;&gt;"",80000*SIGN(AT237)*(分析データ!B237-INDEX(分析データ!B:B,ROW()+$C$5)),""),"")</f>
        <v/>
      </c>
      <c r="AW237">
        <f t="shared" ca="1" si="85"/>
        <v>0</v>
      </c>
      <c r="AX237">
        <f t="shared" ca="1" si="86"/>
        <v>0</v>
      </c>
      <c r="AY237">
        <f t="shared" ca="1" si="87"/>
        <v>0</v>
      </c>
      <c r="AZ237" t="str">
        <f ca="1">IF(ROW()&lt;($C$7+1),"",IFERROR((分析データ!C237-AVERAGE(OFFSET(分析データ!C$1,MAX(1,ROW()-$C$7),0,MIN($C$7,ROW()-1),1)))/STDEV(OFFSET(分析データ!C$1,MAX(1,ROW()-$C$7),0,MIN($C$7,ROW()-1),1)),0))</f>
        <v/>
      </c>
      <c r="BA237">
        <f t="shared" ca="1" si="88"/>
        <v>0</v>
      </c>
      <c r="BB237" t="str">
        <f ca="1">IF(BA237=1,IF(INDEX(分析データ!$A:$A,ROW()+$C$5)&lt;&gt;"",60000*SIGN(AZ237)*(分析データ!C237-INDEX(分析データ!C:C,ROW()+$C$5)),""),"")</f>
        <v/>
      </c>
      <c r="BC237">
        <f t="shared" ca="1" si="89"/>
        <v>0</v>
      </c>
      <c r="BD237">
        <f t="shared" ca="1" si="90"/>
        <v>0</v>
      </c>
      <c r="BE237">
        <f t="shared" ca="1" si="91"/>
        <v>0</v>
      </c>
      <c r="BF237" t="str">
        <f ca="1">IF(ROW()&lt;($C$7+1),"",IFERROR((分析データ!D237-AVERAGE(OFFSET(分析データ!D$1,MAX(1,ROW()-$C$7),0,MIN($C$7,ROW()-1),1)))/STDEV(OFFSET(分析データ!D$1,MAX(1,ROW()-$C$7),0,MIN($C$7,ROW()-1),1)),0))</f>
        <v/>
      </c>
      <c r="BG237">
        <f t="shared" ca="1" si="92"/>
        <v>0</v>
      </c>
      <c r="BH237" t="str">
        <f ca="1">IF(BG237=1,IF(INDEX(分析データ!$A:$A,ROW()+$C$5)&lt;&gt;"",50000*SIGN(BF237)*(分析データ!D237-INDEX(分析データ!D:D,ROW()+$C$5)),""),"")</f>
        <v/>
      </c>
      <c r="BI237">
        <f t="shared" ca="1" si="93"/>
        <v>0</v>
      </c>
      <c r="BJ237">
        <f t="shared" ca="1" si="94"/>
        <v>0</v>
      </c>
      <c r="BK237">
        <f t="shared" ca="1" si="95"/>
        <v>0</v>
      </c>
      <c r="BL237" t="str">
        <f ca="1">IF(ROW()&lt;($C$7+1),"",IFERROR((分析データ!E237-AVERAGE(OFFSET(分析データ!E$1,MAX(1,ROW()-$C$7),0,MIN($C$7,ROW()-1),1)))/STDEV(OFFSET(分析データ!E$1,MAX(1,ROW()-$C$7),0,MIN($C$7,ROW()-1),1)),0))</f>
        <v/>
      </c>
      <c r="BM237">
        <f t="shared" ca="1" si="96"/>
        <v>0</v>
      </c>
      <c r="BN237" t="str">
        <f ca="1">IF(BM237=1,IF(INDEX(分析データ!$A:$A,ROW()+$C$5)&lt;&gt;"",40000*SIGN(BL237)*(分析データ!E237-INDEX(分析データ!E:E,ROW()+$C$5)),""),"")</f>
        <v/>
      </c>
      <c r="BO237">
        <f t="shared" ca="1" si="97"/>
        <v>0</v>
      </c>
      <c r="BP237">
        <f t="shared" ca="1" si="98"/>
        <v>0</v>
      </c>
      <c r="BQ237">
        <f t="shared" ca="1" si="99"/>
        <v>0</v>
      </c>
      <c r="BR237" t="str">
        <f ca="1">IF(ROW()&lt;($C$7+1),"",IFERROR((分析データ!F237-AVERAGE(OFFSET(分析データ!F$1,MAX(1,ROW()-$C$7),0,MIN($C$7,ROW()-1),1)))/STDEV(OFFSET(分析データ!F$1,MAX(1,ROW()-$C$7),0,MIN($C$7,ROW()-1),1)),0))</f>
        <v/>
      </c>
      <c r="BS237">
        <f t="shared" ca="1" si="100"/>
        <v>0</v>
      </c>
      <c r="BT237" t="str">
        <f ca="1">IF(BS237=1,IF(INDEX(分析データ!$A:$A,ROW()+$C$5)&lt;&gt;"",40000*SIGN(BR237)*(分析データ!F237-INDEX(分析データ!F:F,ROW()+$C$5)),""),"")</f>
        <v/>
      </c>
      <c r="BU237">
        <f t="shared" ca="1" si="101"/>
        <v>0</v>
      </c>
      <c r="BV237">
        <f t="shared" ca="1" si="102"/>
        <v>0</v>
      </c>
      <c r="BW237">
        <f t="shared" ca="1" si="103"/>
        <v>0</v>
      </c>
      <c r="BX237" t="str">
        <f ca="1">IF(ROW()&lt;($C$7+1),"",IFERROR((分析データ!G237-AVERAGE(OFFSET(分析データ!G$1,MAX(1,ROW()-$C$7),0,MIN($C$7,ROW()-1),1)))/STDEV(OFFSET(分析データ!G$1,MAX(1,ROW()-$C$7),0,MIN($C$7,ROW()-1),1)),0))</f>
        <v/>
      </c>
      <c r="BY237">
        <f t="shared" ca="1" si="104"/>
        <v>0</v>
      </c>
      <c r="BZ237" t="str">
        <f ca="1">IF(BY237=1,IF(INDEX(分析データ!$A:$A,ROW()+$C$5)&lt;&gt;"",40000*SIGN(BX237)*(分析データ!G237-INDEX(分析データ!G:G,ROW()+$C$5)),""),"")</f>
        <v/>
      </c>
      <c r="CA237">
        <f t="shared" ca="1" si="105"/>
        <v>0</v>
      </c>
      <c r="CB237">
        <f t="shared" ca="1" si="106"/>
        <v>0</v>
      </c>
      <c r="CC237">
        <f t="shared" ca="1" si="107"/>
        <v>0</v>
      </c>
      <c r="CD237">
        <f t="shared" ca="1" si="108"/>
        <v>0</v>
      </c>
      <c r="CE237">
        <f t="shared" ca="1" si="109"/>
        <v>0</v>
      </c>
      <c r="CF237">
        <f t="shared" ca="1" si="110"/>
        <v>0</v>
      </c>
      <c r="CG237">
        <f t="shared" ca="1" si="111"/>
        <v>0</v>
      </c>
      <c r="CH237" s="10">
        <f>分析データ!A237</f>
        <v>45268</v>
      </c>
    </row>
    <row r="238" spans="46:86">
      <c r="AT238" t="str">
        <f ca="1">IF(ROW()&lt;($C$7+1),"",IFERROR((分析データ!B238-AVERAGE(OFFSET(分析データ!B$1,MAX(1,ROW()-$C$7),0,MIN($C$7,ROW()-1),1)))/STDEV(OFFSET(分析データ!B$1,MAX(1,ROW()-$C$7),0,MIN($C$7,ROW()-1),1)),0))</f>
        <v/>
      </c>
      <c r="AU238">
        <f t="shared" ca="1" si="84"/>
        <v>0</v>
      </c>
      <c r="AV238" t="str">
        <f ca="1">IF(AU238=1,IF(INDEX(分析データ!$A:$A,ROW()+$C$5)&lt;&gt;"",80000*SIGN(AT238)*(分析データ!B238-INDEX(分析データ!B:B,ROW()+$C$5)),""),"")</f>
        <v/>
      </c>
      <c r="AW238">
        <f t="shared" ca="1" si="85"/>
        <v>0</v>
      </c>
      <c r="AX238">
        <f t="shared" ca="1" si="86"/>
        <v>0</v>
      </c>
      <c r="AY238">
        <f t="shared" ca="1" si="87"/>
        <v>0</v>
      </c>
      <c r="AZ238" t="str">
        <f ca="1">IF(ROW()&lt;($C$7+1),"",IFERROR((分析データ!C238-AVERAGE(OFFSET(分析データ!C$1,MAX(1,ROW()-$C$7),0,MIN($C$7,ROW()-1),1)))/STDEV(OFFSET(分析データ!C$1,MAX(1,ROW()-$C$7),0,MIN($C$7,ROW()-1),1)),0))</f>
        <v/>
      </c>
      <c r="BA238">
        <f t="shared" ca="1" si="88"/>
        <v>0</v>
      </c>
      <c r="BB238" t="str">
        <f ca="1">IF(BA238=1,IF(INDEX(分析データ!$A:$A,ROW()+$C$5)&lt;&gt;"",60000*SIGN(AZ238)*(分析データ!C238-INDEX(分析データ!C:C,ROW()+$C$5)),""),"")</f>
        <v/>
      </c>
      <c r="BC238">
        <f t="shared" ca="1" si="89"/>
        <v>0</v>
      </c>
      <c r="BD238">
        <f t="shared" ca="1" si="90"/>
        <v>0</v>
      </c>
      <c r="BE238">
        <f t="shared" ca="1" si="91"/>
        <v>0</v>
      </c>
      <c r="BF238" t="str">
        <f ca="1">IF(ROW()&lt;($C$7+1),"",IFERROR((分析データ!D238-AVERAGE(OFFSET(分析データ!D$1,MAX(1,ROW()-$C$7),0,MIN($C$7,ROW()-1),1)))/STDEV(OFFSET(分析データ!D$1,MAX(1,ROW()-$C$7),0,MIN($C$7,ROW()-1),1)),0))</f>
        <v/>
      </c>
      <c r="BG238">
        <f t="shared" ca="1" si="92"/>
        <v>0</v>
      </c>
      <c r="BH238" t="str">
        <f ca="1">IF(BG238=1,IF(INDEX(分析データ!$A:$A,ROW()+$C$5)&lt;&gt;"",50000*SIGN(BF238)*(分析データ!D238-INDEX(分析データ!D:D,ROW()+$C$5)),""),"")</f>
        <v/>
      </c>
      <c r="BI238">
        <f t="shared" ca="1" si="93"/>
        <v>0</v>
      </c>
      <c r="BJ238">
        <f t="shared" ca="1" si="94"/>
        <v>0</v>
      </c>
      <c r="BK238">
        <f t="shared" ca="1" si="95"/>
        <v>0</v>
      </c>
      <c r="BL238" t="str">
        <f ca="1">IF(ROW()&lt;($C$7+1),"",IFERROR((分析データ!E238-AVERAGE(OFFSET(分析データ!E$1,MAX(1,ROW()-$C$7),0,MIN($C$7,ROW()-1),1)))/STDEV(OFFSET(分析データ!E$1,MAX(1,ROW()-$C$7),0,MIN($C$7,ROW()-1),1)),0))</f>
        <v/>
      </c>
      <c r="BM238">
        <f t="shared" ca="1" si="96"/>
        <v>0</v>
      </c>
      <c r="BN238" t="str">
        <f ca="1">IF(BM238=1,IF(INDEX(分析データ!$A:$A,ROW()+$C$5)&lt;&gt;"",40000*SIGN(BL238)*(分析データ!E238-INDEX(分析データ!E:E,ROW()+$C$5)),""),"")</f>
        <v/>
      </c>
      <c r="BO238">
        <f t="shared" ca="1" si="97"/>
        <v>0</v>
      </c>
      <c r="BP238">
        <f t="shared" ca="1" si="98"/>
        <v>0</v>
      </c>
      <c r="BQ238">
        <f t="shared" ca="1" si="99"/>
        <v>0</v>
      </c>
      <c r="BR238" t="str">
        <f ca="1">IF(ROW()&lt;($C$7+1),"",IFERROR((分析データ!F238-AVERAGE(OFFSET(分析データ!F$1,MAX(1,ROW()-$C$7),0,MIN($C$7,ROW()-1),1)))/STDEV(OFFSET(分析データ!F$1,MAX(1,ROW()-$C$7),0,MIN($C$7,ROW()-1),1)),0))</f>
        <v/>
      </c>
      <c r="BS238">
        <f t="shared" ca="1" si="100"/>
        <v>0</v>
      </c>
      <c r="BT238" t="str">
        <f ca="1">IF(BS238=1,IF(INDEX(分析データ!$A:$A,ROW()+$C$5)&lt;&gt;"",40000*SIGN(BR238)*(分析データ!F238-INDEX(分析データ!F:F,ROW()+$C$5)),""),"")</f>
        <v/>
      </c>
      <c r="BU238">
        <f t="shared" ca="1" si="101"/>
        <v>0</v>
      </c>
      <c r="BV238">
        <f t="shared" ca="1" si="102"/>
        <v>0</v>
      </c>
      <c r="BW238">
        <f t="shared" ca="1" si="103"/>
        <v>0</v>
      </c>
      <c r="BX238" t="str">
        <f ca="1">IF(ROW()&lt;($C$7+1),"",IFERROR((分析データ!G238-AVERAGE(OFFSET(分析データ!G$1,MAX(1,ROW()-$C$7),0,MIN($C$7,ROW()-1),1)))/STDEV(OFFSET(分析データ!G$1,MAX(1,ROW()-$C$7),0,MIN($C$7,ROW()-1),1)),0))</f>
        <v/>
      </c>
      <c r="BY238">
        <f t="shared" ca="1" si="104"/>
        <v>0</v>
      </c>
      <c r="BZ238" t="str">
        <f ca="1">IF(BY238=1,IF(INDEX(分析データ!$A:$A,ROW()+$C$5)&lt;&gt;"",40000*SIGN(BX238)*(分析データ!G238-INDEX(分析データ!G:G,ROW()+$C$5)),""),"")</f>
        <v/>
      </c>
      <c r="CA238">
        <f t="shared" ca="1" si="105"/>
        <v>0</v>
      </c>
      <c r="CB238">
        <f t="shared" ca="1" si="106"/>
        <v>0</v>
      </c>
      <c r="CC238">
        <f t="shared" ca="1" si="107"/>
        <v>0</v>
      </c>
      <c r="CD238">
        <f t="shared" ca="1" si="108"/>
        <v>0</v>
      </c>
      <c r="CE238">
        <f t="shared" ca="1" si="109"/>
        <v>0</v>
      </c>
      <c r="CF238">
        <f t="shared" ca="1" si="110"/>
        <v>0</v>
      </c>
      <c r="CG238">
        <f t="shared" ca="1" si="111"/>
        <v>0</v>
      </c>
      <c r="CH238" s="10">
        <f>分析データ!A238</f>
        <v>45271</v>
      </c>
    </row>
    <row r="239" spans="46:86">
      <c r="AT239" t="str">
        <f ca="1">IF(ROW()&lt;($C$7+1),"",IFERROR((分析データ!B239-AVERAGE(OFFSET(分析データ!B$1,MAX(1,ROW()-$C$7),0,MIN($C$7,ROW()-1),1)))/STDEV(OFFSET(分析データ!B$1,MAX(1,ROW()-$C$7),0,MIN($C$7,ROW()-1),1)),0))</f>
        <v/>
      </c>
      <c r="AU239">
        <f t="shared" ca="1" si="84"/>
        <v>0</v>
      </c>
      <c r="AV239" t="str">
        <f ca="1">IF(AU239=1,IF(INDEX(分析データ!$A:$A,ROW()+$C$5)&lt;&gt;"",80000*SIGN(AT239)*(分析データ!B239-INDEX(分析データ!B:B,ROW()+$C$5)),""),"")</f>
        <v/>
      </c>
      <c r="AW239">
        <f t="shared" ca="1" si="85"/>
        <v>0</v>
      </c>
      <c r="AX239">
        <f t="shared" ca="1" si="86"/>
        <v>0</v>
      </c>
      <c r="AY239">
        <f t="shared" ca="1" si="87"/>
        <v>0</v>
      </c>
      <c r="AZ239" t="str">
        <f ca="1">IF(ROW()&lt;($C$7+1),"",IFERROR((分析データ!C239-AVERAGE(OFFSET(分析データ!C$1,MAX(1,ROW()-$C$7),0,MIN($C$7,ROW()-1),1)))/STDEV(OFFSET(分析データ!C$1,MAX(1,ROW()-$C$7),0,MIN($C$7,ROW()-1),1)),0))</f>
        <v/>
      </c>
      <c r="BA239">
        <f t="shared" ca="1" si="88"/>
        <v>0</v>
      </c>
      <c r="BB239" t="str">
        <f ca="1">IF(BA239=1,IF(INDEX(分析データ!$A:$A,ROW()+$C$5)&lt;&gt;"",60000*SIGN(AZ239)*(分析データ!C239-INDEX(分析データ!C:C,ROW()+$C$5)),""),"")</f>
        <v/>
      </c>
      <c r="BC239">
        <f t="shared" ca="1" si="89"/>
        <v>0</v>
      </c>
      <c r="BD239">
        <f t="shared" ca="1" si="90"/>
        <v>0</v>
      </c>
      <c r="BE239">
        <f t="shared" ca="1" si="91"/>
        <v>0</v>
      </c>
      <c r="BF239" t="str">
        <f ca="1">IF(ROW()&lt;($C$7+1),"",IFERROR((分析データ!D239-AVERAGE(OFFSET(分析データ!D$1,MAX(1,ROW()-$C$7),0,MIN($C$7,ROW()-1),1)))/STDEV(OFFSET(分析データ!D$1,MAX(1,ROW()-$C$7),0,MIN($C$7,ROW()-1),1)),0))</f>
        <v/>
      </c>
      <c r="BG239">
        <f t="shared" ca="1" si="92"/>
        <v>0</v>
      </c>
      <c r="BH239" t="str">
        <f ca="1">IF(BG239=1,IF(INDEX(分析データ!$A:$A,ROW()+$C$5)&lt;&gt;"",50000*SIGN(BF239)*(分析データ!D239-INDEX(分析データ!D:D,ROW()+$C$5)),""),"")</f>
        <v/>
      </c>
      <c r="BI239">
        <f t="shared" ca="1" si="93"/>
        <v>0</v>
      </c>
      <c r="BJ239">
        <f t="shared" ca="1" si="94"/>
        <v>0</v>
      </c>
      <c r="BK239">
        <f t="shared" ca="1" si="95"/>
        <v>0</v>
      </c>
      <c r="BL239" t="str">
        <f ca="1">IF(ROW()&lt;($C$7+1),"",IFERROR((分析データ!E239-AVERAGE(OFFSET(分析データ!E$1,MAX(1,ROW()-$C$7),0,MIN($C$7,ROW()-1),1)))/STDEV(OFFSET(分析データ!E$1,MAX(1,ROW()-$C$7),0,MIN($C$7,ROW()-1),1)),0))</f>
        <v/>
      </c>
      <c r="BM239">
        <f t="shared" ca="1" si="96"/>
        <v>0</v>
      </c>
      <c r="BN239" t="str">
        <f ca="1">IF(BM239=1,IF(INDEX(分析データ!$A:$A,ROW()+$C$5)&lt;&gt;"",40000*SIGN(BL239)*(分析データ!E239-INDEX(分析データ!E:E,ROW()+$C$5)),""),"")</f>
        <v/>
      </c>
      <c r="BO239">
        <f t="shared" ca="1" si="97"/>
        <v>0</v>
      </c>
      <c r="BP239">
        <f t="shared" ca="1" si="98"/>
        <v>0</v>
      </c>
      <c r="BQ239">
        <f t="shared" ca="1" si="99"/>
        <v>0</v>
      </c>
      <c r="BR239" t="str">
        <f ca="1">IF(ROW()&lt;($C$7+1),"",IFERROR((分析データ!F239-AVERAGE(OFFSET(分析データ!F$1,MAX(1,ROW()-$C$7),0,MIN($C$7,ROW()-1),1)))/STDEV(OFFSET(分析データ!F$1,MAX(1,ROW()-$C$7),0,MIN($C$7,ROW()-1),1)),0))</f>
        <v/>
      </c>
      <c r="BS239">
        <f t="shared" ca="1" si="100"/>
        <v>0</v>
      </c>
      <c r="BT239" t="str">
        <f ca="1">IF(BS239=1,IF(INDEX(分析データ!$A:$A,ROW()+$C$5)&lt;&gt;"",40000*SIGN(BR239)*(分析データ!F239-INDEX(分析データ!F:F,ROW()+$C$5)),""),"")</f>
        <v/>
      </c>
      <c r="BU239">
        <f t="shared" ca="1" si="101"/>
        <v>0</v>
      </c>
      <c r="BV239">
        <f t="shared" ca="1" si="102"/>
        <v>0</v>
      </c>
      <c r="BW239">
        <f t="shared" ca="1" si="103"/>
        <v>0</v>
      </c>
      <c r="BX239" t="str">
        <f ca="1">IF(ROW()&lt;($C$7+1),"",IFERROR((分析データ!G239-AVERAGE(OFFSET(分析データ!G$1,MAX(1,ROW()-$C$7),0,MIN($C$7,ROW()-1),1)))/STDEV(OFFSET(分析データ!G$1,MAX(1,ROW()-$C$7),0,MIN($C$7,ROW()-1),1)),0))</f>
        <v/>
      </c>
      <c r="BY239">
        <f t="shared" ca="1" si="104"/>
        <v>0</v>
      </c>
      <c r="BZ239" t="str">
        <f ca="1">IF(BY239=1,IF(INDEX(分析データ!$A:$A,ROW()+$C$5)&lt;&gt;"",40000*SIGN(BX239)*(分析データ!G239-INDEX(分析データ!G:G,ROW()+$C$5)),""),"")</f>
        <v/>
      </c>
      <c r="CA239">
        <f t="shared" ca="1" si="105"/>
        <v>0</v>
      </c>
      <c r="CB239">
        <f t="shared" ca="1" si="106"/>
        <v>0</v>
      </c>
      <c r="CC239">
        <f t="shared" ca="1" si="107"/>
        <v>0</v>
      </c>
      <c r="CD239">
        <f t="shared" ca="1" si="108"/>
        <v>0</v>
      </c>
      <c r="CE239">
        <f t="shared" ca="1" si="109"/>
        <v>0</v>
      </c>
      <c r="CF239">
        <f t="shared" ca="1" si="110"/>
        <v>0</v>
      </c>
      <c r="CG239">
        <f t="shared" ca="1" si="111"/>
        <v>0</v>
      </c>
      <c r="CH239" s="10">
        <f>分析データ!A239</f>
        <v>45272</v>
      </c>
    </row>
    <row r="240" spans="46:86">
      <c r="AT240" t="str">
        <f ca="1">IF(ROW()&lt;($C$7+1),"",IFERROR((分析データ!B240-AVERAGE(OFFSET(分析データ!B$1,MAX(1,ROW()-$C$7),0,MIN($C$7,ROW()-1),1)))/STDEV(OFFSET(分析データ!B$1,MAX(1,ROW()-$C$7),0,MIN($C$7,ROW()-1),1)),0))</f>
        <v/>
      </c>
      <c r="AU240">
        <f t="shared" ca="1" si="84"/>
        <v>0</v>
      </c>
      <c r="AV240" t="str">
        <f ca="1">IF(AU240=1,IF(INDEX(分析データ!$A:$A,ROW()+$C$5)&lt;&gt;"",80000*SIGN(AT240)*(分析データ!B240-INDEX(分析データ!B:B,ROW()+$C$5)),""),"")</f>
        <v/>
      </c>
      <c r="AW240">
        <f t="shared" ca="1" si="85"/>
        <v>0</v>
      </c>
      <c r="AX240">
        <f t="shared" ca="1" si="86"/>
        <v>0</v>
      </c>
      <c r="AY240">
        <f t="shared" ca="1" si="87"/>
        <v>0</v>
      </c>
      <c r="AZ240" t="str">
        <f ca="1">IF(ROW()&lt;($C$7+1),"",IFERROR((分析データ!C240-AVERAGE(OFFSET(分析データ!C$1,MAX(1,ROW()-$C$7),0,MIN($C$7,ROW()-1),1)))/STDEV(OFFSET(分析データ!C$1,MAX(1,ROW()-$C$7),0,MIN($C$7,ROW()-1),1)),0))</f>
        <v/>
      </c>
      <c r="BA240">
        <f t="shared" ca="1" si="88"/>
        <v>0</v>
      </c>
      <c r="BB240" t="str">
        <f ca="1">IF(BA240=1,IF(INDEX(分析データ!$A:$A,ROW()+$C$5)&lt;&gt;"",60000*SIGN(AZ240)*(分析データ!C240-INDEX(分析データ!C:C,ROW()+$C$5)),""),"")</f>
        <v/>
      </c>
      <c r="BC240">
        <f t="shared" ca="1" si="89"/>
        <v>0</v>
      </c>
      <c r="BD240">
        <f t="shared" ca="1" si="90"/>
        <v>0</v>
      </c>
      <c r="BE240">
        <f t="shared" ca="1" si="91"/>
        <v>0</v>
      </c>
      <c r="BF240" t="str">
        <f ca="1">IF(ROW()&lt;($C$7+1),"",IFERROR((分析データ!D240-AVERAGE(OFFSET(分析データ!D$1,MAX(1,ROW()-$C$7),0,MIN($C$7,ROW()-1),1)))/STDEV(OFFSET(分析データ!D$1,MAX(1,ROW()-$C$7),0,MIN($C$7,ROW()-1),1)),0))</f>
        <v/>
      </c>
      <c r="BG240">
        <f t="shared" ca="1" si="92"/>
        <v>0</v>
      </c>
      <c r="BH240" t="str">
        <f ca="1">IF(BG240=1,IF(INDEX(分析データ!$A:$A,ROW()+$C$5)&lt;&gt;"",50000*SIGN(BF240)*(分析データ!D240-INDEX(分析データ!D:D,ROW()+$C$5)),""),"")</f>
        <v/>
      </c>
      <c r="BI240">
        <f t="shared" ca="1" si="93"/>
        <v>0</v>
      </c>
      <c r="BJ240">
        <f t="shared" ca="1" si="94"/>
        <v>0</v>
      </c>
      <c r="BK240">
        <f t="shared" ca="1" si="95"/>
        <v>0</v>
      </c>
      <c r="BL240" t="str">
        <f ca="1">IF(ROW()&lt;($C$7+1),"",IFERROR((分析データ!E240-AVERAGE(OFFSET(分析データ!E$1,MAX(1,ROW()-$C$7),0,MIN($C$7,ROW()-1),1)))/STDEV(OFFSET(分析データ!E$1,MAX(1,ROW()-$C$7),0,MIN($C$7,ROW()-1),1)),0))</f>
        <v/>
      </c>
      <c r="BM240">
        <f t="shared" ca="1" si="96"/>
        <v>0</v>
      </c>
      <c r="BN240" t="str">
        <f ca="1">IF(BM240=1,IF(INDEX(分析データ!$A:$A,ROW()+$C$5)&lt;&gt;"",40000*SIGN(BL240)*(分析データ!E240-INDEX(分析データ!E:E,ROW()+$C$5)),""),"")</f>
        <v/>
      </c>
      <c r="BO240">
        <f t="shared" ca="1" si="97"/>
        <v>0</v>
      </c>
      <c r="BP240">
        <f t="shared" ca="1" si="98"/>
        <v>0</v>
      </c>
      <c r="BQ240">
        <f t="shared" ca="1" si="99"/>
        <v>0</v>
      </c>
      <c r="BR240" t="str">
        <f ca="1">IF(ROW()&lt;($C$7+1),"",IFERROR((分析データ!F240-AVERAGE(OFFSET(分析データ!F$1,MAX(1,ROW()-$C$7),0,MIN($C$7,ROW()-1),1)))/STDEV(OFFSET(分析データ!F$1,MAX(1,ROW()-$C$7),0,MIN($C$7,ROW()-1),1)),0))</f>
        <v/>
      </c>
      <c r="BS240">
        <f t="shared" ca="1" si="100"/>
        <v>0</v>
      </c>
      <c r="BT240" t="str">
        <f ca="1">IF(BS240=1,IF(INDEX(分析データ!$A:$A,ROW()+$C$5)&lt;&gt;"",40000*SIGN(BR240)*(分析データ!F240-INDEX(分析データ!F:F,ROW()+$C$5)),""),"")</f>
        <v/>
      </c>
      <c r="BU240">
        <f t="shared" ca="1" si="101"/>
        <v>0</v>
      </c>
      <c r="BV240">
        <f t="shared" ca="1" si="102"/>
        <v>0</v>
      </c>
      <c r="BW240">
        <f t="shared" ca="1" si="103"/>
        <v>0</v>
      </c>
      <c r="BX240" t="str">
        <f ca="1">IF(ROW()&lt;($C$7+1),"",IFERROR((分析データ!G240-AVERAGE(OFFSET(分析データ!G$1,MAX(1,ROW()-$C$7),0,MIN($C$7,ROW()-1),1)))/STDEV(OFFSET(分析データ!G$1,MAX(1,ROW()-$C$7),0,MIN($C$7,ROW()-1),1)),0))</f>
        <v/>
      </c>
      <c r="BY240">
        <f t="shared" ca="1" si="104"/>
        <v>0</v>
      </c>
      <c r="BZ240" t="str">
        <f ca="1">IF(BY240=1,IF(INDEX(分析データ!$A:$A,ROW()+$C$5)&lt;&gt;"",40000*SIGN(BX240)*(分析データ!G240-INDEX(分析データ!G:G,ROW()+$C$5)),""),"")</f>
        <v/>
      </c>
      <c r="CA240">
        <f t="shared" ca="1" si="105"/>
        <v>0</v>
      </c>
      <c r="CB240">
        <f t="shared" ca="1" si="106"/>
        <v>0</v>
      </c>
      <c r="CC240">
        <f t="shared" ca="1" si="107"/>
        <v>0</v>
      </c>
      <c r="CD240">
        <f t="shared" ca="1" si="108"/>
        <v>0</v>
      </c>
      <c r="CE240">
        <f t="shared" ca="1" si="109"/>
        <v>0</v>
      </c>
      <c r="CF240">
        <f t="shared" ca="1" si="110"/>
        <v>0</v>
      </c>
      <c r="CG240">
        <f t="shared" ca="1" si="111"/>
        <v>0</v>
      </c>
      <c r="CH240" s="10">
        <f>分析データ!A240</f>
        <v>45273</v>
      </c>
    </row>
    <row r="241" spans="46:86">
      <c r="AT241" t="str">
        <f ca="1">IF(ROW()&lt;($C$7+1),"",IFERROR((分析データ!B241-AVERAGE(OFFSET(分析データ!B$1,MAX(1,ROW()-$C$7),0,MIN($C$7,ROW()-1),1)))/STDEV(OFFSET(分析データ!B$1,MAX(1,ROW()-$C$7),0,MIN($C$7,ROW()-1),1)),0))</f>
        <v/>
      </c>
      <c r="AU241">
        <f t="shared" ca="1" si="84"/>
        <v>0</v>
      </c>
      <c r="AV241" t="str">
        <f ca="1">IF(AU241=1,IF(INDEX(分析データ!$A:$A,ROW()+$C$5)&lt;&gt;"",80000*SIGN(AT241)*(分析データ!B241-INDEX(分析データ!B:B,ROW()+$C$5)),""),"")</f>
        <v/>
      </c>
      <c r="AW241">
        <f t="shared" ca="1" si="85"/>
        <v>0</v>
      </c>
      <c r="AX241">
        <f t="shared" ca="1" si="86"/>
        <v>0</v>
      </c>
      <c r="AY241">
        <f t="shared" ca="1" si="87"/>
        <v>0</v>
      </c>
      <c r="AZ241" t="str">
        <f ca="1">IF(ROW()&lt;($C$7+1),"",IFERROR((分析データ!C241-AVERAGE(OFFSET(分析データ!C$1,MAX(1,ROW()-$C$7),0,MIN($C$7,ROW()-1),1)))/STDEV(OFFSET(分析データ!C$1,MAX(1,ROW()-$C$7),0,MIN($C$7,ROW()-1),1)),0))</f>
        <v/>
      </c>
      <c r="BA241">
        <f t="shared" ca="1" si="88"/>
        <v>0</v>
      </c>
      <c r="BB241" t="str">
        <f ca="1">IF(BA241=1,IF(INDEX(分析データ!$A:$A,ROW()+$C$5)&lt;&gt;"",60000*SIGN(AZ241)*(分析データ!C241-INDEX(分析データ!C:C,ROW()+$C$5)),""),"")</f>
        <v/>
      </c>
      <c r="BC241">
        <f t="shared" ca="1" si="89"/>
        <v>0</v>
      </c>
      <c r="BD241">
        <f t="shared" ca="1" si="90"/>
        <v>0</v>
      </c>
      <c r="BE241">
        <f t="shared" ca="1" si="91"/>
        <v>0</v>
      </c>
      <c r="BF241" t="str">
        <f ca="1">IF(ROW()&lt;($C$7+1),"",IFERROR((分析データ!D241-AVERAGE(OFFSET(分析データ!D$1,MAX(1,ROW()-$C$7),0,MIN($C$7,ROW()-1),1)))/STDEV(OFFSET(分析データ!D$1,MAX(1,ROW()-$C$7),0,MIN($C$7,ROW()-1),1)),0))</f>
        <v/>
      </c>
      <c r="BG241">
        <f t="shared" ca="1" si="92"/>
        <v>0</v>
      </c>
      <c r="BH241" t="str">
        <f ca="1">IF(BG241=1,IF(INDEX(分析データ!$A:$A,ROW()+$C$5)&lt;&gt;"",50000*SIGN(BF241)*(分析データ!D241-INDEX(分析データ!D:D,ROW()+$C$5)),""),"")</f>
        <v/>
      </c>
      <c r="BI241">
        <f t="shared" ca="1" si="93"/>
        <v>0</v>
      </c>
      <c r="BJ241">
        <f t="shared" ca="1" si="94"/>
        <v>0</v>
      </c>
      <c r="BK241">
        <f t="shared" ca="1" si="95"/>
        <v>0</v>
      </c>
      <c r="BL241" t="str">
        <f ca="1">IF(ROW()&lt;($C$7+1),"",IFERROR((分析データ!E241-AVERAGE(OFFSET(分析データ!E$1,MAX(1,ROW()-$C$7),0,MIN($C$7,ROW()-1),1)))/STDEV(OFFSET(分析データ!E$1,MAX(1,ROW()-$C$7),0,MIN($C$7,ROW()-1),1)),0))</f>
        <v/>
      </c>
      <c r="BM241">
        <f t="shared" ca="1" si="96"/>
        <v>0</v>
      </c>
      <c r="BN241" t="str">
        <f ca="1">IF(BM241=1,IF(INDEX(分析データ!$A:$A,ROW()+$C$5)&lt;&gt;"",40000*SIGN(BL241)*(分析データ!E241-INDEX(分析データ!E:E,ROW()+$C$5)),""),"")</f>
        <v/>
      </c>
      <c r="BO241">
        <f t="shared" ca="1" si="97"/>
        <v>0</v>
      </c>
      <c r="BP241">
        <f t="shared" ca="1" si="98"/>
        <v>0</v>
      </c>
      <c r="BQ241">
        <f t="shared" ca="1" si="99"/>
        <v>0</v>
      </c>
      <c r="BR241" t="str">
        <f ca="1">IF(ROW()&lt;($C$7+1),"",IFERROR((分析データ!F241-AVERAGE(OFFSET(分析データ!F$1,MAX(1,ROW()-$C$7),0,MIN($C$7,ROW()-1),1)))/STDEV(OFFSET(分析データ!F$1,MAX(1,ROW()-$C$7),0,MIN($C$7,ROW()-1),1)),0))</f>
        <v/>
      </c>
      <c r="BS241">
        <f t="shared" ca="1" si="100"/>
        <v>0</v>
      </c>
      <c r="BT241" t="str">
        <f ca="1">IF(BS241=1,IF(INDEX(分析データ!$A:$A,ROW()+$C$5)&lt;&gt;"",40000*SIGN(BR241)*(分析データ!F241-INDEX(分析データ!F:F,ROW()+$C$5)),""),"")</f>
        <v/>
      </c>
      <c r="BU241">
        <f t="shared" ca="1" si="101"/>
        <v>0</v>
      </c>
      <c r="BV241">
        <f t="shared" ca="1" si="102"/>
        <v>0</v>
      </c>
      <c r="BW241">
        <f t="shared" ca="1" si="103"/>
        <v>0</v>
      </c>
      <c r="BX241" t="str">
        <f ca="1">IF(ROW()&lt;($C$7+1),"",IFERROR((分析データ!G241-AVERAGE(OFFSET(分析データ!G$1,MAX(1,ROW()-$C$7),0,MIN($C$7,ROW()-1),1)))/STDEV(OFFSET(分析データ!G$1,MAX(1,ROW()-$C$7),0,MIN($C$7,ROW()-1),1)),0))</f>
        <v/>
      </c>
      <c r="BY241">
        <f t="shared" ca="1" si="104"/>
        <v>0</v>
      </c>
      <c r="BZ241" t="str">
        <f ca="1">IF(BY241=1,IF(INDEX(分析データ!$A:$A,ROW()+$C$5)&lt;&gt;"",40000*SIGN(BX241)*(分析データ!G241-INDEX(分析データ!G:G,ROW()+$C$5)),""),"")</f>
        <v/>
      </c>
      <c r="CA241">
        <f t="shared" ca="1" si="105"/>
        <v>0</v>
      </c>
      <c r="CB241">
        <f t="shared" ca="1" si="106"/>
        <v>0</v>
      </c>
      <c r="CC241">
        <f t="shared" ca="1" si="107"/>
        <v>0</v>
      </c>
      <c r="CD241">
        <f t="shared" ca="1" si="108"/>
        <v>0</v>
      </c>
      <c r="CE241">
        <f t="shared" ca="1" si="109"/>
        <v>0</v>
      </c>
      <c r="CF241">
        <f t="shared" ca="1" si="110"/>
        <v>0</v>
      </c>
      <c r="CG241">
        <f t="shared" ca="1" si="111"/>
        <v>0</v>
      </c>
      <c r="CH241" s="10">
        <f>分析データ!A241</f>
        <v>45274</v>
      </c>
    </row>
    <row r="242" spans="46:86">
      <c r="AT242" t="str">
        <f ca="1">IF(ROW()&lt;($C$7+1),"",IFERROR((分析データ!B242-AVERAGE(OFFSET(分析データ!B$1,MAX(1,ROW()-$C$7),0,MIN($C$7,ROW()-1),1)))/STDEV(OFFSET(分析データ!B$1,MAX(1,ROW()-$C$7),0,MIN($C$7,ROW()-1),1)),0))</f>
        <v/>
      </c>
      <c r="AU242">
        <f t="shared" ca="1" si="84"/>
        <v>0</v>
      </c>
      <c r="AV242" t="str">
        <f ca="1">IF(AU242=1,IF(INDEX(分析データ!$A:$A,ROW()+$C$5)&lt;&gt;"",80000*SIGN(AT242)*(分析データ!B242-INDEX(分析データ!B:B,ROW()+$C$5)),""),"")</f>
        <v/>
      </c>
      <c r="AW242">
        <f t="shared" ca="1" si="85"/>
        <v>0</v>
      </c>
      <c r="AX242">
        <f t="shared" ca="1" si="86"/>
        <v>0</v>
      </c>
      <c r="AY242">
        <f t="shared" ca="1" si="87"/>
        <v>0</v>
      </c>
      <c r="AZ242" t="str">
        <f ca="1">IF(ROW()&lt;($C$7+1),"",IFERROR((分析データ!C242-AVERAGE(OFFSET(分析データ!C$1,MAX(1,ROW()-$C$7),0,MIN($C$7,ROW()-1),1)))/STDEV(OFFSET(分析データ!C$1,MAX(1,ROW()-$C$7),0,MIN($C$7,ROW()-1),1)),0))</f>
        <v/>
      </c>
      <c r="BA242">
        <f t="shared" ca="1" si="88"/>
        <v>0</v>
      </c>
      <c r="BB242" t="str">
        <f ca="1">IF(BA242=1,IF(INDEX(分析データ!$A:$A,ROW()+$C$5)&lt;&gt;"",60000*SIGN(AZ242)*(分析データ!C242-INDEX(分析データ!C:C,ROW()+$C$5)),""),"")</f>
        <v/>
      </c>
      <c r="BC242">
        <f t="shared" ca="1" si="89"/>
        <v>0</v>
      </c>
      <c r="BD242">
        <f t="shared" ca="1" si="90"/>
        <v>0</v>
      </c>
      <c r="BE242">
        <f t="shared" ca="1" si="91"/>
        <v>0</v>
      </c>
      <c r="BF242" t="str">
        <f ca="1">IF(ROW()&lt;($C$7+1),"",IFERROR((分析データ!D242-AVERAGE(OFFSET(分析データ!D$1,MAX(1,ROW()-$C$7),0,MIN($C$7,ROW()-1),1)))/STDEV(OFFSET(分析データ!D$1,MAX(1,ROW()-$C$7),0,MIN($C$7,ROW()-1),1)),0))</f>
        <v/>
      </c>
      <c r="BG242">
        <f t="shared" ca="1" si="92"/>
        <v>0</v>
      </c>
      <c r="BH242" t="str">
        <f ca="1">IF(BG242=1,IF(INDEX(分析データ!$A:$A,ROW()+$C$5)&lt;&gt;"",50000*SIGN(BF242)*(分析データ!D242-INDEX(分析データ!D:D,ROW()+$C$5)),""),"")</f>
        <v/>
      </c>
      <c r="BI242">
        <f t="shared" ca="1" si="93"/>
        <v>0</v>
      </c>
      <c r="BJ242">
        <f t="shared" ca="1" si="94"/>
        <v>0</v>
      </c>
      <c r="BK242">
        <f t="shared" ca="1" si="95"/>
        <v>0</v>
      </c>
      <c r="BL242" t="str">
        <f ca="1">IF(ROW()&lt;($C$7+1),"",IFERROR((分析データ!E242-AVERAGE(OFFSET(分析データ!E$1,MAX(1,ROW()-$C$7),0,MIN($C$7,ROW()-1),1)))/STDEV(OFFSET(分析データ!E$1,MAX(1,ROW()-$C$7),0,MIN($C$7,ROW()-1),1)),0))</f>
        <v/>
      </c>
      <c r="BM242">
        <f t="shared" ca="1" si="96"/>
        <v>0</v>
      </c>
      <c r="BN242" t="str">
        <f ca="1">IF(BM242=1,IF(INDEX(分析データ!$A:$A,ROW()+$C$5)&lt;&gt;"",40000*SIGN(BL242)*(分析データ!E242-INDEX(分析データ!E:E,ROW()+$C$5)),""),"")</f>
        <v/>
      </c>
      <c r="BO242">
        <f t="shared" ca="1" si="97"/>
        <v>0</v>
      </c>
      <c r="BP242">
        <f t="shared" ca="1" si="98"/>
        <v>0</v>
      </c>
      <c r="BQ242">
        <f t="shared" ca="1" si="99"/>
        <v>0</v>
      </c>
      <c r="BR242" t="str">
        <f ca="1">IF(ROW()&lt;($C$7+1),"",IFERROR((分析データ!F242-AVERAGE(OFFSET(分析データ!F$1,MAX(1,ROW()-$C$7),0,MIN($C$7,ROW()-1),1)))/STDEV(OFFSET(分析データ!F$1,MAX(1,ROW()-$C$7),0,MIN($C$7,ROW()-1),1)),0))</f>
        <v/>
      </c>
      <c r="BS242">
        <f t="shared" ca="1" si="100"/>
        <v>0</v>
      </c>
      <c r="BT242" t="str">
        <f ca="1">IF(BS242=1,IF(INDEX(分析データ!$A:$A,ROW()+$C$5)&lt;&gt;"",40000*SIGN(BR242)*(分析データ!F242-INDEX(分析データ!F:F,ROW()+$C$5)),""),"")</f>
        <v/>
      </c>
      <c r="BU242">
        <f t="shared" ca="1" si="101"/>
        <v>0</v>
      </c>
      <c r="BV242">
        <f t="shared" ca="1" si="102"/>
        <v>0</v>
      </c>
      <c r="BW242">
        <f t="shared" ca="1" si="103"/>
        <v>0</v>
      </c>
      <c r="BX242" t="str">
        <f ca="1">IF(ROW()&lt;($C$7+1),"",IFERROR((分析データ!G242-AVERAGE(OFFSET(分析データ!G$1,MAX(1,ROW()-$C$7),0,MIN($C$7,ROW()-1),1)))/STDEV(OFFSET(分析データ!G$1,MAX(1,ROW()-$C$7),0,MIN($C$7,ROW()-1),1)),0))</f>
        <v/>
      </c>
      <c r="BY242">
        <f t="shared" ca="1" si="104"/>
        <v>0</v>
      </c>
      <c r="BZ242" t="str">
        <f ca="1">IF(BY242=1,IF(INDEX(分析データ!$A:$A,ROW()+$C$5)&lt;&gt;"",40000*SIGN(BX242)*(分析データ!G242-INDEX(分析データ!G:G,ROW()+$C$5)),""),"")</f>
        <v/>
      </c>
      <c r="CA242">
        <f t="shared" ca="1" si="105"/>
        <v>0</v>
      </c>
      <c r="CB242">
        <f t="shared" ca="1" si="106"/>
        <v>0</v>
      </c>
      <c r="CC242">
        <f t="shared" ca="1" si="107"/>
        <v>0</v>
      </c>
      <c r="CD242">
        <f t="shared" ca="1" si="108"/>
        <v>0</v>
      </c>
      <c r="CE242">
        <f t="shared" ca="1" si="109"/>
        <v>0</v>
      </c>
      <c r="CF242">
        <f t="shared" ca="1" si="110"/>
        <v>0</v>
      </c>
      <c r="CG242">
        <f t="shared" ca="1" si="111"/>
        <v>0</v>
      </c>
      <c r="CH242" s="10">
        <f>分析データ!A242</f>
        <v>45275</v>
      </c>
    </row>
    <row r="243" spans="46:86">
      <c r="AT243" t="str">
        <f ca="1">IF(ROW()&lt;($C$7+1),"",IFERROR((分析データ!B243-AVERAGE(OFFSET(分析データ!B$1,MAX(1,ROW()-$C$7),0,MIN($C$7,ROW()-1),1)))/STDEV(OFFSET(分析データ!B$1,MAX(1,ROW()-$C$7),0,MIN($C$7,ROW()-1),1)),0))</f>
        <v/>
      </c>
      <c r="AU243">
        <f t="shared" ca="1" si="84"/>
        <v>0</v>
      </c>
      <c r="AV243" t="str">
        <f ca="1">IF(AU243=1,IF(INDEX(分析データ!$A:$A,ROW()+$C$5)&lt;&gt;"",80000*SIGN(AT243)*(分析データ!B243-INDEX(分析データ!B:B,ROW()+$C$5)),""),"")</f>
        <v/>
      </c>
      <c r="AW243">
        <f t="shared" ca="1" si="85"/>
        <v>0</v>
      </c>
      <c r="AX243">
        <f t="shared" ca="1" si="86"/>
        <v>0</v>
      </c>
      <c r="AY243">
        <f t="shared" ca="1" si="87"/>
        <v>0</v>
      </c>
      <c r="AZ243" t="str">
        <f ca="1">IF(ROW()&lt;($C$7+1),"",IFERROR((分析データ!C243-AVERAGE(OFFSET(分析データ!C$1,MAX(1,ROW()-$C$7),0,MIN($C$7,ROW()-1),1)))/STDEV(OFFSET(分析データ!C$1,MAX(1,ROW()-$C$7),0,MIN($C$7,ROW()-1),1)),0))</f>
        <v/>
      </c>
      <c r="BA243">
        <f t="shared" ca="1" si="88"/>
        <v>0</v>
      </c>
      <c r="BB243" t="str">
        <f ca="1">IF(BA243=1,IF(INDEX(分析データ!$A:$A,ROW()+$C$5)&lt;&gt;"",60000*SIGN(AZ243)*(分析データ!C243-INDEX(分析データ!C:C,ROW()+$C$5)),""),"")</f>
        <v/>
      </c>
      <c r="BC243">
        <f t="shared" ca="1" si="89"/>
        <v>0</v>
      </c>
      <c r="BD243">
        <f t="shared" ca="1" si="90"/>
        <v>0</v>
      </c>
      <c r="BE243">
        <f t="shared" ca="1" si="91"/>
        <v>0</v>
      </c>
      <c r="BF243" t="str">
        <f ca="1">IF(ROW()&lt;($C$7+1),"",IFERROR((分析データ!D243-AVERAGE(OFFSET(分析データ!D$1,MAX(1,ROW()-$C$7),0,MIN($C$7,ROW()-1),1)))/STDEV(OFFSET(分析データ!D$1,MAX(1,ROW()-$C$7),0,MIN($C$7,ROW()-1),1)),0))</f>
        <v/>
      </c>
      <c r="BG243">
        <f t="shared" ca="1" si="92"/>
        <v>0</v>
      </c>
      <c r="BH243" t="str">
        <f ca="1">IF(BG243=1,IF(INDEX(分析データ!$A:$A,ROW()+$C$5)&lt;&gt;"",50000*SIGN(BF243)*(分析データ!D243-INDEX(分析データ!D:D,ROW()+$C$5)),""),"")</f>
        <v/>
      </c>
      <c r="BI243">
        <f t="shared" ca="1" si="93"/>
        <v>0</v>
      </c>
      <c r="BJ243">
        <f t="shared" ca="1" si="94"/>
        <v>0</v>
      </c>
      <c r="BK243">
        <f t="shared" ca="1" si="95"/>
        <v>0</v>
      </c>
      <c r="BL243" t="str">
        <f ca="1">IF(ROW()&lt;($C$7+1),"",IFERROR((分析データ!E243-AVERAGE(OFFSET(分析データ!E$1,MAX(1,ROW()-$C$7),0,MIN($C$7,ROW()-1),1)))/STDEV(OFFSET(分析データ!E$1,MAX(1,ROW()-$C$7),0,MIN($C$7,ROW()-1),1)),0))</f>
        <v/>
      </c>
      <c r="BM243">
        <f t="shared" ca="1" si="96"/>
        <v>0</v>
      </c>
      <c r="BN243" t="str">
        <f ca="1">IF(BM243=1,IF(INDEX(分析データ!$A:$A,ROW()+$C$5)&lt;&gt;"",40000*SIGN(BL243)*(分析データ!E243-INDEX(分析データ!E:E,ROW()+$C$5)),""),"")</f>
        <v/>
      </c>
      <c r="BO243">
        <f t="shared" ca="1" si="97"/>
        <v>0</v>
      </c>
      <c r="BP243">
        <f t="shared" ca="1" si="98"/>
        <v>0</v>
      </c>
      <c r="BQ243">
        <f t="shared" ca="1" si="99"/>
        <v>0</v>
      </c>
      <c r="BR243" t="str">
        <f ca="1">IF(ROW()&lt;($C$7+1),"",IFERROR((分析データ!F243-AVERAGE(OFFSET(分析データ!F$1,MAX(1,ROW()-$C$7),0,MIN($C$7,ROW()-1),1)))/STDEV(OFFSET(分析データ!F$1,MAX(1,ROW()-$C$7),0,MIN($C$7,ROW()-1),1)),0))</f>
        <v/>
      </c>
      <c r="BS243">
        <f t="shared" ca="1" si="100"/>
        <v>0</v>
      </c>
      <c r="BT243" t="str">
        <f ca="1">IF(BS243=1,IF(INDEX(分析データ!$A:$A,ROW()+$C$5)&lt;&gt;"",40000*SIGN(BR243)*(分析データ!F243-INDEX(分析データ!F:F,ROW()+$C$5)),""),"")</f>
        <v/>
      </c>
      <c r="BU243">
        <f t="shared" ca="1" si="101"/>
        <v>0</v>
      </c>
      <c r="BV243">
        <f t="shared" ca="1" si="102"/>
        <v>0</v>
      </c>
      <c r="BW243">
        <f t="shared" ca="1" si="103"/>
        <v>0</v>
      </c>
      <c r="BX243" t="str">
        <f ca="1">IF(ROW()&lt;($C$7+1),"",IFERROR((分析データ!G243-AVERAGE(OFFSET(分析データ!G$1,MAX(1,ROW()-$C$7),0,MIN($C$7,ROW()-1),1)))/STDEV(OFFSET(分析データ!G$1,MAX(1,ROW()-$C$7),0,MIN($C$7,ROW()-1),1)),0))</f>
        <v/>
      </c>
      <c r="BY243">
        <f t="shared" ca="1" si="104"/>
        <v>0</v>
      </c>
      <c r="BZ243" t="str">
        <f ca="1">IF(BY243=1,IF(INDEX(分析データ!$A:$A,ROW()+$C$5)&lt;&gt;"",40000*SIGN(BX243)*(分析データ!G243-INDEX(分析データ!G:G,ROW()+$C$5)),""),"")</f>
        <v/>
      </c>
      <c r="CA243">
        <f t="shared" ca="1" si="105"/>
        <v>0</v>
      </c>
      <c r="CB243">
        <f t="shared" ca="1" si="106"/>
        <v>0</v>
      </c>
      <c r="CC243">
        <f t="shared" ca="1" si="107"/>
        <v>0</v>
      </c>
      <c r="CD243">
        <f t="shared" ca="1" si="108"/>
        <v>0</v>
      </c>
      <c r="CE243">
        <f t="shared" ca="1" si="109"/>
        <v>0</v>
      </c>
      <c r="CF243">
        <f t="shared" ca="1" si="110"/>
        <v>0</v>
      </c>
      <c r="CG243">
        <f t="shared" ca="1" si="111"/>
        <v>0</v>
      </c>
      <c r="CH243" s="10">
        <f>分析データ!A243</f>
        <v>45278</v>
      </c>
    </row>
    <row r="244" spans="46:86">
      <c r="AT244" t="str">
        <f ca="1">IF(ROW()&lt;($C$7+1),"",IFERROR((分析データ!B244-AVERAGE(OFFSET(分析データ!B$1,MAX(1,ROW()-$C$7),0,MIN($C$7,ROW()-1),1)))/STDEV(OFFSET(分析データ!B$1,MAX(1,ROW()-$C$7),0,MIN($C$7,ROW()-1),1)),0))</f>
        <v/>
      </c>
      <c r="AU244">
        <f t="shared" ca="1" si="84"/>
        <v>0</v>
      </c>
      <c r="AV244" t="str">
        <f ca="1">IF(AU244=1,IF(INDEX(分析データ!$A:$A,ROW()+$C$5)&lt;&gt;"",80000*SIGN(AT244)*(分析データ!B244-INDEX(分析データ!B:B,ROW()+$C$5)),""),"")</f>
        <v/>
      </c>
      <c r="AW244">
        <f t="shared" ca="1" si="85"/>
        <v>0</v>
      </c>
      <c r="AX244">
        <f t="shared" ca="1" si="86"/>
        <v>0</v>
      </c>
      <c r="AY244">
        <f t="shared" ca="1" si="87"/>
        <v>0</v>
      </c>
      <c r="AZ244" t="str">
        <f ca="1">IF(ROW()&lt;($C$7+1),"",IFERROR((分析データ!C244-AVERAGE(OFFSET(分析データ!C$1,MAX(1,ROW()-$C$7),0,MIN($C$7,ROW()-1),1)))/STDEV(OFFSET(分析データ!C$1,MAX(1,ROW()-$C$7),0,MIN($C$7,ROW()-1),1)),0))</f>
        <v/>
      </c>
      <c r="BA244">
        <f t="shared" ca="1" si="88"/>
        <v>0</v>
      </c>
      <c r="BB244" t="str">
        <f ca="1">IF(BA244=1,IF(INDEX(分析データ!$A:$A,ROW()+$C$5)&lt;&gt;"",60000*SIGN(AZ244)*(分析データ!C244-INDEX(分析データ!C:C,ROW()+$C$5)),""),"")</f>
        <v/>
      </c>
      <c r="BC244">
        <f t="shared" ca="1" si="89"/>
        <v>0</v>
      </c>
      <c r="BD244">
        <f t="shared" ca="1" si="90"/>
        <v>0</v>
      </c>
      <c r="BE244">
        <f t="shared" ca="1" si="91"/>
        <v>0</v>
      </c>
      <c r="BF244" t="str">
        <f ca="1">IF(ROW()&lt;($C$7+1),"",IFERROR((分析データ!D244-AVERAGE(OFFSET(分析データ!D$1,MAX(1,ROW()-$C$7),0,MIN($C$7,ROW()-1),1)))/STDEV(OFFSET(分析データ!D$1,MAX(1,ROW()-$C$7),0,MIN($C$7,ROW()-1),1)),0))</f>
        <v/>
      </c>
      <c r="BG244">
        <f t="shared" ca="1" si="92"/>
        <v>0</v>
      </c>
      <c r="BH244" t="str">
        <f ca="1">IF(BG244=1,IF(INDEX(分析データ!$A:$A,ROW()+$C$5)&lt;&gt;"",50000*SIGN(BF244)*(分析データ!D244-INDEX(分析データ!D:D,ROW()+$C$5)),""),"")</f>
        <v/>
      </c>
      <c r="BI244">
        <f t="shared" ca="1" si="93"/>
        <v>0</v>
      </c>
      <c r="BJ244">
        <f t="shared" ca="1" si="94"/>
        <v>0</v>
      </c>
      <c r="BK244">
        <f t="shared" ca="1" si="95"/>
        <v>0</v>
      </c>
      <c r="BL244" t="str">
        <f ca="1">IF(ROW()&lt;($C$7+1),"",IFERROR((分析データ!E244-AVERAGE(OFFSET(分析データ!E$1,MAX(1,ROW()-$C$7),0,MIN($C$7,ROW()-1),1)))/STDEV(OFFSET(分析データ!E$1,MAX(1,ROW()-$C$7),0,MIN($C$7,ROW()-1),1)),0))</f>
        <v/>
      </c>
      <c r="BM244">
        <f t="shared" ca="1" si="96"/>
        <v>0</v>
      </c>
      <c r="BN244" t="str">
        <f ca="1">IF(BM244=1,IF(INDEX(分析データ!$A:$A,ROW()+$C$5)&lt;&gt;"",40000*SIGN(BL244)*(分析データ!E244-INDEX(分析データ!E:E,ROW()+$C$5)),""),"")</f>
        <v/>
      </c>
      <c r="BO244">
        <f t="shared" ca="1" si="97"/>
        <v>0</v>
      </c>
      <c r="BP244">
        <f t="shared" ca="1" si="98"/>
        <v>0</v>
      </c>
      <c r="BQ244">
        <f t="shared" ca="1" si="99"/>
        <v>0</v>
      </c>
      <c r="BR244" t="str">
        <f ca="1">IF(ROW()&lt;($C$7+1),"",IFERROR((分析データ!F244-AVERAGE(OFFSET(分析データ!F$1,MAX(1,ROW()-$C$7),0,MIN($C$7,ROW()-1),1)))/STDEV(OFFSET(分析データ!F$1,MAX(1,ROW()-$C$7),0,MIN($C$7,ROW()-1),1)),0))</f>
        <v/>
      </c>
      <c r="BS244">
        <f t="shared" ca="1" si="100"/>
        <v>0</v>
      </c>
      <c r="BT244" t="str">
        <f ca="1">IF(BS244=1,IF(INDEX(分析データ!$A:$A,ROW()+$C$5)&lt;&gt;"",40000*SIGN(BR244)*(分析データ!F244-INDEX(分析データ!F:F,ROW()+$C$5)),""),"")</f>
        <v/>
      </c>
      <c r="BU244">
        <f t="shared" ca="1" si="101"/>
        <v>0</v>
      </c>
      <c r="BV244">
        <f t="shared" ca="1" si="102"/>
        <v>0</v>
      </c>
      <c r="BW244">
        <f t="shared" ca="1" si="103"/>
        <v>0</v>
      </c>
      <c r="BX244" t="str">
        <f ca="1">IF(ROW()&lt;($C$7+1),"",IFERROR((分析データ!G244-AVERAGE(OFFSET(分析データ!G$1,MAX(1,ROW()-$C$7),0,MIN($C$7,ROW()-1),1)))/STDEV(OFFSET(分析データ!G$1,MAX(1,ROW()-$C$7),0,MIN($C$7,ROW()-1),1)),0))</f>
        <v/>
      </c>
      <c r="BY244">
        <f t="shared" ca="1" si="104"/>
        <v>0</v>
      </c>
      <c r="BZ244" t="str">
        <f ca="1">IF(BY244=1,IF(INDEX(分析データ!$A:$A,ROW()+$C$5)&lt;&gt;"",40000*SIGN(BX244)*(分析データ!G244-INDEX(分析データ!G:G,ROW()+$C$5)),""),"")</f>
        <v/>
      </c>
      <c r="CA244">
        <f t="shared" ca="1" si="105"/>
        <v>0</v>
      </c>
      <c r="CB244">
        <f t="shared" ca="1" si="106"/>
        <v>0</v>
      </c>
      <c r="CC244">
        <f t="shared" ca="1" si="107"/>
        <v>0</v>
      </c>
      <c r="CD244">
        <f t="shared" ca="1" si="108"/>
        <v>0</v>
      </c>
      <c r="CE244">
        <f t="shared" ca="1" si="109"/>
        <v>0</v>
      </c>
      <c r="CF244">
        <f t="shared" ca="1" si="110"/>
        <v>0</v>
      </c>
      <c r="CG244">
        <f t="shared" ca="1" si="111"/>
        <v>0</v>
      </c>
      <c r="CH244" s="10">
        <f>分析データ!A244</f>
        <v>45279</v>
      </c>
    </row>
    <row r="245" spans="46:86">
      <c r="AT245" t="str">
        <f ca="1">IF(ROW()&lt;($C$7+1),"",IFERROR((分析データ!B245-AVERAGE(OFFSET(分析データ!B$1,MAX(1,ROW()-$C$7),0,MIN($C$7,ROW()-1),1)))/STDEV(OFFSET(分析データ!B$1,MAX(1,ROW()-$C$7),0,MIN($C$7,ROW()-1),1)),0))</f>
        <v/>
      </c>
      <c r="AU245">
        <f t="shared" ca="1" si="84"/>
        <v>0</v>
      </c>
      <c r="AV245" t="str">
        <f ca="1">IF(AU245=1,IF(INDEX(分析データ!$A:$A,ROW()+$C$5)&lt;&gt;"",80000*SIGN(AT245)*(分析データ!B245-INDEX(分析データ!B:B,ROW()+$C$5)),""),"")</f>
        <v/>
      </c>
      <c r="AW245">
        <f t="shared" ca="1" si="85"/>
        <v>0</v>
      </c>
      <c r="AX245">
        <f t="shared" ca="1" si="86"/>
        <v>0</v>
      </c>
      <c r="AY245">
        <f t="shared" ca="1" si="87"/>
        <v>0</v>
      </c>
      <c r="AZ245" t="str">
        <f ca="1">IF(ROW()&lt;($C$7+1),"",IFERROR((分析データ!C245-AVERAGE(OFFSET(分析データ!C$1,MAX(1,ROW()-$C$7),0,MIN($C$7,ROW()-1),1)))/STDEV(OFFSET(分析データ!C$1,MAX(1,ROW()-$C$7),0,MIN($C$7,ROW()-1),1)),0))</f>
        <v/>
      </c>
      <c r="BA245">
        <f t="shared" ca="1" si="88"/>
        <v>0</v>
      </c>
      <c r="BB245" t="str">
        <f ca="1">IF(BA245=1,IF(INDEX(分析データ!$A:$A,ROW()+$C$5)&lt;&gt;"",60000*SIGN(AZ245)*(分析データ!C245-INDEX(分析データ!C:C,ROW()+$C$5)),""),"")</f>
        <v/>
      </c>
      <c r="BC245">
        <f t="shared" ca="1" si="89"/>
        <v>0</v>
      </c>
      <c r="BD245">
        <f t="shared" ca="1" si="90"/>
        <v>0</v>
      </c>
      <c r="BE245">
        <f t="shared" ca="1" si="91"/>
        <v>0</v>
      </c>
      <c r="BF245" t="str">
        <f ca="1">IF(ROW()&lt;($C$7+1),"",IFERROR((分析データ!D245-AVERAGE(OFFSET(分析データ!D$1,MAX(1,ROW()-$C$7),0,MIN($C$7,ROW()-1),1)))/STDEV(OFFSET(分析データ!D$1,MAX(1,ROW()-$C$7),0,MIN($C$7,ROW()-1),1)),0))</f>
        <v/>
      </c>
      <c r="BG245">
        <f t="shared" ca="1" si="92"/>
        <v>0</v>
      </c>
      <c r="BH245" t="str">
        <f ca="1">IF(BG245=1,IF(INDEX(分析データ!$A:$A,ROW()+$C$5)&lt;&gt;"",50000*SIGN(BF245)*(分析データ!D245-INDEX(分析データ!D:D,ROW()+$C$5)),""),"")</f>
        <v/>
      </c>
      <c r="BI245">
        <f t="shared" ca="1" si="93"/>
        <v>0</v>
      </c>
      <c r="BJ245">
        <f t="shared" ca="1" si="94"/>
        <v>0</v>
      </c>
      <c r="BK245">
        <f t="shared" ca="1" si="95"/>
        <v>0</v>
      </c>
      <c r="BL245" t="str">
        <f ca="1">IF(ROW()&lt;($C$7+1),"",IFERROR((分析データ!E245-AVERAGE(OFFSET(分析データ!E$1,MAX(1,ROW()-$C$7),0,MIN($C$7,ROW()-1),1)))/STDEV(OFFSET(分析データ!E$1,MAX(1,ROW()-$C$7),0,MIN($C$7,ROW()-1),1)),0))</f>
        <v/>
      </c>
      <c r="BM245">
        <f t="shared" ca="1" si="96"/>
        <v>0</v>
      </c>
      <c r="BN245" t="str">
        <f ca="1">IF(BM245=1,IF(INDEX(分析データ!$A:$A,ROW()+$C$5)&lt;&gt;"",40000*SIGN(BL245)*(分析データ!E245-INDEX(分析データ!E:E,ROW()+$C$5)),""),"")</f>
        <v/>
      </c>
      <c r="BO245">
        <f t="shared" ca="1" si="97"/>
        <v>0</v>
      </c>
      <c r="BP245">
        <f t="shared" ca="1" si="98"/>
        <v>0</v>
      </c>
      <c r="BQ245">
        <f t="shared" ca="1" si="99"/>
        <v>0</v>
      </c>
      <c r="BR245" t="str">
        <f ca="1">IF(ROW()&lt;($C$7+1),"",IFERROR((分析データ!F245-AVERAGE(OFFSET(分析データ!F$1,MAX(1,ROW()-$C$7),0,MIN($C$7,ROW()-1),1)))/STDEV(OFFSET(分析データ!F$1,MAX(1,ROW()-$C$7),0,MIN($C$7,ROW()-1),1)),0))</f>
        <v/>
      </c>
      <c r="BS245">
        <f t="shared" ca="1" si="100"/>
        <v>0</v>
      </c>
      <c r="BT245" t="str">
        <f ca="1">IF(BS245=1,IF(INDEX(分析データ!$A:$A,ROW()+$C$5)&lt;&gt;"",40000*SIGN(BR245)*(分析データ!F245-INDEX(分析データ!F:F,ROW()+$C$5)),""),"")</f>
        <v/>
      </c>
      <c r="BU245">
        <f t="shared" ca="1" si="101"/>
        <v>0</v>
      </c>
      <c r="BV245">
        <f t="shared" ca="1" si="102"/>
        <v>0</v>
      </c>
      <c r="BW245">
        <f t="shared" ca="1" si="103"/>
        <v>0</v>
      </c>
      <c r="BX245" t="str">
        <f ca="1">IF(ROW()&lt;($C$7+1),"",IFERROR((分析データ!G245-AVERAGE(OFFSET(分析データ!G$1,MAX(1,ROW()-$C$7),0,MIN($C$7,ROW()-1),1)))/STDEV(OFFSET(分析データ!G$1,MAX(1,ROW()-$C$7),0,MIN($C$7,ROW()-1),1)),0))</f>
        <v/>
      </c>
      <c r="BY245">
        <f t="shared" ca="1" si="104"/>
        <v>0</v>
      </c>
      <c r="BZ245" t="str">
        <f ca="1">IF(BY245=1,IF(INDEX(分析データ!$A:$A,ROW()+$C$5)&lt;&gt;"",40000*SIGN(BX245)*(分析データ!G245-INDEX(分析データ!G:G,ROW()+$C$5)),""),"")</f>
        <v/>
      </c>
      <c r="CA245">
        <f t="shared" ca="1" si="105"/>
        <v>0</v>
      </c>
      <c r="CB245">
        <f t="shared" ca="1" si="106"/>
        <v>0</v>
      </c>
      <c r="CC245">
        <f t="shared" ca="1" si="107"/>
        <v>0</v>
      </c>
      <c r="CD245">
        <f t="shared" ca="1" si="108"/>
        <v>0</v>
      </c>
      <c r="CE245">
        <f t="shared" ca="1" si="109"/>
        <v>0</v>
      </c>
      <c r="CF245">
        <f t="shared" ca="1" si="110"/>
        <v>0</v>
      </c>
      <c r="CG245">
        <f t="shared" ca="1" si="111"/>
        <v>0</v>
      </c>
      <c r="CH245" s="10">
        <f>分析データ!A245</f>
        <v>45280</v>
      </c>
    </row>
    <row r="246" spans="46:86">
      <c r="AT246" t="str">
        <f ca="1">IF(ROW()&lt;($C$7+1),"",IFERROR((分析データ!B246-AVERAGE(OFFSET(分析データ!B$1,MAX(1,ROW()-$C$7),0,MIN($C$7,ROW()-1),1)))/STDEV(OFFSET(分析データ!B$1,MAX(1,ROW()-$C$7),0,MIN($C$7,ROW()-1),1)),0))</f>
        <v/>
      </c>
      <c r="AU246">
        <f t="shared" ca="1" si="84"/>
        <v>0</v>
      </c>
      <c r="AV246" t="str">
        <f ca="1">IF(AU246=1,IF(INDEX(分析データ!$A:$A,ROW()+$C$5)&lt;&gt;"",80000*SIGN(AT246)*(分析データ!B246-INDEX(分析データ!B:B,ROW()+$C$5)),""),"")</f>
        <v/>
      </c>
      <c r="AW246">
        <f t="shared" ca="1" si="85"/>
        <v>0</v>
      </c>
      <c r="AX246">
        <f t="shared" ca="1" si="86"/>
        <v>0</v>
      </c>
      <c r="AY246">
        <f t="shared" ca="1" si="87"/>
        <v>0</v>
      </c>
      <c r="AZ246" t="str">
        <f ca="1">IF(ROW()&lt;($C$7+1),"",IFERROR((分析データ!C246-AVERAGE(OFFSET(分析データ!C$1,MAX(1,ROW()-$C$7),0,MIN($C$7,ROW()-1),1)))/STDEV(OFFSET(分析データ!C$1,MAX(1,ROW()-$C$7),0,MIN($C$7,ROW()-1),1)),0))</f>
        <v/>
      </c>
      <c r="BA246">
        <f t="shared" ca="1" si="88"/>
        <v>0</v>
      </c>
      <c r="BB246" t="str">
        <f ca="1">IF(BA246=1,IF(INDEX(分析データ!$A:$A,ROW()+$C$5)&lt;&gt;"",60000*SIGN(AZ246)*(分析データ!C246-INDEX(分析データ!C:C,ROW()+$C$5)),""),"")</f>
        <v/>
      </c>
      <c r="BC246">
        <f t="shared" ca="1" si="89"/>
        <v>0</v>
      </c>
      <c r="BD246">
        <f t="shared" ca="1" si="90"/>
        <v>0</v>
      </c>
      <c r="BE246">
        <f t="shared" ca="1" si="91"/>
        <v>0</v>
      </c>
      <c r="BF246" t="str">
        <f ca="1">IF(ROW()&lt;($C$7+1),"",IFERROR((分析データ!D246-AVERAGE(OFFSET(分析データ!D$1,MAX(1,ROW()-$C$7),0,MIN($C$7,ROW()-1),1)))/STDEV(OFFSET(分析データ!D$1,MAX(1,ROW()-$C$7),0,MIN($C$7,ROW()-1),1)),0))</f>
        <v/>
      </c>
      <c r="BG246">
        <f t="shared" ca="1" si="92"/>
        <v>0</v>
      </c>
      <c r="BH246" t="str">
        <f ca="1">IF(BG246=1,IF(INDEX(分析データ!$A:$A,ROW()+$C$5)&lt;&gt;"",50000*SIGN(BF246)*(分析データ!D246-INDEX(分析データ!D:D,ROW()+$C$5)),""),"")</f>
        <v/>
      </c>
      <c r="BI246">
        <f t="shared" ca="1" si="93"/>
        <v>0</v>
      </c>
      <c r="BJ246">
        <f t="shared" ca="1" si="94"/>
        <v>0</v>
      </c>
      <c r="BK246">
        <f t="shared" ca="1" si="95"/>
        <v>0</v>
      </c>
      <c r="BL246" t="str">
        <f ca="1">IF(ROW()&lt;($C$7+1),"",IFERROR((分析データ!E246-AVERAGE(OFFSET(分析データ!E$1,MAX(1,ROW()-$C$7),0,MIN($C$7,ROW()-1),1)))/STDEV(OFFSET(分析データ!E$1,MAX(1,ROW()-$C$7),0,MIN($C$7,ROW()-1),1)),0))</f>
        <v/>
      </c>
      <c r="BM246">
        <f t="shared" ca="1" si="96"/>
        <v>0</v>
      </c>
      <c r="BN246" t="str">
        <f ca="1">IF(BM246=1,IF(INDEX(分析データ!$A:$A,ROW()+$C$5)&lt;&gt;"",40000*SIGN(BL246)*(分析データ!E246-INDEX(分析データ!E:E,ROW()+$C$5)),""),"")</f>
        <v/>
      </c>
      <c r="BO246">
        <f t="shared" ca="1" si="97"/>
        <v>0</v>
      </c>
      <c r="BP246">
        <f t="shared" ca="1" si="98"/>
        <v>0</v>
      </c>
      <c r="BQ246">
        <f t="shared" ca="1" si="99"/>
        <v>0</v>
      </c>
      <c r="BR246" t="str">
        <f ca="1">IF(ROW()&lt;($C$7+1),"",IFERROR((分析データ!F246-AVERAGE(OFFSET(分析データ!F$1,MAX(1,ROW()-$C$7),0,MIN($C$7,ROW()-1),1)))/STDEV(OFFSET(分析データ!F$1,MAX(1,ROW()-$C$7),0,MIN($C$7,ROW()-1),1)),0))</f>
        <v/>
      </c>
      <c r="BS246">
        <f t="shared" ca="1" si="100"/>
        <v>0</v>
      </c>
      <c r="BT246" t="str">
        <f ca="1">IF(BS246=1,IF(INDEX(分析データ!$A:$A,ROW()+$C$5)&lt;&gt;"",40000*SIGN(BR246)*(分析データ!F246-INDEX(分析データ!F:F,ROW()+$C$5)),""),"")</f>
        <v/>
      </c>
      <c r="BU246">
        <f t="shared" ca="1" si="101"/>
        <v>0</v>
      </c>
      <c r="BV246">
        <f t="shared" ca="1" si="102"/>
        <v>0</v>
      </c>
      <c r="BW246">
        <f t="shared" ca="1" si="103"/>
        <v>0</v>
      </c>
      <c r="BX246" t="str">
        <f ca="1">IF(ROW()&lt;($C$7+1),"",IFERROR((分析データ!G246-AVERAGE(OFFSET(分析データ!G$1,MAX(1,ROW()-$C$7),0,MIN($C$7,ROW()-1),1)))/STDEV(OFFSET(分析データ!G$1,MAX(1,ROW()-$C$7),0,MIN($C$7,ROW()-1),1)),0))</f>
        <v/>
      </c>
      <c r="BY246">
        <f t="shared" ca="1" si="104"/>
        <v>0</v>
      </c>
      <c r="BZ246" t="str">
        <f ca="1">IF(BY246=1,IF(INDEX(分析データ!$A:$A,ROW()+$C$5)&lt;&gt;"",40000*SIGN(BX246)*(分析データ!G246-INDEX(分析データ!G:G,ROW()+$C$5)),""),"")</f>
        <v/>
      </c>
      <c r="CA246">
        <f t="shared" ca="1" si="105"/>
        <v>0</v>
      </c>
      <c r="CB246">
        <f t="shared" ca="1" si="106"/>
        <v>0</v>
      </c>
      <c r="CC246">
        <f t="shared" ca="1" si="107"/>
        <v>0</v>
      </c>
      <c r="CD246">
        <f t="shared" ca="1" si="108"/>
        <v>0</v>
      </c>
      <c r="CE246">
        <f t="shared" ca="1" si="109"/>
        <v>0</v>
      </c>
      <c r="CF246">
        <f t="shared" ca="1" si="110"/>
        <v>0</v>
      </c>
      <c r="CG246">
        <f t="shared" ca="1" si="111"/>
        <v>0</v>
      </c>
      <c r="CH246" s="10">
        <f>分析データ!A246</f>
        <v>45281</v>
      </c>
    </row>
    <row r="247" spans="46:86">
      <c r="AT247" t="str">
        <f ca="1">IF(ROW()&lt;($C$7+1),"",IFERROR((分析データ!B247-AVERAGE(OFFSET(分析データ!B$1,MAX(1,ROW()-$C$7),0,MIN($C$7,ROW()-1),1)))/STDEV(OFFSET(分析データ!B$1,MAX(1,ROW()-$C$7),0,MIN($C$7,ROW()-1),1)),0))</f>
        <v/>
      </c>
      <c r="AU247">
        <f t="shared" ca="1" si="84"/>
        <v>0</v>
      </c>
      <c r="AV247" t="str">
        <f ca="1">IF(AU247=1,IF(INDEX(分析データ!$A:$A,ROW()+$C$5)&lt;&gt;"",80000*SIGN(AT247)*(分析データ!B247-INDEX(分析データ!B:B,ROW()+$C$5)),""),"")</f>
        <v/>
      </c>
      <c r="AW247">
        <f t="shared" ca="1" si="85"/>
        <v>0</v>
      </c>
      <c r="AX247">
        <f t="shared" ca="1" si="86"/>
        <v>0</v>
      </c>
      <c r="AY247">
        <f t="shared" ca="1" si="87"/>
        <v>0</v>
      </c>
      <c r="AZ247" t="str">
        <f ca="1">IF(ROW()&lt;($C$7+1),"",IFERROR((分析データ!C247-AVERAGE(OFFSET(分析データ!C$1,MAX(1,ROW()-$C$7),0,MIN($C$7,ROW()-1),1)))/STDEV(OFFSET(分析データ!C$1,MAX(1,ROW()-$C$7),0,MIN($C$7,ROW()-1),1)),0))</f>
        <v/>
      </c>
      <c r="BA247">
        <f t="shared" ca="1" si="88"/>
        <v>0</v>
      </c>
      <c r="BB247" t="str">
        <f ca="1">IF(BA247=1,IF(INDEX(分析データ!$A:$A,ROW()+$C$5)&lt;&gt;"",60000*SIGN(AZ247)*(分析データ!C247-INDEX(分析データ!C:C,ROW()+$C$5)),""),"")</f>
        <v/>
      </c>
      <c r="BC247">
        <f t="shared" ca="1" si="89"/>
        <v>0</v>
      </c>
      <c r="BD247">
        <f t="shared" ca="1" si="90"/>
        <v>0</v>
      </c>
      <c r="BE247">
        <f t="shared" ca="1" si="91"/>
        <v>0</v>
      </c>
      <c r="BF247" t="str">
        <f ca="1">IF(ROW()&lt;($C$7+1),"",IFERROR((分析データ!D247-AVERAGE(OFFSET(分析データ!D$1,MAX(1,ROW()-$C$7),0,MIN($C$7,ROW()-1),1)))/STDEV(OFFSET(分析データ!D$1,MAX(1,ROW()-$C$7),0,MIN($C$7,ROW()-1),1)),0))</f>
        <v/>
      </c>
      <c r="BG247">
        <f t="shared" ca="1" si="92"/>
        <v>0</v>
      </c>
      <c r="BH247" t="str">
        <f ca="1">IF(BG247=1,IF(INDEX(分析データ!$A:$A,ROW()+$C$5)&lt;&gt;"",50000*SIGN(BF247)*(分析データ!D247-INDEX(分析データ!D:D,ROW()+$C$5)),""),"")</f>
        <v/>
      </c>
      <c r="BI247">
        <f t="shared" ca="1" si="93"/>
        <v>0</v>
      </c>
      <c r="BJ247">
        <f t="shared" ca="1" si="94"/>
        <v>0</v>
      </c>
      <c r="BK247">
        <f t="shared" ca="1" si="95"/>
        <v>0</v>
      </c>
      <c r="BL247" t="str">
        <f ca="1">IF(ROW()&lt;($C$7+1),"",IFERROR((分析データ!E247-AVERAGE(OFFSET(分析データ!E$1,MAX(1,ROW()-$C$7),0,MIN($C$7,ROW()-1),1)))/STDEV(OFFSET(分析データ!E$1,MAX(1,ROW()-$C$7),0,MIN($C$7,ROW()-1),1)),0))</f>
        <v/>
      </c>
      <c r="BM247">
        <f t="shared" ca="1" si="96"/>
        <v>0</v>
      </c>
      <c r="BN247" t="str">
        <f ca="1">IF(BM247=1,IF(INDEX(分析データ!$A:$A,ROW()+$C$5)&lt;&gt;"",40000*SIGN(BL247)*(分析データ!E247-INDEX(分析データ!E:E,ROW()+$C$5)),""),"")</f>
        <v/>
      </c>
      <c r="BO247">
        <f t="shared" ca="1" si="97"/>
        <v>0</v>
      </c>
      <c r="BP247">
        <f t="shared" ca="1" si="98"/>
        <v>0</v>
      </c>
      <c r="BQ247">
        <f t="shared" ca="1" si="99"/>
        <v>0</v>
      </c>
      <c r="BR247" t="str">
        <f ca="1">IF(ROW()&lt;($C$7+1),"",IFERROR((分析データ!F247-AVERAGE(OFFSET(分析データ!F$1,MAX(1,ROW()-$C$7),0,MIN($C$7,ROW()-1),1)))/STDEV(OFFSET(分析データ!F$1,MAX(1,ROW()-$C$7),0,MIN($C$7,ROW()-1),1)),0))</f>
        <v/>
      </c>
      <c r="BS247">
        <f t="shared" ca="1" si="100"/>
        <v>0</v>
      </c>
      <c r="BT247" t="str">
        <f ca="1">IF(BS247=1,IF(INDEX(分析データ!$A:$A,ROW()+$C$5)&lt;&gt;"",40000*SIGN(BR247)*(分析データ!F247-INDEX(分析データ!F:F,ROW()+$C$5)),""),"")</f>
        <v/>
      </c>
      <c r="BU247">
        <f t="shared" ca="1" si="101"/>
        <v>0</v>
      </c>
      <c r="BV247">
        <f t="shared" ca="1" si="102"/>
        <v>0</v>
      </c>
      <c r="BW247">
        <f t="shared" ca="1" si="103"/>
        <v>0</v>
      </c>
      <c r="BX247" t="str">
        <f ca="1">IF(ROW()&lt;($C$7+1),"",IFERROR((分析データ!G247-AVERAGE(OFFSET(分析データ!G$1,MAX(1,ROW()-$C$7),0,MIN($C$7,ROW()-1),1)))/STDEV(OFFSET(分析データ!G$1,MAX(1,ROW()-$C$7),0,MIN($C$7,ROW()-1),1)),0))</f>
        <v/>
      </c>
      <c r="BY247">
        <f t="shared" ca="1" si="104"/>
        <v>0</v>
      </c>
      <c r="BZ247" t="str">
        <f ca="1">IF(BY247=1,IF(INDEX(分析データ!$A:$A,ROW()+$C$5)&lt;&gt;"",40000*SIGN(BX247)*(分析データ!G247-INDEX(分析データ!G:G,ROW()+$C$5)),""),"")</f>
        <v/>
      </c>
      <c r="CA247">
        <f t="shared" ca="1" si="105"/>
        <v>0</v>
      </c>
      <c r="CB247">
        <f t="shared" ca="1" si="106"/>
        <v>0</v>
      </c>
      <c r="CC247">
        <f t="shared" ca="1" si="107"/>
        <v>0</v>
      </c>
      <c r="CD247">
        <f t="shared" ca="1" si="108"/>
        <v>0</v>
      </c>
      <c r="CE247">
        <f t="shared" ca="1" si="109"/>
        <v>0</v>
      </c>
      <c r="CF247">
        <f t="shared" ca="1" si="110"/>
        <v>0</v>
      </c>
      <c r="CG247">
        <f t="shared" ca="1" si="111"/>
        <v>0</v>
      </c>
      <c r="CH247" s="10">
        <f>分析データ!A247</f>
        <v>45282</v>
      </c>
    </row>
    <row r="248" spans="46:86">
      <c r="AT248" t="str">
        <f ca="1">IF(ROW()&lt;($C$7+1),"",IFERROR((分析データ!B248-AVERAGE(OFFSET(分析データ!B$1,MAX(1,ROW()-$C$7),0,MIN($C$7,ROW()-1),1)))/STDEV(OFFSET(分析データ!B$1,MAX(1,ROW()-$C$7),0,MIN($C$7,ROW()-1),1)),0))</f>
        <v/>
      </c>
      <c r="AU248">
        <f t="shared" ca="1" si="84"/>
        <v>0</v>
      </c>
      <c r="AV248" t="str">
        <f ca="1">IF(AU248=1,IF(INDEX(分析データ!$A:$A,ROW()+$C$5)&lt;&gt;"",80000*SIGN(AT248)*(分析データ!B248-INDEX(分析データ!B:B,ROW()+$C$5)),""),"")</f>
        <v/>
      </c>
      <c r="AW248">
        <f t="shared" ca="1" si="85"/>
        <v>0</v>
      </c>
      <c r="AX248">
        <f t="shared" ca="1" si="86"/>
        <v>0</v>
      </c>
      <c r="AY248">
        <f t="shared" ca="1" si="87"/>
        <v>0</v>
      </c>
      <c r="AZ248" t="str">
        <f ca="1">IF(ROW()&lt;($C$7+1),"",IFERROR((分析データ!C248-AVERAGE(OFFSET(分析データ!C$1,MAX(1,ROW()-$C$7),0,MIN($C$7,ROW()-1),1)))/STDEV(OFFSET(分析データ!C$1,MAX(1,ROW()-$C$7),0,MIN($C$7,ROW()-1),1)),0))</f>
        <v/>
      </c>
      <c r="BA248">
        <f t="shared" ca="1" si="88"/>
        <v>0</v>
      </c>
      <c r="BB248" t="str">
        <f ca="1">IF(BA248=1,IF(INDEX(分析データ!$A:$A,ROW()+$C$5)&lt;&gt;"",60000*SIGN(AZ248)*(分析データ!C248-INDEX(分析データ!C:C,ROW()+$C$5)),""),"")</f>
        <v/>
      </c>
      <c r="BC248">
        <f t="shared" ca="1" si="89"/>
        <v>0</v>
      </c>
      <c r="BD248">
        <f t="shared" ca="1" si="90"/>
        <v>0</v>
      </c>
      <c r="BE248">
        <f t="shared" ca="1" si="91"/>
        <v>0</v>
      </c>
      <c r="BF248" t="str">
        <f ca="1">IF(ROW()&lt;($C$7+1),"",IFERROR((分析データ!D248-AVERAGE(OFFSET(分析データ!D$1,MAX(1,ROW()-$C$7),0,MIN($C$7,ROW()-1),1)))/STDEV(OFFSET(分析データ!D$1,MAX(1,ROW()-$C$7),0,MIN($C$7,ROW()-1),1)),0))</f>
        <v/>
      </c>
      <c r="BG248">
        <f t="shared" ca="1" si="92"/>
        <v>0</v>
      </c>
      <c r="BH248" t="str">
        <f ca="1">IF(BG248=1,IF(INDEX(分析データ!$A:$A,ROW()+$C$5)&lt;&gt;"",50000*SIGN(BF248)*(分析データ!D248-INDEX(分析データ!D:D,ROW()+$C$5)),""),"")</f>
        <v/>
      </c>
      <c r="BI248">
        <f t="shared" ca="1" si="93"/>
        <v>0</v>
      </c>
      <c r="BJ248">
        <f t="shared" ca="1" si="94"/>
        <v>0</v>
      </c>
      <c r="BK248">
        <f t="shared" ca="1" si="95"/>
        <v>0</v>
      </c>
      <c r="BL248" t="str">
        <f ca="1">IF(ROW()&lt;($C$7+1),"",IFERROR((分析データ!E248-AVERAGE(OFFSET(分析データ!E$1,MAX(1,ROW()-$C$7),0,MIN($C$7,ROW()-1),1)))/STDEV(OFFSET(分析データ!E$1,MAX(1,ROW()-$C$7),0,MIN($C$7,ROW()-1),1)),0))</f>
        <v/>
      </c>
      <c r="BM248">
        <f t="shared" ca="1" si="96"/>
        <v>0</v>
      </c>
      <c r="BN248" t="str">
        <f ca="1">IF(BM248=1,IF(INDEX(分析データ!$A:$A,ROW()+$C$5)&lt;&gt;"",40000*SIGN(BL248)*(分析データ!E248-INDEX(分析データ!E:E,ROW()+$C$5)),""),"")</f>
        <v/>
      </c>
      <c r="BO248">
        <f t="shared" ca="1" si="97"/>
        <v>0</v>
      </c>
      <c r="BP248">
        <f t="shared" ca="1" si="98"/>
        <v>0</v>
      </c>
      <c r="BQ248">
        <f t="shared" ca="1" si="99"/>
        <v>0</v>
      </c>
      <c r="BR248" t="str">
        <f ca="1">IF(ROW()&lt;($C$7+1),"",IFERROR((分析データ!F248-AVERAGE(OFFSET(分析データ!F$1,MAX(1,ROW()-$C$7),0,MIN($C$7,ROW()-1),1)))/STDEV(OFFSET(分析データ!F$1,MAX(1,ROW()-$C$7),0,MIN($C$7,ROW()-1),1)),0))</f>
        <v/>
      </c>
      <c r="BS248">
        <f t="shared" ca="1" si="100"/>
        <v>0</v>
      </c>
      <c r="BT248" t="str">
        <f ca="1">IF(BS248=1,IF(INDEX(分析データ!$A:$A,ROW()+$C$5)&lt;&gt;"",40000*SIGN(BR248)*(分析データ!F248-INDEX(分析データ!F:F,ROW()+$C$5)),""),"")</f>
        <v/>
      </c>
      <c r="BU248">
        <f t="shared" ca="1" si="101"/>
        <v>0</v>
      </c>
      <c r="BV248">
        <f t="shared" ca="1" si="102"/>
        <v>0</v>
      </c>
      <c r="BW248">
        <f t="shared" ca="1" si="103"/>
        <v>0</v>
      </c>
      <c r="BX248" t="str">
        <f ca="1">IF(ROW()&lt;($C$7+1),"",IFERROR((分析データ!G248-AVERAGE(OFFSET(分析データ!G$1,MAX(1,ROW()-$C$7),0,MIN($C$7,ROW()-1),1)))/STDEV(OFFSET(分析データ!G$1,MAX(1,ROW()-$C$7),0,MIN($C$7,ROW()-1),1)),0))</f>
        <v/>
      </c>
      <c r="BY248">
        <f t="shared" ca="1" si="104"/>
        <v>0</v>
      </c>
      <c r="BZ248" t="str">
        <f ca="1">IF(BY248=1,IF(INDEX(分析データ!$A:$A,ROW()+$C$5)&lt;&gt;"",40000*SIGN(BX248)*(分析データ!G248-INDEX(分析データ!G:G,ROW()+$C$5)),""),"")</f>
        <v/>
      </c>
      <c r="CA248">
        <f t="shared" ca="1" si="105"/>
        <v>0</v>
      </c>
      <c r="CB248">
        <f t="shared" ca="1" si="106"/>
        <v>0</v>
      </c>
      <c r="CC248">
        <f t="shared" ca="1" si="107"/>
        <v>0</v>
      </c>
      <c r="CD248">
        <f t="shared" ca="1" si="108"/>
        <v>0</v>
      </c>
      <c r="CE248">
        <f t="shared" ca="1" si="109"/>
        <v>0</v>
      </c>
      <c r="CF248">
        <f t="shared" ca="1" si="110"/>
        <v>0</v>
      </c>
      <c r="CG248">
        <f t="shared" ca="1" si="111"/>
        <v>0</v>
      </c>
      <c r="CH248" s="10">
        <f>分析データ!A248</f>
        <v>45286</v>
      </c>
    </row>
    <row r="249" spans="46:86">
      <c r="AT249" t="str">
        <f ca="1">IF(ROW()&lt;($C$7+1),"",IFERROR((分析データ!B249-AVERAGE(OFFSET(分析データ!B$1,MAX(1,ROW()-$C$7),0,MIN($C$7,ROW()-1),1)))/STDEV(OFFSET(分析データ!B$1,MAX(1,ROW()-$C$7),0,MIN($C$7,ROW()-1),1)),0))</f>
        <v/>
      </c>
      <c r="AU249">
        <f t="shared" ca="1" si="84"/>
        <v>0</v>
      </c>
      <c r="AV249" t="str">
        <f ca="1">IF(AU249=1,IF(INDEX(分析データ!$A:$A,ROW()+$C$5)&lt;&gt;"",80000*SIGN(AT249)*(分析データ!B249-INDEX(分析データ!B:B,ROW()+$C$5)),""),"")</f>
        <v/>
      </c>
      <c r="AW249">
        <f t="shared" ca="1" si="85"/>
        <v>0</v>
      </c>
      <c r="AX249">
        <f t="shared" ca="1" si="86"/>
        <v>0</v>
      </c>
      <c r="AY249">
        <f t="shared" ca="1" si="87"/>
        <v>0</v>
      </c>
      <c r="AZ249" t="str">
        <f ca="1">IF(ROW()&lt;($C$7+1),"",IFERROR((分析データ!C249-AVERAGE(OFFSET(分析データ!C$1,MAX(1,ROW()-$C$7),0,MIN($C$7,ROW()-1),1)))/STDEV(OFFSET(分析データ!C$1,MAX(1,ROW()-$C$7),0,MIN($C$7,ROW()-1),1)),0))</f>
        <v/>
      </c>
      <c r="BA249">
        <f t="shared" ca="1" si="88"/>
        <v>0</v>
      </c>
      <c r="BB249" t="str">
        <f ca="1">IF(BA249=1,IF(INDEX(分析データ!$A:$A,ROW()+$C$5)&lt;&gt;"",60000*SIGN(AZ249)*(分析データ!C249-INDEX(分析データ!C:C,ROW()+$C$5)),""),"")</f>
        <v/>
      </c>
      <c r="BC249">
        <f t="shared" ca="1" si="89"/>
        <v>0</v>
      </c>
      <c r="BD249">
        <f t="shared" ca="1" si="90"/>
        <v>0</v>
      </c>
      <c r="BE249">
        <f t="shared" ca="1" si="91"/>
        <v>0</v>
      </c>
      <c r="BF249" t="str">
        <f ca="1">IF(ROW()&lt;($C$7+1),"",IFERROR((分析データ!D249-AVERAGE(OFFSET(分析データ!D$1,MAX(1,ROW()-$C$7),0,MIN($C$7,ROW()-1),1)))/STDEV(OFFSET(分析データ!D$1,MAX(1,ROW()-$C$7),0,MIN($C$7,ROW()-1),1)),0))</f>
        <v/>
      </c>
      <c r="BG249">
        <f t="shared" ca="1" si="92"/>
        <v>0</v>
      </c>
      <c r="BH249" t="str">
        <f ca="1">IF(BG249=1,IF(INDEX(分析データ!$A:$A,ROW()+$C$5)&lt;&gt;"",50000*SIGN(BF249)*(分析データ!D249-INDEX(分析データ!D:D,ROW()+$C$5)),""),"")</f>
        <v/>
      </c>
      <c r="BI249">
        <f t="shared" ca="1" si="93"/>
        <v>0</v>
      </c>
      <c r="BJ249">
        <f t="shared" ca="1" si="94"/>
        <v>0</v>
      </c>
      <c r="BK249">
        <f t="shared" ca="1" si="95"/>
        <v>0</v>
      </c>
      <c r="BL249" t="str">
        <f ca="1">IF(ROW()&lt;($C$7+1),"",IFERROR((分析データ!E249-AVERAGE(OFFSET(分析データ!E$1,MAX(1,ROW()-$C$7),0,MIN($C$7,ROW()-1),1)))/STDEV(OFFSET(分析データ!E$1,MAX(1,ROW()-$C$7),0,MIN($C$7,ROW()-1),1)),0))</f>
        <v/>
      </c>
      <c r="BM249">
        <f t="shared" ca="1" si="96"/>
        <v>0</v>
      </c>
      <c r="BN249" t="str">
        <f ca="1">IF(BM249=1,IF(INDEX(分析データ!$A:$A,ROW()+$C$5)&lt;&gt;"",40000*SIGN(BL249)*(分析データ!E249-INDEX(分析データ!E:E,ROW()+$C$5)),""),"")</f>
        <v/>
      </c>
      <c r="BO249">
        <f t="shared" ca="1" si="97"/>
        <v>0</v>
      </c>
      <c r="BP249">
        <f t="shared" ca="1" si="98"/>
        <v>0</v>
      </c>
      <c r="BQ249">
        <f t="shared" ca="1" si="99"/>
        <v>0</v>
      </c>
      <c r="BR249" t="str">
        <f ca="1">IF(ROW()&lt;($C$7+1),"",IFERROR((分析データ!F249-AVERAGE(OFFSET(分析データ!F$1,MAX(1,ROW()-$C$7),0,MIN($C$7,ROW()-1),1)))/STDEV(OFFSET(分析データ!F$1,MAX(1,ROW()-$C$7),0,MIN($C$7,ROW()-1),1)),0))</f>
        <v/>
      </c>
      <c r="BS249">
        <f t="shared" ca="1" si="100"/>
        <v>0</v>
      </c>
      <c r="BT249" t="str">
        <f ca="1">IF(BS249=1,IF(INDEX(分析データ!$A:$A,ROW()+$C$5)&lt;&gt;"",40000*SIGN(BR249)*(分析データ!F249-INDEX(分析データ!F:F,ROW()+$C$5)),""),"")</f>
        <v/>
      </c>
      <c r="BU249">
        <f t="shared" ca="1" si="101"/>
        <v>0</v>
      </c>
      <c r="BV249">
        <f t="shared" ca="1" si="102"/>
        <v>0</v>
      </c>
      <c r="BW249">
        <f t="shared" ca="1" si="103"/>
        <v>0</v>
      </c>
      <c r="BX249" t="str">
        <f ca="1">IF(ROW()&lt;($C$7+1),"",IFERROR((分析データ!G249-AVERAGE(OFFSET(分析データ!G$1,MAX(1,ROW()-$C$7),0,MIN($C$7,ROW()-1),1)))/STDEV(OFFSET(分析データ!G$1,MAX(1,ROW()-$C$7),0,MIN($C$7,ROW()-1),1)),0))</f>
        <v/>
      </c>
      <c r="BY249">
        <f t="shared" ca="1" si="104"/>
        <v>0</v>
      </c>
      <c r="BZ249" t="str">
        <f ca="1">IF(BY249=1,IF(INDEX(分析データ!$A:$A,ROW()+$C$5)&lt;&gt;"",40000*SIGN(BX249)*(分析データ!G249-INDEX(分析データ!G:G,ROW()+$C$5)),""),"")</f>
        <v/>
      </c>
      <c r="CA249">
        <f t="shared" ca="1" si="105"/>
        <v>0</v>
      </c>
      <c r="CB249">
        <f t="shared" ca="1" si="106"/>
        <v>0</v>
      </c>
      <c r="CC249">
        <f t="shared" ca="1" si="107"/>
        <v>0</v>
      </c>
      <c r="CD249">
        <f t="shared" ca="1" si="108"/>
        <v>0</v>
      </c>
      <c r="CE249">
        <f t="shared" ca="1" si="109"/>
        <v>0</v>
      </c>
      <c r="CF249">
        <f t="shared" ca="1" si="110"/>
        <v>0</v>
      </c>
      <c r="CG249">
        <f t="shared" ca="1" si="111"/>
        <v>0</v>
      </c>
      <c r="CH249" s="10">
        <f>分析データ!A249</f>
        <v>45287</v>
      </c>
    </row>
    <row r="250" spans="46:86">
      <c r="AT250" t="str">
        <f ca="1">IF(ROW()&lt;($C$7+1),"",IFERROR((分析データ!B250-AVERAGE(OFFSET(分析データ!B$1,MAX(1,ROW()-$C$7),0,MIN($C$7,ROW()-1),1)))/STDEV(OFFSET(分析データ!B$1,MAX(1,ROW()-$C$7),0,MIN($C$7,ROW()-1),1)),0))</f>
        <v/>
      </c>
      <c r="AU250">
        <f t="shared" ca="1" si="84"/>
        <v>0</v>
      </c>
      <c r="AV250" t="str">
        <f ca="1">IF(AU250=1,IF(INDEX(分析データ!$A:$A,ROW()+$C$5)&lt;&gt;"",80000*SIGN(AT250)*(分析データ!B250-INDEX(分析データ!B:B,ROW()+$C$5)),""),"")</f>
        <v/>
      </c>
      <c r="AW250">
        <f t="shared" ca="1" si="85"/>
        <v>0</v>
      </c>
      <c r="AX250">
        <f t="shared" ca="1" si="86"/>
        <v>0</v>
      </c>
      <c r="AY250">
        <f t="shared" ca="1" si="87"/>
        <v>0</v>
      </c>
      <c r="AZ250" t="str">
        <f ca="1">IF(ROW()&lt;($C$7+1),"",IFERROR((分析データ!C250-AVERAGE(OFFSET(分析データ!C$1,MAX(1,ROW()-$C$7),0,MIN($C$7,ROW()-1),1)))/STDEV(OFFSET(分析データ!C$1,MAX(1,ROW()-$C$7),0,MIN($C$7,ROW()-1),1)),0))</f>
        <v/>
      </c>
      <c r="BA250">
        <f t="shared" ca="1" si="88"/>
        <v>0</v>
      </c>
      <c r="BB250" t="str">
        <f ca="1">IF(BA250=1,IF(INDEX(分析データ!$A:$A,ROW()+$C$5)&lt;&gt;"",60000*SIGN(AZ250)*(分析データ!C250-INDEX(分析データ!C:C,ROW()+$C$5)),""),"")</f>
        <v/>
      </c>
      <c r="BC250">
        <f t="shared" ca="1" si="89"/>
        <v>0</v>
      </c>
      <c r="BD250">
        <f t="shared" ca="1" si="90"/>
        <v>0</v>
      </c>
      <c r="BE250">
        <f t="shared" ca="1" si="91"/>
        <v>0</v>
      </c>
      <c r="BF250" t="str">
        <f ca="1">IF(ROW()&lt;($C$7+1),"",IFERROR((分析データ!D250-AVERAGE(OFFSET(分析データ!D$1,MAX(1,ROW()-$C$7),0,MIN($C$7,ROW()-1),1)))/STDEV(OFFSET(分析データ!D$1,MAX(1,ROW()-$C$7),0,MIN($C$7,ROW()-1),1)),0))</f>
        <v/>
      </c>
      <c r="BG250">
        <f t="shared" ca="1" si="92"/>
        <v>0</v>
      </c>
      <c r="BH250" t="str">
        <f ca="1">IF(BG250=1,IF(INDEX(分析データ!$A:$A,ROW()+$C$5)&lt;&gt;"",50000*SIGN(BF250)*(分析データ!D250-INDEX(分析データ!D:D,ROW()+$C$5)),""),"")</f>
        <v/>
      </c>
      <c r="BI250">
        <f t="shared" ca="1" si="93"/>
        <v>0</v>
      </c>
      <c r="BJ250">
        <f t="shared" ca="1" si="94"/>
        <v>0</v>
      </c>
      <c r="BK250">
        <f t="shared" ca="1" si="95"/>
        <v>0</v>
      </c>
      <c r="BL250" t="str">
        <f ca="1">IF(ROW()&lt;($C$7+1),"",IFERROR((分析データ!E250-AVERAGE(OFFSET(分析データ!E$1,MAX(1,ROW()-$C$7),0,MIN($C$7,ROW()-1),1)))/STDEV(OFFSET(分析データ!E$1,MAX(1,ROW()-$C$7),0,MIN($C$7,ROW()-1),1)),0))</f>
        <v/>
      </c>
      <c r="BM250">
        <f t="shared" ca="1" si="96"/>
        <v>0</v>
      </c>
      <c r="BN250" t="str">
        <f ca="1">IF(BM250=1,IF(INDEX(分析データ!$A:$A,ROW()+$C$5)&lt;&gt;"",40000*SIGN(BL250)*(分析データ!E250-INDEX(分析データ!E:E,ROW()+$C$5)),""),"")</f>
        <v/>
      </c>
      <c r="BO250">
        <f t="shared" ca="1" si="97"/>
        <v>0</v>
      </c>
      <c r="BP250">
        <f t="shared" ca="1" si="98"/>
        <v>0</v>
      </c>
      <c r="BQ250">
        <f t="shared" ca="1" si="99"/>
        <v>0</v>
      </c>
      <c r="BR250" t="str">
        <f ca="1">IF(ROW()&lt;($C$7+1),"",IFERROR((分析データ!F250-AVERAGE(OFFSET(分析データ!F$1,MAX(1,ROW()-$C$7),0,MIN($C$7,ROW()-1),1)))/STDEV(OFFSET(分析データ!F$1,MAX(1,ROW()-$C$7),0,MIN($C$7,ROW()-1),1)),0))</f>
        <v/>
      </c>
      <c r="BS250">
        <f t="shared" ca="1" si="100"/>
        <v>0</v>
      </c>
      <c r="BT250" t="str">
        <f ca="1">IF(BS250=1,IF(INDEX(分析データ!$A:$A,ROW()+$C$5)&lt;&gt;"",40000*SIGN(BR250)*(分析データ!F250-INDEX(分析データ!F:F,ROW()+$C$5)),""),"")</f>
        <v/>
      </c>
      <c r="BU250">
        <f t="shared" ca="1" si="101"/>
        <v>0</v>
      </c>
      <c r="BV250">
        <f t="shared" ca="1" si="102"/>
        <v>0</v>
      </c>
      <c r="BW250">
        <f t="shared" ca="1" si="103"/>
        <v>0</v>
      </c>
      <c r="BX250" t="str">
        <f ca="1">IF(ROW()&lt;($C$7+1),"",IFERROR((分析データ!G250-AVERAGE(OFFSET(分析データ!G$1,MAX(1,ROW()-$C$7),0,MIN($C$7,ROW()-1),1)))/STDEV(OFFSET(分析データ!G$1,MAX(1,ROW()-$C$7),0,MIN($C$7,ROW()-1),1)),0))</f>
        <v/>
      </c>
      <c r="BY250">
        <f t="shared" ca="1" si="104"/>
        <v>0</v>
      </c>
      <c r="BZ250" t="str">
        <f ca="1">IF(BY250=1,IF(INDEX(分析データ!$A:$A,ROW()+$C$5)&lt;&gt;"",40000*SIGN(BX250)*(分析データ!G250-INDEX(分析データ!G:G,ROW()+$C$5)),""),"")</f>
        <v/>
      </c>
      <c r="CA250">
        <f t="shared" ca="1" si="105"/>
        <v>0</v>
      </c>
      <c r="CB250">
        <f t="shared" ca="1" si="106"/>
        <v>0</v>
      </c>
      <c r="CC250">
        <f t="shared" ca="1" si="107"/>
        <v>0</v>
      </c>
      <c r="CD250">
        <f t="shared" ca="1" si="108"/>
        <v>0</v>
      </c>
      <c r="CE250">
        <f t="shared" ca="1" si="109"/>
        <v>0</v>
      </c>
      <c r="CF250">
        <f t="shared" ca="1" si="110"/>
        <v>0</v>
      </c>
      <c r="CG250">
        <f t="shared" ca="1" si="111"/>
        <v>0</v>
      </c>
      <c r="CH250" s="10">
        <f>分析データ!A250</f>
        <v>45288</v>
      </c>
    </row>
    <row r="251" spans="46:86">
      <c r="AT251" t="str">
        <f ca="1">IF(ROW()&lt;($C$7+1),"",IFERROR((分析データ!B251-AVERAGE(OFFSET(分析データ!B$1,MAX(1,ROW()-$C$7),0,MIN($C$7,ROW()-1),1)))/STDEV(OFFSET(分析データ!B$1,MAX(1,ROW()-$C$7),0,MIN($C$7,ROW()-1),1)),0))</f>
        <v/>
      </c>
      <c r="AU251">
        <f t="shared" ca="1" si="84"/>
        <v>0</v>
      </c>
      <c r="AV251" t="str">
        <f ca="1">IF(AU251=1,IF(INDEX(分析データ!$A:$A,ROW()+$C$5)&lt;&gt;"",80000*SIGN(AT251)*(分析データ!B251-INDEX(分析データ!B:B,ROW()+$C$5)),""),"")</f>
        <v/>
      </c>
      <c r="AW251">
        <f t="shared" ca="1" si="85"/>
        <v>0</v>
      </c>
      <c r="AX251">
        <f t="shared" ca="1" si="86"/>
        <v>0</v>
      </c>
      <c r="AY251">
        <f t="shared" ca="1" si="87"/>
        <v>0</v>
      </c>
      <c r="AZ251" t="str">
        <f ca="1">IF(ROW()&lt;($C$7+1),"",IFERROR((分析データ!C251-AVERAGE(OFFSET(分析データ!C$1,MAX(1,ROW()-$C$7),0,MIN($C$7,ROW()-1),1)))/STDEV(OFFSET(分析データ!C$1,MAX(1,ROW()-$C$7),0,MIN($C$7,ROW()-1),1)),0))</f>
        <v/>
      </c>
      <c r="BA251">
        <f t="shared" ca="1" si="88"/>
        <v>0</v>
      </c>
      <c r="BB251" t="str">
        <f ca="1">IF(BA251=1,IF(INDEX(分析データ!$A:$A,ROW()+$C$5)&lt;&gt;"",60000*SIGN(AZ251)*(分析データ!C251-INDEX(分析データ!C:C,ROW()+$C$5)),""),"")</f>
        <v/>
      </c>
      <c r="BC251">
        <f t="shared" ca="1" si="89"/>
        <v>0</v>
      </c>
      <c r="BD251">
        <f t="shared" ca="1" si="90"/>
        <v>0</v>
      </c>
      <c r="BE251">
        <f t="shared" ca="1" si="91"/>
        <v>0</v>
      </c>
      <c r="BF251" t="str">
        <f ca="1">IF(ROW()&lt;($C$7+1),"",IFERROR((分析データ!D251-AVERAGE(OFFSET(分析データ!D$1,MAX(1,ROW()-$C$7),0,MIN($C$7,ROW()-1),1)))/STDEV(OFFSET(分析データ!D$1,MAX(1,ROW()-$C$7),0,MIN($C$7,ROW()-1),1)),0))</f>
        <v/>
      </c>
      <c r="BG251">
        <f t="shared" ca="1" si="92"/>
        <v>0</v>
      </c>
      <c r="BH251" t="str">
        <f ca="1">IF(BG251=1,IF(INDEX(分析データ!$A:$A,ROW()+$C$5)&lt;&gt;"",50000*SIGN(BF251)*(分析データ!D251-INDEX(分析データ!D:D,ROW()+$C$5)),""),"")</f>
        <v/>
      </c>
      <c r="BI251">
        <f t="shared" ca="1" si="93"/>
        <v>0</v>
      </c>
      <c r="BJ251">
        <f t="shared" ca="1" si="94"/>
        <v>0</v>
      </c>
      <c r="BK251">
        <f t="shared" ca="1" si="95"/>
        <v>0</v>
      </c>
      <c r="BL251" t="str">
        <f ca="1">IF(ROW()&lt;($C$7+1),"",IFERROR((分析データ!E251-AVERAGE(OFFSET(分析データ!E$1,MAX(1,ROW()-$C$7),0,MIN($C$7,ROW()-1),1)))/STDEV(OFFSET(分析データ!E$1,MAX(1,ROW()-$C$7),0,MIN($C$7,ROW()-1),1)),0))</f>
        <v/>
      </c>
      <c r="BM251">
        <f t="shared" ca="1" si="96"/>
        <v>0</v>
      </c>
      <c r="BN251" t="str">
        <f ca="1">IF(BM251=1,IF(INDEX(分析データ!$A:$A,ROW()+$C$5)&lt;&gt;"",40000*SIGN(BL251)*(分析データ!E251-INDEX(分析データ!E:E,ROW()+$C$5)),""),"")</f>
        <v/>
      </c>
      <c r="BO251">
        <f t="shared" ca="1" si="97"/>
        <v>0</v>
      </c>
      <c r="BP251">
        <f t="shared" ca="1" si="98"/>
        <v>0</v>
      </c>
      <c r="BQ251">
        <f t="shared" ca="1" si="99"/>
        <v>0</v>
      </c>
      <c r="BR251" t="str">
        <f ca="1">IF(ROW()&lt;($C$7+1),"",IFERROR((分析データ!F251-AVERAGE(OFFSET(分析データ!F$1,MAX(1,ROW()-$C$7),0,MIN($C$7,ROW()-1),1)))/STDEV(OFFSET(分析データ!F$1,MAX(1,ROW()-$C$7),0,MIN($C$7,ROW()-1),1)),0))</f>
        <v/>
      </c>
      <c r="BS251">
        <f t="shared" ca="1" si="100"/>
        <v>0</v>
      </c>
      <c r="BT251" t="str">
        <f ca="1">IF(BS251=1,IF(INDEX(分析データ!$A:$A,ROW()+$C$5)&lt;&gt;"",40000*SIGN(BR251)*(分析データ!F251-INDEX(分析データ!F:F,ROW()+$C$5)),""),"")</f>
        <v/>
      </c>
      <c r="BU251">
        <f t="shared" ca="1" si="101"/>
        <v>0</v>
      </c>
      <c r="BV251">
        <f t="shared" ca="1" si="102"/>
        <v>0</v>
      </c>
      <c r="BW251">
        <f t="shared" ca="1" si="103"/>
        <v>0</v>
      </c>
      <c r="BX251" t="str">
        <f ca="1">IF(ROW()&lt;($C$7+1),"",IFERROR((分析データ!G251-AVERAGE(OFFSET(分析データ!G$1,MAX(1,ROW()-$C$7),0,MIN($C$7,ROW()-1),1)))/STDEV(OFFSET(分析データ!G$1,MAX(1,ROW()-$C$7),0,MIN($C$7,ROW()-1),1)),0))</f>
        <v/>
      </c>
      <c r="BY251">
        <f t="shared" ca="1" si="104"/>
        <v>0</v>
      </c>
      <c r="BZ251" t="str">
        <f ca="1">IF(BY251=1,IF(INDEX(分析データ!$A:$A,ROW()+$C$5)&lt;&gt;"",40000*SIGN(BX251)*(分析データ!G251-INDEX(分析データ!G:G,ROW()+$C$5)),""),"")</f>
        <v/>
      </c>
      <c r="CA251">
        <f t="shared" ca="1" si="105"/>
        <v>0</v>
      </c>
      <c r="CB251">
        <f t="shared" ca="1" si="106"/>
        <v>0</v>
      </c>
      <c r="CC251">
        <f t="shared" ca="1" si="107"/>
        <v>0</v>
      </c>
      <c r="CD251">
        <f t="shared" ca="1" si="108"/>
        <v>0</v>
      </c>
      <c r="CE251">
        <f t="shared" ca="1" si="109"/>
        <v>0</v>
      </c>
      <c r="CF251">
        <f t="shared" ca="1" si="110"/>
        <v>0</v>
      </c>
      <c r="CG251">
        <f t="shared" ca="1" si="111"/>
        <v>0</v>
      </c>
      <c r="CH251" s="10">
        <f>分析データ!A251</f>
        <v>45289</v>
      </c>
    </row>
    <row r="252" spans="46:86">
      <c r="AT252" t="str">
        <f ca="1">IF(ROW()&lt;($C$7+1),"",IFERROR((分析データ!B252-AVERAGE(OFFSET(分析データ!B$1,MAX(1,ROW()-$C$7),0,MIN($C$7,ROW()-1),1)))/STDEV(OFFSET(分析データ!B$1,MAX(1,ROW()-$C$7),0,MIN($C$7,ROW()-1),1)),0))</f>
        <v/>
      </c>
      <c r="AU252">
        <f t="shared" ca="1" si="84"/>
        <v>0</v>
      </c>
      <c r="AV252" t="str">
        <f ca="1">IF(AU252=1,IF(INDEX(分析データ!$A:$A,ROW()+$C$5)&lt;&gt;"",80000*SIGN(AT252)*(分析データ!B252-INDEX(分析データ!B:B,ROW()+$C$5)),""),"")</f>
        <v/>
      </c>
      <c r="AW252">
        <f t="shared" ca="1" si="85"/>
        <v>0</v>
      </c>
      <c r="AX252">
        <f t="shared" ca="1" si="86"/>
        <v>0</v>
      </c>
      <c r="AY252">
        <f t="shared" ca="1" si="87"/>
        <v>0</v>
      </c>
      <c r="AZ252" t="str">
        <f ca="1">IF(ROW()&lt;($C$7+1),"",IFERROR((分析データ!C252-AVERAGE(OFFSET(分析データ!C$1,MAX(1,ROW()-$C$7),0,MIN($C$7,ROW()-1),1)))/STDEV(OFFSET(分析データ!C$1,MAX(1,ROW()-$C$7),0,MIN($C$7,ROW()-1),1)),0))</f>
        <v/>
      </c>
      <c r="BA252">
        <f t="shared" ca="1" si="88"/>
        <v>0</v>
      </c>
      <c r="BB252" t="str">
        <f ca="1">IF(BA252=1,IF(INDEX(分析データ!$A:$A,ROW()+$C$5)&lt;&gt;"",60000*SIGN(AZ252)*(分析データ!C252-INDEX(分析データ!C:C,ROW()+$C$5)),""),"")</f>
        <v/>
      </c>
      <c r="BC252">
        <f t="shared" ca="1" si="89"/>
        <v>0</v>
      </c>
      <c r="BD252">
        <f t="shared" ca="1" si="90"/>
        <v>0</v>
      </c>
      <c r="BE252">
        <f t="shared" ca="1" si="91"/>
        <v>0</v>
      </c>
      <c r="BF252" t="str">
        <f ca="1">IF(ROW()&lt;($C$7+1),"",IFERROR((分析データ!D252-AVERAGE(OFFSET(分析データ!D$1,MAX(1,ROW()-$C$7),0,MIN($C$7,ROW()-1),1)))/STDEV(OFFSET(分析データ!D$1,MAX(1,ROW()-$C$7),0,MIN($C$7,ROW()-1),1)),0))</f>
        <v/>
      </c>
      <c r="BG252">
        <f t="shared" ca="1" si="92"/>
        <v>0</v>
      </c>
      <c r="BH252" t="str">
        <f ca="1">IF(BG252=1,IF(INDEX(分析データ!$A:$A,ROW()+$C$5)&lt;&gt;"",50000*SIGN(BF252)*(分析データ!D252-INDEX(分析データ!D:D,ROW()+$C$5)),""),"")</f>
        <v/>
      </c>
      <c r="BI252">
        <f t="shared" ca="1" si="93"/>
        <v>0</v>
      </c>
      <c r="BJ252">
        <f t="shared" ca="1" si="94"/>
        <v>0</v>
      </c>
      <c r="BK252">
        <f t="shared" ca="1" si="95"/>
        <v>0</v>
      </c>
      <c r="BL252" t="str">
        <f ca="1">IF(ROW()&lt;($C$7+1),"",IFERROR((分析データ!E252-AVERAGE(OFFSET(分析データ!E$1,MAX(1,ROW()-$C$7),0,MIN($C$7,ROW()-1),1)))/STDEV(OFFSET(分析データ!E$1,MAX(1,ROW()-$C$7),0,MIN($C$7,ROW()-1),1)),0))</f>
        <v/>
      </c>
      <c r="BM252">
        <f t="shared" ca="1" si="96"/>
        <v>0</v>
      </c>
      <c r="BN252" t="str">
        <f ca="1">IF(BM252=1,IF(INDEX(分析データ!$A:$A,ROW()+$C$5)&lt;&gt;"",40000*SIGN(BL252)*(分析データ!E252-INDEX(分析データ!E:E,ROW()+$C$5)),""),"")</f>
        <v/>
      </c>
      <c r="BO252">
        <f t="shared" ca="1" si="97"/>
        <v>0</v>
      </c>
      <c r="BP252">
        <f t="shared" ca="1" si="98"/>
        <v>0</v>
      </c>
      <c r="BQ252">
        <f t="shared" ca="1" si="99"/>
        <v>0</v>
      </c>
      <c r="BR252" t="str">
        <f ca="1">IF(ROW()&lt;($C$7+1),"",IFERROR((分析データ!F252-AVERAGE(OFFSET(分析データ!F$1,MAX(1,ROW()-$C$7),0,MIN($C$7,ROW()-1),1)))/STDEV(OFFSET(分析データ!F$1,MAX(1,ROW()-$C$7),0,MIN($C$7,ROW()-1),1)),0))</f>
        <v/>
      </c>
      <c r="BS252">
        <f t="shared" ca="1" si="100"/>
        <v>0</v>
      </c>
      <c r="BT252" t="str">
        <f ca="1">IF(BS252=1,IF(INDEX(分析データ!$A:$A,ROW()+$C$5)&lt;&gt;"",40000*SIGN(BR252)*(分析データ!F252-INDEX(分析データ!F:F,ROW()+$C$5)),""),"")</f>
        <v/>
      </c>
      <c r="BU252">
        <f t="shared" ca="1" si="101"/>
        <v>0</v>
      </c>
      <c r="BV252">
        <f t="shared" ca="1" si="102"/>
        <v>0</v>
      </c>
      <c r="BW252">
        <f t="shared" ca="1" si="103"/>
        <v>0</v>
      </c>
      <c r="BX252" t="str">
        <f ca="1">IF(ROW()&lt;($C$7+1),"",IFERROR((分析データ!G252-AVERAGE(OFFSET(分析データ!G$1,MAX(1,ROW()-$C$7),0,MIN($C$7,ROW()-1),1)))/STDEV(OFFSET(分析データ!G$1,MAX(1,ROW()-$C$7),0,MIN($C$7,ROW()-1),1)),0))</f>
        <v/>
      </c>
      <c r="BY252">
        <f t="shared" ca="1" si="104"/>
        <v>0</v>
      </c>
      <c r="BZ252" t="str">
        <f ca="1">IF(BY252=1,IF(INDEX(分析データ!$A:$A,ROW()+$C$5)&lt;&gt;"",40000*SIGN(BX252)*(分析データ!G252-INDEX(分析データ!G:G,ROW()+$C$5)),""),"")</f>
        <v/>
      </c>
      <c r="CA252">
        <f t="shared" ca="1" si="105"/>
        <v>0</v>
      </c>
      <c r="CB252">
        <f t="shared" ca="1" si="106"/>
        <v>0</v>
      </c>
      <c r="CC252">
        <f t="shared" ca="1" si="107"/>
        <v>0</v>
      </c>
      <c r="CD252">
        <f t="shared" ca="1" si="108"/>
        <v>0</v>
      </c>
      <c r="CE252">
        <f t="shared" ca="1" si="109"/>
        <v>0</v>
      </c>
      <c r="CF252">
        <f t="shared" ca="1" si="110"/>
        <v>0</v>
      </c>
      <c r="CG252">
        <f t="shared" ca="1" si="111"/>
        <v>0</v>
      </c>
      <c r="CH252" s="10">
        <f>分析データ!A252</f>
        <v>45293</v>
      </c>
    </row>
    <row r="253" spans="46:86">
      <c r="AT253">
        <f ca="1">IF(ROW()&lt;($C$7+1),"",IFERROR((分析データ!B253-AVERAGE(OFFSET(分析データ!B$1,MAX(1,ROW()-$C$7),0,MIN($C$7,ROW()-1),1)))/STDEV(OFFSET(分析データ!B$1,MAX(1,ROW()-$C$7),0,MIN($C$7,ROW()-1),1)),0))</f>
        <v>1.0866745299979195</v>
      </c>
      <c r="AU253">
        <f t="shared" ca="1" si="84"/>
        <v>0</v>
      </c>
      <c r="AV253" t="str">
        <f ca="1">IF(AU253=1,IF(INDEX(分析データ!$A:$A,ROW()+$C$5)&lt;&gt;"",80000*SIGN(AT253)*(分析データ!B253-INDEX(分析データ!B:B,ROW()+$C$5)),""),"")</f>
        <v/>
      </c>
      <c r="AW253">
        <f t="shared" ca="1" si="85"/>
        <v>0</v>
      </c>
      <c r="AX253">
        <f t="shared" ca="1" si="86"/>
        <v>0</v>
      </c>
      <c r="AY253">
        <f t="shared" ca="1" si="87"/>
        <v>0</v>
      </c>
      <c r="AZ253">
        <f ca="1">IF(ROW()&lt;($C$7+1),"",IFERROR((分析データ!C253-AVERAGE(OFFSET(分析データ!C$1,MAX(1,ROW()-$C$7),0,MIN($C$7,ROW()-1),1)))/STDEV(OFFSET(分析データ!C$1,MAX(1,ROW()-$C$7),0,MIN($C$7,ROW()-1),1)),0))</f>
        <v>-0.49980938936014646</v>
      </c>
      <c r="BA253">
        <f t="shared" ca="1" si="88"/>
        <v>0</v>
      </c>
      <c r="BB253" t="str">
        <f ca="1">IF(BA253=1,IF(INDEX(分析データ!$A:$A,ROW()+$C$5)&lt;&gt;"",60000*SIGN(AZ253)*(分析データ!C253-INDEX(分析データ!C:C,ROW()+$C$5)),""),"")</f>
        <v/>
      </c>
      <c r="BC253">
        <f t="shared" ca="1" si="89"/>
        <v>0</v>
      </c>
      <c r="BD253">
        <f t="shared" ca="1" si="90"/>
        <v>0</v>
      </c>
      <c r="BE253">
        <f t="shared" ca="1" si="91"/>
        <v>0</v>
      </c>
      <c r="BF253">
        <f ca="1">IF(ROW()&lt;($C$7+1),"",IFERROR((分析データ!D253-AVERAGE(OFFSET(分析データ!D$1,MAX(1,ROW()-$C$7),0,MIN($C$7,ROW()-1),1)))/STDEV(OFFSET(分析データ!D$1,MAX(1,ROW()-$C$7),0,MIN($C$7,ROW()-1),1)),0))</f>
        <v>-0.42998155995270682</v>
      </c>
      <c r="BG253">
        <f t="shared" ca="1" si="92"/>
        <v>0</v>
      </c>
      <c r="BH253" t="str">
        <f ca="1">IF(BG253=1,IF(INDEX(分析データ!$A:$A,ROW()+$C$5)&lt;&gt;"",50000*SIGN(BF253)*(分析データ!D253-INDEX(分析データ!D:D,ROW()+$C$5)),""),"")</f>
        <v/>
      </c>
      <c r="BI253">
        <f t="shared" ca="1" si="93"/>
        <v>0</v>
      </c>
      <c r="BJ253">
        <f t="shared" ca="1" si="94"/>
        <v>0</v>
      </c>
      <c r="BK253">
        <f t="shared" ca="1" si="95"/>
        <v>0</v>
      </c>
      <c r="BL253">
        <f ca="1">IF(ROW()&lt;($C$7+1),"",IFERROR((分析データ!E253-AVERAGE(OFFSET(分析データ!E$1,MAX(1,ROW()-$C$7),0,MIN($C$7,ROW()-1),1)))/STDEV(OFFSET(分析データ!E$1,MAX(1,ROW()-$C$7),0,MIN($C$7,ROW()-1),1)),0))</f>
        <v>1.0633924018405414</v>
      </c>
      <c r="BM253">
        <f t="shared" ca="1" si="96"/>
        <v>0</v>
      </c>
      <c r="BN253" t="str">
        <f ca="1">IF(BM253=1,IF(INDEX(分析データ!$A:$A,ROW()+$C$5)&lt;&gt;"",40000*SIGN(BL253)*(分析データ!E253-INDEX(分析データ!E:E,ROW()+$C$5)),""),"")</f>
        <v/>
      </c>
      <c r="BO253">
        <f t="shared" ca="1" si="97"/>
        <v>0</v>
      </c>
      <c r="BP253">
        <f t="shared" ca="1" si="98"/>
        <v>0</v>
      </c>
      <c r="BQ253">
        <f t="shared" ca="1" si="99"/>
        <v>0</v>
      </c>
      <c r="BR253">
        <f ca="1">IF(ROW()&lt;($C$7+1),"",IFERROR((分析データ!F253-AVERAGE(OFFSET(分析データ!F$1,MAX(1,ROW()-$C$7),0,MIN($C$7,ROW()-1),1)))/STDEV(OFFSET(分析データ!F$1,MAX(1,ROW()-$C$7),0,MIN($C$7,ROW()-1),1)),0))</f>
        <v>-1.6438246547914626</v>
      </c>
      <c r="BS253">
        <f t="shared" ca="1" si="100"/>
        <v>0</v>
      </c>
      <c r="BT253" t="str">
        <f ca="1">IF(BS253=1,IF(INDEX(分析データ!$A:$A,ROW()+$C$5)&lt;&gt;"",40000*SIGN(BR253)*(分析データ!F253-INDEX(分析データ!F:F,ROW()+$C$5)),""),"")</f>
        <v/>
      </c>
      <c r="BU253">
        <f t="shared" ca="1" si="101"/>
        <v>0</v>
      </c>
      <c r="BV253">
        <f t="shared" ca="1" si="102"/>
        <v>0</v>
      </c>
      <c r="BW253">
        <f t="shared" ca="1" si="103"/>
        <v>0</v>
      </c>
      <c r="BX253">
        <f ca="1">IF(ROW()&lt;($C$7+1),"",IFERROR((分析データ!G253-AVERAGE(OFFSET(分析データ!G$1,MAX(1,ROW()-$C$7),0,MIN($C$7,ROW()-1),1)))/STDEV(OFFSET(分析データ!G$1,MAX(1,ROW()-$C$7),0,MIN($C$7,ROW()-1),1)),0))</f>
        <v>2.2436857532422216</v>
      </c>
      <c r="BY253">
        <f t="shared" ca="1" si="104"/>
        <v>1</v>
      </c>
      <c r="BZ253">
        <f ca="1">IF(BY253=1,IF(INDEX(分析データ!$A:$A,ROW()+$C$5)&lt;&gt;"",40000*SIGN(BX253)*(分析データ!G253-INDEX(分析データ!G:G,ROW()+$C$5)),""),"")</f>
        <v>1703865.7128906187</v>
      </c>
      <c r="CA253">
        <f t="shared" ca="1" si="105"/>
        <v>1703865.7128906187</v>
      </c>
      <c r="CB253">
        <f t="shared" ca="1" si="106"/>
        <v>1703865.7128906187</v>
      </c>
      <c r="CC253">
        <f t="shared" ca="1" si="107"/>
        <v>0</v>
      </c>
      <c r="CD253">
        <f t="shared" ca="1" si="108"/>
        <v>1703865.7128906187</v>
      </c>
      <c r="CE253">
        <f t="shared" ca="1" si="109"/>
        <v>1703865.7128906187</v>
      </c>
      <c r="CF253">
        <f t="shared" ca="1" si="110"/>
        <v>1703865.7128906187</v>
      </c>
      <c r="CG253">
        <f t="shared" ca="1" si="111"/>
        <v>0</v>
      </c>
      <c r="CH253" s="10">
        <f>分析データ!A253</f>
        <v>45294</v>
      </c>
    </row>
    <row r="254" spans="46:86">
      <c r="AT254">
        <f ca="1">IF(ROW()&lt;($C$7+1),"",IFERROR((分析データ!B254-AVERAGE(OFFSET(分析データ!B$1,MAX(1,ROW()-$C$7),0,MIN($C$7,ROW()-1),1)))/STDEV(OFFSET(分析データ!B$1,MAX(1,ROW()-$C$7),0,MIN($C$7,ROW()-1),1)),0))</f>
        <v>1.2440235164684281</v>
      </c>
      <c r="AU254">
        <f t="shared" ca="1" si="84"/>
        <v>0</v>
      </c>
      <c r="AV254" t="str">
        <f ca="1">IF(AU254=1,IF(INDEX(分析データ!$A:$A,ROW()+$C$5)&lt;&gt;"",80000*SIGN(AT254)*(分析データ!B254-INDEX(分析データ!B:B,ROW()+$C$5)),""),"")</f>
        <v/>
      </c>
      <c r="AW254">
        <f t="shared" ca="1" si="85"/>
        <v>0</v>
      </c>
      <c r="AX254">
        <f t="shared" ca="1" si="86"/>
        <v>0</v>
      </c>
      <c r="AY254">
        <f t="shared" ca="1" si="87"/>
        <v>0</v>
      </c>
      <c r="AZ254">
        <f ca="1">IF(ROW()&lt;($C$7+1),"",IFERROR((分析データ!C254-AVERAGE(OFFSET(分析データ!C$1,MAX(1,ROW()-$C$7),0,MIN($C$7,ROW()-1),1)))/STDEV(OFFSET(分析データ!C$1,MAX(1,ROW()-$C$7),0,MIN($C$7,ROW()-1),1)),0))</f>
        <v>-0.50900145447466205</v>
      </c>
      <c r="BA254">
        <f t="shared" ca="1" si="88"/>
        <v>0</v>
      </c>
      <c r="BB254" t="str">
        <f ca="1">IF(BA254=1,IF(INDEX(分析データ!$A:$A,ROW()+$C$5)&lt;&gt;"",60000*SIGN(AZ254)*(分析データ!C254-INDEX(分析データ!C:C,ROW()+$C$5)),""),"")</f>
        <v/>
      </c>
      <c r="BC254">
        <f t="shared" ca="1" si="89"/>
        <v>0</v>
      </c>
      <c r="BD254">
        <f t="shared" ca="1" si="90"/>
        <v>0</v>
      </c>
      <c r="BE254">
        <f t="shared" ca="1" si="91"/>
        <v>0</v>
      </c>
      <c r="BF254">
        <f ca="1">IF(ROW()&lt;($C$7+1),"",IFERROR((分析データ!D254-AVERAGE(OFFSET(分析データ!D$1,MAX(1,ROW()-$C$7),0,MIN($C$7,ROW()-1),1)))/STDEV(OFFSET(分析データ!D$1,MAX(1,ROW()-$C$7),0,MIN($C$7,ROW()-1),1)),0))</f>
        <v>-0.16006786871485168</v>
      </c>
      <c r="BG254">
        <f t="shared" ca="1" si="92"/>
        <v>0</v>
      </c>
      <c r="BH254" t="str">
        <f ca="1">IF(BG254=1,IF(INDEX(分析データ!$A:$A,ROW()+$C$5)&lt;&gt;"",50000*SIGN(BF254)*(分析データ!D254-INDEX(分析データ!D:D,ROW()+$C$5)),""),"")</f>
        <v/>
      </c>
      <c r="BI254">
        <f t="shared" ca="1" si="93"/>
        <v>0</v>
      </c>
      <c r="BJ254">
        <f t="shared" ca="1" si="94"/>
        <v>0</v>
      </c>
      <c r="BK254">
        <f t="shared" ca="1" si="95"/>
        <v>0</v>
      </c>
      <c r="BL254">
        <f ca="1">IF(ROW()&lt;($C$7+1),"",IFERROR((分析データ!E254-AVERAGE(OFFSET(分析データ!E$1,MAX(1,ROW()-$C$7),0,MIN($C$7,ROW()-1),1)))/STDEV(OFFSET(分析データ!E$1,MAX(1,ROW()-$C$7),0,MIN($C$7,ROW()-1),1)),0))</f>
        <v>1.1525549438143003</v>
      </c>
      <c r="BM254">
        <f t="shared" ca="1" si="96"/>
        <v>0</v>
      </c>
      <c r="BN254" t="str">
        <f ca="1">IF(BM254=1,IF(INDEX(分析データ!$A:$A,ROW()+$C$5)&lt;&gt;"",40000*SIGN(BL254)*(分析データ!E254-INDEX(分析データ!E:E,ROW()+$C$5)),""),"")</f>
        <v/>
      </c>
      <c r="BO254">
        <f t="shared" ca="1" si="97"/>
        <v>0</v>
      </c>
      <c r="BP254">
        <f t="shared" ca="1" si="98"/>
        <v>0</v>
      </c>
      <c r="BQ254">
        <f t="shared" ca="1" si="99"/>
        <v>0</v>
      </c>
      <c r="BR254">
        <f ca="1">IF(ROW()&lt;($C$7+1),"",IFERROR((分析データ!F254-AVERAGE(OFFSET(分析データ!F$1,MAX(1,ROW()-$C$7),0,MIN($C$7,ROW()-1),1)))/STDEV(OFFSET(分析データ!F$1,MAX(1,ROW()-$C$7),0,MIN($C$7,ROW()-1),1)),0))</f>
        <v>-1.9044686543856957</v>
      </c>
      <c r="BS254">
        <f t="shared" ca="1" si="100"/>
        <v>0</v>
      </c>
      <c r="BT254" t="str">
        <f ca="1">IF(BS254=1,IF(INDEX(分析データ!$A:$A,ROW()+$C$5)&lt;&gt;"",40000*SIGN(BR254)*(分析データ!F254-INDEX(分析データ!F:F,ROW()+$C$5)),""),"")</f>
        <v/>
      </c>
      <c r="BU254">
        <f t="shared" ca="1" si="101"/>
        <v>0</v>
      </c>
      <c r="BV254">
        <f t="shared" ca="1" si="102"/>
        <v>0</v>
      </c>
      <c r="BW254">
        <f t="shared" ca="1" si="103"/>
        <v>0</v>
      </c>
      <c r="BX254">
        <f ca="1">IF(ROW()&lt;($C$7+1),"",IFERROR((分析データ!G254-AVERAGE(OFFSET(分析データ!G$1,MAX(1,ROW()-$C$7),0,MIN($C$7,ROW()-1),1)))/STDEV(OFFSET(分析データ!G$1,MAX(1,ROW()-$C$7),0,MIN($C$7,ROW()-1),1)),0))</f>
        <v>2.1439283644055571</v>
      </c>
      <c r="BY254">
        <f t="shared" ca="1" si="104"/>
        <v>1</v>
      </c>
      <c r="BZ254">
        <f ca="1">IF(BY254=1,IF(INDEX(分析データ!$A:$A,ROW()+$C$5)&lt;&gt;"",40000*SIGN(BX254)*(分析データ!G254-INDEX(分析データ!G:G,ROW()+$C$5)),""),"")</f>
        <v>1391708.5742187533</v>
      </c>
      <c r="CA254">
        <f t="shared" ca="1" si="105"/>
        <v>3095574.2871093722</v>
      </c>
      <c r="CB254">
        <f t="shared" ca="1" si="106"/>
        <v>3095574.2871093722</v>
      </c>
      <c r="CC254">
        <f t="shared" ca="1" si="107"/>
        <v>0</v>
      </c>
      <c r="CD254">
        <f t="shared" ca="1" si="108"/>
        <v>1391708.5742187533</v>
      </c>
      <c r="CE254">
        <f t="shared" ca="1" si="109"/>
        <v>3095574.2871093722</v>
      </c>
      <c r="CF254">
        <f t="shared" ca="1" si="110"/>
        <v>3095574.2871093722</v>
      </c>
      <c r="CG254">
        <f t="shared" ca="1" si="111"/>
        <v>0</v>
      </c>
      <c r="CH254" s="10">
        <f>分析データ!A254</f>
        <v>45295</v>
      </c>
    </row>
    <row r="255" spans="46:86">
      <c r="AT255">
        <f ca="1">IF(ROW()&lt;($C$7+1),"",IFERROR((分析データ!B255-AVERAGE(OFFSET(分析データ!B$1,MAX(1,ROW()-$C$7),0,MIN($C$7,ROW()-1),1)))/STDEV(OFFSET(分析データ!B$1,MAX(1,ROW()-$C$7),0,MIN($C$7,ROW()-1),1)),0))</f>
        <v>1.3426221065153279</v>
      </c>
      <c r="AU255">
        <f t="shared" ca="1" si="84"/>
        <v>0</v>
      </c>
      <c r="AV255" t="str">
        <f ca="1">IF(AU255=1,IF(INDEX(分析データ!$A:$A,ROW()+$C$5)&lt;&gt;"",80000*SIGN(AT255)*(分析データ!B255-INDEX(分析データ!B:B,ROW()+$C$5)),""),"")</f>
        <v/>
      </c>
      <c r="AW255">
        <f t="shared" ca="1" si="85"/>
        <v>0</v>
      </c>
      <c r="AX255">
        <f t="shared" ca="1" si="86"/>
        <v>0</v>
      </c>
      <c r="AY255">
        <f t="shared" ca="1" si="87"/>
        <v>0</v>
      </c>
      <c r="AZ255">
        <f ca="1">IF(ROW()&lt;($C$7+1),"",IFERROR((分析データ!C255-AVERAGE(OFFSET(分析データ!C$1,MAX(1,ROW()-$C$7),0,MIN($C$7,ROW()-1),1)))/STDEV(OFFSET(分析データ!C$1,MAX(1,ROW()-$C$7),0,MIN($C$7,ROW()-1),1)),0))</f>
        <v>-0.43781206208465351</v>
      </c>
      <c r="BA255">
        <f t="shared" ca="1" si="88"/>
        <v>0</v>
      </c>
      <c r="BB255" t="str">
        <f ca="1">IF(BA255=1,IF(INDEX(分析データ!$A:$A,ROW()+$C$5)&lt;&gt;"",60000*SIGN(AZ255)*(分析データ!C255-INDEX(分析データ!C:C,ROW()+$C$5)),""),"")</f>
        <v/>
      </c>
      <c r="BC255">
        <f t="shared" ca="1" si="89"/>
        <v>0</v>
      </c>
      <c r="BD255">
        <f t="shared" ca="1" si="90"/>
        <v>0</v>
      </c>
      <c r="BE255">
        <f t="shared" ca="1" si="91"/>
        <v>0</v>
      </c>
      <c r="BF255">
        <f ca="1">IF(ROW()&lt;($C$7+1),"",IFERROR((分析データ!D255-AVERAGE(OFFSET(分析データ!D$1,MAX(1,ROW()-$C$7),0,MIN($C$7,ROW()-1),1)))/STDEV(OFFSET(分析データ!D$1,MAX(1,ROW()-$C$7),0,MIN($C$7,ROW()-1),1)),0))</f>
        <v>9.2288728870839928E-2</v>
      </c>
      <c r="BG255">
        <f t="shared" ca="1" si="92"/>
        <v>0</v>
      </c>
      <c r="BH255" t="str">
        <f ca="1">IF(BG255=1,IF(INDEX(分析データ!$A:$A,ROW()+$C$5)&lt;&gt;"",50000*SIGN(BF255)*(分析データ!D255-INDEX(分析データ!D:D,ROW()+$C$5)),""),"")</f>
        <v/>
      </c>
      <c r="BI255">
        <f t="shared" ca="1" si="93"/>
        <v>0</v>
      </c>
      <c r="BJ255">
        <f t="shared" ca="1" si="94"/>
        <v>0</v>
      </c>
      <c r="BK255">
        <f t="shared" ca="1" si="95"/>
        <v>0</v>
      </c>
      <c r="BL255">
        <f ca="1">IF(ROW()&lt;($C$7+1),"",IFERROR((分析データ!E255-AVERAGE(OFFSET(分析データ!E$1,MAX(1,ROW()-$C$7),0,MIN($C$7,ROW()-1),1)))/STDEV(OFFSET(分析データ!E$1,MAX(1,ROW()-$C$7),0,MIN($C$7,ROW()-1),1)),0))</f>
        <v>1.2403183530582136</v>
      </c>
      <c r="BM255">
        <f t="shared" ca="1" si="96"/>
        <v>0</v>
      </c>
      <c r="BN255" t="str">
        <f ca="1">IF(BM255=1,IF(INDEX(分析データ!$A:$A,ROW()+$C$5)&lt;&gt;"",40000*SIGN(BL255)*(分析データ!E255-INDEX(分析データ!E:E,ROW()+$C$5)),""),"")</f>
        <v/>
      </c>
      <c r="BO255">
        <f t="shared" ca="1" si="97"/>
        <v>0</v>
      </c>
      <c r="BP255">
        <f t="shared" ca="1" si="98"/>
        <v>0</v>
      </c>
      <c r="BQ255">
        <f t="shared" ca="1" si="99"/>
        <v>0</v>
      </c>
      <c r="BR255">
        <f ca="1">IF(ROW()&lt;($C$7+1),"",IFERROR((分析データ!F255-AVERAGE(OFFSET(分析データ!F$1,MAX(1,ROW()-$C$7),0,MIN($C$7,ROW()-1),1)))/STDEV(OFFSET(分析データ!F$1,MAX(1,ROW()-$C$7),0,MIN($C$7,ROW()-1),1)),0))</f>
        <v>-1.7973355640911042</v>
      </c>
      <c r="BS255">
        <f t="shared" ca="1" si="100"/>
        <v>0</v>
      </c>
      <c r="BT255" t="str">
        <f ca="1">IF(BS255=1,IF(INDEX(分析データ!$A:$A,ROW()+$C$5)&lt;&gt;"",40000*SIGN(BR255)*(分析データ!F255-INDEX(分析データ!F:F,ROW()+$C$5)),""),"")</f>
        <v/>
      </c>
      <c r="BU255">
        <f t="shared" ca="1" si="101"/>
        <v>0</v>
      </c>
      <c r="BV255">
        <f t="shared" ca="1" si="102"/>
        <v>0</v>
      </c>
      <c r="BW255">
        <f t="shared" ca="1" si="103"/>
        <v>0</v>
      </c>
      <c r="BX255">
        <f ca="1">IF(ROW()&lt;($C$7+1),"",IFERROR((分析データ!G255-AVERAGE(OFFSET(分析データ!G$1,MAX(1,ROW()-$C$7),0,MIN($C$7,ROW()-1),1)))/STDEV(OFFSET(分析データ!G$1,MAX(1,ROW()-$C$7),0,MIN($C$7,ROW()-1),1)),0))</f>
        <v>1.9772293014367224</v>
      </c>
      <c r="BY255">
        <f t="shared" ca="1" si="104"/>
        <v>0</v>
      </c>
      <c r="BZ255" t="str">
        <f ca="1">IF(BY255=1,IF(INDEX(分析データ!$A:$A,ROW()+$C$5)&lt;&gt;"",40000*SIGN(BX255)*(分析データ!G255-INDEX(分析データ!G:G,ROW()+$C$5)),""),"")</f>
        <v/>
      </c>
      <c r="CA255">
        <f t="shared" ca="1" si="105"/>
        <v>3095574.2871093722</v>
      </c>
      <c r="CB255">
        <f t="shared" ca="1" si="106"/>
        <v>3095574.2871093722</v>
      </c>
      <c r="CC255">
        <f t="shared" ca="1" si="107"/>
        <v>0</v>
      </c>
      <c r="CD255">
        <f t="shared" ca="1" si="108"/>
        <v>0</v>
      </c>
      <c r="CE255">
        <f t="shared" ca="1" si="109"/>
        <v>3095574.2871093722</v>
      </c>
      <c r="CF255">
        <f t="shared" ca="1" si="110"/>
        <v>3095574.2871093722</v>
      </c>
      <c r="CG255">
        <f t="shared" ca="1" si="111"/>
        <v>0</v>
      </c>
      <c r="CH255" s="10">
        <f>分析データ!A255</f>
        <v>45296</v>
      </c>
    </row>
    <row r="256" spans="46:86">
      <c r="AT256">
        <f ca="1">IF(ROW()&lt;($C$7+1),"",IFERROR((分析データ!B256-AVERAGE(OFFSET(分析データ!B$1,MAX(1,ROW()-$C$7),0,MIN($C$7,ROW()-1),1)))/STDEV(OFFSET(分析データ!B$1,MAX(1,ROW()-$C$7),0,MIN($C$7,ROW()-1),1)),0))</f>
        <v>1.3316123146938532</v>
      </c>
      <c r="AU256">
        <f t="shared" ca="1" si="84"/>
        <v>0</v>
      </c>
      <c r="AV256" t="str">
        <f ca="1">IF(AU256=1,IF(INDEX(分析データ!$A:$A,ROW()+$C$5)&lt;&gt;"",80000*SIGN(AT256)*(分析データ!B256-INDEX(分析データ!B:B,ROW()+$C$5)),""),"")</f>
        <v/>
      </c>
      <c r="AW256">
        <f t="shared" ca="1" si="85"/>
        <v>0</v>
      </c>
      <c r="AX256">
        <f t="shared" ca="1" si="86"/>
        <v>0</v>
      </c>
      <c r="AY256">
        <f t="shared" ca="1" si="87"/>
        <v>0</v>
      </c>
      <c r="AZ256">
        <f ca="1">IF(ROW()&lt;($C$7+1),"",IFERROR((分析データ!C256-AVERAGE(OFFSET(分析データ!C$1,MAX(1,ROW()-$C$7),0,MIN($C$7,ROW()-1),1)))/STDEV(OFFSET(分析データ!C$1,MAX(1,ROW()-$C$7),0,MIN($C$7,ROW()-1),1)),0))</f>
        <v>-0.44589737337153346</v>
      </c>
      <c r="BA256">
        <f t="shared" ca="1" si="88"/>
        <v>0</v>
      </c>
      <c r="BB256" t="str">
        <f ca="1">IF(BA256=1,IF(INDEX(分析データ!$A:$A,ROW()+$C$5)&lt;&gt;"",60000*SIGN(AZ256)*(分析データ!C256-INDEX(分析データ!C:C,ROW()+$C$5)),""),"")</f>
        <v/>
      </c>
      <c r="BC256">
        <f t="shared" ca="1" si="89"/>
        <v>0</v>
      </c>
      <c r="BD256">
        <f t="shared" ca="1" si="90"/>
        <v>0</v>
      </c>
      <c r="BE256">
        <f t="shared" ca="1" si="91"/>
        <v>0</v>
      </c>
      <c r="BF256">
        <f ca="1">IF(ROW()&lt;($C$7+1),"",IFERROR((分析データ!D256-AVERAGE(OFFSET(分析データ!D$1,MAX(1,ROW()-$C$7),0,MIN($C$7,ROW()-1),1)))/STDEV(OFFSET(分析データ!D$1,MAX(1,ROW()-$C$7),0,MIN($C$7,ROW()-1),1)),0))</f>
        <v>-4.6323615122979708E-2</v>
      </c>
      <c r="BG256">
        <f t="shared" ca="1" si="92"/>
        <v>0</v>
      </c>
      <c r="BH256" t="str">
        <f ca="1">IF(BG256=1,IF(INDEX(分析データ!$A:$A,ROW()+$C$5)&lt;&gt;"",50000*SIGN(BF256)*(分析データ!D256-INDEX(分析データ!D:D,ROW()+$C$5)),""),"")</f>
        <v/>
      </c>
      <c r="BI256">
        <f t="shared" ca="1" si="93"/>
        <v>0</v>
      </c>
      <c r="BJ256">
        <f t="shared" ca="1" si="94"/>
        <v>0</v>
      </c>
      <c r="BK256">
        <f t="shared" ca="1" si="95"/>
        <v>0</v>
      </c>
      <c r="BL256">
        <f ca="1">IF(ROW()&lt;($C$7+1),"",IFERROR((分析データ!E256-AVERAGE(OFFSET(分析データ!E$1,MAX(1,ROW()-$C$7),0,MIN($C$7,ROW()-1),1)))/STDEV(OFFSET(分析データ!E$1,MAX(1,ROW()-$C$7),0,MIN($C$7,ROW()-1),1)),0))</f>
        <v>1.3267381928830455</v>
      </c>
      <c r="BM256">
        <f t="shared" ca="1" si="96"/>
        <v>0</v>
      </c>
      <c r="BN256" t="str">
        <f ca="1">IF(BM256=1,IF(INDEX(分析データ!$A:$A,ROW()+$C$5)&lt;&gt;"",40000*SIGN(BL256)*(分析データ!E256-INDEX(分析データ!E:E,ROW()+$C$5)),""),"")</f>
        <v/>
      </c>
      <c r="BO256">
        <f t="shared" ca="1" si="97"/>
        <v>0</v>
      </c>
      <c r="BP256">
        <f t="shared" ca="1" si="98"/>
        <v>0</v>
      </c>
      <c r="BQ256">
        <f t="shared" ca="1" si="99"/>
        <v>0</v>
      </c>
      <c r="BR256">
        <f ca="1">IF(ROW()&lt;($C$7+1),"",IFERROR((分析データ!F256-AVERAGE(OFFSET(分析データ!F$1,MAX(1,ROW()-$C$7),0,MIN($C$7,ROW()-1),1)))/STDEV(OFFSET(分析データ!F$1,MAX(1,ROW()-$C$7),0,MIN($C$7,ROW()-1),1)),0))</f>
        <v>-1.4246655968739679</v>
      </c>
      <c r="BS256">
        <f t="shared" ca="1" si="100"/>
        <v>0</v>
      </c>
      <c r="BT256" t="str">
        <f ca="1">IF(BS256=1,IF(INDEX(分析データ!$A:$A,ROW()+$C$5)&lt;&gt;"",40000*SIGN(BR256)*(分析データ!F256-INDEX(分析データ!F:F,ROW()+$C$5)),""),"")</f>
        <v/>
      </c>
      <c r="BU256">
        <f t="shared" ca="1" si="101"/>
        <v>0</v>
      </c>
      <c r="BV256">
        <f t="shared" ca="1" si="102"/>
        <v>0</v>
      </c>
      <c r="BW256">
        <f t="shared" ca="1" si="103"/>
        <v>0</v>
      </c>
      <c r="BX256">
        <f ca="1">IF(ROW()&lt;($C$7+1),"",IFERROR((分析データ!G256-AVERAGE(OFFSET(分析データ!G$1,MAX(1,ROW()-$C$7),0,MIN($C$7,ROW()-1),1)))/STDEV(OFFSET(分析データ!G$1,MAX(1,ROW()-$C$7),0,MIN($C$7,ROW()-1),1)),0))</f>
        <v>1.6929546570006015</v>
      </c>
      <c r="BY256">
        <f t="shared" ca="1" si="104"/>
        <v>0</v>
      </c>
      <c r="BZ256" t="str">
        <f ca="1">IF(BY256=1,IF(INDEX(分析データ!$A:$A,ROW()+$C$5)&lt;&gt;"",40000*SIGN(BX256)*(分析データ!G256-INDEX(分析データ!G:G,ROW()+$C$5)),""),"")</f>
        <v/>
      </c>
      <c r="CA256">
        <f t="shared" ca="1" si="105"/>
        <v>3095574.2871093722</v>
      </c>
      <c r="CB256">
        <f t="shared" ca="1" si="106"/>
        <v>3095574.2871093722</v>
      </c>
      <c r="CC256">
        <f t="shared" ca="1" si="107"/>
        <v>0</v>
      </c>
      <c r="CD256">
        <f t="shared" ca="1" si="108"/>
        <v>0</v>
      </c>
      <c r="CE256">
        <f t="shared" ca="1" si="109"/>
        <v>3095574.2871093722</v>
      </c>
      <c r="CF256">
        <f t="shared" ca="1" si="110"/>
        <v>3095574.2871093722</v>
      </c>
      <c r="CG256">
        <f t="shared" ca="1" si="111"/>
        <v>0</v>
      </c>
      <c r="CH256" s="10">
        <f>分析データ!A256</f>
        <v>45299</v>
      </c>
    </row>
    <row r="257" spans="46:86">
      <c r="AT257">
        <f ca="1">IF(ROW()&lt;($C$7+1),"",IFERROR((分析データ!B257-AVERAGE(OFFSET(分析データ!B$1,MAX(1,ROW()-$C$7),0,MIN($C$7,ROW()-1),1)))/STDEV(OFFSET(分析データ!B$1,MAX(1,ROW()-$C$7),0,MIN($C$7,ROW()-1),1)),0))</f>
        <v>1.374303468352948</v>
      </c>
      <c r="AU257">
        <f t="shared" ca="1" si="84"/>
        <v>0</v>
      </c>
      <c r="AV257" t="str">
        <f ca="1">IF(AU257=1,IF(INDEX(分析データ!$A:$A,ROW()+$C$5)&lt;&gt;"",80000*SIGN(AT257)*(分析データ!B257-INDEX(分析データ!B:B,ROW()+$C$5)),""),"")</f>
        <v/>
      </c>
      <c r="AW257">
        <f t="shared" ca="1" si="85"/>
        <v>0</v>
      </c>
      <c r="AX257">
        <f t="shared" ca="1" si="86"/>
        <v>0</v>
      </c>
      <c r="AY257">
        <f t="shared" ca="1" si="87"/>
        <v>0</v>
      </c>
      <c r="AZ257">
        <f ca="1">IF(ROW()&lt;($C$7+1),"",IFERROR((分析データ!C257-AVERAGE(OFFSET(分析データ!C$1,MAX(1,ROW()-$C$7),0,MIN($C$7,ROW()-1),1)))/STDEV(OFFSET(分析データ!C$1,MAX(1,ROW()-$C$7),0,MIN($C$7,ROW()-1),1)),0))</f>
        <v>-0.57584197870924259</v>
      </c>
      <c r="BA257">
        <f t="shared" ca="1" si="88"/>
        <v>0</v>
      </c>
      <c r="BB257" t="str">
        <f ca="1">IF(BA257=1,IF(INDEX(分析データ!$A:$A,ROW()+$C$5)&lt;&gt;"",60000*SIGN(AZ257)*(分析データ!C257-INDEX(分析データ!C:C,ROW()+$C$5)),""),"")</f>
        <v/>
      </c>
      <c r="BC257">
        <f t="shared" ca="1" si="89"/>
        <v>0</v>
      </c>
      <c r="BD257">
        <f t="shared" ca="1" si="90"/>
        <v>0</v>
      </c>
      <c r="BE257">
        <f t="shared" ca="1" si="91"/>
        <v>0</v>
      </c>
      <c r="BF257">
        <f ca="1">IF(ROW()&lt;($C$7+1),"",IFERROR((分析データ!D257-AVERAGE(OFFSET(分析データ!D$1,MAX(1,ROW()-$C$7),0,MIN($C$7,ROW()-1),1)))/STDEV(OFFSET(分析データ!D$1,MAX(1,ROW()-$C$7),0,MIN($C$7,ROW()-1),1)),0))</f>
        <v>5.1146820051782844E-2</v>
      </c>
      <c r="BG257">
        <f t="shared" ca="1" si="92"/>
        <v>0</v>
      </c>
      <c r="BH257" t="str">
        <f ca="1">IF(BG257=1,IF(INDEX(分析データ!$A:$A,ROW()+$C$5)&lt;&gt;"",50000*SIGN(BF257)*(分析データ!D257-INDEX(分析データ!D:D,ROW()+$C$5)),""),"")</f>
        <v/>
      </c>
      <c r="BI257">
        <f t="shared" ca="1" si="93"/>
        <v>0</v>
      </c>
      <c r="BJ257">
        <f t="shared" ca="1" si="94"/>
        <v>0</v>
      </c>
      <c r="BK257">
        <f t="shared" ca="1" si="95"/>
        <v>0</v>
      </c>
      <c r="BL257">
        <f ca="1">IF(ROW()&lt;($C$7+1),"",IFERROR((分析データ!E257-AVERAGE(OFFSET(分析データ!E$1,MAX(1,ROW()-$C$7),0,MIN($C$7,ROW()-1),1)))/STDEV(OFFSET(分析データ!E$1,MAX(1,ROW()-$C$7),0,MIN($C$7,ROW()-1),1)),0))</f>
        <v>1.4118851761569098</v>
      </c>
      <c r="BM257">
        <f t="shared" ca="1" si="96"/>
        <v>0</v>
      </c>
      <c r="BN257" t="str">
        <f ca="1">IF(BM257=1,IF(INDEX(分析データ!$A:$A,ROW()+$C$5)&lt;&gt;"",40000*SIGN(BL257)*(分析データ!E257-INDEX(分析データ!E:E,ROW()+$C$5)),""),"")</f>
        <v/>
      </c>
      <c r="BO257">
        <f t="shared" ca="1" si="97"/>
        <v>0</v>
      </c>
      <c r="BP257">
        <f t="shared" ca="1" si="98"/>
        <v>0</v>
      </c>
      <c r="BQ257">
        <f t="shared" ca="1" si="99"/>
        <v>0</v>
      </c>
      <c r="BR257">
        <f ca="1">IF(ROW()&lt;($C$7+1),"",IFERROR((分析データ!F257-AVERAGE(OFFSET(分析データ!F$1,MAX(1,ROW()-$C$7),0,MIN($C$7,ROW()-1),1)))/STDEV(OFFSET(分析データ!F$1,MAX(1,ROW()-$C$7),0,MIN($C$7,ROW()-1),1)),0))</f>
        <v>-1.5018382285729215</v>
      </c>
      <c r="BS257">
        <f t="shared" ca="1" si="100"/>
        <v>0</v>
      </c>
      <c r="BT257" t="str">
        <f ca="1">IF(BS257=1,IF(INDEX(分析データ!$A:$A,ROW()+$C$5)&lt;&gt;"",40000*SIGN(BR257)*(分析データ!F257-INDEX(分析データ!F:F,ROW()+$C$5)),""),"")</f>
        <v/>
      </c>
      <c r="BU257">
        <f t="shared" ca="1" si="101"/>
        <v>0</v>
      </c>
      <c r="BV257">
        <f t="shared" ca="1" si="102"/>
        <v>0</v>
      </c>
      <c r="BW257">
        <f t="shared" ca="1" si="103"/>
        <v>0</v>
      </c>
      <c r="BX257">
        <f ca="1">IF(ROW()&lt;($C$7+1),"",IFERROR((分析データ!G257-AVERAGE(OFFSET(分析データ!G$1,MAX(1,ROW()-$C$7),0,MIN($C$7,ROW()-1),1)))/STDEV(OFFSET(分析データ!G$1,MAX(1,ROW()-$C$7),0,MIN($C$7,ROW()-1),1)),0))</f>
        <v>1.4938703216886688</v>
      </c>
      <c r="BY257">
        <f t="shared" ca="1" si="104"/>
        <v>0</v>
      </c>
      <c r="BZ257" t="str">
        <f ca="1">IF(BY257=1,IF(INDEX(分析データ!$A:$A,ROW()+$C$5)&lt;&gt;"",40000*SIGN(BX257)*(分析データ!G257-INDEX(分析データ!G:G,ROW()+$C$5)),""),"")</f>
        <v/>
      </c>
      <c r="CA257">
        <f t="shared" ca="1" si="105"/>
        <v>3095574.2871093722</v>
      </c>
      <c r="CB257">
        <f t="shared" ca="1" si="106"/>
        <v>3095574.2871093722</v>
      </c>
      <c r="CC257">
        <f t="shared" ca="1" si="107"/>
        <v>0</v>
      </c>
      <c r="CD257">
        <f t="shared" ca="1" si="108"/>
        <v>0</v>
      </c>
      <c r="CE257">
        <f t="shared" ca="1" si="109"/>
        <v>3095574.2871093722</v>
      </c>
      <c r="CF257">
        <f t="shared" ca="1" si="110"/>
        <v>3095574.2871093722</v>
      </c>
      <c r="CG257">
        <f t="shared" ca="1" si="111"/>
        <v>0</v>
      </c>
      <c r="CH257" s="10">
        <f>分析データ!A257</f>
        <v>45300</v>
      </c>
    </row>
    <row r="258" spans="46:86">
      <c r="AT258">
        <f ca="1">IF(ROW()&lt;($C$7+1),"",IFERROR((分析データ!B258-AVERAGE(OFFSET(分析データ!B$1,MAX(1,ROW()-$C$7),0,MIN($C$7,ROW()-1),1)))/STDEV(OFFSET(分析データ!B$1,MAX(1,ROW()-$C$7),0,MIN($C$7,ROW()-1),1)),0))</f>
        <v>1.4164038666616487</v>
      </c>
      <c r="AU258">
        <f t="shared" ref="AU258:AU321" ca="1" si="112">IF(ISNUMBER(AT258),IF(ABS(AT258)&gt;=$C$6,1,0),0)</f>
        <v>0</v>
      </c>
      <c r="AV258" t="str">
        <f ca="1">IF(AU258=1,IF(INDEX(分析データ!$A:$A,ROW()+$C$5)&lt;&gt;"",80000*SIGN(AT258)*(分析データ!B258-INDEX(分析データ!B:B,ROW()+$C$5)),""),"")</f>
        <v/>
      </c>
      <c r="AW258">
        <f t="shared" ref="AW258:AW321" ca="1" si="113">AW257+IF(AND(AU258=1,ISNUMBER(AV258)),AV258,0)</f>
        <v>0</v>
      </c>
      <c r="AX258">
        <f t="shared" ref="AX258:AX321" ca="1" si="114">MAX(AX257,AW258)</f>
        <v>0</v>
      </c>
      <c r="AY258">
        <f t="shared" ref="AY258:AY321" ca="1" si="115">AW258-AX258</f>
        <v>0</v>
      </c>
      <c r="AZ258">
        <f ca="1">IF(ROW()&lt;($C$7+1),"",IFERROR((分析データ!C258-AVERAGE(OFFSET(分析データ!C$1,MAX(1,ROW()-$C$7),0,MIN($C$7,ROW()-1),1)))/STDEV(OFFSET(分析データ!C$1,MAX(1,ROW()-$C$7),0,MIN($C$7,ROW()-1),1)),0))</f>
        <v>-0.41368844801959032</v>
      </c>
      <c r="BA258">
        <f t="shared" ref="BA258:BA321" ca="1" si="116">IF(ISNUMBER(AZ258),IF(ABS(AZ258)&gt;=$C$6,1,0),0)</f>
        <v>0</v>
      </c>
      <c r="BB258" t="str">
        <f ca="1">IF(BA258=1,IF(INDEX(分析データ!$A:$A,ROW()+$C$5)&lt;&gt;"",60000*SIGN(AZ258)*(分析データ!C258-INDEX(分析データ!C:C,ROW()+$C$5)),""),"")</f>
        <v/>
      </c>
      <c r="BC258">
        <f t="shared" ref="BC258:BC321" ca="1" si="117">BC257+IF(AND(BA258=1,ISNUMBER(BB258)),BB258,0)</f>
        <v>0</v>
      </c>
      <c r="BD258">
        <f t="shared" ref="BD258:BD321" ca="1" si="118">MAX(BD257,BC258)</f>
        <v>0</v>
      </c>
      <c r="BE258">
        <f t="shared" ref="BE258:BE321" ca="1" si="119">BC258-BD258</f>
        <v>0</v>
      </c>
      <c r="BF258">
        <f ca="1">IF(ROW()&lt;($C$7+1),"",IFERROR((分析データ!D258-AVERAGE(OFFSET(分析データ!D$1,MAX(1,ROW()-$C$7),0,MIN($C$7,ROW()-1),1)))/STDEV(OFFSET(分析データ!D$1,MAX(1,ROW()-$C$7),0,MIN($C$7,ROW()-1),1)),0))</f>
        <v>9.0482154328787118E-2</v>
      </c>
      <c r="BG258">
        <f t="shared" ref="BG258:BG321" ca="1" si="120">IF(ISNUMBER(BF258),IF(ABS(BF258)&gt;=$C$6,1,0),0)</f>
        <v>0</v>
      </c>
      <c r="BH258" t="str">
        <f ca="1">IF(BG258=1,IF(INDEX(分析データ!$A:$A,ROW()+$C$5)&lt;&gt;"",50000*SIGN(BF258)*(分析データ!D258-INDEX(分析データ!D:D,ROW()+$C$5)),""),"")</f>
        <v/>
      </c>
      <c r="BI258">
        <f t="shared" ref="BI258:BI321" ca="1" si="121">BI257+IF(AND(BG258=1,ISNUMBER(BH258)),BH258,0)</f>
        <v>0</v>
      </c>
      <c r="BJ258">
        <f t="shared" ref="BJ258:BJ321" ca="1" si="122">MAX(BJ257,BI258)</f>
        <v>0</v>
      </c>
      <c r="BK258">
        <f t="shared" ref="BK258:BK321" ca="1" si="123">BI258-BJ258</f>
        <v>0</v>
      </c>
      <c r="BL258">
        <f ca="1">IF(ROW()&lt;($C$7+1),"",IFERROR((分析データ!E258-AVERAGE(OFFSET(分析データ!E$1,MAX(1,ROW()-$C$7),0,MIN($C$7,ROW()-1),1)))/STDEV(OFFSET(分析データ!E$1,MAX(1,ROW()-$C$7),0,MIN($C$7,ROW()-1),1)),0))</f>
        <v>1.3997421604228353</v>
      </c>
      <c r="BM258">
        <f t="shared" ref="BM258:BM321" ca="1" si="124">IF(ISNUMBER(BL258),IF(ABS(BL258)&gt;=$C$6,1,0),0)</f>
        <v>0</v>
      </c>
      <c r="BN258" t="str">
        <f ca="1">IF(BM258=1,IF(INDEX(分析データ!$A:$A,ROW()+$C$5)&lt;&gt;"",40000*SIGN(BL258)*(分析データ!E258-INDEX(分析データ!E:E,ROW()+$C$5)),""),"")</f>
        <v/>
      </c>
      <c r="BO258">
        <f t="shared" ref="BO258:BO321" ca="1" si="125">BO257+IF(AND(BM258=1,ISNUMBER(BN258)),BN258,0)</f>
        <v>0</v>
      </c>
      <c r="BP258">
        <f t="shared" ref="BP258:BP321" ca="1" si="126">MAX(BP257,BO258)</f>
        <v>0</v>
      </c>
      <c r="BQ258">
        <f t="shared" ref="BQ258:BQ321" ca="1" si="127">BO258-BP258</f>
        <v>0</v>
      </c>
      <c r="BR258">
        <f ca="1">IF(ROW()&lt;($C$7+1),"",IFERROR((分析データ!F258-AVERAGE(OFFSET(分析データ!F$1,MAX(1,ROW()-$C$7),0,MIN($C$7,ROW()-1),1)))/STDEV(OFFSET(分析データ!F$1,MAX(1,ROW()-$C$7),0,MIN($C$7,ROW()-1),1)),0))</f>
        <v>-1.3555040852627458</v>
      </c>
      <c r="BS258">
        <f t="shared" ref="BS258:BS321" ca="1" si="128">IF(ISNUMBER(BR258),IF(ABS(BR258)&gt;=$C$6,1,0),0)</f>
        <v>0</v>
      </c>
      <c r="BT258" t="str">
        <f ca="1">IF(BS258=1,IF(INDEX(分析データ!$A:$A,ROW()+$C$5)&lt;&gt;"",40000*SIGN(BR258)*(分析データ!F258-INDEX(分析データ!F:F,ROW()+$C$5)),""),"")</f>
        <v/>
      </c>
      <c r="BU258">
        <f t="shared" ref="BU258:BU321" ca="1" si="129">BU257+IF(AND(BS258=1,ISNUMBER(BT258)),BT258,0)</f>
        <v>0</v>
      </c>
      <c r="BV258">
        <f t="shared" ref="BV258:BV321" ca="1" si="130">MAX(BV257,BU258)</f>
        <v>0</v>
      </c>
      <c r="BW258">
        <f t="shared" ref="BW258:BW321" ca="1" si="131">BU258-BV258</f>
        <v>0</v>
      </c>
      <c r="BX258">
        <f ca="1">IF(ROW()&lt;($C$7+1),"",IFERROR((分析データ!G258-AVERAGE(OFFSET(分析データ!G$1,MAX(1,ROW()-$C$7),0,MIN($C$7,ROW()-1),1)))/STDEV(OFFSET(分析データ!G$1,MAX(1,ROW()-$C$7),0,MIN($C$7,ROW()-1),1)),0))</f>
        <v>1.4057286164514662</v>
      </c>
      <c r="BY258">
        <f t="shared" ref="BY258:BY321" ca="1" si="132">IF(ISNUMBER(BX258),IF(ABS(BX258)&gt;=$C$6,1,0),0)</f>
        <v>0</v>
      </c>
      <c r="BZ258" t="str">
        <f ca="1">IF(BY258=1,IF(INDEX(分析データ!$A:$A,ROW()+$C$5)&lt;&gt;"",40000*SIGN(BX258)*(分析データ!G258-INDEX(分析データ!G:G,ROW()+$C$5)),""),"")</f>
        <v/>
      </c>
      <c r="CA258">
        <f t="shared" ref="CA258:CA321" ca="1" si="133">CA257+IF(AND(BY258=1,ISNUMBER(BZ258)),BZ258,0)</f>
        <v>3095574.2871093722</v>
      </c>
      <c r="CB258">
        <f t="shared" ref="CB258:CB321" ca="1" si="134">MAX(CB257,CA258)</f>
        <v>3095574.2871093722</v>
      </c>
      <c r="CC258">
        <f t="shared" ref="CC258:CC321" ca="1" si="135">CA258-CB258</f>
        <v>0</v>
      </c>
      <c r="CD258">
        <f t="shared" ref="CD258:CD321" ca="1" si="136">N(AV258)+N(BB258)+N(BH258)+N(BN258)+N(BT258)+N(BZ258)</f>
        <v>0</v>
      </c>
      <c r="CE258">
        <f t="shared" ref="CE258:CE321" ca="1" si="137">CE257+CD258</f>
        <v>3095574.2871093722</v>
      </c>
      <c r="CF258">
        <f t="shared" ref="CF258:CF321" ca="1" si="138">MAX(CF257,CE258)</f>
        <v>3095574.2871093722</v>
      </c>
      <c r="CG258">
        <f t="shared" ref="CG258:CG321" ca="1" si="139">CE258-CF258</f>
        <v>0</v>
      </c>
      <c r="CH258" s="10">
        <f>分析データ!A258</f>
        <v>45301</v>
      </c>
    </row>
    <row r="259" spans="46:86">
      <c r="AT259">
        <f ca="1">IF(ROW()&lt;($C$7+1),"",IFERROR((分析データ!B259-AVERAGE(OFFSET(分析データ!B$1,MAX(1,ROW()-$C$7),0,MIN($C$7,ROW()-1),1)))/STDEV(OFFSET(分析データ!B$1,MAX(1,ROW()-$C$7),0,MIN($C$7,ROW()-1),1)),0))</f>
        <v>1.4581169947583539</v>
      </c>
      <c r="AU259">
        <f t="shared" ca="1" si="112"/>
        <v>0</v>
      </c>
      <c r="AV259" t="str">
        <f ca="1">IF(AU259=1,IF(INDEX(分析データ!$A:$A,ROW()+$C$5)&lt;&gt;"",80000*SIGN(AT259)*(分析データ!B259-INDEX(分析データ!B:B,ROW()+$C$5)),""),"")</f>
        <v/>
      </c>
      <c r="AW259">
        <f t="shared" ca="1" si="113"/>
        <v>0</v>
      </c>
      <c r="AX259">
        <f t="shared" ca="1" si="114"/>
        <v>0</v>
      </c>
      <c r="AY259">
        <f t="shared" ca="1" si="115"/>
        <v>0</v>
      </c>
      <c r="AZ259">
        <f ca="1">IF(ROW()&lt;($C$7+1),"",IFERROR((分析データ!C259-AVERAGE(OFFSET(分析データ!C$1,MAX(1,ROW()-$C$7),0,MIN($C$7,ROW()-1),1)))/STDEV(OFFSET(分析データ!C$1,MAX(1,ROW()-$C$7),0,MIN($C$7,ROW()-1),1)),0))</f>
        <v>-0.57210602562967838</v>
      </c>
      <c r="BA259">
        <f t="shared" ca="1" si="116"/>
        <v>0</v>
      </c>
      <c r="BB259" t="str">
        <f ca="1">IF(BA259=1,IF(INDEX(分析データ!$A:$A,ROW()+$C$5)&lt;&gt;"",60000*SIGN(AZ259)*(分析データ!C259-INDEX(分析データ!C:C,ROW()+$C$5)),""),"")</f>
        <v/>
      </c>
      <c r="BC259">
        <f t="shared" ca="1" si="117"/>
        <v>0</v>
      </c>
      <c r="BD259">
        <f t="shared" ca="1" si="118"/>
        <v>0</v>
      </c>
      <c r="BE259">
        <f t="shared" ca="1" si="119"/>
        <v>0</v>
      </c>
      <c r="BF259">
        <f ca="1">IF(ROW()&lt;($C$7+1),"",IFERROR((分析データ!D259-AVERAGE(OFFSET(分析データ!D$1,MAX(1,ROW()-$C$7),0,MIN($C$7,ROW()-1),1)))/STDEV(OFFSET(分析データ!D$1,MAX(1,ROW()-$C$7),0,MIN($C$7,ROW()-1),1)),0))</f>
        <v>-6.4241117038097012E-2</v>
      </c>
      <c r="BG259">
        <f t="shared" ca="1" si="120"/>
        <v>0</v>
      </c>
      <c r="BH259" t="str">
        <f ca="1">IF(BG259=1,IF(INDEX(分析データ!$A:$A,ROW()+$C$5)&lt;&gt;"",50000*SIGN(BF259)*(分析データ!D259-INDEX(分析データ!D:D,ROW()+$C$5)),""),"")</f>
        <v/>
      </c>
      <c r="BI259">
        <f t="shared" ca="1" si="121"/>
        <v>0</v>
      </c>
      <c r="BJ259">
        <f t="shared" ca="1" si="122"/>
        <v>0</v>
      </c>
      <c r="BK259">
        <f t="shared" ca="1" si="123"/>
        <v>0</v>
      </c>
      <c r="BL259">
        <f ca="1">IF(ROW()&lt;($C$7+1),"",IFERROR((分析データ!E259-AVERAGE(OFFSET(分析データ!E$1,MAX(1,ROW()-$C$7),0,MIN($C$7,ROW()-1),1)))/STDEV(OFFSET(分析データ!E$1,MAX(1,ROW()-$C$7),0,MIN($C$7,ROW()-1),1)),0))</f>
        <v>1.673847423501849</v>
      </c>
      <c r="BM259">
        <f t="shared" ca="1" si="124"/>
        <v>0</v>
      </c>
      <c r="BN259" t="str">
        <f ca="1">IF(BM259=1,IF(INDEX(分析データ!$A:$A,ROW()+$C$5)&lt;&gt;"",40000*SIGN(BL259)*(分析データ!E259-INDEX(分析データ!E:E,ROW()+$C$5)),""),"")</f>
        <v/>
      </c>
      <c r="BO259">
        <f t="shared" ca="1" si="125"/>
        <v>0</v>
      </c>
      <c r="BP259">
        <f t="shared" ca="1" si="126"/>
        <v>0</v>
      </c>
      <c r="BQ259">
        <f t="shared" ca="1" si="127"/>
        <v>0</v>
      </c>
      <c r="BR259">
        <f ca="1">IF(ROW()&lt;($C$7+1),"",IFERROR((分析データ!F259-AVERAGE(OFFSET(分析データ!F$1,MAX(1,ROW()-$C$7),0,MIN($C$7,ROW()-1),1)))/STDEV(OFFSET(分析データ!F$1,MAX(1,ROW()-$C$7),0,MIN($C$7,ROW()-1),1)),0))</f>
        <v>-1.2014264103456593</v>
      </c>
      <c r="BS259">
        <f t="shared" ca="1" si="128"/>
        <v>0</v>
      </c>
      <c r="BT259" t="str">
        <f ca="1">IF(BS259=1,IF(INDEX(分析データ!$A:$A,ROW()+$C$5)&lt;&gt;"",40000*SIGN(BR259)*(分析データ!F259-INDEX(分析データ!F:F,ROW()+$C$5)),""),"")</f>
        <v/>
      </c>
      <c r="BU259">
        <f t="shared" ca="1" si="129"/>
        <v>0</v>
      </c>
      <c r="BV259">
        <f t="shared" ca="1" si="130"/>
        <v>0</v>
      </c>
      <c r="BW259">
        <f t="shared" ca="1" si="131"/>
        <v>0</v>
      </c>
      <c r="BX259">
        <f ca="1">IF(ROW()&lt;($C$7+1),"",IFERROR((分析データ!G259-AVERAGE(OFFSET(分析データ!G$1,MAX(1,ROW()-$C$7),0,MIN($C$7,ROW()-1),1)))/STDEV(OFFSET(分析データ!G$1,MAX(1,ROW()-$C$7),0,MIN($C$7,ROW()-1),1)),0))</f>
        <v>1.2425589320957506</v>
      </c>
      <c r="BY259">
        <f t="shared" ca="1" si="132"/>
        <v>0</v>
      </c>
      <c r="BZ259" t="str">
        <f ca="1">IF(BY259=1,IF(INDEX(分析データ!$A:$A,ROW()+$C$5)&lt;&gt;"",40000*SIGN(BX259)*(分析データ!G259-INDEX(分析データ!G:G,ROW()+$C$5)),""),"")</f>
        <v/>
      </c>
      <c r="CA259">
        <f t="shared" ca="1" si="133"/>
        <v>3095574.2871093722</v>
      </c>
      <c r="CB259">
        <f t="shared" ca="1" si="134"/>
        <v>3095574.2871093722</v>
      </c>
      <c r="CC259">
        <f t="shared" ca="1" si="135"/>
        <v>0</v>
      </c>
      <c r="CD259">
        <f t="shared" ca="1" si="136"/>
        <v>0</v>
      </c>
      <c r="CE259">
        <f t="shared" ca="1" si="137"/>
        <v>3095574.2871093722</v>
      </c>
      <c r="CF259">
        <f t="shared" ca="1" si="138"/>
        <v>3095574.2871093722</v>
      </c>
      <c r="CG259">
        <f t="shared" ca="1" si="139"/>
        <v>0</v>
      </c>
      <c r="CH259" s="10">
        <f>分析データ!A259</f>
        <v>45302</v>
      </c>
    </row>
    <row r="260" spans="46:86">
      <c r="AT260">
        <f ca="1">IF(ROW()&lt;($C$7+1),"",IFERROR((分析データ!B260-AVERAGE(OFFSET(分析データ!B$1,MAX(1,ROW()-$C$7),0,MIN($C$7,ROW()-1),1)))/STDEV(OFFSET(分析データ!B$1,MAX(1,ROW()-$C$7),0,MIN($C$7,ROW()-1),1)),0))</f>
        <v>1.7616196566551754</v>
      </c>
      <c r="AU260">
        <f t="shared" ca="1" si="112"/>
        <v>0</v>
      </c>
      <c r="AV260" t="str">
        <f ca="1">IF(AU260=1,IF(INDEX(分析データ!$A:$A,ROW()+$C$5)&lt;&gt;"",80000*SIGN(AT260)*(分析データ!B260-INDEX(分析データ!B:B,ROW()+$C$5)),""),"")</f>
        <v/>
      </c>
      <c r="AW260">
        <f t="shared" ca="1" si="113"/>
        <v>0</v>
      </c>
      <c r="AX260">
        <f t="shared" ca="1" si="114"/>
        <v>0</v>
      </c>
      <c r="AY260">
        <f t="shared" ca="1" si="115"/>
        <v>0</v>
      </c>
      <c r="AZ260">
        <f ca="1">IF(ROW()&lt;($C$7+1),"",IFERROR((分析データ!C260-AVERAGE(OFFSET(分析データ!C$1,MAX(1,ROW()-$C$7),0,MIN($C$7,ROW()-1),1)))/STDEV(OFFSET(分析データ!C$1,MAX(1,ROW()-$C$7),0,MIN($C$7,ROW()-1),1)),0))</f>
        <v>-0.68488568366081426</v>
      </c>
      <c r="BA260">
        <f t="shared" ca="1" si="116"/>
        <v>0</v>
      </c>
      <c r="BB260" t="str">
        <f ca="1">IF(BA260=1,IF(INDEX(分析データ!$A:$A,ROW()+$C$5)&lt;&gt;"",60000*SIGN(AZ260)*(分析データ!C260-INDEX(分析データ!C:C,ROW()+$C$5)),""),"")</f>
        <v/>
      </c>
      <c r="BC260">
        <f t="shared" ca="1" si="117"/>
        <v>0</v>
      </c>
      <c r="BD260">
        <f t="shared" ca="1" si="118"/>
        <v>0</v>
      </c>
      <c r="BE260">
        <f t="shared" ca="1" si="119"/>
        <v>0</v>
      </c>
      <c r="BF260">
        <f ca="1">IF(ROW()&lt;($C$7+1),"",IFERROR((分析データ!D260-AVERAGE(OFFSET(分析データ!D$1,MAX(1,ROW()-$C$7),0,MIN($C$7,ROW()-1),1)))/STDEV(OFFSET(分析データ!D$1,MAX(1,ROW()-$C$7),0,MIN($C$7,ROW()-1),1)),0))</f>
        <v>-8.9740800478255695E-2</v>
      </c>
      <c r="BG260">
        <f t="shared" ca="1" si="120"/>
        <v>0</v>
      </c>
      <c r="BH260" t="str">
        <f ca="1">IF(BG260=1,IF(INDEX(分析データ!$A:$A,ROW()+$C$5)&lt;&gt;"",50000*SIGN(BF260)*(分析データ!D260-INDEX(分析データ!D:D,ROW()+$C$5)),""),"")</f>
        <v/>
      </c>
      <c r="BI260">
        <f t="shared" ca="1" si="121"/>
        <v>0</v>
      </c>
      <c r="BJ260">
        <f t="shared" ca="1" si="122"/>
        <v>0</v>
      </c>
      <c r="BK260">
        <f t="shared" ca="1" si="123"/>
        <v>0</v>
      </c>
      <c r="BL260">
        <f ca="1">IF(ROW()&lt;($C$7+1),"",IFERROR((分析データ!E260-AVERAGE(OFFSET(分析データ!E$1,MAX(1,ROW()-$C$7),0,MIN($C$7,ROW()-1),1)))/STDEV(OFFSET(分析データ!E$1,MAX(1,ROW()-$C$7),0,MIN($C$7,ROW()-1),1)),0))</f>
        <v>2.0334700932216303</v>
      </c>
      <c r="BM260">
        <f t="shared" ca="1" si="124"/>
        <v>1</v>
      </c>
      <c r="BN260">
        <f ca="1">IF(BM260=1,IF(INDEX(分析データ!$A:$A,ROW()+$C$5)&lt;&gt;"",40000*SIGN(BL260)*(分析データ!E260-INDEX(分析データ!E:E,ROW()+$C$5)),""),"")</f>
        <v>40000.000000000924</v>
      </c>
      <c r="BO260">
        <f t="shared" ca="1" si="125"/>
        <v>40000.000000000924</v>
      </c>
      <c r="BP260">
        <f t="shared" ca="1" si="126"/>
        <v>40000.000000000924</v>
      </c>
      <c r="BQ260">
        <f t="shared" ca="1" si="127"/>
        <v>0</v>
      </c>
      <c r="BR260">
        <f ca="1">IF(ROW()&lt;($C$7+1),"",IFERROR((分析データ!F260-AVERAGE(OFFSET(分析データ!F$1,MAX(1,ROW()-$C$7),0,MIN($C$7,ROW()-1),1)))/STDEV(OFFSET(分析データ!F$1,MAX(1,ROW()-$C$7),0,MIN($C$7,ROW()-1),1)),0))</f>
        <v>-1.1908390529914203</v>
      </c>
      <c r="BS260">
        <f t="shared" ca="1" si="128"/>
        <v>0</v>
      </c>
      <c r="BT260" t="str">
        <f ca="1">IF(BS260=1,IF(INDEX(分析データ!$A:$A,ROW()+$C$5)&lt;&gt;"",40000*SIGN(BR260)*(分析データ!F260-INDEX(分析データ!F:F,ROW()+$C$5)),""),"")</f>
        <v/>
      </c>
      <c r="BU260">
        <f t="shared" ca="1" si="129"/>
        <v>0</v>
      </c>
      <c r="BV260">
        <f t="shared" ca="1" si="130"/>
        <v>0</v>
      </c>
      <c r="BW260">
        <f t="shared" ca="1" si="131"/>
        <v>0</v>
      </c>
      <c r="BX260">
        <f ca="1">IF(ROW()&lt;($C$7+1),"",IFERROR((分析データ!G260-AVERAGE(OFFSET(分析データ!G$1,MAX(1,ROW()-$C$7),0,MIN($C$7,ROW()-1),1)))/STDEV(OFFSET(分析データ!G$1,MAX(1,ROW()-$C$7),0,MIN($C$7,ROW()-1),1)),0))</f>
        <v>1.2885917163161642</v>
      </c>
      <c r="BY260">
        <f t="shared" ca="1" si="132"/>
        <v>0</v>
      </c>
      <c r="BZ260" t="str">
        <f ca="1">IF(BY260=1,IF(INDEX(分析データ!$A:$A,ROW()+$C$5)&lt;&gt;"",40000*SIGN(BX260)*(分析データ!G260-INDEX(分析データ!G:G,ROW()+$C$5)),""),"")</f>
        <v/>
      </c>
      <c r="CA260">
        <f t="shared" ca="1" si="133"/>
        <v>3095574.2871093722</v>
      </c>
      <c r="CB260">
        <f t="shared" ca="1" si="134"/>
        <v>3095574.2871093722</v>
      </c>
      <c r="CC260">
        <f t="shared" ca="1" si="135"/>
        <v>0</v>
      </c>
      <c r="CD260">
        <f t="shared" ca="1" si="136"/>
        <v>40000.000000000924</v>
      </c>
      <c r="CE260">
        <f t="shared" ca="1" si="137"/>
        <v>3135574.2871093731</v>
      </c>
      <c r="CF260">
        <f t="shared" ca="1" si="138"/>
        <v>3135574.2871093731</v>
      </c>
      <c r="CG260">
        <f t="shared" ca="1" si="139"/>
        <v>0</v>
      </c>
      <c r="CH260" s="10">
        <f>分析データ!A260</f>
        <v>45303</v>
      </c>
    </row>
    <row r="261" spans="46:86">
      <c r="AT261">
        <f ca="1">IF(ROW()&lt;($C$7+1),"",IFERROR((分析データ!B261-AVERAGE(OFFSET(分析データ!B$1,MAX(1,ROW()-$C$7),0,MIN($C$7,ROW()-1),1)))/STDEV(OFFSET(分析データ!B$1,MAX(1,ROW()-$C$7),0,MIN($C$7,ROW()-1),1)),0))</f>
        <v>1.9513456203770962</v>
      </c>
      <c r="AU261">
        <f t="shared" ca="1" si="112"/>
        <v>0</v>
      </c>
      <c r="AV261" t="str">
        <f ca="1">IF(AU261=1,IF(INDEX(分析データ!$A:$A,ROW()+$C$5)&lt;&gt;"",80000*SIGN(AT261)*(分析データ!B261-INDEX(分析データ!B:B,ROW()+$C$5)),""),"")</f>
        <v/>
      </c>
      <c r="AW261">
        <f t="shared" ca="1" si="113"/>
        <v>0</v>
      </c>
      <c r="AX261">
        <f t="shared" ca="1" si="114"/>
        <v>0</v>
      </c>
      <c r="AY261">
        <f t="shared" ca="1" si="115"/>
        <v>0</v>
      </c>
      <c r="AZ261">
        <f ca="1">IF(ROW()&lt;($C$7+1),"",IFERROR((分析データ!C261-AVERAGE(OFFSET(分析データ!C$1,MAX(1,ROW()-$C$7),0,MIN($C$7,ROW()-1),1)))/STDEV(OFFSET(分析データ!C$1,MAX(1,ROW()-$C$7),0,MIN($C$7,ROW()-1),1)),0))</f>
        <v>-0.63754016785341761</v>
      </c>
      <c r="BA261">
        <f t="shared" ca="1" si="116"/>
        <v>0</v>
      </c>
      <c r="BB261" t="str">
        <f ca="1">IF(BA261=1,IF(INDEX(分析データ!$A:$A,ROW()+$C$5)&lt;&gt;"",60000*SIGN(AZ261)*(分析データ!C261-INDEX(分析データ!C:C,ROW()+$C$5)),""),"")</f>
        <v/>
      </c>
      <c r="BC261">
        <f t="shared" ca="1" si="117"/>
        <v>0</v>
      </c>
      <c r="BD261">
        <f t="shared" ca="1" si="118"/>
        <v>0</v>
      </c>
      <c r="BE261">
        <f t="shared" ca="1" si="119"/>
        <v>0</v>
      </c>
      <c r="BF261">
        <f ca="1">IF(ROW()&lt;($C$7+1),"",IFERROR((分析データ!D261-AVERAGE(OFFSET(分析データ!D$1,MAX(1,ROW()-$C$7),0,MIN($C$7,ROW()-1),1)))/STDEV(OFFSET(分析データ!D$1,MAX(1,ROW()-$C$7),0,MIN($C$7,ROW()-1),1)),0))</f>
        <v>0.26594488377535214</v>
      </c>
      <c r="BG261">
        <f t="shared" ca="1" si="120"/>
        <v>0</v>
      </c>
      <c r="BH261" t="str">
        <f ca="1">IF(BG261=1,IF(INDEX(分析データ!$A:$A,ROW()+$C$5)&lt;&gt;"",50000*SIGN(BF261)*(分析データ!D261-INDEX(分析データ!D:D,ROW()+$C$5)),""),"")</f>
        <v/>
      </c>
      <c r="BI261">
        <f t="shared" ca="1" si="121"/>
        <v>0</v>
      </c>
      <c r="BJ261">
        <f t="shared" ca="1" si="122"/>
        <v>0</v>
      </c>
      <c r="BK261">
        <f t="shared" ca="1" si="123"/>
        <v>0</v>
      </c>
      <c r="BL261">
        <f ca="1">IF(ROW()&lt;($C$7+1),"",IFERROR((分析データ!E261-AVERAGE(OFFSET(分析データ!E$1,MAX(1,ROW()-$C$7),0,MIN($C$7,ROW()-1),1)))/STDEV(OFFSET(分析データ!E$1,MAX(1,ROW()-$C$7),0,MIN($C$7,ROW()-1),1)),0))</f>
        <v>2.0087343138839717</v>
      </c>
      <c r="BM261">
        <f t="shared" ca="1" si="124"/>
        <v>1</v>
      </c>
      <c r="BN261">
        <f ca="1">IF(BM261=1,IF(INDEX(分析データ!$A:$A,ROW()+$C$5)&lt;&gt;"",40000*SIGN(BL261)*(分析データ!E261-INDEX(分析データ!E:E,ROW()+$C$5)),""),"")</f>
        <v>240000.00000000198</v>
      </c>
      <c r="BO261">
        <f t="shared" ca="1" si="125"/>
        <v>280000.00000000291</v>
      </c>
      <c r="BP261">
        <f t="shared" ca="1" si="126"/>
        <v>280000.00000000291</v>
      </c>
      <c r="BQ261">
        <f t="shared" ca="1" si="127"/>
        <v>0</v>
      </c>
      <c r="BR261">
        <f ca="1">IF(ROW()&lt;($C$7+1),"",IFERROR((分析データ!F261-AVERAGE(OFFSET(分析データ!F$1,MAX(1,ROW()-$C$7),0,MIN($C$7,ROW()-1),1)))/STDEV(OFFSET(分析データ!F$1,MAX(1,ROW()-$C$7),0,MIN($C$7,ROW()-1),1)),0))</f>
        <v>-1.6296175964306914</v>
      </c>
      <c r="BS261">
        <f t="shared" ca="1" si="128"/>
        <v>0</v>
      </c>
      <c r="BT261" t="str">
        <f ca="1">IF(BS261=1,IF(INDEX(分析データ!$A:$A,ROW()+$C$5)&lt;&gt;"",40000*SIGN(BR261)*(分析データ!F261-INDEX(分析データ!F:F,ROW()+$C$5)),""),"")</f>
        <v/>
      </c>
      <c r="BU261">
        <f t="shared" ca="1" si="129"/>
        <v>0</v>
      </c>
      <c r="BV261">
        <f t="shared" ca="1" si="130"/>
        <v>0</v>
      </c>
      <c r="BW261">
        <f t="shared" ca="1" si="131"/>
        <v>0</v>
      </c>
      <c r="BX261">
        <f ca="1">IF(ROW()&lt;($C$7+1),"",IFERROR((分析データ!G261-AVERAGE(OFFSET(分析データ!G$1,MAX(1,ROW()-$C$7),0,MIN($C$7,ROW()-1),1)))/STDEV(OFFSET(分析データ!G$1,MAX(1,ROW()-$C$7),0,MIN($C$7,ROW()-1),1)),0))</f>
        <v>1.4204943870326858</v>
      </c>
      <c r="BY261">
        <f t="shared" ca="1" si="132"/>
        <v>0</v>
      </c>
      <c r="BZ261" t="str">
        <f ca="1">IF(BY261=1,IF(INDEX(分析データ!$A:$A,ROW()+$C$5)&lt;&gt;"",40000*SIGN(BX261)*(分析データ!G261-INDEX(分析データ!G:G,ROW()+$C$5)),""),"")</f>
        <v/>
      </c>
      <c r="CA261">
        <f t="shared" ca="1" si="133"/>
        <v>3095574.2871093722</v>
      </c>
      <c r="CB261">
        <f t="shared" ca="1" si="134"/>
        <v>3095574.2871093722</v>
      </c>
      <c r="CC261">
        <f t="shared" ca="1" si="135"/>
        <v>0</v>
      </c>
      <c r="CD261">
        <f t="shared" ca="1" si="136"/>
        <v>240000.00000000198</v>
      </c>
      <c r="CE261">
        <f t="shared" ca="1" si="137"/>
        <v>3375574.287109375</v>
      </c>
      <c r="CF261">
        <f t="shared" ca="1" si="138"/>
        <v>3375574.287109375</v>
      </c>
      <c r="CG261">
        <f t="shared" ca="1" si="139"/>
        <v>0</v>
      </c>
      <c r="CH261" s="10">
        <f>分析データ!A261</f>
        <v>45307</v>
      </c>
    </row>
    <row r="262" spans="46:86">
      <c r="AT262">
        <f ca="1">IF(ROW()&lt;($C$7+1),"",IFERROR((分析データ!B262-AVERAGE(OFFSET(分析データ!B$1,MAX(1,ROW()-$C$7),0,MIN($C$7,ROW()-1),1)))/STDEV(OFFSET(分析データ!B$1,MAX(1,ROW()-$C$7),0,MIN($C$7,ROW()-1),1)),0))</f>
        <v>1.5651997198116832</v>
      </c>
      <c r="AU262">
        <f t="shared" ca="1" si="112"/>
        <v>0</v>
      </c>
      <c r="AV262" t="str">
        <f ca="1">IF(AU262=1,IF(INDEX(分析データ!$A:$A,ROW()+$C$5)&lt;&gt;"",80000*SIGN(AT262)*(分析データ!B262-INDEX(分析データ!B:B,ROW()+$C$5)),""),"")</f>
        <v/>
      </c>
      <c r="AW262">
        <f t="shared" ca="1" si="113"/>
        <v>0</v>
      </c>
      <c r="AX262">
        <f t="shared" ca="1" si="114"/>
        <v>0</v>
      </c>
      <c r="AY262">
        <f t="shared" ca="1" si="115"/>
        <v>0</v>
      </c>
      <c r="AZ262">
        <f ca="1">IF(ROW()&lt;($C$7+1),"",IFERROR((分析データ!C262-AVERAGE(OFFSET(分析データ!C$1,MAX(1,ROW()-$C$7),0,MIN($C$7,ROW()-1),1)))/STDEV(OFFSET(分析データ!C$1,MAX(1,ROW()-$C$7),0,MIN($C$7,ROW()-1),1)),0))</f>
        <v>-0.60988465445025464</v>
      </c>
      <c r="BA262">
        <f t="shared" ca="1" si="116"/>
        <v>0</v>
      </c>
      <c r="BB262" t="str">
        <f ca="1">IF(BA262=1,IF(INDEX(分析データ!$A:$A,ROW()+$C$5)&lt;&gt;"",60000*SIGN(AZ262)*(分析データ!C262-INDEX(分析データ!C:C,ROW()+$C$5)),""),"")</f>
        <v/>
      </c>
      <c r="BC262">
        <f t="shared" ca="1" si="117"/>
        <v>0</v>
      </c>
      <c r="BD262">
        <f t="shared" ca="1" si="118"/>
        <v>0</v>
      </c>
      <c r="BE262">
        <f t="shared" ca="1" si="119"/>
        <v>0</v>
      </c>
      <c r="BF262">
        <f ca="1">IF(ROW()&lt;($C$7+1),"",IFERROR((分析データ!D262-AVERAGE(OFFSET(分析データ!D$1,MAX(1,ROW()-$C$7),0,MIN($C$7,ROW()-1),1)))/STDEV(OFFSET(分析データ!D$1,MAX(1,ROW()-$C$7),0,MIN($C$7,ROW()-1),1)),0))</f>
        <v>0.30871143187365396</v>
      </c>
      <c r="BG262">
        <f t="shared" ca="1" si="120"/>
        <v>0</v>
      </c>
      <c r="BH262" t="str">
        <f ca="1">IF(BG262=1,IF(INDEX(分析データ!$A:$A,ROW()+$C$5)&lt;&gt;"",50000*SIGN(BF262)*(分析データ!D262-INDEX(分析データ!D:D,ROW()+$C$5)),""),"")</f>
        <v/>
      </c>
      <c r="BI262">
        <f t="shared" ca="1" si="121"/>
        <v>0</v>
      </c>
      <c r="BJ262">
        <f t="shared" ca="1" si="122"/>
        <v>0</v>
      </c>
      <c r="BK262">
        <f t="shared" ca="1" si="123"/>
        <v>0</v>
      </c>
      <c r="BL262">
        <f ca="1">IF(ROW()&lt;($C$7+1),"",IFERROR((分析データ!E262-AVERAGE(OFFSET(分析データ!E$1,MAX(1,ROW()-$C$7),0,MIN($C$7,ROW()-1),1)))/STDEV(OFFSET(分析データ!E$1,MAX(1,ROW()-$C$7),0,MIN($C$7,ROW()-1),1)),0))</f>
        <v>1.6138886365469569</v>
      </c>
      <c r="BM262">
        <f t="shared" ca="1" si="124"/>
        <v>0</v>
      </c>
      <c r="BN262" t="str">
        <f ca="1">IF(BM262=1,IF(INDEX(分析データ!$A:$A,ROW()+$C$5)&lt;&gt;"",40000*SIGN(BL262)*(分析データ!E262-INDEX(分析データ!E:E,ROW()+$C$5)),""),"")</f>
        <v/>
      </c>
      <c r="BO262">
        <f t="shared" ca="1" si="125"/>
        <v>280000.00000000291</v>
      </c>
      <c r="BP262">
        <f t="shared" ca="1" si="126"/>
        <v>280000.00000000291</v>
      </c>
      <c r="BQ262">
        <f t="shared" ca="1" si="127"/>
        <v>0</v>
      </c>
      <c r="BR262">
        <f ca="1">IF(ROW()&lt;($C$7+1),"",IFERROR((分析データ!F262-AVERAGE(OFFSET(分析データ!F$1,MAX(1,ROW()-$C$7),0,MIN($C$7,ROW()-1),1)))/STDEV(OFFSET(分析データ!F$1,MAX(1,ROW()-$C$7),0,MIN($C$7,ROW()-1),1)),0))</f>
        <v>-1.4617952849889637</v>
      </c>
      <c r="BS262">
        <f t="shared" ca="1" si="128"/>
        <v>0</v>
      </c>
      <c r="BT262" t="str">
        <f ca="1">IF(BS262=1,IF(INDEX(分析データ!$A:$A,ROW()+$C$5)&lt;&gt;"",40000*SIGN(BR262)*(分析データ!F262-INDEX(分析データ!F:F,ROW()+$C$5)),""),"")</f>
        <v/>
      </c>
      <c r="BU262">
        <f t="shared" ca="1" si="129"/>
        <v>0</v>
      </c>
      <c r="BV262">
        <f t="shared" ca="1" si="130"/>
        <v>0</v>
      </c>
      <c r="BW262">
        <f t="shared" ca="1" si="131"/>
        <v>0</v>
      </c>
      <c r="BX262">
        <f ca="1">IF(ROW()&lt;($C$7+1),"",IFERROR((分析データ!G262-AVERAGE(OFFSET(分析データ!G$1,MAX(1,ROW()-$C$7),0,MIN($C$7,ROW()-1),1)))/STDEV(OFFSET(分析データ!G$1,MAX(1,ROW()-$C$7),0,MIN($C$7,ROW()-1),1)),0))</f>
        <v>1.3890590337910229</v>
      </c>
      <c r="BY262">
        <f t="shared" ca="1" si="132"/>
        <v>0</v>
      </c>
      <c r="BZ262" t="str">
        <f ca="1">IF(BY262=1,IF(INDEX(分析データ!$A:$A,ROW()+$C$5)&lt;&gt;"",40000*SIGN(BX262)*(分析データ!G262-INDEX(分析データ!G:G,ROW()+$C$5)),""),"")</f>
        <v/>
      </c>
      <c r="CA262">
        <f t="shared" ca="1" si="133"/>
        <v>3095574.2871093722</v>
      </c>
      <c r="CB262">
        <f t="shared" ca="1" si="134"/>
        <v>3095574.2871093722</v>
      </c>
      <c r="CC262">
        <f t="shared" ca="1" si="135"/>
        <v>0</v>
      </c>
      <c r="CD262">
        <f t="shared" ca="1" si="136"/>
        <v>0</v>
      </c>
      <c r="CE262">
        <f t="shared" ca="1" si="137"/>
        <v>3375574.287109375</v>
      </c>
      <c r="CF262">
        <f t="shared" ca="1" si="138"/>
        <v>3375574.287109375</v>
      </c>
      <c r="CG262">
        <f t="shared" ca="1" si="139"/>
        <v>0</v>
      </c>
      <c r="CH262" s="10">
        <f>分析データ!A262</f>
        <v>45308</v>
      </c>
    </row>
    <row r="263" spans="46:86">
      <c r="AT263">
        <f ca="1">IF(ROW()&lt;($C$7+1),"",IFERROR((分析データ!B263-AVERAGE(OFFSET(分析データ!B$1,MAX(1,ROW()-$C$7),0,MIN($C$7,ROW()-1),1)))/STDEV(OFFSET(分析データ!B$1,MAX(1,ROW()-$C$7),0,MIN($C$7,ROW()-1),1)),0))</f>
        <v>1.6546902311766347</v>
      </c>
      <c r="AU263">
        <f t="shared" ca="1" si="112"/>
        <v>0</v>
      </c>
      <c r="AV263" t="str">
        <f ca="1">IF(AU263=1,IF(INDEX(分析データ!$A:$A,ROW()+$C$5)&lt;&gt;"",80000*SIGN(AT263)*(分析データ!B263-INDEX(分析データ!B:B,ROW()+$C$5)),""),"")</f>
        <v/>
      </c>
      <c r="AW263">
        <f t="shared" ca="1" si="113"/>
        <v>0</v>
      </c>
      <c r="AX263">
        <f t="shared" ca="1" si="114"/>
        <v>0</v>
      </c>
      <c r="AY263">
        <f t="shared" ca="1" si="115"/>
        <v>0</v>
      </c>
      <c r="AZ263">
        <f ca="1">IF(ROW()&lt;($C$7+1),"",IFERROR((分析データ!C263-AVERAGE(OFFSET(分析データ!C$1,MAX(1,ROW()-$C$7),0,MIN($C$7,ROW()-1),1)))/STDEV(OFFSET(分析データ!C$1,MAX(1,ROW()-$C$7),0,MIN($C$7,ROW()-1),1)),0))</f>
        <v>-0.64198176821750086</v>
      </c>
      <c r="BA263">
        <f t="shared" ca="1" si="116"/>
        <v>0</v>
      </c>
      <c r="BB263" t="str">
        <f ca="1">IF(BA263=1,IF(INDEX(分析データ!$A:$A,ROW()+$C$5)&lt;&gt;"",60000*SIGN(AZ263)*(分析データ!C263-INDEX(分析データ!C:C,ROW()+$C$5)),""),"")</f>
        <v/>
      </c>
      <c r="BC263">
        <f t="shared" ca="1" si="117"/>
        <v>0</v>
      </c>
      <c r="BD263">
        <f t="shared" ca="1" si="118"/>
        <v>0</v>
      </c>
      <c r="BE263">
        <f t="shared" ca="1" si="119"/>
        <v>0</v>
      </c>
      <c r="BF263">
        <f ca="1">IF(ROW()&lt;($C$7+1),"",IFERROR((分析データ!D263-AVERAGE(OFFSET(分析データ!D$1,MAX(1,ROW()-$C$7),0,MIN($C$7,ROW()-1),1)))/STDEV(OFFSET(分析データ!D$1,MAX(1,ROW()-$C$7),0,MIN($C$7,ROW()-1),1)),0))</f>
        <v>0.28933812499039113</v>
      </c>
      <c r="BG263">
        <f t="shared" ca="1" si="120"/>
        <v>0</v>
      </c>
      <c r="BH263" t="str">
        <f ca="1">IF(BG263=1,IF(INDEX(分析データ!$A:$A,ROW()+$C$5)&lt;&gt;"",50000*SIGN(BF263)*(分析データ!D263-INDEX(分析データ!D:D,ROW()+$C$5)),""),"")</f>
        <v/>
      </c>
      <c r="BI263">
        <f t="shared" ca="1" si="121"/>
        <v>0</v>
      </c>
      <c r="BJ263">
        <f t="shared" ca="1" si="122"/>
        <v>0</v>
      </c>
      <c r="BK263">
        <f t="shared" ca="1" si="123"/>
        <v>0</v>
      </c>
      <c r="BL263">
        <f ca="1">IF(ROW()&lt;($C$7+1),"",IFERROR((分析データ!E263-AVERAGE(OFFSET(分析データ!E$1,MAX(1,ROW()-$C$7),0,MIN($C$7,ROW()-1),1)))/STDEV(OFFSET(分析データ!E$1,MAX(1,ROW()-$C$7),0,MIN($C$7,ROW()-1),1)),0))</f>
        <v>1.7848645878986418</v>
      </c>
      <c r="BM263">
        <f t="shared" ca="1" si="124"/>
        <v>0</v>
      </c>
      <c r="BN263" t="str">
        <f ca="1">IF(BM263=1,IF(INDEX(分析データ!$A:$A,ROW()+$C$5)&lt;&gt;"",40000*SIGN(BL263)*(分析データ!E263-INDEX(分析データ!E:E,ROW()+$C$5)),""),"")</f>
        <v/>
      </c>
      <c r="BO263">
        <f t="shared" ca="1" si="125"/>
        <v>280000.00000000291</v>
      </c>
      <c r="BP263">
        <f t="shared" ca="1" si="126"/>
        <v>280000.00000000291</v>
      </c>
      <c r="BQ263">
        <f t="shared" ca="1" si="127"/>
        <v>0</v>
      </c>
      <c r="BR263">
        <f ca="1">IF(ROW()&lt;($C$7+1),"",IFERROR((分析データ!F263-AVERAGE(OFFSET(分析データ!F$1,MAX(1,ROW()-$C$7),0,MIN($C$7,ROW()-1),1)))/STDEV(OFFSET(分析データ!F$1,MAX(1,ROW()-$C$7),0,MIN($C$7,ROW()-1),1)),0))</f>
        <v>-1.2363924064691902</v>
      </c>
      <c r="BS263">
        <f t="shared" ca="1" si="128"/>
        <v>0</v>
      </c>
      <c r="BT263" t="str">
        <f ca="1">IF(BS263=1,IF(INDEX(分析データ!$A:$A,ROW()+$C$5)&lt;&gt;"",40000*SIGN(BR263)*(分析データ!F263-INDEX(分析データ!F:F,ROW()+$C$5)),""),"")</f>
        <v/>
      </c>
      <c r="BU263">
        <f t="shared" ca="1" si="129"/>
        <v>0</v>
      </c>
      <c r="BV263">
        <f t="shared" ca="1" si="130"/>
        <v>0</v>
      </c>
      <c r="BW263">
        <f t="shared" ca="1" si="131"/>
        <v>0</v>
      </c>
      <c r="BX263">
        <f ca="1">IF(ROW()&lt;($C$7+1),"",IFERROR((分析データ!G263-AVERAGE(OFFSET(分析データ!G$1,MAX(1,ROW()-$C$7),0,MIN($C$7,ROW()-1),1)))/STDEV(OFFSET(分析データ!G$1,MAX(1,ROW()-$C$7),0,MIN($C$7,ROW()-1),1)),0))</f>
        <v>1.0480411905097919</v>
      </c>
      <c r="BY263">
        <f t="shared" ca="1" si="132"/>
        <v>0</v>
      </c>
      <c r="BZ263" t="str">
        <f ca="1">IF(BY263=1,IF(INDEX(分析データ!$A:$A,ROW()+$C$5)&lt;&gt;"",40000*SIGN(BX263)*(分析データ!G263-INDEX(分析データ!G:G,ROW()+$C$5)),""),"")</f>
        <v/>
      </c>
      <c r="CA263">
        <f t="shared" ca="1" si="133"/>
        <v>3095574.2871093722</v>
      </c>
      <c r="CB263">
        <f t="shared" ca="1" si="134"/>
        <v>3095574.2871093722</v>
      </c>
      <c r="CC263">
        <f t="shared" ca="1" si="135"/>
        <v>0</v>
      </c>
      <c r="CD263">
        <f t="shared" ca="1" si="136"/>
        <v>0</v>
      </c>
      <c r="CE263">
        <f t="shared" ca="1" si="137"/>
        <v>3375574.287109375</v>
      </c>
      <c r="CF263">
        <f t="shared" ca="1" si="138"/>
        <v>3375574.287109375</v>
      </c>
      <c r="CG263">
        <f t="shared" ca="1" si="139"/>
        <v>0</v>
      </c>
      <c r="CH263" s="10">
        <f>分析データ!A263</f>
        <v>45309</v>
      </c>
    </row>
    <row r="264" spans="46:86">
      <c r="AT264">
        <f ca="1">IF(ROW()&lt;($C$7+1),"",IFERROR((分析データ!B264-AVERAGE(OFFSET(分析データ!B$1,MAX(1,ROW()-$C$7),0,MIN($C$7,ROW()-1),1)))/STDEV(OFFSET(分析データ!B$1,MAX(1,ROW()-$C$7),0,MIN($C$7,ROW()-1),1)),0))</f>
        <v>1.5350435691320743</v>
      </c>
      <c r="AU264">
        <f t="shared" ca="1" si="112"/>
        <v>0</v>
      </c>
      <c r="AV264" t="str">
        <f ca="1">IF(AU264=1,IF(INDEX(分析データ!$A:$A,ROW()+$C$5)&lt;&gt;"",80000*SIGN(AT264)*(分析データ!B264-INDEX(分析データ!B:B,ROW()+$C$5)),""),"")</f>
        <v/>
      </c>
      <c r="AW264">
        <f t="shared" ca="1" si="113"/>
        <v>0</v>
      </c>
      <c r="AX264">
        <f t="shared" ca="1" si="114"/>
        <v>0</v>
      </c>
      <c r="AY264">
        <f t="shared" ca="1" si="115"/>
        <v>0</v>
      </c>
      <c r="AZ264">
        <f ca="1">IF(ROW()&lt;($C$7+1),"",IFERROR((分析データ!C264-AVERAGE(OFFSET(分析データ!C$1,MAX(1,ROW()-$C$7),0,MIN($C$7,ROW()-1),1)))/STDEV(OFFSET(分析データ!C$1,MAX(1,ROW()-$C$7),0,MIN($C$7,ROW()-1),1)),0))</f>
        <v>-0.74929523791049879</v>
      </c>
      <c r="BA264">
        <f t="shared" ca="1" si="116"/>
        <v>0</v>
      </c>
      <c r="BB264" t="str">
        <f ca="1">IF(BA264=1,IF(INDEX(分析データ!$A:$A,ROW()+$C$5)&lt;&gt;"",60000*SIGN(AZ264)*(分析データ!C264-INDEX(分析データ!C:C,ROW()+$C$5)),""),"")</f>
        <v/>
      </c>
      <c r="BC264">
        <f t="shared" ca="1" si="117"/>
        <v>0</v>
      </c>
      <c r="BD264">
        <f t="shared" ca="1" si="118"/>
        <v>0</v>
      </c>
      <c r="BE264">
        <f t="shared" ca="1" si="119"/>
        <v>0</v>
      </c>
      <c r="BF264">
        <f ca="1">IF(ROW()&lt;($C$7+1),"",IFERROR((分析データ!D264-AVERAGE(OFFSET(分析データ!D$1,MAX(1,ROW()-$C$7),0,MIN($C$7,ROW()-1),1)))/STDEV(OFFSET(分析データ!D$1,MAX(1,ROW()-$C$7),0,MIN($C$7,ROW()-1),1)),0))</f>
        <v>0.26576706459420785</v>
      </c>
      <c r="BG264">
        <f t="shared" ca="1" si="120"/>
        <v>0</v>
      </c>
      <c r="BH264" t="str">
        <f ca="1">IF(BG264=1,IF(INDEX(分析データ!$A:$A,ROW()+$C$5)&lt;&gt;"",50000*SIGN(BF264)*(分析データ!D264-INDEX(分析データ!D:D,ROW()+$C$5)),""),"")</f>
        <v/>
      </c>
      <c r="BI264">
        <f t="shared" ca="1" si="121"/>
        <v>0</v>
      </c>
      <c r="BJ264">
        <f t="shared" ca="1" si="122"/>
        <v>0</v>
      </c>
      <c r="BK264">
        <f t="shared" ca="1" si="123"/>
        <v>0</v>
      </c>
      <c r="BL264">
        <f ca="1">IF(ROW()&lt;($C$7+1),"",IFERROR((分析データ!E264-AVERAGE(OFFSET(分析データ!E$1,MAX(1,ROW()-$C$7),0,MIN($C$7,ROW()-1),1)))/STDEV(OFFSET(分析データ!E$1,MAX(1,ROW()-$C$7),0,MIN($C$7,ROW()-1),1)),0))</f>
        <v>1.4923468208767452</v>
      </c>
      <c r="BM264">
        <f t="shared" ca="1" si="124"/>
        <v>0</v>
      </c>
      <c r="BN264" t="str">
        <f ca="1">IF(BM264=1,IF(INDEX(分析データ!$A:$A,ROW()+$C$5)&lt;&gt;"",40000*SIGN(BL264)*(分析データ!E264-INDEX(分析データ!E:E,ROW()+$C$5)),""),"")</f>
        <v/>
      </c>
      <c r="BO264">
        <f t="shared" ca="1" si="125"/>
        <v>280000.00000000291</v>
      </c>
      <c r="BP264">
        <f t="shared" ca="1" si="126"/>
        <v>280000.00000000291</v>
      </c>
      <c r="BQ264">
        <f t="shared" ca="1" si="127"/>
        <v>0</v>
      </c>
      <c r="BR264">
        <f ca="1">IF(ROW()&lt;($C$7+1),"",IFERROR((分析データ!F264-AVERAGE(OFFSET(分析データ!F$1,MAX(1,ROW()-$C$7),0,MIN($C$7,ROW()-1),1)))/STDEV(OFFSET(分析データ!F$1,MAX(1,ROW()-$C$7),0,MIN($C$7,ROW()-1),1)),0))</f>
        <v>-1.1820992752094215</v>
      </c>
      <c r="BS264">
        <f t="shared" ca="1" si="128"/>
        <v>0</v>
      </c>
      <c r="BT264" t="str">
        <f ca="1">IF(BS264=1,IF(INDEX(分析データ!$A:$A,ROW()+$C$5)&lt;&gt;"",40000*SIGN(BR264)*(分析データ!F264-INDEX(分析データ!F:F,ROW()+$C$5)),""),"")</f>
        <v/>
      </c>
      <c r="BU264">
        <f t="shared" ca="1" si="129"/>
        <v>0</v>
      </c>
      <c r="BV264">
        <f t="shared" ca="1" si="130"/>
        <v>0</v>
      </c>
      <c r="BW264">
        <f t="shared" ca="1" si="131"/>
        <v>0</v>
      </c>
      <c r="BX264">
        <f ca="1">IF(ROW()&lt;($C$7+1),"",IFERROR((分析データ!G264-AVERAGE(OFFSET(分析データ!G$1,MAX(1,ROW()-$C$7),0,MIN($C$7,ROW()-1),1)))/STDEV(OFFSET(分析データ!G$1,MAX(1,ROW()-$C$7),0,MIN($C$7,ROW()-1),1)),0))</f>
        <v>1.0637339982112677</v>
      </c>
      <c r="BY264">
        <f t="shared" ca="1" si="132"/>
        <v>0</v>
      </c>
      <c r="BZ264" t="str">
        <f ca="1">IF(BY264=1,IF(INDEX(分析データ!$A:$A,ROW()+$C$5)&lt;&gt;"",40000*SIGN(BX264)*(分析データ!G264-INDEX(分析データ!G:G,ROW()+$C$5)),""),"")</f>
        <v/>
      </c>
      <c r="CA264">
        <f t="shared" ca="1" si="133"/>
        <v>3095574.2871093722</v>
      </c>
      <c r="CB264">
        <f t="shared" ca="1" si="134"/>
        <v>3095574.2871093722</v>
      </c>
      <c r="CC264">
        <f t="shared" ca="1" si="135"/>
        <v>0</v>
      </c>
      <c r="CD264">
        <f t="shared" ca="1" si="136"/>
        <v>0</v>
      </c>
      <c r="CE264">
        <f t="shared" ca="1" si="137"/>
        <v>3375574.287109375</v>
      </c>
      <c r="CF264">
        <f t="shared" ca="1" si="138"/>
        <v>3375574.287109375</v>
      </c>
      <c r="CG264">
        <f t="shared" ca="1" si="139"/>
        <v>0</v>
      </c>
      <c r="CH264" s="10">
        <f>分析データ!A264</f>
        <v>45310</v>
      </c>
    </row>
    <row r="265" spans="46:86">
      <c r="AT265">
        <f ca="1">IF(ROW()&lt;($C$7+1),"",IFERROR((分析データ!B265-AVERAGE(OFFSET(分析データ!B$1,MAX(1,ROW()-$C$7),0,MIN($C$7,ROW()-1),1)))/STDEV(OFFSET(分析データ!B$1,MAX(1,ROW()-$C$7),0,MIN($C$7,ROW()-1),1)),0))</f>
        <v>1.4177311109470727</v>
      </c>
      <c r="AU265">
        <f t="shared" ca="1" si="112"/>
        <v>0</v>
      </c>
      <c r="AV265" t="str">
        <f ca="1">IF(AU265=1,IF(INDEX(分析データ!$A:$A,ROW()+$C$5)&lt;&gt;"",80000*SIGN(AT265)*(分析データ!B265-INDEX(分析データ!B:B,ROW()+$C$5)),""),"")</f>
        <v/>
      </c>
      <c r="AW265">
        <f t="shared" ca="1" si="113"/>
        <v>0</v>
      </c>
      <c r="AX265">
        <f t="shared" ca="1" si="114"/>
        <v>0</v>
      </c>
      <c r="AY265">
        <f t="shared" ca="1" si="115"/>
        <v>0</v>
      </c>
      <c r="AZ265">
        <f ca="1">IF(ROW()&lt;($C$7+1),"",IFERROR((分析データ!C265-AVERAGE(OFFSET(分析データ!C$1,MAX(1,ROW()-$C$7),0,MIN($C$7,ROW()-1),1)))/STDEV(OFFSET(分析データ!C$1,MAX(1,ROW()-$C$7),0,MIN($C$7,ROW()-1),1)),0))</f>
        <v>-0.9208193492948854</v>
      </c>
      <c r="BA265">
        <f t="shared" ca="1" si="116"/>
        <v>0</v>
      </c>
      <c r="BB265" t="str">
        <f ca="1">IF(BA265=1,IF(INDEX(分析データ!$A:$A,ROW()+$C$5)&lt;&gt;"",60000*SIGN(AZ265)*(分析データ!C265-INDEX(分析データ!C:C,ROW()+$C$5)),""),"")</f>
        <v/>
      </c>
      <c r="BC265">
        <f t="shared" ca="1" si="117"/>
        <v>0</v>
      </c>
      <c r="BD265">
        <f t="shared" ca="1" si="118"/>
        <v>0</v>
      </c>
      <c r="BE265">
        <f t="shared" ca="1" si="119"/>
        <v>0</v>
      </c>
      <c r="BF265">
        <f ca="1">IF(ROW()&lt;($C$7+1),"",IFERROR((分析データ!D265-AVERAGE(OFFSET(分析データ!D$1,MAX(1,ROW()-$C$7),0,MIN($C$7,ROW()-1),1)))/STDEV(OFFSET(分析データ!D$1,MAX(1,ROW()-$C$7),0,MIN($C$7,ROW()-1),1)),0))</f>
        <v>0.168598036374525</v>
      </c>
      <c r="BG265">
        <f t="shared" ca="1" si="120"/>
        <v>0</v>
      </c>
      <c r="BH265" t="str">
        <f ca="1">IF(BG265=1,IF(INDEX(分析データ!$A:$A,ROW()+$C$5)&lt;&gt;"",50000*SIGN(BF265)*(分析データ!D265-INDEX(分析データ!D:D,ROW()+$C$5)),""),"")</f>
        <v/>
      </c>
      <c r="BI265">
        <f t="shared" ca="1" si="121"/>
        <v>0</v>
      </c>
      <c r="BJ265">
        <f t="shared" ca="1" si="122"/>
        <v>0</v>
      </c>
      <c r="BK265">
        <f t="shared" ca="1" si="123"/>
        <v>0</v>
      </c>
      <c r="BL265">
        <f ca="1">IF(ROW()&lt;($C$7+1),"",IFERROR((分析データ!E265-AVERAGE(OFFSET(分析データ!E$1,MAX(1,ROW()-$C$7),0,MIN($C$7,ROW()-1),1)))/STDEV(OFFSET(分析データ!E$1,MAX(1,ROW()-$C$7),0,MIN($C$7,ROW()-1),1)),0))</f>
        <v>1.5715702245944476</v>
      </c>
      <c r="BM265">
        <f t="shared" ca="1" si="124"/>
        <v>0</v>
      </c>
      <c r="BN265" t="str">
        <f ca="1">IF(BM265=1,IF(INDEX(分析データ!$A:$A,ROW()+$C$5)&lt;&gt;"",40000*SIGN(BL265)*(分析データ!E265-INDEX(分析データ!E:E,ROW()+$C$5)),""),"")</f>
        <v/>
      </c>
      <c r="BO265">
        <f t="shared" ca="1" si="125"/>
        <v>280000.00000000291</v>
      </c>
      <c r="BP265">
        <f t="shared" ca="1" si="126"/>
        <v>280000.00000000291</v>
      </c>
      <c r="BQ265">
        <f t="shared" ca="1" si="127"/>
        <v>0</v>
      </c>
      <c r="BR265">
        <f ca="1">IF(ROW()&lt;($C$7+1),"",IFERROR((分析データ!F265-AVERAGE(OFFSET(分析データ!F$1,MAX(1,ROW()-$C$7),0,MIN($C$7,ROW()-1),1)))/STDEV(OFFSET(分析データ!F$1,MAX(1,ROW()-$C$7),0,MIN($C$7,ROW()-1),1)),0))</f>
        <v>-1.2153714241974618</v>
      </c>
      <c r="BS265">
        <f t="shared" ca="1" si="128"/>
        <v>0</v>
      </c>
      <c r="BT265" t="str">
        <f ca="1">IF(BS265=1,IF(INDEX(分析データ!$A:$A,ROW()+$C$5)&lt;&gt;"",40000*SIGN(BR265)*(分析データ!F265-INDEX(分析データ!F:F,ROW()+$C$5)),""),"")</f>
        <v/>
      </c>
      <c r="BU265">
        <f t="shared" ca="1" si="129"/>
        <v>0</v>
      </c>
      <c r="BV265">
        <f t="shared" ca="1" si="130"/>
        <v>0</v>
      </c>
      <c r="BW265">
        <f t="shared" ca="1" si="131"/>
        <v>0</v>
      </c>
      <c r="BX265">
        <f ca="1">IF(ROW()&lt;($C$7+1),"",IFERROR((分析データ!G265-AVERAGE(OFFSET(分析データ!G$1,MAX(1,ROW()-$C$7),0,MIN($C$7,ROW()-1),1)))/STDEV(OFFSET(分析データ!G$1,MAX(1,ROW()-$C$7),0,MIN($C$7,ROW()-1),1)),0))</f>
        <v>1.283157326479802</v>
      </c>
      <c r="BY265">
        <f t="shared" ca="1" si="132"/>
        <v>0</v>
      </c>
      <c r="BZ265" t="str">
        <f ca="1">IF(BY265=1,IF(INDEX(分析データ!$A:$A,ROW()+$C$5)&lt;&gt;"",40000*SIGN(BX265)*(分析データ!G265-INDEX(分析データ!G:G,ROW()+$C$5)),""),"")</f>
        <v/>
      </c>
      <c r="CA265">
        <f t="shared" ca="1" si="133"/>
        <v>3095574.2871093722</v>
      </c>
      <c r="CB265">
        <f t="shared" ca="1" si="134"/>
        <v>3095574.2871093722</v>
      </c>
      <c r="CC265">
        <f t="shared" ca="1" si="135"/>
        <v>0</v>
      </c>
      <c r="CD265">
        <f t="shared" ca="1" si="136"/>
        <v>0</v>
      </c>
      <c r="CE265">
        <f t="shared" ca="1" si="137"/>
        <v>3375574.287109375</v>
      </c>
      <c r="CF265">
        <f t="shared" ca="1" si="138"/>
        <v>3375574.287109375</v>
      </c>
      <c r="CG265">
        <f t="shared" ca="1" si="139"/>
        <v>0</v>
      </c>
      <c r="CH265" s="10">
        <f>分析データ!A265</f>
        <v>45313</v>
      </c>
    </row>
    <row r="266" spans="46:86">
      <c r="AT266">
        <f ca="1">IF(ROW()&lt;($C$7+1),"",IFERROR((分析データ!B266-AVERAGE(OFFSET(分析データ!B$1,MAX(1,ROW()-$C$7),0,MIN($C$7,ROW()-1),1)))/STDEV(OFFSET(分析データ!B$1,MAX(1,ROW()-$C$7),0,MIN($C$7,ROW()-1),1)),0))</f>
        <v>1.7122247095008467</v>
      </c>
      <c r="AU266">
        <f t="shared" ca="1" si="112"/>
        <v>0</v>
      </c>
      <c r="AV266" t="str">
        <f ca="1">IF(AU266=1,IF(INDEX(分析データ!$A:$A,ROW()+$C$5)&lt;&gt;"",80000*SIGN(AT266)*(分析データ!B266-INDEX(分析データ!B:B,ROW()+$C$5)),""),"")</f>
        <v/>
      </c>
      <c r="AW266">
        <f t="shared" ca="1" si="113"/>
        <v>0</v>
      </c>
      <c r="AX266">
        <f t="shared" ca="1" si="114"/>
        <v>0</v>
      </c>
      <c r="AY266">
        <f t="shared" ca="1" si="115"/>
        <v>0</v>
      </c>
      <c r="AZ266">
        <f ca="1">IF(ROW()&lt;($C$7+1),"",IFERROR((分析データ!C266-AVERAGE(OFFSET(分析データ!C$1,MAX(1,ROW()-$C$7),0,MIN($C$7,ROW()-1),1)))/STDEV(OFFSET(分析データ!C$1,MAX(1,ROW()-$C$7),0,MIN($C$7,ROW()-1),1)),0))</f>
        <v>-0.93867201239933729</v>
      </c>
      <c r="BA266">
        <f t="shared" ca="1" si="116"/>
        <v>0</v>
      </c>
      <c r="BB266" t="str">
        <f ca="1">IF(BA266=1,IF(INDEX(分析データ!$A:$A,ROW()+$C$5)&lt;&gt;"",60000*SIGN(AZ266)*(分析データ!C266-INDEX(分析データ!C:C,ROW()+$C$5)),""),"")</f>
        <v/>
      </c>
      <c r="BC266">
        <f t="shared" ca="1" si="117"/>
        <v>0</v>
      </c>
      <c r="BD266">
        <f t="shared" ca="1" si="118"/>
        <v>0</v>
      </c>
      <c r="BE266">
        <f t="shared" ca="1" si="119"/>
        <v>0</v>
      </c>
      <c r="BF266">
        <f ca="1">IF(ROW()&lt;($C$7+1),"",IFERROR((分析データ!D266-AVERAGE(OFFSET(分析データ!D$1,MAX(1,ROW()-$C$7),0,MIN($C$7,ROW()-1),1)))/STDEV(OFFSET(分析データ!D$1,MAX(1,ROW()-$C$7),0,MIN($C$7,ROW()-1),1)),0))</f>
        <v>0.31843152521168833</v>
      </c>
      <c r="BG266">
        <f t="shared" ca="1" si="120"/>
        <v>0</v>
      </c>
      <c r="BH266" t="str">
        <f ca="1">IF(BG266=1,IF(INDEX(分析データ!$A:$A,ROW()+$C$5)&lt;&gt;"",50000*SIGN(BF266)*(分析データ!D266-INDEX(分析データ!D:D,ROW()+$C$5)),""),"")</f>
        <v/>
      </c>
      <c r="BI266">
        <f t="shared" ca="1" si="121"/>
        <v>0</v>
      </c>
      <c r="BJ266">
        <f t="shared" ca="1" si="122"/>
        <v>0</v>
      </c>
      <c r="BK266">
        <f t="shared" ca="1" si="123"/>
        <v>0</v>
      </c>
      <c r="BL266">
        <f ca="1">IF(ROW()&lt;($C$7+1),"",IFERROR((分析データ!E266-AVERAGE(OFFSET(分析データ!E$1,MAX(1,ROW()-$C$7),0,MIN($C$7,ROW()-1),1)))/STDEV(OFFSET(分析データ!E$1,MAX(1,ROW()-$C$7),0,MIN($C$7,ROW()-1),1)),0))</f>
        <v>1.5580758541574418</v>
      </c>
      <c r="BM266">
        <f t="shared" ca="1" si="124"/>
        <v>0</v>
      </c>
      <c r="BN266" t="str">
        <f ca="1">IF(BM266=1,IF(INDEX(分析データ!$A:$A,ROW()+$C$5)&lt;&gt;"",40000*SIGN(BL266)*(分析データ!E266-INDEX(分析データ!E:E,ROW()+$C$5)),""),"")</f>
        <v/>
      </c>
      <c r="BO266">
        <f t="shared" ca="1" si="125"/>
        <v>280000.00000000291</v>
      </c>
      <c r="BP266">
        <f t="shared" ca="1" si="126"/>
        <v>280000.00000000291</v>
      </c>
      <c r="BQ266">
        <f t="shared" ca="1" si="127"/>
        <v>0</v>
      </c>
      <c r="BR266">
        <f ca="1">IF(ROW()&lt;($C$7+1),"",IFERROR((分析データ!F266-AVERAGE(OFFSET(分析データ!F$1,MAX(1,ROW()-$C$7),0,MIN($C$7,ROW()-1),1)))/STDEV(OFFSET(分析データ!F$1,MAX(1,ROW()-$C$7),0,MIN($C$7,ROW()-1),1)),0))</f>
        <v>-1.2865516955985963</v>
      </c>
      <c r="BS266">
        <f t="shared" ca="1" si="128"/>
        <v>0</v>
      </c>
      <c r="BT266" t="str">
        <f ca="1">IF(BS266=1,IF(INDEX(分析データ!$A:$A,ROW()+$C$5)&lt;&gt;"",40000*SIGN(BR266)*(分析データ!F266-INDEX(分析データ!F:F,ROW()+$C$5)),""),"")</f>
        <v/>
      </c>
      <c r="BU266">
        <f t="shared" ca="1" si="129"/>
        <v>0</v>
      </c>
      <c r="BV266">
        <f t="shared" ca="1" si="130"/>
        <v>0</v>
      </c>
      <c r="BW266">
        <f t="shared" ca="1" si="131"/>
        <v>0</v>
      </c>
      <c r="BX266">
        <f ca="1">IF(ROW()&lt;($C$7+1),"",IFERROR((分析データ!G266-AVERAGE(OFFSET(分析データ!G$1,MAX(1,ROW()-$C$7),0,MIN($C$7,ROW()-1),1)))/STDEV(OFFSET(分析データ!G$1,MAX(1,ROW()-$C$7),0,MIN($C$7,ROW()-1),1)),0))</f>
        <v>1.1922150633116317</v>
      </c>
      <c r="BY266">
        <f t="shared" ca="1" si="132"/>
        <v>0</v>
      </c>
      <c r="BZ266" t="str">
        <f ca="1">IF(BY266=1,IF(INDEX(分析データ!$A:$A,ROW()+$C$5)&lt;&gt;"",40000*SIGN(BX266)*(分析データ!G266-INDEX(分析データ!G:G,ROW()+$C$5)),""),"")</f>
        <v/>
      </c>
      <c r="CA266">
        <f t="shared" ca="1" si="133"/>
        <v>3095574.2871093722</v>
      </c>
      <c r="CB266">
        <f t="shared" ca="1" si="134"/>
        <v>3095574.2871093722</v>
      </c>
      <c r="CC266">
        <f t="shared" ca="1" si="135"/>
        <v>0</v>
      </c>
      <c r="CD266">
        <f t="shared" ca="1" si="136"/>
        <v>0</v>
      </c>
      <c r="CE266">
        <f t="shared" ca="1" si="137"/>
        <v>3375574.287109375</v>
      </c>
      <c r="CF266">
        <f t="shared" ca="1" si="138"/>
        <v>3375574.287109375</v>
      </c>
      <c r="CG266">
        <f t="shared" ca="1" si="139"/>
        <v>0</v>
      </c>
      <c r="CH266" s="10">
        <f>分析データ!A266</f>
        <v>45314</v>
      </c>
    </row>
    <row r="267" spans="46:86">
      <c r="AT267">
        <f ca="1">IF(ROW()&lt;($C$7+1),"",IFERROR((分析データ!B267-AVERAGE(OFFSET(分析データ!B$1,MAX(1,ROW()-$C$7),0,MIN($C$7,ROW()-1),1)))/STDEV(OFFSET(分析データ!B$1,MAX(1,ROW()-$C$7),0,MIN($C$7,ROW()-1),1)),0))</f>
        <v>1.7958976616913835</v>
      </c>
      <c r="AU267">
        <f t="shared" ca="1" si="112"/>
        <v>0</v>
      </c>
      <c r="AV267" t="str">
        <f ca="1">IF(AU267=1,IF(INDEX(分析データ!$A:$A,ROW()+$C$5)&lt;&gt;"",80000*SIGN(AT267)*(分析データ!B267-INDEX(分析データ!B:B,ROW()+$C$5)),""),"")</f>
        <v/>
      </c>
      <c r="AW267">
        <f t="shared" ca="1" si="113"/>
        <v>0</v>
      </c>
      <c r="AX267">
        <f t="shared" ca="1" si="114"/>
        <v>0</v>
      </c>
      <c r="AY267">
        <f t="shared" ca="1" si="115"/>
        <v>0</v>
      </c>
      <c r="AZ267">
        <f ca="1">IF(ROW()&lt;($C$7+1),"",IFERROR((分析データ!C267-AVERAGE(OFFSET(分析データ!C$1,MAX(1,ROW()-$C$7),0,MIN($C$7,ROW()-1),1)))/STDEV(OFFSET(分析データ!C$1,MAX(1,ROW()-$C$7),0,MIN($C$7,ROW()-1),1)),0))</f>
        <v>-0.55586473369896872</v>
      </c>
      <c r="BA267">
        <f t="shared" ca="1" si="116"/>
        <v>0</v>
      </c>
      <c r="BB267" t="str">
        <f ca="1">IF(BA267=1,IF(INDEX(分析データ!$A:$A,ROW()+$C$5)&lt;&gt;"",60000*SIGN(AZ267)*(分析データ!C267-INDEX(分析データ!C:C,ROW()+$C$5)),""),"")</f>
        <v/>
      </c>
      <c r="BC267">
        <f t="shared" ca="1" si="117"/>
        <v>0</v>
      </c>
      <c r="BD267">
        <f t="shared" ca="1" si="118"/>
        <v>0</v>
      </c>
      <c r="BE267">
        <f t="shared" ca="1" si="119"/>
        <v>0</v>
      </c>
      <c r="BF267">
        <f ca="1">IF(ROW()&lt;($C$7+1),"",IFERROR((分析データ!D267-AVERAGE(OFFSET(分析データ!D$1,MAX(1,ROW()-$C$7),0,MIN($C$7,ROW()-1),1)))/STDEV(OFFSET(分析データ!D$1,MAX(1,ROW()-$C$7),0,MIN($C$7,ROW()-1),1)),0))</f>
        <v>0.1798110611799415</v>
      </c>
      <c r="BG267">
        <f t="shared" ca="1" si="120"/>
        <v>0</v>
      </c>
      <c r="BH267" t="str">
        <f ca="1">IF(BG267=1,IF(INDEX(分析データ!$A:$A,ROW()+$C$5)&lt;&gt;"",50000*SIGN(BF267)*(分析データ!D267-INDEX(分析データ!D:D,ROW()+$C$5)),""),"")</f>
        <v/>
      </c>
      <c r="BI267">
        <f t="shared" ca="1" si="121"/>
        <v>0</v>
      </c>
      <c r="BJ267">
        <f t="shared" ca="1" si="122"/>
        <v>0</v>
      </c>
      <c r="BK267">
        <f t="shared" ca="1" si="123"/>
        <v>0</v>
      </c>
      <c r="BL267">
        <f ca="1">IF(ROW()&lt;($C$7+1),"",IFERROR((分析データ!E267-AVERAGE(OFFSET(分析データ!E$1,MAX(1,ROW()-$C$7),0,MIN($C$7,ROW()-1),1)))/STDEV(OFFSET(分析データ!E$1,MAX(1,ROW()-$C$7),0,MIN($C$7,ROW()-1),1)),0))</f>
        <v>1.906084290635603</v>
      </c>
      <c r="BM267">
        <f t="shared" ca="1" si="124"/>
        <v>0</v>
      </c>
      <c r="BN267" t="str">
        <f ca="1">IF(BM267=1,IF(INDEX(分析データ!$A:$A,ROW()+$C$5)&lt;&gt;"",40000*SIGN(BL267)*(分析データ!E267-INDEX(分析データ!E:E,ROW()+$C$5)),""),"")</f>
        <v/>
      </c>
      <c r="BO267">
        <f t="shared" ca="1" si="125"/>
        <v>280000.00000000291</v>
      </c>
      <c r="BP267">
        <f t="shared" ca="1" si="126"/>
        <v>280000.00000000291</v>
      </c>
      <c r="BQ267">
        <f t="shared" ca="1" si="127"/>
        <v>0</v>
      </c>
      <c r="BR267">
        <f ca="1">IF(ROW()&lt;($C$7+1),"",IFERROR((分析データ!F267-AVERAGE(OFFSET(分析データ!F$1,MAX(1,ROW()-$C$7),0,MIN($C$7,ROW()-1),1)))/STDEV(OFFSET(分析データ!F$1,MAX(1,ROW()-$C$7),0,MIN($C$7,ROW()-1),1)),0))</f>
        <v>-1.1915662975483265</v>
      </c>
      <c r="BS267">
        <f t="shared" ca="1" si="128"/>
        <v>0</v>
      </c>
      <c r="BT267" t="str">
        <f ca="1">IF(BS267=1,IF(INDEX(分析データ!$A:$A,ROW()+$C$5)&lt;&gt;"",40000*SIGN(BR267)*(分析データ!F267-INDEX(分析データ!F:F,ROW()+$C$5)),""),"")</f>
        <v/>
      </c>
      <c r="BU267">
        <f t="shared" ca="1" si="129"/>
        <v>0</v>
      </c>
      <c r="BV267">
        <f t="shared" ca="1" si="130"/>
        <v>0</v>
      </c>
      <c r="BW267">
        <f t="shared" ca="1" si="131"/>
        <v>0</v>
      </c>
      <c r="BX267">
        <f ca="1">IF(ROW()&lt;($C$7+1),"",IFERROR((分析データ!G267-AVERAGE(OFFSET(分析データ!G$1,MAX(1,ROW()-$C$7),0,MIN($C$7,ROW()-1),1)))/STDEV(OFFSET(分析データ!G$1,MAX(1,ROW()-$C$7),0,MIN($C$7,ROW()-1),1)),0))</f>
        <v>1.2923152338921973</v>
      </c>
      <c r="BY267">
        <f t="shared" ca="1" si="132"/>
        <v>0</v>
      </c>
      <c r="BZ267" t="str">
        <f ca="1">IF(BY267=1,IF(INDEX(分析データ!$A:$A,ROW()+$C$5)&lt;&gt;"",40000*SIGN(BX267)*(分析データ!G267-INDEX(分析データ!G:G,ROW()+$C$5)),""),"")</f>
        <v/>
      </c>
      <c r="CA267">
        <f t="shared" ca="1" si="133"/>
        <v>3095574.2871093722</v>
      </c>
      <c r="CB267">
        <f t="shared" ca="1" si="134"/>
        <v>3095574.2871093722</v>
      </c>
      <c r="CC267">
        <f t="shared" ca="1" si="135"/>
        <v>0</v>
      </c>
      <c r="CD267">
        <f t="shared" ca="1" si="136"/>
        <v>0</v>
      </c>
      <c r="CE267">
        <f t="shared" ca="1" si="137"/>
        <v>3375574.287109375</v>
      </c>
      <c r="CF267">
        <f t="shared" ca="1" si="138"/>
        <v>3375574.287109375</v>
      </c>
      <c r="CG267">
        <f t="shared" ca="1" si="139"/>
        <v>0</v>
      </c>
      <c r="CH267" s="10">
        <f>分析データ!A267</f>
        <v>45315</v>
      </c>
    </row>
    <row r="268" spans="46:86">
      <c r="AT268">
        <f ca="1">IF(ROW()&lt;($C$7+1),"",IFERROR((分析データ!B268-AVERAGE(OFFSET(分析データ!B$1,MAX(1,ROW()-$C$7),0,MIN($C$7,ROW()-1),1)))/STDEV(OFFSET(分析データ!B$1,MAX(1,ROW()-$C$7),0,MIN($C$7,ROW()-1),1)),0))</f>
        <v>1.8267613357018035</v>
      </c>
      <c r="AU268">
        <f t="shared" ca="1" si="112"/>
        <v>0</v>
      </c>
      <c r="AV268" t="str">
        <f ca="1">IF(AU268=1,IF(INDEX(分析データ!$A:$A,ROW()+$C$5)&lt;&gt;"",80000*SIGN(AT268)*(分析データ!B268-INDEX(分析データ!B:B,ROW()+$C$5)),""),"")</f>
        <v/>
      </c>
      <c r="AW268">
        <f t="shared" ca="1" si="113"/>
        <v>0</v>
      </c>
      <c r="AX268">
        <f t="shared" ca="1" si="114"/>
        <v>0</v>
      </c>
      <c r="AY268">
        <f t="shared" ca="1" si="115"/>
        <v>0</v>
      </c>
      <c r="AZ268">
        <f ca="1">IF(ROW()&lt;($C$7+1),"",IFERROR((分析データ!C268-AVERAGE(OFFSET(分析データ!C$1,MAX(1,ROW()-$C$7),0,MIN($C$7,ROW()-1),1)))/STDEV(OFFSET(分析データ!C$1,MAX(1,ROW()-$C$7),0,MIN($C$7,ROW()-1),1)),0))</f>
        <v>-0.21338784374458583</v>
      </c>
      <c r="BA268">
        <f t="shared" ca="1" si="116"/>
        <v>0</v>
      </c>
      <c r="BB268" t="str">
        <f ca="1">IF(BA268=1,IF(INDEX(分析データ!$A:$A,ROW()+$C$5)&lt;&gt;"",60000*SIGN(AZ268)*(分析データ!C268-INDEX(分析データ!C:C,ROW()+$C$5)),""),"")</f>
        <v/>
      </c>
      <c r="BC268">
        <f t="shared" ca="1" si="117"/>
        <v>0</v>
      </c>
      <c r="BD268">
        <f t="shared" ca="1" si="118"/>
        <v>0</v>
      </c>
      <c r="BE268">
        <f t="shared" ca="1" si="119"/>
        <v>0</v>
      </c>
      <c r="BF268">
        <f ca="1">IF(ROW()&lt;($C$7+1),"",IFERROR((分析データ!D268-AVERAGE(OFFSET(分析データ!D$1,MAX(1,ROW()-$C$7),0,MIN($C$7,ROW()-1),1)))/STDEV(OFFSET(分析データ!D$1,MAX(1,ROW()-$C$7),0,MIN($C$7,ROW()-1),1)),0))</f>
        <v>-6.9731390100984614E-2</v>
      </c>
      <c r="BG268">
        <f t="shared" ca="1" si="120"/>
        <v>0</v>
      </c>
      <c r="BH268" t="str">
        <f ca="1">IF(BG268=1,IF(INDEX(分析データ!$A:$A,ROW()+$C$5)&lt;&gt;"",50000*SIGN(BF268)*(分析データ!D268-INDEX(分析データ!D:D,ROW()+$C$5)),""),"")</f>
        <v/>
      </c>
      <c r="BI268">
        <f t="shared" ca="1" si="121"/>
        <v>0</v>
      </c>
      <c r="BJ268">
        <f t="shared" ca="1" si="122"/>
        <v>0</v>
      </c>
      <c r="BK268">
        <f t="shared" ca="1" si="123"/>
        <v>0</v>
      </c>
      <c r="BL268">
        <f ca="1">IF(ROW()&lt;($C$7+1),"",IFERROR((分析データ!E268-AVERAGE(OFFSET(分析データ!E$1,MAX(1,ROW()-$C$7),0,MIN($C$7,ROW()-1),1)))/STDEV(OFFSET(分析データ!E$1,MAX(1,ROW()-$C$7),0,MIN($C$7,ROW()-1),1)),0))</f>
        <v>1.9735296833194578</v>
      </c>
      <c r="BM268">
        <f t="shared" ca="1" si="124"/>
        <v>0</v>
      </c>
      <c r="BN268" t="str">
        <f ca="1">IF(BM268=1,IF(INDEX(分析データ!$A:$A,ROW()+$C$5)&lt;&gt;"",40000*SIGN(BL268)*(分析データ!E268-INDEX(分析データ!E:E,ROW()+$C$5)),""),"")</f>
        <v/>
      </c>
      <c r="BO268">
        <f t="shared" ca="1" si="125"/>
        <v>280000.00000000291</v>
      </c>
      <c r="BP268">
        <f t="shared" ca="1" si="126"/>
        <v>280000.00000000291</v>
      </c>
      <c r="BQ268">
        <f t="shared" ca="1" si="127"/>
        <v>0</v>
      </c>
      <c r="BR268">
        <f ca="1">IF(ROW()&lt;($C$7+1),"",IFERROR((分析データ!F268-AVERAGE(OFFSET(分析データ!F$1,MAX(1,ROW()-$C$7),0,MIN($C$7,ROW()-1),1)))/STDEV(OFFSET(分析データ!F$1,MAX(1,ROW()-$C$7),0,MIN($C$7,ROW()-1),1)),0))</f>
        <v>-1.070391737061448</v>
      </c>
      <c r="BS268">
        <f t="shared" ca="1" si="128"/>
        <v>0</v>
      </c>
      <c r="BT268" t="str">
        <f ca="1">IF(BS268=1,IF(INDEX(分析データ!$A:$A,ROW()+$C$5)&lt;&gt;"",40000*SIGN(BR268)*(分析データ!F268-INDEX(分析データ!F:F,ROW()+$C$5)),""),"")</f>
        <v/>
      </c>
      <c r="BU268">
        <f t="shared" ca="1" si="129"/>
        <v>0</v>
      </c>
      <c r="BV268">
        <f t="shared" ca="1" si="130"/>
        <v>0</v>
      </c>
      <c r="BW268">
        <f t="shared" ca="1" si="131"/>
        <v>0</v>
      </c>
      <c r="BX268">
        <f ca="1">IF(ROW()&lt;($C$7+1),"",IFERROR((分析データ!G268-AVERAGE(OFFSET(分析データ!G$1,MAX(1,ROW()-$C$7),0,MIN($C$7,ROW()-1),1)))/STDEV(OFFSET(分析データ!G$1,MAX(1,ROW()-$C$7),0,MIN($C$7,ROW()-1),1)),0))</f>
        <v>1.3240934853609561</v>
      </c>
      <c r="BY268">
        <f t="shared" ca="1" si="132"/>
        <v>0</v>
      </c>
      <c r="BZ268" t="str">
        <f ca="1">IF(BY268=1,IF(INDEX(分析データ!$A:$A,ROW()+$C$5)&lt;&gt;"",40000*SIGN(BX268)*(分析データ!G268-INDEX(分析データ!G:G,ROW()+$C$5)),""),"")</f>
        <v/>
      </c>
      <c r="CA268">
        <f t="shared" ca="1" si="133"/>
        <v>3095574.2871093722</v>
      </c>
      <c r="CB268">
        <f t="shared" ca="1" si="134"/>
        <v>3095574.2871093722</v>
      </c>
      <c r="CC268">
        <f t="shared" ca="1" si="135"/>
        <v>0</v>
      </c>
      <c r="CD268">
        <f t="shared" ca="1" si="136"/>
        <v>0</v>
      </c>
      <c r="CE268">
        <f t="shared" ca="1" si="137"/>
        <v>3375574.287109375</v>
      </c>
      <c r="CF268">
        <f t="shared" ca="1" si="138"/>
        <v>3375574.287109375</v>
      </c>
      <c r="CG268">
        <f t="shared" ca="1" si="139"/>
        <v>0</v>
      </c>
      <c r="CH268" s="10">
        <f>分析データ!A268</f>
        <v>45316</v>
      </c>
    </row>
    <row r="269" spans="46:86">
      <c r="AT269">
        <f ca="1">IF(ROW()&lt;($C$7+1),"",IFERROR((分析データ!B269-AVERAGE(OFFSET(分析データ!B$1,MAX(1,ROW()-$C$7),0,MIN($C$7,ROW()-1),1)))/STDEV(OFFSET(分析データ!B$1,MAX(1,ROW()-$C$7),0,MIN($C$7,ROW()-1),1)),0))</f>
        <v>1.6061379743481174</v>
      </c>
      <c r="AU269">
        <f t="shared" ca="1" si="112"/>
        <v>0</v>
      </c>
      <c r="AV269" t="str">
        <f ca="1">IF(AU269=1,IF(INDEX(分析データ!$A:$A,ROW()+$C$5)&lt;&gt;"",80000*SIGN(AT269)*(分析データ!B269-INDEX(分析データ!B:B,ROW()+$C$5)),""),"")</f>
        <v/>
      </c>
      <c r="AW269">
        <f t="shared" ca="1" si="113"/>
        <v>0</v>
      </c>
      <c r="AX269">
        <f t="shared" ca="1" si="114"/>
        <v>0</v>
      </c>
      <c r="AY269">
        <f t="shared" ca="1" si="115"/>
        <v>0</v>
      </c>
      <c r="AZ269">
        <f ca="1">IF(ROW()&lt;($C$7+1),"",IFERROR((分析データ!C269-AVERAGE(OFFSET(分析データ!C$1,MAX(1,ROW()-$C$7),0,MIN($C$7,ROW()-1),1)))/STDEV(OFFSET(分析データ!C$1,MAX(1,ROW()-$C$7),0,MIN($C$7,ROW()-1),1)),0))</f>
        <v>-0.49303288622766267</v>
      </c>
      <c r="BA269">
        <f t="shared" ca="1" si="116"/>
        <v>0</v>
      </c>
      <c r="BB269" t="str">
        <f ca="1">IF(BA269=1,IF(INDEX(分析データ!$A:$A,ROW()+$C$5)&lt;&gt;"",60000*SIGN(AZ269)*(分析データ!C269-INDEX(分析データ!C:C,ROW()+$C$5)),""),"")</f>
        <v/>
      </c>
      <c r="BC269">
        <f t="shared" ca="1" si="117"/>
        <v>0</v>
      </c>
      <c r="BD269">
        <f t="shared" ca="1" si="118"/>
        <v>0</v>
      </c>
      <c r="BE269">
        <f t="shared" ca="1" si="119"/>
        <v>0</v>
      </c>
      <c r="BF269">
        <f ca="1">IF(ROW()&lt;($C$7+1),"",IFERROR((分析データ!D269-AVERAGE(OFFSET(分析データ!D$1,MAX(1,ROW()-$C$7),0,MIN($C$7,ROW()-1),1)))/STDEV(OFFSET(分析データ!D$1,MAX(1,ROW()-$C$7),0,MIN($C$7,ROW()-1),1)),0))</f>
        <v>6.3086486830862223E-2</v>
      </c>
      <c r="BG269">
        <f t="shared" ca="1" si="120"/>
        <v>0</v>
      </c>
      <c r="BH269" t="str">
        <f ca="1">IF(BG269=1,IF(INDEX(分析データ!$A:$A,ROW()+$C$5)&lt;&gt;"",50000*SIGN(BF269)*(分析データ!D269-INDEX(分析データ!D:D,ROW()+$C$5)),""),"")</f>
        <v/>
      </c>
      <c r="BI269">
        <f t="shared" ca="1" si="121"/>
        <v>0</v>
      </c>
      <c r="BJ269">
        <f t="shared" ca="1" si="122"/>
        <v>0</v>
      </c>
      <c r="BK269">
        <f t="shared" ca="1" si="123"/>
        <v>0</v>
      </c>
      <c r="BL269">
        <f ca="1">IF(ROW()&lt;($C$7+1),"",IFERROR((分析データ!E269-AVERAGE(OFFSET(分析データ!E$1,MAX(1,ROW()-$C$7),0,MIN($C$7,ROW()-1),1)))/STDEV(OFFSET(分析データ!E$1,MAX(1,ROW()-$C$7),0,MIN($C$7,ROW()-1),1)),0))</f>
        <v>1.7733137811160895</v>
      </c>
      <c r="BM269">
        <f t="shared" ca="1" si="124"/>
        <v>0</v>
      </c>
      <c r="BN269" t="str">
        <f ca="1">IF(BM269=1,IF(INDEX(分析データ!$A:$A,ROW()+$C$5)&lt;&gt;"",40000*SIGN(BL269)*(分析データ!E269-INDEX(分析データ!E:E,ROW()+$C$5)),""),"")</f>
        <v/>
      </c>
      <c r="BO269">
        <f t="shared" ca="1" si="125"/>
        <v>280000.00000000291</v>
      </c>
      <c r="BP269">
        <f t="shared" ca="1" si="126"/>
        <v>280000.00000000291</v>
      </c>
      <c r="BQ269">
        <f t="shared" ca="1" si="127"/>
        <v>0</v>
      </c>
      <c r="BR269">
        <f ca="1">IF(ROW()&lt;($C$7+1),"",IFERROR((分析データ!F269-AVERAGE(OFFSET(分析データ!F$1,MAX(1,ROW()-$C$7),0,MIN($C$7,ROW()-1),1)))/STDEV(OFFSET(分析データ!F$1,MAX(1,ROW()-$C$7),0,MIN($C$7,ROW()-1),1)),0))</f>
        <v>-1.2122305231359107</v>
      </c>
      <c r="BS269">
        <f t="shared" ca="1" si="128"/>
        <v>0</v>
      </c>
      <c r="BT269" t="str">
        <f ca="1">IF(BS269=1,IF(INDEX(分析データ!$A:$A,ROW()+$C$5)&lt;&gt;"",40000*SIGN(BR269)*(分析データ!F269-INDEX(分析データ!F:F,ROW()+$C$5)),""),"")</f>
        <v/>
      </c>
      <c r="BU269">
        <f t="shared" ca="1" si="129"/>
        <v>0</v>
      </c>
      <c r="BV269">
        <f t="shared" ca="1" si="130"/>
        <v>0</v>
      </c>
      <c r="BW269">
        <f t="shared" ca="1" si="131"/>
        <v>0</v>
      </c>
      <c r="BX269">
        <f ca="1">IF(ROW()&lt;($C$7+1),"",IFERROR((分析データ!G269-AVERAGE(OFFSET(分析データ!G$1,MAX(1,ROW()-$C$7),0,MIN($C$7,ROW()-1),1)))/STDEV(OFFSET(分析データ!G$1,MAX(1,ROW()-$C$7),0,MIN($C$7,ROW()-1),1)),0))</f>
        <v>1.3849557099417904</v>
      </c>
      <c r="BY269">
        <f t="shared" ca="1" si="132"/>
        <v>0</v>
      </c>
      <c r="BZ269" t="str">
        <f ca="1">IF(BY269=1,IF(INDEX(分析データ!$A:$A,ROW()+$C$5)&lt;&gt;"",40000*SIGN(BX269)*(分析データ!G269-INDEX(分析データ!G:G,ROW()+$C$5)),""),"")</f>
        <v/>
      </c>
      <c r="CA269">
        <f t="shared" ca="1" si="133"/>
        <v>3095574.2871093722</v>
      </c>
      <c r="CB269">
        <f t="shared" ca="1" si="134"/>
        <v>3095574.2871093722</v>
      </c>
      <c r="CC269">
        <f t="shared" ca="1" si="135"/>
        <v>0</v>
      </c>
      <c r="CD269">
        <f t="shared" ca="1" si="136"/>
        <v>0</v>
      </c>
      <c r="CE269">
        <f t="shared" ca="1" si="137"/>
        <v>3375574.287109375</v>
      </c>
      <c r="CF269">
        <f t="shared" ca="1" si="138"/>
        <v>3375574.287109375</v>
      </c>
      <c r="CG269">
        <f t="shared" ca="1" si="139"/>
        <v>0</v>
      </c>
      <c r="CH269" s="10">
        <f>分析データ!A269</f>
        <v>45317</v>
      </c>
    </row>
    <row r="270" spans="46:86">
      <c r="AT270">
        <f ca="1">IF(ROW()&lt;($C$7+1),"",IFERROR((分析データ!B270-AVERAGE(OFFSET(分析データ!B$1,MAX(1,ROW()-$C$7),0,MIN($C$7,ROW()-1),1)))/STDEV(OFFSET(分析データ!B$1,MAX(1,ROW()-$C$7),0,MIN($C$7,ROW()-1),1)),0))</f>
        <v>1.4905244999218084</v>
      </c>
      <c r="AU270">
        <f t="shared" ca="1" si="112"/>
        <v>0</v>
      </c>
      <c r="AV270" t="str">
        <f ca="1">IF(AU270=1,IF(INDEX(分析データ!$A:$A,ROW()+$C$5)&lt;&gt;"",80000*SIGN(AT270)*(分析データ!B270-INDEX(分析データ!B:B,ROW()+$C$5)),""),"")</f>
        <v/>
      </c>
      <c r="AW270">
        <f t="shared" ca="1" si="113"/>
        <v>0</v>
      </c>
      <c r="AX270">
        <f t="shared" ca="1" si="114"/>
        <v>0</v>
      </c>
      <c r="AY270">
        <f t="shared" ca="1" si="115"/>
        <v>0</v>
      </c>
      <c r="AZ270">
        <f ca="1">IF(ROW()&lt;($C$7+1),"",IFERROR((分析データ!C270-AVERAGE(OFFSET(分析データ!C$1,MAX(1,ROW()-$C$7),0,MIN($C$7,ROW()-1),1)))/STDEV(OFFSET(分析データ!C$1,MAX(1,ROW()-$C$7),0,MIN($C$7,ROW()-1),1)),0))</f>
        <v>-0.64605405359496193</v>
      </c>
      <c r="BA270">
        <f t="shared" ca="1" si="116"/>
        <v>0</v>
      </c>
      <c r="BB270" t="str">
        <f ca="1">IF(BA270=1,IF(INDEX(分析データ!$A:$A,ROW()+$C$5)&lt;&gt;"",60000*SIGN(AZ270)*(分析データ!C270-INDEX(分析データ!C:C,ROW()+$C$5)),""),"")</f>
        <v/>
      </c>
      <c r="BC270">
        <f t="shared" ca="1" si="117"/>
        <v>0</v>
      </c>
      <c r="BD270">
        <f t="shared" ca="1" si="118"/>
        <v>0</v>
      </c>
      <c r="BE270">
        <f t="shared" ca="1" si="119"/>
        <v>0</v>
      </c>
      <c r="BF270">
        <f ca="1">IF(ROW()&lt;($C$7+1),"",IFERROR((分析データ!D270-AVERAGE(OFFSET(分析データ!D$1,MAX(1,ROW()-$C$7),0,MIN($C$7,ROW()-1),1)))/STDEV(OFFSET(分析データ!D$1,MAX(1,ROW()-$C$7),0,MIN($C$7,ROW()-1),1)),0))</f>
        <v>-0.21383161360493544</v>
      </c>
      <c r="BG270">
        <f t="shared" ca="1" si="120"/>
        <v>0</v>
      </c>
      <c r="BH270" t="str">
        <f ca="1">IF(BG270=1,IF(INDEX(分析データ!$A:$A,ROW()+$C$5)&lt;&gt;"",50000*SIGN(BF270)*(分析データ!D270-INDEX(分析データ!D:D,ROW()+$C$5)),""),"")</f>
        <v/>
      </c>
      <c r="BI270">
        <f t="shared" ca="1" si="121"/>
        <v>0</v>
      </c>
      <c r="BJ270">
        <f t="shared" ca="1" si="122"/>
        <v>0</v>
      </c>
      <c r="BK270">
        <f t="shared" ca="1" si="123"/>
        <v>0</v>
      </c>
      <c r="BL270">
        <f ca="1">IF(ROW()&lt;($C$7+1),"",IFERROR((分析データ!E270-AVERAGE(OFFSET(分析データ!E$1,MAX(1,ROW()-$C$7),0,MIN($C$7,ROW()-1),1)))/STDEV(OFFSET(分析データ!E$1,MAX(1,ROW()-$C$7),0,MIN($C$7,ROW()-1),1)),0))</f>
        <v>1.7552217587240673</v>
      </c>
      <c r="BM270">
        <f t="shared" ca="1" si="124"/>
        <v>0</v>
      </c>
      <c r="BN270" t="str">
        <f ca="1">IF(BM270=1,IF(INDEX(分析データ!$A:$A,ROW()+$C$5)&lt;&gt;"",40000*SIGN(BL270)*(分析データ!E270-INDEX(分析データ!E:E,ROW()+$C$5)),""),"")</f>
        <v/>
      </c>
      <c r="BO270">
        <f t="shared" ca="1" si="125"/>
        <v>280000.00000000291</v>
      </c>
      <c r="BP270">
        <f t="shared" ca="1" si="126"/>
        <v>280000.00000000291</v>
      </c>
      <c r="BQ270">
        <f t="shared" ca="1" si="127"/>
        <v>0</v>
      </c>
      <c r="BR270">
        <f ca="1">IF(ROW()&lt;($C$7+1),"",IFERROR((分析データ!F270-AVERAGE(OFFSET(分析データ!F$1,MAX(1,ROW()-$C$7),0,MIN($C$7,ROW()-1),1)))/STDEV(OFFSET(分析データ!F$1,MAX(1,ROW()-$C$7),0,MIN($C$7,ROW()-1),1)),0))</f>
        <v>-1.0362495196665884</v>
      </c>
      <c r="BS270">
        <f t="shared" ca="1" si="128"/>
        <v>0</v>
      </c>
      <c r="BT270" t="str">
        <f ca="1">IF(BS270=1,IF(INDEX(分析データ!$A:$A,ROW()+$C$5)&lt;&gt;"",40000*SIGN(BR270)*(分析データ!F270-INDEX(分析データ!F:F,ROW()+$C$5)),""),"")</f>
        <v/>
      </c>
      <c r="BU270">
        <f t="shared" ca="1" si="129"/>
        <v>0</v>
      </c>
      <c r="BV270">
        <f t="shared" ca="1" si="130"/>
        <v>0</v>
      </c>
      <c r="BW270">
        <f t="shared" ca="1" si="131"/>
        <v>0</v>
      </c>
      <c r="BX270">
        <f ca="1">IF(ROW()&lt;($C$7+1),"",IFERROR((分析データ!G270-AVERAGE(OFFSET(分析データ!G$1,MAX(1,ROW()-$C$7),0,MIN($C$7,ROW()-1),1)))/STDEV(OFFSET(分析データ!G$1,MAX(1,ROW()-$C$7),0,MIN($C$7,ROW()-1),1)),0))</f>
        <v>1.4324188993448588</v>
      </c>
      <c r="BY270">
        <f t="shared" ca="1" si="132"/>
        <v>0</v>
      </c>
      <c r="BZ270" t="str">
        <f ca="1">IF(BY270=1,IF(INDEX(分析データ!$A:$A,ROW()+$C$5)&lt;&gt;"",40000*SIGN(BX270)*(分析データ!G270-INDEX(分析データ!G:G,ROW()+$C$5)),""),"")</f>
        <v/>
      </c>
      <c r="CA270">
        <f t="shared" ca="1" si="133"/>
        <v>3095574.2871093722</v>
      </c>
      <c r="CB270">
        <f t="shared" ca="1" si="134"/>
        <v>3095574.2871093722</v>
      </c>
      <c r="CC270">
        <f t="shared" ca="1" si="135"/>
        <v>0</v>
      </c>
      <c r="CD270">
        <f t="shared" ca="1" si="136"/>
        <v>0</v>
      </c>
      <c r="CE270">
        <f t="shared" ca="1" si="137"/>
        <v>3375574.287109375</v>
      </c>
      <c r="CF270">
        <f t="shared" ca="1" si="138"/>
        <v>3375574.287109375</v>
      </c>
      <c r="CG270">
        <f t="shared" ca="1" si="139"/>
        <v>0</v>
      </c>
      <c r="CH270" s="10">
        <f>分析データ!A270</f>
        <v>45320</v>
      </c>
    </row>
    <row r="271" spans="46:86">
      <c r="AT271">
        <f ca="1">IF(ROW()&lt;($C$7+1),"",IFERROR((分析データ!B271-AVERAGE(OFFSET(分析データ!B$1,MAX(1,ROW()-$C$7),0,MIN($C$7,ROW()-1),1)))/STDEV(OFFSET(分析データ!B$1,MAX(1,ROW()-$C$7),0,MIN($C$7,ROW()-1),1)),0))</f>
        <v>1.0768552046109643</v>
      </c>
      <c r="AU271">
        <f t="shared" ca="1" si="112"/>
        <v>0</v>
      </c>
      <c r="AV271" t="str">
        <f ca="1">IF(AU271=1,IF(INDEX(分析データ!$A:$A,ROW()+$C$5)&lt;&gt;"",80000*SIGN(AT271)*(分析データ!B271-INDEX(分析データ!B:B,ROW()+$C$5)),""),"")</f>
        <v/>
      </c>
      <c r="AW271">
        <f t="shared" ca="1" si="113"/>
        <v>0</v>
      </c>
      <c r="AX271">
        <f t="shared" ca="1" si="114"/>
        <v>0</v>
      </c>
      <c r="AY271">
        <f t="shared" ca="1" si="115"/>
        <v>0</v>
      </c>
      <c r="AZ271">
        <f ca="1">IF(ROW()&lt;($C$7+1),"",IFERROR((分析データ!C271-AVERAGE(OFFSET(分析データ!C$1,MAX(1,ROW()-$C$7),0,MIN($C$7,ROW()-1),1)))/STDEV(OFFSET(分析データ!C$1,MAX(1,ROW()-$C$7),0,MIN($C$7,ROW()-1),1)),0))</f>
        <v>-0.76693229847572153</v>
      </c>
      <c r="BA271">
        <f t="shared" ca="1" si="116"/>
        <v>0</v>
      </c>
      <c r="BB271" t="str">
        <f ca="1">IF(BA271=1,IF(INDEX(分析データ!$A:$A,ROW()+$C$5)&lt;&gt;"",60000*SIGN(AZ271)*(分析データ!C271-INDEX(分析データ!C:C,ROW()+$C$5)),""),"")</f>
        <v/>
      </c>
      <c r="BC271">
        <f t="shared" ca="1" si="117"/>
        <v>0</v>
      </c>
      <c r="BD271">
        <f t="shared" ca="1" si="118"/>
        <v>0</v>
      </c>
      <c r="BE271">
        <f t="shared" ca="1" si="119"/>
        <v>0</v>
      </c>
      <c r="BF271">
        <f ca="1">IF(ROW()&lt;($C$7+1),"",IFERROR((分析データ!D271-AVERAGE(OFFSET(分析データ!D$1,MAX(1,ROW()-$C$7),0,MIN($C$7,ROW()-1),1)))/STDEV(OFFSET(分析データ!D$1,MAX(1,ROW()-$C$7),0,MIN($C$7,ROW()-1),1)),0))</f>
        <v>-0.24442508509879865</v>
      </c>
      <c r="BG271">
        <f t="shared" ca="1" si="120"/>
        <v>0</v>
      </c>
      <c r="BH271" t="str">
        <f ca="1">IF(BG271=1,IF(INDEX(分析データ!$A:$A,ROW()+$C$5)&lt;&gt;"",50000*SIGN(BF271)*(分析データ!D271-INDEX(分析データ!D:D,ROW()+$C$5)),""),"")</f>
        <v/>
      </c>
      <c r="BI271">
        <f t="shared" ca="1" si="121"/>
        <v>0</v>
      </c>
      <c r="BJ271">
        <f t="shared" ca="1" si="122"/>
        <v>0</v>
      </c>
      <c r="BK271">
        <f t="shared" ca="1" si="123"/>
        <v>0</v>
      </c>
      <c r="BL271">
        <f ca="1">IF(ROW()&lt;($C$7+1),"",IFERROR((分析データ!E271-AVERAGE(OFFSET(分析データ!E$1,MAX(1,ROW()-$C$7),0,MIN($C$7,ROW()-1),1)))/STDEV(OFFSET(分析データ!E$1,MAX(1,ROW()-$C$7),0,MIN($C$7,ROW()-1),1)),0))</f>
        <v>1.2955878548104729</v>
      </c>
      <c r="BM271">
        <f t="shared" ca="1" si="124"/>
        <v>0</v>
      </c>
      <c r="BN271" t="str">
        <f ca="1">IF(BM271=1,IF(INDEX(分析データ!$A:$A,ROW()+$C$5)&lt;&gt;"",40000*SIGN(BL271)*(分析データ!E271-INDEX(分析データ!E:E,ROW()+$C$5)),""),"")</f>
        <v/>
      </c>
      <c r="BO271">
        <f t="shared" ca="1" si="125"/>
        <v>280000.00000000291</v>
      </c>
      <c r="BP271">
        <f t="shared" ca="1" si="126"/>
        <v>280000.00000000291</v>
      </c>
      <c r="BQ271">
        <f t="shared" ca="1" si="127"/>
        <v>0</v>
      </c>
      <c r="BR271">
        <f ca="1">IF(ROW()&lt;($C$7+1),"",IFERROR((分析データ!F271-AVERAGE(OFFSET(分析データ!F$1,MAX(1,ROW()-$C$7),0,MIN($C$7,ROW()-1),1)))/STDEV(OFFSET(分析データ!F$1,MAX(1,ROW()-$C$7),0,MIN($C$7,ROW()-1),1)),0))</f>
        <v>-1.1023094836942919</v>
      </c>
      <c r="BS271">
        <f t="shared" ca="1" si="128"/>
        <v>0</v>
      </c>
      <c r="BT271" t="str">
        <f ca="1">IF(BS271=1,IF(INDEX(分析データ!$A:$A,ROW()+$C$5)&lt;&gt;"",40000*SIGN(BR271)*(分析データ!F271-INDEX(分析データ!F:F,ROW()+$C$5)),""),"")</f>
        <v/>
      </c>
      <c r="BU271">
        <f t="shared" ca="1" si="129"/>
        <v>0</v>
      </c>
      <c r="BV271">
        <f t="shared" ca="1" si="130"/>
        <v>0</v>
      </c>
      <c r="BW271">
        <f t="shared" ca="1" si="131"/>
        <v>0</v>
      </c>
      <c r="BX271">
        <f ca="1">IF(ROW()&lt;($C$7+1),"",IFERROR((分析データ!G271-AVERAGE(OFFSET(分析データ!G$1,MAX(1,ROW()-$C$7),0,MIN($C$7,ROW()-1),1)))/STDEV(OFFSET(分析データ!G$1,MAX(1,ROW()-$C$7),0,MIN($C$7,ROW()-1),1)),0))</f>
        <v>1.51805028571525</v>
      </c>
      <c r="BY271">
        <f t="shared" ca="1" si="132"/>
        <v>0</v>
      </c>
      <c r="BZ271" t="str">
        <f ca="1">IF(BY271=1,IF(INDEX(分析データ!$A:$A,ROW()+$C$5)&lt;&gt;"",40000*SIGN(BX271)*(分析データ!G271-INDEX(分析データ!G:G,ROW()+$C$5)),""),"")</f>
        <v/>
      </c>
      <c r="CA271">
        <f t="shared" ca="1" si="133"/>
        <v>3095574.2871093722</v>
      </c>
      <c r="CB271">
        <f t="shared" ca="1" si="134"/>
        <v>3095574.2871093722</v>
      </c>
      <c r="CC271">
        <f t="shared" ca="1" si="135"/>
        <v>0</v>
      </c>
      <c r="CD271">
        <f t="shared" ca="1" si="136"/>
        <v>0</v>
      </c>
      <c r="CE271">
        <f t="shared" ca="1" si="137"/>
        <v>3375574.287109375</v>
      </c>
      <c r="CF271">
        <f t="shared" ca="1" si="138"/>
        <v>3375574.287109375</v>
      </c>
      <c r="CG271">
        <f t="shared" ca="1" si="139"/>
        <v>0</v>
      </c>
      <c r="CH271" s="10">
        <f>分析データ!A271</f>
        <v>45321</v>
      </c>
    </row>
    <row r="272" spans="46:86">
      <c r="AT272">
        <f ca="1">IF(ROW()&lt;($C$7+1),"",IFERROR((分析データ!B272-AVERAGE(OFFSET(分析データ!B$1,MAX(1,ROW()-$C$7),0,MIN($C$7,ROW()-1),1)))/STDEV(OFFSET(分析データ!B$1,MAX(1,ROW()-$C$7),0,MIN($C$7,ROW()-1),1)),0))</f>
        <v>1.1189872219680979</v>
      </c>
      <c r="AU272">
        <f t="shared" ca="1" si="112"/>
        <v>0</v>
      </c>
      <c r="AV272" t="str">
        <f ca="1">IF(AU272=1,IF(INDEX(分析データ!$A:$A,ROW()+$C$5)&lt;&gt;"",80000*SIGN(AT272)*(分析データ!B272-INDEX(分析データ!B:B,ROW()+$C$5)),""),"")</f>
        <v/>
      </c>
      <c r="AW272">
        <f t="shared" ca="1" si="113"/>
        <v>0</v>
      </c>
      <c r="AX272">
        <f t="shared" ca="1" si="114"/>
        <v>0</v>
      </c>
      <c r="AY272">
        <f t="shared" ca="1" si="115"/>
        <v>0</v>
      </c>
      <c r="AZ272">
        <f ca="1">IF(ROW()&lt;($C$7+1),"",IFERROR((分析データ!C272-AVERAGE(OFFSET(分析データ!C$1,MAX(1,ROW()-$C$7),0,MIN($C$7,ROW()-1),1)))/STDEV(OFFSET(分析データ!C$1,MAX(1,ROW()-$C$7),0,MIN($C$7,ROW()-1),1)),0))</f>
        <v>-0.68982975947166414</v>
      </c>
      <c r="BA272">
        <f t="shared" ca="1" si="116"/>
        <v>0</v>
      </c>
      <c r="BB272" t="str">
        <f ca="1">IF(BA272=1,IF(INDEX(分析データ!$A:$A,ROW()+$C$5)&lt;&gt;"",60000*SIGN(AZ272)*(分析データ!C272-INDEX(分析データ!C:C,ROW()+$C$5)),""),"")</f>
        <v/>
      </c>
      <c r="BC272">
        <f t="shared" ca="1" si="117"/>
        <v>0</v>
      </c>
      <c r="BD272">
        <f t="shared" ca="1" si="118"/>
        <v>0</v>
      </c>
      <c r="BE272">
        <f t="shared" ca="1" si="119"/>
        <v>0</v>
      </c>
      <c r="BF272">
        <f ca="1">IF(ROW()&lt;($C$7+1),"",IFERROR((分析データ!D272-AVERAGE(OFFSET(分析データ!D$1,MAX(1,ROW()-$C$7),0,MIN($C$7,ROW()-1),1)))/STDEV(OFFSET(分析データ!D$1,MAX(1,ROW()-$C$7),0,MIN($C$7,ROW()-1),1)),0))</f>
        <v>-0.58327576995901165</v>
      </c>
      <c r="BG272">
        <f t="shared" ca="1" si="120"/>
        <v>0</v>
      </c>
      <c r="BH272" t="str">
        <f ca="1">IF(BG272=1,IF(INDEX(分析データ!$A:$A,ROW()+$C$5)&lt;&gt;"",50000*SIGN(BF272)*(分析データ!D272-INDEX(分析データ!D:D,ROW()+$C$5)),""),"")</f>
        <v/>
      </c>
      <c r="BI272">
        <f t="shared" ca="1" si="121"/>
        <v>0</v>
      </c>
      <c r="BJ272">
        <f t="shared" ca="1" si="122"/>
        <v>0</v>
      </c>
      <c r="BK272">
        <f t="shared" ca="1" si="123"/>
        <v>0</v>
      </c>
      <c r="BL272">
        <f ca="1">IF(ROW()&lt;($C$7+1),"",IFERROR((分析データ!E272-AVERAGE(OFFSET(分析データ!E$1,MAX(1,ROW()-$C$7),0,MIN($C$7,ROW()-1),1)))/STDEV(OFFSET(分析データ!E$1,MAX(1,ROW()-$C$7),0,MIN($C$7,ROW()-1),1)),0))</f>
        <v>1.4615631949031387</v>
      </c>
      <c r="BM272">
        <f t="shared" ca="1" si="124"/>
        <v>0</v>
      </c>
      <c r="BN272" t="str">
        <f ca="1">IF(BM272=1,IF(INDEX(分析データ!$A:$A,ROW()+$C$5)&lt;&gt;"",40000*SIGN(BL272)*(分析データ!E272-INDEX(分析データ!E:E,ROW()+$C$5)),""),"")</f>
        <v/>
      </c>
      <c r="BO272">
        <f t="shared" ca="1" si="125"/>
        <v>280000.00000000291</v>
      </c>
      <c r="BP272">
        <f t="shared" ca="1" si="126"/>
        <v>280000.00000000291</v>
      </c>
      <c r="BQ272">
        <f t="shared" ca="1" si="127"/>
        <v>0</v>
      </c>
      <c r="BR272">
        <f ca="1">IF(ROW()&lt;($C$7+1),"",IFERROR((分析データ!F272-AVERAGE(OFFSET(分析データ!F$1,MAX(1,ROW()-$C$7),0,MIN($C$7,ROW()-1),1)))/STDEV(OFFSET(分析データ!F$1,MAX(1,ROW()-$C$7),0,MIN($C$7,ROW()-1),1)),0))</f>
        <v>-0.91066992393193247</v>
      </c>
      <c r="BS272">
        <f t="shared" ca="1" si="128"/>
        <v>0</v>
      </c>
      <c r="BT272" t="str">
        <f ca="1">IF(BS272=1,IF(INDEX(分析データ!$A:$A,ROW()+$C$5)&lt;&gt;"",40000*SIGN(BR272)*(分析データ!F272-INDEX(分析データ!F:F,ROW()+$C$5)),""),"")</f>
        <v/>
      </c>
      <c r="BU272">
        <f t="shared" ca="1" si="129"/>
        <v>0</v>
      </c>
      <c r="BV272">
        <f t="shared" ca="1" si="130"/>
        <v>0</v>
      </c>
      <c r="BW272">
        <f t="shared" ca="1" si="131"/>
        <v>0</v>
      </c>
      <c r="BX272">
        <f ca="1">IF(ROW()&lt;($C$7+1),"",IFERROR((分析データ!G272-AVERAGE(OFFSET(分析データ!G$1,MAX(1,ROW()-$C$7),0,MIN($C$7,ROW()-1),1)))/STDEV(OFFSET(分析データ!G$1,MAX(1,ROW()-$C$7),0,MIN($C$7,ROW()-1),1)),0))</f>
        <v>1.5178613380119799</v>
      </c>
      <c r="BY272">
        <f t="shared" ca="1" si="132"/>
        <v>0</v>
      </c>
      <c r="BZ272" t="str">
        <f ca="1">IF(BY272=1,IF(INDEX(分析データ!$A:$A,ROW()+$C$5)&lt;&gt;"",40000*SIGN(BX272)*(分析データ!G272-INDEX(分析データ!G:G,ROW()+$C$5)),""),"")</f>
        <v/>
      </c>
      <c r="CA272">
        <f t="shared" ca="1" si="133"/>
        <v>3095574.2871093722</v>
      </c>
      <c r="CB272">
        <f t="shared" ca="1" si="134"/>
        <v>3095574.2871093722</v>
      </c>
      <c r="CC272">
        <f t="shared" ca="1" si="135"/>
        <v>0</v>
      </c>
      <c r="CD272">
        <f t="shared" ca="1" si="136"/>
        <v>0</v>
      </c>
      <c r="CE272">
        <f t="shared" ca="1" si="137"/>
        <v>3375574.287109375</v>
      </c>
      <c r="CF272">
        <f t="shared" ca="1" si="138"/>
        <v>3375574.287109375</v>
      </c>
      <c r="CG272">
        <f t="shared" ca="1" si="139"/>
        <v>0</v>
      </c>
      <c r="CH272" s="10">
        <f>分析データ!A272</f>
        <v>45322</v>
      </c>
    </row>
    <row r="273" spans="46:86">
      <c r="AT273">
        <f ca="1">IF(ROW()&lt;($C$7+1),"",IFERROR((分析データ!B273-AVERAGE(OFFSET(分析データ!B$1,MAX(1,ROW()-$C$7),0,MIN($C$7,ROW()-1),1)))/STDEV(OFFSET(分析データ!B$1,MAX(1,ROW()-$C$7),0,MIN($C$7,ROW()-1),1)),0))</f>
        <v>0.86025949189525197</v>
      </c>
      <c r="AU273">
        <f t="shared" ca="1" si="112"/>
        <v>0</v>
      </c>
      <c r="AV273" t="str">
        <f ca="1">IF(AU273=1,IF(INDEX(分析データ!$A:$A,ROW()+$C$5)&lt;&gt;"",80000*SIGN(AT273)*(分析データ!B273-INDEX(分析データ!B:B,ROW()+$C$5)),""),"")</f>
        <v/>
      </c>
      <c r="AW273">
        <f t="shared" ca="1" si="113"/>
        <v>0</v>
      </c>
      <c r="AX273">
        <f t="shared" ca="1" si="114"/>
        <v>0</v>
      </c>
      <c r="AY273">
        <f t="shared" ca="1" si="115"/>
        <v>0</v>
      </c>
      <c r="AZ273">
        <f ca="1">IF(ROW()&lt;($C$7+1),"",IFERROR((分析データ!C273-AVERAGE(OFFSET(分析データ!C$1,MAX(1,ROW()-$C$7),0,MIN($C$7,ROW()-1),1)))/STDEV(OFFSET(分析データ!C$1,MAX(1,ROW()-$C$7),0,MIN($C$7,ROW()-1),1)),0))</f>
        <v>-1.0149962045897267</v>
      </c>
      <c r="BA273">
        <f t="shared" ca="1" si="116"/>
        <v>0</v>
      </c>
      <c r="BB273" t="str">
        <f ca="1">IF(BA273=1,IF(INDEX(分析データ!$A:$A,ROW()+$C$5)&lt;&gt;"",60000*SIGN(AZ273)*(分析データ!C273-INDEX(分析データ!C:C,ROW()+$C$5)),""),"")</f>
        <v/>
      </c>
      <c r="BC273">
        <f t="shared" ca="1" si="117"/>
        <v>0</v>
      </c>
      <c r="BD273">
        <f t="shared" ca="1" si="118"/>
        <v>0</v>
      </c>
      <c r="BE273">
        <f t="shared" ca="1" si="119"/>
        <v>0</v>
      </c>
      <c r="BF273">
        <f ca="1">IF(ROW()&lt;($C$7+1),"",IFERROR((分析データ!D273-AVERAGE(OFFSET(分析データ!D$1,MAX(1,ROW()-$C$7),0,MIN($C$7,ROW()-1),1)))/STDEV(OFFSET(分析データ!D$1,MAX(1,ROW()-$C$7),0,MIN($C$7,ROW()-1),1)),0))</f>
        <v>-0.88367315943412683</v>
      </c>
      <c r="BG273">
        <f t="shared" ca="1" si="120"/>
        <v>0</v>
      </c>
      <c r="BH273" t="str">
        <f ca="1">IF(BG273=1,IF(INDEX(分析データ!$A:$A,ROW()+$C$5)&lt;&gt;"",50000*SIGN(BF273)*(分析データ!D273-INDEX(分析データ!D:D,ROW()+$C$5)),""),"")</f>
        <v/>
      </c>
      <c r="BI273">
        <f t="shared" ca="1" si="121"/>
        <v>0</v>
      </c>
      <c r="BJ273">
        <f t="shared" ca="1" si="122"/>
        <v>0</v>
      </c>
      <c r="BK273">
        <f t="shared" ca="1" si="123"/>
        <v>0</v>
      </c>
      <c r="BL273">
        <f ca="1">IF(ROW()&lt;($C$7+1),"",IFERROR((分析データ!E273-AVERAGE(OFFSET(分析データ!E$1,MAX(1,ROW()-$C$7),0,MIN($C$7,ROW()-1),1)))/STDEV(OFFSET(分析データ!E$1,MAX(1,ROW()-$C$7),0,MIN($C$7,ROW()-1),1)),0))</f>
        <v>1.3610005405715639</v>
      </c>
      <c r="BM273">
        <f t="shared" ca="1" si="124"/>
        <v>0</v>
      </c>
      <c r="BN273" t="str">
        <f ca="1">IF(BM273=1,IF(INDEX(分析データ!$A:$A,ROW()+$C$5)&lt;&gt;"",40000*SIGN(BL273)*(分析データ!E273-INDEX(分析データ!E:E,ROW()+$C$5)),""),"")</f>
        <v/>
      </c>
      <c r="BO273">
        <f t="shared" ca="1" si="125"/>
        <v>280000.00000000291</v>
      </c>
      <c r="BP273">
        <f t="shared" ca="1" si="126"/>
        <v>280000.00000000291</v>
      </c>
      <c r="BQ273">
        <f t="shared" ca="1" si="127"/>
        <v>0</v>
      </c>
      <c r="BR273">
        <f ca="1">IF(ROW()&lt;($C$7+1),"",IFERROR((分析データ!F273-AVERAGE(OFFSET(分析データ!F$1,MAX(1,ROW()-$C$7),0,MIN($C$7,ROW()-1),1)))/STDEV(OFFSET(分析データ!F$1,MAX(1,ROW()-$C$7),0,MIN($C$7,ROW()-1),1)),0))</f>
        <v>-0.74413031534983276</v>
      </c>
      <c r="BS273">
        <f t="shared" ca="1" si="128"/>
        <v>0</v>
      </c>
      <c r="BT273" t="str">
        <f ca="1">IF(BS273=1,IF(INDEX(分析データ!$A:$A,ROW()+$C$5)&lt;&gt;"",40000*SIGN(BR273)*(分析データ!F273-INDEX(分析データ!F:F,ROW()+$C$5)),""),"")</f>
        <v/>
      </c>
      <c r="BU273">
        <f t="shared" ca="1" si="129"/>
        <v>0</v>
      </c>
      <c r="BV273">
        <f t="shared" ca="1" si="130"/>
        <v>0</v>
      </c>
      <c r="BW273">
        <f t="shared" ca="1" si="131"/>
        <v>0</v>
      </c>
      <c r="BX273">
        <f ca="1">IF(ROW()&lt;($C$7+1),"",IFERROR((分析データ!G273-AVERAGE(OFFSET(分析データ!G$1,MAX(1,ROW()-$C$7),0,MIN($C$7,ROW()-1),1)))/STDEV(OFFSET(分析データ!G$1,MAX(1,ROW()-$C$7),0,MIN($C$7,ROW()-1),1)),0))</f>
        <v>1.5899043156869641</v>
      </c>
      <c r="BY273">
        <f t="shared" ca="1" si="132"/>
        <v>0</v>
      </c>
      <c r="BZ273" t="str">
        <f ca="1">IF(BY273=1,IF(INDEX(分析データ!$A:$A,ROW()+$C$5)&lt;&gt;"",40000*SIGN(BX273)*(分析データ!G273-INDEX(分析データ!G:G,ROW()+$C$5)),""),"")</f>
        <v/>
      </c>
      <c r="CA273">
        <f t="shared" ca="1" si="133"/>
        <v>3095574.2871093722</v>
      </c>
      <c r="CB273">
        <f t="shared" ca="1" si="134"/>
        <v>3095574.2871093722</v>
      </c>
      <c r="CC273">
        <f t="shared" ca="1" si="135"/>
        <v>0</v>
      </c>
      <c r="CD273">
        <f t="shared" ca="1" si="136"/>
        <v>0</v>
      </c>
      <c r="CE273">
        <f t="shared" ca="1" si="137"/>
        <v>3375574.287109375</v>
      </c>
      <c r="CF273">
        <f t="shared" ca="1" si="138"/>
        <v>3375574.287109375</v>
      </c>
      <c r="CG273">
        <f t="shared" ca="1" si="139"/>
        <v>0</v>
      </c>
      <c r="CH273" s="10">
        <f>分析データ!A273</f>
        <v>45323</v>
      </c>
    </row>
    <row r="274" spans="46:86">
      <c r="AT274">
        <f ca="1">IF(ROW()&lt;($C$7+1),"",IFERROR((分析データ!B274-AVERAGE(OFFSET(分析データ!B$1,MAX(1,ROW()-$C$7),0,MIN($C$7,ROW()-1),1)))/STDEV(OFFSET(分析データ!B$1,MAX(1,ROW()-$C$7),0,MIN($C$7,ROW()-1),1)),0))</f>
        <v>1.0538538645332645</v>
      </c>
      <c r="AU274">
        <f t="shared" ca="1" si="112"/>
        <v>0</v>
      </c>
      <c r="AV274" t="str">
        <f ca="1">IF(AU274=1,IF(INDEX(分析データ!$A:$A,ROW()+$C$5)&lt;&gt;"",80000*SIGN(AT274)*(分析データ!B274-INDEX(分析データ!B:B,ROW()+$C$5)),""),"")</f>
        <v/>
      </c>
      <c r="AW274">
        <f t="shared" ca="1" si="113"/>
        <v>0</v>
      </c>
      <c r="AX274">
        <f t="shared" ca="1" si="114"/>
        <v>0</v>
      </c>
      <c r="AY274">
        <f t="shared" ca="1" si="115"/>
        <v>0</v>
      </c>
      <c r="AZ274">
        <f ca="1">IF(ROW()&lt;($C$7+1),"",IFERROR((分析データ!C274-AVERAGE(OFFSET(分析データ!C$1,MAX(1,ROW()-$C$7),0,MIN($C$7,ROW()-1),1)))/STDEV(OFFSET(分析データ!C$1,MAX(1,ROW()-$C$7),0,MIN($C$7,ROW()-1),1)),0))</f>
        <v>-1.4405301412434128</v>
      </c>
      <c r="BA274">
        <f t="shared" ca="1" si="116"/>
        <v>0</v>
      </c>
      <c r="BB274" t="str">
        <f ca="1">IF(BA274=1,IF(INDEX(分析データ!$A:$A,ROW()+$C$5)&lt;&gt;"",60000*SIGN(AZ274)*(分析データ!C274-INDEX(分析データ!C:C,ROW()+$C$5)),""),"")</f>
        <v/>
      </c>
      <c r="BC274">
        <f t="shared" ca="1" si="117"/>
        <v>0</v>
      </c>
      <c r="BD274">
        <f t="shared" ca="1" si="118"/>
        <v>0</v>
      </c>
      <c r="BE274">
        <f t="shared" ca="1" si="119"/>
        <v>0</v>
      </c>
      <c r="BF274">
        <f ca="1">IF(ROW()&lt;($C$7+1),"",IFERROR((分析データ!D274-AVERAGE(OFFSET(分析データ!D$1,MAX(1,ROW()-$C$7),0,MIN($C$7,ROW()-1),1)))/STDEV(OFFSET(分析データ!D$1,MAX(1,ROW()-$C$7),0,MIN($C$7,ROW()-1),1)),0))</f>
        <v>-0.19768958127438152</v>
      </c>
      <c r="BG274">
        <f t="shared" ca="1" si="120"/>
        <v>0</v>
      </c>
      <c r="BH274" t="str">
        <f ca="1">IF(BG274=1,IF(INDEX(分析データ!$A:$A,ROW()+$C$5)&lt;&gt;"",50000*SIGN(BF274)*(分析データ!D274-INDEX(分析データ!D:D,ROW()+$C$5)),""),"")</f>
        <v/>
      </c>
      <c r="BI274">
        <f t="shared" ca="1" si="121"/>
        <v>0</v>
      </c>
      <c r="BJ274">
        <f t="shared" ca="1" si="122"/>
        <v>0</v>
      </c>
      <c r="BK274">
        <f t="shared" ca="1" si="123"/>
        <v>0</v>
      </c>
      <c r="BL274">
        <f ca="1">IF(ROW()&lt;($C$7+1),"",IFERROR((分析データ!E274-AVERAGE(OFFSET(分析データ!E$1,MAX(1,ROW()-$C$7),0,MIN($C$7,ROW()-1),1)))/STDEV(OFFSET(分析データ!E$1,MAX(1,ROW()-$C$7),0,MIN($C$7,ROW()-1),1)),0))</f>
        <v>1.0870074615361893</v>
      </c>
      <c r="BM274">
        <f t="shared" ca="1" si="124"/>
        <v>0</v>
      </c>
      <c r="BN274" t="str">
        <f ca="1">IF(BM274=1,IF(INDEX(分析データ!$A:$A,ROW()+$C$5)&lt;&gt;"",40000*SIGN(BL274)*(分析データ!E274-INDEX(分析データ!E:E,ROW()+$C$5)),""),"")</f>
        <v/>
      </c>
      <c r="BO274">
        <f t="shared" ca="1" si="125"/>
        <v>280000.00000000291</v>
      </c>
      <c r="BP274">
        <f t="shared" ca="1" si="126"/>
        <v>280000.00000000291</v>
      </c>
      <c r="BQ274">
        <f t="shared" ca="1" si="127"/>
        <v>0</v>
      </c>
      <c r="BR274">
        <f ca="1">IF(ROW()&lt;($C$7+1),"",IFERROR((分析データ!F274-AVERAGE(OFFSET(分析データ!F$1,MAX(1,ROW()-$C$7),0,MIN($C$7,ROW()-1),1)))/STDEV(OFFSET(分析データ!F$1,MAX(1,ROW()-$C$7),0,MIN($C$7,ROW()-1),1)),0))</f>
        <v>-1.2331846279558798</v>
      </c>
      <c r="BS274">
        <f t="shared" ca="1" si="128"/>
        <v>0</v>
      </c>
      <c r="BT274" t="str">
        <f ca="1">IF(BS274=1,IF(INDEX(分析データ!$A:$A,ROW()+$C$5)&lt;&gt;"",40000*SIGN(BR274)*(分析データ!F274-INDEX(分析データ!F:F,ROW()+$C$5)),""),"")</f>
        <v/>
      </c>
      <c r="BU274">
        <f t="shared" ca="1" si="129"/>
        <v>0</v>
      </c>
      <c r="BV274">
        <f t="shared" ca="1" si="130"/>
        <v>0</v>
      </c>
      <c r="BW274">
        <f t="shared" ca="1" si="131"/>
        <v>0</v>
      </c>
      <c r="BX274">
        <f ca="1">IF(ROW()&lt;($C$7+1),"",IFERROR((分析データ!G274-AVERAGE(OFFSET(分析データ!G$1,MAX(1,ROW()-$C$7),0,MIN($C$7,ROW()-1),1)))/STDEV(OFFSET(分析データ!G$1,MAX(1,ROW()-$C$7),0,MIN($C$7,ROW()-1),1)),0))</f>
        <v>1.5626577364383514</v>
      </c>
      <c r="BY274">
        <f t="shared" ca="1" si="132"/>
        <v>0</v>
      </c>
      <c r="BZ274" t="str">
        <f ca="1">IF(BY274=1,IF(INDEX(分析データ!$A:$A,ROW()+$C$5)&lt;&gt;"",40000*SIGN(BX274)*(分析データ!G274-INDEX(分析データ!G:G,ROW()+$C$5)),""),"")</f>
        <v/>
      </c>
      <c r="CA274">
        <f t="shared" ca="1" si="133"/>
        <v>3095574.2871093722</v>
      </c>
      <c r="CB274">
        <f t="shared" ca="1" si="134"/>
        <v>3095574.2871093722</v>
      </c>
      <c r="CC274">
        <f t="shared" ca="1" si="135"/>
        <v>0</v>
      </c>
      <c r="CD274">
        <f t="shared" ca="1" si="136"/>
        <v>0</v>
      </c>
      <c r="CE274">
        <f t="shared" ca="1" si="137"/>
        <v>3375574.287109375</v>
      </c>
      <c r="CF274">
        <f t="shared" ca="1" si="138"/>
        <v>3375574.287109375</v>
      </c>
      <c r="CG274">
        <f t="shared" ca="1" si="139"/>
        <v>0</v>
      </c>
      <c r="CH274" s="10">
        <f>分析データ!A274</f>
        <v>45324</v>
      </c>
    </row>
    <row r="275" spans="46:86">
      <c r="AT275">
        <f ca="1">IF(ROW()&lt;($C$7+1),"",IFERROR((分析データ!B275-AVERAGE(OFFSET(分析データ!B$1,MAX(1,ROW()-$C$7),0,MIN($C$7,ROW()-1),1)))/STDEV(OFFSET(分析データ!B$1,MAX(1,ROW()-$C$7),0,MIN($C$7,ROW()-1),1)),0))</f>
        <v>1.2948673018718742</v>
      </c>
      <c r="AU275">
        <f t="shared" ca="1" si="112"/>
        <v>0</v>
      </c>
      <c r="AV275" t="str">
        <f ca="1">IF(AU275=1,IF(INDEX(分析データ!$A:$A,ROW()+$C$5)&lt;&gt;"",80000*SIGN(AT275)*(分析データ!B275-INDEX(分析データ!B:B,ROW()+$C$5)),""),"")</f>
        <v/>
      </c>
      <c r="AW275">
        <f t="shared" ca="1" si="113"/>
        <v>0</v>
      </c>
      <c r="AX275">
        <f t="shared" ca="1" si="114"/>
        <v>0</v>
      </c>
      <c r="AY275">
        <f t="shared" ca="1" si="115"/>
        <v>0</v>
      </c>
      <c r="AZ275">
        <f ca="1">IF(ROW()&lt;($C$7+1),"",IFERROR((分析データ!C275-AVERAGE(OFFSET(分析データ!C$1,MAX(1,ROW()-$C$7),0,MIN($C$7,ROW()-1),1)))/STDEV(OFFSET(分析データ!C$1,MAX(1,ROW()-$C$7),0,MIN($C$7,ROW()-1),1)),0))</f>
        <v>-0.82962771587337325</v>
      </c>
      <c r="BA275">
        <f t="shared" ca="1" si="116"/>
        <v>0</v>
      </c>
      <c r="BB275" t="str">
        <f ca="1">IF(BA275=1,IF(INDEX(分析データ!$A:$A,ROW()+$C$5)&lt;&gt;"",60000*SIGN(AZ275)*(分析データ!C275-INDEX(分析データ!C:C,ROW()+$C$5)),""),"")</f>
        <v/>
      </c>
      <c r="BC275">
        <f t="shared" ca="1" si="117"/>
        <v>0</v>
      </c>
      <c r="BD275">
        <f t="shared" ca="1" si="118"/>
        <v>0</v>
      </c>
      <c r="BE275">
        <f t="shared" ca="1" si="119"/>
        <v>0</v>
      </c>
      <c r="BF275">
        <f ca="1">IF(ROW()&lt;($C$7+1),"",IFERROR((分析データ!D275-AVERAGE(OFFSET(分析データ!D$1,MAX(1,ROW()-$C$7),0,MIN($C$7,ROW()-1),1)))/STDEV(OFFSET(分析データ!D$1,MAX(1,ROW()-$C$7),0,MIN($C$7,ROW()-1),1)),0))</f>
        <v>9.3537113622011614E-2</v>
      </c>
      <c r="BG275">
        <f t="shared" ca="1" si="120"/>
        <v>0</v>
      </c>
      <c r="BH275" t="str">
        <f ca="1">IF(BG275=1,IF(INDEX(分析データ!$A:$A,ROW()+$C$5)&lt;&gt;"",50000*SIGN(BF275)*(分析データ!D275-INDEX(分析データ!D:D,ROW()+$C$5)),""),"")</f>
        <v/>
      </c>
      <c r="BI275">
        <f t="shared" ca="1" si="121"/>
        <v>0</v>
      </c>
      <c r="BJ275">
        <f t="shared" ca="1" si="122"/>
        <v>0</v>
      </c>
      <c r="BK275">
        <f t="shared" ca="1" si="123"/>
        <v>0</v>
      </c>
      <c r="BL275">
        <f ca="1">IF(ROW()&lt;($C$7+1),"",IFERROR((分析データ!E275-AVERAGE(OFFSET(分析データ!E$1,MAX(1,ROW()-$C$7),0,MIN($C$7,ROW()-1),1)))/STDEV(OFFSET(分析データ!E$1,MAX(1,ROW()-$C$7),0,MIN($C$7,ROW()-1),1)),0))</f>
        <v>1.0799118216048862</v>
      </c>
      <c r="BM275">
        <f t="shared" ca="1" si="124"/>
        <v>0</v>
      </c>
      <c r="BN275" t="str">
        <f ca="1">IF(BM275=1,IF(INDEX(分析データ!$A:$A,ROW()+$C$5)&lt;&gt;"",40000*SIGN(BL275)*(分析データ!E275-INDEX(分析データ!E:E,ROW()+$C$5)),""),"")</f>
        <v/>
      </c>
      <c r="BO275">
        <f t="shared" ca="1" si="125"/>
        <v>280000.00000000291</v>
      </c>
      <c r="BP275">
        <f t="shared" ca="1" si="126"/>
        <v>280000.00000000291</v>
      </c>
      <c r="BQ275">
        <f t="shared" ca="1" si="127"/>
        <v>0</v>
      </c>
      <c r="BR275">
        <f ca="1">IF(ROW()&lt;($C$7+1),"",IFERROR((分析データ!F275-AVERAGE(OFFSET(分析データ!F$1,MAX(1,ROW()-$C$7),0,MIN($C$7,ROW()-1),1)))/STDEV(OFFSET(分析データ!F$1,MAX(1,ROW()-$C$7),0,MIN($C$7,ROW()-1),1)),0))</f>
        <v>-1.3173049093832405</v>
      </c>
      <c r="BS275">
        <f t="shared" ca="1" si="128"/>
        <v>0</v>
      </c>
      <c r="BT275" t="str">
        <f ca="1">IF(BS275=1,IF(INDEX(分析データ!$A:$A,ROW()+$C$5)&lt;&gt;"",40000*SIGN(BR275)*(分析データ!F275-INDEX(分析データ!F:F,ROW()+$C$5)),""),"")</f>
        <v/>
      </c>
      <c r="BU275">
        <f t="shared" ca="1" si="129"/>
        <v>0</v>
      </c>
      <c r="BV275">
        <f t="shared" ca="1" si="130"/>
        <v>0</v>
      </c>
      <c r="BW275">
        <f t="shared" ca="1" si="131"/>
        <v>0</v>
      </c>
      <c r="BX275">
        <f ca="1">IF(ROW()&lt;($C$7+1),"",IFERROR((分析データ!G275-AVERAGE(OFFSET(分析データ!G$1,MAX(1,ROW()-$C$7),0,MIN($C$7,ROW()-1),1)))/STDEV(OFFSET(分析データ!G$1,MAX(1,ROW()-$C$7),0,MIN($C$7,ROW()-1),1)),0))</f>
        <v>1.386045987415131</v>
      </c>
      <c r="BY275">
        <f t="shared" ca="1" si="132"/>
        <v>0</v>
      </c>
      <c r="BZ275" t="str">
        <f ca="1">IF(BY275=1,IF(INDEX(分析データ!$A:$A,ROW()+$C$5)&lt;&gt;"",40000*SIGN(BX275)*(分析データ!G275-INDEX(分析データ!G:G,ROW()+$C$5)),""),"")</f>
        <v/>
      </c>
      <c r="CA275">
        <f t="shared" ca="1" si="133"/>
        <v>3095574.2871093722</v>
      </c>
      <c r="CB275">
        <f t="shared" ca="1" si="134"/>
        <v>3095574.2871093722</v>
      </c>
      <c r="CC275">
        <f t="shared" ca="1" si="135"/>
        <v>0</v>
      </c>
      <c r="CD275">
        <f t="shared" ca="1" si="136"/>
        <v>0</v>
      </c>
      <c r="CE275">
        <f t="shared" ca="1" si="137"/>
        <v>3375574.287109375</v>
      </c>
      <c r="CF275">
        <f t="shared" ca="1" si="138"/>
        <v>3375574.287109375</v>
      </c>
      <c r="CG275">
        <f t="shared" ca="1" si="139"/>
        <v>0</v>
      </c>
      <c r="CH275" s="10">
        <f>分析データ!A275</f>
        <v>45327</v>
      </c>
    </row>
    <row r="276" spans="46:86">
      <c r="AT276">
        <f ca="1">IF(ROW()&lt;($C$7+1),"",IFERROR((分析データ!B276-AVERAGE(OFFSET(分析データ!B$1,MAX(1,ROW()-$C$7),0,MIN($C$7,ROW()-1),1)))/STDEV(OFFSET(分析データ!B$1,MAX(1,ROW()-$C$7),0,MIN($C$7,ROW()-1),1)),0))</f>
        <v>1.1349530846843512</v>
      </c>
      <c r="AU276">
        <f t="shared" ca="1" si="112"/>
        <v>0</v>
      </c>
      <c r="AV276" t="str">
        <f ca="1">IF(AU276=1,IF(INDEX(分析データ!$A:$A,ROW()+$C$5)&lt;&gt;"",80000*SIGN(AT276)*(分析データ!B276-INDEX(分析データ!B:B,ROW()+$C$5)),""),"")</f>
        <v/>
      </c>
      <c r="AW276">
        <f t="shared" ca="1" si="113"/>
        <v>0</v>
      </c>
      <c r="AX276">
        <f t="shared" ca="1" si="114"/>
        <v>0</v>
      </c>
      <c r="AY276">
        <f t="shared" ca="1" si="115"/>
        <v>0</v>
      </c>
      <c r="AZ276">
        <f ca="1">IF(ROW()&lt;($C$7+1),"",IFERROR((分析データ!C276-AVERAGE(OFFSET(分析データ!C$1,MAX(1,ROW()-$C$7),0,MIN($C$7,ROW()-1),1)))/STDEV(OFFSET(分析データ!C$1,MAX(1,ROW()-$C$7),0,MIN($C$7,ROW()-1),1)),0))</f>
        <v>-0.70453903027490083</v>
      </c>
      <c r="BA276">
        <f t="shared" ca="1" si="116"/>
        <v>0</v>
      </c>
      <c r="BB276" t="str">
        <f ca="1">IF(BA276=1,IF(INDEX(分析データ!$A:$A,ROW()+$C$5)&lt;&gt;"",60000*SIGN(AZ276)*(分析データ!C276-INDEX(分析データ!C:C,ROW()+$C$5)),""),"")</f>
        <v/>
      </c>
      <c r="BC276">
        <f t="shared" ca="1" si="117"/>
        <v>0</v>
      </c>
      <c r="BD276">
        <f t="shared" ca="1" si="118"/>
        <v>0</v>
      </c>
      <c r="BE276">
        <f t="shared" ca="1" si="119"/>
        <v>0</v>
      </c>
      <c r="BF276">
        <f ca="1">IF(ROW()&lt;($C$7+1),"",IFERROR((分析データ!D276-AVERAGE(OFFSET(分析データ!D$1,MAX(1,ROW()-$C$7),0,MIN($C$7,ROW()-1),1)))/STDEV(OFFSET(分析データ!D$1,MAX(1,ROW()-$C$7),0,MIN($C$7,ROW()-1),1)),0))</f>
        <v>-0.20576349723596898</v>
      </c>
      <c r="BG276">
        <f t="shared" ca="1" si="120"/>
        <v>0</v>
      </c>
      <c r="BH276" t="str">
        <f ca="1">IF(BG276=1,IF(INDEX(分析データ!$A:$A,ROW()+$C$5)&lt;&gt;"",50000*SIGN(BF276)*(分析データ!D276-INDEX(分析データ!D:D,ROW()+$C$5)),""),"")</f>
        <v/>
      </c>
      <c r="BI276">
        <f t="shared" ca="1" si="121"/>
        <v>0</v>
      </c>
      <c r="BJ276">
        <f t="shared" ca="1" si="122"/>
        <v>0</v>
      </c>
      <c r="BK276">
        <f t="shared" ca="1" si="123"/>
        <v>0</v>
      </c>
      <c r="BL276">
        <f ca="1">IF(ROW()&lt;($C$7+1),"",IFERROR((分析データ!E276-AVERAGE(OFFSET(分析データ!E$1,MAX(1,ROW()-$C$7),0,MIN($C$7,ROW()-1),1)))/STDEV(OFFSET(分析データ!E$1,MAX(1,ROW()-$C$7),0,MIN($C$7,ROW()-1),1)),0))</f>
        <v>1.246709857367269</v>
      </c>
      <c r="BM276">
        <f t="shared" ca="1" si="124"/>
        <v>0</v>
      </c>
      <c r="BN276" t="str">
        <f ca="1">IF(BM276=1,IF(INDEX(分析データ!$A:$A,ROW()+$C$5)&lt;&gt;"",40000*SIGN(BL276)*(分析データ!E276-INDEX(分析データ!E:E,ROW()+$C$5)),""),"")</f>
        <v/>
      </c>
      <c r="BO276">
        <f t="shared" ca="1" si="125"/>
        <v>280000.00000000291</v>
      </c>
      <c r="BP276">
        <f t="shared" ca="1" si="126"/>
        <v>280000.00000000291</v>
      </c>
      <c r="BQ276">
        <f t="shared" ca="1" si="127"/>
        <v>0</v>
      </c>
      <c r="BR276">
        <f ca="1">IF(ROW()&lt;($C$7+1),"",IFERROR((分析データ!F276-AVERAGE(OFFSET(分析データ!F$1,MAX(1,ROW()-$C$7),0,MIN($C$7,ROW()-1),1)))/STDEV(OFFSET(分析データ!F$1,MAX(1,ROW()-$C$7),0,MIN($C$7,ROW()-1),1)),0))</f>
        <v>-1.0047393101932054</v>
      </c>
      <c r="BS276">
        <f t="shared" ca="1" si="128"/>
        <v>0</v>
      </c>
      <c r="BT276" t="str">
        <f ca="1">IF(BS276=1,IF(INDEX(分析データ!$A:$A,ROW()+$C$5)&lt;&gt;"",40000*SIGN(BR276)*(分析データ!F276-INDEX(分析データ!F:F,ROW()+$C$5)),""),"")</f>
        <v/>
      </c>
      <c r="BU276">
        <f t="shared" ca="1" si="129"/>
        <v>0</v>
      </c>
      <c r="BV276">
        <f t="shared" ca="1" si="130"/>
        <v>0</v>
      </c>
      <c r="BW276">
        <f t="shared" ca="1" si="131"/>
        <v>0</v>
      </c>
      <c r="BX276">
        <f ca="1">IF(ROW()&lt;($C$7+1),"",IFERROR((分析データ!G276-AVERAGE(OFFSET(分析データ!G$1,MAX(1,ROW()-$C$7),0,MIN($C$7,ROW()-1),1)))/STDEV(OFFSET(分析データ!G$1,MAX(1,ROW()-$C$7),0,MIN($C$7,ROW()-1),1)),0))</f>
        <v>1.2824311620349911</v>
      </c>
      <c r="BY276">
        <f t="shared" ca="1" si="132"/>
        <v>0</v>
      </c>
      <c r="BZ276" t="str">
        <f ca="1">IF(BY276=1,IF(INDEX(分析データ!$A:$A,ROW()+$C$5)&lt;&gt;"",40000*SIGN(BX276)*(分析データ!G276-INDEX(分析データ!G:G,ROW()+$C$5)),""),"")</f>
        <v/>
      </c>
      <c r="CA276">
        <f t="shared" ca="1" si="133"/>
        <v>3095574.2871093722</v>
      </c>
      <c r="CB276">
        <f t="shared" ca="1" si="134"/>
        <v>3095574.2871093722</v>
      </c>
      <c r="CC276">
        <f t="shared" ca="1" si="135"/>
        <v>0</v>
      </c>
      <c r="CD276">
        <f t="shared" ca="1" si="136"/>
        <v>0</v>
      </c>
      <c r="CE276">
        <f t="shared" ca="1" si="137"/>
        <v>3375574.287109375</v>
      </c>
      <c r="CF276">
        <f t="shared" ca="1" si="138"/>
        <v>3375574.287109375</v>
      </c>
      <c r="CG276">
        <f t="shared" ca="1" si="139"/>
        <v>0</v>
      </c>
      <c r="CH276" s="10">
        <f>分析データ!A276</f>
        <v>45328</v>
      </c>
    </row>
    <row r="277" spans="46:86">
      <c r="AT277">
        <f ca="1">IF(ROW()&lt;($C$7+1),"",IFERROR((分析データ!B277-AVERAGE(OFFSET(分析データ!B$1,MAX(1,ROW()-$C$7),0,MIN($C$7,ROW()-1),1)))/STDEV(OFFSET(分析データ!B$1,MAX(1,ROW()-$C$7),0,MIN($C$7,ROW()-1),1)),0))</f>
        <v>0.92719192899591341</v>
      </c>
      <c r="AU277">
        <f t="shared" ca="1" si="112"/>
        <v>0</v>
      </c>
      <c r="AV277" t="str">
        <f ca="1">IF(AU277=1,IF(INDEX(分析データ!$A:$A,ROW()+$C$5)&lt;&gt;"",80000*SIGN(AT277)*(分析データ!B277-INDEX(分析データ!B:B,ROW()+$C$5)),""),"")</f>
        <v/>
      </c>
      <c r="AW277">
        <f t="shared" ca="1" si="113"/>
        <v>0</v>
      </c>
      <c r="AX277">
        <f t="shared" ca="1" si="114"/>
        <v>0</v>
      </c>
      <c r="AY277">
        <f t="shared" ca="1" si="115"/>
        <v>0</v>
      </c>
      <c r="AZ277">
        <f ca="1">IF(ROW()&lt;($C$7+1),"",IFERROR((分析データ!C277-AVERAGE(OFFSET(分析データ!C$1,MAX(1,ROW()-$C$7),0,MIN($C$7,ROW()-1),1)))/STDEV(OFFSET(分析データ!C$1,MAX(1,ROW()-$C$7),0,MIN($C$7,ROW()-1),1)),0))</f>
        <v>-0.74743162104597283</v>
      </c>
      <c r="BA277">
        <f t="shared" ca="1" si="116"/>
        <v>0</v>
      </c>
      <c r="BB277" t="str">
        <f ca="1">IF(BA277=1,IF(INDEX(分析データ!$A:$A,ROW()+$C$5)&lt;&gt;"",60000*SIGN(AZ277)*(分析データ!C277-INDEX(分析データ!C:C,ROW()+$C$5)),""),"")</f>
        <v/>
      </c>
      <c r="BC277">
        <f t="shared" ca="1" si="117"/>
        <v>0</v>
      </c>
      <c r="BD277">
        <f t="shared" ca="1" si="118"/>
        <v>0</v>
      </c>
      <c r="BE277">
        <f t="shared" ca="1" si="119"/>
        <v>0</v>
      </c>
      <c r="BF277">
        <f ca="1">IF(ROW()&lt;($C$7+1),"",IFERROR((分析データ!D277-AVERAGE(OFFSET(分析データ!D$1,MAX(1,ROW()-$C$7),0,MIN($C$7,ROW()-1),1)))/STDEV(OFFSET(分析データ!D$1,MAX(1,ROW()-$C$7),0,MIN($C$7,ROW()-1),1)),0))</f>
        <v>-0.16940374244867251</v>
      </c>
      <c r="BG277">
        <f t="shared" ca="1" si="120"/>
        <v>0</v>
      </c>
      <c r="BH277" t="str">
        <f ca="1">IF(BG277=1,IF(INDEX(分析データ!$A:$A,ROW()+$C$5)&lt;&gt;"",50000*SIGN(BF277)*(分析データ!D277-INDEX(分析データ!D:D,ROW()+$C$5)),""),"")</f>
        <v/>
      </c>
      <c r="BI277">
        <f t="shared" ca="1" si="121"/>
        <v>0</v>
      </c>
      <c r="BJ277">
        <f t="shared" ca="1" si="122"/>
        <v>0</v>
      </c>
      <c r="BK277">
        <f t="shared" ca="1" si="123"/>
        <v>0</v>
      </c>
      <c r="BL277">
        <f ca="1">IF(ROW()&lt;($C$7+1),"",IFERROR((分析データ!E277-AVERAGE(OFFSET(分析データ!E$1,MAX(1,ROW()-$C$7),0,MIN($C$7,ROW()-1),1)))/STDEV(OFFSET(分析データ!E$1,MAX(1,ROW()-$C$7),0,MIN($C$7,ROW()-1),1)),0))</f>
        <v>0.97408515945465535</v>
      </c>
      <c r="BM277">
        <f t="shared" ca="1" si="124"/>
        <v>0</v>
      </c>
      <c r="BN277" t="str">
        <f ca="1">IF(BM277=1,IF(INDEX(分析データ!$A:$A,ROW()+$C$5)&lt;&gt;"",40000*SIGN(BL277)*(分析データ!E277-INDEX(分析データ!E:E,ROW()+$C$5)),""),"")</f>
        <v/>
      </c>
      <c r="BO277">
        <f t="shared" ca="1" si="125"/>
        <v>280000.00000000291</v>
      </c>
      <c r="BP277">
        <f t="shared" ca="1" si="126"/>
        <v>280000.00000000291</v>
      </c>
      <c r="BQ277">
        <f t="shared" ca="1" si="127"/>
        <v>0</v>
      </c>
      <c r="BR277">
        <f ca="1">IF(ROW()&lt;($C$7+1),"",IFERROR((分析データ!F277-AVERAGE(OFFSET(分析データ!F$1,MAX(1,ROW()-$C$7),0,MIN($C$7,ROW()-1),1)))/STDEV(OFFSET(分析データ!F$1,MAX(1,ROW()-$C$7),0,MIN($C$7,ROW()-1),1)),0))</f>
        <v>-0.96867566976031705</v>
      </c>
      <c r="BS277">
        <f t="shared" ca="1" si="128"/>
        <v>0</v>
      </c>
      <c r="BT277" t="str">
        <f ca="1">IF(BS277=1,IF(INDEX(分析データ!$A:$A,ROW()+$C$5)&lt;&gt;"",40000*SIGN(BR277)*(分析データ!F277-INDEX(分析データ!F:F,ROW()+$C$5)),""),"")</f>
        <v/>
      </c>
      <c r="BU277">
        <f t="shared" ca="1" si="129"/>
        <v>0</v>
      </c>
      <c r="BV277">
        <f t="shared" ca="1" si="130"/>
        <v>0</v>
      </c>
      <c r="BW277">
        <f t="shared" ca="1" si="131"/>
        <v>0</v>
      </c>
      <c r="BX277">
        <f ca="1">IF(ROW()&lt;($C$7+1),"",IFERROR((分析データ!G277-AVERAGE(OFFSET(分析データ!G$1,MAX(1,ROW()-$C$7),0,MIN($C$7,ROW()-1),1)))/STDEV(OFFSET(分析データ!G$1,MAX(1,ROW()-$C$7),0,MIN($C$7,ROW()-1),1)),0))</f>
        <v>1.321297645107937</v>
      </c>
      <c r="BY277">
        <f t="shared" ca="1" si="132"/>
        <v>0</v>
      </c>
      <c r="BZ277" t="str">
        <f ca="1">IF(BY277=1,IF(INDEX(分析データ!$A:$A,ROW()+$C$5)&lt;&gt;"",40000*SIGN(BX277)*(分析データ!G277-INDEX(分析データ!G:G,ROW()+$C$5)),""),"")</f>
        <v/>
      </c>
      <c r="CA277">
        <f t="shared" ca="1" si="133"/>
        <v>3095574.2871093722</v>
      </c>
      <c r="CB277">
        <f t="shared" ca="1" si="134"/>
        <v>3095574.2871093722</v>
      </c>
      <c r="CC277">
        <f t="shared" ca="1" si="135"/>
        <v>0</v>
      </c>
      <c r="CD277">
        <f t="shared" ca="1" si="136"/>
        <v>0</v>
      </c>
      <c r="CE277">
        <f t="shared" ca="1" si="137"/>
        <v>3375574.287109375</v>
      </c>
      <c r="CF277">
        <f t="shared" ca="1" si="138"/>
        <v>3375574.287109375</v>
      </c>
      <c r="CG277">
        <f t="shared" ca="1" si="139"/>
        <v>0</v>
      </c>
      <c r="CH277" s="10">
        <f>分析データ!A277</f>
        <v>45329</v>
      </c>
    </row>
    <row r="278" spans="46:86">
      <c r="AT278">
        <f ca="1">IF(ROW()&lt;($C$7+1),"",IFERROR((分析データ!B278-AVERAGE(OFFSET(分析データ!B$1,MAX(1,ROW()-$C$7),0,MIN($C$7,ROW()-1),1)))/STDEV(OFFSET(分析データ!B$1,MAX(1,ROW()-$C$7),0,MIN($C$7,ROW()-1),1)),0))</f>
        <v>1.0195627086555037</v>
      </c>
      <c r="AU278">
        <f t="shared" ca="1" si="112"/>
        <v>0</v>
      </c>
      <c r="AV278" t="str">
        <f ca="1">IF(AU278=1,IF(INDEX(分析データ!$A:$A,ROW()+$C$5)&lt;&gt;"",80000*SIGN(AT278)*(分析データ!B278-INDEX(分析データ!B:B,ROW()+$C$5)),""),"")</f>
        <v/>
      </c>
      <c r="AW278">
        <f t="shared" ca="1" si="113"/>
        <v>0</v>
      </c>
      <c r="AX278">
        <f t="shared" ca="1" si="114"/>
        <v>0</v>
      </c>
      <c r="AY278">
        <f t="shared" ca="1" si="115"/>
        <v>0</v>
      </c>
      <c r="AZ278">
        <f ca="1">IF(ROW()&lt;($C$7+1),"",IFERROR((分析データ!C278-AVERAGE(OFFSET(分析データ!C$1,MAX(1,ROW()-$C$7),0,MIN($C$7,ROW()-1),1)))/STDEV(OFFSET(分析データ!C$1,MAX(1,ROW()-$C$7),0,MIN($C$7,ROW()-1),1)),0))</f>
        <v>-0.91381971291434549</v>
      </c>
      <c r="BA278">
        <f t="shared" ca="1" si="116"/>
        <v>0</v>
      </c>
      <c r="BB278" t="str">
        <f ca="1">IF(BA278=1,IF(INDEX(分析データ!$A:$A,ROW()+$C$5)&lt;&gt;"",60000*SIGN(AZ278)*(分析データ!C278-INDEX(分析データ!C:C,ROW()+$C$5)),""),"")</f>
        <v/>
      </c>
      <c r="BC278">
        <f t="shared" ca="1" si="117"/>
        <v>0</v>
      </c>
      <c r="BD278">
        <f t="shared" ca="1" si="118"/>
        <v>0</v>
      </c>
      <c r="BE278">
        <f t="shared" ca="1" si="119"/>
        <v>0</v>
      </c>
      <c r="BF278">
        <f ca="1">IF(ROW()&lt;($C$7+1),"",IFERROR((分析データ!D278-AVERAGE(OFFSET(分析データ!D$1,MAX(1,ROW()-$C$7),0,MIN($C$7,ROW()-1),1)))/STDEV(OFFSET(分析データ!D$1,MAX(1,ROW()-$C$7),0,MIN($C$7,ROW()-1),1)),0))</f>
        <v>7.7702951372020754E-2</v>
      </c>
      <c r="BG278">
        <f t="shared" ca="1" si="120"/>
        <v>0</v>
      </c>
      <c r="BH278" t="str">
        <f ca="1">IF(BG278=1,IF(INDEX(分析データ!$A:$A,ROW()+$C$5)&lt;&gt;"",50000*SIGN(BF278)*(分析データ!D278-INDEX(分析データ!D:D,ROW()+$C$5)),""),"")</f>
        <v/>
      </c>
      <c r="BI278">
        <f t="shared" ca="1" si="121"/>
        <v>0</v>
      </c>
      <c r="BJ278">
        <f t="shared" ca="1" si="122"/>
        <v>0</v>
      </c>
      <c r="BK278">
        <f t="shared" ca="1" si="123"/>
        <v>0</v>
      </c>
      <c r="BL278">
        <f ca="1">IF(ROW()&lt;($C$7+1),"",IFERROR((分析データ!E278-AVERAGE(OFFSET(分析データ!E$1,MAX(1,ROW()-$C$7),0,MIN($C$7,ROW()-1),1)))/STDEV(OFFSET(分析データ!E$1,MAX(1,ROW()-$C$7),0,MIN($C$7,ROW()-1),1)),0))</f>
        <v>0.96641843456776755</v>
      </c>
      <c r="BM278">
        <f t="shared" ca="1" si="124"/>
        <v>0</v>
      </c>
      <c r="BN278" t="str">
        <f ca="1">IF(BM278=1,IF(INDEX(分析データ!$A:$A,ROW()+$C$5)&lt;&gt;"",40000*SIGN(BL278)*(分析データ!E278-INDEX(分析データ!E:E,ROW()+$C$5)),""),"")</f>
        <v/>
      </c>
      <c r="BO278">
        <f t="shared" ca="1" si="125"/>
        <v>280000.00000000291</v>
      </c>
      <c r="BP278">
        <f t="shared" ca="1" si="126"/>
        <v>280000.00000000291</v>
      </c>
      <c r="BQ278">
        <f t="shared" ca="1" si="127"/>
        <v>0</v>
      </c>
      <c r="BR278">
        <f ca="1">IF(ROW()&lt;($C$7+1),"",IFERROR((分析データ!F278-AVERAGE(OFFSET(分析データ!F$1,MAX(1,ROW()-$C$7),0,MIN($C$7,ROW()-1),1)))/STDEV(OFFSET(分析データ!F$1,MAX(1,ROW()-$C$7),0,MIN($C$7,ROW()-1),1)),0))</f>
        <v>-1.0375446194648037</v>
      </c>
      <c r="BS278">
        <f t="shared" ca="1" si="128"/>
        <v>0</v>
      </c>
      <c r="BT278" t="str">
        <f ca="1">IF(BS278=1,IF(INDEX(分析データ!$A:$A,ROW()+$C$5)&lt;&gt;"",40000*SIGN(BR278)*(分析データ!F278-INDEX(分析データ!F:F,ROW()+$C$5)),""),"")</f>
        <v/>
      </c>
      <c r="BU278">
        <f t="shared" ca="1" si="129"/>
        <v>0</v>
      </c>
      <c r="BV278">
        <f t="shared" ca="1" si="130"/>
        <v>0</v>
      </c>
      <c r="BW278">
        <f t="shared" ca="1" si="131"/>
        <v>0</v>
      </c>
      <c r="BX278">
        <f ca="1">IF(ROW()&lt;($C$7+1),"",IFERROR((分析データ!G278-AVERAGE(OFFSET(分析データ!G$1,MAX(1,ROW()-$C$7),0,MIN($C$7,ROW()-1),1)))/STDEV(OFFSET(分析データ!G$1,MAX(1,ROW()-$C$7),0,MIN($C$7,ROW()-1),1)),0))</f>
        <v>1.098968732066782</v>
      </c>
      <c r="BY278">
        <f t="shared" ca="1" si="132"/>
        <v>0</v>
      </c>
      <c r="BZ278" t="str">
        <f ca="1">IF(BY278=1,IF(INDEX(分析データ!$A:$A,ROW()+$C$5)&lt;&gt;"",40000*SIGN(BX278)*(分析データ!G278-INDEX(分析データ!G:G,ROW()+$C$5)),""),"")</f>
        <v/>
      </c>
      <c r="CA278">
        <f t="shared" ca="1" si="133"/>
        <v>3095574.2871093722</v>
      </c>
      <c r="CB278">
        <f t="shared" ca="1" si="134"/>
        <v>3095574.2871093722</v>
      </c>
      <c r="CC278">
        <f t="shared" ca="1" si="135"/>
        <v>0</v>
      </c>
      <c r="CD278">
        <f t="shared" ca="1" si="136"/>
        <v>0</v>
      </c>
      <c r="CE278">
        <f t="shared" ca="1" si="137"/>
        <v>3375574.287109375</v>
      </c>
      <c r="CF278">
        <f t="shared" ca="1" si="138"/>
        <v>3375574.287109375</v>
      </c>
      <c r="CG278">
        <f t="shared" ca="1" si="139"/>
        <v>0</v>
      </c>
      <c r="CH278" s="10">
        <f>分析データ!A278</f>
        <v>45330</v>
      </c>
    </row>
    <row r="279" spans="46:86">
      <c r="AT279">
        <f ca="1">IF(ROW()&lt;($C$7+1),"",IFERROR((分析データ!B279-AVERAGE(OFFSET(分析データ!B$1,MAX(1,ROW()-$C$7),0,MIN($C$7,ROW()-1),1)))/STDEV(OFFSET(分析データ!B$1,MAX(1,ROW()-$C$7),0,MIN($C$7,ROW()-1),1)),0))</f>
        <v>1.0611560227007937</v>
      </c>
      <c r="AU279">
        <f t="shared" ca="1" si="112"/>
        <v>0</v>
      </c>
      <c r="AV279" t="str">
        <f ca="1">IF(AU279=1,IF(INDEX(分析データ!$A:$A,ROW()+$C$5)&lt;&gt;"",80000*SIGN(AT279)*(分析データ!B279-INDEX(分析データ!B:B,ROW()+$C$5)),""),"")</f>
        <v/>
      </c>
      <c r="AW279">
        <f t="shared" ca="1" si="113"/>
        <v>0</v>
      </c>
      <c r="AX279">
        <f t="shared" ca="1" si="114"/>
        <v>0</v>
      </c>
      <c r="AY279">
        <f t="shared" ca="1" si="115"/>
        <v>0</v>
      </c>
      <c r="AZ279">
        <f ca="1">IF(ROW()&lt;($C$7+1),"",IFERROR((分析データ!C279-AVERAGE(OFFSET(分析データ!C$1,MAX(1,ROW()-$C$7),0,MIN($C$7,ROW()-1),1)))/STDEV(OFFSET(分析データ!C$1,MAX(1,ROW()-$C$7),0,MIN($C$7,ROW()-1),1)),0))</f>
        <v>-0.74949762906300288</v>
      </c>
      <c r="BA279">
        <f t="shared" ca="1" si="116"/>
        <v>0</v>
      </c>
      <c r="BB279" t="str">
        <f ca="1">IF(BA279=1,IF(INDEX(分析データ!$A:$A,ROW()+$C$5)&lt;&gt;"",60000*SIGN(AZ279)*(分析データ!C279-INDEX(分析データ!C:C,ROW()+$C$5)),""),"")</f>
        <v/>
      </c>
      <c r="BC279">
        <f t="shared" ca="1" si="117"/>
        <v>0</v>
      </c>
      <c r="BD279">
        <f t="shared" ca="1" si="118"/>
        <v>0</v>
      </c>
      <c r="BE279">
        <f t="shared" ca="1" si="119"/>
        <v>0</v>
      </c>
      <c r="BF279">
        <f ca="1">IF(ROW()&lt;($C$7+1),"",IFERROR((分析データ!D279-AVERAGE(OFFSET(分析データ!D$1,MAX(1,ROW()-$C$7),0,MIN($C$7,ROW()-1),1)))/STDEV(OFFSET(分析データ!D$1,MAX(1,ROW()-$C$7),0,MIN($C$7,ROW()-1),1)),0))</f>
        <v>5.4641778568607462E-2</v>
      </c>
      <c r="BG279">
        <f t="shared" ca="1" si="120"/>
        <v>0</v>
      </c>
      <c r="BH279" t="str">
        <f ca="1">IF(BG279=1,IF(INDEX(分析データ!$A:$A,ROW()+$C$5)&lt;&gt;"",50000*SIGN(BF279)*(分析データ!D279-INDEX(分析データ!D:D,ROW()+$C$5)),""),"")</f>
        <v/>
      </c>
      <c r="BI279">
        <f t="shared" ca="1" si="121"/>
        <v>0</v>
      </c>
      <c r="BJ279">
        <f t="shared" ca="1" si="122"/>
        <v>0</v>
      </c>
      <c r="BK279">
        <f t="shared" ca="1" si="123"/>
        <v>0</v>
      </c>
      <c r="BL279">
        <f ca="1">IF(ROW()&lt;($C$7+1),"",IFERROR((分析データ!E279-AVERAGE(OFFSET(分析データ!E$1,MAX(1,ROW()-$C$7),0,MIN($C$7,ROW()-1),1)))/STDEV(OFFSET(分析データ!E$1,MAX(1,ROW()-$C$7),0,MIN($C$7,ROW()-1),1)),0))</f>
        <v>0.95877481921005259</v>
      </c>
      <c r="BM279">
        <f t="shared" ca="1" si="124"/>
        <v>0</v>
      </c>
      <c r="BN279" t="str">
        <f ca="1">IF(BM279=1,IF(INDEX(分析データ!$A:$A,ROW()+$C$5)&lt;&gt;"",40000*SIGN(BL279)*(分析データ!E279-INDEX(分析データ!E:E,ROW()+$C$5)),""),"")</f>
        <v/>
      </c>
      <c r="BO279">
        <f t="shared" ca="1" si="125"/>
        <v>280000.00000000291</v>
      </c>
      <c r="BP279">
        <f t="shared" ca="1" si="126"/>
        <v>280000.00000000291</v>
      </c>
      <c r="BQ279">
        <f t="shared" ca="1" si="127"/>
        <v>0</v>
      </c>
      <c r="BR279">
        <f ca="1">IF(ROW()&lt;($C$7+1),"",IFERROR((分析データ!F279-AVERAGE(OFFSET(分析データ!F$1,MAX(1,ROW()-$C$7),0,MIN($C$7,ROW()-1),1)))/STDEV(OFFSET(分析データ!F$1,MAX(1,ROW()-$C$7),0,MIN($C$7,ROW()-1),1)),0))</f>
        <v>-0.9707537534456393</v>
      </c>
      <c r="BS279">
        <f t="shared" ca="1" si="128"/>
        <v>0</v>
      </c>
      <c r="BT279" t="str">
        <f ca="1">IF(BS279=1,IF(INDEX(分析データ!$A:$A,ROW()+$C$5)&lt;&gt;"",40000*SIGN(BR279)*(分析データ!F279-INDEX(分析データ!F:F,ROW()+$C$5)),""),"")</f>
        <v/>
      </c>
      <c r="BU279">
        <f t="shared" ca="1" si="129"/>
        <v>0</v>
      </c>
      <c r="BV279">
        <f t="shared" ca="1" si="130"/>
        <v>0</v>
      </c>
      <c r="BW279">
        <f t="shared" ca="1" si="131"/>
        <v>0</v>
      </c>
      <c r="BX279">
        <f ca="1">IF(ROW()&lt;($C$7+1),"",IFERROR((分析データ!G279-AVERAGE(OFFSET(分析データ!G$1,MAX(1,ROW()-$C$7),0,MIN($C$7,ROW()-1),1)))/STDEV(OFFSET(分析データ!G$1,MAX(1,ROW()-$C$7),0,MIN($C$7,ROW()-1),1)),0))</f>
        <v>1.0804550129028681</v>
      </c>
      <c r="BY279">
        <f t="shared" ca="1" si="132"/>
        <v>0</v>
      </c>
      <c r="BZ279" t="str">
        <f ca="1">IF(BY279=1,IF(INDEX(分析データ!$A:$A,ROW()+$C$5)&lt;&gt;"",40000*SIGN(BX279)*(分析データ!G279-INDEX(分析データ!G:G,ROW()+$C$5)),""),"")</f>
        <v/>
      </c>
      <c r="CA279">
        <f t="shared" ca="1" si="133"/>
        <v>3095574.2871093722</v>
      </c>
      <c r="CB279">
        <f t="shared" ca="1" si="134"/>
        <v>3095574.2871093722</v>
      </c>
      <c r="CC279">
        <f t="shared" ca="1" si="135"/>
        <v>0</v>
      </c>
      <c r="CD279">
        <f t="shared" ca="1" si="136"/>
        <v>0</v>
      </c>
      <c r="CE279">
        <f t="shared" ca="1" si="137"/>
        <v>3375574.287109375</v>
      </c>
      <c r="CF279">
        <f t="shared" ca="1" si="138"/>
        <v>3375574.287109375</v>
      </c>
      <c r="CG279">
        <f t="shared" ca="1" si="139"/>
        <v>0</v>
      </c>
      <c r="CH279" s="10">
        <f>分析データ!A279</f>
        <v>45331</v>
      </c>
    </row>
    <row r="280" spans="46:86">
      <c r="AT280">
        <f ca="1">IF(ROW()&lt;($C$7+1),"",IFERROR((分析データ!B280-AVERAGE(OFFSET(分析データ!B$1,MAX(1,ROW()-$C$7),0,MIN($C$7,ROW()-1),1)))/STDEV(OFFSET(分析データ!B$1,MAX(1,ROW()-$C$7),0,MIN($C$7,ROW()-1),1)),0))</f>
        <v>1.1518189650641686</v>
      </c>
      <c r="AU280">
        <f t="shared" ca="1" si="112"/>
        <v>0</v>
      </c>
      <c r="AV280" t="str">
        <f ca="1">IF(AU280=1,IF(INDEX(分析データ!$A:$A,ROW()+$C$5)&lt;&gt;"",80000*SIGN(AT280)*(分析データ!B280-INDEX(分析データ!B:B,ROW()+$C$5)),""),"")</f>
        <v/>
      </c>
      <c r="AW280">
        <f t="shared" ca="1" si="113"/>
        <v>0</v>
      </c>
      <c r="AX280">
        <f t="shared" ca="1" si="114"/>
        <v>0</v>
      </c>
      <c r="AY280">
        <f t="shared" ca="1" si="115"/>
        <v>0</v>
      </c>
      <c r="AZ280">
        <f ca="1">IF(ROW()&lt;($C$7+1),"",IFERROR((分析データ!C280-AVERAGE(OFFSET(分析データ!C$1,MAX(1,ROW()-$C$7),0,MIN($C$7,ROW()-1),1)))/STDEV(OFFSET(分析データ!C$1,MAX(1,ROW()-$C$7),0,MIN($C$7,ROW()-1),1)),0))</f>
        <v>-0.75468394391081051</v>
      </c>
      <c r="BA280">
        <f t="shared" ca="1" si="116"/>
        <v>0</v>
      </c>
      <c r="BB280" t="str">
        <f ca="1">IF(BA280=1,IF(INDEX(分析データ!$A:$A,ROW()+$C$5)&lt;&gt;"",60000*SIGN(AZ280)*(分析データ!C280-INDEX(分析データ!C:C,ROW()+$C$5)),""),"")</f>
        <v/>
      </c>
      <c r="BC280">
        <f t="shared" ca="1" si="117"/>
        <v>0</v>
      </c>
      <c r="BD280">
        <f t="shared" ca="1" si="118"/>
        <v>0</v>
      </c>
      <c r="BE280">
        <f t="shared" ca="1" si="119"/>
        <v>0</v>
      </c>
      <c r="BF280">
        <f ca="1">IF(ROW()&lt;($C$7+1),"",IFERROR((分析データ!D280-AVERAGE(OFFSET(分析データ!D$1,MAX(1,ROW()-$C$7),0,MIN($C$7,ROW()-1),1)))/STDEV(OFFSET(分析データ!D$1,MAX(1,ROW()-$C$7),0,MIN($C$7,ROW()-1),1)),0))</f>
        <v>5.0617954221543741E-2</v>
      </c>
      <c r="BG280">
        <f t="shared" ca="1" si="120"/>
        <v>0</v>
      </c>
      <c r="BH280" t="str">
        <f ca="1">IF(BG280=1,IF(INDEX(分析データ!$A:$A,ROW()+$C$5)&lt;&gt;"",50000*SIGN(BF280)*(分析データ!D280-INDEX(分析データ!D:D,ROW()+$C$5)),""),"")</f>
        <v/>
      </c>
      <c r="BI280">
        <f t="shared" ca="1" si="121"/>
        <v>0</v>
      </c>
      <c r="BJ280">
        <f t="shared" ca="1" si="122"/>
        <v>0</v>
      </c>
      <c r="BK280">
        <f t="shared" ca="1" si="123"/>
        <v>0</v>
      </c>
      <c r="BL280">
        <f ca="1">IF(ROW()&lt;($C$7+1),"",IFERROR((分析データ!E280-AVERAGE(OFFSET(分析データ!E$1,MAX(1,ROW()-$C$7),0,MIN($C$7,ROW()-1),1)))/STDEV(OFFSET(分析データ!E$1,MAX(1,ROW()-$C$7),0,MIN($C$7,ROW()-1),1)),0))</f>
        <v>1.0387555489577076</v>
      </c>
      <c r="BM280">
        <f t="shared" ca="1" si="124"/>
        <v>0</v>
      </c>
      <c r="BN280" t="str">
        <f ca="1">IF(BM280=1,IF(INDEX(分析データ!$A:$A,ROW()+$C$5)&lt;&gt;"",40000*SIGN(BL280)*(分析データ!E280-INDEX(分析データ!E:E,ROW()+$C$5)),""),"")</f>
        <v/>
      </c>
      <c r="BO280">
        <f t="shared" ca="1" si="125"/>
        <v>280000.00000000291</v>
      </c>
      <c r="BP280">
        <f t="shared" ca="1" si="126"/>
        <v>280000.00000000291</v>
      </c>
      <c r="BQ280">
        <f t="shared" ca="1" si="127"/>
        <v>0</v>
      </c>
      <c r="BR280">
        <f ca="1">IF(ROW()&lt;($C$7+1),"",IFERROR((分析データ!F280-AVERAGE(OFFSET(分析データ!F$1,MAX(1,ROW()-$C$7),0,MIN($C$7,ROW()-1),1)))/STDEV(OFFSET(分析データ!F$1,MAX(1,ROW()-$C$7),0,MIN($C$7,ROW()-1),1)),0))</f>
        <v>-0.91185869196747305</v>
      </c>
      <c r="BS280">
        <f t="shared" ca="1" si="128"/>
        <v>0</v>
      </c>
      <c r="BT280" t="str">
        <f ca="1">IF(BS280=1,IF(INDEX(分析データ!$A:$A,ROW()+$C$5)&lt;&gt;"",40000*SIGN(BR280)*(分析データ!F280-INDEX(分析データ!F:F,ROW()+$C$5)),""),"")</f>
        <v/>
      </c>
      <c r="BU280">
        <f t="shared" ca="1" si="129"/>
        <v>0</v>
      </c>
      <c r="BV280">
        <f t="shared" ca="1" si="130"/>
        <v>0</v>
      </c>
      <c r="BW280">
        <f t="shared" ca="1" si="131"/>
        <v>0</v>
      </c>
      <c r="BX280">
        <f ca="1">IF(ROW()&lt;($C$7+1),"",IFERROR((分析データ!G280-AVERAGE(OFFSET(分析データ!G$1,MAX(1,ROW()-$C$7),0,MIN($C$7,ROW()-1),1)))/STDEV(OFFSET(分析データ!G$1,MAX(1,ROW()-$C$7),0,MIN($C$7,ROW()-1),1)),0))</f>
        <v>1.0215197911251848</v>
      </c>
      <c r="BY280">
        <f t="shared" ca="1" si="132"/>
        <v>0</v>
      </c>
      <c r="BZ280" t="str">
        <f ca="1">IF(BY280=1,IF(INDEX(分析データ!$A:$A,ROW()+$C$5)&lt;&gt;"",40000*SIGN(BX280)*(分析データ!G280-INDEX(分析データ!G:G,ROW()+$C$5)),""),"")</f>
        <v/>
      </c>
      <c r="CA280">
        <f t="shared" ca="1" si="133"/>
        <v>3095574.2871093722</v>
      </c>
      <c r="CB280">
        <f t="shared" ca="1" si="134"/>
        <v>3095574.2871093722</v>
      </c>
      <c r="CC280">
        <f t="shared" ca="1" si="135"/>
        <v>0</v>
      </c>
      <c r="CD280">
        <f t="shared" ca="1" si="136"/>
        <v>0</v>
      </c>
      <c r="CE280">
        <f t="shared" ca="1" si="137"/>
        <v>3375574.287109375</v>
      </c>
      <c r="CF280">
        <f t="shared" ca="1" si="138"/>
        <v>3375574.287109375</v>
      </c>
      <c r="CG280">
        <f t="shared" ca="1" si="139"/>
        <v>0</v>
      </c>
      <c r="CH280" s="10">
        <f>分析データ!A280</f>
        <v>45334</v>
      </c>
    </row>
    <row r="281" spans="46:86">
      <c r="AT281">
        <f ca="1">IF(ROW()&lt;($C$7+1),"",IFERROR((分析データ!B281-AVERAGE(OFFSET(分析データ!B$1,MAX(1,ROW()-$C$7),0,MIN($C$7,ROW()-1),1)))/STDEV(OFFSET(分析データ!B$1,MAX(1,ROW()-$C$7),0,MIN($C$7,ROW()-1),1)),0))</f>
        <v>1.19204034552719</v>
      </c>
      <c r="AU281">
        <f t="shared" ca="1" si="112"/>
        <v>0</v>
      </c>
      <c r="AV281" t="str">
        <f ca="1">IF(AU281=1,IF(INDEX(分析データ!$A:$A,ROW()+$C$5)&lt;&gt;"",80000*SIGN(AT281)*(分析データ!B281-INDEX(分析データ!B:B,ROW()+$C$5)),""),"")</f>
        <v/>
      </c>
      <c r="AW281">
        <f t="shared" ca="1" si="113"/>
        <v>0</v>
      </c>
      <c r="AX281">
        <f t="shared" ca="1" si="114"/>
        <v>0</v>
      </c>
      <c r="AY281">
        <f t="shared" ca="1" si="115"/>
        <v>0</v>
      </c>
      <c r="AZ281">
        <f ca="1">IF(ROW()&lt;($C$7+1),"",IFERROR((分析データ!C281-AVERAGE(OFFSET(分析データ!C$1,MAX(1,ROW()-$C$7),0,MIN($C$7,ROW()-1),1)))/STDEV(OFFSET(分析データ!C$1,MAX(1,ROW()-$C$7),0,MIN($C$7,ROW()-1),1)),0))</f>
        <v>-0.807441486871184</v>
      </c>
      <c r="BA281">
        <f t="shared" ca="1" si="116"/>
        <v>0</v>
      </c>
      <c r="BB281" t="str">
        <f ca="1">IF(BA281=1,IF(INDEX(分析データ!$A:$A,ROW()+$C$5)&lt;&gt;"",60000*SIGN(AZ281)*(分析データ!C281-INDEX(分析データ!C:C,ROW()+$C$5)),""),"")</f>
        <v/>
      </c>
      <c r="BC281">
        <f t="shared" ca="1" si="117"/>
        <v>0</v>
      </c>
      <c r="BD281">
        <f t="shared" ca="1" si="118"/>
        <v>0</v>
      </c>
      <c r="BE281">
        <f t="shared" ca="1" si="119"/>
        <v>0</v>
      </c>
      <c r="BF281">
        <f ca="1">IF(ROW()&lt;($C$7+1),"",IFERROR((分析データ!D281-AVERAGE(OFFSET(分析データ!D$1,MAX(1,ROW()-$C$7),0,MIN($C$7,ROW()-1),1)))/STDEV(OFFSET(分析データ!D$1,MAX(1,ROW()-$C$7),0,MIN($C$7,ROW()-1),1)),0))</f>
        <v>0.54751371762742429</v>
      </c>
      <c r="BG281">
        <f t="shared" ca="1" si="120"/>
        <v>0</v>
      </c>
      <c r="BH281" t="str">
        <f ca="1">IF(BG281=1,IF(INDEX(分析データ!$A:$A,ROW()+$C$5)&lt;&gt;"",50000*SIGN(BF281)*(分析データ!D281-INDEX(分析データ!D:D,ROW()+$C$5)),""),"")</f>
        <v/>
      </c>
      <c r="BI281">
        <f t="shared" ca="1" si="121"/>
        <v>0</v>
      </c>
      <c r="BJ281">
        <f t="shared" ca="1" si="122"/>
        <v>0</v>
      </c>
      <c r="BK281">
        <f t="shared" ca="1" si="123"/>
        <v>0</v>
      </c>
      <c r="BL281">
        <f ca="1">IF(ROW()&lt;($C$7+1),"",IFERROR((分析データ!E281-AVERAGE(OFFSET(分析データ!E$1,MAX(1,ROW()-$C$7),0,MIN($C$7,ROW()-1),1)))/STDEV(OFFSET(分析データ!E$1,MAX(1,ROW()-$C$7),0,MIN($C$7,ROW()-1),1)),0))</f>
        <v>0.67978750467229276</v>
      </c>
      <c r="BM281">
        <f t="shared" ca="1" si="124"/>
        <v>0</v>
      </c>
      <c r="BN281" t="str">
        <f ca="1">IF(BM281=1,IF(INDEX(分析データ!$A:$A,ROW()+$C$5)&lt;&gt;"",40000*SIGN(BL281)*(分析データ!E281-INDEX(分析データ!E:E,ROW()+$C$5)),""),"")</f>
        <v/>
      </c>
      <c r="BO281">
        <f t="shared" ca="1" si="125"/>
        <v>280000.00000000291</v>
      </c>
      <c r="BP281">
        <f t="shared" ca="1" si="126"/>
        <v>280000.00000000291</v>
      </c>
      <c r="BQ281">
        <f t="shared" ca="1" si="127"/>
        <v>0</v>
      </c>
      <c r="BR281">
        <f ca="1">IF(ROW()&lt;($C$7+1),"",IFERROR((分析データ!F281-AVERAGE(OFFSET(分析データ!F$1,MAX(1,ROW()-$C$7),0,MIN($C$7,ROW()-1),1)))/STDEV(OFFSET(分析データ!F$1,MAX(1,ROW()-$C$7),0,MIN($C$7,ROW()-1),1)),0))</f>
        <v>-1.3142012231764431</v>
      </c>
      <c r="BS281">
        <f t="shared" ca="1" si="128"/>
        <v>0</v>
      </c>
      <c r="BT281" t="str">
        <f ca="1">IF(BS281=1,IF(INDEX(分析データ!$A:$A,ROW()+$C$5)&lt;&gt;"",40000*SIGN(BR281)*(分析データ!F281-INDEX(分析データ!F:F,ROW()+$C$5)),""),"")</f>
        <v/>
      </c>
      <c r="BU281">
        <f t="shared" ca="1" si="129"/>
        <v>0</v>
      </c>
      <c r="BV281">
        <f t="shared" ca="1" si="130"/>
        <v>0</v>
      </c>
      <c r="BW281">
        <f t="shared" ca="1" si="131"/>
        <v>0</v>
      </c>
      <c r="BX281">
        <f ca="1">IF(ROW()&lt;($C$7+1),"",IFERROR((分析データ!G281-AVERAGE(OFFSET(分析データ!G$1,MAX(1,ROW()-$C$7),0,MIN($C$7,ROW()-1),1)))/STDEV(OFFSET(分析データ!G$1,MAX(1,ROW()-$C$7),0,MIN($C$7,ROW()-1),1)),0))</f>
        <v>1.085035963893338</v>
      </c>
      <c r="BY281">
        <f t="shared" ca="1" si="132"/>
        <v>0</v>
      </c>
      <c r="BZ281" t="str">
        <f ca="1">IF(BY281=1,IF(INDEX(分析データ!$A:$A,ROW()+$C$5)&lt;&gt;"",40000*SIGN(BX281)*(分析データ!G281-INDEX(分析データ!G:G,ROW()+$C$5)),""),"")</f>
        <v/>
      </c>
      <c r="CA281">
        <f t="shared" ca="1" si="133"/>
        <v>3095574.2871093722</v>
      </c>
      <c r="CB281">
        <f t="shared" ca="1" si="134"/>
        <v>3095574.2871093722</v>
      </c>
      <c r="CC281">
        <f t="shared" ca="1" si="135"/>
        <v>0</v>
      </c>
      <c r="CD281">
        <f t="shared" ca="1" si="136"/>
        <v>0</v>
      </c>
      <c r="CE281">
        <f t="shared" ca="1" si="137"/>
        <v>3375574.287109375</v>
      </c>
      <c r="CF281">
        <f t="shared" ca="1" si="138"/>
        <v>3375574.287109375</v>
      </c>
      <c r="CG281">
        <f t="shared" ca="1" si="139"/>
        <v>0</v>
      </c>
      <c r="CH281" s="10">
        <f>分析データ!A281</f>
        <v>45335</v>
      </c>
    </row>
    <row r="282" spans="46:86">
      <c r="AT282">
        <f ca="1">IF(ROW()&lt;($C$7+1),"",IFERROR((分析データ!B282-AVERAGE(OFFSET(分析データ!B$1,MAX(1,ROW()-$C$7),0,MIN($C$7,ROW()-1),1)))/STDEV(OFFSET(分析データ!B$1,MAX(1,ROW()-$C$7),0,MIN($C$7,ROW()-1),1)),0))</f>
        <v>1.2316303146218239</v>
      </c>
      <c r="AU282">
        <f t="shared" ca="1" si="112"/>
        <v>0</v>
      </c>
      <c r="AV282" t="str">
        <f ca="1">IF(AU282=1,IF(INDEX(分析データ!$A:$A,ROW()+$C$5)&lt;&gt;"",80000*SIGN(AT282)*(分析データ!B282-INDEX(分析データ!B:B,ROW()+$C$5)),""),"")</f>
        <v/>
      </c>
      <c r="AW282">
        <f t="shared" ca="1" si="113"/>
        <v>0</v>
      </c>
      <c r="AX282">
        <f t="shared" ca="1" si="114"/>
        <v>0</v>
      </c>
      <c r="AY282">
        <f t="shared" ca="1" si="115"/>
        <v>0</v>
      </c>
      <c r="AZ282">
        <f ca="1">IF(ROW()&lt;($C$7+1),"",IFERROR((分析データ!C282-AVERAGE(OFFSET(分析データ!C$1,MAX(1,ROW()-$C$7),0,MIN($C$7,ROW()-1),1)))/STDEV(OFFSET(分析データ!C$1,MAX(1,ROW()-$C$7),0,MIN($C$7,ROW()-1),1)),0))</f>
        <v>-0.54137420422150118</v>
      </c>
      <c r="BA282">
        <f t="shared" ca="1" si="116"/>
        <v>0</v>
      </c>
      <c r="BB282" t="str">
        <f ca="1">IF(BA282=1,IF(INDEX(分析データ!$A:$A,ROW()+$C$5)&lt;&gt;"",60000*SIGN(AZ282)*(分析データ!C282-INDEX(分析データ!C:C,ROW()+$C$5)),""),"")</f>
        <v/>
      </c>
      <c r="BC282">
        <f t="shared" ca="1" si="117"/>
        <v>0</v>
      </c>
      <c r="BD282">
        <f t="shared" ca="1" si="118"/>
        <v>0</v>
      </c>
      <c r="BE282">
        <f t="shared" ca="1" si="119"/>
        <v>0</v>
      </c>
      <c r="BF282">
        <f ca="1">IF(ROW()&lt;($C$7+1),"",IFERROR((分析データ!D282-AVERAGE(OFFSET(分析データ!D$1,MAX(1,ROW()-$C$7),0,MIN($C$7,ROW()-1),1)))/STDEV(OFFSET(分析データ!D$1,MAX(1,ROW()-$C$7),0,MIN($C$7,ROW()-1),1)),0))</f>
        <v>0.29045631556938195</v>
      </c>
      <c r="BG282">
        <f t="shared" ca="1" si="120"/>
        <v>0</v>
      </c>
      <c r="BH282" t="str">
        <f ca="1">IF(BG282=1,IF(INDEX(分析データ!$A:$A,ROW()+$C$5)&lt;&gt;"",50000*SIGN(BF282)*(分析データ!D282-INDEX(分析データ!D:D,ROW()+$C$5)),""),"")</f>
        <v/>
      </c>
      <c r="BI282">
        <f t="shared" ca="1" si="121"/>
        <v>0</v>
      </c>
      <c r="BJ282">
        <f t="shared" ca="1" si="122"/>
        <v>0</v>
      </c>
      <c r="BK282">
        <f t="shared" ca="1" si="123"/>
        <v>0</v>
      </c>
      <c r="BL282">
        <f ca="1">IF(ROW()&lt;($C$7+1),"",IFERROR((分析データ!E282-AVERAGE(OFFSET(分析データ!E$1,MAX(1,ROW()-$C$7),0,MIN($C$7,ROW()-1),1)))/STDEV(OFFSET(分析データ!E$1,MAX(1,ROW()-$C$7),0,MIN($C$7,ROW()-1),1)),0))</f>
        <v>0.84954524791696306</v>
      </c>
      <c r="BM282">
        <f t="shared" ca="1" si="124"/>
        <v>0</v>
      </c>
      <c r="BN282" t="str">
        <f ca="1">IF(BM282=1,IF(INDEX(分析データ!$A:$A,ROW()+$C$5)&lt;&gt;"",40000*SIGN(BL282)*(分析データ!E282-INDEX(分析データ!E:E,ROW()+$C$5)),""),"")</f>
        <v/>
      </c>
      <c r="BO282">
        <f t="shared" ca="1" si="125"/>
        <v>280000.00000000291</v>
      </c>
      <c r="BP282">
        <f t="shared" ca="1" si="126"/>
        <v>280000.00000000291</v>
      </c>
      <c r="BQ282">
        <f t="shared" ca="1" si="127"/>
        <v>0</v>
      </c>
      <c r="BR282">
        <f ca="1">IF(ROW()&lt;($C$7+1),"",IFERROR((分析データ!F282-AVERAGE(OFFSET(分析データ!F$1,MAX(1,ROW()-$C$7),0,MIN($C$7,ROW()-1),1)))/STDEV(OFFSET(分析データ!F$1,MAX(1,ROW()-$C$7),0,MIN($C$7,ROW()-1),1)),0))</f>
        <v>-0.99361442497663244</v>
      </c>
      <c r="BS282">
        <f t="shared" ca="1" si="128"/>
        <v>0</v>
      </c>
      <c r="BT282" t="str">
        <f ca="1">IF(BS282=1,IF(INDEX(分析データ!$A:$A,ROW()+$C$5)&lt;&gt;"",40000*SIGN(BR282)*(分析データ!F282-INDEX(分析データ!F:F,ROW()+$C$5)),""),"")</f>
        <v/>
      </c>
      <c r="BU282">
        <f t="shared" ca="1" si="129"/>
        <v>0</v>
      </c>
      <c r="BV282">
        <f t="shared" ca="1" si="130"/>
        <v>0</v>
      </c>
      <c r="BW282">
        <f t="shared" ca="1" si="131"/>
        <v>0</v>
      </c>
      <c r="BX282">
        <f ca="1">IF(ROW()&lt;($C$7+1),"",IFERROR((分析データ!G282-AVERAGE(OFFSET(分析データ!G$1,MAX(1,ROW()-$C$7),0,MIN($C$7,ROW()-1),1)))/STDEV(OFFSET(分析データ!G$1,MAX(1,ROW()-$C$7),0,MIN($C$7,ROW()-1),1)),0))</f>
        <v>0.94906059112703156</v>
      </c>
      <c r="BY282">
        <f t="shared" ca="1" si="132"/>
        <v>0</v>
      </c>
      <c r="BZ282" t="str">
        <f ca="1">IF(BY282=1,IF(INDEX(分析データ!$A:$A,ROW()+$C$5)&lt;&gt;"",40000*SIGN(BX282)*(分析データ!G282-INDEX(分析データ!G:G,ROW()+$C$5)),""),"")</f>
        <v/>
      </c>
      <c r="CA282">
        <f t="shared" ca="1" si="133"/>
        <v>3095574.2871093722</v>
      </c>
      <c r="CB282">
        <f t="shared" ca="1" si="134"/>
        <v>3095574.2871093722</v>
      </c>
      <c r="CC282">
        <f t="shared" ca="1" si="135"/>
        <v>0</v>
      </c>
      <c r="CD282">
        <f t="shared" ca="1" si="136"/>
        <v>0</v>
      </c>
      <c r="CE282">
        <f t="shared" ca="1" si="137"/>
        <v>3375574.287109375</v>
      </c>
      <c r="CF282">
        <f t="shared" ca="1" si="138"/>
        <v>3375574.287109375</v>
      </c>
      <c r="CG282">
        <f t="shared" ca="1" si="139"/>
        <v>0</v>
      </c>
      <c r="CH282" s="10">
        <f>分析データ!A282</f>
        <v>45336</v>
      </c>
    </row>
    <row r="283" spans="46:86">
      <c r="AT283">
        <f ca="1">IF(ROW()&lt;($C$7+1),"",IFERROR((分析データ!B283-AVERAGE(OFFSET(分析データ!B$1,MAX(1,ROW()-$C$7),0,MIN($C$7,ROW()-1),1)))/STDEV(OFFSET(分析データ!B$1,MAX(1,ROW()-$C$7),0,MIN($C$7,ROW()-1),1)),0))</f>
        <v>1.0737909219105348</v>
      </c>
      <c r="AU283">
        <f t="shared" ca="1" si="112"/>
        <v>0</v>
      </c>
      <c r="AV283" t="str">
        <f ca="1">IF(AU283=1,IF(INDEX(分析データ!$A:$A,ROW()+$C$5)&lt;&gt;"",80000*SIGN(AT283)*(分析データ!B283-INDEX(分析データ!B:B,ROW()+$C$5)),""),"")</f>
        <v/>
      </c>
      <c r="AW283">
        <f t="shared" ca="1" si="113"/>
        <v>0</v>
      </c>
      <c r="AX283">
        <f t="shared" ca="1" si="114"/>
        <v>0</v>
      </c>
      <c r="AY283">
        <f t="shared" ca="1" si="115"/>
        <v>0</v>
      </c>
      <c r="AZ283">
        <f ca="1">IF(ROW()&lt;($C$7+1),"",IFERROR((分析データ!C283-AVERAGE(OFFSET(分析データ!C$1,MAX(1,ROW()-$C$7),0,MIN($C$7,ROW()-1),1)))/STDEV(OFFSET(分析データ!C$1,MAX(1,ROW()-$C$7),0,MIN($C$7,ROW()-1),1)),0))</f>
        <v>-0.97775609901385629</v>
      </c>
      <c r="BA283">
        <f t="shared" ca="1" si="116"/>
        <v>0</v>
      </c>
      <c r="BB283" t="str">
        <f ca="1">IF(BA283=1,IF(INDEX(分析データ!$A:$A,ROW()+$C$5)&lt;&gt;"",60000*SIGN(AZ283)*(分析データ!C283-INDEX(分析データ!C:C,ROW()+$C$5)),""),"")</f>
        <v/>
      </c>
      <c r="BC283">
        <f t="shared" ca="1" si="117"/>
        <v>0</v>
      </c>
      <c r="BD283">
        <f t="shared" ca="1" si="118"/>
        <v>0</v>
      </c>
      <c r="BE283">
        <f t="shared" ca="1" si="119"/>
        <v>0</v>
      </c>
      <c r="BF283">
        <f ca="1">IF(ROW()&lt;($C$7+1),"",IFERROR((分析データ!D283-AVERAGE(OFFSET(分析データ!D$1,MAX(1,ROW()-$C$7),0,MIN($C$7,ROW()-1),1)))/STDEV(OFFSET(分析データ!D$1,MAX(1,ROW()-$C$7),0,MIN($C$7,ROW()-1),1)),0))</f>
        <v>0.27941052265943217</v>
      </c>
      <c r="BG283">
        <f t="shared" ca="1" si="120"/>
        <v>0</v>
      </c>
      <c r="BH283" t="str">
        <f ca="1">IF(BG283=1,IF(INDEX(分析データ!$A:$A,ROW()+$C$5)&lt;&gt;"",50000*SIGN(BF283)*(分析データ!D283-INDEX(分析データ!D:D,ROW()+$C$5)),""),"")</f>
        <v/>
      </c>
      <c r="BI283">
        <f t="shared" ca="1" si="121"/>
        <v>0</v>
      </c>
      <c r="BJ283">
        <f t="shared" ca="1" si="122"/>
        <v>0</v>
      </c>
      <c r="BK283">
        <f t="shared" ca="1" si="123"/>
        <v>0</v>
      </c>
      <c r="BL283">
        <f ca="1">IF(ROW()&lt;($C$7+1),"",IFERROR((分析データ!E283-AVERAGE(OFFSET(分析データ!E$1,MAX(1,ROW()-$C$7),0,MIN($C$7,ROW()-1),1)))/STDEV(OFFSET(分析データ!E$1,MAX(1,ROW()-$C$7),0,MIN($C$7,ROW()-1),1)),0))</f>
        <v>0.84270663190873329</v>
      </c>
      <c r="BM283">
        <f t="shared" ca="1" si="124"/>
        <v>0</v>
      </c>
      <c r="BN283" t="str">
        <f ca="1">IF(BM283=1,IF(INDEX(分析データ!$A:$A,ROW()+$C$5)&lt;&gt;"",40000*SIGN(BL283)*(分析データ!E283-INDEX(分析データ!E:E,ROW()+$C$5)),""),"")</f>
        <v/>
      </c>
      <c r="BO283">
        <f t="shared" ca="1" si="125"/>
        <v>280000.00000000291</v>
      </c>
      <c r="BP283">
        <f t="shared" ca="1" si="126"/>
        <v>280000.00000000291</v>
      </c>
      <c r="BQ283">
        <f t="shared" ca="1" si="127"/>
        <v>0</v>
      </c>
      <c r="BR283">
        <f ca="1">IF(ROW()&lt;($C$7+1),"",IFERROR((分析データ!F283-AVERAGE(OFFSET(分析データ!F$1,MAX(1,ROW()-$C$7),0,MIN($C$7,ROW()-1),1)))/STDEV(OFFSET(分析データ!F$1,MAX(1,ROW()-$C$7),0,MIN($C$7,ROW()-1),1)),0))</f>
        <v>-1.2554400951334757</v>
      </c>
      <c r="BS283">
        <f t="shared" ca="1" si="128"/>
        <v>0</v>
      </c>
      <c r="BT283" t="str">
        <f ca="1">IF(BS283=1,IF(INDEX(分析データ!$A:$A,ROW()+$C$5)&lt;&gt;"",40000*SIGN(BR283)*(分析データ!F283-INDEX(分析データ!F:F,ROW()+$C$5)),""),"")</f>
        <v/>
      </c>
      <c r="BU283">
        <f t="shared" ca="1" si="129"/>
        <v>0</v>
      </c>
      <c r="BV283">
        <f t="shared" ca="1" si="130"/>
        <v>0</v>
      </c>
      <c r="BW283">
        <f t="shared" ca="1" si="131"/>
        <v>0</v>
      </c>
      <c r="BX283">
        <f ca="1">IF(ROW()&lt;($C$7+1),"",IFERROR((分析データ!G283-AVERAGE(OFFSET(分析データ!G$1,MAX(1,ROW()-$C$7),0,MIN($C$7,ROW()-1),1)))/STDEV(OFFSET(分析データ!G$1,MAX(1,ROW()-$C$7),0,MIN($C$7,ROW()-1),1)),0))</f>
        <v>1.2531258098957367</v>
      </c>
      <c r="BY283">
        <f t="shared" ca="1" si="132"/>
        <v>0</v>
      </c>
      <c r="BZ283" t="str">
        <f ca="1">IF(BY283=1,IF(INDEX(分析データ!$A:$A,ROW()+$C$5)&lt;&gt;"",40000*SIGN(BX283)*(分析データ!G283-INDEX(分析データ!G:G,ROW()+$C$5)),""),"")</f>
        <v/>
      </c>
      <c r="CA283">
        <f t="shared" ca="1" si="133"/>
        <v>3095574.2871093722</v>
      </c>
      <c r="CB283">
        <f t="shared" ca="1" si="134"/>
        <v>3095574.2871093722</v>
      </c>
      <c r="CC283">
        <f t="shared" ca="1" si="135"/>
        <v>0</v>
      </c>
      <c r="CD283">
        <f t="shared" ca="1" si="136"/>
        <v>0</v>
      </c>
      <c r="CE283">
        <f t="shared" ca="1" si="137"/>
        <v>3375574.287109375</v>
      </c>
      <c r="CF283">
        <f t="shared" ca="1" si="138"/>
        <v>3375574.287109375</v>
      </c>
      <c r="CG283">
        <f t="shared" ca="1" si="139"/>
        <v>0</v>
      </c>
      <c r="CH283" s="10">
        <f>分析データ!A283</f>
        <v>45337</v>
      </c>
    </row>
    <row r="284" spans="46:86">
      <c r="AT284">
        <f ca="1">IF(ROW()&lt;($C$7+1),"",IFERROR((分析データ!B284-AVERAGE(OFFSET(分析データ!B$1,MAX(1,ROW()-$C$7),0,MIN($C$7,ROW()-1),1)))/STDEV(OFFSET(分析データ!B$1,MAX(1,ROW()-$C$7),0,MIN($C$7,ROW()-1),1)),0))</f>
        <v>1.1146069803660605</v>
      </c>
      <c r="AU284">
        <f t="shared" ca="1" si="112"/>
        <v>0</v>
      </c>
      <c r="AV284" t="str">
        <f ca="1">IF(AU284=1,IF(INDEX(分析データ!$A:$A,ROW()+$C$5)&lt;&gt;"",80000*SIGN(AT284)*(分析データ!B284-INDEX(分析データ!B:B,ROW()+$C$5)),""),"")</f>
        <v/>
      </c>
      <c r="AW284">
        <f t="shared" ca="1" si="113"/>
        <v>0</v>
      </c>
      <c r="AX284">
        <f t="shared" ca="1" si="114"/>
        <v>0</v>
      </c>
      <c r="AY284">
        <f t="shared" ca="1" si="115"/>
        <v>0</v>
      </c>
      <c r="AZ284">
        <f ca="1">IF(ROW()&lt;($C$7+1),"",IFERROR((分析データ!C284-AVERAGE(OFFSET(分析データ!C$1,MAX(1,ROW()-$C$7),0,MIN($C$7,ROW()-1),1)))/STDEV(OFFSET(分析データ!C$1,MAX(1,ROW()-$C$7),0,MIN($C$7,ROW()-1),1)),0))</f>
        <v>-0.82312517192827583</v>
      </c>
      <c r="BA284">
        <f t="shared" ca="1" si="116"/>
        <v>0</v>
      </c>
      <c r="BB284" t="str">
        <f ca="1">IF(BA284=1,IF(INDEX(分析データ!$A:$A,ROW()+$C$5)&lt;&gt;"",60000*SIGN(AZ284)*(分析データ!C284-INDEX(分析データ!C:C,ROW()+$C$5)),""),"")</f>
        <v/>
      </c>
      <c r="BC284">
        <f t="shared" ca="1" si="117"/>
        <v>0</v>
      </c>
      <c r="BD284">
        <f t="shared" ca="1" si="118"/>
        <v>0</v>
      </c>
      <c r="BE284">
        <f t="shared" ca="1" si="119"/>
        <v>0</v>
      </c>
      <c r="BF284">
        <f ca="1">IF(ROW()&lt;($C$7+1),"",IFERROR((分析データ!D284-AVERAGE(OFFSET(分析データ!D$1,MAX(1,ROW()-$C$7),0,MIN($C$7,ROW()-1),1)))/STDEV(OFFSET(分析データ!D$1,MAX(1,ROW()-$C$7),0,MIN($C$7,ROW()-1),1)),0))</f>
        <v>0.49519167835689992</v>
      </c>
      <c r="BG284">
        <f t="shared" ca="1" si="120"/>
        <v>0</v>
      </c>
      <c r="BH284" t="str">
        <f ca="1">IF(BG284=1,IF(INDEX(分析データ!$A:$A,ROW()+$C$5)&lt;&gt;"",50000*SIGN(BF284)*(分析データ!D284-INDEX(分析データ!D:D,ROW()+$C$5)),""),"")</f>
        <v/>
      </c>
      <c r="BI284">
        <f t="shared" ca="1" si="121"/>
        <v>0</v>
      </c>
      <c r="BJ284">
        <f t="shared" ca="1" si="122"/>
        <v>0</v>
      </c>
      <c r="BK284">
        <f t="shared" ca="1" si="123"/>
        <v>0</v>
      </c>
      <c r="BL284">
        <f ca="1">IF(ROW()&lt;($C$7+1),"",IFERROR((分析データ!E284-AVERAGE(OFFSET(分析データ!E$1,MAX(1,ROW()-$C$7),0,MIN($C$7,ROW()-1),1)))/STDEV(OFFSET(分析データ!E$1,MAX(1,ROW()-$C$7),0,MIN($C$7,ROW()-1),1)),0))</f>
        <v>0.74758726823080135</v>
      </c>
      <c r="BM284">
        <f t="shared" ca="1" si="124"/>
        <v>0</v>
      </c>
      <c r="BN284" t="str">
        <f ca="1">IF(BM284=1,IF(INDEX(分析データ!$A:$A,ROW()+$C$5)&lt;&gt;"",40000*SIGN(BL284)*(分析データ!E284-INDEX(分析データ!E:E,ROW()+$C$5)),""),"")</f>
        <v/>
      </c>
      <c r="BO284">
        <f t="shared" ca="1" si="125"/>
        <v>280000.00000000291</v>
      </c>
      <c r="BP284">
        <f t="shared" ca="1" si="126"/>
        <v>280000.00000000291</v>
      </c>
      <c r="BQ284">
        <f t="shared" ca="1" si="127"/>
        <v>0</v>
      </c>
      <c r="BR284">
        <f ca="1">IF(ROW()&lt;($C$7+1),"",IFERROR((分析データ!F284-AVERAGE(OFFSET(分析データ!F$1,MAX(1,ROW()-$C$7),0,MIN($C$7,ROW()-1),1)))/STDEV(OFFSET(分析データ!F$1,MAX(1,ROW()-$C$7),0,MIN($C$7,ROW()-1),1)),0))</f>
        <v>-1.4322170919457591</v>
      </c>
      <c r="BS284">
        <f t="shared" ca="1" si="128"/>
        <v>0</v>
      </c>
      <c r="BT284" t="str">
        <f ca="1">IF(BS284=1,IF(INDEX(分析データ!$A:$A,ROW()+$C$5)&lt;&gt;"",40000*SIGN(BR284)*(分析データ!F284-INDEX(分析データ!F:F,ROW()+$C$5)),""),"")</f>
        <v/>
      </c>
      <c r="BU284">
        <f t="shared" ca="1" si="129"/>
        <v>0</v>
      </c>
      <c r="BV284">
        <f t="shared" ca="1" si="130"/>
        <v>0</v>
      </c>
      <c r="BW284">
        <f t="shared" ca="1" si="131"/>
        <v>0</v>
      </c>
      <c r="BX284">
        <f ca="1">IF(ROW()&lt;($C$7+1),"",IFERROR((分析データ!G284-AVERAGE(OFFSET(分析データ!G$1,MAX(1,ROW()-$C$7),0,MIN($C$7,ROW()-1),1)))/STDEV(OFFSET(分析データ!G$1,MAX(1,ROW()-$C$7),0,MIN($C$7,ROW()-1),1)),0))</f>
        <v>1.2914100001941868</v>
      </c>
      <c r="BY284">
        <f t="shared" ca="1" si="132"/>
        <v>0</v>
      </c>
      <c r="BZ284" t="str">
        <f ca="1">IF(BY284=1,IF(INDEX(分析データ!$A:$A,ROW()+$C$5)&lt;&gt;"",40000*SIGN(BX284)*(分析データ!G284-INDEX(分析データ!G:G,ROW()+$C$5)),""),"")</f>
        <v/>
      </c>
      <c r="CA284">
        <f t="shared" ca="1" si="133"/>
        <v>3095574.2871093722</v>
      </c>
      <c r="CB284">
        <f t="shared" ca="1" si="134"/>
        <v>3095574.2871093722</v>
      </c>
      <c r="CC284">
        <f t="shared" ca="1" si="135"/>
        <v>0</v>
      </c>
      <c r="CD284">
        <f t="shared" ca="1" si="136"/>
        <v>0</v>
      </c>
      <c r="CE284">
        <f t="shared" ca="1" si="137"/>
        <v>3375574.287109375</v>
      </c>
      <c r="CF284">
        <f t="shared" ca="1" si="138"/>
        <v>3375574.287109375</v>
      </c>
      <c r="CG284">
        <f t="shared" ca="1" si="139"/>
        <v>0</v>
      </c>
      <c r="CH284" s="10">
        <f>分析データ!A284</f>
        <v>45338</v>
      </c>
    </row>
    <row r="285" spans="46:86">
      <c r="AT285">
        <f ca="1">IF(ROW()&lt;($C$7+1),"",IFERROR((分析データ!B285-AVERAGE(OFFSET(分析データ!B$1,MAX(1,ROW()-$C$7),0,MIN($C$7,ROW()-1),1)))/STDEV(OFFSET(分析データ!B$1,MAX(1,ROW()-$C$7),0,MIN($C$7,ROW()-1),1)),0))</f>
        <v>1.1059994441057832</v>
      </c>
      <c r="AU285">
        <f t="shared" ca="1" si="112"/>
        <v>0</v>
      </c>
      <c r="AV285" t="str">
        <f ca="1">IF(AU285=1,IF(INDEX(分析データ!$A:$A,ROW()+$C$5)&lt;&gt;"",80000*SIGN(AT285)*(分析データ!B285-INDEX(分析データ!B:B,ROW()+$C$5)),""),"")</f>
        <v/>
      </c>
      <c r="AW285">
        <f t="shared" ca="1" si="113"/>
        <v>0</v>
      </c>
      <c r="AX285">
        <f t="shared" ca="1" si="114"/>
        <v>0</v>
      </c>
      <c r="AY285">
        <f t="shared" ca="1" si="115"/>
        <v>0</v>
      </c>
      <c r="AZ285">
        <f ca="1">IF(ROW()&lt;($C$7+1),"",IFERROR((分析データ!C285-AVERAGE(OFFSET(分析データ!C$1,MAX(1,ROW()-$C$7),0,MIN($C$7,ROW()-1),1)))/STDEV(OFFSET(分析データ!C$1,MAX(1,ROW()-$C$7),0,MIN($C$7,ROW()-1),1)),0))</f>
        <v>-0.56588995184411628</v>
      </c>
      <c r="BA285">
        <f t="shared" ca="1" si="116"/>
        <v>0</v>
      </c>
      <c r="BB285" t="str">
        <f ca="1">IF(BA285=1,IF(INDEX(分析データ!$A:$A,ROW()+$C$5)&lt;&gt;"",60000*SIGN(AZ285)*(分析データ!C285-INDEX(分析データ!C:C,ROW()+$C$5)),""),"")</f>
        <v/>
      </c>
      <c r="BC285">
        <f t="shared" ca="1" si="117"/>
        <v>0</v>
      </c>
      <c r="BD285">
        <f t="shared" ca="1" si="118"/>
        <v>0</v>
      </c>
      <c r="BE285">
        <f t="shared" ca="1" si="119"/>
        <v>0</v>
      </c>
      <c r="BF285">
        <f ca="1">IF(ROW()&lt;($C$7+1),"",IFERROR((分析データ!D285-AVERAGE(OFFSET(分析データ!D$1,MAX(1,ROW()-$C$7),0,MIN($C$7,ROW()-1),1)))/STDEV(OFFSET(分析データ!D$1,MAX(1,ROW()-$C$7),0,MIN($C$7,ROW()-1),1)),0))</f>
        <v>0.3618905283463319</v>
      </c>
      <c r="BG285">
        <f t="shared" ca="1" si="120"/>
        <v>0</v>
      </c>
      <c r="BH285" t="str">
        <f ca="1">IF(BG285=1,IF(INDEX(分析データ!$A:$A,ROW()+$C$5)&lt;&gt;"",50000*SIGN(BF285)*(分析データ!D285-INDEX(分析データ!D:D,ROW()+$C$5)),""),"")</f>
        <v/>
      </c>
      <c r="BI285">
        <f t="shared" ca="1" si="121"/>
        <v>0</v>
      </c>
      <c r="BJ285">
        <f t="shared" ca="1" si="122"/>
        <v>0</v>
      </c>
      <c r="BK285">
        <f t="shared" ca="1" si="123"/>
        <v>0</v>
      </c>
      <c r="BL285">
        <f ca="1">IF(ROW()&lt;($C$7+1),"",IFERROR((分析データ!E285-AVERAGE(OFFSET(分析データ!E$1,MAX(1,ROW()-$C$7),0,MIN($C$7,ROW()-1),1)))/STDEV(OFFSET(分析データ!E$1,MAX(1,ROW()-$C$7),0,MIN($C$7,ROW()-1),1)),0))</f>
        <v>0.82967199846040462</v>
      </c>
      <c r="BM285">
        <f t="shared" ca="1" si="124"/>
        <v>0</v>
      </c>
      <c r="BN285" t="str">
        <f ca="1">IF(BM285=1,IF(INDEX(分析データ!$A:$A,ROW()+$C$5)&lt;&gt;"",40000*SIGN(BL285)*(分析データ!E285-INDEX(分析データ!E:E,ROW()+$C$5)),""),"")</f>
        <v/>
      </c>
      <c r="BO285">
        <f t="shared" ca="1" si="125"/>
        <v>280000.00000000291</v>
      </c>
      <c r="BP285">
        <f t="shared" ca="1" si="126"/>
        <v>280000.00000000291</v>
      </c>
      <c r="BQ285">
        <f t="shared" ca="1" si="127"/>
        <v>0</v>
      </c>
      <c r="BR285">
        <f ca="1">IF(ROW()&lt;($C$7+1),"",IFERROR((分析データ!F285-AVERAGE(OFFSET(分析データ!F$1,MAX(1,ROW()-$C$7),0,MIN($C$7,ROW()-1),1)))/STDEV(OFFSET(分析データ!F$1,MAX(1,ROW()-$C$7),0,MIN($C$7,ROW()-1),1)),0))</f>
        <v>-1.255866848789168</v>
      </c>
      <c r="BS285">
        <f t="shared" ca="1" si="128"/>
        <v>0</v>
      </c>
      <c r="BT285" t="str">
        <f ca="1">IF(BS285=1,IF(INDEX(分析データ!$A:$A,ROW()+$C$5)&lt;&gt;"",40000*SIGN(BR285)*(分析データ!F285-INDEX(分析データ!F:F,ROW()+$C$5)),""),"")</f>
        <v/>
      </c>
      <c r="BU285">
        <f t="shared" ca="1" si="129"/>
        <v>0</v>
      </c>
      <c r="BV285">
        <f t="shared" ca="1" si="130"/>
        <v>0</v>
      </c>
      <c r="BW285">
        <f t="shared" ca="1" si="131"/>
        <v>0</v>
      </c>
      <c r="BX285">
        <f ca="1">IF(ROW()&lt;($C$7+1),"",IFERROR((分析データ!G285-AVERAGE(OFFSET(分析データ!G$1,MAX(1,ROW()-$C$7),0,MIN($C$7,ROW()-1),1)))/STDEV(OFFSET(分析データ!G$1,MAX(1,ROW()-$C$7),0,MIN($C$7,ROW()-1),1)),0))</f>
        <v>1.2461641082129278</v>
      </c>
      <c r="BY285">
        <f t="shared" ca="1" si="132"/>
        <v>0</v>
      </c>
      <c r="BZ285" t="str">
        <f ca="1">IF(BY285=1,IF(INDEX(分析データ!$A:$A,ROW()+$C$5)&lt;&gt;"",40000*SIGN(BX285)*(分析データ!G285-INDEX(分析データ!G:G,ROW()+$C$5)),""),"")</f>
        <v/>
      </c>
      <c r="CA285">
        <f t="shared" ca="1" si="133"/>
        <v>3095574.2871093722</v>
      </c>
      <c r="CB285">
        <f t="shared" ca="1" si="134"/>
        <v>3095574.2871093722</v>
      </c>
      <c r="CC285">
        <f t="shared" ca="1" si="135"/>
        <v>0</v>
      </c>
      <c r="CD285">
        <f t="shared" ca="1" si="136"/>
        <v>0</v>
      </c>
      <c r="CE285">
        <f t="shared" ca="1" si="137"/>
        <v>3375574.287109375</v>
      </c>
      <c r="CF285">
        <f t="shared" ca="1" si="138"/>
        <v>3375574.287109375</v>
      </c>
      <c r="CG285">
        <f t="shared" ca="1" si="139"/>
        <v>0</v>
      </c>
      <c r="CH285" s="10">
        <f>分析データ!A285</f>
        <v>45342</v>
      </c>
    </row>
    <row r="286" spans="46:86">
      <c r="AT286">
        <f ca="1">IF(ROW()&lt;($C$7+1),"",IFERROR((分析データ!B286-AVERAGE(OFFSET(分析データ!B$1,MAX(1,ROW()-$C$7),0,MIN($C$7,ROW()-1),1)))/STDEV(OFFSET(分析データ!B$1,MAX(1,ROW()-$C$7),0,MIN($C$7,ROW()-1),1)),0))</f>
        <v>1.0973347094982362</v>
      </c>
      <c r="AU286">
        <f t="shared" ca="1" si="112"/>
        <v>0</v>
      </c>
      <c r="AV286" t="str">
        <f ca="1">IF(AU286=1,IF(INDEX(分析データ!$A:$A,ROW()+$C$5)&lt;&gt;"",80000*SIGN(AT286)*(分析データ!B286-INDEX(分析データ!B:B,ROW()+$C$5)),""),"")</f>
        <v/>
      </c>
      <c r="AW286">
        <f t="shared" ca="1" si="113"/>
        <v>0</v>
      </c>
      <c r="AX286">
        <f t="shared" ca="1" si="114"/>
        <v>0</v>
      </c>
      <c r="AY286">
        <f t="shared" ca="1" si="115"/>
        <v>0</v>
      </c>
      <c r="AZ286">
        <f ca="1">IF(ROW()&lt;($C$7+1),"",IFERROR((分析データ!C286-AVERAGE(OFFSET(分析データ!C$1,MAX(1,ROW()-$C$7),0,MIN($C$7,ROW()-1),1)))/STDEV(OFFSET(分析データ!C$1,MAX(1,ROW()-$C$7),0,MIN($C$7,ROW()-1),1)),0))</f>
        <v>-0.62309799066428118</v>
      </c>
      <c r="BA286">
        <f t="shared" ca="1" si="116"/>
        <v>0</v>
      </c>
      <c r="BB286" t="str">
        <f ca="1">IF(BA286=1,IF(INDEX(分析データ!$A:$A,ROW()+$C$5)&lt;&gt;"",60000*SIGN(AZ286)*(分析データ!C286-INDEX(分析データ!C:C,ROW()+$C$5)),""),"")</f>
        <v/>
      </c>
      <c r="BC286">
        <f t="shared" ca="1" si="117"/>
        <v>0</v>
      </c>
      <c r="BD286">
        <f t="shared" ca="1" si="118"/>
        <v>0</v>
      </c>
      <c r="BE286">
        <f t="shared" ca="1" si="119"/>
        <v>0</v>
      </c>
      <c r="BF286">
        <f ca="1">IF(ROW()&lt;($C$7+1),"",IFERROR((分析データ!D286-AVERAGE(OFFSET(分析データ!D$1,MAX(1,ROW()-$C$7),0,MIN($C$7,ROW()-1),1)))/STDEV(OFFSET(分析データ!D$1,MAX(1,ROW()-$C$7),0,MIN($C$7,ROW()-1),1)),0))</f>
        <v>0.58102588529660149</v>
      </c>
      <c r="BG286">
        <f t="shared" ca="1" si="120"/>
        <v>0</v>
      </c>
      <c r="BH286" t="str">
        <f ca="1">IF(BG286=1,IF(INDEX(分析データ!$A:$A,ROW()+$C$5)&lt;&gt;"",50000*SIGN(BF286)*(分析データ!D286-INDEX(分析データ!D:D,ROW()+$C$5)),""),"")</f>
        <v/>
      </c>
      <c r="BI286">
        <f t="shared" ca="1" si="121"/>
        <v>0</v>
      </c>
      <c r="BJ286">
        <f t="shared" ca="1" si="122"/>
        <v>0</v>
      </c>
      <c r="BK286">
        <f t="shared" ca="1" si="123"/>
        <v>0</v>
      </c>
      <c r="BL286">
        <f ca="1">IF(ROW()&lt;($C$7+1),"",IFERROR((分析データ!E286-AVERAGE(OFFSET(分析データ!E$1,MAX(1,ROW()-$C$7),0,MIN($C$7,ROW()-1),1)))/STDEV(OFFSET(分析データ!E$1,MAX(1,ROW()-$C$7),0,MIN($C$7,ROW()-1),1)),0))</f>
        <v>0.82287807808423075</v>
      </c>
      <c r="BM286">
        <f t="shared" ca="1" si="124"/>
        <v>0</v>
      </c>
      <c r="BN286" t="str">
        <f ca="1">IF(BM286=1,IF(INDEX(分析データ!$A:$A,ROW()+$C$5)&lt;&gt;"",40000*SIGN(BL286)*(分析データ!E286-INDEX(分析データ!E:E,ROW()+$C$5)),""),"")</f>
        <v/>
      </c>
      <c r="BO286">
        <f t="shared" ca="1" si="125"/>
        <v>280000.00000000291</v>
      </c>
      <c r="BP286">
        <f t="shared" ca="1" si="126"/>
        <v>280000.00000000291</v>
      </c>
      <c r="BQ286">
        <f t="shared" ca="1" si="127"/>
        <v>0</v>
      </c>
      <c r="BR286">
        <f ca="1">IF(ROW()&lt;($C$7+1),"",IFERROR((分析データ!F286-AVERAGE(OFFSET(分析データ!F$1,MAX(1,ROW()-$C$7),0,MIN($C$7,ROW()-1),1)))/STDEV(OFFSET(分析データ!F$1,MAX(1,ROW()-$C$7),0,MIN($C$7,ROW()-1),1)),0))</f>
        <v>-1.4519190789524461</v>
      </c>
      <c r="BS286">
        <f t="shared" ca="1" si="128"/>
        <v>0</v>
      </c>
      <c r="BT286" t="str">
        <f ca="1">IF(BS286=1,IF(INDEX(分析データ!$A:$A,ROW()+$C$5)&lt;&gt;"",40000*SIGN(BR286)*(分析データ!F286-INDEX(分析データ!F:F,ROW()+$C$5)),""),"")</f>
        <v/>
      </c>
      <c r="BU286">
        <f t="shared" ca="1" si="129"/>
        <v>0</v>
      </c>
      <c r="BV286">
        <f t="shared" ca="1" si="130"/>
        <v>0</v>
      </c>
      <c r="BW286">
        <f t="shared" ca="1" si="131"/>
        <v>0</v>
      </c>
      <c r="BX286">
        <f ca="1">IF(ROW()&lt;($C$7+1),"",IFERROR((分析データ!G286-AVERAGE(OFFSET(分析データ!G$1,MAX(1,ROW()-$C$7),0,MIN($C$7,ROW()-1),1)))/STDEV(OFFSET(分析データ!G$1,MAX(1,ROW()-$C$7),0,MIN($C$7,ROW()-1),1)),0))</f>
        <v>1.1557427643181124</v>
      </c>
      <c r="BY286">
        <f t="shared" ca="1" si="132"/>
        <v>0</v>
      </c>
      <c r="BZ286" t="str">
        <f ca="1">IF(BY286=1,IF(INDEX(分析データ!$A:$A,ROW()+$C$5)&lt;&gt;"",40000*SIGN(BX286)*(分析データ!G286-INDEX(分析データ!G:G,ROW()+$C$5)),""),"")</f>
        <v/>
      </c>
      <c r="CA286">
        <f t="shared" ca="1" si="133"/>
        <v>3095574.2871093722</v>
      </c>
      <c r="CB286">
        <f t="shared" ca="1" si="134"/>
        <v>3095574.2871093722</v>
      </c>
      <c r="CC286">
        <f t="shared" ca="1" si="135"/>
        <v>0</v>
      </c>
      <c r="CD286">
        <f t="shared" ca="1" si="136"/>
        <v>0</v>
      </c>
      <c r="CE286">
        <f t="shared" ca="1" si="137"/>
        <v>3375574.287109375</v>
      </c>
      <c r="CF286">
        <f t="shared" ca="1" si="138"/>
        <v>3375574.287109375</v>
      </c>
      <c r="CG286">
        <f t="shared" ca="1" si="139"/>
        <v>0</v>
      </c>
      <c r="CH286" s="10">
        <f>分析データ!A286</f>
        <v>45343</v>
      </c>
    </row>
    <row r="287" spans="46:86">
      <c r="AT287">
        <f ca="1">IF(ROW()&lt;($C$7+1),"",IFERROR((分析データ!B287-AVERAGE(OFFSET(分析データ!B$1,MAX(1,ROW()-$C$7),0,MIN($C$7,ROW()-1),1)))/STDEV(OFFSET(分析データ!B$1,MAX(1,ROW()-$C$7),0,MIN($C$7,ROW()-1),1)),0))</f>
        <v>1.0407900365326177</v>
      </c>
      <c r="AU287">
        <f t="shared" ca="1" si="112"/>
        <v>0</v>
      </c>
      <c r="AV287" t="str">
        <f ca="1">IF(AU287=1,IF(INDEX(分析データ!$A:$A,ROW()+$C$5)&lt;&gt;"",80000*SIGN(AT287)*(分析データ!B287-INDEX(分析データ!B:B,ROW()+$C$5)),""),"")</f>
        <v/>
      </c>
      <c r="AW287">
        <f t="shared" ca="1" si="113"/>
        <v>0</v>
      </c>
      <c r="AX287">
        <f t="shared" ca="1" si="114"/>
        <v>0</v>
      </c>
      <c r="AY287">
        <f t="shared" ca="1" si="115"/>
        <v>0</v>
      </c>
      <c r="AZ287">
        <f ca="1">IF(ROW()&lt;($C$7+1),"",IFERROR((分析データ!C287-AVERAGE(OFFSET(分析データ!C$1,MAX(1,ROW()-$C$7),0,MIN($C$7,ROW()-1),1)))/STDEV(OFFSET(分析データ!C$1,MAX(1,ROW()-$C$7),0,MIN($C$7,ROW()-1),1)),0))</f>
        <v>-0.67124636116879255</v>
      </c>
      <c r="BA287">
        <f t="shared" ca="1" si="116"/>
        <v>0</v>
      </c>
      <c r="BB287" t="str">
        <f ca="1">IF(BA287=1,IF(INDEX(分析データ!$A:$A,ROW()+$C$5)&lt;&gt;"",60000*SIGN(AZ287)*(分析データ!C287-INDEX(分析データ!C:C,ROW()+$C$5)),""),"")</f>
        <v/>
      </c>
      <c r="BC287">
        <f t="shared" ca="1" si="117"/>
        <v>0</v>
      </c>
      <c r="BD287">
        <f t="shared" ca="1" si="118"/>
        <v>0</v>
      </c>
      <c r="BE287">
        <f t="shared" ca="1" si="119"/>
        <v>0</v>
      </c>
      <c r="BF287">
        <f ca="1">IF(ROW()&lt;($C$7+1),"",IFERROR((分析データ!D287-AVERAGE(OFFSET(分析データ!D$1,MAX(1,ROW()-$C$7),0,MIN($C$7,ROW()-1),1)))/STDEV(OFFSET(分析データ!D$1,MAX(1,ROW()-$C$7),0,MIN($C$7,ROW()-1),1)),0))</f>
        <v>0.63368937260790814</v>
      </c>
      <c r="BG287">
        <f t="shared" ca="1" si="120"/>
        <v>0</v>
      </c>
      <c r="BH287" t="str">
        <f ca="1">IF(BG287=1,IF(INDEX(分析データ!$A:$A,ROW()+$C$5)&lt;&gt;"",50000*SIGN(BF287)*(分析データ!D287-INDEX(分析データ!D:D,ROW()+$C$5)),""),"")</f>
        <v/>
      </c>
      <c r="BI287">
        <f t="shared" ca="1" si="121"/>
        <v>0</v>
      </c>
      <c r="BJ287">
        <f t="shared" ca="1" si="122"/>
        <v>0</v>
      </c>
      <c r="BK287">
        <f t="shared" ca="1" si="123"/>
        <v>0</v>
      </c>
      <c r="BL287">
        <f ca="1">IF(ROW()&lt;($C$7+1),"",IFERROR((分析データ!E287-AVERAGE(OFFSET(分析データ!E$1,MAX(1,ROW()-$C$7),0,MIN($C$7,ROW()-1),1)))/STDEV(OFFSET(分析データ!E$1,MAX(1,ROW()-$C$7),0,MIN($C$7,ROW()-1),1)),0))</f>
        <v>0.63855445378432951</v>
      </c>
      <c r="BM287">
        <f t="shared" ca="1" si="124"/>
        <v>0</v>
      </c>
      <c r="BN287" t="str">
        <f ca="1">IF(BM287=1,IF(INDEX(分析データ!$A:$A,ROW()+$C$5)&lt;&gt;"",40000*SIGN(BL287)*(分析データ!E287-INDEX(分析データ!E:E,ROW()+$C$5)),""),"")</f>
        <v/>
      </c>
      <c r="BO287">
        <f t="shared" ca="1" si="125"/>
        <v>280000.00000000291</v>
      </c>
      <c r="BP287">
        <f t="shared" ca="1" si="126"/>
        <v>280000.00000000291</v>
      </c>
      <c r="BQ287">
        <f t="shared" ca="1" si="127"/>
        <v>0</v>
      </c>
      <c r="BR287">
        <f ca="1">IF(ROW()&lt;($C$7+1),"",IFERROR((分析データ!F287-AVERAGE(OFFSET(分析データ!F$1,MAX(1,ROW()-$C$7),0,MIN($C$7,ROW()-1),1)))/STDEV(OFFSET(分析データ!F$1,MAX(1,ROW()-$C$7),0,MIN($C$7,ROW()-1),1)),0))</f>
        <v>-1.3131825619856519</v>
      </c>
      <c r="BS287">
        <f t="shared" ca="1" si="128"/>
        <v>0</v>
      </c>
      <c r="BT287" t="str">
        <f ca="1">IF(BS287=1,IF(INDEX(分析データ!$A:$A,ROW()+$C$5)&lt;&gt;"",40000*SIGN(BR287)*(分析データ!F287-INDEX(分析データ!F:F,ROW()+$C$5)),""),"")</f>
        <v/>
      </c>
      <c r="BU287">
        <f t="shared" ca="1" si="129"/>
        <v>0</v>
      </c>
      <c r="BV287">
        <f t="shared" ca="1" si="130"/>
        <v>0</v>
      </c>
      <c r="BW287">
        <f t="shared" ca="1" si="131"/>
        <v>0</v>
      </c>
      <c r="BX287">
        <f ca="1">IF(ROW()&lt;($C$7+1),"",IFERROR((分析データ!G287-AVERAGE(OFFSET(分析データ!G$1,MAX(1,ROW()-$C$7),0,MIN($C$7,ROW()-1),1)))/STDEV(OFFSET(分析データ!G$1,MAX(1,ROW()-$C$7),0,MIN($C$7,ROW()-1),1)),0))</f>
        <v>1.0660385693626</v>
      </c>
      <c r="BY287">
        <f t="shared" ca="1" si="132"/>
        <v>0</v>
      </c>
      <c r="BZ287" t="str">
        <f ca="1">IF(BY287=1,IF(INDEX(分析データ!$A:$A,ROW()+$C$5)&lt;&gt;"",40000*SIGN(BX287)*(分析データ!G287-INDEX(分析データ!G:G,ROW()+$C$5)),""),"")</f>
        <v/>
      </c>
      <c r="CA287">
        <f t="shared" ca="1" si="133"/>
        <v>3095574.2871093722</v>
      </c>
      <c r="CB287">
        <f t="shared" ca="1" si="134"/>
        <v>3095574.2871093722</v>
      </c>
      <c r="CC287">
        <f t="shared" ca="1" si="135"/>
        <v>0</v>
      </c>
      <c r="CD287">
        <f t="shared" ca="1" si="136"/>
        <v>0</v>
      </c>
      <c r="CE287">
        <f t="shared" ca="1" si="137"/>
        <v>3375574.287109375</v>
      </c>
      <c r="CF287">
        <f t="shared" ca="1" si="138"/>
        <v>3375574.287109375</v>
      </c>
      <c r="CG287">
        <f t="shared" ca="1" si="139"/>
        <v>0</v>
      </c>
      <c r="CH287" s="10">
        <f>分析データ!A287</f>
        <v>45344</v>
      </c>
    </row>
    <row r="288" spans="46:86">
      <c r="AT288">
        <f ca="1">IF(ROW()&lt;($C$7+1),"",IFERROR((分析データ!B288-AVERAGE(OFFSET(分析データ!B$1,MAX(1,ROW()-$C$7),0,MIN($C$7,ROW()-1),1)))/STDEV(OFFSET(分析データ!B$1,MAX(1,ROW()-$C$7),0,MIN($C$7,ROW()-1),1)),0))</f>
        <v>0.93618138733212264</v>
      </c>
      <c r="AU288">
        <f t="shared" ca="1" si="112"/>
        <v>0</v>
      </c>
      <c r="AV288" t="str">
        <f ca="1">IF(AU288=1,IF(INDEX(分析データ!$A:$A,ROW()+$C$5)&lt;&gt;"",80000*SIGN(AT288)*(分析データ!B288-INDEX(分析データ!B:B,ROW()+$C$5)),""),"")</f>
        <v/>
      </c>
      <c r="AW288">
        <f t="shared" ca="1" si="113"/>
        <v>0</v>
      </c>
      <c r="AX288">
        <f t="shared" ca="1" si="114"/>
        <v>0</v>
      </c>
      <c r="AY288">
        <f t="shared" ca="1" si="115"/>
        <v>0</v>
      </c>
      <c r="AZ288">
        <f ca="1">IF(ROW()&lt;($C$7+1),"",IFERROR((分析データ!C288-AVERAGE(OFFSET(分析データ!C$1,MAX(1,ROW()-$C$7),0,MIN($C$7,ROW()-1),1)))/STDEV(OFFSET(分析データ!C$1,MAX(1,ROW()-$C$7),0,MIN($C$7,ROW()-1),1)),0))</f>
        <v>-0.67014835695842701</v>
      </c>
      <c r="BA288">
        <f t="shared" ca="1" si="116"/>
        <v>0</v>
      </c>
      <c r="BB288" t="str">
        <f ca="1">IF(BA288=1,IF(INDEX(分析データ!$A:$A,ROW()+$C$5)&lt;&gt;"",60000*SIGN(AZ288)*(分析データ!C288-INDEX(分析データ!C:C,ROW()+$C$5)),""),"")</f>
        <v/>
      </c>
      <c r="BC288">
        <f t="shared" ca="1" si="117"/>
        <v>0</v>
      </c>
      <c r="BD288">
        <f t="shared" ca="1" si="118"/>
        <v>0</v>
      </c>
      <c r="BE288">
        <f t="shared" ca="1" si="119"/>
        <v>0</v>
      </c>
      <c r="BF288">
        <f ca="1">IF(ROW()&lt;($C$7+1),"",IFERROR((分析データ!D288-AVERAGE(OFFSET(分析データ!D$1,MAX(1,ROW()-$C$7),0,MIN($C$7,ROW()-1),1)))/STDEV(OFFSET(分析データ!D$1,MAX(1,ROW()-$C$7),0,MIN($C$7,ROW()-1),1)),0))</f>
        <v>0.37100464306563929</v>
      </c>
      <c r="BG288">
        <f t="shared" ca="1" si="120"/>
        <v>0</v>
      </c>
      <c r="BH288" t="str">
        <f ca="1">IF(BG288=1,IF(INDEX(分析データ!$A:$A,ROW()+$C$5)&lt;&gt;"",50000*SIGN(BF288)*(分析データ!D288-INDEX(分析データ!D:D,ROW()+$C$5)),""),"")</f>
        <v/>
      </c>
      <c r="BI288">
        <f t="shared" ca="1" si="121"/>
        <v>0</v>
      </c>
      <c r="BJ288">
        <f t="shared" ca="1" si="122"/>
        <v>0</v>
      </c>
      <c r="BK288">
        <f t="shared" ca="1" si="123"/>
        <v>0</v>
      </c>
      <c r="BL288">
        <f ca="1">IF(ROW()&lt;($C$7+1),"",IFERROR((分析データ!E288-AVERAGE(OFFSET(分析データ!E$1,MAX(1,ROW()-$C$7),0,MIN($C$7,ROW()-1),1)))/STDEV(OFFSET(分析データ!E$1,MAX(1,ROW()-$C$7),0,MIN($C$7,ROW()-1),1)),0))</f>
        <v>0.45448946574768484</v>
      </c>
      <c r="BM288">
        <f t="shared" ca="1" si="124"/>
        <v>0</v>
      </c>
      <c r="BN288" t="str">
        <f ca="1">IF(BM288=1,IF(INDEX(分析データ!$A:$A,ROW()+$C$5)&lt;&gt;"",40000*SIGN(BL288)*(分析データ!E288-INDEX(分析データ!E:E,ROW()+$C$5)),""),"")</f>
        <v/>
      </c>
      <c r="BO288">
        <f t="shared" ca="1" si="125"/>
        <v>280000.00000000291</v>
      </c>
      <c r="BP288">
        <f t="shared" ca="1" si="126"/>
        <v>280000.00000000291</v>
      </c>
      <c r="BQ288">
        <f t="shared" ca="1" si="127"/>
        <v>0</v>
      </c>
      <c r="BR288">
        <f ca="1">IF(ROW()&lt;($C$7+1),"",IFERROR((分析データ!F288-AVERAGE(OFFSET(分析データ!F$1,MAX(1,ROW()-$C$7),0,MIN($C$7,ROW()-1),1)))/STDEV(OFFSET(分析データ!F$1,MAX(1,ROW()-$C$7),0,MIN($C$7,ROW()-1),1)),0))</f>
        <v>-1.1360523160710596</v>
      </c>
      <c r="BS288">
        <f t="shared" ca="1" si="128"/>
        <v>0</v>
      </c>
      <c r="BT288" t="str">
        <f ca="1">IF(BS288=1,IF(INDEX(分析データ!$A:$A,ROW()+$C$5)&lt;&gt;"",40000*SIGN(BR288)*(分析データ!F288-INDEX(分析データ!F:F,ROW()+$C$5)),""),"")</f>
        <v/>
      </c>
      <c r="BU288">
        <f t="shared" ca="1" si="129"/>
        <v>0</v>
      </c>
      <c r="BV288">
        <f t="shared" ca="1" si="130"/>
        <v>0</v>
      </c>
      <c r="BW288">
        <f t="shared" ca="1" si="131"/>
        <v>0</v>
      </c>
      <c r="BX288">
        <f ca="1">IF(ROW()&lt;($C$7+1),"",IFERROR((分析データ!G288-AVERAGE(OFFSET(分析データ!G$1,MAX(1,ROW()-$C$7),0,MIN($C$7,ROW()-1),1)))/STDEV(OFFSET(分析データ!G$1,MAX(1,ROW()-$C$7),0,MIN($C$7,ROW()-1),1)),0))</f>
        <v>1.0702475822248383</v>
      </c>
      <c r="BY288">
        <f t="shared" ca="1" si="132"/>
        <v>0</v>
      </c>
      <c r="BZ288" t="str">
        <f ca="1">IF(BY288=1,IF(INDEX(分析データ!$A:$A,ROW()+$C$5)&lt;&gt;"",40000*SIGN(BX288)*(分析データ!G288-INDEX(分析データ!G:G,ROW()+$C$5)),""),"")</f>
        <v/>
      </c>
      <c r="CA288">
        <f t="shared" ca="1" si="133"/>
        <v>3095574.2871093722</v>
      </c>
      <c r="CB288">
        <f t="shared" ca="1" si="134"/>
        <v>3095574.2871093722</v>
      </c>
      <c r="CC288">
        <f t="shared" ca="1" si="135"/>
        <v>0</v>
      </c>
      <c r="CD288">
        <f t="shared" ca="1" si="136"/>
        <v>0</v>
      </c>
      <c r="CE288">
        <f t="shared" ca="1" si="137"/>
        <v>3375574.287109375</v>
      </c>
      <c r="CF288">
        <f t="shared" ca="1" si="138"/>
        <v>3375574.287109375</v>
      </c>
      <c r="CG288">
        <f t="shared" ca="1" si="139"/>
        <v>0</v>
      </c>
      <c r="CH288" s="10">
        <f>分析データ!A288</f>
        <v>45345</v>
      </c>
    </row>
    <row r="289" spans="46:86">
      <c r="AT289">
        <f ca="1">IF(ROW()&lt;($C$7+1),"",IFERROR((分析データ!B289-AVERAGE(OFFSET(分析データ!B$1,MAX(1,ROW()-$C$7),0,MIN($C$7,ROW()-1),1)))/STDEV(OFFSET(分析データ!B$1,MAX(1,ROW()-$C$7),0,MIN($C$7,ROW()-1),1)),0))</f>
        <v>0.88087126503229607</v>
      </c>
      <c r="AU289">
        <f t="shared" ca="1" si="112"/>
        <v>0</v>
      </c>
      <c r="AV289" t="str">
        <f ca="1">IF(AU289=1,IF(INDEX(分析データ!$A:$A,ROW()+$C$5)&lt;&gt;"",80000*SIGN(AT289)*(分析データ!B289-INDEX(分析データ!B:B,ROW()+$C$5)),""),"")</f>
        <v/>
      </c>
      <c r="AW289">
        <f t="shared" ca="1" si="113"/>
        <v>0</v>
      </c>
      <c r="AX289">
        <f t="shared" ca="1" si="114"/>
        <v>0</v>
      </c>
      <c r="AY289">
        <f t="shared" ca="1" si="115"/>
        <v>0</v>
      </c>
      <c r="AZ289">
        <f ca="1">IF(ROW()&lt;($C$7+1),"",IFERROR((分析データ!C289-AVERAGE(OFFSET(分析データ!C$1,MAX(1,ROW()-$C$7),0,MIN($C$7,ROW()-1),1)))/STDEV(OFFSET(分析データ!C$1,MAX(1,ROW()-$C$7),0,MIN($C$7,ROW()-1),1)),0))</f>
        <v>-0.89578490735470895</v>
      </c>
      <c r="BA289">
        <f t="shared" ca="1" si="116"/>
        <v>0</v>
      </c>
      <c r="BB289" t="str">
        <f ca="1">IF(BA289=1,IF(INDEX(分析データ!$A:$A,ROW()+$C$5)&lt;&gt;"",60000*SIGN(AZ289)*(分析データ!C289-INDEX(分析データ!C:C,ROW()+$C$5)),""),"")</f>
        <v/>
      </c>
      <c r="BC289">
        <f t="shared" ca="1" si="117"/>
        <v>0</v>
      </c>
      <c r="BD289">
        <f t="shared" ca="1" si="118"/>
        <v>0</v>
      </c>
      <c r="BE289">
        <f t="shared" ca="1" si="119"/>
        <v>0</v>
      </c>
      <c r="BF289">
        <f ca="1">IF(ROW()&lt;($C$7+1),"",IFERROR((分析データ!D289-AVERAGE(OFFSET(分析データ!D$1,MAX(1,ROW()-$C$7),0,MIN($C$7,ROW()-1),1)))/STDEV(OFFSET(分析データ!D$1,MAX(1,ROW()-$C$7),0,MIN($C$7,ROW()-1),1)),0))</f>
        <v>0.54602327502206771</v>
      </c>
      <c r="BG289">
        <f t="shared" ca="1" si="120"/>
        <v>0</v>
      </c>
      <c r="BH289" t="str">
        <f ca="1">IF(BG289=1,IF(INDEX(分析データ!$A:$A,ROW()+$C$5)&lt;&gt;"",50000*SIGN(BF289)*(分析データ!D289-INDEX(分析データ!D:D,ROW()+$C$5)),""),"")</f>
        <v/>
      </c>
      <c r="BI289">
        <f t="shared" ca="1" si="121"/>
        <v>0</v>
      </c>
      <c r="BJ289">
        <f t="shared" ca="1" si="122"/>
        <v>0</v>
      </c>
      <c r="BK289">
        <f t="shared" ca="1" si="123"/>
        <v>0</v>
      </c>
      <c r="BL289">
        <f ca="1">IF(ROW()&lt;($C$7+1),"",IFERROR((分析データ!E289-AVERAGE(OFFSET(分析データ!E$1,MAX(1,ROW()-$C$7),0,MIN($C$7,ROW()-1),1)))/STDEV(OFFSET(分析データ!E$1,MAX(1,ROW()-$C$7),0,MIN($C$7,ROW()-1),1)),0))</f>
        <v>0.53829530148078231</v>
      </c>
      <c r="BM289">
        <f t="shared" ca="1" si="124"/>
        <v>0</v>
      </c>
      <c r="BN289" t="str">
        <f ca="1">IF(BM289=1,IF(INDEX(分析データ!$A:$A,ROW()+$C$5)&lt;&gt;"",40000*SIGN(BL289)*(分析データ!E289-INDEX(分析データ!E:E,ROW()+$C$5)),""),"")</f>
        <v/>
      </c>
      <c r="BO289">
        <f t="shared" ca="1" si="125"/>
        <v>280000.00000000291</v>
      </c>
      <c r="BP289">
        <f t="shared" ca="1" si="126"/>
        <v>280000.00000000291</v>
      </c>
      <c r="BQ289">
        <f t="shared" ca="1" si="127"/>
        <v>0</v>
      </c>
      <c r="BR289">
        <f ca="1">IF(ROW()&lt;($C$7+1),"",IFERROR((分析データ!F289-AVERAGE(OFFSET(分析データ!F$1,MAX(1,ROW()-$C$7),0,MIN($C$7,ROW()-1),1)))/STDEV(OFFSET(分析データ!F$1,MAX(1,ROW()-$C$7),0,MIN($C$7,ROW()-1),1)),0))</f>
        <v>-1.3217311192221242</v>
      </c>
      <c r="BS289">
        <f t="shared" ca="1" si="128"/>
        <v>0</v>
      </c>
      <c r="BT289" t="str">
        <f ca="1">IF(BS289=1,IF(INDEX(分析データ!$A:$A,ROW()+$C$5)&lt;&gt;"",40000*SIGN(BR289)*(分析データ!F289-INDEX(分析データ!F:F,ROW()+$C$5)),""),"")</f>
        <v/>
      </c>
      <c r="BU289">
        <f t="shared" ca="1" si="129"/>
        <v>0</v>
      </c>
      <c r="BV289">
        <f t="shared" ca="1" si="130"/>
        <v>0</v>
      </c>
      <c r="BW289">
        <f t="shared" ca="1" si="131"/>
        <v>0</v>
      </c>
      <c r="BX289">
        <f ca="1">IF(ROW()&lt;($C$7+1),"",IFERROR((分析データ!G289-AVERAGE(OFFSET(分析データ!G$1,MAX(1,ROW()-$C$7),0,MIN($C$7,ROW()-1),1)))/STDEV(OFFSET(分析データ!G$1,MAX(1,ROW()-$C$7),0,MIN($C$7,ROW()-1),1)),0))</f>
        <v>1.0807109263708679</v>
      </c>
      <c r="BY289">
        <f t="shared" ca="1" si="132"/>
        <v>0</v>
      </c>
      <c r="BZ289" t="str">
        <f ca="1">IF(BY289=1,IF(INDEX(分析データ!$A:$A,ROW()+$C$5)&lt;&gt;"",40000*SIGN(BX289)*(分析データ!G289-INDEX(分析データ!G:G,ROW()+$C$5)),""),"")</f>
        <v/>
      </c>
      <c r="CA289">
        <f t="shared" ca="1" si="133"/>
        <v>3095574.2871093722</v>
      </c>
      <c r="CB289">
        <f t="shared" ca="1" si="134"/>
        <v>3095574.2871093722</v>
      </c>
      <c r="CC289">
        <f t="shared" ca="1" si="135"/>
        <v>0</v>
      </c>
      <c r="CD289">
        <f t="shared" ca="1" si="136"/>
        <v>0</v>
      </c>
      <c r="CE289">
        <f t="shared" ca="1" si="137"/>
        <v>3375574.287109375</v>
      </c>
      <c r="CF289">
        <f t="shared" ca="1" si="138"/>
        <v>3375574.287109375</v>
      </c>
      <c r="CG289">
        <f t="shared" ca="1" si="139"/>
        <v>0</v>
      </c>
      <c r="CH289" s="10">
        <f>分析データ!A289</f>
        <v>45348</v>
      </c>
    </row>
    <row r="290" spans="46:86">
      <c r="AT290">
        <f ca="1">IF(ROW()&lt;($C$7+1),"",IFERROR((分析データ!B290-AVERAGE(OFFSET(分析データ!B$1,MAX(1,ROW()-$C$7),0,MIN($C$7,ROW()-1),1)))/STDEV(OFFSET(分析データ!B$1,MAX(1,ROW()-$C$7),0,MIN($C$7,ROW()-1),1)),0))</f>
        <v>0.9232854837978367</v>
      </c>
      <c r="AU290">
        <f t="shared" ca="1" si="112"/>
        <v>0</v>
      </c>
      <c r="AV290" t="str">
        <f ca="1">IF(AU290=1,IF(INDEX(分析データ!$A:$A,ROW()+$C$5)&lt;&gt;"",80000*SIGN(AT290)*(分析データ!B290-INDEX(分析データ!B:B,ROW()+$C$5)),""),"")</f>
        <v/>
      </c>
      <c r="AW290">
        <f t="shared" ca="1" si="113"/>
        <v>0</v>
      </c>
      <c r="AX290">
        <f t="shared" ca="1" si="114"/>
        <v>0</v>
      </c>
      <c r="AY290">
        <f t="shared" ca="1" si="115"/>
        <v>0</v>
      </c>
      <c r="AZ290">
        <f ca="1">IF(ROW()&lt;($C$7+1),"",IFERROR((分析データ!C290-AVERAGE(OFFSET(分析データ!C$1,MAX(1,ROW()-$C$7),0,MIN($C$7,ROW()-1),1)))/STDEV(OFFSET(分析データ!C$1,MAX(1,ROW()-$C$7),0,MIN($C$7,ROW()-1),1)),0))</f>
        <v>-1.0151245107748119</v>
      </c>
      <c r="BA290">
        <f t="shared" ca="1" si="116"/>
        <v>0</v>
      </c>
      <c r="BB290" t="str">
        <f ca="1">IF(BA290=1,IF(INDEX(分析データ!$A:$A,ROW()+$C$5)&lt;&gt;"",60000*SIGN(AZ290)*(分析データ!C290-INDEX(分析データ!C:C,ROW()+$C$5)),""),"")</f>
        <v/>
      </c>
      <c r="BC290">
        <f t="shared" ca="1" si="117"/>
        <v>0</v>
      </c>
      <c r="BD290">
        <f t="shared" ca="1" si="118"/>
        <v>0</v>
      </c>
      <c r="BE290">
        <f t="shared" ca="1" si="119"/>
        <v>0</v>
      </c>
      <c r="BF290">
        <f ca="1">IF(ROW()&lt;($C$7+1),"",IFERROR((分析データ!D290-AVERAGE(OFFSET(分析データ!D$1,MAX(1,ROW()-$C$7),0,MIN($C$7,ROW()-1),1)))/STDEV(OFFSET(分析データ!D$1,MAX(1,ROW()-$C$7),0,MIN($C$7,ROW()-1),1)),0))</f>
        <v>0.63578281465816111</v>
      </c>
      <c r="BG290">
        <f t="shared" ca="1" si="120"/>
        <v>0</v>
      </c>
      <c r="BH290" t="str">
        <f ca="1">IF(BG290=1,IF(INDEX(分析データ!$A:$A,ROW()+$C$5)&lt;&gt;"",50000*SIGN(BF290)*(分析データ!D290-INDEX(分析データ!D:D,ROW()+$C$5)),""),"")</f>
        <v/>
      </c>
      <c r="BI290">
        <f t="shared" ca="1" si="121"/>
        <v>0</v>
      </c>
      <c r="BJ290">
        <f t="shared" ca="1" si="122"/>
        <v>0</v>
      </c>
      <c r="BK290">
        <f t="shared" ca="1" si="123"/>
        <v>0</v>
      </c>
      <c r="BL290">
        <f ca="1">IF(ROW()&lt;($C$7+1),"",IFERROR((分析データ!E290-AVERAGE(OFFSET(分析データ!E$1,MAX(1,ROW()-$C$7),0,MIN($C$7,ROW()-1),1)))/STDEV(OFFSET(分析データ!E$1,MAX(1,ROW()-$C$7),0,MIN($C$7,ROW()-1),1)),0))</f>
        <v>0.53228762007286279</v>
      </c>
      <c r="BM290">
        <f t="shared" ca="1" si="124"/>
        <v>0</v>
      </c>
      <c r="BN290" t="str">
        <f ca="1">IF(BM290=1,IF(INDEX(分析データ!$A:$A,ROW()+$C$5)&lt;&gt;"",40000*SIGN(BL290)*(分析データ!E290-INDEX(分析データ!E:E,ROW()+$C$5)),""),"")</f>
        <v/>
      </c>
      <c r="BO290">
        <f t="shared" ca="1" si="125"/>
        <v>280000.00000000291</v>
      </c>
      <c r="BP290">
        <f t="shared" ca="1" si="126"/>
        <v>280000.00000000291</v>
      </c>
      <c r="BQ290">
        <f t="shared" ca="1" si="127"/>
        <v>0</v>
      </c>
      <c r="BR290">
        <f ca="1">IF(ROW()&lt;($C$7+1),"",IFERROR((分析データ!F290-AVERAGE(OFFSET(分析データ!F$1,MAX(1,ROW()-$C$7),0,MIN($C$7,ROW()-1),1)))/STDEV(OFFSET(分析データ!F$1,MAX(1,ROW()-$C$7),0,MIN($C$7,ROW()-1),1)),0))</f>
        <v>-1.2622629330083204</v>
      </c>
      <c r="BS290">
        <f t="shared" ca="1" si="128"/>
        <v>0</v>
      </c>
      <c r="BT290" t="str">
        <f ca="1">IF(BS290=1,IF(INDEX(分析データ!$A:$A,ROW()+$C$5)&lt;&gt;"",40000*SIGN(BR290)*(分析データ!F290-INDEX(分析データ!F:F,ROW()+$C$5)),""),"")</f>
        <v/>
      </c>
      <c r="BU290">
        <f t="shared" ca="1" si="129"/>
        <v>0</v>
      </c>
      <c r="BV290">
        <f t="shared" ca="1" si="130"/>
        <v>0</v>
      </c>
      <c r="BW290">
        <f t="shared" ca="1" si="131"/>
        <v>0</v>
      </c>
      <c r="BX290">
        <f ca="1">IF(ROW()&lt;($C$7+1),"",IFERROR((分析データ!G290-AVERAGE(OFFSET(分析データ!G$1,MAX(1,ROW()-$C$7),0,MIN($C$7,ROW()-1),1)))/STDEV(OFFSET(分析データ!G$1,MAX(1,ROW()-$C$7),0,MIN($C$7,ROW()-1),1)),0))</f>
        <v>0.88509255509653495</v>
      </c>
      <c r="BY290">
        <f t="shared" ca="1" si="132"/>
        <v>0</v>
      </c>
      <c r="BZ290" t="str">
        <f ca="1">IF(BY290=1,IF(INDEX(分析データ!$A:$A,ROW()+$C$5)&lt;&gt;"",40000*SIGN(BX290)*(分析データ!G290-INDEX(分析データ!G:G,ROW()+$C$5)),""),"")</f>
        <v/>
      </c>
      <c r="CA290">
        <f t="shared" ca="1" si="133"/>
        <v>3095574.2871093722</v>
      </c>
      <c r="CB290">
        <f t="shared" ca="1" si="134"/>
        <v>3095574.2871093722</v>
      </c>
      <c r="CC290">
        <f t="shared" ca="1" si="135"/>
        <v>0</v>
      </c>
      <c r="CD290">
        <f t="shared" ca="1" si="136"/>
        <v>0</v>
      </c>
      <c r="CE290">
        <f t="shared" ca="1" si="137"/>
        <v>3375574.287109375</v>
      </c>
      <c r="CF290">
        <f t="shared" ca="1" si="138"/>
        <v>3375574.287109375</v>
      </c>
      <c r="CG290">
        <f t="shared" ca="1" si="139"/>
        <v>0</v>
      </c>
      <c r="CH290" s="10">
        <f>分析データ!A290</f>
        <v>45349</v>
      </c>
    </row>
    <row r="291" spans="46:86">
      <c r="AT291">
        <f ca="1">IF(ROW()&lt;($C$7+1),"",IFERROR((分析データ!B291-AVERAGE(OFFSET(分析データ!B$1,MAX(1,ROW()-$C$7),0,MIN($C$7,ROW()-1),1)))/STDEV(OFFSET(分析データ!B$1,MAX(1,ROW()-$C$7),0,MIN($C$7,ROW()-1),1)),0))</f>
        <v>1.0135473842891811</v>
      </c>
      <c r="AU291">
        <f t="shared" ca="1" si="112"/>
        <v>0</v>
      </c>
      <c r="AV291" t="str">
        <f ca="1">IF(AU291=1,IF(INDEX(分析データ!$A:$A,ROW()+$C$5)&lt;&gt;"",80000*SIGN(AT291)*(分析データ!B291-INDEX(分析データ!B:B,ROW()+$C$5)),""),"")</f>
        <v/>
      </c>
      <c r="AW291">
        <f t="shared" ca="1" si="113"/>
        <v>0</v>
      </c>
      <c r="AX291">
        <f t="shared" ca="1" si="114"/>
        <v>0</v>
      </c>
      <c r="AY291">
        <f t="shared" ca="1" si="115"/>
        <v>0</v>
      </c>
      <c r="AZ291">
        <f ca="1">IF(ROW()&lt;($C$7+1),"",IFERROR((分析データ!C291-AVERAGE(OFFSET(分析データ!C$1,MAX(1,ROW()-$C$7),0,MIN($C$7,ROW()-1),1)))/STDEV(OFFSET(分析データ!C$1,MAX(1,ROW()-$C$7),0,MIN($C$7,ROW()-1),1)),0))</f>
        <v>-1.1698593990363335</v>
      </c>
      <c r="BA291">
        <f t="shared" ca="1" si="116"/>
        <v>0</v>
      </c>
      <c r="BB291" t="str">
        <f ca="1">IF(BA291=1,IF(INDEX(分析データ!$A:$A,ROW()+$C$5)&lt;&gt;"",60000*SIGN(AZ291)*(分析データ!C291-INDEX(分析データ!C:C,ROW()+$C$5)),""),"")</f>
        <v/>
      </c>
      <c r="BC291">
        <f t="shared" ca="1" si="117"/>
        <v>0</v>
      </c>
      <c r="BD291">
        <f t="shared" ca="1" si="118"/>
        <v>0</v>
      </c>
      <c r="BE291">
        <f t="shared" ca="1" si="119"/>
        <v>0</v>
      </c>
      <c r="BF291">
        <f ca="1">IF(ROW()&lt;($C$7+1),"",IFERROR((分析データ!D291-AVERAGE(OFFSET(分析データ!D$1,MAX(1,ROW()-$C$7),0,MIN($C$7,ROW()-1),1)))/STDEV(OFFSET(分析データ!D$1,MAX(1,ROW()-$C$7),0,MIN($C$7,ROW()-1),1)),0))</f>
        <v>0.46576108504009173</v>
      </c>
      <c r="BG291">
        <f t="shared" ca="1" si="120"/>
        <v>0</v>
      </c>
      <c r="BH291" t="str">
        <f ca="1">IF(BG291=1,IF(INDEX(分析データ!$A:$A,ROW()+$C$5)&lt;&gt;"",50000*SIGN(BF291)*(分析データ!D291-INDEX(分析データ!D:D,ROW()+$C$5)),""),"")</f>
        <v/>
      </c>
      <c r="BI291">
        <f t="shared" ca="1" si="121"/>
        <v>0</v>
      </c>
      <c r="BJ291">
        <f t="shared" ca="1" si="122"/>
        <v>0</v>
      </c>
      <c r="BK291">
        <f t="shared" ca="1" si="123"/>
        <v>0</v>
      </c>
      <c r="BL291">
        <f ca="1">IF(ROW()&lt;($C$7+1),"",IFERROR((分析データ!E291-AVERAGE(OFFSET(分析データ!E$1,MAX(1,ROW()-$C$7),0,MIN($C$7,ROW()-1),1)))/STDEV(OFFSET(分析データ!E$1,MAX(1,ROW()-$C$7),0,MIN($C$7,ROW()-1),1)),0))</f>
        <v>0.70634467824769542</v>
      </c>
      <c r="BM291">
        <f t="shared" ca="1" si="124"/>
        <v>0</v>
      </c>
      <c r="BN291" t="str">
        <f ca="1">IF(BM291=1,IF(INDEX(分析データ!$A:$A,ROW()+$C$5)&lt;&gt;"",40000*SIGN(BL291)*(分析データ!E291-INDEX(分析データ!E:E,ROW()+$C$5)),""),"")</f>
        <v/>
      </c>
      <c r="BO291">
        <f t="shared" ca="1" si="125"/>
        <v>280000.00000000291</v>
      </c>
      <c r="BP291">
        <f t="shared" ca="1" si="126"/>
        <v>280000.00000000291</v>
      </c>
      <c r="BQ291">
        <f t="shared" ca="1" si="127"/>
        <v>0</v>
      </c>
      <c r="BR291">
        <f ca="1">IF(ROW()&lt;($C$7+1),"",IFERROR((分析データ!F291-AVERAGE(OFFSET(分析データ!F$1,MAX(1,ROW()-$C$7),0,MIN($C$7,ROW()-1),1)))/STDEV(OFFSET(分析データ!F$1,MAX(1,ROW()-$C$7),0,MIN($C$7,ROW()-1),1)),0))</f>
        <v>-1.0747437198434688</v>
      </c>
      <c r="BS291">
        <f t="shared" ca="1" si="128"/>
        <v>0</v>
      </c>
      <c r="BT291" t="str">
        <f ca="1">IF(BS291=1,IF(INDEX(分析データ!$A:$A,ROW()+$C$5)&lt;&gt;"",40000*SIGN(BR291)*(分析データ!F291-INDEX(分析データ!F:F,ROW()+$C$5)),""),"")</f>
        <v/>
      </c>
      <c r="BU291">
        <f t="shared" ca="1" si="129"/>
        <v>0</v>
      </c>
      <c r="BV291">
        <f t="shared" ca="1" si="130"/>
        <v>0</v>
      </c>
      <c r="BW291">
        <f t="shared" ca="1" si="131"/>
        <v>0</v>
      </c>
      <c r="BX291">
        <f ca="1">IF(ROW()&lt;($C$7+1),"",IFERROR((分析データ!G291-AVERAGE(OFFSET(分析データ!G$1,MAX(1,ROW()-$C$7),0,MIN($C$7,ROW()-1),1)))/STDEV(OFFSET(分析データ!G$1,MAX(1,ROW()-$C$7),0,MIN($C$7,ROW()-1),1)),0))</f>
        <v>0.81455008295638753</v>
      </c>
      <c r="BY291">
        <f t="shared" ca="1" si="132"/>
        <v>0</v>
      </c>
      <c r="BZ291" t="str">
        <f ca="1">IF(BY291=1,IF(INDEX(分析データ!$A:$A,ROW()+$C$5)&lt;&gt;"",40000*SIGN(BX291)*(分析データ!G291-INDEX(分析データ!G:G,ROW()+$C$5)),""),"")</f>
        <v/>
      </c>
      <c r="CA291">
        <f t="shared" ca="1" si="133"/>
        <v>3095574.2871093722</v>
      </c>
      <c r="CB291">
        <f t="shared" ca="1" si="134"/>
        <v>3095574.2871093722</v>
      </c>
      <c r="CC291">
        <f t="shared" ca="1" si="135"/>
        <v>0</v>
      </c>
      <c r="CD291">
        <f t="shared" ca="1" si="136"/>
        <v>0</v>
      </c>
      <c r="CE291">
        <f t="shared" ca="1" si="137"/>
        <v>3375574.287109375</v>
      </c>
      <c r="CF291">
        <f t="shared" ca="1" si="138"/>
        <v>3375574.287109375</v>
      </c>
      <c r="CG291">
        <f t="shared" ca="1" si="139"/>
        <v>0</v>
      </c>
      <c r="CH291" s="10">
        <f>分析データ!A291</f>
        <v>45350</v>
      </c>
    </row>
    <row r="292" spans="46:86">
      <c r="AT292">
        <f ca="1">IF(ROW()&lt;($C$7+1),"",IFERROR((分析データ!B292-AVERAGE(OFFSET(分析データ!B$1,MAX(1,ROW()-$C$7),0,MIN($C$7,ROW()-1),1)))/STDEV(OFFSET(分析データ!B$1,MAX(1,ROW()-$C$7),0,MIN($C$7,ROW()-1),1)),0))</f>
        <v>0.90808854321923105</v>
      </c>
      <c r="AU292">
        <f t="shared" ca="1" si="112"/>
        <v>0</v>
      </c>
      <c r="AV292" t="str">
        <f ca="1">IF(AU292=1,IF(INDEX(分析データ!$A:$A,ROW()+$C$5)&lt;&gt;"",80000*SIGN(AT292)*(分析データ!B292-INDEX(分析データ!B:B,ROW()+$C$5)),""),"")</f>
        <v/>
      </c>
      <c r="AW292">
        <f t="shared" ca="1" si="113"/>
        <v>0</v>
      </c>
      <c r="AX292">
        <f t="shared" ca="1" si="114"/>
        <v>0</v>
      </c>
      <c r="AY292">
        <f t="shared" ca="1" si="115"/>
        <v>0</v>
      </c>
      <c r="AZ292">
        <f ca="1">IF(ROW()&lt;($C$7+1),"",IFERROR((分析データ!C292-AVERAGE(OFFSET(分析データ!C$1,MAX(1,ROW()-$C$7),0,MIN($C$7,ROW()-1),1)))/STDEV(OFFSET(分析データ!C$1,MAX(1,ROW()-$C$7),0,MIN($C$7,ROW()-1),1)),0))</f>
        <v>-1.3389966643279645</v>
      </c>
      <c r="BA292">
        <f t="shared" ca="1" si="116"/>
        <v>0</v>
      </c>
      <c r="BB292" t="str">
        <f ca="1">IF(BA292=1,IF(INDEX(分析データ!$A:$A,ROW()+$C$5)&lt;&gt;"",60000*SIGN(AZ292)*(分析データ!C292-INDEX(分析データ!C:C,ROW()+$C$5)),""),"")</f>
        <v/>
      </c>
      <c r="BC292">
        <f t="shared" ca="1" si="117"/>
        <v>0</v>
      </c>
      <c r="BD292">
        <f t="shared" ca="1" si="118"/>
        <v>0</v>
      </c>
      <c r="BE292">
        <f t="shared" ca="1" si="119"/>
        <v>0</v>
      </c>
      <c r="BF292">
        <f ca="1">IF(ROW()&lt;($C$7+1),"",IFERROR((分析データ!D292-AVERAGE(OFFSET(分析データ!D$1,MAX(1,ROW()-$C$7),0,MIN($C$7,ROW()-1),1)))/STDEV(OFFSET(分析データ!D$1,MAX(1,ROW()-$C$7),0,MIN($C$7,ROW()-1),1)),0))</f>
        <v>0.33371372746405914</v>
      </c>
      <c r="BG292">
        <f t="shared" ca="1" si="120"/>
        <v>0</v>
      </c>
      <c r="BH292" t="str">
        <f ca="1">IF(BG292=1,IF(INDEX(分析データ!$A:$A,ROW()+$C$5)&lt;&gt;"",50000*SIGN(BF292)*(分析データ!D292-INDEX(分析データ!D:D,ROW()+$C$5)),""),"")</f>
        <v/>
      </c>
      <c r="BI292">
        <f t="shared" ca="1" si="121"/>
        <v>0</v>
      </c>
      <c r="BJ292">
        <f t="shared" ca="1" si="122"/>
        <v>0</v>
      </c>
      <c r="BK292">
        <f t="shared" ca="1" si="123"/>
        <v>0</v>
      </c>
      <c r="BL292">
        <f ca="1">IF(ROW()&lt;($C$7+1),"",IFERROR((分析データ!E292-AVERAGE(OFFSET(分析データ!E$1,MAX(1,ROW()-$C$7),0,MIN($C$7,ROW()-1),1)))/STDEV(OFFSET(分析データ!E$1,MAX(1,ROW()-$C$7),0,MIN($C$7,ROW()-1),1)),0))</f>
        <v>0.51915368935427442</v>
      </c>
      <c r="BM292">
        <f t="shared" ca="1" si="124"/>
        <v>0</v>
      </c>
      <c r="BN292" t="str">
        <f ca="1">IF(BM292=1,IF(INDEX(分析データ!$A:$A,ROW()+$C$5)&lt;&gt;"",40000*SIGN(BL292)*(分析データ!E292-INDEX(分析データ!E:E,ROW()+$C$5)),""),"")</f>
        <v/>
      </c>
      <c r="BO292">
        <f t="shared" ca="1" si="125"/>
        <v>280000.00000000291</v>
      </c>
      <c r="BP292">
        <f t="shared" ca="1" si="126"/>
        <v>280000.00000000291</v>
      </c>
      <c r="BQ292">
        <f t="shared" ca="1" si="127"/>
        <v>0</v>
      </c>
      <c r="BR292">
        <f ca="1">IF(ROW()&lt;($C$7+1),"",IFERROR((分析データ!F292-AVERAGE(OFFSET(分析データ!F$1,MAX(1,ROW()-$C$7),0,MIN($C$7,ROW()-1),1)))/STDEV(OFFSET(分析データ!F$1,MAX(1,ROW()-$C$7),0,MIN($C$7,ROW()-1),1)),0))</f>
        <v>-1.050512482146515</v>
      </c>
      <c r="BS292">
        <f t="shared" ca="1" si="128"/>
        <v>0</v>
      </c>
      <c r="BT292" t="str">
        <f ca="1">IF(BS292=1,IF(INDEX(分析データ!$A:$A,ROW()+$C$5)&lt;&gt;"",40000*SIGN(BR292)*(分析データ!F292-INDEX(分析データ!F:F,ROW()+$C$5)),""),"")</f>
        <v/>
      </c>
      <c r="BU292">
        <f t="shared" ca="1" si="129"/>
        <v>0</v>
      </c>
      <c r="BV292">
        <f t="shared" ca="1" si="130"/>
        <v>0</v>
      </c>
      <c r="BW292">
        <f t="shared" ca="1" si="131"/>
        <v>0</v>
      </c>
      <c r="BX292">
        <f ca="1">IF(ROW()&lt;($C$7+1),"",IFERROR((分析データ!G292-AVERAGE(OFFSET(分析データ!G$1,MAX(1,ROW()-$C$7),0,MIN($C$7,ROW()-1),1)))/STDEV(OFFSET(分析データ!G$1,MAX(1,ROW()-$C$7),0,MIN($C$7,ROW()-1),1)),0))</f>
        <v>0.90408484395717514</v>
      </c>
      <c r="BY292">
        <f t="shared" ca="1" si="132"/>
        <v>0</v>
      </c>
      <c r="BZ292" t="str">
        <f ca="1">IF(BY292=1,IF(INDEX(分析データ!$A:$A,ROW()+$C$5)&lt;&gt;"",40000*SIGN(BX292)*(分析データ!G292-INDEX(分析データ!G:G,ROW()+$C$5)),""),"")</f>
        <v/>
      </c>
      <c r="CA292">
        <f t="shared" ca="1" si="133"/>
        <v>3095574.2871093722</v>
      </c>
      <c r="CB292">
        <f t="shared" ca="1" si="134"/>
        <v>3095574.2871093722</v>
      </c>
      <c r="CC292">
        <f t="shared" ca="1" si="135"/>
        <v>0</v>
      </c>
      <c r="CD292">
        <f t="shared" ca="1" si="136"/>
        <v>0</v>
      </c>
      <c r="CE292">
        <f t="shared" ca="1" si="137"/>
        <v>3375574.287109375</v>
      </c>
      <c r="CF292">
        <f t="shared" ca="1" si="138"/>
        <v>3375574.287109375</v>
      </c>
      <c r="CG292">
        <f t="shared" ca="1" si="139"/>
        <v>0</v>
      </c>
      <c r="CH292" s="10">
        <f>分析データ!A292</f>
        <v>45351</v>
      </c>
    </row>
    <row r="293" spans="46:86">
      <c r="AT293">
        <f ca="1">IF(ROW()&lt;($C$7+1),"",IFERROR((分析データ!B293-AVERAGE(OFFSET(分析データ!B$1,MAX(1,ROW()-$C$7),0,MIN($C$7,ROW()-1),1)))/STDEV(OFFSET(分析データ!B$1,MAX(1,ROW()-$C$7),0,MIN($C$7,ROW()-1),1)),0))</f>
        <v>1.0472085437768004</v>
      </c>
      <c r="AU293">
        <f t="shared" ca="1" si="112"/>
        <v>0</v>
      </c>
      <c r="AV293" t="str">
        <f ca="1">IF(AU293=1,IF(INDEX(分析データ!$A:$A,ROW()+$C$5)&lt;&gt;"",80000*SIGN(AT293)*(分析データ!B293-INDEX(分析データ!B:B,ROW()+$C$5)),""),"")</f>
        <v/>
      </c>
      <c r="AW293">
        <f t="shared" ca="1" si="113"/>
        <v>0</v>
      </c>
      <c r="AX293">
        <f t="shared" ca="1" si="114"/>
        <v>0</v>
      </c>
      <c r="AY293">
        <f t="shared" ca="1" si="115"/>
        <v>0</v>
      </c>
      <c r="AZ293">
        <f ca="1">IF(ROW()&lt;($C$7+1),"",IFERROR((分析データ!C293-AVERAGE(OFFSET(分析データ!C$1,MAX(1,ROW()-$C$7),0,MIN($C$7,ROW()-1),1)))/STDEV(OFFSET(分析データ!C$1,MAX(1,ROW()-$C$7),0,MIN($C$7,ROW()-1),1)),0))</f>
        <v>-1.0486349491483191</v>
      </c>
      <c r="BA293">
        <f t="shared" ca="1" si="116"/>
        <v>0</v>
      </c>
      <c r="BB293" t="str">
        <f ca="1">IF(BA293=1,IF(INDEX(分析データ!$A:$A,ROW()+$C$5)&lt;&gt;"",60000*SIGN(AZ293)*(分析データ!C293-INDEX(分析データ!C:C,ROW()+$C$5)),""),"")</f>
        <v/>
      </c>
      <c r="BC293">
        <f t="shared" ca="1" si="117"/>
        <v>0</v>
      </c>
      <c r="BD293">
        <f t="shared" ca="1" si="118"/>
        <v>0</v>
      </c>
      <c r="BE293">
        <f t="shared" ca="1" si="119"/>
        <v>0</v>
      </c>
      <c r="BF293">
        <f ca="1">IF(ROW()&lt;($C$7+1),"",IFERROR((分析データ!D293-AVERAGE(OFFSET(分析データ!D$1,MAX(1,ROW()-$C$7),0,MIN($C$7,ROW()-1),1)))/STDEV(OFFSET(分析データ!D$1,MAX(1,ROW()-$C$7),0,MIN($C$7,ROW()-1),1)),0))</f>
        <v>9.6257066254570089E-2</v>
      </c>
      <c r="BG293">
        <f t="shared" ca="1" si="120"/>
        <v>0</v>
      </c>
      <c r="BH293" t="str">
        <f ca="1">IF(BG293=1,IF(INDEX(分析データ!$A:$A,ROW()+$C$5)&lt;&gt;"",50000*SIGN(BF293)*(分析データ!D293-INDEX(分析データ!D:D,ROW()+$C$5)),""),"")</f>
        <v/>
      </c>
      <c r="BI293">
        <f t="shared" ca="1" si="121"/>
        <v>0</v>
      </c>
      <c r="BJ293">
        <f t="shared" ca="1" si="122"/>
        <v>0</v>
      </c>
      <c r="BK293">
        <f t="shared" ca="1" si="123"/>
        <v>0</v>
      </c>
      <c r="BL293">
        <f ca="1">IF(ROW()&lt;($C$7+1),"",IFERROR((分析データ!E293-AVERAGE(OFFSET(分析データ!E$1,MAX(1,ROW()-$C$7),0,MIN($C$7,ROW()-1),1)))/STDEV(OFFSET(分析データ!E$1,MAX(1,ROW()-$C$7),0,MIN($C$7,ROW()-1),1)),0))</f>
        <v>0.78606307647054552</v>
      </c>
      <c r="BM293">
        <f t="shared" ca="1" si="124"/>
        <v>0</v>
      </c>
      <c r="BN293" t="str">
        <f ca="1">IF(BM293=1,IF(INDEX(分析データ!$A:$A,ROW()+$C$5)&lt;&gt;"",40000*SIGN(BL293)*(分析データ!E293-INDEX(分析データ!E:E,ROW()+$C$5)),""),"")</f>
        <v/>
      </c>
      <c r="BO293">
        <f t="shared" ca="1" si="125"/>
        <v>280000.00000000291</v>
      </c>
      <c r="BP293">
        <f t="shared" ca="1" si="126"/>
        <v>280000.00000000291</v>
      </c>
      <c r="BQ293">
        <f t="shared" ca="1" si="127"/>
        <v>0</v>
      </c>
      <c r="BR293">
        <f ca="1">IF(ROW()&lt;($C$7+1),"",IFERROR((分析データ!F293-AVERAGE(OFFSET(分析データ!F$1,MAX(1,ROW()-$C$7),0,MIN($C$7,ROW()-1),1)))/STDEV(OFFSET(分析データ!F$1,MAX(1,ROW()-$C$7),0,MIN($C$7,ROW()-1),1)),0))</f>
        <v>-1.0181529267902267</v>
      </c>
      <c r="BS293">
        <f t="shared" ca="1" si="128"/>
        <v>0</v>
      </c>
      <c r="BT293" t="str">
        <f ca="1">IF(BS293=1,IF(INDEX(分析データ!$A:$A,ROW()+$C$5)&lt;&gt;"",40000*SIGN(BR293)*(分析データ!F293-INDEX(分析データ!F:F,ROW()+$C$5)),""),"")</f>
        <v/>
      </c>
      <c r="BU293">
        <f t="shared" ca="1" si="129"/>
        <v>0</v>
      </c>
      <c r="BV293">
        <f t="shared" ca="1" si="130"/>
        <v>0</v>
      </c>
      <c r="BW293">
        <f t="shared" ca="1" si="131"/>
        <v>0</v>
      </c>
      <c r="BX293">
        <f ca="1">IF(ROW()&lt;($C$7+1),"",IFERROR((分析データ!G293-AVERAGE(OFFSET(分析データ!G$1,MAX(1,ROW()-$C$7),0,MIN($C$7,ROW()-1),1)))/STDEV(OFFSET(分析データ!G$1,MAX(1,ROW()-$C$7),0,MIN($C$7,ROW()-1),1)),0))</f>
        <v>1.0398889670927476</v>
      </c>
      <c r="BY293">
        <f t="shared" ca="1" si="132"/>
        <v>0</v>
      </c>
      <c r="BZ293" t="str">
        <f ca="1">IF(BY293=1,IF(INDEX(分析データ!$A:$A,ROW()+$C$5)&lt;&gt;"",40000*SIGN(BX293)*(分析データ!G293-INDEX(分析データ!G:G,ROW()+$C$5)),""),"")</f>
        <v/>
      </c>
      <c r="CA293">
        <f t="shared" ca="1" si="133"/>
        <v>3095574.2871093722</v>
      </c>
      <c r="CB293">
        <f t="shared" ca="1" si="134"/>
        <v>3095574.2871093722</v>
      </c>
      <c r="CC293">
        <f t="shared" ca="1" si="135"/>
        <v>0</v>
      </c>
      <c r="CD293">
        <f t="shared" ca="1" si="136"/>
        <v>0</v>
      </c>
      <c r="CE293">
        <f t="shared" ca="1" si="137"/>
        <v>3375574.287109375</v>
      </c>
      <c r="CF293">
        <f t="shared" ca="1" si="138"/>
        <v>3375574.287109375</v>
      </c>
      <c r="CG293">
        <f t="shared" ca="1" si="139"/>
        <v>0</v>
      </c>
      <c r="CH293" s="10">
        <f>分析データ!A293</f>
        <v>45352</v>
      </c>
    </row>
    <row r="294" spans="46:86">
      <c r="AT294">
        <f ca="1">IF(ROW()&lt;($C$7+1),"",IFERROR((分析データ!B294-AVERAGE(OFFSET(分析データ!B$1,MAX(1,ROW()-$C$7),0,MIN($C$7,ROW()-1),1)))/STDEV(OFFSET(分析データ!B$1,MAX(1,ROW()-$C$7),0,MIN($C$7,ROW()-1),1)),0))</f>
        <v>0.84548183921657982</v>
      </c>
      <c r="AU294">
        <f t="shared" ca="1" si="112"/>
        <v>0</v>
      </c>
      <c r="AV294" t="str">
        <f ca="1">IF(AU294=1,IF(INDEX(分析データ!$A:$A,ROW()+$C$5)&lt;&gt;"",80000*SIGN(AT294)*(分析データ!B294-INDEX(分析データ!B:B,ROW()+$C$5)),""),"")</f>
        <v/>
      </c>
      <c r="AW294">
        <f t="shared" ca="1" si="113"/>
        <v>0</v>
      </c>
      <c r="AX294">
        <f t="shared" ca="1" si="114"/>
        <v>0</v>
      </c>
      <c r="AY294">
        <f t="shared" ca="1" si="115"/>
        <v>0</v>
      </c>
      <c r="AZ294">
        <f ca="1">IF(ROW()&lt;($C$7+1),"",IFERROR((分析データ!C294-AVERAGE(OFFSET(分析データ!C$1,MAX(1,ROW()-$C$7),0,MIN($C$7,ROW()-1),1)))/STDEV(OFFSET(分析データ!C$1,MAX(1,ROW()-$C$7),0,MIN($C$7,ROW()-1),1)),0))</f>
        <v>-1.2558140373185758</v>
      </c>
      <c r="BA294">
        <f t="shared" ca="1" si="116"/>
        <v>0</v>
      </c>
      <c r="BB294" t="str">
        <f ca="1">IF(BA294=1,IF(INDEX(分析データ!$A:$A,ROW()+$C$5)&lt;&gt;"",60000*SIGN(AZ294)*(分析データ!C294-INDEX(分析データ!C:C,ROW()+$C$5)),""),"")</f>
        <v/>
      </c>
      <c r="BC294">
        <f t="shared" ca="1" si="117"/>
        <v>0</v>
      </c>
      <c r="BD294">
        <f t="shared" ca="1" si="118"/>
        <v>0</v>
      </c>
      <c r="BE294">
        <f t="shared" ca="1" si="119"/>
        <v>0</v>
      </c>
      <c r="BF294">
        <f ca="1">IF(ROW()&lt;($C$7+1),"",IFERROR((分析データ!D294-AVERAGE(OFFSET(分析データ!D$1,MAX(1,ROW()-$C$7),0,MIN($C$7,ROW()-1),1)))/STDEV(OFFSET(分析データ!D$1,MAX(1,ROW()-$C$7),0,MIN($C$7,ROW()-1),1)),0))</f>
        <v>0.21979561850838933</v>
      </c>
      <c r="BG294">
        <f t="shared" ca="1" si="120"/>
        <v>0</v>
      </c>
      <c r="BH294" t="str">
        <f ca="1">IF(BG294=1,IF(INDEX(分析データ!$A:$A,ROW()+$C$5)&lt;&gt;"",50000*SIGN(BF294)*(分析データ!D294-INDEX(分析データ!D:D,ROW()+$C$5)),""),"")</f>
        <v/>
      </c>
      <c r="BI294">
        <f t="shared" ca="1" si="121"/>
        <v>0</v>
      </c>
      <c r="BJ294">
        <f t="shared" ca="1" si="122"/>
        <v>0</v>
      </c>
      <c r="BK294">
        <f t="shared" ca="1" si="123"/>
        <v>0</v>
      </c>
      <c r="BL294">
        <f ca="1">IF(ROW()&lt;($C$7+1),"",IFERROR((分析データ!E294-AVERAGE(OFFSET(分析データ!E$1,MAX(1,ROW()-$C$7),0,MIN($C$7,ROW()-1),1)))/STDEV(OFFSET(分析データ!E$1,MAX(1,ROW()-$C$7),0,MIN($C$7,ROW()-1),1)),0))</f>
        <v>0.68834229332525798</v>
      </c>
      <c r="BM294">
        <f t="shared" ca="1" si="124"/>
        <v>0</v>
      </c>
      <c r="BN294" t="str">
        <f ca="1">IF(BM294=1,IF(INDEX(分析データ!$A:$A,ROW()+$C$5)&lt;&gt;"",40000*SIGN(BL294)*(分析データ!E294-INDEX(分析データ!E:E,ROW()+$C$5)),""),"")</f>
        <v/>
      </c>
      <c r="BO294">
        <f t="shared" ca="1" si="125"/>
        <v>280000.00000000291</v>
      </c>
      <c r="BP294">
        <f t="shared" ca="1" si="126"/>
        <v>280000.00000000291</v>
      </c>
      <c r="BQ294">
        <f t="shared" ca="1" si="127"/>
        <v>0</v>
      </c>
      <c r="BR294">
        <f ca="1">IF(ROW()&lt;($C$7+1),"",IFERROR((分析データ!F294-AVERAGE(OFFSET(分析データ!F$1,MAX(1,ROW()-$C$7),0,MIN($C$7,ROW()-1),1)))/STDEV(OFFSET(分析データ!F$1,MAX(1,ROW()-$C$7),0,MIN($C$7,ROW()-1),1)),0))</f>
        <v>-1.0805323852731834</v>
      </c>
      <c r="BS294">
        <f t="shared" ca="1" si="128"/>
        <v>0</v>
      </c>
      <c r="BT294" t="str">
        <f ca="1">IF(BS294=1,IF(INDEX(分析データ!$A:$A,ROW()+$C$5)&lt;&gt;"",40000*SIGN(BR294)*(分析データ!F294-INDEX(分析データ!F:F,ROW()+$C$5)),""),"")</f>
        <v/>
      </c>
      <c r="BU294">
        <f t="shared" ca="1" si="129"/>
        <v>0</v>
      </c>
      <c r="BV294">
        <f t="shared" ca="1" si="130"/>
        <v>0</v>
      </c>
      <c r="BW294">
        <f t="shared" ca="1" si="131"/>
        <v>0</v>
      </c>
      <c r="BX294">
        <f ca="1">IF(ROW()&lt;($C$7+1),"",IFERROR((分析データ!G294-AVERAGE(OFFSET(分析データ!G$1,MAX(1,ROW()-$C$7),0,MIN($C$7,ROW()-1),1)))/STDEV(OFFSET(分析データ!G$1,MAX(1,ROW()-$C$7),0,MIN($C$7,ROW()-1),1)),0))</f>
        <v>1.0500740495804604</v>
      </c>
      <c r="BY294">
        <f t="shared" ca="1" si="132"/>
        <v>0</v>
      </c>
      <c r="BZ294" t="str">
        <f ca="1">IF(BY294=1,IF(INDEX(分析データ!$A:$A,ROW()+$C$5)&lt;&gt;"",40000*SIGN(BX294)*(分析データ!G294-INDEX(分析データ!G:G,ROW()+$C$5)),""),"")</f>
        <v/>
      </c>
      <c r="CA294">
        <f t="shared" ca="1" si="133"/>
        <v>3095574.2871093722</v>
      </c>
      <c r="CB294">
        <f t="shared" ca="1" si="134"/>
        <v>3095574.2871093722</v>
      </c>
      <c r="CC294">
        <f t="shared" ca="1" si="135"/>
        <v>0</v>
      </c>
      <c r="CD294">
        <f t="shared" ca="1" si="136"/>
        <v>0</v>
      </c>
      <c r="CE294">
        <f t="shared" ca="1" si="137"/>
        <v>3375574.287109375</v>
      </c>
      <c r="CF294">
        <f t="shared" ca="1" si="138"/>
        <v>3375574.287109375</v>
      </c>
      <c r="CG294">
        <f t="shared" ca="1" si="139"/>
        <v>0</v>
      </c>
      <c r="CH294" s="10">
        <f>分析データ!A294</f>
        <v>45355</v>
      </c>
    </row>
    <row r="295" spans="46:86">
      <c r="AT295">
        <f ca="1">IF(ROW()&lt;($C$7+1),"",IFERROR((分析データ!B295-AVERAGE(OFFSET(分析データ!B$1,MAX(1,ROW()-$C$7),0,MIN($C$7,ROW()-1),1)))/STDEV(OFFSET(分析データ!B$1,MAX(1,ROW()-$C$7),0,MIN($C$7,ROW()-1),1)),0))</f>
        <v>0.74194772793180352</v>
      </c>
      <c r="AU295">
        <f t="shared" ca="1" si="112"/>
        <v>0</v>
      </c>
      <c r="AV295" t="str">
        <f ca="1">IF(AU295=1,IF(INDEX(分析データ!$A:$A,ROW()+$C$5)&lt;&gt;"",80000*SIGN(AT295)*(分析データ!B295-INDEX(分析データ!B:B,ROW()+$C$5)),""),"")</f>
        <v/>
      </c>
      <c r="AW295">
        <f t="shared" ca="1" si="113"/>
        <v>0</v>
      </c>
      <c r="AX295">
        <f t="shared" ca="1" si="114"/>
        <v>0</v>
      </c>
      <c r="AY295">
        <f t="shared" ca="1" si="115"/>
        <v>0</v>
      </c>
      <c r="AZ295">
        <f ca="1">IF(ROW()&lt;($C$7+1),"",IFERROR((分析データ!C295-AVERAGE(OFFSET(分析データ!C$1,MAX(1,ROW()-$C$7),0,MIN($C$7,ROW()-1),1)))/STDEV(OFFSET(分析データ!C$1,MAX(1,ROW()-$C$7),0,MIN($C$7,ROW()-1),1)),0))</f>
        <v>-1.395431334702868</v>
      </c>
      <c r="BA295">
        <f t="shared" ca="1" si="116"/>
        <v>0</v>
      </c>
      <c r="BB295" t="str">
        <f ca="1">IF(BA295=1,IF(INDEX(分析データ!$A:$A,ROW()+$C$5)&lt;&gt;"",60000*SIGN(AZ295)*(分析データ!C295-INDEX(分析データ!C:C,ROW()+$C$5)),""),"")</f>
        <v/>
      </c>
      <c r="BC295">
        <f t="shared" ca="1" si="117"/>
        <v>0</v>
      </c>
      <c r="BD295">
        <f t="shared" ca="1" si="118"/>
        <v>0</v>
      </c>
      <c r="BE295">
        <f t="shared" ca="1" si="119"/>
        <v>0</v>
      </c>
      <c r="BF295">
        <f ca="1">IF(ROW()&lt;($C$7+1),"",IFERROR((分析データ!D295-AVERAGE(OFFSET(分析データ!D$1,MAX(1,ROW()-$C$7),0,MIN($C$7,ROW()-1),1)))/STDEV(OFFSET(分析データ!D$1,MAX(1,ROW()-$C$7),0,MIN($C$7,ROW()-1),1)),0))</f>
        <v>-7.3436593764546934E-2</v>
      </c>
      <c r="BG295">
        <f t="shared" ca="1" si="120"/>
        <v>0</v>
      </c>
      <c r="BH295" t="str">
        <f ca="1">IF(BG295=1,IF(INDEX(分析データ!$A:$A,ROW()+$C$5)&lt;&gt;"",50000*SIGN(BF295)*(分析データ!D295-INDEX(分析データ!D:D,ROW()+$C$5)),""),"")</f>
        <v/>
      </c>
      <c r="BI295">
        <f t="shared" ca="1" si="121"/>
        <v>0</v>
      </c>
      <c r="BJ295">
        <f t="shared" ca="1" si="122"/>
        <v>0</v>
      </c>
      <c r="BK295">
        <f t="shared" ca="1" si="123"/>
        <v>0</v>
      </c>
      <c r="BL295">
        <f ca="1">IF(ROW()&lt;($C$7+1),"",IFERROR((分析データ!E295-AVERAGE(OFFSET(分析データ!E$1,MAX(1,ROW()-$C$7),0,MIN($C$7,ROW()-1),1)))/STDEV(OFFSET(分析データ!E$1,MAX(1,ROW()-$C$7),0,MIN($C$7,ROW()-1),1)),0))</f>
        <v>0.59055684699597777</v>
      </c>
      <c r="BM295">
        <f t="shared" ca="1" si="124"/>
        <v>0</v>
      </c>
      <c r="BN295" t="str">
        <f ca="1">IF(BM295=1,IF(INDEX(分析データ!$A:$A,ROW()+$C$5)&lt;&gt;"",40000*SIGN(BL295)*(分析データ!E295-INDEX(分析データ!E:E,ROW()+$C$5)),""),"")</f>
        <v/>
      </c>
      <c r="BO295">
        <f t="shared" ca="1" si="125"/>
        <v>280000.00000000291</v>
      </c>
      <c r="BP295">
        <f t="shared" ca="1" si="126"/>
        <v>280000.00000000291</v>
      </c>
      <c r="BQ295">
        <f t="shared" ca="1" si="127"/>
        <v>0</v>
      </c>
      <c r="BR295">
        <f ca="1">IF(ROW()&lt;($C$7+1),"",IFERROR((分析データ!F295-AVERAGE(OFFSET(分析データ!F$1,MAX(1,ROW()-$C$7),0,MIN($C$7,ROW()-1),1)))/STDEV(OFFSET(分析データ!F$1,MAX(1,ROW()-$C$7),0,MIN($C$7,ROW()-1),1)),0))</f>
        <v>-0.85663757181824229</v>
      </c>
      <c r="BS295">
        <f t="shared" ca="1" si="128"/>
        <v>0</v>
      </c>
      <c r="BT295" t="str">
        <f ca="1">IF(BS295=1,IF(INDEX(分析データ!$A:$A,ROW()+$C$5)&lt;&gt;"",40000*SIGN(BR295)*(分析データ!F295-INDEX(分析データ!F:F,ROW()+$C$5)),""),"")</f>
        <v/>
      </c>
      <c r="BU295">
        <f t="shared" ca="1" si="129"/>
        <v>0</v>
      </c>
      <c r="BV295">
        <f t="shared" ca="1" si="130"/>
        <v>0</v>
      </c>
      <c r="BW295">
        <f t="shared" ca="1" si="131"/>
        <v>0</v>
      </c>
      <c r="BX295">
        <f ca="1">IF(ROW()&lt;($C$7+1),"",IFERROR((分析データ!G295-AVERAGE(OFFSET(分析データ!G$1,MAX(1,ROW()-$C$7),0,MIN($C$7,ROW()-1),1)))/STDEV(OFFSET(分析データ!G$1,MAX(1,ROW()-$C$7),0,MIN($C$7,ROW()-1),1)),0))</f>
        <v>1.0140715446467223</v>
      </c>
      <c r="BY295">
        <f t="shared" ca="1" si="132"/>
        <v>0</v>
      </c>
      <c r="BZ295" t="str">
        <f ca="1">IF(BY295=1,IF(INDEX(分析データ!$A:$A,ROW()+$C$5)&lt;&gt;"",40000*SIGN(BX295)*(分析データ!G295-INDEX(分析データ!G:G,ROW()+$C$5)),""),"")</f>
        <v/>
      </c>
      <c r="CA295">
        <f t="shared" ca="1" si="133"/>
        <v>3095574.2871093722</v>
      </c>
      <c r="CB295">
        <f t="shared" ca="1" si="134"/>
        <v>3095574.2871093722</v>
      </c>
      <c r="CC295">
        <f t="shared" ca="1" si="135"/>
        <v>0</v>
      </c>
      <c r="CD295">
        <f t="shared" ca="1" si="136"/>
        <v>0</v>
      </c>
      <c r="CE295">
        <f t="shared" ca="1" si="137"/>
        <v>3375574.287109375</v>
      </c>
      <c r="CF295">
        <f t="shared" ca="1" si="138"/>
        <v>3375574.287109375</v>
      </c>
      <c r="CG295">
        <f t="shared" ca="1" si="139"/>
        <v>0</v>
      </c>
      <c r="CH295" s="10">
        <f>分析データ!A295</f>
        <v>45356</v>
      </c>
    </row>
    <row r="296" spans="46:86">
      <c r="AT296">
        <f ca="1">IF(ROW()&lt;($C$7+1),"",IFERROR((分析データ!B296-AVERAGE(OFFSET(分析データ!B$1,MAX(1,ROW()-$C$7),0,MIN($C$7,ROW()-1),1)))/STDEV(OFFSET(分析データ!B$1,MAX(1,ROW()-$C$7),0,MIN($C$7,ROW()-1),1)),0))</f>
        <v>0.63874568998838366</v>
      </c>
      <c r="AU296">
        <f t="shared" ca="1" si="112"/>
        <v>0</v>
      </c>
      <c r="AV296" t="str">
        <f ca="1">IF(AU296=1,IF(INDEX(分析データ!$A:$A,ROW()+$C$5)&lt;&gt;"",80000*SIGN(AT296)*(分析データ!B296-INDEX(分析データ!B:B,ROW()+$C$5)),""),"")</f>
        <v/>
      </c>
      <c r="AW296">
        <f t="shared" ca="1" si="113"/>
        <v>0</v>
      </c>
      <c r="AX296">
        <f t="shared" ca="1" si="114"/>
        <v>0</v>
      </c>
      <c r="AY296">
        <f t="shared" ca="1" si="115"/>
        <v>0</v>
      </c>
      <c r="AZ296">
        <f ca="1">IF(ROW()&lt;($C$7+1),"",IFERROR((分析データ!C296-AVERAGE(OFFSET(分析データ!C$1,MAX(1,ROW()-$C$7),0,MIN($C$7,ROW()-1),1)))/STDEV(OFFSET(分析データ!C$1,MAX(1,ROW()-$C$7),0,MIN($C$7,ROW()-1),1)),0))</f>
        <v>-1.209654048745153</v>
      </c>
      <c r="BA296">
        <f t="shared" ca="1" si="116"/>
        <v>0</v>
      </c>
      <c r="BB296" t="str">
        <f ca="1">IF(BA296=1,IF(INDEX(分析データ!$A:$A,ROW()+$C$5)&lt;&gt;"",60000*SIGN(AZ296)*(分析データ!C296-INDEX(分析データ!C:C,ROW()+$C$5)),""),"")</f>
        <v/>
      </c>
      <c r="BC296">
        <f t="shared" ca="1" si="117"/>
        <v>0</v>
      </c>
      <c r="BD296">
        <f t="shared" ca="1" si="118"/>
        <v>0</v>
      </c>
      <c r="BE296">
        <f t="shared" ca="1" si="119"/>
        <v>0</v>
      </c>
      <c r="BF296">
        <f ca="1">IF(ROW()&lt;($C$7+1),"",IFERROR((分析データ!D296-AVERAGE(OFFSET(分析データ!D$1,MAX(1,ROW()-$C$7),0,MIN($C$7,ROW()-1),1)))/STDEV(OFFSET(分析データ!D$1,MAX(1,ROW()-$C$7),0,MIN($C$7,ROW()-1),1)),0))</f>
        <v>-0.1876869825433595</v>
      </c>
      <c r="BG296">
        <f t="shared" ca="1" si="120"/>
        <v>0</v>
      </c>
      <c r="BH296" t="str">
        <f ca="1">IF(BG296=1,IF(INDEX(分析データ!$A:$A,ROW()+$C$5)&lt;&gt;"",50000*SIGN(BF296)*(分析データ!D296-INDEX(分析データ!D:D,ROW()+$C$5)),""),"")</f>
        <v/>
      </c>
      <c r="BI296">
        <f t="shared" ca="1" si="121"/>
        <v>0</v>
      </c>
      <c r="BJ296">
        <f t="shared" ca="1" si="122"/>
        <v>0</v>
      </c>
      <c r="BK296">
        <f t="shared" ca="1" si="123"/>
        <v>0</v>
      </c>
      <c r="BL296">
        <f ca="1">IF(ROW()&lt;($C$7+1),"",IFERROR((分析データ!E296-AVERAGE(OFFSET(分析データ!E$1,MAX(1,ROW()-$C$7),0,MIN($C$7,ROW()-1),1)))/STDEV(OFFSET(分析データ!E$1,MAX(1,ROW()-$C$7),0,MIN($C$7,ROW()-1),1)),0))</f>
        <v>0.49175965555336726</v>
      </c>
      <c r="BM296">
        <f t="shared" ca="1" si="124"/>
        <v>0</v>
      </c>
      <c r="BN296" t="str">
        <f ca="1">IF(BM296=1,IF(INDEX(分析データ!$A:$A,ROW()+$C$5)&lt;&gt;"",40000*SIGN(BL296)*(分析データ!E296-INDEX(分析データ!E:E,ROW()+$C$5)),""),"")</f>
        <v/>
      </c>
      <c r="BO296">
        <f t="shared" ca="1" si="125"/>
        <v>280000.00000000291</v>
      </c>
      <c r="BP296">
        <f t="shared" ca="1" si="126"/>
        <v>280000.00000000291</v>
      </c>
      <c r="BQ296">
        <f t="shared" ca="1" si="127"/>
        <v>0</v>
      </c>
      <c r="BR296">
        <f ca="1">IF(ROW()&lt;($C$7+1),"",IFERROR((分析データ!F296-AVERAGE(OFFSET(分析データ!F$1,MAX(1,ROW()-$C$7),0,MIN($C$7,ROW()-1),1)))/STDEV(OFFSET(分析データ!F$1,MAX(1,ROW()-$C$7),0,MIN($C$7,ROW()-1),1)),0))</f>
        <v>-0.9830398784483293</v>
      </c>
      <c r="BS296">
        <f t="shared" ca="1" si="128"/>
        <v>0</v>
      </c>
      <c r="BT296" t="str">
        <f ca="1">IF(BS296=1,IF(INDEX(分析データ!$A:$A,ROW()+$C$5)&lt;&gt;"",40000*SIGN(BR296)*(分析データ!F296-INDEX(分析データ!F:F,ROW()+$C$5)),""),"")</f>
        <v/>
      </c>
      <c r="BU296">
        <f t="shared" ca="1" si="129"/>
        <v>0</v>
      </c>
      <c r="BV296">
        <f t="shared" ca="1" si="130"/>
        <v>0</v>
      </c>
      <c r="BW296">
        <f t="shared" ca="1" si="131"/>
        <v>0</v>
      </c>
      <c r="BX296">
        <f ca="1">IF(ROW()&lt;($C$7+1),"",IFERROR((分析データ!G296-AVERAGE(OFFSET(分析データ!G$1,MAX(1,ROW()-$C$7),0,MIN($C$7,ROW()-1),1)))/STDEV(OFFSET(分析データ!G$1,MAX(1,ROW()-$C$7),0,MIN($C$7,ROW()-1),1)),0))</f>
        <v>1.2445139459136925</v>
      </c>
      <c r="BY296">
        <f t="shared" ca="1" si="132"/>
        <v>0</v>
      </c>
      <c r="BZ296" t="str">
        <f ca="1">IF(BY296=1,IF(INDEX(分析データ!$A:$A,ROW()+$C$5)&lt;&gt;"",40000*SIGN(BX296)*(分析データ!G296-INDEX(分析データ!G:G,ROW()+$C$5)),""),"")</f>
        <v/>
      </c>
      <c r="CA296">
        <f t="shared" ca="1" si="133"/>
        <v>3095574.2871093722</v>
      </c>
      <c r="CB296">
        <f t="shared" ca="1" si="134"/>
        <v>3095574.2871093722</v>
      </c>
      <c r="CC296">
        <f t="shared" ca="1" si="135"/>
        <v>0</v>
      </c>
      <c r="CD296">
        <f t="shared" ca="1" si="136"/>
        <v>0</v>
      </c>
      <c r="CE296">
        <f t="shared" ca="1" si="137"/>
        <v>3375574.287109375</v>
      </c>
      <c r="CF296">
        <f t="shared" ca="1" si="138"/>
        <v>3375574.287109375</v>
      </c>
      <c r="CG296">
        <f t="shared" ca="1" si="139"/>
        <v>0</v>
      </c>
      <c r="CH296" s="10">
        <f>分析データ!A296</f>
        <v>45357</v>
      </c>
    </row>
    <row r="297" spans="46:86">
      <c r="AT297">
        <f ca="1">IF(ROW()&lt;($C$7+1),"",IFERROR((分析データ!B297-AVERAGE(OFFSET(分析データ!B$1,MAX(1,ROW()-$C$7),0,MIN($C$7,ROW()-1),1)))/STDEV(OFFSET(分析データ!B$1,MAX(1,ROW()-$C$7),0,MIN($C$7,ROW()-1),1)),0))</f>
        <v>0.63279383909820586</v>
      </c>
      <c r="AU297">
        <f t="shared" ca="1" si="112"/>
        <v>0</v>
      </c>
      <c r="AV297" t="str">
        <f ca="1">IF(AU297=1,IF(INDEX(分析データ!$A:$A,ROW()+$C$5)&lt;&gt;"",80000*SIGN(AT297)*(分析データ!B297-INDEX(分析データ!B:B,ROW()+$C$5)),""),"")</f>
        <v/>
      </c>
      <c r="AW297">
        <f t="shared" ca="1" si="113"/>
        <v>0</v>
      </c>
      <c r="AX297">
        <f t="shared" ca="1" si="114"/>
        <v>0</v>
      </c>
      <c r="AY297">
        <f t="shared" ca="1" si="115"/>
        <v>0</v>
      </c>
      <c r="AZ297">
        <f ca="1">IF(ROW()&lt;($C$7+1),"",IFERROR((分析データ!C297-AVERAGE(OFFSET(分析データ!C$1,MAX(1,ROW()-$C$7),0,MIN($C$7,ROW()-1),1)))/STDEV(OFFSET(分析データ!C$1,MAX(1,ROW()-$C$7),0,MIN($C$7,ROW()-1),1)),0))</f>
        <v>-1.0270222813118537</v>
      </c>
      <c r="BA297">
        <f t="shared" ca="1" si="116"/>
        <v>0</v>
      </c>
      <c r="BB297" t="str">
        <f ca="1">IF(BA297=1,IF(INDEX(分析データ!$A:$A,ROW()+$C$5)&lt;&gt;"",60000*SIGN(AZ297)*(分析データ!C297-INDEX(分析データ!C:C,ROW()+$C$5)),""),"")</f>
        <v/>
      </c>
      <c r="BC297">
        <f t="shared" ca="1" si="117"/>
        <v>0</v>
      </c>
      <c r="BD297">
        <f t="shared" ca="1" si="118"/>
        <v>0</v>
      </c>
      <c r="BE297">
        <f t="shared" ca="1" si="119"/>
        <v>0</v>
      </c>
      <c r="BF297">
        <f ca="1">IF(ROW()&lt;($C$7+1),"",IFERROR((分析データ!D297-AVERAGE(OFFSET(分析データ!D$1,MAX(1,ROW()-$C$7),0,MIN($C$7,ROW()-1),1)))/STDEV(OFFSET(分析データ!D$1,MAX(1,ROW()-$C$7),0,MIN($C$7,ROW()-1),1)),0))</f>
        <v>-0.32004684034424008</v>
      </c>
      <c r="BG297">
        <f t="shared" ca="1" si="120"/>
        <v>0</v>
      </c>
      <c r="BH297" t="str">
        <f ca="1">IF(BG297=1,IF(INDEX(分析データ!$A:$A,ROW()+$C$5)&lt;&gt;"",50000*SIGN(BF297)*(分析データ!D297-INDEX(分析データ!D:D,ROW()+$C$5)),""),"")</f>
        <v/>
      </c>
      <c r="BI297">
        <f t="shared" ca="1" si="121"/>
        <v>0</v>
      </c>
      <c r="BJ297">
        <f t="shared" ca="1" si="122"/>
        <v>0</v>
      </c>
      <c r="BK297">
        <f t="shared" ca="1" si="123"/>
        <v>0</v>
      </c>
      <c r="BL297">
        <f ca="1">IF(ROW()&lt;($C$7+1),"",IFERROR((分析データ!E297-AVERAGE(OFFSET(分析データ!E$1,MAX(1,ROW()-$C$7),0,MIN($C$7,ROW()-1),1)))/STDEV(OFFSET(分析データ!E$1,MAX(1,ROW()-$C$7),0,MIN($C$7,ROW()-1),1)),0))</f>
        <v>0.76805591409127805</v>
      </c>
      <c r="BM297">
        <f t="shared" ca="1" si="124"/>
        <v>0</v>
      </c>
      <c r="BN297" t="str">
        <f ca="1">IF(BM297=1,IF(INDEX(分析データ!$A:$A,ROW()+$C$5)&lt;&gt;"",40000*SIGN(BL297)*(分析データ!E297-INDEX(分析データ!E:E,ROW()+$C$5)),""),"")</f>
        <v/>
      </c>
      <c r="BO297">
        <f t="shared" ca="1" si="125"/>
        <v>280000.00000000291</v>
      </c>
      <c r="BP297">
        <f t="shared" ca="1" si="126"/>
        <v>280000.00000000291</v>
      </c>
      <c r="BQ297">
        <f t="shared" ca="1" si="127"/>
        <v>0</v>
      </c>
      <c r="BR297">
        <f ca="1">IF(ROW()&lt;($C$7+1),"",IFERROR((分析データ!F297-AVERAGE(OFFSET(分析データ!F$1,MAX(1,ROW()-$C$7),0,MIN($C$7,ROW()-1),1)))/STDEV(OFFSET(分析データ!F$1,MAX(1,ROW()-$C$7),0,MIN($C$7,ROW()-1),1)),0))</f>
        <v>-1.0355642719465572</v>
      </c>
      <c r="BS297">
        <f t="shared" ca="1" si="128"/>
        <v>0</v>
      </c>
      <c r="BT297" t="str">
        <f ca="1">IF(BS297=1,IF(INDEX(分析データ!$A:$A,ROW()+$C$5)&lt;&gt;"",40000*SIGN(BR297)*(分析データ!F297-INDEX(分析データ!F:F,ROW()+$C$5)),""),"")</f>
        <v/>
      </c>
      <c r="BU297">
        <f t="shared" ca="1" si="129"/>
        <v>0</v>
      </c>
      <c r="BV297">
        <f t="shared" ca="1" si="130"/>
        <v>0</v>
      </c>
      <c r="BW297">
        <f t="shared" ca="1" si="131"/>
        <v>0</v>
      </c>
      <c r="BX297">
        <f ca="1">IF(ROW()&lt;($C$7+1),"",IFERROR((分析データ!G297-AVERAGE(OFFSET(分析データ!G$1,MAX(1,ROW()-$C$7),0,MIN($C$7,ROW()-1),1)))/STDEV(OFFSET(分析データ!G$1,MAX(1,ROW()-$C$7),0,MIN($C$7,ROW()-1),1)),0))</f>
        <v>1.5679887108430552</v>
      </c>
      <c r="BY297">
        <f t="shared" ca="1" si="132"/>
        <v>0</v>
      </c>
      <c r="BZ297" t="str">
        <f ca="1">IF(BY297=1,IF(INDEX(分析データ!$A:$A,ROW()+$C$5)&lt;&gt;"",40000*SIGN(BX297)*(分析データ!G297-INDEX(分析データ!G:G,ROW()+$C$5)),""),"")</f>
        <v/>
      </c>
      <c r="CA297">
        <f t="shared" ca="1" si="133"/>
        <v>3095574.2871093722</v>
      </c>
      <c r="CB297">
        <f t="shared" ca="1" si="134"/>
        <v>3095574.2871093722</v>
      </c>
      <c r="CC297">
        <f t="shared" ca="1" si="135"/>
        <v>0</v>
      </c>
      <c r="CD297">
        <f t="shared" ca="1" si="136"/>
        <v>0</v>
      </c>
      <c r="CE297">
        <f t="shared" ca="1" si="137"/>
        <v>3375574.287109375</v>
      </c>
      <c r="CF297">
        <f t="shared" ca="1" si="138"/>
        <v>3375574.287109375</v>
      </c>
      <c r="CG297">
        <f t="shared" ca="1" si="139"/>
        <v>0</v>
      </c>
      <c r="CH297" s="10">
        <f>分析データ!A297</f>
        <v>45358</v>
      </c>
    </row>
    <row r="298" spans="46:86">
      <c r="AT298">
        <f ca="1">IF(ROW()&lt;($C$7+1),"",IFERROR((分析データ!B298-AVERAGE(OFFSET(分析データ!B$1,MAX(1,ROW()-$C$7),0,MIN($C$7,ROW()-1),1)))/STDEV(OFFSET(分析データ!B$1,MAX(1,ROW()-$C$7),0,MIN($C$7,ROW()-1),1)),0))</f>
        <v>0.67565519111505301</v>
      </c>
      <c r="AU298">
        <f t="shared" ca="1" si="112"/>
        <v>0</v>
      </c>
      <c r="AV298" t="str">
        <f ca="1">IF(AU298=1,IF(INDEX(分析データ!$A:$A,ROW()+$C$5)&lt;&gt;"",80000*SIGN(AT298)*(分析データ!B298-INDEX(分析データ!B:B,ROW()+$C$5)),""),"")</f>
        <v/>
      </c>
      <c r="AW298">
        <f t="shared" ca="1" si="113"/>
        <v>0</v>
      </c>
      <c r="AX298">
        <f t="shared" ca="1" si="114"/>
        <v>0</v>
      </c>
      <c r="AY298">
        <f t="shared" ca="1" si="115"/>
        <v>0</v>
      </c>
      <c r="AZ298">
        <f ca="1">IF(ROW()&lt;($C$7+1),"",IFERROR((分析データ!C298-AVERAGE(OFFSET(分析データ!C$1,MAX(1,ROW()-$C$7),0,MIN($C$7,ROW()-1),1)))/STDEV(OFFSET(分析データ!C$1,MAX(1,ROW()-$C$7),0,MIN($C$7,ROW()-1),1)),0))</f>
        <v>-1.2248467892699502</v>
      </c>
      <c r="BA298">
        <f t="shared" ca="1" si="116"/>
        <v>0</v>
      </c>
      <c r="BB298" t="str">
        <f ca="1">IF(BA298=1,IF(INDEX(分析データ!$A:$A,ROW()+$C$5)&lt;&gt;"",60000*SIGN(AZ298)*(分析データ!C298-INDEX(分析データ!C:C,ROW()+$C$5)),""),"")</f>
        <v/>
      </c>
      <c r="BC298">
        <f t="shared" ca="1" si="117"/>
        <v>0</v>
      </c>
      <c r="BD298">
        <f t="shared" ca="1" si="118"/>
        <v>0</v>
      </c>
      <c r="BE298">
        <f t="shared" ca="1" si="119"/>
        <v>0</v>
      </c>
      <c r="BF298">
        <f ca="1">IF(ROW()&lt;($C$7+1),"",IFERROR((分析データ!D298-AVERAGE(OFFSET(分析データ!D$1,MAX(1,ROW()-$C$7),0,MIN($C$7,ROW()-1),1)))/STDEV(OFFSET(分析データ!D$1,MAX(1,ROW()-$C$7),0,MIN($C$7,ROW()-1),1)),0))</f>
        <v>-0.33697396797857504</v>
      </c>
      <c r="BG298">
        <f t="shared" ca="1" si="120"/>
        <v>0</v>
      </c>
      <c r="BH298" t="str">
        <f ca="1">IF(BG298=1,IF(INDEX(分析データ!$A:$A,ROW()+$C$5)&lt;&gt;"",50000*SIGN(BF298)*(分析データ!D298-INDEX(分析データ!D:D,ROW()+$C$5)),""),"")</f>
        <v/>
      </c>
      <c r="BI298">
        <f t="shared" ca="1" si="121"/>
        <v>0</v>
      </c>
      <c r="BJ298">
        <f t="shared" ca="1" si="122"/>
        <v>0</v>
      </c>
      <c r="BK298">
        <f t="shared" ca="1" si="123"/>
        <v>0</v>
      </c>
      <c r="BL298">
        <f ca="1">IF(ROW()&lt;($C$7+1),"",IFERROR((分析データ!E298-AVERAGE(OFFSET(分析データ!E$1,MAX(1,ROW()-$C$7),0,MIN($C$7,ROW()-1),1)))/STDEV(OFFSET(分析データ!E$1,MAX(1,ROW()-$C$7),0,MIN($C$7,ROW()-1),1)),0))</f>
        <v>0.86056535169654647</v>
      </c>
      <c r="BM298">
        <f t="shared" ca="1" si="124"/>
        <v>0</v>
      </c>
      <c r="BN298" t="str">
        <f ca="1">IF(BM298=1,IF(INDEX(分析データ!$A:$A,ROW()+$C$5)&lt;&gt;"",40000*SIGN(BL298)*(分析データ!E298-INDEX(分析データ!E:E,ROW()+$C$5)),""),"")</f>
        <v/>
      </c>
      <c r="BO298">
        <f t="shared" ca="1" si="125"/>
        <v>280000.00000000291</v>
      </c>
      <c r="BP298">
        <f t="shared" ca="1" si="126"/>
        <v>280000.00000000291</v>
      </c>
      <c r="BQ298">
        <f t="shared" ca="1" si="127"/>
        <v>0</v>
      </c>
      <c r="BR298">
        <f ca="1">IF(ROW()&lt;($C$7+1),"",IFERROR((分析データ!F298-AVERAGE(OFFSET(分析データ!F$1,MAX(1,ROW()-$C$7),0,MIN($C$7,ROW()-1),1)))/STDEV(OFFSET(分析データ!F$1,MAX(1,ROW()-$C$7),0,MIN($C$7,ROW()-1),1)),0))</f>
        <v>-1.1192047743509077</v>
      </c>
      <c r="BS298">
        <f t="shared" ca="1" si="128"/>
        <v>0</v>
      </c>
      <c r="BT298" t="str">
        <f ca="1">IF(BS298=1,IF(INDEX(分析データ!$A:$A,ROW()+$C$5)&lt;&gt;"",40000*SIGN(BR298)*(分析データ!F298-INDEX(分析データ!F:F,ROW()+$C$5)),""),"")</f>
        <v/>
      </c>
      <c r="BU298">
        <f t="shared" ca="1" si="129"/>
        <v>0</v>
      </c>
      <c r="BV298">
        <f t="shared" ca="1" si="130"/>
        <v>0</v>
      </c>
      <c r="BW298">
        <f t="shared" ca="1" si="131"/>
        <v>0</v>
      </c>
      <c r="BX298">
        <f ca="1">IF(ROW()&lt;($C$7+1),"",IFERROR((分析データ!G298-AVERAGE(OFFSET(分析データ!G$1,MAX(1,ROW()-$C$7),0,MIN($C$7,ROW()-1),1)))/STDEV(OFFSET(分析データ!G$1,MAX(1,ROW()-$C$7),0,MIN($C$7,ROW()-1),1)),0))</f>
        <v>1.6425872719751449</v>
      </c>
      <c r="BY298">
        <f t="shared" ca="1" si="132"/>
        <v>0</v>
      </c>
      <c r="BZ298" t="str">
        <f ca="1">IF(BY298=1,IF(INDEX(分析データ!$A:$A,ROW()+$C$5)&lt;&gt;"",40000*SIGN(BX298)*(分析データ!G298-INDEX(分析データ!G:G,ROW()+$C$5)),""),"")</f>
        <v/>
      </c>
      <c r="CA298">
        <f t="shared" ca="1" si="133"/>
        <v>3095574.2871093722</v>
      </c>
      <c r="CB298">
        <f t="shared" ca="1" si="134"/>
        <v>3095574.2871093722</v>
      </c>
      <c r="CC298">
        <f t="shared" ca="1" si="135"/>
        <v>0</v>
      </c>
      <c r="CD298">
        <f t="shared" ca="1" si="136"/>
        <v>0</v>
      </c>
      <c r="CE298">
        <f t="shared" ca="1" si="137"/>
        <v>3375574.287109375</v>
      </c>
      <c r="CF298">
        <f t="shared" ca="1" si="138"/>
        <v>3375574.287109375</v>
      </c>
      <c r="CG298">
        <f t="shared" ca="1" si="139"/>
        <v>0</v>
      </c>
      <c r="CH298" s="10">
        <f>分析データ!A298</f>
        <v>45359</v>
      </c>
    </row>
    <row r="299" spans="46:86">
      <c r="AT299">
        <f ca="1">IF(ROW()&lt;($C$7+1),"",IFERROR((分析データ!B299-AVERAGE(OFFSET(分析データ!B$1,MAX(1,ROW()-$C$7),0,MIN($C$7,ROW()-1),1)))/STDEV(OFFSET(分析データ!B$1,MAX(1,ROW()-$C$7),0,MIN($C$7,ROW()-1),1)),0))</f>
        <v>0.62064074342818631</v>
      </c>
      <c r="AU299">
        <f t="shared" ca="1" si="112"/>
        <v>0</v>
      </c>
      <c r="AV299" t="str">
        <f ca="1">IF(AU299=1,IF(INDEX(分析データ!$A:$A,ROW()+$C$5)&lt;&gt;"",80000*SIGN(AT299)*(分析データ!B299-INDEX(分析データ!B:B,ROW()+$C$5)),""),"")</f>
        <v/>
      </c>
      <c r="AW299">
        <f t="shared" ca="1" si="113"/>
        <v>0</v>
      </c>
      <c r="AX299">
        <f t="shared" ca="1" si="114"/>
        <v>0</v>
      </c>
      <c r="AY299">
        <f t="shared" ca="1" si="115"/>
        <v>0</v>
      </c>
      <c r="AZ299">
        <f ca="1">IF(ROW()&lt;($C$7+1),"",IFERROR((分析データ!C299-AVERAGE(OFFSET(分析データ!C$1,MAX(1,ROW()-$C$7),0,MIN($C$7,ROW()-1),1)))/STDEV(OFFSET(分析データ!C$1,MAX(1,ROW()-$C$7),0,MIN($C$7,ROW()-1),1)),0))</f>
        <v>-0.88878410286648768</v>
      </c>
      <c r="BA299">
        <f t="shared" ca="1" si="116"/>
        <v>0</v>
      </c>
      <c r="BB299" t="str">
        <f ca="1">IF(BA299=1,IF(INDEX(分析データ!$A:$A,ROW()+$C$5)&lt;&gt;"",60000*SIGN(AZ299)*(分析データ!C299-INDEX(分析データ!C:C,ROW()+$C$5)),""),"")</f>
        <v/>
      </c>
      <c r="BC299">
        <f t="shared" ca="1" si="117"/>
        <v>0</v>
      </c>
      <c r="BD299">
        <f t="shared" ca="1" si="118"/>
        <v>0</v>
      </c>
      <c r="BE299">
        <f t="shared" ca="1" si="119"/>
        <v>0</v>
      </c>
      <c r="BF299">
        <f ca="1">IF(ROW()&lt;($C$7+1),"",IFERROR((分析データ!D299-AVERAGE(OFFSET(分析データ!D$1,MAX(1,ROW()-$C$7),0,MIN($C$7,ROW()-1),1)))/STDEV(OFFSET(分析データ!D$1,MAX(1,ROW()-$C$7),0,MIN($C$7,ROW()-1),1)),0))</f>
        <v>-0.41372585746049279</v>
      </c>
      <c r="BG299">
        <f t="shared" ca="1" si="120"/>
        <v>0</v>
      </c>
      <c r="BH299" t="str">
        <f ca="1">IF(BG299=1,IF(INDEX(分析データ!$A:$A,ROW()+$C$5)&lt;&gt;"",50000*SIGN(BF299)*(分析データ!D299-INDEX(分析データ!D:D,ROW()+$C$5)),""),"")</f>
        <v/>
      </c>
      <c r="BI299">
        <f t="shared" ca="1" si="121"/>
        <v>0</v>
      </c>
      <c r="BJ299">
        <f t="shared" ca="1" si="122"/>
        <v>0</v>
      </c>
      <c r="BK299">
        <f t="shared" ca="1" si="123"/>
        <v>0</v>
      </c>
      <c r="BL299">
        <f ca="1">IF(ROW()&lt;($C$7+1),"",IFERROR((分析データ!E299-AVERAGE(OFFSET(分析データ!E$1,MAX(1,ROW()-$C$7),0,MIN($C$7,ROW()-1),1)))/STDEV(OFFSET(分析データ!E$1,MAX(1,ROW()-$C$7),0,MIN($C$7,ROW()-1),1)),0))</f>
        <v>0.75939026892420236</v>
      </c>
      <c r="BM299">
        <f t="shared" ca="1" si="124"/>
        <v>0</v>
      </c>
      <c r="BN299" t="str">
        <f ca="1">IF(BM299=1,IF(INDEX(分析データ!$A:$A,ROW()+$C$5)&lt;&gt;"",40000*SIGN(BL299)*(分析データ!E299-INDEX(分析データ!E:E,ROW()+$C$5)),""),"")</f>
        <v/>
      </c>
      <c r="BO299">
        <f t="shared" ca="1" si="125"/>
        <v>280000.00000000291</v>
      </c>
      <c r="BP299">
        <f t="shared" ca="1" si="126"/>
        <v>280000.00000000291</v>
      </c>
      <c r="BQ299">
        <f t="shared" ca="1" si="127"/>
        <v>0</v>
      </c>
      <c r="BR299">
        <f ca="1">IF(ROW()&lt;($C$7+1),"",IFERROR((分析データ!F299-AVERAGE(OFFSET(分析データ!F$1,MAX(1,ROW()-$C$7),0,MIN($C$7,ROW()-1),1)))/STDEV(OFFSET(分析データ!F$1,MAX(1,ROW()-$C$7),0,MIN($C$7,ROW()-1),1)),0))</f>
        <v>-1.0780458713290346</v>
      </c>
      <c r="BS299">
        <f t="shared" ca="1" si="128"/>
        <v>0</v>
      </c>
      <c r="BT299" t="str">
        <f ca="1">IF(BS299=1,IF(INDEX(分析データ!$A:$A,ROW()+$C$5)&lt;&gt;"",40000*SIGN(BR299)*(分析データ!F299-INDEX(分析データ!F:F,ROW()+$C$5)),""),"")</f>
        <v/>
      </c>
      <c r="BU299">
        <f t="shared" ca="1" si="129"/>
        <v>0</v>
      </c>
      <c r="BV299">
        <f t="shared" ca="1" si="130"/>
        <v>0</v>
      </c>
      <c r="BW299">
        <f t="shared" ca="1" si="131"/>
        <v>0</v>
      </c>
      <c r="BX299">
        <f ca="1">IF(ROW()&lt;($C$7+1),"",IFERROR((分析データ!G299-AVERAGE(OFFSET(分析データ!G$1,MAX(1,ROW()-$C$7),0,MIN($C$7,ROW()-1),1)))/STDEV(OFFSET(分析データ!G$1,MAX(1,ROW()-$C$7),0,MIN($C$7,ROW()-1),1)),0))</f>
        <v>1.5369939897898008</v>
      </c>
      <c r="BY299">
        <f t="shared" ca="1" si="132"/>
        <v>0</v>
      </c>
      <c r="BZ299" t="str">
        <f ca="1">IF(BY299=1,IF(INDEX(分析データ!$A:$A,ROW()+$C$5)&lt;&gt;"",40000*SIGN(BX299)*(分析データ!G299-INDEX(分析データ!G:G,ROW()+$C$5)),""),"")</f>
        <v/>
      </c>
      <c r="CA299">
        <f t="shared" ca="1" si="133"/>
        <v>3095574.2871093722</v>
      </c>
      <c r="CB299">
        <f t="shared" ca="1" si="134"/>
        <v>3095574.2871093722</v>
      </c>
      <c r="CC299">
        <f t="shared" ca="1" si="135"/>
        <v>0</v>
      </c>
      <c r="CD299">
        <f t="shared" ca="1" si="136"/>
        <v>0</v>
      </c>
      <c r="CE299">
        <f t="shared" ca="1" si="137"/>
        <v>3375574.287109375</v>
      </c>
      <c r="CF299">
        <f t="shared" ca="1" si="138"/>
        <v>3375574.287109375</v>
      </c>
      <c r="CG299">
        <f t="shared" ca="1" si="139"/>
        <v>0</v>
      </c>
      <c r="CH299" s="10">
        <f>分析データ!A299</f>
        <v>45362</v>
      </c>
    </row>
    <row r="300" spans="46:86">
      <c r="AT300">
        <f ca="1">IF(ROW()&lt;($C$7+1),"",IFERROR((分析データ!B300-AVERAGE(OFFSET(分析データ!B$1,MAX(1,ROW()-$C$7),0,MIN($C$7,ROW()-1),1)))/STDEV(OFFSET(分析データ!B$1,MAX(1,ROW()-$C$7),0,MIN($C$7,ROW()-1),1)),0))</f>
        <v>0.61496788123475699</v>
      </c>
      <c r="AU300">
        <f t="shared" ca="1" si="112"/>
        <v>0</v>
      </c>
      <c r="AV300" t="str">
        <f ca="1">IF(AU300=1,IF(INDEX(分析データ!$A:$A,ROW()+$C$5)&lt;&gt;"",80000*SIGN(AT300)*(分析データ!B300-INDEX(分析データ!B:B,ROW()+$C$5)),""),"")</f>
        <v/>
      </c>
      <c r="AW300">
        <f t="shared" ca="1" si="113"/>
        <v>0</v>
      </c>
      <c r="AX300">
        <f t="shared" ca="1" si="114"/>
        <v>0</v>
      </c>
      <c r="AY300">
        <f t="shared" ca="1" si="115"/>
        <v>0</v>
      </c>
      <c r="AZ300">
        <f ca="1">IF(ROW()&lt;($C$7+1),"",IFERROR((分析データ!C300-AVERAGE(OFFSET(分析データ!C$1,MAX(1,ROW()-$C$7),0,MIN($C$7,ROW()-1),1)))/STDEV(OFFSET(分析データ!C$1,MAX(1,ROW()-$C$7),0,MIN($C$7,ROW()-1),1)),0))</f>
        <v>-0.77707090538818713</v>
      </c>
      <c r="BA300">
        <f t="shared" ca="1" si="116"/>
        <v>0</v>
      </c>
      <c r="BB300" t="str">
        <f ca="1">IF(BA300=1,IF(INDEX(分析データ!$A:$A,ROW()+$C$5)&lt;&gt;"",60000*SIGN(AZ300)*(分析データ!C300-INDEX(分析データ!C:C,ROW()+$C$5)),""),"")</f>
        <v/>
      </c>
      <c r="BC300">
        <f t="shared" ca="1" si="117"/>
        <v>0</v>
      </c>
      <c r="BD300">
        <f t="shared" ca="1" si="118"/>
        <v>0</v>
      </c>
      <c r="BE300">
        <f t="shared" ca="1" si="119"/>
        <v>0</v>
      </c>
      <c r="BF300">
        <f ca="1">IF(ROW()&lt;($C$7+1),"",IFERROR((分析データ!D300-AVERAGE(OFFSET(分析データ!D$1,MAX(1,ROW()-$C$7),0,MIN($C$7,ROW()-1),1)))/STDEV(OFFSET(分析データ!D$1,MAX(1,ROW()-$C$7),0,MIN($C$7,ROW()-1),1)),0))</f>
        <v>-0.21486193330123574</v>
      </c>
      <c r="BG300">
        <f t="shared" ca="1" si="120"/>
        <v>0</v>
      </c>
      <c r="BH300" t="str">
        <f ca="1">IF(BG300=1,IF(INDEX(分析データ!$A:$A,ROW()+$C$5)&lt;&gt;"",50000*SIGN(BF300)*(分析データ!D300-INDEX(分析データ!D:D,ROW()+$C$5)),""),"")</f>
        <v/>
      </c>
      <c r="BI300">
        <f t="shared" ca="1" si="121"/>
        <v>0</v>
      </c>
      <c r="BJ300">
        <f t="shared" ca="1" si="122"/>
        <v>0</v>
      </c>
      <c r="BK300">
        <f t="shared" ca="1" si="123"/>
        <v>0</v>
      </c>
      <c r="BL300">
        <f ca="1">IF(ROW()&lt;($C$7+1),"",IFERROR((分析データ!E300-AVERAGE(OFFSET(分析データ!E$1,MAX(1,ROW()-$C$7),0,MIN($C$7,ROW()-1),1)))/STDEV(OFFSET(分析データ!E$1,MAX(1,ROW()-$C$7),0,MIN($C$7,ROW()-1),1)),0))</f>
        <v>0.65667793103354666</v>
      </c>
      <c r="BM300">
        <f t="shared" ca="1" si="124"/>
        <v>0</v>
      </c>
      <c r="BN300" t="str">
        <f ca="1">IF(BM300=1,IF(INDEX(分析データ!$A:$A,ROW()+$C$5)&lt;&gt;"",40000*SIGN(BL300)*(分析データ!E300-INDEX(分析データ!E:E,ROW()+$C$5)),""),"")</f>
        <v/>
      </c>
      <c r="BO300">
        <f t="shared" ca="1" si="125"/>
        <v>280000.00000000291</v>
      </c>
      <c r="BP300">
        <f t="shared" ca="1" si="126"/>
        <v>280000.00000000291</v>
      </c>
      <c r="BQ300">
        <f t="shared" ca="1" si="127"/>
        <v>0</v>
      </c>
      <c r="BR300">
        <f ca="1">IF(ROW()&lt;($C$7+1),"",IFERROR((分析データ!F300-AVERAGE(OFFSET(分析データ!F$1,MAX(1,ROW()-$C$7),0,MIN($C$7,ROW()-1),1)))/STDEV(OFFSET(分析データ!F$1,MAX(1,ROW()-$C$7),0,MIN($C$7,ROW()-1),1)),0))</f>
        <v>-1.1913627457291993</v>
      </c>
      <c r="BS300">
        <f t="shared" ca="1" si="128"/>
        <v>0</v>
      </c>
      <c r="BT300" t="str">
        <f ca="1">IF(BS300=1,IF(INDEX(分析データ!$A:$A,ROW()+$C$5)&lt;&gt;"",40000*SIGN(BR300)*(分析データ!F300-INDEX(分析データ!F:F,ROW()+$C$5)),""),"")</f>
        <v/>
      </c>
      <c r="BU300">
        <f t="shared" ca="1" si="129"/>
        <v>0</v>
      </c>
      <c r="BV300">
        <f t="shared" ca="1" si="130"/>
        <v>0</v>
      </c>
      <c r="BW300">
        <f t="shared" ca="1" si="131"/>
        <v>0</v>
      </c>
      <c r="BX300">
        <f ca="1">IF(ROW()&lt;($C$7+1),"",IFERROR((分析データ!G300-AVERAGE(OFFSET(分析データ!G$1,MAX(1,ROW()-$C$7),0,MIN($C$7,ROW()-1),1)))/STDEV(OFFSET(分析データ!G$1,MAX(1,ROW()-$C$7),0,MIN($C$7,ROW()-1),1)),0))</f>
        <v>1.7036287721786871</v>
      </c>
      <c r="BY300">
        <f t="shared" ca="1" si="132"/>
        <v>0</v>
      </c>
      <c r="BZ300" t="str">
        <f ca="1">IF(BY300=1,IF(INDEX(分析データ!$A:$A,ROW()+$C$5)&lt;&gt;"",40000*SIGN(BX300)*(分析データ!G300-INDEX(分析データ!G:G,ROW()+$C$5)),""),"")</f>
        <v/>
      </c>
      <c r="CA300">
        <f t="shared" ca="1" si="133"/>
        <v>3095574.2871093722</v>
      </c>
      <c r="CB300">
        <f t="shared" ca="1" si="134"/>
        <v>3095574.2871093722</v>
      </c>
      <c r="CC300">
        <f t="shared" ca="1" si="135"/>
        <v>0</v>
      </c>
      <c r="CD300">
        <f t="shared" ca="1" si="136"/>
        <v>0</v>
      </c>
      <c r="CE300">
        <f t="shared" ca="1" si="137"/>
        <v>3375574.287109375</v>
      </c>
      <c r="CF300">
        <f t="shared" ca="1" si="138"/>
        <v>3375574.287109375</v>
      </c>
      <c r="CG300">
        <f t="shared" ca="1" si="139"/>
        <v>0</v>
      </c>
      <c r="CH300" s="10">
        <f>分析データ!A300</f>
        <v>45363</v>
      </c>
    </row>
    <row r="301" spans="46:86">
      <c r="AT301">
        <f ca="1">IF(ROW()&lt;($C$7+1),"",IFERROR((分析データ!B301-AVERAGE(OFFSET(分析データ!B$1,MAX(1,ROW()-$C$7),0,MIN($C$7,ROW()-1),1)))/STDEV(OFFSET(分析データ!B$1,MAX(1,ROW()-$C$7),0,MIN($C$7,ROW()-1),1)),0))</f>
        <v>0.56440552933597699</v>
      </c>
      <c r="AU301">
        <f t="shared" ca="1" si="112"/>
        <v>0</v>
      </c>
      <c r="AV301" t="str">
        <f ca="1">IF(AU301=1,IF(INDEX(分析データ!$A:$A,ROW()+$C$5)&lt;&gt;"",80000*SIGN(AT301)*(分析データ!B301-INDEX(分析データ!B:B,ROW()+$C$5)),""),"")</f>
        <v/>
      </c>
      <c r="AW301">
        <f t="shared" ca="1" si="113"/>
        <v>0</v>
      </c>
      <c r="AX301">
        <f t="shared" ca="1" si="114"/>
        <v>0</v>
      </c>
      <c r="AY301">
        <f t="shared" ca="1" si="115"/>
        <v>0</v>
      </c>
      <c r="AZ301">
        <f ca="1">IF(ROW()&lt;($C$7+1),"",IFERROR((分析データ!C301-AVERAGE(OFFSET(分析データ!C$1,MAX(1,ROW()-$C$7),0,MIN($C$7,ROW()-1),1)))/STDEV(OFFSET(分析データ!C$1,MAX(1,ROW()-$C$7),0,MIN($C$7,ROW()-1),1)),0))</f>
        <v>-0.86099723968355735</v>
      </c>
      <c r="BA301">
        <f t="shared" ca="1" si="116"/>
        <v>0</v>
      </c>
      <c r="BB301" t="str">
        <f ca="1">IF(BA301=1,IF(INDEX(分析データ!$A:$A,ROW()+$C$5)&lt;&gt;"",60000*SIGN(AZ301)*(分析データ!C301-INDEX(分析データ!C:C,ROW()+$C$5)),""),"")</f>
        <v/>
      </c>
      <c r="BC301">
        <f t="shared" ca="1" si="117"/>
        <v>0</v>
      </c>
      <c r="BD301">
        <f t="shared" ca="1" si="118"/>
        <v>0</v>
      </c>
      <c r="BE301">
        <f t="shared" ca="1" si="119"/>
        <v>0</v>
      </c>
      <c r="BF301">
        <f ca="1">IF(ROW()&lt;($C$7+1),"",IFERROR((分析データ!D301-AVERAGE(OFFSET(分析データ!D$1,MAX(1,ROW()-$C$7),0,MIN($C$7,ROW()-1),1)))/STDEV(OFFSET(分析データ!D$1,MAX(1,ROW()-$C$7),0,MIN($C$7,ROW()-1),1)),0))</f>
        <v>-6.9393561348592772E-2</v>
      </c>
      <c r="BG301">
        <f t="shared" ca="1" si="120"/>
        <v>0</v>
      </c>
      <c r="BH301" t="str">
        <f ca="1">IF(BG301=1,IF(INDEX(分析データ!$A:$A,ROW()+$C$5)&lt;&gt;"",50000*SIGN(BF301)*(分析データ!D301-INDEX(分析データ!D:D,ROW()+$C$5)),""),"")</f>
        <v/>
      </c>
      <c r="BI301">
        <f t="shared" ca="1" si="121"/>
        <v>0</v>
      </c>
      <c r="BJ301">
        <f t="shared" ca="1" si="122"/>
        <v>0</v>
      </c>
      <c r="BK301">
        <f t="shared" ca="1" si="123"/>
        <v>0</v>
      </c>
      <c r="BL301">
        <f ca="1">IF(ROW()&lt;($C$7+1),"",IFERROR((分析データ!E301-AVERAGE(OFFSET(分析データ!E$1,MAX(1,ROW()-$C$7),0,MIN($C$7,ROW()-1),1)))/STDEV(OFFSET(分析データ!E$1,MAX(1,ROW()-$C$7),0,MIN($C$7,ROW()-1),1)),0))</f>
        <v>0.55440772826430951</v>
      </c>
      <c r="BM301">
        <f t="shared" ca="1" si="124"/>
        <v>0</v>
      </c>
      <c r="BN301" t="str">
        <f ca="1">IF(BM301=1,IF(INDEX(分析データ!$A:$A,ROW()+$C$5)&lt;&gt;"",40000*SIGN(BL301)*(分析データ!E301-INDEX(分析データ!E:E,ROW()+$C$5)),""),"")</f>
        <v/>
      </c>
      <c r="BO301">
        <f t="shared" ca="1" si="125"/>
        <v>280000.00000000291</v>
      </c>
      <c r="BP301">
        <f t="shared" ca="1" si="126"/>
        <v>280000.00000000291</v>
      </c>
      <c r="BQ301">
        <f t="shared" ca="1" si="127"/>
        <v>0</v>
      </c>
      <c r="BR301">
        <f ca="1">IF(ROW()&lt;($C$7+1),"",IFERROR((分析データ!F301-AVERAGE(OFFSET(分析データ!F$1,MAX(1,ROW()-$C$7),0,MIN($C$7,ROW()-1),1)))/STDEV(OFFSET(分析データ!F$1,MAX(1,ROW()-$C$7),0,MIN($C$7,ROW()-1),1)),0))</f>
        <v>-1.2882677956830852</v>
      </c>
      <c r="BS301">
        <f t="shared" ca="1" si="128"/>
        <v>0</v>
      </c>
      <c r="BT301" t="str">
        <f ca="1">IF(BS301=1,IF(INDEX(分析データ!$A:$A,ROW()+$C$5)&lt;&gt;"",40000*SIGN(BR301)*(分析データ!F301-INDEX(分析データ!F:F,ROW()+$C$5)),""),"")</f>
        <v/>
      </c>
      <c r="BU301">
        <f t="shared" ca="1" si="129"/>
        <v>0</v>
      </c>
      <c r="BV301">
        <f t="shared" ca="1" si="130"/>
        <v>0</v>
      </c>
      <c r="BW301">
        <f t="shared" ca="1" si="131"/>
        <v>0</v>
      </c>
      <c r="BX301">
        <f ca="1">IF(ROW()&lt;($C$7+1),"",IFERROR((分析データ!G301-AVERAGE(OFFSET(分析データ!G$1,MAX(1,ROW()-$C$7),0,MIN($C$7,ROW()-1),1)))/STDEV(OFFSET(分析データ!G$1,MAX(1,ROW()-$C$7),0,MIN($C$7,ROW()-1),1)),0))</f>
        <v>1.6176663042558879</v>
      </c>
      <c r="BY301">
        <f t="shared" ca="1" si="132"/>
        <v>0</v>
      </c>
      <c r="BZ301" t="str">
        <f ca="1">IF(BY301=1,IF(INDEX(分析データ!$A:$A,ROW()+$C$5)&lt;&gt;"",40000*SIGN(BX301)*(分析データ!G301-INDEX(分析データ!G:G,ROW()+$C$5)),""),"")</f>
        <v/>
      </c>
      <c r="CA301">
        <f t="shared" ca="1" si="133"/>
        <v>3095574.2871093722</v>
      </c>
      <c r="CB301">
        <f t="shared" ca="1" si="134"/>
        <v>3095574.2871093722</v>
      </c>
      <c r="CC301">
        <f t="shared" ca="1" si="135"/>
        <v>0</v>
      </c>
      <c r="CD301">
        <f t="shared" ca="1" si="136"/>
        <v>0</v>
      </c>
      <c r="CE301">
        <f t="shared" ca="1" si="137"/>
        <v>3375574.287109375</v>
      </c>
      <c r="CF301">
        <f t="shared" ca="1" si="138"/>
        <v>3375574.287109375</v>
      </c>
      <c r="CG301">
        <f t="shared" ca="1" si="139"/>
        <v>0</v>
      </c>
      <c r="CH301" s="10">
        <f>分析データ!A301</f>
        <v>45364</v>
      </c>
    </row>
    <row r="302" spans="46:86">
      <c r="AT302">
        <f ca="1">IF(ROW()&lt;($C$7+1),"",IFERROR((分析データ!B302-AVERAGE(OFFSET(分析データ!B$1,MAX(1,ROW()-$C$7),0,MIN($C$7,ROW()-1),1)))/STDEV(OFFSET(分析データ!B$1,MAX(1,ROW()-$C$7),0,MIN($C$7,ROW()-1),1)),0))</f>
        <v>0.7578666070218627</v>
      </c>
      <c r="AU302">
        <f t="shared" ca="1" si="112"/>
        <v>0</v>
      </c>
      <c r="AV302" t="str">
        <f ca="1">IF(AU302=1,IF(INDEX(分析データ!$A:$A,ROW()+$C$5)&lt;&gt;"",80000*SIGN(AT302)*(分析データ!B302-INDEX(分析データ!B:B,ROW()+$C$5)),""),"")</f>
        <v/>
      </c>
      <c r="AW302">
        <f t="shared" ca="1" si="113"/>
        <v>0</v>
      </c>
      <c r="AX302">
        <f t="shared" ca="1" si="114"/>
        <v>0</v>
      </c>
      <c r="AY302">
        <f t="shared" ca="1" si="115"/>
        <v>0</v>
      </c>
      <c r="AZ302">
        <f ca="1">IF(ROW()&lt;($C$7+1),"",IFERROR((分析データ!C302-AVERAGE(OFFSET(分析データ!C$1,MAX(1,ROW()-$C$7),0,MIN($C$7,ROW()-1),1)))/STDEV(OFFSET(分析データ!C$1,MAX(1,ROW()-$C$7),0,MIN($C$7,ROW()-1),1)),0))</f>
        <v>-0.75698424017513033</v>
      </c>
      <c r="BA302">
        <f t="shared" ca="1" si="116"/>
        <v>0</v>
      </c>
      <c r="BB302" t="str">
        <f ca="1">IF(BA302=1,IF(INDEX(分析データ!$A:$A,ROW()+$C$5)&lt;&gt;"",60000*SIGN(AZ302)*(分析データ!C302-INDEX(分析データ!C:C,ROW()+$C$5)),""),"")</f>
        <v/>
      </c>
      <c r="BC302">
        <f t="shared" ca="1" si="117"/>
        <v>0</v>
      </c>
      <c r="BD302">
        <f t="shared" ca="1" si="118"/>
        <v>0</v>
      </c>
      <c r="BE302">
        <f t="shared" ca="1" si="119"/>
        <v>0</v>
      </c>
      <c r="BF302">
        <f ca="1">IF(ROW()&lt;($C$7+1),"",IFERROR((分析データ!D302-AVERAGE(OFFSET(分析データ!D$1,MAX(1,ROW()-$C$7),0,MIN($C$7,ROW()-1),1)))/STDEV(OFFSET(分析データ!D$1,MAX(1,ROW()-$C$7),0,MIN($C$7,ROW()-1),1)),0))</f>
        <v>0.22955755167128786</v>
      </c>
      <c r="BG302">
        <f t="shared" ca="1" si="120"/>
        <v>0</v>
      </c>
      <c r="BH302" t="str">
        <f ca="1">IF(BG302=1,IF(INDEX(分析データ!$A:$A,ROW()+$C$5)&lt;&gt;"",50000*SIGN(BF302)*(分析データ!D302-INDEX(分析データ!D:D,ROW()+$C$5)),""),"")</f>
        <v/>
      </c>
      <c r="BI302">
        <f t="shared" ca="1" si="121"/>
        <v>0</v>
      </c>
      <c r="BJ302">
        <f t="shared" ca="1" si="122"/>
        <v>0</v>
      </c>
      <c r="BK302">
        <f t="shared" ca="1" si="123"/>
        <v>0</v>
      </c>
      <c r="BL302">
        <f ca="1">IF(ROW()&lt;($C$7+1),"",IFERROR((分析データ!E302-AVERAGE(OFFSET(分析データ!E$1,MAX(1,ROW()-$C$7),0,MIN($C$7,ROW()-1),1)))/STDEV(OFFSET(分析データ!E$1,MAX(1,ROW()-$C$7),0,MIN($C$7,ROW()-1),1)),0))</f>
        <v>0.54938213436181971</v>
      </c>
      <c r="BM302">
        <f t="shared" ca="1" si="124"/>
        <v>0</v>
      </c>
      <c r="BN302" t="str">
        <f ca="1">IF(BM302=1,IF(INDEX(分析データ!$A:$A,ROW()+$C$5)&lt;&gt;"",40000*SIGN(BL302)*(分析データ!E302-INDEX(分析データ!E:E,ROW()+$C$5)),""),"")</f>
        <v/>
      </c>
      <c r="BO302">
        <f t="shared" ca="1" si="125"/>
        <v>280000.00000000291</v>
      </c>
      <c r="BP302">
        <f t="shared" ca="1" si="126"/>
        <v>280000.00000000291</v>
      </c>
      <c r="BQ302">
        <f t="shared" ca="1" si="127"/>
        <v>0</v>
      </c>
      <c r="BR302">
        <f ca="1">IF(ROW()&lt;($C$7+1),"",IFERROR((分析データ!F302-AVERAGE(OFFSET(分析データ!F$1,MAX(1,ROW()-$C$7),0,MIN($C$7,ROW()-1),1)))/STDEV(OFFSET(分析データ!F$1,MAX(1,ROW()-$C$7),0,MIN($C$7,ROW()-1),1)),0))</f>
        <v>-1.5161080518263927</v>
      </c>
      <c r="BS302">
        <f t="shared" ca="1" si="128"/>
        <v>0</v>
      </c>
      <c r="BT302" t="str">
        <f ca="1">IF(BS302=1,IF(INDEX(分析データ!$A:$A,ROW()+$C$5)&lt;&gt;"",40000*SIGN(BR302)*(分析データ!F302-INDEX(分析データ!F:F,ROW()+$C$5)),""),"")</f>
        <v/>
      </c>
      <c r="BU302">
        <f t="shared" ca="1" si="129"/>
        <v>0</v>
      </c>
      <c r="BV302">
        <f t="shared" ca="1" si="130"/>
        <v>0</v>
      </c>
      <c r="BW302">
        <f t="shared" ca="1" si="131"/>
        <v>0</v>
      </c>
      <c r="BX302">
        <f ca="1">IF(ROW()&lt;($C$7+1),"",IFERROR((分析データ!G302-AVERAGE(OFFSET(分析データ!G$1,MAX(1,ROW()-$C$7),0,MIN($C$7,ROW()-1),1)))/STDEV(OFFSET(分析データ!G$1,MAX(1,ROW()-$C$7),0,MIN($C$7,ROW()-1),1)),0))</f>
        <v>1.7269191695707853</v>
      </c>
      <c r="BY302">
        <f t="shared" ca="1" si="132"/>
        <v>0</v>
      </c>
      <c r="BZ302" t="str">
        <f ca="1">IF(BY302=1,IF(INDEX(分析データ!$A:$A,ROW()+$C$5)&lt;&gt;"",40000*SIGN(BX302)*(分析データ!G302-INDEX(分析データ!G:G,ROW()+$C$5)),""),"")</f>
        <v/>
      </c>
      <c r="CA302">
        <f t="shared" ca="1" si="133"/>
        <v>3095574.2871093722</v>
      </c>
      <c r="CB302">
        <f t="shared" ca="1" si="134"/>
        <v>3095574.2871093722</v>
      </c>
      <c r="CC302">
        <f t="shared" ca="1" si="135"/>
        <v>0</v>
      </c>
      <c r="CD302">
        <f t="shared" ca="1" si="136"/>
        <v>0</v>
      </c>
      <c r="CE302">
        <f t="shared" ca="1" si="137"/>
        <v>3375574.287109375</v>
      </c>
      <c r="CF302">
        <f t="shared" ca="1" si="138"/>
        <v>3375574.287109375</v>
      </c>
      <c r="CG302">
        <f t="shared" ca="1" si="139"/>
        <v>0</v>
      </c>
      <c r="CH302" s="10">
        <f>分析データ!A302</f>
        <v>45365</v>
      </c>
    </row>
    <row r="303" spans="46:86">
      <c r="AT303">
        <f ca="1">IF(ROW()&lt;($C$7+1),"",IFERROR((分析データ!B303-AVERAGE(OFFSET(分析データ!B$1,MAX(1,ROW()-$C$7),0,MIN($C$7,ROW()-1),1)))/STDEV(OFFSET(分析データ!B$1,MAX(1,ROW()-$C$7),0,MIN($C$7,ROW()-1),1)),0))</f>
        <v>0.80479361028258922</v>
      </c>
      <c r="AU303">
        <f t="shared" ca="1" si="112"/>
        <v>0</v>
      </c>
      <c r="AV303" t="str">
        <f ca="1">IF(AU303=1,IF(INDEX(分析データ!$A:$A,ROW()+$C$5)&lt;&gt;"",80000*SIGN(AT303)*(分析データ!B303-INDEX(分析データ!B:B,ROW()+$C$5)),""),"")</f>
        <v/>
      </c>
      <c r="AW303">
        <f t="shared" ca="1" si="113"/>
        <v>0</v>
      </c>
      <c r="AX303">
        <f t="shared" ca="1" si="114"/>
        <v>0</v>
      </c>
      <c r="AY303">
        <f t="shared" ca="1" si="115"/>
        <v>0</v>
      </c>
      <c r="AZ303">
        <f ca="1">IF(ROW()&lt;($C$7+1),"",IFERROR((分析データ!C303-AVERAGE(OFFSET(分析データ!C$1,MAX(1,ROW()-$C$7),0,MIN($C$7,ROW()-1),1)))/STDEV(OFFSET(分析データ!C$1,MAX(1,ROW()-$C$7),0,MIN($C$7,ROW()-1),1)),0))</f>
        <v>-0.63457006786186387</v>
      </c>
      <c r="BA303">
        <f t="shared" ca="1" si="116"/>
        <v>0</v>
      </c>
      <c r="BB303" t="str">
        <f ca="1">IF(BA303=1,IF(INDEX(分析データ!$A:$A,ROW()+$C$5)&lt;&gt;"",60000*SIGN(AZ303)*(分析データ!C303-INDEX(分析データ!C:C,ROW()+$C$5)),""),"")</f>
        <v/>
      </c>
      <c r="BC303">
        <f t="shared" ca="1" si="117"/>
        <v>0</v>
      </c>
      <c r="BD303">
        <f t="shared" ca="1" si="118"/>
        <v>0</v>
      </c>
      <c r="BE303">
        <f t="shared" ca="1" si="119"/>
        <v>0</v>
      </c>
      <c r="BF303">
        <f ca="1">IF(ROW()&lt;($C$7+1),"",IFERROR((分析データ!D303-AVERAGE(OFFSET(分析データ!D$1,MAX(1,ROW()-$C$7),0,MIN($C$7,ROW()-1),1)))/STDEV(OFFSET(分析データ!D$1,MAX(1,ROW()-$C$7),0,MIN($C$7,ROW()-1),1)),0))</f>
        <v>0.26205276244761383</v>
      </c>
      <c r="BG303">
        <f t="shared" ca="1" si="120"/>
        <v>0</v>
      </c>
      <c r="BH303" t="str">
        <f ca="1">IF(BG303=1,IF(INDEX(分析データ!$A:$A,ROW()+$C$5)&lt;&gt;"",50000*SIGN(BF303)*(分析データ!D303-INDEX(分析データ!D:D,ROW()+$C$5)),""),"")</f>
        <v/>
      </c>
      <c r="BI303">
        <f t="shared" ca="1" si="121"/>
        <v>0</v>
      </c>
      <c r="BJ303">
        <f t="shared" ca="1" si="122"/>
        <v>0</v>
      </c>
      <c r="BK303">
        <f t="shared" ca="1" si="123"/>
        <v>0</v>
      </c>
      <c r="BL303">
        <f ca="1">IF(ROW()&lt;($C$7+1),"",IFERROR((分析データ!E303-AVERAGE(OFFSET(分析データ!E$1,MAX(1,ROW()-$C$7),0,MIN($C$7,ROW()-1),1)))/STDEV(OFFSET(分析データ!E$1,MAX(1,ROW()-$C$7),0,MIN($C$7,ROW()-1),1)),0))</f>
        <v>0.35188021935880043</v>
      </c>
      <c r="BM303">
        <f t="shared" ca="1" si="124"/>
        <v>0</v>
      </c>
      <c r="BN303" t="str">
        <f ca="1">IF(BM303=1,IF(INDEX(分析データ!$A:$A,ROW()+$C$5)&lt;&gt;"",40000*SIGN(BL303)*(分析データ!E303-INDEX(分析データ!E:E,ROW()+$C$5)),""),"")</f>
        <v/>
      </c>
      <c r="BO303">
        <f t="shared" ca="1" si="125"/>
        <v>280000.00000000291</v>
      </c>
      <c r="BP303">
        <f t="shared" ca="1" si="126"/>
        <v>280000.00000000291</v>
      </c>
      <c r="BQ303">
        <f t="shared" ca="1" si="127"/>
        <v>0</v>
      </c>
      <c r="BR303">
        <f ca="1">IF(ROW()&lt;($C$7+1),"",IFERROR((分析データ!F303-AVERAGE(OFFSET(分析データ!F$1,MAX(1,ROW()-$C$7),0,MIN($C$7,ROW()-1),1)))/STDEV(OFFSET(分析データ!F$1,MAX(1,ROW()-$C$7),0,MIN($C$7,ROW()-1),1)),0))</f>
        <v>-1.3218417025263174</v>
      </c>
      <c r="BS303">
        <f t="shared" ca="1" si="128"/>
        <v>0</v>
      </c>
      <c r="BT303" t="str">
        <f ca="1">IF(BS303=1,IF(INDEX(分析データ!$A:$A,ROW()+$C$5)&lt;&gt;"",40000*SIGN(BR303)*(分析データ!F303-INDEX(分析データ!F:F,ROW()+$C$5)),""),"")</f>
        <v/>
      </c>
      <c r="BU303">
        <f t="shared" ca="1" si="129"/>
        <v>0</v>
      </c>
      <c r="BV303">
        <f t="shared" ca="1" si="130"/>
        <v>0</v>
      </c>
      <c r="BW303">
        <f t="shared" ca="1" si="131"/>
        <v>0</v>
      </c>
      <c r="BX303">
        <f ca="1">IF(ROW()&lt;($C$7+1),"",IFERROR((分析データ!G303-AVERAGE(OFFSET(分析データ!G$1,MAX(1,ROW()-$C$7),0,MIN($C$7,ROW()-1),1)))/STDEV(OFFSET(分析データ!G$1,MAX(1,ROW()-$C$7),0,MIN($C$7,ROW()-1),1)),0))</f>
        <v>1.3801354556291652</v>
      </c>
      <c r="BY303">
        <f t="shared" ca="1" si="132"/>
        <v>0</v>
      </c>
      <c r="BZ303" t="str">
        <f ca="1">IF(BY303=1,IF(INDEX(分析データ!$A:$A,ROW()+$C$5)&lt;&gt;"",40000*SIGN(BX303)*(分析データ!G303-INDEX(分析データ!G:G,ROW()+$C$5)),""),"")</f>
        <v/>
      </c>
      <c r="CA303">
        <f t="shared" ca="1" si="133"/>
        <v>3095574.2871093722</v>
      </c>
      <c r="CB303">
        <f t="shared" ca="1" si="134"/>
        <v>3095574.2871093722</v>
      </c>
      <c r="CC303">
        <f t="shared" ca="1" si="135"/>
        <v>0</v>
      </c>
      <c r="CD303">
        <f t="shared" ca="1" si="136"/>
        <v>0</v>
      </c>
      <c r="CE303">
        <f t="shared" ca="1" si="137"/>
        <v>3375574.287109375</v>
      </c>
      <c r="CF303">
        <f t="shared" ca="1" si="138"/>
        <v>3375574.287109375</v>
      </c>
      <c r="CG303">
        <f t="shared" ca="1" si="139"/>
        <v>0</v>
      </c>
      <c r="CH303" s="10">
        <f>分析データ!A303</f>
        <v>45366</v>
      </c>
    </row>
    <row r="304" spans="46:86">
      <c r="AT304">
        <f ca="1">IF(ROW()&lt;($C$7+1),"",IFERROR((分析データ!B304-AVERAGE(OFFSET(分析データ!B$1,MAX(1,ROW()-$C$7),0,MIN($C$7,ROW()-1),1)))/STDEV(OFFSET(分析データ!B$1,MAX(1,ROW()-$C$7),0,MIN($C$7,ROW()-1),1)),0))</f>
        <v>0.89753219561256525</v>
      </c>
      <c r="AU304">
        <f t="shared" ca="1" si="112"/>
        <v>0</v>
      </c>
      <c r="AV304" t="str">
        <f ca="1">IF(AU304=1,IF(INDEX(分析データ!$A:$A,ROW()+$C$5)&lt;&gt;"",80000*SIGN(AT304)*(分析データ!B304-INDEX(分析データ!B:B,ROW()+$C$5)),""),"")</f>
        <v/>
      </c>
      <c r="AW304">
        <f t="shared" ca="1" si="113"/>
        <v>0</v>
      </c>
      <c r="AX304">
        <f t="shared" ca="1" si="114"/>
        <v>0</v>
      </c>
      <c r="AY304">
        <f t="shared" ca="1" si="115"/>
        <v>0</v>
      </c>
      <c r="AZ304">
        <f ca="1">IF(ROW()&lt;($C$7+1),"",IFERROR((分析データ!C304-AVERAGE(OFFSET(分析データ!C$1,MAX(1,ROW()-$C$7),0,MIN($C$7,ROW()-1),1)))/STDEV(OFFSET(分析データ!C$1,MAX(1,ROW()-$C$7),0,MIN($C$7,ROW()-1),1)),0))</f>
        <v>-0.83202506997775205</v>
      </c>
      <c r="BA304">
        <f t="shared" ca="1" si="116"/>
        <v>0</v>
      </c>
      <c r="BB304" t="str">
        <f ca="1">IF(BA304=1,IF(INDEX(分析データ!$A:$A,ROW()+$C$5)&lt;&gt;"",60000*SIGN(AZ304)*(分析データ!C304-INDEX(分析データ!C:C,ROW()+$C$5)),""),"")</f>
        <v/>
      </c>
      <c r="BC304">
        <f t="shared" ca="1" si="117"/>
        <v>0</v>
      </c>
      <c r="BD304">
        <f t="shared" ca="1" si="118"/>
        <v>0</v>
      </c>
      <c r="BE304">
        <f t="shared" ca="1" si="119"/>
        <v>0</v>
      </c>
      <c r="BF304">
        <f ca="1">IF(ROW()&lt;($C$7+1),"",IFERROR((分析データ!D304-AVERAGE(OFFSET(分析データ!D$1,MAX(1,ROW()-$C$7),0,MIN($C$7,ROW()-1),1)))/STDEV(OFFSET(分析データ!D$1,MAX(1,ROW()-$C$7),0,MIN($C$7,ROW()-1),1)),0))</f>
        <v>0.47383950179343542</v>
      </c>
      <c r="BG304">
        <f t="shared" ca="1" si="120"/>
        <v>0</v>
      </c>
      <c r="BH304" t="str">
        <f ca="1">IF(BG304=1,IF(INDEX(分析データ!$A:$A,ROW()+$C$5)&lt;&gt;"",50000*SIGN(BF304)*(分析データ!D304-INDEX(分析データ!D:D,ROW()+$C$5)),""),"")</f>
        <v/>
      </c>
      <c r="BI304">
        <f t="shared" ca="1" si="121"/>
        <v>0</v>
      </c>
      <c r="BJ304">
        <f t="shared" ca="1" si="122"/>
        <v>0</v>
      </c>
      <c r="BK304">
        <f t="shared" ca="1" si="123"/>
        <v>0</v>
      </c>
      <c r="BL304">
        <f ca="1">IF(ROW()&lt;($C$7+1),"",IFERROR((分析データ!E304-AVERAGE(OFFSET(分析データ!E$1,MAX(1,ROW()-$C$7),0,MIN($C$7,ROW()-1),1)))/STDEV(OFFSET(分析データ!E$1,MAX(1,ROW()-$C$7),0,MIN($C$7,ROW()-1),1)),0))</f>
        <v>0.34709148009244811</v>
      </c>
      <c r="BM304">
        <f t="shared" ca="1" si="124"/>
        <v>0</v>
      </c>
      <c r="BN304" t="str">
        <f ca="1">IF(BM304=1,IF(INDEX(分析データ!$A:$A,ROW()+$C$5)&lt;&gt;"",40000*SIGN(BL304)*(分析データ!E304-INDEX(分析データ!E:E,ROW()+$C$5)),""),"")</f>
        <v/>
      </c>
      <c r="BO304">
        <f t="shared" ca="1" si="125"/>
        <v>280000.00000000291</v>
      </c>
      <c r="BP304">
        <f t="shared" ca="1" si="126"/>
        <v>280000.00000000291</v>
      </c>
      <c r="BQ304">
        <f t="shared" ca="1" si="127"/>
        <v>0</v>
      </c>
      <c r="BR304">
        <f ca="1">IF(ROW()&lt;($C$7+1),"",IFERROR((分析データ!F304-AVERAGE(OFFSET(分析データ!F$1,MAX(1,ROW()-$C$7),0,MIN($C$7,ROW()-1),1)))/STDEV(OFFSET(分析データ!F$1,MAX(1,ROW()-$C$7),0,MIN($C$7,ROW()-1),1)),0))</f>
        <v>-1.3951240644319771</v>
      </c>
      <c r="BS304">
        <f t="shared" ca="1" si="128"/>
        <v>0</v>
      </c>
      <c r="BT304" t="str">
        <f ca="1">IF(BS304=1,IF(INDEX(分析データ!$A:$A,ROW()+$C$5)&lt;&gt;"",40000*SIGN(BR304)*(分析データ!F304-INDEX(分析データ!F:F,ROW()+$C$5)),""),"")</f>
        <v/>
      </c>
      <c r="BU304">
        <f t="shared" ca="1" si="129"/>
        <v>0</v>
      </c>
      <c r="BV304">
        <f t="shared" ca="1" si="130"/>
        <v>0</v>
      </c>
      <c r="BW304">
        <f t="shared" ca="1" si="131"/>
        <v>0</v>
      </c>
      <c r="BX304">
        <f ca="1">IF(ROW()&lt;($C$7+1),"",IFERROR((分析データ!G304-AVERAGE(OFFSET(分析データ!G$1,MAX(1,ROW()-$C$7),0,MIN($C$7,ROW()-1),1)))/STDEV(OFFSET(分析データ!G$1,MAX(1,ROW()-$C$7),0,MIN($C$7,ROW()-1),1)),0))</f>
        <v>1.3804967854033441</v>
      </c>
      <c r="BY304">
        <f t="shared" ca="1" si="132"/>
        <v>0</v>
      </c>
      <c r="BZ304" t="str">
        <f ca="1">IF(BY304=1,IF(INDEX(分析データ!$A:$A,ROW()+$C$5)&lt;&gt;"",40000*SIGN(BX304)*(分析データ!G304-INDEX(分析データ!G:G,ROW()+$C$5)),""),"")</f>
        <v/>
      </c>
      <c r="CA304">
        <f t="shared" ca="1" si="133"/>
        <v>3095574.2871093722</v>
      </c>
      <c r="CB304">
        <f t="shared" ca="1" si="134"/>
        <v>3095574.2871093722</v>
      </c>
      <c r="CC304">
        <f t="shared" ca="1" si="135"/>
        <v>0</v>
      </c>
      <c r="CD304">
        <f t="shared" ca="1" si="136"/>
        <v>0</v>
      </c>
      <c r="CE304">
        <f t="shared" ca="1" si="137"/>
        <v>3375574.287109375</v>
      </c>
      <c r="CF304">
        <f t="shared" ca="1" si="138"/>
        <v>3375574.287109375</v>
      </c>
      <c r="CG304">
        <f t="shared" ca="1" si="139"/>
        <v>0</v>
      </c>
      <c r="CH304" s="10">
        <f>分析データ!A304</f>
        <v>45369</v>
      </c>
    </row>
    <row r="305" spans="46:86">
      <c r="AT305">
        <f ca="1">IF(ROW()&lt;($C$7+1),"",IFERROR((分析データ!B305-AVERAGE(OFFSET(分析データ!B$1,MAX(1,ROW()-$C$7),0,MIN($C$7,ROW()-1),1)))/STDEV(OFFSET(分析データ!B$1,MAX(1,ROW()-$C$7),0,MIN($C$7,ROW()-1),1)),0))</f>
        <v>0.8452005587014384</v>
      </c>
      <c r="AU305">
        <f t="shared" ca="1" si="112"/>
        <v>0</v>
      </c>
      <c r="AV305" t="str">
        <f ca="1">IF(AU305=1,IF(INDEX(分析データ!$A:$A,ROW()+$C$5)&lt;&gt;"",80000*SIGN(AT305)*(分析データ!B305-INDEX(分析データ!B:B,ROW()+$C$5)),""),"")</f>
        <v/>
      </c>
      <c r="AW305">
        <f t="shared" ca="1" si="113"/>
        <v>0</v>
      </c>
      <c r="AX305">
        <f t="shared" ca="1" si="114"/>
        <v>0</v>
      </c>
      <c r="AY305">
        <f t="shared" ca="1" si="115"/>
        <v>0</v>
      </c>
      <c r="AZ305">
        <f ca="1">IF(ROW()&lt;($C$7+1),"",IFERROR((分析データ!C305-AVERAGE(OFFSET(分析データ!C$1,MAX(1,ROW()-$C$7),0,MIN($C$7,ROW()-1),1)))/STDEV(OFFSET(分析データ!C$1,MAX(1,ROW()-$C$7),0,MIN($C$7,ROW()-1),1)),0))</f>
        <v>-1.2602747235437548</v>
      </c>
      <c r="BA305">
        <f t="shared" ca="1" si="116"/>
        <v>0</v>
      </c>
      <c r="BB305" t="str">
        <f ca="1">IF(BA305=1,IF(INDEX(分析データ!$A:$A,ROW()+$C$5)&lt;&gt;"",60000*SIGN(AZ305)*(分析データ!C305-INDEX(分析データ!C:C,ROW()+$C$5)),""),"")</f>
        <v/>
      </c>
      <c r="BC305">
        <f t="shared" ca="1" si="117"/>
        <v>0</v>
      </c>
      <c r="BD305">
        <f t="shared" ca="1" si="118"/>
        <v>0</v>
      </c>
      <c r="BE305">
        <f t="shared" ca="1" si="119"/>
        <v>0</v>
      </c>
      <c r="BF305">
        <f ca="1">IF(ROW()&lt;($C$7+1),"",IFERROR((分析データ!D305-AVERAGE(OFFSET(分析データ!D$1,MAX(1,ROW()-$C$7),0,MIN($C$7,ROW()-1),1)))/STDEV(OFFSET(分析データ!D$1,MAX(1,ROW()-$C$7),0,MIN($C$7,ROW()-1),1)),0))</f>
        <v>0.43080838723162507</v>
      </c>
      <c r="BG305">
        <f t="shared" ca="1" si="120"/>
        <v>0</v>
      </c>
      <c r="BH305" t="str">
        <f ca="1">IF(BG305=1,IF(INDEX(分析データ!$A:$A,ROW()+$C$5)&lt;&gt;"",50000*SIGN(BF305)*(分析データ!D305-INDEX(分析データ!D:D,ROW()+$C$5)),""),"")</f>
        <v/>
      </c>
      <c r="BI305">
        <f t="shared" ca="1" si="121"/>
        <v>0</v>
      </c>
      <c r="BJ305">
        <f t="shared" ca="1" si="122"/>
        <v>0</v>
      </c>
      <c r="BK305">
        <f t="shared" ca="1" si="123"/>
        <v>0</v>
      </c>
      <c r="BL305">
        <f ca="1">IF(ROW()&lt;($C$7+1),"",IFERROR((分析データ!E305-AVERAGE(OFFSET(分析データ!E$1,MAX(1,ROW()-$C$7),0,MIN($C$7,ROW()-1),1)))/STDEV(OFFSET(分析データ!E$1,MAX(1,ROW()-$C$7),0,MIN($C$7,ROW()-1),1)),0))</f>
        <v>0.44309726923272885</v>
      </c>
      <c r="BM305">
        <f t="shared" ca="1" si="124"/>
        <v>0</v>
      </c>
      <c r="BN305" t="str">
        <f ca="1">IF(BM305=1,IF(INDEX(分析データ!$A:$A,ROW()+$C$5)&lt;&gt;"",40000*SIGN(BL305)*(分析データ!E305-INDEX(分析データ!E:E,ROW()+$C$5)),""),"")</f>
        <v/>
      </c>
      <c r="BO305">
        <f t="shared" ca="1" si="125"/>
        <v>280000.00000000291</v>
      </c>
      <c r="BP305">
        <f t="shared" ca="1" si="126"/>
        <v>280000.00000000291</v>
      </c>
      <c r="BQ305">
        <f t="shared" ca="1" si="127"/>
        <v>0</v>
      </c>
      <c r="BR305">
        <f ca="1">IF(ROW()&lt;($C$7+1),"",IFERROR((分析データ!F305-AVERAGE(OFFSET(分析データ!F$1,MAX(1,ROW()-$C$7),0,MIN($C$7,ROW()-1),1)))/STDEV(OFFSET(分析データ!F$1,MAX(1,ROW()-$C$7),0,MIN($C$7,ROW()-1),1)),0))</f>
        <v>-1.2497601080261818</v>
      </c>
      <c r="BS305">
        <f t="shared" ca="1" si="128"/>
        <v>0</v>
      </c>
      <c r="BT305" t="str">
        <f ca="1">IF(BS305=1,IF(INDEX(分析データ!$A:$A,ROW()+$C$5)&lt;&gt;"",40000*SIGN(BR305)*(分析データ!F305-INDEX(分析データ!F:F,ROW()+$C$5)),""),"")</f>
        <v/>
      </c>
      <c r="BU305">
        <f t="shared" ca="1" si="129"/>
        <v>0</v>
      </c>
      <c r="BV305">
        <f t="shared" ca="1" si="130"/>
        <v>0</v>
      </c>
      <c r="BW305">
        <f t="shared" ca="1" si="131"/>
        <v>0</v>
      </c>
      <c r="BX305">
        <f ca="1">IF(ROW()&lt;($C$7+1),"",IFERROR((分析データ!G305-AVERAGE(OFFSET(分析データ!G$1,MAX(1,ROW()-$C$7),0,MIN($C$7,ROW()-1),1)))/STDEV(OFFSET(分析データ!G$1,MAX(1,ROW()-$C$7),0,MIN($C$7,ROW()-1),1)),0))</f>
        <v>1.1379865203216697</v>
      </c>
      <c r="BY305">
        <f t="shared" ca="1" si="132"/>
        <v>0</v>
      </c>
      <c r="BZ305" t="str">
        <f ca="1">IF(BY305=1,IF(INDEX(分析データ!$A:$A,ROW()+$C$5)&lt;&gt;"",40000*SIGN(BX305)*(分析データ!G305-INDEX(分析データ!G:G,ROW()+$C$5)),""),"")</f>
        <v/>
      </c>
      <c r="CA305">
        <f t="shared" ca="1" si="133"/>
        <v>3095574.2871093722</v>
      </c>
      <c r="CB305">
        <f t="shared" ca="1" si="134"/>
        <v>3095574.2871093722</v>
      </c>
      <c r="CC305">
        <f t="shared" ca="1" si="135"/>
        <v>0</v>
      </c>
      <c r="CD305">
        <f t="shared" ca="1" si="136"/>
        <v>0</v>
      </c>
      <c r="CE305">
        <f t="shared" ca="1" si="137"/>
        <v>3375574.287109375</v>
      </c>
      <c r="CF305">
        <f t="shared" ca="1" si="138"/>
        <v>3375574.287109375</v>
      </c>
      <c r="CG305">
        <f t="shared" ca="1" si="139"/>
        <v>0</v>
      </c>
      <c r="CH305" s="10">
        <f>分析データ!A305</f>
        <v>45370</v>
      </c>
    </row>
    <row r="306" spans="46:86">
      <c r="AT306">
        <f ca="1">IF(ROW()&lt;($C$7+1),"",IFERROR((分析データ!B306-AVERAGE(OFFSET(分析データ!B$1,MAX(1,ROW()-$C$7),0,MIN($C$7,ROW()-1),1)))/STDEV(OFFSET(分析データ!B$1,MAX(1,ROW()-$C$7),0,MIN($C$7,ROW()-1),1)),0))</f>
        <v>0.93933466015839262</v>
      </c>
      <c r="AU306">
        <f t="shared" ca="1" si="112"/>
        <v>0</v>
      </c>
      <c r="AV306" t="str">
        <f ca="1">IF(AU306=1,IF(INDEX(分析データ!$A:$A,ROW()+$C$5)&lt;&gt;"",80000*SIGN(AT306)*(分析データ!B306-INDEX(分析データ!B:B,ROW()+$C$5)),""),"")</f>
        <v/>
      </c>
      <c r="AW306">
        <f t="shared" ca="1" si="113"/>
        <v>0</v>
      </c>
      <c r="AX306">
        <f t="shared" ca="1" si="114"/>
        <v>0</v>
      </c>
      <c r="AY306">
        <f t="shared" ca="1" si="115"/>
        <v>0</v>
      </c>
      <c r="AZ306">
        <f ca="1">IF(ROW()&lt;($C$7+1),"",IFERROR((分析データ!C306-AVERAGE(OFFSET(分析データ!C$1,MAX(1,ROW()-$C$7),0,MIN($C$7,ROW()-1),1)))/STDEV(OFFSET(分析データ!C$1,MAX(1,ROW()-$C$7),0,MIN($C$7,ROW()-1),1)),0))</f>
        <v>-1.2860486489550276</v>
      </c>
      <c r="BA306">
        <f t="shared" ca="1" si="116"/>
        <v>0</v>
      </c>
      <c r="BB306" t="str">
        <f ca="1">IF(BA306=1,IF(INDEX(分析データ!$A:$A,ROW()+$C$5)&lt;&gt;"",60000*SIGN(AZ306)*(分析データ!C306-INDEX(分析データ!C:C,ROW()+$C$5)),""),"")</f>
        <v/>
      </c>
      <c r="BC306">
        <f t="shared" ca="1" si="117"/>
        <v>0</v>
      </c>
      <c r="BD306">
        <f t="shared" ca="1" si="118"/>
        <v>0</v>
      </c>
      <c r="BE306">
        <f t="shared" ca="1" si="119"/>
        <v>0</v>
      </c>
      <c r="BF306">
        <f ca="1">IF(ROW()&lt;($C$7+1),"",IFERROR((分析データ!D306-AVERAGE(OFFSET(分析データ!D$1,MAX(1,ROW()-$C$7),0,MIN($C$7,ROW()-1),1)))/STDEV(OFFSET(分析データ!D$1,MAX(1,ROW()-$C$7),0,MIN($C$7,ROW()-1),1)),0))</f>
        <v>0.31393207051740396</v>
      </c>
      <c r="BG306">
        <f t="shared" ca="1" si="120"/>
        <v>0</v>
      </c>
      <c r="BH306" t="str">
        <f ca="1">IF(BG306=1,IF(INDEX(分析データ!$A:$A,ROW()+$C$5)&lt;&gt;"",50000*SIGN(BF306)*(分析データ!D306-INDEX(分析データ!D:D,ROW()+$C$5)),""),"")</f>
        <v/>
      </c>
      <c r="BI306">
        <f t="shared" ca="1" si="121"/>
        <v>0</v>
      </c>
      <c r="BJ306">
        <f t="shared" ca="1" si="122"/>
        <v>0</v>
      </c>
      <c r="BK306">
        <f t="shared" ca="1" si="123"/>
        <v>0</v>
      </c>
      <c r="BL306">
        <f ca="1">IF(ROW()&lt;($C$7+1),"",IFERROR((分析データ!E306-AVERAGE(OFFSET(分析データ!E$1,MAX(1,ROW()-$C$7),0,MIN($C$7,ROW()-1),1)))/STDEV(OFFSET(分析データ!E$1,MAX(1,ROW()-$C$7),0,MIN($C$7,ROW()-1),1)),0))</f>
        <v>0.73128950255376679</v>
      </c>
      <c r="BM306">
        <f t="shared" ca="1" si="124"/>
        <v>0</v>
      </c>
      <c r="BN306" t="str">
        <f ca="1">IF(BM306=1,IF(INDEX(分析データ!$A:$A,ROW()+$C$5)&lt;&gt;"",40000*SIGN(BL306)*(分析データ!E306-INDEX(分析データ!E:E,ROW()+$C$5)),""),"")</f>
        <v/>
      </c>
      <c r="BO306">
        <f t="shared" ca="1" si="125"/>
        <v>280000.00000000291</v>
      </c>
      <c r="BP306">
        <f t="shared" ca="1" si="126"/>
        <v>280000.00000000291</v>
      </c>
      <c r="BQ306">
        <f t="shared" ca="1" si="127"/>
        <v>0</v>
      </c>
      <c r="BR306">
        <f ca="1">IF(ROW()&lt;($C$7+1),"",IFERROR((分析データ!F306-AVERAGE(OFFSET(分析データ!F$1,MAX(1,ROW()-$C$7),0,MIN($C$7,ROW()-1),1)))/STDEV(OFFSET(分析データ!F$1,MAX(1,ROW()-$C$7),0,MIN($C$7,ROW()-1),1)),0))</f>
        <v>-1.1266443275895131</v>
      </c>
      <c r="BS306">
        <f t="shared" ca="1" si="128"/>
        <v>0</v>
      </c>
      <c r="BT306" t="str">
        <f ca="1">IF(BS306=1,IF(INDEX(分析データ!$A:$A,ROW()+$C$5)&lt;&gt;"",40000*SIGN(BR306)*(分析データ!F306-INDEX(分析データ!F:F,ROW()+$C$5)),""),"")</f>
        <v/>
      </c>
      <c r="BU306">
        <f t="shared" ca="1" si="129"/>
        <v>0</v>
      </c>
      <c r="BV306">
        <f t="shared" ca="1" si="130"/>
        <v>0</v>
      </c>
      <c r="BW306">
        <f t="shared" ca="1" si="131"/>
        <v>0</v>
      </c>
      <c r="BX306">
        <f ca="1">IF(ROW()&lt;($C$7+1),"",IFERROR((分析データ!G306-AVERAGE(OFFSET(分析データ!G$1,MAX(1,ROW()-$C$7),0,MIN($C$7,ROW()-1),1)))/STDEV(OFFSET(分析データ!G$1,MAX(1,ROW()-$C$7),0,MIN($C$7,ROW()-1),1)),0))</f>
        <v>1.0889262167399363</v>
      </c>
      <c r="BY306">
        <f t="shared" ca="1" si="132"/>
        <v>0</v>
      </c>
      <c r="BZ306" t="str">
        <f ca="1">IF(BY306=1,IF(INDEX(分析データ!$A:$A,ROW()+$C$5)&lt;&gt;"",40000*SIGN(BX306)*(分析データ!G306-INDEX(分析データ!G:G,ROW()+$C$5)),""),"")</f>
        <v/>
      </c>
      <c r="CA306">
        <f t="shared" ca="1" si="133"/>
        <v>3095574.2871093722</v>
      </c>
      <c r="CB306">
        <f t="shared" ca="1" si="134"/>
        <v>3095574.2871093722</v>
      </c>
      <c r="CC306">
        <f t="shared" ca="1" si="135"/>
        <v>0</v>
      </c>
      <c r="CD306">
        <f t="shared" ca="1" si="136"/>
        <v>0</v>
      </c>
      <c r="CE306">
        <f t="shared" ca="1" si="137"/>
        <v>3375574.287109375</v>
      </c>
      <c r="CF306">
        <f t="shared" ca="1" si="138"/>
        <v>3375574.287109375</v>
      </c>
      <c r="CG306">
        <f t="shared" ca="1" si="139"/>
        <v>0</v>
      </c>
      <c r="CH306" s="10">
        <f>分析データ!A306</f>
        <v>45371</v>
      </c>
    </row>
    <row r="307" spans="46:86">
      <c r="AT307">
        <f ca="1">IF(ROW()&lt;($C$7+1),"",IFERROR((分析データ!B307-AVERAGE(OFFSET(分析データ!B$1,MAX(1,ROW()-$C$7),0,MIN($C$7,ROW()-1),1)))/STDEV(OFFSET(分析データ!B$1,MAX(1,ROW()-$C$7),0,MIN($C$7,ROW()-1),1)),0))</f>
        <v>0.83630854247066111</v>
      </c>
      <c r="AU307">
        <f t="shared" ca="1" si="112"/>
        <v>0</v>
      </c>
      <c r="AV307" t="str">
        <f ca="1">IF(AU307=1,IF(INDEX(分析データ!$A:$A,ROW()+$C$5)&lt;&gt;"",80000*SIGN(AT307)*(分析データ!B307-INDEX(分析データ!B:B,ROW()+$C$5)),""),"")</f>
        <v/>
      </c>
      <c r="AW307">
        <f t="shared" ca="1" si="113"/>
        <v>0</v>
      </c>
      <c r="AX307">
        <f t="shared" ca="1" si="114"/>
        <v>0</v>
      </c>
      <c r="AY307">
        <f t="shared" ca="1" si="115"/>
        <v>0</v>
      </c>
      <c r="AZ307">
        <f ca="1">IF(ROW()&lt;($C$7+1),"",IFERROR((分析データ!C307-AVERAGE(OFFSET(分析データ!C$1,MAX(1,ROW()-$C$7),0,MIN($C$7,ROW()-1),1)))/STDEV(OFFSET(分析データ!C$1,MAX(1,ROW()-$C$7),0,MIN($C$7,ROW()-1),1)),0))</f>
        <v>-1.3129718959858949</v>
      </c>
      <c r="BA307">
        <f t="shared" ca="1" si="116"/>
        <v>0</v>
      </c>
      <c r="BB307" t="str">
        <f ca="1">IF(BA307=1,IF(INDEX(分析データ!$A:$A,ROW()+$C$5)&lt;&gt;"",60000*SIGN(AZ307)*(分析データ!C307-INDEX(分析データ!C:C,ROW()+$C$5)),""),"")</f>
        <v/>
      </c>
      <c r="BC307">
        <f t="shared" ca="1" si="117"/>
        <v>0</v>
      </c>
      <c r="BD307">
        <f t="shared" ca="1" si="118"/>
        <v>0</v>
      </c>
      <c r="BE307">
        <f t="shared" ca="1" si="119"/>
        <v>0</v>
      </c>
      <c r="BF307">
        <f ca="1">IF(ROW()&lt;($C$7+1),"",IFERROR((分析データ!D307-AVERAGE(OFFSET(分析データ!D$1,MAX(1,ROW()-$C$7),0,MIN($C$7,ROW()-1),1)))/STDEV(OFFSET(分析データ!D$1,MAX(1,ROW()-$C$7),0,MIN($C$7,ROW()-1),1)),0))</f>
        <v>0.24353622927254892</v>
      </c>
      <c r="BG307">
        <f t="shared" ca="1" si="120"/>
        <v>0</v>
      </c>
      <c r="BH307" t="str">
        <f ca="1">IF(BG307=1,IF(INDEX(分析データ!$A:$A,ROW()+$C$5)&lt;&gt;"",50000*SIGN(BF307)*(分析データ!D307-INDEX(分析データ!D:D,ROW()+$C$5)),""),"")</f>
        <v/>
      </c>
      <c r="BI307">
        <f t="shared" ca="1" si="121"/>
        <v>0</v>
      </c>
      <c r="BJ307">
        <f t="shared" ca="1" si="122"/>
        <v>0</v>
      </c>
      <c r="BK307">
        <f t="shared" ca="1" si="123"/>
        <v>0</v>
      </c>
      <c r="BL307">
        <f ca="1">IF(ROW()&lt;($C$7+1),"",IFERROR((分析データ!E307-AVERAGE(OFFSET(分析データ!E$1,MAX(1,ROW()-$C$7),0,MIN($C$7,ROW()-1),1)))/STDEV(OFFSET(分析データ!E$1,MAX(1,ROW()-$C$7),0,MIN($C$7,ROW()-1),1)),0))</f>
        <v>0.62824220865875169</v>
      </c>
      <c r="BM307">
        <f t="shared" ca="1" si="124"/>
        <v>0</v>
      </c>
      <c r="BN307" t="str">
        <f ca="1">IF(BM307=1,IF(INDEX(分析データ!$A:$A,ROW()+$C$5)&lt;&gt;"",40000*SIGN(BL307)*(分析データ!E307-INDEX(分析データ!E:E,ROW()+$C$5)),""),"")</f>
        <v/>
      </c>
      <c r="BO307">
        <f t="shared" ca="1" si="125"/>
        <v>280000.00000000291</v>
      </c>
      <c r="BP307">
        <f t="shared" ca="1" si="126"/>
        <v>280000.00000000291</v>
      </c>
      <c r="BQ307">
        <f t="shared" ca="1" si="127"/>
        <v>0</v>
      </c>
      <c r="BR307">
        <f ca="1">IF(ROW()&lt;($C$7+1),"",IFERROR((分析データ!F307-AVERAGE(OFFSET(分析データ!F$1,MAX(1,ROW()-$C$7),0,MIN($C$7,ROW()-1),1)))/STDEV(OFFSET(分析データ!F$1,MAX(1,ROW()-$C$7),0,MIN($C$7,ROW()-1),1)),0))</f>
        <v>-1.1365303737691872</v>
      </c>
      <c r="BS307">
        <f t="shared" ca="1" si="128"/>
        <v>0</v>
      </c>
      <c r="BT307" t="str">
        <f ca="1">IF(BS307=1,IF(INDEX(分析データ!$A:$A,ROW()+$C$5)&lt;&gt;"",40000*SIGN(BR307)*(分析データ!F307-INDEX(分析データ!F:F,ROW()+$C$5)),""),"")</f>
        <v/>
      </c>
      <c r="BU307">
        <f t="shared" ca="1" si="129"/>
        <v>0</v>
      </c>
      <c r="BV307">
        <f t="shared" ca="1" si="130"/>
        <v>0</v>
      </c>
      <c r="BW307">
        <f t="shared" ca="1" si="131"/>
        <v>0</v>
      </c>
      <c r="BX307">
        <f ca="1">IF(ROW()&lt;($C$7+1),"",IFERROR((分析データ!G307-AVERAGE(OFFSET(分析データ!G$1,MAX(1,ROW()-$C$7),0,MIN($C$7,ROW()-1),1)))/STDEV(OFFSET(分析データ!G$1,MAX(1,ROW()-$C$7),0,MIN($C$7,ROW()-1),1)),0))</f>
        <v>1.1471556435741079</v>
      </c>
      <c r="BY307">
        <f t="shared" ca="1" si="132"/>
        <v>0</v>
      </c>
      <c r="BZ307" t="str">
        <f ca="1">IF(BY307=1,IF(INDEX(分析データ!$A:$A,ROW()+$C$5)&lt;&gt;"",40000*SIGN(BX307)*(分析データ!G307-INDEX(分析データ!G:G,ROW()+$C$5)),""),"")</f>
        <v/>
      </c>
      <c r="CA307">
        <f t="shared" ca="1" si="133"/>
        <v>3095574.2871093722</v>
      </c>
      <c r="CB307">
        <f t="shared" ca="1" si="134"/>
        <v>3095574.2871093722</v>
      </c>
      <c r="CC307">
        <f t="shared" ca="1" si="135"/>
        <v>0</v>
      </c>
      <c r="CD307">
        <f t="shared" ca="1" si="136"/>
        <v>0</v>
      </c>
      <c r="CE307">
        <f t="shared" ca="1" si="137"/>
        <v>3375574.287109375</v>
      </c>
      <c r="CF307">
        <f t="shared" ca="1" si="138"/>
        <v>3375574.287109375</v>
      </c>
      <c r="CG307">
        <f t="shared" ca="1" si="139"/>
        <v>0</v>
      </c>
      <c r="CH307" s="10">
        <f>分析データ!A307</f>
        <v>45372</v>
      </c>
    </row>
    <row r="308" spans="46:86">
      <c r="AT308">
        <f ca="1">IF(ROW()&lt;($C$7+1),"",IFERROR((分析データ!B308-AVERAGE(OFFSET(分析データ!B$1,MAX(1,ROW()-$C$7),0,MIN($C$7,ROW()-1),1)))/STDEV(OFFSET(分析データ!B$1,MAX(1,ROW()-$C$7),0,MIN($C$7,ROW()-1),1)),0))</f>
        <v>0.73493527370222311</v>
      </c>
      <c r="AU308">
        <f t="shared" ca="1" si="112"/>
        <v>0</v>
      </c>
      <c r="AV308" t="str">
        <f ca="1">IF(AU308=1,IF(INDEX(分析データ!$A:$A,ROW()+$C$5)&lt;&gt;"",80000*SIGN(AT308)*(分析データ!B308-INDEX(分析データ!B:B,ROW()+$C$5)),""),"")</f>
        <v/>
      </c>
      <c r="AW308">
        <f t="shared" ca="1" si="113"/>
        <v>0</v>
      </c>
      <c r="AX308">
        <f t="shared" ca="1" si="114"/>
        <v>0</v>
      </c>
      <c r="AY308">
        <f t="shared" ca="1" si="115"/>
        <v>0</v>
      </c>
      <c r="AZ308">
        <f ca="1">IF(ROW()&lt;($C$7+1),"",IFERROR((分析データ!C308-AVERAGE(OFFSET(分析データ!C$1,MAX(1,ROW()-$C$7),0,MIN($C$7,ROW()-1),1)))/STDEV(OFFSET(分析データ!C$1,MAX(1,ROW()-$C$7),0,MIN($C$7,ROW()-1),1)),0))</f>
        <v>-1.3815872338197159</v>
      </c>
      <c r="BA308">
        <f t="shared" ca="1" si="116"/>
        <v>0</v>
      </c>
      <c r="BB308" t="str">
        <f ca="1">IF(BA308=1,IF(INDEX(分析データ!$A:$A,ROW()+$C$5)&lt;&gt;"",60000*SIGN(AZ308)*(分析データ!C308-INDEX(分析データ!C:C,ROW()+$C$5)),""),"")</f>
        <v/>
      </c>
      <c r="BC308">
        <f t="shared" ca="1" si="117"/>
        <v>0</v>
      </c>
      <c r="BD308">
        <f t="shared" ca="1" si="118"/>
        <v>0</v>
      </c>
      <c r="BE308">
        <f t="shared" ca="1" si="119"/>
        <v>0</v>
      </c>
      <c r="BF308">
        <f ca="1">IF(ROW()&lt;($C$7+1),"",IFERROR((分析データ!D308-AVERAGE(OFFSET(分析データ!D$1,MAX(1,ROW()-$C$7),0,MIN($C$7,ROW()-1),1)))/STDEV(OFFSET(分析データ!D$1,MAX(1,ROW()-$C$7),0,MIN($C$7,ROW()-1),1)),0))</f>
        <v>5.0756015417096817E-2</v>
      </c>
      <c r="BG308">
        <f t="shared" ca="1" si="120"/>
        <v>0</v>
      </c>
      <c r="BH308" t="str">
        <f ca="1">IF(BG308=1,IF(INDEX(分析データ!$A:$A,ROW()+$C$5)&lt;&gt;"",50000*SIGN(BF308)*(分析データ!D308-INDEX(分析データ!D:D,ROW()+$C$5)),""),"")</f>
        <v/>
      </c>
      <c r="BI308">
        <f t="shared" ca="1" si="121"/>
        <v>0</v>
      </c>
      <c r="BJ308">
        <f t="shared" ca="1" si="122"/>
        <v>0</v>
      </c>
      <c r="BK308">
        <f t="shared" ca="1" si="123"/>
        <v>0</v>
      </c>
      <c r="BL308">
        <f ca="1">IF(ROW()&lt;($C$7+1),"",IFERROR((分析データ!E308-AVERAGE(OFFSET(分析データ!E$1,MAX(1,ROW()-$C$7),0,MIN($C$7,ROW()-1),1)))/STDEV(OFFSET(分析データ!E$1,MAX(1,ROW()-$C$7),0,MIN($C$7,ROW()-1),1)),0))</f>
        <v>0.72205832590367358</v>
      </c>
      <c r="BM308">
        <f t="shared" ca="1" si="124"/>
        <v>0</v>
      </c>
      <c r="BN308" t="str">
        <f ca="1">IF(BM308=1,IF(INDEX(分析データ!$A:$A,ROW()+$C$5)&lt;&gt;"",40000*SIGN(BL308)*(分析データ!E308-INDEX(分析データ!E:E,ROW()+$C$5)),""),"")</f>
        <v/>
      </c>
      <c r="BO308">
        <f t="shared" ca="1" si="125"/>
        <v>280000.00000000291</v>
      </c>
      <c r="BP308">
        <f t="shared" ca="1" si="126"/>
        <v>280000.00000000291</v>
      </c>
      <c r="BQ308">
        <f t="shared" ca="1" si="127"/>
        <v>0</v>
      </c>
      <c r="BR308">
        <f ca="1">IF(ROW()&lt;($C$7+1),"",IFERROR((分析データ!F308-AVERAGE(OFFSET(分析データ!F$1,MAX(1,ROW()-$C$7),0,MIN($C$7,ROW()-1),1)))/STDEV(OFFSET(分析データ!F$1,MAX(1,ROW()-$C$7),0,MIN($C$7,ROW()-1),1)),0))</f>
        <v>-1.2568473865982313</v>
      </c>
      <c r="BS308">
        <f t="shared" ca="1" si="128"/>
        <v>0</v>
      </c>
      <c r="BT308" t="str">
        <f ca="1">IF(BS308=1,IF(INDEX(分析データ!$A:$A,ROW()+$C$5)&lt;&gt;"",40000*SIGN(BR308)*(分析データ!F308-INDEX(分析データ!F:F,ROW()+$C$5)),""),"")</f>
        <v/>
      </c>
      <c r="BU308">
        <f t="shared" ca="1" si="129"/>
        <v>0</v>
      </c>
      <c r="BV308">
        <f t="shared" ca="1" si="130"/>
        <v>0</v>
      </c>
      <c r="BW308">
        <f t="shared" ca="1" si="131"/>
        <v>0</v>
      </c>
      <c r="BX308">
        <f ca="1">IF(ROW()&lt;($C$7+1),"",IFERROR((分析データ!G308-AVERAGE(OFFSET(分析データ!G$1,MAX(1,ROW()-$C$7),0,MIN($C$7,ROW()-1),1)))/STDEV(OFFSET(分析データ!G$1,MAX(1,ROW()-$C$7),0,MIN($C$7,ROW()-1),1)),0))</f>
        <v>1.3744155742431288</v>
      </c>
      <c r="BY308">
        <f t="shared" ca="1" si="132"/>
        <v>0</v>
      </c>
      <c r="BZ308" t="str">
        <f ca="1">IF(BY308=1,IF(INDEX(分析データ!$A:$A,ROW()+$C$5)&lt;&gt;"",40000*SIGN(BX308)*(分析データ!G308-INDEX(分析データ!G:G,ROW()+$C$5)),""),"")</f>
        <v/>
      </c>
      <c r="CA308">
        <f t="shared" ca="1" si="133"/>
        <v>3095574.2871093722</v>
      </c>
      <c r="CB308">
        <f t="shared" ca="1" si="134"/>
        <v>3095574.2871093722</v>
      </c>
      <c r="CC308">
        <f t="shared" ca="1" si="135"/>
        <v>0</v>
      </c>
      <c r="CD308">
        <f t="shared" ca="1" si="136"/>
        <v>0</v>
      </c>
      <c r="CE308">
        <f t="shared" ca="1" si="137"/>
        <v>3375574.287109375</v>
      </c>
      <c r="CF308">
        <f t="shared" ca="1" si="138"/>
        <v>3375574.287109375</v>
      </c>
      <c r="CG308">
        <f t="shared" ca="1" si="139"/>
        <v>0</v>
      </c>
      <c r="CH308" s="10">
        <f>分析データ!A308</f>
        <v>45373</v>
      </c>
    </row>
    <row r="309" spans="46:86">
      <c r="AT309">
        <f ca="1">IF(ROW()&lt;($C$7+1),"",IFERROR((分析データ!B309-AVERAGE(OFFSET(分析データ!B$1,MAX(1,ROW()-$C$7),0,MIN($C$7,ROW()-1),1)))/STDEV(OFFSET(分析データ!B$1,MAX(1,ROW()-$C$7),0,MIN($C$7,ROW()-1),1)),0))</f>
        <v>1.1193245062199022</v>
      </c>
      <c r="AU309">
        <f t="shared" ca="1" si="112"/>
        <v>0</v>
      </c>
      <c r="AV309" t="str">
        <f ca="1">IF(AU309=1,IF(INDEX(分析データ!$A:$A,ROW()+$C$5)&lt;&gt;"",80000*SIGN(AT309)*(分析データ!B309-INDEX(分析データ!B:B,ROW()+$C$5)),""),"")</f>
        <v/>
      </c>
      <c r="AW309">
        <f t="shared" ca="1" si="113"/>
        <v>0</v>
      </c>
      <c r="AX309">
        <f t="shared" ca="1" si="114"/>
        <v>0</v>
      </c>
      <c r="AY309">
        <f t="shared" ca="1" si="115"/>
        <v>0</v>
      </c>
      <c r="AZ309">
        <f ca="1">IF(ROW()&lt;($C$7+1),"",IFERROR((分析データ!C309-AVERAGE(OFFSET(分析データ!C$1,MAX(1,ROW()-$C$7),0,MIN($C$7,ROW()-1),1)))/STDEV(OFFSET(分析データ!C$1,MAX(1,ROW()-$C$7),0,MIN($C$7,ROW()-1),1)),0))</f>
        <v>-1.7069148298368868</v>
      </c>
      <c r="BA309">
        <f t="shared" ca="1" si="116"/>
        <v>0</v>
      </c>
      <c r="BB309" t="str">
        <f ca="1">IF(BA309=1,IF(INDEX(分析データ!$A:$A,ROW()+$C$5)&lt;&gt;"",60000*SIGN(AZ309)*(分析データ!C309-INDEX(分析データ!C:C,ROW()+$C$5)),""),"")</f>
        <v/>
      </c>
      <c r="BC309">
        <f t="shared" ca="1" si="117"/>
        <v>0</v>
      </c>
      <c r="BD309">
        <f t="shared" ca="1" si="118"/>
        <v>0</v>
      </c>
      <c r="BE309">
        <f t="shared" ca="1" si="119"/>
        <v>0</v>
      </c>
      <c r="BF309">
        <f ca="1">IF(ROW()&lt;($C$7+1),"",IFERROR((分析データ!D309-AVERAGE(OFFSET(分析データ!D$1,MAX(1,ROW()-$C$7),0,MIN($C$7,ROW()-1),1)))/STDEV(OFFSET(分析データ!D$1,MAX(1,ROW()-$C$7),0,MIN($C$7,ROW()-1),1)),0))</f>
        <v>0.19542680576243954</v>
      </c>
      <c r="BG309">
        <f t="shared" ca="1" si="120"/>
        <v>0</v>
      </c>
      <c r="BH309" t="str">
        <f ca="1">IF(BG309=1,IF(INDEX(分析データ!$A:$A,ROW()+$C$5)&lt;&gt;"",50000*SIGN(BF309)*(分析データ!D309-INDEX(分析データ!D:D,ROW()+$C$5)),""),"")</f>
        <v/>
      </c>
      <c r="BI309">
        <f t="shared" ca="1" si="121"/>
        <v>0</v>
      </c>
      <c r="BJ309">
        <f t="shared" ca="1" si="122"/>
        <v>0</v>
      </c>
      <c r="BK309">
        <f t="shared" ca="1" si="123"/>
        <v>0</v>
      </c>
      <c r="BL309">
        <f ca="1">IF(ROW()&lt;($C$7+1),"",IFERROR((分析データ!E309-AVERAGE(OFFSET(分析データ!E$1,MAX(1,ROW()-$C$7),0,MIN($C$7,ROW()-1),1)))/STDEV(OFFSET(分析データ!E$1,MAX(1,ROW()-$C$7),0,MIN($C$7,ROW()-1),1)),0))</f>
        <v>0.7204138413440152</v>
      </c>
      <c r="BM309">
        <f t="shared" ca="1" si="124"/>
        <v>0</v>
      </c>
      <c r="BN309" t="str">
        <f ca="1">IF(BM309=1,IF(INDEX(分析データ!$A:$A,ROW()+$C$5)&lt;&gt;"",40000*SIGN(BL309)*(分析データ!E309-INDEX(分析データ!E:E,ROW()+$C$5)),""),"")</f>
        <v/>
      </c>
      <c r="BO309">
        <f t="shared" ca="1" si="125"/>
        <v>280000.00000000291</v>
      </c>
      <c r="BP309">
        <f t="shared" ca="1" si="126"/>
        <v>280000.00000000291</v>
      </c>
      <c r="BQ309">
        <f t="shared" ca="1" si="127"/>
        <v>0</v>
      </c>
      <c r="BR309">
        <f ca="1">IF(ROW()&lt;($C$7+1),"",IFERROR((分析データ!F309-AVERAGE(OFFSET(分析データ!F$1,MAX(1,ROW()-$C$7),0,MIN($C$7,ROW()-1),1)))/STDEV(OFFSET(分析データ!F$1,MAX(1,ROW()-$C$7),0,MIN($C$7,ROW()-1),1)),0))</f>
        <v>-1.4888883842510534</v>
      </c>
      <c r="BS309">
        <f t="shared" ca="1" si="128"/>
        <v>0</v>
      </c>
      <c r="BT309" t="str">
        <f ca="1">IF(BS309=1,IF(INDEX(分析データ!$A:$A,ROW()+$C$5)&lt;&gt;"",40000*SIGN(BR309)*(分析データ!F309-INDEX(分析データ!F:F,ROW()+$C$5)),""),"")</f>
        <v/>
      </c>
      <c r="BU309">
        <f t="shared" ca="1" si="129"/>
        <v>0</v>
      </c>
      <c r="BV309">
        <f t="shared" ca="1" si="130"/>
        <v>0</v>
      </c>
      <c r="BW309">
        <f t="shared" ca="1" si="131"/>
        <v>0</v>
      </c>
      <c r="BX309">
        <f ca="1">IF(ROW()&lt;($C$7+1),"",IFERROR((分析データ!G309-AVERAGE(OFFSET(分析データ!G$1,MAX(1,ROW()-$C$7),0,MIN($C$7,ROW()-1),1)))/STDEV(OFFSET(分析データ!G$1,MAX(1,ROW()-$C$7),0,MIN($C$7,ROW()-1),1)),0))</f>
        <v>1.607258012956863</v>
      </c>
      <c r="BY309">
        <f t="shared" ca="1" si="132"/>
        <v>0</v>
      </c>
      <c r="BZ309" t="str">
        <f ca="1">IF(BY309=1,IF(INDEX(分析データ!$A:$A,ROW()+$C$5)&lt;&gt;"",40000*SIGN(BX309)*(分析データ!G309-INDEX(分析データ!G:G,ROW()+$C$5)),""),"")</f>
        <v/>
      </c>
      <c r="CA309">
        <f t="shared" ca="1" si="133"/>
        <v>3095574.2871093722</v>
      </c>
      <c r="CB309">
        <f t="shared" ca="1" si="134"/>
        <v>3095574.2871093722</v>
      </c>
      <c r="CC309">
        <f t="shared" ca="1" si="135"/>
        <v>0</v>
      </c>
      <c r="CD309">
        <f t="shared" ca="1" si="136"/>
        <v>0</v>
      </c>
      <c r="CE309">
        <f t="shared" ca="1" si="137"/>
        <v>3375574.287109375</v>
      </c>
      <c r="CF309">
        <f t="shared" ca="1" si="138"/>
        <v>3375574.287109375</v>
      </c>
      <c r="CG309">
        <f t="shared" ca="1" si="139"/>
        <v>0</v>
      </c>
      <c r="CH309" s="10">
        <f>分析データ!A309</f>
        <v>45376</v>
      </c>
    </row>
    <row r="310" spans="46:86">
      <c r="AT310">
        <f ca="1">IF(ROW()&lt;($C$7+1),"",IFERROR((分析データ!B310-AVERAGE(OFFSET(分析データ!B$1,MAX(1,ROW()-$C$7),0,MIN($C$7,ROW()-1),1)))/STDEV(OFFSET(分析データ!B$1,MAX(1,ROW()-$C$7),0,MIN($C$7,ROW()-1),1)),0))</f>
        <v>1.0167215526159472</v>
      </c>
      <c r="AU310">
        <f t="shared" ca="1" si="112"/>
        <v>0</v>
      </c>
      <c r="AV310" t="str">
        <f ca="1">IF(AU310=1,IF(INDEX(分析データ!$A:$A,ROW()+$C$5)&lt;&gt;"",80000*SIGN(AT310)*(分析データ!B310-INDEX(分析データ!B:B,ROW()+$C$5)),""),"")</f>
        <v/>
      </c>
      <c r="AW310">
        <f t="shared" ca="1" si="113"/>
        <v>0</v>
      </c>
      <c r="AX310">
        <f t="shared" ca="1" si="114"/>
        <v>0</v>
      </c>
      <c r="AY310">
        <f t="shared" ca="1" si="115"/>
        <v>0</v>
      </c>
      <c r="AZ310">
        <f ca="1">IF(ROW()&lt;($C$7+1),"",IFERROR((分析データ!C310-AVERAGE(OFFSET(分析データ!C$1,MAX(1,ROW()-$C$7),0,MIN($C$7,ROW()-1),1)))/STDEV(OFFSET(分析データ!C$1,MAX(1,ROW()-$C$7),0,MIN($C$7,ROW()-1),1)),0))</f>
        <v>-1.5961092353243385</v>
      </c>
      <c r="BA310">
        <f t="shared" ca="1" si="116"/>
        <v>0</v>
      </c>
      <c r="BB310" t="str">
        <f ca="1">IF(BA310=1,IF(INDEX(分析データ!$A:$A,ROW()+$C$5)&lt;&gt;"",60000*SIGN(AZ310)*(分析データ!C310-INDEX(分析データ!C:C,ROW()+$C$5)),""),"")</f>
        <v/>
      </c>
      <c r="BC310">
        <f t="shared" ca="1" si="117"/>
        <v>0</v>
      </c>
      <c r="BD310">
        <f t="shared" ca="1" si="118"/>
        <v>0</v>
      </c>
      <c r="BE310">
        <f t="shared" ca="1" si="119"/>
        <v>0</v>
      </c>
      <c r="BF310">
        <f ca="1">IF(ROW()&lt;($C$7+1),"",IFERROR((分析データ!D310-AVERAGE(OFFSET(分析データ!D$1,MAX(1,ROW()-$C$7),0,MIN($C$7,ROW()-1),1)))/STDEV(OFFSET(分析データ!D$1,MAX(1,ROW()-$C$7),0,MIN($C$7,ROW()-1),1)),0))</f>
        <v>0.13289289967054047</v>
      </c>
      <c r="BG310">
        <f t="shared" ca="1" si="120"/>
        <v>0</v>
      </c>
      <c r="BH310" t="str">
        <f ca="1">IF(BG310=1,IF(INDEX(分析データ!$A:$A,ROW()+$C$5)&lt;&gt;"",50000*SIGN(BF310)*(分析データ!D310-INDEX(分析データ!D:D,ROW()+$C$5)),""),"")</f>
        <v/>
      </c>
      <c r="BI310">
        <f t="shared" ca="1" si="121"/>
        <v>0</v>
      </c>
      <c r="BJ310">
        <f t="shared" ca="1" si="122"/>
        <v>0</v>
      </c>
      <c r="BK310">
        <f t="shared" ca="1" si="123"/>
        <v>0</v>
      </c>
      <c r="BL310">
        <f ca="1">IF(ROW()&lt;($C$7+1),"",IFERROR((分析データ!E310-AVERAGE(OFFSET(分析データ!E$1,MAX(1,ROW()-$C$7),0,MIN($C$7,ROW()-1),1)))/STDEV(OFFSET(分析データ!E$1,MAX(1,ROW()-$C$7),0,MIN($C$7,ROW()-1),1)),0))</f>
        <v>0.71781643276605556</v>
      </c>
      <c r="BM310">
        <f t="shared" ca="1" si="124"/>
        <v>0</v>
      </c>
      <c r="BN310" t="str">
        <f ca="1">IF(BM310=1,IF(INDEX(分析データ!$A:$A,ROW()+$C$5)&lt;&gt;"",40000*SIGN(BL310)*(分析データ!E310-INDEX(分析データ!E:E,ROW()+$C$5)),""),"")</f>
        <v/>
      </c>
      <c r="BO310">
        <f t="shared" ca="1" si="125"/>
        <v>280000.00000000291</v>
      </c>
      <c r="BP310">
        <f t="shared" ca="1" si="126"/>
        <v>280000.00000000291</v>
      </c>
      <c r="BQ310">
        <f t="shared" ca="1" si="127"/>
        <v>0</v>
      </c>
      <c r="BR310">
        <f ca="1">IF(ROW()&lt;($C$7+1),"",IFERROR((分析データ!F310-AVERAGE(OFFSET(分析データ!F$1,MAX(1,ROW()-$C$7),0,MIN($C$7,ROW()-1),1)))/STDEV(OFFSET(分析データ!F$1,MAX(1,ROW()-$C$7),0,MIN($C$7,ROW()-1),1)),0))</f>
        <v>-1.2748509022527221</v>
      </c>
      <c r="BS310">
        <f t="shared" ca="1" si="128"/>
        <v>0</v>
      </c>
      <c r="BT310" t="str">
        <f ca="1">IF(BS310=1,IF(INDEX(分析データ!$A:$A,ROW()+$C$5)&lt;&gt;"",40000*SIGN(BR310)*(分析データ!F310-INDEX(分析データ!F:F,ROW()+$C$5)),""),"")</f>
        <v/>
      </c>
      <c r="BU310">
        <f t="shared" ca="1" si="129"/>
        <v>0</v>
      </c>
      <c r="BV310">
        <f t="shared" ca="1" si="130"/>
        <v>0</v>
      </c>
      <c r="BW310">
        <f t="shared" ca="1" si="131"/>
        <v>0</v>
      </c>
      <c r="BX310">
        <f ca="1">IF(ROW()&lt;($C$7+1),"",IFERROR((分析データ!G310-AVERAGE(OFFSET(分析データ!G$1,MAX(1,ROW()-$C$7),0,MIN($C$7,ROW()-1),1)))/STDEV(OFFSET(分析データ!G$1,MAX(1,ROW()-$C$7),0,MIN($C$7,ROW()-1),1)),0))</f>
        <v>1.3687708380428614</v>
      </c>
      <c r="BY310">
        <f t="shared" ca="1" si="132"/>
        <v>0</v>
      </c>
      <c r="BZ310" t="str">
        <f ca="1">IF(BY310=1,IF(INDEX(分析データ!$A:$A,ROW()+$C$5)&lt;&gt;"",40000*SIGN(BX310)*(分析データ!G310-INDEX(分析データ!G:G,ROW()+$C$5)),""),"")</f>
        <v/>
      </c>
      <c r="CA310">
        <f t="shared" ca="1" si="133"/>
        <v>3095574.2871093722</v>
      </c>
      <c r="CB310">
        <f t="shared" ca="1" si="134"/>
        <v>3095574.2871093722</v>
      </c>
      <c r="CC310">
        <f t="shared" ca="1" si="135"/>
        <v>0</v>
      </c>
      <c r="CD310">
        <f t="shared" ca="1" si="136"/>
        <v>0</v>
      </c>
      <c r="CE310">
        <f t="shared" ca="1" si="137"/>
        <v>3375574.287109375</v>
      </c>
      <c r="CF310">
        <f t="shared" ca="1" si="138"/>
        <v>3375574.287109375</v>
      </c>
      <c r="CG310">
        <f t="shared" ca="1" si="139"/>
        <v>0</v>
      </c>
      <c r="CH310" s="10">
        <f>分析データ!A310</f>
        <v>45377</v>
      </c>
    </row>
    <row r="311" spans="46:86">
      <c r="AT311">
        <f ca="1">IF(ROW()&lt;($C$7+1),"",IFERROR((分析データ!B311-AVERAGE(OFFSET(分析データ!B$1,MAX(1,ROW()-$C$7),0,MIN($C$7,ROW()-1),1)))/STDEV(OFFSET(分析データ!B$1,MAX(1,ROW()-$C$7),0,MIN($C$7,ROW()-1),1)),0))</f>
        <v>0.91502741208544025</v>
      </c>
      <c r="AU311">
        <f t="shared" ca="1" si="112"/>
        <v>0</v>
      </c>
      <c r="AV311" t="str">
        <f ca="1">IF(AU311=1,IF(INDEX(分析データ!$A:$A,ROW()+$C$5)&lt;&gt;"",80000*SIGN(AT311)*(分析データ!B311-INDEX(分析データ!B:B,ROW()+$C$5)),""),"")</f>
        <v/>
      </c>
      <c r="AW311">
        <f t="shared" ca="1" si="113"/>
        <v>0</v>
      </c>
      <c r="AX311">
        <f t="shared" ca="1" si="114"/>
        <v>0</v>
      </c>
      <c r="AY311">
        <f t="shared" ca="1" si="115"/>
        <v>0</v>
      </c>
      <c r="AZ311">
        <f ca="1">IF(ROW()&lt;($C$7+1),"",IFERROR((分析データ!C311-AVERAGE(OFFSET(分析データ!C$1,MAX(1,ROW()-$C$7),0,MIN($C$7,ROW()-1),1)))/STDEV(OFFSET(分析データ!C$1,MAX(1,ROW()-$C$7),0,MIN($C$7,ROW()-1),1)),0))</f>
        <v>-1.7035980562702993</v>
      </c>
      <c r="BA311">
        <f t="shared" ca="1" si="116"/>
        <v>0</v>
      </c>
      <c r="BB311" t="str">
        <f ca="1">IF(BA311=1,IF(INDEX(分析データ!$A:$A,ROW()+$C$5)&lt;&gt;"",60000*SIGN(AZ311)*(分析データ!C311-INDEX(分析データ!C:C,ROW()+$C$5)),""),"")</f>
        <v/>
      </c>
      <c r="BC311">
        <f t="shared" ca="1" si="117"/>
        <v>0</v>
      </c>
      <c r="BD311">
        <f t="shared" ca="1" si="118"/>
        <v>0</v>
      </c>
      <c r="BE311">
        <f t="shared" ca="1" si="119"/>
        <v>0</v>
      </c>
      <c r="BF311">
        <f ca="1">IF(ROW()&lt;($C$7+1),"",IFERROR((分析データ!D311-AVERAGE(OFFSET(分析データ!D$1,MAX(1,ROW()-$C$7),0,MIN($C$7,ROW()-1),1)))/STDEV(OFFSET(分析データ!D$1,MAX(1,ROW()-$C$7),0,MIN($C$7,ROW()-1),1)),0))</f>
        <v>4.92588615088572E-2</v>
      </c>
      <c r="BG311">
        <f t="shared" ca="1" si="120"/>
        <v>0</v>
      </c>
      <c r="BH311" t="str">
        <f ca="1">IF(BG311=1,IF(INDEX(分析データ!$A:$A,ROW()+$C$5)&lt;&gt;"",50000*SIGN(BF311)*(分析データ!D311-INDEX(分析データ!D:D,ROW()+$C$5)),""),"")</f>
        <v/>
      </c>
      <c r="BI311">
        <f t="shared" ca="1" si="121"/>
        <v>0</v>
      </c>
      <c r="BJ311">
        <f t="shared" ca="1" si="122"/>
        <v>0</v>
      </c>
      <c r="BK311">
        <f t="shared" ca="1" si="123"/>
        <v>0</v>
      </c>
      <c r="BL311">
        <f ca="1">IF(ROW()&lt;($C$7+1),"",IFERROR((分析データ!E311-AVERAGE(OFFSET(分析データ!E$1,MAX(1,ROW()-$C$7),0,MIN($C$7,ROW()-1),1)))/STDEV(OFFSET(分析データ!E$1,MAX(1,ROW()-$C$7),0,MIN($C$7,ROW()-1),1)),0))</f>
        <v>0.71400036869092109</v>
      </c>
      <c r="BM311">
        <f t="shared" ca="1" si="124"/>
        <v>0</v>
      </c>
      <c r="BN311" t="str">
        <f ca="1">IF(BM311=1,IF(INDEX(分析データ!$A:$A,ROW()+$C$5)&lt;&gt;"",40000*SIGN(BL311)*(分析データ!E311-INDEX(分析データ!E:E,ROW()+$C$5)),""),"")</f>
        <v/>
      </c>
      <c r="BO311">
        <f t="shared" ca="1" si="125"/>
        <v>280000.00000000291</v>
      </c>
      <c r="BP311">
        <f t="shared" ca="1" si="126"/>
        <v>280000.00000000291</v>
      </c>
      <c r="BQ311">
        <f t="shared" ca="1" si="127"/>
        <v>0</v>
      </c>
      <c r="BR311">
        <f ca="1">IF(ROW()&lt;($C$7+1),"",IFERROR((分析データ!F311-AVERAGE(OFFSET(分析データ!F$1,MAX(1,ROW()-$C$7),0,MIN($C$7,ROW()-1),1)))/STDEV(OFFSET(分析データ!F$1,MAX(1,ROW()-$C$7),0,MIN($C$7,ROW()-1),1)),0))</f>
        <v>-1.2439891798948652</v>
      </c>
      <c r="BS311">
        <f t="shared" ca="1" si="128"/>
        <v>0</v>
      </c>
      <c r="BT311" t="str">
        <f ca="1">IF(BS311=1,IF(INDEX(分析データ!$A:$A,ROW()+$C$5)&lt;&gt;"",40000*SIGN(BR311)*(分析データ!F311-INDEX(分析データ!F:F,ROW()+$C$5)),""),"")</f>
        <v/>
      </c>
      <c r="BU311">
        <f t="shared" ca="1" si="129"/>
        <v>0</v>
      </c>
      <c r="BV311">
        <f t="shared" ca="1" si="130"/>
        <v>0</v>
      </c>
      <c r="BW311">
        <f t="shared" ca="1" si="131"/>
        <v>0</v>
      </c>
      <c r="BX311">
        <f ca="1">IF(ROW()&lt;($C$7+1),"",IFERROR((分析データ!G311-AVERAGE(OFFSET(分析データ!G$1,MAX(1,ROW()-$C$7),0,MIN($C$7,ROW()-1),1)))/STDEV(OFFSET(分析データ!G$1,MAX(1,ROW()-$C$7),0,MIN($C$7,ROW()-1),1)),0))</f>
        <v>1.3864117152337401</v>
      </c>
      <c r="BY311">
        <f t="shared" ca="1" si="132"/>
        <v>0</v>
      </c>
      <c r="BZ311" t="str">
        <f ca="1">IF(BY311=1,IF(INDEX(分析データ!$A:$A,ROW()+$C$5)&lt;&gt;"",40000*SIGN(BX311)*(分析データ!G311-INDEX(分析データ!G:G,ROW()+$C$5)),""),"")</f>
        <v/>
      </c>
      <c r="CA311">
        <f t="shared" ca="1" si="133"/>
        <v>3095574.2871093722</v>
      </c>
      <c r="CB311">
        <f t="shared" ca="1" si="134"/>
        <v>3095574.2871093722</v>
      </c>
      <c r="CC311">
        <f t="shared" ca="1" si="135"/>
        <v>0</v>
      </c>
      <c r="CD311">
        <f t="shared" ca="1" si="136"/>
        <v>0</v>
      </c>
      <c r="CE311">
        <f t="shared" ca="1" si="137"/>
        <v>3375574.287109375</v>
      </c>
      <c r="CF311">
        <f t="shared" ca="1" si="138"/>
        <v>3375574.287109375</v>
      </c>
      <c r="CG311">
        <f t="shared" ca="1" si="139"/>
        <v>0</v>
      </c>
      <c r="CH311" s="10">
        <f>分析データ!A311</f>
        <v>45378</v>
      </c>
    </row>
    <row r="312" spans="46:86">
      <c r="AT312">
        <f ca="1">IF(ROW()&lt;($C$7+1),"",IFERROR((分析データ!B312-AVERAGE(OFFSET(分析データ!B$1,MAX(1,ROW()-$C$7),0,MIN($C$7,ROW()-1),1)))/STDEV(OFFSET(分析データ!B$1,MAX(1,ROW()-$C$7),0,MIN($C$7,ROW()-1),1)),0))</f>
        <v>0.76528816804880195</v>
      </c>
      <c r="AU312">
        <f t="shared" ca="1" si="112"/>
        <v>0</v>
      </c>
      <c r="AV312" t="str">
        <f ca="1">IF(AU312=1,IF(INDEX(分析データ!$A:$A,ROW()+$C$5)&lt;&gt;"",80000*SIGN(AT312)*(分析データ!B312-INDEX(分析データ!B:B,ROW()+$C$5)),""),"")</f>
        <v/>
      </c>
      <c r="AW312">
        <f t="shared" ca="1" si="113"/>
        <v>0</v>
      </c>
      <c r="AX312">
        <f t="shared" ca="1" si="114"/>
        <v>0</v>
      </c>
      <c r="AY312">
        <f t="shared" ca="1" si="115"/>
        <v>0</v>
      </c>
      <c r="AZ312">
        <f ca="1">IF(ROW()&lt;($C$7+1),"",IFERROR((分析データ!C312-AVERAGE(OFFSET(分析データ!C$1,MAX(1,ROW()-$C$7),0,MIN($C$7,ROW()-1),1)))/STDEV(OFFSET(分析データ!C$1,MAX(1,ROW()-$C$7),0,MIN($C$7,ROW()-1),1)),0))</f>
        <v>-1.6642145822868784</v>
      </c>
      <c r="BA312">
        <f t="shared" ca="1" si="116"/>
        <v>0</v>
      </c>
      <c r="BB312" t="str">
        <f ca="1">IF(BA312=1,IF(INDEX(分析データ!$A:$A,ROW()+$C$5)&lt;&gt;"",60000*SIGN(AZ312)*(分析データ!C312-INDEX(分析データ!C:C,ROW()+$C$5)),""),"")</f>
        <v/>
      </c>
      <c r="BC312">
        <f t="shared" ca="1" si="117"/>
        <v>0</v>
      </c>
      <c r="BD312">
        <f t="shared" ca="1" si="118"/>
        <v>0</v>
      </c>
      <c r="BE312">
        <f t="shared" ca="1" si="119"/>
        <v>0</v>
      </c>
      <c r="BF312">
        <f ca="1">IF(ROW()&lt;($C$7+1),"",IFERROR((分析データ!D312-AVERAGE(OFFSET(分析データ!D$1,MAX(1,ROW()-$C$7),0,MIN($C$7,ROW()-1),1)))/STDEV(OFFSET(分析データ!D$1,MAX(1,ROW()-$C$7),0,MIN($C$7,ROW()-1),1)),0))</f>
        <v>7.5942979027206911E-2</v>
      </c>
      <c r="BG312">
        <f t="shared" ca="1" si="120"/>
        <v>0</v>
      </c>
      <c r="BH312" t="str">
        <f ca="1">IF(BG312=1,IF(INDEX(分析データ!$A:$A,ROW()+$C$5)&lt;&gt;"",50000*SIGN(BF312)*(分析データ!D312-INDEX(分析データ!D:D,ROW()+$C$5)),""),"")</f>
        <v/>
      </c>
      <c r="BI312">
        <f t="shared" ca="1" si="121"/>
        <v>0</v>
      </c>
      <c r="BJ312">
        <f t="shared" ca="1" si="122"/>
        <v>0</v>
      </c>
      <c r="BK312">
        <f t="shared" ca="1" si="123"/>
        <v>0</v>
      </c>
      <c r="BL312">
        <f ca="1">IF(ROW()&lt;($C$7+1),"",IFERROR((分析データ!E312-AVERAGE(OFFSET(分析データ!E$1,MAX(1,ROW()-$C$7),0,MIN($C$7,ROW()-1),1)))/STDEV(OFFSET(分析データ!E$1,MAX(1,ROW()-$C$7),0,MIN($C$7,ROW()-1),1)),0))</f>
        <v>0.41927303468277283</v>
      </c>
      <c r="BM312">
        <f t="shared" ca="1" si="124"/>
        <v>0</v>
      </c>
      <c r="BN312" t="str">
        <f ca="1">IF(BM312=1,IF(INDEX(分析データ!$A:$A,ROW()+$C$5)&lt;&gt;"",40000*SIGN(BL312)*(分析データ!E312-INDEX(分析データ!E:E,ROW()+$C$5)),""),"")</f>
        <v/>
      </c>
      <c r="BO312">
        <f t="shared" ca="1" si="125"/>
        <v>280000.00000000291</v>
      </c>
      <c r="BP312">
        <f t="shared" ca="1" si="126"/>
        <v>280000.00000000291</v>
      </c>
      <c r="BQ312">
        <f t="shared" ca="1" si="127"/>
        <v>0</v>
      </c>
      <c r="BR312">
        <f ca="1">IF(ROW()&lt;($C$7+1),"",IFERROR((分析データ!F312-AVERAGE(OFFSET(分析データ!F$1,MAX(1,ROW()-$C$7),0,MIN($C$7,ROW()-1),1)))/STDEV(OFFSET(分析データ!F$1,MAX(1,ROW()-$C$7),0,MIN($C$7,ROW()-1),1)),0))</f>
        <v>-1.3508659229774989</v>
      </c>
      <c r="BS312">
        <f t="shared" ca="1" si="128"/>
        <v>0</v>
      </c>
      <c r="BT312" t="str">
        <f ca="1">IF(BS312=1,IF(INDEX(分析データ!$A:$A,ROW()+$C$5)&lt;&gt;"",40000*SIGN(BR312)*(分析データ!F312-INDEX(分析データ!F:F,ROW()+$C$5)),""),"")</f>
        <v/>
      </c>
      <c r="BU312">
        <f t="shared" ca="1" si="129"/>
        <v>0</v>
      </c>
      <c r="BV312">
        <f t="shared" ca="1" si="130"/>
        <v>0</v>
      </c>
      <c r="BW312">
        <f t="shared" ca="1" si="131"/>
        <v>0</v>
      </c>
      <c r="BX312">
        <f ca="1">IF(ROW()&lt;($C$7+1),"",IFERROR((分析データ!G312-AVERAGE(OFFSET(分析データ!G$1,MAX(1,ROW()-$C$7),0,MIN($C$7,ROW()-1),1)))/STDEV(OFFSET(分析データ!G$1,MAX(1,ROW()-$C$7),0,MIN($C$7,ROW()-1),1)),0))</f>
        <v>1.4082062864101719</v>
      </c>
      <c r="BY312">
        <f t="shared" ca="1" si="132"/>
        <v>0</v>
      </c>
      <c r="BZ312" t="str">
        <f ca="1">IF(BY312=1,IF(INDEX(分析データ!$A:$A,ROW()+$C$5)&lt;&gt;"",40000*SIGN(BX312)*(分析データ!G312-INDEX(分析データ!G:G,ROW()+$C$5)),""),"")</f>
        <v/>
      </c>
      <c r="CA312">
        <f t="shared" ca="1" si="133"/>
        <v>3095574.2871093722</v>
      </c>
      <c r="CB312">
        <f t="shared" ca="1" si="134"/>
        <v>3095574.2871093722</v>
      </c>
      <c r="CC312">
        <f t="shared" ca="1" si="135"/>
        <v>0</v>
      </c>
      <c r="CD312">
        <f t="shared" ca="1" si="136"/>
        <v>0</v>
      </c>
      <c r="CE312">
        <f t="shared" ca="1" si="137"/>
        <v>3375574.287109375</v>
      </c>
      <c r="CF312">
        <f t="shared" ca="1" si="138"/>
        <v>3375574.287109375</v>
      </c>
      <c r="CG312">
        <f t="shared" ca="1" si="139"/>
        <v>0</v>
      </c>
      <c r="CH312" s="10">
        <f>分析データ!A312</f>
        <v>45379</v>
      </c>
    </row>
    <row r="313" spans="46:86">
      <c r="AT313">
        <f ca="1">IF(ROW()&lt;($C$7+1),"",IFERROR((分析データ!B313-AVERAGE(OFFSET(分析データ!B$1,MAX(1,ROW()-$C$7),0,MIN($C$7,ROW()-1),1)))/STDEV(OFFSET(分析データ!B$1,MAX(1,ROW()-$C$7),0,MIN($C$7,ROW()-1),1)),0))</f>
        <v>0.76078450658003727</v>
      </c>
      <c r="AU313">
        <f t="shared" ca="1" si="112"/>
        <v>0</v>
      </c>
      <c r="AV313" t="str">
        <f ca="1">IF(AU313=1,IF(INDEX(分析データ!$A:$A,ROW()+$C$5)&lt;&gt;"",80000*SIGN(AT313)*(分析データ!B313-INDEX(分析データ!B:B,ROW()+$C$5)),""),"")</f>
        <v/>
      </c>
      <c r="AW313">
        <f t="shared" ca="1" si="113"/>
        <v>0</v>
      </c>
      <c r="AX313">
        <f t="shared" ca="1" si="114"/>
        <v>0</v>
      </c>
      <c r="AY313">
        <f t="shared" ca="1" si="115"/>
        <v>0</v>
      </c>
      <c r="AZ313">
        <f ca="1">IF(ROW()&lt;($C$7+1),"",IFERROR((分析データ!C313-AVERAGE(OFFSET(分析データ!C$1,MAX(1,ROW()-$C$7),0,MIN($C$7,ROW()-1),1)))/STDEV(OFFSET(分析データ!C$1,MAX(1,ROW()-$C$7),0,MIN($C$7,ROW()-1),1)),0))</f>
        <v>-1.5092165668928728</v>
      </c>
      <c r="BA313">
        <f t="shared" ca="1" si="116"/>
        <v>0</v>
      </c>
      <c r="BB313" t="str">
        <f ca="1">IF(BA313=1,IF(INDEX(分析データ!$A:$A,ROW()+$C$5)&lt;&gt;"",60000*SIGN(AZ313)*(分析データ!C313-INDEX(分析データ!C:C,ROW()+$C$5)),""),"")</f>
        <v/>
      </c>
      <c r="BC313">
        <f t="shared" ca="1" si="117"/>
        <v>0</v>
      </c>
      <c r="BD313">
        <f t="shared" ca="1" si="118"/>
        <v>0</v>
      </c>
      <c r="BE313">
        <f t="shared" ca="1" si="119"/>
        <v>0</v>
      </c>
      <c r="BF313">
        <f ca="1">IF(ROW()&lt;($C$7+1),"",IFERROR((分析データ!D313-AVERAGE(OFFSET(分析データ!D$1,MAX(1,ROW()-$C$7),0,MIN($C$7,ROW()-1),1)))/STDEV(OFFSET(分析データ!D$1,MAX(1,ROW()-$C$7),0,MIN($C$7,ROW()-1),1)),0))</f>
        <v>0.4334661053538657</v>
      </c>
      <c r="BG313">
        <f t="shared" ca="1" si="120"/>
        <v>0</v>
      </c>
      <c r="BH313" t="str">
        <f ca="1">IF(BG313=1,IF(INDEX(分析データ!$A:$A,ROW()+$C$5)&lt;&gt;"",50000*SIGN(BF313)*(分析データ!D313-INDEX(分析データ!D:D,ROW()+$C$5)),""),"")</f>
        <v/>
      </c>
      <c r="BI313">
        <f t="shared" ca="1" si="121"/>
        <v>0</v>
      </c>
      <c r="BJ313">
        <f t="shared" ca="1" si="122"/>
        <v>0</v>
      </c>
      <c r="BK313">
        <f t="shared" ca="1" si="123"/>
        <v>0</v>
      </c>
      <c r="BL313">
        <f ca="1">IF(ROW()&lt;($C$7+1),"",IFERROR((分析データ!E313-AVERAGE(OFFSET(分析データ!E$1,MAX(1,ROW()-$C$7),0,MIN($C$7,ROW()-1),1)))/STDEV(OFFSET(分析データ!E$1,MAX(1,ROW()-$C$7),0,MIN($C$7,ROW()-1),1)),0))</f>
        <v>0.41582779927894203</v>
      </c>
      <c r="BM313">
        <f t="shared" ca="1" si="124"/>
        <v>0</v>
      </c>
      <c r="BN313" t="str">
        <f ca="1">IF(BM313=1,IF(INDEX(分析データ!$A:$A,ROW()+$C$5)&lt;&gt;"",40000*SIGN(BL313)*(分析データ!E313-INDEX(分析データ!E:E,ROW()+$C$5)),""),"")</f>
        <v/>
      </c>
      <c r="BO313">
        <f t="shared" ca="1" si="125"/>
        <v>280000.00000000291</v>
      </c>
      <c r="BP313">
        <f t="shared" ca="1" si="126"/>
        <v>280000.00000000291</v>
      </c>
      <c r="BQ313">
        <f t="shared" ca="1" si="127"/>
        <v>0</v>
      </c>
      <c r="BR313">
        <f ca="1">IF(ROW()&lt;($C$7+1),"",IFERROR((分析データ!F313-AVERAGE(OFFSET(分析データ!F$1,MAX(1,ROW()-$C$7),0,MIN($C$7,ROW()-1),1)))/STDEV(OFFSET(分析データ!F$1,MAX(1,ROW()-$C$7),0,MIN($C$7,ROW()-1),1)),0))</f>
        <v>-1.5165201382623548</v>
      </c>
      <c r="BS313">
        <f t="shared" ca="1" si="128"/>
        <v>0</v>
      </c>
      <c r="BT313" t="str">
        <f ca="1">IF(BS313=1,IF(INDEX(分析データ!$A:$A,ROW()+$C$5)&lt;&gt;"",40000*SIGN(BR313)*(分析データ!F313-INDEX(分析データ!F:F,ROW()+$C$5)),""),"")</f>
        <v/>
      </c>
      <c r="BU313">
        <f t="shared" ca="1" si="129"/>
        <v>0</v>
      </c>
      <c r="BV313">
        <f t="shared" ca="1" si="130"/>
        <v>0</v>
      </c>
      <c r="BW313">
        <f t="shared" ca="1" si="131"/>
        <v>0</v>
      </c>
      <c r="BX313">
        <f ca="1">IF(ROW()&lt;($C$7+1),"",IFERROR((分析データ!G313-AVERAGE(OFFSET(分析データ!G$1,MAX(1,ROW()-$C$7),0,MIN($C$7,ROW()-1),1)))/STDEV(OFFSET(分析データ!G$1,MAX(1,ROW()-$C$7),0,MIN($C$7,ROW()-1),1)),0))</f>
        <v>1.3577925834567359</v>
      </c>
      <c r="BY313">
        <f t="shared" ca="1" si="132"/>
        <v>0</v>
      </c>
      <c r="BZ313" t="str">
        <f ca="1">IF(BY313=1,IF(INDEX(分析データ!$A:$A,ROW()+$C$5)&lt;&gt;"",40000*SIGN(BX313)*(分析データ!G313-INDEX(分析データ!G:G,ROW()+$C$5)),""),"")</f>
        <v/>
      </c>
      <c r="CA313">
        <f t="shared" ca="1" si="133"/>
        <v>3095574.2871093722</v>
      </c>
      <c r="CB313">
        <f t="shared" ca="1" si="134"/>
        <v>3095574.2871093722</v>
      </c>
      <c r="CC313">
        <f t="shared" ca="1" si="135"/>
        <v>0</v>
      </c>
      <c r="CD313">
        <f t="shared" ca="1" si="136"/>
        <v>0</v>
      </c>
      <c r="CE313">
        <f t="shared" ca="1" si="137"/>
        <v>3375574.287109375</v>
      </c>
      <c r="CF313">
        <f t="shared" ca="1" si="138"/>
        <v>3375574.287109375</v>
      </c>
      <c r="CG313">
        <f t="shared" ca="1" si="139"/>
        <v>0</v>
      </c>
      <c r="CH313" s="10">
        <f>分析データ!A313</f>
        <v>45383</v>
      </c>
    </row>
    <row r="314" spans="46:86">
      <c r="AT314">
        <f ca="1">IF(ROW()&lt;($C$7+1),"",IFERROR((分析データ!B314-AVERAGE(OFFSET(分析データ!B$1,MAX(1,ROW()-$C$7),0,MIN($C$7,ROW()-1),1)))/STDEV(OFFSET(分析データ!B$1,MAX(1,ROW()-$C$7),0,MIN($C$7,ROW()-1),1)),0))</f>
        <v>0.94829014745523121</v>
      </c>
      <c r="AU314">
        <f t="shared" ca="1" si="112"/>
        <v>0</v>
      </c>
      <c r="AV314" t="str">
        <f ca="1">IF(AU314=1,IF(INDEX(分析データ!$A:$A,ROW()+$C$5)&lt;&gt;"",80000*SIGN(AT314)*(分析データ!B314-INDEX(分析データ!B:B,ROW()+$C$5)),""),"")</f>
        <v/>
      </c>
      <c r="AW314">
        <f t="shared" ca="1" si="113"/>
        <v>0</v>
      </c>
      <c r="AX314">
        <f t="shared" ca="1" si="114"/>
        <v>0</v>
      </c>
      <c r="AY314">
        <f t="shared" ca="1" si="115"/>
        <v>0</v>
      </c>
      <c r="AZ314">
        <f ca="1">IF(ROW()&lt;($C$7+1),"",IFERROR((分析データ!C314-AVERAGE(OFFSET(分析データ!C$1,MAX(1,ROW()-$C$7),0,MIN($C$7,ROW()-1),1)))/STDEV(OFFSET(分析データ!C$1,MAX(1,ROW()-$C$7),0,MIN($C$7,ROW()-1),1)),0))</f>
        <v>-1.6147826100572007</v>
      </c>
      <c r="BA314">
        <f t="shared" ca="1" si="116"/>
        <v>0</v>
      </c>
      <c r="BB314" t="str">
        <f ca="1">IF(BA314=1,IF(INDEX(分析データ!$A:$A,ROW()+$C$5)&lt;&gt;"",60000*SIGN(AZ314)*(分析データ!C314-INDEX(分析データ!C:C,ROW()+$C$5)),""),"")</f>
        <v/>
      </c>
      <c r="BC314">
        <f t="shared" ca="1" si="117"/>
        <v>0</v>
      </c>
      <c r="BD314">
        <f t="shared" ca="1" si="118"/>
        <v>0</v>
      </c>
      <c r="BE314">
        <f t="shared" ca="1" si="119"/>
        <v>0</v>
      </c>
      <c r="BF314">
        <f ca="1">IF(ROW()&lt;($C$7+1),"",IFERROR((分析データ!D314-AVERAGE(OFFSET(分析データ!D$1,MAX(1,ROW()-$C$7),0,MIN($C$7,ROW()-1),1)))/STDEV(OFFSET(分析データ!D$1,MAX(1,ROW()-$C$7),0,MIN($C$7,ROW()-1),1)),0))</f>
        <v>0.52353203983106289</v>
      </c>
      <c r="BG314">
        <f t="shared" ca="1" si="120"/>
        <v>0</v>
      </c>
      <c r="BH314" t="str">
        <f ca="1">IF(BG314=1,IF(INDEX(分析データ!$A:$A,ROW()+$C$5)&lt;&gt;"",50000*SIGN(BF314)*(分析データ!D314-INDEX(分析データ!D:D,ROW()+$C$5)),""),"")</f>
        <v/>
      </c>
      <c r="BI314">
        <f t="shared" ca="1" si="121"/>
        <v>0</v>
      </c>
      <c r="BJ314">
        <f t="shared" ca="1" si="122"/>
        <v>0</v>
      </c>
      <c r="BK314">
        <f t="shared" ca="1" si="123"/>
        <v>0</v>
      </c>
      <c r="BL314">
        <f ca="1">IF(ROW()&lt;($C$7+1),"",IFERROR((分析データ!E314-AVERAGE(OFFSET(分析データ!E$1,MAX(1,ROW()-$C$7),0,MIN($C$7,ROW()-1),1)))/STDEV(OFFSET(分析データ!E$1,MAX(1,ROW()-$C$7),0,MIN($C$7,ROW()-1),1)),0))</f>
        <v>0.60571959931428754</v>
      </c>
      <c r="BM314">
        <f t="shared" ca="1" si="124"/>
        <v>0</v>
      </c>
      <c r="BN314" t="str">
        <f ca="1">IF(BM314=1,IF(INDEX(分析データ!$A:$A,ROW()+$C$5)&lt;&gt;"",40000*SIGN(BL314)*(分析データ!E314-INDEX(分析データ!E:E,ROW()+$C$5)),""),"")</f>
        <v/>
      </c>
      <c r="BO314">
        <f t="shared" ca="1" si="125"/>
        <v>280000.00000000291</v>
      </c>
      <c r="BP314">
        <f t="shared" ca="1" si="126"/>
        <v>280000.00000000291</v>
      </c>
      <c r="BQ314">
        <f t="shared" ca="1" si="127"/>
        <v>0</v>
      </c>
      <c r="BR314">
        <f ca="1">IF(ROW()&lt;($C$7+1),"",IFERROR((分析データ!F314-AVERAGE(OFFSET(分析データ!F$1,MAX(1,ROW()-$C$7),0,MIN($C$7,ROW()-1),1)))/STDEV(OFFSET(分析データ!F$1,MAX(1,ROW()-$C$7),0,MIN($C$7,ROW()-1),1)),0))</f>
        <v>-1.5752582195250995</v>
      </c>
      <c r="BS314">
        <f t="shared" ca="1" si="128"/>
        <v>0</v>
      </c>
      <c r="BT314" t="str">
        <f ca="1">IF(BS314=1,IF(INDEX(分析データ!$A:$A,ROW()+$C$5)&lt;&gt;"",40000*SIGN(BR314)*(分析データ!F314-INDEX(分析データ!F:F,ROW()+$C$5)),""),"")</f>
        <v/>
      </c>
      <c r="BU314">
        <f t="shared" ca="1" si="129"/>
        <v>0</v>
      </c>
      <c r="BV314">
        <f t="shared" ca="1" si="130"/>
        <v>0</v>
      </c>
      <c r="BW314">
        <f t="shared" ca="1" si="131"/>
        <v>0</v>
      </c>
      <c r="BX314">
        <f ca="1">IF(ROW()&lt;($C$7+1),"",IFERROR((分析データ!G314-AVERAGE(OFFSET(分析データ!G$1,MAX(1,ROW()-$C$7),0,MIN($C$7,ROW()-1),1)))/STDEV(OFFSET(分析データ!G$1,MAX(1,ROW()-$C$7),0,MIN($C$7,ROW()-1),1)),0))</f>
        <v>1.399648865062779</v>
      </c>
      <c r="BY314">
        <f t="shared" ca="1" si="132"/>
        <v>0</v>
      </c>
      <c r="BZ314" t="str">
        <f ca="1">IF(BY314=1,IF(INDEX(分析データ!$A:$A,ROW()+$C$5)&lt;&gt;"",40000*SIGN(BX314)*(分析データ!G314-INDEX(分析データ!G:G,ROW()+$C$5)),""),"")</f>
        <v/>
      </c>
      <c r="CA314">
        <f t="shared" ca="1" si="133"/>
        <v>3095574.2871093722</v>
      </c>
      <c r="CB314">
        <f t="shared" ca="1" si="134"/>
        <v>3095574.2871093722</v>
      </c>
      <c r="CC314">
        <f t="shared" ca="1" si="135"/>
        <v>0</v>
      </c>
      <c r="CD314">
        <f t="shared" ca="1" si="136"/>
        <v>0</v>
      </c>
      <c r="CE314">
        <f t="shared" ca="1" si="137"/>
        <v>3375574.287109375</v>
      </c>
      <c r="CF314">
        <f t="shared" ca="1" si="138"/>
        <v>3375574.287109375</v>
      </c>
      <c r="CG314">
        <f t="shared" ca="1" si="139"/>
        <v>0</v>
      </c>
      <c r="CH314" s="10">
        <f>分析データ!A314</f>
        <v>45384</v>
      </c>
    </row>
    <row r="315" spans="46:86">
      <c r="AT315">
        <f ca="1">IF(ROW()&lt;($C$7+1),"",IFERROR((分析データ!B315-AVERAGE(OFFSET(分析データ!B$1,MAX(1,ROW()-$C$7),0,MIN($C$7,ROW()-1),1)))/STDEV(OFFSET(分析データ!B$1,MAX(1,ROW()-$C$7),0,MIN($C$7,ROW()-1),1)),0))</f>
        <v>1.0374206012445077</v>
      </c>
      <c r="AU315">
        <f t="shared" ca="1" si="112"/>
        <v>0</v>
      </c>
      <c r="AV315" t="str">
        <f ca="1">IF(AU315=1,IF(INDEX(分析データ!$A:$A,ROW()+$C$5)&lt;&gt;"",80000*SIGN(AT315)*(分析データ!B315-INDEX(分析データ!B:B,ROW()+$C$5)),""),"")</f>
        <v/>
      </c>
      <c r="AW315">
        <f t="shared" ca="1" si="113"/>
        <v>0</v>
      </c>
      <c r="AX315">
        <f t="shared" ca="1" si="114"/>
        <v>0</v>
      </c>
      <c r="AY315">
        <f t="shared" ca="1" si="115"/>
        <v>0</v>
      </c>
      <c r="AZ315">
        <f ca="1">IF(ROW()&lt;($C$7+1),"",IFERROR((分析データ!C315-AVERAGE(OFFSET(分析データ!C$1,MAX(1,ROW()-$C$7),0,MIN($C$7,ROW()-1),1)))/STDEV(OFFSET(分析データ!C$1,MAX(1,ROW()-$C$7),0,MIN($C$7,ROW()-1),1)),0))</f>
        <v>-1.4298926891074237</v>
      </c>
      <c r="BA315">
        <f t="shared" ca="1" si="116"/>
        <v>0</v>
      </c>
      <c r="BB315" t="str">
        <f ca="1">IF(BA315=1,IF(INDEX(分析データ!$A:$A,ROW()+$C$5)&lt;&gt;"",60000*SIGN(AZ315)*(分析データ!C315-INDEX(分析データ!C:C,ROW()+$C$5)),""),"")</f>
        <v/>
      </c>
      <c r="BC315">
        <f t="shared" ca="1" si="117"/>
        <v>0</v>
      </c>
      <c r="BD315">
        <f t="shared" ca="1" si="118"/>
        <v>0</v>
      </c>
      <c r="BE315">
        <f t="shared" ca="1" si="119"/>
        <v>0</v>
      </c>
      <c r="BF315">
        <f ca="1">IF(ROW()&lt;($C$7+1),"",IFERROR((分析データ!D315-AVERAGE(OFFSET(分析データ!D$1,MAX(1,ROW()-$C$7),0,MIN($C$7,ROW()-1),1)))/STDEV(OFFSET(分析データ!D$1,MAX(1,ROW()-$C$7),0,MIN($C$7,ROW()-1),1)),0))</f>
        <v>0.51767381389550393</v>
      </c>
      <c r="BG315">
        <f t="shared" ca="1" si="120"/>
        <v>0</v>
      </c>
      <c r="BH315" t="str">
        <f ca="1">IF(BG315=1,IF(INDEX(分析データ!$A:$A,ROW()+$C$5)&lt;&gt;"",50000*SIGN(BF315)*(分析データ!D315-INDEX(分析データ!D:D,ROW()+$C$5)),""),"")</f>
        <v/>
      </c>
      <c r="BI315">
        <f t="shared" ca="1" si="121"/>
        <v>0</v>
      </c>
      <c r="BJ315">
        <f t="shared" ca="1" si="122"/>
        <v>0</v>
      </c>
      <c r="BK315">
        <f t="shared" ca="1" si="123"/>
        <v>0</v>
      </c>
      <c r="BL315">
        <f ca="1">IF(ROW()&lt;($C$7+1),"",IFERROR((分析データ!E315-AVERAGE(OFFSET(分析データ!E$1,MAX(1,ROW()-$C$7),0,MIN($C$7,ROW()-1),1)))/STDEV(OFFSET(分析データ!E$1,MAX(1,ROW()-$C$7),0,MIN($C$7,ROW()-1),1)),0))</f>
        <v>0.69752752695484366</v>
      </c>
      <c r="BM315">
        <f t="shared" ca="1" si="124"/>
        <v>0</v>
      </c>
      <c r="BN315" t="str">
        <f ca="1">IF(BM315=1,IF(INDEX(分析データ!$A:$A,ROW()+$C$5)&lt;&gt;"",40000*SIGN(BL315)*(分析データ!E315-INDEX(分析データ!E:E,ROW()+$C$5)),""),"")</f>
        <v/>
      </c>
      <c r="BO315">
        <f t="shared" ca="1" si="125"/>
        <v>280000.00000000291</v>
      </c>
      <c r="BP315">
        <f t="shared" ca="1" si="126"/>
        <v>280000.00000000291</v>
      </c>
      <c r="BQ315">
        <f t="shared" ca="1" si="127"/>
        <v>0</v>
      </c>
      <c r="BR315">
        <f ca="1">IF(ROW()&lt;($C$7+1),"",IFERROR((分析データ!F315-AVERAGE(OFFSET(分析データ!F$1,MAX(1,ROW()-$C$7),0,MIN($C$7,ROW()-1),1)))/STDEV(OFFSET(分析データ!F$1,MAX(1,ROW()-$C$7),0,MIN($C$7,ROW()-1),1)),0))</f>
        <v>-1.3514171998992668</v>
      </c>
      <c r="BS315">
        <f t="shared" ca="1" si="128"/>
        <v>0</v>
      </c>
      <c r="BT315" t="str">
        <f ca="1">IF(BS315=1,IF(INDEX(分析データ!$A:$A,ROW()+$C$5)&lt;&gt;"",40000*SIGN(BR315)*(分析データ!F315-INDEX(分析データ!F:F,ROW()+$C$5)),""),"")</f>
        <v/>
      </c>
      <c r="BU315">
        <f t="shared" ca="1" si="129"/>
        <v>0</v>
      </c>
      <c r="BV315">
        <f t="shared" ca="1" si="130"/>
        <v>0</v>
      </c>
      <c r="BW315">
        <f t="shared" ca="1" si="131"/>
        <v>0</v>
      </c>
      <c r="BX315">
        <f ca="1">IF(ROW()&lt;($C$7+1),"",IFERROR((分析データ!G315-AVERAGE(OFFSET(分析データ!G$1,MAX(1,ROW()-$C$7),0,MIN($C$7,ROW()-1),1)))/STDEV(OFFSET(分析データ!G$1,MAX(1,ROW()-$C$7),0,MIN($C$7,ROW()-1),1)),0))</f>
        <v>1.1768378637222365</v>
      </c>
      <c r="BY315">
        <f t="shared" ca="1" si="132"/>
        <v>0</v>
      </c>
      <c r="BZ315" t="str">
        <f ca="1">IF(BY315=1,IF(INDEX(分析データ!$A:$A,ROW()+$C$5)&lt;&gt;"",40000*SIGN(BX315)*(分析データ!G315-INDEX(分析データ!G:G,ROW()+$C$5)),""),"")</f>
        <v/>
      </c>
      <c r="CA315">
        <f t="shared" ca="1" si="133"/>
        <v>3095574.2871093722</v>
      </c>
      <c r="CB315">
        <f t="shared" ca="1" si="134"/>
        <v>3095574.2871093722</v>
      </c>
      <c r="CC315">
        <f t="shared" ca="1" si="135"/>
        <v>0</v>
      </c>
      <c r="CD315">
        <f t="shared" ca="1" si="136"/>
        <v>0</v>
      </c>
      <c r="CE315">
        <f t="shared" ca="1" si="137"/>
        <v>3375574.287109375</v>
      </c>
      <c r="CF315">
        <f t="shared" ca="1" si="138"/>
        <v>3375574.287109375</v>
      </c>
      <c r="CG315">
        <f t="shared" ca="1" si="139"/>
        <v>0</v>
      </c>
      <c r="CH315" s="10">
        <f>分析データ!A315</f>
        <v>45385</v>
      </c>
    </row>
    <row r="316" spans="46:86">
      <c r="AT316">
        <f ca="1">IF(ROW()&lt;($C$7+1),"",IFERROR((分析データ!B316-AVERAGE(OFFSET(分析データ!B$1,MAX(1,ROW()-$C$7),0,MIN($C$7,ROW()-1),1)))/STDEV(OFFSET(分析データ!B$1,MAX(1,ROW()-$C$7),0,MIN($C$7,ROW()-1),1)),0))</f>
        <v>0.88649130017624822</v>
      </c>
      <c r="AU316">
        <f t="shared" ca="1" si="112"/>
        <v>0</v>
      </c>
      <c r="AV316" t="str">
        <f ca="1">IF(AU316=1,IF(INDEX(分析データ!$A:$A,ROW()+$C$5)&lt;&gt;"",80000*SIGN(AT316)*(分析データ!B316-INDEX(分析データ!B:B,ROW()+$C$5)),""),"")</f>
        <v/>
      </c>
      <c r="AW316">
        <f t="shared" ca="1" si="113"/>
        <v>0</v>
      </c>
      <c r="AX316">
        <f t="shared" ca="1" si="114"/>
        <v>0</v>
      </c>
      <c r="AY316">
        <f t="shared" ca="1" si="115"/>
        <v>0</v>
      </c>
      <c r="AZ316">
        <f ca="1">IF(ROW()&lt;($C$7+1),"",IFERROR((分析データ!C316-AVERAGE(OFFSET(分析データ!C$1,MAX(1,ROW()-$C$7),0,MIN($C$7,ROW()-1),1)))/STDEV(OFFSET(分析データ!C$1,MAX(1,ROW()-$C$7),0,MIN($C$7,ROW()-1),1)),0))</f>
        <v>-1.2386568397737638</v>
      </c>
      <c r="BA316">
        <f t="shared" ca="1" si="116"/>
        <v>0</v>
      </c>
      <c r="BB316" t="str">
        <f ca="1">IF(BA316=1,IF(INDEX(分析データ!$A:$A,ROW()+$C$5)&lt;&gt;"",60000*SIGN(AZ316)*(分析データ!C316-INDEX(分析データ!C:C,ROW()+$C$5)),""),"")</f>
        <v/>
      </c>
      <c r="BC316">
        <f t="shared" ca="1" si="117"/>
        <v>0</v>
      </c>
      <c r="BD316">
        <f t="shared" ca="1" si="118"/>
        <v>0</v>
      </c>
      <c r="BE316">
        <f t="shared" ca="1" si="119"/>
        <v>0</v>
      </c>
      <c r="BF316">
        <f ca="1">IF(ROW()&lt;($C$7+1),"",IFERROR((分析データ!D316-AVERAGE(OFFSET(分析データ!D$1,MAX(1,ROW()-$C$7),0,MIN($C$7,ROW()-1),1)))/STDEV(OFFSET(分析データ!D$1,MAX(1,ROW()-$C$7),0,MIN($C$7,ROW()-1),1)),0))</f>
        <v>0.28133582883996611</v>
      </c>
      <c r="BG316">
        <f t="shared" ca="1" si="120"/>
        <v>0</v>
      </c>
      <c r="BH316" t="str">
        <f ca="1">IF(BG316=1,IF(INDEX(分析データ!$A:$A,ROW()+$C$5)&lt;&gt;"",50000*SIGN(BF316)*(分析データ!D316-INDEX(分析データ!D:D,ROW()+$C$5)),""),"")</f>
        <v/>
      </c>
      <c r="BI316">
        <f t="shared" ca="1" si="121"/>
        <v>0</v>
      </c>
      <c r="BJ316">
        <f t="shared" ca="1" si="122"/>
        <v>0</v>
      </c>
      <c r="BK316">
        <f t="shared" ca="1" si="123"/>
        <v>0</v>
      </c>
      <c r="BL316">
        <f ca="1">IF(ROW()&lt;($C$7+1),"",IFERROR((分析データ!E316-AVERAGE(OFFSET(分析データ!E$1,MAX(1,ROW()-$C$7),0,MIN($C$7,ROW()-1),1)))/STDEV(OFFSET(分析データ!E$1,MAX(1,ROW()-$C$7),0,MIN($C$7,ROW()-1),1)),0))</f>
        <v>0.59613325441809339</v>
      </c>
      <c r="BM316">
        <f t="shared" ca="1" si="124"/>
        <v>0</v>
      </c>
      <c r="BN316" t="str">
        <f ca="1">IF(BM316=1,IF(INDEX(分析データ!$A:$A,ROW()+$C$5)&lt;&gt;"",40000*SIGN(BL316)*(分析データ!E316-INDEX(分析データ!E:E,ROW()+$C$5)),""),"")</f>
        <v/>
      </c>
      <c r="BO316">
        <f t="shared" ca="1" si="125"/>
        <v>280000.00000000291</v>
      </c>
      <c r="BP316">
        <f t="shared" ca="1" si="126"/>
        <v>280000.00000000291</v>
      </c>
      <c r="BQ316">
        <f t="shared" ca="1" si="127"/>
        <v>0</v>
      </c>
      <c r="BR316">
        <f ca="1">IF(ROW()&lt;($C$7+1),"",IFERROR((分析データ!F316-AVERAGE(OFFSET(分析データ!F$1,MAX(1,ROW()-$C$7),0,MIN($C$7,ROW()-1),1)))/STDEV(OFFSET(分析データ!F$1,MAX(1,ROW()-$C$7),0,MIN($C$7,ROW()-1),1)),0))</f>
        <v>-1.2604492151198354</v>
      </c>
      <c r="BS316">
        <f t="shared" ca="1" si="128"/>
        <v>0</v>
      </c>
      <c r="BT316" t="str">
        <f ca="1">IF(BS316=1,IF(INDEX(分析データ!$A:$A,ROW()+$C$5)&lt;&gt;"",40000*SIGN(BR316)*(分析データ!F316-INDEX(分析データ!F:F,ROW()+$C$5)),""),"")</f>
        <v/>
      </c>
      <c r="BU316">
        <f t="shared" ca="1" si="129"/>
        <v>0</v>
      </c>
      <c r="BV316">
        <f t="shared" ca="1" si="130"/>
        <v>0</v>
      </c>
      <c r="BW316">
        <f t="shared" ca="1" si="131"/>
        <v>0</v>
      </c>
      <c r="BX316">
        <f ca="1">IF(ROW()&lt;($C$7+1),"",IFERROR((分析データ!G316-AVERAGE(OFFSET(分析データ!G$1,MAX(1,ROW()-$C$7),0,MIN($C$7,ROW()-1),1)))/STDEV(OFFSET(分析データ!G$1,MAX(1,ROW()-$C$7),0,MIN($C$7,ROW()-1),1)),0))</f>
        <v>1.2816684679993686</v>
      </c>
      <c r="BY316">
        <f t="shared" ca="1" si="132"/>
        <v>0</v>
      </c>
      <c r="BZ316" t="str">
        <f ca="1">IF(BY316=1,IF(INDEX(分析データ!$A:$A,ROW()+$C$5)&lt;&gt;"",40000*SIGN(BX316)*(分析データ!G316-INDEX(分析データ!G:G,ROW()+$C$5)),""),"")</f>
        <v/>
      </c>
      <c r="CA316">
        <f t="shared" ca="1" si="133"/>
        <v>3095574.2871093722</v>
      </c>
      <c r="CB316">
        <f t="shared" ca="1" si="134"/>
        <v>3095574.2871093722</v>
      </c>
      <c r="CC316">
        <f t="shared" ca="1" si="135"/>
        <v>0</v>
      </c>
      <c r="CD316">
        <f t="shared" ca="1" si="136"/>
        <v>0</v>
      </c>
      <c r="CE316">
        <f t="shared" ca="1" si="137"/>
        <v>3375574.287109375</v>
      </c>
      <c r="CF316">
        <f t="shared" ca="1" si="138"/>
        <v>3375574.287109375</v>
      </c>
      <c r="CG316">
        <f t="shared" ca="1" si="139"/>
        <v>0</v>
      </c>
      <c r="CH316" s="10">
        <f>分析データ!A316</f>
        <v>45386</v>
      </c>
    </row>
    <row r="317" spans="46:86">
      <c r="AT317">
        <f ca="1">IF(ROW()&lt;($C$7+1),"",IFERROR((分析データ!B317-AVERAGE(OFFSET(分析データ!B$1,MAX(1,ROW()-$C$7),0,MIN($C$7,ROW()-1),1)))/STDEV(OFFSET(分析データ!B$1,MAX(1,ROW()-$C$7),0,MIN($C$7,ROW()-1),1)),0))</f>
        <v>0.92847680264692611</v>
      </c>
      <c r="AU317">
        <f t="shared" ca="1" si="112"/>
        <v>0</v>
      </c>
      <c r="AV317" t="str">
        <f ca="1">IF(AU317=1,IF(INDEX(分析データ!$A:$A,ROW()+$C$5)&lt;&gt;"",80000*SIGN(AT317)*(分析データ!B317-INDEX(分析データ!B:B,ROW()+$C$5)),""),"")</f>
        <v/>
      </c>
      <c r="AW317">
        <f t="shared" ca="1" si="113"/>
        <v>0</v>
      </c>
      <c r="AX317">
        <f t="shared" ca="1" si="114"/>
        <v>0</v>
      </c>
      <c r="AY317">
        <f t="shared" ca="1" si="115"/>
        <v>0</v>
      </c>
      <c r="AZ317">
        <f ca="1">IF(ROW()&lt;($C$7+1),"",IFERROR((分析データ!C317-AVERAGE(OFFSET(分析データ!C$1,MAX(1,ROW()-$C$7),0,MIN($C$7,ROW()-1),1)))/STDEV(OFFSET(分析データ!C$1,MAX(1,ROW()-$C$7),0,MIN($C$7,ROW()-1),1)),0))</f>
        <v>-1.5388481370433345</v>
      </c>
      <c r="BA317">
        <f t="shared" ca="1" si="116"/>
        <v>0</v>
      </c>
      <c r="BB317" t="str">
        <f ca="1">IF(BA317=1,IF(INDEX(分析データ!$A:$A,ROW()+$C$5)&lt;&gt;"",60000*SIGN(AZ317)*(分析データ!C317-INDEX(分析データ!C:C,ROW()+$C$5)),""),"")</f>
        <v/>
      </c>
      <c r="BC317">
        <f t="shared" ca="1" si="117"/>
        <v>0</v>
      </c>
      <c r="BD317">
        <f t="shared" ca="1" si="118"/>
        <v>0</v>
      </c>
      <c r="BE317">
        <f t="shared" ca="1" si="119"/>
        <v>0</v>
      </c>
      <c r="BF317">
        <f ca="1">IF(ROW()&lt;($C$7+1),"",IFERROR((分析データ!D317-AVERAGE(OFFSET(分析データ!D$1,MAX(1,ROW()-$C$7),0,MIN($C$7,ROW()-1),1)))/STDEV(OFFSET(分析データ!D$1,MAX(1,ROW()-$C$7),0,MIN($C$7,ROW()-1),1)),0))</f>
        <v>0.61891487786586696</v>
      </c>
      <c r="BG317">
        <f t="shared" ca="1" si="120"/>
        <v>0</v>
      </c>
      <c r="BH317" t="str">
        <f ca="1">IF(BG317=1,IF(INDEX(分析データ!$A:$A,ROW()+$C$5)&lt;&gt;"",50000*SIGN(BF317)*(分析データ!D317-INDEX(分析データ!D:D,ROW()+$C$5)),""),"")</f>
        <v/>
      </c>
      <c r="BI317">
        <f t="shared" ca="1" si="121"/>
        <v>0</v>
      </c>
      <c r="BJ317">
        <f t="shared" ca="1" si="122"/>
        <v>0</v>
      </c>
      <c r="BK317">
        <f t="shared" ca="1" si="123"/>
        <v>0</v>
      </c>
      <c r="BL317">
        <f ca="1">IF(ROW()&lt;($C$7+1),"",IFERROR((分析データ!E317-AVERAGE(OFFSET(分析データ!E$1,MAX(1,ROW()-$C$7),0,MIN($C$7,ROW()-1),1)))/STDEV(OFFSET(分析データ!E$1,MAX(1,ROW()-$C$7),0,MIN($C$7,ROW()-1),1)),0))</f>
        <v>0.59379921077079423</v>
      </c>
      <c r="BM317">
        <f t="shared" ca="1" si="124"/>
        <v>0</v>
      </c>
      <c r="BN317" t="str">
        <f ca="1">IF(BM317=1,IF(INDEX(分析データ!$A:$A,ROW()+$C$5)&lt;&gt;"",40000*SIGN(BL317)*(分析データ!E317-INDEX(分析データ!E:E,ROW()+$C$5)),""),"")</f>
        <v/>
      </c>
      <c r="BO317">
        <f t="shared" ca="1" si="125"/>
        <v>280000.00000000291</v>
      </c>
      <c r="BP317">
        <f t="shared" ca="1" si="126"/>
        <v>280000.00000000291</v>
      </c>
      <c r="BQ317">
        <f t="shared" ca="1" si="127"/>
        <v>0</v>
      </c>
      <c r="BR317">
        <f ca="1">IF(ROW()&lt;($C$7+1),"",IFERROR((分析データ!F317-AVERAGE(OFFSET(分析データ!F$1,MAX(1,ROW()-$C$7),0,MIN($C$7,ROW()-1),1)))/STDEV(OFFSET(分析データ!F$1,MAX(1,ROW()-$C$7),0,MIN($C$7,ROW()-1),1)),0))</f>
        <v>-1.6047572844828948</v>
      </c>
      <c r="BS317">
        <f t="shared" ca="1" si="128"/>
        <v>0</v>
      </c>
      <c r="BT317" t="str">
        <f ca="1">IF(BS317=1,IF(INDEX(分析データ!$A:$A,ROW()+$C$5)&lt;&gt;"",40000*SIGN(BR317)*(分析データ!F317-INDEX(分析データ!F:F,ROW()+$C$5)),""),"")</f>
        <v/>
      </c>
      <c r="BU317">
        <f t="shared" ca="1" si="129"/>
        <v>0</v>
      </c>
      <c r="BV317">
        <f t="shared" ca="1" si="130"/>
        <v>0</v>
      </c>
      <c r="BW317">
        <f t="shared" ca="1" si="131"/>
        <v>0</v>
      </c>
      <c r="BX317">
        <f ca="1">IF(ROW()&lt;($C$7+1),"",IFERROR((分析データ!G317-AVERAGE(OFFSET(分析データ!G$1,MAX(1,ROW()-$C$7),0,MIN($C$7,ROW()-1),1)))/STDEV(OFFSET(分析データ!G$1,MAX(1,ROW()-$C$7),0,MIN($C$7,ROW()-1),1)),0))</f>
        <v>1.3766334840215104</v>
      </c>
      <c r="BY317">
        <f t="shared" ca="1" si="132"/>
        <v>0</v>
      </c>
      <c r="BZ317" t="str">
        <f ca="1">IF(BY317=1,IF(INDEX(分析データ!$A:$A,ROW()+$C$5)&lt;&gt;"",40000*SIGN(BX317)*(分析データ!G317-INDEX(分析データ!G:G,ROW()+$C$5)),""),"")</f>
        <v/>
      </c>
      <c r="CA317">
        <f t="shared" ca="1" si="133"/>
        <v>3095574.2871093722</v>
      </c>
      <c r="CB317">
        <f t="shared" ca="1" si="134"/>
        <v>3095574.2871093722</v>
      </c>
      <c r="CC317">
        <f t="shared" ca="1" si="135"/>
        <v>0</v>
      </c>
      <c r="CD317">
        <f t="shared" ca="1" si="136"/>
        <v>0</v>
      </c>
      <c r="CE317">
        <f t="shared" ca="1" si="137"/>
        <v>3375574.287109375</v>
      </c>
      <c r="CF317">
        <f t="shared" ca="1" si="138"/>
        <v>3375574.287109375</v>
      </c>
      <c r="CG317">
        <f t="shared" ca="1" si="139"/>
        <v>0</v>
      </c>
      <c r="CH317" s="10">
        <f>分析データ!A317</f>
        <v>45387</v>
      </c>
    </row>
    <row r="318" spans="46:86">
      <c r="AT318">
        <f ca="1">IF(ROW()&lt;($C$7+1),"",IFERROR((分析データ!B318-AVERAGE(OFFSET(分析データ!B$1,MAX(1,ROW()-$C$7),0,MIN($C$7,ROW()-1),1)))/STDEV(OFFSET(分析データ!B$1,MAX(1,ROW()-$C$7),0,MIN($C$7,ROW()-1),1)),0))</f>
        <v>0.92212906407448314</v>
      </c>
      <c r="AU318">
        <f t="shared" ca="1" si="112"/>
        <v>0</v>
      </c>
      <c r="AV318" t="str">
        <f ca="1">IF(AU318=1,IF(INDEX(分析データ!$A:$A,ROW()+$C$5)&lt;&gt;"",80000*SIGN(AT318)*(分析データ!B318-INDEX(分析データ!B:B,ROW()+$C$5)),""),"")</f>
        <v/>
      </c>
      <c r="AW318">
        <f t="shared" ca="1" si="113"/>
        <v>0</v>
      </c>
      <c r="AX318">
        <f t="shared" ca="1" si="114"/>
        <v>0</v>
      </c>
      <c r="AY318">
        <f t="shared" ca="1" si="115"/>
        <v>0</v>
      </c>
      <c r="AZ318">
        <f ca="1">IF(ROW()&lt;($C$7+1),"",IFERROR((分析データ!C318-AVERAGE(OFFSET(分析データ!C$1,MAX(1,ROW()-$C$7),0,MIN($C$7,ROW()-1),1)))/STDEV(OFFSET(分析データ!C$1,MAX(1,ROW()-$C$7),0,MIN($C$7,ROW()-1),1)),0))</f>
        <v>-1.4466762183600754</v>
      </c>
      <c r="BA318">
        <f t="shared" ca="1" si="116"/>
        <v>0</v>
      </c>
      <c r="BB318" t="str">
        <f ca="1">IF(BA318=1,IF(INDEX(分析データ!$A:$A,ROW()+$C$5)&lt;&gt;"",60000*SIGN(AZ318)*(分析データ!C318-INDEX(分析データ!C:C,ROW()+$C$5)),""),"")</f>
        <v/>
      </c>
      <c r="BC318">
        <f t="shared" ca="1" si="117"/>
        <v>0</v>
      </c>
      <c r="BD318">
        <f t="shared" ca="1" si="118"/>
        <v>0</v>
      </c>
      <c r="BE318">
        <f t="shared" ca="1" si="119"/>
        <v>0</v>
      </c>
      <c r="BF318">
        <f ca="1">IF(ROW()&lt;($C$7+1),"",IFERROR((分析データ!D318-AVERAGE(OFFSET(分析データ!D$1,MAX(1,ROW()-$C$7),0,MIN($C$7,ROW()-1),1)))/STDEV(OFFSET(分析データ!D$1,MAX(1,ROW()-$C$7),0,MIN($C$7,ROW()-1),1)),0))</f>
        <v>0.64896164063902984</v>
      </c>
      <c r="BG318">
        <f t="shared" ca="1" si="120"/>
        <v>0</v>
      </c>
      <c r="BH318" t="str">
        <f ca="1">IF(BG318=1,IF(INDEX(分析データ!$A:$A,ROW()+$C$5)&lt;&gt;"",50000*SIGN(BF318)*(分析データ!D318-INDEX(分析データ!D:D,ROW()+$C$5)),""),"")</f>
        <v/>
      </c>
      <c r="BI318">
        <f t="shared" ca="1" si="121"/>
        <v>0</v>
      </c>
      <c r="BJ318">
        <f t="shared" ca="1" si="122"/>
        <v>0</v>
      </c>
      <c r="BK318">
        <f t="shared" ca="1" si="123"/>
        <v>0</v>
      </c>
      <c r="BL318">
        <f ca="1">IF(ROW()&lt;($C$7+1),"",IFERROR((分析データ!E318-AVERAGE(OFFSET(分析データ!E$1,MAX(1,ROW()-$C$7),0,MIN($C$7,ROW()-1),1)))/STDEV(OFFSET(分析データ!E$1,MAX(1,ROW()-$C$7),0,MIN($C$7,ROW()-1),1)),0))</f>
        <v>0.39741734117618432</v>
      </c>
      <c r="BM318">
        <f t="shared" ca="1" si="124"/>
        <v>0</v>
      </c>
      <c r="BN318" t="str">
        <f ca="1">IF(BM318=1,IF(INDEX(分析データ!$A:$A,ROW()+$C$5)&lt;&gt;"",40000*SIGN(BL318)*(分析データ!E318-INDEX(分析データ!E:E,ROW()+$C$5)),""),"")</f>
        <v/>
      </c>
      <c r="BO318">
        <f t="shared" ca="1" si="125"/>
        <v>280000.00000000291</v>
      </c>
      <c r="BP318">
        <f t="shared" ca="1" si="126"/>
        <v>280000.00000000291</v>
      </c>
      <c r="BQ318">
        <f t="shared" ca="1" si="127"/>
        <v>0</v>
      </c>
      <c r="BR318">
        <f ca="1">IF(ROW()&lt;($C$7+1),"",IFERROR((分析データ!F318-AVERAGE(OFFSET(分析データ!F$1,MAX(1,ROW()-$C$7),0,MIN($C$7,ROW()-1),1)))/STDEV(OFFSET(分析データ!F$1,MAX(1,ROW()-$C$7),0,MIN($C$7,ROW()-1),1)),0))</f>
        <v>-1.5812553951782573</v>
      </c>
      <c r="BS318">
        <f t="shared" ca="1" si="128"/>
        <v>0</v>
      </c>
      <c r="BT318" t="str">
        <f ca="1">IF(BS318=1,IF(INDEX(分析データ!$A:$A,ROW()+$C$5)&lt;&gt;"",40000*SIGN(BR318)*(分析データ!F318-INDEX(分析データ!F:F,ROW()+$C$5)),""),"")</f>
        <v/>
      </c>
      <c r="BU318">
        <f t="shared" ca="1" si="129"/>
        <v>0</v>
      </c>
      <c r="BV318">
        <f t="shared" ca="1" si="130"/>
        <v>0</v>
      </c>
      <c r="BW318">
        <f t="shared" ca="1" si="131"/>
        <v>0</v>
      </c>
      <c r="BX318">
        <f ca="1">IF(ROW()&lt;($C$7+1),"",IFERROR((分析データ!G318-AVERAGE(OFFSET(分析データ!G$1,MAX(1,ROW()-$C$7),0,MIN($C$7,ROW()-1),1)))/STDEV(OFFSET(分析データ!G$1,MAX(1,ROW()-$C$7),0,MIN($C$7,ROW()-1),1)),0))</f>
        <v>1.4630516363949417</v>
      </c>
      <c r="BY318">
        <f t="shared" ca="1" si="132"/>
        <v>0</v>
      </c>
      <c r="BZ318" t="str">
        <f ca="1">IF(BY318=1,IF(INDEX(分析データ!$A:$A,ROW()+$C$5)&lt;&gt;"",40000*SIGN(BX318)*(分析データ!G318-INDEX(分析データ!G:G,ROW()+$C$5)),""),"")</f>
        <v/>
      </c>
      <c r="CA318">
        <f t="shared" ca="1" si="133"/>
        <v>3095574.2871093722</v>
      </c>
      <c r="CB318">
        <f t="shared" ca="1" si="134"/>
        <v>3095574.2871093722</v>
      </c>
      <c r="CC318">
        <f t="shared" ca="1" si="135"/>
        <v>0</v>
      </c>
      <c r="CD318">
        <f t="shared" ca="1" si="136"/>
        <v>0</v>
      </c>
      <c r="CE318">
        <f t="shared" ca="1" si="137"/>
        <v>3375574.287109375</v>
      </c>
      <c r="CF318">
        <f t="shared" ca="1" si="138"/>
        <v>3375574.287109375</v>
      </c>
      <c r="CG318">
        <f t="shared" ca="1" si="139"/>
        <v>0</v>
      </c>
      <c r="CH318" s="10">
        <f>分析データ!A318</f>
        <v>45390</v>
      </c>
    </row>
    <row r="319" spans="46:86">
      <c r="AT319">
        <f ca="1">IF(ROW()&lt;($C$7+1),"",IFERROR((分析データ!B319-AVERAGE(OFFSET(分析データ!B$1,MAX(1,ROW()-$C$7),0,MIN($C$7,ROW()-1),1)))/STDEV(OFFSET(分析データ!B$1,MAX(1,ROW()-$C$7),0,MIN($C$7,ROW()-1),1)),0))</f>
        <v>0.7725706887484064</v>
      </c>
      <c r="AU319">
        <f t="shared" ca="1" si="112"/>
        <v>0</v>
      </c>
      <c r="AV319" t="str">
        <f ca="1">IF(AU319=1,IF(INDEX(分析データ!$A:$A,ROW()+$C$5)&lt;&gt;"",80000*SIGN(AT319)*(分析データ!B319-INDEX(分析データ!B:B,ROW()+$C$5)),""),"")</f>
        <v/>
      </c>
      <c r="AW319">
        <f t="shared" ca="1" si="113"/>
        <v>0</v>
      </c>
      <c r="AX319">
        <f t="shared" ca="1" si="114"/>
        <v>0</v>
      </c>
      <c r="AY319">
        <f t="shared" ca="1" si="115"/>
        <v>0</v>
      </c>
      <c r="AZ319">
        <f ca="1">IF(ROW()&lt;($C$7+1),"",IFERROR((分析データ!C319-AVERAGE(OFFSET(分析データ!C$1,MAX(1,ROW()-$C$7),0,MIN($C$7,ROW()-1),1)))/STDEV(OFFSET(分析データ!C$1,MAX(1,ROW()-$C$7),0,MIN($C$7,ROW()-1),1)),0))</f>
        <v>-1.6443536545649415</v>
      </c>
      <c r="BA319">
        <f t="shared" ca="1" si="116"/>
        <v>0</v>
      </c>
      <c r="BB319" t="str">
        <f ca="1">IF(BA319=1,IF(INDEX(分析データ!$A:$A,ROW()+$C$5)&lt;&gt;"",60000*SIGN(AZ319)*(分析データ!C319-INDEX(分析データ!C:C,ROW()+$C$5)),""),"")</f>
        <v/>
      </c>
      <c r="BC319">
        <f t="shared" ca="1" si="117"/>
        <v>0</v>
      </c>
      <c r="BD319">
        <f t="shared" ca="1" si="118"/>
        <v>0</v>
      </c>
      <c r="BE319">
        <f t="shared" ca="1" si="119"/>
        <v>0</v>
      </c>
      <c r="BF319">
        <f ca="1">IF(ROW()&lt;($C$7+1),"",IFERROR((分析データ!D319-AVERAGE(OFFSET(分析データ!D$1,MAX(1,ROW()-$C$7),0,MIN($C$7,ROW()-1),1)))/STDEV(OFFSET(分析データ!D$1,MAX(1,ROW()-$C$7),0,MIN($C$7,ROW()-1),1)),0))</f>
        <v>0.42994860478609415</v>
      </c>
      <c r="BG319">
        <f t="shared" ca="1" si="120"/>
        <v>0</v>
      </c>
      <c r="BH319" t="str">
        <f ca="1">IF(BG319=1,IF(INDEX(分析データ!$A:$A,ROW()+$C$5)&lt;&gt;"",50000*SIGN(BF319)*(分析データ!D319-INDEX(分析データ!D:D,ROW()+$C$5)),""),"")</f>
        <v/>
      </c>
      <c r="BI319">
        <f t="shared" ca="1" si="121"/>
        <v>0</v>
      </c>
      <c r="BJ319">
        <f t="shared" ca="1" si="122"/>
        <v>0</v>
      </c>
      <c r="BK319">
        <f t="shared" ca="1" si="123"/>
        <v>0</v>
      </c>
      <c r="BL319">
        <f ca="1">IF(ROW()&lt;($C$7+1),"",IFERROR((分析データ!E319-AVERAGE(OFFSET(分析データ!E$1,MAX(1,ROW()-$C$7),0,MIN($C$7,ROW()-1),1)))/STDEV(OFFSET(分析データ!E$1,MAX(1,ROW()-$C$7),0,MIN($C$7,ROW()-1),1)),0))</f>
        <v>0.39500837807354666</v>
      </c>
      <c r="BM319">
        <f t="shared" ca="1" si="124"/>
        <v>0</v>
      </c>
      <c r="BN319" t="str">
        <f ca="1">IF(BM319=1,IF(INDEX(分析データ!$A:$A,ROW()+$C$5)&lt;&gt;"",40000*SIGN(BL319)*(分析データ!E319-INDEX(分析データ!E:E,ROW()+$C$5)),""),"")</f>
        <v/>
      </c>
      <c r="BO319">
        <f t="shared" ca="1" si="125"/>
        <v>280000.00000000291</v>
      </c>
      <c r="BP319">
        <f t="shared" ca="1" si="126"/>
        <v>280000.00000000291</v>
      </c>
      <c r="BQ319">
        <f t="shared" ca="1" si="127"/>
        <v>0</v>
      </c>
      <c r="BR319">
        <f ca="1">IF(ROW()&lt;($C$7+1),"",IFERROR((分析データ!F319-AVERAGE(OFFSET(分析データ!F$1,MAX(1,ROW()-$C$7),0,MIN($C$7,ROW()-1),1)))/STDEV(OFFSET(分析データ!F$1,MAX(1,ROW()-$C$7),0,MIN($C$7,ROW()-1),1)),0))</f>
        <v>-1.3554235617081616</v>
      </c>
      <c r="BS319">
        <f t="shared" ca="1" si="128"/>
        <v>0</v>
      </c>
      <c r="BT319" t="str">
        <f ca="1">IF(BS319=1,IF(INDEX(分析データ!$A:$A,ROW()+$C$5)&lt;&gt;"",40000*SIGN(BR319)*(分析データ!F319-INDEX(分析データ!F:F,ROW()+$C$5)),""),"")</f>
        <v/>
      </c>
      <c r="BU319">
        <f t="shared" ca="1" si="129"/>
        <v>0</v>
      </c>
      <c r="BV319">
        <f t="shared" ca="1" si="130"/>
        <v>0</v>
      </c>
      <c r="BW319">
        <f t="shared" ca="1" si="131"/>
        <v>0</v>
      </c>
      <c r="BX319">
        <f ca="1">IF(ROW()&lt;($C$7+1),"",IFERROR((分析データ!G319-AVERAGE(OFFSET(分析データ!G$1,MAX(1,ROW()-$C$7),0,MIN($C$7,ROW()-1),1)))/STDEV(OFFSET(分析データ!G$1,MAX(1,ROW()-$C$7),0,MIN($C$7,ROW()-1),1)),0))</f>
        <v>1.2772690023349886</v>
      </c>
      <c r="BY319">
        <f t="shared" ca="1" si="132"/>
        <v>0</v>
      </c>
      <c r="BZ319" t="str">
        <f ca="1">IF(BY319=1,IF(INDEX(分析データ!$A:$A,ROW()+$C$5)&lt;&gt;"",40000*SIGN(BX319)*(分析データ!G319-INDEX(分析データ!G:G,ROW()+$C$5)),""),"")</f>
        <v/>
      </c>
      <c r="CA319">
        <f t="shared" ca="1" si="133"/>
        <v>3095574.2871093722</v>
      </c>
      <c r="CB319">
        <f t="shared" ca="1" si="134"/>
        <v>3095574.2871093722</v>
      </c>
      <c r="CC319">
        <f t="shared" ca="1" si="135"/>
        <v>0</v>
      </c>
      <c r="CD319">
        <f t="shared" ca="1" si="136"/>
        <v>0</v>
      </c>
      <c r="CE319">
        <f t="shared" ca="1" si="137"/>
        <v>3375574.287109375</v>
      </c>
      <c r="CF319">
        <f t="shared" ca="1" si="138"/>
        <v>3375574.287109375</v>
      </c>
      <c r="CG319">
        <f t="shared" ca="1" si="139"/>
        <v>0</v>
      </c>
      <c r="CH319" s="10">
        <f>分析データ!A319</f>
        <v>45391</v>
      </c>
    </row>
    <row r="320" spans="46:86">
      <c r="AT320">
        <f ca="1">IF(ROW()&lt;($C$7+1),"",IFERROR((分析データ!B320-AVERAGE(OFFSET(分析データ!B$1,MAX(1,ROW()-$C$7),0,MIN($C$7,ROW()-1),1)))/STDEV(OFFSET(分析データ!B$1,MAX(1,ROW()-$C$7),0,MIN($C$7,ROW()-1),1)),0))</f>
        <v>0.8145410668077443</v>
      </c>
      <c r="AU320">
        <f t="shared" ca="1" si="112"/>
        <v>0</v>
      </c>
      <c r="AV320" t="str">
        <f ca="1">IF(AU320=1,IF(INDEX(分析データ!$A:$A,ROW()+$C$5)&lt;&gt;"",80000*SIGN(AT320)*(分析データ!B320-INDEX(分析データ!B:B,ROW()+$C$5)),""),"")</f>
        <v/>
      </c>
      <c r="AW320">
        <f t="shared" ca="1" si="113"/>
        <v>0</v>
      </c>
      <c r="AX320">
        <f t="shared" ca="1" si="114"/>
        <v>0</v>
      </c>
      <c r="AY320">
        <f t="shared" ca="1" si="115"/>
        <v>0</v>
      </c>
      <c r="AZ320">
        <f ca="1">IF(ROW()&lt;($C$7+1),"",IFERROR((分析データ!C320-AVERAGE(OFFSET(分析データ!C$1,MAX(1,ROW()-$C$7),0,MIN($C$7,ROW()-1),1)))/STDEV(OFFSET(分析データ!C$1,MAX(1,ROW()-$C$7),0,MIN($C$7,ROW()-1),1)),0))</f>
        <v>-1.6395659288716919</v>
      </c>
      <c r="BA320">
        <f t="shared" ca="1" si="116"/>
        <v>0</v>
      </c>
      <c r="BB320" t="str">
        <f ca="1">IF(BA320=1,IF(INDEX(分析データ!$A:$A,ROW()+$C$5)&lt;&gt;"",60000*SIGN(AZ320)*(分析データ!C320-INDEX(分析データ!C:C,ROW()+$C$5)),""),"")</f>
        <v/>
      </c>
      <c r="BC320">
        <f t="shared" ca="1" si="117"/>
        <v>0</v>
      </c>
      <c r="BD320">
        <f t="shared" ca="1" si="118"/>
        <v>0</v>
      </c>
      <c r="BE320">
        <f t="shared" ca="1" si="119"/>
        <v>0</v>
      </c>
      <c r="BF320">
        <f ca="1">IF(ROW()&lt;($C$7+1),"",IFERROR((分析データ!D320-AVERAGE(OFFSET(分析データ!D$1,MAX(1,ROW()-$C$7),0,MIN($C$7,ROW()-1),1)))/STDEV(OFFSET(分析データ!D$1,MAX(1,ROW()-$C$7),0,MIN($C$7,ROW()-1),1)),0))</f>
        <v>1.1220731147135659</v>
      </c>
      <c r="BG320">
        <f t="shared" ca="1" si="120"/>
        <v>0</v>
      </c>
      <c r="BH320" t="str">
        <f ca="1">IF(BG320=1,IF(INDEX(分析データ!$A:$A,ROW()+$C$5)&lt;&gt;"",50000*SIGN(BF320)*(分析データ!D320-INDEX(分析データ!D:D,ROW()+$C$5)),""),"")</f>
        <v/>
      </c>
      <c r="BI320">
        <f t="shared" ca="1" si="121"/>
        <v>0</v>
      </c>
      <c r="BJ320">
        <f t="shared" ca="1" si="122"/>
        <v>0</v>
      </c>
      <c r="BK320">
        <f t="shared" ca="1" si="123"/>
        <v>0</v>
      </c>
      <c r="BL320">
        <f ca="1">IF(ROW()&lt;($C$7+1),"",IFERROR((分析データ!E320-AVERAGE(OFFSET(分析データ!E$1,MAX(1,ROW()-$C$7),0,MIN($C$7,ROW()-1),1)))/STDEV(OFFSET(分析データ!E$1,MAX(1,ROW()-$C$7),0,MIN($C$7,ROW()-1),1)),0))</f>
        <v>-9.2145124783094792E-2</v>
      </c>
      <c r="BM320">
        <f t="shared" ca="1" si="124"/>
        <v>0</v>
      </c>
      <c r="BN320" t="str">
        <f ca="1">IF(BM320=1,IF(INDEX(分析データ!$A:$A,ROW()+$C$5)&lt;&gt;"",40000*SIGN(BL320)*(分析データ!E320-INDEX(分析データ!E:E,ROW()+$C$5)),""),"")</f>
        <v/>
      </c>
      <c r="BO320">
        <f t="shared" ca="1" si="125"/>
        <v>280000.00000000291</v>
      </c>
      <c r="BP320">
        <f t="shared" ca="1" si="126"/>
        <v>280000.00000000291</v>
      </c>
      <c r="BQ320">
        <f t="shared" ca="1" si="127"/>
        <v>0</v>
      </c>
      <c r="BR320">
        <f ca="1">IF(ROW()&lt;($C$7+1),"",IFERROR((分析データ!F320-AVERAGE(OFFSET(分析データ!F$1,MAX(1,ROW()-$C$7),0,MIN($C$7,ROW()-1),1)))/STDEV(OFFSET(分析データ!F$1,MAX(1,ROW()-$C$7),0,MIN($C$7,ROW()-1),1)),0))</f>
        <v>-1.9360095606903158</v>
      </c>
      <c r="BS320">
        <f t="shared" ca="1" si="128"/>
        <v>0</v>
      </c>
      <c r="BT320" t="str">
        <f ca="1">IF(BS320=1,IF(INDEX(分析データ!$A:$A,ROW()+$C$5)&lt;&gt;"",40000*SIGN(BR320)*(分析データ!F320-INDEX(分析データ!F:F,ROW()+$C$5)),""),"")</f>
        <v/>
      </c>
      <c r="BU320">
        <f t="shared" ca="1" si="129"/>
        <v>0</v>
      </c>
      <c r="BV320">
        <f t="shared" ca="1" si="130"/>
        <v>0</v>
      </c>
      <c r="BW320">
        <f t="shared" ca="1" si="131"/>
        <v>0</v>
      </c>
      <c r="BX320">
        <f ca="1">IF(ROW()&lt;($C$7+1),"",IFERROR((分析データ!G320-AVERAGE(OFFSET(分析データ!G$1,MAX(1,ROW()-$C$7),0,MIN($C$7,ROW()-1),1)))/STDEV(OFFSET(分析データ!G$1,MAX(1,ROW()-$C$7),0,MIN($C$7,ROW()-1),1)),0))</f>
        <v>1.5118678055816943</v>
      </c>
      <c r="BY320">
        <f t="shared" ca="1" si="132"/>
        <v>0</v>
      </c>
      <c r="BZ320" t="str">
        <f ca="1">IF(BY320=1,IF(INDEX(分析データ!$A:$A,ROW()+$C$5)&lt;&gt;"",40000*SIGN(BX320)*(分析データ!G320-INDEX(分析データ!G:G,ROW()+$C$5)),""),"")</f>
        <v/>
      </c>
      <c r="CA320">
        <f t="shared" ca="1" si="133"/>
        <v>3095574.2871093722</v>
      </c>
      <c r="CB320">
        <f t="shared" ca="1" si="134"/>
        <v>3095574.2871093722</v>
      </c>
      <c r="CC320">
        <f t="shared" ca="1" si="135"/>
        <v>0</v>
      </c>
      <c r="CD320">
        <f t="shared" ca="1" si="136"/>
        <v>0</v>
      </c>
      <c r="CE320">
        <f t="shared" ca="1" si="137"/>
        <v>3375574.287109375</v>
      </c>
      <c r="CF320">
        <f t="shared" ca="1" si="138"/>
        <v>3375574.287109375</v>
      </c>
      <c r="CG320">
        <f t="shared" ca="1" si="139"/>
        <v>0</v>
      </c>
      <c r="CH320" s="10">
        <f>分析データ!A320</f>
        <v>45392</v>
      </c>
    </row>
    <row r="321" spans="46:86">
      <c r="AT321">
        <f ca="1">IF(ROW()&lt;($C$7+1),"",IFERROR((分析データ!B321-AVERAGE(OFFSET(分析データ!B$1,MAX(1,ROW()-$C$7),0,MIN($C$7,ROW()-1),1)))/STDEV(OFFSET(分析データ!B$1,MAX(1,ROW()-$C$7),0,MIN($C$7,ROW()-1),1)),0))</f>
        <v>1.0465389236645557</v>
      </c>
      <c r="AU321">
        <f t="shared" ca="1" si="112"/>
        <v>0</v>
      </c>
      <c r="AV321" t="str">
        <f ca="1">IF(AU321=1,IF(INDEX(分析データ!$A:$A,ROW()+$C$5)&lt;&gt;"",80000*SIGN(AT321)*(分析データ!B321-INDEX(分析データ!B:B,ROW()+$C$5)),""),"")</f>
        <v/>
      </c>
      <c r="AW321">
        <f t="shared" ca="1" si="113"/>
        <v>0</v>
      </c>
      <c r="AX321">
        <f t="shared" ca="1" si="114"/>
        <v>0</v>
      </c>
      <c r="AY321">
        <f t="shared" ca="1" si="115"/>
        <v>0</v>
      </c>
      <c r="AZ321">
        <f ca="1">IF(ROW()&lt;($C$7+1),"",IFERROR((分析データ!C321-AVERAGE(OFFSET(分析データ!C$1,MAX(1,ROW()-$C$7),0,MIN($C$7,ROW()-1),1)))/STDEV(OFFSET(分析データ!C$1,MAX(1,ROW()-$C$7),0,MIN($C$7,ROW()-1),1)),0))</f>
        <v>-1.430009204443029</v>
      </c>
      <c r="BA321">
        <f t="shared" ca="1" si="116"/>
        <v>0</v>
      </c>
      <c r="BB321" t="str">
        <f ca="1">IF(BA321=1,IF(INDEX(分析データ!$A:$A,ROW()+$C$5)&lt;&gt;"",60000*SIGN(AZ321)*(分析データ!C321-INDEX(分析データ!C:C,ROW()+$C$5)),""),"")</f>
        <v/>
      </c>
      <c r="BC321">
        <f t="shared" ca="1" si="117"/>
        <v>0</v>
      </c>
      <c r="BD321">
        <f t="shared" ca="1" si="118"/>
        <v>0</v>
      </c>
      <c r="BE321">
        <f t="shared" ca="1" si="119"/>
        <v>0</v>
      </c>
      <c r="BF321">
        <f ca="1">IF(ROW()&lt;($C$7+1),"",IFERROR((分析データ!D321-AVERAGE(OFFSET(分析データ!D$1,MAX(1,ROW()-$C$7),0,MIN($C$7,ROW()-1),1)))/STDEV(OFFSET(分析データ!D$1,MAX(1,ROW()-$C$7),0,MIN($C$7,ROW()-1),1)),0))</f>
        <v>0.94417007428344502</v>
      </c>
      <c r="BG321">
        <f t="shared" ca="1" si="120"/>
        <v>0</v>
      </c>
      <c r="BH321" t="str">
        <f ca="1">IF(BG321=1,IF(INDEX(分析データ!$A:$A,ROW()+$C$5)&lt;&gt;"",50000*SIGN(BF321)*(分析データ!D321-INDEX(分析データ!D:D,ROW()+$C$5)),""),"")</f>
        <v/>
      </c>
      <c r="BI321">
        <f t="shared" ca="1" si="121"/>
        <v>0</v>
      </c>
      <c r="BJ321">
        <f t="shared" ca="1" si="122"/>
        <v>0</v>
      </c>
      <c r="BK321">
        <f t="shared" ca="1" si="123"/>
        <v>0</v>
      </c>
      <c r="BL321">
        <f ca="1">IF(ROW()&lt;($C$7+1),"",IFERROR((分析データ!E321-AVERAGE(OFFSET(分析データ!E$1,MAX(1,ROW()-$C$7),0,MIN($C$7,ROW()-1),1)))/STDEV(OFFSET(分析データ!E$1,MAX(1,ROW()-$C$7),0,MIN($C$7,ROW()-1),1)),0))</f>
        <v>2.7006157561407021E-3</v>
      </c>
      <c r="BM321">
        <f t="shared" ca="1" si="124"/>
        <v>0</v>
      </c>
      <c r="BN321" t="str">
        <f ca="1">IF(BM321=1,IF(INDEX(分析データ!$A:$A,ROW()+$C$5)&lt;&gt;"",40000*SIGN(BL321)*(分析データ!E321-INDEX(分析データ!E:E,ROW()+$C$5)),""),"")</f>
        <v/>
      </c>
      <c r="BO321">
        <f t="shared" ca="1" si="125"/>
        <v>280000.00000000291</v>
      </c>
      <c r="BP321">
        <f t="shared" ca="1" si="126"/>
        <v>280000.00000000291</v>
      </c>
      <c r="BQ321">
        <f t="shared" ca="1" si="127"/>
        <v>0</v>
      </c>
      <c r="BR321">
        <f ca="1">IF(ROW()&lt;($C$7+1),"",IFERROR((分析データ!F321-AVERAGE(OFFSET(分析データ!F$1,MAX(1,ROW()-$C$7),0,MIN($C$7,ROW()-1),1)))/STDEV(OFFSET(分析データ!F$1,MAX(1,ROW()-$C$7),0,MIN($C$7,ROW()-1),1)),0))</f>
        <v>-1.7773144658627649</v>
      </c>
      <c r="BS321">
        <f t="shared" ca="1" si="128"/>
        <v>0</v>
      </c>
      <c r="BT321" t="str">
        <f ca="1">IF(BS321=1,IF(INDEX(分析データ!$A:$A,ROW()+$C$5)&lt;&gt;"",40000*SIGN(BR321)*(分析データ!F321-INDEX(分析データ!F:F,ROW()+$C$5)),""),"")</f>
        <v/>
      </c>
      <c r="BU321">
        <f t="shared" ca="1" si="129"/>
        <v>0</v>
      </c>
      <c r="BV321">
        <f t="shared" ca="1" si="130"/>
        <v>0</v>
      </c>
      <c r="BW321">
        <f t="shared" ca="1" si="131"/>
        <v>0</v>
      </c>
      <c r="BX321">
        <f ca="1">IF(ROW()&lt;($C$7+1),"",IFERROR((分析データ!G321-AVERAGE(OFFSET(分析データ!G$1,MAX(1,ROW()-$C$7),0,MIN($C$7,ROW()-1),1)))/STDEV(OFFSET(分析データ!G$1,MAX(1,ROW()-$C$7),0,MIN($C$7,ROW()-1),1)),0))</f>
        <v>1.5235545799915708</v>
      </c>
      <c r="BY321">
        <f t="shared" ca="1" si="132"/>
        <v>0</v>
      </c>
      <c r="BZ321" t="str">
        <f ca="1">IF(BY321=1,IF(INDEX(分析データ!$A:$A,ROW()+$C$5)&lt;&gt;"",40000*SIGN(BX321)*(分析データ!G321-INDEX(分析データ!G:G,ROW()+$C$5)),""),"")</f>
        <v/>
      </c>
      <c r="CA321">
        <f t="shared" ca="1" si="133"/>
        <v>3095574.2871093722</v>
      </c>
      <c r="CB321">
        <f t="shared" ca="1" si="134"/>
        <v>3095574.2871093722</v>
      </c>
      <c r="CC321">
        <f t="shared" ca="1" si="135"/>
        <v>0</v>
      </c>
      <c r="CD321">
        <f t="shared" ca="1" si="136"/>
        <v>0</v>
      </c>
      <c r="CE321">
        <f t="shared" ca="1" si="137"/>
        <v>3375574.287109375</v>
      </c>
      <c r="CF321">
        <f t="shared" ca="1" si="138"/>
        <v>3375574.287109375</v>
      </c>
      <c r="CG321">
        <f t="shared" ca="1" si="139"/>
        <v>0</v>
      </c>
      <c r="CH321" s="10">
        <f>分析データ!A321</f>
        <v>45393</v>
      </c>
    </row>
    <row r="322" spans="46:86">
      <c r="AT322">
        <f ca="1">IF(ROW()&lt;($C$7+1),"",IFERROR((分析データ!B322-AVERAGE(OFFSET(分析データ!B$1,MAX(1,ROW()-$C$7),0,MIN($C$7,ROW()-1),1)))/STDEV(OFFSET(分析データ!B$1,MAX(1,ROW()-$C$7),0,MIN($C$7,ROW()-1),1)),0))</f>
        <v>0.8960786709966837</v>
      </c>
      <c r="AU322">
        <f t="shared" ref="AU322:AU385" ca="1" si="140">IF(ISNUMBER(AT322),IF(ABS(AT322)&gt;=$C$6,1,0),0)</f>
        <v>0</v>
      </c>
      <c r="AV322" t="str">
        <f ca="1">IF(AU322=1,IF(INDEX(分析データ!$A:$A,ROW()+$C$5)&lt;&gt;"",80000*SIGN(AT322)*(分析データ!B322-INDEX(分析データ!B:B,ROW()+$C$5)),""),"")</f>
        <v/>
      </c>
      <c r="AW322">
        <f t="shared" ref="AW322:AW385" ca="1" si="141">AW321+IF(AND(AU322=1,ISNUMBER(AV322)),AV322,0)</f>
        <v>0</v>
      </c>
      <c r="AX322">
        <f t="shared" ref="AX322:AX385" ca="1" si="142">MAX(AX321,AW322)</f>
        <v>0</v>
      </c>
      <c r="AY322">
        <f t="shared" ref="AY322:AY385" ca="1" si="143">AW322-AX322</f>
        <v>0</v>
      </c>
      <c r="AZ322">
        <f ca="1">IF(ROW()&lt;($C$7+1),"",IFERROR((分析データ!C322-AVERAGE(OFFSET(分析データ!C$1,MAX(1,ROW()-$C$7),0,MIN($C$7,ROW()-1),1)))/STDEV(OFFSET(分析データ!C$1,MAX(1,ROW()-$C$7),0,MIN($C$7,ROW()-1),1)),0))</f>
        <v>-1.1943425312033003</v>
      </c>
      <c r="BA322">
        <f t="shared" ref="BA322:BA385" ca="1" si="144">IF(ISNUMBER(AZ322),IF(ABS(AZ322)&gt;=$C$6,1,0),0)</f>
        <v>0</v>
      </c>
      <c r="BB322" t="str">
        <f ca="1">IF(BA322=1,IF(INDEX(分析データ!$A:$A,ROW()+$C$5)&lt;&gt;"",60000*SIGN(AZ322)*(分析データ!C322-INDEX(分析データ!C:C,ROW()+$C$5)),""),"")</f>
        <v/>
      </c>
      <c r="BC322">
        <f t="shared" ref="BC322:BC385" ca="1" si="145">BC321+IF(AND(BA322=1,ISNUMBER(BB322)),BB322,0)</f>
        <v>0</v>
      </c>
      <c r="BD322">
        <f t="shared" ref="BD322:BD385" ca="1" si="146">MAX(BD321,BC322)</f>
        <v>0</v>
      </c>
      <c r="BE322">
        <f t="shared" ref="BE322:BE385" ca="1" si="147">BC322-BD322</f>
        <v>0</v>
      </c>
      <c r="BF322">
        <f ca="1">IF(ROW()&lt;($C$7+1),"",IFERROR((分析データ!D322-AVERAGE(OFFSET(分析データ!D$1,MAX(1,ROW()-$C$7),0,MIN($C$7,ROW()-1),1)))/STDEV(OFFSET(分析データ!D$1,MAX(1,ROW()-$C$7),0,MIN($C$7,ROW()-1),1)),0))</f>
        <v>0.65539371692096005</v>
      </c>
      <c r="BG322">
        <f t="shared" ref="BG322:BG385" ca="1" si="148">IF(ISNUMBER(BF322),IF(ABS(BF322)&gt;=$C$6,1,0),0)</f>
        <v>0</v>
      </c>
      <c r="BH322" t="str">
        <f ca="1">IF(BG322=1,IF(INDEX(分析データ!$A:$A,ROW()+$C$5)&lt;&gt;"",50000*SIGN(BF322)*(分析データ!D322-INDEX(分析データ!D:D,ROW()+$C$5)),""),"")</f>
        <v/>
      </c>
      <c r="BI322">
        <f t="shared" ref="BI322:BI385" ca="1" si="149">BI321+IF(AND(BG322=1,ISNUMBER(BH322)),BH322,0)</f>
        <v>0</v>
      </c>
      <c r="BJ322">
        <f t="shared" ref="BJ322:BJ385" ca="1" si="150">MAX(BJ321,BI322)</f>
        <v>0</v>
      </c>
      <c r="BK322">
        <f t="shared" ref="BK322:BK385" ca="1" si="151">BI322-BJ322</f>
        <v>0</v>
      </c>
      <c r="BL322">
        <f ca="1">IF(ROW()&lt;($C$7+1),"",IFERROR((分析データ!E322-AVERAGE(OFFSET(分析データ!E$1,MAX(1,ROW()-$C$7),0,MIN($C$7,ROW()-1),1)))/STDEV(OFFSET(分析データ!E$1,MAX(1,ROW()-$C$7),0,MIN($C$7,ROW()-1),1)),0))</f>
        <v>9.7285944785412262E-2</v>
      </c>
      <c r="BM322">
        <f t="shared" ref="BM322:BM385" ca="1" si="152">IF(ISNUMBER(BL322),IF(ABS(BL322)&gt;=$C$6,1,0),0)</f>
        <v>0</v>
      </c>
      <c r="BN322" t="str">
        <f ca="1">IF(BM322=1,IF(INDEX(分析データ!$A:$A,ROW()+$C$5)&lt;&gt;"",40000*SIGN(BL322)*(分析データ!E322-INDEX(分析データ!E:E,ROW()+$C$5)),""),"")</f>
        <v/>
      </c>
      <c r="BO322">
        <f t="shared" ref="BO322:BO385" ca="1" si="153">BO321+IF(AND(BM322=1,ISNUMBER(BN322)),BN322,0)</f>
        <v>280000.00000000291</v>
      </c>
      <c r="BP322">
        <f t="shared" ref="BP322:BP385" ca="1" si="154">MAX(BP321,BO322)</f>
        <v>280000.00000000291</v>
      </c>
      <c r="BQ322">
        <f t="shared" ref="BQ322:BQ385" ca="1" si="155">BO322-BP322</f>
        <v>0</v>
      </c>
      <c r="BR322">
        <f ca="1">IF(ROW()&lt;($C$7+1),"",IFERROR((分析データ!F322-AVERAGE(OFFSET(分析データ!F$1,MAX(1,ROW()-$C$7),0,MIN($C$7,ROW()-1),1)))/STDEV(OFFSET(分析データ!F$1,MAX(1,ROW()-$C$7),0,MIN($C$7,ROW()-1),1)),0))</f>
        <v>-1.4293625576310844</v>
      </c>
      <c r="BS322">
        <f t="shared" ref="BS322:BS385" ca="1" si="156">IF(ISNUMBER(BR322),IF(ABS(BR322)&gt;=$C$6,1,0),0)</f>
        <v>0</v>
      </c>
      <c r="BT322" t="str">
        <f ca="1">IF(BS322=1,IF(INDEX(分析データ!$A:$A,ROW()+$C$5)&lt;&gt;"",40000*SIGN(BR322)*(分析データ!F322-INDEX(分析データ!F:F,ROW()+$C$5)),""),"")</f>
        <v/>
      </c>
      <c r="BU322">
        <f t="shared" ref="BU322:BU385" ca="1" si="157">BU321+IF(AND(BS322=1,ISNUMBER(BT322)),BT322,0)</f>
        <v>0</v>
      </c>
      <c r="BV322">
        <f t="shared" ref="BV322:BV385" ca="1" si="158">MAX(BV321,BU322)</f>
        <v>0</v>
      </c>
      <c r="BW322">
        <f t="shared" ref="BW322:BW385" ca="1" si="159">BU322-BV322</f>
        <v>0</v>
      </c>
      <c r="BX322">
        <f ca="1">IF(ROW()&lt;($C$7+1),"",IFERROR((分析データ!G322-AVERAGE(OFFSET(分析データ!G$1,MAX(1,ROW()-$C$7),0,MIN($C$7,ROW()-1),1)))/STDEV(OFFSET(分析データ!G$1,MAX(1,ROW()-$C$7),0,MIN($C$7,ROW()-1),1)),0))</f>
        <v>1.2759382328646858</v>
      </c>
      <c r="BY322">
        <f t="shared" ref="BY322:BY385" ca="1" si="160">IF(ISNUMBER(BX322),IF(ABS(BX322)&gt;=$C$6,1,0),0)</f>
        <v>0</v>
      </c>
      <c r="BZ322" t="str">
        <f ca="1">IF(BY322=1,IF(INDEX(分析データ!$A:$A,ROW()+$C$5)&lt;&gt;"",40000*SIGN(BX322)*(分析データ!G322-INDEX(分析データ!G:G,ROW()+$C$5)),""),"")</f>
        <v/>
      </c>
      <c r="CA322">
        <f t="shared" ref="CA322:CA385" ca="1" si="161">CA321+IF(AND(BY322=1,ISNUMBER(BZ322)),BZ322,0)</f>
        <v>3095574.2871093722</v>
      </c>
      <c r="CB322">
        <f t="shared" ref="CB322:CB385" ca="1" si="162">MAX(CB321,CA322)</f>
        <v>3095574.2871093722</v>
      </c>
      <c r="CC322">
        <f t="shared" ref="CC322:CC385" ca="1" si="163">CA322-CB322</f>
        <v>0</v>
      </c>
      <c r="CD322">
        <f t="shared" ref="CD322:CD385" ca="1" si="164">N(AV322)+N(BB322)+N(BH322)+N(BN322)+N(BT322)+N(BZ322)</f>
        <v>0</v>
      </c>
      <c r="CE322">
        <f t="shared" ref="CE322:CE385" ca="1" si="165">CE321+CD322</f>
        <v>3375574.287109375</v>
      </c>
      <c r="CF322">
        <f t="shared" ref="CF322:CF385" ca="1" si="166">MAX(CF321,CE322)</f>
        <v>3375574.287109375</v>
      </c>
      <c r="CG322">
        <f t="shared" ref="CG322:CG385" ca="1" si="167">CE322-CF322</f>
        <v>0</v>
      </c>
      <c r="CH322" s="10">
        <f>分析データ!A322</f>
        <v>45394</v>
      </c>
    </row>
    <row r="323" spans="46:86">
      <c r="AT323">
        <f ca="1">IF(ROW()&lt;($C$7+1),"",IFERROR((分析データ!B323-AVERAGE(OFFSET(分析データ!B$1,MAX(1,ROW()-$C$7),0,MIN($C$7,ROW()-1),1)))/STDEV(OFFSET(分析データ!B$1,MAX(1,ROW()-$C$7),0,MIN($C$7,ROW()-1),1)),0))</f>
        <v>1.2687740135139303</v>
      </c>
      <c r="AU323">
        <f t="shared" ca="1" si="140"/>
        <v>0</v>
      </c>
      <c r="AV323" t="str">
        <f ca="1">IF(AU323=1,IF(INDEX(分析データ!$A:$A,ROW()+$C$5)&lt;&gt;"",80000*SIGN(AT323)*(分析データ!B323-INDEX(分析データ!B:B,ROW()+$C$5)),""),"")</f>
        <v/>
      </c>
      <c r="AW323">
        <f t="shared" ca="1" si="141"/>
        <v>0</v>
      </c>
      <c r="AX323">
        <f t="shared" ca="1" si="142"/>
        <v>0</v>
      </c>
      <c r="AY323">
        <f t="shared" ca="1" si="143"/>
        <v>0</v>
      </c>
      <c r="AZ323">
        <f ca="1">IF(ROW()&lt;($C$7+1),"",IFERROR((分析データ!C323-AVERAGE(OFFSET(分析データ!C$1,MAX(1,ROW()-$C$7),0,MIN($C$7,ROW()-1),1)))/STDEV(OFFSET(分析データ!C$1,MAX(1,ROW()-$C$7),0,MIN($C$7,ROW()-1),1)),0))</f>
        <v>-1.1252707619196103</v>
      </c>
      <c r="BA323">
        <f t="shared" ca="1" si="144"/>
        <v>0</v>
      </c>
      <c r="BB323" t="str">
        <f ca="1">IF(BA323=1,IF(INDEX(分析データ!$A:$A,ROW()+$C$5)&lt;&gt;"",60000*SIGN(AZ323)*(分析データ!C323-INDEX(分析データ!C:C,ROW()+$C$5)),""),"")</f>
        <v/>
      </c>
      <c r="BC323">
        <f t="shared" ca="1" si="145"/>
        <v>0</v>
      </c>
      <c r="BD323">
        <f t="shared" ca="1" si="146"/>
        <v>0</v>
      </c>
      <c r="BE323">
        <f t="shared" ca="1" si="147"/>
        <v>0</v>
      </c>
      <c r="BF323">
        <f ca="1">IF(ROW()&lt;($C$7+1),"",IFERROR((分析データ!D323-AVERAGE(OFFSET(分析データ!D$1,MAX(1,ROW()-$C$7),0,MIN($C$7,ROW()-1),1)))/STDEV(OFFSET(分析データ!D$1,MAX(1,ROW()-$C$7),0,MIN($C$7,ROW()-1),1)),0))</f>
        <v>1.17941753785147</v>
      </c>
      <c r="BG323">
        <f t="shared" ca="1" si="148"/>
        <v>0</v>
      </c>
      <c r="BH323" t="str">
        <f ca="1">IF(BG323=1,IF(INDEX(分析データ!$A:$A,ROW()+$C$5)&lt;&gt;"",50000*SIGN(BF323)*(分析データ!D323-INDEX(分析データ!D:D,ROW()+$C$5)),""),"")</f>
        <v/>
      </c>
      <c r="BI323">
        <f t="shared" ca="1" si="149"/>
        <v>0</v>
      </c>
      <c r="BJ323">
        <f t="shared" ca="1" si="150"/>
        <v>0</v>
      </c>
      <c r="BK323">
        <f t="shared" ca="1" si="151"/>
        <v>0</v>
      </c>
      <c r="BL323">
        <f ca="1">IF(ROW()&lt;($C$7+1),"",IFERROR((分析データ!E323-AVERAGE(OFFSET(分析データ!E$1,MAX(1,ROW()-$C$7),0,MIN($C$7,ROW()-1),1)))/STDEV(OFFSET(分析データ!E$1,MAX(1,ROW()-$C$7),0,MIN($C$7,ROW()-1),1)),0))</f>
        <v>0.29065054967358039</v>
      </c>
      <c r="BM323">
        <f t="shared" ca="1" si="152"/>
        <v>0</v>
      </c>
      <c r="BN323" t="str">
        <f ca="1">IF(BM323=1,IF(INDEX(分析データ!$A:$A,ROW()+$C$5)&lt;&gt;"",40000*SIGN(BL323)*(分析データ!E323-INDEX(分析データ!E:E,ROW()+$C$5)),""),"")</f>
        <v/>
      </c>
      <c r="BO323">
        <f t="shared" ca="1" si="153"/>
        <v>280000.00000000291</v>
      </c>
      <c r="BP323">
        <f t="shared" ca="1" si="154"/>
        <v>280000.00000000291</v>
      </c>
      <c r="BQ323">
        <f t="shared" ca="1" si="155"/>
        <v>0</v>
      </c>
      <c r="BR323">
        <f ca="1">IF(ROW()&lt;($C$7+1),"",IFERROR((分析データ!F323-AVERAGE(OFFSET(分析データ!F$1,MAX(1,ROW()-$C$7),0,MIN($C$7,ROW()-1),1)))/STDEV(OFFSET(分析データ!F$1,MAX(1,ROW()-$C$7),0,MIN($C$7,ROW()-1),1)),0))</f>
        <v>-2.0072188353222851</v>
      </c>
      <c r="BS323">
        <f t="shared" ca="1" si="156"/>
        <v>1</v>
      </c>
      <c r="BT323">
        <f ca="1">IF(BS323=1,IF(INDEX(分析データ!$A:$A,ROW()+$C$5)&lt;&gt;"",40000*SIGN(BR323)*(分析データ!F323-INDEX(分析データ!F:F,ROW()+$C$5)),""),"")</f>
        <v>583200.00000000163</v>
      </c>
      <c r="BU323">
        <f t="shared" ca="1" si="157"/>
        <v>583200.00000000163</v>
      </c>
      <c r="BV323">
        <f t="shared" ca="1" si="158"/>
        <v>583200.00000000163</v>
      </c>
      <c r="BW323">
        <f t="shared" ca="1" si="159"/>
        <v>0</v>
      </c>
      <c r="BX323">
        <f ca="1">IF(ROW()&lt;($C$7+1),"",IFERROR((分析データ!G323-AVERAGE(OFFSET(分析データ!G$1,MAX(1,ROW()-$C$7),0,MIN($C$7,ROW()-1),1)))/STDEV(OFFSET(分析データ!G$1,MAX(1,ROW()-$C$7),0,MIN($C$7,ROW()-1),1)),0))</f>
        <v>1.5405174259727255</v>
      </c>
      <c r="BY323">
        <f t="shared" ca="1" si="160"/>
        <v>0</v>
      </c>
      <c r="BZ323" t="str">
        <f ca="1">IF(BY323=1,IF(INDEX(分析データ!$A:$A,ROW()+$C$5)&lt;&gt;"",40000*SIGN(BX323)*(分析データ!G323-INDEX(分析データ!G:G,ROW()+$C$5)),""),"")</f>
        <v/>
      </c>
      <c r="CA323">
        <f t="shared" ca="1" si="161"/>
        <v>3095574.2871093722</v>
      </c>
      <c r="CB323">
        <f t="shared" ca="1" si="162"/>
        <v>3095574.2871093722</v>
      </c>
      <c r="CC323">
        <f t="shared" ca="1" si="163"/>
        <v>0</v>
      </c>
      <c r="CD323">
        <f t="shared" ca="1" si="164"/>
        <v>583200.00000000163</v>
      </c>
      <c r="CE323">
        <f t="shared" ca="1" si="165"/>
        <v>3958774.2871093769</v>
      </c>
      <c r="CF323">
        <f t="shared" ca="1" si="166"/>
        <v>3958774.2871093769</v>
      </c>
      <c r="CG323">
        <f t="shared" ca="1" si="167"/>
        <v>0</v>
      </c>
      <c r="CH323" s="10">
        <f>分析データ!A323</f>
        <v>45397</v>
      </c>
    </row>
    <row r="324" spans="46:86">
      <c r="AT324">
        <f ca="1">IF(ROW()&lt;($C$7+1),"",IFERROR((分析データ!B324-AVERAGE(OFFSET(分析データ!B$1,MAX(1,ROW()-$C$7),0,MIN($C$7,ROW()-1),1)))/STDEV(OFFSET(分析データ!B$1,MAX(1,ROW()-$C$7),0,MIN($C$7,ROW()-1),1)),0))</f>
        <v>1.3057526007266607</v>
      </c>
      <c r="AU324">
        <f t="shared" ca="1" si="140"/>
        <v>0</v>
      </c>
      <c r="AV324" t="str">
        <f ca="1">IF(AU324=1,IF(INDEX(分析データ!$A:$A,ROW()+$C$5)&lt;&gt;"",80000*SIGN(AT324)*(分析データ!B324-INDEX(分析データ!B:B,ROW()+$C$5)),""),"")</f>
        <v/>
      </c>
      <c r="AW324">
        <f t="shared" ca="1" si="141"/>
        <v>0</v>
      </c>
      <c r="AX324">
        <f t="shared" ca="1" si="142"/>
        <v>0</v>
      </c>
      <c r="AY324">
        <f t="shared" ca="1" si="143"/>
        <v>0</v>
      </c>
      <c r="AZ324">
        <f ca="1">IF(ROW()&lt;($C$7+1),"",IFERROR((分析データ!C324-AVERAGE(OFFSET(分析データ!C$1,MAX(1,ROW()-$C$7),0,MIN($C$7,ROW()-1),1)))/STDEV(OFFSET(分析データ!C$1,MAX(1,ROW()-$C$7),0,MIN($C$7,ROW()-1),1)),0))</f>
        <v>-1.1894956073410117</v>
      </c>
      <c r="BA324">
        <f t="shared" ca="1" si="144"/>
        <v>0</v>
      </c>
      <c r="BB324" t="str">
        <f ca="1">IF(BA324=1,IF(INDEX(分析データ!$A:$A,ROW()+$C$5)&lt;&gt;"",60000*SIGN(AZ324)*(分析データ!C324-INDEX(分析データ!C:C,ROW()+$C$5)),""),"")</f>
        <v/>
      </c>
      <c r="BC324">
        <f t="shared" ca="1" si="145"/>
        <v>0</v>
      </c>
      <c r="BD324">
        <f t="shared" ca="1" si="146"/>
        <v>0</v>
      </c>
      <c r="BE324">
        <f t="shared" ca="1" si="147"/>
        <v>0</v>
      </c>
      <c r="BF324">
        <f ca="1">IF(ROW()&lt;($C$7+1),"",IFERROR((分析データ!D324-AVERAGE(OFFSET(分析データ!D$1,MAX(1,ROW()-$C$7),0,MIN($C$7,ROW()-1),1)))/STDEV(OFFSET(分析データ!D$1,MAX(1,ROW()-$C$7),0,MIN($C$7,ROW()-1),1)),0))</f>
        <v>1.3118346779874026</v>
      </c>
      <c r="BG324">
        <f t="shared" ca="1" si="148"/>
        <v>0</v>
      </c>
      <c r="BH324" t="str">
        <f ca="1">IF(BG324=1,IF(INDEX(分析データ!$A:$A,ROW()+$C$5)&lt;&gt;"",50000*SIGN(BF324)*(分析データ!D324-INDEX(分析データ!D:D,ROW()+$C$5)),""),"")</f>
        <v/>
      </c>
      <c r="BI324">
        <f t="shared" ca="1" si="149"/>
        <v>0</v>
      </c>
      <c r="BJ324">
        <f t="shared" ca="1" si="150"/>
        <v>0</v>
      </c>
      <c r="BK324">
        <f t="shared" ca="1" si="151"/>
        <v>0</v>
      </c>
      <c r="BL324">
        <f ca="1">IF(ROW()&lt;($C$7+1),"",IFERROR((分析データ!E324-AVERAGE(OFFSET(分析データ!E$1,MAX(1,ROW()-$C$7),0,MIN($C$7,ROW()-1),1)))/STDEV(OFFSET(分析データ!E$1,MAX(1,ROW()-$C$7),0,MIN($C$7,ROW()-1),1)),0))</f>
        <v>0.28906387253632054</v>
      </c>
      <c r="BM324">
        <f t="shared" ca="1" si="152"/>
        <v>0</v>
      </c>
      <c r="BN324" t="str">
        <f ca="1">IF(BM324=1,IF(INDEX(分析データ!$A:$A,ROW()+$C$5)&lt;&gt;"",40000*SIGN(BL324)*(分析データ!E324-INDEX(分析データ!E:E,ROW()+$C$5)),""),"")</f>
        <v/>
      </c>
      <c r="BO324">
        <f t="shared" ca="1" si="153"/>
        <v>280000.00000000291</v>
      </c>
      <c r="BP324">
        <f t="shared" ca="1" si="154"/>
        <v>280000.00000000291</v>
      </c>
      <c r="BQ324">
        <f t="shared" ca="1" si="155"/>
        <v>0</v>
      </c>
      <c r="BR324">
        <f ca="1">IF(ROW()&lt;($C$7+1),"",IFERROR((分析データ!F324-AVERAGE(OFFSET(分析データ!F$1,MAX(1,ROW()-$C$7),0,MIN($C$7,ROW()-1),1)))/STDEV(OFFSET(分析データ!F$1,MAX(1,ROW()-$C$7),0,MIN($C$7,ROW()-1),1)),0))</f>
        <v>-1.8398051530606803</v>
      </c>
      <c r="BS324">
        <f t="shared" ca="1" si="156"/>
        <v>0</v>
      </c>
      <c r="BT324" t="str">
        <f ca="1">IF(BS324=1,IF(INDEX(分析データ!$A:$A,ROW()+$C$5)&lt;&gt;"",40000*SIGN(BR324)*(分析データ!F324-INDEX(分析データ!F:F,ROW()+$C$5)),""),"")</f>
        <v/>
      </c>
      <c r="BU324">
        <f t="shared" ca="1" si="157"/>
        <v>583200.00000000163</v>
      </c>
      <c r="BV324">
        <f t="shared" ca="1" si="158"/>
        <v>583200.00000000163</v>
      </c>
      <c r="BW324">
        <f t="shared" ca="1" si="159"/>
        <v>0</v>
      </c>
      <c r="BX324">
        <f ca="1">IF(ROW()&lt;($C$7+1),"",IFERROR((分析データ!G324-AVERAGE(OFFSET(分析データ!G$1,MAX(1,ROW()-$C$7),0,MIN($C$7,ROW()-1),1)))/STDEV(OFFSET(分析データ!G$1,MAX(1,ROW()-$C$7),0,MIN($C$7,ROW()-1),1)),0))</f>
        <v>1.3204322056327795</v>
      </c>
      <c r="BY324">
        <f t="shared" ca="1" si="160"/>
        <v>0</v>
      </c>
      <c r="BZ324" t="str">
        <f ca="1">IF(BY324=1,IF(INDEX(分析データ!$A:$A,ROW()+$C$5)&lt;&gt;"",40000*SIGN(BX324)*(分析データ!G324-INDEX(分析データ!G:G,ROW()+$C$5)),""),"")</f>
        <v/>
      </c>
      <c r="CA324">
        <f t="shared" ca="1" si="161"/>
        <v>3095574.2871093722</v>
      </c>
      <c r="CB324">
        <f t="shared" ca="1" si="162"/>
        <v>3095574.2871093722</v>
      </c>
      <c r="CC324">
        <f t="shared" ca="1" si="163"/>
        <v>0</v>
      </c>
      <c r="CD324">
        <f t="shared" ca="1" si="164"/>
        <v>0</v>
      </c>
      <c r="CE324">
        <f t="shared" ca="1" si="165"/>
        <v>3958774.2871093769</v>
      </c>
      <c r="CF324">
        <f t="shared" ca="1" si="166"/>
        <v>3958774.2871093769</v>
      </c>
      <c r="CG324">
        <f t="shared" ca="1" si="167"/>
        <v>0</v>
      </c>
      <c r="CH324" s="10">
        <f>分析データ!A324</f>
        <v>45398</v>
      </c>
    </row>
    <row r="325" spans="46:86">
      <c r="AT325">
        <f ca="1">IF(ROW()&lt;($C$7+1),"",IFERROR((分析データ!B325-AVERAGE(OFFSET(分析データ!B$1,MAX(1,ROW()-$C$7),0,MIN($C$7,ROW()-1),1)))/STDEV(OFFSET(分析データ!B$1,MAX(1,ROW()-$C$7),0,MIN($C$7,ROW()-1),1)),0))</f>
        <v>1.0125057684698031</v>
      </c>
      <c r="AU325">
        <f t="shared" ca="1" si="140"/>
        <v>0</v>
      </c>
      <c r="AV325" t="str">
        <f ca="1">IF(AU325=1,IF(INDEX(分析データ!$A:$A,ROW()+$C$5)&lt;&gt;"",80000*SIGN(AT325)*(分析データ!B325-INDEX(分析データ!B:B,ROW()+$C$5)),""),"")</f>
        <v/>
      </c>
      <c r="AW325">
        <f t="shared" ca="1" si="141"/>
        <v>0</v>
      </c>
      <c r="AX325">
        <f t="shared" ca="1" si="142"/>
        <v>0</v>
      </c>
      <c r="AY325">
        <f t="shared" ca="1" si="143"/>
        <v>0</v>
      </c>
      <c r="AZ325">
        <f ca="1">IF(ROW()&lt;($C$7+1),"",IFERROR((分析データ!C325-AVERAGE(OFFSET(分析データ!C$1,MAX(1,ROW()-$C$7),0,MIN($C$7,ROW()-1),1)))/STDEV(OFFSET(分析データ!C$1,MAX(1,ROW()-$C$7),0,MIN($C$7,ROW()-1),1)),0))</f>
        <v>-0.99764750821690329</v>
      </c>
      <c r="BA325">
        <f t="shared" ca="1" si="144"/>
        <v>0</v>
      </c>
      <c r="BB325" t="str">
        <f ca="1">IF(BA325=1,IF(INDEX(分析データ!$A:$A,ROW()+$C$5)&lt;&gt;"",60000*SIGN(AZ325)*(分析データ!C325-INDEX(分析データ!C:C,ROW()+$C$5)),""),"")</f>
        <v/>
      </c>
      <c r="BC325">
        <f t="shared" ca="1" si="145"/>
        <v>0</v>
      </c>
      <c r="BD325">
        <f t="shared" ca="1" si="146"/>
        <v>0</v>
      </c>
      <c r="BE325">
        <f t="shared" ca="1" si="147"/>
        <v>0</v>
      </c>
      <c r="BF325">
        <f ca="1">IF(ROW()&lt;($C$7+1),"",IFERROR((分析データ!D325-AVERAGE(OFFSET(分析データ!D$1,MAX(1,ROW()-$C$7),0,MIN($C$7,ROW()-1),1)))/STDEV(OFFSET(分析データ!D$1,MAX(1,ROW()-$C$7),0,MIN($C$7,ROW()-1),1)),0))</f>
        <v>0.89754241428904247</v>
      </c>
      <c r="BG325">
        <f t="shared" ca="1" si="148"/>
        <v>0</v>
      </c>
      <c r="BH325" t="str">
        <f ca="1">IF(BG325=1,IF(INDEX(分析データ!$A:$A,ROW()+$C$5)&lt;&gt;"",50000*SIGN(BF325)*(分析データ!D325-INDEX(分析データ!D:D,ROW()+$C$5)),""),"")</f>
        <v/>
      </c>
      <c r="BI325">
        <f t="shared" ca="1" si="149"/>
        <v>0</v>
      </c>
      <c r="BJ325">
        <f t="shared" ca="1" si="150"/>
        <v>0</v>
      </c>
      <c r="BK325">
        <f t="shared" ca="1" si="151"/>
        <v>0</v>
      </c>
      <c r="BL325">
        <f ca="1">IF(ROW()&lt;($C$7+1),"",IFERROR((分析データ!E325-AVERAGE(OFFSET(分析データ!E$1,MAX(1,ROW()-$C$7),0,MIN($C$7,ROW()-1),1)))/STDEV(OFFSET(分析データ!E$1,MAX(1,ROW()-$C$7),0,MIN($C$7,ROW()-1),1)),0))</f>
        <v>0.18989831239874544</v>
      </c>
      <c r="BM325">
        <f t="shared" ca="1" si="152"/>
        <v>0</v>
      </c>
      <c r="BN325" t="str">
        <f ca="1">IF(BM325=1,IF(INDEX(分析データ!$A:$A,ROW()+$C$5)&lt;&gt;"",40000*SIGN(BL325)*(分析データ!E325-INDEX(分析データ!E:E,ROW()+$C$5)),""),"")</f>
        <v/>
      </c>
      <c r="BO325">
        <f t="shared" ca="1" si="153"/>
        <v>280000.00000000291</v>
      </c>
      <c r="BP325">
        <f t="shared" ca="1" si="154"/>
        <v>280000.00000000291</v>
      </c>
      <c r="BQ325">
        <f t="shared" ca="1" si="155"/>
        <v>0</v>
      </c>
      <c r="BR325">
        <f ca="1">IF(ROW()&lt;($C$7+1),"",IFERROR((分析データ!F325-AVERAGE(OFFSET(分析データ!F$1,MAX(1,ROW()-$C$7),0,MIN($C$7,ROW()-1),1)))/STDEV(OFFSET(分析データ!F$1,MAX(1,ROW()-$C$7),0,MIN($C$7,ROW()-1),1)),0))</f>
        <v>-1.5188021308496278</v>
      </c>
      <c r="BS325">
        <f t="shared" ca="1" si="156"/>
        <v>0</v>
      </c>
      <c r="BT325" t="str">
        <f ca="1">IF(BS325=1,IF(INDEX(分析データ!$A:$A,ROW()+$C$5)&lt;&gt;"",40000*SIGN(BR325)*(分析データ!F325-INDEX(分析データ!F:F,ROW()+$C$5)),""),"")</f>
        <v/>
      </c>
      <c r="BU325">
        <f t="shared" ca="1" si="157"/>
        <v>583200.00000000163</v>
      </c>
      <c r="BV325">
        <f t="shared" ca="1" si="158"/>
        <v>583200.00000000163</v>
      </c>
      <c r="BW325">
        <f t="shared" ca="1" si="159"/>
        <v>0</v>
      </c>
      <c r="BX325">
        <f ca="1">IF(ROW()&lt;($C$7+1),"",IFERROR((分析データ!G325-AVERAGE(OFFSET(分析データ!G$1,MAX(1,ROW()-$C$7),0,MIN($C$7,ROW()-1),1)))/STDEV(OFFSET(分析データ!G$1,MAX(1,ROW()-$C$7),0,MIN($C$7,ROW()-1),1)),0))</f>
        <v>1.3259631846746276</v>
      </c>
      <c r="BY325">
        <f t="shared" ca="1" si="160"/>
        <v>0</v>
      </c>
      <c r="BZ325" t="str">
        <f ca="1">IF(BY325=1,IF(INDEX(分析データ!$A:$A,ROW()+$C$5)&lt;&gt;"",40000*SIGN(BX325)*(分析データ!G325-INDEX(分析データ!G:G,ROW()+$C$5)),""),"")</f>
        <v/>
      </c>
      <c r="CA325">
        <f t="shared" ca="1" si="161"/>
        <v>3095574.2871093722</v>
      </c>
      <c r="CB325">
        <f t="shared" ca="1" si="162"/>
        <v>3095574.2871093722</v>
      </c>
      <c r="CC325">
        <f t="shared" ca="1" si="163"/>
        <v>0</v>
      </c>
      <c r="CD325">
        <f t="shared" ca="1" si="164"/>
        <v>0</v>
      </c>
      <c r="CE325">
        <f t="shared" ca="1" si="165"/>
        <v>3958774.2871093769</v>
      </c>
      <c r="CF325">
        <f t="shared" ca="1" si="166"/>
        <v>3958774.2871093769</v>
      </c>
      <c r="CG325">
        <f t="shared" ca="1" si="167"/>
        <v>0</v>
      </c>
      <c r="CH325" s="10">
        <f>分析データ!A325</f>
        <v>45399</v>
      </c>
    </row>
    <row r="326" spans="46:86">
      <c r="AT326">
        <f ca="1">IF(ROW()&lt;($C$7+1),"",IFERROR((分析データ!B326-AVERAGE(OFFSET(分析データ!B$1,MAX(1,ROW()-$C$7),0,MIN($C$7,ROW()-1),1)))/STDEV(OFFSET(分析データ!B$1,MAX(1,ROW()-$C$7),0,MIN($C$7,ROW()-1),1)),0))</f>
        <v>1.0989851730384028</v>
      </c>
      <c r="AU326">
        <f t="shared" ca="1" si="140"/>
        <v>0</v>
      </c>
      <c r="AV326" t="str">
        <f ca="1">IF(AU326=1,IF(INDEX(分析データ!$A:$A,ROW()+$C$5)&lt;&gt;"",80000*SIGN(AT326)*(分析データ!B326-INDEX(分析データ!B:B,ROW()+$C$5)),""),"")</f>
        <v/>
      </c>
      <c r="AW326">
        <f t="shared" ca="1" si="141"/>
        <v>0</v>
      </c>
      <c r="AX326">
        <f t="shared" ca="1" si="142"/>
        <v>0</v>
      </c>
      <c r="AY326">
        <f t="shared" ca="1" si="143"/>
        <v>0</v>
      </c>
      <c r="AZ326">
        <f ca="1">IF(ROW()&lt;($C$7+1),"",IFERROR((分析データ!C326-AVERAGE(OFFSET(分析データ!C$1,MAX(1,ROW()-$C$7),0,MIN($C$7,ROW()-1),1)))/STDEV(OFFSET(分析データ!C$1,MAX(1,ROW()-$C$7),0,MIN($C$7,ROW()-1),1)),0))</f>
        <v>-0.9915951207774677</v>
      </c>
      <c r="BA326">
        <f t="shared" ca="1" si="144"/>
        <v>0</v>
      </c>
      <c r="BB326" t="str">
        <f ca="1">IF(BA326=1,IF(INDEX(分析データ!$A:$A,ROW()+$C$5)&lt;&gt;"",60000*SIGN(AZ326)*(分析データ!C326-INDEX(分析データ!C:C,ROW()+$C$5)),""),"")</f>
        <v/>
      </c>
      <c r="BC326">
        <f t="shared" ca="1" si="145"/>
        <v>0</v>
      </c>
      <c r="BD326">
        <f t="shared" ca="1" si="146"/>
        <v>0</v>
      </c>
      <c r="BE326">
        <f t="shared" ca="1" si="147"/>
        <v>0</v>
      </c>
      <c r="BF326">
        <f ca="1">IF(ROW()&lt;($C$7+1),"",IFERROR((分析データ!D326-AVERAGE(OFFSET(分析データ!D$1,MAX(1,ROW()-$C$7),0,MIN($C$7,ROW()-1),1)))/STDEV(OFFSET(分析データ!D$1,MAX(1,ROW()-$C$7),0,MIN($C$7,ROW()-1),1)),0))</f>
        <v>1.1705591944118174</v>
      </c>
      <c r="BG326">
        <f t="shared" ca="1" si="148"/>
        <v>0</v>
      </c>
      <c r="BH326" t="str">
        <f ca="1">IF(BG326=1,IF(INDEX(分析データ!$A:$A,ROW()+$C$5)&lt;&gt;"",50000*SIGN(BF326)*(分析データ!D326-INDEX(分析データ!D:D,ROW()+$C$5)),""),"")</f>
        <v/>
      </c>
      <c r="BI326">
        <f t="shared" ca="1" si="149"/>
        <v>0</v>
      </c>
      <c r="BJ326">
        <f t="shared" ca="1" si="150"/>
        <v>0</v>
      </c>
      <c r="BK326">
        <f t="shared" ca="1" si="151"/>
        <v>0</v>
      </c>
      <c r="BL326">
        <f ca="1">IF(ROW()&lt;($C$7+1),"",IFERROR((分析データ!E326-AVERAGE(OFFSET(分析データ!E$1,MAX(1,ROW()-$C$7),0,MIN($C$7,ROW()-1),1)))/STDEV(OFFSET(分析データ!E$1,MAX(1,ROW()-$C$7),0,MIN($C$7,ROW()-1),1)),0))</f>
        <v>9.0730097892744901E-2</v>
      </c>
      <c r="BM326">
        <f t="shared" ca="1" si="152"/>
        <v>0</v>
      </c>
      <c r="BN326" t="str">
        <f ca="1">IF(BM326=1,IF(INDEX(分析データ!$A:$A,ROW()+$C$5)&lt;&gt;"",40000*SIGN(BL326)*(分析データ!E326-INDEX(分析データ!E:E,ROW()+$C$5)),""),"")</f>
        <v/>
      </c>
      <c r="BO326">
        <f t="shared" ca="1" si="153"/>
        <v>280000.00000000291</v>
      </c>
      <c r="BP326">
        <f t="shared" ca="1" si="154"/>
        <v>280000.00000000291</v>
      </c>
      <c r="BQ326">
        <f t="shared" ca="1" si="155"/>
        <v>0</v>
      </c>
      <c r="BR326">
        <f ca="1">IF(ROW()&lt;($C$7+1),"",IFERROR((分析データ!F326-AVERAGE(OFFSET(分析データ!F$1,MAX(1,ROW()-$C$7),0,MIN($C$7,ROW()-1),1)))/STDEV(OFFSET(分析データ!F$1,MAX(1,ROW()-$C$7),0,MIN($C$7,ROW()-1),1)),0))</f>
        <v>-1.6658357624920082</v>
      </c>
      <c r="BS326">
        <f t="shared" ca="1" si="156"/>
        <v>0</v>
      </c>
      <c r="BT326" t="str">
        <f ca="1">IF(BS326=1,IF(INDEX(分析データ!$A:$A,ROW()+$C$5)&lt;&gt;"",40000*SIGN(BR326)*(分析データ!F326-INDEX(分析データ!F:F,ROW()+$C$5)),""),"")</f>
        <v/>
      </c>
      <c r="BU326">
        <f t="shared" ca="1" si="157"/>
        <v>583200.00000000163</v>
      </c>
      <c r="BV326">
        <f t="shared" ca="1" si="158"/>
        <v>583200.00000000163</v>
      </c>
      <c r="BW326">
        <f t="shared" ca="1" si="159"/>
        <v>0</v>
      </c>
      <c r="BX326">
        <f ca="1">IF(ROW()&lt;($C$7+1),"",IFERROR((分析データ!G326-AVERAGE(OFFSET(分析データ!G$1,MAX(1,ROW()-$C$7),0,MIN($C$7,ROW()-1),1)))/STDEV(OFFSET(分析データ!G$1,MAX(1,ROW()-$C$7),0,MIN($C$7,ROW()-1),1)),0))</f>
        <v>1.196753487126289</v>
      </c>
      <c r="BY326">
        <f t="shared" ca="1" si="160"/>
        <v>0</v>
      </c>
      <c r="BZ326" t="str">
        <f ca="1">IF(BY326=1,IF(INDEX(分析データ!$A:$A,ROW()+$C$5)&lt;&gt;"",40000*SIGN(BX326)*(分析データ!G326-INDEX(分析データ!G:G,ROW()+$C$5)),""),"")</f>
        <v/>
      </c>
      <c r="CA326">
        <f t="shared" ca="1" si="161"/>
        <v>3095574.2871093722</v>
      </c>
      <c r="CB326">
        <f t="shared" ca="1" si="162"/>
        <v>3095574.2871093722</v>
      </c>
      <c r="CC326">
        <f t="shared" ca="1" si="163"/>
        <v>0</v>
      </c>
      <c r="CD326">
        <f t="shared" ca="1" si="164"/>
        <v>0</v>
      </c>
      <c r="CE326">
        <f t="shared" ca="1" si="165"/>
        <v>3958774.2871093769</v>
      </c>
      <c r="CF326">
        <f t="shared" ca="1" si="166"/>
        <v>3958774.2871093769</v>
      </c>
      <c r="CG326">
        <f t="shared" ca="1" si="167"/>
        <v>0</v>
      </c>
      <c r="CH326" s="10">
        <f>分析データ!A326</f>
        <v>45400</v>
      </c>
    </row>
    <row r="327" spans="46:86">
      <c r="AT327">
        <f ca="1">IF(ROW()&lt;($C$7+1),"",IFERROR((分析データ!B327-AVERAGE(OFFSET(分析データ!B$1,MAX(1,ROW()-$C$7),0,MIN($C$7,ROW()-1),1)))/STDEV(OFFSET(分析データ!B$1,MAX(1,ROW()-$C$7),0,MIN($C$7,ROW()-1),1)),0))</f>
        <v>1.043330557564385</v>
      </c>
      <c r="AU327">
        <f t="shared" ca="1" si="140"/>
        <v>0</v>
      </c>
      <c r="AV327" t="str">
        <f ca="1">IF(AU327=1,IF(INDEX(分析データ!$A:$A,ROW()+$C$5)&lt;&gt;"",80000*SIGN(AT327)*(分析データ!B327-INDEX(分析データ!B:B,ROW()+$C$5)),""),"")</f>
        <v/>
      </c>
      <c r="AW327">
        <f t="shared" ca="1" si="141"/>
        <v>0</v>
      </c>
      <c r="AX327">
        <f t="shared" ca="1" si="142"/>
        <v>0</v>
      </c>
      <c r="AY327">
        <f t="shared" ca="1" si="143"/>
        <v>0</v>
      </c>
      <c r="AZ327">
        <f ca="1">IF(ROW()&lt;($C$7+1),"",IFERROR((分析データ!C327-AVERAGE(OFFSET(分析データ!C$1,MAX(1,ROW()-$C$7),0,MIN($C$7,ROW()-1),1)))/STDEV(OFFSET(分析データ!C$1,MAX(1,ROW()-$C$7),0,MIN($C$7,ROW()-1),1)),0))</f>
        <v>-1.2714488221077869</v>
      </c>
      <c r="BA327">
        <f t="shared" ca="1" si="144"/>
        <v>0</v>
      </c>
      <c r="BB327" t="str">
        <f ca="1">IF(BA327=1,IF(INDEX(分析データ!$A:$A,ROW()+$C$5)&lt;&gt;"",60000*SIGN(AZ327)*(分析データ!C327-INDEX(分析データ!C:C,ROW()+$C$5)),""),"")</f>
        <v/>
      </c>
      <c r="BC327">
        <f t="shared" ca="1" si="145"/>
        <v>0</v>
      </c>
      <c r="BD327">
        <f t="shared" ca="1" si="146"/>
        <v>0</v>
      </c>
      <c r="BE327">
        <f t="shared" ca="1" si="147"/>
        <v>0</v>
      </c>
      <c r="BF327">
        <f ca="1">IF(ROW()&lt;($C$7+1),"",IFERROR((分析データ!D327-AVERAGE(OFFSET(分析データ!D$1,MAX(1,ROW()-$C$7),0,MIN($C$7,ROW()-1),1)))/STDEV(OFFSET(分析データ!D$1,MAX(1,ROW()-$C$7),0,MIN($C$7,ROW()-1),1)),0))</f>
        <v>1.2200433791741041</v>
      </c>
      <c r="BG327">
        <f t="shared" ca="1" si="148"/>
        <v>0</v>
      </c>
      <c r="BH327" t="str">
        <f ca="1">IF(BG327=1,IF(INDEX(分析データ!$A:$A,ROW()+$C$5)&lt;&gt;"",50000*SIGN(BF327)*(分析データ!D327-INDEX(分析データ!D:D,ROW()+$C$5)),""),"")</f>
        <v/>
      </c>
      <c r="BI327">
        <f t="shared" ca="1" si="149"/>
        <v>0</v>
      </c>
      <c r="BJ327">
        <f t="shared" ca="1" si="150"/>
        <v>0</v>
      </c>
      <c r="BK327">
        <f t="shared" ca="1" si="151"/>
        <v>0</v>
      </c>
      <c r="BL327">
        <f ca="1">IF(ROW()&lt;($C$7+1),"",IFERROR((分析データ!E327-AVERAGE(OFFSET(分析データ!E$1,MAX(1,ROW()-$C$7),0,MIN($C$7,ROW()-1),1)))/STDEV(OFFSET(分析データ!E$1,MAX(1,ROW()-$C$7),0,MIN($C$7,ROW()-1),1)),0))</f>
        <v>8.8087547677261527E-2</v>
      </c>
      <c r="BM327">
        <f t="shared" ca="1" si="152"/>
        <v>0</v>
      </c>
      <c r="BN327" t="str">
        <f ca="1">IF(BM327=1,IF(INDEX(分析データ!$A:$A,ROW()+$C$5)&lt;&gt;"",40000*SIGN(BL327)*(分析データ!E327-INDEX(分析データ!E:E,ROW()+$C$5)),""),"")</f>
        <v/>
      </c>
      <c r="BO327">
        <f t="shared" ca="1" si="153"/>
        <v>280000.00000000291</v>
      </c>
      <c r="BP327">
        <f t="shared" ca="1" si="154"/>
        <v>280000.00000000291</v>
      </c>
      <c r="BQ327">
        <f t="shared" ca="1" si="155"/>
        <v>0</v>
      </c>
      <c r="BR327">
        <f ca="1">IF(ROW()&lt;($C$7+1),"",IFERROR((分析データ!F327-AVERAGE(OFFSET(分析データ!F$1,MAX(1,ROW()-$C$7),0,MIN($C$7,ROW()-1),1)))/STDEV(OFFSET(分析データ!F$1,MAX(1,ROW()-$C$7),0,MIN($C$7,ROW()-1),1)),0))</f>
        <v>-1.6097249051027993</v>
      </c>
      <c r="BS327">
        <f t="shared" ca="1" si="156"/>
        <v>0</v>
      </c>
      <c r="BT327" t="str">
        <f ca="1">IF(BS327=1,IF(INDEX(分析データ!$A:$A,ROW()+$C$5)&lt;&gt;"",40000*SIGN(BR327)*(分析データ!F327-INDEX(分析データ!F:F,ROW()+$C$5)),""),"")</f>
        <v/>
      </c>
      <c r="BU327">
        <f t="shared" ca="1" si="157"/>
        <v>583200.00000000163</v>
      </c>
      <c r="BV327">
        <f t="shared" ca="1" si="158"/>
        <v>583200.00000000163</v>
      </c>
      <c r="BW327">
        <f t="shared" ca="1" si="159"/>
        <v>0</v>
      </c>
      <c r="BX327">
        <f ca="1">IF(ROW()&lt;($C$7+1),"",IFERROR((分析データ!G327-AVERAGE(OFFSET(分析データ!G$1,MAX(1,ROW()-$C$7),0,MIN($C$7,ROW()-1),1)))/STDEV(OFFSET(分析データ!G$1,MAX(1,ROW()-$C$7),0,MIN($C$7,ROW()-1),1)),0))</f>
        <v>1.0999392276096283</v>
      </c>
      <c r="BY327">
        <f t="shared" ca="1" si="160"/>
        <v>0</v>
      </c>
      <c r="BZ327" t="str">
        <f ca="1">IF(BY327=1,IF(INDEX(分析データ!$A:$A,ROW()+$C$5)&lt;&gt;"",40000*SIGN(BX327)*(分析データ!G327-INDEX(分析データ!G:G,ROW()+$C$5)),""),"")</f>
        <v/>
      </c>
      <c r="CA327">
        <f t="shared" ca="1" si="161"/>
        <v>3095574.2871093722</v>
      </c>
      <c r="CB327">
        <f t="shared" ca="1" si="162"/>
        <v>3095574.2871093722</v>
      </c>
      <c r="CC327">
        <f t="shared" ca="1" si="163"/>
        <v>0</v>
      </c>
      <c r="CD327">
        <f t="shared" ca="1" si="164"/>
        <v>0</v>
      </c>
      <c r="CE327">
        <f t="shared" ca="1" si="165"/>
        <v>3958774.2871093769</v>
      </c>
      <c r="CF327">
        <f t="shared" ca="1" si="166"/>
        <v>3958774.2871093769</v>
      </c>
      <c r="CG327">
        <f t="shared" ca="1" si="167"/>
        <v>0</v>
      </c>
      <c r="CH327" s="10">
        <f>分析データ!A327</f>
        <v>45401</v>
      </c>
    </row>
    <row r="328" spans="46:86">
      <c r="AT328">
        <f ca="1">IF(ROW()&lt;($C$7+1),"",IFERROR((分析データ!B328-AVERAGE(OFFSET(分析データ!B$1,MAX(1,ROW()-$C$7),0,MIN($C$7,ROW()-1),1)))/STDEV(OFFSET(分析データ!B$1,MAX(1,ROW()-$C$7),0,MIN($C$7,ROW()-1),1)),0))</f>
        <v>1.0351500639503421</v>
      </c>
      <c r="AU328">
        <f t="shared" ca="1" si="140"/>
        <v>0</v>
      </c>
      <c r="AV328" t="str">
        <f ca="1">IF(AU328=1,IF(INDEX(分析データ!$A:$A,ROW()+$C$5)&lt;&gt;"",80000*SIGN(AT328)*(分析データ!B328-INDEX(分析データ!B:B,ROW()+$C$5)),""),"")</f>
        <v/>
      </c>
      <c r="AW328">
        <f t="shared" ca="1" si="141"/>
        <v>0</v>
      </c>
      <c r="AX328">
        <f t="shared" ca="1" si="142"/>
        <v>0</v>
      </c>
      <c r="AY328">
        <f t="shared" ca="1" si="143"/>
        <v>0</v>
      </c>
      <c r="AZ328">
        <f ca="1">IF(ROW()&lt;($C$7+1),"",IFERROR((分析データ!C328-AVERAGE(OFFSET(分析データ!C$1,MAX(1,ROW()-$C$7),0,MIN($C$7,ROW()-1),1)))/STDEV(OFFSET(分析データ!C$1,MAX(1,ROW()-$C$7),0,MIN($C$7,ROW()-1),1)),0))</f>
        <v>-0.94707469946540768</v>
      </c>
      <c r="BA328">
        <f t="shared" ca="1" si="144"/>
        <v>0</v>
      </c>
      <c r="BB328" t="str">
        <f ca="1">IF(BA328=1,IF(INDEX(分析データ!$A:$A,ROW()+$C$5)&lt;&gt;"",60000*SIGN(AZ328)*(分析データ!C328-INDEX(分析データ!C:C,ROW()+$C$5)),""),"")</f>
        <v/>
      </c>
      <c r="BC328">
        <f t="shared" ca="1" si="145"/>
        <v>0</v>
      </c>
      <c r="BD328">
        <f t="shared" ca="1" si="146"/>
        <v>0</v>
      </c>
      <c r="BE328">
        <f t="shared" ca="1" si="147"/>
        <v>0</v>
      </c>
      <c r="BF328">
        <f ca="1">IF(ROW()&lt;($C$7+1),"",IFERROR((分析データ!D328-AVERAGE(OFFSET(分析データ!D$1,MAX(1,ROW()-$C$7),0,MIN($C$7,ROW()-1),1)))/STDEV(OFFSET(分析データ!D$1,MAX(1,ROW()-$C$7),0,MIN($C$7,ROW()-1),1)),0))</f>
        <v>1.0131124091301562</v>
      </c>
      <c r="BG328">
        <f t="shared" ca="1" si="148"/>
        <v>0</v>
      </c>
      <c r="BH328" t="str">
        <f ca="1">IF(BG328=1,IF(INDEX(分析データ!$A:$A,ROW()+$C$5)&lt;&gt;"",50000*SIGN(BF328)*(分析データ!D328-INDEX(分析データ!D:D,ROW()+$C$5)),""),"")</f>
        <v/>
      </c>
      <c r="BI328">
        <f t="shared" ca="1" si="149"/>
        <v>0</v>
      </c>
      <c r="BJ328">
        <f t="shared" ca="1" si="150"/>
        <v>0</v>
      </c>
      <c r="BK328">
        <f t="shared" ca="1" si="151"/>
        <v>0</v>
      </c>
      <c r="BL328">
        <f ca="1">IF(ROW()&lt;($C$7+1),"",IFERROR((分析データ!E328-AVERAGE(OFFSET(分析データ!E$1,MAX(1,ROW()-$C$7),0,MIN($C$7,ROW()-1),1)))/STDEV(OFFSET(分析データ!E$1,MAX(1,ROW()-$C$7),0,MIN($C$7,ROW()-1),1)),0))</f>
        <v>8.5442057826957449E-2</v>
      </c>
      <c r="BM328">
        <f t="shared" ca="1" si="152"/>
        <v>0</v>
      </c>
      <c r="BN328" t="str">
        <f ca="1">IF(BM328=1,IF(INDEX(分析データ!$A:$A,ROW()+$C$5)&lt;&gt;"",40000*SIGN(BL328)*(分析データ!E328-INDEX(分析データ!E:E,ROW()+$C$5)),""),"")</f>
        <v/>
      </c>
      <c r="BO328">
        <f t="shared" ca="1" si="153"/>
        <v>280000.00000000291</v>
      </c>
      <c r="BP328">
        <f t="shared" ca="1" si="154"/>
        <v>280000.00000000291</v>
      </c>
      <c r="BQ328">
        <f t="shared" ca="1" si="155"/>
        <v>0</v>
      </c>
      <c r="BR328">
        <f ca="1">IF(ROW()&lt;($C$7+1),"",IFERROR((分析データ!F328-AVERAGE(OFFSET(分析データ!F$1,MAX(1,ROW()-$C$7),0,MIN($C$7,ROW()-1),1)))/STDEV(OFFSET(分析データ!F$1,MAX(1,ROW()-$C$7),0,MIN($C$7,ROW()-1),1)),0))</f>
        <v>-1.6989309409848417</v>
      </c>
      <c r="BS328">
        <f t="shared" ca="1" si="156"/>
        <v>0</v>
      </c>
      <c r="BT328" t="str">
        <f ca="1">IF(BS328=1,IF(INDEX(分析データ!$A:$A,ROW()+$C$5)&lt;&gt;"",40000*SIGN(BR328)*(分析データ!F328-INDEX(分析データ!F:F,ROW()+$C$5)),""),"")</f>
        <v/>
      </c>
      <c r="BU328">
        <f t="shared" ca="1" si="157"/>
        <v>583200.00000000163</v>
      </c>
      <c r="BV328">
        <f t="shared" ca="1" si="158"/>
        <v>583200.00000000163</v>
      </c>
      <c r="BW328">
        <f t="shared" ca="1" si="159"/>
        <v>0</v>
      </c>
      <c r="BX328">
        <f ca="1">IF(ROW()&lt;($C$7+1),"",IFERROR((分析データ!G328-AVERAGE(OFFSET(分析データ!G$1,MAX(1,ROW()-$C$7),0,MIN($C$7,ROW()-1),1)))/STDEV(OFFSET(分析データ!G$1,MAX(1,ROW()-$C$7),0,MIN($C$7,ROW()-1),1)),0))</f>
        <v>1.4100410393292928</v>
      </c>
      <c r="BY328">
        <f t="shared" ca="1" si="160"/>
        <v>0</v>
      </c>
      <c r="BZ328" t="str">
        <f ca="1">IF(BY328=1,IF(INDEX(分析データ!$A:$A,ROW()+$C$5)&lt;&gt;"",40000*SIGN(BX328)*(分析データ!G328-INDEX(分析データ!G:G,ROW()+$C$5)),""),"")</f>
        <v/>
      </c>
      <c r="CA328">
        <f t="shared" ca="1" si="161"/>
        <v>3095574.2871093722</v>
      </c>
      <c r="CB328">
        <f t="shared" ca="1" si="162"/>
        <v>3095574.2871093722</v>
      </c>
      <c r="CC328">
        <f t="shared" ca="1" si="163"/>
        <v>0</v>
      </c>
      <c r="CD328">
        <f t="shared" ca="1" si="164"/>
        <v>0</v>
      </c>
      <c r="CE328">
        <f t="shared" ca="1" si="165"/>
        <v>3958774.2871093769</v>
      </c>
      <c r="CF328">
        <f t="shared" ca="1" si="166"/>
        <v>3958774.2871093769</v>
      </c>
      <c r="CG328">
        <f t="shared" ca="1" si="167"/>
        <v>0</v>
      </c>
      <c r="CH328" s="10">
        <f>分析データ!A328</f>
        <v>45404</v>
      </c>
    </row>
    <row r="329" spans="46:86">
      <c r="AT329">
        <f ca="1">IF(ROW()&lt;($C$7+1),"",IFERROR((分析データ!B329-AVERAGE(OFFSET(分析データ!B$1,MAX(1,ROW()-$C$7),0,MIN($C$7,ROW()-1),1)))/STDEV(OFFSET(分析データ!B$1,MAX(1,ROW()-$C$7),0,MIN($C$7,ROW()-1),1)),0))</f>
        <v>1.4013489661211755</v>
      </c>
      <c r="AU329">
        <f t="shared" ca="1" si="140"/>
        <v>0</v>
      </c>
      <c r="AV329" t="str">
        <f ca="1">IF(AU329=1,IF(INDEX(分析データ!$A:$A,ROW()+$C$5)&lt;&gt;"",80000*SIGN(AT329)*(分析データ!B329-INDEX(分析データ!B:B,ROW()+$C$5)),""),"")</f>
        <v/>
      </c>
      <c r="AW329">
        <f t="shared" ca="1" si="141"/>
        <v>0</v>
      </c>
      <c r="AX329">
        <f t="shared" ca="1" si="142"/>
        <v>0</v>
      </c>
      <c r="AY329">
        <f t="shared" ca="1" si="143"/>
        <v>0</v>
      </c>
      <c r="AZ329">
        <f ca="1">IF(ROW()&lt;($C$7+1),"",IFERROR((分析データ!C329-AVERAGE(OFFSET(分析データ!C$1,MAX(1,ROW()-$C$7),0,MIN($C$7,ROW()-1),1)))/STDEV(OFFSET(分析データ!C$1,MAX(1,ROW()-$C$7),0,MIN($C$7,ROW()-1),1)),0))</f>
        <v>-1.1961422764467673</v>
      </c>
      <c r="BA329">
        <f t="shared" ca="1" si="144"/>
        <v>0</v>
      </c>
      <c r="BB329" t="str">
        <f ca="1">IF(BA329=1,IF(INDEX(分析データ!$A:$A,ROW()+$C$5)&lt;&gt;"",60000*SIGN(AZ329)*(分析データ!C329-INDEX(分析データ!C:C,ROW()+$C$5)),""),"")</f>
        <v/>
      </c>
      <c r="BC329">
        <f t="shared" ca="1" si="145"/>
        <v>0</v>
      </c>
      <c r="BD329">
        <f t="shared" ca="1" si="146"/>
        <v>0</v>
      </c>
      <c r="BE329">
        <f t="shared" ca="1" si="147"/>
        <v>0</v>
      </c>
      <c r="BF329">
        <f ca="1">IF(ROW()&lt;($C$7+1),"",IFERROR((分析データ!D329-AVERAGE(OFFSET(分析データ!D$1,MAX(1,ROW()-$C$7),0,MIN($C$7,ROW()-1),1)))/STDEV(OFFSET(分析データ!D$1,MAX(1,ROW()-$C$7),0,MIN($C$7,ROW()-1),1)),0))</f>
        <v>0.96076818894014637</v>
      </c>
      <c r="BG329">
        <f t="shared" ca="1" si="148"/>
        <v>0</v>
      </c>
      <c r="BH329" t="str">
        <f ca="1">IF(BG329=1,IF(INDEX(分析データ!$A:$A,ROW()+$C$5)&lt;&gt;"",50000*SIGN(BF329)*(分析データ!D329-INDEX(分析データ!D:D,ROW()+$C$5)),""),"")</f>
        <v/>
      </c>
      <c r="BI329">
        <f t="shared" ca="1" si="149"/>
        <v>0</v>
      </c>
      <c r="BJ329">
        <f t="shared" ca="1" si="150"/>
        <v>0</v>
      </c>
      <c r="BK329">
        <f t="shared" ca="1" si="151"/>
        <v>0</v>
      </c>
      <c r="BL329">
        <f ca="1">IF(ROW()&lt;($C$7+1),"",IFERROR((分析データ!E329-AVERAGE(OFFSET(分析データ!E$1,MAX(1,ROW()-$C$7),0,MIN($C$7,ROW()-1),1)))/STDEV(OFFSET(分析データ!E$1,MAX(1,ROW()-$C$7),0,MIN($C$7,ROW()-1),1)),0))</f>
        <v>0.27763684767221664</v>
      </c>
      <c r="BM329">
        <f t="shared" ca="1" si="152"/>
        <v>0</v>
      </c>
      <c r="BN329" t="str">
        <f ca="1">IF(BM329=1,IF(INDEX(分析データ!$A:$A,ROW()+$C$5)&lt;&gt;"",40000*SIGN(BL329)*(分析データ!E329-INDEX(分析データ!E:E,ROW()+$C$5)),""),"")</f>
        <v/>
      </c>
      <c r="BO329">
        <f t="shared" ca="1" si="153"/>
        <v>280000.00000000291</v>
      </c>
      <c r="BP329">
        <f t="shared" ca="1" si="154"/>
        <v>280000.00000000291</v>
      </c>
      <c r="BQ329">
        <f t="shared" ca="1" si="155"/>
        <v>0</v>
      </c>
      <c r="BR329">
        <f ca="1">IF(ROW()&lt;($C$7+1),"",IFERROR((分析データ!F329-AVERAGE(OFFSET(分析データ!F$1,MAX(1,ROW()-$C$7),0,MIN($C$7,ROW()-1),1)))/STDEV(OFFSET(分析データ!F$1,MAX(1,ROW()-$C$7),0,MIN($C$7,ROW()-1),1)),0))</f>
        <v>-1.9098114634175616</v>
      </c>
      <c r="BS329">
        <f t="shared" ca="1" si="156"/>
        <v>0</v>
      </c>
      <c r="BT329" t="str">
        <f ca="1">IF(BS329=1,IF(INDEX(分析データ!$A:$A,ROW()+$C$5)&lt;&gt;"",40000*SIGN(BR329)*(分析データ!F329-INDEX(分析データ!F:F,ROW()+$C$5)),""),"")</f>
        <v/>
      </c>
      <c r="BU329">
        <f t="shared" ca="1" si="157"/>
        <v>583200.00000000163</v>
      </c>
      <c r="BV329">
        <f t="shared" ca="1" si="158"/>
        <v>583200.00000000163</v>
      </c>
      <c r="BW329">
        <f t="shared" ca="1" si="159"/>
        <v>0</v>
      </c>
      <c r="BX329">
        <f ca="1">IF(ROW()&lt;($C$7+1),"",IFERROR((分析データ!G329-AVERAGE(OFFSET(分析データ!G$1,MAX(1,ROW()-$C$7),0,MIN($C$7,ROW()-1),1)))/STDEV(OFFSET(分析データ!G$1,MAX(1,ROW()-$C$7),0,MIN($C$7,ROW()-1),1)),0))</f>
        <v>1.6939272111093169</v>
      </c>
      <c r="BY329">
        <f t="shared" ca="1" si="160"/>
        <v>0</v>
      </c>
      <c r="BZ329" t="str">
        <f ca="1">IF(BY329=1,IF(INDEX(分析データ!$A:$A,ROW()+$C$5)&lt;&gt;"",40000*SIGN(BX329)*(分析データ!G329-INDEX(分析データ!G:G,ROW()+$C$5)),""),"")</f>
        <v/>
      </c>
      <c r="CA329">
        <f t="shared" ca="1" si="161"/>
        <v>3095574.2871093722</v>
      </c>
      <c r="CB329">
        <f t="shared" ca="1" si="162"/>
        <v>3095574.2871093722</v>
      </c>
      <c r="CC329">
        <f t="shared" ca="1" si="163"/>
        <v>0</v>
      </c>
      <c r="CD329">
        <f t="shared" ca="1" si="164"/>
        <v>0</v>
      </c>
      <c r="CE329">
        <f t="shared" ca="1" si="165"/>
        <v>3958774.2871093769</v>
      </c>
      <c r="CF329">
        <f t="shared" ca="1" si="166"/>
        <v>3958774.2871093769</v>
      </c>
      <c r="CG329">
        <f t="shared" ca="1" si="167"/>
        <v>0</v>
      </c>
      <c r="CH329" s="10">
        <f>分析データ!A329</f>
        <v>45405</v>
      </c>
    </row>
    <row r="330" spans="46:86">
      <c r="AT330">
        <f ca="1">IF(ROW()&lt;($C$7+1),"",IFERROR((分析データ!B330-AVERAGE(OFFSET(分析データ!B$1,MAX(1,ROW()-$C$7),0,MIN($C$7,ROW()-1),1)))/STDEV(OFFSET(分析データ!B$1,MAX(1,ROW()-$C$7),0,MIN($C$7,ROW()-1),1)),0))</f>
        <v>1.388989924942966</v>
      </c>
      <c r="AU330">
        <f t="shared" ca="1" si="140"/>
        <v>0</v>
      </c>
      <c r="AV330" t="str">
        <f ca="1">IF(AU330=1,IF(INDEX(分析データ!$A:$A,ROW()+$C$5)&lt;&gt;"",80000*SIGN(AT330)*(分析データ!B330-INDEX(分析データ!B:B,ROW()+$C$5)),""),"")</f>
        <v/>
      </c>
      <c r="AW330">
        <f t="shared" ca="1" si="141"/>
        <v>0</v>
      </c>
      <c r="AX330">
        <f t="shared" ca="1" si="142"/>
        <v>0</v>
      </c>
      <c r="AY330">
        <f t="shared" ca="1" si="143"/>
        <v>0</v>
      </c>
      <c r="AZ330">
        <f ca="1">IF(ROW()&lt;($C$7+1),"",IFERROR((分析データ!C330-AVERAGE(OFFSET(分析データ!C$1,MAX(1,ROW()-$C$7),0,MIN($C$7,ROW()-1),1)))/STDEV(OFFSET(分析データ!C$1,MAX(1,ROW()-$C$7),0,MIN($C$7,ROW()-1),1)),0))</f>
        <v>-1.0986777972298061</v>
      </c>
      <c r="BA330">
        <f t="shared" ca="1" si="144"/>
        <v>0</v>
      </c>
      <c r="BB330" t="str">
        <f ca="1">IF(BA330=1,IF(INDEX(分析データ!$A:$A,ROW()+$C$5)&lt;&gt;"",60000*SIGN(AZ330)*(分析データ!C330-INDEX(分析データ!C:C,ROW()+$C$5)),""),"")</f>
        <v/>
      </c>
      <c r="BC330">
        <f t="shared" ca="1" si="145"/>
        <v>0</v>
      </c>
      <c r="BD330">
        <f t="shared" ca="1" si="146"/>
        <v>0</v>
      </c>
      <c r="BE330">
        <f t="shared" ca="1" si="147"/>
        <v>0</v>
      </c>
      <c r="BF330">
        <f ca="1">IF(ROW()&lt;($C$7+1),"",IFERROR((分析データ!D330-AVERAGE(OFFSET(分析データ!D$1,MAX(1,ROW()-$C$7),0,MIN($C$7,ROW()-1),1)))/STDEV(OFFSET(分析データ!D$1,MAX(1,ROW()-$C$7),0,MIN($C$7,ROW()-1),1)),0))</f>
        <v>1.0997246496266182</v>
      </c>
      <c r="BG330">
        <f t="shared" ca="1" si="148"/>
        <v>0</v>
      </c>
      <c r="BH330" t="str">
        <f ca="1">IF(BG330=1,IF(INDEX(分析データ!$A:$A,ROW()+$C$5)&lt;&gt;"",50000*SIGN(BF330)*(分析データ!D330-INDEX(分析データ!D:D,ROW()+$C$5)),""),"")</f>
        <v/>
      </c>
      <c r="BI330">
        <f t="shared" ca="1" si="149"/>
        <v>0</v>
      </c>
      <c r="BJ330">
        <f t="shared" ca="1" si="150"/>
        <v>0</v>
      </c>
      <c r="BK330">
        <f t="shared" ca="1" si="151"/>
        <v>0</v>
      </c>
      <c r="BL330">
        <f ca="1">IF(ROW()&lt;($C$7+1),"",IFERROR((分析データ!E330-AVERAGE(OFFSET(分析データ!E$1,MAX(1,ROW()-$C$7),0,MIN($C$7,ROW()-1),1)))/STDEV(OFFSET(分析データ!E$1,MAX(1,ROW()-$C$7),0,MIN($C$7,ROW()-1),1)),0))</f>
        <v>0.56592323064357941</v>
      </c>
      <c r="BM330">
        <f t="shared" ca="1" si="152"/>
        <v>0</v>
      </c>
      <c r="BN330" t="str">
        <f ca="1">IF(BM330=1,IF(INDEX(分析データ!$A:$A,ROW()+$C$5)&lt;&gt;"",40000*SIGN(BL330)*(分析データ!E330-INDEX(分析データ!E:E,ROW()+$C$5)),""),"")</f>
        <v/>
      </c>
      <c r="BO330">
        <f t="shared" ca="1" si="153"/>
        <v>280000.00000000291</v>
      </c>
      <c r="BP330">
        <f t="shared" ca="1" si="154"/>
        <v>280000.00000000291</v>
      </c>
      <c r="BQ330">
        <f t="shared" ca="1" si="155"/>
        <v>0</v>
      </c>
      <c r="BR330">
        <f ca="1">IF(ROW()&lt;($C$7+1),"",IFERROR((分析データ!F330-AVERAGE(OFFSET(分析データ!F$1,MAX(1,ROW()-$C$7),0,MIN($C$7,ROW()-1),1)))/STDEV(OFFSET(分析データ!F$1,MAX(1,ROW()-$C$7),0,MIN($C$7,ROW()-1),1)),0))</f>
        <v>-1.8593105648437918</v>
      </c>
      <c r="BS330">
        <f t="shared" ca="1" si="156"/>
        <v>0</v>
      </c>
      <c r="BT330" t="str">
        <f ca="1">IF(BS330=1,IF(INDEX(分析データ!$A:$A,ROW()+$C$5)&lt;&gt;"",40000*SIGN(BR330)*(分析データ!F330-INDEX(分析データ!F:F,ROW()+$C$5)),""),"")</f>
        <v/>
      </c>
      <c r="BU330">
        <f t="shared" ca="1" si="157"/>
        <v>583200.00000000163</v>
      </c>
      <c r="BV330">
        <f t="shared" ca="1" si="158"/>
        <v>583200.00000000163</v>
      </c>
      <c r="BW330">
        <f t="shared" ca="1" si="159"/>
        <v>0</v>
      </c>
      <c r="BX330">
        <f ca="1">IF(ROW()&lt;($C$7+1),"",IFERROR((分析データ!G330-AVERAGE(OFFSET(分析データ!G$1,MAX(1,ROW()-$C$7),0,MIN($C$7,ROW()-1),1)))/STDEV(OFFSET(分析データ!G$1,MAX(1,ROW()-$C$7),0,MIN($C$7,ROW()-1),1)),0))</f>
        <v>1.4741539549321883</v>
      </c>
      <c r="BY330">
        <f t="shared" ca="1" si="160"/>
        <v>0</v>
      </c>
      <c r="BZ330" t="str">
        <f ca="1">IF(BY330=1,IF(INDEX(分析データ!$A:$A,ROW()+$C$5)&lt;&gt;"",40000*SIGN(BX330)*(分析データ!G330-INDEX(分析データ!G:G,ROW()+$C$5)),""),"")</f>
        <v/>
      </c>
      <c r="CA330">
        <f t="shared" ca="1" si="161"/>
        <v>3095574.2871093722</v>
      </c>
      <c r="CB330">
        <f t="shared" ca="1" si="162"/>
        <v>3095574.2871093722</v>
      </c>
      <c r="CC330">
        <f t="shared" ca="1" si="163"/>
        <v>0</v>
      </c>
      <c r="CD330">
        <f t="shared" ca="1" si="164"/>
        <v>0</v>
      </c>
      <c r="CE330">
        <f t="shared" ca="1" si="165"/>
        <v>3958774.2871093769</v>
      </c>
      <c r="CF330">
        <f t="shared" ca="1" si="166"/>
        <v>3958774.2871093769</v>
      </c>
      <c r="CG330">
        <f t="shared" ca="1" si="167"/>
        <v>0</v>
      </c>
      <c r="CH330" s="10">
        <f>分析データ!A330</f>
        <v>45406</v>
      </c>
    </row>
    <row r="331" spans="46:86">
      <c r="AT331">
        <f ca="1">IF(ROW()&lt;($C$7+1),"",IFERROR((分析データ!B331-AVERAGE(OFFSET(分析データ!B$1,MAX(1,ROW()-$C$7),0,MIN($C$7,ROW()-1),1)))/STDEV(OFFSET(分析データ!B$1,MAX(1,ROW()-$C$7),0,MIN($C$7,ROW()-1),1)),0))</f>
        <v>1.3304073884246066</v>
      </c>
      <c r="AU331">
        <f t="shared" ca="1" si="140"/>
        <v>0</v>
      </c>
      <c r="AV331" t="str">
        <f ca="1">IF(AU331=1,IF(INDEX(分析データ!$A:$A,ROW()+$C$5)&lt;&gt;"",80000*SIGN(AT331)*(分析データ!B331-INDEX(分析データ!B:B,ROW()+$C$5)),""),"")</f>
        <v/>
      </c>
      <c r="AW331">
        <f t="shared" ca="1" si="141"/>
        <v>0</v>
      </c>
      <c r="AX331">
        <f t="shared" ca="1" si="142"/>
        <v>0</v>
      </c>
      <c r="AY331">
        <f t="shared" ca="1" si="143"/>
        <v>0</v>
      </c>
      <c r="AZ331">
        <f ca="1">IF(ROW()&lt;($C$7+1),"",IFERROR((分析データ!C331-AVERAGE(OFFSET(分析データ!C$1,MAX(1,ROW()-$C$7),0,MIN($C$7,ROW()-1),1)))/STDEV(OFFSET(分析データ!C$1,MAX(1,ROW()-$C$7),0,MIN($C$7,ROW()-1),1)),0))</f>
        <v>-0.99239851512612409</v>
      </c>
      <c r="BA331">
        <f t="shared" ca="1" si="144"/>
        <v>0</v>
      </c>
      <c r="BB331" t="str">
        <f ca="1">IF(BA331=1,IF(INDEX(分析データ!$A:$A,ROW()+$C$5)&lt;&gt;"",60000*SIGN(AZ331)*(分析データ!C331-INDEX(分析データ!C:C,ROW()+$C$5)),""),"")</f>
        <v/>
      </c>
      <c r="BC331">
        <f t="shared" ca="1" si="145"/>
        <v>0</v>
      </c>
      <c r="BD331">
        <f t="shared" ca="1" si="146"/>
        <v>0</v>
      </c>
      <c r="BE331">
        <f t="shared" ca="1" si="147"/>
        <v>0</v>
      </c>
      <c r="BF331">
        <f ca="1">IF(ROW()&lt;($C$7+1),"",IFERROR((分析データ!D331-AVERAGE(OFFSET(分析データ!D$1,MAX(1,ROW()-$C$7),0,MIN($C$7,ROW()-1),1)))/STDEV(OFFSET(分析データ!D$1,MAX(1,ROW()-$C$7),0,MIN($C$7,ROW()-1),1)),0))</f>
        <v>1.2811668497237603</v>
      </c>
      <c r="BG331">
        <f t="shared" ca="1" si="148"/>
        <v>0</v>
      </c>
      <c r="BH331" t="str">
        <f ca="1">IF(BG331=1,IF(INDEX(分析データ!$A:$A,ROW()+$C$5)&lt;&gt;"",50000*SIGN(BF331)*(分析データ!D331-INDEX(分析データ!D:D,ROW()+$C$5)),""),"")</f>
        <v/>
      </c>
      <c r="BI331">
        <f t="shared" ca="1" si="149"/>
        <v>0</v>
      </c>
      <c r="BJ331">
        <f t="shared" ca="1" si="150"/>
        <v>0</v>
      </c>
      <c r="BK331">
        <f t="shared" ca="1" si="151"/>
        <v>0</v>
      </c>
      <c r="BL331">
        <f ca="1">IF(ROW()&lt;($C$7+1),"",IFERROR((分析データ!E331-AVERAGE(OFFSET(分析データ!E$1,MAX(1,ROW()-$C$7),0,MIN($C$7,ROW()-1),1)))/STDEV(OFFSET(分析データ!E$1,MAX(1,ROW()-$C$7),0,MIN($C$7,ROW()-1),1)),0))</f>
        <v>0.46530606120723284</v>
      </c>
      <c r="BM331">
        <f t="shared" ca="1" si="152"/>
        <v>0</v>
      </c>
      <c r="BN331" t="str">
        <f ca="1">IF(BM331=1,IF(INDEX(分析データ!$A:$A,ROW()+$C$5)&lt;&gt;"",40000*SIGN(BL331)*(分析データ!E331-INDEX(分析データ!E:E,ROW()+$C$5)),""),"")</f>
        <v/>
      </c>
      <c r="BO331">
        <f t="shared" ca="1" si="153"/>
        <v>280000.00000000291</v>
      </c>
      <c r="BP331">
        <f t="shared" ca="1" si="154"/>
        <v>280000.00000000291</v>
      </c>
      <c r="BQ331">
        <f t="shared" ca="1" si="155"/>
        <v>0</v>
      </c>
      <c r="BR331">
        <f ca="1">IF(ROW()&lt;($C$7+1),"",IFERROR((分析データ!F331-AVERAGE(OFFSET(分析データ!F$1,MAX(1,ROW()-$C$7),0,MIN($C$7,ROW()-1),1)))/STDEV(OFFSET(分析データ!F$1,MAX(1,ROW()-$C$7),0,MIN($C$7,ROW()-1),1)),0))</f>
        <v>-1.7092689193505015</v>
      </c>
      <c r="BS331">
        <f t="shared" ca="1" si="156"/>
        <v>0</v>
      </c>
      <c r="BT331" t="str">
        <f ca="1">IF(BS331=1,IF(INDEX(分析データ!$A:$A,ROW()+$C$5)&lt;&gt;"",40000*SIGN(BR331)*(分析データ!F331-INDEX(分析データ!F:F,ROW()+$C$5)),""),"")</f>
        <v/>
      </c>
      <c r="BU331">
        <f t="shared" ca="1" si="157"/>
        <v>583200.00000000163</v>
      </c>
      <c r="BV331">
        <f t="shared" ca="1" si="158"/>
        <v>583200.00000000163</v>
      </c>
      <c r="BW331">
        <f t="shared" ca="1" si="159"/>
        <v>0</v>
      </c>
      <c r="BX331">
        <f ca="1">IF(ROW()&lt;($C$7+1),"",IFERROR((分析データ!G331-AVERAGE(OFFSET(分析データ!G$1,MAX(1,ROW()-$C$7),0,MIN($C$7,ROW()-1),1)))/STDEV(OFFSET(分析データ!G$1,MAX(1,ROW()-$C$7),0,MIN($C$7,ROW()-1),1)),0))</f>
        <v>1.2352632105097623</v>
      </c>
      <c r="BY331">
        <f t="shared" ca="1" si="160"/>
        <v>0</v>
      </c>
      <c r="BZ331" t="str">
        <f ca="1">IF(BY331=1,IF(INDEX(分析データ!$A:$A,ROW()+$C$5)&lt;&gt;"",40000*SIGN(BX331)*(分析データ!G331-INDEX(分析データ!G:G,ROW()+$C$5)),""),"")</f>
        <v/>
      </c>
      <c r="CA331">
        <f t="shared" ca="1" si="161"/>
        <v>3095574.2871093722</v>
      </c>
      <c r="CB331">
        <f t="shared" ca="1" si="162"/>
        <v>3095574.2871093722</v>
      </c>
      <c r="CC331">
        <f t="shared" ca="1" si="163"/>
        <v>0</v>
      </c>
      <c r="CD331">
        <f t="shared" ca="1" si="164"/>
        <v>0</v>
      </c>
      <c r="CE331">
        <f t="shared" ca="1" si="165"/>
        <v>3958774.2871093769</v>
      </c>
      <c r="CF331">
        <f t="shared" ca="1" si="166"/>
        <v>3958774.2871093769</v>
      </c>
      <c r="CG331">
        <f t="shared" ca="1" si="167"/>
        <v>0</v>
      </c>
      <c r="CH331" s="10">
        <f>分析データ!A331</f>
        <v>45407</v>
      </c>
    </row>
    <row r="332" spans="46:86">
      <c r="AT332">
        <f ca="1">IF(ROW()&lt;($C$7+1),"",IFERROR((分析データ!B332-AVERAGE(OFFSET(分析データ!B$1,MAX(1,ROW()-$C$7),0,MIN($C$7,ROW()-1),1)))/STDEV(OFFSET(分析データ!B$1,MAX(1,ROW()-$C$7),0,MIN($C$7,ROW()-1),1)),0))</f>
        <v>1.2271665785000088</v>
      </c>
      <c r="AU332">
        <f t="shared" ca="1" si="140"/>
        <v>0</v>
      </c>
      <c r="AV332" t="str">
        <f ca="1">IF(AU332=1,IF(INDEX(分析データ!$A:$A,ROW()+$C$5)&lt;&gt;"",80000*SIGN(AT332)*(分析データ!B332-INDEX(分析データ!B:B,ROW()+$C$5)),""),"")</f>
        <v/>
      </c>
      <c r="AW332">
        <f t="shared" ca="1" si="141"/>
        <v>0</v>
      </c>
      <c r="AX332">
        <f t="shared" ca="1" si="142"/>
        <v>0</v>
      </c>
      <c r="AY332">
        <f t="shared" ca="1" si="143"/>
        <v>0</v>
      </c>
      <c r="AZ332">
        <f ca="1">IF(ROW()&lt;($C$7+1),"",IFERROR((分析データ!C332-AVERAGE(OFFSET(分析データ!C$1,MAX(1,ROW()-$C$7),0,MIN($C$7,ROW()-1),1)))/STDEV(OFFSET(分析データ!C$1,MAX(1,ROW()-$C$7),0,MIN($C$7,ROW()-1),1)),0))</f>
        <v>-0.49113312931428466</v>
      </c>
      <c r="BA332">
        <f t="shared" ca="1" si="144"/>
        <v>0</v>
      </c>
      <c r="BB332" t="str">
        <f ca="1">IF(BA332=1,IF(INDEX(分析データ!$A:$A,ROW()+$C$5)&lt;&gt;"",60000*SIGN(AZ332)*(分析データ!C332-INDEX(分析データ!C:C,ROW()+$C$5)),""),"")</f>
        <v/>
      </c>
      <c r="BC332">
        <f t="shared" ca="1" si="145"/>
        <v>0</v>
      </c>
      <c r="BD332">
        <f t="shared" ca="1" si="146"/>
        <v>0</v>
      </c>
      <c r="BE332">
        <f t="shared" ca="1" si="147"/>
        <v>0</v>
      </c>
      <c r="BF332">
        <f ca="1">IF(ROW()&lt;($C$7+1),"",IFERROR((分析データ!D332-AVERAGE(OFFSET(分析データ!D$1,MAX(1,ROW()-$C$7),0,MIN($C$7,ROW()-1),1)))/STDEV(OFFSET(分析データ!D$1,MAX(1,ROW()-$C$7),0,MIN($C$7,ROW()-1),1)),0))</f>
        <v>1.028971821297584</v>
      </c>
      <c r="BG332">
        <f t="shared" ca="1" si="148"/>
        <v>0</v>
      </c>
      <c r="BH332" t="str">
        <f ca="1">IF(BG332=1,IF(INDEX(分析データ!$A:$A,ROW()+$C$5)&lt;&gt;"",50000*SIGN(BF332)*(分析データ!D332-INDEX(分析データ!D:D,ROW()+$C$5)),""),"")</f>
        <v/>
      </c>
      <c r="BI332">
        <f t="shared" ca="1" si="149"/>
        <v>0</v>
      </c>
      <c r="BJ332">
        <f t="shared" ca="1" si="150"/>
        <v>0</v>
      </c>
      <c r="BK332">
        <f t="shared" ca="1" si="151"/>
        <v>0</v>
      </c>
      <c r="BL332">
        <f ca="1">IF(ROW()&lt;($C$7+1),"",IFERROR((分析データ!E332-AVERAGE(OFFSET(分析データ!E$1,MAX(1,ROW()-$C$7),0,MIN($C$7,ROW()-1),1)))/STDEV(OFFSET(分析データ!E$1,MAX(1,ROW()-$C$7),0,MIN($C$7,ROW()-1),1)),0))</f>
        <v>0.3670665458504761</v>
      </c>
      <c r="BM332">
        <f t="shared" ca="1" si="152"/>
        <v>0</v>
      </c>
      <c r="BN332" t="str">
        <f ca="1">IF(BM332=1,IF(INDEX(分析データ!$A:$A,ROW()+$C$5)&lt;&gt;"",40000*SIGN(BL332)*(分析データ!E332-INDEX(分析データ!E:E,ROW()+$C$5)),""),"")</f>
        <v/>
      </c>
      <c r="BO332">
        <f t="shared" ca="1" si="153"/>
        <v>280000.00000000291</v>
      </c>
      <c r="BP332">
        <f t="shared" ca="1" si="154"/>
        <v>280000.00000000291</v>
      </c>
      <c r="BQ332">
        <f t="shared" ca="1" si="155"/>
        <v>0</v>
      </c>
      <c r="BR332">
        <f ca="1">IF(ROW()&lt;($C$7+1),"",IFERROR((分析データ!F332-AVERAGE(OFFSET(分析データ!F$1,MAX(1,ROW()-$C$7),0,MIN($C$7,ROW()-1),1)))/STDEV(OFFSET(分析データ!F$1,MAX(1,ROW()-$C$7),0,MIN($C$7,ROW()-1),1)),0))</f>
        <v>-1.4862119048947313</v>
      </c>
      <c r="BS332">
        <f t="shared" ca="1" si="156"/>
        <v>0</v>
      </c>
      <c r="BT332" t="str">
        <f ca="1">IF(BS332=1,IF(INDEX(分析データ!$A:$A,ROW()+$C$5)&lt;&gt;"",40000*SIGN(BR332)*(分析データ!F332-INDEX(分析データ!F:F,ROW()+$C$5)),""),"")</f>
        <v/>
      </c>
      <c r="BU332">
        <f t="shared" ca="1" si="157"/>
        <v>583200.00000000163</v>
      </c>
      <c r="BV332">
        <f t="shared" ca="1" si="158"/>
        <v>583200.00000000163</v>
      </c>
      <c r="BW332">
        <f t="shared" ca="1" si="159"/>
        <v>0</v>
      </c>
      <c r="BX332">
        <f ca="1">IF(ROW()&lt;($C$7+1),"",IFERROR((分析データ!G332-AVERAGE(OFFSET(分析データ!G$1,MAX(1,ROW()-$C$7),0,MIN($C$7,ROW()-1),1)))/STDEV(OFFSET(分析データ!G$1,MAX(1,ROW()-$C$7),0,MIN($C$7,ROW()-1),1)),0))</f>
        <v>1.1369909147876207</v>
      </c>
      <c r="BY332">
        <f t="shared" ca="1" si="160"/>
        <v>0</v>
      </c>
      <c r="BZ332" t="str">
        <f ca="1">IF(BY332=1,IF(INDEX(分析データ!$A:$A,ROW()+$C$5)&lt;&gt;"",40000*SIGN(BX332)*(分析データ!G332-INDEX(分析データ!G:G,ROW()+$C$5)),""),"")</f>
        <v/>
      </c>
      <c r="CA332">
        <f t="shared" ca="1" si="161"/>
        <v>3095574.2871093722</v>
      </c>
      <c r="CB332">
        <f t="shared" ca="1" si="162"/>
        <v>3095574.2871093722</v>
      </c>
      <c r="CC332">
        <f t="shared" ca="1" si="163"/>
        <v>0</v>
      </c>
      <c r="CD332">
        <f t="shared" ca="1" si="164"/>
        <v>0</v>
      </c>
      <c r="CE332">
        <f t="shared" ca="1" si="165"/>
        <v>3958774.2871093769</v>
      </c>
      <c r="CF332">
        <f t="shared" ca="1" si="166"/>
        <v>3958774.2871093769</v>
      </c>
      <c r="CG332">
        <f t="shared" ca="1" si="167"/>
        <v>0</v>
      </c>
      <c r="CH332" s="10">
        <f>分析データ!A332</f>
        <v>45408</v>
      </c>
    </row>
    <row r="333" spans="46:86">
      <c r="AT333">
        <f ca="1">IF(ROW()&lt;($C$7+1),"",IFERROR((分析データ!B333-AVERAGE(OFFSET(分析データ!B$1,MAX(1,ROW()-$C$7),0,MIN($C$7,ROW()-1),1)))/STDEV(OFFSET(分析データ!B$1,MAX(1,ROW()-$C$7),0,MIN($C$7,ROW()-1),1)),0))</f>
        <v>0.93975957472669236</v>
      </c>
      <c r="AU333">
        <f t="shared" ca="1" si="140"/>
        <v>0</v>
      </c>
      <c r="AV333" t="str">
        <f ca="1">IF(AU333=1,IF(INDEX(分析データ!$A:$A,ROW()+$C$5)&lt;&gt;"",80000*SIGN(AT333)*(分析データ!B333-INDEX(分析データ!B:B,ROW()+$C$5)),""),"")</f>
        <v/>
      </c>
      <c r="AW333">
        <f t="shared" ca="1" si="141"/>
        <v>0</v>
      </c>
      <c r="AX333">
        <f t="shared" ca="1" si="142"/>
        <v>0</v>
      </c>
      <c r="AY333">
        <f t="shared" ca="1" si="143"/>
        <v>0</v>
      </c>
      <c r="AZ333">
        <f ca="1">IF(ROW()&lt;($C$7+1),"",IFERROR((分析データ!C333-AVERAGE(OFFSET(分析データ!C$1,MAX(1,ROW()-$C$7),0,MIN($C$7,ROW()-1),1)))/STDEV(OFFSET(分析データ!C$1,MAX(1,ROW()-$C$7),0,MIN($C$7,ROW()-1),1)),0))</f>
        <v>-0.48967538907972935</v>
      </c>
      <c r="BA333">
        <f t="shared" ca="1" si="144"/>
        <v>0</v>
      </c>
      <c r="BB333" t="str">
        <f ca="1">IF(BA333=1,IF(INDEX(分析データ!$A:$A,ROW()+$C$5)&lt;&gt;"",60000*SIGN(AZ333)*(分析データ!C333-INDEX(分析データ!C:C,ROW()+$C$5)),""),"")</f>
        <v/>
      </c>
      <c r="BC333">
        <f t="shared" ca="1" si="145"/>
        <v>0</v>
      </c>
      <c r="BD333">
        <f t="shared" ca="1" si="146"/>
        <v>0</v>
      </c>
      <c r="BE333">
        <f t="shared" ca="1" si="147"/>
        <v>0</v>
      </c>
      <c r="BF333">
        <f ca="1">IF(ROW()&lt;($C$7+1),"",IFERROR((分析データ!D333-AVERAGE(OFFSET(分析データ!D$1,MAX(1,ROW()-$C$7),0,MIN($C$7,ROW()-1),1)))/STDEV(OFFSET(分析データ!D$1,MAX(1,ROW()-$C$7),0,MIN($C$7,ROW()-1),1)),0))</f>
        <v>0.85387585199792093</v>
      </c>
      <c r="BG333">
        <f t="shared" ca="1" si="148"/>
        <v>0</v>
      </c>
      <c r="BH333" t="str">
        <f ca="1">IF(BG333=1,IF(INDEX(分析データ!$A:$A,ROW()+$C$5)&lt;&gt;"",50000*SIGN(BF333)*(分析データ!D333-INDEX(分析データ!D:D,ROW()+$C$5)),""),"")</f>
        <v/>
      </c>
      <c r="BI333">
        <f t="shared" ca="1" si="149"/>
        <v>0</v>
      </c>
      <c r="BJ333">
        <f t="shared" ca="1" si="150"/>
        <v>0</v>
      </c>
      <c r="BK333">
        <f t="shared" ca="1" si="151"/>
        <v>0</v>
      </c>
      <c r="BL333">
        <f ca="1">IF(ROW()&lt;($C$7+1),"",IFERROR((分析データ!E333-AVERAGE(OFFSET(分析データ!E$1,MAX(1,ROW()-$C$7),0,MIN($C$7,ROW()-1),1)))/STDEV(OFFSET(分析データ!E$1,MAX(1,ROW()-$C$7),0,MIN($C$7,ROW()-1),1)),0))</f>
        <v>0.26928786230038221</v>
      </c>
      <c r="BM333">
        <f t="shared" ca="1" si="152"/>
        <v>0</v>
      </c>
      <c r="BN333" t="str">
        <f ca="1">IF(BM333=1,IF(INDEX(分析データ!$A:$A,ROW()+$C$5)&lt;&gt;"",40000*SIGN(BL333)*(分析データ!E333-INDEX(分析データ!E:E,ROW()+$C$5)),""),"")</f>
        <v/>
      </c>
      <c r="BO333">
        <f t="shared" ca="1" si="153"/>
        <v>280000.00000000291</v>
      </c>
      <c r="BP333">
        <f t="shared" ca="1" si="154"/>
        <v>280000.00000000291</v>
      </c>
      <c r="BQ333">
        <f t="shared" ca="1" si="155"/>
        <v>0</v>
      </c>
      <c r="BR333">
        <f ca="1">IF(ROW()&lt;($C$7+1),"",IFERROR((分析データ!F333-AVERAGE(OFFSET(分析データ!F$1,MAX(1,ROW()-$C$7),0,MIN($C$7,ROW()-1),1)))/STDEV(OFFSET(分析データ!F$1,MAX(1,ROW()-$C$7),0,MIN($C$7,ROW()-1),1)),0))</f>
        <v>-1.5051759305488188</v>
      </c>
      <c r="BS333">
        <f t="shared" ca="1" si="156"/>
        <v>0</v>
      </c>
      <c r="BT333" t="str">
        <f ca="1">IF(BS333=1,IF(INDEX(分析データ!$A:$A,ROW()+$C$5)&lt;&gt;"",40000*SIGN(BR333)*(分析データ!F333-INDEX(分析データ!F:F,ROW()+$C$5)),""),"")</f>
        <v/>
      </c>
      <c r="BU333">
        <f t="shared" ca="1" si="157"/>
        <v>583200.00000000163</v>
      </c>
      <c r="BV333">
        <f t="shared" ca="1" si="158"/>
        <v>583200.00000000163</v>
      </c>
      <c r="BW333">
        <f t="shared" ca="1" si="159"/>
        <v>0</v>
      </c>
      <c r="BX333">
        <f ca="1">IF(ROW()&lt;($C$7+1),"",IFERROR((分析データ!G333-AVERAGE(OFFSET(分析データ!G$1,MAX(1,ROW()-$C$7),0,MIN($C$7,ROW()-1),1)))/STDEV(OFFSET(分析データ!G$1,MAX(1,ROW()-$C$7),0,MIN($C$7,ROW()-1),1)),0))</f>
        <v>1.255189543256096</v>
      </c>
      <c r="BY333">
        <f t="shared" ca="1" si="160"/>
        <v>0</v>
      </c>
      <c r="BZ333" t="str">
        <f ca="1">IF(BY333=1,IF(INDEX(分析データ!$A:$A,ROW()+$C$5)&lt;&gt;"",40000*SIGN(BX333)*(分析データ!G333-INDEX(分析データ!G:G,ROW()+$C$5)),""),"")</f>
        <v/>
      </c>
      <c r="CA333">
        <f t="shared" ca="1" si="161"/>
        <v>3095574.2871093722</v>
      </c>
      <c r="CB333">
        <f t="shared" ca="1" si="162"/>
        <v>3095574.2871093722</v>
      </c>
      <c r="CC333">
        <f t="shared" ca="1" si="163"/>
        <v>0</v>
      </c>
      <c r="CD333">
        <f t="shared" ca="1" si="164"/>
        <v>0</v>
      </c>
      <c r="CE333">
        <f t="shared" ca="1" si="165"/>
        <v>3958774.2871093769</v>
      </c>
      <c r="CF333">
        <f t="shared" ca="1" si="166"/>
        <v>3958774.2871093769</v>
      </c>
      <c r="CG333">
        <f t="shared" ca="1" si="167"/>
        <v>0</v>
      </c>
      <c r="CH333" s="10">
        <f>分析データ!A333</f>
        <v>45411</v>
      </c>
    </row>
    <row r="334" spans="46:86">
      <c r="AT334">
        <f ca="1">IF(ROW()&lt;($C$7+1),"",IFERROR((分析データ!B334-AVERAGE(OFFSET(分析データ!B$1,MAX(1,ROW()-$C$7),0,MIN($C$7,ROW()-1),1)))/STDEV(OFFSET(分析データ!B$1,MAX(1,ROW()-$C$7),0,MIN($C$7,ROW()-1),1)),0))</f>
        <v>0.97917925600649125</v>
      </c>
      <c r="AU334">
        <f t="shared" ca="1" si="140"/>
        <v>0</v>
      </c>
      <c r="AV334" t="str">
        <f ca="1">IF(AU334=1,IF(INDEX(分析データ!$A:$A,ROW()+$C$5)&lt;&gt;"",80000*SIGN(AT334)*(分析データ!B334-INDEX(分析データ!B:B,ROW()+$C$5)),""),"")</f>
        <v/>
      </c>
      <c r="AW334">
        <f t="shared" ca="1" si="141"/>
        <v>0</v>
      </c>
      <c r="AX334">
        <f t="shared" ca="1" si="142"/>
        <v>0</v>
      </c>
      <c r="AY334">
        <f t="shared" ca="1" si="143"/>
        <v>0</v>
      </c>
      <c r="AZ334">
        <f ca="1">IF(ROW()&lt;($C$7+1),"",IFERROR((分析データ!C334-AVERAGE(OFFSET(分析データ!C$1,MAX(1,ROW()-$C$7),0,MIN($C$7,ROW()-1),1)))/STDEV(OFFSET(分析データ!C$1,MAX(1,ROW()-$C$7),0,MIN($C$7,ROW()-1),1)),0))</f>
        <v>-0.93386793259525036</v>
      </c>
      <c r="BA334">
        <f t="shared" ca="1" si="144"/>
        <v>0</v>
      </c>
      <c r="BB334" t="str">
        <f ca="1">IF(BA334=1,IF(INDEX(分析データ!$A:$A,ROW()+$C$5)&lt;&gt;"",60000*SIGN(AZ334)*(分析データ!C334-INDEX(分析データ!C:C,ROW()+$C$5)),""),"")</f>
        <v/>
      </c>
      <c r="BC334">
        <f t="shared" ca="1" si="145"/>
        <v>0</v>
      </c>
      <c r="BD334">
        <f t="shared" ca="1" si="146"/>
        <v>0</v>
      </c>
      <c r="BE334">
        <f t="shared" ca="1" si="147"/>
        <v>0</v>
      </c>
      <c r="BF334">
        <f ca="1">IF(ROW()&lt;($C$7+1),"",IFERROR((分析データ!D334-AVERAGE(OFFSET(分析データ!D$1,MAX(1,ROW()-$C$7),0,MIN($C$7,ROW()-1),1)))/STDEV(OFFSET(分析データ!D$1,MAX(1,ROW()-$C$7),0,MIN($C$7,ROW()-1),1)),0))</f>
        <v>1.3019281797843687</v>
      </c>
      <c r="BG334">
        <f t="shared" ca="1" si="148"/>
        <v>0</v>
      </c>
      <c r="BH334" t="str">
        <f ca="1">IF(BG334=1,IF(INDEX(分析データ!$A:$A,ROW()+$C$5)&lt;&gt;"",50000*SIGN(BF334)*(分析データ!D334-INDEX(分析データ!D:D,ROW()+$C$5)),""),"")</f>
        <v/>
      </c>
      <c r="BI334">
        <f t="shared" ca="1" si="149"/>
        <v>0</v>
      </c>
      <c r="BJ334">
        <f t="shared" ca="1" si="150"/>
        <v>0</v>
      </c>
      <c r="BK334">
        <f t="shared" ca="1" si="151"/>
        <v>0</v>
      </c>
      <c r="BL334">
        <f ca="1">IF(ROW()&lt;($C$7+1),"",IFERROR((分析データ!E334-AVERAGE(OFFSET(分析データ!E$1,MAX(1,ROW()-$C$7),0,MIN($C$7,ROW()-1),1)))/STDEV(OFFSET(分析データ!E$1,MAX(1,ROW()-$C$7),0,MIN($C$7,ROW()-1),1)),0))</f>
        <v>0.17038779055172976</v>
      </c>
      <c r="BM334">
        <f t="shared" ca="1" si="152"/>
        <v>0</v>
      </c>
      <c r="BN334" t="str">
        <f ca="1">IF(BM334=1,IF(INDEX(分析データ!$A:$A,ROW()+$C$5)&lt;&gt;"",40000*SIGN(BL334)*(分析データ!E334-INDEX(分析データ!E:E,ROW()+$C$5)),""),"")</f>
        <v/>
      </c>
      <c r="BO334">
        <f t="shared" ca="1" si="153"/>
        <v>280000.00000000291</v>
      </c>
      <c r="BP334">
        <f t="shared" ca="1" si="154"/>
        <v>280000.00000000291</v>
      </c>
      <c r="BQ334">
        <f t="shared" ca="1" si="155"/>
        <v>0</v>
      </c>
      <c r="BR334">
        <f ca="1">IF(ROW()&lt;($C$7+1),"",IFERROR((分析データ!F334-AVERAGE(OFFSET(分析データ!F$1,MAX(1,ROW()-$C$7),0,MIN($C$7,ROW()-1),1)))/STDEV(OFFSET(分析データ!F$1,MAX(1,ROW()-$C$7),0,MIN($C$7,ROW()-1),1)),0))</f>
        <v>-1.6422249683637009</v>
      </c>
      <c r="BS334">
        <f t="shared" ca="1" si="156"/>
        <v>0</v>
      </c>
      <c r="BT334" t="str">
        <f ca="1">IF(BS334=1,IF(INDEX(分析データ!$A:$A,ROW()+$C$5)&lt;&gt;"",40000*SIGN(BR334)*(分析データ!F334-INDEX(分析データ!F:F,ROW()+$C$5)),""),"")</f>
        <v/>
      </c>
      <c r="BU334">
        <f t="shared" ca="1" si="157"/>
        <v>583200.00000000163</v>
      </c>
      <c r="BV334">
        <f t="shared" ca="1" si="158"/>
        <v>583200.00000000163</v>
      </c>
      <c r="BW334">
        <f t="shared" ca="1" si="159"/>
        <v>0</v>
      </c>
      <c r="BX334">
        <f ca="1">IF(ROW()&lt;($C$7+1),"",IFERROR((分析データ!G334-AVERAGE(OFFSET(分析データ!G$1,MAX(1,ROW()-$C$7),0,MIN($C$7,ROW()-1),1)))/STDEV(OFFSET(分析データ!G$1,MAX(1,ROW()-$C$7),0,MIN($C$7,ROW()-1),1)),0))</f>
        <v>1.1099528906477281</v>
      </c>
      <c r="BY334">
        <f t="shared" ca="1" si="160"/>
        <v>0</v>
      </c>
      <c r="BZ334" t="str">
        <f ca="1">IF(BY334=1,IF(INDEX(分析データ!$A:$A,ROW()+$C$5)&lt;&gt;"",40000*SIGN(BX334)*(分析データ!G334-INDEX(分析データ!G:G,ROW()+$C$5)),""),"")</f>
        <v/>
      </c>
      <c r="CA334">
        <f t="shared" ca="1" si="161"/>
        <v>3095574.2871093722</v>
      </c>
      <c r="CB334">
        <f t="shared" ca="1" si="162"/>
        <v>3095574.2871093722</v>
      </c>
      <c r="CC334">
        <f t="shared" ca="1" si="163"/>
        <v>0</v>
      </c>
      <c r="CD334">
        <f t="shared" ca="1" si="164"/>
        <v>0</v>
      </c>
      <c r="CE334">
        <f t="shared" ca="1" si="165"/>
        <v>3958774.2871093769</v>
      </c>
      <c r="CF334">
        <f t="shared" ca="1" si="166"/>
        <v>3958774.2871093769</v>
      </c>
      <c r="CG334">
        <f t="shared" ca="1" si="167"/>
        <v>0</v>
      </c>
      <c r="CH334" s="10">
        <f>分析データ!A334</f>
        <v>45412</v>
      </c>
    </row>
    <row r="335" spans="46:86">
      <c r="AT335">
        <f ca="1">IF(ROW()&lt;($C$7+1),"",IFERROR((分析データ!B335-AVERAGE(OFFSET(分析データ!B$1,MAX(1,ROW()-$C$7),0,MIN($C$7,ROW()-1),1)))/STDEV(OFFSET(分析データ!B$1,MAX(1,ROW()-$C$7),0,MIN($C$7,ROW()-1),1)),0))</f>
        <v>1.0177920664625855</v>
      </c>
      <c r="AU335">
        <f t="shared" ca="1" si="140"/>
        <v>0</v>
      </c>
      <c r="AV335" t="str">
        <f ca="1">IF(AU335=1,IF(INDEX(分析データ!$A:$A,ROW()+$C$5)&lt;&gt;"",80000*SIGN(AT335)*(分析データ!B335-INDEX(分析データ!B:B,ROW()+$C$5)),""),"")</f>
        <v/>
      </c>
      <c r="AW335">
        <f t="shared" ca="1" si="141"/>
        <v>0</v>
      </c>
      <c r="AX335">
        <f t="shared" ca="1" si="142"/>
        <v>0</v>
      </c>
      <c r="AY335">
        <f t="shared" ca="1" si="143"/>
        <v>0</v>
      </c>
      <c r="AZ335">
        <f ca="1">IF(ROW()&lt;($C$7+1),"",IFERROR((分析データ!C335-AVERAGE(OFFSET(分析データ!C$1,MAX(1,ROW()-$C$7),0,MIN($C$7,ROW()-1),1)))/STDEV(OFFSET(分析データ!C$1,MAX(1,ROW()-$C$7),0,MIN($C$7,ROW()-1),1)),0))</f>
        <v>-0.99210418185118565</v>
      </c>
      <c r="BA335">
        <f t="shared" ca="1" si="144"/>
        <v>0</v>
      </c>
      <c r="BB335" t="str">
        <f ca="1">IF(BA335=1,IF(INDEX(分析データ!$A:$A,ROW()+$C$5)&lt;&gt;"",60000*SIGN(AZ335)*(分析データ!C335-INDEX(分析データ!C:C,ROW()+$C$5)),""),"")</f>
        <v/>
      </c>
      <c r="BC335">
        <f t="shared" ca="1" si="145"/>
        <v>0</v>
      </c>
      <c r="BD335">
        <f t="shared" ca="1" si="146"/>
        <v>0</v>
      </c>
      <c r="BE335">
        <f t="shared" ca="1" si="147"/>
        <v>0</v>
      </c>
      <c r="BF335">
        <f ca="1">IF(ROW()&lt;($C$7+1),"",IFERROR((分析データ!D335-AVERAGE(OFFSET(分析データ!D$1,MAX(1,ROW()-$C$7),0,MIN($C$7,ROW()-1),1)))/STDEV(OFFSET(分析データ!D$1,MAX(1,ROW()-$C$7),0,MIN($C$7,ROW()-1),1)),0))</f>
        <v>0.95528290332851729</v>
      </c>
      <c r="BG335">
        <f t="shared" ca="1" si="148"/>
        <v>0</v>
      </c>
      <c r="BH335" t="str">
        <f ca="1">IF(BG335=1,IF(INDEX(分析データ!$A:$A,ROW()+$C$5)&lt;&gt;"",50000*SIGN(BF335)*(分析データ!D335-INDEX(分析データ!D:D,ROW()+$C$5)),""),"")</f>
        <v/>
      </c>
      <c r="BI335">
        <f t="shared" ca="1" si="149"/>
        <v>0</v>
      </c>
      <c r="BJ335">
        <f t="shared" ca="1" si="150"/>
        <v>0</v>
      </c>
      <c r="BK335">
        <f t="shared" ca="1" si="151"/>
        <v>0</v>
      </c>
      <c r="BL335">
        <f ca="1">IF(ROW()&lt;($C$7+1),"",IFERROR((分析データ!E335-AVERAGE(OFFSET(分析データ!E$1,MAX(1,ROW()-$C$7),0,MIN($C$7,ROW()-1),1)))/STDEV(OFFSET(分析データ!E$1,MAX(1,ROW()-$C$7),0,MIN($C$7,ROW()-1),1)),0))</f>
        <v>0.36273782653529574</v>
      </c>
      <c r="BM335">
        <f t="shared" ca="1" si="152"/>
        <v>0</v>
      </c>
      <c r="BN335" t="str">
        <f ca="1">IF(BM335=1,IF(INDEX(分析データ!$A:$A,ROW()+$C$5)&lt;&gt;"",40000*SIGN(BL335)*(分析データ!E335-INDEX(分析データ!E:E,ROW()+$C$5)),""),"")</f>
        <v/>
      </c>
      <c r="BO335">
        <f t="shared" ca="1" si="153"/>
        <v>280000.00000000291</v>
      </c>
      <c r="BP335">
        <f t="shared" ca="1" si="154"/>
        <v>280000.00000000291</v>
      </c>
      <c r="BQ335">
        <f t="shared" ca="1" si="155"/>
        <v>0</v>
      </c>
      <c r="BR335">
        <f ca="1">IF(ROW()&lt;($C$7+1),"",IFERROR((分析データ!F335-AVERAGE(OFFSET(分析データ!F$1,MAX(1,ROW()-$C$7),0,MIN($C$7,ROW()-1),1)))/STDEV(OFFSET(分析データ!F$1,MAX(1,ROW()-$C$7),0,MIN($C$7,ROW()-1),1)),0))</f>
        <v>-1.3582472432804567</v>
      </c>
      <c r="BS335">
        <f t="shared" ca="1" si="156"/>
        <v>0</v>
      </c>
      <c r="BT335" t="str">
        <f ca="1">IF(BS335=1,IF(INDEX(分析データ!$A:$A,ROW()+$C$5)&lt;&gt;"",40000*SIGN(BR335)*(分析データ!F335-INDEX(分析データ!F:F,ROW()+$C$5)),""),"")</f>
        <v/>
      </c>
      <c r="BU335">
        <f t="shared" ca="1" si="157"/>
        <v>583200.00000000163</v>
      </c>
      <c r="BV335">
        <f t="shared" ca="1" si="158"/>
        <v>583200.00000000163</v>
      </c>
      <c r="BW335">
        <f t="shared" ca="1" si="159"/>
        <v>0</v>
      </c>
      <c r="BX335">
        <f ca="1">IF(ROW()&lt;($C$7+1),"",IFERROR((分析データ!G335-AVERAGE(OFFSET(分析データ!G$1,MAX(1,ROW()-$C$7),0,MIN($C$7,ROW()-1),1)))/STDEV(OFFSET(分析データ!G$1,MAX(1,ROW()-$C$7),0,MIN($C$7,ROW()-1),1)),0))</f>
        <v>1.0764499366489531</v>
      </c>
      <c r="BY335">
        <f t="shared" ca="1" si="160"/>
        <v>0</v>
      </c>
      <c r="BZ335" t="str">
        <f ca="1">IF(BY335=1,IF(INDEX(分析データ!$A:$A,ROW()+$C$5)&lt;&gt;"",40000*SIGN(BX335)*(分析データ!G335-INDEX(分析データ!G:G,ROW()+$C$5)),""),"")</f>
        <v/>
      </c>
      <c r="CA335">
        <f t="shared" ca="1" si="161"/>
        <v>3095574.2871093722</v>
      </c>
      <c r="CB335">
        <f t="shared" ca="1" si="162"/>
        <v>3095574.2871093722</v>
      </c>
      <c r="CC335">
        <f t="shared" ca="1" si="163"/>
        <v>0</v>
      </c>
      <c r="CD335">
        <f t="shared" ca="1" si="164"/>
        <v>0</v>
      </c>
      <c r="CE335">
        <f t="shared" ca="1" si="165"/>
        <v>3958774.2871093769</v>
      </c>
      <c r="CF335">
        <f t="shared" ca="1" si="166"/>
        <v>3958774.2871093769</v>
      </c>
      <c r="CG335">
        <f t="shared" ca="1" si="167"/>
        <v>0</v>
      </c>
      <c r="CH335" s="10">
        <f>分析データ!A335</f>
        <v>45413</v>
      </c>
    </row>
    <row r="336" spans="46:86">
      <c r="AT336">
        <f ca="1">IF(ROW()&lt;($C$7+1),"",IFERROR((分析データ!B336-AVERAGE(OFFSET(分析データ!B$1,MAX(1,ROW()-$C$7),0,MIN($C$7,ROW()-1),1)))/STDEV(OFFSET(分析データ!B$1,MAX(1,ROW()-$C$7),0,MIN($C$7,ROW()-1),1)),0))</f>
        <v>1.0561318461644451</v>
      </c>
      <c r="AU336">
        <f t="shared" ca="1" si="140"/>
        <v>0</v>
      </c>
      <c r="AV336" t="str">
        <f ca="1">IF(AU336=1,IF(INDEX(分析データ!$A:$A,ROW()+$C$5)&lt;&gt;"",80000*SIGN(AT336)*(分析データ!B336-INDEX(分析データ!B:B,ROW()+$C$5)),""),"")</f>
        <v/>
      </c>
      <c r="AW336">
        <f t="shared" ca="1" si="141"/>
        <v>0</v>
      </c>
      <c r="AX336">
        <f t="shared" ca="1" si="142"/>
        <v>0</v>
      </c>
      <c r="AY336">
        <f t="shared" ca="1" si="143"/>
        <v>0</v>
      </c>
      <c r="AZ336">
        <f ca="1">IF(ROW()&lt;($C$7+1),"",IFERROR((分析データ!C336-AVERAGE(OFFSET(分析データ!C$1,MAX(1,ROW()-$C$7),0,MIN($C$7,ROW()-1),1)))/STDEV(OFFSET(分析データ!C$1,MAX(1,ROW()-$C$7),0,MIN($C$7,ROW()-1),1)),0))</f>
        <v>-0.90961504606977983</v>
      </c>
      <c r="BA336">
        <f t="shared" ca="1" si="144"/>
        <v>0</v>
      </c>
      <c r="BB336" t="str">
        <f ca="1">IF(BA336=1,IF(INDEX(分析データ!$A:$A,ROW()+$C$5)&lt;&gt;"",60000*SIGN(AZ336)*(分析データ!C336-INDEX(分析データ!C:C,ROW()+$C$5)),""),"")</f>
        <v/>
      </c>
      <c r="BC336">
        <f t="shared" ca="1" si="145"/>
        <v>0</v>
      </c>
      <c r="BD336">
        <f t="shared" ca="1" si="146"/>
        <v>0</v>
      </c>
      <c r="BE336">
        <f t="shared" ca="1" si="147"/>
        <v>0</v>
      </c>
      <c r="BF336">
        <f ca="1">IF(ROW()&lt;($C$7+1),"",IFERROR((分析データ!D336-AVERAGE(OFFSET(分析データ!D$1,MAX(1,ROW()-$C$7),0,MIN($C$7,ROW()-1),1)))/STDEV(OFFSET(分析データ!D$1,MAX(1,ROW()-$C$7),0,MIN($C$7,ROW()-1),1)),0))</f>
        <v>0.68834550937406958</v>
      </c>
      <c r="BG336">
        <f t="shared" ca="1" si="148"/>
        <v>0</v>
      </c>
      <c r="BH336" t="str">
        <f ca="1">IF(BG336=1,IF(INDEX(分析データ!$A:$A,ROW()+$C$5)&lt;&gt;"",50000*SIGN(BF336)*(分析データ!D336-INDEX(分析データ!D:D,ROW()+$C$5)),""),"")</f>
        <v/>
      </c>
      <c r="BI336">
        <f t="shared" ca="1" si="149"/>
        <v>0</v>
      </c>
      <c r="BJ336">
        <f t="shared" ca="1" si="150"/>
        <v>0</v>
      </c>
      <c r="BK336">
        <f t="shared" ca="1" si="151"/>
        <v>0</v>
      </c>
      <c r="BL336">
        <f ca="1">IF(ROW()&lt;($C$7+1),"",IFERROR((分析データ!E336-AVERAGE(OFFSET(分析データ!E$1,MAX(1,ROW()-$C$7),0,MIN($C$7,ROW()-1),1)))/STDEV(OFFSET(分析データ!E$1,MAX(1,ROW()-$C$7),0,MIN($C$7,ROW()-1),1)),0))</f>
        <v>0.55477534021924813</v>
      </c>
      <c r="BM336">
        <f t="shared" ca="1" si="152"/>
        <v>0</v>
      </c>
      <c r="BN336" t="str">
        <f ca="1">IF(BM336=1,IF(INDEX(分析データ!$A:$A,ROW()+$C$5)&lt;&gt;"",40000*SIGN(BL336)*(分析データ!E336-INDEX(分析データ!E:E,ROW()+$C$5)),""),"")</f>
        <v/>
      </c>
      <c r="BO336">
        <f t="shared" ca="1" si="153"/>
        <v>280000.00000000291</v>
      </c>
      <c r="BP336">
        <f t="shared" ca="1" si="154"/>
        <v>280000.00000000291</v>
      </c>
      <c r="BQ336">
        <f t="shared" ca="1" si="155"/>
        <v>0</v>
      </c>
      <c r="BR336">
        <f ca="1">IF(ROW()&lt;($C$7+1),"",IFERROR((分析データ!F336-AVERAGE(OFFSET(分析データ!F$1,MAX(1,ROW()-$C$7),0,MIN($C$7,ROW()-1),1)))/STDEV(OFFSET(分析データ!F$1,MAX(1,ROW()-$C$7),0,MIN($C$7,ROW()-1),1)),0))</f>
        <v>-1.2385979269527492</v>
      </c>
      <c r="BS336">
        <f t="shared" ca="1" si="156"/>
        <v>0</v>
      </c>
      <c r="BT336" t="str">
        <f ca="1">IF(BS336=1,IF(INDEX(分析データ!$A:$A,ROW()+$C$5)&lt;&gt;"",40000*SIGN(BR336)*(分析データ!F336-INDEX(分析データ!F:F,ROW()+$C$5)),""),"")</f>
        <v/>
      </c>
      <c r="BU336">
        <f t="shared" ca="1" si="157"/>
        <v>583200.00000000163</v>
      </c>
      <c r="BV336">
        <f t="shared" ca="1" si="158"/>
        <v>583200.00000000163</v>
      </c>
      <c r="BW336">
        <f t="shared" ca="1" si="159"/>
        <v>0</v>
      </c>
      <c r="BX336">
        <f ca="1">IF(ROW()&lt;($C$7+1),"",IFERROR((分析データ!G336-AVERAGE(OFFSET(分析データ!G$1,MAX(1,ROW()-$C$7),0,MIN($C$7,ROW()-1),1)))/STDEV(OFFSET(分析データ!G$1,MAX(1,ROW()-$C$7),0,MIN($C$7,ROW()-1),1)),0))</f>
        <v>1.0812781467736534</v>
      </c>
      <c r="BY336">
        <f t="shared" ca="1" si="160"/>
        <v>0</v>
      </c>
      <c r="BZ336" t="str">
        <f ca="1">IF(BY336=1,IF(INDEX(分析データ!$A:$A,ROW()+$C$5)&lt;&gt;"",40000*SIGN(BX336)*(分析データ!G336-INDEX(分析データ!G:G,ROW()+$C$5)),""),"")</f>
        <v/>
      </c>
      <c r="CA336">
        <f t="shared" ca="1" si="161"/>
        <v>3095574.2871093722</v>
      </c>
      <c r="CB336">
        <f t="shared" ca="1" si="162"/>
        <v>3095574.2871093722</v>
      </c>
      <c r="CC336">
        <f t="shared" ca="1" si="163"/>
        <v>0</v>
      </c>
      <c r="CD336">
        <f t="shared" ca="1" si="164"/>
        <v>0</v>
      </c>
      <c r="CE336">
        <f t="shared" ca="1" si="165"/>
        <v>3958774.2871093769</v>
      </c>
      <c r="CF336">
        <f t="shared" ca="1" si="166"/>
        <v>3958774.2871093769</v>
      </c>
      <c r="CG336">
        <f t="shared" ca="1" si="167"/>
        <v>0</v>
      </c>
      <c r="CH336" s="10">
        <f>分析データ!A336</f>
        <v>45414</v>
      </c>
    </row>
    <row r="337" spans="46:86">
      <c r="AT337">
        <f ca="1">IF(ROW()&lt;($C$7+1),"",IFERROR((分析データ!B337-AVERAGE(OFFSET(分析データ!B$1,MAX(1,ROW()-$C$7),0,MIN($C$7,ROW()-1),1)))/STDEV(OFFSET(分析データ!B$1,MAX(1,ROW()-$C$7),0,MIN($C$7,ROW()-1),1)),0))</f>
        <v>0.86319464728324746</v>
      </c>
      <c r="AU337">
        <f t="shared" ca="1" si="140"/>
        <v>0</v>
      </c>
      <c r="AV337" t="str">
        <f ca="1">IF(AU337=1,IF(INDEX(分析データ!$A:$A,ROW()+$C$5)&lt;&gt;"",80000*SIGN(AT337)*(分析データ!B337-INDEX(分析データ!B:B,ROW()+$C$5)),""),"")</f>
        <v/>
      </c>
      <c r="AW337">
        <f t="shared" ca="1" si="141"/>
        <v>0</v>
      </c>
      <c r="AX337">
        <f t="shared" ca="1" si="142"/>
        <v>0</v>
      </c>
      <c r="AY337">
        <f t="shared" ca="1" si="143"/>
        <v>0</v>
      </c>
      <c r="AZ337">
        <f ca="1">IF(ROW()&lt;($C$7+1),"",IFERROR((分析データ!C337-AVERAGE(OFFSET(分析データ!C$1,MAX(1,ROW()-$C$7),0,MIN($C$7,ROW()-1),1)))/STDEV(OFFSET(分析データ!C$1,MAX(1,ROW()-$C$7),0,MIN($C$7,ROW()-1),1)),0))</f>
        <v>-0.90789094928913872</v>
      </c>
      <c r="BA337">
        <f t="shared" ca="1" si="144"/>
        <v>0</v>
      </c>
      <c r="BB337" t="str">
        <f ca="1">IF(BA337=1,IF(INDEX(分析データ!$A:$A,ROW()+$C$5)&lt;&gt;"",60000*SIGN(AZ337)*(分析データ!C337-INDEX(分析データ!C:C,ROW()+$C$5)),""),"")</f>
        <v/>
      </c>
      <c r="BC337">
        <f t="shared" ca="1" si="145"/>
        <v>0</v>
      </c>
      <c r="BD337">
        <f t="shared" ca="1" si="146"/>
        <v>0</v>
      </c>
      <c r="BE337">
        <f t="shared" ca="1" si="147"/>
        <v>0</v>
      </c>
      <c r="BF337">
        <f ca="1">IF(ROW()&lt;($C$7+1),"",IFERROR((分析データ!D337-AVERAGE(OFFSET(分析データ!D$1,MAX(1,ROW()-$C$7),0,MIN($C$7,ROW()-1),1)))/STDEV(OFFSET(分析データ!D$1,MAX(1,ROW()-$C$7),0,MIN($C$7,ROW()-1),1)),0))</f>
        <v>0.33272063767308363</v>
      </c>
      <c r="BG337">
        <f t="shared" ca="1" si="148"/>
        <v>0</v>
      </c>
      <c r="BH337" t="str">
        <f ca="1">IF(BG337=1,IF(INDEX(分析データ!$A:$A,ROW()+$C$5)&lt;&gt;"",50000*SIGN(BF337)*(分析データ!D337-INDEX(分析データ!D:D,ROW()+$C$5)),""),"")</f>
        <v/>
      </c>
      <c r="BI337">
        <f t="shared" ca="1" si="149"/>
        <v>0</v>
      </c>
      <c r="BJ337">
        <f t="shared" ca="1" si="150"/>
        <v>0</v>
      </c>
      <c r="BK337">
        <f t="shared" ca="1" si="151"/>
        <v>0</v>
      </c>
      <c r="BL337">
        <f ca="1">IF(ROW()&lt;($C$7+1),"",IFERROR((分析データ!E337-AVERAGE(OFFSET(分析データ!E$1,MAX(1,ROW()-$C$7),0,MIN($C$7,ROW()-1),1)))/STDEV(OFFSET(分析データ!E$1,MAX(1,ROW()-$C$7),0,MIN($C$7,ROW()-1),1)),0))</f>
        <v>0.65005930731345984</v>
      </c>
      <c r="BM337">
        <f t="shared" ca="1" si="152"/>
        <v>0</v>
      </c>
      <c r="BN337" t="str">
        <f ca="1">IF(BM337=1,IF(INDEX(分析データ!$A:$A,ROW()+$C$5)&lt;&gt;"",40000*SIGN(BL337)*(分析データ!E337-INDEX(分析データ!E:E,ROW()+$C$5)),""),"")</f>
        <v/>
      </c>
      <c r="BO337">
        <f t="shared" ca="1" si="153"/>
        <v>280000.00000000291</v>
      </c>
      <c r="BP337">
        <f t="shared" ca="1" si="154"/>
        <v>280000.00000000291</v>
      </c>
      <c r="BQ337">
        <f t="shared" ca="1" si="155"/>
        <v>0</v>
      </c>
      <c r="BR337">
        <f ca="1">IF(ROW()&lt;($C$7+1),"",IFERROR((分析データ!F337-AVERAGE(OFFSET(分析データ!F$1,MAX(1,ROW()-$C$7),0,MIN($C$7,ROW()-1),1)))/STDEV(OFFSET(分析データ!F$1,MAX(1,ROW()-$C$7),0,MIN($C$7,ROW()-1),1)),0))</f>
        <v>-1.210123990062322</v>
      </c>
      <c r="BS337">
        <f t="shared" ca="1" si="156"/>
        <v>0</v>
      </c>
      <c r="BT337" t="str">
        <f ca="1">IF(BS337=1,IF(INDEX(分析データ!$A:$A,ROW()+$C$5)&lt;&gt;"",40000*SIGN(BR337)*(分析データ!F337-INDEX(分析データ!F:F,ROW()+$C$5)),""),"")</f>
        <v/>
      </c>
      <c r="BU337">
        <f t="shared" ca="1" si="157"/>
        <v>583200.00000000163</v>
      </c>
      <c r="BV337">
        <f t="shared" ca="1" si="158"/>
        <v>583200.00000000163</v>
      </c>
      <c r="BW337">
        <f t="shared" ca="1" si="159"/>
        <v>0</v>
      </c>
      <c r="BX337">
        <f ca="1">IF(ROW()&lt;($C$7+1),"",IFERROR((分析データ!G337-AVERAGE(OFFSET(分析データ!G$1,MAX(1,ROW()-$C$7),0,MIN($C$7,ROW()-1),1)))/STDEV(OFFSET(分析データ!G$1,MAX(1,ROW()-$C$7),0,MIN($C$7,ROW()-1),1)),0))</f>
        <v>1.242354313484539</v>
      </c>
      <c r="BY337">
        <f t="shared" ca="1" si="160"/>
        <v>0</v>
      </c>
      <c r="BZ337" t="str">
        <f ca="1">IF(BY337=1,IF(INDEX(分析データ!$A:$A,ROW()+$C$5)&lt;&gt;"",40000*SIGN(BX337)*(分析データ!G337-INDEX(分析データ!G:G,ROW()+$C$5)),""),"")</f>
        <v/>
      </c>
      <c r="CA337">
        <f t="shared" ca="1" si="161"/>
        <v>3095574.2871093722</v>
      </c>
      <c r="CB337">
        <f t="shared" ca="1" si="162"/>
        <v>3095574.2871093722</v>
      </c>
      <c r="CC337">
        <f t="shared" ca="1" si="163"/>
        <v>0</v>
      </c>
      <c r="CD337">
        <f t="shared" ca="1" si="164"/>
        <v>0</v>
      </c>
      <c r="CE337">
        <f t="shared" ca="1" si="165"/>
        <v>3958774.2871093769</v>
      </c>
      <c r="CF337">
        <f t="shared" ca="1" si="166"/>
        <v>3958774.2871093769</v>
      </c>
      <c r="CG337">
        <f t="shared" ca="1" si="167"/>
        <v>0</v>
      </c>
      <c r="CH337" s="10">
        <f>分析データ!A337</f>
        <v>45415</v>
      </c>
    </row>
    <row r="338" spans="46:86">
      <c r="AT338">
        <f ca="1">IF(ROW()&lt;($C$7+1),"",IFERROR((分析データ!B338-AVERAGE(OFFSET(分析データ!B$1,MAX(1,ROW()-$C$7),0,MIN($C$7,ROW()-1),1)))/STDEV(OFFSET(分析データ!B$1,MAX(1,ROW()-$C$7),0,MIN($C$7,ROW()-1),1)),0))</f>
        <v>0.81019680778102221</v>
      </c>
      <c r="AU338">
        <f t="shared" ca="1" si="140"/>
        <v>0</v>
      </c>
      <c r="AV338" t="str">
        <f ca="1">IF(AU338=1,IF(INDEX(分析データ!$A:$A,ROW()+$C$5)&lt;&gt;"",80000*SIGN(AT338)*(分析データ!B338-INDEX(分析データ!B:B,ROW()+$C$5)),""),"")</f>
        <v/>
      </c>
      <c r="AW338">
        <f t="shared" ca="1" si="141"/>
        <v>0</v>
      </c>
      <c r="AX338">
        <f t="shared" ca="1" si="142"/>
        <v>0</v>
      </c>
      <c r="AY338">
        <f t="shared" ca="1" si="143"/>
        <v>0</v>
      </c>
      <c r="AZ338">
        <f ca="1">IF(ROW()&lt;($C$7+1),"",IFERROR((分析データ!C338-AVERAGE(OFFSET(分析データ!C$1,MAX(1,ROW()-$C$7),0,MIN($C$7,ROW()-1),1)))/STDEV(OFFSET(分析データ!C$1,MAX(1,ROW()-$C$7),0,MIN($C$7,ROW()-1),1)),0))</f>
        <v>-0.90617105633195905</v>
      </c>
      <c r="BA338">
        <f t="shared" ca="1" si="144"/>
        <v>0</v>
      </c>
      <c r="BB338" t="str">
        <f ca="1">IF(BA338=1,IF(INDEX(分析データ!$A:$A,ROW()+$C$5)&lt;&gt;"",60000*SIGN(AZ338)*(分析データ!C338-INDEX(分析データ!C:C,ROW()+$C$5)),""),"")</f>
        <v/>
      </c>
      <c r="BC338">
        <f t="shared" ca="1" si="145"/>
        <v>0</v>
      </c>
      <c r="BD338">
        <f t="shared" ca="1" si="146"/>
        <v>0</v>
      </c>
      <c r="BE338">
        <f t="shared" ca="1" si="147"/>
        <v>0</v>
      </c>
      <c r="BF338">
        <f ca="1">IF(ROW()&lt;($C$7+1),"",IFERROR((分析データ!D338-AVERAGE(OFFSET(分析データ!D$1,MAX(1,ROW()-$C$7),0,MIN($C$7,ROW()-1),1)))/STDEV(OFFSET(分析データ!D$1,MAX(1,ROW()-$C$7),0,MIN($C$7,ROW()-1),1)),0))</f>
        <v>0.28116149843867022</v>
      </c>
      <c r="BG338">
        <f t="shared" ca="1" si="148"/>
        <v>0</v>
      </c>
      <c r="BH338" t="str">
        <f ca="1">IF(BG338=1,IF(INDEX(分析データ!$A:$A,ROW()+$C$5)&lt;&gt;"",50000*SIGN(BF338)*(分析データ!D338-INDEX(分析データ!D:D,ROW()+$C$5)),""),"")</f>
        <v/>
      </c>
      <c r="BI338">
        <f t="shared" ca="1" si="149"/>
        <v>0</v>
      </c>
      <c r="BJ338">
        <f t="shared" ca="1" si="150"/>
        <v>0</v>
      </c>
      <c r="BK338">
        <f t="shared" ca="1" si="151"/>
        <v>0</v>
      </c>
      <c r="BL338">
        <f ca="1">IF(ROW()&lt;($C$7+1),"",IFERROR((分析データ!E338-AVERAGE(OFFSET(分析データ!E$1,MAX(1,ROW()-$C$7),0,MIN($C$7,ROW()-1),1)))/STDEV(OFFSET(分析データ!E$1,MAX(1,ROW()-$C$7),0,MIN($C$7,ROW()-1),1)),0))</f>
        <v>0.55283975512177475</v>
      </c>
      <c r="BM338">
        <f t="shared" ca="1" si="152"/>
        <v>0</v>
      </c>
      <c r="BN338" t="str">
        <f ca="1">IF(BM338=1,IF(INDEX(分析データ!$A:$A,ROW()+$C$5)&lt;&gt;"",40000*SIGN(BL338)*(分析データ!E338-INDEX(分析データ!E:E,ROW()+$C$5)),""),"")</f>
        <v/>
      </c>
      <c r="BO338">
        <f t="shared" ca="1" si="153"/>
        <v>280000.00000000291</v>
      </c>
      <c r="BP338">
        <f t="shared" ca="1" si="154"/>
        <v>280000.00000000291</v>
      </c>
      <c r="BQ338">
        <f t="shared" ca="1" si="155"/>
        <v>0</v>
      </c>
      <c r="BR338">
        <f ca="1">IF(ROW()&lt;($C$7+1),"",IFERROR((分析データ!F338-AVERAGE(OFFSET(分析データ!F$1,MAX(1,ROW()-$C$7),0,MIN($C$7,ROW()-1),1)))/STDEV(OFFSET(分析データ!F$1,MAX(1,ROW()-$C$7),0,MIN($C$7,ROW()-1),1)),0))</f>
        <v>-1.3503339063249657</v>
      </c>
      <c r="BS338">
        <f t="shared" ca="1" si="156"/>
        <v>0</v>
      </c>
      <c r="BT338" t="str">
        <f ca="1">IF(BS338=1,IF(INDEX(分析データ!$A:$A,ROW()+$C$5)&lt;&gt;"",40000*SIGN(BR338)*(分析データ!F338-INDEX(分析データ!F:F,ROW()+$C$5)),""),"")</f>
        <v/>
      </c>
      <c r="BU338">
        <f t="shared" ca="1" si="157"/>
        <v>583200.00000000163</v>
      </c>
      <c r="BV338">
        <f t="shared" ca="1" si="158"/>
        <v>583200.00000000163</v>
      </c>
      <c r="BW338">
        <f t="shared" ca="1" si="159"/>
        <v>0</v>
      </c>
      <c r="BX338">
        <f ca="1">IF(ROW()&lt;($C$7+1),"",IFERROR((分析データ!G338-AVERAGE(OFFSET(分析データ!G$1,MAX(1,ROW()-$C$7),0,MIN($C$7,ROW()-1),1)))/STDEV(OFFSET(分析データ!G$1,MAX(1,ROW()-$C$7),0,MIN($C$7,ROW()-1),1)),0))</f>
        <v>1.4051230430784929</v>
      </c>
      <c r="BY338">
        <f t="shared" ca="1" si="160"/>
        <v>0</v>
      </c>
      <c r="BZ338" t="str">
        <f ca="1">IF(BY338=1,IF(INDEX(分析データ!$A:$A,ROW()+$C$5)&lt;&gt;"",40000*SIGN(BX338)*(分析データ!G338-INDEX(分析データ!G:G,ROW()+$C$5)),""),"")</f>
        <v/>
      </c>
      <c r="CA338">
        <f t="shared" ca="1" si="161"/>
        <v>3095574.2871093722</v>
      </c>
      <c r="CB338">
        <f t="shared" ca="1" si="162"/>
        <v>3095574.2871093722</v>
      </c>
      <c r="CC338">
        <f t="shared" ca="1" si="163"/>
        <v>0</v>
      </c>
      <c r="CD338">
        <f t="shared" ca="1" si="164"/>
        <v>0</v>
      </c>
      <c r="CE338">
        <f t="shared" ca="1" si="165"/>
        <v>3958774.2871093769</v>
      </c>
      <c r="CF338">
        <f t="shared" ca="1" si="166"/>
        <v>3958774.2871093769</v>
      </c>
      <c r="CG338">
        <f t="shared" ca="1" si="167"/>
        <v>0</v>
      </c>
      <c r="CH338" s="10">
        <f>分析データ!A338</f>
        <v>45418</v>
      </c>
    </row>
    <row r="339" spans="46:86">
      <c r="AT339">
        <f ca="1">IF(ROW()&lt;($C$7+1),"",IFERROR((分析データ!B339-AVERAGE(OFFSET(分析データ!B$1,MAX(1,ROW()-$C$7),0,MIN($C$7,ROW()-1),1)))/STDEV(OFFSET(分析データ!B$1,MAX(1,ROW()-$C$7),0,MIN($C$7,ROW()-1),1)),0))</f>
        <v>0.75840895219116011</v>
      </c>
      <c r="AU339">
        <f t="shared" ca="1" si="140"/>
        <v>0</v>
      </c>
      <c r="AV339" t="str">
        <f ca="1">IF(AU339=1,IF(INDEX(分析データ!$A:$A,ROW()+$C$5)&lt;&gt;"",80000*SIGN(AT339)*(分析データ!B339-INDEX(分析データ!B:B,ROW()+$C$5)),""),"")</f>
        <v/>
      </c>
      <c r="AW339">
        <f t="shared" ca="1" si="141"/>
        <v>0</v>
      </c>
      <c r="AX339">
        <f t="shared" ca="1" si="142"/>
        <v>0</v>
      </c>
      <c r="AY339">
        <f t="shared" ca="1" si="143"/>
        <v>0</v>
      </c>
      <c r="AZ339">
        <f ca="1">IF(ROW()&lt;($C$7+1),"",IFERROR((分析データ!C339-AVERAGE(OFFSET(分析データ!C$1,MAX(1,ROW()-$C$7),0,MIN($C$7,ROW()-1),1)))/STDEV(OFFSET(分析データ!C$1,MAX(1,ROW()-$C$7),0,MIN($C$7,ROW()-1),1)),0))</f>
        <v>-1.2954325919175282</v>
      </c>
      <c r="BA339">
        <f t="shared" ca="1" si="144"/>
        <v>0</v>
      </c>
      <c r="BB339" t="str">
        <f ca="1">IF(BA339=1,IF(INDEX(分析データ!$A:$A,ROW()+$C$5)&lt;&gt;"",60000*SIGN(AZ339)*(分析データ!C339-INDEX(分析データ!C:C,ROW()+$C$5)),""),"")</f>
        <v/>
      </c>
      <c r="BC339">
        <f t="shared" ca="1" si="145"/>
        <v>0</v>
      </c>
      <c r="BD339">
        <f t="shared" ca="1" si="146"/>
        <v>0</v>
      </c>
      <c r="BE339">
        <f t="shared" ca="1" si="147"/>
        <v>0</v>
      </c>
      <c r="BF339">
        <f ca="1">IF(ROW()&lt;($C$7+1),"",IFERROR((分析データ!D339-AVERAGE(OFFSET(分析データ!D$1,MAX(1,ROW()-$C$7),0,MIN($C$7,ROW()-1),1)))/STDEV(OFFSET(分析データ!D$1,MAX(1,ROW()-$C$7),0,MIN($C$7,ROW()-1),1)),0))</f>
        <v>0.30490744607671844</v>
      </c>
      <c r="BG339">
        <f t="shared" ca="1" si="148"/>
        <v>0</v>
      </c>
      <c r="BH339" t="str">
        <f ca="1">IF(BG339=1,IF(INDEX(分析データ!$A:$A,ROW()+$C$5)&lt;&gt;"",50000*SIGN(BF339)*(分析データ!D339-INDEX(分析データ!D:D,ROW()+$C$5)),""),"")</f>
        <v/>
      </c>
      <c r="BI339">
        <f t="shared" ca="1" si="149"/>
        <v>0</v>
      </c>
      <c r="BJ339">
        <f t="shared" ca="1" si="150"/>
        <v>0</v>
      </c>
      <c r="BK339">
        <f t="shared" ca="1" si="151"/>
        <v>0</v>
      </c>
      <c r="BL339">
        <f ca="1">IF(ROW()&lt;($C$7+1),"",IFERROR((分析データ!E339-AVERAGE(OFFSET(分析データ!E$1,MAX(1,ROW()-$C$7),0,MIN($C$7,ROW()-1),1)))/STDEV(OFFSET(分析データ!E$1,MAX(1,ROW()-$C$7),0,MIN($C$7,ROW()-1),1)),0))</f>
        <v>0.36288317651648577</v>
      </c>
      <c r="BM339">
        <f t="shared" ca="1" si="152"/>
        <v>0</v>
      </c>
      <c r="BN339" t="str">
        <f ca="1">IF(BM339=1,IF(INDEX(分析データ!$A:$A,ROW()+$C$5)&lt;&gt;"",40000*SIGN(BL339)*(分析データ!E339-INDEX(分析データ!E:E,ROW()+$C$5)),""),"")</f>
        <v/>
      </c>
      <c r="BO339">
        <f t="shared" ca="1" si="153"/>
        <v>280000.00000000291</v>
      </c>
      <c r="BP339">
        <f t="shared" ca="1" si="154"/>
        <v>280000.00000000291</v>
      </c>
      <c r="BQ339">
        <f t="shared" ca="1" si="155"/>
        <v>0</v>
      </c>
      <c r="BR339">
        <f ca="1">IF(ROW()&lt;($C$7+1),"",IFERROR((分析データ!F339-AVERAGE(OFFSET(分析データ!F$1,MAX(1,ROW()-$C$7),0,MIN($C$7,ROW()-1),1)))/STDEV(OFFSET(分析データ!F$1,MAX(1,ROW()-$C$7),0,MIN($C$7,ROW()-1),1)),0))</f>
        <v>-1.2929710706169275</v>
      </c>
      <c r="BS339">
        <f t="shared" ca="1" si="156"/>
        <v>0</v>
      </c>
      <c r="BT339" t="str">
        <f ca="1">IF(BS339=1,IF(INDEX(分析データ!$A:$A,ROW()+$C$5)&lt;&gt;"",40000*SIGN(BR339)*(分析データ!F339-INDEX(分析データ!F:F,ROW()+$C$5)),""),"")</f>
        <v/>
      </c>
      <c r="BU339">
        <f t="shared" ca="1" si="157"/>
        <v>583200.00000000163</v>
      </c>
      <c r="BV339">
        <f t="shared" ca="1" si="158"/>
        <v>583200.00000000163</v>
      </c>
      <c r="BW339">
        <f t="shared" ca="1" si="159"/>
        <v>0</v>
      </c>
      <c r="BX339">
        <f ca="1">IF(ROW()&lt;($C$7+1),"",IFERROR((分析データ!G339-AVERAGE(OFFSET(分析データ!G$1,MAX(1,ROW()-$C$7),0,MIN($C$7,ROW()-1),1)))/STDEV(OFFSET(分析データ!G$1,MAX(1,ROW()-$C$7),0,MIN($C$7,ROW()-1),1)),0))</f>
        <v>1.3726298832117394</v>
      </c>
      <c r="BY339">
        <f t="shared" ca="1" si="160"/>
        <v>0</v>
      </c>
      <c r="BZ339" t="str">
        <f ca="1">IF(BY339=1,IF(INDEX(分析データ!$A:$A,ROW()+$C$5)&lt;&gt;"",40000*SIGN(BX339)*(分析データ!G339-INDEX(分析データ!G:G,ROW()+$C$5)),""),"")</f>
        <v/>
      </c>
      <c r="CA339">
        <f t="shared" ca="1" si="161"/>
        <v>3095574.2871093722</v>
      </c>
      <c r="CB339">
        <f t="shared" ca="1" si="162"/>
        <v>3095574.2871093722</v>
      </c>
      <c r="CC339">
        <f t="shared" ca="1" si="163"/>
        <v>0</v>
      </c>
      <c r="CD339">
        <f t="shared" ca="1" si="164"/>
        <v>0</v>
      </c>
      <c r="CE339">
        <f t="shared" ca="1" si="165"/>
        <v>3958774.2871093769</v>
      </c>
      <c r="CF339">
        <f t="shared" ca="1" si="166"/>
        <v>3958774.2871093769</v>
      </c>
      <c r="CG339">
        <f t="shared" ca="1" si="167"/>
        <v>0</v>
      </c>
      <c r="CH339" s="10">
        <f>分析データ!A339</f>
        <v>45419</v>
      </c>
    </row>
    <row r="340" spans="46:86">
      <c r="AT340">
        <f ca="1">IF(ROW()&lt;($C$7+1),"",IFERROR((分析データ!B340-AVERAGE(OFFSET(分析データ!B$1,MAX(1,ROW()-$C$7),0,MIN($C$7,ROW()-1),1)))/STDEV(OFFSET(分析データ!B$1,MAX(1,ROW()-$C$7),0,MIN($C$7,ROW()-1),1)),0))</f>
        <v>0.6138496911067538</v>
      </c>
      <c r="AU340">
        <f t="shared" ca="1" si="140"/>
        <v>0</v>
      </c>
      <c r="AV340" t="str">
        <f ca="1">IF(AU340=1,IF(INDEX(分析データ!$A:$A,ROW()+$C$5)&lt;&gt;"",80000*SIGN(AT340)*(分析データ!B340-INDEX(分析データ!B:B,ROW()+$C$5)),""),"")</f>
        <v/>
      </c>
      <c r="AW340">
        <f t="shared" ca="1" si="141"/>
        <v>0</v>
      </c>
      <c r="AX340">
        <f t="shared" ca="1" si="142"/>
        <v>0</v>
      </c>
      <c r="AY340">
        <f t="shared" ca="1" si="143"/>
        <v>0</v>
      </c>
      <c r="AZ340">
        <f ca="1">IF(ROW()&lt;($C$7+1),"",IFERROR((分析データ!C340-AVERAGE(OFFSET(分析データ!C$1,MAX(1,ROW()-$C$7),0,MIN($C$7,ROW()-1),1)))/STDEV(OFFSET(分析データ!C$1,MAX(1,ROW()-$C$7),0,MIN($C$7,ROW()-1),1)),0))</f>
        <v>-1.1498724741940372</v>
      </c>
      <c r="BA340">
        <f t="shared" ca="1" si="144"/>
        <v>0</v>
      </c>
      <c r="BB340" t="str">
        <f ca="1">IF(BA340=1,IF(INDEX(分析データ!$A:$A,ROW()+$C$5)&lt;&gt;"",60000*SIGN(AZ340)*(分析データ!C340-INDEX(分析データ!C:C,ROW()+$C$5)),""),"")</f>
        <v/>
      </c>
      <c r="BC340">
        <f t="shared" ca="1" si="145"/>
        <v>0</v>
      </c>
      <c r="BD340">
        <f t="shared" ca="1" si="146"/>
        <v>0</v>
      </c>
      <c r="BE340">
        <f t="shared" ca="1" si="147"/>
        <v>0</v>
      </c>
      <c r="BF340">
        <f ca="1">IF(ROW()&lt;($C$7+1),"",IFERROR((分析データ!D340-AVERAGE(OFFSET(分析データ!D$1,MAX(1,ROW()-$C$7),0,MIN($C$7,ROW()-1),1)))/STDEV(OFFSET(分析データ!D$1,MAX(1,ROW()-$C$7),0,MIN($C$7,ROW()-1),1)),0))</f>
        <v>0.31585314518322882</v>
      </c>
      <c r="BG340">
        <f t="shared" ca="1" si="148"/>
        <v>0</v>
      </c>
      <c r="BH340" t="str">
        <f ca="1">IF(BG340=1,IF(INDEX(分析データ!$A:$A,ROW()+$C$5)&lt;&gt;"",50000*SIGN(BF340)*(分析データ!D340-INDEX(分析データ!D:D,ROW()+$C$5)),""),"")</f>
        <v/>
      </c>
      <c r="BI340">
        <f t="shared" ca="1" si="149"/>
        <v>0</v>
      </c>
      <c r="BJ340">
        <f t="shared" ca="1" si="150"/>
        <v>0</v>
      </c>
      <c r="BK340">
        <f t="shared" ca="1" si="151"/>
        <v>0</v>
      </c>
      <c r="BL340">
        <f ca="1">IF(ROW()&lt;($C$7+1),"",IFERROR((分析データ!E340-AVERAGE(OFFSET(分析データ!E$1,MAX(1,ROW()-$C$7),0,MIN($C$7,ROW()-1),1)))/STDEV(OFFSET(分析データ!E$1,MAX(1,ROW()-$C$7),0,MIN($C$7,ROW()-1),1)),0))</f>
        <v>0.2675917310006789</v>
      </c>
      <c r="BM340">
        <f t="shared" ca="1" si="152"/>
        <v>0</v>
      </c>
      <c r="BN340" t="str">
        <f ca="1">IF(BM340=1,IF(INDEX(分析データ!$A:$A,ROW()+$C$5)&lt;&gt;"",40000*SIGN(BL340)*(分析データ!E340-INDEX(分析データ!E:E,ROW()+$C$5)),""),"")</f>
        <v/>
      </c>
      <c r="BO340">
        <f t="shared" ca="1" si="153"/>
        <v>280000.00000000291</v>
      </c>
      <c r="BP340">
        <f t="shared" ca="1" si="154"/>
        <v>280000.00000000291</v>
      </c>
      <c r="BQ340">
        <f t="shared" ca="1" si="155"/>
        <v>0</v>
      </c>
      <c r="BR340">
        <f ca="1">IF(ROW()&lt;($C$7+1),"",IFERROR((分析データ!F340-AVERAGE(OFFSET(分析データ!F$1,MAX(1,ROW()-$C$7),0,MIN($C$7,ROW()-1),1)))/STDEV(OFFSET(分析データ!F$1,MAX(1,ROW()-$C$7),0,MIN($C$7,ROW()-1),1)),0))</f>
        <v>-1.5567977959730315</v>
      </c>
      <c r="BS340">
        <f t="shared" ca="1" si="156"/>
        <v>0</v>
      </c>
      <c r="BT340" t="str">
        <f ca="1">IF(BS340=1,IF(INDEX(分析データ!$A:$A,ROW()+$C$5)&lt;&gt;"",40000*SIGN(BR340)*(分析データ!F340-INDEX(分析データ!F:F,ROW()+$C$5)),""),"")</f>
        <v/>
      </c>
      <c r="BU340">
        <f t="shared" ca="1" si="157"/>
        <v>583200.00000000163</v>
      </c>
      <c r="BV340">
        <f t="shared" ca="1" si="158"/>
        <v>583200.00000000163</v>
      </c>
      <c r="BW340">
        <f t="shared" ca="1" si="159"/>
        <v>0</v>
      </c>
      <c r="BX340">
        <f ca="1">IF(ROW()&lt;($C$7+1),"",IFERROR((分析データ!G340-AVERAGE(OFFSET(分析データ!G$1,MAX(1,ROW()-$C$7),0,MIN($C$7,ROW()-1),1)))/STDEV(OFFSET(分析データ!G$1,MAX(1,ROW()-$C$7),0,MIN($C$7,ROW()-1),1)),0))</f>
        <v>1.6820075808854551</v>
      </c>
      <c r="BY340">
        <f t="shared" ca="1" si="160"/>
        <v>0</v>
      </c>
      <c r="BZ340" t="str">
        <f ca="1">IF(BY340=1,IF(INDEX(分析データ!$A:$A,ROW()+$C$5)&lt;&gt;"",40000*SIGN(BX340)*(分析データ!G340-INDEX(分析データ!G:G,ROW()+$C$5)),""),"")</f>
        <v/>
      </c>
      <c r="CA340">
        <f t="shared" ca="1" si="161"/>
        <v>3095574.2871093722</v>
      </c>
      <c r="CB340">
        <f t="shared" ca="1" si="162"/>
        <v>3095574.2871093722</v>
      </c>
      <c r="CC340">
        <f t="shared" ca="1" si="163"/>
        <v>0</v>
      </c>
      <c r="CD340">
        <f t="shared" ca="1" si="164"/>
        <v>0</v>
      </c>
      <c r="CE340">
        <f t="shared" ca="1" si="165"/>
        <v>3958774.2871093769</v>
      </c>
      <c r="CF340">
        <f t="shared" ca="1" si="166"/>
        <v>3958774.2871093769</v>
      </c>
      <c r="CG340">
        <f t="shared" ca="1" si="167"/>
        <v>0</v>
      </c>
      <c r="CH340" s="10">
        <f>分析データ!A340</f>
        <v>45420</v>
      </c>
    </row>
    <row r="341" spans="46:86">
      <c r="AT341">
        <f ca="1">IF(ROW()&lt;($C$7+1),"",IFERROR((分析データ!B341-AVERAGE(OFFSET(分析データ!B$1,MAX(1,ROW()-$C$7),0,MIN($C$7,ROW()-1),1)))/STDEV(OFFSET(分析データ!B$1,MAX(1,ROW()-$C$7),0,MIN($C$7,ROW()-1),1)),0))</f>
        <v>0.70130639501325853</v>
      </c>
      <c r="AU341">
        <f t="shared" ca="1" si="140"/>
        <v>0</v>
      </c>
      <c r="AV341" t="str">
        <f ca="1">IF(AU341=1,IF(INDEX(分析データ!$A:$A,ROW()+$C$5)&lt;&gt;"",80000*SIGN(AT341)*(分析データ!B341-INDEX(分析データ!B:B,ROW()+$C$5)),""),"")</f>
        <v/>
      </c>
      <c r="AW341">
        <f t="shared" ca="1" si="141"/>
        <v>0</v>
      </c>
      <c r="AX341">
        <f t="shared" ca="1" si="142"/>
        <v>0</v>
      </c>
      <c r="AY341">
        <f t="shared" ca="1" si="143"/>
        <v>0</v>
      </c>
      <c r="AZ341">
        <f ca="1">IF(ROW()&lt;($C$7+1),"",IFERROR((分析データ!C341-AVERAGE(OFFSET(分析データ!C$1,MAX(1,ROW()-$C$7),0,MIN($C$7,ROW()-1),1)))/STDEV(OFFSET(分析データ!C$1,MAX(1,ROW()-$C$7),0,MIN($C$7,ROW()-1),1)),0))</f>
        <v>-0.88568663379632817</v>
      </c>
      <c r="BA341">
        <f t="shared" ca="1" si="144"/>
        <v>0</v>
      </c>
      <c r="BB341" t="str">
        <f ca="1">IF(BA341=1,IF(INDEX(分析データ!$A:$A,ROW()+$C$5)&lt;&gt;"",60000*SIGN(AZ341)*(分析データ!C341-INDEX(分析データ!C:C,ROW()+$C$5)),""),"")</f>
        <v/>
      </c>
      <c r="BC341">
        <f t="shared" ca="1" si="145"/>
        <v>0</v>
      </c>
      <c r="BD341">
        <f t="shared" ca="1" si="146"/>
        <v>0</v>
      </c>
      <c r="BE341">
        <f t="shared" ca="1" si="147"/>
        <v>0</v>
      </c>
      <c r="BF341">
        <f ca="1">IF(ROW()&lt;($C$7+1),"",IFERROR((分析データ!D341-AVERAGE(OFFSET(分析データ!D$1,MAX(1,ROW()-$C$7),0,MIN($C$7,ROW()-1),1)))/STDEV(OFFSET(分析データ!D$1,MAX(1,ROW()-$C$7),0,MIN($C$7,ROW()-1),1)),0))</f>
        <v>3.9074243577147103E-2</v>
      </c>
      <c r="BG341">
        <f t="shared" ca="1" si="148"/>
        <v>0</v>
      </c>
      <c r="BH341" t="str">
        <f ca="1">IF(BG341=1,IF(INDEX(分析データ!$A:$A,ROW()+$C$5)&lt;&gt;"",50000*SIGN(BF341)*(分析データ!D341-INDEX(分析データ!D:D,ROW()+$C$5)),""),"")</f>
        <v/>
      </c>
      <c r="BI341">
        <f t="shared" ca="1" si="149"/>
        <v>0</v>
      </c>
      <c r="BJ341">
        <f t="shared" ca="1" si="150"/>
        <v>0</v>
      </c>
      <c r="BK341">
        <f t="shared" ca="1" si="151"/>
        <v>0</v>
      </c>
      <c r="BL341">
        <f ca="1">IF(ROW()&lt;($C$7+1),"",IFERROR((分析データ!E341-AVERAGE(OFFSET(分析データ!E$1,MAX(1,ROW()-$C$7),0,MIN($C$7,ROW()-1),1)))/STDEV(OFFSET(分析データ!E$1,MAX(1,ROW()-$C$7),0,MIN($C$7,ROW()-1),1)),0))</f>
        <v>0.2697969404053383</v>
      </c>
      <c r="BM341">
        <f t="shared" ca="1" si="152"/>
        <v>0</v>
      </c>
      <c r="BN341" t="str">
        <f ca="1">IF(BM341=1,IF(INDEX(分析データ!$A:$A,ROW()+$C$5)&lt;&gt;"",40000*SIGN(BL341)*(分析データ!E341-INDEX(分析データ!E:E,ROW()+$C$5)),""),"")</f>
        <v/>
      </c>
      <c r="BO341">
        <f t="shared" ca="1" si="153"/>
        <v>280000.00000000291</v>
      </c>
      <c r="BP341">
        <f t="shared" ca="1" si="154"/>
        <v>280000.00000000291</v>
      </c>
      <c r="BQ341">
        <f t="shared" ca="1" si="155"/>
        <v>0</v>
      </c>
      <c r="BR341">
        <f ca="1">IF(ROW()&lt;($C$7+1),"",IFERROR((分析データ!F341-AVERAGE(OFFSET(分析データ!F$1,MAX(1,ROW()-$C$7),0,MIN($C$7,ROW()-1),1)))/STDEV(OFFSET(分析データ!F$1,MAX(1,ROW()-$C$7),0,MIN($C$7,ROW()-1),1)),0))</f>
        <v>-1.4404934845910822</v>
      </c>
      <c r="BS341">
        <f t="shared" ca="1" si="156"/>
        <v>0</v>
      </c>
      <c r="BT341" t="str">
        <f ca="1">IF(BS341=1,IF(INDEX(分析データ!$A:$A,ROW()+$C$5)&lt;&gt;"",40000*SIGN(BR341)*(分析データ!F341-INDEX(分析データ!F:F,ROW()+$C$5)),""),"")</f>
        <v/>
      </c>
      <c r="BU341">
        <f t="shared" ca="1" si="157"/>
        <v>583200.00000000163</v>
      </c>
      <c r="BV341">
        <f t="shared" ca="1" si="158"/>
        <v>583200.00000000163</v>
      </c>
      <c r="BW341">
        <f t="shared" ca="1" si="159"/>
        <v>0</v>
      </c>
      <c r="BX341">
        <f ca="1">IF(ROW()&lt;($C$7+1),"",IFERROR((分析データ!G341-AVERAGE(OFFSET(分析データ!G$1,MAX(1,ROW()-$C$7),0,MIN($C$7,ROW()-1),1)))/STDEV(OFFSET(分析データ!G$1,MAX(1,ROW()-$C$7),0,MIN($C$7,ROW()-1),1)),0))</f>
        <v>1.7209583647134348</v>
      </c>
      <c r="BY341">
        <f t="shared" ca="1" si="160"/>
        <v>0</v>
      </c>
      <c r="BZ341" t="str">
        <f ca="1">IF(BY341=1,IF(INDEX(分析データ!$A:$A,ROW()+$C$5)&lt;&gt;"",40000*SIGN(BX341)*(分析データ!G341-INDEX(分析データ!G:G,ROW()+$C$5)),""),"")</f>
        <v/>
      </c>
      <c r="CA341">
        <f t="shared" ca="1" si="161"/>
        <v>3095574.2871093722</v>
      </c>
      <c r="CB341">
        <f t="shared" ca="1" si="162"/>
        <v>3095574.2871093722</v>
      </c>
      <c r="CC341">
        <f t="shared" ca="1" si="163"/>
        <v>0</v>
      </c>
      <c r="CD341">
        <f t="shared" ca="1" si="164"/>
        <v>0</v>
      </c>
      <c r="CE341">
        <f t="shared" ca="1" si="165"/>
        <v>3958774.2871093769</v>
      </c>
      <c r="CF341">
        <f t="shared" ca="1" si="166"/>
        <v>3958774.2871093769</v>
      </c>
      <c r="CG341">
        <f t="shared" ca="1" si="167"/>
        <v>0</v>
      </c>
      <c r="CH341" s="10">
        <f>分析データ!A341</f>
        <v>45421</v>
      </c>
    </row>
    <row r="342" spans="46:86">
      <c r="AT342">
        <f ca="1">IF(ROW()&lt;($C$7+1),"",IFERROR((分析データ!B342-AVERAGE(OFFSET(分析データ!B$1,MAX(1,ROW()-$C$7),0,MIN($C$7,ROW()-1),1)))/STDEV(OFFSET(分析データ!B$1,MAX(1,ROW()-$C$7),0,MIN($C$7,ROW()-1),1)),0))</f>
        <v>0.64952425406686221</v>
      </c>
      <c r="AU342">
        <f t="shared" ca="1" si="140"/>
        <v>0</v>
      </c>
      <c r="AV342" t="str">
        <f ca="1">IF(AU342=1,IF(INDEX(分析データ!$A:$A,ROW()+$C$5)&lt;&gt;"",80000*SIGN(AT342)*(分析データ!B342-INDEX(分析データ!B:B,ROW()+$C$5)),""),"")</f>
        <v/>
      </c>
      <c r="AW342">
        <f t="shared" ca="1" si="141"/>
        <v>0</v>
      </c>
      <c r="AX342">
        <f t="shared" ca="1" si="142"/>
        <v>0</v>
      </c>
      <c r="AY342">
        <f t="shared" ca="1" si="143"/>
        <v>0</v>
      </c>
      <c r="AZ342">
        <f ca="1">IF(ROW()&lt;($C$7+1),"",IFERROR((分析データ!C342-AVERAGE(OFFSET(分析データ!C$1,MAX(1,ROW()-$C$7),0,MIN($C$7,ROW()-1),1)))/STDEV(OFFSET(分析データ!C$1,MAX(1,ROW()-$C$7),0,MIN($C$7,ROW()-1),1)),0))</f>
        <v>-1.1327792725049826</v>
      </c>
      <c r="BA342">
        <f t="shared" ca="1" si="144"/>
        <v>0</v>
      </c>
      <c r="BB342" t="str">
        <f ca="1">IF(BA342=1,IF(INDEX(分析データ!$A:$A,ROW()+$C$5)&lt;&gt;"",60000*SIGN(AZ342)*(分析データ!C342-INDEX(分析データ!C:C,ROW()+$C$5)),""),"")</f>
        <v/>
      </c>
      <c r="BC342">
        <f t="shared" ca="1" si="145"/>
        <v>0</v>
      </c>
      <c r="BD342">
        <f t="shared" ca="1" si="146"/>
        <v>0</v>
      </c>
      <c r="BE342">
        <f t="shared" ca="1" si="147"/>
        <v>0</v>
      </c>
      <c r="BF342">
        <f ca="1">IF(ROW()&lt;($C$7+1),"",IFERROR((分析データ!D342-AVERAGE(OFFSET(分析データ!D$1,MAX(1,ROW()-$C$7),0,MIN($C$7,ROW()-1),1)))/STDEV(OFFSET(分析データ!D$1,MAX(1,ROW()-$C$7),0,MIN($C$7,ROW()-1),1)),0))</f>
        <v>0.25741405695831793</v>
      </c>
      <c r="BG342">
        <f t="shared" ca="1" si="148"/>
        <v>0</v>
      </c>
      <c r="BH342" t="str">
        <f ca="1">IF(BG342=1,IF(INDEX(分析データ!$A:$A,ROW()+$C$5)&lt;&gt;"",50000*SIGN(BF342)*(分析データ!D342-INDEX(分析データ!D:D,ROW()+$C$5)),""),"")</f>
        <v/>
      </c>
      <c r="BI342">
        <f t="shared" ca="1" si="149"/>
        <v>0</v>
      </c>
      <c r="BJ342">
        <f t="shared" ca="1" si="150"/>
        <v>0</v>
      </c>
      <c r="BK342">
        <f t="shared" ca="1" si="151"/>
        <v>0</v>
      </c>
      <c r="BL342">
        <f ca="1">IF(ROW()&lt;($C$7+1),"",IFERROR((分析データ!E342-AVERAGE(OFFSET(分析データ!E$1,MAX(1,ROW()-$C$7),0,MIN($C$7,ROW()-1),1)))/STDEV(OFFSET(分析データ!E$1,MAX(1,ROW()-$C$7),0,MIN($C$7,ROW()-1),1)),0))</f>
        <v>0.27154453349550117</v>
      </c>
      <c r="BM342">
        <f t="shared" ca="1" si="152"/>
        <v>0</v>
      </c>
      <c r="BN342" t="str">
        <f ca="1">IF(BM342=1,IF(INDEX(分析データ!$A:$A,ROW()+$C$5)&lt;&gt;"",40000*SIGN(BL342)*(分析データ!E342-INDEX(分析データ!E:E,ROW()+$C$5)),""),"")</f>
        <v/>
      </c>
      <c r="BO342">
        <f t="shared" ca="1" si="153"/>
        <v>280000.00000000291</v>
      </c>
      <c r="BP342">
        <f t="shared" ca="1" si="154"/>
        <v>280000.00000000291</v>
      </c>
      <c r="BQ342">
        <f t="shared" ca="1" si="155"/>
        <v>0</v>
      </c>
      <c r="BR342">
        <f ca="1">IF(ROW()&lt;($C$7+1),"",IFERROR((分析データ!F342-AVERAGE(OFFSET(分析データ!F$1,MAX(1,ROW()-$C$7),0,MIN($C$7,ROW()-1),1)))/STDEV(OFFSET(分析データ!F$1,MAX(1,ROW()-$C$7),0,MIN($C$7,ROW()-1),1)),0))</f>
        <v>-1.4709086924056785</v>
      </c>
      <c r="BS342">
        <f t="shared" ca="1" si="156"/>
        <v>0</v>
      </c>
      <c r="BT342" t="str">
        <f ca="1">IF(BS342=1,IF(INDEX(分析データ!$A:$A,ROW()+$C$5)&lt;&gt;"",40000*SIGN(BR342)*(分析データ!F342-INDEX(分析データ!F:F,ROW()+$C$5)),""),"")</f>
        <v/>
      </c>
      <c r="BU342">
        <f t="shared" ca="1" si="157"/>
        <v>583200.00000000163</v>
      </c>
      <c r="BV342">
        <f t="shared" ca="1" si="158"/>
        <v>583200.00000000163</v>
      </c>
      <c r="BW342">
        <f t="shared" ca="1" si="159"/>
        <v>0</v>
      </c>
      <c r="BX342">
        <f ca="1">IF(ROW()&lt;($C$7+1),"",IFERROR((分析データ!G342-AVERAGE(OFFSET(分析データ!G$1,MAX(1,ROW()-$C$7),0,MIN($C$7,ROW()-1),1)))/STDEV(OFFSET(分析データ!G$1,MAX(1,ROW()-$C$7),0,MIN($C$7,ROW()-1),1)),0))</f>
        <v>1.5883237016962328</v>
      </c>
      <c r="BY342">
        <f t="shared" ca="1" si="160"/>
        <v>0</v>
      </c>
      <c r="BZ342" t="str">
        <f ca="1">IF(BY342=1,IF(INDEX(分析データ!$A:$A,ROW()+$C$5)&lt;&gt;"",40000*SIGN(BX342)*(分析データ!G342-INDEX(分析データ!G:G,ROW()+$C$5)),""),"")</f>
        <v/>
      </c>
      <c r="CA342">
        <f t="shared" ca="1" si="161"/>
        <v>3095574.2871093722</v>
      </c>
      <c r="CB342">
        <f t="shared" ca="1" si="162"/>
        <v>3095574.2871093722</v>
      </c>
      <c r="CC342">
        <f t="shared" ca="1" si="163"/>
        <v>0</v>
      </c>
      <c r="CD342">
        <f t="shared" ca="1" si="164"/>
        <v>0</v>
      </c>
      <c r="CE342">
        <f t="shared" ca="1" si="165"/>
        <v>3958774.2871093769</v>
      </c>
      <c r="CF342">
        <f t="shared" ca="1" si="166"/>
        <v>3958774.2871093769</v>
      </c>
      <c r="CG342">
        <f t="shared" ca="1" si="167"/>
        <v>0</v>
      </c>
      <c r="CH342" s="10">
        <f>分析データ!A342</f>
        <v>45422</v>
      </c>
    </row>
    <row r="343" spans="46:86">
      <c r="AT343">
        <f ca="1">IF(ROW()&lt;($C$7+1),"",IFERROR((分析データ!B343-AVERAGE(OFFSET(分析データ!B$1,MAX(1,ROW()-$C$7),0,MIN($C$7,ROW()-1),1)))/STDEV(OFFSET(分析データ!B$1,MAX(1,ROW()-$C$7),0,MIN($C$7,ROW()-1),1)),0))</f>
        <v>0.59761564299372993</v>
      </c>
      <c r="AU343">
        <f t="shared" ca="1" si="140"/>
        <v>0</v>
      </c>
      <c r="AV343" t="str">
        <f ca="1">IF(AU343=1,IF(INDEX(分析データ!$A:$A,ROW()+$C$5)&lt;&gt;"",80000*SIGN(AT343)*(分析データ!B343-INDEX(分析データ!B:B,ROW()+$C$5)),""),"")</f>
        <v/>
      </c>
      <c r="AW343">
        <f t="shared" ca="1" si="141"/>
        <v>0</v>
      </c>
      <c r="AX343">
        <f t="shared" ca="1" si="142"/>
        <v>0</v>
      </c>
      <c r="AY343">
        <f t="shared" ca="1" si="143"/>
        <v>0</v>
      </c>
      <c r="AZ343">
        <f ca="1">IF(ROW()&lt;($C$7+1),"",IFERROR((分析データ!C343-AVERAGE(OFFSET(分析データ!C$1,MAX(1,ROW()-$C$7),0,MIN($C$7,ROW()-1),1)))/STDEV(OFFSET(分析データ!C$1,MAX(1,ROW()-$C$7),0,MIN($C$7,ROW()-1),1)),0))</f>
        <v>-0.95873768313414531</v>
      </c>
      <c r="BA343">
        <f t="shared" ca="1" si="144"/>
        <v>0</v>
      </c>
      <c r="BB343" t="str">
        <f ca="1">IF(BA343=1,IF(INDEX(分析データ!$A:$A,ROW()+$C$5)&lt;&gt;"",60000*SIGN(AZ343)*(分析データ!C343-INDEX(分析データ!C:C,ROW()+$C$5)),""),"")</f>
        <v/>
      </c>
      <c r="BC343">
        <f t="shared" ca="1" si="145"/>
        <v>0</v>
      </c>
      <c r="BD343">
        <f t="shared" ca="1" si="146"/>
        <v>0</v>
      </c>
      <c r="BE343">
        <f t="shared" ca="1" si="147"/>
        <v>0</v>
      </c>
      <c r="BF343">
        <f ca="1">IF(ROW()&lt;($C$7+1),"",IFERROR((分析データ!D343-AVERAGE(OFFSET(分析データ!D$1,MAX(1,ROW()-$C$7),0,MIN($C$7,ROW()-1),1)))/STDEV(OFFSET(分析データ!D$1,MAX(1,ROW()-$C$7),0,MIN($C$7,ROW()-1),1)),0))</f>
        <v>2.0928737849644326E-2</v>
      </c>
      <c r="BG343">
        <f t="shared" ca="1" si="148"/>
        <v>0</v>
      </c>
      <c r="BH343" t="str">
        <f ca="1">IF(BG343=1,IF(INDEX(分析データ!$A:$A,ROW()+$C$5)&lt;&gt;"",50000*SIGN(BF343)*(分析データ!D343-INDEX(分析データ!D:D,ROW()+$C$5)),""),"")</f>
        <v/>
      </c>
      <c r="BI343">
        <f t="shared" ca="1" si="149"/>
        <v>0</v>
      </c>
      <c r="BJ343">
        <f t="shared" ca="1" si="150"/>
        <v>0</v>
      </c>
      <c r="BK343">
        <f t="shared" ca="1" si="151"/>
        <v>0</v>
      </c>
      <c r="BL343">
        <f ca="1">IF(ROW()&lt;($C$7+1),"",IFERROR((分析データ!E343-AVERAGE(OFFSET(分析データ!E$1,MAX(1,ROW()-$C$7),0,MIN($C$7,ROW()-1),1)))/STDEV(OFFSET(分析データ!E$1,MAX(1,ROW()-$C$7),0,MIN($C$7,ROW()-1),1)),0))</f>
        <v>0.27521797648426999</v>
      </c>
      <c r="BM343">
        <f t="shared" ca="1" si="152"/>
        <v>0</v>
      </c>
      <c r="BN343" t="str">
        <f ca="1">IF(BM343=1,IF(INDEX(分析データ!$A:$A,ROW()+$C$5)&lt;&gt;"",40000*SIGN(BL343)*(分析データ!E343-INDEX(分析データ!E:E,ROW()+$C$5)),""),"")</f>
        <v/>
      </c>
      <c r="BO343">
        <f t="shared" ca="1" si="153"/>
        <v>280000.00000000291</v>
      </c>
      <c r="BP343">
        <f t="shared" ca="1" si="154"/>
        <v>280000.00000000291</v>
      </c>
      <c r="BQ343">
        <f t="shared" ca="1" si="155"/>
        <v>0</v>
      </c>
      <c r="BR343">
        <f ca="1">IF(ROW()&lt;($C$7+1),"",IFERROR((分析データ!F343-AVERAGE(OFFSET(分析データ!F$1,MAX(1,ROW()-$C$7),0,MIN($C$7,ROW()-1),1)))/STDEV(OFFSET(分析データ!F$1,MAX(1,ROW()-$C$7),0,MIN($C$7,ROW()-1),1)),0))</f>
        <v>-1.3509080996949907</v>
      </c>
      <c r="BS343">
        <f t="shared" ca="1" si="156"/>
        <v>0</v>
      </c>
      <c r="BT343" t="str">
        <f ca="1">IF(BS343=1,IF(INDEX(分析データ!$A:$A,ROW()+$C$5)&lt;&gt;"",40000*SIGN(BR343)*(分析データ!F343-INDEX(分析データ!F:F,ROW()+$C$5)),""),"")</f>
        <v/>
      </c>
      <c r="BU343">
        <f t="shared" ca="1" si="157"/>
        <v>583200.00000000163</v>
      </c>
      <c r="BV343">
        <f t="shared" ca="1" si="158"/>
        <v>583200.00000000163</v>
      </c>
      <c r="BW343">
        <f t="shared" ca="1" si="159"/>
        <v>0</v>
      </c>
      <c r="BX343">
        <f ca="1">IF(ROW()&lt;($C$7+1),"",IFERROR((分析データ!G343-AVERAGE(OFFSET(分析データ!G$1,MAX(1,ROW()-$C$7),0,MIN($C$7,ROW()-1),1)))/STDEV(OFFSET(分析データ!G$1,MAX(1,ROW()-$C$7),0,MIN($C$7,ROW()-1),1)),0))</f>
        <v>1.5429034919823463</v>
      </c>
      <c r="BY343">
        <f t="shared" ca="1" si="160"/>
        <v>0</v>
      </c>
      <c r="BZ343" t="str">
        <f ca="1">IF(BY343=1,IF(INDEX(分析データ!$A:$A,ROW()+$C$5)&lt;&gt;"",40000*SIGN(BX343)*(分析データ!G343-INDEX(分析データ!G:G,ROW()+$C$5)),""),"")</f>
        <v/>
      </c>
      <c r="CA343">
        <f t="shared" ca="1" si="161"/>
        <v>3095574.2871093722</v>
      </c>
      <c r="CB343">
        <f t="shared" ca="1" si="162"/>
        <v>3095574.2871093722</v>
      </c>
      <c r="CC343">
        <f t="shared" ca="1" si="163"/>
        <v>0</v>
      </c>
      <c r="CD343">
        <f t="shared" ca="1" si="164"/>
        <v>0</v>
      </c>
      <c r="CE343">
        <f t="shared" ca="1" si="165"/>
        <v>3958774.2871093769</v>
      </c>
      <c r="CF343">
        <f t="shared" ca="1" si="166"/>
        <v>3958774.2871093769</v>
      </c>
      <c r="CG343">
        <f t="shared" ca="1" si="167"/>
        <v>0</v>
      </c>
      <c r="CH343" s="10">
        <f>分析データ!A343</f>
        <v>45425</v>
      </c>
    </row>
    <row r="344" spans="46:86">
      <c r="AT344">
        <f ca="1">IF(ROW()&lt;($C$7+1),"",IFERROR((分析データ!B344-AVERAGE(OFFSET(分析データ!B$1,MAX(1,ROW()-$C$7),0,MIN($C$7,ROW()-1),1)))/STDEV(OFFSET(分析データ!B$1,MAX(1,ROW()-$C$7),0,MIN($C$7,ROW()-1),1)),0))</f>
        <v>0.68488932932126123</v>
      </c>
      <c r="AU344">
        <f t="shared" ca="1" si="140"/>
        <v>0</v>
      </c>
      <c r="AV344" t="str">
        <f ca="1">IF(AU344=1,IF(INDEX(分析データ!$A:$A,ROW()+$C$5)&lt;&gt;"",80000*SIGN(AT344)*(分析データ!B344-INDEX(分析データ!B:B,ROW()+$C$5)),""),"")</f>
        <v/>
      </c>
      <c r="AW344">
        <f t="shared" ca="1" si="141"/>
        <v>0</v>
      </c>
      <c r="AX344">
        <f t="shared" ca="1" si="142"/>
        <v>0</v>
      </c>
      <c r="AY344">
        <f t="shared" ca="1" si="143"/>
        <v>0</v>
      </c>
      <c r="AZ344">
        <f ca="1">IF(ROW()&lt;($C$7+1),"",IFERROR((分析データ!C344-AVERAGE(OFFSET(分析データ!C$1,MAX(1,ROW()-$C$7),0,MIN($C$7,ROW()-1),1)))/STDEV(OFFSET(分析データ!C$1,MAX(1,ROW()-$C$7),0,MIN($C$7,ROW()-1),1)),0))</f>
        <v>-0.80635715770996053</v>
      </c>
      <c r="BA344">
        <f t="shared" ca="1" si="144"/>
        <v>0</v>
      </c>
      <c r="BB344" t="str">
        <f ca="1">IF(BA344=1,IF(INDEX(分析データ!$A:$A,ROW()+$C$5)&lt;&gt;"",60000*SIGN(AZ344)*(分析データ!C344-INDEX(分析データ!C:C,ROW()+$C$5)),""),"")</f>
        <v/>
      </c>
      <c r="BC344">
        <f t="shared" ca="1" si="145"/>
        <v>0</v>
      </c>
      <c r="BD344">
        <f t="shared" ca="1" si="146"/>
        <v>0</v>
      </c>
      <c r="BE344">
        <f t="shared" ca="1" si="147"/>
        <v>0</v>
      </c>
      <c r="BF344">
        <f ca="1">IF(ROW()&lt;($C$7+1),"",IFERROR((分析データ!D344-AVERAGE(OFFSET(分析データ!D$1,MAX(1,ROW()-$C$7),0,MIN($C$7,ROW()-1),1)))/STDEV(OFFSET(分析データ!D$1,MAX(1,ROW()-$C$7),0,MIN($C$7,ROW()-1),1)),0))</f>
        <v>-0.23970105297457295</v>
      </c>
      <c r="BG344">
        <f t="shared" ca="1" si="148"/>
        <v>0</v>
      </c>
      <c r="BH344" t="str">
        <f ca="1">IF(BG344=1,IF(INDEX(分析データ!$A:$A,ROW()+$C$5)&lt;&gt;"",50000*SIGN(BF344)*(分析データ!D344-INDEX(分析データ!D:D,ROW()+$C$5)),""),"")</f>
        <v/>
      </c>
      <c r="BI344">
        <f t="shared" ca="1" si="149"/>
        <v>0</v>
      </c>
      <c r="BJ344">
        <f t="shared" ca="1" si="150"/>
        <v>0</v>
      </c>
      <c r="BK344">
        <f t="shared" ca="1" si="151"/>
        <v>0</v>
      </c>
      <c r="BL344">
        <f ca="1">IF(ROW()&lt;($C$7+1),"",IFERROR((分析データ!E344-AVERAGE(OFFSET(分析データ!E$1,MAX(1,ROW()-$C$7),0,MIN($C$7,ROW()-1),1)))/STDEV(OFFSET(分析データ!E$1,MAX(1,ROW()-$C$7),0,MIN($C$7,ROW()-1),1)),0))</f>
        <v>0.37506563808670801</v>
      </c>
      <c r="BM344">
        <f t="shared" ca="1" si="152"/>
        <v>0</v>
      </c>
      <c r="BN344" t="str">
        <f ca="1">IF(BM344=1,IF(INDEX(分析データ!$A:$A,ROW()+$C$5)&lt;&gt;"",40000*SIGN(BL344)*(分析データ!E344-INDEX(分析データ!E:E,ROW()+$C$5)),""),"")</f>
        <v/>
      </c>
      <c r="BO344">
        <f t="shared" ca="1" si="153"/>
        <v>280000.00000000291</v>
      </c>
      <c r="BP344">
        <f t="shared" ca="1" si="154"/>
        <v>280000.00000000291</v>
      </c>
      <c r="BQ344">
        <f t="shared" ca="1" si="155"/>
        <v>0</v>
      </c>
      <c r="BR344">
        <f ca="1">IF(ROW()&lt;($C$7+1),"",IFERROR((分析データ!F344-AVERAGE(OFFSET(分析データ!F$1,MAX(1,ROW()-$C$7),0,MIN($C$7,ROW()-1),1)))/STDEV(OFFSET(分析データ!F$1,MAX(1,ROW()-$C$7),0,MIN($C$7,ROW()-1),1)),0))</f>
        <v>-1.2521812843895093</v>
      </c>
      <c r="BS344">
        <f t="shared" ca="1" si="156"/>
        <v>0</v>
      </c>
      <c r="BT344" t="str">
        <f ca="1">IF(BS344=1,IF(INDEX(分析データ!$A:$A,ROW()+$C$5)&lt;&gt;"",40000*SIGN(BR344)*(分析データ!F344-INDEX(分析データ!F:F,ROW()+$C$5)),""),"")</f>
        <v/>
      </c>
      <c r="BU344">
        <f t="shared" ca="1" si="157"/>
        <v>583200.00000000163</v>
      </c>
      <c r="BV344">
        <f t="shared" ca="1" si="158"/>
        <v>583200.00000000163</v>
      </c>
      <c r="BW344">
        <f t="shared" ca="1" si="159"/>
        <v>0</v>
      </c>
      <c r="BX344">
        <f ca="1">IF(ROW()&lt;($C$7+1),"",IFERROR((分析データ!G344-AVERAGE(OFFSET(分析データ!G$1,MAX(1,ROW()-$C$7),0,MIN($C$7,ROW()-1),1)))/STDEV(OFFSET(分析データ!G$1,MAX(1,ROW()-$C$7),0,MIN($C$7,ROW()-1),1)),0))</f>
        <v>1.5384954437619345</v>
      </c>
      <c r="BY344">
        <f t="shared" ca="1" si="160"/>
        <v>0</v>
      </c>
      <c r="BZ344" t="str">
        <f ca="1">IF(BY344=1,IF(INDEX(分析データ!$A:$A,ROW()+$C$5)&lt;&gt;"",40000*SIGN(BX344)*(分析データ!G344-INDEX(分析データ!G:G,ROW()+$C$5)),""),"")</f>
        <v/>
      </c>
      <c r="CA344">
        <f t="shared" ca="1" si="161"/>
        <v>3095574.2871093722</v>
      </c>
      <c r="CB344">
        <f t="shared" ca="1" si="162"/>
        <v>3095574.2871093722</v>
      </c>
      <c r="CC344">
        <f t="shared" ca="1" si="163"/>
        <v>0</v>
      </c>
      <c r="CD344">
        <f t="shared" ca="1" si="164"/>
        <v>0</v>
      </c>
      <c r="CE344">
        <f t="shared" ca="1" si="165"/>
        <v>3958774.2871093769</v>
      </c>
      <c r="CF344">
        <f t="shared" ca="1" si="166"/>
        <v>3958774.2871093769</v>
      </c>
      <c r="CG344">
        <f t="shared" ca="1" si="167"/>
        <v>0</v>
      </c>
      <c r="CH344" s="10">
        <f>分析データ!A344</f>
        <v>45426</v>
      </c>
    </row>
    <row r="345" spans="46:86">
      <c r="AT345">
        <f ca="1">IF(ROW()&lt;($C$7+1),"",IFERROR((分析データ!B345-AVERAGE(OFFSET(分析データ!B$1,MAX(1,ROW()-$C$7),0,MIN($C$7,ROW()-1),1)))/STDEV(OFFSET(分析データ!B$1,MAX(1,ROW()-$C$7),0,MIN($C$7,ROW()-1),1)),0))</f>
        <v>0.53996688584702024</v>
      </c>
      <c r="AU345">
        <f t="shared" ca="1" si="140"/>
        <v>0</v>
      </c>
      <c r="AV345" t="str">
        <f ca="1">IF(AU345=1,IF(INDEX(分析データ!$A:$A,ROW()+$C$5)&lt;&gt;"",80000*SIGN(AT345)*(分析データ!B345-INDEX(分析データ!B:B,ROW()+$C$5)),""),"")</f>
        <v/>
      </c>
      <c r="AW345">
        <f t="shared" ca="1" si="141"/>
        <v>0</v>
      </c>
      <c r="AX345">
        <f t="shared" ca="1" si="142"/>
        <v>0</v>
      </c>
      <c r="AY345">
        <f t="shared" ca="1" si="143"/>
        <v>0</v>
      </c>
      <c r="AZ345">
        <f ca="1">IF(ROW()&lt;($C$7+1),"",IFERROR((分析データ!C345-AVERAGE(OFFSET(分析データ!C$1,MAX(1,ROW()-$C$7),0,MIN($C$7,ROW()-1),1)))/STDEV(OFFSET(分析データ!C$1,MAX(1,ROW()-$C$7),0,MIN($C$7,ROW()-1),1)),0))</f>
        <v>-0.89584967405380445</v>
      </c>
      <c r="BA345">
        <f t="shared" ca="1" si="144"/>
        <v>0</v>
      </c>
      <c r="BB345" t="str">
        <f ca="1">IF(BA345=1,IF(INDEX(分析データ!$A:$A,ROW()+$C$5)&lt;&gt;"",60000*SIGN(AZ345)*(分析データ!C345-INDEX(分析データ!C:C,ROW()+$C$5)),""),"")</f>
        <v/>
      </c>
      <c r="BC345">
        <f t="shared" ca="1" si="145"/>
        <v>0</v>
      </c>
      <c r="BD345">
        <f t="shared" ca="1" si="146"/>
        <v>0</v>
      </c>
      <c r="BE345">
        <f t="shared" ca="1" si="147"/>
        <v>0</v>
      </c>
      <c r="BF345">
        <f ca="1">IF(ROW()&lt;($C$7+1),"",IFERROR((分析データ!D345-AVERAGE(OFFSET(分析データ!D$1,MAX(1,ROW()-$C$7),0,MIN($C$7,ROW()-1),1)))/STDEV(OFFSET(分析データ!D$1,MAX(1,ROW()-$C$7),0,MIN($C$7,ROW()-1),1)),0))</f>
        <v>-0.64597676883980115</v>
      </c>
      <c r="BG345">
        <f t="shared" ca="1" si="148"/>
        <v>0</v>
      </c>
      <c r="BH345" t="str">
        <f ca="1">IF(BG345=1,IF(INDEX(分析データ!$A:$A,ROW()+$C$5)&lt;&gt;"",50000*SIGN(BF345)*(分析データ!D345-INDEX(分析データ!D:D,ROW()+$C$5)),""),"")</f>
        <v/>
      </c>
      <c r="BI345">
        <f t="shared" ca="1" si="149"/>
        <v>0</v>
      </c>
      <c r="BJ345">
        <f t="shared" ca="1" si="150"/>
        <v>0</v>
      </c>
      <c r="BK345">
        <f t="shared" ca="1" si="151"/>
        <v>0</v>
      </c>
      <c r="BL345">
        <f ca="1">IF(ROW()&lt;($C$7+1),"",IFERROR((分析データ!E345-AVERAGE(OFFSET(分析データ!E$1,MAX(1,ROW()-$C$7),0,MIN($C$7,ROW()-1),1)))/STDEV(OFFSET(分析データ!E$1,MAX(1,ROW()-$C$7),0,MIN($C$7,ROW()-1),1)),0))</f>
        <v>0.57115804638100687</v>
      </c>
      <c r="BM345">
        <f t="shared" ca="1" si="152"/>
        <v>0</v>
      </c>
      <c r="BN345" t="str">
        <f ca="1">IF(BM345=1,IF(INDEX(分析データ!$A:$A,ROW()+$C$5)&lt;&gt;"",40000*SIGN(BL345)*(分析データ!E345-INDEX(分析データ!E:E,ROW()+$C$5)),""),"")</f>
        <v/>
      </c>
      <c r="BO345">
        <f t="shared" ca="1" si="153"/>
        <v>280000.00000000291</v>
      </c>
      <c r="BP345">
        <f t="shared" ca="1" si="154"/>
        <v>280000.00000000291</v>
      </c>
      <c r="BQ345">
        <f t="shared" ca="1" si="155"/>
        <v>0</v>
      </c>
      <c r="BR345">
        <f ca="1">IF(ROW()&lt;($C$7+1),"",IFERROR((分析データ!F345-AVERAGE(OFFSET(分析データ!F$1,MAX(1,ROW()-$C$7),0,MIN($C$7,ROW()-1),1)))/STDEV(OFFSET(分析データ!F$1,MAX(1,ROW()-$C$7),0,MIN($C$7,ROW()-1),1)),0))</f>
        <v>-0.96676730247770015</v>
      </c>
      <c r="BS345">
        <f t="shared" ca="1" si="156"/>
        <v>0</v>
      </c>
      <c r="BT345" t="str">
        <f ca="1">IF(BS345=1,IF(INDEX(分析データ!$A:$A,ROW()+$C$5)&lt;&gt;"",40000*SIGN(BR345)*(分析データ!F345-INDEX(分析データ!F:F,ROW()+$C$5)),""),"")</f>
        <v/>
      </c>
      <c r="BU345">
        <f t="shared" ca="1" si="157"/>
        <v>583200.00000000163</v>
      </c>
      <c r="BV345">
        <f t="shared" ca="1" si="158"/>
        <v>583200.00000000163</v>
      </c>
      <c r="BW345">
        <f t="shared" ca="1" si="159"/>
        <v>0</v>
      </c>
      <c r="BX345">
        <f ca="1">IF(ROW()&lt;($C$7+1),"",IFERROR((分析データ!G345-AVERAGE(OFFSET(分析データ!G$1,MAX(1,ROW()-$C$7),0,MIN($C$7,ROW()-1),1)))/STDEV(OFFSET(分析データ!G$1,MAX(1,ROW()-$C$7),0,MIN($C$7,ROW()-1),1)),0))</f>
        <v>1.4890402030961536</v>
      </c>
      <c r="BY345">
        <f t="shared" ca="1" si="160"/>
        <v>0</v>
      </c>
      <c r="BZ345" t="str">
        <f ca="1">IF(BY345=1,IF(INDEX(分析データ!$A:$A,ROW()+$C$5)&lt;&gt;"",40000*SIGN(BX345)*(分析データ!G345-INDEX(分析データ!G:G,ROW()+$C$5)),""),"")</f>
        <v/>
      </c>
      <c r="CA345">
        <f t="shared" ca="1" si="161"/>
        <v>3095574.2871093722</v>
      </c>
      <c r="CB345">
        <f t="shared" ca="1" si="162"/>
        <v>3095574.2871093722</v>
      </c>
      <c r="CC345">
        <f t="shared" ca="1" si="163"/>
        <v>0</v>
      </c>
      <c r="CD345">
        <f t="shared" ca="1" si="164"/>
        <v>0</v>
      </c>
      <c r="CE345">
        <f t="shared" ca="1" si="165"/>
        <v>3958774.2871093769</v>
      </c>
      <c r="CF345">
        <f t="shared" ca="1" si="166"/>
        <v>3958774.2871093769</v>
      </c>
      <c r="CG345">
        <f t="shared" ca="1" si="167"/>
        <v>0</v>
      </c>
      <c r="CH345" s="10">
        <f>分析データ!A345</f>
        <v>45427</v>
      </c>
    </row>
    <row r="346" spans="46:86">
      <c r="AT346">
        <f ca="1">IF(ROW()&lt;($C$7+1),"",IFERROR((分析データ!B346-AVERAGE(OFFSET(分析データ!B$1,MAX(1,ROW()-$C$7),0,MIN($C$7,ROW()-1),1)))/STDEV(OFFSET(分析データ!B$1,MAX(1,ROW()-$C$7),0,MIN($C$7,ROW()-1),1)),0))</f>
        <v>0.4884571498854508</v>
      </c>
      <c r="AU346">
        <f t="shared" ca="1" si="140"/>
        <v>0</v>
      </c>
      <c r="AV346" t="str">
        <f ca="1">IF(AU346=1,IF(INDEX(分析データ!$A:$A,ROW()+$C$5)&lt;&gt;"",80000*SIGN(AT346)*(分析データ!B346-INDEX(分析データ!B:B,ROW()+$C$5)),""),"")</f>
        <v/>
      </c>
      <c r="AW346">
        <f t="shared" ca="1" si="141"/>
        <v>0</v>
      </c>
      <c r="AX346">
        <f t="shared" ca="1" si="142"/>
        <v>0</v>
      </c>
      <c r="AY346">
        <f t="shared" ca="1" si="143"/>
        <v>0</v>
      </c>
      <c r="AZ346">
        <f ca="1">IF(ROW()&lt;($C$7+1),"",IFERROR((分析データ!C346-AVERAGE(OFFSET(分析データ!C$1,MAX(1,ROW()-$C$7),0,MIN($C$7,ROW()-1),1)))/STDEV(OFFSET(分析データ!C$1,MAX(1,ROW()-$C$7),0,MIN($C$7,ROW()-1),1)),0))</f>
        <v>-1.1316679590433318</v>
      </c>
      <c r="BA346">
        <f t="shared" ca="1" si="144"/>
        <v>0</v>
      </c>
      <c r="BB346" t="str">
        <f ca="1">IF(BA346=1,IF(INDEX(分析データ!$A:$A,ROW()+$C$5)&lt;&gt;"",60000*SIGN(AZ346)*(分析データ!C346-INDEX(分析データ!C:C,ROW()+$C$5)),""),"")</f>
        <v/>
      </c>
      <c r="BC346">
        <f t="shared" ca="1" si="145"/>
        <v>0</v>
      </c>
      <c r="BD346">
        <f t="shared" ca="1" si="146"/>
        <v>0</v>
      </c>
      <c r="BE346">
        <f t="shared" ca="1" si="147"/>
        <v>0</v>
      </c>
      <c r="BF346">
        <f ca="1">IF(ROW()&lt;($C$7+1),"",IFERROR((分析データ!D346-AVERAGE(OFFSET(分析データ!D$1,MAX(1,ROW()-$C$7),0,MIN($C$7,ROW()-1),1)))/STDEV(OFFSET(分析データ!D$1,MAX(1,ROW()-$C$7),0,MIN($C$7,ROW()-1),1)),0))</f>
        <v>-0.42684561239050056</v>
      </c>
      <c r="BG346">
        <f t="shared" ca="1" si="148"/>
        <v>0</v>
      </c>
      <c r="BH346" t="str">
        <f ca="1">IF(BG346=1,IF(INDEX(分析データ!$A:$A,ROW()+$C$5)&lt;&gt;"",50000*SIGN(BF346)*(分析データ!D346-INDEX(分析データ!D:D,ROW()+$C$5)),""),"")</f>
        <v/>
      </c>
      <c r="BI346">
        <f t="shared" ca="1" si="149"/>
        <v>0</v>
      </c>
      <c r="BJ346">
        <f t="shared" ca="1" si="150"/>
        <v>0</v>
      </c>
      <c r="BK346">
        <f t="shared" ca="1" si="151"/>
        <v>0</v>
      </c>
      <c r="BL346">
        <f ca="1">IF(ROW()&lt;($C$7+1),"",IFERROR((分析データ!E346-AVERAGE(OFFSET(分析データ!E$1,MAX(1,ROW()-$C$7),0,MIN($C$7,ROW()-1),1)))/STDEV(OFFSET(分析データ!E$1,MAX(1,ROW()-$C$7),0,MIN($C$7,ROW()-1),1)),0))</f>
        <v>0.27972934219722312</v>
      </c>
      <c r="BM346">
        <f t="shared" ca="1" si="152"/>
        <v>0</v>
      </c>
      <c r="BN346" t="str">
        <f ca="1">IF(BM346=1,IF(INDEX(分析データ!$A:$A,ROW()+$C$5)&lt;&gt;"",40000*SIGN(BL346)*(分析データ!E346-INDEX(分析データ!E:E,ROW()+$C$5)),""),"")</f>
        <v/>
      </c>
      <c r="BO346">
        <f t="shared" ca="1" si="153"/>
        <v>280000.00000000291</v>
      </c>
      <c r="BP346">
        <f t="shared" ca="1" si="154"/>
        <v>280000.00000000291</v>
      </c>
      <c r="BQ346">
        <f t="shared" ca="1" si="155"/>
        <v>0</v>
      </c>
      <c r="BR346">
        <f ca="1">IF(ROW()&lt;($C$7+1),"",IFERROR((分析データ!F346-AVERAGE(OFFSET(分析データ!F$1,MAX(1,ROW()-$C$7),0,MIN($C$7,ROW()-1),1)))/STDEV(OFFSET(分析データ!F$1,MAX(1,ROW()-$C$7),0,MIN($C$7,ROW()-1),1)),0))</f>
        <v>-1.2680150565587593</v>
      </c>
      <c r="BS346">
        <f t="shared" ca="1" si="156"/>
        <v>0</v>
      </c>
      <c r="BT346" t="str">
        <f ca="1">IF(BS346=1,IF(INDEX(分析データ!$A:$A,ROW()+$C$5)&lt;&gt;"",40000*SIGN(BR346)*(分析データ!F346-INDEX(分析データ!F:F,ROW()+$C$5)),""),"")</f>
        <v/>
      </c>
      <c r="BU346">
        <f t="shared" ca="1" si="157"/>
        <v>583200.00000000163</v>
      </c>
      <c r="BV346">
        <f t="shared" ca="1" si="158"/>
        <v>583200.00000000163</v>
      </c>
      <c r="BW346">
        <f t="shared" ca="1" si="159"/>
        <v>0</v>
      </c>
      <c r="BX346">
        <f ca="1">IF(ROW()&lt;($C$7+1),"",IFERROR((分析データ!G346-AVERAGE(OFFSET(分析データ!G$1,MAX(1,ROW()-$C$7),0,MIN($C$7,ROW()-1),1)))/STDEV(OFFSET(分析データ!G$1,MAX(1,ROW()-$C$7),0,MIN($C$7,ROW()-1),1)),0))</f>
        <v>1.7067727423109522</v>
      </c>
      <c r="BY346">
        <f t="shared" ca="1" si="160"/>
        <v>0</v>
      </c>
      <c r="BZ346" t="str">
        <f ca="1">IF(BY346=1,IF(INDEX(分析データ!$A:$A,ROW()+$C$5)&lt;&gt;"",40000*SIGN(BX346)*(分析データ!G346-INDEX(分析データ!G:G,ROW()+$C$5)),""),"")</f>
        <v/>
      </c>
      <c r="CA346">
        <f t="shared" ca="1" si="161"/>
        <v>3095574.2871093722</v>
      </c>
      <c r="CB346">
        <f t="shared" ca="1" si="162"/>
        <v>3095574.2871093722</v>
      </c>
      <c r="CC346">
        <f t="shared" ca="1" si="163"/>
        <v>0</v>
      </c>
      <c r="CD346">
        <f t="shared" ca="1" si="164"/>
        <v>0</v>
      </c>
      <c r="CE346">
        <f t="shared" ca="1" si="165"/>
        <v>3958774.2871093769</v>
      </c>
      <c r="CF346">
        <f t="shared" ca="1" si="166"/>
        <v>3958774.2871093769</v>
      </c>
      <c r="CG346">
        <f t="shared" ca="1" si="167"/>
        <v>0</v>
      </c>
      <c r="CH346" s="10">
        <f>分析データ!A346</f>
        <v>45428</v>
      </c>
    </row>
    <row r="347" spans="46:86">
      <c r="AT347">
        <f ca="1">IF(ROW()&lt;($C$7+1),"",IFERROR((分析データ!B347-AVERAGE(OFFSET(分析データ!B$1,MAX(1,ROW()-$C$7),0,MIN($C$7,ROW()-1),1)))/STDEV(OFFSET(分析データ!B$1,MAX(1,ROW()-$C$7),0,MIN($C$7,ROW()-1),1)),0))</f>
        <v>0.43685871345100513</v>
      </c>
      <c r="AU347">
        <f t="shared" ca="1" si="140"/>
        <v>0</v>
      </c>
      <c r="AV347" t="str">
        <f ca="1">IF(AU347=1,IF(INDEX(分析データ!$A:$A,ROW()+$C$5)&lt;&gt;"",80000*SIGN(AT347)*(分析データ!B347-INDEX(分析データ!B:B,ROW()+$C$5)),""),"")</f>
        <v/>
      </c>
      <c r="AW347">
        <f t="shared" ca="1" si="141"/>
        <v>0</v>
      </c>
      <c r="AX347">
        <f t="shared" ca="1" si="142"/>
        <v>0</v>
      </c>
      <c r="AY347">
        <f t="shared" ca="1" si="143"/>
        <v>0</v>
      </c>
      <c r="AZ347">
        <f ca="1">IF(ROW()&lt;($C$7+1),"",IFERROR((分析データ!C347-AVERAGE(OFFSET(分析データ!C$1,MAX(1,ROW()-$C$7),0,MIN($C$7,ROW()-1),1)))/STDEV(OFFSET(分析データ!C$1,MAX(1,ROW()-$C$7),0,MIN($C$7,ROW()-1),1)),0))</f>
        <v>-0.95847820519567795</v>
      </c>
      <c r="BA347">
        <f t="shared" ca="1" si="144"/>
        <v>0</v>
      </c>
      <c r="BB347" t="str">
        <f ca="1">IF(BA347=1,IF(INDEX(分析データ!$A:$A,ROW()+$C$5)&lt;&gt;"",60000*SIGN(AZ347)*(分析データ!C347-INDEX(分析データ!C:C,ROW()+$C$5)),""),"")</f>
        <v/>
      </c>
      <c r="BC347">
        <f t="shared" ca="1" si="145"/>
        <v>0</v>
      </c>
      <c r="BD347">
        <f t="shared" ca="1" si="146"/>
        <v>0</v>
      </c>
      <c r="BE347">
        <f t="shared" ca="1" si="147"/>
        <v>0</v>
      </c>
      <c r="BF347">
        <f ca="1">IF(ROW()&lt;($C$7+1),"",IFERROR((分析データ!D347-AVERAGE(OFFSET(分析データ!D$1,MAX(1,ROW()-$C$7),0,MIN($C$7,ROW()-1),1)))/STDEV(OFFSET(分析データ!D$1,MAX(1,ROW()-$C$7),0,MIN($C$7,ROW()-1),1)),0))</f>
        <v>-0.35351680166966859</v>
      </c>
      <c r="BG347">
        <f t="shared" ca="1" si="148"/>
        <v>0</v>
      </c>
      <c r="BH347" t="str">
        <f ca="1">IF(BG347=1,IF(INDEX(分析データ!$A:$A,ROW()+$C$5)&lt;&gt;"",50000*SIGN(BF347)*(分析データ!D347-INDEX(分析データ!D:D,ROW()+$C$5)),""),"")</f>
        <v/>
      </c>
      <c r="BI347">
        <f t="shared" ca="1" si="149"/>
        <v>0</v>
      </c>
      <c r="BJ347">
        <f t="shared" ca="1" si="150"/>
        <v>0</v>
      </c>
      <c r="BK347">
        <f t="shared" ca="1" si="151"/>
        <v>0</v>
      </c>
      <c r="BL347">
        <f ca="1">IF(ROW()&lt;($C$7+1),"",IFERROR((分析データ!E347-AVERAGE(OFFSET(分析データ!E$1,MAX(1,ROW()-$C$7),0,MIN($C$7,ROW()-1),1)))/STDEV(OFFSET(分析データ!E$1,MAX(1,ROW()-$C$7),0,MIN($C$7,ROW()-1),1)),0))</f>
        <v>0.28149782607080126</v>
      </c>
      <c r="BM347">
        <f t="shared" ca="1" si="152"/>
        <v>0</v>
      </c>
      <c r="BN347" t="str">
        <f ca="1">IF(BM347=1,IF(INDEX(分析データ!$A:$A,ROW()+$C$5)&lt;&gt;"",40000*SIGN(BL347)*(分析データ!E347-INDEX(分析データ!E:E,ROW()+$C$5)),""),"")</f>
        <v/>
      </c>
      <c r="BO347">
        <f t="shared" ca="1" si="153"/>
        <v>280000.00000000291</v>
      </c>
      <c r="BP347">
        <f t="shared" ca="1" si="154"/>
        <v>280000.00000000291</v>
      </c>
      <c r="BQ347">
        <f t="shared" ca="1" si="155"/>
        <v>0</v>
      </c>
      <c r="BR347">
        <f ca="1">IF(ROW()&lt;($C$7+1),"",IFERROR((分析データ!F347-AVERAGE(OFFSET(分析データ!F$1,MAX(1,ROW()-$C$7),0,MIN($C$7,ROW()-1),1)))/STDEV(OFFSET(分析データ!F$1,MAX(1,ROW()-$C$7),0,MIN($C$7,ROW()-1),1)),0))</f>
        <v>-1.2956481446598476</v>
      </c>
      <c r="BS347">
        <f t="shared" ca="1" si="156"/>
        <v>0</v>
      </c>
      <c r="BT347" t="str">
        <f ca="1">IF(BS347=1,IF(INDEX(分析データ!$A:$A,ROW()+$C$5)&lt;&gt;"",40000*SIGN(BR347)*(分析データ!F347-INDEX(分析データ!F:F,ROW()+$C$5)),""),"")</f>
        <v/>
      </c>
      <c r="BU347">
        <f t="shared" ca="1" si="157"/>
        <v>583200.00000000163</v>
      </c>
      <c r="BV347">
        <f t="shared" ca="1" si="158"/>
        <v>583200.00000000163</v>
      </c>
      <c r="BW347">
        <f t="shared" ca="1" si="159"/>
        <v>0</v>
      </c>
      <c r="BX347">
        <f ca="1">IF(ROW()&lt;($C$7+1),"",IFERROR((分析データ!G347-AVERAGE(OFFSET(分析データ!G$1,MAX(1,ROW()-$C$7),0,MIN($C$7,ROW()-1),1)))/STDEV(OFFSET(分析データ!G$1,MAX(1,ROW()-$C$7),0,MIN($C$7,ROW()-1),1)),0))</f>
        <v>1.7164595890713161</v>
      </c>
      <c r="BY347">
        <f t="shared" ca="1" si="160"/>
        <v>0</v>
      </c>
      <c r="BZ347" t="str">
        <f ca="1">IF(BY347=1,IF(INDEX(分析データ!$A:$A,ROW()+$C$5)&lt;&gt;"",40000*SIGN(BX347)*(分析データ!G347-INDEX(分析データ!G:G,ROW()+$C$5)),""),"")</f>
        <v/>
      </c>
      <c r="CA347">
        <f t="shared" ca="1" si="161"/>
        <v>3095574.2871093722</v>
      </c>
      <c r="CB347">
        <f t="shared" ca="1" si="162"/>
        <v>3095574.2871093722</v>
      </c>
      <c r="CC347">
        <f t="shared" ca="1" si="163"/>
        <v>0</v>
      </c>
      <c r="CD347">
        <f t="shared" ca="1" si="164"/>
        <v>0</v>
      </c>
      <c r="CE347">
        <f t="shared" ca="1" si="165"/>
        <v>3958774.2871093769</v>
      </c>
      <c r="CF347">
        <f t="shared" ca="1" si="166"/>
        <v>3958774.2871093769</v>
      </c>
      <c r="CG347">
        <f t="shared" ca="1" si="167"/>
        <v>0</v>
      </c>
      <c r="CH347" s="10">
        <f>分析データ!A347</f>
        <v>45429</v>
      </c>
    </row>
    <row r="348" spans="46:86">
      <c r="AT348">
        <f ca="1">IF(ROW()&lt;($C$7+1),"",IFERROR((分析データ!B348-AVERAGE(OFFSET(分析データ!B$1,MAX(1,ROW()-$C$7),0,MIN($C$7,ROW()-1),1)))/STDEV(OFFSET(分析データ!B$1,MAX(1,ROW()-$C$7),0,MIN($C$7,ROW()-1),1)),0))</f>
        <v>0.57159116214028782</v>
      </c>
      <c r="AU348">
        <f t="shared" ca="1" si="140"/>
        <v>0</v>
      </c>
      <c r="AV348" t="str">
        <f ca="1">IF(AU348=1,IF(INDEX(分析データ!$A:$A,ROW()+$C$5)&lt;&gt;"",80000*SIGN(AT348)*(分析データ!B348-INDEX(分析データ!B:B,ROW()+$C$5)),""),"")</f>
        <v/>
      </c>
      <c r="AW348">
        <f t="shared" ca="1" si="141"/>
        <v>0</v>
      </c>
      <c r="AX348">
        <f t="shared" ca="1" si="142"/>
        <v>0</v>
      </c>
      <c r="AY348">
        <f t="shared" ca="1" si="143"/>
        <v>0</v>
      </c>
      <c r="AZ348">
        <f ca="1">IF(ROW()&lt;($C$7+1),"",IFERROR((分析データ!C348-AVERAGE(OFFSET(分析データ!C$1,MAX(1,ROW()-$C$7),0,MIN($C$7,ROW()-1),1)))/STDEV(OFFSET(分析データ!C$1,MAX(1,ROW()-$C$7),0,MIN($C$7,ROW()-1),1)),0))</f>
        <v>-0.7084533359767311</v>
      </c>
      <c r="BA348">
        <f t="shared" ca="1" si="144"/>
        <v>0</v>
      </c>
      <c r="BB348" t="str">
        <f ca="1">IF(BA348=1,IF(INDEX(分析データ!$A:$A,ROW()+$C$5)&lt;&gt;"",60000*SIGN(AZ348)*(分析データ!C348-INDEX(分析データ!C:C,ROW()+$C$5)),""),"")</f>
        <v/>
      </c>
      <c r="BC348">
        <f t="shared" ca="1" si="145"/>
        <v>0</v>
      </c>
      <c r="BD348">
        <f t="shared" ca="1" si="146"/>
        <v>0</v>
      </c>
      <c r="BE348">
        <f t="shared" ca="1" si="147"/>
        <v>0</v>
      </c>
      <c r="BF348">
        <f ca="1">IF(ROW()&lt;($C$7+1),"",IFERROR((分析データ!D348-AVERAGE(OFFSET(分析データ!D$1,MAX(1,ROW()-$C$7),0,MIN($C$7,ROW()-1),1)))/STDEV(OFFSET(分析データ!D$1,MAX(1,ROW()-$C$7),0,MIN($C$7,ROW()-1),1)),0))</f>
        <v>-0.40934318602756647</v>
      </c>
      <c r="BG348">
        <f t="shared" ca="1" si="148"/>
        <v>0</v>
      </c>
      <c r="BH348" t="str">
        <f ca="1">IF(BG348=1,IF(INDEX(分析データ!$A:$A,ROW()+$C$5)&lt;&gt;"",50000*SIGN(BF348)*(分析データ!D348-INDEX(分析データ!D:D,ROW()+$C$5)),""),"")</f>
        <v/>
      </c>
      <c r="BI348">
        <f t="shared" ca="1" si="149"/>
        <v>0</v>
      </c>
      <c r="BJ348">
        <f t="shared" ca="1" si="150"/>
        <v>0</v>
      </c>
      <c r="BK348">
        <f t="shared" ca="1" si="151"/>
        <v>0</v>
      </c>
      <c r="BL348">
        <f ca="1">IF(ROW()&lt;($C$7+1),"",IFERROR((分析データ!E348-AVERAGE(OFFSET(分析データ!E$1,MAX(1,ROW()-$C$7),0,MIN($C$7,ROW()-1),1)))/STDEV(OFFSET(分析データ!E$1,MAX(1,ROW()-$C$7),0,MIN($C$7,ROW()-1),1)),0))</f>
        <v>0.28192422251224686</v>
      </c>
      <c r="BM348">
        <f t="shared" ca="1" si="152"/>
        <v>0</v>
      </c>
      <c r="BN348" t="str">
        <f ca="1">IF(BM348=1,IF(INDEX(分析データ!$A:$A,ROW()+$C$5)&lt;&gt;"",40000*SIGN(BL348)*(分析データ!E348-INDEX(分析データ!E:E,ROW()+$C$5)),""),"")</f>
        <v/>
      </c>
      <c r="BO348">
        <f t="shared" ca="1" si="153"/>
        <v>280000.00000000291</v>
      </c>
      <c r="BP348">
        <f t="shared" ca="1" si="154"/>
        <v>280000.00000000291</v>
      </c>
      <c r="BQ348">
        <f t="shared" ca="1" si="155"/>
        <v>0</v>
      </c>
      <c r="BR348">
        <f ca="1">IF(ROW()&lt;($C$7+1),"",IFERROR((分析データ!F348-AVERAGE(OFFSET(分析データ!F$1,MAX(1,ROW()-$C$7),0,MIN($C$7,ROW()-1),1)))/STDEV(OFFSET(分析データ!F$1,MAX(1,ROW()-$C$7),0,MIN($C$7,ROW()-1),1)),0))</f>
        <v>-1.0967357410217413</v>
      </c>
      <c r="BS348">
        <f t="shared" ca="1" si="156"/>
        <v>0</v>
      </c>
      <c r="BT348" t="str">
        <f ca="1">IF(BS348=1,IF(INDEX(分析データ!$A:$A,ROW()+$C$5)&lt;&gt;"",40000*SIGN(BR348)*(分析データ!F348-INDEX(分析データ!F:F,ROW()+$C$5)),""),"")</f>
        <v/>
      </c>
      <c r="BU348">
        <f t="shared" ca="1" si="157"/>
        <v>583200.00000000163</v>
      </c>
      <c r="BV348">
        <f t="shared" ca="1" si="158"/>
        <v>583200.00000000163</v>
      </c>
      <c r="BW348">
        <f t="shared" ca="1" si="159"/>
        <v>0</v>
      </c>
      <c r="BX348">
        <f ca="1">IF(ROW()&lt;($C$7+1),"",IFERROR((分析データ!G348-AVERAGE(OFFSET(分析データ!G$1,MAX(1,ROW()-$C$7),0,MIN($C$7,ROW()-1),1)))/STDEV(OFFSET(分析データ!G$1,MAX(1,ROW()-$C$7),0,MIN($C$7,ROW()-1),1)),0))</f>
        <v>1.5192983993800768</v>
      </c>
      <c r="BY348">
        <f t="shared" ca="1" si="160"/>
        <v>0</v>
      </c>
      <c r="BZ348" t="str">
        <f ca="1">IF(BY348=1,IF(INDEX(分析データ!$A:$A,ROW()+$C$5)&lt;&gt;"",40000*SIGN(BX348)*(分析データ!G348-INDEX(分析データ!G:G,ROW()+$C$5)),""),"")</f>
        <v/>
      </c>
      <c r="CA348">
        <f t="shared" ca="1" si="161"/>
        <v>3095574.2871093722</v>
      </c>
      <c r="CB348">
        <f t="shared" ca="1" si="162"/>
        <v>3095574.2871093722</v>
      </c>
      <c r="CC348">
        <f t="shared" ca="1" si="163"/>
        <v>0</v>
      </c>
      <c r="CD348">
        <f t="shared" ca="1" si="164"/>
        <v>0</v>
      </c>
      <c r="CE348">
        <f t="shared" ca="1" si="165"/>
        <v>3958774.2871093769</v>
      </c>
      <c r="CF348">
        <f t="shared" ca="1" si="166"/>
        <v>3958774.2871093769</v>
      </c>
      <c r="CG348">
        <f t="shared" ca="1" si="167"/>
        <v>0</v>
      </c>
      <c r="CH348" s="10">
        <f>分析データ!A348</f>
        <v>45432</v>
      </c>
    </row>
    <row r="349" spans="46:86">
      <c r="AT349">
        <f ca="1">IF(ROW()&lt;($C$7+1),"",IFERROR((分析データ!B349-AVERAGE(OFFSET(分析データ!B$1,MAX(1,ROW()-$C$7),0,MIN($C$7,ROW()-1),1)))/STDEV(OFFSET(分析データ!B$1,MAX(1,ROW()-$C$7),0,MIN($C$7,ROW()-1),1)),0))</f>
        <v>0.42623534774884297</v>
      </c>
      <c r="AU349">
        <f t="shared" ca="1" si="140"/>
        <v>0</v>
      </c>
      <c r="AV349" t="str">
        <f ca="1">IF(AU349=1,IF(INDEX(分析データ!$A:$A,ROW()+$C$5)&lt;&gt;"",80000*SIGN(AT349)*(分析データ!B349-INDEX(分析データ!B:B,ROW()+$C$5)),""),"")</f>
        <v/>
      </c>
      <c r="AW349">
        <f t="shared" ca="1" si="141"/>
        <v>0</v>
      </c>
      <c r="AX349">
        <f t="shared" ca="1" si="142"/>
        <v>0</v>
      </c>
      <c r="AY349">
        <f t="shared" ca="1" si="143"/>
        <v>0</v>
      </c>
      <c r="AZ349">
        <f ca="1">IF(ROW()&lt;($C$7+1),"",IFERROR((分析データ!C349-AVERAGE(OFFSET(分析データ!C$1,MAX(1,ROW()-$C$7),0,MIN($C$7,ROW()-1),1)))/STDEV(OFFSET(分析データ!C$1,MAX(1,ROW()-$C$7),0,MIN($C$7,ROW()-1),1)),0))</f>
        <v>-0.65795993711940426</v>
      </c>
      <c r="BA349">
        <f t="shared" ca="1" si="144"/>
        <v>0</v>
      </c>
      <c r="BB349" t="str">
        <f ca="1">IF(BA349=1,IF(INDEX(分析データ!$A:$A,ROW()+$C$5)&lt;&gt;"",60000*SIGN(AZ349)*(分析データ!C349-INDEX(分析データ!C:C,ROW()+$C$5)),""),"")</f>
        <v/>
      </c>
      <c r="BC349">
        <f t="shared" ca="1" si="145"/>
        <v>0</v>
      </c>
      <c r="BD349">
        <f t="shared" ca="1" si="146"/>
        <v>0</v>
      </c>
      <c r="BE349">
        <f t="shared" ca="1" si="147"/>
        <v>0</v>
      </c>
      <c r="BF349">
        <f ca="1">IF(ROW()&lt;($C$7+1),"",IFERROR((分析データ!D349-AVERAGE(OFFSET(分析データ!D$1,MAX(1,ROW()-$C$7),0,MIN($C$7,ROW()-1),1)))/STDEV(OFFSET(分析データ!D$1,MAX(1,ROW()-$C$7),0,MIN($C$7,ROW()-1),1)),0))</f>
        <v>-0.58573525255065151</v>
      </c>
      <c r="BG349">
        <f t="shared" ca="1" si="148"/>
        <v>0</v>
      </c>
      <c r="BH349" t="str">
        <f ca="1">IF(BG349=1,IF(INDEX(分析データ!$A:$A,ROW()+$C$5)&lt;&gt;"",50000*SIGN(BF349)*(分析データ!D349-INDEX(分析データ!D:D,ROW()+$C$5)),""),"")</f>
        <v/>
      </c>
      <c r="BI349">
        <f t="shared" ca="1" si="149"/>
        <v>0</v>
      </c>
      <c r="BJ349">
        <f t="shared" ca="1" si="150"/>
        <v>0</v>
      </c>
      <c r="BK349">
        <f t="shared" ca="1" si="151"/>
        <v>0</v>
      </c>
      <c r="BL349">
        <f ca="1">IF(ROW()&lt;($C$7+1),"",IFERROR((分析データ!E349-AVERAGE(OFFSET(分析データ!E$1,MAX(1,ROW()-$C$7),0,MIN($C$7,ROW()-1),1)))/STDEV(OFFSET(分析データ!E$1,MAX(1,ROW()-$C$7),0,MIN($C$7,ROW()-1),1)),0))</f>
        <v>0.28110401445161809</v>
      </c>
      <c r="BM349">
        <f t="shared" ca="1" si="152"/>
        <v>0</v>
      </c>
      <c r="BN349" t="str">
        <f ca="1">IF(BM349=1,IF(INDEX(分析データ!$A:$A,ROW()+$C$5)&lt;&gt;"",40000*SIGN(BL349)*(分析データ!E349-INDEX(分析データ!E:E,ROW()+$C$5)),""),"")</f>
        <v/>
      </c>
      <c r="BO349">
        <f t="shared" ca="1" si="153"/>
        <v>280000.00000000291</v>
      </c>
      <c r="BP349">
        <f t="shared" ca="1" si="154"/>
        <v>280000.00000000291</v>
      </c>
      <c r="BQ349">
        <f t="shared" ca="1" si="155"/>
        <v>0</v>
      </c>
      <c r="BR349">
        <f ca="1">IF(ROW()&lt;($C$7+1),"",IFERROR((分析データ!F349-AVERAGE(OFFSET(分析データ!F$1,MAX(1,ROW()-$C$7),0,MIN($C$7,ROW()-1),1)))/STDEV(OFFSET(分析データ!F$1,MAX(1,ROW()-$C$7),0,MIN($C$7,ROW()-1),1)),0))</f>
        <v>-0.96138717159004861</v>
      </c>
      <c r="BS349">
        <f t="shared" ca="1" si="156"/>
        <v>0</v>
      </c>
      <c r="BT349" t="str">
        <f ca="1">IF(BS349=1,IF(INDEX(分析データ!$A:$A,ROW()+$C$5)&lt;&gt;"",40000*SIGN(BR349)*(分析データ!F349-INDEX(分析データ!F:F,ROW()+$C$5)),""),"")</f>
        <v/>
      </c>
      <c r="BU349">
        <f t="shared" ca="1" si="157"/>
        <v>583200.00000000163</v>
      </c>
      <c r="BV349">
        <f t="shared" ca="1" si="158"/>
        <v>583200.00000000163</v>
      </c>
      <c r="BW349">
        <f t="shared" ca="1" si="159"/>
        <v>0</v>
      </c>
      <c r="BX349">
        <f ca="1">IF(ROW()&lt;($C$7+1),"",IFERROR((分析データ!G349-AVERAGE(OFFSET(分析データ!G$1,MAX(1,ROW()-$C$7),0,MIN($C$7,ROW()-1),1)))/STDEV(OFFSET(分析データ!G$1,MAX(1,ROW()-$C$7),0,MIN($C$7,ROW()-1),1)),0))</f>
        <v>1.4146265229456463</v>
      </c>
      <c r="BY349">
        <f t="shared" ca="1" si="160"/>
        <v>0</v>
      </c>
      <c r="BZ349" t="str">
        <f ca="1">IF(BY349=1,IF(INDEX(分析データ!$A:$A,ROW()+$C$5)&lt;&gt;"",40000*SIGN(BX349)*(分析データ!G349-INDEX(分析データ!G:G,ROW()+$C$5)),""),"")</f>
        <v/>
      </c>
      <c r="CA349">
        <f t="shared" ca="1" si="161"/>
        <v>3095574.2871093722</v>
      </c>
      <c r="CB349">
        <f t="shared" ca="1" si="162"/>
        <v>3095574.2871093722</v>
      </c>
      <c r="CC349">
        <f t="shared" ca="1" si="163"/>
        <v>0</v>
      </c>
      <c r="CD349">
        <f t="shared" ca="1" si="164"/>
        <v>0</v>
      </c>
      <c r="CE349">
        <f t="shared" ca="1" si="165"/>
        <v>3958774.2871093769</v>
      </c>
      <c r="CF349">
        <f t="shared" ca="1" si="166"/>
        <v>3958774.2871093769</v>
      </c>
      <c r="CG349">
        <f t="shared" ca="1" si="167"/>
        <v>0</v>
      </c>
      <c r="CH349" s="10">
        <f>分析データ!A349</f>
        <v>45433</v>
      </c>
    </row>
    <row r="350" spans="46:86">
      <c r="AT350">
        <f ca="1">IF(ROW()&lt;($C$7+1),"",IFERROR((分析データ!B350-AVERAGE(OFFSET(分析データ!B$1,MAX(1,ROW()-$C$7),0,MIN($C$7,ROW()-1),1)))/STDEV(OFFSET(分析データ!B$1,MAX(1,ROW()-$C$7),0,MIN($C$7,ROW()-1),1)),0))</f>
        <v>0.42153945607000043</v>
      </c>
      <c r="AU350">
        <f t="shared" ca="1" si="140"/>
        <v>0</v>
      </c>
      <c r="AV350" t="str">
        <f ca="1">IF(AU350=1,IF(INDEX(分析データ!$A:$A,ROW()+$C$5)&lt;&gt;"",80000*SIGN(AT350)*(分析データ!B350-INDEX(分析データ!B:B,ROW()+$C$5)),""),"")</f>
        <v/>
      </c>
      <c r="AW350">
        <f t="shared" ca="1" si="141"/>
        <v>0</v>
      </c>
      <c r="AX350">
        <f t="shared" ca="1" si="142"/>
        <v>0</v>
      </c>
      <c r="AY350">
        <f t="shared" ca="1" si="143"/>
        <v>0</v>
      </c>
      <c r="AZ350">
        <f ca="1">IF(ROW()&lt;($C$7+1),"",IFERROR((分析データ!C350-AVERAGE(OFFSET(分析データ!C$1,MAX(1,ROW()-$C$7),0,MIN($C$7,ROW()-1),1)))/STDEV(OFFSET(分析データ!C$1,MAX(1,ROW()-$C$7),0,MIN($C$7,ROW()-1),1)),0))</f>
        <v>-0.8742416971332635</v>
      </c>
      <c r="BA350">
        <f t="shared" ca="1" si="144"/>
        <v>0</v>
      </c>
      <c r="BB350" t="str">
        <f ca="1">IF(BA350=1,IF(INDEX(分析データ!$A:$A,ROW()+$C$5)&lt;&gt;"",60000*SIGN(AZ350)*(分析データ!C350-INDEX(分析データ!C:C,ROW()+$C$5)),""),"")</f>
        <v/>
      </c>
      <c r="BC350">
        <f t="shared" ca="1" si="145"/>
        <v>0</v>
      </c>
      <c r="BD350">
        <f t="shared" ca="1" si="146"/>
        <v>0</v>
      </c>
      <c r="BE350">
        <f t="shared" ca="1" si="147"/>
        <v>0</v>
      </c>
      <c r="BF350">
        <f ca="1">IF(ROW()&lt;($C$7+1),"",IFERROR((分析データ!D350-AVERAGE(OFFSET(分析データ!D$1,MAX(1,ROW()-$C$7),0,MIN($C$7,ROW()-1),1)))/STDEV(OFFSET(分析データ!D$1,MAX(1,ROW()-$C$7),0,MIN($C$7,ROW()-1),1)),0))</f>
        <v>-0.56524161155749153</v>
      </c>
      <c r="BG350">
        <f t="shared" ca="1" si="148"/>
        <v>0</v>
      </c>
      <c r="BH350" t="str">
        <f ca="1">IF(BG350=1,IF(INDEX(分析データ!$A:$A,ROW()+$C$5)&lt;&gt;"",50000*SIGN(BF350)*(分析データ!D350-INDEX(分析データ!D:D,ROW()+$C$5)),""),"")</f>
        <v/>
      </c>
      <c r="BI350">
        <f t="shared" ca="1" si="149"/>
        <v>0</v>
      </c>
      <c r="BJ350">
        <f t="shared" ca="1" si="150"/>
        <v>0</v>
      </c>
      <c r="BK350">
        <f t="shared" ca="1" si="151"/>
        <v>0</v>
      </c>
      <c r="BL350">
        <f ca="1">IF(ROW()&lt;($C$7+1),"",IFERROR((分析データ!E350-AVERAGE(OFFSET(分析データ!E$1,MAX(1,ROW()-$C$7),0,MIN($C$7,ROW()-1),1)))/STDEV(OFFSET(分析データ!E$1,MAX(1,ROW()-$C$7),0,MIN($C$7,ROW()-1),1)),0))</f>
        <v>8.3825280458056026E-2</v>
      </c>
      <c r="BM350">
        <f t="shared" ca="1" si="152"/>
        <v>0</v>
      </c>
      <c r="BN350" t="str">
        <f ca="1">IF(BM350=1,IF(INDEX(分析データ!$A:$A,ROW()+$C$5)&lt;&gt;"",40000*SIGN(BL350)*(分析データ!E350-INDEX(分析データ!E:E,ROW()+$C$5)),""),"")</f>
        <v/>
      </c>
      <c r="BO350">
        <f t="shared" ca="1" si="153"/>
        <v>280000.00000000291</v>
      </c>
      <c r="BP350">
        <f t="shared" ca="1" si="154"/>
        <v>280000.00000000291</v>
      </c>
      <c r="BQ350">
        <f t="shared" ca="1" si="155"/>
        <v>0</v>
      </c>
      <c r="BR350">
        <f ca="1">IF(ROW()&lt;($C$7+1),"",IFERROR((分析データ!F350-AVERAGE(OFFSET(分析データ!F$1,MAX(1,ROW()-$C$7),0,MIN($C$7,ROW()-1),1)))/STDEV(OFFSET(分析データ!F$1,MAX(1,ROW()-$C$7),0,MIN($C$7,ROW()-1),1)),0))</f>
        <v>-0.99300982107016067</v>
      </c>
      <c r="BS350">
        <f t="shared" ca="1" si="156"/>
        <v>0</v>
      </c>
      <c r="BT350" t="str">
        <f ca="1">IF(BS350=1,IF(INDEX(分析データ!$A:$A,ROW()+$C$5)&lt;&gt;"",40000*SIGN(BR350)*(分析データ!F350-INDEX(分析データ!F:F,ROW()+$C$5)),""),"")</f>
        <v/>
      </c>
      <c r="BU350">
        <f t="shared" ca="1" si="157"/>
        <v>583200.00000000163</v>
      </c>
      <c r="BV350">
        <f t="shared" ca="1" si="158"/>
        <v>583200.00000000163</v>
      </c>
      <c r="BW350">
        <f t="shared" ca="1" si="159"/>
        <v>0</v>
      </c>
      <c r="BX350">
        <f ca="1">IF(ROW()&lt;($C$7+1),"",IFERROR((分析データ!G350-AVERAGE(OFFSET(分析データ!G$1,MAX(1,ROW()-$C$7),0,MIN($C$7,ROW()-1),1)))/STDEV(OFFSET(分析データ!G$1,MAX(1,ROW()-$C$7),0,MIN($C$7,ROW()-1),1)),0))</f>
        <v>1.4333667298941943</v>
      </c>
      <c r="BY350">
        <f t="shared" ca="1" si="160"/>
        <v>0</v>
      </c>
      <c r="BZ350" t="str">
        <f ca="1">IF(BY350=1,IF(INDEX(分析データ!$A:$A,ROW()+$C$5)&lt;&gt;"",40000*SIGN(BX350)*(分析データ!G350-INDEX(分析データ!G:G,ROW()+$C$5)),""),"")</f>
        <v/>
      </c>
      <c r="CA350">
        <f t="shared" ca="1" si="161"/>
        <v>3095574.2871093722</v>
      </c>
      <c r="CB350">
        <f t="shared" ca="1" si="162"/>
        <v>3095574.2871093722</v>
      </c>
      <c r="CC350">
        <f t="shared" ca="1" si="163"/>
        <v>0</v>
      </c>
      <c r="CD350">
        <f t="shared" ca="1" si="164"/>
        <v>0</v>
      </c>
      <c r="CE350">
        <f t="shared" ca="1" si="165"/>
        <v>3958774.2871093769</v>
      </c>
      <c r="CF350">
        <f t="shared" ca="1" si="166"/>
        <v>3958774.2871093769</v>
      </c>
      <c r="CG350">
        <f t="shared" ca="1" si="167"/>
        <v>0</v>
      </c>
      <c r="CH350" s="10">
        <f>分析データ!A350</f>
        <v>45434</v>
      </c>
    </row>
    <row r="351" spans="46:86">
      <c r="AT351">
        <f ca="1">IF(ROW()&lt;($C$7+1),"",IFERROR((分析データ!B351-AVERAGE(OFFSET(分析データ!B$1,MAX(1,ROW()-$C$7),0,MIN($C$7,ROW()-1),1)))/STDEV(OFFSET(分析データ!B$1,MAX(1,ROW()-$C$7),0,MIN($C$7,ROW()-1),1)),0))</f>
        <v>0.4169622837864238</v>
      </c>
      <c r="AU351">
        <f t="shared" ca="1" si="140"/>
        <v>0</v>
      </c>
      <c r="AV351" t="str">
        <f ca="1">IF(AU351=1,IF(INDEX(分析データ!$A:$A,ROW()+$C$5)&lt;&gt;"",80000*SIGN(AT351)*(分析データ!B351-INDEX(分析データ!B:B,ROW()+$C$5)),""),"")</f>
        <v/>
      </c>
      <c r="AW351">
        <f t="shared" ca="1" si="141"/>
        <v>0</v>
      </c>
      <c r="AX351">
        <f t="shared" ca="1" si="142"/>
        <v>0</v>
      </c>
      <c r="AY351">
        <f t="shared" ca="1" si="143"/>
        <v>0</v>
      </c>
      <c r="AZ351">
        <f ca="1">IF(ROW()&lt;($C$7+1),"",IFERROR((分析データ!C351-AVERAGE(OFFSET(分析データ!C$1,MAX(1,ROW()-$C$7),0,MIN($C$7,ROW()-1),1)))/STDEV(OFFSET(分析データ!C$1,MAX(1,ROW()-$C$7),0,MIN($C$7,ROW()-1),1)),0))</f>
        <v>-0.84158082359328423</v>
      </c>
      <c r="BA351">
        <f t="shared" ca="1" si="144"/>
        <v>0</v>
      </c>
      <c r="BB351" t="str">
        <f ca="1">IF(BA351=1,IF(INDEX(分析データ!$A:$A,ROW()+$C$5)&lt;&gt;"",60000*SIGN(AZ351)*(分析データ!C351-INDEX(分析データ!C:C,ROW()+$C$5)),""),"")</f>
        <v/>
      </c>
      <c r="BC351">
        <f t="shared" ca="1" si="145"/>
        <v>0</v>
      </c>
      <c r="BD351">
        <f t="shared" ca="1" si="146"/>
        <v>0</v>
      </c>
      <c r="BE351">
        <f t="shared" ca="1" si="147"/>
        <v>0</v>
      </c>
      <c r="BF351">
        <f ca="1">IF(ROW()&lt;($C$7+1),"",IFERROR((分析データ!D351-AVERAGE(OFFSET(分析データ!D$1,MAX(1,ROW()-$C$7),0,MIN($C$7,ROW()-1),1)))/STDEV(OFFSET(分析データ!D$1,MAX(1,ROW()-$C$7),0,MIN($C$7,ROW()-1),1)),0))</f>
        <v>-0.39138058907969936</v>
      </c>
      <c r="BG351">
        <f t="shared" ca="1" si="148"/>
        <v>0</v>
      </c>
      <c r="BH351" t="str">
        <f ca="1">IF(BG351=1,IF(INDEX(分析データ!$A:$A,ROW()+$C$5)&lt;&gt;"",50000*SIGN(BF351)*(分析データ!D351-INDEX(分析データ!D:D,ROW()+$C$5)),""),"")</f>
        <v/>
      </c>
      <c r="BI351">
        <f t="shared" ca="1" si="149"/>
        <v>0</v>
      </c>
      <c r="BJ351">
        <f t="shared" ca="1" si="150"/>
        <v>0</v>
      </c>
      <c r="BK351">
        <f t="shared" ca="1" si="151"/>
        <v>0</v>
      </c>
      <c r="BL351">
        <f ca="1">IF(ROW()&lt;($C$7+1),"",IFERROR((分析データ!E351-AVERAGE(OFFSET(分析データ!E$1,MAX(1,ROW()-$C$7),0,MIN($C$7,ROW()-1),1)))/STDEV(OFFSET(分析データ!E$1,MAX(1,ROW()-$C$7),0,MIN($C$7,ROW()-1),1)),0))</f>
        <v>-1.4425745939291719E-2</v>
      </c>
      <c r="BM351">
        <f t="shared" ca="1" si="152"/>
        <v>0</v>
      </c>
      <c r="BN351" t="str">
        <f ca="1">IF(BM351=1,IF(INDEX(分析データ!$A:$A,ROW()+$C$5)&lt;&gt;"",40000*SIGN(BL351)*(分析データ!E351-INDEX(分析データ!E:E,ROW()+$C$5)),""),"")</f>
        <v/>
      </c>
      <c r="BO351">
        <f t="shared" ca="1" si="153"/>
        <v>280000.00000000291</v>
      </c>
      <c r="BP351">
        <f t="shared" ca="1" si="154"/>
        <v>280000.00000000291</v>
      </c>
      <c r="BQ351">
        <f t="shared" ca="1" si="155"/>
        <v>0</v>
      </c>
      <c r="BR351">
        <f ca="1">IF(ROW()&lt;($C$7+1),"",IFERROR((分析データ!F351-AVERAGE(OFFSET(分析データ!F$1,MAX(1,ROW()-$C$7),0,MIN($C$7,ROW()-1),1)))/STDEV(OFFSET(分析データ!F$1,MAX(1,ROW()-$C$7),0,MIN($C$7,ROW()-1),1)),0))</f>
        <v>-0.93502078924764032</v>
      </c>
      <c r="BS351">
        <f t="shared" ca="1" si="156"/>
        <v>0</v>
      </c>
      <c r="BT351" t="str">
        <f ca="1">IF(BS351=1,IF(INDEX(分析データ!$A:$A,ROW()+$C$5)&lt;&gt;"",40000*SIGN(BR351)*(分析データ!F351-INDEX(分析データ!F:F,ROW()+$C$5)),""),"")</f>
        <v/>
      </c>
      <c r="BU351">
        <f t="shared" ca="1" si="157"/>
        <v>583200.00000000163</v>
      </c>
      <c r="BV351">
        <f t="shared" ca="1" si="158"/>
        <v>583200.00000000163</v>
      </c>
      <c r="BW351">
        <f t="shared" ca="1" si="159"/>
        <v>0</v>
      </c>
      <c r="BX351">
        <f ca="1">IF(ROW()&lt;($C$7+1),"",IFERROR((分析データ!G351-AVERAGE(OFFSET(分析データ!G$1,MAX(1,ROW()-$C$7),0,MIN($C$7,ROW()-1),1)))/STDEV(OFFSET(分析データ!G$1,MAX(1,ROW()-$C$7),0,MIN($C$7,ROW()-1),1)),0))</f>
        <v>1.295810576422705</v>
      </c>
      <c r="BY351">
        <f t="shared" ca="1" si="160"/>
        <v>0</v>
      </c>
      <c r="BZ351" t="str">
        <f ca="1">IF(BY351=1,IF(INDEX(分析データ!$A:$A,ROW()+$C$5)&lt;&gt;"",40000*SIGN(BX351)*(分析データ!G351-INDEX(分析データ!G:G,ROW()+$C$5)),""),"")</f>
        <v/>
      </c>
      <c r="CA351">
        <f t="shared" ca="1" si="161"/>
        <v>3095574.2871093722</v>
      </c>
      <c r="CB351">
        <f t="shared" ca="1" si="162"/>
        <v>3095574.2871093722</v>
      </c>
      <c r="CC351">
        <f t="shared" ca="1" si="163"/>
        <v>0</v>
      </c>
      <c r="CD351">
        <f t="shared" ca="1" si="164"/>
        <v>0</v>
      </c>
      <c r="CE351">
        <f t="shared" ca="1" si="165"/>
        <v>3958774.2871093769</v>
      </c>
      <c r="CF351">
        <f t="shared" ca="1" si="166"/>
        <v>3958774.2871093769</v>
      </c>
      <c r="CG351">
        <f t="shared" ca="1" si="167"/>
        <v>0</v>
      </c>
      <c r="CH351" s="10">
        <f>分析データ!A351</f>
        <v>45435</v>
      </c>
    </row>
    <row r="352" spans="46:86">
      <c r="AT352">
        <f ca="1">IF(ROW()&lt;($C$7+1),"",IFERROR((分析データ!B352-AVERAGE(OFFSET(分析データ!B$1,MAX(1,ROW()-$C$7),0,MIN($C$7,ROW()-1),1)))/STDEV(OFFSET(分析データ!B$1,MAX(1,ROW()-$C$7),0,MIN($C$7,ROW()-1),1)),0))</f>
        <v>0.27186500235765676</v>
      </c>
      <c r="AU352">
        <f t="shared" ca="1" si="140"/>
        <v>0</v>
      </c>
      <c r="AV352" t="str">
        <f ca="1">IF(AU352=1,IF(INDEX(分析データ!$A:$A,ROW()+$C$5)&lt;&gt;"",80000*SIGN(AT352)*(分析データ!B352-INDEX(分析データ!B:B,ROW()+$C$5)),""),"")</f>
        <v/>
      </c>
      <c r="AW352">
        <f t="shared" ca="1" si="141"/>
        <v>0</v>
      </c>
      <c r="AX352">
        <f t="shared" ca="1" si="142"/>
        <v>0</v>
      </c>
      <c r="AY352">
        <f t="shared" ca="1" si="143"/>
        <v>0</v>
      </c>
      <c r="AZ352">
        <f ca="1">IF(ROW()&lt;($C$7+1),"",IFERROR((分析データ!C352-AVERAGE(OFFSET(分析データ!C$1,MAX(1,ROW()-$C$7),0,MIN($C$7,ROW()-1),1)))/STDEV(OFFSET(分析データ!C$1,MAX(1,ROW()-$C$7),0,MIN($C$7,ROW()-1),1)),0))</f>
        <v>-0.77914837260701075</v>
      </c>
      <c r="BA352">
        <f t="shared" ca="1" si="144"/>
        <v>0</v>
      </c>
      <c r="BB352" t="str">
        <f ca="1">IF(BA352=1,IF(INDEX(分析データ!$A:$A,ROW()+$C$5)&lt;&gt;"",60000*SIGN(AZ352)*(分析データ!C352-INDEX(分析データ!C:C,ROW()+$C$5)),""),"")</f>
        <v/>
      </c>
      <c r="BC352">
        <f t="shared" ca="1" si="145"/>
        <v>0</v>
      </c>
      <c r="BD352">
        <f t="shared" ca="1" si="146"/>
        <v>0</v>
      </c>
      <c r="BE352">
        <f t="shared" ca="1" si="147"/>
        <v>0</v>
      </c>
      <c r="BF352">
        <f ca="1">IF(ROW()&lt;($C$7+1),"",IFERROR((分析データ!D352-AVERAGE(OFFSET(分析データ!D$1,MAX(1,ROW()-$C$7),0,MIN($C$7,ROW()-1),1)))/STDEV(OFFSET(分析データ!D$1,MAX(1,ROW()-$C$7),0,MIN($C$7,ROW()-1),1)),0))</f>
        <v>-0.46960900589346904</v>
      </c>
      <c r="BG352">
        <f t="shared" ca="1" si="148"/>
        <v>0</v>
      </c>
      <c r="BH352" t="str">
        <f ca="1">IF(BG352=1,IF(INDEX(分析データ!$A:$A,ROW()+$C$5)&lt;&gt;"",50000*SIGN(BF352)*(分析データ!D352-INDEX(分析データ!D:D,ROW()+$C$5)),""),"")</f>
        <v/>
      </c>
      <c r="BI352">
        <f t="shared" ca="1" si="149"/>
        <v>0</v>
      </c>
      <c r="BJ352">
        <f t="shared" ca="1" si="150"/>
        <v>0</v>
      </c>
      <c r="BK352">
        <f t="shared" ca="1" si="151"/>
        <v>0</v>
      </c>
      <c r="BL352">
        <f ca="1">IF(ROW()&lt;($C$7+1),"",IFERROR((分析データ!E352-AVERAGE(OFFSET(分析データ!E$1,MAX(1,ROW()-$C$7),0,MIN($C$7,ROW()-1),1)))/STDEV(OFFSET(分析データ!E$1,MAX(1,ROW()-$C$7),0,MIN($C$7,ROW()-1),1)),0))</f>
        <v>-0.21052459648867128</v>
      </c>
      <c r="BM352">
        <f t="shared" ca="1" si="152"/>
        <v>0</v>
      </c>
      <c r="BN352" t="str">
        <f ca="1">IF(BM352=1,IF(INDEX(分析データ!$A:$A,ROW()+$C$5)&lt;&gt;"",40000*SIGN(BL352)*(分析データ!E352-INDEX(分析データ!E:E,ROW()+$C$5)),""),"")</f>
        <v/>
      </c>
      <c r="BO352">
        <f t="shared" ca="1" si="153"/>
        <v>280000.00000000291</v>
      </c>
      <c r="BP352">
        <f t="shared" ca="1" si="154"/>
        <v>280000.00000000291</v>
      </c>
      <c r="BQ352">
        <f t="shared" ca="1" si="155"/>
        <v>0</v>
      </c>
      <c r="BR352">
        <f ca="1">IF(ROW()&lt;($C$7+1),"",IFERROR((分析データ!F352-AVERAGE(OFFSET(分析データ!F$1,MAX(1,ROW()-$C$7),0,MIN($C$7,ROW()-1),1)))/STDEV(OFFSET(分析データ!F$1,MAX(1,ROW()-$C$7),0,MIN($C$7,ROW()-1),1)),0))</f>
        <v>-0.74763175902270351</v>
      </c>
      <c r="BS352">
        <f t="shared" ca="1" si="156"/>
        <v>0</v>
      </c>
      <c r="BT352" t="str">
        <f ca="1">IF(BS352=1,IF(INDEX(分析データ!$A:$A,ROW()+$C$5)&lt;&gt;"",40000*SIGN(BR352)*(分析データ!F352-INDEX(分析データ!F:F,ROW()+$C$5)),""),"")</f>
        <v/>
      </c>
      <c r="BU352">
        <f t="shared" ca="1" si="157"/>
        <v>583200.00000000163</v>
      </c>
      <c r="BV352">
        <f t="shared" ca="1" si="158"/>
        <v>583200.00000000163</v>
      </c>
      <c r="BW352">
        <f t="shared" ca="1" si="159"/>
        <v>0</v>
      </c>
      <c r="BX352">
        <f ca="1">IF(ROW()&lt;($C$7+1),"",IFERROR((分析データ!G352-AVERAGE(OFFSET(分析データ!G$1,MAX(1,ROW()-$C$7),0,MIN($C$7,ROW()-1),1)))/STDEV(OFFSET(分析データ!G$1,MAX(1,ROW()-$C$7),0,MIN($C$7,ROW()-1),1)),0))</f>
        <v>1.2925331103938953</v>
      </c>
      <c r="BY352">
        <f t="shared" ca="1" si="160"/>
        <v>0</v>
      </c>
      <c r="BZ352" t="str">
        <f ca="1">IF(BY352=1,IF(INDEX(分析データ!$A:$A,ROW()+$C$5)&lt;&gt;"",40000*SIGN(BX352)*(分析データ!G352-INDEX(分析データ!G:G,ROW()+$C$5)),""),"")</f>
        <v/>
      </c>
      <c r="CA352">
        <f t="shared" ca="1" si="161"/>
        <v>3095574.2871093722</v>
      </c>
      <c r="CB352">
        <f t="shared" ca="1" si="162"/>
        <v>3095574.2871093722</v>
      </c>
      <c r="CC352">
        <f t="shared" ca="1" si="163"/>
        <v>0</v>
      </c>
      <c r="CD352">
        <f t="shared" ca="1" si="164"/>
        <v>0</v>
      </c>
      <c r="CE352">
        <f t="shared" ca="1" si="165"/>
        <v>3958774.2871093769</v>
      </c>
      <c r="CF352">
        <f t="shared" ca="1" si="166"/>
        <v>3958774.2871093769</v>
      </c>
      <c r="CG352">
        <f t="shared" ca="1" si="167"/>
        <v>0</v>
      </c>
      <c r="CH352" s="10">
        <f>分析データ!A352</f>
        <v>45436</v>
      </c>
    </row>
    <row r="353" spans="46:86">
      <c r="AT353">
        <f ca="1">IF(ROW()&lt;($C$7+1),"",IFERROR((分析データ!B353-AVERAGE(OFFSET(分析データ!B$1,MAX(1,ROW()-$C$7),0,MIN($C$7,ROW()-1),1)))/STDEV(OFFSET(分析データ!B$1,MAX(1,ROW()-$C$7),0,MIN($C$7,ROW()-1),1)),0))</f>
        <v>0.54906176871787593</v>
      </c>
      <c r="AU353">
        <f t="shared" ca="1" si="140"/>
        <v>0</v>
      </c>
      <c r="AV353" t="str">
        <f ca="1">IF(AU353=1,IF(INDEX(分析データ!$A:$A,ROW()+$C$5)&lt;&gt;"",80000*SIGN(AT353)*(分析データ!B353-INDEX(分析データ!B:B,ROW()+$C$5)),""),"")</f>
        <v/>
      </c>
      <c r="AW353">
        <f t="shared" ca="1" si="141"/>
        <v>0</v>
      </c>
      <c r="AX353">
        <f t="shared" ca="1" si="142"/>
        <v>0</v>
      </c>
      <c r="AY353">
        <f t="shared" ca="1" si="143"/>
        <v>0</v>
      </c>
      <c r="AZ353">
        <f ca="1">IF(ROW()&lt;($C$7+1),"",IFERROR((分析データ!C353-AVERAGE(OFFSET(分析データ!C$1,MAX(1,ROW()-$C$7),0,MIN($C$7,ROW()-1),1)))/STDEV(OFFSET(分析データ!C$1,MAX(1,ROW()-$C$7),0,MIN($C$7,ROW()-1),1)),0))</f>
        <v>-0.43947085977896821</v>
      </c>
      <c r="BA353">
        <f t="shared" ca="1" si="144"/>
        <v>0</v>
      </c>
      <c r="BB353" t="str">
        <f ca="1">IF(BA353=1,IF(INDEX(分析データ!$A:$A,ROW()+$C$5)&lt;&gt;"",60000*SIGN(AZ353)*(分析データ!C353-INDEX(分析データ!C:C,ROW()+$C$5)),""),"")</f>
        <v/>
      </c>
      <c r="BC353">
        <f t="shared" ca="1" si="145"/>
        <v>0</v>
      </c>
      <c r="BD353">
        <f t="shared" ca="1" si="146"/>
        <v>0</v>
      </c>
      <c r="BE353">
        <f t="shared" ca="1" si="147"/>
        <v>0</v>
      </c>
      <c r="BF353">
        <f ca="1">IF(ROW()&lt;($C$7+1),"",IFERROR((分析データ!D353-AVERAGE(OFFSET(分析データ!D$1,MAX(1,ROW()-$C$7),0,MIN($C$7,ROW()-1),1)))/STDEV(OFFSET(分析データ!D$1,MAX(1,ROW()-$C$7),0,MIN($C$7,ROW()-1),1)),0))</f>
        <v>-0.23141419177487316</v>
      </c>
      <c r="BG353">
        <f t="shared" ca="1" si="148"/>
        <v>0</v>
      </c>
      <c r="BH353" t="str">
        <f ca="1">IF(BG353=1,IF(INDEX(分析データ!$A:$A,ROW()+$C$5)&lt;&gt;"",50000*SIGN(BF353)*(分析データ!D353-INDEX(分析データ!D:D,ROW()+$C$5)),""),"")</f>
        <v/>
      </c>
      <c r="BI353">
        <f t="shared" ca="1" si="149"/>
        <v>0</v>
      </c>
      <c r="BJ353">
        <f t="shared" ca="1" si="150"/>
        <v>0</v>
      </c>
      <c r="BK353">
        <f t="shared" ca="1" si="151"/>
        <v>0</v>
      </c>
      <c r="BL353">
        <f ca="1">IF(ROW()&lt;($C$7+1),"",IFERROR((分析データ!E353-AVERAGE(OFFSET(分析データ!E$1,MAX(1,ROW()-$C$7),0,MIN($C$7,ROW()-1),1)))/STDEV(OFFSET(分析データ!E$1,MAX(1,ROW()-$C$7),0,MIN($C$7,ROW()-1),1)),0))</f>
        <v>0.28069946198489543</v>
      </c>
      <c r="BM353">
        <f t="shared" ca="1" si="152"/>
        <v>0</v>
      </c>
      <c r="BN353" t="str">
        <f ca="1">IF(BM353=1,IF(INDEX(分析データ!$A:$A,ROW()+$C$5)&lt;&gt;"",40000*SIGN(BL353)*(分析データ!E353-INDEX(分析データ!E:E,ROW()+$C$5)),""),"")</f>
        <v/>
      </c>
      <c r="BO353">
        <f t="shared" ca="1" si="153"/>
        <v>280000.00000000291</v>
      </c>
      <c r="BP353">
        <f t="shared" ca="1" si="154"/>
        <v>280000.00000000291</v>
      </c>
      <c r="BQ353">
        <f t="shared" ca="1" si="155"/>
        <v>0</v>
      </c>
      <c r="BR353">
        <f ca="1">IF(ROW()&lt;($C$7+1),"",IFERROR((分析データ!F353-AVERAGE(OFFSET(分析データ!F$1,MAX(1,ROW()-$C$7),0,MIN($C$7,ROW()-1),1)))/STDEV(OFFSET(分析データ!F$1,MAX(1,ROW()-$C$7),0,MIN($C$7,ROW()-1),1)),0))</f>
        <v>-0.97220872301768957</v>
      </c>
      <c r="BS353">
        <f t="shared" ca="1" si="156"/>
        <v>0</v>
      </c>
      <c r="BT353" t="str">
        <f ca="1">IF(BS353=1,IF(INDEX(分析データ!$A:$A,ROW()+$C$5)&lt;&gt;"",40000*SIGN(BR353)*(分析データ!F353-INDEX(分析データ!F:F,ROW()+$C$5)),""),"")</f>
        <v/>
      </c>
      <c r="BU353">
        <f t="shared" ca="1" si="157"/>
        <v>583200.00000000163</v>
      </c>
      <c r="BV353">
        <f t="shared" ca="1" si="158"/>
        <v>583200.00000000163</v>
      </c>
      <c r="BW353">
        <f t="shared" ca="1" si="159"/>
        <v>0</v>
      </c>
      <c r="BX353">
        <f ca="1">IF(ROW()&lt;($C$7+1),"",IFERROR((分析データ!G353-AVERAGE(OFFSET(分析データ!G$1,MAX(1,ROW()-$C$7),0,MIN($C$7,ROW()-1),1)))/STDEV(OFFSET(分析データ!G$1,MAX(1,ROW()-$C$7),0,MIN($C$7,ROW()-1),1)),0))</f>
        <v>1.26594463988309</v>
      </c>
      <c r="BY353">
        <f t="shared" ca="1" si="160"/>
        <v>0</v>
      </c>
      <c r="BZ353" t="str">
        <f ca="1">IF(BY353=1,IF(INDEX(分析データ!$A:$A,ROW()+$C$5)&lt;&gt;"",40000*SIGN(BX353)*(分析データ!G353-INDEX(分析データ!G:G,ROW()+$C$5)),""),"")</f>
        <v/>
      </c>
      <c r="CA353">
        <f t="shared" ca="1" si="161"/>
        <v>3095574.2871093722</v>
      </c>
      <c r="CB353">
        <f t="shared" ca="1" si="162"/>
        <v>3095574.2871093722</v>
      </c>
      <c r="CC353">
        <f t="shared" ca="1" si="163"/>
        <v>0</v>
      </c>
      <c r="CD353">
        <f t="shared" ca="1" si="164"/>
        <v>0</v>
      </c>
      <c r="CE353">
        <f t="shared" ca="1" si="165"/>
        <v>3958774.2871093769</v>
      </c>
      <c r="CF353">
        <f t="shared" ca="1" si="166"/>
        <v>3958774.2871093769</v>
      </c>
      <c r="CG353">
        <f t="shared" ca="1" si="167"/>
        <v>0</v>
      </c>
      <c r="CH353" s="10">
        <f>分析データ!A353</f>
        <v>45440</v>
      </c>
    </row>
    <row r="354" spans="46:86">
      <c r="AT354">
        <f ca="1">IF(ROW()&lt;($C$7+1),"",IFERROR((分析データ!B354-AVERAGE(OFFSET(分析データ!B$1,MAX(1,ROW()-$C$7),0,MIN($C$7,ROW()-1),1)))/STDEV(OFFSET(分析データ!B$1,MAX(1,ROW()-$C$7),0,MIN($C$7,ROW()-1),1)),0))</f>
        <v>0.73122213422314419</v>
      </c>
      <c r="AU354">
        <f t="shared" ca="1" si="140"/>
        <v>0</v>
      </c>
      <c r="AV354" t="str">
        <f ca="1">IF(AU354=1,IF(INDEX(分析データ!$A:$A,ROW()+$C$5)&lt;&gt;"",80000*SIGN(AT354)*(分析データ!B354-INDEX(分析データ!B:B,ROW()+$C$5)),""),"")</f>
        <v/>
      </c>
      <c r="AW354">
        <f t="shared" ca="1" si="141"/>
        <v>0</v>
      </c>
      <c r="AX354">
        <f t="shared" ca="1" si="142"/>
        <v>0</v>
      </c>
      <c r="AY354">
        <f t="shared" ca="1" si="143"/>
        <v>0</v>
      </c>
      <c r="AZ354">
        <f ca="1">IF(ROW()&lt;($C$7+1),"",IFERROR((分析データ!C354-AVERAGE(OFFSET(分析データ!C$1,MAX(1,ROW()-$C$7),0,MIN($C$7,ROW()-1),1)))/STDEV(OFFSET(分析データ!C$1,MAX(1,ROW()-$C$7),0,MIN($C$7,ROW()-1),1)),0))</f>
        <v>-0.27918651118753174</v>
      </c>
      <c r="BA354">
        <f t="shared" ca="1" si="144"/>
        <v>0</v>
      </c>
      <c r="BB354" t="str">
        <f ca="1">IF(BA354=1,IF(INDEX(分析データ!$A:$A,ROW()+$C$5)&lt;&gt;"",60000*SIGN(AZ354)*(分析データ!C354-INDEX(分析データ!C:C,ROW()+$C$5)),""),"")</f>
        <v/>
      </c>
      <c r="BC354">
        <f t="shared" ca="1" si="145"/>
        <v>0</v>
      </c>
      <c r="BD354">
        <f t="shared" ca="1" si="146"/>
        <v>0</v>
      </c>
      <c r="BE354">
        <f t="shared" ca="1" si="147"/>
        <v>0</v>
      </c>
      <c r="BF354">
        <f ca="1">IF(ROW()&lt;($C$7+1),"",IFERROR((分析データ!D354-AVERAGE(OFFSET(分析データ!D$1,MAX(1,ROW()-$C$7),0,MIN($C$7,ROW()-1),1)))/STDEV(OFFSET(分析データ!D$1,MAX(1,ROW()-$C$7),0,MIN($C$7,ROW()-1),1)),0))</f>
        <v>-7.0545295784560605E-2</v>
      </c>
      <c r="BG354">
        <f t="shared" ca="1" si="148"/>
        <v>0</v>
      </c>
      <c r="BH354" t="str">
        <f ca="1">IF(BG354=1,IF(INDEX(分析データ!$A:$A,ROW()+$C$5)&lt;&gt;"",50000*SIGN(BF354)*(分析データ!D354-INDEX(分析データ!D:D,ROW()+$C$5)),""),"")</f>
        <v/>
      </c>
      <c r="BI354">
        <f t="shared" ca="1" si="149"/>
        <v>0</v>
      </c>
      <c r="BJ354">
        <f t="shared" ca="1" si="150"/>
        <v>0</v>
      </c>
      <c r="BK354">
        <f t="shared" ca="1" si="151"/>
        <v>0</v>
      </c>
      <c r="BL354">
        <f ca="1">IF(ROW()&lt;($C$7+1),"",IFERROR((分析データ!E354-AVERAGE(OFFSET(分析データ!E$1,MAX(1,ROW()-$C$7),0,MIN($C$7,ROW()-1),1)))/STDEV(OFFSET(分析データ!E$1,MAX(1,ROW()-$C$7),0,MIN($C$7,ROW()-1),1)),0))</f>
        <v>0.27873155238046426</v>
      </c>
      <c r="BM354">
        <f t="shared" ca="1" si="152"/>
        <v>0</v>
      </c>
      <c r="BN354" t="str">
        <f ca="1">IF(BM354=1,IF(INDEX(分析データ!$A:$A,ROW()+$C$5)&lt;&gt;"",40000*SIGN(BL354)*(分析データ!E354-INDEX(分析データ!E:E,ROW()+$C$5)),""),"")</f>
        <v/>
      </c>
      <c r="BO354">
        <f t="shared" ca="1" si="153"/>
        <v>280000.00000000291</v>
      </c>
      <c r="BP354">
        <f t="shared" ca="1" si="154"/>
        <v>280000.00000000291</v>
      </c>
      <c r="BQ354">
        <f t="shared" ca="1" si="155"/>
        <v>0</v>
      </c>
      <c r="BR354">
        <f ca="1">IF(ROW()&lt;($C$7+1),"",IFERROR((分析データ!F354-AVERAGE(OFFSET(分析データ!F$1,MAX(1,ROW()-$C$7),0,MIN($C$7,ROW()-1),1)))/STDEV(OFFSET(分析データ!F$1,MAX(1,ROW()-$C$7),0,MIN($C$7,ROW()-1),1)),0))</f>
        <v>-1.1203484263178687</v>
      </c>
      <c r="BS354">
        <f t="shared" ca="1" si="156"/>
        <v>0</v>
      </c>
      <c r="BT354" t="str">
        <f ca="1">IF(BS354=1,IF(INDEX(分析データ!$A:$A,ROW()+$C$5)&lt;&gt;"",40000*SIGN(BR354)*(分析データ!F354-INDEX(分析データ!F:F,ROW()+$C$5)),""),"")</f>
        <v/>
      </c>
      <c r="BU354">
        <f t="shared" ca="1" si="157"/>
        <v>583200.00000000163</v>
      </c>
      <c r="BV354">
        <f t="shared" ca="1" si="158"/>
        <v>583200.00000000163</v>
      </c>
      <c r="BW354">
        <f t="shared" ca="1" si="159"/>
        <v>0</v>
      </c>
      <c r="BX354">
        <f ca="1">IF(ROW()&lt;($C$7+1),"",IFERROR((分析データ!G354-AVERAGE(OFFSET(分析データ!G$1,MAX(1,ROW()-$C$7),0,MIN($C$7,ROW()-1),1)))/STDEV(OFFSET(分析データ!G$1,MAX(1,ROW()-$C$7),0,MIN($C$7,ROW()-1),1)),0))</f>
        <v>1.3198353581225422</v>
      </c>
      <c r="BY354">
        <f t="shared" ca="1" si="160"/>
        <v>0</v>
      </c>
      <c r="BZ354" t="str">
        <f ca="1">IF(BY354=1,IF(INDEX(分析データ!$A:$A,ROW()+$C$5)&lt;&gt;"",40000*SIGN(BX354)*(分析データ!G354-INDEX(分析データ!G:G,ROW()+$C$5)),""),"")</f>
        <v/>
      </c>
      <c r="CA354">
        <f t="shared" ca="1" si="161"/>
        <v>3095574.2871093722</v>
      </c>
      <c r="CB354">
        <f t="shared" ca="1" si="162"/>
        <v>3095574.2871093722</v>
      </c>
      <c r="CC354">
        <f t="shared" ca="1" si="163"/>
        <v>0</v>
      </c>
      <c r="CD354">
        <f t="shared" ca="1" si="164"/>
        <v>0</v>
      </c>
      <c r="CE354">
        <f t="shared" ca="1" si="165"/>
        <v>3958774.2871093769</v>
      </c>
      <c r="CF354">
        <f t="shared" ca="1" si="166"/>
        <v>3958774.2871093769</v>
      </c>
      <c r="CG354">
        <f t="shared" ca="1" si="167"/>
        <v>0</v>
      </c>
      <c r="CH354" s="10">
        <f>分析データ!A354</f>
        <v>45441</v>
      </c>
    </row>
    <row r="355" spans="46:86">
      <c r="AT355">
        <f ca="1">IF(ROW()&lt;($C$7+1),"",IFERROR((分析データ!B355-AVERAGE(OFFSET(分析データ!B$1,MAX(1,ROW()-$C$7),0,MIN($C$7,ROW()-1),1)))/STDEV(OFFSET(分析データ!B$1,MAX(1,ROW()-$C$7),0,MIN($C$7,ROW()-1),1)),0))</f>
        <v>0.58393475015259011</v>
      </c>
      <c r="AU355">
        <f t="shared" ca="1" si="140"/>
        <v>0</v>
      </c>
      <c r="AV355" t="str">
        <f ca="1">IF(AU355=1,IF(INDEX(分析データ!$A:$A,ROW()+$C$5)&lt;&gt;"",80000*SIGN(AT355)*(分析データ!B355-INDEX(分析データ!B:B,ROW()+$C$5)),""),"")</f>
        <v/>
      </c>
      <c r="AW355">
        <f t="shared" ca="1" si="141"/>
        <v>0</v>
      </c>
      <c r="AX355">
        <f t="shared" ca="1" si="142"/>
        <v>0</v>
      </c>
      <c r="AY355">
        <f t="shared" ca="1" si="143"/>
        <v>0</v>
      </c>
      <c r="AZ355">
        <f ca="1">IF(ROW()&lt;($C$7+1),"",IFERROR((分析データ!C355-AVERAGE(OFFSET(分析データ!C$1,MAX(1,ROW()-$C$7),0,MIN($C$7,ROW()-1),1)))/STDEV(OFFSET(分析データ!C$1,MAX(1,ROW()-$C$7),0,MIN($C$7,ROW()-1),1)),0))</f>
        <v>-0.59485695680343587</v>
      </c>
      <c r="BA355">
        <f t="shared" ca="1" si="144"/>
        <v>0</v>
      </c>
      <c r="BB355" t="str">
        <f ca="1">IF(BA355=1,IF(INDEX(分析データ!$A:$A,ROW()+$C$5)&lt;&gt;"",60000*SIGN(AZ355)*(分析データ!C355-INDEX(分析データ!C:C,ROW()+$C$5)),""),"")</f>
        <v/>
      </c>
      <c r="BC355">
        <f t="shared" ca="1" si="145"/>
        <v>0</v>
      </c>
      <c r="BD355">
        <f t="shared" ca="1" si="146"/>
        <v>0</v>
      </c>
      <c r="BE355">
        <f t="shared" ca="1" si="147"/>
        <v>0</v>
      </c>
      <c r="BF355">
        <f ca="1">IF(ROW()&lt;($C$7+1),"",IFERROR((分析データ!D355-AVERAGE(OFFSET(分析データ!D$1,MAX(1,ROW()-$C$7),0,MIN($C$7,ROW()-1),1)))/STDEV(OFFSET(分析データ!D$1,MAX(1,ROW()-$C$7),0,MIN($C$7,ROW()-1),1)),0))</f>
        <v>-0.28170150983563125</v>
      </c>
      <c r="BG355">
        <f t="shared" ca="1" si="148"/>
        <v>0</v>
      </c>
      <c r="BH355" t="str">
        <f ca="1">IF(BG355=1,IF(INDEX(分析データ!$A:$A,ROW()+$C$5)&lt;&gt;"",50000*SIGN(BF355)*(分析データ!D355-INDEX(分析データ!D:D,ROW()+$C$5)),""),"")</f>
        <v/>
      </c>
      <c r="BI355">
        <f t="shared" ca="1" si="149"/>
        <v>0</v>
      </c>
      <c r="BJ355">
        <f t="shared" ca="1" si="150"/>
        <v>0</v>
      </c>
      <c r="BK355">
        <f t="shared" ca="1" si="151"/>
        <v>0</v>
      </c>
      <c r="BL355">
        <f ca="1">IF(ROW()&lt;($C$7+1),"",IFERROR((分析データ!E355-AVERAGE(OFFSET(分析データ!E$1,MAX(1,ROW()-$C$7),0,MIN($C$7,ROW()-1),1)))/STDEV(OFFSET(分析データ!E$1,MAX(1,ROW()-$C$7),0,MIN($C$7,ROW()-1),1)),0))</f>
        <v>0.2750641313530916</v>
      </c>
      <c r="BM355">
        <f t="shared" ca="1" si="152"/>
        <v>0</v>
      </c>
      <c r="BN355" t="str">
        <f ca="1">IF(BM355=1,IF(INDEX(分析データ!$A:$A,ROW()+$C$5)&lt;&gt;"",40000*SIGN(BL355)*(分析データ!E355-INDEX(分析データ!E:E,ROW()+$C$5)),""),"")</f>
        <v/>
      </c>
      <c r="BO355">
        <f t="shared" ca="1" si="153"/>
        <v>280000.00000000291</v>
      </c>
      <c r="BP355">
        <f t="shared" ca="1" si="154"/>
        <v>280000.00000000291</v>
      </c>
      <c r="BQ355">
        <f t="shared" ca="1" si="155"/>
        <v>0</v>
      </c>
      <c r="BR355">
        <f ca="1">IF(ROW()&lt;($C$7+1),"",IFERROR((分析データ!F355-AVERAGE(OFFSET(分析データ!F$1,MAX(1,ROW()-$C$7),0,MIN($C$7,ROW()-1),1)))/STDEV(OFFSET(分析データ!F$1,MAX(1,ROW()-$C$7),0,MIN($C$7,ROW()-1),1)),0))</f>
        <v>-0.6930506733627867</v>
      </c>
      <c r="BS355">
        <f t="shared" ca="1" si="156"/>
        <v>0</v>
      </c>
      <c r="BT355" t="str">
        <f ca="1">IF(BS355=1,IF(INDEX(分析データ!$A:$A,ROW()+$C$5)&lt;&gt;"",40000*SIGN(BR355)*(分析データ!F355-INDEX(分析データ!F:F,ROW()+$C$5)),""),"")</f>
        <v/>
      </c>
      <c r="BU355">
        <f t="shared" ca="1" si="157"/>
        <v>583200.00000000163</v>
      </c>
      <c r="BV355">
        <f t="shared" ca="1" si="158"/>
        <v>583200.00000000163</v>
      </c>
      <c r="BW355">
        <f t="shared" ca="1" si="159"/>
        <v>0</v>
      </c>
      <c r="BX355">
        <f ca="1">IF(ROW()&lt;($C$7+1),"",IFERROR((分析データ!G355-AVERAGE(OFFSET(分析データ!G$1,MAX(1,ROW()-$C$7),0,MIN($C$7,ROW()-1),1)))/STDEV(OFFSET(分析データ!G$1,MAX(1,ROW()-$C$7),0,MIN($C$7,ROW()-1),1)),0))</f>
        <v>1.1411592433932509</v>
      </c>
      <c r="BY355">
        <f t="shared" ca="1" si="160"/>
        <v>0</v>
      </c>
      <c r="BZ355" t="str">
        <f ca="1">IF(BY355=1,IF(INDEX(分析データ!$A:$A,ROW()+$C$5)&lt;&gt;"",40000*SIGN(BX355)*(分析データ!G355-INDEX(分析データ!G:G,ROW()+$C$5)),""),"")</f>
        <v/>
      </c>
      <c r="CA355">
        <f t="shared" ca="1" si="161"/>
        <v>3095574.2871093722</v>
      </c>
      <c r="CB355">
        <f t="shared" ca="1" si="162"/>
        <v>3095574.2871093722</v>
      </c>
      <c r="CC355">
        <f t="shared" ca="1" si="163"/>
        <v>0</v>
      </c>
      <c r="CD355">
        <f t="shared" ca="1" si="164"/>
        <v>0</v>
      </c>
      <c r="CE355">
        <f t="shared" ca="1" si="165"/>
        <v>3958774.2871093769</v>
      </c>
      <c r="CF355">
        <f t="shared" ca="1" si="166"/>
        <v>3958774.2871093769</v>
      </c>
      <c r="CG355">
        <f t="shared" ca="1" si="167"/>
        <v>0</v>
      </c>
      <c r="CH355" s="10">
        <f>分析データ!A355</f>
        <v>45442</v>
      </c>
    </row>
    <row r="356" spans="46:86">
      <c r="AT356">
        <f ca="1">IF(ROW()&lt;($C$7+1),"",IFERROR((分析データ!B356-AVERAGE(OFFSET(分析データ!B$1,MAX(1,ROW()-$C$7),0,MIN($C$7,ROW()-1),1)))/STDEV(OFFSET(分析データ!B$1,MAX(1,ROW()-$C$7),0,MIN($C$7,ROW()-1),1)),0))</f>
        <v>0.53060819096342726</v>
      </c>
      <c r="AU356">
        <f t="shared" ca="1" si="140"/>
        <v>0</v>
      </c>
      <c r="AV356" t="str">
        <f ca="1">IF(AU356=1,IF(INDEX(分析データ!$A:$A,ROW()+$C$5)&lt;&gt;"",80000*SIGN(AT356)*(分析データ!B356-INDEX(分析データ!B:B,ROW()+$C$5)),""),"")</f>
        <v/>
      </c>
      <c r="AW356">
        <f t="shared" ca="1" si="141"/>
        <v>0</v>
      </c>
      <c r="AX356">
        <f t="shared" ca="1" si="142"/>
        <v>0</v>
      </c>
      <c r="AY356">
        <f t="shared" ca="1" si="143"/>
        <v>0</v>
      </c>
      <c r="AZ356">
        <f ca="1">IF(ROW()&lt;($C$7+1),"",IFERROR((分析データ!C356-AVERAGE(OFFSET(分析データ!C$1,MAX(1,ROW()-$C$7),0,MIN($C$7,ROW()-1),1)))/STDEV(OFFSET(分析データ!C$1,MAX(1,ROW()-$C$7),0,MIN($C$7,ROW()-1),1)),0))</f>
        <v>-0.5416653341888461</v>
      </c>
      <c r="BA356">
        <f t="shared" ca="1" si="144"/>
        <v>0</v>
      </c>
      <c r="BB356" t="str">
        <f ca="1">IF(BA356=1,IF(INDEX(分析データ!$A:$A,ROW()+$C$5)&lt;&gt;"",60000*SIGN(AZ356)*(分析データ!C356-INDEX(分析データ!C:C,ROW()+$C$5)),""),"")</f>
        <v/>
      </c>
      <c r="BC356">
        <f t="shared" ca="1" si="145"/>
        <v>0</v>
      </c>
      <c r="BD356">
        <f t="shared" ca="1" si="146"/>
        <v>0</v>
      </c>
      <c r="BE356">
        <f t="shared" ca="1" si="147"/>
        <v>0</v>
      </c>
      <c r="BF356">
        <f ca="1">IF(ROW()&lt;($C$7+1),"",IFERROR((分析データ!D356-AVERAGE(OFFSET(分析データ!D$1,MAX(1,ROW()-$C$7),0,MIN($C$7,ROW()-1),1)))/STDEV(OFFSET(分析データ!D$1,MAX(1,ROW()-$C$7),0,MIN($C$7,ROW()-1),1)),0))</f>
        <v>-0.55594985137392194</v>
      </c>
      <c r="BG356">
        <f t="shared" ca="1" si="148"/>
        <v>0</v>
      </c>
      <c r="BH356" t="str">
        <f ca="1">IF(BG356=1,IF(INDEX(分析データ!$A:$A,ROW()+$C$5)&lt;&gt;"",50000*SIGN(BF356)*(分析データ!D356-INDEX(分析データ!D:D,ROW()+$C$5)),""),"")</f>
        <v/>
      </c>
      <c r="BI356">
        <f t="shared" ca="1" si="149"/>
        <v>0</v>
      </c>
      <c r="BJ356">
        <f t="shared" ca="1" si="150"/>
        <v>0</v>
      </c>
      <c r="BK356">
        <f t="shared" ca="1" si="151"/>
        <v>0</v>
      </c>
      <c r="BL356">
        <f ca="1">IF(ROW()&lt;($C$7+1),"",IFERROR((分析データ!E356-AVERAGE(OFFSET(分析データ!E$1,MAX(1,ROW()-$C$7),0,MIN($C$7,ROW()-1),1)))/STDEV(OFFSET(分析データ!E$1,MAX(1,ROW()-$C$7),0,MIN($C$7,ROW()-1),1)),0))</f>
        <v>0.369363051592077</v>
      </c>
      <c r="BM356">
        <f t="shared" ca="1" si="152"/>
        <v>0</v>
      </c>
      <c r="BN356" t="str">
        <f ca="1">IF(BM356=1,IF(INDEX(分析データ!$A:$A,ROW()+$C$5)&lt;&gt;"",40000*SIGN(BL356)*(分析データ!E356-INDEX(分析データ!E:E,ROW()+$C$5)),""),"")</f>
        <v/>
      </c>
      <c r="BO356">
        <f t="shared" ca="1" si="153"/>
        <v>280000.00000000291</v>
      </c>
      <c r="BP356">
        <f t="shared" ca="1" si="154"/>
        <v>280000.00000000291</v>
      </c>
      <c r="BQ356">
        <f t="shared" ca="1" si="155"/>
        <v>0</v>
      </c>
      <c r="BR356">
        <f ca="1">IF(ROW()&lt;($C$7+1),"",IFERROR((分析データ!F356-AVERAGE(OFFSET(分析データ!F$1,MAX(1,ROW()-$C$7),0,MIN($C$7,ROW()-1),1)))/STDEV(OFFSET(分析データ!F$1,MAX(1,ROW()-$C$7),0,MIN($C$7,ROW()-1),1)),0))</f>
        <v>-0.66865041276250026</v>
      </c>
      <c r="BS356">
        <f t="shared" ca="1" si="156"/>
        <v>0</v>
      </c>
      <c r="BT356" t="str">
        <f ca="1">IF(BS356=1,IF(INDEX(分析データ!$A:$A,ROW()+$C$5)&lt;&gt;"",40000*SIGN(BR356)*(分析データ!F356-INDEX(分析データ!F:F,ROW()+$C$5)),""),"")</f>
        <v/>
      </c>
      <c r="BU356">
        <f t="shared" ca="1" si="157"/>
        <v>583200.00000000163</v>
      </c>
      <c r="BV356">
        <f t="shared" ca="1" si="158"/>
        <v>583200.00000000163</v>
      </c>
      <c r="BW356">
        <f t="shared" ca="1" si="159"/>
        <v>0</v>
      </c>
      <c r="BX356">
        <f ca="1">IF(ROW()&lt;($C$7+1),"",IFERROR((分析データ!G356-AVERAGE(OFFSET(分析データ!G$1,MAX(1,ROW()-$C$7),0,MIN($C$7,ROW()-1),1)))/STDEV(OFFSET(分析データ!G$1,MAX(1,ROW()-$C$7),0,MIN($C$7,ROW()-1),1)),0))</f>
        <v>1.1632074565280512</v>
      </c>
      <c r="BY356">
        <f t="shared" ca="1" si="160"/>
        <v>0</v>
      </c>
      <c r="BZ356" t="str">
        <f ca="1">IF(BY356=1,IF(INDEX(分析データ!$A:$A,ROW()+$C$5)&lt;&gt;"",40000*SIGN(BX356)*(分析データ!G356-INDEX(分析データ!G:G,ROW()+$C$5)),""),"")</f>
        <v/>
      </c>
      <c r="CA356">
        <f t="shared" ca="1" si="161"/>
        <v>3095574.2871093722</v>
      </c>
      <c r="CB356">
        <f t="shared" ca="1" si="162"/>
        <v>3095574.2871093722</v>
      </c>
      <c r="CC356">
        <f t="shared" ca="1" si="163"/>
        <v>0</v>
      </c>
      <c r="CD356">
        <f t="shared" ca="1" si="164"/>
        <v>0</v>
      </c>
      <c r="CE356">
        <f t="shared" ca="1" si="165"/>
        <v>3958774.2871093769</v>
      </c>
      <c r="CF356">
        <f t="shared" ca="1" si="166"/>
        <v>3958774.2871093769</v>
      </c>
      <c r="CG356">
        <f t="shared" ca="1" si="167"/>
        <v>0</v>
      </c>
      <c r="CH356" s="10">
        <f>分析データ!A356</f>
        <v>45443</v>
      </c>
    </row>
    <row r="357" spans="46:86">
      <c r="AT357">
        <f ca="1">IF(ROW()&lt;($C$7+1),"",IFERROR((分析データ!B357-AVERAGE(OFFSET(分析データ!B$1,MAX(1,ROW()-$C$7),0,MIN($C$7,ROW()-1),1)))/STDEV(OFFSET(分析データ!B$1,MAX(1,ROW()-$C$7),0,MIN($C$7,ROW()-1),1)),0))</f>
        <v>0.38210956651541539</v>
      </c>
      <c r="AU357">
        <f t="shared" ca="1" si="140"/>
        <v>0</v>
      </c>
      <c r="AV357" t="str">
        <f ca="1">IF(AU357=1,IF(INDEX(分析データ!$A:$A,ROW()+$C$5)&lt;&gt;"",80000*SIGN(AT357)*(分析データ!B357-INDEX(分析データ!B:B,ROW()+$C$5)),""),"")</f>
        <v/>
      </c>
      <c r="AW357">
        <f t="shared" ca="1" si="141"/>
        <v>0</v>
      </c>
      <c r="AX357">
        <f t="shared" ca="1" si="142"/>
        <v>0</v>
      </c>
      <c r="AY357">
        <f t="shared" ca="1" si="143"/>
        <v>0</v>
      </c>
      <c r="AZ357">
        <f ca="1">IF(ROW()&lt;($C$7+1),"",IFERROR((分析データ!C357-AVERAGE(OFFSET(分析データ!C$1,MAX(1,ROW()-$C$7),0,MIN($C$7,ROW()-1),1)))/STDEV(OFFSET(分析データ!C$1,MAX(1,ROW()-$C$7),0,MIN($C$7,ROW()-1),1)),0))</f>
        <v>-0.8643127706431647</v>
      </c>
      <c r="BA357">
        <f t="shared" ca="1" si="144"/>
        <v>0</v>
      </c>
      <c r="BB357" t="str">
        <f ca="1">IF(BA357=1,IF(INDEX(分析データ!$A:$A,ROW()+$C$5)&lt;&gt;"",60000*SIGN(AZ357)*(分析データ!C357-INDEX(分析データ!C:C,ROW()+$C$5)),""),"")</f>
        <v/>
      </c>
      <c r="BC357">
        <f t="shared" ca="1" si="145"/>
        <v>0</v>
      </c>
      <c r="BD357">
        <f t="shared" ca="1" si="146"/>
        <v>0</v>
      </c>
      <c r="BE357">
        <f t="shared" ca="1" si="147"/>
        <v>0</v>
      </c>
      <c r="BF357">
        <f ca="1">IF(ROW()&lt;($C$7+1),"",IFERROR((分析データ!D357-AVERAGE(OFFSET(分析データ!D$1,MAX(1,ROW()-$C$7),0,MIN($C$7,ROW()-1),1)))/STDEV(OFFSET(分析データ!D$1,MAX(1,ROW()-$C$7),0,MIN($C$7,ROW()-1),1)),0))</f>
        <v>-1.0170393649545708</v>
      </c>
      <c r="BG357">
        <f t="shared" ca="1" si="148"/>
        <v>0</v>
      </c>
      <c r="BH357" t="str">
        <f ca="1">IF(BG357=1,IF(INDEX(分析データ!$A:$A,ROW()+$C$5)&lt;&gt;"",50000*SIGN(BF357)*(分析データ!D357-INDEX(分析データ!D:D,ROW()+$C$5)),""),"")</f>
        <v/>
      </c>
      <c r="BI357">
        <f t="shared" ca="1" si="149"/>
        <v>0</v>
      </c>
      <c r="BJ357">
        <f t="shared" ca="1" si="150"/>
        <v>0</v>
      </c>
      <c r="BK357">
        <f t="shared" ca="1" si="151"/>
        <v>0</v>
      </c>
      <c r="BL357">
        <f ca="1">IF(ROW()&lt;($C$7+1),"",IFERROR((分析データ!E357-AVERAGE(OFFSET(分析データ!E$1,MAX(1,ROW()-$C$7),0,MIN($C$7,ROW()-1),1)))/STDEV(OFFSET(分析データ!E$1,MAX(1,ROW()-$C$7),0,MIN($C$7,ROW()-1),1)),0))</f>
        <v>0.36594607764607134</v>
      </c>
      <c r="BM357">
        <f t="shared" ca="1" si="152"/>
        <v>0</v>
      </c>
      <c r="BN357" t="str">
        <f ca="1">IF(BM357=1,IF(INDEX(分析データ!$A:$A,ROW()+$C$5)&lt;&gt;"",40000*SIGN(BL357)*(分析データ!E357-INDEX(分析データ!E:E,ROW()+$C$5)),""),"")</f>
        <v/>
      </c>
      <c r="BO357">
        <f t="shared" ca="1" si="153"/>
        <v>280000.00000000291</v>
      </c>
      <c r="BP357">
        <f t="shared" ca="1" si="154"/>
        <v>280000.00000000291</v>
      </c>
      <c r="BQ357">
        <f t="shared" ca="1" si="155"/>
        <v>0</v>
      </c>
      <c r="BR357">
        <f ca="1">IF(ROW()&lt;($C$7+1),"",IFERROR((分析データ!F357-AVERAGE(OFFSET(分析データ!F$1,MAX(1,ROW()-$C$7),0,MIN($C$7,ROW()-1),1)))/STDEV(OFFSET(分析データ!F$1,MAX(1,ROW()-$C$7),0,MIN($C$7,ROW()-1),1)),0))</f>
        <v>-0.52549966697847927</v>
      </c>
      <c r="BS357">
        <f t="shared" ca="1" si="156"/>
        <v>0</v>
      </c>
      <c r="BT357" t="str">
        <f ca="1">IF(BS357=1,IF(INDEX(分析データ!$A:$A,ROW()+$C$5)&lt;&gt;"",40000*SIGN(BR357)*(分析データ!F357-INDEX(分析データ!F:F,ROW()+$C$5)),""),"")</f>
        <v/>
      </c>
      <c r="BU357">
        <f t="shared" ca="1" si="157"/>
        <v>583200.00000000163</v>
      </c>
      <c r="BV357">
        <f t="shared" ca="1" si="158"/>
        <v>583200.00000000163</v>
      </c>
      <c r="BW357">
        <f t="shared" ca="1" si="159"/>
        <v>0</v>
      </c>
      <c r="BX357">
        <f ca="1">IF(ROW()&lt;($C$7+1),"",IFERROR((分析データ!G357-AVERAGE(OFFSET(分析データ!G$1,MAX(1,ROW()-$C$7),0,MIN($C$7,ROW()-1),1)))/STDEV(OFFSET(分析データ!G$1,MAX(1,ROW()-$C$7),0,MIN($C$7,ROW()-1),1)),0))</f>
        <v>1.2942570172060235</v>
      </c>
      <c r="BY357">
        <f t="shared" ca="1" si="160"/>
        <v>0</v>
      </c>
      <c r="BZ357" t="str">
        <f ca="1">IF(BY357=1,IF(INDEX(分析データ!$A:$A,ROW()+$C$5)&lt;&gt;"",40000*SIGN(BX357)*(分析データ!G357-INDEX(分析データ!G:G,ROW()+$C$5)),""),"")</f>
        <v/>
      </c>
      <c r="CA357">
        <f t="shared" ca="1" si="161"/>
        <v>3095574.2871093722</v>
      </c>
      <c r="CB357">
        <f t="shared" ca="1" si="162"/>
        <v>3095574.2871093722</v>
      </c>
      <c r="CC357">
        <f t="shared" ca="1" si="163"/>
        <v>0</v>
      </c>
      <c r="CD357">
        <f t="shared" ca="1" si="164"/>
        <v>0</v>
      </c>
      <c r="CE357">
        <f t="shared" ca="1" si="165"/>
        <v>3958774.2871093769</v>
      </c>
      <c r="CF357">
        <f t="shared" ca="1" si="166"/>
        <v>3958774.2871093769</v>
      </c>
      <c r="CG357">
        <f t="shared" ca="1" si="167"/>
        <v>0</v>
      </c>
      <c r="CH357" s="10">
        <f>分析データ!A357</f>
        <v>45446</v>
      </c>
    </row>
    <row r="358" spans="46:86">
      <c r="AT358">
        <f ca="1">IF(ROW()&lt;($C$7+1),"",IFERROR((分析データ!B358-AVERAGE(OFFSET(分析データ!B$1,MAX(1,ROW()-$C$7),0,MIN($C$7,ROW()-1),1)))/STDEV(OFFSET(分析データ!B$1,MAX(1,ROW()-$C$7),0,MIN($C$7,ROW()-1),1)),0))</f>
        <v>0.1852803888811364</v>
      </c>
      <c r="AU358">
        <f t="shared" ca="1" si="140"/>
        <v>0</v>
      </c>
      <c r="AV358" t="str">
        <f ca="1">IF(AU358=1,IF(INDEX(分析データ!$A:$A,ROW()+$C$5)&lt;&gt;"",80000*SIGN(AT358)*(分析データ!B358-INDEX(分析データ!B:B,ROW()+$C$5)),""),"")</f>
        <v/>
      </c>
      <c r="AW358">
        <f t="shared" ca="1" si="141"/>
        <v>0</v>
      </c>
      <c r="AX358">
        <f t="shared" ca="1" si="142"/>
        <v>0</v>
      </c>
      <c r="AY358">
        <f t="shared" ca="1" si="143"/>
        <v>0</v>
      </c>
      <c r="AZ358">
        <f ca="1">IF(ROW()&lt;($C$7+1),"",IFERROR((分析データ!C358-AVERAGE(OFFSET(分析データ!C$1,MAX(1,ROW()-$C$7),0,MIN($C$7,ROW()-1),1)))/STDEV(OFFSET(分析データ!C$1,MAX(1,ROW()-$C$7),0,MIN($C$7,ROW()-1),1)),0))</f>
        <v>-1.0761688422749649</v>
      </c>
      <c r="BA358">
        <f t="shared" ca="1" si="144"/>
        <v>0</v>
      </c>
      <c r="BB358" t="str">
        <f ca="1">IF(BA358=1,IF(INDEX(分析データ!$A:$A,ROW()+$C$5)&lt;&gt;"",60000*SIGN(AZ358)*(分析データ!C358-INDEX(分析データ!C:C,ROW()+$C$5)),""),"")</f>
        <v/>
      </c>
      <c r="BC358">
        <f t="shared" ca="1" si="145"/>
        <v>0</v>
      </c>
      <c r="BD358">
        <f t="shared" ca="1" si="146"/>
        <v>0</v>
      </c>
      <c r="BE358">
        <f t="shared" ca="1" si="147"/>
        <v>0</v>
      </c>
      <c r="BF358">
        <f ca="1">IF(ROW()&lt;($C$7+1),"",IFERROR((分析データ!D358-AVERAGE(OFFSET(分析データ!D$1,MAX(1,ROW()-$C$7),0,MIN($C$7,ROW()-1),1)))/STDEV(OFFSET(分析データ!D$1,MAX(1,ROW()-$C$7),0,MIN($C$7,ROW()-1),1)),0))</f>
        <v>-1.2842055521571158</v>
      </c>
      <c r="BG358">
        <f t="shared" ca="1" si="148"/>
        <v>0</v>
      </c>
      <c r="BH358" t="str">
        <f ca="1">IF(BG358=1,IF(INDEX(分析データ!$A:$A,ROW()+$C$5)&lt;&gt;"",50000*SIGN(BF358)*(分析データ!D358-INDEX(分析データ!D:D,ROW()+$C$5)),""),"")</f>
        <v/>
      </c>
      <c r="BI358">
        <f t="shared" ca="1" si="149"/>
        <v>0</v>
      </c>
      <c r="BJ358">
        <f t="shared" ca="1" si="150"/>
        <v>0</v>
      </c>
      <c r="BK358">
        <f t="shared" ca="1" si="151"/>
        <v>0</v>
      </c>
      <c r="BL358">
        <f ca="1">IF(ROW()&lt;($C$7+1),"",IFERROR((分析データ!E358-AVERAGE(OFFSET(分析データ!E$1,MAX(1,ROW()-$C$7),0,MIN($C$7,ROW()-1),1)))/STDEV(OFFSET(分析データ!E$1,MAX(1,ROW()-$C$7),0,MIN($C$7,ROW()-1),1)),0))</f>
        <v>0.26485035655436051</v>
      </c>
      <c r="BM358">
        <f t="shared" ca="1" si="152"/>
        <v>0</v>
      </c>
      <c r="BN358" t="str">
        <f ca="1">IF(BM358=1,IF(INDEX(分析データ!$A:$A,ROW()+$C$5)&lt;&gt;"",40000*SIGN(BL358)*(分析データ!E358-INDEX(分析データ!E:E,ROW()+$C$5)),""),"")</f>
        <v/>
      </c>
      <c r="BO358">
        <f t="shared" ca="1" si="153"/>
        <v>280000.00000000291</v>
      </c>
      <c r="BP358">
        <f t="shared" ca="1" si="154"/>
        <v>280000.00000000291</v>
      </c>
      <c r="BQ358">
        <f t="shared" ca="1" si="155"/>
        <v>0</v>
      </c>
      <c r="BR358">
        <f ca="1">IF(ROW()&lt;($C$7+1),"",IFERROR((分析データ!F358-AVERAGE(OFFSET(分析データ!F$1,MAX(1,ROW()-$C$7),0,MIN($C$7,ROW()-1),1)))/STDEV(OFFSET(分析データ!F$1,MAX(1,ROW()-$C$7),0,MIN($C$7,ROW()-1),1)),0))</f>
        <v>-0.44900482354236515</v>
      </c>
      <c r="BS358">
        <f t="shared" ca="1" si="156"/>
        <v>0</v>
      </c>
      <c r="BT358" t="str">
        <f ca="1">IF(BS358=1,IF(INDEX(分析データ!$A:$A,ROW()+$C$5)&lt;&gt;"",40000*SIGN(BR358)*(分析データ!F358-INDEX(分析データ!F:F,ROW()+$C$5)),""),"")</f>
        <v/>
      </c>
      <c r="BU358">
        <f t="shared" ca="1" si="157"/>
        <v>583200.00000000163</v>
      </c>
      <c r="BV358">
        <f t="shared" ca="1" si="158"/>
        <v>583200.00000000163</v>
      </c>
      <c r="BW358">
        <f t="shared" ca="1" si="159"/>
        <v>0</v>
      </c>
      <c r="BX358">
        <f ca="1">IF(ROW()&lt;($C$7+1),"",IFERROR((分析データ!G358-AVERAGE(OFFSET(分析データ!G$1,MAX(1,ROW()-$C$7),0,MIN($C$7,ROW()-1),1)))/STDEV(OFFSET(分析データ!G$1,MAX(1,ROW()-$C$7),0,MIN($C$7,ROW()-1),1)),0))</f>
        <v>1.2750718294088295</v>
      </c>
      <c r="BY358">
        <f t="shared" ca="1" si="160"/>
        <v>0</v>
      </c>
      <c r="BZ358" t="str">
        <f ca="1">IF(BY358=1,IF(INDEX(分析データ!$A:$A,ROW()+$C$5)&lt;&gt;"",40000*SIGN(BX358)*(分析データ!G358-INDEX(分析データ!G:G,ROW()+$C$5)),""),"")</f>
        <v/>
      </c>
      <c r="CA358">
        <f t="shared" ca="1" si="161"/>
        <v>3095574.2871093722</v>
      </c>
      <c r="CB358">
        <f t="shared" ca="1" si="162"/>
        <v>3095574.2871093722</v>
      </c>
      <c r="CC358">
        <f t="shared" ca="1" si="163"/>
        <v>0</v>
      </c>
      <c r="CD358">
        <f t="shared" ca="1" si="164"/>
        <v>0</v>
      </c>
      <c r="CE358">
        <f t="shared" ca="1" si="165"/>
        <v>3958774.2871093769</v>
      </c>
      <c r="CF358">
        <f t="shared" ca="1" si="166"/>
        <v>3958774.2871093769</v>
      </c>
      <c r="CG358">
        <f t="shared" ca="1" si="167"/>
        <v>0</v>
      </c>
      <c r="CH358" s="10">
        <f>分析データ!A358</f>
        <v>45447</v>
      </c>
    </row>
    <row r="359" spans="46:86">
      <c r="AT359">
        <f ca="1">IF(ROW()&lt;($C$7+1),"",IFERROR((分析データ!B359-AVERAGE(OFFSET(分析データ!B$1,MAX(1,ROW()-$C$7),0,MIN($C$7,ROW()-1),1)))/STDEV(OFFSET(分析データ!B$1,MAX(1,ROW()-$C$7),0,MIN($C$7,ROW()-1),1)),0))</f>
        <v>0.22664575468143175</v>
      </c>
      <c r="AU359">
        <f t="shared" ca="1" si="140"/>
        <v>0</v>
      </c>
      <c r="AV359" t="str">
        <f ca="1">IF(AU359=1,IF(INDEX(分析データ!$A:$A,ROW()+$C$5)&lt;&gt;"",80000*SIGN(AT359)*(分析データ!B359-INDEX(分析データ!B:B,ROW()+$C$5)),""),"")</f>
        <v/>
      </c>
      <c r="AW359">
        <f t="shared" ca="1" si="141"/>
        <v>0</v>
      </c>
      <c r="AX359">
        <f t="shared" ca="1" si="142"/>
        <v>0</v>
      </c>
      <c r="AY359">
        <f t="shared" ca="1" si="143"/>
        <v>0</v>
      </c>
      <c r="AZ359">
        <f ca="1">IF(ROW()&lt;($C$7+1),"",IFERROR((分析データ!C359-AVERAGE(OFFSET(分析データ!C$1,MAX(1,ROW()-$C$7),0,MIN($C$7,ROW()-1),1)))/STDEV(OFFSET(分析データ!C$1,MAX(1,ROW()-$C$7),0,MIN($C$7,ROW()-1),1)),0))</f>
        <v>-0.98161785271075652</v>
      </c>
      <c r="BA359">
        <f t="shared" ca="1" si="144"/>
        <v>0</v>
      </c>
      <c r="BB359" t="str">
        <f ca="1">IF(BA359=1,IF(INDEX(分析データ!$A:$A,ROW()+$C$5)&lt;&gt;"",60000*SIGN(AZ359)*(分析データ!C359-INDEX(分析データ!C:C,ROW()+$C$5)),""),"")</f>
        <v/>
      </c>
      <c r="BC359">
        <f t="shared" ca="1" si="145"/>
        <v>0</v>
      </c>
      <c r="BD359">
        <f t="shared" ca="1" si="146"/>
        <v>0</v>
      </c>
      <c r="BE359">
        <f t="shared" ca="1" si="147"/>
        <v>0</v>
      </c>
      <c r="BF359">
        <f ca="1">IF(ROW()&lt;($C$7+1),"",IFERROR((分析データ!D359-AVERAGE(OFFSET(分析データ!D$1,MAX(1,ROW()-$C$7),0,MIN($C$7,ROW()-1),1)))/STDEV(OFFSET(分析データ!D$1,MAX(1,ROW()-$C$7),0,MIN($C$7,ROW()-1),1)),0))</f>
        <v>-1.3404192155862906</v>
      </c>
      <c r="BG359">
        <f t="shared" ca="1" si="148"/>
        <v>0</v>
      </c>
      <c r="BH359" t="str">
        <f ca="1">IF(BG359=1,IF(INDEX(分析データ!$A:$A,ROW()+$C$5)&lt;&gt;"",50000*SIGN(BF359)*(分析データ!D359-INDEX(分析データ!D:D,ROW()+$C$5)),""),"")</f>
        <v/>
      </c>
      <c r="BI359">
        <f t="shared" ca="1" si="149"/>
        <v>0</v>
      </c>
      <c r="BJ359">
        <f t="shared" ca="1" si="150"/>
        <v>0</v>
      </c>
      <c r="BK359">
        <f t="shared" ca="1" si="151"/>
        <v>0</v>
      </c>
      <c r="BL359">
        <f ca="1">IF(ROW()&lt;($C$7+1),"",IFERROR((分析データ!E359-AVERAGE(OFFSET(分析データ!E$1,MAX(1,ROW()-$C$7),0,MIN($C$7,ROW()-1),1)))/STDEV(OFFSET(分析データ!E$1,MAX(1,ROW()-$C$7),0,MIN($C$7,ROW()-1),1)),0))</f>
        <v>0.26027359510697862</v>
      </c>
      <c r="BM359">
        <f t="shared" ca="1" si="152"/>
        <v>0</v>
      </c>
      <c r="BN359" t="str">
        <f ca="1">IF(BM359=1,IF(INDEX(分析データ!$A:$A,ROW()+$C$5)&lt;&gt;"",40000*SIGN(BL359)*(分析データ!E359-INDEX(分析データ!E:E,ROW()+$C$5)),""),"")</f>
        <v/>
      </c>
      <c r="BO359">
        <f t="shared" ca="1" si="153"/>
        <v>280000.00000000291</v>
      </c>
      <c r="BP359">
        <f t="shared" ca="1" si="154"/>
        <v>280000.00000000291</v>
      </c>
      <c r="BQ359">
        <f t="shared" ca="1" si="155"/>
        <v>0</v>
      </c>
      <c r="BR359">
        <f ca="1">IF(ROW()&lt;($C$7+1),"",IFERROR((分析データ!F359-AVERAGE(OFFSET(分析データ!F$1,MAX(1,ROW()-$C$7),0,MIN($C$7,ROW()-1),1)))/STDEV(OFFSET(分析データ!F$1,MAX(1,ROW()-$C$7),0,MIN($C$7,ROW()-1),1)),0))</f>
        <v>-0.43389508960774265</v>
      </c>
      <c r="BS359">
        <f t="shared" ca="1" si="156"/>
        <v>0</v>
      </c>
      <c r="BT359" t="str">
        <f ca="1">IF(BS359=1,IF(INDEX(分析データ!$A:$A,ROW()+$C$5)&lt;&gt;"",40000*SIGN(BR359)*(分析データ!F359-INDEX(分析データ!F:F,ROW()+$C$5)),""),"")</f>
        <v/>
      </c>
      <c r="BU359">
        <f t="shared" ca="1" si="157"/>
        <v>583200.00000000163</v>
      </c>
      <c r="BV359">
        <f t="shared" ca="1" si="158"/>
        <v>583200.00000000163</v>
      </c>
      <c r="BW359">
        <f t="shared" ca="1" si="159"/>
        <v>0</v>
      </c>
      <c r="BX359">
        <f ca="1">IF(ROW()&lt;($C$7+1),"",IFERROR((分析データ!G359-AVERAGE(OFFSET(分析データ!G$1,MAX(1,ROW()-$C$7),0,MIN($C$7,ROW()-1),1)))/STDEV(OFFSET(分析データ!G$1,MAX(1,ROW()-$C$7),0,MIN($C$7,ROW()-1),1)),0))</f>
        <v>1.3321444199139194</v>
      </c>
      <c r="BY359">
        <f t="shared" ca="1" si="160"/>
        <v>0</v>
      </c>
      <c r="BZ359" t="str">
        <f ca="1">IF(BY359=1,IF(INDEX(分析データ!$A:$A,ROW()+$C$5)&lt;&gt;"",40000*SIGN(BX359)*(分析データ!G359-INDEX(分析データ!G:G,ROW()+$C$5)),""),"")</f>
        <v/>
      </c>
      <c r="CA359">
        <f t="shared" ca="1" si="161"/>
        <v>3095574.2871093722</v>
      </c>
      <c r="CB359">
        <f t="shared" ca="1" si="162"/>
        <v>3095574.2871093722</v>
      </c>
      <c r="CC359">
        <f t="shared" ca="1" si="163"/>
        <v>0</v>
      </c>
      <c r="CD359">
        <f t="shared" ca="1" si="164"/>
        <v>0</v>
      </c>
      <c r="CE359">
        <f t="shared" ca="1" si="165"/>
        <v>3958774.2871093769</v>
      </c>
      <c r="CF359">
        <f t="shared" ca="1" si="166"/>
        <v>3958774.2871093769</v>
      </c>
      <c r="CG359">
        <f t="shared" ca="1" si="167"/>
        <v>0</v>
      </c>
      <c r="CH359" s="10">
        <f>分析データ!A359</f>
        <v>45448</v>
      </c>
    </row>
    <row r="360" spans="46:86">
      <c r="AT360">
        <f ca="1">IF(ROW()&lt;($C$7+1),"",IFERROR((分析データ!B360-AVERAGE(OFFSET(分析データ!B$1,MAX(1,ROW()-$C$7),0,MIN($C$7,ROW()-1),1)))/STDEV(OFFSET(分析データ!B$1,MAX(1,ROW()-$C$7),0,MIN($C$7,ROW()-1),1)),0))</f>
        <v>0.1720675192712296</v>
      </c>
      <c r="AU360">
        <f t="shared" ca="1" si="140"/>
        <v>0</v>
      </c>
      <c r="AV360" t="str">
        <f ca="1">IF(AU360=1,IF(INDEX(分析データ!$A:$A,ROW()+$C$5)&lt;&gt;"",80000*SIGN(AT360)*(分析データ!B360-INDEX(分析データ!B:B,ROW()+$C$5)),""),"")</f>
        <v/>
      </c>
      <c r="AW360">
        <f t="shared" ca="1" si="141"/>
        <v>0</v>
      </c>
      <c r="AX360">
        <f t="shared" ca="1" si="142"/>
        <v>0</v>
      </c>
      <c r="AY360">
        <f t="shared" ca="1" si="143"/>
        <v>0</v>
      </c>
      <c r="AZ360">
        <f ca="1">IF(ROW()&lt;($C$7+1),"",IFERROR((分析データ!C360-AVERAGE(OFFSET(分析データ!C$1,MAX(1,ROW()-$C$7),0,MIN($C$7,ROW()-1),1)))/STDEV(OFFSET(分析データ!C$1,MAX(1,ROW()-$C$7),0,MIN($C$7,ROW()-1),1)),0))</f>
        <v>-0.88699618658134138</v>
      </c>
      <c r="BA360">
        <f t="shared" ca="1" si="144"/>
        <v>0</v>
      </c>
      <c r="BB360" t="str">
        <f ca="1">IF(BA360=1,IF(INDEX(分析データ!$A:$A,ROW()+$C$5)&lt;&gt;"",60000*SIGN(AZ360)*(分析データ!C360-INDEX(分析データ!C:C,ROW()+$C$5)),""),"")</f>
        <v/>
      </c>
      <c r="BC360">
        <f t="shared" ca="1" si="145"/>
        <v>0</v>
      </c>
      <c r="BD360">
        <f t="shared" ca="1" si="146"/>
        <v>0</v>
      </c>
      <c r="BE360">
        <f t="shared" ca="1" si="147"/>
        <v>0</v>
      </c>
      <c r="BF360">
        <f ca="1">IF(ROW()&lt;($C$7+1),"",IFERROR((分析データ!D360-AVERAGE(OFFSET(分析データ!D$1,MAX(1,ROW()-$C$7),0,MIN($C$7,ROW()-1),1)))/STDEV(OFFSET(分析データ!D$1,MAX(1,ROW()-$C$7),0,MIN($C$7,ROW()-1),1)),0))</f>
        <v>-1.1830079644096203</v>
      </c>
      <c r="BG360">
        <f t="shared" ca="1" si="148"/>
        <v>0</v>
      </c>
      <c r="BH360" t="str">
        <f ca="1">IF(BG360=1,IF(INDEX(分析データ!$A:$A,ROW()+$C$5)&lt;&gt;"",50000*SIGN(BF360)*(分析データ!D360-INDEX(分析データ!D:D,ROW()+$C$5)),""),"")</f>
        <v/>
      </c>
      <c r="BI360">
        <f t="shared" ca="1" si="149"/>
        <v>0</v>
      </c>
      <c r="BJ360">
        <f t="shared" ca="1" si="150"/>
        <v>0</v>
      </c>
      <c r="BK360">
        <f t="shared" ca="1" si="151"/>
        <v>0</v>
      </c>
      <c r="BL360">
        <f ca="1">IF(ROW()&lt;($C$7+1),"",IFERROR((分析データ!E360-AVERAGE(OFFSET(分析データ!E$1,MAX(1,ROW()-$C$7),0,MIN($C$7,ROW()-1),1)))/STDEV(OFFSET(分析データ!E$1,MAX(1,ROW()-$C$7),0,MIN($C$7,ROW()-1),1)),0))</f>
        <v>0.35460045444537419</v>
      </c>
      <c r="BM360">
        <f t="shared" ca="1" si="152"/>
        <v>0</v>
      </c>
      <c r="BN360" t="str">
        <f ca="1">IF(BM360=1,IF(INDEX(分析データ!$A:$A,ROW()+$C$5)&lt;&gt;"",40000*SIGN(BL360)*(分析データ!E360-INDEX(分析データ!E:E,ROW()+$C$5)),""),"")</f>
        <v/>
      </c>
      <c r="BO360">
        <f t="shared" ca="1" si="153"/>
        <v>280000.00000000291</v>
      </c>
      <c r="BP360">
        <f t="shared" ca="1" si="154"/>
        <v>280000.00000000291</v>
      </c>
      <c r="BQ360">
        <f t="shared" ca="1" si="155"/>
        <v>0</v>
      </c>
      <c r="BR360">
        <f ca="1">IF(ROW()&lt;($C$7+1),"",IFERROR((分析データ!F360-AVERAGE(OFFSET(分析データ!F$1,MAX(1,ROW()-$C$7),0,MIN($C$7,ROW()-1),1)))/STDEV(OFFSET(分析データ!F$1,MAX(1,ROW()-$C$7),0,MIN($C$7,ROW()-1),1)),0))</f>
        <v>-0.53355340491322878</v>
      </c>
      <c r="BS360">
        <f t="shared" ca="1" si="156"/>
        <v>0</v>
      </c>
      <c r="BT360" t="str">
        <f ca="1">IF(BS360=1,IF(INDEX(分析データ!$A:$A,ROW()+$C$5)&lt;&gt;"",40000*SIGN(BR360)*(分析データ!F360-INDEX(分析データ!F:F,ROW()+$C$5)),""),"")</f>
        <v/>
      </c>
      <c r="BU360">
        <f t="shared" ca="1" si="157"/>
        <v>583200.00000000163</v>
      </c>
      <c r="BV360">
        <f t="shared" ca="1" si="158"/>
        <v>583200.00000000163</v>
      </c>
      <c r="BW360">
        <f t="shared" ca="1" si="159"/>
        <v>0</v>
      </c>
      <c r="BX360">
        <f ca="1">IF(ROW()&lt;($C$7+1),"",IFERROR((分析データ!G360-AVERAGE(OFFSET(分析データ!G$1,MAX(1,ROW()-$C$7),0,MIN($C$7,ROW()-1),1)))/STDEV(OFFSET(分析データ!G$1,MAX(1,ROW()-$C$7),0,MIN($C$7,ROW()-1),1)),0))</f>
        <v>1.2820993592768715</v>
      </c>
      <c r="BY360">
        <f t="shared" ca="1" si="160"/>
        <v>0</v>
      </c>
      <c r="BZ360" t="str">
        <f ca="1">IF(BY360=1,IF(INDEX(分析データ!$A:$A,ROW()+$C$5)&lt;&gt;"",40000*SIGN(BX360)*(分析データ!G360-INDEX(分析データ!G:G,ROW()+$C$5)),""),"")</f>
        <v/>
      </c>
      <c r="CA360">
        <f t="shared" ca="1" si="161"/>
        <v>3095574.2871093722</v>
      </c>
      <c r="CB360">
        <f t="shared" ca="1" si="162"/>
        <v>3095574.2871093722</v>
      </c>
      <c r="CC360">
        <f t="shared" ca="1" si="163"/>
        <v>0</v>
      </c>
      <c r="CD360">
        <f t="shared" ca="1" si="164"/>
        <v>0</v>
      </c>
      <c r="CE360">
        <f t="shared" ca="1" si="165"/>
        <v>3958774.2871093769</v>
      </c>
      <c r="CF360">
        <f t="shared" ca="1" si="166"/>
        <v>3958774.2871093769</v>
      </c>
      <c r="CG360">
        <f t="shared" ca="1" si="167"/>
        <v>0</v>
      </c>
      <c r="CH360" s="10">
        <f>分析データ!A360</f>
        <v>45449</v>
      </c>
    </row>
    <row r="361" spans="46:86">
      <c r="AT361">
        <f ca="1">IF(ROW()&lt;($C$7+1),"",IFERROR((分析データ!B361-AVERAGE(OFFSET(分析データ!B$1,MAX(1,ROW()-$C$7),0,MIN($C$7,ROW()-1),1)))/STDEV(OFFSET(分析データ!B$1,MAX(1,ROW()-$C$7),0,MIN($C$7,ROW()-1),1)),0))</f>
        <v>0.31127677265991016</v>
      </c>
      <c r="AU361">
        <f t="shared" ca="1" si="140"/>
        <v>0</v>
      </c>
      <c r="AV361" t="str">
        <f ca="1">IF(AU361=1,IF(INDEX(分析データ!$A:$A,ROW()+$C$5)&lt;&gt;"",80000*SIGN(AT361)*(分析データ!B361-INDEX(分析データ!B:B,ROW()+$C$5)),""),"")</f>
        <v/>
      </c>
      <c r="AW361">
        <f t="shared" ca="1" si="141"/>
        <v>0</v>
      </c>
      <c r="AX361">
        <f t="shared" ca="1" si="142"/>
        <v>0</v>
      </c>
      <c r="AY361">
        <f t="shared" ca="1" si="143"/>
        <v>0</v>
      </c>
      <c r="AZ361">
        <f ca="1">IF(ROW()&lt;($C$7+1),"",IFERROR((分析データ!C361-AVERAGE(OFFSET(分析データ!C$1,MAX(1,ROW()-$C$7),0,MIN($C$7,ROW()-1),1)))/STDEV(OFFSET(分析データ!C$1,MAX(1,ROW()-$C$7),0,MIN($C$7,ROW()-1),1)),0))</f>
        <v>-0.7934666450900113</v>
      </c>
      <c r="BA361">
        <f t="shared" ca="1" si="144"/>
        <v>0</v>
      </c>
      <c r="BB361" t="str">
        <f ca="1">IF(BA361=1,IF(INDEX(分析データ!$A:$A,ROW()+$C$5)&lt;&gt;"",60000*SIGN(AZ361)*(分析データ!C361-INDEX(分析データ!C:C,ROW()+$C$5)),""),"")</f>
        <v/>
      </c>
      <c r="BC361">
        <f t="shared" ca="1" si="145"/>
        <v>0</v>
      </c>
      <c r="BD361">
        <f t="shared" ca="1" si="146"/>
        <v>0</v>
      </c>
      <c r="BE361">
        <f t="shared" ca="1" si="147"/>
        <v>0</v>
      </c>
      <c r="BF361">
        <f ca="1">IF(ROW()&lt;($C$7+1),"",IFERROR((分析データ!D361-AVERAGE(OFFSET(分析データ!D$1,MAX(1,ROW()-$C$7),0,MIN($C$7,ROW()-1),1)))/STDEV(OFFSET(分析データ!D$1,MAX(1,ROW()-$C$7),0,MIN($C$7,ROW()-1),1)),0))</f>
        <v>-0.50318656216707247</v>
      </c>
      <c r="BG361">
        <f t="shared" ca="1" si="148"/>
        <v>0</v>
      </c>
      <c r="BH361" t="str">
        <f ca="1">IF(BG361=1,IF(INDEX(分析データ!$A:$A,ROW()+$C$5)&lt;&gt;"",50000*SIGN(BF361)*(分析データ!D361-INDEX(分析データ!D:D,ROW()+$C$5)),""),"")</f>
        <v/>
      </c>
      <c r="BI361">
        <f t="shared" ca="1" si="149"/>
        <v>0</v>
      </c>
      <c r="BJ361">
        <f t="shared" ca="1" si="150"/>
        <v>0</v>
      </c>
      <c r="BK361">
        <f t="shared" ca="1" si="151"/>
        <v>0</v>
      </c>
      <c r="BL361">
        <f ca="1">IF(ROW()&lt;($C$7+1),"",IFERROR((分析データ!E361-AVERAGE(OFFSET(分析データ!E$1,MAX(1,ROW()-$C$7),0,MIN($C$7,ROW()-1),1)))/STDEV(OFFSET(分析データ!E$1,MAX(1,ROW()-$C$7),0,MIN($C$7,ROW()-1),1)),0))</f>
        <v>0.15273530862636436</v>
      </c>
      <c r="BM361">
        <f t="shared" ca="1" si="152"/>
        <v>0</v>
      </c>
      <c r="BN361" t="str">
        <f ca="1">IF(BM361=1,IF(INDEX(分析データ!$A:$A,ROW()+$C$5)&lt;&gt;"",40000*SIGN(BL361)*(分析データ!E361-INDEX(分析データ!E:E,ROW()+$C$5)),""),"")</f>
        <v/>
      </c>
      <c r="BO361">
        <f t="shared" ca="1" si="153"/>
        <v>280000.00000000291</v>
      </c>
      <c r="BP361">
        <f t="shared" ca="1" si="154"/>
        <v>280000.00000000291</v>
      </c>
      <c r="BQ361">
        <f t="shared" ca="1" si="155"/>
        <v>0</v>
      </c>
      <c r="BR361">
        <f ca="1">IF(ROW()&lt;($C$7+1),"",IFERROR((分析データ!F361-AVERAGE(OFFSET(分析データ!F$1,MAX(1,ROW()-$C$7),0,MIN($C$7,ROW()-1),1)))/STDEV(OFFSET(分析データ!F$1,MAX(1,ROW()-$C$7),0,MIN($C$7,ROW()-1),1)),0))</f>
        <v>-0.75641566578994657</v>
      </c>
      <c r="BS361">
        <f t="shared" ca="1" si="156"/>
        <v>0</v>
      </c>
      <c r="BT361" t="str">
        <f ca="1">IF(BS361=1,IF(INDEX(分析データ!$A:$A,ROW()+$C$5)&lt;&gt;"",40000*SIGN(BR361)*(分析データ!F361-INDEX(分析データ!F:F,ROW()+$C$5)),""),"")</f>
        <v/>
      </c>
      <c r="BU361">
        <f t="shared" ca="1" si="157"/>
        <v>583200.00000000163</v>
      </c>
      <c r="BV361">
        <f t="shared" ca="1" si="158"/>
        <v>583200.00000000163</v>
      </c>
      <c r="BW361">
        <f t="shared" ca="1" si="159"/>
        <v>0</v>
      </c>
      <c r="BX361">
        <f ca="1">IF(ROW()&lt;($C$7+1),"",IFERROR((分析データ!G361-AVERAGE(OFFSET(分析データ!G$1,MAX(1,ROW()-$C$7),0,MIN($C$7,ROW()-1),1)))/STDEV(OFFSET(分析データ!G$1,MAX(1,ROW()-$C$7),0,MIN($C$7,ROW()-1),1)),0))</f>
        <v>1.1042759350302933</v>
      </c>
      <c r="BY361">
        <f t="shared" ca="1" si="160"/>
        <v>0</v>
      </c>
      <c r="BZ361" t="str">
        <f ca="1">IF(BY361=1,IF(INDEX(分析データ!$A:$A,ROW()+$C$5)&lt;&gt;"",40000*SIGN(BX361)*(分析データ!G361-INDEX(分析データ!G:G,ROW()+$C$5)),""),"")</f>
        <v/>
      </c>
      <c r="CA361">
        <f t="shared" ca="1" si="161"/>
        <v>3095574.2871093722</v>
      </c>
      <c r="CB361">
        <f t="shared" ca="1" si="162"/>
        <v>3095574.2871093722</v>
      </c>
      <c r="CC361">
        <f t="shared" ca="1" si="163"/>
        <v>0</v>
      </c>
      <c r="CD361">
        <f t="shared" ca="1" si="164"/>
        <v>0</v>
      </c>
      <c r="CE361">
        <f t="shared" ca="1" si="165"/>
        <v>3958774.2871093769</v>
      </c>
      <c r="CF361">
        <f t="shared" ca="1" si="166"/>
        <v>3958774.2871093769</v>
      </c>
      <c r="CG361">
        <f t="shared" ca="1" si="167"/>
        <v>0</v>
      </c>
      <c r="CH361" s="10">
        <f>分析データ!A361</f>
        <v>45450</v>
      </c>
    </row>
    <row r="362" spans="46:86">
      <c r="AT362">
        <f ca="1">IF(ROW()&lt;($C$7+1),"",IFERROR((分析データ!B362-AVERAGE(OFFSET(分析データ!B$1,MAX(1,ROW()-$C$7),0,MIN($C$7,ROW()-1),1)))/STDEV(OFFSET(分析データ!B$1,MAX(1,ROW()-$C$7),0,MIN($C$7,ROW()-1),1)),0))</f>
        <v>0.50045700354439426</v>
      </c>
      <c r="AU362">
        <f t="shared" ca="1" si="140"/>
        <v>0</v>
      </c>
      <c r="AV362" t="str">
        <f ca="1">IF(AU362=1,IF(INDEX(分析データ!$A:$A,ROW()+$C$5)&lt;&gt;"",80000*SIGN(AT362)*(分析データ!B362-INDEX(分析データ!B:B,ROW()+$C$5)),""),"")</f>
        <v/>
      </c>
      <c r="AW362">
        <f t="shared" ca="1" si="141"/>
        <v>0</v>
      </c>
      <c r="AX362">
        <f t="shared" ca="1" si="142"/>
        <v>0</v>
      </c>
      <c r="AY362">
        <f t="shared" ca="1" si="143"/>
        <v>0</v>
      </c>
      <c r="AZ362">
        <f ca="1">IF(ROW()&lt;($C$7+1),"",IFERROR((分析データ!C362-AVERAGE(OFFSET(分析データ!C$1,MAX(1,ROW()-$C$7),0,MIN($C$7,ROW()-1),1)))/STDEV(OFFSET(分析データ!C$1,MAX(1,ROW()-$C$7),0,MIN($C$7,ROW()-1),1)),0))</f>
        <v>-0.68160469477067009</v>
      </c>
      <c r="BA362">
        <f t="shared" ca="1" si="144"/>
        <v>0</v>
      </c>
      <c r="BB362" t="str">
        <f ca="1">IF(BA362=1,IF(INDEX(分析データ!$A:$A,ROW()+$C$5)&lt;&gt;"",60000*SIGN(AZ362)*(分析データ!C362-INDEX(分析データ!C:C,ROW()+$C$5)),""),"")</f>
        <v/>
      </c>
      <c r="BC362">
        <f t="shared" ca="1" si="145"/>
        <v>0</v>
      </c>
      <c r="BD362">
        <f t="shared" ca="1" si="146"/>
        <v>0</v>
      </c>
      <c r="BE362">
        <f t="shared" ca="1" si="147"/>
        <v>0</v>
      </c>
      <c r="BF362">
        <f ca="1">IF(ROW()&lt;($C$7+1),"",IFERROR((分析データ!D362-AVERAGE(OFFSET(分析データ!D$1,MAX(1,ROW()-$C$7),0,MIN($C$7,ROW()-1),1)))/STDEV(OFFSET(分析データ!D$1,MAX(1,ROW()-$C$7),0,MIN($C$7,ROW()-1),1)),0))</f>
        <v>-0.60130094100449538</v>
      </c>
      <c r="BG362">
        <f t="shared" ca="1" si="148"/>
        <v>0</v>
      </c>
      <c r="BH362" t="str">
        <f ca="1">IF(BG362=1,IF(INDEX(分析データ!$A:$A,ROW()+$C$5)&lt;&gt;"",50000*SIGN(BF362)*(分析データ!D362-INDEX(分析データ!D:D,ROW()+$C$5)),""),"")</f>
        <v/>
      </c>
      <c r="BI362">
        <f t="shared" ca="1" si="149"/>
        <v>0</v>
      </c>
      <c r="BJ362">
        <f t="shared" ca="1" si="150"/>
        <v>0</v>
      </c>
      <c r="BK362">
        <f t="shared" ca="1" si="151"/>
        <v>0</v>
      </c>
      <c r="BL362">
        <f ca="1">IF(ROW()&lt;($C$7+1),"",IFERROR((分析データ!E362-AVERAGE(OFFSET(分析データ!E$1,MAX(1,ROW()-$C$7),0,MIN($C$7,ROW()-1),1)))/STDEV(OFFSET(分析データ!E$1,MAX(1,ROW()-$C$7),0,MIN($C$7,ROW()-1),1)),0))</f>
        <v>0.3460431102253736</v>
      </c>
      <c r="BM362">
        <f t="shared" ca="1" si="152"/>
        <v>0</v>
      </c>
      <c r="BN362" t="str">
        <f ca="1">IF(BM362=1,IF(INDEX(分析データ!$A:$A,ROW()+$C$5)&lt;&gt;"",40000*SIGN(BL362)*(分析データ!E362-INDEX(分析データ!E:E,ROW()+$C$5)),""),"")</f>
        <v/>
      </c>
      <c r="BO362">
        <f t="shared" ca="1" si="153"/>
        <v>280000.00000000291</v>
      </c>
      <c r="BP362">
        <f t="shared" ca="1" si="154"/>
        <v>280000.00000000291</v>
      </c>
      <c r="BQ362">
        <f t="shared" ca="1" si="155"/>
        <v>0</v>
      </c>
      <c r="BR362">
        <f ca="1">IF(ROW()&lt;($C$7+1),"",IFERROR((分析データ!F362-AVERAGE(OFFSET(分析データ!F$1,MAX(1,ROW()-$C$7),0,MIN($C$7,ROW()-1),1)))/STDEV(OFFSET(分析データ!F$1,MAX(1,ROW()-$C$7),0,MIN($C$7,ROW()-1),1)),0))</f>
        <v>-0.60729810029303355</v>
      </c>
      <c r="BS362">
        <f t="shared" ca="1" si="156"/>
        <v>0</v>
      </c>
      <c r="BT362" t="str">
        <f ca="1">IF(BS362=1,IF(INDEX(分析データ!$A:$A,ROW()+$C$5)&lt;&gt;"",40000*SIGN(BR362)*(分析データ!F362-INDEX(分析データ!F:F,ROW()+$C$5)),""),"")</f>
        <v/>
      </c>
      <c r="BU362">
        <f t="shared" ca="1" si="157"/>
        <v>583200.00000000163</v>
      </c>
      <c r="BV362">
        <f t="shared" ca="1" si="158"/>
        <v>583200.00000000163</v>
      </c>
      <c r="BW362">
        <f t="shared" ca="1" si="159"/>
        <v>0</v>
      </c>
      <c r="BX362">
        <f ca="1">IF(ROW()&lt;($C$7+1),"",IFERROR((分析データ!G362-AVERAGE(OFFSET(分析データ!G$1,MAX(1,ROW()-$C$7),0,MIN($C$7,ROW()-1),1)))/STDEV(OFFSET(分析データ!G$1,MAX(1,ROW()-$C$7),0,MIN($C$7,ROW()-1),1)),0))</f>
        <v>1.0028922764976969</v>
      </c>
      <c r="BY362">
        <f t="shared" ca="1" si="160"/>
        <v>0</v>
      </c>
      <c r="BZ362" t="str">
        <f ca="1">IF(BY362=1,IF(INDEX(分析データ!$A:$A,ROW()+$C$5)&lt;&gt;"",40000*SIGN(BX362)*(分析データ!G362-INDEX(分析データ!G:G,ROW()+$C$5)),""),"")</f>
        <v/>
      </c>
      <c r="CA362">
        <f t="shared" ca="1" si="161"/>
        <v>3095574.2871093722</v>
      </c>
      <c r="CB362">
        <f t="shared" ca="1" si="162"/>
        <v>3095574.2871093722</v>
      </c>
      <c r="CC362">
        <f t="shared" ca="1" si="163"/>
        <v>0</v>
      </c>
      <c r="CD362">
        <f t="shared" ca="1" si="164"/>
        <v>0</v>
      </c>
      <c r="CE362">
        <f t="shared" ca="1" si="165"/>
        <v>3958774.2871093769</v>
      </c>
      <c r="CF362">
        <f t="shared" ca="1" si="166"/>
        <v>3958774.2871093769</v>
      </c>
      <c r="CG362">
        <f t="shared" ca="1" si="167"/>
        <v>0</v>
      </c>
      <c r="CH362" s="10">
        <f>分析データ!A362</f>
        <v>45453</v>
      </c>
    </row>
    <row r="363" spans="46:86">
      <c r="AT363">
        <f ca="1">IF(ROW()&lt;($C$7+1),"",IFERROR((分析データ!B363-AVERAGE(OFFSET(分析データ!B$1,MAX(1,ROW()-$C$7),0,MIN($C$7,ROW()-1),1)))/STDEV(OFFSET(分析データ!B$1,MAX(1,ROW()-$C$7),0,MIN($C$7,ROW()-1),1)),0))</f>
        <v>0.29845998849124578</v>
      </c>
      <c r="AU363">
        <f t="shared" ca="1" si="140"/>
        <v>0</v>
      </c>
      <c r="AV363" t="str">
        <f ca="1">IF(AU363=1,IF(INDEX(分析データ!$A:$A,ROW()+$C$5)&lt;&gt;"",80000*SIGN(AT363)*(分析データ!B363-INDEX(分析データ!B:B,ROW()+$C$5)),""),"")</f>
        <v/>
      </c>
      <c r="AW363">
        <f t="shared" ca="1" si="141"/>
        <v>0</v>
      </c>
      <c r="AX363">
        <f t="shared" ca="1" si="142"/>
        <v>0</v>
      </c>
      <c r="AY363">
        <f t="shared" ca="1" si="143"/>
        <v>0</v>
      </c>
      <c r="AZ363">
        <f ca="1">IF(ROW()&lt;($C$7+1),"",IFERROR((分析データ!C363-AVERAGE(OFFSET(分析データ!C$1,MAX(1,ROW()-$C$7),0,MIN($C$7,ROW()-1),1)))/STDEV(OFFSET(分析データ!C$1,MAX(1,ROW()-$C$7),0,MIN($C$7,ROW()-1),1)),0))</f>
        <v>-0.69696321465056355</v>
      </c>
      <c r="BA363">
        <f t="shared" ca="1" si="144"/>
        <v>0</v>
      </c>
      <c r="BB363" t="str">
        <f ca="1">IF(BA363=1,IF(INDEX(分析データ!$A:$A,ROW()+$C$5)&lt;&gt;"",60000*SIGN(AZ363)*(分析データ!C363-INDEX(分析データ!C:C,ROW()+$C$5)),""),"")</f>
        <v/>
      </c>
      <c r="BC363">
        <f t="shared" ca="1" si="145"/>
        <v>0</v>
      </c>
      <c r="BD363">
        <f t="shared" ca="1" si="146"/>
        <v>0</v>
      </c>
      <c r="BE363">
        <f t="shared" ca="1" si="147"/>
        <v>0</v>
      </c>
      <c r="BF363">
        <f ca="1">IF(ROW()&lt;($C$7+1),"",IFERROR((分析データ!D363-AVERAGE(OFFSET(分析データ!D$1,MAX(1,ROW()-$C$7),0,MIN($C$7,ROW()-1),1)))/STDEV(OFFSET(分析データ!D$1,MAX(1,ROW()-$C$7),0,MIN($C$7,ROW()-1),1)),0))</f>
        <v>-0.95907139715980727</v>
      </c>
      <c r="BG363">
        <f t="shared" ca="1" si="148"/>
        <v>0</v>
      </c>
      <c r="BH363" t="str">
        <f ca="1">IF(BG363=1,IF(INDEX(分析データ!$A:$A,ROW()+$C$5)&lt;&gt;"",50000*SIGN(BF363)*(分析データ!D363-INDEX(分析データ!D:D,ROW()+$C$5)),""),"")</f>
        <v/>
      </c>
      <c r="BI363">
        <f t="shared" ca="1" si="149"/>
        <v>0</v>
      </c>
      <c r="BJ363">
        <f t="shared" ca="1" si="150"/>
        <v>0</v>
      </c>
      <c r="BK363">
        <f t="shared" ca="1" si="151"/>
        <v>0</v>
      </c>
      <c r="BL363">
        <f ca="1">IF(ROW()&lt;($C$7+1),"",IFERROR((分析データ!E363-AVERAGE(OFFSET(分析データ!E$1,MAX(1,ROW()-$C$7),0,MIN($C$7,ROW()-1),1)))/STDEV(OFFSET(分析データ!E$1,MAX(1,ROW()-$C$7),0,MIN($C$7,ROW()-1),1)),0))</f>
        <v>0.24263280438937868</v>
      </c>
      <c r="BM363">
        <f t="shared" ca="1" si="152"/>
        <v>0</v>
      </c>
      <c r="BN363" t="str">
        <f ca="1">IF(BM363=1,IF(INDEX(分析データ!$A:$A,ROW()+$C$5)&lt;&gt;"",40000*SIGN(BL363)*(分析データ!E363-INDEX(分析データ!E:E,ROW()+$C$5)),""),"")</f>
        <v/>
      </c>
      <c r="BO363">
        <f t="shared" ca="1" si="153"/>
        <v>280000.00000000291</v>
      </c>
      <c r="BP363">
        <f t="shared" ca="1" si="154"/>
        <v>280000.00000000291</v>
      </c>
      <c r="BQ363">
        <f t="shared" ca="1" si="155"/>
        <v>0</v>
      </c>
      <c r="BR363">
        <f ca="1">IF(ROW()&lt;($C$7+1),"",IFERROR((分析データ!F363-AVERAGE(OFFSET(分析データ!F$1,MAX(1,ROW()-$C$7),0,MIN($C$7,ROW()-1),1)))/STDEV(OFFSET(分析データ!F$1,MAX(1,ROW()-$C$7),0,MIN($C$7,ROW()-1),1)),0))</f>
        <v>8.3957466761319877E-2</v>
      </c>
      <c r="BS363">
        <f t="shared" ca="1" si="156"/>
        <v>0</v>
      </c>
      <c r="BT363" t="str">
        <f ca="1">IF(BS363=1,IF(INDEX(分析データ!$A:$A,ROW()+$C$5)&lt;&gt;"",40000*SIGN(BR363)*(分析データ!F363-INDEX(分析データ!F:F,ROW()+$C$5)),""),"")</f>
        <v/>
      </c>
      <c r="BU363">
        <f t="shared" ca="1" si="157"/>
        <v>583200.00000000163</v>
      </c>
      <c r="BV363">
        <f t="shared" ca="1" si="158"/>
        <v>583200.00000000163</v>
      </c>
      <c r="BW363">
        <f t="shared" ca="1" si="159"/>
        <v>0</v>
      </c>
      <c r="BX363">
        <f ca="1">IF(ROW()&lt;($C$7+1),"",IFERROR((分析データ!G363-AVERAGE(OFFSET(分析データ!G$1,MAX(1,ROW()-$C$7),0,MIN($C$7,ROW()-1),1)))/STDEV(OFFSET(分析データ!G$1,MAX(1,ROW()-$C$7),0,MIN($C$7,ROW()-1),1)),0))</f>
        <v>0.55736371973481391</v>
      </c>
      <c r="BY363">
        <f t="shared" ca="1" si="160"/>
        <v>0</v>
      </c>
      <c r="BZ363" t="str">
        <f ca="1">IF(BY363=1,IF(INDEX(分析データ!$A:$A,ROW()+$C$5)&lt;&gt;"",40000*SIGN(BX363)*(分析データ!G363-INDEX(分析データ!G:G,ROW()+$C$5)),""),"")</f>
        <v/>
      </c>
      <c r="CA363">
        <f t="shared" ca="1" si="161"/>
        <v>3095574.2871093722</v>
      </c>
      <c r="CB363">
        <f t="shared" ca="1" si="162"/>
        <v>3095574.2871093722</v>
      </c>
      <c r="CC363">
        <f t="shared" ca="1" si="163"/>
        <v>0</v>
      </c>
      <c r="CD363">
        <f t="shared" ca="1" si="164"/>
        <v>0</v>
      </c>
      <c r="CE363">
        <f t="shared" ca="1" si="165"/>
        <v>3958774.2871093769</v>
      </c>
      <c r="CF363">
        <f t="shared" ca="1" si="166"/>
        <v>3958774.2871093769</v>
      </c>
      <c r="CG363">
        <f t="shared" ca="1" si="167"/>
        <v>0</v>
      </c>
      <c r="CH363" s="10">
        <f>分析データ!A363</f>
        <v>45454</v>
      </c>
    </row>
    <row r="364" spans="46:86">
      <c r="AT364">
        <f ca="1">IF(ROW()&lt;($C$7+1),"",IFERROR((分析データ!B364-AVERAGE(OFFSET(分析データ!B$1,MAX(1,ROW()-$C$7),0,MIN($C$7,ROW()-1),1)))/STDEV(OFFSET(分析データ!B$1,MAX(1,ROW()-$C$7),0,MIN($C$7,ROW()-1),1)),0))</f>
        <v>9.4740763964985264E-2</v>
      </c>
      <c r="AU364">
        <f t="shared" ca="1" si="140"/>
        <v>0</v>
      </c>
      <c r="AV364" t="str">
        <f ca="1">IF(AU364=1,IF(INDEX(分析データ!$A:$A,ROW()+$C$5)&lt;&gt;"",80000*SIGN(AT364)*(分析データ!B364-INDEX(分析データ!B:B,ROW()+$C$5)),""),"")</f>
        <v/>
      </c>
      <c r="AW364">
        <f t="shared" ca="1" si="141"/>
        <v>0</v>
      </c>
      <c r="AX364">
        <f t="shared" ca="1" si="142"/>
        <v>0</v>
      </c>
      <c r="AY364">
        <f t="shared" ca="1" si="143"/>
        <v>0</v>
      </c>
      <c r="AZ364">
        <f ca="1">IF(ROW()&lt;($C$7+1),"",IFERROR((分析データ!C364-AVERAGE(OFFSET(分析データ!C$1,MAX(1,ROW()-$C$7),0,MIN($C$7,ROW()-1),1)))/STDEV(OFFSET(分析データ!C$1,MAX(1,ROW()-$C$7),0,MIN($C$7,ROW()-1),1)),0))</f>
        <v>-0.82927519056436283</v>
      </c>
      <c r="BA364">
        <f t="shared" ca="1" si="144"/>
        <v>0</v>
      </c>
      <c r="BB364" t="str">
        <f ca="1">IF(BA364=1,IF(INDEX(分析データ!$A:$A,ROW()+$C$5)&lt;&gt;"",60000*SIGN(AZ364)*(分析データ!C364-INDEX(分析データ!C:C,ROW()+$C$5)),""),"")</f>
        <v/>
      </c>
      <c r="BC364">
        <f t="shared" ca="1" si="145"/>
        <v>0</v>
      </c>
      <c r="BD364">
        <f t="shared" ca="1" si="146"/>
        <v>0</v>
      </c>
      <c r="BE364">
        <f t="shared" ca="1" si="147"/>
        <v>0</v>
      </c>
      <c r="BF364">
        <f ca="1">IF(ROW()&lt;($C$7+1),"",IFERROR((分析データ!D364-AVERAGE(OFFSET(分析データ!D$1,MAX(1,ROW()-$C$7),0,MIN($C$7,ROW()-1),1)))/STDEV(OFFSET(分析データ!D$1,MAX(1,ROW()-$C$7),0,MIN($C$7,ROW()-1),1)),0))</f>
        <v>-1.1878490335195191</v>
      </c>
      <c r="BG364">
        <f t="shared" ca="1" si="148"/>
        <v>0</v>
      </c>
      <c r="BH364" t="str">
        <f ca="1">IF(BG364=1,IF(INDEX(分析データ!$A:$A,ROW()+$C$5)&lt;&gt;"",50000*SIGN(BF364)*(分析データ!D364-INDEX(分析データ!D:D,ROW()+$C$5)),""),"")</f>
        <v/>
      </c>
      <c r="BI364">
        <f t="shared" ca="1" si="149"/>
        <v>0</v>
      </c>
      <c r="BJ364">
        <f t="shared" ca="1" si="150"/>
        <v>0</v>
      </c>
      <c r="BK364">
        <f t="shared" ca="1" si="151"/>
        <v>0</v>
      </c>
      <c r="BL364">
        <f ca="1">IF(ROW()&lt;($C$7+1),"",IFERROR((分析データ!E364-AVERAGE(OFFSET(分析データ!E$1,MAX(1,ROW()-$C$7),0,MIN($C$7,ROW()-1),1)))/STDEV(OFFSET(分析データ!E$1,MAX(1,ROW()-$C$7),0,MIN($C$7,ROW()-1),1)),0))</f>
        <v>0.33656055764425763</v>
      </c>
      <c r="BM364">
        <f t="shared" ca="1" si="152"/>
        <v>0</v>
      </c>
      <c r="BN364" t="str">
        <f ca="1">IF(BM364=1,IF(INDEX(分析データ!$A:$A,ROW()+$C$5)&lt;&gt;"",40000*SIGN(BL364)*(分析データ!E364-INDEX(分析データ!E:E,ROW()+$C$5)),""),"")</f>
        <v/>
      </c>
      <c r="BO364">
        <f t="shared" ca="1" si="153"/>
        <v>280000.00000000291</v>
      </c>
      <c r="BP364">
        <f t="shared" ca="1" si="154"/>
        <v>280000.00000000291</v>
      </c>
      <c r="BQ364">
        <f t="shared" ca="1" si="155"/>
        <v>0</v>
      </c>
      <c r="BR364">
        <f ca="1">IF(ROW()&lt;($C$7+1),"",IFERROR((分析データ!F364-AVERAGE(OFFSET(分析データ!F$1,MAX(1,ROW()-$C$7),0,MIN($C$7,ROW()-1),1)))/STDEV(OFFSET(分析データ!F$1,MAX(1,ROW()-$C$7),0,MIN($C$7,ROW()-1),1)),0))</f>
        <v>0.26045378653232337</v>
      </c>
      <c r="BS364">
        <f t="shared" ca="1" si="156"/>
        <v>0</v>
      </c>
      <c r="BT364" t="str">
        <f ca="1">IF(BS364=1,IF(INDEX(分析データ!$A:$A,ROW()+$C$5)&lt;&gt;"",40000*SIGN(BR364)*(分析データ!F364-INDEX(分析データ!F:F,ROW()+$C$5)),""),"")</f>
        <v/>
      </c>
      <c r="BU364">
        <f t="shared" ca="1" si="157"/>
        <v>583200.00000000163</v>
      </c>
      <c r="BV364">
        <f t="shared" ca="1" si="158"/>
        <v>583200.00000000163</v>
      </c>
      <c r="BW364">
        <f t="shared" ca="1" si="159"/>
        <v>0</v>
      </c>
      <c r="BX364">
        <f ca="1">IF(ROW()&lt;($C$7+1),"",IFERROR((分析データ!G364-AVERAGE(OFFSET(分析データ!G$1,MAX(1,ROW()-$C$7),0,MIN($C$7,ROW()-1),1)))/STDEV(OFFSET(分析データ!G$1,MAX(1,ROW()-$C$7),0,MIN($C$7,ROW()-1),1)),0))</f>
        <v>0.6217931350708803</v>
      </c>
      <c r="BY364">
        <f t="shared" ca="1" si="160"/>
        <v>0</v>
      </c>
      <c r="BZ364" t="str">
        <f ca="1">IF(BY364=1,IF(INDEX(分析データ!$A:$A,ROW()+$C$5)&lt;&gt;"",40000*SIGN(BX364)*(分析データ!G364-INDEX(分析データ!G:G,ROW()+$C$5)),""),"")</f>
        <v/>
      </c>
      <c r="CA364">
        <f t="shared" ca="1" si="161"/>
        <v>3095574.2871093722</v>
      </c>
      <c r="CB364">
        <f t="shared" ca="1" si="162"/>
        <v>3095574.2871093722</v>
      </c>
      <c r="CC364">
        <f t="shared" ca="1" si="163"/>
        <v>0</v>
      </c>
      <c r="CD364">
        <f t="shared" ca="1" si="164"/>
        <v>0</v>
      </c>
      <c r="CE364">
        <f t="shared" ca="1" si="165"/>
        <v>3958774.2871093769</v>
      </c>
      <c r="CF364">
        <f t="shared" ca="1" si="166"/>
        <v>3958774.2871093769</v>
      </c>
      <c r="CG364">
        <f t="shared" ca="1" si="167"/>
        <v>0</v>
      </c>
      <c r="CH364" s="10">
        <f>分析データ!A364</f>
        <v>45455</v>
      </c>
    </row>
    <row r="365" spans="46:86">
      <c r="AT365">
        <f ca="1">IF(ROW()&lt;($C$7+1),"",IFERROR((分析データ!B365-AVERAGE(OFFSET(分析データ!B$1,MAX(1,ROW()-$C$7),0,MIN($C$7,ROW()-1),1)))/STDEV(OFFSET(分析データ!B$1,MAX(1,ROW()-$C$7),0,MIN($C$7,ROW()-1),1)),0))</f>
        <v>8.8167455394089503E-2</v>
      </c>
      <c r="AU365">
        <f t="shared" ca="1" si="140"/>
        <v>0</v>
      </c>
      <c r="AV365" t="str">
        <f ca="1">IF(AU365=1,IF(INDEX(分析データ!$A:$A,ROW()+$C$5)&lt;&gt;"",80000*SIGN(AT365)*(分析データ!B365-INDEX(分析データ!B:B,ROW()+$C$5)),""),"")</f>
        <v/>
      </c>
      <c r="AW365">
        <f t="shared" ca="1" si="141"/>
        <v>0</v>
      </c>
      <c r="AX365">
        <f t="shared" ca="1" si="142"/>
        <v>0</v>
      </c>
      <c r="AY365">
        <f t="shared" ca="1" si="143"/>
        <v>0</v>
      </c>
      <c r="AZ365">
        <f ca="1">IF(ROW()&lt;($C$7+1),"",IFERROR((分析データ!C365-AVERAGE(OFFSET(分析データ!C$1,MAX(1,ROW()-$C$7),0,MIN($C$7,ROW()-1),1)))/STDEV(OFFSET(分析データ!C$1,MAX(1,ROW()-$C$7),0,MIN($C$7,ROW()-1),1)),0))</f>
        <v>-0.86307428671467779</v>
      </c>
      <c r="BA365">
        <f t="shared" ca="1" si="144"/>
        <v>0</v>
      </c>
      <c r="BB365" t="str">
        <f ca="1">IF(BA365=1,IF(INDEX(分析データ!$A:$A,ROW()+$C$5)&lt;&gt;"",60000*SIGN(AZ365)*(分析データ!C365-INDEX(分析データ!C:C,ROW()+$C$5)),""),"")</f>
        <v/>
      </c>
      <c r="BC365">
        <f t="shared" ca="1" si="145"/>
        <v>0</v>
      </c>
      <c r="BD365">
        <f t="shared" ca="1" si="146"/>
        <v>0</v>
      </c>
      <c r="BE365">
        <f t="shared" ca="1" si="147"/>
        <v>0</v>
      </c>
      <c r="BF365">
        <f ca="1">IF(ROW()&lt;($C$7+1),"",IFERROR((分析データ!D365-AVERAGE(OFFSET(分析データ!D$1,MAX(1,ROW()-$C$7),0,MIN($C$7,ROW()-1),1)))/STDEV(OFFSET(分析データ!D$1,MAX(1,ROW()-$C$7),0,MIN($C$7,ROW()-1),1)),0))</f>
        <v>-1.4500800868418655</v>
      </c>
      <c r="BG365">
        <f t="shared" ca="1" si="148"/>
        <v>0</v>
      </c>
      <c r="BH365" t="str">
        <f ca="1">IF(BG365=1,IF(INDEX(分析データ!$A:$A,ROW()+$C$5)&lt;&gt;"",50000*SIGN(BF365)*(分析データ!D365-INDEX(分析データ!D:D,ROW()+$C$5)),""),"")</f>
        <v/>
      </c>
      <c r="BI365">
        <f t="shared" ca="1" si="149"/>
        <v>0</v>
      </c>
      <c r="BJ365">
        <f t="shared" ca="1" si="150"/>
        <v>0</v>
      </c>
      <c r="BK365">
        <f t="shared" ca="1" si="151"/>
        <v>0</v>
      </c>
      <c r="BL365">
        <f ca="1">IF(ROW()&lt;($C$7+1),"",IFERROR((分析データ!E365-AVERAGE(OFFSET(分析データ!E$1,MAX(1,ROW()-$C$7),0,MIN($C$7,ROW()-1),1)))/STDEV(OFFSET(分析データ!E$1,MAX(1,ROW()-$C$7),0,MIN($C$7,ROW()-1),1)),0))</f>
        <v>0.4307808323866707</v>
      </c>
      <c r="BM365">
        <f t="shared" ca="1" si="152"/>
        <v>0</v>
      </c>
      <c r="BN365" t="str">
        <f ca="1">IF(BM365=1,IF(INDEX(分析データ!$A:$A,ROW()+$C$5)&lt;&gt;"",40000*SIGN(BL365)*(分析データ!E365-INDEX(分析データ!E:E,ROW()+$C$5)),""),"")</f>
        <v/>
      </c>
      <c r="BO365">
        <f t="shared" ca="1" si="153"/>
        <v>280000.00000000291</v>
      </c>
      <c r="BP365">
        <f t="shared" ca="1" si="154"/>
        <v>280000.00000000291</v>
      </c>
      <c r="BQ365">
        <f t="shared" ca="1" si="155"/>
        <v>0</v>
      </c>
      <c r="BR365">
        <f ca="1">IF(ROW()&lt;($C$7+1),"",IFERROR((分析データ!F365-AVERAGE(OFFSET(分析データ!F$1,MAX(1,ROW()-$C$7),0,MIN($C$7,ROW()-1),1)))/STDEV(OFFSET(分析データ!F$1,MAX(1,ROW()-$C$7),0,MIN($C$7,ROW()-1),1)),0))</f>
        <v>0.10789325064116792</v>
      </c>
      <c r="BS365">
        <f t="shared" ca="1" si="156"/>
        <v>0</v>
      </c>
      <c r="BT365" t="str">
        <f ca="1">IF(BS365=1,IF(INDEX(分析データ!$A:$A,ROW()+$C$5)&lt;&gt;"",40000*SIGN(BR365)*(分析データ!F365-INDEX(分析データ!F:F,ROW()+$C$5)),""),"")</f>
        <v/>
      </c>
      <c r="BU365">
        <f t="shared" ca="1" si="157"/>
        <v>583200.00000000163</v>
      </c>
      <c r="BV365">
        <f t="shared" ca="1" si="158"/>
        <v>583200.00000000163</v>
      </c>
      <c r="BW365">
        <f t="shared" ca="1" si="159"/>
        <v>0</v>
      </c>
      <c r="BX365">
        <f ca="1">IF(ROW()&lt;($C$7+1),"",IFERROR((分析データ!G365-AVERAGE(OFFSET(分析データ!G$1,MAX(1,ROW()-$C$7),0,MIN($C$7,ROW()-1),1)))/STDEV(OFFSET(分析データ!G$1,MAX(1,ROW()-$C$7),0,MIN($C$7,ROW()-1),1)),0))</f>
        <v>0.88326501984839401</v>
      </c>
      <c r="BY365">
        <f t="shared" ca="1" si="160"/>
        <v>0</v>
      </c>
      <c r="BZ365" t="str">
        <f ca="1">IF(BY365=1,IF(INDEX(分析データ!$A:$A,ROW()+$C$5)&lt;&gt;"",40000*SIGN(BX365)*(分析データ!G365-INDEX(分析データ!G:G,ROW()+$C$5)),""),"")</f>
        <v/>
      </c>
      <c r="CA365">
        <f t="shared" ca="1" si="161"/>
        <v>3095574.2871093722</v>
      </c>
      <c r="CB365">
        <f t="shared" ca="1" si="162"/>
        <v>3095574.2871093722</v>
      </c>
      <c r="CC365">
        <f t="shared" ca="1" si="163"/>
        <v>0</v>
      </c>
      <c r="CD365">
        <f t="shared" ca="1" si="164"/>
        <v>0</v>
      </c>
      <c r="CE365">
        <f t="shared" ca="1" si="165"/>
        <v>3958774.2871093769</v>
      </c>
      <c r="CF365">
        <f t="shared" ca="1" si="166"/>
        <v>3958774.2871093769</v>
      </c>
      <c r="CG365">
        <f t="shared" ca="1" si="167"/>
        <v>0</v>
      </c>
      <c r="CH365" s="10">
        <f>分析データ!A365</f>
        <v>45456</v>
      </c>
    </row>
    <row r="366" spans="46:86">
      <c r="AT366">
        <f ca="1">IF(ROW()&lt;($C$7+1),"",IFERROR((分析データ!B366-AVERAGE(OFFSET(分析データ!B$1,MAX(1,ROW()-$C$7),0,MIN($C$7,ROW()-1),1)))/STDEV(OFFSET(分析データ!B$1,MAX(1,ROW()-$C$7),0,MIN($C$7,ROW()-1),1)),0))</f>
        <v>3.21810455690935E-2</v>
      </c>
      <c r="AU366">
        <f t="shared" ca="1" si="140"/>
        <v>0</v>
      </c>
      <c r="AV366" t="str">
        <f ca="1">IF(AU366=1,IF(INDEX(分析データ!$A:$A,ROW()+$C$5)&lt;&gt;"",80000*SIGN(AT366)*(分析データ!B366-INDEX(分析データ!B:B,ROW()+$C$5)),""),"")</f>
        <v/>
      </c>
      <c r="AW366">
        <f t="shared" ca="1" si="141"/>
        <v>0</v>
      </c>
      <c r="AX366">
        <f t="shared" ca="1" si="142"/>
        <v>0</v>
      </c>
      <c r="AY366">
        <f t="shared" ca="1" si="143"/>
        <v>0</v>
      </c>
      <c r="AZ366">
        <f ca="1">IF(ROW()&lt;($C$7+1),"",IFERROR((分析データ!C366-AVERAGE(OFFSET(分析データ!C$1,MAX(1,ROW()-$C$7),0,MIN($C$7,ROW()-1),1)))/STDEV(OFFSET(分析データ!C$1,MAX(1,ROW()-$C$7),0,MIN($C$7,ROW()-1),1)),0))</f>
        <v>-1.0032301275251496</v>
      </c>
      <c r="BA366">
        <f t="shared" ca="1" si="144"/>
        <v>0</v>
      </c>
      <c r="BB366" t="str">
        <f ca="1">IF(BA366=1,IF(INDEX(分析データ!$A:$A,ROW()+$C$5)&lt;&gt;"",60000*SIGN(AZ366)*(分析データ!C366-INDEX(分析データ!C:C,ROW()+$C$5)),""),"")</f>
        <v/>
      </c>
      <c r="BC366">
        <f t="shared" ca="1" si="145"/>
        <v>0</v>
      </c>
      <c r="BD366">
        <f t="shared" ca="1" si="146"/>
        <v>0</v>
      </c>
      <c r="BE366">
        <f t="shared" ca="1" si="147"/>
        <v>0</v>
      </c>
      <c r="BF366">
        <f ca="1">IF(ROW()&lt;($C$7+1),"",IFERROR((分析データ!D366-AVERAGE(OFFSET(分析データ!D$1,MAX(1,ROW()-$C$7),0,MIN($C$7,ROW()-1),1)))/STDEV(OFFSET(分析データ!D$1,MAX(1,ROW()-$C$7),0,MIN($C$7,ROW()-1),1)),0))</f>
        <v>-1.4825633070592401</v>
      </c>
      <c r="BG366">
        <f t="shared" ca="1" si="148"/>
        <v>0</v>
      </c>
      <c r="BH366" t="str">
        <f ca="1">IF(BG366=1,IF(INDEX(分析データ!$A:$A,ROW()+$C$5)&lt;&gt;"",50000*SIGN(BF366)*(分析データ!D366-INDEX(分析データ!D:D,ROW()+$C$5)),""),"")</f>
        <v/>
      </c>
      <c r="BI366">
        <f t="shared" ca="1" si="149"/>
        <v>0</v>
      </c>
      <c r="BJ366">
        <f t="shared" ca="1" si="150"/>
        <v>0</v>
      </c>
      <c r="BK366">
        <f t="shared" ca="1" si="151"/>
        <v>0</v>
      </c>
      <c r="BL366">
        <f ca="1">IF(ROW()&lt;($C$7+1),"",IFERROR((分析データ!E366-AVERAGE(OFFSET(分析データ!E$1,MAX(1,ROW()-$C$7),0,MIN($C$7,ROW()-1),1)))/STDEV(OFFSET(分析データ!E$1,MAX(1,ROW()-$C$7),0,MIN($C$7,ROW()-1),1)),0))</f>
        <v>0.22599076231291637</v>
      </c>
      <c r="BM366">
        <f t="shared" ca="1" si="152"/>
        <v>0</v>
      </c>
      <c r="BN366" t="str">
        <f ca="1">IF(BM366=1,IF(INDEX(分析データ!$A:$A,ROW()+$C$5)&lt;&gt;"",40000*SIGN(BL366)*(分析データ!E366-INDEX(分析データ!E:E,ROW()+$C$5)),""),"")</f>
        <v/>
      </c>
      <c r="BO366">
        <f t="shared" ca="1" si="153"/>
        <v>280000.00000000291</v>
      </c>
      <c r="BP366">
        <f t="shared" ca="1" si="154"/>
        <v>280000.00000000291</v>
      </c>
      <c r="BQ366">
        <f t="shared" ca="1" si="155"/>
        <v>0</v>
      </c>
      <c r="BR366">
        <f ca="1">IF(ROW()&lt;($C$7+1),"",IFERROR((分析データ!F366-AVERAGE(OFFSET(分析データ!F$1,MAX(1,ROW()-$C$7),0,MIN($C$7,ROW()-1),1)))/STDEV(OFFSET(分析データ!F$1,MAX(1,ROW()-$C$7),0,MIN($C$7,ROW()-1),1)),0))</f>
        <v>0.28010755391875136</v>
      </c>
      <c r="BS366">
        <f t="shared" ca="1" si="156"/>
        <v>0</v>
      </c>
      <c r="BT366" t="str">
        <f ca="1">IF(BS366=1,IF(INDEX(分析データ!$A:$A,ROW()+$C$5)&lt;&gt;"",40000*SIGN(BR366)*(分析データ!F366-INDEX(分析データ!F:F,ROW()+$C$5)),""),"")</f>
        <v/>
      </c>
      <c r="BU366">
        <f t="shared" ca="1" si="157"/>
        <v>583200.00000000163</v>
      </c>
      <c r="BV366">
        <f t="shared" ca="1" si="158"/>
        <v>583200.00000000163</v>
      </c>
      <c r="BW366">
        <f t="shared" ca="1" si="159"/>
        <v>0</v>
      </c>
      <c r="BX366">
        <f ca="1">IF(ROW()&lt;($C$7+1),"",IFERROR((分析データ!G366-AVERAGE(OFFSET(分析データ!G$1,MAX(1,ROW()-$C$7),0,MIN($C$7,ROW()-1),1)))/STDEV(OFFSET(分析データ!G$1,MAX(1,ROW()-$C$7),0,MIN($C$7,ROW()-1),1)),0))</f>
        <v>0.59225327456406673</v>
      </c>
      <c r="BY366">
        <f t="shared" ca="1" si="160"/>
        <v>0</v>
      </c>
      <c r="BZ366" t="str">
        <f ca="1">IF(BY366=1,IF(INDEX(分析データ!$A:$A,ROW()+$C$5)&lt;&gt;"",40000*SIGN(BX366)*(分析データ!G366-INDEX(分析データ!G:G,ROW()+$C$5)),""),"")</f>
        <v/>
      </c>
      <c r="CA366">
        <f t="shared" ca="1" si="161"/>
        <v>3095574.2871093722</v>
      </c>
      <c r="CB366">
        <f t="shared" ca="1" si="162"/>
        <v>3095574.2871093722</v>
      </c>
      <c r="CC366">
        <f t="shared" ca="1" si="163"/>
        <v>0</v>
      </c>
      <c r="CD366">
        <f t="shared" ca="1" si="164"/>
        <v>0</v>
      </c>
      <c r="CE366">
        <f t="shared" ca="1" si="165"/>
        <v>3958774.2871093769</v>
      </c>
      <c r="CF366">
        <f t="shared" ca="1" si="166"/>
        <v>3958774.2871093769</v>
      </c>
      <c r="CG366">
        <f t="shared" ca="1" si="167"/>
        <v>0</v>
      </c>
      <c r="CH366" s="10">
        <f>分析データ!A366</f>
        <v>45457</v>
      </c>
    </row>
    <row r="367" spans="46:86">
      <c r="AT367">
        <f ca="1">IF(ROW()&lt;($C$7+1),"",IFERROR((分析データ!B367-AVERAGE(OFFSET(分析データ!B$1,MAX(1,ROW()-$C$7),0,MIN($C$7,ROW()-1),1)))/STDEV(OFFSET(分析データ!B$1,MAX(1,ROW()-$C$7),0,MIN($C$7,ROW()-1),1)),0))</f>
        <v>0.12538205220939042</v>
      </c>
      <c r="AU367">
        <f t="shared" ca="1" si="140"/>
        <v>0</v>
      </c>
      <c r="AV367" t="str">
        <f ca="1">IF(AU367=1,IF(INDEX(分析データ!$A:$A,ROW()+$C$5)&lt;&gt;"",80000*SIGN(AT367)*(分析データ!B367-INDEX(分析データ!B:B,ROW()+$C$5)),""),"")</f>
        <v/>
      </c>
      <c r="AW367">
        <f t="shared" ca="1" si="141"/>
        <v>0</v>
      </c>
      <c r="AX367">
        <f t="shared" ca="1" si="142"/>
        <v>0</v>
      </c>
      <c r="AY367">
        <f t="shared" ca="1" si="143"/>
        <v>0</v>
      </c>
      <c r="AZ367">
        <f ca="1">IF(ROW()&lt;($C$7+1),"",IFERROR((分析データ!C367-AVERAGE(OFFSET(分析データ!C$1,MAX(1,ROW()-$C$7),0,MIN($C$7,ROW()-1),1)))/STDEV(OFFSET(分析データ!C$1,MAX(1,ROW()-$C$7),0,MIN($C$7,ROW()-1),1)),0))</f>
        <v>-1.1800775941879231</v>
      </c>
      <c r="BA367">
        <f t="shared" ca="1" si="144"/>
        <v>0</v>
      </c>
      <c r="BB367" t="str">
        <f ca="1">IF(BA367=1,IF(INDEX(分析データ!$A:$A,ROW()+$C$5)&lt;&gt;"",60000*SIGN(AZ367)*(分析データ!C367-INDEX(分析データ!C:C,ROW()+$C$5)),""),"")</f>
        <v/>
      </c>
      <c r="BC367">
        <f t="shared" ca="1" si="145"/>
        <v>0</v>
      </c>
      <c r="BD367">
        <f t="shared" ca="1" si="146"/>
        <v>0</v>
      </c>
      <c r="BE367">
        <f t="shared" ca="1" si="147"/>
        <v>0</v>
      </c>
      <c r="BF367">
        <f ca="1">IF(ROW()&lt;($C$7+1),"",IFERROR((分析データ!D367-AVERAGE(OFFSET(分析データ!D$1,MAX(1,ROW()-$C$7),0,MIN($C$7,ROW()-1),1)))/STDEV(OFFSET(分析データ!D$1,MAX(1,ROW()-$C$7),0,MIN($C$7,ROW()-1),1)),0))</f>
        <v>-1.0612049659594471</v>
      </c>
      <c r="BG367">
        <f t="shared" ca="1" si="148"/>
        <v>0</v>
      </c>
      <c r="BH367" t="str">
        <f ca="1">IF(BG367=1,IF(INDEX(分析データ!$A:$A,ROW()+$C$5)&lt;&gt;"",50000*SIGN(BF367)*(分析データ!D367-INDEX(分析データ!D:D,ROW()+$C$5)),""),"")</f>
        <v/>
      </c>
      <c r="BI367">
        <f t="shared" ca="1" si="149"/>
        <v>0</v>
      </c>
      <c r="BJ367">
        <f t="shared" ca="1" si="150"/>
        <v>0</v>
      </c>
      <c r="BK367">
        <f t="shared" ca="1" si="151"/>
        <v>0</v>
      </c>
      <c r="BL367">
        <f ca="1">IF(ROW()&lt;($C$7+1),"",IFERROR((分析データ!E367-AVERAGE(OFFSET(分析データ!E$1,MAX(1,ROW()-$C$7),0,MIN($C$7,ROW()-1),1)))/STDEV(OFFSET(分析データ!E$1,MAX(1,ROW()-$C$7),0,MIN($C$7,ROW()-1),1)),0))</f>
        <v>0.21917715842452198</v>
      </c>
      <c r="BM367">
        <f t="shared" ca="1" si="152"/>
        <v>0</v>
      </c>
      <c r="BN367" t="str">
        <f ca="1">IF(BM367=1,IF(INDEX(分析データ!$A:$A,ROW()+$C$5)&lt;&gt;"",40000*SIGN(BL367)*(分析データ!E367-INDEX(分析データ!E:E,ROW()+$C$5)),""),"")</f>
        <v/>
      </c>
      <c r="BO367">
        <f t="shared" ca="1" si="153"/>
        <v>280000.00000000291</v>
      </c>
      <c r="BP367">
        <f t="shared" ca="1" si="154"/>
        <v>280000.00000000291</v>
      </c>
      <c r="BQ367">
        <f t="shared" ca="1" si="155"/>
        <v>0</v>
      </c>
      <c r="BR367">
        <f ca="1">IF(ROW()&lt;($C$7+1),"",IFERROR((分析データ!F367-AVERAGE(OFFSET(分析データ!F$1,MAX(1,ROW()-$C$7),0,MIN($C$7,ROW()-1),1)))/STDEV(OFFSET(分析データ!F$1,MAX(1,ROW()-$C$7),0,MIN($C$7,ROW()-1),1)),0))</f>
        <v>-0.15935333889136993</v>
      </c>
      <c r="BS367">
        <f t="shared" ca="1" si="156"/>
        <v>0</v>
      </c>
      <c r="BT367" t="str">
        <f ca="1">IF(BS367=1,IF(INDEX(分析データ!$A:$A,ROW()+$C$5)&lt;&gt;"",40000*SIGN(BR367)*(分析データ!F367-INDEX(分析データ!F:F,ROW()+$C$5)),""),"")</f>
        <v/>
      </c>
      <c r="BU367">
        <f t="shared" ca="1" si="157"/>
        <v>583200.00000000163</v>
      </c>
      <c r="BV367">
        <f t="shared" ca="1" si="158"/>
        <v>583200.00000000163</v>
      </c>
      <c r="BW367">
        <f t="shared" ca="1" si="159"/>
        <v>0</v>
      </c>
      <c r="BX367">
        <f ca="1">IF(ROW()&lt;($C$7+1),"",IFERROR((分析データ!G367-AVERAGE(OFFSET(分析データ!G$1,MAX(1,ROW()-$C$7),0,MIN($C$7,ROW()-1),1)))/STDEV(OFFSET(分析データ!G$1,MAX(1,ROW()-$C$7),0,MIN($C$7,ROW()-1),1)),0))</f>
        <v>0.902637452457832</v>
      </c>
      <c r="BY367">
        <f t="shared" ca="1" si="160"/>
        <v>0</v>
      </c>
      <c r="BZ367" t="str">
        <f ca="1">IF(BY367=1,IF(INDEX(分析データ!$A:$A,ROW()+$C$5)&lt;&gt;"",40000*SIGN(BX367)*(分析データ!G367-INDEX(分析データ!G:G,ROW()+$C$5)),""),"")</f>
        <v/>
      </c>
      <c r="CA367">
        <f t="shared" ca="1" si="161"/>
        <v>3095574.2871093722</v>
      </c>
      <c r="CB367">
        <f t="shared" ca="1" si="162"/>
        <v>3095574.2871093722</v>
      </c>
      <c r="CC367">
        <f t="shared" ca="1" si="163"/>
        <v>0</v>
      </c>
      <c r="CD367">
        <f t="shared" ca="1" si="164"/>
        <v>0</v>
      </c>
      <c r="CE367">
        <f t="shared" ca="1" si="165"/>
        <v>3958774.2871093769</v>
      </c>
      <c r="CF367">
        <f t="shared" ca="1" si="166"/>
        <v>3958774.2871093769</v>
      </c>
      <c r="CG367">
        <f t="shared" ca="1" si="167"/>
        <v>0</v>
      </c>
      <c r="CH367" s="10">
        <f>分析データ!A367</f>
        <v>45460</v>
      </c>
    </row>
    <row r="368" spans="46:86">
      <c r="AT368">
        <f ca="1">IF(ROW()&lt;($C$7+1),"",IFERROR((分析データ!B368-AVERAGE(OFFSET(分析データ!B$1,MAX(1,ROW()-$C$7),0,MIN($C$7,ROW()-1),1)))/STDEV(OFFSET(分析データ!B$1,MAX(1,ROW()-$C$7),0,MIN($C$7,ROW()-1),1)),0))</f>
        <v>1.6341322671834132E-2</v>
      </c>
      <c r="AU368">
        <f t="shared" ca="1" si="140"/>
        <v>0</v>
      </c>
      <c r="AV368" t="str">
        <f ca="1">IF(AU368=1,IF(INDEX(分析データ!$A:$A,ROW()+$C$5)&lt;&gt;"",80000*SIGN(AT368)*(分析データ!B368-INDEX(分析データ!B:B,ROW()+$C$5)),""),"")</f>
        <v/>
      </c>
      <c r="AW368">
        <f t="shared" ca="1" si="141"/>
        <v>0</v>
      </c>
      <c r="AX368">
        <f t="shared" ca="1" si="142"/>
        <v>0</v>
      </c>
      <c r="AY368">
        <f t="shared" ca="1" si="143"/>
        <v>0</v>
      </c>
      <c r="AZ368">
        <f ca="1">IF(ROW()&lt;($C$7+1),"",IFERROR((分析データ!C368-AVERAGE(OFFSET(分析データ!C$1,MAX(1,ROW()-$C$7),0,MIN($C$7,ROW()-1),1)))/STDEV(OFFSET(分析データ!C$1,MAX(1,ROW()-$C$7),0,MIN($C$7,ROW()-1),1)),0))</f>
        <v>-1.0354283321035314</v>
      </c>
      <c r="BA368">
        <f t="shared" ca="1" si="144"/>
        <v>0</v>
      </c>
      <c r="BB368" t="str">
        <f ca="1">IF(BA368=1,IF(INDEX(分析データ!$A:$A,ROW()+$C$5)&lt;&gt;"",60000*SIGN(AZ368)*(分析データ!C368-INDEX(分析データ!C:C,ROW()+$C$5)),""),"")</f>
        <v/>
      </c>
      <c r="BC368">
        <f t="shared" ca="1" si="145"/>
        <v>0</v>
      </c>
      <c r="BD368">
        <f t="shared" ca="1" si="146"/>
        <v>0</v>
      </c>
      <c r="BE368">
        <f t="shared" ca="1" si="147"/>
        <v>0</v>
      </c>
      <c r="BF368">
        <f ca="1">IF(ROW()&lt;($C$7+1),"",IFERROR((分析データ!D368-AVERAGE(OFFSET(分析データ!D$1,MAX(1,ROW()-$C$7),0,MIN($C$7,ROW()-1),1)))/STDEV(OFFSET(分析データ!D$1,MAX(1,ROW()-$C$7),0,MIN($C$7,ROW()-1),1)),0))</f>
        <v>-1.4438596351558042</v>
      </c>
      <c r="BG368">
        <f t="shared" ca="1" si="148"/>
        <v>0</v>
      </c>
      <c r="BH368" t="str">
        <f ca="1">IF(BG368=1,IF(INDEX(分析データ!$A:$A,ROW()+$C$5)&lt;&gt;"",50000*SIGN(BF368)*(分析データ!D368-INDEX(分析データ!D:D,ROW()+$C$5)),""),"")</f>
        <v/>
      </c>
      <c r="BI368">
        <f t="shared" ca="1" si="149"/>
        <v>0</v>
      </c>
      <c r="BJ368">
        <f t="shared" ca="1" si="150"/>
        <v>0</v>
      </c>
      <c r="BK368">
        <f t="shared" ca="1" si="151"/>
        <v>0</v>
      </c>
      <c r="BL368">
        <f ca="1">IF(ROW()&lt;($C$7+1),"",IFERROR((分析データ!E368-AVERAGE(OFFSET(分析データ!E$1,MAX(1,ROW()-$C$7),0,MIN($C$7,ROW()-1),1)))/STDEV(OFFSET(分析データ!E$1,MAX(1,ROW()-$C$7),0,MIN($C$7,ROW()-1),1)),0))</f>
        <v>0.21331321716088425</v>
      </c>
      <c r="BM368">
        <f t="shared" ca="1" si="152"/>
        <v>0</v>
      </c>
      <c r="BN368" t="str">
        <f ca="1">IF(BM368=1,IF(INDEX(分析データ!$A:$A,ROW()+$C$5)&lt;&gt;"",40000*SIGN(BL368)*(分析データ!E368-INDEX(分析データ!E:E,ROW()+$C$5)),""),"")</f>
        <v/>
      </c>
      <c r="BO368">
        <f t="shared" ca="1" si="153"/>
        <v>280000.00000000291</v>
      </c>
      <c r="BP368">
        <f t="shared" ca="1" si="154"/>
        <v>280000.00000000291</v>
      </c>
      <c r="BQ368">
        <f t="shared" ca="1" si="155"/>
        <v>0</v>
      </c>
      <c r="BR368">
        <f ca="1">IF(ROW()&lt;($C$7+1),"",IFERROR((分析データ!F368-AVERAGE(OFFSET(分析データ!F$1,MAX(1,ROW()-$C$7),0,MIN($C$7,ROW()-1),1)))/STDEV(OFFSET(分析データ!F$1,MAX(1,ROW()-$C$7),0,MIN($C$7,ROW()-1),1)),0))</f>
        <v>7.2109097149146192E-2</v>
      </c>
      <c r="BS368">
        <f t="shared" ca="1" si="156"/>
        <v>0</v>
      </c>
      <c r="BT368" t="str">
        <f ca="1">IF(BS368=1,IF(INDEX(分析データ!$A:$A,ROW()+$C$5)&lt;&gt;"",40000*SIGN(BR368)*(分析データ!F368-INDEX(分析データ!F:F,ROW()+$C$5)),""),"")</f>
        <v/>
      </c>
      <c r="BU368">
        <f t="shared" ca="1" si="157"/>
        <v>583200.00000000163</v>
      </c>
      <c r="BV368">
        <f t="shared" ca="1" si="158"/>
        <v>583200.00000000163</v>
      </c>
      <c r="BW368">
        <f t="shared" ca="1" si="159"/>
        <v>0</v>
      </c>
      <c r="BX368">
        <f ca="1">IF(ROW()&lt;($C$7+1),"",IFERROR((分析データ!G368-AVERAGE(OFFSET(分析データ!G$1,MAX(1,ROW()-$C$7),0,MIN($C$7,ROW()-1),1)))/STDEV(OFFSET(分析データ!G$1,MAX(1,ROW()-$C$7),0,MIN($C$7,ROW()-1),1)),0))</f>
        <v>0.81222962695279488</v>
      </c>
      <c r="BY368">
        <f t="shared" ca="1" si="160"/>
        <v>0</v>
      </c>
      <c r="BZ368" t="str">
        <f ca="1">IF(BY368=1,IF(INDEX(分析データ!$A:$A,ROW()+$C$5)&lt;&gt;"",40000*SIGN(BX368)*(分析データ!G368-INDEX(分析データ!G:G,ROW()+$C$5)),""),"")</f>
        <v/>
      </c>
      <c r="CA368">
        <f t="shared" ca="1" si="161"/>
        <v>3095574.2871093722</v>
      </c>
      <c r="CB368">
        <f t="shared" ca="1" si="162"/>
        <v>3095574.2871093722</v>
      </c>
      <c r="CC368">
        <f t="shared" ca="1" si="163"/>
        <v>0</v>
      </c>
      <c r="CD368">
        <f t="shared" ca="1" si="164"/>
        <v>0</v>
      </c>
      <c r="CE368">
        <f t="shared" ca="1" si="165"/>
        <v>3958774.2871093769</v>
      </c>
      <c r="CF368">
        <f t="shared" ca="1" si="166"/>
        <v>3958774.2871093769</v>
      </c>
      <c r="CG368">
        <f t="shared" ca="1" si="167"/>
        <v>0</v>
      </c>
      <c r="CH368" s="10">
        <f>分析データ!A368</f>
        <v>45461</v>
      </c>
    </row>
    <row r="369" spans="46:86">
      <c r="AT369">
        <f ca="1">IF(ROW()&lt;($C$7+1),"",IFERROR((分析データ!B369-AVERAGE(OFFSET(分析データ!B$1,MAX(1,ROW()-$C$7),0,MIN($C$7,ROW()-1),1)))/STDEV(OFFSET(分析データ!B$1,MAX(1,ROW()-$C$7),0,MIN($C$7,ROW()-1),1)),0))</f>
        <v>0.11029045452601194</v>
      </c>
      <c r="AU369">
        <f t="shared" ca="1" si="140"/>
        <v>0</v>
      </c>
      <c r="AV369" t="str">
        <f ca="1">IF(AU369=1,IF(INDEX(分析データ!$A:$A,ROW()+$C$5)&lt;&gt;"",80000*SIGN(AT369)*(分析データ!B369-INDEX(分析データ!B:B,ROW()+$C$5)),""),"")</f>
        <v/>
      </c>
      <c r="AW369">
        <f t="shared" ca="1" si="141"/>
        <v>0</v>
      </c>
      <c r="AX369">
        <f t="shared" ca="1" si="142"/>
        <v>0</v>
      </c>
      <c r="AY369">
        <f t="shared" ca="1" si="143"/>
        <v>0</v>
      </c>
      <c r="AZ369">
        <f ca="1">IF(ROW()&lt;($C$7+1),"",IFERROR((分析データ!C369-AVERAGE(OFFSET(分析データ!C$1,MAX(1,ROW()-$C$7),0,MIN($C$7,ROW()-1),1)))/STDEV(OFFSET(分析データ!C$1,MAX(1,ROW()-$C$7),0,MIN($C$7,ROW()-1),1)),0))</f>
        <v>-0.67086689858860815</v>
      </c>
      <c r="BA369">
        <f t="shared" ca="1" si="144"/>
        <v>0</v>
      </c>
      <c r="BB369" t="str">
        <f ca="1">IF(BA369=1,IF(INDEX(分析データ!$A:$A,ROW()+$C$5)&lt;&gt;"",60000*SIGN(AZ369)*(分析データ!C369-INDEX(分析データ!C:C,ROW()+$C$5)),""),"")</f>
        <v/>
      </c>
      <c r="BC369">
        <f t="shared" ca="1" si="145"/>
        <v>0</v>
      </c>
      <c r="BD369">
        <f t="shared" ca="1" si="146"/>
        <v>0</v>
      </c>
      <c r="BE369">
        <f t="shared" ca="1" si="147"/>
        <v>0</v>
      </c>
      <c r="BF369">
        <f ca="1">IF(ROW()&lt;($C$7+1),"",IFERROR((分析データ!D369-AVERAGE(OFFSET(分析データ!D$1,MAX(1,ROW()-$C$7),0,MIN($C$7,ROW()-1),1)))/STDEV(OFFSET(分析データ!D$1,MAX(1,ROW()-$C$7),0,MIN($C$7,ROW()-1),1)),0))</f>
        <v>-1.3393076736155325</v>
      </c>
      <c r="BG369">
        <f t="shared" ca="1" si="148"/>
        <v>0</v>
      </c>
      <c r="BH369" t="str">
        <f ca="1">IF(BG369=1,IF(INDEX(分析データ!$A:$A,ROW()+$C$5)&lt;&gt;"",50000*SIGN(BF369)*(分析データ!D369-INDEX(分析データ!D:D,ROW()+$C$5)),""),"")</f>
        <v/>
      </c>
      <c r="BI369">
        <f t="shared" ca="1" si="149"/>
        <v>0</v>
      </c>
      <c r="BJ369">
        <f t="shared" ca="1" si="150"/>
        <v>0</v>
      </c>
      <c r="BK369">
        <f t="shared" ca="1" si="151"/>
        <v>0</v>
      </c>
      <c r="BL369">
        <f ca="1">IF(ROW()&lt;($C$7+1),"",IFERROR((分析データ!E369-AVERAGE(OFFSET(分析データ!E$1,MAX(1,ROW()-$C$7),0,MIN($C$7,ROW()-1),1)))/STDEV(OFFSET(分析データ!E$1,MAX(1,ROW()-$C$7),0,MIN($C$7,ROW()-1),1)),0))</f>
        <v>0.30808065287648084</v>
      </c>
      <c r="BM369">
        <f t="shared" ca="1" si="152"/>
        <v>0</v>
      </c>
      <c r="BN369" t="str">
        <f ca="1">IF(BM369=1,IF(INDEX(分析データ!$A:$A,ROW()+$C$5)&lt;&gt;"",40000*SIGN(BL369)*(分析データ!E369-INDEX(分析データ!E:E,ROW()+$C$5)),""),"")</f>
        <v/>
      </c>
      <c r="BO369">
        <f t="shared" ca="1" si="153"/>
        <v>280000.00000000291</v>
      </c>
      <c r="BP369">
        <f t="shared" ca="1" si="154"/>
        <v>280000.00000000291</v>
      </c>
      <c r="BQ369">
        <f t="shared" ca="1" si="155"/>
        <v>0</v>
      </c>
      <c r="BR369">
        <f ca="1">IF(ROW()&lt;($C$7+1),"",IFERROR((分析データ!F369-AVERAGE(OFFSET(分析データ!F$1,MAX(1,ROW()-$C$7),0,MIN($C$7,ROW()-1),1)))/STDEV(OFFSET(分析データ!F$1,MAX(1,ROW()-$C$7),0,MIN($C$7,ROW()-1),1)),0))</f>
        <v>-0.17289836967605515</v>
      </c>
      <c r="BS369">
        <f t="shared" ca="1" si="156"/>
        <v>0</v>
      </c>
      <c r="BT369" t="str">
        <f ca="1">IF(BS369=1,IF(INDEX(分析データ!$A:$A,ROW()+$C$5)&lt;&gt;"",40000*SIGN(BR369)*(分析データ!F369-INDEX(分析データ!F:F,ROW()+$C$5)),""),"")</f>
        <v/>
      </c>
      <c r="BU369">
        <f t="shared" ca="1" si="157"/>
        <v>583200.00000000163</v>
      </c>
      <c r="BV369">
        <f t="shared" ca="1" si="158"/>
        <v>583200.00000000163</v>
      </c>
      <c r="BW369">
        <f t="shared" ca="1" si="159"/>
        <v>0</v>
      </c>
      <c r="BX369">
        <f ca="1">IF(ROW()&lt;($C$7+1),"",IFERROR((分析データ!G369-AVERAGE(OFFSET(分析データ!G$1,MAX(1,ROW()-$C$7),0,MIN($C$7,ROW()-1),1)))/STDEV(OFFSET(分析データ!G$1,MAX(1,ROW()-$C$7),0,MIN($C$7,ROW()-1),1)),0))</f>
        <v>1.0331379927974622</v>
      </c>
      <c r="BY369">
        <f t="shared" ca="1" si="160"/>
        <v>0</v>
      </c>
      <c r="BZ369" t="str">
        <f ca="1">IF(BY369=1,IF(INDEX(分析データ!$A:$A,ROW()+$C$5)&lt;&gt;"",40000*SIGN(BX369)*(分析データ!G369-INDEX(分析データ!G:G,ROW()+$C$5)),""),"")</f>
        <v/>
      </c>
      <c r="CA369">
        <f t="shared" ca="1" si="161"/>
        <v>3095574.2871093722</v>
      </c>
      <c r="CB369">
        <f t="shared" ca="1" si="162"/>
        <v>3095574.2871093722</v>
      </c>
      <c r="CC369">
        <f t="shared" ca="1" si="163"/>
        <v>0</v>
      </c>
      <c r="CD369">
        <f t="shared" ca="1" si="164"/>
        <v>0</v>
      </c>
      <c r="CE369">
        <f t="shared" ca="1" si="165"/>
        <v>3958774.2871093769</v>
      </c>
      <c r="CF369">
        <f t="shared" ca="1" si="166"/>
        <v>3958774.2871093769</v>
      </c>
      <c r="CG369">
        <f t="shared" ca="1" si="167"/>
        <v>0</v>
      </c>
      <c r="CH369" s="10">
        <f>分析データ!A369</f>
        <v>45463</v>
      </c>
    </row>
    <row r="370" spans="46:86">
      <c r="AT370">
        <f ca="1">IF(ROW()&lt;($C$7+1),"",IFERROR((分析データ!B370-AVERAGE(OFFSET(分析データ!B$1,MAX(1,ROW()-$C$7),0,MIN($C$7,ROW()-1),1)))/STDEV(OFFSET(分析データ!B$1,MAX(1,ROW()-$C$7),0,MIN($C$7,ROW()-1),1)),0))</f>
        <v>0.10228129035594084</v>
      </c>
      <c r="AU370">
        <f t="shared" ca="1" si="140"/>
        <v>0</v>
      </c>
      <c r="AV370" t="str">
        <f ca="1">IF(AU370=1,IF(INDEX(分析データ!$A:$A,ROW()+$C$5)&lt;&gt;"",80000*SIGN(AT370)*(分析データ!B370-INDEX(分析データ!B:B,ROW()+$C$5)),""),"")</f>
        <v/>
      </c>
      <c r="AW370">
        <f t="shared" ca="1" si="141"/>
        <v>0</v>
      </c>
      <c r="AX370">
        <f t="shared" ca="1" si="142"/>
        <v>0</v>
      </c>
      <c r="AY370">
        <f t="shared" ca="1" si="143"/>
        <v>0</v>
      </c>
      <c r="AZ370">
        <f ca="1">IF(ROW()&lt;($C$7+1),"",IFERROR((分析データ!C370-AVERAGE(OFFSET(分析データ!C$1,MAX(1,ROW()-$C$7),0,MIN($C$7,ROW()-1),1)))/STDEV(OFFSET(分析データ!C$1,MAX(1,ROW()-$C$7),0,MIN($C$7,ROW()-1),1)),0))</f>
        <v>-0.54166277397363027</v>
      </c>
      <c r="BA370">
        <f t="shared" ca="1" si="144"/>
        <v>0</v>
      </c>
      <c r="BB370" t="str">
        <f ca="1">IF(BA370=1,IF(INDEX(分析データ!$A:$A,ROW()+$C$5)&lt;&gt;"",60000*SIGN(AZ370)*(分析データ!C370-INDEX(分析データ!C:C,ROW()+$C$5)),""),"")</f>
        <v/>
      </c>
      <c r="BC370">
        <f t="shared" ca="1" si="145"/>
        <v>0</v>
      </c>
      <c r="BD370">
        <f t="shared" ca="1" si="146"/>
        <v>0</v>
      </c>
      <c r="BE370">
        <f t="shared" ca="1" si="147"/>
        <v>0</v>
      </c>
      <c r="BF370">
        <f ca="1">IF(ROW()&lt;($C$7+1),"",IFERROR((分析データ!D370-AVERAGE(OFFSET(分析データ!D$1,MAX(1,ROW()-$C$7),0,MIN($C$7,ROW()-1),1)))/STDEV(OFFSET(分析データ!D$1,MAX(1,ROW()-$C$7),0,MIN($C$7,ROW()-1),1)),0))</f>
        <v>-1.4655395855657984</v>
      </c>
      <c r="BG370">
        <f t="shared" ca="1" si="148"/>
        <v>0</v>
      </c>
      <c r="BH370" t="str">
        <f ca="1">IF(BG370=1,IF(INDEX(分析データ!$A:$A,ROW()+$C$5)&lt;&gt;"",50000*SIGN(BF370)*(分析データ!D370-INDEX(分析データ!D:D,ROW()+$C$5)),""),"")</f>
        <v/>
      </c>
      <c r="BI370">
        <f t="shared" ca="1" si="149"/>
        <v>0</v>
      </c>
      <c r="BJ370">
        <f t="shared" ca="1" si="150"/>
        <v>0</v>
      </c>
      <c r="BK370">
        <f t="shared" ca="1" si="151"/>
        <v>0</v>
      </c>
      <c r="BL370">
        <f ca="1">IF(ROW()&lt;($C$7+1),"",IFERROR((分析データ!E370-AVERAGE(OFFSET(分析データ!E$1,MAX(1,ROW()-$C$7),0,MIN($C$7,ROW()-1),1)))/STDEV(OFFSET(分析データ!E$1,MAX(1,ROW()-$C$7),0,MIN($C$7,ROW()-1),1)),0))</f>
        <v>0.30156569261185978</v>
      </c>
      <c r="BM370">
        <f t="shared" ca="1" si="152"/>
        <v>0</v>
      </c>
      <c r="BN370" t="str">
        <f ca="1">IF(BM370=1,IF(INDEX(分析データ!$A:$A,ROW()+$C$5)&lt;&gt;"",40000*SIGN(BL370)*(分析データ!E370-INDEX(分析データ!E:E,ROW()+$C$5)),""),"")</f>
        <v/>
      </c>
      <c r="BO370">
        <f t="shared" ca="1" si="153"/>
        <v>280000.00000000291</v>
      </c>
      <c r="BP370">
        <f t="shared" ca="1" si="154"/>
        <v>280000.00000000291</v>
      </c>
      <c r="BQ370">
        <f t="shared" ca="1" si="155"/>
        <v>0</v>
      </c>
      <c r="BR370">
        <f ca="1">IF(ROW()&lt;($C$7+1),"",IFERROR((分析データ!F370-AVERAGE(OFFSET(分析データ!F$1,MAX(1,ROW()-$C$7),0,MIN($C$7,ROW()-1),1)))/STDEV(OFFSET(分析データ!F$1,MAX(1,ROW()-$C$7),0,MIN($C$7,ROW()-1),1)),0))</f>
        <v>-4.2124294979066224E-2</v>
      </c>
      <c r="BS370">
        <f t="shared" ca="1" si="156"/>
        <v>0</v>
      </c>
      <c r="BT370" t="str">
        <f ca="1">IF(BS370=1,IF(INDEX(分析データ!$A:$A,ROW()+$C$5)&lt;&gt;"",40000*SIGN(BR370)*(分析データ!F370-INDEX(分析データ!F:F,ROW()+$C$5)),""),"")</f>
        <v/>
      </c>
      <c r="BU370">
        <f t="shared" ca="1" si="157"/>
        <v>583200.00000000163</v>
      </c>
      <c r="BV370">
        <f t="shared" ca="1" si="158"/>
        <v>583200.00000000163</v>
      </c>
      <c r="BW370">
        <f t="shared" ca="1" si="159"/>
        <v>0</v>
      </c>
      <c r="BX370">
        <f ca="1">IF(ROW()&lt;($C$7+1),"",IFERROR((分析データ!G370-AVERAGE(OFFSET(分析データ!G$1,MAX(1,ROW()-$C$7),0,MIN($C$7,ROW()-1),1)))/STDEV(OFFSET(分析データ!G$1,MAX(1,ROW()-$C$7),0,MIN($C$7,ROW()-1),1)),0))</f>
        <v>0.90229408611988127</v>
      </c>
      <c r="BY370">
        <f t="shared" ca="1" si="160"/>
        <v>0</v>
      </c>
      <c r="BZ370" t="str">
        <f ca="1">IF(BY370=1,IF(INDEX(分析データ!$A:$A,ROW()+$C$5)&lt;&gt;"",40000*SIGN(BX370)*(分析データ!G370-INDEX(分析データ!G:G,ROW()+$C$5)),""),"")</f>
        <v/>
      </c>
      <c r="CA370">
        <f t="shared" ca="1" si="161"/>
        <v>3095574.2871093722</v>
      </c>
      <c r="CB370">
        <f t="shared" ca="1" si="162"/>
        <v>3095574.2871093722</v>
      </c>
      <c r="CC370">
        <f t="shared" ca="1" si="163"/>
        <v>0</v>
      </c>
      <c r="CD370">
        <f t="shared" ca="1" si="164"/>
        <v>0</v>
      </c>
      <c r="CE370">
        <f t="shared" ca="1" si="165"/>
        <v>3958774.2871093769</v>
      </c>
      <c r="CF370">
        <f t="shared" ca="1" si="166"/>
        <v>3958774.2871093769</v>
      </c>
      <c r="CG370">
        <f t="shared" ca="1" si="167"/>
        <v>0</v>
      </c>
      <c r="CH370" s="10">
        <f>分析データ!A370</f>
        <v>45464</v>
      </c>
    </row>
    <row r="371" spans="46:86">
      <c r="AT371">
        <f ca="1">IF(ROW()&lt;($C$7+1),"",IFERROR((分析データ!B371-AVERAGE(OFFSET(分析データ!B$1,MAX(1,ROW()-$C$7),0,MIN($C$7,ROW()-1),1)))/STDEV(OFFSET(分析データ!B$1,MAX(1,ROW()-$C$7),0,MIN($C$7,ROW()-1),1)),0))</f>
        <v>9.3811161532446855E-2</v>
      </c>
      <c r="AU371">
        <f t="shared" ca="1" si="140"/>
        <v>0</v>
      </c>
      <c r="AV371" t="str">
        <f ca="1">IF(AU371=1,IF(INDEX(分析データ!$A:$A,ROW()+$C$5)&lt;&gt;"",80000*SIGN(AT371)*(分析データ!B371-INDEX(分析データ!B:B,ROW()+$C$5)),""),"")</f>
        <v/>
      </c>
      <c r="AW371">
        <f t="shared" ca="1" si="141"/>
        <v>0</v>
      </c>
      <c r="AX371">
        <f t="shared" ca="1" si="142"/>
        <v>0</v>
      </c>
      <c r="AY371">
        <f t="shared" ca="1" si="143"/>
        <v>0</v>
      </c>
      <c r="AZ371">
        <f ca="1">IF(ROW()&lt;($C$7+1),"",IFERROR((分析データ!C371-AVERAGE(OFFSET(分析データ!C$1,MAX(1,ROW()-$C$7),0,MIN($C$7,ROW()-1),1)))/STDEV(OFFSET(分析データ!C$1,MAX(1,ROW()-$C$7),0,MIN($C$7,ROW()-1),1)),0))</f>
        <v>-0.50147560543993586</v>
      </c>
      <c r="BA371">
        <f t="shared" ca="1" si="144"/>
        <v>0</v>
      </c>
      <c r="BB371" t="str">
        <f ca="1">IF(BA371=1,IF(INDEX(分析データ!$A:$A,ROW()+$C$5)&lt;&gt;"",60000*SIGN(AZ371)*(分析データ!C371-INDEX(分析データ!C:C,ROW()+$C$5)),""),"")</f>
        <v/>
      </c>
      <c r="BC371">
        <f t="shared" ca="1" si="145"/>
        <v>0</v>
      </c>
      <c r="BD371">
        <f t="shared" ca="1" si="146"/>
        <v>0</v>
      </c>
      <c r="BE371">
        <f t="shared" ca="1" si="147"/>
        <v>0</v>
      </c>
      <c r="BF371">
        <f ca="1">IF(ROW()&lt;($C$7+1),"",IFERROR((分析データ!D371-AVERAGE(OFFSET(分析データ!D$1,MAX(1,ROW()-$C$7),0,MIN($C$7,ROW()-1),1)))/STDEV(OFFSET(分析データ!D$1,MAX(1,ROW()-$C$7),0,MIN($C$7,ROW()-1),1)),0))</f>
        <v>-1.5156638406197669</v>
      </c>
      <c r="BG371">
        <f t="shared" ca="1" si="148"/>
        <v>0</v>
      </c>
      <c r="BH371" t="str">
        <f ca="1">IF(BG371=1,IF(INDEX(分析データ!$A:$A,ROW()+$C$5)&lt;&gt;"",50000*SIGN(BF371)*(分析データ!D371-INDEX(分析データ!D:D,ROW()+$C$5)),""),"")</f>
        <v/>
      </c>
      <c r="BI371">
        <f t="shared" ca="1" si="149"/>
        <v>0</v>
      </c>
      <c r="BJ371">
        <f t="shared" ca="1" si="150"/>
        <v>0</v>
      </c>
      <c r="BK371">
        <f t="shared" ca="1" si="151"/>
        <v>0</v>
      </c>
      <c r="BL371">
        <f ca="1">IF(ROW()&lt;($C$7+1),"",IFERROR((分析データ!E371-AVERAGE(OFFSET(分析データ!E$1,MAX(1,ROW()-$C$7),0,MIN($C$7,ROW()-1),1)))/STDEV(OFFSET(分析データ!E$1,MAX(1,ROW()-$C$7),0,MIN($C$7,ROW()-1),1)),0))</f>
        <v>0.1919207104466088</v>
      </c>
      <c r="BM371">
        <f t="shared" ca="1" si="152"/>
        <v>0</v>
      </c>
      <c r="BN371" t="str">
        <f ca="1">IF(BM371=1,IF(INDEX(分析データ!$A:$A,ROW()+$C$5)&lt;&gt;"",40000*SIGN(BL371)*(分析データ!E371-INDEX(分析データ!E:E,ROW()+$C$5)),""),"")</f>
        <v/>
      </c>
      <c r="BO371">
        <f t="shared" ca="1" si="153"/>
        <v>280000.00000000291</v>
      </c>
      <c r="BP371">
        <f t="shared" ca="1" si="154"/>
        <v>280000.00000000291</v>
      </c>
      <c r="BQ371">
        <f t="shared" ca="1" si="155"/>
        <v>0</v>
      </c>
      <c r="BR371">
        <f ca="1">IF(ROW()&lt;($C$7+1),"",IFERROR((分析データ!F371-AVERAGE(OFFSET(分析データ!F$1,MAX(1,ROW()-$C$7),0,MIN($C$7,ROW()-1),1)))/STDEV(OFFSET(分析データ!F$1,MAX(1,ROW()-$C$7),0,MIN($C$7,ROW()-1),1)),0))</f>
        <v>-9.230243647557862E-2</v>
      </c>
      <c r="BS371">
        <f t="shared" ca="1" si="156"/>
        <v>0</v>
      </c>
      <c r="BT371" t="str">
        <f ca="1">IF(BS371=1,IF(INDEX(分析データ!$A:$A,ROW()+$C$5)&lt;&gt;"",40000*SIGN(BR371)*(分析データ!F371-INDEX(分析データ!F:F,ROW()+$C$5)),""),"")</f>
        <v/>
      </c>
      <c r="BU371">
        <f t="shared" ca="1" si="157"/>
        <v>583200.00000000163</v>
      </c>
      <c r="BV371">
        <f t="shared" ca="1" si="158"/>
        <v>583200.00000000163</v>
      </c>
      <c r="BW371">
        <f t="shared" ca="1" si="159"/>
        <v>0</v>
      </c>
      <c r="BX371">
        <f ca="1">IF(ROW()&lt;($C$7+1),"",IFERROR((分析データ!G371-AVERAGE(OFFSET(分析データ!G$1,MAX(1,ROW()-$C$7),0,MIN($C$7,ROW()-1),1)))/STDEV(OFFSET(分析データ!G$1,MAX(1,ROW()-$C$7),0,MIN($C$7,ROW()-1),1)),0))</f>
        <v>0.97558853396435574</v>
      </c>
      <c r="BY371">
        <f t="shared" ca="1" si="160"/>
        <v>0</v>
      </c>
      <c r="BZ371" t="str">
        <f ca="1">IF(BY371=1,IF(INDEX(分析データ!$A:$A,ROW()+$C$5)&lt;&gt;"",40000*SIGN(BX371)*(分析データ!G371-INDEX(分析データ!G:G,ROW()+$C$5)),""),"")</f>
        <v/>
      </c>
      <c r="CA371">
        <f t="shared" ca="1" si="161"/>
        <v>3095574.2871093722</v>
      </c>
      <c r="CB371">
        <f t="shared" ca="1" si="162"/>
        <v>3095574.2871093722</v>
      </c>
      <c r="CC371">
        <f t="shared" ca="1" si="163"/>
        <v>0</v>
      </c>
      <c r="CD371">
        <f t="shared" ca="1" si="164"/>
        <v>0</v>
      </c>
      <c r="CE371">
        <f t="shared" ca="1" si="165"/>
        <v>3958774.2871093769</v>
      </c>
      <c r="CF371">
        <f t="shared" ca="1" si="166"/>
        <v>3958774.2871093769</v>
      </c>
      <c r="CG371">
        <f t="shared" ca="1" si="167"/>
        <v>0</v>
      </c>
      <c r="CH371" s="10">
        <f>分析データ!A371</f>
        <v>45467</v>
      </c>
    </row>
    <row r="372" spans="46:86">
      <c r="AT372">
        <f ca="1">IF(ROW()&lt;($C$7+1),"",IFERROR((分析データ!B372-AVERAGE(OFFSET(分析データ!B$1,MAX(1,ROW()-$C$7),0,MIN($C$7,ROW()-1),1)))/STDEV(OFFSET(分析データ!B$1,MAX(1,ROW()-$C$7),0,MIN($C$7,ROW()-1),1)),0))</f>
        <v>0.2957690153507217</v>
      </c>
      <c r="AU372">
        <f t="shared" ca="1" si="140"/>
        <v>0</v>
      </c>
      <c r="AV372" t="str">
        <f ca="1">IF(AU372=1,IF(INDEX(分析データ!$A:$A,ROW()+$C$5)&lt;&gt;"",80000*SIGN(AT372)*(分析データ!B372-INDEX(分析データ!B:B,ROW()+$C$5)),""),"")</f>
        <v/>
      </c>
      <c r="AW372">
        <f t="shared" ca="1" si="141"/>
        <v>0</v>
      </c>
      <c r="AX372">
        <f t="shared" ca="1" si="142"/>
        <v>0</v>
      </c>
      <c r="AY372">
        <f t="shared" ca="1" si="143"/>
        <v>0</v>
      </c>
      <c r="AZ372">
        <f ca="1">IF(ROW()&lt;($C$7+1),"",IFERROR((分析データ!C372-AVERAGE(OFFSET(分析データ!C$1,MAX(1,ROW()-$C$7),0,MIN($C$7,ROW()-1),1)))/STDEV(OFFSET(分析データ!C$1,MAX(1,ROW()-$C$7),0,MIN($C$7,ROW()-1),1)),0))</f>
        <v>-0.40367904404026483</v>
      </c>
      <c r="BA372">
        <f t="shared" ca="1" si="144"/>
        <v>0</v>
      </c>
      <c r="BB372" t="str">
        <f ca="1">IF(BA372=1,IF(INDEX(分析データ!$A:$A,ROW()+$C$5)&lt;&gt;"",60000*SIGN(AZ372)*(分析データ!C372-INDEX(分析データ!C:C,ROW()+$C$5)),""),"")</f>
        <v/>
      </c>
      <c r="BC372">
        <f t="shared" ca="1" si="145"/>
        <v>0</v>
      </c>
      <c r="BD372">
        <f t="shared" ca="1" si="146"/>
        <v>0</v>
      </c>
      <c r="BE372">
        <f t="shared" ca="1" si="147"/>
        <v>0</v>
      </c>
      <c r="BF372">
        <f ca="1">IF(ROW()&lt;($C$7+1),"",IFERROR((分析データ!D372-AVERAGE(OFFSET(分析データ!D$1,MAX(1,ROW()-$C$7),0,MIN($C$7,ROW()-1),1)))/STDEV(OFFSET(分析データ!D$1,MAX(1,ROW()-$C$7),0,MIN($C$7,ROW()-1),1)),0))</f>
        <v>-1.6546795904516265</v>
      </c>
      <c r="BG372">
        <f t="shared" ca="1" si="148"/>
        <v>0</v>
      </c>
      <c r="BH372" t="str">
        <f ca="1">IF(BG372=1,IF(INDEX(分析データ!$A:$A,ROW()+$C$5)&lt;&gt;"",50000*SIGN(BF372)*(分析データ!D372-INDEX(分析データ!D:D,ROW()+$C$5)),""),"")</f>
        <v/>
      </c>
      <c r="BI372">
        <f t="shared" ca="1" si="149"/>
        <v>0</v>
      </c>
      <c r="BJ372">
        <f t="shared" ca="1" si="150"/>
        <v>0</v>
      </c>
      <c r="BK372">
        <f t="shared" ca="1" si="151"/>
        <v>0</v>
      </c>
      <c r="BL372">
        <f ca="1">IF(ROW()&lt;($C$7+1),"",IFERROR((分析データ!E372-AVERAGE(OFFSET(分析データ!E$1,MAX(1,ROW()-$C$7),0,MIN($C$7,ROW()-1),1)))/STDEV(OFFSET(分析データ!E$1,MAX(1,ROW()-$C$7),0,MIN($C$7,ROW()-1),1)),0))</f>
        <v>0.18474807809862501</v>
      </c>
      <c r="BM372">
        <f t="shared" ca="1" si="152"/>
        <v>0</v>
      </c>
      <c r="BN372" t="str">
        <f ca="1">IF(BM372=1,IF(INDEX(分析データ!$A:$A,ROW()+$C$5)&lt;&gt;"",40000*SIGN(BL372)*(分析データ!E372-INDEX(分析データ!E:E,ROW()+$C$5)),""),"")</f>
        <v/>
      </c>
      <c r="BO372">
        <f t="shared" ca="1" si="153"/>
        <v>280000.00000000291</v>
      </c>
      <c r="BP372">
        <f t="shared" ca="1" si="154"/>
        <v>280000.00000000291</v>
      </c>
      <c r="BQ372">
        <f t="shared" ca="1" si="155"/>
        <v>0</v>
      </c>
      <c r="BR372">
        <f ca="1">IF(ROW()&lt;($C$7+1),"",IFERROR((分析データ!F372-AVERAGE(OFFSET(分析データ!F$1,MAX(1,ROW()-$C$7),0,MIN($C$7,ROW()-1),1)))/STDEV(OFFSET(分析データ!F$1,MAX(1,ROW()-$C$7),0,MIN($C$7,ROW()-1),1)),0))</f>
        <v>-1.3095158313652206E-2</v>
      </c>
      <c r="BS372">
        <f t="shared" ca="1" si="156"/>
        <v>0</v>
      </c>
      <c r="BT372" t="str">
        <f ca="1">IF(BS372=1,IF(INDEX(分析データ!$A:$A,ROW()+$C$5)&lt;&gt;"",40000*SIGN(BR372)*(分析データ!F372-INDEX(分析データ!F:F,ROW()+$C$5)),""),"")</f>
        <v/>
      </c>
      <c r="BU372">
        <f t="shared" ca="1" si="157"/>
        <v>583200.00000000163</v>
      </c>
      <c r="BV372">
        <f t="shared" ca="1" si="158"/>
        <v>583200.00000000163</v>
      </c>
      <c r="BW372">
        <f t="shared" ca="1" si="159"/>
        <v>0</v>
      </c>
      <c r="BX372">
        <f ca="1">IF(ROW()&lt;($C$7+1),"",IFERROR((分析データ!G372-AVERAGE(OFFSET(分析データ!G$1,MAX(1,ROW()-$C$7),0,MIN($C$7,ROW()-1),1)))/STDEV(OFFSET(分析データ!G$1,MAX(1,ROW()-$C$7),0,MIN($C$7,ROW()-1),1)),0))</f>
        <v>1.032371952490319</v>
      </c>
      <c r="BY372">
        <f t="shared" ca="1" si="160"/>
        <v>0</v>
      </c>
      <c r="BZ372" t="str">
        <f ca="1">IF(BY372=1,IF(INDEX(分析データ!$A:$A,ROW()+$C$5)&lt;&gt;"",40000*SIGN(BX372)*(分析データ!G372-INDEX(分析データ!G:G,ROW()+$C$5)),""),"")</f>
        <v/>
      </c>
      <c r="CA372">
        <f t="shared" ca="1" si="161"/>
        <v>3095574.2871093722</v>
      </c>
      <c r="CB372">
        <f t="shared" ca="1" si="162"/>
        <v>3095574.2871093722</v>
      </c>
      <c r="CC372">
        <f t="shared" ca="1" si="163"/>
        <v>0</v>
      </c>
      <c r="CD372">
        <f t="shared" ca="1" si="164"/>
        <v>0</v>
      </c>
      <c r="CE372">
        <f t="shared" ca="1" si="165"/>
        <v>3958774.2871093769</v>
      </c>
      <c r="CF372">
        <f t="shared" ca="1" si="166"/>
        <v>3958774.2871093769</v>
      </c>
      <c r="CG372">
        <f t="shared" ca="1" si="167"/>
        <v>0</v>
      </c>
      <c r="CH372" s="10">
        <f>分析データ!A372</f>
        <v>45468</v>
      </c>
    </row>
    <row r="373" spans="46:86">
      <c r="AT373">
        <f ca="1">IF(ROW()&lt;($C$7+1),"",IFERROR((分析データ!B373-AVERAGE(OFFSET(分析データ!B$1,MAX(1,ROW()-$C$7),0,MIN($C$7,ROW()-1),1)))/STDEV(OFFSET(分析データ!B$1,MAX(1,ROW()-$C$7),0,MIN($C$7,ROW()-1),1)),0))</f>
        <v>0.4480203594113828</v>
      </c>
      <c r="AU373">
        <f t="shared" ca="1" si="140"/>
        <v>0</v>
      </c>
      <c r="AV373" t="str">
        <f ca="1">IF(AU373=1,IF(INDEX(分析データ!$A:$A,ROW()+$C$5)&lt;&gt;"",80000*SIGN(AT373)*(分析データ!B373-INDEX(分析データ!B:B,ROW()+$C$5)),""),"")</f>
        <v/>
      </c>
      <c r="AW373">
        <f t="shared" ca="1" si="141"/>
        <v>0</v>
      </c>
      <c r="AX373">
        <f t="shared" ca="1" si="142"/>
        <v>0</v>
      </c>
      <c r="AY373">
        <f t="shared" ca="1" si="143"/>
        <v>0</v>
      </c>
      <c r="AZ373">
        <f ca="1">IF(ROW()&lt;($C$7+1),"",IFERROR((分析データ!C373-AVERAGE(OFFSET(分析データ!C$1,MAX(1,ROW()-$C$7),0,MIN($C$7,ROW()-1),1)))/STDEV(OFFSET(分析データ!C$1,MAX(1,ROW()-$C$7),0,MIN($C$7,ROW()-1),1)),0))</f>
        <v>-0.32582050721021755</v>
      </c>
      <c r="BA373">
        <f t="shared" ca="1" si="144"/>
        <v>0</v>
      </c>
      <c r="BB373" t="str">
        <f ca="1">IF(BA373=1,IF(INDEX(分析データ!$A:$A,ROW()+$C$5)&lt;&gt;"",60000*SIGN(AZ373)*(分析データ!C373-INDEX(分析データ!C:C,ROW()+$C$5)),""),"")</f>
        <v/>
      </c>
      <c r="BC373">
        <f t="shared" ca="1" si="145"/>
        <v>0</v>
      </c>
      <c r="BD373">
        <f t="shared" ca="1" si="146"/>
        <v>0</v>
      </c>
      <c r="BE373">
        <f t="shared" ca="1" si="147"/>
        <v>0</v>
      </c>
      <c r="BF373">
        <f ca="1">IF(ROW()&lt;($C$7+1),"",IFERROR((分析データ!D373-AVERAGE(OFFSET(分析データ!D$1,MAX(1,ROW()-$C$7),0,MIN($C$7,ROW()-1),1)))/STDEV(OFFSET(分析データ!D$1,MAX(1,ROW()-$C$7),0,MIN($C$7,ROW()-1),1)),0))</f>
        <v>-1.321500944528136</v>
      </c>
      <c r="BG373">
        <f t="shared" ca="1" si="148"/>
        <v>0</v>
      </c>
      <c r="BH373" t="str">
        <f ca="1">IF(BG373=1,IF(INDEX(分析データ!$A:$A,ROW()+$C$5)&lt;&gt;"",50000*SIGN(BF373)*(分析データ!D373-INDEX(分析データ!D:D,ROW()+$C$5)),""),"")</f>
        <v/>
      </c>
      <c r="BI373">
        <f t="shared" ca="1" si="149"/>
        <v>0</v>
      </c>
      <c r="BJ373">
        <f t="shared" ca="1" si="150"/>
        <v>0</v>
      </c>
      <c r="BK373">
        <f t="shared" ca="1" si="151"/>
        <v>0</v>
      </c>
      <c r="BL373">
        <f ca="1">IF(ROW()&lt;($C$7+1),"",IFERROR((分析データ!E373-AVERAGE(OFFSET(分析データ!E$1,MAX(1,ROW()-$C$7),0,MIN($C$7,ROW()-1),1)))/STDEV(OFFSET(分析データ!E$1,MAX(1,ROW()-$C$7),0,MIN($C$7,ROW()-1),1)),0))</f>
        <v>0.38640337164428235</v>
      </c>
      <c r="BM373">
        <f t="shared" ca="1" si="152"/>
        <v>0</v>
      </c>
      <c r="BN373" t="str">
        <f ca="1">IF(BM373=1,IF(INDEX(分析データ!$A:$A,ROW()+$C$5)&lt;&gt;"",40000*SIGN(BL373)*(分析データ!E373-INDEX(分析データ!E:E,ROW()+$C$5)),""),"")</f>
        <v/>
      </c>
      <c r="BO373">
        <f t="shared" ca="1" si="153"/>
        <v>280000.00000000291</v>
      </c>
      <c r="BP373">
        <f t="shared" ca="1" si="154"/>
        <v>280000.00000000291</v>
      </c>
      <c r="BQ373">
        <f t="shared" ca="1" si="155"/>
        <v>0</v>
      </c>
      <c r="BR373">
        <f ca="1">IF(ROW()&lt;($C$7+1),"",IFERROR((分析データ!F373-AVERAGE(OFFSET(分析データ!F$1,MAX(1,ROW()-$C$7),0,MIN($C$7,ROW()-1),1)))/STDEV(OFFSET(分析データ!F$1,MAX(1,ROW()-$C$7),0,MIN($C$7,ROW()-1),1)),0))</f>
        <v>-0.257625945583841</v>
      </c>
      <c r="BS373">
        <f t="shared" ca="1" si="156"/>
        <v>0</v>
      </c>
      <c r="BT373" t="str">
        <f ca="1">IF(BS373=1,IF(INDEX(分析データ!$A:$A,ROW()+$C$5)&lt;&gt;"",40000*SIGN(BR373)*(分析データ!F373-INDEX(分析データ!F:F,ROW()+$C$5)),""),"")</f>
        <v/>
      </c>
      <c r="BU373">
        <f t="shared" ca="1" si="157"/>
        <v>583200.00000000163</v>
      </c>
      <c r="BV373">
        <f t="shared" ca="1" si="158"/>
        <v>583200.00000000163</v>
      </c>
      <c r="BW373">
        <f t="shared" ca="1" si="159"/>
        <v>0</v>
      </c>
      <c r="BX373">
        <f ca="1">IF(ROW()&lt;($C$7+1),"",IFERROR((分析データ!G373-AVERAGE(OFFSET(分析データ!G$1,MAX(1,ROW()-$C$7),0,MIN($C$7,ROW()-1),1)))/STDEV(OFFSET(分析データ!G$1,MAX(1,ROW()-$C$7),0,MIN($C$7,ROW()-1),1)),0))</f>
        <v>1.0647653474466603</v>
      </c>
      <c r="BY373">
        <f t="shared" ca="1" si="160"/>
        <v>0</v>
      </c>
      <c r="BZ373" t="str">
        <f ca="1">IF(BY373=1,IF(INDEX(分析データ!$A:$A,ROW()+$C$5)&lt;&gt;"",40000*SIGN(BX373)*(分析データ!G373-INDEX(分析データ!G:G,ROW()+$C$5)),""),"")</f>
        <v/>
      </c>
      <c r="CA373">
        <f t="shared" ca="1" si="161"/>
        <v>3095574.2871093722</v>
      </c>
      <c r="CB373">
        <f t="shared" ca="1" si="162"/>
        <v>3095574.2871093722</v>
      </c>
      <c r="CC373">
        <f t="shared" ca="1" si="163"/>
        <v>0</v>
      </c>
      <c r="CD373">
        <f t="shared" ca="1" si="164"/>
        <v>0</v>
      </c>
      <c r="CE373">
        <f t="shared" ca="1" si="165"/>
        <v>3958774.2871093769</v>
      </c>
      <c r="CF373">
        <f t="shared" ca="1" si="166"/>
        <v>3958774.2871093769</v>
      </c>
      <c r="CG373">
        <f t="shared" ca="1" si="167"/>
        <v>0</v>
      </c>
      <c r="CH373" s="10">
        <f>分析データ!A373</f>
        <v>45469</v>
      </c>
    </row>
    <row r="374" spans="46:86">
      <c r="AT374">
        <f ca="1">IF(ROW()&lt;($C$7+1),"",IFERROR((分析データ!B374-AVERAGE(OFFSET(分析データ!B$1,MAX(1,ROW()-$C$7),0,MIN($C$7,ROW()-1),1)))/STDEV(OFFSET(分析データ!B$1,MAX(1,ROW()-$C$7),0,MIN($C$7,ROW()-1),1)),0))</f>
        <v>0.28035405560552962</v>
      </c>
      <c r="AU374">
        <f t="shared" ca="1" si="140"/>
        <v>0</v>
      </c>
      <c r="AV374" t="str">
        <f ca="1">IF(AU374=1,IF(INDEX(分析データ!$A:$A,ROW()+$C$5)&lt;&gt;"",80000*SIGN(AT374)*(分析データ!B374-INDEX(分析データ!B:B,ROW()+$C$5)),""),"")</f>
        <v/>
      </c>
      <c r="AW374">
        <f t="shared" ca="1" si="141"/>
        <v>0</v>
      </c>
      <c r="AX374">
        <f t="shared" ca="1" si="142"/>
        <v>0</v>
      </c>
      <c r="AY374">
        <f t="shared" ca="1" si="143"/>
        <v>0</v>
      </c>
      <c r="AZ374">
        <f ca="1">IF(ROW()&lt;($C$7+1),"",IFERROR((分析データ!C374-AVERAGE(OFFSET(分析データ!C$1,MAX(1,ROW()-$C$7),0,MIN($C$7,ROW()-1),1)))/STDEV(OFFSET(分析データ!C$1,MAX(1,ROW()-$C$7),0,MIN($C$7,ROW()-1),1)),0))</f>
        <v>-0.29654859305620379</v>
      </c>
      <c r="BA374">
        <f t="shared" ca="1" si="144"/>
        <v>0</v>
      </c>
      <c r="BB374" t="str">
        <f ca="1">IF(BA374=1,IF(INDEX(分析データ!$A:$A,ROW()+$C$5)&lt;&gt;"",60000*SIGN(AZ374)*(分析データ!C374-INDEX(分析データ!C:C,ROW()+$C$5)),""),"")</f>
        <v/>
      </c>
      <c r="BC374">
        <f t="shared" ca="1" si="145"/>
        <v>0</v>
      </c>
      <c r="BD374">
        <f t="shared" ca="1" si="146"/>
        <v>0</v>
      </c>
      <c r="BE374">
        <f t="shared" ca="1" si="147"/>
        <v>0</v>
      </c>
      <c r="BF374">
        <f ca="1">IF(ROW()&lt;($C$7+1),"",IFERROR((分析データ!D374-AVERAGE(OFFSET(分析データ!D$1,MAX(1,ROW()-$C$7),0,MIN($C$7,ROW()-1),1)))/STDEV(OFFSET(分析データ!D$1,MAX(1,ROW()-$C$7),0,MIN($C$7,ROW()-1),1)),0))</f>
        <v>-1.70085479046161</v>
      </c>
      <c r="BG374">
        <f t="shared" ca="1" si="148"/>
        <v>0</v>
      </c>
      <c r="BH374" t="str">
        <f ca="1">IF(BG374=1,IF(INDEX(分析データ!$A:$A,ROW()+$C$5)&lt;&gt;"",50000*SIGN(BF374)*(分析データ!D374-INDEX(分析データ!D:D,ROW()+$C$5)),""),"")</f>
        <v/>
      </c>
      <c r="BI374">
        <f t="shared" ca="1" si="149"/>
        <v>0</v>
      </c>
      <c r="BJ374">
        <f t="shared" ca="1" si="150"/>
        <v>0</v>
      </c>
      <c r="BK374">
        <f t="shared" ca="1" si="151"/>
        <v>0</v>
      </c>
      <c r="BL374">
        <f ca="1">IF(ROW()&lt;($C$7+1),"",IFERROR((分析データ!E374-AVERAGE(OFFSET(分析データ!E$1,MAX(1,ROW()-$C$7),0,MIN($C$7,ROW()-1),1)))/STDEV(OFFSET(分析データ!E$1,MAX(1,ROW()-$C$7),0,MIN($C$7,ROW()-1),1)),0))</f>
        <v>0.3797655987457238</v>
      </c>
      <c r="BM374">
        <f t="shared" ca="1" si="152"/>
        <v>0</v>
      </c>
      <c r="BN374" t="str">
        <f ca="1">IF(BM374=1,IF(INDEX(分析データ!$A:$A,ROW()+$C$5)&lt;&gt;"",40000*SIGN(BL374)*(分析データ!E374-INDEX(分析データ!E:E,ROW()+$C$5)),""),"")</f>
        <v/>
      </c>
      <c r="BO374">
        <f t="shared" ca="1" si="153"/>
        <v>280000.00000000291</v>
      </c>
      <c r="BP374">
        <f t="shared" ca="1" si="154"/>
        <v>280000.00000000291</v>
      </c>
      <c r="BQ374">
        <f t="shared" ca="1" si="155"/>
        <v>0</v>
      </c>
      <c r="BR374">
        <f ca="1">IF(ROW()&lt;($C$7+1),"",IFERROR((分析データ!F374-AVERAGE(OFFSET(分析データ!F$1,MAX(1,ROW()-$C$7),0,MIN($C$7,ROW()-1),1)))/STDEV(OFFSET(分析データ!F$1,MAX(1,ROW()-$C$7),0,MIN($C$7,ROW()-1),1)),0))</f>
        <v>-8.4600571017434345E-2</v>
      </c>
      <c r="BS374">
        <f t="shared" ca="1" si="156"/>
        <v>0</v>
      </c>
      <c r="BT374" t="str">
        <f ca="1">IF(BS374=1,IF(INDEX(分析データ!$A:$A,ROW()+$C$5)&lt;&gt;"",40000*SIGN(BR374)*(分析データ!F374-INDEX(分析データ!F:F,ROW()+$C$5)),""),"")</f>
        <v/>
      </c>
      <c r="BU374">
        <f t="shared" ca="1" si="157"/>
        <v>583200.00000000163</v>
      </c>
      <c r="BV374">
        <f t="shared" ca="1" si="158"/>
        <v>583200.00000000163</v>
      </c>
      <c r="BW374">
        <f t="shared" ca="1" si="159"/>
        <v>0</v>
      </c>
      <c r="BX374">
        <f ca="1">IF(ROW()&lt;($C$7+1),"",IFERROR((分析データ!G374-AVERAGE(OFFSET(分析データ!G$1,MAX(1,ROW()-$C$7),0,MIN($C$7,ROW()-1),1)))/STDEV(OFFSET(分析データ!G$1,MAX(1,ROW()-$C$7),0,MIN($C$7,ROW()-1),1)),0))</f>
        <v>1.1801341423526444</v>
      </c>
      <c r="BY374">
        <f t="shared" ca="1" si="160"/>
        <v>0</v>
      </c>
      <c r="BZ374" t="str">
        <f ca="1">IF(BY374=1,IF(INDEX(分析データ!$A:$A,ROW()+$C$5)&lt;&gt;"",40000*SIGN(BX374)*(分析データ!G374-INDEX(分析データ!G:G,ROW()+$C$5)),""),"")</f>
        <v/>
      </c>
      <c r="CA374">
        <f t="shared" ca="1" si="161"/>
        <v>3095574.2871093722</v>
      </c>
      <c r="CB374">
        <f t="shared" ca="1" si="162"/>
        <v>3095574.2871093722</v>
      </c>
      <c r="CC374">
        <f t="shared" ca="1" si="163"/>
        <v>0</v>
      </c>
      <c r="CD374">
        <f t="shared" ca="1" si="164"/>
        <v>0</v>
      </c>
      <c r="CE374">
        <f t="shared" ca="1" si="165"/>
        <v>3958774.2871093769</v>
      </c>
      <c r="CF374">
        <f t="shared" ca="1" si="166"/>
        <v>3958774.2871093769</v>
      </c>
      <c r="CG374">
        <f t="shared" ca="1" si="167"/>
        <v>0</v>
      </c>
      <c r="CH374" s="10">
        <f>分析データ!A374</f>
        <v>45470</v>
      </c>
    </row>
    <row r="375" spans="46:86">
      <c r="AT375">
        <f ca="1">IF(ROW()&lt;($C$7+1),"",IFERROR((分析データ!B375-AVERAGE(OFFSET(分析データ!B$1,MAX(1,ROW()-$C$7),0,MIN($C$7,ROW()-1),1)))/STDEV(OFFSET(分析データ!B$1,MAX(1,ROW()-$C$7),0,MIN($C$7,ROW()-1),1)),0))</f>
        <v>0.54465975373510744</v>
      </c>
      <c r="AU375">
        <f t="shared" ca="1" si="140"/>
        <v>0</v>
      </c>
      <c r="AV375" t="str">
        <f ca="1">IF(AU375=1,IF(INDEX(分析データ!$A:$A,ROW()+$C$5)&lt;&gt;"",80000*SIGN(AT375)*(分析データ!B375-INDEX(分析データ!B:B,ROW()+$C$5)),""),"")</f>
        <v/>
      </c>
      <c r="AW375">
        <f t="shared" ca="1" si="141"/>
        <v>0</v>
      </c>
      <c r="AX375">
        <f t="shared" ca="1" si="142"/>
        <v>0</v>
      </c>
      <c r="AY375">
        <f t="shared" ca="1" si="143"/>
        <v>0</v>
      </c>
      <c r="AZ375">
        <f ca="1">IF(ROW()&lt;($C$7+1),"",IFERROR((分析データ!C375-AVERAGE(OFFSET(分析データ!C$1,MAX(1,ROW()-$C$7),0,MIN($C$7,ROW()-1),1)))/STDEV(OFFSET(分析データ!C$1,MAX(1,ROW()-$C$7),0,MIN($C$7,ROW()-1),1)),0))</f>
        <v>-0.35341196878845699</v>
      </c>
      <c r="BA375">
        <f t="shared" ca="1" si="144"/>
        <v>0</v>
      </c>
      <c r="BB375" t="str">
        <f ca="1">IF(BA375=1,IF(INDEX(分析データ!$A:$A,ROW()+$C$5)&lt;&gt;"",60000*SIGN(AZ375)*(分析データ!C375-INDEX(分析データ!C:C,ROW()+$C$5)),""),"")</f>
        <v/>
      </c>
      <c r="BC375">
        <f t="shared" ca="1" si="145"/>
        <v>0</v>
      </c>
      <c r="BD375">
        <f t="shared" ca="1" si="146"/>
        <v>0</v>
      </c>
      <c r="BE375">
        <f t="shared" ca="1" si="147"/>
        <v>0</v>
      </c>
      <c r="BF375">
        <f ca="1">IF(ROW()&lt;($C$7+1),"",IFERROR((分析データ!D375-AVERAGE(OFFSET(分析データ!D$1,MAX(1,ROW()-$C$7),0,MIN($C$7,ROW()-1),1)))/STDEV(OFFSET(分析データ!D$1,MAX(1,ROW()-$C$7),0,MIN($C$7,ROW()-1),1)),0))</f>
        <v>-1.2011143493230438</v>
      </c>
      <c r="BG375">
        <f t="shared" ca="1" si="148"/>
        <v>0</v>
      </c>
      <c r="BH375" t="str">
        <f ca="1">IF(BG375=1,IF(INDEX(分析データ!$A:$A,ROW()+$C$5)&lt;&gt;"",50000*SIGN(BF375)*(分析データ!D375-INDEX(分析データ!D:D,ROW()+$C$5)),""),"")</f>
        <v/>
      </c>
      <c r="BI375">
        <f t="shared" ca="1" si="149"/>
        <v>0</v>
      </c>
      <c r="BJ375">
        <f t="shared" ca="1" si="150"/>
        <v>0</v>
      </c>
      <c r="BK375">
        <f t="shared" ca="1" si="151"/>
        <v>0</v>
      </c>
      <c r="BL375">
        <f ca="1">IF(ROW()&lt;($C$7+1),"",IFERROR((分析データ!E375-AVERAGE(OFFSET(分析データ!E$1,MAX(1,ROW()-$C$7),0,MIN($C$7,ROW()-1),1)))/STDEV(OFFSET(分析データ!E$1,MAX(1,ROW()-$C$7),0,MIN($C$7,ROW()-1),1)),0))</f>
        <v>0.6928077079445204</v>
      </c>
      <c r="BM375">
        <f t="shared" ca="1" si="152"/>
        <v>0</v>
      </c>
      <c r="BN375" t="str">
        <f ca="1">IF(BM375=1,IF(INDEX(分析データ!$A:$A,ROW()+$C$5)&lt;&gt;"",40000*SIGN(BL375)*(分析データ!E375-INDEX(分析データ!E:E,ROW()+$C$5)),""),"")</f>
        <v/>
      </c>
      <c r="BO375">
        <f t="shared" ca="1" si="153"/>
        <v>280000.00000000291</v>
      </c>
      <c r="BP375">
        <f t="shared" ca="1" si="154"/>
        <v>280000.00000000291</v>
      </c>
      <c r="BQ375">
        <f t="shared" ca="1" si="155"/>
        <v>0</v>
      </c>
      <c r="BR375">
        <f ca="1">IF(ROW()&lt;($C$7+1),"",IFERROR((分析データ!F375-AVERAGE(OFFSET(分析データ!F$1,MAX(1,ROW()-$C$7),0,MIN($C$7,ROW()-1),1)))/STDEV(OFFSET(分析データ!F$1,MAX(1,ROW()-$C$7),0,MIN($C$7,ROW()-1),1)),0))</f>
        <v>-0.22338262575201365</v>
      </c>
      <c r="BS375">
        <f t="shared" ca="1" si="156"/>
        <v>0</v>
      </c>
      <c r="BT375" t="str">
        <f ca="1">IF(BS375=1,IF(INDEX(分析データ!$A:$A,ROW()+$C$5)&lt;&gt;"",40000*SIGN(BR375)*(分析データ!F375-INDEX(分析データ!F:F,ROW()+$C$5)),""),"")</f>
        <v/>
      </c>
      <c r="BU375">
        <f t="shared" ca="1" si="157"/>
        <v>583200.00000000163</v>
      </c>
      <c r="BV375">
        <f t="shared" ca="1" si="158"/>
        <v>583200.00000000163</v>
      </c>
      <c r="BW375">
        <f t="shared" ca="1" si="159"/>
        <v>0</v>
      </c>
      <c r="BX375">
        <f ca="1">IF(ROW()&lt;($C$7+1),"",IFERROR((分析データ!G375-AVERAGE(OFFSET(分析データ!G$1,MAX(1,ROW()-$C$7),0,MIN($C$7,ROW()-1),1)))/STDEV(OFFSET(分析データ!G$1,MAX(1,ROW()-$C$7),0,MIN($C$7,ROW()-1),1)),0))</f>
        <v>0.99080740249987942</v>
      </c>
      <c r="BY375">
        <f t="shared" ca="1" si="160"/>
        <v>0</v>
      </c>
      <c r="BZ375" t="str">
        <f ca="1">IF(BY375=1,IF(INDEX(分析データ!$A:$A,ROW()+$C$5)&lt;&gt;"",40000*SIGN(BX375)*(分析データ!G375-INDEX(分析データ!G:G,ROW()+$C$5)),""),"")</f>
        <v/>
      </c>
      <c r="CA375">
        <f t="shared" ca="1" si="161"/>
        <v>3095574.2871093722</v>
      </c>
      <c r="CB375">
        <f t="shared" ca="1" si="162"/>
        <v>3095574.2871093722</v>
      </c>
      <c r="CC375">
        <f t="shared" ca="1" si="163"/>
        <v>0</v>
      </c>
      <c r="CD375">
        <f t="shared" ca="1" si="164"/>
        <v>0</v>
      </c>
      <c r="CE375">
        <f t="shared" ca="1" si="165"/>
        <v>3958774.2871093769</v>
      </c>
      <c r="CF375">
        <f t="shared" ca="1" si="166"/>
        <v>3958774.2871093769</v>
      </c>
      <c r="CG375">
        <f t="shared" ca="1" si="167"/>
        <v>0</v>
      </c>
      <c r="CH375" s="10">
        <f>分析データ!A375</f>
        <v>45471</v>
      </c>
    </row>
    <row r="376" spans="46:86">
      <c r="AT376">
        <f ca="1">IF(ROW()&lt;($C$7+1),"",IFERROR((分析データ!B376-AVERAGE(OFFSET(分析データ!B$1,MAX(1,ROW()-$C$7),0,MIN($C$7,ROW()-1),1)))/STDEV(OFFSET(分析データ!B$1,MAX(1,ROW()-$C$7),0,MIN($C$7,ROW()-1),1)),0))</f>
        <v>0.81473570234584036</v>
      </c>
      <c r="AU376">
        <f t="shared" ca="1" si="140"/>
        <v>0</v>
      </c>
      <c r="AV376" t="str">
        <f ca="1">IF(AU376=1,IF(INDEX(分析データ!$A:$A,ROW()+$C$5)&lt;&gt;"",80000*SIGN(AT376)*(分析データ!B376-INDEX(分析データ!B:B,ROW()+$C$5)),""),"")</f>
        <v/>
      </c>
      <c r="AW376">
        <f t="shared" ca="1" si="141"/>
        <v>0</v>
      </c>
      <c r="AX376">
        <f t="shared" ca="1" si="142"/>
        <v>0</v>
      </c>
      <c r="AY376">
        <f t="shared" ca="1" si="143"/>
        <v>0</v>
      </c>
      <c r="AZ376">
        <f ca="1">IF(ROW()&lt;($C$7+1),"",IFERROR((分析データ!C376-AVERAGE(OFFSET(分析データ!C$1,MAX(1,ROW()-$C$7),0,MIN($C$7,ROW()-1),1)))/STDEV(OFFSET(分析データ!C$1,MAX(1,ROW()-$C$7),0,MIN($C$7,ROW()-1),1)),0))</f>
        <v>-0.10900405103350495</v>
      </c>
      <c r="BA376">
        <f t="shared" ca="1" si="144"/>
        <v>0</v>
      </c>
      <c r="BB376" t="str">
        <f ca="1">IF(BA376=1,IF(INDEX(分析データ!$A:$A,ROW()+$C$5)&lt;&gt;"",60000*SIGN(AZ376)*(分析データ!C376-INDEX(分析データ!C:C,ROW()+$C$5)),""),"")</f>
        <v/>
      </c>
      <c r="BC376">
        <f t="shared" ca="1" si="145"/>
        <v>0</v>
      </c>
      <c r="BD376">
        <f t="shared" ca="1" si="146"/>
        <v>0</v>
      </c>
      <c r="BE376">
        <f t="shared" ca="1" si="147"/>
        <v>0</v>
      </c>
      <c r="BF376">
        <f ca="1">IF(ROW()&lt;($C$7+1),"",IFERROR((分析データ!D376-AVERAGE(OFFSET(分析データ!D$1,MAX(1,ROW()-$C$7),0,MIN($C$7,ROW()-1),1)))/STDEV(OFFSET(分析データ!D$1,MAX(1,ROW()-$C$7),0,MIN($C$7,ROW()-1),1)),0))</f>
        <v>-0.71367815670143386</v>
      </c>
      <c r="BG376">
        <f t="shared" ca="1" si="148"/>
        <v>0</v>
      </c>
      <c r="BH376" t="str">
        <f ca="1">IF(BG376=1,IF(INDEX(分析データ!$A:$A,ROW()+$C$5)&lt;&gt;"",50000*SIGN(BF376)*(分析データ!D376-INDEX(分析データ!D:D,ROW()+$C$5)),""),"")</f>
        <v/>
      </c>
      <c r="BI376">
        <f t="shared" ca="1" si="149"/>
        <v>0</v>
      </c>
      <c r="BJ376">
        <f t="shared" ca="1" si="150"/>
        <v>0</v>
      </c>
      <c r="BK376">
        <f t="shared" ca="1" si="151"/>
        <v>0</v>
      </c>
      <c r="BL376">
        <f ca="1">IF(ROW()&lt;($C$7+1),"",IFERROR((分析データ!E376-AVERAGE(OFFSET(分析データ!E$1,MAX(1,ROW()-$C$7),0,MIN($C$7,ROW()-1),1)))/STDEV(OFFSET(分析データ!E$1,MAX(1,ROW()-$C$7),0,MIN($C$7,ROW()-1),1)),0))</f>
        <v>0.79548944813015043</v>
      </c>
      <c r="BM376">
        <f t="shared" ca="1" si="152"/>
        <v>0</v>
      </c>
      <c r="BN376" t="str">
        <f ca="1">IF(BM376=1,IF(INDEX(分析データ!$A:$A,ROW()+$C$5)&lt;&gt;"",40000*SIGN(BL376)*(分析データ!E376-INDEX(分析データ!E:E,ROW()+$C$5)),""),"")</f>
        <v/>
      </c>
      <c r="BO376">
        <f t="shared" ca="1" si="153"/>
        <v>280000.00000000291</v>
      </c>
      <c r="BP376">
        <f t="shared" ca="1" si="154"/>
        <v>280000.00000000291</v>
      </c>
      <c r="BQ376">
        <f t="shared" ca="1" si="155"/>
        <v>0</v>
      </c>
      <c r="BR376">
        <f ca="1">IF(ROW()&lt;($C$7+1),"",IFERROR((分析データ!F376-AVERAGE(OFFSET(分析データ!F$1,MAX(1,ROW()-$C$7),0,MIN($C$7,ROW()-1),1)))/STDEV(OFFSET(分析データ!F$1,MAX(1,ROW()-$C$7),0,MIN($C$7,ROW()-1),1)),0))</f>
        <v>-0.5287841694764509</v>
      </c>
      <c r="BS376">
        <f t="shared" ca="1" si="156"/>
        <v>0</v>
      </c>
      <c r="BT376" t="str">
        <f ca="1">IF(BS376=1,IF(INDEX(分析データ!$A:$A,ROW()+$C$5)&lt;&gt;"",40000*SIGN(BR376)*(分析データ!F376-INDEX(分析データ!F:F,ROW()+$C$5)),""),"")</f>
        <v/>
      </c>
      <c r="BU376">
        <f t="shared" ca="1" si="157"/>
        <v>583200.00000000163</v>
      </c>
      <c r="BV376">
        <f t="shared" ca="1" si="158"/>
        <v>583200.00000000163</v>
      </c>
      <c r="BW376">
        <f t="shared" ca="1" si="159"/>
        <v>0</v>
      </c>
      <c r="BX376">
        <f ca="1">IF(ROW()&lt;($C$7+1),"",IFERROR((分析データ!G376-AVERAGE(OFFSET(分析データ!G$1,MAX(1,ROW()-$C$7),0,MIN($C$7,ROW()-1),1)))/STDEV(OFFSET(分析データ!G$1,MAX(1,ROW()-$C$7),0,MIN($C$7,ROW()-1),1)),0))</f>
        <v>1.0698888791383552</v>
      </c>
      <c r="BY376">
        <f t="shared" ca="1" si="160"/>
        <v>0</v>
      </c>
      <c r="BZ376" t="str">
        <f ca="1">IF(BY376=1,IF(INDEX(分析データ!$A:$A,ROW()+$C$5)&lt;&gt;"",40000*SIGN(BX376)*(分析データ!G376-INDEX(分析データ!G:G,ROW()+$C$5)),""),"")</f>
        <v/>
      </c>
      <c r="CA376">
        <f t="shared" ca="1" si="161"/>
        <v>3095574.2871093722</v>
      </c>
      <c r="CB376">
        <f t="shared" ca="1" si="162"/>
        <v>3095574.2871093722</v>
      </c>
      <c r="CC376">
        <f t="shared" ca="1" si="163"/>
        <v>0</v>
      </c>
      <c r="CD376">
        <f t="shared" ca="1" si="164"/>
        <v>0</v>
      </c>
      <c r="CE376">
        <f t="shared" ca="1" si="165"/>
        <v>3958774.2871093769</v>
      </c>
      <c r="CF376">
        <f t="shared" ca="1" si="166"/>
        <v>3958774.2871093769</v>
      </c>
      <c r="CG376">
        <f t="shared" ca="1" si="167"/>
        <v>0</v>
      </c>
      <c r="CH376" s="10">
        <f>分析データ!A376</f>
        <v>45474</v>
      </c>
    </row>
    <row r="377" spans="46:86">
      <c r="AT377">
        <f ca="1">IF(ROW()&lt;($C$7+1),"",IFERROR((分析データ!B377-AVERAGE(OFFSET(分析データ!B$1,MAX(1,ROW()-$C$7),0,MIN($C$7,ROW()-1),1)))/STDEV(OFFSET(分析データ!B$1,MAX(1,ROW()-$C$7),0,MIN($C$7,ROW()-1),1)),0))</f>
        <v>0.64440569423092886</v>
      </c>
      <c r="AU377">
        <f t="shared" ca="1" si="140"/>
        <v>0</v>
      </c>
      <c r="AV377" t="str">
        <f ca="1">IF(AU377=1,IF(INDEX(分析データ!$A:$A,ROW()+$C$5)&lt;&gt;"",80000*SIGN(AT377)*(分析データ!B377-INDEX(分析データ!B:B,ROW()+$C$5)),""),"")</f>
        <v/>
      </c>
      <c r="AW377">
        <f t="shared" ca="1" si="141"/>
        <v>0</v>
      </c>
      <c r="AX377">
        <f t="shared" ca="1" si="142"/>
        <v>0</v>
      </c>
      <c r="AY377">
        <f t="shared" ca="1" si="143"/>
        <v>0</v>
      </c>
      <c r="AZ377">
        <f ca="1">IF(ROW()&lt;($C$7+1),"",IFERROR((分析データ!C377-AVERAGE(OFFSET(分析データ!C$1,MAX(1,ROW()-$C$7),0,MIN($C$7,ROW()-1),1)))/STDEV(OFFSET(分析データ!C$1,MAX(1,ROW()-$C$7),0,MIN($C$7,ROW()-1),1)),0))</f>
        <v>0.14378684758137433</v>
      </c>
      <c r="BA377">
        <f t="shared" ca="1" si="144"/>
        <v>0</v>
      </c>
      <c r="BB377" t="str">
        <f ca="1">IF(BA377=1,IF(INDEX(分析データ!$A:$A,ROW()+$C$5)&lt;&gt;"",60000*SIGN(AZ377)*(分析データ!C377-INDEX(分析データ!C:C,ROW()+$C$5)),""),"")</f>
        <v/>
      </c>
      <c r="BC377">
        <f t="shared" ca="1" si="145"/>
        <v>0</v>
      </c>
      <c r="BD377">
        <f t="shared" ca="1" si="146"/>
        <v>0</v>
      </c>
      <c r="BE377">
        <f t="shared" ca="1" si="147"/>
        <v>0</v>
      </c>
      <c r="BF377">
        <f ca="1">IF(ROW()&lt;($C$7+1),"",IFERROR((分析データ!D377-AVERAGE(OFFSET(分析データ!D$1,MAX(1,ROW()-$C$7),0,MIN($C$7,ROW()-1),1)))/STDEV(OFFSET(分析データ!D$1,MAX(1,ROW()-$C$7),0,MIN($C$7,ROW()-1),1)),0))</f>
        <v>-1.0621890668481073</v>
      </c>
      <c r="BG377">
        <f t="shared" ca="1" si="148"/>
        <v>0</v>
      </c>
      <c r="BH377" t="str">
        <f ca="1">IF(BG377=1,IF(INDEX(分析データ!$A:$A,ROW()+$C$5)&lt;&gt;"",50000*SIGN(BF377)*(分析データ!D377-INDEX(分析データ!D:D,ROW()+$C$5)),""),"")</f>
        <v/>
      </c>
      <c r="BI377">
        <f t="shared" ca="1" si="149"/>
        <v>0</v>
      </c>
      <c r="BJ377">
        <f t="shared" ca="1" si="150"/>
        <v>0</v>
      </c>
      <c r="BK377">
        <f t="shared" ca="1" si="151"/>
        <v>0</v>
      </c>
      <c r="BL377">
        <f ca="1">IF(ROW()&lt;($C$7+1),"",IFERROR((分析データ!E377-AVERAGE(OFFSET(分析データ!E$1,MAX(1,ROW()-$C$7),0,MIN($C$7,ROW()-1),1)))/STDEV(OFFSET(分析データ!E$1,MAX(1,ROW()-$C$7),0,MIN($C$7,ROW()-1),1)),0))</f>
        <v>0.79264888456225668</v>
      </c>
      <c r="BM377">
        <f t="shared" ca="1" si="152"/>
        <v>0</v>
      </c>
      <c r="BN377" t="str">
        <f ca="1">IF(BM377=1,IF(INDEX(分析データ!$A:$A,ROW()+$C$5)&lt;&gt;"",40000*SIGN(BL377)*(分析データ!E377-INDEX(分析データ!E:E,ROW()+$C$5)),""),"")</f>
        <v/>
      </c>
      <c r="BO377">
        <f t="shared" ca="1" si="153"/>
        <v>280000.00000000291</v>
      </c>
      <c r="BP377">
        <f t="shared" ca="1" si="154"/>
        <v>280000.00000000291</v>
      </c>
      <c r="BQ377">
        <f t="shared" ca="1" si="155"/>
        <v>0</v>
      </c>
      <c r="BR377">
        <f ca="1">IF(ROW()&lt;($C$7+1),"",IFERROR((分析データ!F377-AVERAGE(OFFSET(分析データ!F$1,MAX(1,ROW()-$C$7),0,MIN($C$7,ROW()-1),1)))/STDEV(OFFSET(分析データ!F$1,MAX(1,ROW()-$C$7),0,MIN($C$7,ROW()-1),1)),0))</f>
        <v>-0.22142291472803727</v>
      </c>
      <c r="BS377">
        <f t="shared" ca="1" si="156"/>
        <v>0</v>
      </c>
      <c r="BT377" t="str">
        <f ca="1">IF(BS377=1,IF(INDEX(分析データ!$A:$A,ROW()+$C$5)&lt;&gt;"",40000*SIGN(BR377)*(分析データ!F377-INDEX(分析データ!F:F,ROW()+$C$5)),""),"")</f>
        <v/>
      </c>
      <c r="BU377">
        <f t="shared" ca="1" si="157"/>
        <v>583200.00000000163</v>
      </c>
      <c r="BV377">
        <f t="shared" ca="1" si="158"/>
        <v>583200.00000000163</v>
      </c>
      <c r="BW377">
        <f t="shared" ca="1" si="159"/>
        <v>0</v>
      </c>
      <c r="BX377">
        <f ca="1">IF(ROW()&lt;($C$7+1),"",IFERROR((分析データ!G377-AVERAGE(OFFSET(分析データ!G$1,MAX(1,ROW()-$C$7),0,MIN($C$7,ROW()-1),1)))/STDEV(OFFSET(分析データ!G$1,MAX(1,ROW()-$C$7),0,MIN($C$7,ROW()-1),1)),0))</f>
        <v>0.86642228020460943</v>
      </c>
      <c r="BY377">
        <f t="shared" ca="1" si="160"/>
        <v>0</v>
      </c>
      <c r="BZ377" t="str">
        <f ca="1">IF(BY377=1,IF(INDEX(分析データ!$A:$A,ROW()+$C$5)&lt;&gt;"",40000*SIGN(BX377)*(分析データ!G377-INDEX(分析データ!G:G,ROW()+$C$5)),""),"")</f>
        <v/>
      </c>
      <c r="CA377">
        <f t="shared" ca="1" si="161"/>
        <v>3095574.2871093722</v>
      </c>
      <c r="CB377">
        <f t="shared" ca="1" si="162"/>
        <v>3095574.2871093722</v>
      </c>
      <c r="CC377">
        <f t="shared" ca="1" si="163"/>
        <v>0</v>
      </c>
      <c r="CD377">
        <f t="shared" ca="1" si="164"/>
        <v>0</v>
      </c>
      <c r="CE377">
        <f t="shared" ca="1" si="165"/>
        <v>3958774.2871093769</v>
      </c>
      <c r="CF377">
        <f t="shared" ca="1" si="166"/>
        <v>3958774.2871093769</v>
      </c>
      <c r="CG377">
        <f t="shared" ca="1" si="167"/>
        <v>0</v>
      </c>
      <c r="CH377" s="10">
        <f>分析データ!A377</f>
        <v>45475</v>
      </c>
    </row>
    <row r="378" spans="46:86">
      <c r="AT378">
        <f ca="1">IF(ROW()&lt;($C$7+1),"",IFERROR((分析データ!B378-AVERAGE(OFFSET(分析データ!B$1,MAX(1,ROW()-$C$7),0,MIN($C$7,ROW()-1),1)))/STDEV(OFFSET(分析データ!B$1,MAX(1,ROW()-$C$7),0,MIN($C$7,ROW()-1),1)),0))</f>
        <v>0.41344626116846717</v>
      </c>
      <c r="AU378">
        <f t="shared" ca="1" si="140"/>
        <v>0</v>
      </c>
      <c r="AV378" t="str">
        <f ca="1">IF(AU378=1,IF(INDEX(分析データ!$A:$A,ROW()+$C$5)&lt;&gt;"",80000*SIGN(AT378)*(分析データ!B378-INDEX(分析データ!B:B,ROW()+$C$5)),""),"")</f>
        <v/>
      </c>
      <c r="AW378">
        <f t="shared" ca="1" si="141"/>
        <v>0</v>
      </c>
      <c r="AX378">
        <f t="shared" ca="1" si="142"/>
        <v>0</v>
      </c>
      <c r="AY378">
        <f t="shared" ca="1" si="143"/>
        <v>0</v>
      </c>
      <c r="AZ378">
        <f ca="1">IF(ROW()&lt;($C$7+1),"",IFERROR((分析データ!C378-AVERAGE(OFFSET(分析データ!C$1,MAX(1,ROW()-$C$7),0,MIN($C$7,ROW()-1),1)))/STDEV(OFFSET(分析データ!C$1,MAX(1,ROW()-$C$7),0,MIN($C$7,ROW()-1),1)),0))</f>
        <v>0.10482525017222467</v>
      </c>
      <c r="BA378">
        <f t="shared" ca="1" si="144"/>
        <v>0</v>
      </c>
      <c r="BB378" t="str">
        <f ca="1">IF(BA378=1,IF(INDEX(分析データ!$A:$A,ROW()+$C$5)&lt;&gt;"",60000*SIGN(AZ378)*(分析データ!C378-INDEX(分析データ!C:C,ROW()+$C$5)),""),"")</f>
        <v/>
      </c>
      <c r="BC378">
        <f t="shared" ca="1" si="145"/>
        <v>0</v>
      </c>
      <c r="BD378">
        <f t="shared" ca="1" si="146"/>
        <v>0</v>
      </c>
      <c r="BE378">
        <f t="shared" ca="1" si="147"/>
        <v>0</v>
      </c>
      <c r="BF378">
        <f ca="1">IF(ROW()&lt;($C$7+1),"",IFERROR((分析データ!D378-AVERAGE(OFFSET(分析データ!D$1,MAX(1,ROW()-$C$7),0,MIN($C$7,ROW()-1),1)))/STDEV(OFFSET(分析データ!D$1,MAX(1,ROW()-$C$7),0,MIN($C$7,ROW()-1),1)),0))</f>
        <v>-1.3833369782384037</v>
      </c>
      <c r="BG378">
        <f t="shared" ca="1" si="148"/>
        <v>0</v>
      </c>
      <c r="BH378" t="str">
        <f ca="1">IF(BG378=1,IF(INDEX(分析データ!$A:$A,ROW()+$C$5)&lt;&gt;"",50000*SIGN(BF378)*(分析データ!D378-INDEX(分析データ!D:D,ROW()+$C$5)),""),"")</f>
        <v/>
      </c>
      <c r="BI378">
        <f t="shared" ca="1" si="149"/>
        <v>0</v>
      </c>
      <c r="BJ378">
        <f t="shared" ca="1" si="150"/>
        <v>0</v>
      </c>
      <c r="BK378">
        <f t="shared" ca="1" si="151"/>
        <v>0</v>
      </c>
      <c r="BL378">
        <f ca="1">IF(ROW()&lt;($C$7+1),"",IFERROR((分析データ!E378-AVERAGE(OFFSET(分析データ!E$1,MAX(1,ROW()-$C$7),0,MIN($C$7,ROW()-1),1)))/STDEV(OFFSET(分析データ!E$1,MAX(1,ROW()-$C$7),0,MIN($C$7,ROW()-1),1)),0))</f>
        <v>0.68070442279570986</v>
      </c>
      <c r="BM378">
        <f t="shared" ca="1" si="152"/>
        <v>0</v>
      </c>
      <c r="BN378" t="str">
        <f ca="1">IF(BM378=1,IF(INDEX(分析データ!$A:$A,ROW()+$C$5)&lt;&gt;"",40000*SIGN(BL378)*(分析データ!E378-INDEX(分析データ!E:E,ROW()+$C$5)),""),"")</f>
        <v/>
      </c>
      <c r="BO378">
        <f t="shared" ca="1" si="153"/>
        <v>280000.00000000291</v>
      </c>
      <c r="BP378">
        <f t="shared" ca="1" si="154"/>
        <v>280000.00000000291</v>
      </c>
      <c r="BQ378">
        <f t="shared" ca="1" si="155"/>
        <v>0</v>
      </c>
      <c r="BR378">
        <f ca="1">IF(ROW()&lt;($C$7+1),"",IFERROR((分析データ!F378-AVERAGE(OFFSET(分析データ!F$1,MAX(1,ROW()-$C$7),0,MIN($C$7,ROW()-1),1)))/STDEV(OFFSET(分析データ!F$1,MAX(1,ROW()-$C$7),0,MIN($C$7,ROW()-1),1)),0))</f>
        <v>2.8874422447499788E-2</v>
      </c>
      <c r="BS378">
        <f t="shared" ca="1" si="156"/>
        <v>0</v>
      </c>
      <c r="BT378" t="str">
        <f ca="1">IF(BS378=1,IF(INDEX(分析データ!$A:$A,ROW()+$C$5)&lt;&gt;"",40000*SIGN(BR378)*(分析データ!F378-INDEX(分析データ!F:F,ROW()+$C$5)),""),"")</f>
        <v/>
      </c>
      <c r="BU378">
        <f t="shared" ca="1" si="157"/>
        <v>583200.00000000163</v>
      </c>
      <c r="BV378">
        <f t="shared" ca="1" si="158"/>
        <v>583200.00000000163</v>
      </c>
      <c r="BW378">
        <f t="shared" ca="1" si="159"/>
        <v>0</v>
      </c>
      <c r="BX378">
        <f ca="1">IF(ROW()&lt;($C$7+1),"",IFERROR((分析データ!G378-AVERAGE(OFFSET(分析データ!G$1,MAX(1,ROW()-$C$7),0,MIN($C$7,ROW()-1),1)))/STDEV(OFFSET(分析データ!G$1,MAX(1,ROW()-$C$7),0,MIN($C$7,ROW()-1),1)),0))</f>
        <v>0.97922119765888727</v>
      </c>
      <c r="BY378">
        <f t="shared" ca="1" si="160"/>
        <v>0</v>
      </c>
      <c r="BZ378" t="str">
        <f ca="1">IF(BY378=1,IF(INDEX(分析データ!$A:$A,ROW()+$C$5)&lt;&gt;"",40000*SIGN(BX378)*(分析データ!G378-INDEX(分析データ!G:G,ROW()+$C$5)),""),"")</f>
        <v/>
      </c>
      <c r="CA378">
        <f t="shared" ca="1" si="161"/>
        <v>3095574.2871093722</v>
      </c>
      <c r="CB378">
        <f t="shared" ca="1" si="162"/>
        <v>3095574.2871093722</v>
      </c>
      <c r="CC378">
        <f t="shared" ca="1" si="163"/>
        <v>0</v>
      </c>
      <c r="CD378">
        <f t="shared" ca="1" si="164"/>
        <v>0</v>
      </c>
      <c r="CE378">
        <f t="shared" ca="1" si="165"/>
        <v>3958774.2871093769</v>
      </c>
      <c r="CF378">
        <f t="shared" ca="1" si="166"/>
        <v>3958774.2871093769</v>
      </c>
      <c r="CG378">
        <f t="shared" ca="1" si="167"/>
        <v>0</v>
      </c>
      <c r="CH378" s="10">
        <f>分析データ!A378</f>
        <v>45476</v>
      </c>
    </row>
    <row r="379" spans="46:86">
      <c r="AT379">
        <f ca="1">IF(ROW()&lt;($C$7+1),"",IFERROR((分析データ!B379-AVERAGE(OFFSET(分析データ!B$1,MAX(1,ROW()-$C$7),0,MIN($C$7,ROW()-1),1)))/STDEV(OFFSET(分析データ!B$1,MAX(1,ROW()-$C$7),0,MIN($C$7,ROW()-1),1)),0))</f>
        <v>0.46472640652819541</v>
      </c>
      <c r="AU379">
        <f t="shared" ca="1" si="140"/>
        <v>0</v>
      </c>
      <c r="AV379" t="str">
        <f ca="1">IF(AU379=1,IF(INDEX(分析データ!$A:$A,ROW()+$C$5)&lt;&gt;"",80000*SIGN(AT379)*(分析データ!B379-INDEX(分析データ!B:B,ROW()+$C$5)),""),"")</f>
        <v/>
      </c>
      <c r="AW379">
        <f t="shared" ca="1" si="141"/>
        <v>0</v>
      </c>
      <c r="AX379">
        <f t="shared" ca="1" si="142"/>
        <v>0</v>
      </c>
      <c r="AY379">
        <f t="shared" ca="1" si="143"/>
        <v>0</v>
      </c>
      <c r="AZ379">
        <f ca="1">IF(ROW()&lt;($C$7+1),"",IFERROR((分析データ!C379-AVERAGE(OFFSET(分析データ!C$1,MAX(1,ROW()-$C$7),0,MIN($C$7,ROW()-1),1)))/STDEV(OFFSET(分析データ!C$1,MAX(1,ROW()-$C$7),0,MIN($C$7,ROW()-1),1)),0))</f>
        <v>-0.54480764136277826</v>
      </c>
      <c r="BA379">
        <f t="shared" ca="1" si="144"/>
        <v>0</v>
      </c>
      <c r="BB379" t="str">
        <f ca="1">IF(BA379=1,IF(INDEX(分析データ!$A:$A,ROW()+$C$5)&lt;&gt;"",60000*SIGN(AZ379)*(分析データ!C379-INDEX(分析データ!C:C,ROW()+$C$5)),""),"")</f>
        <v/>
      </c>
      <c r="BC379">
        <f t="shared" ca="1" si="145"/>
        <v>0</v>
      </c>
      <c r="BD379">
        <f t="shared" ca="1" si="146"/>
        <v>0</v>
      </c>
      <c r="BE379">
        <f t="shared" ca="1" si="147"/>
        <v>0</v>
      </c>
      <c r="BF379">
        <f ca="1">IF(ROW()&lt;($C$7+1),"",IFERROR((分析データ!D379-AVERAGE(OFFSET(分析データ!D$1,MAX(1,ROW()-$C$7),0,MIN($C$7,ROW()-1),1)))/STDEV(OFFSET(分析データ!D$1,MAX(1,ROW()-$C$7),0,MIN($C$7,ROW()-1),1)),0))</f>
        <v>-1.628463131304954</v>
      </c>
      <c r="BG379">
        <f t="shared" ca="1" si="148"/>
        <v>0</v>
      </c>
      <c r="BH379" t="str">
        <f ca="1">IF(BG379=1,IF(INDEX(分析データ!$A:$A,ROW()+$C$5)&lt;&gt;"",50000*SIGN(BF379)*(分析データ!D379-INDEX(分析データ!D:D,ROW()+$C$5)),""),"")</f>
        <v/>
      </c>
      <c r="BI379">
        <f t="shared" ca="1" si="149"/>
        <v>0</v>
      </c>
      <c r="BJ379">
        <f t="shared" ca="1" si="150"/>
        <v>0</v>
      </c>
      <c r="BK379">
        <f t="shared" ca="1" si="151"/>
        <v>0</v>
      </c>
      <c r="BL379">
        <f ca="1">IF(ROW()&lt;($C$7+1),"",IFERROR((分析データ!E379-AVERAGE(OFFSET(分析データ!E$1,MAX(1,ROW()-$C$7),0,MIN($C$7,ROW()-1),1)))/STDEV(OFFSET(分析データ!E$1,MAX(1,ROW()-$C$7),0,MIN($C$7,ROW()-1),1)),0))</f>
        <v>1.0203694191798005</v>
      </c>
      <c r="BM379">
        <f t="shared" ca="1" si="152"/>
        <v>0</v>
      </c>
      <c r="BN379" t="str">
        <f ca="1">IF(BM379=1,IF(INDEX(分析データ!$A:$A,ROW()+$C$5)&lt;&gt;"",40000*SIGN(BL379)*(分析データ!E379-INDEX(分析データ!E:E,ROW()+$C$5)),""),"")</f>
        <v/>
      </c>
      <c r="BO379">
        <f t="shared" ca="1" si="153"/>
        <v>280000.00000000291</v>
      </c>
      <c r="BP379">
        <f t="shared" ca="1" si="154"/>
        <v>280000.00000000291</v>
      </c>
      <c r="BQ379">
        <f t="shared" ca="1" si="155"/>
        <v>0</v>
      </c>
      <c r="BR379">
        <f ca="1">IF(ROW()&lt;($C$7+1),"",IFERROR((分析データ!F379-AVERAGE(OFFSET(分析データ!F$1,MAX(1,ROW()-$C$7),0,MIN($C$7,ROW()-1),1)))/STDEV(OFFSET(分析データ!F$1,MAX(1,ROW()-$C$7),0,MIN($C$7,ROW()-1),1)),0))</f>
        <v>9.7825073595840625E-2</v>
      </c>
      <c r="BS379">
        <f t="shared" ca="1" si="156"/>
        <v>0</v>
      </c>
      <c r="BT379" t="str">
        <f ca="1">IF(BS379=1,IF(INDEX(分析データ!$A:$A,ROW()+$C$5)&lt;&gt;"",40000*SIGN(BR379)*(分析データ!F379-INDEX(分析データ!F:F,ROW()+$C$5)),""),"")</f>
        <v/>
      </c>
      <c r="BU379">
        <f t="shared" ca="1" si="157"/>
        <v>583200.00000000163</v>
      </c>
      <c r="BV379">
        <f t="shared" ca="1" si="158"/>
        <v>583200.00000000163</v>
      </c>
      <c r="BW379">
        <f t="shared" ca="1" si="159"/>
        <v>0</v>
      </c>
      <c r="BX379">
        <f ca="1">IF(ROW()&lt;($C$7+1),"",IFERROR((分析データ!G379-AVERAGE(OFFSET(分析データ!G$1,MAX(1,ROW()-$C$7),0,MIN($C$7,ROW()-1),1)))/STDEV(OFFSET(分析データ!G$1,MAX(1,ROW()-$C$7),0,MIN($C$7,ROW()-1),1)),0))</f>
        <v>0.96902143400068019</v>
      </c>
      <c r="BY379">
        <f t="shared" ca="1" si="160"/>
        <v>0</v>
      </c>
      <c r="BZ379" t="str">
        <f ca="1">IF(BY379=1,IF(INDEX(分析データ!$A:$A,ROW()+$C$5)&lt;&gt;"",40000*SIGN(BX379)*(分析データ!G379-INDEX(分析データ!G:G,ROW()+$C$5)),""),"")</f>
        <v/>
      </c>
      <c r="CA379">
        <f t="shared" ca="1" si="161"/>
        <v>3095574.2871093722</v>
      </c>
      <c r="CB379">
        <f t="shared" ca="1" si="162"/>
        <v>3095574.2871093722</v>
      </c>
      <c r="CC379">
        <f t="shared" ca="1" si="163"/>
        <v>0</v>
      </c>
      <c r="CD379">
        <f t="shared" ca="1" si="164"/>
        <v>0</v>
      </c>
      <c r="CE379">
        <f t="shared" ca="1" si="165"/>
        <v>3958774.2871093769</v>
      </c>
      <c r="CF379">
        <f t="shared" ca="1" si="166"/>
        <v>3958774.2871093769</v>
      </c>
      <c r="CG379">
        <f t="shared" ca="1" si="167"/>
        <v>0</v>
      </c>
      <c r="CH379" s="10">
        <f>分析データ!A379</f>
        <v>45478</v>
      </c>
    </row>
    <row r="380" spans="46:86">
      <c r="AT380">
        <f ca="1">IF(ROW()&lt;($C$7+1),"",IFERROR((分析データ!B380-AVERAGE(OFFSET(分析データ!B$1,MAX(1,ROW()-$C$7),0,MIN($C$7,ROW()-1),1)))/STDEV(OFFSET(分析データ!B$1,MAX(1,ROW()-$C$7),0,MIN($C$7,ROW()-1),1)),0))</f>
        <v>0.40013453861022585</v>
      </c>
      <c r="AU380">
        <f t="shared" ca="1" si="140"/>
        <v>0</v>
      </c>
      <c r="AV380" t="str">
        <f ca="1">IF(AU380=1,IF(INDEX(分析データ!$A:$A,ROW()+$C$5)&lt;&gt;"",80000*SIGN(AT380)*(分析データ!B380-INDEX(分析データ!B:B,ROW()+$C$5)),""),"")</f>
        <v/>
      </c>
      <c r="AW380">
        <f t="shared" ca="1" si="141"/>
        <v>0</v>
      </c>
      <c r="AX380">
        <f t="shared" ca="1" si="142"/>
        <v>0</v>
      </c>
      <c r="AY380">
        <f t="shared" ca="1" si="143"/>
        <v>0</v>
      </c>
      <c r="AZ380">
        <f ca="1">IF(ROW()&lt;($C$7+1),"",IFERROR((分析データ!C380-AVERAGE(OFFSET(分析データ!C$1,MAX(1,ROW()-$C$7),0,MIN($C$7,ROW()-1),1)))/STDEV(OFFSET(分析データ!C$1,MAX(1,ROW()-$C$7),0,MIN($C$7,ROW()-1),1)),0))</f>
        <v>-0.31164310793134431</v>
      </c>
      <c r="BA380">
        <f t="shared" ca="1" si="144"/>
        <v>0</v>
      </c>
      <c r="BB380" t="str">
        <f ca="1">IF(BA380=1,IF(INDEX(分析データ!$A:$A,ROW()+$C$5)&lt;&gt;"",60000*SIGN(AZ380)*(分析データ!C380-INDEX(分析データ!C:C,ROW()+$C$5)),""),"")</f>
        <v/>
      </c>
      <c r="BC380">
        <f t="shared" ca="1" si="145"/>
        <v>0</v>
      </c>
      <c r="BD380">
        <f t="shared" ca="1" si="146"/>
        <v>0</v>
      </c>
      <c r="BE380">
        <f t="shared" ca="1" si="147"/>
        <v>0</v>
      </c>
      <c r="BF380">
        <f ca="1">IF(ROW()&lt;($C$7+1),"",IFERROR((分析データ!D380-AVERAGE(OFFSET(分析データ!D$1,MAX(1,ROW()-$C$7),0,MIN($C$7,ROW()-1),1)))/STDEV(OFFSET(分析データ!D$1,MAX(1,ROW()-$C$7),0,MIN($C$7,ROW()-1),1)),0))</f>
        <v>-1.7094995781834474</v>
      </c>
      <c r="BG380">
        <f t="shared" ca="1" si="148"/>
        <v>0</v>
      </c>
      <c r="BH380" t="str">
        <f ca="1">IF(BG380=1,IF(INDEX(分析データ!$A:$A,ROW()+$C$5)&lt;&gt;"",50000*SIGN(BF380)*(分析データ!D380-INDEX(分析データ!D:D,ROW()+$C$5)),""),"")</f>
        <v/>
      </c>
      <c r="BI380">
        <f t="shared" ca="1" si="149"/>
        <v>0</v>
      </c>
      <c r="BJ380">
        <f t="shared" ca="1" si="150"/>
        <v>0</v>
      </c>
      <c r="BK380">
        <f t="shared" ca="1" si="151"/>
        <v>0</v>
      </c>
      <c r="BL380">
        <f ca="1">IF(ROW()&lt;($C$7+1),"",IFERROR((分析データ!E380-AVERAGE(OFFSET(分析データ!E$1,MAX(1,ROW()-$C$7),0,MIN($C$7,ROW()-1),1)))/STDEV(OFFSET(分析データ!E$1,MAX(1,ROW()-$C$7),0,MIN($C$7,ROW()-1),1)),0))</f>
        <v>0.90623215925256695</v>
      </c>
      <c r="BM380">
        <f t="shared" ca="1" si="152"/>
        <v>0</v>
      </c>
      <c r="BN380" t="str">
        <f ca="1">IF(BM380=1,IF(INDEX(分析データ!$A:$A,ROW()+$C$5)&lt;&gt;"",40000*SIGN(BL380)*(分析データ!E380-INDEX(分析データ!E:E,ROW()+$C$5)),""),"")</f>
        <v/>
      </c>
      <c r="BO380">
        <f t="shared" ca="1" si="153"/>
        <v>280000.00000000291</v>
      </c>
      <c r="BP380">
        <f t="shared" ca="1" si="154"/>
        <v>280000.00000000291</v>
      </c>
      <c r="BQ380">
        <f t="shared" ca="1" si="155"/>
        <v>0</v>
      </c>
      <c r="BR380">
        <f ca="1">IF(ROW()&lt;($C$7+1),"",IFERROR((分析データ!F380-AVERAGE(OFFSET(分析データ!F$1,MAX(1,ROW()-$C$7),0,MIN($C$7,ROW()-1),1)))/STDEV(OFFSET(分析データ!F$1,MAX(1,ROW()-$C$7),0,MIN($C$7,ROW()-1),1)),0))</f>
        <v>2.8074788424486189E-2</v>
      </c>
      <c r="BS380">
        <f t="shared" ca="1" si="156"/>
        <v>0</v>
      </c>
      <c r="BT380" t="str">
        <f ca="1">IF(BS380=1,IF(INDEX(分析データ!$A:$A,ROW()+$C$5)&lt;&gt;"",40000*SIGN(BR380)*(分析データ!F380-INDEX(分析データ!F:F,ROW()+$C$5)),""),"")</f>
        <v/>
      </c>
      <c r="BU380">
        <f t="shared" ca="1" si="157"/>
        <v>583200.00000000163</v>
      </c>
      <c r="BV380">
        <f t="shared" ca="1" si="158"/>
        <v>583200.00000000163</v>
      </c>
      <c r="BW380">
        <f t="shared" ca="1" si="159"/>
        <v>0</v>
      </c>
      <c r="BX380">
        <f ca="1">IF(ROW()&lt;($C$7+1),"",IFERROR((分析データ!G380-AVERAGE(OFFSET(分析データ!G$1,MAX(1,ROW()-$C$7),0,MIN($C$7,ROW()-1),1)))/STDEV(OFFSET(分析データ!G$1,MAX(1,ROW()-$C$7),0,MIN($C$7,ROW()-1),1)),0))</f>
        <v>1.1671313343587739</v>
      </c>
      <c r="BY380">
        <f t="shared" ca="1" si="160"/>
        <v>0</v>
      </c>
      <c r="BZ380" t="str">
        <f ca="1">IF(BY380=1,IF(INDEX(分析データ!$A:$A,ROW()+$C$5)&lt;&gt;"",40000*SIGN(BX380)*(分析データ!G380-INDEX(分析データ!G:G,ROW()+$C$5)),""),"")</f>
        <v/>
      </c>
      <c r="CA380">
        <f t="shared" ca="1" si="161"/>
        <v>3095574.2871093722</v>
      </c>
      <c r="CB380">
        <f t="shared" ca="1" si="162"/>
        <v>3095574.2871093722</v>
      </c>
      <c r="CC380">
        <f t="shared" ca="1" si="163"/>
        <v>0</v>
      </c>
      <c r="CD380">
        <f t="shared" ca="1" si="164"/>
        <v>0</v>
      </c>
      <c r="CE380">
        <f t="shared" ca="1" si="165"/>
        <v>3958774.2871093769</v>
      </c>
      <c r="CF380">
        <f t="shared" ca="1" si="166"/>
        <v>3958774.2871093769</v>
      </c>
      <c r="CG380">
        <f t="shared" ca="1" si="167"/>
        <v>0</v>
      </c>
      <c r="CH380" s="10">
        <f>分析データ!A380</f>
        <v>45481</v>
      </c>
    </row>
    <row r="381" spans="46:86">
      <c r="AT381">
        <f ca="1">IF(ROW()&lt;($C$7+1),"",IFERROR((分析データ!B381-AVERAGE(OFFSET(分析データ!B$1,MAX(1,ROW()-$C$7),0,MIN($C$7,ROW()-1),1)))/STDEV(OFFSET(分析データ!B$1,MAX(1,ROW()-$C$7),0,MIN($C$7,ROW()-1),1)),0))</f>
        <v>0.45250171401271994</v>
      </c>
      <c r="AU381">
        <f t="shared" ca="1" si="140"/>
        <v>0</v>
      </c>
      <c r="AV381" t="str">
        <f ca="1">IF(AU381=1,IF(INDEX(分析データ!$A:$A,ROW()+$C$5)&lt;&gt;"",80000*SIGN(AT381)*(分析データ!B381-INDEX(分析データ!B:B,ROW()+$C$5)),""),"")</f>
        <v/>
      </c>
      <c r="AW381">
        <f t="shared" ca="1" si="141"/>
        <v>0</v>
      </c>
      <c r="AX381">
        <f t="shared" ca="1" si="142"/>
        <v>0</v>
      </c>
      <c r="AY381">
        <f t="shared" ca="1" si="143"/>
        <v>0</v>
      </c>
      <c r="AZ381">
        <f ca="1">IF(ROW()&lt;($C$7+1),"",IFERROR((分析データ!C381-AVERAGE(OFFSET(分析データ!C$1,MAX(1,ROW()-$C$7),0,MIN($C$7,ROW()-1),1)))/STDEV(OFFSET(分析データ!C$1,MAX(1,ROW()-$C$7),0,MIN($C$7,ROW()-1),1)),0))</f>
        <v>-0.52358774069974579</v>
      </c>
      <c r="BA381">
        <f t="shared" ca="1" si="144"/>
        <v>0</v>
      </c>
      <c r="BB381" t="str">
        <f ca="1">IF(BA381=1,IF(INDEX(分析データ!$A:$A,ROW()+$C$5)&lt;&gt;"",60000*SIGN(AZ381)*(分析データ!C381-INDEX(分析データ!C:C,ROW()+$C$5)),""),"")</f>
        <v/>
      </c>
      <c r="BC381">
        <f t="shared" ca="1" si="145"/>
        <v>0</v>
      </c>
      <c r="BD381">
        <f t="shared" ca="1" si="146"/>
        <v>0</v>
      </c>
      <c r="BE381">
        <f t="shared" ca="1" si="147"/>
        <v>0</v>
      </c>
      <c r="BF381">
        <f ca="1">IF(ROW()&lt;($C$7+1),"",IFERROR((分析データ!D381-AVERAGE(OFFSET(分析データ!D$1,MAX(1,ROW()-$C$7),0,MIN($C$7,ROW()-1),1)))/STDEV(OFFSET(分析データ!D$1,MAX(1,ROW()-$C$7),0,MIN($C$7,ROW()-1),1)),0))</f>
        <v>-1.5333985647312307</v>
      </c>
      <c r="BG381">
        <f t="shared" ca="1" si="148"/>
        <v>0</v>
      </c>
      <c r="BH381" t="str">
        <f ca="1">IF(BG381=1,IF(INDEX(分析データ!$A:$A,ROW()+$C$5)&lt;&gt;"",50000*SIGN(BF381)*(分析データ!D381-INDEX(分析データ!D:D,ROW()+$C$5)),""),"")</f>
        <v/>
      </c>
      <c r="BI381">
        <f t="shared" ca="1" si="149"/>
        <v>0</v>
      </c>
      <c r="BJ381">
        <f t="shared" ca="1" si="150"/>
        <v>0</v>
      </c>
      <c r="BK381">
        <f t="shared" ca="1" si="151"/>
        <v>0</v>
      </c>
      <c r="BL381">
        <f ca="1">IF(ROW()&lt;($C$7+1),"",IFERROR((分析データ!E381-AVERAGE(OFFSET(分析データ!E$1,MAX(1,ROW()-$C$7),0,MIN($C$7,ROW()-1),1)))/STDEV(OFFSET(分析データ!E$1,MAX(1,ROW()-$C$7),0,MIN($C$7,ROW()-1),1)),0))</f>
        <v>1.0269856993152082</v>
      </c>
      <c r="BM381">
        <f t="shared" ca="1" si="152"/>
        <v>0</v>
      </c>
      <c r="BN381" t="str">
        <f ca="1">IF(BM381=1,IF(INDEX(分析データ!$A:$A,ROW()+$C$5)&lt;&gt;"",40000*SIGN(BL381)*(分析データ!E381-INDEX(分析データ!E:E,ROW()+$C$5)),""),"")</f>
        <v/>
      </c>
      <c r="BO381">
        <f t="shared" ca="1" si="153"/>
        <v>280000.00000000291</v>
      </c>
      <c r="BP381">
        <f t="shared" ca="1" si="154"/>
        <v>280000.00000000291</v>
      </c>
      <c r="BQ381">
        <f t="shared" ca="1" si="155"/>
        <v>0</v>
      </c>
      <c r="BR381">
        <f ca="1">IF(ROW()&lt;($C$7+1),"",IFERROR((分析データ!F381-AVERAGE(OFFSET(分析データ!F$1,MAX(1,ROW()-$C$7),0,MIN($C$7,ROW()-1),1)))/STDEV(OFFSET(分析データ!F$1,MAX(1,ROW()-$C$7),0,MIN($C$7,ROW()-1),1)),0))</f>
        <v>-8.5250876325134062E-2</v>
      </c>
      <c r="BS381">
        <f t="shared" ca="1" si="156"/>
        <v>0</v>
      </c>
      <c r="BT381" t="str">
        <f ca="1">IF(BS381=1,IF(INDEX(分析データ!$A:$A,ROW()+$C$5)&lt;&gt;"",40000*SIGN(BR381)*(分析データ!F381-INDEX(分析データ!F:F,ROW()+$C$5)),""),"")</f>
        <v/>
      </c>
      <c r="BU381">
        <f t="shared" ca="1" si="157"/>
        <v>583200.00000000163</v>
      </c>
      <c r="BV381">
        <f t="shared" ca="1" si="158"/>
        <v>583200.00000000163</v>
      </c>
      <c r="BW381">
        <f t="shared" ca="1" si="159"/>
        <v>0</v>
      </c>
      <c r="BX381">
        <f ca="1">IF(ROW()&lt;($C$7+1),"",IFERROR((分析データ!G381-AVERAGE(OFFSET(分析データ!G$1,MAX(1,ROW()-$C$7),0,MIN($C$7,ROW()-1),1)))/STDEV(OFFSET(分析データ!G$1,MAX(1,ROW()-$C$7),0,MIN($C$7,ROW()-1),1)),0))</f>
        <v>1.0801447874091523</v>
      </c>
      <c r="BY381">
        <f t="shared" ca="1" si="160"/>
        <v>0</v>
      </c>
      <c r="BZ381" t="str">
        <f ca="1">IF(BY381=1,IF(INDEX(分析データ!$A:$A,ROW()+$C$5)&lt;&gt;"",40000*SIGN(BX381)*(分析データ!G381-INDEX(分析データ!G:G,ROW()+$C$5)),""),"")</f>
        <v/>
      </c>
      <c r="CA381">
        <f t="shared" ca="1" si="161"/>
        <v>3095574.2871093722</v>
      </c>
      <c r="CB381">
        <f t="shared" ca="1" si="162"/>
        <v>3095574.2871093722</v>
      </c>
      <c r="CC381">
        <f t="shared" ca="1" si="163"/>
        <v>0</v>
      </c>
      <c r="CD381">
        <f t="shared" ca="1" si="164"/>
        <v>0</v>
      </c>
      <c r="CE381">
        <f t="shared" ca="1" si="165"/>
        <v>3958774.2871093769</v>
      </c>
      <c r="CF381">
        <f t="shared" ca="1" si="166"/>
        <v>3958774.2871093769</v>
      </c>
      <c r="CG381">
        <f t="shared" ca="1" si="167"/>
        <v>0</v>
      </c>
      <c r="CH381" s="10">
        <f>分析データ!A381</f>
        <v>45482</v>
      </c>
    </row>
    <row r="382" spans="46:86">
      <c r="AT382">
        <f ca="1">IF(ROW()&lt;($C$7+1),"",IFERROR((分析データ!B382-AVERAGE(OFFSET(分析データ!B$1,MAX(1,ROW()-$C$7),0,MIN($C$7,ROW()-1),1)))/STDEV(OFFSET(分析データ!B$1,MAX(1,ROW()-$C$7),0,MIN($C$7,ROW()-1),1)),0))</f>
        <v>0.3283913732337338</v>
      </c>
      <c r="AU382">
        <f t="shared" ca="1" si="140"/>
        <v>0</v>
      </c>
      <c r="AV382" t="str">
        <f ca="1">IF(AU382=1,IF(INDEX(分析データ!$A:$A,ROW()+$C$5)&lt;&gt;"",80000*SIGN(AT382)*(分析データ!B382-INDEX(分析データ!B:B,ROW()+$C$5)),""),"")</f>
        <v/>
      </c>
      <c r="AW382">
        <f t="shared" ca="1" si="141"/>
        <v>0</v>
      </c>
      <c r="AX382">
        <f t="shared" ca="1" si="142"/>
        <v>0</v>
      </c>
      <c r="AY382">
        <f t="shared" ca="1" si="143"/>
        <v>0</v>
      </c>
      <c r="AZ382">
        <f ca="1">IF(ROW()&lt;($C$7+1),"",IFERROR((分析データ!C382-AVERAGE(OFFSET(分析データ!C$1,MAX(1,ROW()-$C$7),0,MIN($C$7,ROW()-1),1)))/STDEV(OFFSET(分析データ!C$1,MAX(1,ROW()-$C$7),0,MIN($C$7,ROW()-1),1)),0))</f>
        <v>-0.29863815692313578</v>
      </c>
      <c r="BA382">
        <f t="shared" ca="1" si="144"/>
        <v>0</v>
      </c>
      <c r="BB382" t="str">
        <f ca="1">IF(BA382=1,IF(INDEX(分析データ!$A:$A,ROW()+$C$5)&lt;&gt;"",60000*SIGN(AZ382)*(分析データ!C382-INDEX(分析データ!C:C,ROW()+$C$5)),""),"")</f>
        <v/>
      </c>
      <c r="BC382">
        <f t="shared" ca="1" si="145"/>
        <v>0</v>
      </c>
      <c r="BD382">
        <f t="shared" ca="1" si="146"/>
        <v>0</v>
      </c>
      <c r="BE382">
        <f t="shared" ca="1" si="147"/>
        <v>0</v>
      </c>
      <c r="BF382">
        <f ca="1">IF(ROW()&lt;($C$7+1),"",IFERROR((分析データ!D382-AVERAGE(OFFSET(分析データ!D$1,MAX(1,ROW()-$C$7),0,MIN($C$7,ROW()-1),1)))/STDEV(OFFSET(分析データ!D$1,MAX(1,ROW()-$C$7),0,MIN($C$7,ROW()-1),1)),0))</f>
        <v>-1.6816688050307418</v>
      </c>
      <c r="BG382">
        <f t="shared" ca="1" si="148"/>
        <v>0</v>
      </c>
      <c r="BH382" t="str">
        <f ca="1">IF(BG382=1,IF(INDEX(分析データ!$A:$A,ROW()+$C$5)&lt;&gt;"",50000*SIGN(BF382)*(分析データ!D382-INDEX(分析データ!D:D,ROW()+$C$5)),""),"")</f>
        <v/>
      </c>
      <c r="BI382">
        <f t="shared" ca="1" si="149"/>
        <v>0</v>
      </c>
      <c r="BJ382">
        <f t="shared" ca="1" si="150"/>
        <v>0</v>
      </c>
      <c r="BK382">
        <f t="shared" ca="1" si="151"/>
        <v>0</v>
      </c>
      <c r="BL382">
        <f ca="1">IF(ROW()&lt;($C$7+1),"",IFERROR((分析データ!E382-AVERAGE(OFFSET(分析データ!E$1,MAX(1,ROW()-$C$7),0,MIN($C$7,ROW()-1),1)))/STDEV(OFFSET(分析データ!E$1,MAX(1,ROW()-$C$7),0,MIN($C$7,ROW()-1),1)),0))</f>
        <v>0.78823733066781709</v>
      </c>
      <c r="BM382">
        <f t="shared" ca="1" si="152"/>
        <v>0</v>
      </c>
      <c r="BN382" t="str">
        <f ca="1">IF(BM382=1,IF(INDEX(分析データ!$A:$A,ROW()+$C$5)&lt;&gt;"",40000*SIGN(BL382)*(分析データ!E382-INDEX(分析データ!E:E,ROW()+$C$5)),""),"")</f>
        <v/>
      </c>
      <c r="BO382">
        <f t="shared" ca="1" si="153"/>
        <v>280000.00000000291</v>
      </c>
      <c r="BP382">
        <f t="shared" ca="1" si="154"/>
        <v>280000.00000000291</v>
      </c>
      <c r="BQ382">
        <f t="shared" ca="1" si="155"/>
        <v>0</v>
      </c>
      <c r="BR382">
        <f ca="1">IF(ROW()&lt;($C$7+1),"",IFERROR((分析データ!F382-AVERAGE(OFFSET(分析データ!F$1,MAX(1,ROW()-$C$7),0,MIN($C$7,ROW()-1),1)))/STDEV(OFFSET(分析データ!F$1,MAX(1,ROW()-$C$7),0,MIN($C$7,ROW()-1),1)),0))</f>
        <v>0.10543799389108496</v>
      </c>
      <c r="BS382">
        <f t="shared" ca="1" si="156"/>
        <v>0</v>
      </c>
      <c r="BT382" t="str">
        <f ca="1">IF(BS382=1,IF(INDEX(分析データ!$A:$A,ROW()+$C$5)&lt;&gt;"",40000*SIGN(BR382)*(分析データ!F382-INDEX(分析データ!F:F,ROW()+$C$5)),""),"")</f>
        <v/>
      </c>
      <c r="BU382">
        <f t="shared" ca="1" si="157"/>
        <v>583200.00000000163</v>
      </c>
      <c r="BV382">
        <f t="shared" ca="1" si="158"/>
        <v>583200.00000000163</v>
      </c>
      <c r="BW382">
        <f t="shared" ca="1" si="159"/>
        <v>0</v>
      </c>
      <c r="BX382">
        <f ca="1">IF(ROW()&lt;($C$7+1),"",IFERROR((分析データ!G382-AVERAGE(OFFSET(分析データ!G$1,MAX(1,ROW()-$C$7),0,MIN($C$7,ROW()-1),1)))/STDEV(OFFSET(分析データ!G$1,MAX(1,ROW()-$C$7),0,MIN($C$7,ROW()-1),1)),0))</f>
        <v>1.0415323636250013</v>
      </c>
      <c r="BY382">
        <f t="shared" ca="1" si="160"/>
        <v>0</v>
      </c>
      <c r="BZ382" t="str">
        <f ca="1">IF(BY382=1,IF(INDEX(分析データ!$A:$A,ROW()+$C$5)&lt;&gt;"",40000*SIGN(BX382)*(分析データ!G382-INDEX(分析データ!G:G,ROW()+$C$5)),""),"")</f>
        <v/>
      </c>
      <c r="CA382">
        <f t="shared" ca="1" si="161"/>
        <v>3095574.2871093722</v>
      </c>
      <c r="CB382">
        <f t="shared" ca="1" si="162"/>
        <v>3095574.2871093722</v>
      </c>
      <c r="CC382">
        <f t="shared" ca="1" si="163"/>
        <v>0</v>
      </c>
      <c r="CD382">
        <f t="shared" ca="1" si="164"/>
        <v>0</v>
      </c>
      <c r="CE382">
        <f t="shared" ca="1" si="165"/>
        <v>3958774.2871093769</v>
      </c>
      <c r="CF382">
        <f t="shared" ca="1" si="166"/>
        <v>3958774.2871093769</v>
      </c>
      <c r="CG382">
        <f t="shared" ca="1" si="167"/>
        <v>0</v>
      </c>
      <c r="CH382" s="10">
        <f>分析データ!A382</f>
        <v>45483</v>
      </c>
    </row>
    <row r="383" spans="46:86">
      <c r="AT383">
        <f ca="1">IF(ROW()&lt;($C$7+1),"",IFERROR((分析データ!B383-AVERAGE(OFFSET(分析データ!B$1,MAX(1,ROW()-$C$7),0,MIN($C$7,ROW()-1),1)))/STDEV(OFFSET(分析データ!B$1,MAX(1,ROW()-$C$7),0,MIN($C$7,ROW()-1),1)),0))</f>
        <v>0.4407737673841825</v>
      </c>
      <c r="AU383">
        <f t="shared" ca="1" si="140"/>
        <v>0</v>
      </c>
      <c r="AV383" t="str">
        <f ca="1">IF(AU383=1,IF(INDEX(分析データ!$A:$A,ROW()+$C$5)&lt;&gt;"",80000*SIGN(AT383)*(分析データ!B383-INDEX(分析データ!B:B,ROW()+$C$5)),""),"")</f>
        <v/>
      </c>
      <c r="AW383">
        <f t="shared" ca="1" si="141"/>
        <v>0</v>
      </c>
      <c r="AX383">
        <f t="shared" ca="1" si="142"/>
        <v>0</v>
      </c>
      <c r="AY383">
        <f t="shared" ca="1" si="143"/>
        <v>0</v>
      </c>
      <c r="AZ383">
        <f ca="1">IF(ROW()&lt;($C$7+1),"",IFERROR((分析データ!C383-AVERAGE(OFFSET(分析データ!C$1,MAX(1,ROW()-$C$7),0,MIN($C$7,ROW()-1),1)))/STDEV(OFFSET(分析データ!C$1,MAX(1,ROW()-$C$7),0,MIN($C$7,ROW()-1),1)),0))</f>
        <v>-0.38446776137216587</v>
      </c>
      <c r="BA383">
        <f t="shared" ca="1" si="144"/>
        <v>0</v>
      </c>
      <c r="BB383" t="str">
        <f ca="1">IF(BA383=1,IF(INDEX(分析データ!$A:$A,ROW()+$C$5)&lt;&gt;"",60000*SIGN(AZ383)*(分析データ!C383-INDEX(分析データ!C:C,ROW()+$C$5)),""),"")</f>
        <v/>
      </c>
      <c r="BC383">
        <f t="shared" ca="1" si="145"/>
        <v>0</v>
      </c>
      <c r="BD383">
        <f t="shared" ca="1" si="146"/>
        <v>0</v>
      </c>
      <c r="BE383">
        <f t="shared" ca="1" si="147"/>
        <v>0</v>
      </c>
      <c r="BF383">
        <f ca="1">IF(ROW()&lt;($C$7+1),"",IFERROR((分析データ!D383-AVERAGE(OFFSET(分析データ!D$1,MAX(1,ROW()-$C$7),0,MIN($C$7,ROW()-1),1)))/STDEV(OFFSET(分析データ!D$1,MAX(1,ROW()-$C$7),0,MIN($C$7,ROW()-1),1)),0))</f>
        <v>-2.0249220376152488</v>
      </c>
      <c r="BG383">
        <f t="shared" ca="1" si="148"/>
        <v>1</v>
      </c>
      <c r="BH383">
        <f ca="1">IF(BG383=1,IF(INDEX(分析データ!$A:$A,ROW()+$C$5)&lt;&gt;"",50000*SIGN(BF383)*(分析データ!D383-INDEX(分析データ!D:D,ROW()+$C$5)),""),"")</f>
        <v>404999.99999999546</v>
      </c>
      <c r="BI383">
        <f t="shared" ca="1" si="149"/>
        <v>404999.99999999546</v>
      </c>
      <c r="BJ383">
        <f t="shared" ca="1" si="150"/>
        <v>404999.99999999546</v>
      </c>
      <c r="BK383">
        <f t="shared" ca="1" si="151"/>
        <v>0</v>
      </c>
      <c r="BL383">
        <f ca="1">IF(ROW()&lt;($C$7+1),"",IFERROR((分析データ!E383-AVERAGE(OFFSET(分析データ!E$1,MAX(1,ROW()-$C$7),0,MIN($C$7,ROW()-1),1)))/STDEV(OFFSET(分析データ!E$1,MAX(1,ROW()-$C$7),0,MIN($C$7,ROW()-1),1)),0))</f>
        <v>1.1496112823661264</v>
      </c>
      <c r="BM383">
        <f t="shared" ca="1" si="152"/>
        <v>0</v>
      </c>
      <c r="BN383" t="str">
        <f ca="1">IF(BM383=1,IF(INDEX(分析データ!$A:$A,ROW()+$C$5)&lt;&gt;"",40000*SIGN(BL383)*(分析データ!E383-INDEX(分析データ!E:E,ROW()+$C$5)),""),"")</f>
        <v/>
      </c>
      <c r="BO383">
        <f t="shared" ca="1" si="153"/>
        <v>280000.00000000291</v>
      </c>
      <c r="BP383">
        <f t="shared" ca="1" si="154"/>
        <v>280000.00000000291</v>
      </c>
      <c r="BQ383">
        <f t="shared" ca="1" si="155"/>
        <v>0</v>
      </c>
      <c r="BR383">
        <f ca="1">IF(ROW()&lt;($C$7+1),"",IFERROR((分析データ!F383-AVERAGE(OFFSET(分析データ!F$1,MAX(1,ROW()-$C$7),0,MIN($C$7,ROW()-1),1)))/STDEV(OFFSET(分析データ!F$1,MAX(1,ROW()-$C$7),0,MIN($C$7,ROW()-1),1)),0))</f>
        <v>0.31314035160740339</v>
      </c>
      <c r="BS383">
        <f t="shared" ca="1" si="156"/>
        <v>0</v>
      </c>
      <c r="BT383" t="str">
        <f ca="1">IF(BS383=1,IF(INDEX(分析データ!$A:$A,ROW()+$C$5)&lt;&gt;"",40000*SIGN(BR383)*(分析データ!F383-INDEX(分析データ!F:F,ROW()+$C$5)),""),"")</f>
        <v/>
      </c>
      <c r="BU383">
        <f t="shared" ca="1" si="157"/>
        <v>583200.00000000163</v>
      </c>
      <c r="BV383">
        <f t="shared" ca="1" si="158"/>
        <v>583200.00000000163</v>
      </c>
      <c r="BW383">
        <f t="shared" ca="1" si="159"/>
        <v>0</v>
      </c>
      <c r="BX383">
        <f ca="1">IF(ROW()&lt;($C$7+1),"",IFERROR((分析データ!G383-AVERAGE(OFFSET(分析データ!G$1,MAX(1,ROW()-$C$7),0,MIN($C$7,ROW()-1),1)))/STDEV(OFFSET(分析データ!G$1,MAX(1,ROW()-$C$7),0,MIN($C$7,ROW()-1),1)),0))</f>
        <v>1.1107250440139034</v>
      </c>
      <c r="BY383">
        <f t="shared" ca="1" si="160"/>
        <v>0</v>
      </c>
      <c r="BZ383" t="str">
        <f ca="1">IF(BY383=1,IF(INDEX(分析データ!$A:$A,ROW()+$C$5)&lt;&gt;"",40000*SIGN(BX383)*(分析データ!G383-INDEX(分析データ!G:G,ROW()+$C$5)),""),"")</f>
        <v/>
      </c>
      <c r="CA383">
        <f t="shared" ca="1" si="161"/>
        <v>3095574.2871093722</v>
      </c>
      <c r="CB383">
        <f t="shared" ca="1" si="162"/>
        <v>3095574.2871093722</v>
      </c>
      <c r="CC383">
        <f t="shared" ca="1" si="163"/>
        <v>0</v>
      </c>
      <c r="CD383">
        <f t="shared" ca="1" si="164"/>
        <v>404999.99999999546</v>
      </c>
      <c r="CE383">
        <f t="shared" ca="1" si="165"/>
        <v>4363774.2871093722</v>
      </c>
      <c r="CF383">
        <f t="shared" ca="1" si="166"/>
        <v>4363774.2871093722</v>
      </c>
      <c r="CG383">
        <f t="shared" ca="1" si="167"/>
        <v>0</v>
      </c>
      <c r="CH383" s="10">
        <f>分析データ!A383</f>
        <v>45484</v>
      </c>
    </row>
    <row r="384" spans="46:86">
      <c r="AT384">
        <f ca="1">IF(ROW()&lt;($C$7+1),"",IFERROR((分析データ!B384-AVERAGE(OFFSET(分析データ!B$1,MAX(1,ROW()-$C$7),0,MIN($C$7,ROW()-1),1)))/STDEV(OFFSET(分析データ!B$1,MAX(1,ROW()-$C$7),0,MIN($C$7,ROW()-1),1)),0))</f>
        <v>0.61378127020430451</v>
      </c>
      <c r="AU384">
        <f t="shared" ca="1" si="140"/>
        <v>0</v>
      </c>
      <c r="AV384" t="str">
        <f ca="1">IF(AU384=1,IF(INDEX(分析データ!$A:$A,ROW()+$C$5)&lt;&gt;"",80000*SIGN(AT384)*(分析データ!B384-INDEX(分析データ!B:B,ROW()+$C$5)),""),"")</f>
        <v/>
      </c>
      <c r="AW384">
        <f t="shared" ca="1" si="141"/>
        <v>0</v>
      </c>
      <c r="AX384">
        <f t="shared" ca="1" si="142"/>
        <v>0</v>
      </c>
      <c r="AY384">
        <f t="shared" ca="1" si="143"/>
        <v>0</v>
      </c>
      <c r="AZ384">
        <f ca="1">IF(ROW()&lt;($C$7+1),"",IFERROR((分析データ!C384-AVERAGE(OFFSET(分析データ!C$1,MAX(1,ROW()-$C$7),0,MIN($C$7,ROW()-1),1)))/STDEV(OFFSET(分析データ!C$1,MAX(1,ROW()-$C$7),0,MIN($C$7,ROW()-1),1)),0))</f>
        <v>-0.51823782967261045</v>
      </c>
      <c r="BA384">
        <f t="shared" ca="1" si="144"/>
        <v>0</v>
      </c>
      <c r="BB384" t="str">
        <f ca="1">IF(BA384=1,IF(INDEX(分析データ!$A:$A,ROW()+$C$5)&lt;&gt;"",60000*SIGN(AZ384)*(分析データ!C384-INDEX(分析データ!C:C,ROW()+$C$5)),""),"")</f>
        <v/>
      </c>
      <c r="BC384">
        <f t="shared" ca="1" si="145"/>
        <v>0</v>
      </c>
      <c r="BD384">
        <f t="shared" ca="1" si="146"/>
        <v>0</v>
      </c>
      <c r="BE384">
        <f t="shared" ca="1" si="147"/>
        <v>0</v>
      </c>
      <c r="BF384">
        <f ca="1">IF(ROW()&lt;($C$7+1),"",IFERROR((分析データ!D384-AVERAGE(OFFSET(分析データ!D$1,MAX(1,ROW()-$C$7),0,MIN($C$7,ROW()-1),1)))/STDEV(OFFSET(分析データ!D$1,MAX(1,ROW()-$C$7),0,MIN($C$7,ROW()-1),1)),0))</f>
        <v>-1.9351306938454826</v>
      </c>
      <c r="BG384">
        <f t="shared" ca="1" si="148"/>
        <v>0</v>
      </c>
      <c r="BH384" t="str">
        <f ca="1">IF(BG384=1,IF(INDEX(分析データ!$A:$A,ROW()+$C$5)&lt;&gt;"",50000*SIGN(BF384)*(分析データ!D384-INDEX(分析データ!D:D,ROW()+$C$5)),""),"")</f>
        <v/>
      </c>
      <c r="BI384">
        <f t="shared" ca="1" si="149"/>
        <v>404999.99999999546</v>
      </c>
      <c r="BJ384">
        <f t="shared" ca="1" si="150"/>
        <v>404999.99999999546</v>
      </c>
      <c r="BK384">
        <f t="shared" ca="1" si="151"/>
        <v>0</v>
      </c>
      <c r="BL384">
        <f ca="1">IF(ROW()&lt;($C$7+1),"",IFERROR((分析データ!E384-AVERAGE(OFFSET(分析データ!E$1,MAX(1,ROW()-$C$7),0,MIN($C$7,ROW()-1),1)))/STDEV(OFFSET(分析データ!E$1,MAX(1,ROW()-$C$7),0,MIN($C$7,ROW()-1),1)),0))</f>
        <v>1.2717360871522434</v>
      </c>
      <c r="BM384">
        <f t="shared" ca="1" si="152"/>
        <v>0</v>
      </c>
      <c r="BN384" t="str">
        <f ca="1">IF(BM384=1,IF(INDEX(分析データ!$A:$A,ROW()+$C$5)&lt;&gt;"",40000*SIGN(BL384)*(分析データ!E384-INDEX(分析データ!E:E,ROW()+$C$5)),""),"")</f>
        <v/>
      </c>
      <c r="BO384">
        <f t="shared" ca="1" si="153"/>
        <v>280000.00000000291</v>
      </c>
      <c r="BP384">
        <f t="shared" ca="1" si="154"/>
        <v>280000.00000000291</v>
      </c>
      <c r="BQ384">
        <f t="shared" ca="1" si="155"/>
        <v>0</v>
      </c>
      <c r="BR384">
        <f ca="1">IF(ROW()&lt;($C$7+1),"",IFERROR((分析データ!F384-AVERAGE(OFFSET(分析データ!F$1,MAX(1,ROW()-$C$7),0,MIN($C$7,ROW()-1),1)))/STDEV(OFFSET(分析データ!F$1,MAX(1,ROW()-$C$7),0,MIN($C$7,ROW()-1),1)),0))</f>
        <v>0.2320756205703364</v>
      </c>
      <c r="BS384">
        <f t="shared" ca="1" si="156"/>
        <v>0</v>
      </c>
      <c r="BT384" t="str">
        <f ca="1">IF(BS384=1,IF(INDEX(分析データ!$A:$A,ROW()+$C$5)&lt;&gt;"",40000*SIGN(BR384)*(分析データ!F384-INDEX(分析データ!F:F,ROW()+$C$5)),""),"")</f>
        <v/>
      </c>
      <c r="BU384">
        <f t="shared" ca="1" si="157"/>
        <v>583200.00000000163</v>
      </c>
      <c r="BV384">
        <f t="shared" ca="1" si="158"/>
        <v>583200.00000000163</v>
      </c>
      <c r="BW384">
        <f t="shared" ca="1" si="159"/>
        <v>0</v>
      </c>
      <c r="BX384">
        <f ca="1">IF(ROW()&lt;($C$7+1),"",IFERROR((分析データ!G384-AVERAGE(OFFSET(分析データ!G$1,MAX(1,ROW()-$C$7),0,MIN($C$7,ROW()-1),1)))/STDEV(OFFSET(分析データ!G$1,MAX(1,ROW()-$C$7),0,MIN($C$7,ROW()-1),1)),0))</f>
        <v>1.10513895576643</v>
      </c>
      <c r="BY384">
        <f t="shared" ca="1" si="160"/>
        <v>0</v>
      </c>
      <c r="BZ384" t="str">
        <f ca="1">IF(BY384=1,IF(INDEX(分析データ!$A:$A,ROW()+$C$5)&lt;&gt;"",40000*SIGN(BX384)*(分析データ!G384-INDEX(分析データ!G:G,ROW()+$C$5)),""),"")</f>
        <v/>
      </c>
      <c r="CA384">
        <f t="shared" ca="1" si="161"/>
        <v>3095574.2871093722</v>
      </c>
      <c r="CB384">
        <f t="shared" ca="1" si="162"/>
        <v>3095574.2871093722</v>
      </c>
      <c r="CC384">
        <f t="shared" ca="1" si="163"/>
        <v>0</v>
      </c>
      <c r="CD384">
        <f t="shared" ca="1" si="164"/>
        <v>0</v>
      </c>
      <c r="CE384">
        <f t="shared" ca="1" si="165"/>
        <v>4363774.2871093722</v>
      </c>
      <c r="CF384">
        <f t="shared" ca="1" si="166"/>
        <v>4363774.2871093722</v>
      </c>
      <c r="CG384">
        <f t="shared" ca="1" si="167"/>
        <v>0</v>
      </c>
      <c r="CH384" s="10">
        <f>分析データ!A384</f>
        <v>45485</v>
      </c>
    </row>
    <row r="385" spans="46:86">
      <c r="AT385">
        <f ca="1">IF(ROW()&lt;($C$7+1),"",IFERROR((分析データ!B385-AVERAGE(OFFSET(分析データ!B$1,MAX(1,ROW()-$C$7),0,MIN($C$7,ROW()-1),1)))/STDEV(OFFSET(分析データ!B$1,MAX(1,ROW()-$C$7),0,MIN($C$7,ROW()-1),1)),0))</f>
        <v>0.84933112739624272</v>
      </c>
      <c r="AU385">
        <f t="shared" ca="1" si="140"/>
        <v>0</v>
      </c>
      <c r="AV385" t="str">
        <f ca="1">IF(AU385=1,IF(INDEX(分析データ!$A:$A,ROW()+$C$5)&lt;&gt;"",80000*SIGN(AT385)*(分析データ!B385-INDEX(分析データ!B:B,ROW()+$C$5)),""),"")</f>
        <v/>
      </c>
      <c r="AW385">
        <f t="shared" ca="1" si="141"/>
        <v>0</v>
      </c>
      <c r="AX385">
        <f t="shared" ca="1" si="142"/>
        <v>0</v>
      </c>
      <c r="AY385">
        <f t="shared" ca="1" si="143"/>
        <v>0</v>
      </c>
      <c r="AZ385">
        <f ca="1">IF(ROW()&lt;($C$7+1),"",IFERROR((分析データ!C385-AVERAGE(OFFSET(分析データ!C$1,MAX(1,ROW()-$C$7),0,MIN($C$7,ROW()-1),1)))/STDEV(OFFSET(分析データ!C$1,MAX(1,ROW()-$C$7),0,MIN($C$7,ROW()-1),1)),0))</f>
        <v>-0.51522060594278829</v>
      </c>
      <c r="BA385">
        <f t="shared" ca="1" si="144"/>
        <v>0</v>
      </c>
      <c r="BB385" t="str">
        <f ca="1">IF(BA385=1,IF(INDEX(分析データ!$A:$A,ROW()+$C$5)&lt;&gt;"",60000*SIGN(AZ385)*(分析データ!C385-INDEX(分析データ!C:C,ROW()+$C$5)),""),"")</f>
        <v/>
      </c>
      <c r="BC385">
        <f t="shared" ca="1" si="145"/>
        <v>0</v>
      </c>
      <c r="BD385">
        <f t="shared" ca="1" si="146"/>
        <v>0</v>
      </c>
      <c r="BE385">
        <f t="shared" ca="1" si="147"/>
        <v>0</v>
      </c>
      <c r="BF385">
        <f ca="1">IF(ROW()&lt;($C$7+1),"",IFERROR((分析データ!D385-AVERAGE(OFFSET(分析データ!D$1,MAX(1,ROW()-$C$7),0,MIN($C$7,ROW()-1),1)))/STDEV(OFFSET(分析データ!D$1,MAX(1,ROW()-$C$7),0,MIN($C$7,ROW()-1),1)),0))</f>
        <v>-1.6848201041082147</v>
      </c>
      <c r="BG385">
        <f t="shared" ca="1" si="148"/>
        <v>0</v>
      </c>
      <c r="BH385" t="str">
        <f ca="1">IF(BG385=1,IF(INDEX(分析データ!$A:$A,ROW()+$C$5)&lt;&gt;"",50000*SIGN(BF385)*(分析データ!D385-INDEX(分析データ!D:D,ROW()+$C$5)),""),"")</f>
        <v/>
      </c>
      <c r="BI385">
        <f t="shared" ca="1" si="149"/>
        <v>404999.99999999546</v>
      </c>
      <c r="BJ385">
        <f t="shared" ca="1" si="150"/>
        <v>404999.99999999546</v>
      </c>
      <c r="BK385">
        <f t="shared" ca="1" si="151"/>
        <v>0</v>
      </c>
      <c r="BL385">
        <f ca="1">IF(ROW()&lt;($C$7+1),"",IFERROR((分析データ!E385-AVERAGE(OFFSET(分析データ!E$1,MAX(1,ROW()-$C$7),0,MIN($C$7,ROW()-1),1)))/STDEV(OFFSET(分析データ!E$1,MAX(1,ROW()-$C$7),0,MIN($C$7,ROW()-1),1)),0))</f>
        <v>1.5141802882343041</v>
      </c>
      <c r="BM385">
        <f t="shared" ca="1" si="152"/>
        <v>0</v>
      </c>
      <c r="BN385" t="str">
        <f ca="1">IF(BM385=1,IF(INDEX(分析データ!$A:$A,ROW()+$C$5)&lt;&gt;"",40000*SIGN(BL385)*(分析データ!E385-INDEX(分析データ!E:E,ROW()+$C$5)),""),"")</f>
        <v/>
      </c>
      <c r="BO385">
        <f t="shared" ca="1" si="153"/>
        <v>280000.00000000291</v>
      </c>
      <c r="BP385">
        <f t="shared" ca="1" si="154"/>
        <v>280000.00000000291</v>
      </c>
      <c r="BQ385">
        <f t="shared" ca="1" si="155"/>
        <v>0</v>
      </c>
      <c r="BR385">
        <f ca="1">IF(ROW()&lt;($C$7+1),"",IFERROR((分析データ!F385-AVERAGE(OFFSET(分析データ!F$1,MAX(1,ROW()-$C$7),0,MIN($C$7,ROW()-1),1)))/STDEV(OFFSET(分析データ!F$1,MAX(1,ROW()-$C$7),0,MIN($C$7,ROW()-1),1)),0))</f>
        <v>0.23916350645484669</v>
      </c>
      <c r="BS385">
        <f t="shared" ca="1" si="156"/>
        <v>0</v>
      </c>
      <c r="BT385" t="str">
        <f ca="1">IF(BS385=1,IF(INDEX(分析データ!$A:$A,ROW()+$C$5)&lt;&gt;"",40000*SIGN(BR385)*(分析データ!F385-INDEX(分析データ!F:F,ROW()+$C$5)),""),"")</f>
        <v/>
      </c>
      <c r="BU385">
        <f t="shared" ca="1" si="157"/>
        <v>583200.00000000163</v>
      </c>
      <c r="BV385">
        <f t="shared" ca="1" si="158"/>
        <v>583200.00000000163</v>
      </c>
      <c r="BW385">
        <f t="shared" ca="1" si="159"/>
        <v>0</v>
      </c>
      <c r="BX385">
        <f ca="1">IF(ROW()&lt;($C$7+1),"",IFERROR((分析データ!G385-AVERAGE(OFFSET(分析データ!G$1,MAX(1,ROW()-$C$7),0,MIN($C$7,ROW()-1),1)))/STDEV(OFFSET(分析データ!G$1,MAX(1,ROW()-$C$7),0,MIN($C$7,ROW()-1),1)),0))</f>
        <v>0.98111474183132352</v>
      </c>
      <c r="BY385">
        <f t="shared" ca="1" si="160"/>
        <v>0</v>
      </c>
      <c r="BZ385" t="str">
        <f ca="1">IF(BY385=1,IF(INDEX(分析データ!$A:$A,ROW()+$C$5)&lt;&gt;"",40000*SIGN(BX385)*(分析データ!G385-INDEX(分析データ!G:G,ROW()+$C$5)),""),"")</f>
        <v/>
      </c>
      <c r="CA385">
        <f t="shared" ca="1" si="161"/>
        <v>3095574.2871093722</v>
      </c>
      <c r="CB385">
        <f t="shared" ca="1" si="162"/>
        <v>3095574.2871093722</v>
      </c>
      <c r="CC385">
        <f t="shared" ca="1" si="163"/>
        <v>0</v>
      </c>
      <c r="CD385">
        <f t="shared" ca="1" si="164"/>
        <v>0</v>
      </c>
      <c r="CE385">
        <f t="shared" ca="1" si="165"/>
        <v>4363774.2871093722</v>
      </c>
      <c r="CF385">
        <f t="shared" ca="1" si="166"/>
        <v>4363774.2871093722</v>
      </c>
      <c r="CG385">
        <f t="shared" ca="1" si="167"/>
        <v>0</v>
      </c>
      <c r="CH385" s="10">
        <f>分析データ!A385</f>
        <v>45488</v>
      </c>
    </row>
    <row r="386" spans="46:86">
      <c r="AT386">
        <f ca="1">IF(ROW()&lt;($C$7+1),"",IFERROR((分析データ!B386-AVERAGE(OFFSET(分析データ!B$1,MAX(1,ROW()-$C$7),0,MIN($C$7,ROW()-1),1)))/STDEV(OFFSET(分析データ!B$1,MAX(1,ROW()-$C$7),0,MIN($C$7,ROW()-1),1)),0))</f>
        <v>0.66227439968410851</v>
      </c>
      <c r="AU386">
        <f t="shared" ref="AU386:AU449" ca="1" si="168">IF(ISNUMBER(AT386),IF(ABS(AT386)&gt;=$C$6,1,0),0)</f>
        <v>0</v>
      </c>
      <c r="AV386" t="str">
        <f ca="1">IF(AU386=1,IF(INDEX(分析データ!$A:$A,ROW()+$C$5)&lt;&gt;"",80000*SIGN(AT386)*(分析データ!B386-INDEX(分析データ!B:B,ROW()+$C$5)),""),"")</f>
        <v/>
      </c>
      <c r="AW386">
        <f t="shared" ref="AW386:AW449" ca="1" si="169">AW385+IF(AND(AU386=1,ISNUMBER(AV386)),AV386,0)</f>
        <v>0</v>
      </c>
      <c r="AX386">
        <f t="shared" ref="AX386:AX449" ca="1" si="170">MAX(AX385,AW386)</f>
        <v>0</v>
      </c>
      <c r="AY386">
        <f t="shared" ref="AY386:AY449" ca="1" si="171">AW386-AX386</f>
        <v>0</v>
      </c>
      <c r="AZ386">
        <f ca="1">IF(ROW()&lt;($C$7+1),"",IFERROR((分析データ!C386-AVERAGE(OFFSET(分析データ!C$1,MAX(1,ROW()-$C$7),0,MIN($C$7,ROW()-1),1)))/STDEV(OFFSET(分析データ!C$1,MAX(1,ROW()-$C$7),0,MIN($C$7,ROW()-1),1)),0))</f>
        <v>-0.74502556997809521</v>
      </c>
      <c r="BA386">
        <f t="shared" ref="BA386:BA449" ca="1" si="172">IF(ISNUMBER(AZ386),IF(ABS(AZ386)&gt;=$C$6,1,0),0)</f>
        <v>0</v>
      </c>
      <c r="BB386" t="str">
        <f ca="1">IF(BA386=1,IF(INDEX(分析データ!$A:$A,ROW()+$C$5)&lt;&gt;"",60000*SIGN(AZ386)*(分析データ!C386-INDEX(分析データ!C:C,ROW()+$C$5)),""),"")</f>
        <v/>
      </c>
      <c r="BC386">
        <f t="shared" ref="BC386:BC449" ca="1" si="173">BC385+IF(AND(BA386=1,ISNUMBER(BB386)),BB386,0)</f>
        <v>0</v>
      </c>
      <c r="BD386">
        <f t="shared" ref="BD386:BD449" ca="1" si="174">MAX(BD385,BC386)</f>
        <v>0</v>
      </c>
      <c r="BE386">
        <f t="shared" ref="BE386:BE449" ca="1" si="175">BC386-BD386</f>
        <v>0</v>
      </c>
      <c r="BF386">
        <f ca="1">IF(ROW()&lt;($C$7+1),"",IFERROR((分析データ!D386-AVERAGE(OFFSET(分析データ!D$1,MAX(1,ROW()-$C$7),0,MIN($C$7,ROW()-1),1)))/STDEV(OFFSET(分析データ!D$1,MAX(1,ROW()-$C$7),0,MIN($C$7,ROW()-1),1)),0))</f>
        <v>-1.8496956634075272</v>
      </c>
      <c r="BG386">
        <f t="shared" ref="BG386:BG449" ca="1" si="176">IF(ISNUMBER(BF386),IF(ABS(BF386)&gt;=$C$6,1,0),0)</f>
        <v>0</v>
      </c>
      <c r="BH386" t="str">
        <f ca="1">IF(BG386=1,IF(INDEX(分析データ!$A:$A,ROW()+$C$5)&lt;&gt;"",50000*SIGN(BF386)*(分析データ!D386-INDEX(分析データ!D:D,ROW()+$C$5)),""),"")</f>
        <v/>
      </c>
      <c r="BI386">
        <f t="shared" ref="BI386:BI449" ca="1" si="177">BI385+IF(AND(BG386=1,ISNUMBER(BH386)),BH386,0)</f>
        <v>404999.99999999546</v>
      </c>
      <c r="BJ386">
        <f t="shared" ref="BJ386:BJ449" ca="1" si="178">MAX(BJ385,BI386)</f>
        <v>404999.99999999546</v>
      </c>
      <c r="BK386">
        <f t="shared" ref="BK386:BK449" ca="1" si="179">BI386-BJ386</f>
        <v>0</v>
      </c>
      <c r="BL386">
        <f ca="1">IF(ROW()&lt;($C$7+1),"",IFERROR((分析データ!E386-AVERAGE(OFFSET(分析データ!E$1,MAX(1,ROW()-$C$7),0,MIN($C$7,ROW()-1),1)))/STDEV(OFFSET(分析データ!E$1,MAX(1,ROW()-$C$7),0,MIN($C$7,ROW()-1),1)),0))</f>
        <v>1.2568093585765376</v>
      </c>
      <c r="BM386">
        <f t="shared" ref="BM386:BM449" ca="1" si="180">IF(ISNUMBER(BL386),IF(ABS(BL386)&gt;=$C$6,1,0),0)</f>
        <v>0</v>
      </c>
      <c r="BN386" t="str">
        <f ca="1">IF(BM386=1,IF(INDEX(分析データ!$A:$A,ROW()+$C$5)&lt;&gt;"",40000*SIGN(BL386)*(分析データ!E386-INDEX(分析データ!E:E,ROW()+$C$5)),""),"")</f>
        <v/>
      </c>
      <c r="BO386">
        <f t="shared" ref="BO386:BO449" ca="1" si="181">BO385+IF(AND(BM386=1,ISNUMBER(BN386)),BN386,0)</f>
        <v>280000.00000000291</v>
      </c>
      <c r="BP386">
        <f t="shared" ref="BP386:BP449" ca="1" si="182">MAX(BP385,BO386)</f>
        <v>280000.00000000291</v>
      </c>
      <c r="BQ386">
        <f t="shared" ref="BQ386:BQ449" ca="1" si="183">BO386-BP386</f>
        <v>0</v>
      </c>
      <c r="BR386">
        <f ca="1">IF(ROW()&lt;($C$7+1),"",IFERROR((分析データ!F386-AVERAGE(OFFSET(分析データ!F$1,MAX(1,ROW()-$C$7),0,MIN($C$7,ROW()-1),1)))/STDEV(OFFSET(分析データ!F$1,MAX(1,ROW()-$C$7),0,MIN($C$7,ROW()-1),1)),0))</f>
        <v>0.29744109459285079</v>
      </c>
      <c r="BS386">
        <f t="shared" ref="BS386:BS449" ca="1" si="184">IF(ISNUMBER(BR386),IF(ABS(BR386)&gt;=$C$6,1,0),0)</f>
        <v>0</v>
      </c>
      <c r="BT386" t="str">
        <f ca="1">IF(BS386=1,IF(INDEX(分析データ!$A:$A,ROW()+$C$5)&lt;&gt;"",40000*SIGN(BR386)*(分析データ!F386-INDEX(分析データ!F:F,ROW()+$C$5)),""),"")</f>
        <v/>
      </c>
      <c r="BU386">
        <f t="shared" ref="BU386:BU449" ca="1" si="185">BU385+IF(AND(BS386=1,ISNUMBER(BT386)),BT386,0)</f>
        <v>583200.00000000163</v>
      </c>
      <c r="BV386">
        <f t="shared" ref="BV386:BV449" ca="1" si="186">MAX(BV385,BU386)</f>
        <v>583200.00000000163</v>
      </c>
      <c r="BW386">
        <f t="shared" ref="BW386:BW449" ca="1" si="187">BU386-BV386</f>
        <v>0</v>
      </c>
      <c r="BX386">
        <f ca="1">IF(ROW()&lt;($C$7+1),"",IFERROR((分析データ!G386-AVERAGE(OFFSET(分析データ!G$1,MAX(1,ROW()-$C$7),0,MIN($C$7,ROW()-1),1)))/STDEV(OFFSET(分析データ!G$1,MAX(1,ROW()-$C$7),0,MIN($C$7,ROW()-1),1)),0))</f>
        <v>1.1030588732735769</v>
      </c>
      <c r="BY386">
        <f t="shared" ref="BY386:BY449" ca="1" si="188">IF(ISNUMBER(BX386),IF(ABS(BX386)&gt;=$C$6,1,0),0)</f>
        <v>0</v>
      </c>
      <c r="BZ386" t="str">
        <f ca="1">IF(BY386=1,IF(INDEX(分析データ!$A:$A,ROW()+$C$5)&lt;&gt;"",40000*SIGN(BX386)*(分析データ!G386-INDEX(分析データ!G:G,ROW()+$C$5)),""),"")</f>
        <v/>
      </c>
      <c r="CA386">
        <f t="shared" ref="CA386:CA449" ca="1" si="189">CA385+IF(AND(BY386=1,ISNUMBER(BZ386)),BZ386,0)</f>
        <v>3095574.2871093722</v>
      </c>
      <c r="CB386">
        <f t="shared" ref="CB386:CB449" ca="1" si="190">MAX(CB385,CA386)</f>
        <v>3095574.2871093722</v>
      </c>
      <c r="CC386">
        <f t="shared" ref="CC386:CC449" ca="1" si="191">CA386-CB386</f>
        <v>0</v>
      </c>
      <c r="CD386">
        <f t="shared" ref="CD386:CD449" ca="1" si="192">N(AV386)+N(BB386)+N(BH386)+N(BN386)+N(BT386)+N(BZ386)</f>
        <v>0</v>
      </c>
      <c r="CE386">
        <f t="shared" ref="CE386:CE449" ca="1" si="193">CE385+CD386</f>
        <v>4363774.2871093722</v>
      </c>
      <c r="CF386">
        <f t="shared" ref="CF386:CF449" ca="1" si="194">MAX(CF385,CE386)</f>
        <v>4363774.2871093722</v>
      </c>
      <c r="CG386">
        <f t="shared" ref="CG386:CG449" ca="1" si="195">CE386-CF386</f>
        <v>0</v>
      </c>
      <c r="CH386" s="10">
        <f>分析データ!A386</f>
        <v>45489</v>
      </c>
    </row>
    <row r="387" spans="46:86">
      <c r="AT387">
        <f ca="1">IF(ROW()&lt;($C$7+1),"",IFERROR((分析データ!B387-AVERAGE(OFFSET(分析データ!B$1,MAX(1,ROW()-$C$7),0,MIN($C$7,ROW()-1),1)))/STDEV(OFFSET(分析データ!B$1,MAX(1,ROW()-$C$7),0,MIN($C$7,ROW()-1),1)),0))</f>
        <v>0.65786183493663986</v>
      </c>
      <c r="AU387">
        <f t="shared" ca="1" si="168"/>
        <v>0</v>
      </c>
      <c r="AV387" t="str">
        <f ca="1">IF(AU387=1,IF(INDEX(分析データ!$A:$A,ROW()+$C$5)&lt;&gt;"",80000*SIGN(AT387)*(分析データ!B387-INDEX(分析データ!B:B,ROW()+$C$5)),""),"")</f>
        <v/>
      </c>
      <c r="AW387">
        <f t="shared" ca="1" si="169"/>
        <v>0</v>
      </c>
      <c r="AX387">
        <f t="shared" ca="1" si="170"/>
        <v>0</v>
      </c>
      <c r="AY387">
        <f t="shared" ca="1" si="171"/>
        <v>0</v>
      </c>
      <c r="AZ387">
        <f ca="1">IF(ROW()&lt;($C$7+1),"",IFERROR((分析データ!C387-AVERAGE(OFFSET(分析データ!C$1,MAX(1,ROW()-$C$7),0,MIN($C$7,ROW()-1),1)))/STDEV(OFFSET(分析データ!C$1,MAX(1,ROW()-$C$7),0,MIN($C$7,ROW()-1),1)),0))</f>
        <v>-0.6938738457672522</v>
      </c>
      <c r="BA387">
        <f t="shared" ca="1" si="172"/>
        <v>0</v>
      </c>
      <c r="BB387" t="str">
        <f ca="1">IF(BA387=1,IF(INDEX(分析データ!$A:$A,ROW()+$C$5)&lt;&gt;"",60000*SIGN(AZ387)*(分析データ!C387-INDEX(分析データ!C:C,ROW()+$C$5)),""),"")</f>
        <v/>
      </c>
      <c r="BC387">
        <f t="shared" ca="1" si="173"/>
        <v>0</v>
      </c>
      <c r="BD387">
        <f t="shared" ca="1" si="174"/>
        <v>0</v>
      </c>
      <c r="BE387">
        <f t="shared" ca="1" si="175"/>
        <v>0</v>
      </c>
      <c r="BF387">
        <f ca="1">IF(ROW()&lt;($C$7+1),"",IFERROR((分析データ!D387-AVERAGE(OFFSET(分析データ!D$1,MAX(1,ROW()-$C$7),0,MIN($C$7,ROW()-1),1)))/STDEV(OFFSET(分析データ!D$1,MAX(1,ROW()-$C$7),0,MIN($C$7,ROW()-1),1)),0))</f>
        <v>-1.9281966612894483</v>
      </c>
      <c r="BG387">
        <f t="shared" ca="1" si="176"/>
        <v>0</v>
      </c>
      <c r="BH387" t="str">
        <f ca="1">IF(BG387=1,IF(INDEX(分析データ!$A:$A,ROW()+$C$5)&lt;&gt;"",50000*SIGN(BF387)*(分析データ!D387-INDEX(分析データ!D:D,ROW()+$C$5)),""),"")</f>
        <v/>
      </c>
      <c r="BI387">
        <f t="shared" ca="1" si="177"/>
        <v>404999.99999999546</v>
      </c>
      <c r="BJ387">
        <f t="shared" ca="1" si="178"/>
        <v>404999.99999999546</v>
      </c>
      <c r="BK387">
        <f t="shared" ca="1" si="179"/>
        <v>0</v>
      </c>
      <c r="BL387">
        <f ca="1">IF(ROW()&lt;($C$7+1),"",IFERROR((分析データ!E387-AVERAGE(OFFSET(分析データ!E$1,MAX(1,ROW()-$C$7),0,MIN($C$7,ROW()-1),1)))/STDEV(OFFSET(分析データ!E$1,MAX(1,ROW()-$C$7),0,MIN($C$7,ROW()-1),1)),0))</f>
        <v>1.3776898420767563</v>
      </c>
      <c r="BM387">
        <f t="shared" ca="1" si="180"/>
        <v>0</v>
      </c>
      <c r="BN387" t="str">
        <f ca="1">IF(BM387=1,IF(INDEX(分析データ!$A:$A,ROW()+$C$5)&lt;&gt;"",40000*SIGN(BL387)*(分析データ!E387-INDEX(分析データ!E:E,ROW()+$C$5)),""),"")</f>
        <v/>
      </c>
      <c r="BO387">
        <f t="shared" ca="1" si="181"/>
        <v>280000.00000000291</v>
      </c>
      <c r="BP387">
        <f t="shared" ca="1" si="182"/>
        <v>280000.00000000291</v>
      </c>
      <c r="BQ387">
        <f t="shared" ca="1" si="183"/>
        <v>0</v>
      </c>
      <c r="BR387">
        <f ca="1">IF(ROW()&lt;($C$7+1),"",IFERROR((分析データ!F387-AVERAGE(OFFSET(分析データ!F$1,MAX(1,ROW()-$C$7),0,MIN($C$7,ROW()-1),1)))/STDEV(OFFSET(分析データ!F$1,MAX(1,ROW()-$C$7),0,MIN($C$7,ROW()-1),1)),0))</f>
        <v>0.23573709182936911</v>
      </c>
      <c r="BS387">
        <f t="shared" ca="1" si="184"/>
        <v>0</v>
      </c>
      <c r="BT387" t="str">
        <f ca="1">IF(BS387=1,IF(INDEX(分析データ!$A:$A,ROW()+$C$5)&lt;&gt;"",40000*SIGN(BR387)*(分析データ!F387-INDEX(分析データ!F:F,ROW()+$C$5)),""),"")</f>
        <v/>
      </c>
      <c r="BU387">
        <f t="shared" ca="1" si="185"/>
        <v>583200.00000000163</v>
      </c>
      <c r="BV387">
        <f t="shared" ca="1" si="186"/>
        <v>583200.00000000163</v>
      </c>
      <c r="BW387">
        <f t="shared" ca="1" si="187"/>
        <v>0</v>
      </c>
      <c r="BX387">
        <f ca="1">IF(ROW()&lt;($C$7+1),"",IFERROR((分析データ!G387-AVERAGE(OFFSET(分析データ!G$1,MAX(1,ROW()-$C$7),0,MIN($C$7,ROW()-1),1)))/STDEV(OFFSET(分析データ!G$1,MAX(1,ROW()-$C$7),0,MIN($C$7,ROW()-1),1)),0))</f>
        <v>1.1521833909534507</v>
      </c>
      <c r="BY387">
        <f t="shared" ca="1" si="188"/>
        <v>0</v>
      </c>
      <c r="BZ387" t="str">
        <f ca="1">IF(BY387=1,IF(INDEX(分析データ!$A:$A,ROW()+$C$5)&lt;&gt;"",40000*SIGN(BX387)*(分析データ!G387-INDEX(分析データ!G:G,ROW()+$C$5)),""),"")</f>
        <v/>
      </c>
      <c r="CA387">
        <f t="shared" ca="1" si="189"/>
        <v>3095574.2871093722</v>
      </c>
      <c r="CB387">
        <f t="shared" ca="1" si="190"/>
        <v>3095574.2871093722</v>
      </c>
      <c r="CC387">
        <f t="shared" ca="1" si="191"/>
        <v>0</v>
      </c>
      <c r="CD387">
        <f t="shared" ca="1" si="192"/>
        <v>0</v>
      </c>
      <c r="CE387">
        <f t="shared" ca="1" si="193"/>
        <v>4363774.2871093722</v>
      </c>
      <c r="CF387">
        <f t="shared" ca="1" si="194"/>
        <v>4363774.2871093722</v>
      </c>
      <c r="CG387">
        <f t="shared" ca="1" si="195"/>
        <v>0</v>
      </c>
      <c r="CH387" s="10">
        <f>分析データ!A387</f>
        <v>45490</v>
      </c>
    </row>
    <row r="388" spans="46:86">
      <c r="AT388">
        <f ca="1">IF(ROW()&lt;($C$7+1),"",IFERROR((分析データ!B388-AVERAGE(OFFSET(分析データ!B$1,MAX(1,ROW()-$C$7),0,MIN($C$7,ROW()-1),1)))/STDEV(OFFSET(分析データ!B$1,MAX(1,ROW()-$C$7),0,MIN($C$7,ROW()-1),1)),0))</f>
        <v>0.65470945805226954</v>
      </c>
      <c r="AU388">
        <f t="shared" ca="1" si="168"/>
        <v>0</v>
      </c>
      <c r="AV388" t="str">
        <f ca="1">IF(AU388=1,IF(INDEX(分析データ!$A:$A,ROW()+$C$5)&lt;&gt;"",80000*SIGN(AT388)*(分析データ!B388-INDEX(分析データ!B:B,ROW()+$C$5)),""),"")</f>
        <v/>
      </c>
      <c r="AW388">
        <f t="shared" ca="1" si="169"/>
        <v>0</v>
      </c>
      <c r="AX388">
        <f t="shared" ca="1" si="170"/>
        <v>0</v>
      </c>
      <c r="AY388">
        <f t="shared" ca="1" si="171"/>
        <v>0</v>
      </c>
      <c r="AZ388">
        <f ca="1">IF(ROW()&lt;($C$7+1),"",IFERROR((分析データ!C388-AVERAGE(OFFSET(分析データ!C$1,MAX(1,ROW()-$C$7),0,MIN($C$7,ROW()-1),1)))/STDEV(OFFSET(分析データ!C$1,MAX(1,ROW()-$C$7),0,MIN($C$7,ROW()-1),1)),0))</f>
        <v>-0.63345507585609895</v>
      </c>
      <c r="BA388">
        <f t="shared" ca="1" si="172"/>
        <v>0</v>
      </c>
      <c r="BB388" t="str">
        <f ca="1">IF(BA388=1,IF(INDEX(分析データ!$A:$A,ROW()+$C$5)&lt;&gt;"",60000*SIGN(AZ388)*(分析データ!C388-INDEX(分析データ!C:C,ROW()+$C$5)),""),"")</f>
        <v/>
      </c>
      <c r="BC388">
        <f t="shared" ca="1" si="173"/>
        <v>0</v>
      </c>
      <c r="BD388">
        <f t="shared" ca="1" si="174"/>
        <v>0</v>
      </c>
      <c r="BE388">
        <f t="shared" ca="1" si="175"/>
        <v>0</v>
      </c>
      <c r="BF388">
        <f ca="1">IF(ROW()&lt;($C$7+1),"",IFERROR((分析データ!D388-AVERAGE(OFFSET(分析データ!D$1,MAX(1,ROW()-$C$7),0,MIN($C$7,ROW()-1),1)))/STDEV(OFFSET(分析データ!D$1,MAX(1,ROW()-$C$7),0,MIN($C$7,ROW()-1),1)),0))</f>
        <v>-1.7526100874863493</v>
      </c>
      <c r="BG388">
        <f t="shared" ca="1" si="176"/>
        <v>0</v>
      </c>
      <c r="BH388" t="str">
        <f ca="1">IF(BG388=1,IF(INDEX(分析データ!$A:$A,ROW()+$C$5)&lt;&gt;"",50000*SIGN(BF388)*(分析データ!D388-INDEX(分析データ!D:D,ROW()+$C$5)),""),"")</f>
        <v/>
      </c>
      <c r="BI388">
        <f t="shared" ca="1" si="177"/>
        <v>404999.99999999546</v>
      </c>
      <c r="BJ388">
        <f t="shared" ca="1" si="178"/>
        <v>404999.99999999546</v>
      </c>
      <c r="BK388">
        <f t="shared" ca="1" si="179"/>
        <v>0</v>
      </c>
      <c r="BL388">
        <f ca="1">IF(ROW()&lt;($C$7+1),"",IFERROR((分析データ!E388-AVERAGE(OFFSET(分析データ!E$1,MAX(1,ROW()-$C$7),0,MIN($C$7,ROW()-1),1)))/STDEV(OFFSET(分析データ!E$1,MAX(1,ROW()-$C$7),0,MIN($C$7,ROW()-1),1)),0))</f>
        <v>1.3735672143763806</v>
      </c>
      <c r="BM388">
        <f t="shared" ca="1" si="180"/>
        <v>0</v>
      </c>
      <c r="BN388" t="str">
        <f ca="1">IF(BM388=1,IF(INDEX(分析データ!$A:$A,ROW()+$C$5)&lt;&gt;"",40000*SIGN(BL388)*(分析データ!E388-INDEX(分析データ!E:E,ROW()+$C$5)),""),"")</f>
        <v/>
      </c>
      <c r="BO388">
        <f t="shared" ca="1" si="181"/>
        <v>280000.00000000291</v>
      </c>
      <c r="BP388">
        <f t="shared" ca="1" si="182"/>
        <v>280000.00000000291</v>
      </c>
      <c r="BQ388">
        <f t="shared" ca="1" si="183"/>
        <v>0</v>
      </c>
      <c r="BR388">
        <f ca="1">IF(ROW()&lt;($C$7+1),"",IFERROR((分析データ!F388-AVERAGE(OFFSET(分析データ!F$1,MAX(1,ROW()-$C$7),0,MIN($C$7,ROW()-1),1)))/STDEV(OFFSET(分析データ!F$1,MAX(1,ROW()-$C$7),0,MIN($C$7,ROW()-1),1)),0))</f>
        <v>6.225823164071078E-2</v>
      </c>
      <c r="BS388">
        <f t="shared" ca="1" si="184"/>
        <v>0</v>
      </c>
      <c r="BT388" t="str">
        <f ca="1">IF(BS388=1,IF(INDEX(分析データ!$A:$A,ROW()+$C$5)&lt;&gt;"",40000*SIGN(BR388)*(分析データ!F388-INDEX(分析データ!F:F,ROW()+$C$5)),""),"")</f>
        <v/>
      </c>
      <c r="BU388">
        <f t="shared" ca="1" si="185"/>
        <v>583200.00000000163</v>
      </c>
      <c r="BV388">
        <f t="shared" ca="1" si="186"/>
        <v>583200.00000000163</v>
      </c>
      <c r="BW388">
        <f t="shared" ca="1" si="187"/>
        <v>0</v>
      </c>
      <c r="BX388">
        <f ca="1">IF(ROW()&lt;($C$7+1),"",IFERROR((分析データ!G388-AVERAGE(OFFSET(分析データ!G$1,MAX(1,ROW()-$C$7),0,MIN($C$7,ROW()-1),1)))/STDEV(OFFSET(分析データ!G$1,MAX(1,ROW()-$C$7),0,MIN($C$7,ROW()-1),1)),0))</f>
        <v>1.1909409433839271</v>
      </c>
      <c r="BY388">
        <f t="shared" ca="1" si="188"/>
        <v>0</v>
      </c>
      <c r="BZ388" t="str">
        <f ca="1">IF(BY388=1,IF(INDEX(分析データ!$A:$A,ROW()+$C$5)&lt;&gt;"",40000*SIGN(BX388)*(分析データ!G388-INDEX(分析データ!G:G,ROW()+$C$5)),""),"")</f>
        <v/>
      </c>
      <c r="CA388">
        <f t="shared" ca="1" si="189"/>
        <v>3095574.2871093722</v>
      </c>
      <c r="CB388">
        <f t="shared" ca="1" si="190"/>
        <v>3095574.2871093722</v>
      </c>
      <c r="CC388">
        <f t="shared" ca="1" si="191"/>
        <v>0</v>
      </c>
      <c r="CD388">
        <f t="shared" ca="1" si="192"/>
        <v>0</v>
      </c>
      <c r="CE388">
        <f t="shared" ca="1" si="193"/>
        <v>4363774.2871093722</v>
      </c>
      <c r="CF388">
        <f t="shared" ca="1" si="194"/>
        <v>4363774.2871093722</v>
      </c>
      <c r="CG388">
        <f t="shared" ca="1" si="195"/>
        <v>0</v>
      </c>
      <c r="CH388" s="10">
        <f>分析データ!A388</f>
        <v>45491</v>
      </c>
    </row>
    <row r="389" spans="46:86">
      <c r="AT389">
        <f ca="1">IF(ROW()&lt;($C$7+1),"",IFERROR((分析データ!B389-AVERAGE(OFFSET(分析データ!B$1,MAX(1,ROW()-$C$7),0,MIN($C$7,ROW()-1),1)))/STDEV(OFFSET(分析データ!B$1,MAX(1,ROW()-$C$7),0,MIN($C$7,ROW()-1),1)),0))</f>
        <v>0.84322417807408545</v>
      </c>
      <c r="AU389">
        <f t="shared" ca="1" si="168"/>
        <v>0</v>
      </c>
      <c r="AV389" t="str">
        <f ca="1">IF(AU389=1,IF(INDEX(分析データ!$A:$A,ROW()+$C$5)&lt;&gt;"",80000*SIGN(AT389)*(分析データ!B389-INDEX(分析データ!B:B,ROW()+$C$5)),""),"")</f>
        <v/>
      </c>
      <c r="AW389">
        <f t="shared" ca="1" si="169"/>
        <v>0</v>
      </c>
      <c r="AX389">
        <f t="shared" ca="1" si="170"/>
        <v>0</v>
      </c>
      <c r="AY389">
        <f t="shared" ca="1" si="171"/>
        <v>0</v>
      </c>
      <c r="AZ389">
        <f ca="1">IF(ROW()&lt;($C$7+1),"",IFERROR((分析データ!C389-AVERAGE(OFFSET(分析データ!C$1,MAX(1,ROW()-$C$7),0,MIN($C$7,ROW()-1),1)))/STDEV(OFFSET(分析データ!C$1,MAX(1,ROW()-$C$7),0,MIN($C$7,ROW()-1),1)),0))</f>
        <v>-0.44924448824478086</v>
      </c>
      <c r="BA389">
        <f t="shared" ca="1" si="172"/>
        <v>0</v>
      </c>
      <c r="BB389" t="str">
        <f ca="1">IF(BA389=1,IF(INDEX(分析データ!$A:$A,ROW()+$C$5)&lt;&gt;"",60000*SIGN(AZ389)*(分析データ!C389-INDEX(分析データ!C:C,ROW()+$C$5)),""),"")</f>
        <v/>
      </c>
      <c r="BC389">
        <f t="shared" ca="1" si="173"/>
        <v>0</v>
      </c>
      <c r="BD389">
        <f t="shared" ca="1" si="174"/>
        <v>0</v>
      </c>
      <c r="BE389">
        <f t="shared" ca="1" si="175"/>
        <v>0</v>
      </c>
      <c r="BF389">
        <f ca="1">IF(ROW()&lt;($C$7+1),"",IFERROR((分析データ!D389-AVERAGE(OFFSET(分析データ!D$1,MAX(1,ROW()-$C$7),0,MIN($C$7,ROW()-1),1)))/STDEV(OFFSET(分析データ!D$1,MAX(1,ROW()-$C$7),0,MIN($C$7,ROW()-1),1)),0))</f>
        <v>-1.5402599883274135</v>
      </c>
      <c r="BG389">
        <f t="shared" ca="1" si="176"/>
        <v>0</v>
      </c>
      <c r="BH389" t="str">
        <f ca="1">IF(BG389=1,IF(INDEX(分析データ!$A:$A,ROW()+$C$5)&lt;&gt;"",50000*SIGN(BF389)*(分析データ!D389-INDEX(分析データ!D:D,ROW()+$C$5)),""),"")</f>
        <v/>
      </c>
      <c r="BI389">
        <f t="shared" ca="1" si="177"/>
        <v>404999.99999999546</v>
      </c>
      <c r="BJ389">
        <f t="shared" ca="1" si="178"/>
        <v>404999.99999999546</v>
      </c>
      <c r="BK389">
        <f t="shared" ca="1" si="179"/>
        <v>0</v>
      </c>
      <c r="BL389">
        <f ca="1">IF(ROW()&lt;($C$7+1),"",IFERROR((分析データ!E389-AVERAGE(OFFSET(分析データ!E$1,MAX(1,ROW()-$C$7),0,MIN($C$7,ROW()-1),1)))/STDEV(OFFSET(分析データ!E$1,MAX(1,ROW()-$C$7),0,MIN($C$7,ROW()-1),1)),0))</f>
        <v>1.3686070969584052</v>
      </c>
      <c r="BM389">
        <f t="shared" ca="1" si="180"/>
        <v>0</v>
      </c>
      <c r="BN389" t="str">
        <f ca="1">IF(BM389=1,IF(INDEX(分析データ!$A:$A,ROW()+$C$5)&lt;&gt;"",40000*SIGN(BL389)*(分析データ!E389-INDEX(分析データ!E:E,ROW()+$C$5)),""),"")</f>
        <v/>
      </c>
      <c r="BO389">
        <f t="shared" ca="1" si="181"/>
        <v>280000.00000000291</v>
      </c>
      <c r="BP389">
        <f t="shared" ca="1" si="182"/>
        <v>280000.00000000291</v>
      </c>
      <c r="BQ389">
        <f t="shared" ca="1" si="183"/>
        <v>0</v>
      </c>
      <c r="BR389">
        <f ca="1">IF(ROW()&lt;($C$7+1),"",IFERROR((分析データ!F389-AVERAGE(OFFSET(分析データ!F$1,MAX(1,ROW()-$C$7),0,MIN($C$7,ROW()-1),1)))/STDEV(OFFSET(分析データ!F$1,MAX(1,ROW()-$C$7),0,MIN($C$7,ROW()-1),1)),0))</f>
        <v>-0.16804006191144955</v>
      </c>
      <c r="BS389">
        <f t="shared" ca="1" si="184"/>
        <v>0</v>
      </c>
      <c r="BT389" t="str">
        <f ca="1">IF(BS389=1,IF(INDEX(分析データ!$A:$A,ROW()+$C$5)&lt;&gt;"",40000*SIGN(BR389)*(分析データ!F389-INDEX(分析データ!F:F,ROW()+$C$5)),""),"")</f>
        <v/>
      </c>
      <c r="BU389">
        <f t="shared" ca="1" si="185"/>
        <v>583200.00000000163</v>
      </c>
      <c r="BV389">
        <f t="shared" ca="1" si="186"/>
        <v>583200.00000000163</v>
      </c>
      <c r="BW389">
        <f t="shared" ca="1" si="187"/>
        <v>0</v>
      </c>
      <c r="BX389">
        <f ca="1">IF(ROW()&lt;($C$7+1),"",IFERROR((分析データ!G389-AVERAGE(OFFSET(分析データ!G$1,MAX(1,ROW()-$C$7),0,MIN($C$7,ROW()-1),1)))/STDEV(OFFSET(分析データ!G$1,MAX(1,ROW()-$C$7),0,MIN($C$7,ROW()-1),1)),0))</f>
        <v>1.227423054191155</v>
      </c>
      <c r="BY389">
        <f t="shared" ca="1" si="188"/>
        <v>0</v>
      </c>
      <c r="BZ389" t="str">
        <f ca="1">IF(BY389=1,IF(INDEX(分析データ!$A:$A,ROW()+$C$5)&lt;&gt;"",40000*SIGN(BX389)*(分析データ!G389-INDEX(分析データ!G:G,ROW()+$C$5)),""),"")</f>
        <v/>
      </c>
      <c r="CA389">
        <f t="shared" ca="1" si="189"/>
        <v>3095574.2871093722</v>
      </c>
      <c r="CB389">
        <f t="shared" ca="1" si="190"/>
        <v>3095574.2871093722</v>
      </c>
      <c r="CC389">
        <f t="shared" ca="1" si="191"/>
        <v>0</v>
      </c>
      <c r="CD389">
        <f t="shared" ca="1" si="192"/>
        <v>0</v>
      </c>
      <c r="CE389">
        <f t="shared" ca="1" si="193"/>
        <v>4363774.2871093722</v>
      </c>
      <c r="CF389">
        <f t="shared" ca="1" si="194"/>
        <v>4363774.2871093722</v>
      </c>
      <c r="CG389">
        <f t="shared" ca="1" si="195"/>
        <v>0</v>
      </c>
      <c r="CH389" s="10">
        <f>分析データ!A389</f>
        <v>45492</v>
      </c>
    </row>
    <row r="390" spans="46:86">
      <c r="AT390">
        <f ca="1">IF(ROW()&lt;($C$7+1),"",IFERROR((分析データ!B390-AVERAGE(OFFSET(分析データ!B$1,MAX(1,ROW()-$C$7),0,MIN($C$7,ROW()-1),1)))/STDEV(OFFSET(分析データ!B$1,MAX(1,ROW()-$C$7),0,MIN($C$7,ROW()-1),1)),0))</f>
        <v>0.71357931447683876</v>
      </c>
      <c r="AU390">
        <f t="shared" ca="1" si="168"/>
        <v>0</v>
      </c>
      <c r="AV390" t="str">
        <f ca="1">IF(AU390=1,IF(INDEX(分析データ!$A:$A,ROW()+$C$5)&lt;&gt;"",80000*SIGN(AT390)*(分析データ!B390-INDEX(分析データ!B:B,ROW()+$C$5)),""),"")</f>
        <v/>
      </c>
      <c r="AW390">
        <f t="shared" ca="1" si="169"/>
        <v>0</v>
      </c>
      <c r="AX390">
        <f t="shared" ca="1" si="170"/>
        <v>0</v>
      </c>
      <c r="AY390">
        <f t="shared" ca="1" si="171"/>
        <v>0</v>
      </c>
      <c r="AZ390">
        <f ca="1">IF(ROW()&lt;($C$7+1),"",IFERROR((分析データ!C390-AVERAGE(OFFSET(分析データ!C$1,MAX(1,ROW()-$C$7),0,MIN($C$7,ROW()-1),1)))/STDEV(OFFSET(分析データ!C$1,MAX(1,ROW()-$C$7),0,MIN($C$7,ROW()-1),1)),0))</f>
        <v>-0.49736357831151484</v>
      </c>
      <c r="BA390">
        <f t="shared" ca="1" si="172"/>
        <v>0</v>
      </c>
      <c r="BB390" t="str">
        <f ca="1">IF(BA390=1,IF(INDEX(分析データ!$A:$A,ROW()+$C$5)&lt;&gt;"",60000*SIGN(AZ390)*(分析データ!C390-INDEX(分析データ!C:C,ROW()+$C$5)),""),"")</f>
        <v/>
      </c>
      <c r="BC390">
        <f t="shared" ca="1" si="173"/>
        <v>0</v>
      </c>
      <c r="BD390">
        <f t="shared" ca="1" si="174"/>
        <v>0</v>
      </c>
      <c r="BE390">
        <f t="shared" ca="1" si="175"/>
        <v>0</v>
      </c>
      <c r="BF390">
        <f ca="1">IF(ROW()&lt;($C$7+1),"",IFERROR((分析データ!D390-AVERAGE(OFFSET(分析データ!D$1,MAX(1,ROW()-$C$7),0,MIN($C$7,ROW()-1),1)))/STDEV(OFFSET(分析データ!D$1,MAX(1,ROW()-$C$7),0,MIN($C$7,ROW()-1),1)),0))</f>
        <v>-1.5353343410056493</v>
      </c>
      <c r="BG390">
        <f t="shared" ca="1" si="176"/>
        <v>0</v>
      </c>
      <c r="BH390" t="str">
        <f ca="1">IF(BG390=1,IF(INDEX(分析データ!$A:$A,ROW()+$C$5)&lt;&gt;"",50000*SIGN(BF390)*(分析データ!D390-INDEX(分析データ!D:D,ROW()+$C$5)),""),"")</f>
        <v/>
      </c>
      <c r="BI390">
        <f t="shared" ca="1" si="177"/>
        <v>404999.99999999546</v>
      </c>
      <c r="BJ390">
        <f t="shared" ca="1" si="178"/>
        <v>404999.99999999546</v>
      </c>
      <c r="BK390">
        <f t="shared" ca="1" si="179"/>
        <v>0</v>
      </c>
      <c r="BL390">
        <f ca="1">IF(ROW()&lt;($C$7+1),"",IFERROR((分析データ!E390-AVERAGE(OFFSET(分析データ!E$1,MAX(1,ROW()-$C$7),0,MIN($C$7,ROW()-1),1)))/STDEV(OFFSET(分析データ!E$1,MAX(1,ROW()-$C$7),0,MIN($C$7,ROW()-1),1)),0))</f>
        <v>1.367862491035913</v>
      </c>
      <c r="BM390">
        <f t="shared" ca="1" si="180"/>
        <v>0</v>
      </c>
      <c r="BN390" t="str">
        <f ca="1">IF(BM390=1,IF(INDEX(分析データ!$A:$A,ROW()+$C$5)&lt;&gt;"",40000*SIGN(BL390)*(分析データ!E390-INDEX(分析データ!E:E,ROW()+$C$5)),""),"")</f>
        <v/>
      </c>
      <c r="BO390">
        <f t="shared" ca="1" si="181"/>
        <v>280000.00000000291</v>
      </c>
      <c r="BP390">
        <f t="shared" ca="1" si="182"/>
        <v>280000.00000000291</v>
      </c>
      <c r="BQ390">
        <f t="shared" ca="1" si="183"/>
        <v>0</v>
      </c>
      <c r="BR390">
        <f ca="1">IF(ROW()&lt;($C$7+1),"",IFERROR((分析データ!F390-AVERAGE(OFFSET(分析データ!F$1,MAX(1,ROW()-$C$7),0,MIN($C$7,ROW()-1),1)))/STDEV(OFFSET(分析データ!F$1,MAX(1,ROW()-$C$7),0,MIN($C$7,ROW()-1),1)),0))</f>
        <v>-0.10603669252717349</v>
      </c>
      <c r="BS390">
        <f t="shared" ca="1" si="184"/>
        <v>0</v>
      </c>
      <c r="BT390" t="str">
        <f ca="1">IF(BS390=1,IF(INDEX(分析データ!$A:$A,ROW()+$C$5)&lt;&gt;"",40000*SIGN(BR390)*(分析データ!F390-INDEX(分析データ!F:F,ROW()+$C$5)),""),"")</f>
        <v/>
      </c>
      <c r="BU390">
        <f t="shared" ca="1" si="185"/>
        <v>583200.00000000163</v>
      </c>
      <c r="BV390">
        <f t="shared" ca="1" si="186"/>
        <v>583200.00000000163</v>
      </c>
      <c r="BW390">
        <f t="shared" ca="1" si="187"/>
        <v>0</v>
      </c>
      <c r="BX390">
        <f ca="1">IF(ROW()&lt;($C$7+1),"",IFERROR((分析データ!G390-AVERAGE(OFFSET(分析データ!G$1,MAX(1,ROW()-$C$7),0,MIN($C$7,ROW()-1),1)))/STDEV(OFFSET(分析データ!G$1,MAX(1,ROW()-$C$7),0,MIN($C$7,ROW()-1),1)),0))</f>
        <v>1.2413320751931396</v>
      </c>
      <c r="BY390">
        <f t="shared" ca="1" si="188"/>
        <v>0</v>
      </c>
      <c r="BZ390" t="str">
        <f ca="1">IF(BY390=1,IF(INDEX(分析データ!$A:$A,ROW()+$C$5)&lt;&gt;"",40000*SIGN(BX390)*(分析データ!G390-INDEX(分析データ!G:G,ROW()+$C$5)),""),"")</f>
        <v/>
      </c>
      <c r="CA390">
        <f t="shared" ca="1" si="189"/>
        <v>3095574.2871093722</v>
      </c>
      <c r="CB390">
        <f t="shared" ca="1" si="190"/>
        <v>3095574.2871093722</v>
      </c>
      <c r="CC390">
        <f t="shared" ca="1" si="191"/>
        <v>0</v>
      </c>
      <c r="CD390">
        <f t="shared" ca="1" si="192"/>
        <v>0</v>
      </c>
      <c r="CE390">
        <f t="shared" ca="1" si="193"/>
        <v>4363774.2871093722</v>
      </c>
      <c r="CF390">
        <f t="shared" ca="1" si="194"/>
        <v>4363774.2871093722</v>
      </c>
      <c r="CG390">
        <f t="shared" ca="1" si="195"/>
        <v>0</v>
      </c>
      <c r="CH390" s="10">
        <f>分析データ!A390</f>
        <v>45495</v>
      </c>
    </row>
    <row r="391" spans="46:86">
      <c r="AT391">
        <f ca="1">IF(ROW()&lt;($C$7+1),"",IFERROR((分析データ!B391-AVERAGE(OFFSET(分析データ!B$1,MAX(1,ROW()-$C$7),0,MIN($C$7,ROW()-1),1)))/STDEV(OFFSET(分析データ!B$1,MAX(1,ROW()-$C$7),0,MIN($C$7,ROW()-1),1)),0))</f>
        <v>1.2394054028310766</v>
      </c>
      <c r="AU391">
        <f t="shared" ca="1" si="168"/>
        <v>0</v>
      </c>
      <c r="AV391" t="str">
        <f ca="1">IF(AU391=1,IF(INDEX(分析データ!$A:$A,ROW()+$C$5)&lt;&gt;"",80000*SIGN(AT391)*(分析データ!B391-INDEX(分析データ!B:B,ROW()+$C$5)),""),"")</f>
        <v/>
      </c>
      <c r="AW391">
        <f t="shared" ca="1" si="169"/>
        <v>0</v>
      </c>
      <c r="AX391">
        <f t="shared" ca="1" si="170"/>
        <v>0</v>
      </c>
      <c r="AY391">
        <f t="shared" ca="1" si="171"/>
        <v>0</v>
      </c>
      <c r="AZ391">
        <f ca="1">IF(ROW()&lt;($C$7+1),"",IFERROR((分析データ!C391-AVERAGE(OFFSET(分析データ!C$1,MAX(1,ROW()-$C$7),0,MIN($C$7,ROW()-1),1)))/STDEV(OFFSET(分析データ!C$1,MAX(1,ROW()-$C$7),0,MIN($C$7,ROW()-1),1)),0))</f>
        <v>-0.47686059721839802</v>
      </c>
      <c r="BA391">
        <f t="shared" ca="1" si="172"/>
        <v>0</v>
      </c>
      <c r="BB391" t="str">
        <f ca="1">IF(BA391=1,IF(INDEX(分析データ!$A:$A,ROW()+$C$5)&lt;&gt;"",60000*SIGN(AZ391)*(分析データ!C391-INDEX(分析データ!C:C,ROW()+$C$5)),""),"")</f>
        <v/>
      </c>
      <c r="BC391">
        <f t="shared" ca="1" si="173"/>
        <v>0</v>
      </c>
      <c r="BD391">
        <f t="shared" ca="1" si="174"/>
        <v>0</v>
      </c>
      <c r="BE391">
        <f t="shared" ca="1" si="175"/>
        <v>0</v>
      </c>
      <c r="BF391">
        <f ca="1">IF(ROW()&lt;($C$7+1),"",IFERROR((分析データ!D391-AVERAGE(OFFSET(分析データ!D$1,MAX(1,ROW()-$C$7),0,MIN($C$7,ROW()-1),1)))/STDEV(OFFSET(分析データ!D$1,MAX(1,ROW()-$C$7),0,MIN($C$7,ROW()-1),1)),0))</f>
        <v>-1.6174918245070284</v>
      </c>
      <c r="BG391">
        <f t="shared" ca="1" si="176"/>
        <v>0</v>
      </c>
      <c r="BH391" t="str">
        <f ca="1">IF(BG391=1,IF(INDEX(分析データ!$A:$A,ROW()+$C$5)&lt;&gt;"",50000*SIGN(BF391)*(分析データ!D391-INDEX(分析データ!D:D,ROW()+$C$5)),""),"")</f>
        <v/>
      </c>
      <c r="BI391">
        <f t="shared" ca="1" si="177"/>
        <v>404999.99999999546</v>
      </c>
      <c r="BJ391">
        <f t="shared" ca="1" si="178"/>
        <v>404999.99999999546</v>
      </c>
      <c r="BK391">
        <f t="shared" ca="1" si="179"/>
        <v>0</v>
      </c>
      <c r="BL391">
        <f ca="1">IF(ROW()&lt;($C$7+1),"",IFERROR((分析データ!E391-AVERAGE(OFFSET(分析データ!E$1,MAX(1,ROW()-$C$7),0,MIN($C$7,ROW()-1),1)))/STDEV(OFFSET(分析データ!E$1,MAX(1,ROW()-$C$7),0,MIN($C$7,ROW()-1),1)),0))</f>
        <v>1.497270164248903</v>
      </c>
      <c r="BM391">
        <f t="shared" ca="1" si="180"/>
        <v>0</v>
      </c>
      <c r="BN391" t="str">
        <f ca="1">IF(BM391=1,IF(INDEX(分析データ!$A:$A,ROW()+$C$5)&lt;&gt;"",40000*SIGN(BL391)*(分析データ!E391-INDEX(分析データ!E:E,ROW()+$C$5)),""),"")</f>
        <v/>
      </c>
      <c r="BO391">
        <f t="shared" ca="1" si="181"/>
        <v>280000.00000000291</v>
      </c>
      <c r="BP391">
        <f t="shared" ca="1" si="182"/>
        <v>280000.00000000291</v>
      </c>
      <c r="BQ391">
        <f t="shared" ca="1" si="183"/>
        <v>0</v>
      </c>
      <c r="BR391">
        <f ca="1">IF(ROW()&lt;($C$7+1),"",IFERROR((分析データ!F391-AVERAGE(OFFSET(分析データ!F$1,MAX(1,ROW()-$C$7),0,MIN($C$7,ROW()-1),1)))/STDEV(OFFSET(分析データ!F$1,MAX(1,ROW()-$C$7),0,MIN($C$7,ROW()-1),1)),0))</f>
        <v>-7.4141411877519407E-3</v>
      </c>
      <c r="BS391">
        <f t="shared" ca="1" si="184"/>
        <v>0</v>
      </c>
      <c r="BT391" t="str">
        <f ca="1">IF(BS391=1,IF(INDEX(分析データ!$A:$A,ROW()+$C$5)&lt;&gt;"",40000*SIGN(BR391)*(分析データ!F391-INDEX(分析データ!F:F,ROW()+$C$5)),""),"")</f>
        <v/>
      </c>
      <c r="BU391">
        <f t="shared" ca="1" si="185"/>
        <v>583200.00000000163</v>
      </c>
      <c r="BV391">
        <f t="shared" ca="1" si="186"/>
        <v>583200.00000000163</v>
      </c>
      <c r="BW391">
        <f t="shared" ca="1" si="187"/>
        <v>0</v>
      </c>
      <c r="BX391">
        <f ca="1">IF(ROW()&lt;($C$7+1),"",IFERROR((分析データ!G391-AVERAGE(OFFSET(分析データ!G$1,MAX(1,ROW()-$C$7),0,MIN($C$7,ROW()-1),1)))/STDEV(OFFSET(分析データ!G$1,MAX(1,ROW()-$C$7),0,MIN($C$7,ROW()-1),1)),0))</f>
        <v>1.218006181921198</v>
      </c>
      <c r="BY391">
        <f t="shared" ca="1" si="188"/>
        <v>0</v>
      </c>
      <c r="BZ391" t="str">
        <f ca="1">IF(BY391=1,IF(INDEX(分析データ!$A:$A,ROW()+$C$5)&lt;&gt;"",40000*SIGN(BX391)*(分析データ!G391-INDEX(分析データ!G:G,ROW()+$C$5)),""),"")</f>
        <v/>
      </c>
      <c r="CA391">
        <f t="shared" ca="1" si="189"/>
        <v>3095574.2871093722</v>
      </c>
      <c r="CB391">
        <f t="shared" ca="1" si="190"/>
        <v>3095574.2871093722</v>
      </c>
      <c r="CC391">
        <f t="shared" ca="1" si="191"/>
        <v>0</v>
      </c>
      <c r="CD391">
        <f t="shared" ca="1" si="192"/>
        <v>0</v>
      </c>
      <c r="CE391">
        <f t="shared" ca="1" si="193"/>
        <v>4363774.2871093722</v>
      </c>
      <c r="CF391">
        <f t="shared" ca="1" si="194"/>
        <v>4363774.2871093722</v>
      </c>
      <c r="CG391">
        <f t="shared" ca="1" si="195"/>
        <v>0</v>
      </c>
      <c r="CH391" s="10">
        <f>分析データ!A391</f>
        <v>45496</v>
      </c>
    </row>
    <row r="392" spans="46:86">
      <c r="AT392">
        <f ca="1">IF(ROW()&lt;($C$7+1),"",IFERROR((分析データ!B392-AVERAGE(OFFSET(分析データ!B$1,MAX(1,ROW()-$C$7),0,MIN($C$7,ROW()-1),1)))/STDEV(OFFSET(分析データ!B$1,MAX(1,ROW()-$C$7),0,MIN($C$7,ROW()-1),1)),0))</f>
        <v>1.4449036366807</v>
      </c>
      <c r="AU392">
        <f t="shared" ca="1" si="168"/>
        <v>0</v>
      </c>
      <c r="AV392" t="str">
        <f ca="1">IF(AU392=1,IF(INDEX(分析データ!$A:$A,ROW()+$C$5)&lt;&gt;"",80000*SIGN(AT392)*(分析データ!B392-INDEX(分析データ!B:B,ROW()+$C$5)),""),"")</f>
        <v/>
      </c>
      <c r="AW392">
        <f t="shared" ca="1" si="169"/>
        <v>0</v>
      </c>
      <c r="AX392">
        <f t="shared" ca="1" si="170"/>
        <v>0</v>
      </c>
      <c r="AY392">
        <f t="shared" ca="1" si="171"/>
        <v>0</v>
      </c>
      <c r="AZ392">
        <f ca="1">IF(ROW()&lt;($C$7+1),"",IFERROR((分析データ!C392-AVERAGE(OFFSET(分析データ!C$1,MAX(1,ROW()-$C$7),0,MIN($C$7,ROW()-1),1)))/STDEV(OFFSET(分析データ!C$1,MAX(1,ROW()-$C$7),0,MIN($C$7,ROW()-1),1)),0))</f>
        <v>-0.58085912488507752</v>
      </c>
      <c r="BA392">
        <f t="shared" ca="1" si="172"/>
        <v>0</v>
      </c>
      <c r="BB392" t="str">
        <f ca="1">IF(BA392=1,IF(INDEX(分析データ!$A:$A,ROW()+$C$5)&lt;&gt;"",60000*SIGN(AZ392)*(分析データ!C392-INDEX(分析データ!C:C,ROW()+$C$5)),""),"")</f>
        <v/>
      </c>
      <c r="BC392">
        <f t="shared" ca="1" si="173"/>
        <v>0</v>
      </c>
      <c r="BD392">
        <f t="shared" ca="1" si="174"/>
        <v>0</v>
      </c>
      <c r="BE392">
        <f t="shared" ca="1" si="175"/>
        <v>0</v>
      </c>
      <c r="BF392">
        <f ca="1">IF(ROW()&lt;($C$7+1),"",IFERROR((分析データ!D392-AVERAGE(OFFSET(分析データ!D$1,MAX(1,ROW()-$C$7),0,MIN($C$7,ROW()-1),1)))/STDEV(OFFSET(分析データ!D$1,MAX(1,ROW()-$C$7),0,MIN($C$7,ROW()-1),1)),0))</f>
        <v>-1.5211659101403918</v>
      </c>
      <c r="BG392">
        <f t="shared" ca="1" si="176"/>
        <v>0</v>
      </c>
      <c r="BH392" t="str">
        <f ca="1">IF(BG392=1,IF(INDEX(分析データ!$A:$A,ROW()+$C$5)&lt;&gt;"",50000*SIGN(BF392)*(分析データ!D392-INDEX(分析データ!D:D,ROW()+$C$5)),""),"")</f>
        <v/>
      </c>
      <c r="BI392">
        <f t="shared" ca="1" si="177"/>
        <v>404999.99999999546</v>
      </c>
      <c r="BJ392">
        <f t="shared" ca="1" si="178"/>
        <v>404999.99999999546</v>
      </c>
      <c r="BK392">
        <f t="shared" ca="1" si="179"/>
        <v>0</v>
      </c>
      <c r="BL392">
        <f ca="1">IF(ROW()&lt;($C$7+1),"",IFERROR((分析データ!E392-AVERAGE(OFFSET(分析データ!E$1,MAX(1,ROW()-$C$7),0,MIN($C$7,ROW()-1),1)))/STDEV(OFFSET(分析データ!E$1,MAX(1,ROW()-$C$7),0,MIN($C$7,ROW()-1),1)),0))</f>
        <v>2.2832107614372554</v>
      </c>
      <c r="BM392">
        <f t="shared" ca="1" si="180"/>
        <v>1</v>
      </c>
      <c r="BN392">
        <f ca="1">IF(BM392=1,IF(INDEX(分析データ!$A:$A,ROW()+$C$5)&lt;&gt;"",40000*SIGN(BL392)*(分析データ!E392-INDEX(分析データ!E:E,ROW()+$C$5)),""),"")</f>
        <v>-39999.999999999149</v>
      </c>
      <c r="BO392">
        <f t="shared" ca="1" si="181"/>
        <v>240000.00000000375</v>
      </c>
      <c r="BP392">
        <f t="shared" ca="1" si="182"/>
        <v>280000.00000000291</v>
      </c>
      <c r="BQ392">
        <f t="shared" ca="1" si="183"/>
        <v>-39999.999999999156</v>
      </c>
      <c r="BR392">
        <f ca="1">IF(ROW()&lt;($C$7+1),"",IFERROR((分析データ!F392-AVERAGE(OFFSET(分析データ!F$1,MAX(1,ROW()-$C$7),0,MIN($C$7,ROW()-1),1)))/STDEV(OFFSET(分析データ!F$1,MAX(1,ROW()-$C$7),0,MIN($C$7,ROW()-1),1)),0))</f>
        <v>-7.982607894427475E-2</v>
      </c>
      <c r="BS392">
        <f t="shared" ca="1" si="184"/>
        <v>0</v>
      </c>
      <c r="BT392" t="str">
        <f ca="1">IF(BS392=1,IF(INDEX(分析データ!$A:$A,ROW()+$C$5)&lt;&gt;"",40000*SIGN(BR392)*(分析データ!F392-INDEX(分析データ!F:F,ROW()+$C$5)),""),"")</f>
        <v/>
      </c>
      <c r="BU392">
        <f t="shared" ca="1" si="185"/>
        <v>583200.00000000163</v>
      </c>
      <c r="BV392">
        <f t="shared" ca="1" si="186"/>
        <v>583200.00000000163</v>
      </c>
      <c r="BW392">
        <f t="shared" ca="1" si="187"/>
        <v>0</v>
      </c>
      <c r="BX392">
        <f ca="1">IF(ROW()&lt;($C$7+1),"",IFERROR((分析データ!G392-AVERAGE(OFFSET(分析データ!G$1,MAX(1,ROW()-$C$7),0,MIN($C$7,ROW()-1),1)))/STDEV(OFFSET(分析データ!G$1,MAX(1,ROW()-$C$7),0,MIN($C$7,ROW()-1),1)),0))</f>
        <v>1.1706955703007211</v>
      </c>
      <c r="BY392">
        <f t="shared" ca="1" si="188"/>
        <v>0</v>
      </c>
      <c r="BZ392" t="str">
        <f ca="1">IF(BY392=1,IF(INDEX(分析データ!$A:$A,ROW()+$C$5)&lt;&gt;"",40000*SIGN(BX392)*(分析データ!G392-INDEX(分析データ!G:G,ROW()+$C$5)),""),"")</f>
        <v/>
      </c>
      <c r="CA392">
        <f t="shared" ca="1" si="189"/>
        <v>3095574.2871093722</v>
      </c>
      <c r="CB392">
        <f t="shared" ca="1" si="190"/>
        <v>3095574.2871093722</v>
      </c>
      <c r="CC392">
        <f t="shared" ca="1" si="191"/>
        <v>0</v>
      </c>
      <c r="CD392">
        <f t="shared" ca="1" si="192"/>
        <v>-39999.999999999149</v>
      </c>
      <c r="CE392">
        <f t="shared" ca="1" si="193"/>
        <v>4323774.2871093731</v>
      </c>
      <c r="CF392">
        <f t="shared" ca="1" si="194"/>
        <v>4363774.2871093722</v>
      </c>
      <c r="CG392">
        <f t="shared" ca="1" si="195"/>
        <v>-39999.999999999069</v>
      </c>
      <c r="CH392" s="10">
        <f>分析データ!A392</f>
        <v>45497</v>
      </c>
    </row>
    <row r="393" spans="46:86">
      <c r="AT393">
        <f ca="1">IF(ROW()&lt;($C$7+1),"",IFERROR((分析データ!B393-AVERAGE(OFFSET(分析データ!B$1,MAX(1,ROW()-$C$7),0,MIN($C$7,ROW()-1),1)))/STDEV(OFFSET(分析データ!B$1,MAX(1,ROW()-$C$7),0,MIN($C$7,ROW()-1),1)),0))</f>
        <v>1.3120706504548107</v>
      </c>
      <c r="AU393">
        <f t="shared" ca="1" si="168"/>
        <v>0</v>
      </c>
      <c r="AV393" t="str">
        <f ca="1">IF(AU393=1,IF(INDEX(分析データ!$A:$A,ROW()+$C$5)&lt;&gt;"",80000*SIGN(AT393)*(分析データ!B393-INDEX(分析データ!B:B,ROW()+$C$5)),""),"")</f>
        <v/>
      </c>
      <c r="AW393">
        <f t="shared" ca="1" si="169"/>
        <v>0</v>
      </c>
      <c r="AX393">
        <f t="shared" ca="1" si="170"/>
        <v>0</v>
      </c>
      <c r="AY393">
        <f t="shared" ca="1" si="171"/>
        <v>0</v>
      </c>
      <c r="AZ393">
        <f ca="1">IF(ROW()&lt;($C$7+1),"",IFERROR((分析データ!C393-AVERAGE(OFFSET(分析データ!C$1,MAX(1,ROW()-$C$7),0,MIN($C$7,ROW()-1),1)))/STDEV(OFFSET(分析データ!C$1,MAX(1,ROW()-$C$7),0,MIN($C$7,ROW()-1),1)),0))</f>
        <v>-0.64542444104470154</v>
      </c>
      <c r="BA393">
        <f t="shared" ca="1" si="172"/>
        <v>0</v>
      </c>
      <c r="BB393" t="str">
        <f ca="1">IF(BA393=1,IF(INDEX(分析データ!$A:$A,ROW()+$C$5)&lt;&gt;"",60000*SIGN(AZ393)*(分析データ!C393-INDEX(分析データ!C:C,ROW()+$C$5)),""),"")</f>
        <v/>
      </c>
      <c r="BC393">
        <f t="shared" ca="1" si="173"/>
        <v>0</v>
      </c>
      <c r="BD393">
        <f t="shared" ca="1" si="174"/>
        <v>0</v>
      </c>
      <c r="BE393">
        <f t="shared" ca="1" si="175"/>
        <v>0</v>
      </c>
      <c r="BF393">
        <f ca="1">IF(ROW()&lt;($C$7+1),"",IFERROR((分析データ!D393-AVERAGE(OFFSET(分析データ!D$1,MAX(1,ROW()-$C$7),0,MIN($C$7,ROW()-1),1)))/STDEV(OFFSET(分析データ!D$1,MAX(1,ROW()-$C$7),0,MIN($C$7,ROW()-1),1)),0))</f>
        <v>-1.5296861347379347</v>
      </c>
      <c r="BG393">
        <f t="shared" ca="1" si="176"/>
        <v>0</v>
      </c>
      <c r="BH393" t="str">
        <f ca="1">IF(BG393=1,IF(INDEX(分析データ!$A:$A,ROW()+$C$5)&lt;&gt;"",50000*SIGN(BF393)*(分析データ!D393-INDEX(分析データ!D:D,ROW()+$C$5)),""),"")</f>
        <v/>
      </c>
      <c r="BI393">
        <f t="shared" ca="1" si="177"/>
        <v>404999.99999999546</v>
      </c>
      <c r="BJ393">
        <f t="shared" ca="1" si="178"/>
        <v>404999.99999999546</v>
      </c>
      <c r="BK393">
        <f t="shared" ca="1" si="179"/>
        <v>0</v>
      </c>
      <c r="BL393">
        <f ca="1">IF(ROW()&lt;($C$7+1),"",IFERROR((分析データ!E393-AVERAGE(OFFSET(分析データ!E$1,MAX(1,ROW()-$C$7),0,MIN($C$7,ROW()-1),1)))/STDEV(OFFSET(分析データ!E$1,MAX(1,ROW()-$C$7),0,MIN($C$7,ROW()-1),1)),0))</f>
        <v>2.0281667882950991</v>
      </c>
      <c r="BM393">
        <f t="shared" ca="1" si="180"/>
        <v>1</v>
      </c>
      <c r="BN393">
        <f ca="1">IF(BM393=1,IF(INDEX(分析データ!$A:$A,ROW()+$C$5)&lt;&gt;"",40000*SIGN(BL393)*(分析データ!E393-INDEX(分析データ!E:E,ROW()+$C$5)),""),"")</f>
        <v>-80000.000000001848</v>
      </c>
      <c r="BO393">
        <f t="shared" ca="1" si="181"/>
        <v>160000.00000000192</v>
      </c>
      <c r="BP393">
        <f t="shared" ca="1" si="182"/>
        <v>280000.00000000291</v>
      </c>
      <c r="BQ393">
        <f t="shared" ca="1" si="183"/>
        <v>-120000.00000000099</v>
      </c>
      <c r="BR393">
        <f ca="1">IF(ROW()&lt;($C$7+1),"",IFERROR((分析データ!F393-AVERAGE(OFFSET(分析データ!F$1,MAX(1,ROW()-$C$7),0,MIN($C$7,ROW()-1),1)))/STDEV(OFFSET(分析データ!F$1,MAX(1,ROW()-$C$7),0,MIN($C$7,ROW()-1),1)),0))</f>
        <v>3.3849393188651856E-2</v>
      </c>
      <c r="BS393">
        <f t="shared" ca="1" si="184"/>
        <v>0</v>
      </c>
      <c r="BT393" t="str">
        <f ca="1">IF(BS393=1,IF(INDEX(分析データ!$A:$A,ROW()+$C$5)&lt;&gt;"",40000*SIGN(BR393)*(分析データ!F393-INDEX(分析データ!F:F,ROW()+$C$5)),""),"")</f>
        <v/>
      </c>
      <c r="BU393">
        <f t="shared" ca="1" si="185"/>
        <v>583200.00000000163</v>
      </c>
      <c r="BV393">
        <f t="shared" ca="1" si="186"/>
        <v>583200.00000000163</v>
      </c>
      <c r="BW393">
        <f t="shared" ca="1" si="187"/>
        <v>0</v>
      </c>
      <c r="BX393">
        <f ca="1">IF(ROW()&lt;($C$7+1),"",IFERROR((分析データ!G393-AVERAGE(OFFSET(分析データ!G$1,MAX(1,ROW()-$C$7),0,MIN($C$7,ROW()-1),1)))/STDEV(OFFSET(分析データ!G$1,MAX(1,ROW()-$C$7),0,MIN($C$7,ROW()-1),1)),0))</f>
        <v>1.2020030109884434</v>
      </c>
      <c r="BY393">
        <f t="shared" ca="1" si="188"/>
        <v>0</v>
      </c>
      <c r="BZ393" t="str">
        <f ca="1">IF(BY393=1,IF(INDEX(分析データ!$A:$A,ROW()+$C$5)&lt;&gt;"",40000*SIGN(BX393)*(分析データ!G393-INDEX(分析データ!G:G,ROW()+$C$5)),""),"")</f>
        <v/>
      </c>
      <c r="CA393">
        <f t="shared" ca="1" si="189"/>
        <v>3095574.2871093722</v>
      </c>
      <c r="CB393">
        <f t="shared" ca="1" si="190"/>
        <v>3095574.2871093722</v>
      </c>
      <c r="CC393">
        <f t="shared" ca="1" si="191"/>
        <v>0</v>
      </c>
      <c r="CD393">
        <f t="shared" ca="1" si="192"/>
        <v>-80000.000000001848</v>
      </c>
      <c r="CE393">
        <f t="shared" ca="1" si="193"/>
        <v>4243774.2871093713</v>
      </c>
      <c r="CF393">
        <f t="shared" ca="1" si="194"/>
        <v>4363774.2871093722</v>
      </c>
      <c r="CG393">
        <f t="shared" ca="1" si="195"/>
        <v>-120000.00000000093</v>
      </c>
      <c r="CH393" s="10">
        <f>分析データ!A393</f>
        <v>45498</v>
      </c>
    </row>
    <row r="394" spans="46:86">
      <c r="AT394">
        <f ca="1">IF(ROW()&lt;($C$7+1),"",IFERROR((分析データ!B394-AVERAGE(OFFSET(分析データ!B$1,MAX(1,ROW()-$C$7),0,MIN($C$7,ROW()-1),1)))/STDEV(OFFSET(分析データ!B$1,MAX(1,ROW()-$C$7),0,MIN($C$7,ROW()-1),1)),0))</f>
        <v>1.0367683092895892</v>
      </c>
      <c r="AU394">
        <f t="shared" ca="1" si="168"/>
        <v>0</v>
      </c>
      <c r="AV394" t="str">
        <f ca="1">IF(AU394=1,IF(INDEX(分析データ!$A:$A,ROW()+$C$5)&lt;&gt;"",80000*SIGN(AT394)*(分析データ!B394-INDEX(分析データ!B:B,ROW()+$C$5)),""),"")</f>
        <v/>
      </c>
      <c r="AW394">
        <f t="shared" ca="1" si="169"/>
        <v>0</v>
      </c>
      <c r="AX394">
        <f t="shared" ca="1" si="170"/>
        <v>0</v>
      </c>
      <c r="AY394">
        <f t="shared" ca="1" si="171"/>
        <v>0</v>
      </c>
      <c r="AZ394">
        <f ca="1">IF(ROW()&lt;($C$7+1),"",IFERROR((分析データ!C394-AVERAGE(OFFSET(分析データ!C$1,MAX(1,ROW()-$C$7),0,MIN($C$7,ROW()-1),1)))/STDEV(OFFSET(分析データ!C$1,MAX(1,ROW()-$C$7),0,MIN($C$7,ROW()-1),1)),0))</f>
        <v>-0.74816813979398977</v>
      </c>
      <c r="BA394">
        <f t="shared" ca="1" si="172"/>
        <v>0</v>
      </c>
      <c r="BB394" t="str">
        <f ca="1">IF(BA394=1,IF(INDEX(分析データ!$A:$A,ROW()+$C$5)&lt;&gt;"",60000*SIGN(AZ394)*(分析データ!C394-INDEX(分析データ!C:C,ROW()+$C$5)),""),"")</f>
        <v/>
      </c>
      <c r="BC394">
        <f t="shared" ca="1" si="173"/>
        <v>0</v>
      </c>
      <c r="BD394">
        <f t="shared" ca="1" si="174"/>
        <v>0</v>
      </c>
      <c r="BE394">
        <f t="shared" ca="1" si="175"/>
        <v>0</v>
      </c>
      <c r="BF394">
        <f ca="1">IF(ROW()&lt;($C$7+1),"",IFERROR((分析データ!D394-AVERAGE(OFFSET(分析データ!D$1,MAX(1,ROW()-$C$7),0,MIN($C$7,ROW()-1),1)))/STDEV(OFFSET(分析データ!D$1,MAX(1,ROW()-$C$7),0,MIN($C$7,ROW()-1),1)),0))</f>
        <v>-1.7889687088915012</v>
      </c>
      <c r="BG394">
        <f t="shared" ca="1" si="176"/>
        <v>0</v>
      </c>
      <c r="BH394" t="str">
        <f ca="1">IF(BG394=1,IF(INDEX(分析データ!$A:$A,ROW()+$C$5)&lt;&gt;"",50000*SIGN(BF394)*(分析データ!D394-INDEX(分析データ!D:D,ROW()+$C$5)),""),"")</f>
        <v/>
      </c>
      <c r="BI394">
        <f t="shared" ca="1" si="177"/>
        <v>404999.99999999546</v>
      </c>
      <c r="BJ394">
        <f t="shared" ca="1" si="178"/>
        <v>404999.99999999546</v>
      </c>
      <c r="BK394">
        <f t="shared" ca="1" si="179"/>
        <v>0</v>
      </c>
      <c r="BL394">
        <f ca="1">IF(ROW()&lt;($C$7+1),"",IFERROR((分析データ!E394-AVERAGE(OFFSET(分析データ!E$1,MAX(1,ROW()-$C$7),0,MIN($C$7,ROW()-1),1)))/STDEV(OFFSET(分析データ!E$1,MAX(1,ROW()-$C$7),0,MIN($C$7,ROW()-1),1)),0))</f>
        <v>2.0301398504671089</v>
      </c>
      <c r="BM394">
        <f t="shared" ca="1" si="180"/>
        <v>1</v>
      </c>
      <c r="BN394">
        <f ca="1">IF(BM394=1,IF(INDEX(分析データ!$A:$A,ROW()+$C$5)&lt;&gt;"",40000*SIGN(BL394)*(分析データ!E394-INDEX(分析データ!E:E,ROW()+$C$5)),""),"")</f>
        <v>1.7763568394002505E-9</v>
      </c>
      <c r="BO394">
        <f t="shared" ca="1" si="181"/>
        <v>160000.0000000037</v>
      </c>
      <c r="BP394">
        <f t="shared" ca="1" si="182"/>
        <v>280000.00000000291</v>
      </c>
      <c r="BQ394">
        <f t="shared" ca="1" si="183"/>
        <v>-119999.99999999921</v>
      </c>
      <c r="BR394">
        <f ca="1">IF(ROW()&lt;($C$7+1),"",IFERROR((分析データ!F394-AVERAGE(OFFSET(分析データ!F$1,MAX(1,ROW()-$C$7),0,MIN($C$7,ROW()-1),1)))/STDEV(OFFSET(分析データ!F$1,MAX(1,ROW()-$C$7),0,MIN($C$7,ROW()-1),1)),0))</f>
        <v>2.9115653067093897E-3</v>
      </c>
      <c r="BS394">
        <f t="shared" ca="1" si="184"/>
        <v>0</v>
      </c>
      <c r="BT394" t="str">
        <f ca="1">IF(BS394=1,IF(INDEX(分析データ!$A:$A,ROW()+$C$5)&lt;&gt;"",40000*SIGN(BR394)*(分析データ!F394-INDEX(分析データ!F:F,ROW()+$C$5)),""),"")</f>
        <v/>
      </c>
      <c r="BU394">
        <f t="shared" ca="1" si="185"/>
        <v>583200.00000000163</v>
      </c>
      <c r="BV394">
        <f t="shared" ca="1" si="186"/>
        <v>583200.00000000163</v>
      </c>
      <c r="BW394">
        <f t="shared" ca="1" si="187"/>
        <v>0</v>
      </c>
      <c r="BX394">
        <f ca="1">IF(ROW()&lt;($C$7+1),"",IFERROR((分析データ!G394-AVERAGE(OFFSET(分析データ!G$1,MAX(1,ROW()-$C$7),0,MIN($C$7,ROW()-1),1)))/STDEV(OFFSET(分析データ!G$1,MAX(1,ROW()-$C$7),0,MIN($C$7,ROW()-1),1)),0))</f>
        <v>1.3518600173832256</v>
      </c>
      <c r="BY394">
        <f t="shared" ca="1" si="188"/>
        <v>0</v>
      </c>
      <c r="BZ394" t="str">
        <f ca="1">IF(BY394=1,IF(INDEX(分析データ!$A:$A,ROW()+$C$5)&lt;&gt;"",40000*SIGN(BX394)*(分析データ!G394-INDEX(分析データ!G:G,ROW()+$C$5)),""),"")</f>
        <v/>
      </c>
      <c r="CA394">
        <f t="shared" ca="1" si="189"/>
        <v>3095574.2871093722</v>
      </c>
      <c r="CB394">
        <f t="shared" ca="1" si="190"/>
        <v>3095574.2871093722</v>
      </c>
      <c r="CC394">
        <f t="shared" ca="1" si="191"/>
        <v>0</v>
      </c>
      <c r="CD394">
        <f t="shared" ca="1" si="192"/>
        <v>1.7763568394002505E-9</v>
      </c>
      <c r="CE394">
        <f t="shared" ca="1" si="193"/>
        <v>4243774.2871093731</v>
      </c>
      <c r="CF394">
        <f t="shared" ca="1" si="194"/>
        <v>4363774.2871093722</v>
      </c>
      <c r="CG394">
        <f t="shared" ca="1" si="195"/>
        <v>-119999.99999999907</v>
      </c>
      <c r="CH394" s="10">
        <f>分析データ!A394</f>
        <v>45499</v>
      </c>
    </row>
    <row r="395" spans="46:86">
      <c r="AT395">
        <f ca="1">IF(ROW()&lt;($C$7+1),"",IFERROR((分析データ!B395-AVERAGE(OFFSET(分析データ!B$1,MAX(1,ROW()-$C$7),0,MIN($C$7,ROW()-1),1)))/STDEV(OFFSET(分析データ!B$1,MAX(1,ROW()-$C$7),0,MIN($C$7,ROW()-1),1)),0))</f>
        <v>0.82870734339169749</v>
      </c>
      <c r="AU395">
        <f t="shared" ca="1" si="168"/>
        <v>0</v>
      </c>
      <c r="AV395" t="str">
        <f ca="1">IF(AU395=1,IF(INDEX(分析データ!$A:$A,ROW()+$C$5)&lt;&gt;"",80000*SIGN(AT395)*(分析データ!B395-INDEX(分析データ!B:B,ROW()+$C$5)),""),"")</f>
        <v/>
      </c>
      <c r="AW395">
        <f t="shared" ca="1" si="169"/>
        <v>0</v>
      </c>
      <c r="AX395">
        <f t="shared" ca="1" si="170"/>
        <v>0</v>
      </c>
      <c r="AY395">
        <f t="shared" ca="1" si="171"/>
        <v>0</v>
      </c>
      <c r="AZ395">
        <f ca="1">IF(ROW()&lt;($C$7+1),"",IFERROR((分析データ!C395-AVERAGE(OFFSET(分析データ!C$1,MAX(1,ROW()-$C$7),0,MIN($C$7,ROW()-1),1)))/STDEV(OFFSET(分析データ!C$1,MAX(1,ROW()-$C$7),0,MIN($C$7,ROW()-1),1)),0))</f>
        <v>-0.89819973230946715</v>
      </c>
      <c r="BA395">
        <f t="shared" ca="1" si="172"/>
        <v>0</v>
      </c>
      <c r="BB395" t="str">
        <f ca="1">IF(BA395=1,IF(INDEX(分析データ!$A:$A,ROW()+$C$5)&lt;&gt;"",60000*SIGN(AZ395)*(分析データ!C395-INDEX(分析データ!C:C,ROW()+$C$5)),""),"")</f>
        <v/>
      </c>
      <c r="BC395">
        <f t="shared" ca="1" si="173"/>
        <v>0</v>
      </c>
      <c r="BD395">
        <f t="shared" ca="1" si="174"/>
        <v>0</v>
      </c>
      <c r="BE395">
        <f t="shared" ca="1" si="175"/>
        <v>0</v>
      </c>
      <c r="BF395">
        <f ca="1">IF(ROW()&lt;($C$7+1),"",IFERROR((分析データ!D395-AVERAGE(OFFSET(分析データ!D$1,MAX(1,ROW()-$C$7),0,MIN($C$7,ROW()-1),1)))/STDEV(OFFSET(分析データ!D$1,MAX(1,ROW()-$C$7),0,MIN($C$7,ROW()-1),1)),0))</f>
        <v>-1.7870628652380345</v>
      </c>
      <c r="BG395">
        <f t="shared" ca="1" si="176"/>
        <v>0</v>
      </c>
      <c r="BH395" t="str">
        <f ca="1">IF(BG395=1,IF(INDEX(分析データ!$A:$A,ROW()+$C$5)&lt;&gt;"",50000*SIGN(BF395)*(分析データ!D395-INDEX(分析データ!D:D,ROW()+$C$5)),""),"")</f>
        <v/>
      </c>
      <c r="BI395">
        <f t="shared" ca="1" si="177"/>
        <v>404999.99999999546</v>
      </c>
      <c r="BJ395">
        <f t="shared" ca="1" si="178"/>
        <v>404999.99999999546</v>
      </c>
      <c r="BK395">
        <f t="shared" ca="1" si="179"/>
        <v>0</v>
      </c>
      <c r="BL395">
        <f ca="1">IF(ROW()&lt;($C$7+1),"",IFERROR((分析データ!E395-AVERAGE(OFFSET(分析データ!E$1,MAX(1,ROW()-$C$7),0,MIN($C$7,ROW()-1),1)))/STDEV(OFFSET(分析データ!E$1,MAX(1,ROW()-$C$7),0,MIN($C$7,ROW()-1),1)),0))</f>
        <v>1.7606130754013576</v>
      </c>
      <c r="BM395">
        <f t="shared" ca="1" si="180"/>
        <v>0</v>
      </c>
      <c r="BN395" t="str">
        <f ca="1">IF(BM395=1,IF(INDEX(分析データ!$A:$A,ROW()+$C$5)&lt;&gt;"",40000*SIGN(BL395)*(分析データ!E395-INDEX(分析データ!E:E,ROW()+$C$5)),""),"")</f>
        <v/>
      </c>
      <c r="BO395">
        <f t="shared" ca="1" si="181"/>
        <v>160000.0000000037</v>
      </c>
      <c r="BP395">
        <f t="shared" ca="1" si="182"/>
        <v>280000.00000000291</v>
      </c>
      <c r="BQ395">
        <f t="shared" ca="1" si="183"/>
        <v>-119999.99999999921</v>
      </c>
      <c r="BR395">
        <f ca="1">IF(ROW()&lt;($C$7+1),"",IFERROR((分析データ!F395-AVERAGE(OFFSET(分析データ!F$1,MAX(1,ROW()-$C$7),0,MIN($C$7,ROW()-1),1)))/STDEV(OFFSET(分析データ!F$1,MAX(1,ROW()-$C$7),0,MIN($C$7,ROW()-1),1)),0))</f>
        <v>8.8037404105727902E-3</v>
      </c>
      <c r="BS395">
        <f t="shared" ca="1" si="184"/>
        <v>0</v>
      </c>
      <c r="BT395" t="str">
        <f ca="1">IF(BS395=1,IF(INDEX(分析データ!$A:$A,ROW()+$C$5)&lt;&gt;"",40000*SIGN(BR395)*(分析データ!F395-INDEX(分析データ!F:F,ROW()+$C$5)),""),"")</f>
        <v/>
      </c>
      <c r="BU395">
        <f t="shared" ca="1" si="185"/>
        <v>583200.00000000163</v>
      </c>
      <c r="BV395">
        <f t="shared" ca="1" si="186"/>
        <v>583200.00000000163</v>
      </c>
      <c r="BW395">
        <f t="shared" ca="1" si="187"/>
        <v>0</v>
      </c>
      <c r="BX395">
        <f ca="1">IF(ROW()&lt;($C$7+1),"",IFERROR((分析データ!G395-AVERAGE(OFFSET(分析データ!G$1,MAX(1,ROW()-$C$7),0,MIN($C$7,ROW()-1),1)))/STDEV(OFFSET(分析データ!G$1,MAX(1,ROW()-$C$7),0,MIN($C$7,ROW()-1),1)),0))</f>
        <v>1.2376499932007683</v>
      </c>
      <c r="BY395">
        <f t="shared" ca="1" si="188"/>
        <v>0</v>
      </c>
      <c r="BZ395" t="str">
        <f ca="1">IF(BY395=1,IF(INDEX(分析データ!$A:$A,ROW()+$C$5)&lt;&gt;"",40000*SIGN(BX395)*(分析データ!G395-INDEX(分析データ!G:G,ROW()+$C$5)),""),"")</f>
        <v/>
      </c>
      <c r="CA395">
        <f t="shared" ca="1" si="189"/>
        <v>3095574.2871093722</v>
      </c>
      <c r="CB395">
        <f t="shared" ca="1" si="190"/>
        <v>3095574.2871093722</v>
      </c>
      <c r="CC395">
        <f t="shared" ca="1" si="191"/>
        <v>0</v>
      </c>
      <c r="CD395">
        <f t="shared" ca="1" si="192"/>
        <v>0</v>
      </c>
      <c r="CE395">
        <f t="shared" ca="1" si="193"/>
        <v>4243774.2871093731</v>
      </c>
      <c r="CF395">
        <f t="shared" ca="1" si="194"/>
        <v>4363774.2871093722</v>
      </c>
      <c r="CG395">
        <f t="shared" ca="1" si="195"/>
        <v>-119999.99999999907</v>
      </c>
      <c r="CH395" s="10">
        <f>分析データ!A395</f>
        <v>45502</v>
      </c>
    </row>
    <row r="396" spans="46:86">
      <c r="AT396">
        <f ca="1">IF(ROW()&lt;($C$7+1),"",IFERROR((分析データ!B396-AVERAGE(OFFSET(分析データ!B$1,MAX(1,ROW()-$C$7),0,MIN($C$7,ROW()-1),1)))/STDEV(OFFSET(分析データ!B$1,MAX(1,ROW()-$C$7),0,MIN($C$7,ROW()-1),1)),0))</f>
        <v>0.75442197828123925</v>
      </c>
      <c r="AU396">
        <f t="shared" ca="1" si="168"/>
        <v>0</v>
      </c>
      <c r="AV396" t="str">
        <f ca="1">IF(AU396=1,IF(INDEX(分析データ!$A:$A,ROW()+$C$5)&lt;&gt;"",80000*SIGN(AT396)*(分析データ!B396-INDEX(分析データ!B:B,ROW()+$C$5)),""),"")</f>
        <v/>
      </c>
      <c r="AW396">
        <f t="shared" ca="1" si="169"/>
        <v>0</v>
      </c>
      <c r="AX396">
        <f t="shared" ca="1" si="170"/>
        <v>0</v>
      </c>
      <c r="AY396">
        <f t="shared" ca="1" si="171"/>
        <v>0</v>
      </c>
      <c r="AZ396">
        <f ca="1">IF(ROW()&lt;($C$7+1),"",IFERROR((分析データ!C396-AVERAGE(OFFSET(分析データ!C$1,MAX(1,ROW()-$C$7),0,MIN($C$7,ROW()-1),1)))/STDEV(OFFSET(分析データ!C$1,MAX(1,ROW()-$C$7),0,MIN($C$7,ROW()-1),1)),0))</f>
        <v>-1.2659412428054799</v>
      </c>
      <c r="BA396">
        <f t="shared" ca="1" si="172"/>
        <v>0</v>
      </c>
      <c r="BB396" t="str">
        <f ca="1">IF(BA396=1,IF(INDEX(分析データ!$A:$A,ROW()+$C$5)&lt;&gt;"",60000*SIGN(AZ396)*(分析データ!C396-INDEX(分析データ!C:C,ROW()+$C$5)),""),"")</f>
        <v/>
      </c>
      <c r="BC396">
        <f t="shared" ca="1" si="173"/>
        <v>0</v>
      </c>
      <c r="BD396">
        <f t="shared" ca="1" si="174"/>
        <v>0</v>
      </c>
      <c r="BE396">
        <f t="shared" ca="1" si="175"/>
        <v>0</v>
      </c>
      <c r="BF396">
        <f ca="1">IF(ROW()&lt;($C$7+1),"",IFERROR((分析データ!D396-AVERAGE(OFFSET(分析データ!D$1,MAX(1,ROW()-$C$7),0,MIN($C$7,ROW()-1),1)))/STDEV(OFFSET(分析データ!D$1,MAX(1,ROW()-$C$7),0,MIN($C$7,ROW()-1),1)),0))</f>
        <v>-1.7281426046320032</v>
      </c>
      <c r="BG396">
        <f t="shared" ca="1" si="176"/>
        <v>0</v>
      </c>
      <c r="BH396" t="str">
        <f ca="1">IF(BG396=1,IF(INDEX(分析データ!$A:$A,ROW()+$C$5)&lt;&gt;"",50000*SIGN(BF396)*(分析データ!D396-INDEX(分析データ!D:D,ROW()+$C$5)),""),"")</f>
        <v/>
      </c>
      <c r="BI396">
        <f t="shared" ca="1" si="177"/>
        <v>404999.99999999546</v>
      </c>
      <c r="BJ396">
        <f t="shared" ca="1" si="178"/>
        <v>404999.99999999546</v>
      </c>
      <c r="BK396">
        <f t="shared" ca="1" si="179"/>
        <v>0</v>
      </c>
      <c r="BL396">
        <f ca="1">IF(ROW()&lt;($C$7+1),"",IFERROR((分析データ!E396-AVERAGE(OFFSET(分析データ!E$1,MAX(1,ROW()-$C$7),0,MIN($C$7,ROW()-1),1)))/STDEV(OFFSET(分析データ!E$1,MAX(1,ROW()-$C$7),0,MIN($C$7,ROW()-1),1)),0))</f>
        <v>1.7638335210432619</v>
      </c>
      <c r="BM396">
        <f t="shared" ca="1" si="180"/>
        <v>0</v>
      </c>
      <c r="BN396" t="str">
        <f ca="1">IF(BM396=1,IF(INDEX(分析データ!$A:$A,ROW()+$C$5)&lt;&gt;"",40000*SIGN(BL396)*(分析データ!E396-INDEX(分析データ!E:E,ROW()+$C$5)),""),"")</f>
        <v/>
      </c>
      <c r="BO396">
        <f t="shared" ca="1" si="181"/>
        <v>160000.0000000037</v>
      </c>
      <c r="BP396">
        <f t="shared" ca="1" si="182"/>
        <v>280000.00000000291</v>
      </c>
      <c r="BQ396">
        <f t="shared" ca="1" si="183"/>
        <v>-119999.99999999921</v>
      </c>
      <c r="BR396">
        <f ca="1">IF(ROW()&lt;($C$7+1),"",IFERROR((分析データ!F396-AVERAGE(OFFSET(分析データ!F$1,MAX(1,ROW()-$C$7),0,MIN($C$7,ROW()-1),1)))/STDEV(OFFSET(分析データ!F$1,MAX(1,ROW()-$C$7),0,MIN($C$7,ROW()-1),1)),0))</f>
        <v>7.1672638279199605E-2</v>
      </c>
      <c r="BS396">
        <f t="shared" ca="1" si="184"/>
        <v>0</v>
      </c>
      <c r="BT396" t="str">
        <f ca="1">IF(BS396=1,IF(INDEX(分析データ!$A:$A,ROW()+$C$5)&lt;&gt;"",40000*SIGN(BR396)*(分析データ!F396-INDEX(分析データ!F:F,ROW()+$C$5)),""),"")</f>
        <v/>
      </c>
      <c r="BU396">
        <f t="shared" ca="1" si="185"/>
        <v>583200.00000000163</v>
      </c>
      <c r="BV396">
        <f t="shared" ca="1" si="186"/>
        <v>583200.00000000163</v>
      </c>
      <c r="BW396">
        <f t="shared" ca="1" si="187"/>
        <v>0</v>
      </c>
      <c r="BX396">
        <f ca="1">IF(ROW()&lt;($C$7+1),"",IFERROR((分析データ!G396-AVERAGE(OFFSET(分析データ!G$1,MAX(1,ROW()-$C$7),0,MIN($C$7,ROW()-1),1)))/STDEV(OFFSET(分析データ!G$1,MAX(1,ROW()-$C$7),0,MIN($C$7,ROW()-1),1)),0))</f>
        <v>1.176553143268364</v>
      </c>
      <c r="BY396">
        <f t="shared" ca="1" si="188"/>
        <v>0</v>
      </c>
      <c r="BZ396" t="str">
        <f ca="1">IF(BY396=1,IF(INDEX(分析データ!$A:$A,ROW()+$C$5)&lt;&gt;"",40000*SIGN(BX396)*(分析データ!G396-INDEX(分析データ!G:G,ROW()+$C$5)),""),"")</f>
        <v/>
      </c>
      <c r="CA396">
        <f t="shared" ca="1" si="189"/>
        <v>3095574.2871093722</v>
      </c>
      <c r="CB396">
        <f t="shared" ca="1" si="190"/>
        <v>3095574.2871093722</v>
      </c>
      <c r="CC396">
        <f t="shared" ca="1" si="191"/>
        <v>0</v>
      </c>
      <c r="CD396">
        <f t="shared" ca="1" si="192"/>
        <v>0</v>
      </c>
      <c r="CE396">
        <f t="shared" ca="1" si="193"/>
        <v>4243774.2871093731</v>
      </c>
      <c r="CF396">
        <f t="shared" ca="1" si="194"/>
        <v>4363774.2871093722</v>
      </c>
      <c r="CG396">
        <f t="shared" ca="1" si="195"/>
        <v>-119999.99999999907</v>
      </c>
      <c r="CH396" s="10">
        <f>分析データ!A396</f>
        <v>45503</v>
      </c>
    </row>
    <row r="397" spans="46:86">
      <c r="AT397">
        <f ca="1">IF(ROW()&lt;($C$7+1),"",IFERROR((分析データ!B397-AVERAGE(OFFSET(分析データ!B$1,MAX(1,ROW()-$C$7),0,MIN($C$7,ROW()-1),1)))/STDEV(OFFSET(分析データ!B$1,MAX(1,ROW()-$C$7),0,MIN($C$7,ROW()-1),1)),0))</f>
        <v>0.67955087979622375</v>
      </c>
      <c r="AU397">
        <f t="shared" ca="1" si="168"/>
        <v>0</v>
      </c>
      <c r="AV397" t="str">
        <f ca="1">IF(AU397=1,IF(INDEX(分析データ!$A:$A,ROW()+$C$5)&lt;&gt;"",80000*SIGN(AT397)*(分析データ!B397-INDEX(分析データ!B:B,ROW()+$C$5)),""),"")</f>
        <v/>
      </c>
      <c r="AW397">
        <f t="shared" ca="1" si="169"/>
        <v>0</v>
      </c>
      <c r="AX397">
        <f t="shared" ca="1" si="170"/>
        <v>0</v>
      </c>
      <c r="AY397">
        <f t="shared" ca="1" si="171"/>
        <v>0</v>
      </c>
      <c r="AZ397">
        <f ca="1">IF(ROW()&lt;($C$7+1),"",IFERROR((分析データ!C397-AVERAGE(OFFSET(分析データ!C$1,MAX(1,ROW()-$C$7),0,MIN($C$7,ROW()-1),1)))/STDEV(OFFSET(分析データ!C$1,MAX(1,ROW()-$C$7),0,MIN($C$7,ROW()-1),1)),0))</f>
        <v>-1.3030875992256445</v>
      </c>
      <c r="BA397">
        <f t="shared" ca="1" si="172"/>
        <v>0</v>
      </c>
      <c r="BB397" t="str">
        <f ca="1">IF(BA397=1,IF(INDEX(分析データ!$A:$A,ROW()+$C$5)&lt;&gt;"",60000*SIGN(AZ397)*(分析データ!C397-INDEX(分析データ!C:C,ROW()+$C$5)),""),"")</f>
        <v/>
      </c>
      <c r="BC397">
        <f t="shared" ca="1" si="173"/>
        <v>0</v>
      </c>
      <c r="BD397">
        <f t="shared" ca="1" si="174"/>
        <v>0</v>
      </c>
      <c r="BE397">
        <f t="shared" ca="1" si="175"/>
        <v>0</v>
      </c>
      <c r="BF397">
        <f ca="1">IF(ROW()&lt;($C$7+1),"",IFERROR((分析データ!D397-AVERAGE(OFFSET(分析データ!D$1,MAX(1,ROW()-$C$7),0,MIN($C$7,ROW()-1),1)))/STDEV(OFFSET(分析データ!D$1,MAX(1,ROW()-$C$7),0,MIN($C$7,ROW()-1),1)),0))</f>
        <v>-2.2329266921180451</v>
      </c>
      <c r="BG397">
        <f t="shared" ca="1" si="176"/>
        <v>1</v>
      </c>
      <c r="BH397">
        <f ca="1">IF(BG397=1,IF(INDEX(分析データ!$A:$A,ROW()+$C$5)&lt;&gt;"",50000*SIGN(BF397)*(分析データ!D397-INDEX(分析データ!D:D,ROW()+$C$5)),""),"")</f>
        <v>-114999.99999999773</v>
      </c>
      <c r="BI397">
        <f t="shared" ca="1" si="177"/>
        <v>289999.99999999773</v>
      </c>
      <c r="BJ397">
        <f t="shared" ca="1" si="178"/>
        <v>404999.99999999546</v>
      </c>
      <c r="BK397">
        <f t="shared" ca="1" si="179"/>
        <v>-114999.99999999773</v>
      </c>
      <c r="BL397">
        <f ca="1">IF(ROW()&lt;($C$7+1),"",IFERROR((分析データ!E397-AVERAGE(OFFSET(分析データ!E$1,MAX(1,ROW()-$C$7),0,MIN($C$7,ROW()-1),1)))/STDEV(OFFSET(分析データ!E$1,MAX(1,ROW()-$C$7),0,MIN($C$7,ROW()-1),1)),0))</f>
        <v>1.7655997162493891</v>
      </c>
      <c r="BM397">
        <f t="shared" ca="1" si="180"/>
        <v>0</v>
      </c>
      <c r="BN397" t="str">
        <f ca="1">IF(BM397=1,IF(INDEX(分析データ!$A:$A,ROW()+$C$5)&lt;&gt;"",40000*SIGN(BL397)*(分析データ!E397-INDEX(分析データ!E:E,ROW()+$C$5)),""),"")</f>
        <v/>
      </c>
      <c r="BO397">
        <f t="shared" ca="1" si="181"/>
        <v>160000.0000000037</v>
      </c>
      <c r="BP397">
        <f t="shared" ca="1" si="182"/>
        <v>280000.00000000291</v>
      </c>
      <c r="BQ397">
        <f t="shared" ca="1" si="183"/>
        <v>-119999.99999999921</v>
      </c>
      <c r="BR397">
        <f ca="1">IF(ROW()&lt;($C$7+1),"",IFERROR((分析データ!F397-AVERAGE(OFFSET(分析データ!F$1,MAX(1,ROW()-$C$7),0,MIN($C$7,ROW()-1),1)))/STDEV(OFFSET(分析データ!F$1,MAX(1,ROW()-$C$7),0,MIN($C$7,ROW()-1),1)),0))</f>
        <v>0.23268045300206605</v>
      </c>
      <c r="BS397">
        <f t="shared" ca="1" si="184"/>
        <v>0</v>
      </c>
      <c r="BT397" t="str">
        <f ca="1">IF(BS397=1,IF(INDEX(分析データ!$A:$A,ROW()+$C$5)&lt;&gt;"",40000*SIGN(BR397)*(分析データ!F397-INDEX(分析データ!F:F,ROW()+$C$5)),""),"")</f>
        <v/>
      </c>
      <c r="BU397">
        <f t="shared" ca="1" si="185"/>
        <v>583200.00000000163</v>
      </c>
      <c r="BV397">
        <f t="shared" ca="1" si="186"/>
        <v>583200.00000000163</v>
      </c>
      <c r="BW397">
        <f t="shared" ca="1" si="187"/>
        <v>0</v>
      </c>
      <c r="BX397">
        <f ca="1">IF(ROW()&lt;($C$7+1),"",IFERROR((分析データ!G397-AVERAGE(OFFSET(分析データ!G$1,MAX(1,ROW()-$C$7),0,MIN($C$7,ROW()-1),1)))/STDEV(OFFSET(分析データ!G$1,MAX(1,ROW()-$C$7),0,MIN($C$7,ROW()-1),1)),0))</f>
        <v>1.5145350278756726</v>
      </c>
      <c r="BY397">
        <f t="shared" ca="1" si="188"/>
        <v>0</v>
      </c>
      <c r="BZ397" t="str">
        <f ca="1">IF(BY397=1,IF(INDEX(分析データ!$A:$A,ROW()+$C$5)&lt;&gt;"",40000*SIGN(BX397)*(分析データ!G397-INDEX(分析データ!G:G,ROW()+$C$5)),""),"")</f>
        <v/>
      </c>
      <c r="CA397">
        <f t="shared" ca="1" si="189"/>
        <v>3095574.2871093722</v>
      </c>
      <c r="CB397">
        <f t="shared" ca="1" si="190"/>
        <v>3095574.2871093722</v>
      </c>
      <c r="CC397">
        <f t="shared" ca="1" si="191"/>
        <v>0</v>
      </c>
      <c r="CD397">
        <f t="shared" ca="1" si="192"/>
        <v>-114999.99999999773</v>
      </c>
      <c r="CE397">
        <f t="shared" ca="1" si="193"/>
        <v>4128774.2871093755</v>
      </c>
      <c r="CF397">
        <f t="shared" ca="1" si="194"/>
        <v>4363774.2871093722</v>
      </c>
      <c r="CG397">
        <f t="shared" ca="1" si="195"/>
        <v>-234999.99999999674</v>
      </c>
      <c r="CH397" s="10">
        <f>分析データ!A397</f>
        <v>45504</v>
      </c>
    </row>
    <row r="398" spans="46:86">
      <c r="AT398">
        <f ca="1">IF(ROW()&lt;($C$7+1),"",IFERROR((分析データ!B398-AVERAGE(OFFSET(分析データ!B$1,MAX(1,ROW()-$C$7),0,MIN($C$7,ROW()-1),1)))/STDEV(OFFSET(分析データ!B$1,MAX(1,ROW()-$C$7),0,MIN($C$7,ROW()-1),1)),0))</f>
        <v>0.75117943144291843</v>
      </c>
      <c r="AU398">
        <f t="shared" ca="1" si="168"/>
        <v>0</v>
      </c>
      <c r="AV398" t="str">
        <f ca="1">IF(AU398=1,IF(INDEX(分析データ!$A:$A,ROW()+$C$5)&lt;&gt;"",80000*SIGN(AT398)*(分析データ!B398-INDEX(分析データ!B:B,ROW()+$C$5)),""),"")</f>
        <v/>
      </c>
      <c r="AW398">
        <f t="shared" ca="1" si="169"/>
        <v>0</v>
      </c>
      <c r="AX398">
        <f t="shared" ca="1" si="170"/>
        <v>0</v>
      </c>
      <c r="AY398">
        <f t="shared" ca="1" si="171"/>
        <v>0</v>
      </c>
      <c r="AZ398">
        <f ca="1">IF(ROW()&lt;($C$7+1),"",IFERROR((分析データ!C398-AVERAGE(OFFSET(分析データ!C$1,MAX(1,ROW()-$C$7),0,MIN($C$7,ROW()-1),1)))/STDEV(OFFSET(分析データ!C$1,MAX(1,ROW()-$C$7),0,MIN($C$7,ROW()-1),1)),0))</f>
        <v>-1.6138988443618936</v>
      </c>
      <c r="BA398">
        <f t="shared" ca="1" si="172"/>
        <v>0</v>
      </c>
      <c r="BB398" t="str">
        <f ca="1">IF(BA398=1,IF(INDEX(分析データ!$A:$A,ROW()+$C$5)&lt;&gt;"",60000*SIGN(AZ398)*(分析データ!C398-INDEX(分析データ!C:C,ROW()+$C$5)),""),"")</f>
        <v/>
      </c>
      <c r="BC398">
        <f t="shared" ca="1" si="173"/>
        <v>0</v>
      </c>
      <c r="BD398">
        <f t="shared" ca="1" si="174"/>
        <v>0</v>
      </c>
      <c r="BE398">
        <f t="shared" ca="1" si="175"/>
        <v>0</v>
      </c>
      <c r="BF398">
        <f ca="1">IF(ROW()&lt;($C$7+1),"",IFERROR((分析データ!D398-AVERAGE(OFFSET(分析データ!D$1,MAX(1,ROW()-$C$7),0,MIN($C$7,ROW()-1),1)))/STDEV(OFFSET(分析データ!D$1,MAX(1,ROW()-$C$7),0,MIN($C$7,ROW()-1),1)),0))</f>
        <v>-2.5348321594463208</v>
      </c>
      <c r="BG398">
        <f t="shared" ca="1" si="176"/>
        <v>1</v>
      </c>
      <c r="BH398">
        <f ca="1">IF(BG398=1,IF(INDEX(分析データ!$A:$A,ROW()+$C$5)&lt;&gt;"",50000*SIGN(BF398)*(分析データ!D398-INDEX(分析データ!D:D,ROW()+$C$5)),""),"")</f>
        <v>575000.00000000279</v>
      </c>
      <c r="BI398">
        <f t="shared" ca="1" si="177"/>
        <v>865000.00000000047</v>
      </c>
      <c r="BJ398">
        <f t="shared" ca="1" si="178"/>
        <v>865000.00000000047</v>
      </c>
      <c r="BK398">
        <f t="shared" ca="1" si="179"/>
        <v>0</v>
      </c>
      <c r="BL398">
        <f ca="1">IF(ROW()&lt;($C$7+1),"",IFERROR((分析データ!E398-AVERAGE(OFFSET(分析データ!E$1,MAX(1,ROW()-$C$7),0,MIN($C$7,ROW()-1),1)))/STDEV(OFFSET(分析データ!E$1,MAX(1,ROW()-$C$7),0,MIN($C$7,ROW()-1),1)),0))</f>
        <v>2.1841555854189991</v>
      </c>
      <c r="BM398">
        <f t="shared" ca="1" si="180"/>
        <v>1</v>
      </c>
      <c r="BN398">
        <f ca="1">IF(BM398=1,IF(INDEX(分析データ!$A:$A,ROW()+$C$5)&lt;&gt;"",40000*SIGN(BL398)*(分析データ!E398-INDEX(分析データ!E:E,ROW()+$C$5)),""),"")</f>
        <v>80000.000000001848</v>
      </c>
      <c r="BO398">
        <f t="shared" ca="1" si="181"/>
        <v>240000.00000000553</v>
      </c>
      <c r="BP398">
        <f t="shared" ca="1" si="182"/>
        <v>280000.00000000291</v>
      </c>
      <c r="BQ398">
        <f t="shared" ca="1" si="183"/>
        <v>-39999.999999997381</v>
      </c>
      <c r="BR398">
        <f ca="1">IF(ROW()&lt;($C$7+1),"",IFERROR((分析データ!F398-AVERAGE(OFFSET(分析データ!F$1,MAX(1,ROW()-$C$7),0,MIN($C$7,ROW()-1),1)))/STDEV(OFFSET(分析データ!F$1,MAX(1,ROW()-$C$7),0,MIN($C$7,ROW()-1),1)),0))</f>
        <v>0.39606965072130124</v>
      </c>
      <c r="BS398">
        <f t="shared" ca="1" si="184"/>
        <v>0</v>
      </c>
      <c r="BT398" t="str">
        <f ca="1">IF(BS398=1,IF(INDEX(分析データ!$A:$A,ROW()+$C$5)&lt;&gt;"",40000*SIGN(BR398)*(分析データ!F398-INDEX(分析データ!F:F,ROW()+$C$5)),""),"")</f>
        <v/>
      </c>
      <c r="BU398">
        <f t="shared" ca="1" si="185"/>
        <v>583200.00000000163</v>
      </c>
      <c r="BV398">
        <f t="shared" ca="1" si="186"/>
        <v>583200.00000000163</v>
      </c>
      <c r="BW398">
        <f t="shared" ca="1" si="187"/>
        <v>0</v>
      </c>
      <c r="BX398">
        <f ca="1">IF(ROW()&lt;($C$7+1),"",IFERROR((分析データ!G398-AVERAGE(OFFSET(分析データ!G$1,MAX(1,ROW()-$C$7),0,MIN($C$7,ROW()-1),1)))/STDEV(OFFSET(分析データ!G$1,MAX(1,ROW()-$C$7),0,MIN($C$7,ROW()-1),1)),0))</f>
        <v>1.5644118427871885</v>
      </c>
      <c r="BY398">
        <f t="shared" ca="1" si="188"/>
        <v>0</v>
      </c>
      <c r="BZ398" t="str">
        <f ca="1">IF(BY398=1,IF(INDEX(分析データ!$A:$A,ROW()+$C$5)&lt;&gt;"",40000*SIGN(BX398)*(分析データ!G398-INDEX(分析データ!G:G,ROW()+$C$5)),""),"")</f>
        <v/>
      </c>
      <c r="CA398">
        <f t="shared" ca="1" si="189"/>
        <v>3095574.2871093722</v>
      </c>
      <c r="CB398">
        <f t="shared" ca="1" si="190"/>
        <v>3095574.2871093722</v>
      </c>
      <c r="CC398">
        <f t="shared" ca="1" si="191"/>
        <v>0</v>
      </c>
      <c r="CD398">
        <f t="shared" ca="1" si="192"/>
        <v>655000.00000000466</v>
      </c>
      <c r="CE398">
        <f t="shared" ca="1" si="193"/>
        <v>4783774.2871093806</v>
      </c>
      <c r="CF398">
        <f t="shared" ca="1" si="194"/>
        <v>4783774.2871093806</v>
      </c>
      <c r="CG398">
        <f t="shared" ca="1" si="195"/>
        <v>0</v>
      </c>
      <c r="CH398" s="10">
        <f>分析データ!A398</f>
        <v>45505</v>
      </c>
    </row>
    <row r="399" spans="46:86">
      <c r="AT399">
        <f ca="1">IF(ROW()&lt;($C$7+1),"",IFERROR((分析データ!B399-AVERAGE(OFFSET(分析データ!B$1,MAX(1,ROW()-$C$7),0,MIN($C$7,ROW()-1),1)))/STDEV(OFFSET(分析データ!B$1,MAX(1,ROW()-$C$7),0,MIN($C$7,ROW()-1),1)),0))</f>
        <v>1.2011421561909996</v>
      </c>
      <c r="AU399">
        <f t="shared" ca="1" si="168"/>
        <v>0</v>
      </c>
      <c r="AV399" t="str">
        <f ca="1">IF(AU399=1,IF(INDEX(分析データ!$A:$A,ROW()+$C$5)&lt;&gt;"",80000*SIGN(AT399)*(分析データ!B399-INDEX(分析データ!B:B,ROW()+$C$5)),""),"")</f>
        <v/>
      </c>
      <c r="AW399">
        <f t="shared" ca="1" si="169"/>
        <v>0</v>
      </c>
      <c r="AX399">
        <f t="shared" ca="1" si="170"/>
        <v>0</v>
      </c>
      <c r="AY399">
        <f t="shared" ca="1" si="171"/>
        <v>0</v>
      </c>
      <c r="AZ399">
        <f ca="1">IF(ROW()&lt;($C$7+1),"",IFERROR((分析データ!C399-AVERAGE(OFFSET(分析データ!C$1,MAX(1,ROW()-$C$7),0,MIN($C$7,ROW()-1),1)))/STDEV(OFFSET(分析データ!C$1,MAX(1,ROW()-$C$7),0,MIN($C$7,ROW()-1),1)),0))</f>
        <v>-1.9723279345790565</v>
      </c>
      <c r="BA399">
        <f t="shared" ca="1" si="172"/>
        <v>0</v>
      </c>
      <c r="BB399" t="str">
        <f ca="1">IF(BA399=1,IF(INDEX(分析データ!$A:$A,ROW()+$C$5)&lt;&gt;"",60000*SIGN(AZ399)*(分析データ!C399-INDEX(分析データ!C:C,ROW()+$C$5)),""),"")</f>
        <v/>
      </c>
      <c r="BC399">
        <f t="shared" ca="1" si="173"/>
        <v>0</v>
      </c>
      <c r="BD399">
        <f t="shared" ca="1" si="174"/>
        <v>0</v>
      </c>
      <c r="BE399">
        <f t="shared" ca="1" si="175"/>
        <v>0</v>
      </c>
      <c r="BF399">
        <f ca="1">IF(ROW()&lt;($C$7+1),"",IFERROR((分析データ!D399-AVERAGE(OFFSET(分析データ!D$1,MAX(1,ROW()-$C$7),0,MIN($C$7,ROW()-1),1)))/STDEV(OFFSET(分析データ!D$1,MAX(1,ROW()-$C$7),0,MIN($C$7,ROW()-1),1)),0))</f>
        <v>-2.9910962613258185</v>
      </c>
      <c r="BG399">
        <f t="shared" ca="1" si="176"/>
        <v>1</v>
      </c>
      <c r="BH399">
        <f ca="1">IF(BG399=1,IF(INDEX(分析データ!$A:$A,ROW()+$C$5)&lt;&gt;"",50000*SIGN(BF399)*(分析データ!D399-INDEX(分析データ!D:D,ROW()+$C$5)),""),"")</f>
        <v>830000.00000000116</v>
      </c>
      <c r="BI399">
        <f t="shared" ca="1" si="177"/>
        <v>1695000.0000000016</v>
      </c>
      <c r="BJ399">
        <f t="shared" ca="1" si="178"/>
        <v>1695000.0000000016</v>
      </c>
      <c r="BK399">
        <f t="shared" ca="1" si="179"/>
        <v>0</v>
      </c>
      <c r="BL399">
        <f ca="1">IF(ROW()&lt;($C$7+1),"",IFERROR((分析データ!E399-AVERAGE(OFFSET(分析データ!E$1,MAX(1,ROW()-$C$7),0,MIN($C$7,ROW()-1),1)))/STDEV(OFFSET(分析データ!E$1,MAX(1,ROW()-$C$7),0,MIN($C$7,ROW()-1),1)),0))</f>
        <v>2.5906642802867634</v>
      </c>
      <c r="BM399">
        <f t="shared" ca="1" si="180"/>
        <v>1</v>
      </c>
      <c r="BN399">
        <f ca="1">IF(BM399=1,IF(INDEX(分析データ!$A:$A,ROW()+$C$5)&lt;&gt;"",40000*SIGN(BL399)*(分析データ!E399-INDEX(分析データ!E:E,ROW()+$C$5)),""),"")</f>
        <v>239999.99999999843</v>
      </c>
      <c r="BO399">
        <f t="shared" ca="1" si="181"/>
        <v>480000.00000000396</v>
      </c>
      <c r="BP399">
        <f t="shared" ca="1" si="182"/>
        <v>480000.00000000396</v>
      </c>
      <c r="BQ399">
        <f t="shared" ca="1" si="183"/>
        <v>0</v>
      </c>
      <c r="BR399">
        <f ca="1">IF(ROW()&lt;($C$7+1),"",IFERROR((分析データ!F399-AVERAGE(OFFSET(分析データ!F$1,MAX(1,ROW()-$C$7),0,MIN($C$7,ROW()-1),1)))/STDEV(OFFSET(分析データ!F$1,MAX(1,ROW()-$C$7),0,MIN($C$7,ROW()-1),1)),0))</f>
        <v>0.89985851528327976</v>
      </c>
      <c r="BS399">
        <f t="shared" ca="1" si="184"/>
        <v>0</v>
      </c>
      <c r="BT399" t="str">
        <f ca="1">IF(BS399=1,IF(INDEX(分析データ!$A:$A,ROW()+$C$5)&lt;&gt;"",40000*SIGN(BR399)*(分析データ!F399-INDEX(分析データ!F:F,ROW()+$C$5)),""),"")</f>
        <v/>
      </c>
      <c r="BU399">
        <f t="shared" ca="1" si="185"/>
        <v>583200.00000000163</v>
      </c>
      <c r="BV399">
        <f t="shared" ca="1" si="186"/>
        <v>583200.00000000163</v>
      </c>
      <c r="BW399">
        <f t="shared" ca="1" si="187"/>
        <v>0</v>
      </c>
      <c r="BX399">
        <f ca="1">IF(ROW()&lt;($C$7+1),"",IFERROR((分析データ!G399-AVERAGE(OFFSET(分析データ!G$1,MAX(1,ROW()-$C$7),0,MIN($C$7,ROW()-1),1)))/STDEV(OFFSET(分析データ!G$1,MAX(1,ROW()-$C$7),0,MIN($C$7,ROW()-1),1)),0))</f>
        <v>1.574695997583478</v>
      </c>
      <c r="BY399">
        <f t="shared" ca="1" si="188"/>
        <v>0</v>
      </c>
      <c r="BZ399" t="str">
        <f ca="1">IF(BY399=1,IF(INDEX(分析データ!$A:$A,ROW()+$C$5)&lt;&gt;"",40000*SIGN(BX399)*(分析データ!G399-INDEX(分析データ!G:G,ROW()+$C$5)),""),"")</f>
        <v/>
      </c>
      <c r="CA399">
        <f t="shared" ca="1" si="189"/>
        <v>3095574.2871093722</v>
      </c>
      <c r="CB399">
        <f t="shared" ca="1" si="190"/>
        <v>3095574.2871093722</v>
      </c>
      <c r="CC399">
        <f t="shared" ca="1" si="191"/>
        <v>0</v>
      </c>
      <c r="CD399">
        <f t="shared" ca="1" si="192"/>
        <v>1069999.9999999995</v>
      </c>
      <c r="CE399">
        <f t="shared" ca="1" si="193"/>
        <v>5853774.2871093806</v>
      </c>
      <c r="CF399">
        <f t="shared" ca="1" si="194"/>
        <v>5853774.2871093806</v>
      </c>
      <c r="CG399">
        <f t="shared" ca="1" si="195"/>
        <v>0</v>
      </c>
      <c r="CH399" s="10">
        <f>分析データ!A399</f>
        <v>45506</v>
      </c>
    </row>
    <row r="400" spans="46:86">
      <c r="AT400">
        <f ca="1">IF(ROW()&lt;($C$7+1),"",IFERROR((分析データ!B400-AVERAGE(OFFSET(分析データ!B$1,MAX(1,ROW()-$C$7),0,MIN($C$7,ROW()-1),1)))/STDEV(OFFSET(分析データ!B$1,MAX(1,ROW()-$C$7),0,MIN($C$7,ROW()-1),1)),0))</f>
        <v>1.1989520559474893</v>
      </c>
      <c r="AU400">
        <f t="shared" ca="1" si="168"/>
        <v>0</v>
      </c>
      <c r="AV400" t="str">
        <f ca="1">IF(AU400=1,IF(INDEX(分析データ!$A:$A,ROW()+$C$5)&lt;&gt;"",80000*SIGN(AT400)*(分析データ!B400-INDEX(分析データ!B:B,ROW()+$C$5)),""),"")</f>
        <v/>
      </c>
      <c r="AW400">
        <f t="shared" ca="1" si="169"/>
        <v>0</v>
      </c>
      <c r="AX400">
        <f t="shared" ca="1" si="170"/>
        <v>0</v>
      </c>
      <c r="AY400">
        <f t="shared" ca="1" si="171"/>
        <v>0</v>
      </c>
      <c r="AZ400">
        <f ca="1">IF(ROW()&lt;($C$7+1),"",IFERROR((分析データ!C400-AVERAGE(OFFSET(分析データ!C$1,MAX(1,ROW()-$C$7),0,MIN($C$7,ROW()-1),1)))/STDEV(OFFSET(分析データ!C$1,MAX(1,ROW()-$C$7),0,MIN($C$7,ROW()-1),1)),0))</f>
        <v>-2.8551584920178104</v>
      </c>
      <c r="BA400">
        <f t="shared" ca="1" si="172"/>
        <v>1</v>
      </c>
      <c r="BB400">
        <f ca="1">IF(BA400=1,IF(INDEX(分析データ!$A:$A,ROW()+$C$5)&lt;&gt;"",60000*SIGN(AZ400)*(分析データ!C400-INDEX(分析データ!C:C,ROW()+$C$5)),""),"")</f>
        <v>60000.000000000211</v>
      </c>
      <c r="BC400">
        <f t="shared" ca="1" si="173"/>
        <v>60000.000000000211</v>
      </c>
      <c r="BD400">
        <f t="shared" ca="1" si="174"/>
        <v>60000.000000000211</v>
      </c>
      <c r="BE400">
        <f t="shared" ca="1" si="175"/>
        <v>0</v>
      </c>
      <c r="BF400">
        <f ca="1">IF(ROW()&lt;($C$7+1),"",IFERROR((分析データ!D400-AVERAGE(OFFSET(分析データ!D$1,MAX(1,ROW()-$C$7),0,MIN($C$7,ROW()-1),1)))/STDEV(OFFSET(分析データ!D$1,MAX(1,ROW()-$C$7),0,MIN($C$7,ROW()-1),1)),0))</f>
        <v>-2.2104263129666717</v>
      </c>
      <c r="BG400">
        <f t="shared" ca="1" si="176"/>
        <v>1</v>
      </c>
      <c r="BH400">
        <f ca="1">IF(BG400=1,IF(INDEX(分析データ!$A:$A,ROW()+$C$5)&lt;&gt;"",50000*SIGN(BF400)*(分析データ!D400-INDEX(分析データ!D:D,ROW()+$C$5)),""),"")</f>
        <v>-265000.00000000058</v>
      </c>
      <c r="BI400">
        <f t="shared" ca="1" si="177"/>
        <v>1430000.0000000009</v>
      </c>
      <c r="BJ400">
        <f t="shared" ca="1" si="178"/>
        <v>1695000.0000000016</v>
      </c>
      <c r="BK400">
        <f t="shared" ca="1" si="179"/>
        <v>-265000.0000000007</v>
      </c>
      <c r="BL400">
        <f ca="1">IF(ROW()&lt;($C$7+1),"",IFERROR((分析データ!E400-AVERAGE(OFFSET(分析データ!E$1,MAX(1,ROW()-$C$7),0,MIN($C$7,ROW()-1),1)))/STDEV(OFFSET(分析データ!E$1,MAX(1,ROW()-$C$7),0,MIN($C$7,ROW()-1),1)),0))</f>
        <v>2.287505646612968</v>
      </c>
      <c r="BM400">
        <f t="shared" ca="1" si="180"/>
        <v>1</v>
      </c>
      <c r="BN400">
        <f ca="1">IF(BM400=1,IF(INDEX(分析データ!$A:$A,ROW()+$C$5)&lt;&gt;"",40000*SIGN(BL400)*(分析データ!E400-INDEX(分析データ!E:E,ROW()+$C$5)),""),"")</f>
        <v>199999.9999999993</v>
      </c>
      <c r="BO400">
        <f t="shared" ca="1" si="181"/>
        <v>680000.00000000326</v>
      </c>
      <c r="BP400">
        <f t="shared" ca="1" si="182"/>
        <v>680000.00000000326</v>
      </c>
      <c r="BQ400">
        <f t="shared" ca="1" si="183"/>
        <v>0</v>
      </c>
      <c r="BR400">
        <f ca="1">IF(ROW()&lt;($C$7+1),"",IFERROR((分析データ!F400-AVERAGE(OFFSET(分析データ!F$1,MAX(1,ROW()-$C$7),0,MIN($C$7,ROW()-1),1)))/STDEV(OFFSET(分析データ!F$1,MAX(1,ROW()-$C$7),0,MIN($C$7,ROW()-1),1)),0))</f>
        <v>0.22513823147367493</v>
      </c>
      <c r="BS400">
        <f t="shared" ca="1" si="184"/>
        <v>0</v>
      </c>
      <c r="BT400" t="str">
        <f ca="1">IF(BS400=1,IF(INDEX(分析データ!$A:$A,ROW()+$C$5)&lt;&gt;"",40000*SIGN(BR400)*(分析データ!F400-INDEX(分析データ!F:F,ROW()+$C$5)),""),"")</f>
        <v/>
      </c>
      <c r="BU400">
        <f t="shared" ca="1" si="185"/>
        <v>583200.00000000163</v>
      </c>
      <c r="BV400">
        <f t="shared" ca="1" si="186"/>
        <v>583200.00000000163</v>
      </c>
      <c r="BW400">
        <f t="shared" ca="1" si="187"/>
        <v>0</v>
      </c>
      <c r="BX400">
        <f ca="1">IF(ROW()&lt;($C$7+1),"",IFERROR((分析データ!G400-AVERAGE(OFFSET(分析データ!G$1,MAX(1,ROW()-$C$7),0,MIN($C$7,ROW()-1),1)))/STDEV(OFFSET(分析データ!G$1,MAX(1,ROW()-$C$7),0,MIN($C$7,ROW()-1),1)),0))</f>
        <v>1.4464471650416062</v>
      </c>
      <c r="BY400">
        <f t="shared" ca="1" si="188"/>
        <v>0</v>
      </c>
      <c r="BZ400" t="str">
        <f ca="1">IF(BY400=1,IF(INDEX(分析データ!$A:$A,ROW()+$C$5)&lt;&gt;"",40000*SIGN(BX400)*(分析データ!G400-INDEX(分析データ!G:G,ROW()+$C$5)),""),"")</f>
        <v/>
      </c>
      <c r="CA400">
        <f t="shared" ca="1" si="189"/>
        <v>3095574.2871093722</v>
      </c>
      <c r="CB400">
        <f t="shared" ca="1" si="190"/>
        <v>3095574.2871093722</v>
      </c>
      <c r="CC400">
        <f t="shared" ca="1" si="191"/>
        <v>0</v>
      </c>
      <c r="CD400">
        <f t="shared" ca="1" si="192"/>
        <v>-5000.0000000010768</v>
      </c>
      <c r="CE400">
        <f t="shared" ca="1" si="193"/>
        <v>5848774.2871093797</v>
      </c>
      <c r="CF400">
        <f t="shared" ca="1" si="194"/>
        <v>5853774.2871093806</v>
      </c>
      <c r="CG400">
        <f t="shared" ca="1" si="195"/>
        <v>-5000.0000000009313</v>
      </c>
      <c r="CH400" s="10">
        <f>分析データ!A400</f>
        <v>45509</v>
      </c>
    </row>
    <row r="401" spans="46:86">
      <c r="AT401">
        <f ca="1">IF(ROW()&lt;($C$7+1),"",IFERROR((分析データ!B401-AVERAGE(OFFSET(分析データ!B$1,MAX(1,ROW()-$C$7),0,MIN($C$7,ROW()-1),1)))/STDEV(OFFSET(分析データ!B$1,MAX(1,ROW()-$C$7),0,MIN($C$7,ROW()-1),1)),0))</f>
        <v>1.345989337891847</v>
      </c>
      <c r="AU401">
        <f t="shared" ca="1" si="168"/>
        <v>0</v>
      </c>
      <c r="AV401" t="str">
        <f ca="1">IF(AU401=1,IF(INDEX(分析データ!$A:$A,ROW()+$C$5)&lt;&gt;"",80000*SIGN(AT401)*(分析データ!B401-INDEX(分析データ!B:B,ROW()+$C$5)),""),"")</f>
        <v/>
      </c>
      <c r="AW401">
        <f t="shared" ca="1" si="169"/>
        <v>0</v>
      </c>
      <c r="AX401">
        <f t="shared" ca="1" si="170"/>
        <v>0</v>
      </c>
      <c r="AY401">
        <f t="shared" ca="1" si="171"/>
        <v>0</v>
      </c>
      <c r="AZ401">
        <f ca="1">IF(ROW()&lt;($C$7+1),"",IFERROR((分析データ!C401-AVERAGE(OFFSET(分析データ!C$1,MAX(1,ROW()-$C$7),0,MIN($C$7,ROW()-1),1)))/STDEV(OFFSET(分析データ!C$1,MAX(1,ROW()-$C$7),0,MIN($C$7,ROW()-1),1)),0))</f>
        <v>-2.1981197242633885</v>
      </c>
      <c r="BA401">
        <f t="shared" ca="1" si="172"/>
        <v>1</v>
      </c>
      <c r="BB401">
        <f ca="1">IF(BA401=1,IF(INDEX(分析データ!$A:$A,ROW()+$C$5)&lt;&gt;"",60000*SIGN(AZ401)*(分析データ!C401-INDEX(分析データ!C:C,ROW()+$C$5)),""),"")</f>
        <v>-170999.99999999965</v>
      </c>
      <c r="BC401">
        <f t="shared" ca="1" si="173"/>
        <v>-110999.99999999945</v>
      </c>
      <c r="BD401">
        <f t="shared" ca="1" si="174"/>
        <v>60000.000000000211</v>
      </c>
      <c r="BE401">
        <f t="shared" ca="1" si="175"/>
        <v>-170999.99999999965</v>
      </c>
      <c r="BF401">
        <f ca="1">IF(ROW()&lt;($C$7+1),"",IFERROR((分析データ!D401-AVERAGE(OFFSET(分析データ!D$1,MAX(1,ROW()-$C$7),0,MIN($C$7,ROW()-1),1)))/STDEV(OFFSET(分析データ!D$1,MAX(1,ROW()-$C$7),0,MIN($C$7,ROW()-1),1)),0))</f>
        <v>-2.2092807218457309</v>
      </c>
      <c r="BG401">
        <f t="shared" ca="1" si="176"/>
        <v>1</v>
      </c>
      <c r="BH401">
        <f ca="1">IF(BG401=1,IF(INDEX(分析データ!$A:$A,ROW()+$C$5)&lt;&gt;"",50000*SIGN(BF401)*(分析データ!D401-INDEX(分析データ!D:D,ROW()+$C$5)),""),"")</f>
        <v>-440000.00000000058</v>
      </c>
      <c r="BI401">
        <f t="shared" ca="1" si="177"/>
        <v>990000.00000000035</v>
      </c>
      <c r="BJ401">
        <f t="shared" ca="1" si="178"/>
        <v>1695000.0000000016</v>
      </c>
      <c r="BK401">
        <f t="shared" ca="1" si="179"/>
        <v>-705000.00000000128</v>
      </c>
      <c r="BL401">
        <f ca="1">IF(ROW()&lt;($C$7+1),"",IFERROR((分析データ!E401-AVERAGE(OFFSET(分析データ!E$1,MAX(1,ROW()-$C$7),0,MIN($C$7,ROW()-1),1)))/STDEV(OFFSET(分析データ!E$1,MAX(1,ROW()-$C$7),0,MIN($C$7,ROW()-1),1)),0))</f>
        <v>2.3958639089375442</v>
      </c>
      <c r="BM401">
        <f t="shared" ca="1" si="180"/>
        <v>1</v>
      </c>
      <c r="BN401">
        <f ca="1">IF(BM401=1,IF(INDEX(分析データ!$A:$A,ROW()+$C$5)&lt;&gt;"",40000*SIGN(BL401)*(分析データ!E401-INDEX(分析データ!E:E,ROW()+$C$5)),""),"")</f>
        <v>200000.00000000108</v>
      </c>
      <c r="BO401">
        <f t="shared" ca="1" si="181"/>
        <v>880000.00000000431</v>
      </c>
      <c r="BP401">
        <f t="shared" ca="1" si="182"/>
        <v>880000.00000000431</v>
      </c>
      <c r="BQ401">
        <f t="shared" ca="1" si="183"/>
        <v>0</v>
      </c>
      <c r="BR401">
        <f ca="1">IF(ROW()&lt;($C$7+1),"",IFERROR((分析データ!F401-AVERAGE(OFFSET(分析データ!F$1,MAX(1,ROW()-$C$7),0,MIN($C$7,ROW()-1),1)))/STDEV(OFFSET(分析データ!F$1,MAX(1,ROW()-$C$7),0,MIN($C$7,ROW()-1),1)),0))</f>
        <v>-0.5167355095148316</v>
      </c>
      <c r="BS401">
        <f t="shared" ca="1" si="184"/>
        <v>0</v>
      </c>
      <c r="BT401" t="str">
        <f ca="1">IF(BS401=1,IF(INDEX(分析データ!$A:$A,ROW()+$C$5)&lt;&gt;"",40000*SIGN(BR401)*(分析データ!F401-INDEX(分析データ!F:F,ROW()+$C$5)),""),"")</f>
        <v/>
      </c>
      <c r="BU401">
        <f t="shared" ca="1" si="185"/>
        <v>583200.00000000163</v>
      </c>
      <c r="BV401">
        <f t="shared" ca="1" si="186"/>
        <v>583200.00000000163</v>
      </c>
      <c r="BW401">
        <f t="shared" ca="1" si="187"/>
        <v>0</v>
      </c>
      <c r="BX401">
        <f ca="1">IF(ROW()&lt;($C$7+1),"",IFERROR((分析データ!G401-AVERAGE(OFFSET(分析データ!G$1,MAX(1,ROW()-$C$7),0,MIN($C$7,ROW()-1),1)))/STDEV(OFFSET(分析データ!G$1,MAX(1,ROW()-$C$7),0,MIN($C$7,ROW()-1),1)),0))</f>
        <v>2.0841616321503911</v>
      </c>
      <c r="BY401">
        <f t="shared" ca="1" si="188"/>
        <v>1</v>
      </c>
      <c r="BZ401">
        <f ca="1">IF(BY401=1,IF(INDEX(分析データ!$A:$A,ROW()+$C$5)&lt;&gt;"",40000*SIGN(BX401)*(分析データ!G401-INDEX(分析データ!G:G,ROW()+$C$5)),""),"")</f>
        <v>719992.85644531599</v>
      </c>
      <c r="CA401">
        <f t="shared" ca="1" si="189"/>
        <v>3815567.1435546884</v>
      </c>
      <c r="CB401">
        <f t="shared" ca="1" si="190"/>
        <v>3815567.1435546884</v>
      </c>
      <c r="CC401">
        <f t="shared" ca="1" si="191"/>
        <v>0</v>
      </c>
      <c r="CD401">
        <f t="shared" ca="1" si="192"/>
        <v>308992.85644531681</v>
      </c>
      <c r="CE401">
        <f t="shared" ca="1" si="193"/>
        <v>6157767.1435546968</v>
      </c>
      <c r="CF401">
        <f t="shared" ca="1" si="194"/>
        <v>6157767.1435546968</v>
      </c>
      <c r="CG401">
        <f t="shared" ca="1" si="195"/>
        <v>0</v>
      </c>
      <c r="CH401" s="10">
        <f>分析データ!A401</f>
        <v>45510</v>
      </c>
    </row>
    <row r="402" spans="46:86">
      <c r="AT402">
        <f ca="1">IF(ROW()&lt;($C$7+1),"",IFERROR((分析データ!B402-AVERAGE(OFFSET(分析データ!B$1,MAX(1,ROW()-$C$7),0,MIN($C$7,ROW()-1),1)))/STDEV(OFFSET(分析データ!B$1,MAX(1,ROW()-$C$7),0,MIN($C$7,ROW()-1),1)),0))</f>
        <v>1.5756773475678045</v>
      </c>
      <c r="AU402">
        <f t="shared" ca="1" si="168"/>
        <v>0</v>
      </c>
      <c r="AV402" t="str">
        <f ca="1">IF(AU402=1,IF(INDEX(分析データ!$A:$A,ROW()+$C$5)&lt;&gt;"",80000*SIGN(AT402)*(分析データ!B402-INDEX(分析データ!B:B,ROW()+$C$5)),""),"")</f>
        <v/>
      </c>
      <c r="AW402">
        <f t="shared" ca="1" si="169"/>
        <v>0</v>
      </c>
      <c r="AX402">
        <f t="shared" ca="1" si="170"/>
        <v>0</v>
      </c>
      <c r="AY402">
        <f t="shared" ca="1" si="171"/>
        <v>0</v>
      </c>
      <c r="AZ402">
        <f ca="1">IF(ROW()&lt;($C$7+1),"",IFERROR((分析データ!C402-AVERAGE(OFFSET(分析データ!C$1,MAX(1,ROW()-$C$7),0,MIN($C$7,ROW()-1),1)))/STDEV(OFFSET(分析データ!C$1,MAX(1,ROW()-$C$7),0,MIN($C$7,ROW()-1),1)),0))</f>
        <v>-2.7835116792651053</v>
      </c>
      <c r="BA402">
        <f t="shared" ca="1" si="172"/>
        <v>1</v>
      </c>
      <c r="BB402">
        <f ca="1">IF(BA402=1,IF(INDEX(分析データ!$A:$A,ROW()+$C$5)&lt;&gt;"",60000*SIGN(AZ402)*(分析データ!C402-INDEX(分析データ!C:C,ROW()+$C$5)),""),"")</f>
        <v>-2999.9999999989768</v>
      </c>
      <c r="BC402">
        <f t="shared" ca="1" si="173"/>
        <v>-113999.99999999843</v>
      </c>
      <c r="BD402">
        <f t="shared" ca="1" si="174"/>
        <v>60000.000000000211</v>
      </c>
      <c r="BE402">
        <f t="shared" ca="1" si="175"/>
        <v>-173999.99999999863</v>
      </c>
      <c r="BF402">
        <f ca="1">IF(ROW()&lt;($C$7+1),"",IFERROR((分析データ!D402-AVERAGE(OFFSET(分析データ!D$1,MAX(1,ROW()-$C$7),0,MIN($C$7,ROW()-1),1)))/STDEV(OFFSET(分析データ!D$1,MAX(1,ROW()-$C$7),0,MIN($C$7,ROW()-1),1)),0))</f>
        <v>-1.8965198049482974</v>
      </c>
      <c r="BG402">
        <f t="shared" ca="1" si="176"/>
        <v>0</v>
      </c>
      <c r="BH402" t="str">
        <f ca="1">IF(BG402=1,IF(INDEX(分析データ!$A:$A,ROW()+$C$5)&lt;&gt;"",50000*SIGN(BF402)*(分析データ!D402-INDEX(分析データ!D:D,ROW()+$C$5)),""),"")</f>
        <v/>
      </c>
      <c r="BI402">
        <f t="shared" ca="1" si="177"/>
        <v>990000.00000000035</v>
      </c>
      <c r="BJ402">
        <f t="shared" ca="1" si="178"/>
        <v>1695000.0000000016</v>
      </c>
      <c r="BK402">
        <f t="shared" ca="1" si="179"/>
        <v>-705000.00000000128</v>
      </c>
      <c r="BL402">
        <f ca="1">IF(ROW()&lt;($C$7+1),"",IFERROR((分析データ!E402-AVERAGE(OFFSET(分析データ!E$1,MAX(1,ROW()-$C$7),0,MIN($C$7,ROW()-1),1)))/STDEV(OFFSET(分析データ!E$1,MAX(1,ROW()-$C$7),0,MIN($C$7,ROW()-1),1)),0))</f>
        <v>2.3634161622888579</v>
      </c>
      <c r="BM402">
        <f t="shared" ca="1" si="180"/>
        <v>1</v>
      </c>
      <c r="BN402">
        <f ca="1">IF(BM402=1,IF(INDEX(分析データ!$A:$A,ROW()+$C$5)&lt;&gt;"",40000*SIGN(BL402)*(分析データ!E402-INDEX(分析データ!E:E,ROW()+$C$5)),""),"")</f>
        <v>80000.000000000073</v>
      </c>
      <c r="BO402">
        <f t="shared" ca="1" si="181"/>
        <v>960000.00000000442</v>
      </c>
      <c r="BP402">
        <f t="shared" ca="1" si="182"/>
        <v>960000.00000000442</v>
      </c>
      <c r="BQ402">
        <f t="shared" ca="1" si="183"/>
        <v>0</v>
      </c>
      <c r="BR402">
        <f ca="1">IF(ROW()&lt;($C$7+1),"",IFERROR((分析データ!F402-AVERAGE(OFFSET(分析データ!F$1,MAX(1,ROW()-$C$7),0,MIN($C$7,ROW()-1),1)))/STDEV(OFFSET(分析データ!F$1,MAX(1,ROW()-$C$7),0,MIN($C$7,ROW()-1),1)),0))</f>
        <v>-0.8930960357296811</v>
      </c>
      <c r="BS402">
        <f t="shared" ca="1" si="184"/>
        <v>0</v>
      </c>
      <c r="BT402" t="str">
        <f ca="1">IF(BS402=1,IF(INDEX(分析データ!$A:$A,ROW()+$C$5)&lt;&gt;"",40000*SIGN(BR402)*(分析データ!F402-INDEX(分析データ!F:F,ROW()+$C$5)),""),"")</f>
        <v/>
      </c>
      <c r="BU402">
        <f t="shared" ca="1" si="185"/>
        <v>583200.00000000163</v>
      </c>
      <c r="BV402">
        <f t="shared" ca="1" si="186"/>
        <v>583200.00000000163</v>
      </c>
      <c r="BW402">
        <f t="shared" ca="1" si="187"/>
        <v>0</v>
      </c>
      <c r="BX402">
        <f ca="1">IF(ROW()&lt;($C$7+1),"",IFERROR((分析データ!G402-AVERAGE(OFFSET(分析データ!G$1,MAX(1,ROW()-$C$7),0,MIN($C$7,ROW()-1),1)))/STDEV(OFFSET(分析データ!G$1,MAX(1,ROW()-$C$7),0,MIN($C$7,ROW()-1),1)),0))</f>
        <v>2.0043585944708013</v>
      </c>
      <c r="BY402">
        <f t="shared" ca="1" si="188"/>
        <v>1</v>
      </c>
      <c r="BZ402">
        <f ca="1">IF(BY402=1,IF(INDEX(分析データ!$A:$A,ROW()+$C$5)&lt;&gt;"",40000*SIGN(BX402)*(分析データ!G402-INDEX(分析データ!G:G,ROW()+$C$5)),""),"")</f>
        <v>404708.57421874942</v>
      </c>
      <c r="CA402">
        <f t="shared" ca="1" si="189"/>
        <v>4220275.7177734375</v>
      </c>
      <c r="CB402">
        <f t="shared" ca="1" si="190"/>
        <v>4220275.7177734375</v>
      </c>
      <c r="CC402">
        <f t="shared" ca="1" si="191"/>
        <v>0</v>
      </c>
      <c r="CD402">
        <f t="shared" ca="1" si="192"/>
        <v>481708.57421875052</v>
      </c>
      <c r="CE402">
        <f t="shared" ca="1" si="193"/>
        <v>6639475.7177734477</v>
      </c>
      <c r="CF402">
        <f t="shared" ca="1" si="194"/>
        <v>6639475.7177734477</v>
      </c>
      <c r="CG402">
        <f t="shared" ca="1" si="195"/>
        <v>0</v>
      </c>
      <c r="CH402" s="10">
        <f>分析データ!A402</f>
        <v>45511</v>
      </c>
    </row>
    <row r="403" spans="46:86">
      <c r="AT403">
        <f ca="1">IF(ROW()&lt;($C$7+1),"",IFERROR((分析データ!B403-AVERAGE(OFFSET(分析データ!B$1,MAX(1,ROW()-$C$7),0,MIN($C$7,ROW()-1),1)))/STDEV(OFFSET(分析データ!B$1,MAX(1,ROW()-$C$7),0,MIN($C$7,ROW()-1),1)),0))</f>
        <v>1.5703896139264291</v>
      </c>
      <c r="AU403">
        <f t="shared" ca="1" si="168"/>
        <v>0</v>
      </c>
      <c r="AV403" t="str">
        <f ca="1">IF(AU403=1,IF(INDEX(分析データ!$A:$A,ROW()+$C$5)&lt;&gt;"",80000*SIGN(AT403)*(分析データ!B403-INDEX(分析データ!B:B,ROW()+$C$5)),""),"")</f>
        <v/>
      </c>
      <c r="AW403">
        <f t="shared" ca="1" si="169"/>
        <v>0</v>
      </c>
      <c r="AX403">
        <f t="shared" ca="1" si="170"/>
        <v>0</v>
      </c>
      <c r="AY403">
        <f t="shared" ca="1" si="171"/>
        <v>0</v>
      </c>
      <c r="AZ403">
        <f ca="1">IF(ROW()&lt;($C$7+1),"",IFERROR((分析データ!C403-AVERAGE(OFFSET(分析データ!C$1,MAX(1,ROW()-$C$7),0,MIN($C$7,ROW()-1),1)))/STDEV(OFFSET(分析データ!C$1,MAX(1,ROW()-$C$7),0,MIN($C$7,ROW()-1),1)),0))</f>
        <v>-2.7737138092937981</v>
      </c>
      <c r="BA403">
        <f t="shared" ca="1" si="172"/>
        <v>1</v>
      </c>
      <c r="BB403">
        <f ca="1">IF(BA403=1,IF(INDEX(分析データ!$A:$A,ROW()+$C$5)&lt;&gt;"",60000*SIGN(AZ403)*(分析データ!C403-INDEX(分析データ!C:C,ROW()+$C$5)),""),"")</f>
        <v>51000.00000000179</v>
      </c>
      <c r="BC403">
        <f t="shared" ca="1" si="173"/>
        <v>-62999.999999996639</v>
      </c>
      <c r="BD403">
        <f t="shared" ca="1" si="174"/>
        <v>60000.000000000211</v>
      </c>
      <c r="BE403">
        <f t="shared" ca="1" si="175"/>
        <v>-122999.99999999686</v>
      </c>
      <c r="BF403">
        <f ca="1">IF(ROW()&lt;($C$7+1),"",IFERROR((分析データ!D403-AVERAGE(OFFSET(分析データ!D$1,MAX(1,ROW()-$C$7),0,MIN($C$7,ROW()-1),1)))/STDEV(OFFSET(分析データ!D$1,MAX(1,ROW()-$C$7),0,MIN($C$7,ROW()-1),1)),0))</f>
        <v>-1.570280921572482</v>
      </c>
      <c r="BG403">
        <f t="shared" ca="1" si="176"/>
        <v>0</v>
      </c>
      <c r="BH403" t="str">
        <f ca="1">IF(BG403=1,IF(INDEX(分析データ!$A:$A,ROW()+$C$5)&lt;&gt;"",50000*SIGN(BF403)*(分析データ!D403-INDEX(分析データ!D:D,ROW()+$C$5)),""),"")</f>
        <v/>
      </c>
      <c r="BI403">
        <f t="shared" ca="1" si="177"/>
        <v>990000.00000000035</v>
      </c>
      <c r="BJ403">
        <f t="shared" ca="1" si="178"/>
        <v>1695000.0000000016</v>
      </c>
      <c r="BK403">
        <f t="shared" ca="1" si="179"/>
        <v>-705000.00000000128</v>
      </c>
      <c r="BL403">
        <f ca="1">IF(ROW()&lt;($C$7+1),"",IFERROR((分析データ!E403-AVERAGE(OFFSET(分析データ!E$1,MAX(1,ROW()-$C$7),0,MIN($C$7,ROW()-1),1)))/STDEV(OFFSET(分析データ!E$1,MAX(1,ROW()-$C$7),0,MIN($C$7,ROW()-1),1)),0))</f>
        <v>2.1937302009773685</v>
      </c>
      <c r="BM403">
        <f t="shared" ca="1" si="180"/>
        <v>1</v>
      </c>
      <c r="BN403">
        <f ca="1">IF(BM403=1,IF(INDEX(分析データ!$A:$A,ROW()+$C$5)&lt;&gt;"",40000*SIGN(BL403)*(分析データ!E403-INDEX(分析データ!E:E,ROW()+$C$5)),""),"")</f>
        <v>80000.000000001848</v>
      </c>
      <c r="BO403">
        <f t="shared" ca="1" si="181"/>
        <v>1040000.0000000063</v>
      </c>
      <c r="BP403">
        <f t="shared" ca="1" si="182"/>
        <v>1040000.0000000063</v>
      </c>
      <c r="BQ403">
        <f t="shared" ca="1" si="183"/>
        <v>0</v>
      </c>
      <c r="BR403">
        <f ca="1">IF(ROW()&lt;($C$7+1),"",IFERROR((分析データ!F403-AVERAGE(OFFSET(分析データ!F$1,MAX(1,ROW()-$C$7),0,MIN($C$7,ROW()-1),1)))/STDEV(OFFSET(分析データ!F$1,MAX(1,ROW()-$C$7),0,MIN($C$7,ROW()-1),1)),0))</f>
        <v>-0.65456532805374357</v>
      </c>
      <c r="BS403">
        <f t="shared" ca="1" si="184"/>
        <v>0</v>
      </c>
      <c r="BT403" t="str">
        <f ca="1">IF(BS403=1,IF(INDEX(分析データ!$A:$A,ROW()+$C$5)&lt;&gt;"",40000*SIGN(BR403)*(分析データ!F403-INDEX(分析データ!F:F,ROW()+$C$5)),""),"")</f>
        <v/>
      </c>
      <c r="BU403">
        <f t="shared" ca="1" si="185"/>
        <v>583200.00000000163</v>
      </c>
      <c r="BV403">
        <f t="shared" ca="1" si="186"/>
        <v>583200.00000000163</v>
      </c>
      <c r="BW403">
        <f t="shared" ca="1" si="187"/>
        <v>0</v>
      </c>
      <c r="BX403">
        <f ca="1">IF(ROW()&lt;($C$7+1),"",IFERROR((分析データ!G403-AVERAGE(OFFSET(分析データ!G$1,MAX(1,ROW()-$C$7),0,MIN($C$7,ROW()-1),1)))/STDEV(OFFSET(分析データ!G$1,MAX(1,ROW()-$C$7),0,MIN($C$7,ROW()-1),1)),0))</f>
        <v>1.6439028205069857</v>
      </c>
      <c r="BY403">
        <f t="shared" ca="1" si="188"/>
        <v>0</v>
      </c>
      <c r="BZ403" t="str">
        <f ca="1">IF(BY403=1,IF(INDEX(分析データ!$A:$A,ROW()+$C$5)&lt;&gt;"",40000*SIGN(BX403)*(分析データ!G403-INDEX(分析データ!G:G,ROW()+$C$5)),""),"")</f>
        <v/>
      </c>
      <c r="CA403">
        <f t="shared" ca="1" si="189"/>
        <v>4220275.7177734375</v>
      </c>
      <c r="CB403">
        <f t="shared" ca="1" si="190"/>
        <v>4220275.7177734375</v>
      </c>
      <c r="CC403">
        <f t="shared" ca="1" si="191"/>
        <v>0</v>
      </c>
      <c r="CD403">
        <f t="shared" ca="1" si="192"/>
        <v>131000.00000000364</v>
      </c>
      <c r="CE403">
        <f t="shared" ca="1" si="193"/>
        <v>6770475.7177734515</v>
      </c>
      <c r="CF403">
        <f t="shared" ca="1" si="194"/>
        <v>6770475.7177734515</v>
      </c>
      <c r="CG403">
        <f t="shared" ca="1" si="195"/>
        <v>0</v>
      </c>
      <c r="CH403" s="10">
        <f>分析データ!A403</f>
        <v>45512</v>
      </c>
    </row>
    <row r="404" spans="46:86">
      <c r="AT404">
        <f ca="1">IF(ROW()&lt;($C$7+1),"",IFERROR((分析データ!B404-AVERAGE(OFFSET(分析データ!B$1,MAX(1,ROW()-$C$7),0,MIN($C$7,ROW()-1),1)))/STDEV(OFFSET(分析データ!B$1,MAX(1,ROW()-$C$7),0,MIN($C$7,ROW()-1),1)),0))</f>
        <v>1.0989474239196395</v>
      </c>
      <c r="AU404">
        <f t="shared" ca="1" si="168"/>
        <v>0</v>
      </c>
      <c r="AV404" t="str">
        <f ca="1">IF(AU404=1,IF(INDEX(分析データ!$A:$A,ROW()+$C$5)&lt;&gt;"",80000*SIGN(AT404)*(分析データ!B404-INDEX(分析データ!B:B,ROW()+$C$5)),""),"")</f>
        <v/>
      </c>
      <c r="AW404">
        <f t="shared" ca="1" si="169"/>
        <v>0</v>
      </c>
      <c r="AX404">
        <f t="shared" ca="1" si="170"/>
        <v>0</v>
      </c>
      <c r="AY404">
        <f t="shared" ca="1" si="171"/>
        <v>0</v>
      </c>
      <c r="AZ404">
        <f ca="1">IF(ROW()&lt;($C$7+1),"",IFERROR((分析データ!C404-AVERAGE(OFFSET(分析データ!C$1,MAX(1,ROW()-$C$7),0,MIN($C$7,ROW()-1),1)))/STDEV(OFFSET(分析データ!C$1,MAX(1,ROW()-$C$7),0,MIN($C$7,ROW()-1),1)),0))</f>
        <v>-2.3234911961805378</v>
      </c>
      <c r="BA404">
        <f t="shared" ca="1" si="172"/>
        <v>1</v>
      </c>
      <c r="BB404">
        <f ca="1">IF(BA404=1,IF(INDEX(分析データ!$A:$A,ROW()+$C$5)&lt;&gt;"",60000*SIGN(AZ404)*(分析データ!C404-INDEX(分析データ!C:C,ROW()+$C$5)),""),"")</f>
        <v>1.4921397450962104E-9</v>
      </c>
      <c r="BC404">
        <f t="shared" ca="1" si="173"/>
        <v>-62999.999999995147</v>
      </c>
      <c r="BD404">
        <f t="shared" ca="1" si="174"/>
        <v>60000.000000000211</v>
      </c>
      <c r="BE404">
        <f t="shared" ca="1" si="175"/>
        <v>-122999.99999999536</v>
      </c>
      <c r="BF404">
        <f ca="1">IF(ROW()&lt;($C$7+1),"",IFERROR((分析データ!D404-AVERAGE(OFFSET(分析データ!D$1,MAX(1,ROW()-$C$7),0,MIN($C$7,ROW()-1),1)))/STDEV(OFFSET(分析データ!D$1,MAX(1,ROW()-$C$7),0,MIN($C$7,ROW()-1),1)),0))</f>
        <v>-1.8717091769101326</v>
      </c>
      <c r="BG404">
        <f t="shared" ca="1" si="176"/>
        <v>0</v>
      </c>
      <c r="BH404" t="str">
        <f ca="1">IF(BG404=1,IF(INDEX(分析データ!$A:$A,ROW()+$C$5)&lt;&gt;"",50000*SIGN(BF404)*(分析データ!D404-INDEX(分析データ!D:D,ROW()+$C$5)),""),"")</f>
        <v/>
      </c>
      <c r="BI404">
        <f t="shared" ca="1" si="177"/>
        <v>990000.00000000035</v>
      </c>
      <c r="BJ404">
        <f t="shared" ca="1" si="178"/>
        <v>1695000.0000000016</v>
      </c>
      <c r="BK404">
        <f t="shared" ca="1" si="179"/>
        <v>-705000.00000000128</v>
      </c>
      <c r="BL404">
        <f ca="1">IF(ROW()&lt;($C$7+1),"",IFERROR((分析データ!E404-AVERAGE(OFFSET(分析データ!E$1,MAX(1,ROW()-$C$7),0,MIN($C$7,ROW()-1),1)))/STDEV(OFFSET(分析データ!E$1,MAX(1,ROW()-$C$7),0,MIN($C$7,ROW()-1),1)),0))</f>
        <v>1.8952057970758189</v>
      </c>
      <c r="BM404">
        <f t="shared" ca="1" si="180"/>
        <v>0</v>
      </c>
      <c r="BN404" t="str">
        <f ca="1">IF(BM404=1,IF(INDEX(分析データ!$A:$A,ROW()+$C$5)&lt;&gt;"",40000*SIGN(BL404)*(分析データ!E404-INDEX(分析データ!E:E,ROW()+$C$5)),""),"")</f>
        <v/>
      </c>
      <c r="BO404">
        <f t="shared" ca="1" si="181"/>
        <v>1040000.0000000063</v>
      </c>
      <c r="BP404">
        <f t="shared" ca="1" si="182"/>
        <v>1040000.0000000063</v>
      </c>
      <c r="BQ404">
        <f t="shared" ca="1" si="183"/>
        <v>0</v>
      </c>
      <c r="BR404">
        <f ca="1">IF(ROW()&lt;($C$7+1),"",IFERROR((分析データ!F404-AVERAGE(OFFSET(分析データ!F$1,MAX(1,ROW()-$C$7),0,MIN($C$7,ROW()-1),1)))/STDEV(OFFSET(分析データ!F$1,MAX(1,ROW()-$C$7),0,MIN($C$7,ROW()-1),1)),0))</f>
        <v>-0.3197256569966721</v>
      </c>
      <c r="BS404">
        <f t="shared" ca="1" si="184"/>
        <v>0</v>
      </c>
      <c r="BT404" t="str">
        <f ca="1">IF(BS404=1,IF(INDEX(分析データ!$A:$A,ROW()+$C$5)&lt;&gt;"",40000*SIGN(BR404)*(分析データ!F404-INDEX(分析データ!F:F,ROW()+$C$5)),""),"")</f>
        <v/>
      </c>
      <c r="BU404">
        <f t="shared" ca="1" si="185"/>
        <v>583200.00000000163</v>
      </c>
      <c r="BV404">
        <f t="shared" ca="1" si="186"/>
        <v>583200.00000000163</v>
      </c>
      <c r="BW404">
        <f t="shared" ca="1" si="187"/>
        <v>0</v>
      </c>
      <c r="BX404">
        <f ca="1">IF(ROW()&lt;($C$7+1),"",IFERROR((分析データ!G404-AVERAGE(OFFSET(分析データ!G$1,MAX(1,ROW()-$C$7),0,MIN($C$7,ROW()-1),1)))/STDEV(OFFSET(分析データ!G$1,MAX(1,ROW()-$C$7),0,MIN($C$7,ROW()-1),1)),0))</f>
        <v>1.5677977626504358</v>
      </c>
      <c r="BY404">
        <f t="shared" ca="1" si="188"/>
        <v>0</v>
      </c>
      <c r="BZ404" t="str">
        <f ca="1">IF(BY404=1,IF(INDEX(分析データ!$A:$A,ROW()+$C$5)&lt;&gt;"",40000*SIGN(BX404)*(分析データ!G404-INDEX(分析データ!G:G,ROW()+$C$5)),""),"")</f>
        <v/>
      </c>
      <c r="CA404">
        <f t="shared" ca="1" si="189"/>
        <v>4220275.7177734375</v>
      </c>
      <c r="CB404">
        <f t="shared" ca="1" si="190"/>
        <v>4220275.7177734375</v>
      </c>
      <c r="CC404">
        <f t="shared" ca="1" si="191"/>
        <v>0</v>
      </c>
      <c r="CD404">
        <f t="shared" ca="1" si="192"/>
        <v>1.4921397450962104E-9</v>
      </c>
      <c r="CE404">
        <f t="shared" ca="1" si="193"/>
        <v>6770475.7177734533</v>
      </c>
      <c r="CF404">
        <f t="shared" ca="1" si="194"/>
        <v>6770475.7177734533</v>
      </c>
      <c r="CG404">
        <f t="shared" ca="1" si="195"/>
        <v>0</v>
      </c>
      <c r="CH404" s="10">
        <f>分析データ!A404</f>
        <v>45513</v>
      </c>
    </row>
    <row r="405" spans="46:86">
      <c r="AT405">
        <f ca="1">IF(ROW()&lt;($C$7+1),"",IFERROR((分析データ!B405-AVERAGE(OFFSET(分析データ!B$1,MAX(1,ROW()-$C$7),0,MIN($C$7,ROW()-1),1)))/STDEV(OFFSET(分析データ!B$1,MAX(1,ROW()-$C$7),0,MIN($C$7,ROW()-1),1)),0))</f>
        <v>1.1047221577132424</v>
      </c>
      <c r="AU405">
        <f t="shared" ca="1" si="168"/>
        <v>0</v>
      </c>
      <c r="AV405" t="str">
        <f ca="1">IF(AU405=1,IF(INDEX(分析データ!$A:$A,ROW()+$C$5)&lt;&gt;"",80000*SIGN(AT405)*(分析データ!B405-INDEX(分析データ!B:B,ROW()+$C$5)),""),"")</f>
        <v/>
      </c>
      <c r="AW405">
        <f t="shared" ca="1" si="169"/>
        <v>0</v>
      </c>
      <c r="AX405">
        <f t="shared" ca="1" si="170"/>
        <v>0</v>
      </c>
      <c r="AY405">
        <f t="shared" ca="1" si="171"/>
        <v>0</v>
      </c>
      <c r="AZ405">
        <f ca="1">IF(ROW()&lt;($C$7+1),"",IFERROR((分析データ!C405-AVERAGE(OFFSET(分析データ!C$1,MAX(1,ROW()-$C$7),0,MIN($C$7,ROW()-1),1)))/STDEV(OFFSET(分析データ!C$1,MAX(1,ROW()-$C$7),0,MIN($C$7,ROW()-1),1)),0))</f>
        <v>-2.2890741413020113</v>
      </c>
      <c r="BA405">
        <f t="shared" ca="1" si="172"/>
        <v>1</v>
      </c>
      <c r="BB405">
        <f ca="1">IF(BA405=1,IF(INDEX(分析データ!$A:$A,ROW()+$C$5)&lt;&gt;"",60000*SIGN(AZ405)*(分析データ!C405-INDEX(分析データ!C:C,ROW()+$C$5)),""),"")</f>
        <v>-50999.999999999018</v>
      </c>
      <c r="BC405">
        <f t="shared" ca="1" si="173"/>
        <v>-113999.99999999416</v>
      </c>
      <c r="BD405">
        <f t="shared" ca="1" si="174"/>
        <v>60000.000000000211</v>
      </c>
      <c r="BE405">
        <f t="shared" ca="1" si="175"/>
        <v>-173999.99999999438</v>
      </c>
      <c r="BF405">
        <f ca="1">IF(ROW()&lt;($C$7+1),"",IFERROR((分析データ!D405-AVERAGE(OFFSET(分析データ!D$1,MAX(1,ROW()-$C$7),0,MIN($C$7,ROW()-1),1)))/STDEV(OFFSET(分析データ!D$1,MAX(1,ROW()-$C$7),0,MIN($C$7,ROW()-1),1)),0))</f>
        <v>-2.0160160596289427</v>
      </c>
      <c r="BG405">
        <f t="shared" ca="1" si="176"/>
        <v>1</v>
      </c>
      <c r="BH405">
        <f ca="1">IF(BG405=1,IF(INDEX(分析データ!$A:$A,ROW()+$C$5)&lt;&gt;"",50000*SIGN(BF405)*(分析データ!D405-INDEX(分析データ!D:D,ROW()+$C$5)),""),"")</f>
        <v>-545000.00000000454</v>
      </c>
      <c r="BI405">
        <f t="shared" ca="1" si="177"/>
        <v>444999.99999999581</v>
      </c>
      <c r="BJ405">
        <f t="shared" ca="1" si="178"/>
        <v>1695000.0000000016</v>
      </c>
      <c r="BK405">
        <f t="shared" ca="1" si="179"/>
        <v>-1250000.0000000058</v>
      </c>
      <c r="BL405">
        <f ca="1">IF(ROW()&lt;($C$7+1),"",IFERROR((分析データ!E405-AVERAGE(OFFSET(分析データ!E$1,MAX(1,ROW()-$C$7),0,MIN($C$7,ROW()-1),1)))/STDEV(OFFSET(分析データ!E$1,MAX(1,ROW()-$C$7),0,MIN($C$7,ROW()-1),1)),0))</f>
        <v>2.0137464081907281</v>
      </c>
      <c r="BM405">
        <f t="shared" ca="1" si="180"/>
        <v>1</v>
      </c>
      <c r="BN405">
        <f ca="1">IF(BM405=1,IF(INDEX(分析データ!$A:$A,ROW()+$C$5)&lt;&gt;"",40000*SIGN(BL405)*(分析データ!E405-INDEX(分析データ!E:E,ROW()+$C$5)),""),"")</f>
        <v>-39999.999999999149</v>
      </c>
      <c r="BO405">
        <f t="shared" ca="1" si="181"/>
        <v>1000000.0000000071</v>
      </c>
      <c r="BP405">
        <f t="shared" ca="1" si="182"/>
        <v>1040000.0000000063</v>
      </c>
      <c r="BQ405">
        <f t="shared" ca="1" si="183"/>
        <v>-39999.999999999185</v>
      </c>
      <c r="BR405">
        <f ca="1">IF(ROW()&lt;($C$7+1),"",IFERROR((分析データ!F405-AVERAGE(OFFSET(分析データ!F$1,MAX(1,ROW()-$C$7),0,MIN($C$7,ROW()-1),1)))/STDEV(OFFSET(分析データ!F$1,MAX(1,ROW()-$C$7),0,MIN($C$7,ROW()-1),1)),0))</f>
        <v>-0.18751487378767184</v>
      </c>
      <c r="BS405">
        <f t="shared" ca="1" si="184"/>
        <v>0</v>
      </c>
      <c r="BT405" t="str">
        <f ca="1">IF(BS405=1,IF(INDEX(分析データ!$A:$A,ROW()+$C$5)&lt;&gt;"",40000*SIGN(BR405)*(分析データ!F405-INDEX(分析データ!F:F,ROW()+$C$5)),""),"")</f>
        <v/>
      </c>
      <c r="BU405">
        <f t="shared" ca="1" si="185"/>
        <v>583200.00000000163</v>
      </c>
      <c r="BV405">
        <f t="shared" ca="1" si="186"/>
        <v>583200.00000000163</v>
      </c>
      <c r="BW405">
        <f t="shared" ca="1" si="187"/>
        <v>0</v>
      </c>
      <c r="BX405">
        <f ca="1">IF(ROW()&lt;($C$7+1),"",IFERROR((分析データ!G405-AVERAGE(OFFSET(分析データ!G$1,MAX(1,ROW()-$C$7),0,MIN($C$7,ROW()-1),1)))/STDEV(OFFSET(分析データ!G$1,MAX(1,ROW()-$C$7),0,MIN($C$7,ROW()-1),1)),0))</f>
        <v>1.5816314308337016</v>
      </c>
      <c r="BY405">
        <f t="shared" ca="1" si="188"/>
        <v>0</v>
      </c>
      <c r="BZ405" t="str">
        <f ca="1">IF(BY405=1,IF(INDEX(分析データ!$A:$A,ROW()+$C$5)&lt;&gt;"",40000*SIGN(BX405)*(分析データ!G405-INDEX(分析データ!G:G,ROW()+$C$5)),""),"")</f>
        <v/>
      </c>
      <c r="CA405">
        <f t="shared" ca="1" si="189"/>
        <v>4220275.7177734375</v>
      </c>
      <c r="CB405">
        <f t="shared" ca="1" si="190"/>
        <v>4220275.7177734375</v>
      </c>
      <c r="CC405">
        <f t="shared" ca="1" si="191"/>
        <v>0</v>
      </c>
      <c r="CD405">
        <f t="shared" ca="1" si="192"/>
        <v>-636000.00000000279</v>
      </c>
      <c r="CE405">
        <f t="shared" ca="1" si="193"/>
        <v>6134475.7177734505</v>
      </c>
      <c r="CF405">
        <f t="shared" ca="1" si="194"/>
        <v>6770475.7177734533</v>
      </c>
      <c r="CG405">
        <f t="shared" ca="1" si="195"/>
        <v>-636000.00000000279</v>
      </c>
      <c r="CH405" s="10">
        <f>分析データ!A405</f>
        <v>45516</v>
      </c>
    </row>
    <row r="406" spans="46:86">
      <c r="AT406">
        <f ca="1">IF(ROW()&lt;($C$7+1),"",IFERROR((分析データ!B406-AVERAGE(OFFSET(分析データ!B$1,MAX(1,ROW()-$C$7),0,MIN($C$7,ROW()-1),1)))/STDEV(OFFSET(分析データ!B$1,MAX(1,ROW()-$C$7),0,MIN($C$7,ROW()-1),1)),0))</f>
        <v>1.1856692120995436</v>
      </c>
      <c r="AU406">
        <f t="shared" ca="1" si="168"/>
        <v>0</v>
      </c>
      <c r="AV406" t="str">
        <f ca="1">IF(AU406=1,IF(INDEX(分析データ!$A:$A,ROW()+$C$5)&lt;&gt;"",80000*SIGN(AT406)*(分析データ!B406-INDEX(分析データ!B:B,ROW()+$C$5)),""),"")</f>
        <v/>
      </c>
      <c r="AW406">
        <f t="shared" ca="1" si="169"/>
        <v>0</v>
      </c>
      <c r="AX406">
        <f t="shared" ca="1" si="170"/>
        <v>0</v>
      </c>
      <c r="AY406">
        <f t="shared" ca="1" si="171"/>
        <v>0</v>
      </c>
      <c r="AZ406">
        <f ca="1">IF(ROW()&lt;($C$7+1),"",IFERROR((分析データ!C406-AVERAGE(OFFSET(分析データ!C$1,MAX(1,ROW()-$C$7),0,MIN($C$7,ROW()-1),1)))/STDEV(OFFSET(分析データ!C$1,MAX(1,ROW()-$C$7),0,MIN($C$7,ROW()-1),1)),0))</f>
        <v>-2.4515467482426092</v>
      </c>
      <c r="BA406">
        <f t="shared" ca="1" si="172"/>
        <v>1</v>
      </c>
      <c r="BB406">
        <f ca="1">IF(BA406=1,IF(INDEX(分析データ!$A:$A,ROW()+$C$5)&lt;&gt;"",60000*SIGN(AZ406)*(分析データ!C406-INDEX(分析データ!C:C,ROW()+$C$5)),""),"")</f>
        <v>32999.999999999833</v>
      </c>
      <c r="BC406">
        <f t="shared" ca="1" si="173"/>
        <v>-80999.999999994325</v>
      </c>
      <c r="BD406">
        <f t="shared" ca="1" si="174"/>
        <v>60000.000000000211</v>
      </c>
      <c r="BE406">
        <f t="shared" ca="1" si="175"/>
        <v>-140999.99999999453</v>
      </c>
      <c r="BF406">
        <f ca="1">IF(ROW()&lt;($C$7+1),"",IFERROR((分析データ!D406-AVERAGE(OFFSET(分析データ!D$1,MAX(1,ROW()-$C$7),0,MIN($C$7,ROW()-1),1)))/STDEV(OFFSET(分析データ!D$1,MAX(1,ROW()-$C$7),0,MIN($C$7,ROW()-1),1)),0))</f>
        <v>-2.1450932641761709</v>
      </c>
      <c r="BG406">
        <f t="shared" ca="1" si="176"/>
        <v>1</v>
      </c>
      <c r="BH406">
        <f ca="1">IF(BG406=1,IF(INDEX(分析データ!$A:$A,ROW()+$C$5)&lt;&gt;"",50000*SIGN(BF406)*(分析データ!D406-INDEX(分析データ!D:D,ROW()+$C$5)),""),"")</f>
        <v>-284999.99999999942</v>
      </c>
      <c r="BI406">
        <f t="shared" ca="1" si="177"/>
        <v>159999.99999999639</v>
      </c>
      <c r="BJ406">
        <f t="shared" ca="1" si="178"/>
        <v>1695000.0000000016</v>
      </c>
      <c r="BK406">
        <f t="shared" ca="1" si="179"/>
        <v>-1535000.0000000051</v>
      </c>
      <c r="BL406">
        <f ca="1">IF(ROW()&lt;($C$7+1),"",IFERROR((分析データ!E406-AVERAGE(OFFSET(分析データ!E$1,MAX(1,ROW()-$C$7),0,MIN($C$7,ROW()-1),1)))/STDEV(OFFSET(分析データ!E$1,MAX(1,ROW()-$C$7),0,MIN($C$7,ROW()-1),1)),0))</f>
        <v>2.2633539188060809</v>
      </c>
      <c r="BM406">
        <f t="shared" ca="1" si="180"/>
        <v>1</v>
      </c>
      <c r="BN406">
        <f ca="1">IF(BM406=1,IF(INDEX(分析データ!$A:$A,ROW()+$C$5)&lt;&gt;"",40000*SIGN(BL406)*(分析データ!E406-INDEX(分析データ!E:E,ROW()+$C$5)),""),"")</f>
        <v>0</v>
      </c>
      <c r="BO406">
        <f t="shared" ca="1" si="181"/>
        <v>1000000.0000000071</v>
      </c>
      <c r="BP406">
        <f t="shared" ca="1" si="182"/>
        <v>1040000.0000000063</v>
      </c>
      <c r="BQ406">
        <f t="shared" ca="1" si="183"/>
        <v>-39999.999999999185</v>
      </c>
      <c r="BR406">
        <f ca="1">IF(ROW()&lt;($C$7+1),"",IFERROR((分析データ!F406-AVERAGE(OFFSET(分析データ!F$1,MAX(1,ROW()-$C$7),0,MIN($C$7,ROW()-1),1)))/STDEV(OFFSET(分析データ!F$1,MAX(1,ROW()-$C$7),0,MIN($C$7,ROW()-1),1)),0))</f>
        <v>-5.1436475757918827E-2</v>
      </c>
      <c r="BS406">
        <f t="shared" ca="1" si="184"/>
        <v>0</v>
      </c>
      <c r="BT406" t="str">
        <f ca="1">IF(BS406=1,IF(INDEX(分析データ!$A:$A,ROW()+$C$5)&lt;&gt;"",40000*SIGN(BR406)*(分析データ!F406-INDEX(分析データ!F:F,ROW()+$C$5)),""),"")</f>
        <v/>
      </c>
      <c r="BU406">
        <f t="shared" ca="1" si="185"/>
        <v>583200.00000000163</v>
      </c>
      <c r="BV406">
        <f t="shared" ca="1" si="186"/>
        <v>583200.00000000163</v>
      </c>
      <c r="BW406">
        <f t="shared" ca="1" si="187"/>
        <v>0</v>
      </c>
      <c r="BX406">
        <f ca="1">IF(ROW()&lt;($C$7+1),"",IFERROR((分析データ!G406-AVERAGE(OFFSET(分析データ!G$1,MAX(1,ROW()-$C$7),0,MIN($C$7,ROW()-1),1)))/STDEV(OFFSET(分析データ!G$1,MAX(1,ROW()-$C$7),0,MIN($C$7,ROW()-1),1)),0))</f>
        <v>1.7791413649988432</v>
      </c>
      <c r="BY406">
        <f t="shared" ca="1" si="188"/>
        <v>0</v>
      </c>
      <c r="BZ406" t="str">
        <f ca="1">IF(BY406=1,IF(INDEX(分析データ!$A:$A,ROW()+$C$5)&lt;&gt;"",40000*SIGN(BX406)*(分析データ!G406-INDEX(分析データ!G:G,ROW()+$C$5)),""),"")</f>
        <v/>
      </c>
      <c r="CA406">
        <f t="shared" ca="1" si="189"/>
        <v>4220275.7177734375</v>
      </c>
      <c r="CB406">
        <f t="shared" ca="1" si="190"/>
        <v>4220275.7177734375</v>
      </c>
      <c r="CC406">
        <f t="shared" ca="1" si="191"/>
        <v>0</v>
      </c>
      <c r="CD406">
        <f t="shared" ca="1" si="192"/>
        <v>-251999.99999999959</v>
      </c>
      <c r="CE406">
        <f t="shared" ca="1" si="193"/>
        <v>5882475.7177734505</v>
      </c>
      <c r="CF406">
        <f t="shared" ca="1" si="194"/>
        <v>6770475.7177734533</v>
      </c>
      <c r="CG406">
        <f t="shared" ca="1" si="195"/>
        <v>-888000.00000000279</v>
      </c>
      <c r="CH406" s="10">
        <f>分析データ!A406</f>
        <v>45517</v>
      </c>
    </row>
    <row r="407" spans="46:86">
      <c r="AT407">
        <f ca="1">IF(ROW()&lt;($C$7+1),"",IFERROR((分析データ!B407-AVERAGE(OFFSET(分析データ!B$1,MAX(1,ROW()-$C$7),0,MIN($C$7,ROW()-1),1)))/STDEV(OFFSET(分析データ!B$1,MAX(1,ROW()-$C$7),0,MIN($C$7,ROW()-1),1)),0))</f>
        <v>1.1003318836002822</v>
      </c>
      <c r="AU407">
        <f t="shared" ca="1" si="168"/>
        <v>0</v>
      </c>
      <c r="AV407" t="str">
        <f ca="1">IF(AU407=1,IF(INDEX(分析データ!$A:$A,ROW()+$C$5)&lt;&gt;"",80000*SIGN(AT407)*(分析データ!B407-INDEX(分析データ!B:B,ROW()+$C$5)),""),"")</f>
        <v/>
      </c>
      <c r="AW407">
        <f t="shared" ca="1" si="169"/>
        <v>0</v>
      </c>
      <c r="AX407">
        <f t="shared" ca="1" si="170"/>
        <v>0</v>
      </c>
      <c r="AY407">
        <f t="shared" ca="1" si="171"/>
        <v>0</v>
      </c>
      <c r="AZ407">
        <f ca="1">IF(ROW()&lt;($C$7+1),"",IFERROR((分析データ!C407-AVERAGE(OFFSET(分析データ!C$1,MAX(1,ROW()-$C$7),0,MIN($C$7,ROW()-1),1)))/STDEV(OFFSET(分析データ!C$1,MAX(1,ROW()-$C$7),0,MIN($C$7,ROW()-1),1)),0))</f>
        <v>-2.7297978819021047</v>
      </c>
      <c r="BA407">
        <f t="shared" ca="1" si="172"/>
        <v>1</v>
      </c>
      <c r="BB407">
        <f ca="1">IF(BA407=1,IF(INDEX(分析データ!$A:$A,ROW()+$C$5)&lt;&gt;"",60000*SIGN(AZ407)*(分析データ!C407-INDEX(分析データ!C:C,ROW()+$C$5)),""),"")</f>
        <v>210000.00000000084</v>
      </c>
      <c r="BC407">
        <f t="shared" ca="1" si="173"/>
        <v>129000.00000000652</v>
      </c>
      <c r="BD407">
        <f t="shared" ca="1" si="174"/>
        <v>129000.00000000652</v>
      </c>
      <c r="BE407">
        <f t="shared" ca="1" si="175"/>
        <v>0</v>
      </c>
      <c r="BF407">
        <f ca="1">IF(ROW()&lt;($C$7+1),"",IFERROR((分析データ!D407-AVERAGE(OFFSET(分析データ!D$1,MAX(1,ROW()-$C$7),0,MIN($C$7,ROW()-1),1)))/STDEV(OFFSET(分析データ!D$1,MAX(1,ROW()-$C$7),0,MIN($C$7,ROW()-1),1)),0))</f>
        <v>-2.0527957422546761</v>
      </c>
      <c r="BG407">
        <f t="shared" ca="1" si="176"/>
        <v>1</v>
      </c>
      <c r="BH407">
        <f ca="1">IF(BG407=1,IF(INDEX(分析データ!$A:$A,ROW()+$C$5)&lt;&gt;"",50000*SIGN(BF407)*(分析データ!D407-INDEX(分析データ!D:D,ROW()+$C$5)),""),"")</f>
        <v>-390000.00000000058</v>
      </c>
      <c r="BI407">
        <f t="shared" ca="1" si="177"/>
        <v>-230000.00000000419</v>
      </c>
      <c r="BJ407">
        <f t="shared" ca="1" si="178"/>
        <v>1695000.0000000016</v>
      </c>
      <c r="BK407">
        <f t="shared" ca="1" si="179"/>
        <v>-1925000.0000000058</v>
      </c>
      <c r="BL407">
        <f ca="1">IF(ROW()&lt;($C$7+1),"",IFERROR((分析データ!E407-AVERAGE(OFFSET(分析データ!E$1,MAX(1,ROW()-$C$7),0,MIN($C$7,ROW()-1),1)))/STDEV(OFFSET(分析データ!E$1,MAX(1,ROW()-$C$7),0,MIN($C$7,ROW()-1),1)),0))</f>
        <v>2.1095906247360303</v>
      </c>
      <c r="BM407">
        <f t="shared" ca="1" si="180"/>
        <v>1</v>
      </c>
      <c r="BN407">
        <f ca="1">IF(BM407=1,IF(INDEX(分析データ!$A:$A,ROW()+$C$5)&lt;&gt;"",40000*SIGN(BL407)*(分析データ!E407-INDEX(分析データ!E:E,ROW()+$C$5)),""),"")</f>
        <v>-199999.9999999993</v>
      </c>
      <c r="BO407">
        <f t="shared" ca="1" si="181"/>
        <v>800000.0000000078</v>
      </c>
      <c r="BP407">
        <f t="shared" ca="1" si="182"/>
        <v>1040000.0000000063</v>
      </c>
      <c r="BQ407">
        <f t="shared" ca="1" si="183"/>
        <v>-239999.99999999849</v>
      </c>
      <c r="BR407">
        <f ca="1">IF(ROW()&lt;($C$7+1),"",IFERROR((分析データ!F407-AVERAGE(OFFSET(分析データ!F$1,MAX(1,ROW()-$C$7),0,MIN($C$7,ROW()-1),1)))/STDEV(OFFSET(分析データ!F$1,MAX(1,ROW()-$C$7),0,MIN($C$7,ROW()-1),1)),0))</f>
        <v>-8.253772045477166E-2</v>
      </c>
      <c r="BS407">
        <f t="shared" ca="1" si="184"/>
        <v>0</v>
      </c>
      <c r="BT407" t="str">
        <f ca="1">IF(BS407=1,IF(INDEX(分析データ!$A:$A,ROW()+$C$5)&lt;&gt;"",40000*SIGN(BR407)*(分析データ!F407-INDEX(分析データ!F:F,ROW()+$C$5)),""),"")</f>
        <v/>
      </c>
      <c r="BU407">
        <f t="shared" ca="1" si="185"/>
        <v>583200.00000000163</v>
      </c>
      <c r="BV407">
        <f t="shared" ca="1" si="186"/>
        <v>583200.00000000163</v>
      </c>
      <c r="BW407">
        <f t="shared" ca="1" si="187"/>
        <v>0</v>
      </c>
      <c r="BX407">
        <f ca="1">IF(ROW()&lt;($C$7+1),"",IFERROR((分析データ!G407-AVERAGE(OFFSET(分析データ!G$1,MAX(1,ROW()-$C$7),0,MIN($C$7,ROW()-1),1)))/STDEV(OFFSET(分析データ!G$1,MAX(1,ROW()-$C$7),0,MIN($C$7,ROW()-1),1)),0))</f>
        <v>1.543629437687041</v>
      </c>
      <c r="BY407">
        <f t="shared" ca="1" si="188"/>
        <v>0</v>
      </c>
      <c r="BZ407" t="str">
        <f ca="1">IF(BY407=1,IF(INDEX(分析データ!$A:$A,ROW()+$C$5)&lt;&gt;"",40000*SIGN(BX407)*(分析データ!G407-INDEX(分析データ!G:G,ROW()+$C$5)),""),"")</f>
        <v/>
      </c>
      <c r="CA407">
        <f t="shared" ca="1" si="189"/>
        <v>4220275.7177734375</v>
      </c>
      <c r="CB407">
        <f t="shared" ca="1" si="190"/>
        <v>4220275.7177734375</v>
      </c>
      <c r="CC407">
        <f t="shared" ca="1" si="191"/>
        <v>0</v>
      </c>
      <c r="CD407">
        <f t="shared" ca="1" si="192"/>
        <v>-379999.99999999907</v>
      </c>
      <c r="CE407">
        <f t="shared" ca="1" si="193"/>
        <v>5502475.7177734515</v>
      </c>
      <c r="CF407">
        <f t="shared" ca="1" si="194"/>
        <v>6770475.7177734533</v>
      </c>
      <c r="CG407">
        <f t="shared" ca="1" si="195"/>
        <v>-1268000.0000000019</v>
      </c>
      <c r="CH407" s="10">
        <f>分析データ!A407</f>
        <v>45518</v>
      </c>
    </row>
    <row r="408" spans="46:86">
      <c r="AT408">
        <f ca="1">IF(ROW()&lt;($C$7+1),"",IFERROR((分析データ!B408-AVERAGE(OFFSET(分析データ!B$1,MAX(1,ROW()-$C$7),0,MIN($C$7,ROW()-1),1)))/STDEV(OFFSET(分析データ!B$1,MAX(1,ROW()-$C$7),0,MIN($C$7,ROW()-1),1)),0))</f>
        <v>0.93220170650510203</v>
      </c>
      <c r="AU408">
        <f t="shared" ca="1" si="168"/>
        <v>0</v>
      </c>
      <c r="AV408" t="str">
        <f ca="1">IF(AU408=1,IF(INDEX(分析データ!$A:$A,ROW()+$C$5)&lt;&gt;"",80000*SIGN(AT408)*(分析データ!B408-INDEX(分析データ!B:B,ROW()+$C$5)),""),"")</f>
        <v/>
      </c>
      <c r="AW408">
        <f t="shared" ca="1" si="169"/>
        <v>0</v>
      </c>
      <c r="AX408">
        <f t="shared" ca="1" si="170"/>
        <v>0</v>
      </c>
      <c r="AY408">
        <f t="shared" ca="1" si="171"/>
        <v>0</v>
      </c>
      <c r="AZ408">
        <f ca="1">IF(ROW()&lt;($C$7+1),"",IFERROR((分析データ!C408-AVERAGE(OFFSET(分析データ!C$1,MAX(1,ROW()-$C$7),0,MIN($C$7,ROW()-1),1)))/STDEV(OFFSET(分析データ!C$1,MAX(1,ROW()-$C$7),0,MIN($C$7,ROW()-1),1)),0))</f>
        <v>-2.4237434347916365</v>
      </c>
      <c r="BA408">
        <f t="shared" ca="1" si="172"/>
        <v>1</v>
      </c>
      <c r="BB408">
        <f ca="1">IF(BA408=1,IF(INDEX(分析データ!$A:$A,ROW()+$C$5)&lt;&gt;"",60000*SIGN(AZ408)*(分析データ!C408-INDEX(分析データ!C:C,ROW()+$C$5)),""),"")</f>
        <v>57000.000000001448</v>
      </c>
      <c r="BC408">
        <f t="shared" ca="1" si="173"/>
        <v>186000.00000000797</v>
      </c>
      <c r="BD408">
        <f t="shared" ca="1" si="174"/>
        <v>186000.00000000797</v>
      </c>
      <c r="BE408">
        <f t="shared" ca="1" si="175"/>
        <v>0</v>
      </c>
      <c r="BF408">
        <f ca="1">IF(ROW()&lt;($C$7+1),"",IFERROR((分析データ!D408-AVERAGE(OFFSET(分析データ!D$1,MAX(1,ROW()-$C$7),0,MIN($C$7,ROW()-1),1)))/STDEV(OFFSET(分析データ!D$1,MAX(1,ROW()-$C$7),0,MIN($C$7,ROW()-1),1)),0))</f>
        <v>-1.7807537300073597</v>
      </c>
      <c r="BG408">
        <f t="shared" ca="1" si="176"/>
        <v>0</v>
      </c>
      <c r="BH408" t="str">
        <f ca="1">IF(BG408=1,IF(INDEX(分析データ!$A:$A,ROW()+$C$5)&lt;&gt;"",50000*SIGN(BF408)*(分析データ!D408-INDEX(分析データ!D:D,ROW()+$C$5)),""),"")</f>
        <v/>
      </c>
      <c r="BI408">
        <f t="shared" ca="1" si="177"/>
        <v>-230000.00000000419</v>
      </c>
      <c r="BJ408">
        <f t="shared" ca="1" si="178"/>
        <v>1695000.0000000016</v>
      </c>
      <c r="BK408">
        <f t="shared" ca="1" si="179"/>
        <v>-1925000.0000000058</v>
      </c>
      <c r="BL408">
        <f ca="1">IF(ROW()&lt;($C$7+1),"",IFERROR((分析データ!E408-AVERAGE(OFFSET(分析データ!E$1,MAX(1,ROW()-$C$7),0,MIN($C$7,ROW()-1),1)))/STDEV(OFFSET(分析データ!E$1,MAX(1,ROW()-$C$7),0,MIN($C$7,ROW()-1),1)),0))</f>
        <v>1.6918345542402151</v>
      </c>
      <c r="BM408">
        <f t="shared" ca="1" si="180"/>
        <v>0</v>
      </c>
      <c r="BN408" t="str">
        <f ca="1">IF(BM408=1,IF(INDEX(分析データ!$A:$A,ROW()+$C$5)&lt;&gt;"",40000*SIGN(BL408)*(分析データ!E408-INDEX(分析データ!E:E,ROW()+$C$5)),""),"")</f>
        <v/>
      </c>
      <c r="BO408">
        <f t="shared" ca="1" si="181"/>
        <v>800000.0000000078</v>
      </c>
      <c r="BP408">
        <f t="shared" ca="1" si="182"/>
        <v>1040000.0000000063</v>
      </c>
      <c r="BQ408">
        <f t="shared" ca="1" si="183"/>
        <v>-239999.99999999849</v>
      </c>
      <c r="BR408">
        <f ca="1">IF(ROW()&lt;($C$7+1),"",IFERROR((分析データ!F408-AVERAGE(OFFSET(分析データ!F$1,MAX(1,ROW()-$C$7),0,MIN($C$7,ROW()-1),1)))/STDEV(OFFSET(分析データ!F$1,MAX(1,ROW()-$C$7),0,MIN($C$7,ROW()-1),1)),0))</f>
        <v>-0.7693649454201944</v>
      </c>
      <c r="BS408">
        <f t="shared" ca="1" si="184"/>
        <v>0</v>
      </c>
      <c r="BT408" t="str">
        <f ca="1">IF(BS408=1,IF(INDEX(分析データ!$A:$A,ROW()+$C$5)&lt;&gt;"",40000*SIGN(BR408)*(分析データ!F408-INDEX(分析データ!F:F,ROW()+$C$5)),""),"")</f>
        <v/>
      </c>
      <c r="BU408">
        <f t="shared" ca="1" si="185"/>
        <v>583200.00000000163</v>
      </c>
      <c r="BV408">
        <f t="shared" ca="1" si="186"/>
        <v>583200.00000000163</v>
      </c>
      <c r="BW408">
        <f t="shared" ca="1" si="187"/>
        <v>0</v>
      </c>
      <c r="BX408">
        <f ca="1">IF(ROW()&lt;($C$7+1),"",IFERROR((分析データ!G408-AVERAGE(OFFSET(分析データ!G$1,MAX(1,ROW()-$C$7),0,MIN($C$7,ROW()-1),1)))/STDEV(OFFSET(分析データ!G$1,MAX(1,ROW()-$C$7),0,MIN($C$7,ROW()-1),1)),0))</f>
        <v>1.8660487087916036</v>
      </c>
      <c r="BY408">
        <f t="shared" ca="1" si="188"/>
        <v>0</v>
      </c>
      <c r="BZ408" t="str">
        <f ca="1">IF(BY408=1,IF(INDEX(分析データ!$A:$A,ROW()+$C$5)&lt;&gt;"",40000*SIGN(BX408)*(分析データ!G408-INDEX(分析データ!G:G,ROW()+$C$5)),""),"")</f>
        <v/>
      </c>
      <c r="CA408">
        <f t="shared" ca="1" si="189"/>
        <v>4220275.7177734375</v>
      </c>
      <c r="CB408">
        <f t="shared" ca="1" si="190"/>
        <v>4220275.7177734375</v>
      </c>
      <c r="CC408">
        <f t="shared" ca="1" si="191"/>
        <v>0</v>
      </c>
      <c r="CD408">
        <f t="shared" ca="1" si="192"/>
        <v>57000.000000001448</v>
      </c>
      <c r="CE408">
        <f t="shared" ca="1" si="193"/>
        <v>5559475.7177734533</v>
      </c>
      <c r="CF408">
        <f t="shared" ca="1" si="194"/>
        <v>6770475.7177734533</v>
      </c>
      <c r="CG408">
        <f t="shared" ca="1" si="195"/>
        <v>-1211000</v>
      </c>
      <c r="CH408" s="10">
        <f>分析データ!A408</f>
        <v>45519</v>
      </c>
    </row>
    <row r="409" spans="46:86">
      <c r="AT409">
        <f ca="1">IF(ROW()&lt;($C$7+1),"",IFERROR((分析データ!B409-AVERAGE(OFFSET(分析データ!B$1,MAX(1,ROW()-$C$7),0,MIN($C$7,ROW()-1),1)))/STDEV(OFFSET(分析データ!B$1,MAX(1,ROW()-$C$7),0,MIN($C$7,ROW()-1),1)),0))</f>
        <v>0.84362965873212026</v>
      </c>
      <c r="AU409">
        <f t="shared" ca="1" si="168"/>
        <v>0</v>
      </c>
      <c r="AV409" t="str">
        <f ca="1">IF(AU409=1,IF(INDEX(分析データ!$A:$A,ROW()+$C$5)&lt;&gt;"",80000*SIGN(AT409)*(分析データ!B409-INDEX(分析データ!B:B,ROW()+$C$5)),""),"")</f>
        <v/>
      </c>
      <c r="AW409">
        <f t="shared" ca="1" si="169"/>
        <v>0</v>
      </c>
      <c r="AX409">
        <f t="shared" ca="1" si="170"/>
        <v>0</v>
      </c>
      <c r="AY409">
        <f t="shared" ca="1" si="171"/>
        <v>0</v>
      </c>
      <c r="AZ409">
        <f ca="1">IF(ROW()&lt;($C$7+1),"",IFERROR((分析データ!C409-AVERAGE(OFFSET(分析データ!C$1,MAX(1,ROW()-$C$7),0,MIN($C$7,ROW()-1),1)))/STDEV(OFFSET(分析データ!C$1,MAX(1,ROW()-$C$7),0,MIN($C$7,ROW()-1),1)),0))</f>
        <v>-2.2136195856581549</v>
      </c>
      <c r="BA409">
        <f t="shared" ca="1" si="172"/>
        <v>1</v>
      </c>
      <c r="BB409">
        <f ca="1">IF(BA409=1,IF(INDEX(分析データ!$A:$A,ROW()+$C$5)&lt;&gt;"",60000*SIGN(AZ409)*(分析データ!C409-INDEX(分析データ!C:C,ROW()+$C$5)),""),"")</f>
        <v>-3000.0000000011087</v>
      </c>
      <c r="BC409">
        <f t="shared" ca="1" si="173"/>
        <v>183000.00000000687</v>
      </c>
      <c r="BD409">
        <f t="shared" ca="1" si="174"/>
        <v>186000.00000000797</v>
      </c>
      <c r="BE409">
        <f t="shared" ca="1" si="175"/>
        <v>-3000.0000000011059</v>
      </c>
      <c r="BF409">
        <f ca="1">IF(ROW()&lt;($C$7+1),"",IFERROR((分析データ!D409-AVERAGE(OFFSET(分析データ!D$1,MAX(1,ROW()-$C$7),0,MIN($C$7,ROW()-1),1)))/STDEV(OFFSET(分析データ!D$1,MAX(1,ROW()-$C$7),0,MIN($C$7,ROW()-1),1)),0))</f>
        <v>-2.0262624414424626</v>
      </c>
      <c r="BG409">
        <f t="shared" ca="1" si="176"/>
        <v>1</v>
      </c>
      <c r="BH409">
        <f ca="1">IF(BG409=1,IF(INDEX(分析データ!$A:$A,ROW()+$C$5)&lt;&gt;"",50000*SIGN(BF409)*(分析データ!D409-INDEX(分析データ!D:D,ROW()+$C$5)),""),"")</f>
        <v>-19999.999999998865</v>
      </c>
      <c r="BI409">
        <f t="shared" ca="1" si="177"/>
        <v>-250000.00000000306</v>
      </c>
      <c r="BJ409">
        <f t="shared" ca="1" si="178"/>
        <v>1695000.0000000016</v>
      </c>
      <c r="BK409">
        <f t="shared" ca="1" si="179"/>
        <v>-1945000.0000000047</v>
      </c>
      <c r="BL409">
        <f ca="1">IF(ROW()&lt;($C$7+1),"",IFERROR((分析データ!E409-AVERAGE(OFFSET(分析データ!E$1,MAX(1,ROW()-$C$7),0,MIN($C$7,ROW()-1),1)))/STDEV(OFFSET(分析データ!E$1,MAX(1,ROW()-$C$7),0,MIN($C$7,ROW()-1),1)),0))</f>
        <v>1.5462861459940063</v>
      </c>
      <c r="BM409">
        <f t="shared" ca="1" si="180"/>
        <v>0</v>
      </c>
      <c r="BN409" t="str">
        <f ca="1">IF(BM409=1,IF(INDEX(分析データ!$A:$A,ROW()+$C$5)&lt;&gt;"",40000*SIGN(BL409)*(分析データ!E409-INDEX(分析データ!E:E,ROW()+$C$5)),""),"")</f>
        <v/>
      </c>
      <c r="BO409">
        <f t="shared" ca="1" si="181"/>
        <v>800000.0000000078</v>
      </c>
      <c r="BP409">
        <f t="shared" ca="1" si="182"/>
        <v>1040000.0000000063</v>
      </c>
      <c r="BQ409">
        <f t="shared" ca="1" si="183"/>
        <v>-239999.99999999849</v>
      </c>
      <c r="BR409">
        <f ca="1">IF(ROW()&lt;($C$7+1),"",IFERROR((分析データ!F409-AVERAGE(OFFSET(分析データ!F$1,MAX(1,ROW()-$C$7),0,MIN($C$7,ROW()-1),1)))/STDEV(OFFSET(分析データ!F$1,MAX(1,ROW()-$C$7),0,MIN($C$7,ROW()-1),1)),0))</f>
        <v>2.7948017519801309E-3</v>
      </c>
      <c r="BS409">
        <f t="shared" ca="1" si="184"/>
        <v>0</v>
      </c>
      <c r="BT409" t="str">
        <f ca="1">IF(BS409=1,IF(INDEX(分析データ!$A:$A,ROW()+$C$5)&lt;&gt;"",40000*SIGN(BR409)*(分析データ!F409-INDEX(分析データ!F:F,ROW()+$C$5)),""),"")</f>
        <v/>
      </c>
      <c r="BU409">
        <f t="shared" ca="1" si="185"/>
        <v>583200.00000000163</v>
      </c>
      <c r="BV409">
        <f t="shared" ca="1" si="186"/>
        <v>583200.00000000163</v>
      </c>
      <c r="BW409">
        <f t="shared" ca="1" si="187"/>
        <v>0</v>
      </c>
      <c r="BX409">
        <f ca="1">IF(ROW()&lt;($C$7+1),"",IFERROR((分析データ!G409-AVERAGE(OFFSET(分析データ!G$1,MAX(1,ROW()-$C$7),0,MIN($C$7,ROW()-1),1)))/STDEV(OFFSET(分析データ!G$1,MAX(1,ROW()-$C$7),0,MIN($C$7,ROW()-1),1)),0))</f>
        <v>1.5223780739104098</v>
      </c>
      <c r="BY409">
        <f t="shared" ca="1" si="188"/>
        <v>0</v>
      </c>
      <c r="BZ409" t="str">
        <f ca="1">IF(BY409=1,IF(INDEX(分析データ!$A:$A,ROW()+$C$5)&lt;&gt;"",40000*SIGN(BX409)*(分析データ!G409-INDEX(分析データ!G:G,ROW()+$C$5)),""),"")</f>
        <v/>
      </c>
      <c r="CA409">
        <f t="shared" ca="1" si="189"/>
        <v>4220275.7177734375</v>
      </c>
      <c r="CB409">
        <f t="shared" ca="1" si="190"/>
        <v>4220275.7177734375</v>
      </c>
      <c r="CC409">
        <f t="shared" ca="1" si="191"/>
        <v>0</v>
      </c>
      <c r="CD409">
        <f t="shared" ca="1" si="192"/>
        <v>-22999.999999999975</v>
      </c>
      <c r="CE409">
        <f t="shared" ca="1" si="193"/>
        <v>5536475.7177734533</v>
      </c>
      <c r="CF409">
        <f t="shared" ca="1" si="194"/>
        <v>6770475.7177734533</v>
      </c>
      <c r="CG409">
        <f t="shared" ca="1" si="195"/>
        <v>-1234000</v>
      </c>
      <c r="CH409" s="10">
        <f>分析データ!A409</f>
        <v>45520</v>
      </c>
    </row>
    <row r="410" spans="46:86">
      <c r="AT410">
        <f ca="1">IF(ROW()&lt;($C$7+1),"",IFERROR((分析データ!B410-AVERAGE(OFFSET(分析データ!B$1,MAX(1,ROW()-$C$7),0,MIN($C$7,ROW()-1),1)))/STDEV(OFFSET(分析データ!B$1,MAX(1,ROW()-$C$7),0,MIN($C$7,ROW()-1),1)),0))</f>
        <v>0.66743353623521029</v>
      </c>
      <c r="AU410">
        <f t="shared" ca="1" si="168"/>
        <v>0</v>
      </c>
      <c r="AV410" t="str">
        <f ca="1">IF(AU410=1,IF(INDEX(分析データ!$A:$A,ROW()+$C$5)&lt;&gt;"",80000*SIGN(AT410)*(分析データ!B410-INDEX(分析データ!B:B,ROW()+$C$5)),""),"")</f>
        <v/>
      </c>
      <c r="AW410">
        <f t="shared" ca="1" si="169"/>
        <v>0</v>
      </c>
      <c r="AX410">
        <f t="shared" ca="1" si="170"/>
        <v>0</v>
      </c>
      <c r="AY410">
        <f t="shared" ca="1" si="171"/>
        <v>0</v>
      </c>
      <c r="AZ410">
        <f ca="1">IF(ROW()&lt;($C$7+1),"",IFERROR((分析データ!C410-AVERAGE(OFFSET(分析データ!C$1,MAX(1,ROW()-$C$7),0,MIN($C$7,ROW()-1),1)))/STDEV(OFFSET(分析データ!C$1,MAX(1,ROW()-$C$7),0,MIN($C$7,ROW()-1),1)),0))</f>
        <v>-2.264789883252631</v>
      </c>
      <c r="BA410">
        <f t="shared" ca="1" si="172"/>
        <v>1</v>
      </c>
      <c r="BB410">
        <f ca="1">IF(BA410=1,IF(INDEX(分析データ!$A:$A,ROW()+$C$5)&lt;&gt;"",60000*SIGN(AZ410)*(分析データ!C410-INDEX(分析データ!C:C,ROW()+$C$5)),""),"")</f>
        <v>110999.99999999903</v>
      </c>
      <c r="BC410">
        <f t="shared" ca="1" si="173"/>
        <v>294000.00000000588</v>
      </c>
      <c r="BD410">
        <f t="shared" ca="1" si="174"/>
        <v>294000.00000000588</v>
      </c>
      <c r="BE410">
        <f t="shared" ca="1" si="175"/>
        <v>0</v>
      </c>
      <c r="BF410">
        <f ca="1">IF(ROW()&lt;($C$7+1),"",IFERROR((分析データ!D410-AVERAGE(OFFSET(分析データ!D$1,MAX(1,ROW()-$C$7),0,MIN($C$7,ROW()-1),1)))/STDEV(OFFSET(分析データ!D$1,MAX(1,ROW()-$C$7),0,MIN($C$7,ROW()-1),1)),0))</f>
        <v>-2.180479715192392</v>
      </c>
      <c r="BG410">
        <f t="shared" ca="1" si="176"/>
        <v>1</v>
      </c>
      <c r="BH410">
        <f ca="1">IF(BG410=1,IF(INDEX(分析データ!$A:$A,ROW()+$C$5)&lt;&gt;"",50000*SIGN(BF410)*(分析データ!D410-INDEX(分析データ!D:D,ROW()+$C$5)),""),"")</f>
        <v>-289999.99999999773</v>
      </c>
      <c r="BI410">
        <f t="shared" ca="1" si="177"/>
        <v>-540000.00000000081</v>
      </c>
      <c r="BJ410">
        <f t="shared" ca="1" si="178"/>
        <v>1695000.0000000016</v>
      </c>
      <c r="BK410">
        <f t="shared" ca="1" si="179"/>
        <v>-2235000.0000000023</v>
      </c>
      <c r="BL410">
        <f ca="1">IF(ROW()&lt;($C$7+1),"",IFERROR((分析データ!E410-AVERAGE(OFFSET(分析データ!E$1,MAX(1,ROW()-$C$7),0,MIN($C$7,ROW()-1),1)))/STDEV(OFFSET(分析データ!E$1,MAX(1,ROW()-$C$7),0,MIN($C$7,ROW()-1),1)),0))</f>
        <v>1.4002679478078142</v>
      </c>
      <c r="BM410">
        <f t="shared" ca="1" si="180"/>
        <v>0</v>
      </c>
      <c r="BN410" t="str">
        <f ca="1">IF(BM410=1,IF(INDEX(分析データ!$A:$A,ROW()+$C$5)&lt;&gt;"",40000*SIGN(BL410)*(分析データ!E410-INDEX(分析データ!E:E,ROW()+$C$5)),""),"")</f>
        <v/>
      </c>
      <c r="BO410">
        <f t="shared" ca="1" si="181"/>
        <v>800000.0000000078</v>
      </c>
      <c r="BP410">
        <f t="shared" ca="1" si="182"/>
        <v>1040000.0000000063</v>
      </c>
      <c r="BQ410">
        <f t="shared" ca="1" si="183"/>
        <v>-239999.99999999849</v>
      </c>
      <c r="BR410">
        <f ca="1">IF(ROW()&lt;($C$7+1),"",IFERROR((分析データ!F410-AVERAGE(OFFSET(分析データ!F$1,MAX(1,ROW()-$C$7),0,MIN($C$7,ROW()-1),1)))/STDEV(OFFSET(分析データ!F$1,MAX(1,ROW()-$C$7),0,MIN($C$7,ROW()-1),1)),0))</f>
        <v>0.23772351429811445</v>
      </c>
      <c r="BS410">
        <f t="shared" ca="1" si="184"/>
        <v>0</v>
      </c>
      <c r="BT410" t="str">
        <f ca="1">IF(BS410=1,IF(INDEX(分析データ!$A:$A,ROW()+$C$5)&lt;&gt;"",40000*SIGN(BR410)*(分析データ!F410-INDEX(分析データ!F:F,ROW()+$C$5)),""),"")</f>
        <v/>
      </c>
      <c r="BU410">
        <f t="shared" ca="1" si="185"/>
        <v>583200.00000000163</v>
      </c>
      <c r="BV410">
        <f t="shared" ca="1" si="186"/>
        <v>583200.00000000163</v>
      </c>
      <c r="BW410">
        <f t="shared" ca="1" si="187"/>
        <v>0</v>
      </c>
      <c r="BX410">
        <f ca="1">IF(ROW()&lt;($C$7+1),"",IFERROR((分析データ!G410-AVERAGE(OFFSET(分析データ!G$1,MAX(1,ROW()-$C$7),0,MIN($C$7,ROW()-1),1)))/STDEV(OFFSET(分析データ!G$1,MAX(1,ROW()-$C$7),0,MIN($C$7,ROW()-1),1)),0))</f>
        <v>1.436398329049356</v>
      </c>
      <c r="BY410">
        <f t="shared" ca="1" si="188"/>
        <v>0</v>
      </c>
      <c r="BZ410" t="str">
        <f ca="1">IF(BY410=1,IF(INDEX(分析データ!$A:$A,ROW()+$C$5)&lt;&gt;"",40000*SIGN(BX410)*(分析データ!G410-INDEX(分析データ!G:G,ROW()+$C$5)),""),"")</f>
        <v/>
      </c>
      <c r="CA410">
        <f t="shared" ca="1" si="189"/>
        <v>4220275.7177734375</v>
      </c>
      <c r="CB410">
        <f t="shared" ca="1" si="190"/>
        <v>4220275.7177734375</v>
      </c>
      <c r="CC410">
        <f t="shared" ca="1" si="191"/>
        <v>0</v>
      </c>
      <c r="CD410">
        <f t="shared" ca="1" si="192"/>
        <v>-178999.99999999872</v>
      </c>
      <c r="CE410">
        <f t="shared" ca="1" si="193"/>
        <v>5357475.7177734543</v>
      </c>
      <c r="CF410">
        <f t="shared" ca="1" si="194"/>
        <v>6770475.7177734533</v>
      </c>
      <c r="CG410">
        <f t="shared" ca="1" si="195"/>
        <v>-1412999.9999999991</v>
      </c>
      <c r="CH410" s="10">
        <f>分析データ!A410</f>
        <v>45523</v>
      </c>
    </row>
    <row r="411" spans="46:86">
      <c r="AT411">
        <f ca="1">IF(ROW()&lt;($C$7+1),"",IFERROR((分析データ!B411-AVERAGE(OFFSET(分析データ!B$1,MAX(1,ROW()-$C$7),0,MIN($C$7,ROW()-1),1)))/STDEV(OFFSET(分析データ!B$1,MAX(1,ROW()-$C$7),0,MIN($C$7,ROW()-1),1)),0))</f>
        <v>0.91988404521808598</v>
      </c>
      <c r="AU411">
        <f t="shared" ca="1" si="168"/>
        <v>0</v>
      </c>
      <c r="AV411" t="str">
        <f ca="1">IF(AU411=1,IF(INDEX(分析データ!$A:$A,ROW()+$C$5)&lt;&gt;"",80000*SIGN(AT411)*(分析データ!B411-INDEX(分析データ!B:B,ROW()+$C$5)),""),"")</f>
        <v/>
      </c>
      <c r="AW411">
        <f t="shared" ca="1" si="169"/>
        <v>0</v>
      </c>
      <c r="AX411">
        <f t="shared" ca="1" si="170"/>
        <v>0</v>
      </c>
      <c r="AY411">
        <f t="shared" ca="1" si="171"/>
        <v>0</v>
      </c>
      <c r="AZ411">
        <f ca="1">IF(ROW()&lt;($C$7+1),"",IFERROR((分析データ!C411-AVERAGE(OFFSET(分析データ!C$1,MAX(1,ROW()-$C$7),0,MIN($C$7,ROW()-1),1)))/STDEV(OFFSET(分析データ!C$1,MAX(1,ROW()-$C$7),0,MIN($C$7,ROW()-1),1)),0))</f>
        <v>-2.3131510023637625</v>
      </c>
      <c r="BA411">
        <f t="shared" ca="1" si="172"/>
        <v>1</v>
      </c>
      <c r="BB411">
        <f ca="1">IF(BA411=1,IF(INDEX(分析データ!$A:$A,ROW()+$C$5)&lt;&gt;"",60000*SIGN(AZ411)*(分析データ!C411-INDEX(分析データ!C:C,ROW()+$C$5)),""),"")</f>
        <v>50999.999999999018</v>
      </c>
      <c r="BC411">
        <f t="shared" ca="1" si="173"/>
        <v>345000.00000000489</v>
      </c>
      <c r="BD411">
        <f t="shared" ca="1" si="174"/>
        <v>345000.00000000489</v>
      </c>
      <c r="BE411">
        <f t="shared" ca="1" si="175"/>
        <v>0</v>
      </c>
      <c r="BF411">
        <f ca="1">IF(ROW()&lt;($C$7+1),"",IFERROR((分析データ!D411-AVERAGE(OFFSET(分析データ!D$1,MAX(1,ROW()-$C$7),0,MIN($C$7,ROW()-1),1)))/STDEV(OFFSET(分析データ!D$1,MAX(1,ROW()-$C$7),0,MIN($C$7,ROW()-1),1)),0))</f>
        <v>-2.3125659980762201</v>
      </c>
      <c r="BG411">
        <f t="shared" ca="1" si="176"/>
        <v>1</v>
      </c>
      <c r="BH411">
        <f ca="1">IF(BG411=1,IF(INDEX(分析データ!$A:$A,ROW()+$C$5)&lt;&gt;"",50000*SIGN(BF411)*(分析データ!D411-INDEX(分析データ!D:D,ROW()+$C$5)),""),"")</f>
        <v>-255000.00000000114</v>
      </c>
      <c r="BI411">
        <f t="shared" ca="1" si="177"/>
        <v>-795000.00000000198</v>
      </c>
      <c r="BJ411">
        <f t="shared" ca="1" si="178"/>
        <v>1695000.0000000016</v>
      </c>
      <c r="BK411">
        <f t="shared" ca="1" si="179"/>
        <v>-2490000.0000000037</v>
      </c>
      <c r="BL411">
        <f ca="1">IF(ROW()&lt;($C$7+1),"",IFERROR((分析データ!E411-AVERAGE(OFFSET(分析データ!E$1,MAX(1,ROW()-$C$7),0,MIN($C$7,ROW()-1),1)))/STDEV(OFFSET(分析データ!E$1,MAX(1,ROW()-$C$7),0,MIN($C$7,ROW()-1),1)),0))</f>
        <v>1.5292009356962804</v>
      </c>
      <c r="BM411">
        <f t="shared" ca="1" si="180"/>
        <v>0</v>
      </c>
      <c r="BN411" t="str">
        <f ca="1">IF(BM411=1,IF(INDEX(分析データ!$A:$A,ROW()+$C$5)&lt;&gt;"",40000*SIGN(BL411)*(分析データ!E411-INDEX(分析データ!E:E,ROW()+$C$5)),""),"")</f>
        <v/>
      </c>
      <c r="BO411">
        <f t="shared" ca="1" si="181"/>
        <v>800000.0000000078</v>
      </c>
      <c r="BP411">
        <f t="shared" ca="1" si="182"/>
        <v>1040000.0000000063</v>
      </c>
      <c r="BQ411">
        <f t="shared" ca="1" si="183"/>
        <v>-239999.99999999849</v>
      </c>
      <c r="BR411">
        <f ca="1">IF(ROW()&lt;($C$7+1),"",IFERROR((分析データ!F411-AVERAGE(OFFSET(分析データ!F$1,MAX(1,ROW()-$C$7),0,MIN($C$7,ROW()-1),1)))/STDEV(OFFSET(分析データ!F$1,MAX(1,ROW()-$C$7),0,MIN($C$7,ROW()-1),1)),0))</f>
        <v>0.37253758187775948</v>
      </c>
      <c r="BS411">
        <f t="shared" ca="1" si="184"/>
        <v>0</v>
      </c>
      <c r="BT411" t="str">
        <f ca="1">IF(BS411=1,IF(INDEX(分析データ!$A:$A,ROW()+$C$5)&lt;&gt;"",40000*SIGN(BR411)*(分析データ!F411-INDEX(分析データ!F:F,ROW()+$C$5)),""),"")</f>
        <v/>
      </c>
      <c r="BU411">
        <f t="shared" ca="1" si="185"/>
        <v>583200.00000000163</v>
      </c>
      <c r="BV411">
        <f t="shared" ca="1" si="186"/>
        <v>583200.00000000163</v>
      </c>
      <c r="BW411">
        <f t="shared" ca="1" si="187"/>
        <v>0</v>
      </c>
      <c r="BX411">
        <f ca="1">IF(ROW()&lt;($C$7+1),"",IFERROR((分析データ!G411-AVERAGE(OFFSET(分析データ!G$1,MAX(1,ROW()-$C$7),0,MIN($C$7,ROW()-1),1)))/STDEV(OFFSET(分析データ!G$1,MAX(1,ROW()-$C$7),0,MIN($C$7,ROW()-1),1)),0))</f>
        <v>1.4554336399888277</v>
      </c>
      <c r="BY411">
        <f t="shared" ca="1" si="188"/>
        <v>0</v>
      </c>
      <c r="BZ411" t="str">
        <f ca="1">IF(BY411=1,IF(INDEX(分析データ!$A:$A,ROW()+$C$5)&lt;&gt;"",40000*SIGN(BX411)*(分析データ!G411-INDEX(分析データ!G:G,ROW()+$C$5)),""),"")</f>
        <v/>
      </c>
      <c r="CA411">
        <f t="shared" ca="1" si="189"/>
        <v>4220275.7177734375</v>
      </c>
      <c r="CB411">
        <f t="shared" ca="1" si="190"/>
        <v>4220275.7177734375</v>
      </c>
      <c r="CC411">
        <f t="shared" ca="1" si="191"/>
        <v>0</v>
      </c>
      <c r="CD411">
        <f t="shared" ca="1" si="192"/>
        <v>-204000.00000000212</v>
      </c>
      <c r="CE411">
        <f t="shared" ca="1" si="193"/>
        <v>5153475.7177734524</v>
      </c>
      <c r="CF411">
        <f t="shared" ca="1" si="194"/>
        <v>6770475.7177734533</v>
      </c>
      <c r="CG411">
        <f t="shared" ca="1" si="195"/>
        <v>-1617000.0000000009</v>
      </c>
      <c r="CH411" s="10">
        <f>分析データ!A411</f>
        <v>45524</v>
      </c>
    </row>
    <row r="412" spans="46:86">
      <c r="AT412">
        <f ca="1">IF(ROW()&lt;($C$7+1),"",IFERROR((分析データ!B412-AVERAGE(OFFSET(分析データ!B$1,MAX(1,ROW()-$C$7),0,MIN($C$7,ROW()-1),1)))/STDEV(OFFSET(分析データ!B$1,MAX(1,ROW()-$C$7),0,MIN($C$7,ROW()-1),1)),0))</f>
        <v>1.0881549165962636</v>
      </c>
      <c r="AU412">
        <f t="shared" ca="1" si="168"/>
        <v>0</v>
      </c>
      <c r="AV412" t="str">
        <f ca="1">IF(AU412=1,IF(INDEX(分析データ!$A:$A,ROW()+$C$5)&lt;&gt;"",80000*SIGN(AT412)*(分析データ!B412-INDEX(分析データ!B:B,ROW()+$C$5)),""),"")</f>
        <v/>
      </c>
      <c r="AW412">
        <f t="shared" ca="1" si="169"/>
        <v>0</v>
      </c>
      <c r="AX412">
        <f t="shared" ca="1" si="170"/>
        <v>0</v>
      </c>
      <c r="AY412">
        <f t="shared" ca="1" si="171"/>
        <v>0</v>
      </c>
      <c r="AZ412">
        <f ca="1">IF(ROW()&lt;($C$7+1),"",IFERROR((分析データ!C412-AVERAGE(OFFSET(分析データ!C$1,MAX(1,ROW()-$C$7),0,MIN($C$7,ROW()-1),1)))/STDEV(OFFSET(分析データ!C$1,MAX(1,ROW()-$C$7),0,MIN($C$7,ROW()-1),1)),0))</f>
        <v>-2.3826329332272906</v>
      </c>
      <c r="BA412">
        <f t="shared" ca="1" si="172"/>
        <v>1</v>
      </c>
      <c r="BB412">
        <f ca="1">IF(BA412=1,IF(INDEX(分析データ!$A:$A,ROW()+$C$5)&lt;&gt;"",60000*SIGN(AZ412)*(分析データ!C412-INDEX(分析データ!C:C,ROW()+$C$5)),""),"")</f>
        <v>74999.999999999782</v>
      </c>
      <c r="BC412">
        <f t="shared" ca="1" si="173"/>
        <v>420000.00000000466</v>
      </c>
      <c r="BD412">
        <f t="shared" ca="1" si="174"/>
        <v>420000.00000000466</v>
      </c>
      <c r="BE412">
        <f t="shared" ca="1" si="175"/>
        <v>0</v>
      </c>
      <c r="BF412">
        <f ca="1">IF(ROW()&lt;($C$7+1),"",IFERROR((分析データ!D412-AVERAGE(OFFSET(分析データ!D$1,MAX(1,ROW()-$C$7),0,MIN($C$7,ROW()-1),1)))/STDEV(OFFSET(分析データ!D$1,MAX(1,ROW()-$C$7),0,MIN($C$7,ROW()-1),1)),0))</f>
        <v>-2.3166058732658015</v>
      </c>
      <c r="BG412">
        <f t="shared" ca="1" si="176"/>
        <v>1</v>
      </c>
      <c r="BH412">
        <f ca="1">IF(BG412=1,IF(INDEX(分析データ!$A:$A,ROW()+$C$5)&lt;&gt;"",50000*SIGN(BF412)*(分析データ!D412-INDEX(分析データ!D:D,ROW()+$C$5)),""),"")</f>
        <v>-340000.00000000058</v>
      </c>
      <c r="BI412">
        <f t="shared" ca="1" si="177"/>
        <v>-1135000.0000000026</v>
      </c>
      <c r="BJ412">
        <f t="shared" ca="1" si="178"/>
        <v>1695000.0000000016</v>
      </c>
      <c r="BK412">
        <f t="shared" ca="1" si="179"/>
        <v>-2830000.0000000042</v>
      </c>
      <c r="BL412">
        <f ca="1">IF(ROW()&lt;($C$7+1),"",IFERROR((分析データ!E412-AVERAGE(OFFSET(分析データ!E$1,MAX(1,ROW()-$C$7),0,MIN($C$7,ROW()-1),1)))/STDEV(OFFSET(分析データ!E$1,MAX(1,ROW()-$C$7),0,MIN($C$7,ROW()-1),1)),0))</f>
        <v>1.931494789077699</v>
      </c>
      <c r="BM412">
        <f t="shared" ca="1" si="180"/>
        <v>0</v>
      </c>
      <c r="BN412" t="str">
        <f ca="1">IF(BM412=1,IF(INDEX(分析データ!$A:$A,ROW()+$C$5)&lt;&gt;"",40000*SIGN(BL412)*(分析データ!E412-INDEX(分析データ!E:E,ROW()+$C$5)),""),"")</f>
        <v/>
      </c>
      <c r="BO412">
        <f t="shared" ca="1" si="181"/>
        <v>800000.0000000078</v>
      </c>
      <c r="BP412">
        <f t="shared" ca="1" si="182"/>
        <v>1040000.0000000063</v>
      </c>
      <c r="BQ412">
        <f t="shared" ca="1" si="183"/>
        <v>-239999.99999999849</v>
      </c>
      <c r="BR412">
        <f ca="1">IF(ROW()&lt;($C$7+1),"",IFERROR((分析データ!F412-AVERAGE(OFFSET(分析データ!F$1,MAX(1,ROW()-$C$7),0,MIN($C$7,ROW()-1),1)))/STDEV(OFFSET(分析データ!F$1,MAX(1,ROW()-$C$7),0,MIN($C$7,ROW()-1),1)),0))</f>
        <v>0.24549952592156354</v>
      </c>
      <c r="BS412">
        <f t="shared" ca="1" si="184"/>
        <v>0</v>
      </c>
      <c r="BT412" t="str">
        <f ca="1">IF(BS412=1,IF(INDEX(分析データ!$A:$A,ROW()+$C$5)&lt;&gt;"",40000*SIGN(BR412)*(分析データ!F412-INDEX(分析データ!F:F,ROW()+$C$5)),""),"")</f>
        <v/>
      </c>
      <c r="BU412">
        <f t="shared" ca="1" si="185"/>
        <v>583200.00000000163</v>
      </c>
      <c r="BV412">
        <f t="shared" ca="1" si="186"/>
        <v>583200.00000000163</v>
      </c>
      <c r="BW412">
        <f t="shared" ca="1" si="187"/>
        <v>0</v>
      </c>
      <c r="BX412">
        <f ca="1">IF(ROW()&lt;($C$7+1),"",IFERROR((分析データ!G412-AVERAGE(OFFSET(分析データ!G$1,MAX(1,ROW()-$C$7),0,MIN($C$7,ROW()-1),1)))/STDEV(OFFSET(分析データ!G$1,MAX(1,ROW()-$C$7),0,MIN($C$7,ROW()-1),1)),0))</f>
        <v>1.6142425471446136</v>
      </c>
      <c r="BY412">
        <f t="shared" ca="1" si="188"/>
        <v>0</v>
      </c>
      <c r="BZ412" t="str">
        <f ca="1">IF(BY412=1,IF(INDEX(分析データ!$A:$A,ROW()+$C$5)&lt;&gt;"",40000*SIGN(BX412)*(分析データ!G412-INDEX(分析データ!G:G,ROW()+$C$5)),""),"")</f>
        <v/>
      </c>
      <c r="CA412">
        <f t="shared" ca="1" si="189"/>
        <v>4220275.7177734375</v>
      </c>
      <c r="CB412">
        <f t="shared" ca="1" si="190"/>
        <v>4220275.7177734375</v>
      </c>
      <c r="CC412">
        <f t="shared" ca="1" si="191"/>
        <v>0</v>
      </c>
      <c r="CD412">
        <f t="shared" ca="1" si="192"/>
        <v>-265000.00000000081</v>
      </c>
      <c r="CE412">
        <f t="shared" ca="1" si="193"/>
        <v>4888475.7177734515</v>
      </c>
      <c r="CF412">
        <f t="shared" ca="1" si="194"/>
        <v>6770475.7177734533</v>
      </c>
      <c r="CG412">
        <f t="shared" ca="1" si="195"/>
        <v>-1882000.0000000019</v>
      </c>
      <c r="CH412" s="10">
        <f>分析データ!A412</f>
        <v>45525</v>
      </c>
    </row>
    <row r="413" spans="46:86">
      <c r="AT413">
        <f ca="1">IF(ROW()&lt;($C$7+1),"",IFERROR((分析データ!B413-AVERAGE(OFFSET(分析データ!B$1,MAX(1,ROW()-$C$7),0,MIN($C$7,ROW()-1),1)))/STDEV(OFFSET(分析データ!B$1,MAX(1,ROW()-$C$7),0,MIN($C$7,ROW()-1),1)),0))</f>
        <v>1.0815281811652635</v>
      </c>
      <c r="AU413">
        <f t="shared" ca="1" si="168"/>
        <v>0</v>
      </c>
      <c r="AV413" t="str">
        <f ca="1">IF(AU413=1,IF(INDEX(分析データ!$A:$A,ROW()+$C$5)&lt;&gt;"",80000*SIGN(AT413)*(分析データ!B413-INDEX(分析データ!B:B,ROW()+$C$5)),""),"")</f>
        <v/>
      </c>
      <c r="AW413">
        <f t="shared" ca="1" si="169"/>
        <v>0</v>
      </c>
      <c r="AX413">
        <f t="shared" ca="1" si="170"/>
        <v>0</v>
      </c>
      <c r="AY413">
        <f t="shared" ca="1" si="171"/>
        <v>0</v>
      </c>
      <c r="AZ413">
        <f ca="1">IF(ROW()&lt;($C$7+1),"",IFERROR((分析データ!C413-AVERAGE(OFFSET(分析データ!C$1,MAX(1,ROW()-$C$7),0,MIN($C$7,ROW()-1),1)))/STDEV(OFFSET(分析データ!C$1,MAX(1,ROW()-$C$7),0,MIN($C$7,ROW()-1),1)),0))</f>
        <v>-2.2436473155858092</v>
      </c>
      <c r="BA413">
        <f t="shared" ca="1" si="172"/>
        <v>1</v>
      </c>
      <c r="BB413">
        <f ca="1">IF(BA413=1,IF(INDEX(分析データ!$A:$A,ROW()+$C$5)&lt;&gt;"",60000*SIGN(AZ413)*(分析データ!C413-INDEX(分析データ!C:C,ROW()+$C$5)),""),"")</f>
        <v>-48000.000000000255</v>
      </c>
      <c r="BC413">
        <f t="shared" ca="1" si="173"/>
        <v>372000.00000000442</v>
      </c>
      <c r="BD413">
        <f t="shared" ca="1" si="174"/>
        <v>420000.00000000466</v>
      </c>
      <c r="BE413">
        <f t="shared" ca="1" si="175"/>
        <v>-48000.000000000233</v>
      </c>
      <c r="BF413">
        <f ca="1">IF(ROW()&lt;($C$7+1),"",IFERROR((分析データ!D413-AVERAGE(OFFSET(分析データ!D$1,MAX(1,ROW()-$C$7),0,MIN($C$7,ROW()-1),1)))/STDEV(OFFSET(分析データ!D$1,MAX(1,ROW()-$C$7),0,MIN($C$7,ROW()-1),1)),0))</f>
        <v>-2.033252963565082</v>
      </c>
      <c r="BG413">
        <f t="shared" ca="1" si="176"/>
        <v>1</v>
      </c>
      <c r="BH413">
        <f ca="1">IF(BG413=1,IF(INDEX(分析データ!$A:$A,ROW()+$C$5)&lt;&gt;"",50000*SIGN(BF413)*(分析データ!D413-INDEX(分析データ!D:D,ROW()+$C$5)),""),"")</f>
        <v>-599999.99999999721</v>
      </c>
      <c r="BI413">
        <f t="shared" ca="1" si="177"/>
        <v>-1734999.9999999998</v>
      </c>
      <c r="BJ413">
        <f t="shared" ca="1" si="178"/>
        <v>1695000.0000000016</v>
      </c>
      <c r="BK413">
        <f t="shared" ca="1" si="179"/>
        <v>-3430000.0000000014</v>
      </c>
      <c r="BL413">
        <f ca="1">IF(ROW()&lt;($C$7+1),"",IFERROR((分析データ!E413-AVERAGE(OFFSET(分析データ!E$1,MAX(1,ROW()-$C$7),0,MIN($C$7,ROW()-1),1)))/STDEV(OFFSET(分析データ!E$1,MAX(1,ROW()-$C$7),0,MIN($C$7,ROW()-1),1)),0))</f>
        <v>1.7783351663390909</v>
      </c>
      <c r="BM413">
        <f t="shared" ca="1" si="180"/>
        <v>0</v>
      </c>
      <c r="BN413" t="str">
        <f ca="1">IF(BM413=1,IF(INDEX(分析データ!$A:$A,ROW()+$C$5)&lt;&gt;"",40000*SIGN(BL413)*(分析データ!E413-INDEX(分析データ!E:E,ROW()+$C$5)),""),"")</f>
        <v/>
      </c>
      <c r="BO413">
        <f t="shared" ca="1" si="181"/>
        <v>800000.0000000078</v>
      </c>
      <c r="BP413">
        <f t="shared" ca="1" si="182"/>
        <v>1040000.0000000063</v>
      </c>
      <c r="BQ413">
        <f t="shared" ca="1" si="183"/>
        <v>-239999.99999999849</v>
      </c>
      <c r="BR413">
        <f ca="1">IF(ROW()&lt;($C$7+1),"",IFERROR((分析データ!F413-AVERAGE(OFFSET(分析データ!F$1,MAX(1,ROW()-$C$7),0,MIN($C$7,ROW()-1),1)))/STDEV(OFFSET(分析データ!F$1,MAX(1,ROW()-$C$7),0,MIN($C$7,ROW()-1),1)),0))</f>
        <v>-5.3669382184827197E-2</v>
      </c>
      <c r="BS413">
        <f t="shared" ca="1" si="184"/>
        <v>0</v>
      </c>
      <c r="BT413" t="str">
        <f ca="1">IF(BS413=1,IF(INDEX(分析データ!$A:$A,ROW()+$C$5)&lt;&gt;"",40000*SIGN(BR413)*(分析データ!F413-INDEX(分析データ!F:F,ROW()+$C$5)),""),"")</f>
        <v/>
      </c>
      <c r="BU413">
        <f t="shared" ca="1" si="185"/>
        <v>583200.00000000163</v>
      </c>
      <c r="BV413">
        <f t="shared" ca="1" si="186"/>
        <v>583200.00000000163</v>
      </c>
      <c r="BW413">
        <f t="shared" ca="1" si="187"/>
        <v>0</v>
      </c>
      <c r="BX413">
        <f ca="1">IF(ROW()&lt;($C$7+1),"",IFERROR((分析データ!G413-AVERAGE(OFFSET(分析データ!G$1,MAX(1,ROW()-$C$7),0,MIN($C$7,ROW()-1),1)))/STDEV(OFFSET(分析データ!G$1,MAX(1,ROW()-$C$7),0,MIN($C$7,ROW()-1),1)),0))</f>
        <v>1.7665542409662269</v>
      </c>
      <c r="BY413">
        <f t="shared" ca="1" si="188"/>
        <v>0</v>
      </c>
      <c r="BZ413" t="str">
        <f ca="1">IF(BY413=1,IF(INDEX(分析データ!$A:$A,ROW()+$C$5)&lt;&gt;"",40000*SIGN(BX413)*(分析データ!G413-INDEX(分析データ!G:G,ROW()+$C$5)),""),"")</f>
        <v/>
      </c>
      <c r="CA413">
        <f t="shared" ca="1" si="189"/>
        <v>4220275.7177734375</v>
      </c>
      <c r="CB413">
        <f t="shared" ca="1" si="190"/>
        <v>4220275.7177734375</v>
      </c>
      <c r="CC413">
        <f t="shared" ca="1" si="191"/>
        <v>0</v>
      </c>
      <c r="CD413">
        <f t="shared" ca="1" si="192"/>
        <v>-647999.99999999744</v>
      </c>
      <c r="CE413">
        <f t="shared" ca="1" si="193"/>
        <v>4240475.7177734543</v>
      </c>
      <c r="CF413">
        <f t="shared" ca="1" si="194"/>
        <v>6770475.7177734533</v>
      </c>
      <c r="CG413">
        <f t="shared" ca="1" si="195"/>
        <v>-2529999.9999999991</v>
      </c>
      <c r="CH413" s="10">
        <f>分析データ!A413</f>
        <v>45526</v>
      </c>
    </row>
    <row r="414" spans="46:86">
      <c r="AT414">
        <f ca="1">IF(ROW()&lt;($C$7+1),"",IFERROR((分析データ!B414-AVERAGE(OFFSET(分析データ!B$1,MAX(1,ROW()-$C$7),0,MIN($C$7,ROW()-1),1)))/STDEV(OFFSET(分析データ!B$1,MAX(1,ROW()-$C$7),0,MIN($C$7,ROW()-1),1)),0))</f>
        <v>1.2506740138901324</v>
      </c>
      <c r="AU414">
        <f t="shared" ca="1" si="168"/>
        <v>0</v>
      </c>
      <c r="AV414" t="str">
        <f ca="1">IF(AU414=1,IF(INDEX(分析データ!$A:$A,ROW()+$C$5)&lt;&gt;"",80000*SIGN(AT414)*(分析データ!B414-INDEX(分析データ!B:B,ROW()+$C$5)),""),"")</f>
        <v/>
      </c>
      <c r="AW414">
        <f t="shared" ca="1" si="169"/>
        <v>0</v>
      </c>
      <c r="AX414">
        <f t="shared" ca="1" si="170"/>
        <v>0</v>
      </c>
      <c r="AY414">
        <f t="shared" ca="1" si="171"/>
        <v>0</v>
      </c>
      <c r="AZ414">
        <f ca="1">IF(ROW()&lt;($C$7+1),"",IFERROR((分析データ!C414-AVERAGE(OFFSET(分析データ!C$1,MAX(1,ROW()-$C$7),0,MIN($C$7,ROW()-1),1)))/STDEV(OFFSET(分析データ!C$1,MAX(1,ROW()-$C$7),0,MIN($C$7,ROW()-1),1)),0))</f>
        <v>-1.9844540477144561</v>
      </c>
      <c r="BA414">
        <f t="shared" ca="1" si="172"/>
        <v>0</v>
      </c>
      <c r="BB414" t="str">
        <f ca="1">IF(BA414=1,IF(INDEX(分析データ!$A:$A,ROW()+$C$5)&lt;&gt;"",60000*SIGN(AZ414)*(分析データ!C414-INDEX(分析データ!C:C,ROW()+$C$5)),""),"")</f>
        <v/>
      </c>
      <c r="BC414">
        <f t="shared" ca="1" si="173"/>
        <v>372000.00000000442</v>
      </c>
      <c r="BD414">
        <f t="shared" ca="1" si="174"/>
        <v>420000.00000000466</v>
      </c>
      <c r="BE414">
        <f t="shared" ca="1" si="175"/>
        <v>-48000.000000000233</v>
      </c>
      <c r="BF414">
        <f ca="1">IF(ROW()&lt;($C$7+1),"",IFERROR((分析データ!D414-AVERAGE(OFFSET(分析データ!D$1,MAX(1,ROW()-$C$7),0,MIN($C$7,ROW()-1),1)))/STDEV(OFFSET(分析データ!D$1,MAX(1,ROW()-$C$7),0,MIN($C$7,ROW()-1),1)),0))</f>
        <v>-2.267230283468697</v>
      </c>
      <c r="BG414">
        <f t="shared" ca="1" si="176"/>
        <v>1</v>
      </c>
      <c r="BH414">
        <f ca="1">IF(BG414=1,IF(INDEX(分析データ!$A:$A,ROW()+$C$5)&lt;&gt;"",50000*SIGN(BF414)*(分析データ!D414-INDEX(分析データ!D:D,ROW()+$C$5)),""),"")</f>
        <v>-579999.99999999825</v>
      </c>
      <c r="BI414">
        <f t="shared" ca="1" si="177"/>
        <v>-2314999.9999999981</v>
      </c>
      <c r="BJ414">
        <f t="shared" ca="1" si="178"/>
        <v>1695000.0000000016</v>
      </c>
      <c r="BK414">
        <f t="shared" ca="1" si="179"/>
        <v>-4010000</v>
      </c>
      <c r="BL414">
        <f ca="1">IF(ROW()&lt;($C$7+1),"",IFERROR((分析データ!E414-AVERAGE(OFFSET(分析データ!E$1,MAX(1,ROW()-$C$7),0,MIN($C$7,ROW()-1),1)))/STDEV(OFFSET(分析データ!E$1,MAX(1,ROW()-$C$7),0,MIN($C$7,ROW()-1),1)),0))</f>
        <v>2.0443288351101834</v>
      </c>
      <c r="BM414">
        <f t="shared" ca="1" si="180"/>
        <v>1</v>
      </c>
      <c r="BN414">
        <f ca="1">IF(BM414=1,IF(INDEX(分析データ!$A:$A,ROW()+$C$5)&lt;&gt;"",40000*SIGN(BL414)*(分析データ!E414-INDEX(分析データ!E:E,ROW()+$C$5)),""),"")</f>
        <v>-199999.9999999993</v>
      </c>
      <c r="BO414">
        <f t="shared" ca="1" si="181"/>
        <v>600000.0000000085</v>
      </c>
      <c r="BP414">
        <f t="shared" ca="1" si="182"/>
        <v>1040000.0000000063</v>
      </c>
      <c r="BQ414">
        <f t="shared" ca="1" si="183"/>
        <v>-439999.99999999779</v>
      </c>
      <c r="BR414">
        <f ca="1">IF(ROW()&lt;($C$7+1),"",IFERROR((分析データ!F414-AVERAGE(OFFSET(分析データ!F$1,MAX(1,ROW()-$C$7),0,MIN($C$7,ROW()-1),1)))/STDEV(OFFSET(分析データ!F$1,MAX(1,ROW()-$C$7),0,MIN($C$7,ROW()-1),1)),0))</f>
        <v>0.58805708371161758</v>
      </c>
      <c r="BS414">
        <f t="shared" ca="1" si="184"/>
        <v>0</v>
      </c>
      <c r="BT414" t="str">
        <f ca="1">IF(BS414=1,IF(INDEX(分析データ!$A:$A,ROW()+$C$5)&lt;&gt;"",40000*SIGN(BR414)*(分析データ!F414-INDEX(分析データ!F:F,ROW()+$C$5)),""),"")</f>
        <v/>
      </c>
      <c r="BU414">
        <f t="shared" ca="1" si="185"/>
        <v>583200.00000000163</v>
      </c>
      <c r="BV414">
        <f t="shared" ca="1" si="186"/>
        <v>583200.00000000163</v>
      </c>
      <c r="BW414">
        <f t="shared" ca="1" si="187"/>
        <v>0</v>
      </c>
      <c r="BX414">
        <f ca="1">IF(ROW()&lt;($C$7+1),"",IFERROR((分析データ!G414-AVERAGE(OFFSET(分析データ!G$1,MAX(1,ROW()-$C$7),0,MIN($C$7,ROW()-1),1)))/STDEV(OFFSET(分析データ!G$1,MAX(1,ROW()-$C$7),0,MIN($C$7,ROW()-1),1)),0))</f>
        <v>1.3727242912314004</v>
      </c>
      <c r="BY414">
        <f t="shared" ca="1" si="188"/>
        <v>0</v>
      </c>
      <c r="BZ414" t="str">
        <f ca="1">IF(BY414=1,IF(INDEX(分析データ!$A:$A,ROW()+$C$5)&lt;&gt;"",40000*SIGN(BX414)*(分析データ!G414-INDEX(分析データ!G:G,ROW()+$C$5)),""),"")</f>
        <v/>
      </c>
      <c r="CA414">
        <f t="shared" ca="1" si="189"/>
        <v>4220275.7177734375</v>
      </c>
      <c r="CB414">
        <f t="shared" ca="1" si="190"/>
        <v>4220275.7177734375</v>
      </c>
      <c r="CC414">
        <f t="shared" ca="1" si="191"/>
        <v>0</v>
      </c>
      <c r="CD414">
        <f t="shared" ca="1" si="192"/>
        <v>-779999.99999999756</v>
      </c>
      <c r="CE414">
        <f t="shared" ca="1" si="193"/>
        <v>3460475.7177734566</v>
      </c>
      <c r="CF414">
        <f t="shared" ca="1" si="194"/>
        <v>6770475.7177734533</v>
      </c>
      <c r="CG414">
        <f t="shared" ca="1" si="195"/>
        <v>-3309999.9999999967</v>
      </c>
      <c r="CH414" s="10">
        <f>分析データ!A414</f>
        <v>45527</v>
      </c>
    </row>
    <row r="415" spans="46:86">
      <c r="AT415">
        <f ca="1">IF(ROW()&lt;($C$7+1),"",IFERROR((分析データ!B415-AVERAGE(OFFSET(分析データ!B$1,MAX(1,ROW()-$C$7),0,MIN($C$7,ROW()-1),1)))/STDEV(OFFSET(分析データ!B$1,MAX(1,ROW()-$C$7),0,MIN($C$7,ROW()-1),1)),0))</f>
        <v>1.2505683846551909</v>
      </c>
      <c r="AU415">
        <f t="shared" ca="1" si="168"/>
        <v>0</v>
      </c>
      <c r="AV415" t="str">
        <f ca="1">IF(AU415=1,IF(INDEX(分析データ!$A:$A,ROW()+$C$5)&lt;&gt;"",80000*SIGN(AT415)*(分析データ!B415-INDEX(分析データ!B:B,ROW()+$C$5)),""),"")</f>
        <v/>
      </c>
      <c r="AW415">
        <f t="shared" ca="1" si="169"/>
        <v>0</v>
      </c>
      <c r="AX415">
        <f t="shared" ca="1" si="170"/>
        <v>0</v>
      </c>
      <c r="AY415">
        <f t="shared" ca="1" si="171"/>
        <v>0</v>
      </c>
      <c r="AZ415">
        <f ca="1">IF(ROW()&lt;($C$7+1),"",IFERROR((分析データ!C415-AVERAGE(OFFSET(分析データ!C$1,MAX(1,ROW()-$C$7),0,MIN($C$7,ROW()-1),1)))/STDEV(OFFSET(分析データ!C$1,MAX(1,ROW()-$C$7),0,MIN($C$7,ROW()-1),1)),0))</f>
        <v>-2.0937176029302109</v>
      </c>
      <c r="BA415">
        <f t="shared" ca="1" si="172"/>
        <v>1</v>
      </c>
      <c r="BB415">
        <f ca="1">IF(BA415=1,IF(INDEX(分析データ!$A:$A,ROW()+$C$5)&lt;&gt;"",60000*SIGN(AZ415)*(分析データ!C415-INDEX(分析データ!C:C,ROW()+$C$5)),""),"")</f>
        <v>9000.000000000342</v>
      </c>
      <c r="BC415">
        <f t="shared" ca="1" si="173"/>
        <v>381000.00000000477</v>
      </c>
      <c r="BD415">
        <f t="shared" ca="1" si="174"/>
        <v>420000.00000000466</v>
      </c>
      <c r="BE415">
        <f t="shared" ca="1" si="175"/>
        <v>-38999.999999999884</v>
      </c>
      <c r="BF415">
        <f ca="1">IF(ROW()&lt;($C$7+1),"",IFERROR((分析データ!D415-AVERAGE(OFFSET(分析データ!D$1,MAX(1,ROW()-$C$7),0,MIN($C$7,ROW()-1),1)))/STDEV(OFFSET(分析データ!D$1,MAX(1,ROW()-$C$7),0,MIN($C$7,ROW()-1),1)),0))</f>
        <v>-2.1646758265041015</v>
      </c>
      <c r="BG415">
        <f t="shared" ca="1" si="176"/>
        <v>1</v>
      </c>
      <c r="BH415">
        <f ca="1">IF(BG415=1,IF(INDEX(分析データ!$A:$A,ROW()+$C$5)&lt;&gt;"",50000*SIGN(BF415)*(分析データ!D415-INDEX(分析データ!D:D,ROW()+$C$5)),""),"")</f>
        <v>-929999.99999999825</v>
      </c>
      <c r="BI415">
        <f t="shared" ca="1" si="177"/>
        <v>-3244999.9999999963</v>
      </c>
      <c r="BJ415">
        <f t="shared" ca="1" si="178"/>
        <v>1695000.0000000016</v>
      </c>
      <c r="BK415">
        <f t="shared" ca="1" si="179"/>
        <v>-4939999.9999999981</v>
      </c>
      <c r="BL415">
        <f ca="1">IF(ROW()&lt;($C$7+1),"",IFERROR((分析データ!E415-AVERAGE(OFFSET(分析データ!E$1,MAX(1,ROW()-$C$7),0,MIN($C$7,ROW()-1),1)))/STDEV(OFFSET(分析データ!E$1,MAX(1,ROW()-$C$7),0,MIN($C$7,ROW()-1),1)),0))</f>
        <v>2.0362319532551103</v>
      </c>
      <c r="BM415">
        <f t="shared" ca="1" si="180"/>
        <v>1</v>
      </c>
      <c r="BN415">
        <f ca="1">IF(BM415=1,IF(INDEX(分析データ!$A:$A,ROW()+$C$5)&lt;&gt;"",40000*SIGN(BL415)*(分析データ!E415-INDEX(分析データ!E:E,ROW()+$C$5)),""),"")</f>
        <v>-240000.0000000002</v>
      </c>
      <c r="BO415">
        <f t="shared" ca="1" si="181"/>
        <v>360000.00000000827</v>
      </c>
      <c r="BP415">
        <f t="shared" ca="1" si="182"/>
        <v>1040000.0000000063</v>
      </c>
      <c r="BQ415">
        <f t="shared" ca="1" si="183"/>
        <v>-679999.99999999802</v>
      </c>
      <c r="BR415">
        <f ca="1">IF(ROW()&lt;($C$7+1),"",IFERROR((分析データ!F415-AVERAGE(OFFSET(分析データ!F$1,MAX(1,ROW()-$C$7),0,MIN($C$7,ROW()-1),1)))/STDEV(OFFSET(分析データ!F$1,MAX(1,ROW()-$C$7),0,MIN($C$7,ROW()-1),1)),0))</f>
        <v>0.57227777003120073</v>
      </c>
      <c r="BS415">
        <f t="shared" ca="1" si="184"/>
        <v>0</v>
      </c>
      <c r="BT415" t="str">
        <f ca="1">IF(BS415=1,IF(INDEX(分析データ!$A:$A,ROW()+$C$5)&lt;&gt;"",40000*SIGN(BR415)*(分析データ!F415-INDEX(分析データ!F:F,ROW()+$C$5)),""),"")</f>
        <v/>
      </c>
      <c r="BU415">
        <f t="shared" ca="1" si="185"/>
        <v>583200.00000000163</v>
      </c>
      <c r="BV415">
        <f t="shared" ca="1" si="186"/>
        <v>583200.00000000163</v>
      </c>
      <c r="BW415">
        <f t="shared" ca="1" si="187"/>
        <v>0</v>
      </c>
      <c r="BX415">
        <f ca="1">IF(ROW()&lt;($C$7+1),"",IFERROR((分析データ!G415-AVERAGE(OFFSET(分析データ!G$1,MAX(1,ROW()-$C$7),0,MIN($C$7,ROW()-1),1)))/STDEV(OFFSET(分析データ!G$1,MAX(1,ROW()-$C$7),0,MIN($C$7,ROW()-1),1)),0))</f>
        <v>1.3580195528969452</v>
      </c>
      <c r="BY415">
        <f t="shared" ca="1" si="188"/>
        <v>0</v>
      </c>
      <c r="BZ415" t="str">
        <f ca="1">IF(BY415=1,IF(INDEX(分析データ!$A:$A,ROW()+$C$5)&lt;&gt;"",40000*SIGN(BX415)*(分析データ!G415-INDEX(分析データ!G:G,ROW()+$C$5)),""),"")</f>
        <v/>
      </c>
      <c r="CA415">
        <f t="shared" ca="1" si="189"/>
        <v>4220275.7177734375</v>
      </c>
      <c r="CB415">
        <f t="shared" ca="1" si="190"/>
        <v>4220275.7177734375</v>
      </c>
      <c r="CC415">
        <f t="shared" ca="1" si="191"/>
        <v>0</v>
      </c>
      <c r="CD415">
        <f t="shared" ca="1" si="192"/>
        <v>-1160999.9999999981</v>
      </c>
      <c r="CE415">
        <f t="shared" ca="1" si="193"/>
        <v>2299475.7177734585</v>
      </c>
      <c r="CF415">
        <f t="shared" ca="1" si="194"/>
        <v>6770475.7177734533</v>
      </c>
      <c r="CG415">
        <f t="shared" ca="1" si="195"/>
        <v>-4470999.9999999944</v>
      </c>
      <c r="CH415" s="10">
        <f>分析データ!A415</f>
        <v>45530</v>
      </c>
    </row>
    <row r="416" spans="46:86">
      <c r="AT416">
        <f ca="1">IF(ROW()&lt;($C$7+1),"",IFERROR((分析データ!B416-AVERAGE(OFFSET(分析データ!B$1,MAX(1,ROW()-$C$7),0,MIN($C$7,ROW()-1),1)))/STDEV(OFFSET(分析データ!B$1,MAX(1,ROW()-$C$7),0,MIN($C$7,ROW()-1),1)),0))</f>
        <v>1.960306157606976</v>
      </c>
      <c r="AU416">
        <f t="shared" ca="1" si="168"/>
        <v>0</v>
      </c>
      <c r="AV416" t="str">
        <f ca="1">IF(AU416=1,IF(INDEX(分析データ!$A:$A,ROW()+$C$5)&lt;&gt;"",80000*SIGN(AT416)*(分析データ!B416-INDEX(分析データ!B:B,ROW()+$C$5)),""),"")</f>
        <v/>
      </c>
      <c r="AW416">
        <f t="shared" ca="1" si="169"/>
        <v>0</v>
      </c>
      <c r="AX416">
        <f t="shared" ca="1" si="170"/>
        <v>0</v>
      </c>
      <c r="AY416">
        <f t="shared" ca="1" si="171"/>
        <v>0</v>
      </c>
      <c r="AZ416">
        <f ca="1">IF(ROW()&lt;($C$7+1),"",IFERROR((分析データ!C416-AVERAGE(OFFSET(分析データ!C$1,MAX(1,ROW()-$C$7),0,MIN($C$7,ROW()-1),1)))/STDEV(OFFSET(分析データ!C$1,MAX(1,ROW()-$C$7),0,MIN($C$7,ROW()-1),1)),0))</f>
        <v>-2.0280496883179695</v>
      </c>
      <c r="BA416">
        <f t="shared" ca="1" si="172"/>
        <v>1</v>
      </c>
      <c r="BB416">
        <f ca="1">IF(BA416=1,IF(INDEX(分析データ!$A:$A,ROW()+$C$5)&lt;&gt;"",60000*SIGN(AZ416)*(分析データ!C416-INDEX(分析データ!C:C,ROW()+$C$5)),""),"")</f>
        <v>-158999.99999999991</v>
      </c>
      <c r="BC416">
        <f t="shared" ca="1" si="173"/>
        <v>222000.00000000486</v>
      </c>
      <c r="BD416">
        <f t="shared" ca="1" si="174"/>
        <v>420000.00000000466</v>
      </c>
      <c r="BE416">
        <f t="shared" ca="1" si="175"/>
        <v>-197999.9999999998</v>
      </c>
      <c r="BF416">
        <f ca="1">IF(ROW()&lt;($C$7+1),"",IFERROR((分析データ!D416-AVERAGE(OFFSET(分析データ!D$1,MAX(1,ROW()-$C$7),0,MIN($C$7,ROW()-1),1)))/STDEV(OFFSET(分析データ!D$1,MAX(1,ROW()-$C$7),0,MIN($C$7,ROW()-1),1)),0))</f>
        <v>-2.0838473637831534</v>
      </c>
      <c r="BG416">
        <f t="shared" ca="1" si="176"/>
        <v>1</v>
      </c>
      <c r="BH416">
        <f ca="1">IF(BG416=1,IF(INDEX(分析データ!$A:$A,ROW()+$C$5)&lt;&gt;"",50000*SIGN(BF416)*(分析データ!D416-INDEX(分析データ!D:D,ROW()+$C$5)),""),"")</f>
        <v>-800000</v>
      </c>
      <c r="BI416">
        <f t="shared" ca="1" si="177"/>
        <v>-4044999.9999999963</v>
      </c>
      <c r="BJ416">
        <f t="shared" ca="1" si="178"/>
        <v>1695000.0000000016</v>
      </c>
      <c r="BK416">
        <f t="shared" ca="1" si="179"/>
        <v>-5739999.9999999981</v>
      </c>
      <c r="BL416">
        <f ca="1">IF(ROW()&lt;($C$7+1),"",IFERROR((分析データ!E416-AVERAGE(OFFSET(分析データ!E$1,MAX(1,ROW()-$C$7),0,MIN($C$7,ROW()-1),1)))/STDEV(OFFSET(分析データ!E$1,MAX(1,ROW()-$C$7),0,MIN($C$7,ROW()-1),1)),0))</f>
        <v>2.1644369101444587</v>
      </c>
      <c r="BM416">
        <f t="shared" ca="1" si="180"/>
        <v>1</v>
      </c>
      <c r="BN416">
        <f ca="1">IF(BM416=1,IF(INDEX(分析データ!$A:$A,ROW()+$C$5)&lt;&gt;"",40000*SIGN(BL416)*(分析データ!E416-INDEX(分析データ!E:E,ROW()+$C$5)),""),"")</f>
        <v>-119999.99999999914</v>
      </c>
      <c r="BO416">
        <f t="shared" ca="1" si="181"/>
        <v>240000.00000000914</v>
      </c>
      <c r="BP416">
        <f t="shared" ca="1" si="182"/>
        <v>1040000.0000000063</v>
      </c>
      <c r="BQ416">
        <f t="shared" ca="1" si="183"/>
        <v>-799999.99999999721</v>
      </c>
      <c r="BR416">
        <f ca="1">IF(ROW()&lt;($C$7+1),"",IFERROR((分析データ!F416-AVERAGE(OFFSET(分析データ!F$1,MAX(1,ROW()-$C$7),0,MIN($C$7,ROW()-1),1)))/STDEV(OFFSET(分析データ!F$1,MAX(1,ROW()-$C$7),0,MIN($C$7,ROW()-1),1)),0))</f>
        <v>0.53820591481413949</v>
      </c>
      <c r="BS416">
        <f t="shared" ca="1" si="184"/>
        <v>0</v>
      </c>
      <c r="BT416" t="str">
        <f ca="1">IF(BS416=1,IF(INDEX(分析データ!$A:$A,ROW()+$C$5)&lt;&gt;"",40000*SIGN(BR416)*(分析データ!F416-INDEX(分析データ!F:F,ROW()+$C$5)),""),"")</f>
        <v/>
      </c>
      <c r="BU416">
        <f t="shared" ca="1" si="185"/>
        <v>583200.00000000163</v>
      </c>
      <c r="BV416">
        <f t="shared" ca="1" si="186"/>
        <v>583200.00000000163</v>
      </c>
      <c r="BW416">
        <f t="shared" ca="1" si="187"/>
        <v>0</v>
      </c>
      <c r="BX416">
        <f ca="1">IF(ROW()&lt;($C$7+1),"",IFERROR((分析データ!G416-AVERAGE(OFFSET(分析データ!G$1,MAX(1,ROW()-$C$7),0,MIN($C$7,ROW()-1),1)))/STDEV(OFFSET(分析データ!G$1,MAX(1,ROW()-$C$7),0,MIN($C$7,ROW()-1),1)),0))</f>
        <v>1.3092655042657835</v>
      </c>
      <c r="BY416">
        <f t="shared" ca="1" si="188"/>
        <v>0</v>
      </c>
      <c r="BZ416" t="str">
        <f ca="1">IF(BY416=1,IF(INDEX(分析データ!$A:$A,ROW()+$C$5)&lt;&gt;"",40000*SIGN(BX416)*(分析データ!G416-INDEX(分析データ!G:G,ROW()+$C$5)),""),"")</f>
        <v/>
      </c>
      <c r="CA416">
        <f t="shared" ca="1" si="189"/>
        <v>4220275.7177734375</v>
      </c>
      <c r="CB416">
        <f t="shared" ca="1" si="190"/>
        <v>4220275.7177734375</v>
      </c>
      <c r="CC416">
        <f t="shared" ca="1" si="191"/>
        <v>0</v>
      </c>
      <c r="CD416">
        <f t="shared" ca="1" si="192"/>
        <v>-1078999.9999999991</v>
      </c>
      <c r="CE416">
        <f t="shared" ca="1" si="193"/>
        <v>1220475.7177734594</v>
      </c>
      <c r="CF416">
        <f t="shared" ca="1" si="194"/>
        <v>6770475.7177734533</v>
      </c>
      <c r="CG416">
        <f t="shared" ca="1" si="195"/>
        <v>-5549999.9999999944</v>
      </c>
      <c r="CH416" s="10">
        <f>分析データ!A416</f>
        <v>45531</v>
      </c>
    </row>
    <row r="417" spans="46:86">
      <c r="AT417">
        <f ca="1">IF(ROW()&lt;($C$7+1),"",IFERROR((分析データ!B417-AVERAGE(OFFSET(分析データ!B$1,MAX(1,ROW()-$C$7),0,MIN($C$7,ROW()-1),1)))/STDEV(OFFSET(分析データ!B$1,MAX(1,ROW()-$C$7),0,MIN($C$7,ROW()-1),1)),0))</f>
        <v>2.1351129649454657</v>
      </c>
      <c r="AU417">
        <f t="shared" ca="1" si="168"/>
        <v>1</v>
      </c>
      <c r="AV417">
        <f ca="1">IF(AU417=1,IF(INDEX(分析データ!$A:$A,ROW()+$C$5)&lt;&gt;"",80000*SIGN(AT417)*(分析データ!B417-INDEX(分析データ!B:B,ROW()+$C$5)),""),"")</f>
        <v>0</v>
      </c>
      <c r="AW417">
        <f t="shared" ca="1" si="169"/>
        <v>0</v>
      </c>
      <c r="AX417">
        <f t="shared" ca="1" si="170"/>
        <v>0</v>
      </c>
      <c r="AY417">
        <f t="shared" ca="1" si="171"/>
        <v>0</v>
      </c>
      <c r="AZ417">
        <f ca="1">IF(ROW()&lt;($C$7+1),"",IFERROR((分析データ!C417-AVERAGE(OFFSET(分析データ!C$1,MAX(1,ROW()-$C$7),0,MIN($C$7,ROW()-1),1)))/STDEV(OFFSET(分析データ!C$1,MAX(1,ROW()-$C$7),0,MIN($C$7,ROW()-1),1)),0))</f>
        <v>-1.8409317979712942</v>
      </c>
      <c r="BA417">
        <f t="shared" ca="1" si="172"/>
        <v>0</v>
      </c>
      <c r="BB417" t="str">
        <f ca="1">IF(BA417=1,IF(INDEX(分析データ!$A:$A,ROW()+$C$5)&lt;&gt;"",60000*SIGN(AZ417)*(分析データ!C417-INDEX(分析データ!C:C,ROW()+$C$5)),""),"")</f>
        <v/>
      </c>
      <c r="BC417">
        <f t="shared" ca="1" si="173"/>
        <v>222000.00000000486</v>
      </c>
      <c r="BD417">
        <f t="shared" ca="1" si="174"/>
        <v>420000.00000000466</v>
      </c>
      <c r="BE417">
        <f t="shared" ca="1" si="175"/>
        <v>-197999.9999999998</v>
      </c>
      <c r="BF417">
        <f ca="1">IF(ROW()&lt;($C$7+1),"",IFERROR((分析データ!D417-AVERAGE(OFFSET(分析データ!D$1,MAX(1,ROW()-$C$7),0,MIN($C$7,ROW()-1),1)))/STDEV(OFFSET(分析データ!D$1,MAX(1,ROW()-$C$7),0,MIN($C$7,ROW()-1),1)),0))</f>
        <v>-2.0753144110757678</v>
      </c>
      <c r="BG417">
        <f t="shared" ca="1" si="176"/>
        <v>1</v>
      </c>
      <c r="BH417">
        <f ca="1">IF(BG417=1,IF(INDEX(分析データ!$A:$A,ROW()+$C$5)&lt;&gt;"",50000*SIGN(BF417)*(分析データ!D417-INDEX(分析データ!D:D,ROW()+$C$5)),""),"")</f>
        <v>-674999.99999999721</v>
      </c>
      <c r="BI417">
        <f t="shared" ca="1" si="177"/>
        <v>-4719999.9999999935</v>
      </c>
      <c r="BJ417">
        <f t="shared" ca="1" si="178"/>
        <v>1695000.0000000016</v>
      </c>
      <c r="BK417">
        <f t="shared" ca="1" si="179"/>
        <v>-6414999.9999999953</v>
      </c>
      <c r="BL417">
        <f ca="1">IF(ROW()&lt;($C$7+1),"",IFERROR((分析データ!E417-AVERAGE(OFFSET(分析データ!E$1,MAX(1,ROW()-$C$7),0,MIN($C$7,ROW()-1),1)))/STDEV(OFFSET(分析データ!E$1,MAX(1,ROW()-$C$7),0,MIN($C$7,ROW()-1),1)),0))</f>
        <v>2.7120333054304311</v>
      </c>
      <c r="BM417">
        <f t="shared" ca="1" si="180"/>
        <v>1</v>
      </c>
      <c r="BN417">
        <f ca="1">IF(BM417=1,IF(INDEX(分析データ!$A:$A,ROW()+$C$5)&lt;&gt;"",40000*SIGN(BL417)*(分析データ!E417-INDEX(分析データ!E:E,ROW()+$C$5)),""),"")</f>
        <v>0</v>
      </c>
      <c r="BO417">
        <f t="shared" ca="1" si="181"/>
        <v>240000.00000000914</v>
      </c>
      <c r="BP417">
        <f t="shared" ca="1" si="182"/>
        <v>1040000.0000000063</v>
      </c>
      <c r="BQ417">
        <f t="shared" ca="1" si="183"/>
        <v>-799999.99999999721</v>
      </c>
      <c r="BR417">
        <f ca="1">IF(ROW()&lt;($C$7+1),"",IFERROR((分析データ!F417-AVERAGE(OFFSET(分析データ!F$1,MAX(1,ROW()-$C$7),0,MIN($C$7,ROW()-1),1)))/STDEV(OFFSET(分析データ!F$1,MAX(1,ROW()-$C$7),0,MIN($C$7,ROW()-1),1)),0))</f>
        <v>1.0676011871322759</v>
      </c>
      <c r="BS417">
        <f t="shared" ca="1" si="184"/>
        <v>0</v>
      </c>
      <c r="BT417" t="str">
        <f ca="1">IF(BS417=1,IF(INDEX(分析データ!$A:$A,ROW()+$C$5)&lt;&gt;"",40000*SIGN(BR417)*(分析データ!F417-INDEX(分析データ!F:F,ROW()+$C$5)),""),"")</f>
        <v/>
      </c>
      <c r="BU417">
        <f t="shared" ca="1" si="185"/>
        <v>583200.00000000163</v>
      </c>
      <c r="BV417">
        <f t="shared" ca="1" si="186"/>
        <v>583200.00000000163</v>
      </c>
      <c r="BW417">
        <f t="shared" ca="1" si="187"/>
        <v>0</v>
      </c>
      <c r="BX417">
        <f ca="1">IF(ROW()&lt;($C$7+1),"",IFERROR((分析データ!G417-AVERAGE(OFFSET(分析データ!G$1,MAX(1,ROW()-$C$7),0,MIN($C$7,ROW()-1),1)))/STDEV(OFFSET(分析データ!G$1,MAX(1,ROW()-$C$7),0,MIN($C$7,ROW()-1),1)),0))</f>
        <v>1.0247189271444359</v>
      </c>
      <c r="BY417">
        <f t="shared" ca="1" si="188"/>
        <v>0</v>
      </c>
      <c r="BZ417" t="str">
        <f ca="1">IF(BY417=1,IF(INDEX(分析データ!$A:$A,ROW()+$C$5)&lt;&gt;"",40000*SIGN(BX417)*(分析データ!G417-INDEX(分析データ!G:G,ROW()+$C$5)),""),"")</f>
        <v/>
      </c>
      <c r="CA417">
        <f t="shared" ca="1" si="189"/>
        <v>4220275.7177734375</v>
      </c>
      <c r="CB417">
        <f t="shared" ca="1" si="190"/>
        <v>4220275.7177734375</v>
      </c>
      <c r="CC417">
        <f t="shared" ca="1" si="191"/>
        <v>0</v>
      </c>
      <c r="CD417">
        <f t="shared" ca="1" si="192"/>
        <v>-674999.99999999721</v>
      </c>
      <c r="CE417">
        <f t="shared" ca="1" si="193"/>
        <v>545475.71777346218</v>
      </c>
      <c r="CF417">
        <f t="shared" ca="1" si="194"/>
        <v>6770475.7177734533</v>
      </c>
      <c r="CG417">
        <f t="shared" ca="1" si="195"/>
        <v>-6224999.9999999907</v>
      </c>
      <c r="CH417" s="10">
        <f>分析データ!A417</f>
        <v>45532</v>
      </c>
    </row>
    <row r="418" spans="46:86">
      <c r="AT418">
        <f ca="1">IF(ROW()&lt;($C$7+1),"",IFERROR((分析データ!B418-AVERAGE(OFFSET(分析データ!B$1,MAX(1,ROW()-$C$7),0,MIN($C$7,ROW()-1),1)))/STDEV(OFFSET(分析データ!B$1,MAX(1,ROW()-$C$7),0,MIN($C$7,ROW()-1),1)),0))</f>
        <v>2.1389929056132093</v>
      </c>
      <c r="AU418">
        <f t="shared" ca="1" si="168"/>
        <v>1</v>
      </c>
      <c r="AV418">
        <f ca="1">IF(AU418=1,IF(INDEX(分析データ!$A:$A,ROW()+$C$5)&lt;&gt;"",80000*SIGN(AT418)*(分析データ!B418-INDEX(分析データ!B:B,ROW()+$C$5)),""),"")</f>
        <v>-199999.9999999993</v>
      </c>
      <c r="AW418">
        <f t="shared" ca="1" si="169"/>
        <v>-199999.9999999993</v>
      </c>
      <c r="AX418">
        <f t="shared" ca="1" si="170"/>
        <v>0</v>
      </c>
      <c r="AY418">
        <f t="shared" ca="1" si="171"/>
        <v>-199999.9999999993</v>
      </c>
      <c r="AZ418">
        <f ca="1">IF(ROW()&lt;($C$7+1),"",IFERROR((分析データ!C418-AVERAGE(OFFSET(分析データ!C$1,MAX(1,ROW()-$C$7),0,MIN($C$7,ROW()-1),1)))/STDEV(OFFSET(分析データ!C$1,MAX(1,ROW()-$C$7),0,MIN($C$7,ROW()-1),1)),0))</f>
        <v>-1.9745717414808568</v>
      </c>
      <c r="BA418">
        <f t="shared" ca="1" si="172"/>
        <v>0</v>
      </c>
      <c r="BB418" t="str">
        <f ca="1">IF(BA418=1,IF(INDEX(分析データ!$A:$A,ROW()+$C$5)&lt;&gt;"",60000*SIGN(AZ418)*(分析データ!C418-INDEX(分析データ!C:C,ROW()+$C$5)),""),"")</f>
        <v/>
      </c>
      <c r="BC418">
        <f t="shared" ca="1" si="173"/>
        <v>222000.00000000486</v>
      </c>
      <c r="BD418">
        <f t="shared" ca="1" si="174"/>
        <v>420000.00000000466</v>
      </c>
      <c r="BE418">
        <f t="shared" ca="1" si="175"/>
        <v>-197999.9999999998</v>
      </c>
      <c r="BF418">
        <f ca="1">IF(ROW()&lt;($C$7+1),"",IFERROR((分析データ!D418-AVERAGE(OFFSET(分析データ!D$1,MAX(1,ROW()-$C$7),0,MIN($C$7,ROW()-1),1)))/STDEV(OFFSET(分析データ!D$1,MAX(1,ROW()-$C$7),0,MIN($C$7,ROW()-1),1)),0))</f>
        <v>-1.9253824991754431</v>
      </c>
      <c r="BG418">
        <f t="shared" ca="1" si="176"/>
        <v>0</v>
      </c>
      <c r="BH418" t="str">
        <f ca="1">IF(BG418=1,IF(INDEX(分析データ!$A:$A,ROW()+$C$5)&lt;&gt;"",50000*SIGN(BF418)*(分析データ!D418-INDEX(分析データ!D:D,ROW()+$C$5)),""),"")</f>
        <v/>
      </c>
      <c r="BI418">
        <f t="shared" ca="1" si="177"/>
        <v>-4719999.9999999935</v>
      </c>
      <c r="BJ418">
        <f t="shared" ca="1" si="178"/>
        <v>1695000.0000000016</v>
      </c>
      <c r="BK418">
        <f t="shared" ca="1" si="179"/>
        <v>-6414999.9999999953</v>
      </c>
      <c r="BL418">
        <f ca="1">IF(ROW()&lt;($C$7+1),"",IFERROR((分析データ!E418-AVERAGE(OFFSET(分析データ!E$1,MAX(1,ROW()-$C$7),0,MIN($C$7,ROW()-1),1)))/STDEV(OFFSET(分析データ!E$1,MAX(1,ROW()-$C$7),0,MIN($C$7,ROW()-1),1)),0))</f>
        <v>2.693337755017259</v>
      </c>
      <c r="BM418">
        <f t="shared" ca="1" si="180"/>
        <v>1</v>
      </c>
      <c r="BN418">
        <f ca="1">IF(BM418=1,IF(INDEX(分析データ!$A:$A,ROW()+$C$5)&lt;&gt;"",40000*SIGN(BL418)*(分析データ!E418-INDEX(分析データ!E:E,ROW()+$C$5)),""),"")</f>
        <v>-80000.000000000146</v>
      </c>
      <c r="BO418">
        <f t="shared" ca="1" si="181"/>
        <v>160000.00000000899</v>
      </c>
      <c r="BP418">
        <f t="shared" ca="1" si="182"/>
        <v>1040000.0000000063</v>
      </c>
      <c r="BQ418">
        <f t="shared" ca="1" si="183"/>
        <v>-879999.99999999732</v>
      </c>
      <c r="BR418">
        <f ca="1">IF(ROW()&lt;($C$7+1),"",IFERROR((分析データ!F418-AVERAGE(OFFSET(分析データ!F$1,MAX(1,ROW()-$C$7),0,MIN($C$7,ROW()-1),1)))/STDEV(OFFSET(分析データ!F$1,MAX(1,ROW()-$C$7),0,MIN($C$7,ROW()-1),1)),0))</f>
        <v>0.90123945954866969</v>
      </c>
      <c r="BS418">
        <f t="shared" ca="1" si="184"/>
        <v>0</v>
      </c>
      <c r="BT418" t="str">
        <f ca="1">IF(BS418=1,IF(INDEX(分析データ!$A:$A,ROW()+$C$5)&lt;&gt;"",40000*SIGN(BR418)*(分析データ!F418-INDEX(分析データ!F:F,ROW()+$C$5)),""),"")</f>
        <v/>
      </c>
      <c r="BU418">
        <f t="shared" ca="1" si="185"/>
        <v>583200.00000000163</v>
      </c>
      <c r="BV418">
        <f t="shared" ca="1" si="186"/>
        <v>583200.00000000163</v>
      </c>
      <c r="BW418">
        <f t="shared" ca="1" si="187"/>
        <v>0</v>
      </c>
      <c r="BX418">
        <f ca="1">IF(ROW()&lt;($C$7+1),"",IFERROR((分析データ!G418-AVERAGE(OFFSET(分析データ!G$1,MAX(1,ROW()-$C$7),0,MIN($C$7,ROW()-1),1)))/STDEV(OFFSET(分析データ!G$1,MAX(1,ROW()-$C$7),0,MIN($C$7,ROW()-1),1)),0))</f>
        <v>1.0900906020729284</v>
      </c>
      <c r="BY418">
        <f t="shared" ca="1" si="188"/>
        <v>0</v>
      </c>
      <c r="BZ418" t="str">
        <f ca="1">IF(BY418=1,IF(INDEX(分析データ!$A:$A,ROW()+$C$5)&lt;&gt;"",40000*SIGN(BX418)*(分析データ!G418-INDEX(分析データ!G:G,ROW()+$C$5)),""),"")</f>
        <v/>
      </c>
      <c r="CA418">
        <f t="shared" ca="1" si="189"/>
        <v>4220275.7177734375</v>
      </c>
      <c r="CB418">
        <f t="shared" ca="1" si="190"/>
        <v>4220275.7177734375</v>
      </c>
      <c r="CC418">
        <f t="shared" ca="1" si="191"/>
        <v>0</v>
      </c>
      <c r="CD418">
        <f t="shared" ca="1" si="192"/>
        <v>-279999.99999999942</v>
      </c>
      <c r="CE418">
        <f t="shared" ca="1" si="193"/>
        <v>265475.71777346276</v>
      </c>
      <c r="CF418">
        <f t="shared" ca="1" si="194"/>
        <v>6770475.7177734533</v>
      </c>
      <c r="CG418">
        <f t="shared" ca="1" si="195"/>
        <v>-6504999.9999999907</v>
      </c>
      <c r="CH418" s="10">
        <f>分析データ!A418</f>
        <v>45533</v>
      </c>
    </row>
    <row r="419" spans="46:86">
      <c r="AT419">
        <f ca="1">IF(ROW()&lt;($C$7+1),"",IFERROR((分析データ!B419-AVERAGE(OFFSET(分析データ!B$1,MAX(1,ROW()-$C$7),0,MIN($C$7,ROW()-1),1)))/STDEV(OFFSET(分析データ!B$1,MAX(1,ROW()-$C$7),0,MIN($C$7,ROW()-1),1)),0))</f>
        <v>2.0513140570094044</v>
      </c>
      <c r="AU419">
        <f t="shared" ca="1" si="168"/>
        <v>1</v>
      </c>
      <c r="AV419">
        <f ca="1">IF(AU419=1,IF(INDEX(分析データ!$A:$A,ROW()+$C$5)&lt;&gt;"",80000*SIGN(AT419)*(分析データ!B419-INDEX(分析データ!B:B,ROW()+$C$5)),""),"")</f>
        <v>-199999.99999999575</v>
      </c>
      <c r="AW419">
        <f t="shared" ca="1" si="169"/>
        <v>-399999.99999999505</v>
      </c>
      <c r="AX419">
        <f t="shared" ca="1" si="170"/>
        <v>0</v>
      </c>
      <c r="AY419">
        <f t="shared" ca="1" si="171"/>
        <v>-399999.99999999505</v>
      </c>
      <c r="AZ419">
        <f ca="1">IF(ROW()&lt;($C$7+1),"",IFERROR((分析データ!C419-AVERAGE(OFFSET(分析データ!C$1,MAX(1,ROW()-$C$7),0,MIN($C$7,ROW()-1),1)))/STDEV(OFFSET(分析データ!C$1,MAX(1,ROW()-$C$7),0,MIN($C$7,ROW()-1),1)),0))</f>
        <v>-1.9431392961570073</v>
      </c>
      <c r="BA419">
        <f t="shared" ca="1" si="172"/>
        <v>0</v>
      </c>
      <c r="BB419" t="str">
        <f ca="1">IF(BA419=1,IF(INDEX(分析データ!$A:$A,ROW()+$C$5)&lt;&gt;"",60000*SIGN(AZ419)*(分析データ!C419-INDEX(分析データ!C:C,ROW()+$C$5)),""),"")</f>
        <v/>
      </c>
      <c r="BC419">
        <f t="shared" ca="1" si="173"/>
        <v>222000.00000000486</v>
      </c>
      <c r="BD419">
        <f t="shared" ca="1" si="174"/>
        <v>420000.00000000466</v>
      </c>
      <c r="BE419">
        <f t="shared" ca="1" si="175"/>
        <v>-197999.9999999998</v>
      </c>
      <c r="BF419">
        <f ca="1">IF(ROW()&lt;($C$7+1),"",IFERROR((分析データ!D419-AVERAGE(OFFSET(分析データ!D$1,MAX(1,ROW()-$C$7),0,MIN($C$7,ROW()-1),1)))/STDEV(OFFSET(分析データ!D$1,MAX(1,ROW()-$C$7),0,MIN($C$7,ROW()-1),1)),0))</f>
        <v>-1.7770803624559988</v>
      </c>
      <c r="BG419">
        <f t="shared" ca="1" si="176"/>
        <v>0</v>
      </c>
      <c r="BH419" t="str">
        <f ca="1">IF(BG419=1,IF(INDEX(分析データ!$A:$A,ROW()+$C$5)&lt;&gt;"",50000*SIGN(BF419)*(分析データ!D419-INDEX(分析データ!D:D,ROW()+$C$5)),""),"")</f>
        <v/>
      </c>
      <c r="BI419">
        <f t="shared" ca="1" si="177"/>
        <v>-4719999.9999999935</v>
      </c>
      <c r="BJ419">
        <f t="shared" ca="1" si="178"/>
        <v>1695000.0000000016</v>
      </c>
      <c r="BK419">
        <f t="shared" ca="1" si="179"/>
        <v>-6414999.9999999953</v>
      </c>
      <c r="BL419">
        <f ca="1">IF(ROW()&lt;($C$7+1),"",IFERROR((分析データ!E419-AVERAGE(OFFSET(分析データ!E$1,MAX(1,ROW()-$C$7),0,MIN($C$7,ROW()-1),1)))/STDEV(OFFSET(分析データ!E$1,MAX(1,ROW()-$C$7),0,MIN($C$7,ROW()-1),1)),0))</f>
        <v>2.5261534831847334</v>
      </c>
      <c r="BM419">
        <f t="shared" ca="1" si="180"/>
        <v>1</v>
      </c>
      <c r="BN419">
        <f ca="1">IF(BM419=1,IF(INDEX(分析データ!$A:$A,ROW()+$C$5)&lt;&gt;"",40000*SIGN(BL419)*(分析データ!E419-INDEX(分析データ!E:E,ROW()+$C$5)),""),"")</f>
        <v>-79999.999999998297</v>
      </c>
      <c r="BO419">
        <f t="shared" ca="1" si="181"/>
        <v>80000.000000010696</v>
      </c>
      <c r="BP419">
        <f t="shared" ca="1" si="182"/>
        <v>1040000.0000000063</v>
      </c>
      <c r="BQ419">
        <f t="shared" ca="1" si="183"/>
        <v>-959999.99999999558</v>
      </c>
      <c r="BR419">
        <f ca="1">IF(ROW()&lt;($C$7+1),"",IFERROR((分析データ!F419-AVERAGE(OFFSET(分析データ!F$1,MAX(1,ROW()-$C$7),0,MIN($C$7,ROW()-1),1)))/STDEV(OFFSET(分析データ!F$1,MAX(1,ROW()-$C$7),0,MIN($C$7,ROW()-1),1)),0))</f>
        <v>0.90724591145020894</v>
      </c>
      <c r="BS419">
        <f t="shared" ca="1" si="184"/>
        <v>0</v>
      </c>
      <c r="BT419" t="str">
        <f ca="1">IF(BS419=1,IF(INDEX(分析データ!$A:$A,ROW()+$C$5)&lt;&gt;"",40000*SIGN(BR419)*(分析データ!F419-INDEX(分析データ!F:F,ROW()+$C$5)),""),"")</f>
        <v/>
      </c>
      <c r="BU419">
        <f t="shared" ca="1" si="185"/>
        <v>583200.00000000163</v>
      </c>
      <c r="BV419">
        <f t="shared" ca="1" si="186"/>
        <v>583200.00000000163</v>
      </c>
      <c r="BW419">
        <f t="shared" ca="1" si="187"/>
        <v>0</v>
      </c>
      <c r="BX419">
        <f ca="1">IF(ROW()&lt;($C$7+1),"",IFERROR((分析データ!G419-AVERAGE(OFFSET(分析データ!G$1,MAX(1,ROW()-$C$7),0,MIN($C$7,ROW()-1),1)))/STDEV(OFFSET(分析データ!G$1,MAX(1,ROW()-$C$7),0,MIN($C$7,ROW()-1),1)),0))</f>
        <v>0.97970500584826214</v>
      </c>
      <c r="BY419">
        <f t="shared" ca="1" si="188"/>
        <v>0</v>
      </c>
      <c r="BZ419" t="str">
        <f ca="1">IF(BY419=1,IF(INDEX(分析データ!$A:$A,ROW()+$C$5)&lt;&gt;"",40000*SIGN(BX419)*(分析データ!G419-INDEX(分析データ!G:G,ROW()+$C$5)),""),"")</f>
        <v/>
      </c>
      <c r="CA419">
        <f t="shared" ca="1" si="189"/>
        <v>4220275.7177734375</v>
      </c>
      <c r="CB419">
        <f t="shared" ca="1" si="190"/>
        <v>4220275.7177734375</v>
      </c>
      <c r="CC419">
        <f t="shared" ca="1" si="191"/>
        <v>0</v>
      </c>
      <c r="CD419">
        <f t="shared" ca="1" si="192"/>
        <v>-279999.99999999406</v>
      </c>
      <c r="CE419">
        <f t="shared" ca="1" si="193"/>
        <v>-14524.282226531301</v>
      </c>
      <c r="CF419">
        <f t="shared" ca="1" si="194"/>
        <v>6770475.7177734533</v>
      </c>
      <c r="CG419">
        <f t="shared" ca="1" si="195"/>
        <v>-6784999.9999999851</v>
      </c>
      <c r="CH419" s="10">
        <f>分析データ!A419</f>
        <v>45534</v>
      </c>
    </row>
    <row r="420" spans="46:86">
      <c r="AT420">
        <f ca="1">IF(ROW()&lt;($C$7+1),"",IFERROR((分析データ!B420-AVERAGE(OFFSET(分析データ!B$1,MAX(1,ROW()-$C$7),0,MIN($C$7,ROW()-1),1)))/STDEV(OFFSET(分析データ!B$1,MAX(1,ROW()-$C$7),0,MIN($C$7,ROW()-1),1)),0))</f>
        <v>1.6924227387636031</v>
      </c>
      <c r="AU420">
        <f t="shared" ca="1" si="168"/>
        <v>0</v>
      </c>
      <c r="AV420" t="str">
        <f ca="1">IF(AU420=1,IF(INDEX(分析データ!$A:$A,ROW()+$C$5)&lt;&gt;"",80000*SIGN(AT420)*(分析データ!B420-INDEX(分析データ!B:B,ROW()+$C$5)),""),"")</f>
        <v/>
      </c>
      <c r="AW420">
        <f t="shared" ca="1" si="169"/>
        <v>-399999.99999999505</v>
      </c>
      <c r="AX420">
        <f t="shared" ca="1" si="170"/>
        <v>0</v>
      </c>
      <c r="AY420">
        <f t="shared" ca="1" si="171"/>
        <v>-399999.99999999505</v>
      </c>
      <c r="AZ420">
        <f ca="1">IF(ROW()&lt;($C$7+1),"",IFERROR((分析データ!C420-AVERAGE(OFFSET(分析データ!C$1,MAX(1,ROW()-$C$7),0,MIN($C$7,ROW()-1),1)))/STDEV(OFFSET(分析データ!C$1,MAX(1,ROW()-$C$7),0,MIN($C$7,ROW()-1),1)),0))</f>
        <v>-1.7074012025433236</v>
      </c>
      <c r="BA420">
        <f t="shared" ca="1" si="172"/>
        <v>0</v>
      </c>
      <c r="BB420" t="str">
        <f ca="1">IF(BA420=1,IF(INDEX(分析データ!$A:$A,ROW()+$C$5)&lt;&gt;"",60000*SIGN(AZ420)*(分析データ!C420-INDEX(分析データ!C:C,ROW()+$C$5)),""),"")</f>
        <v/>
      </c>
      <c r="BC420">
        <f t="shared" ca="1" si="173"/>
        <v>222000.00000000486</v>
      </c>
      <c r="BD420">
        <f t="shared" ca="1" si="174"/>
        <v>420000.00000000466</v>
      </c>
      <c r="BE420">
        <f t="shared" ca="1" si="175"/>
        <v>-197999.9999999998</v>
      </c>
      <c r="BF420">
        <f ca="1">IF(ROW()&lt;($C$7+1),"",IFERROR((分析データ!D420-AVERAGE(OFFSET(分析データ!D$1,MAX(1,ROW()-$C$7),0,MIN($C$7,ROW()-1),1)))/STDEV(OFFSET(分析データ!D$1,MAX(1,ROW()-$C$7),0,MIN($C$7,ROW()-1),1)),0))</f>
        <v>-2.1181822050315287</v>
      </c>
      <c r="BG420">
        <f t="shared" ca="1" si="176"/>
        <v>1</v>
      </c>
      <c r="BH420">
        <f ca="1">IF(BG420=1,IF(INDEX(分析データ!$A:$A,ROW()+$C$5)&lt;&gt;"",50000*SIGN(BF420)*(分析データ!D420-INDEX(分析データ!D:D,ROW()+$C$5)),""),"")</f>
        <v>-505000.00000000116</v>
      </c>
      <c r="BI420">
        <f t="shared" ca="1" si="177"/>
        <v>-5224999.9999999944</v>
      </c>
      <c r="BJ420">
        <f t="shared" ca="1" si="178"/>
        <v>1695000.0000000016</v>
      </c>
      <c r="BK420">
        <f t="shared" ca="1" si="179"/>
        <v>-6919999.9999999963</v>
      </c>
      <c r="BL420">
        <f ca="1">IF(ROW()&lt;($C$7+1),"",IFERROR((分析データ!E420-AVERAGE(OFFSET(分析データ!E$1,MAX(1,ROW()-$C$7),0,MIN($C$7,ROW()-1),1)))/STDEV(OFFSET(分析データ!E$1,MAX(1,ROW()-$C$7),0,MIN($C$7,ROW()-1),1)),0))</f>
        <v>2.3670777579787781</v>
      </c>
      <c r="BM420">
        <f t="shared" ca="1" si="180"/>
        <v>1</v>
      </c>
      <c r="BN420">
        <f ca="1">IF(BM420=1,IF(INDEX(分析データ!$A:$A,ROW()+$C$5)&lt;&gt;"",40000*SIGN(BL420)*(分析データ!E420-INDEX(分析データ!E:E,ROW()+$C$5)),""),"")</f>
        <v>-80000.000000000146</v>
      </c>
      <c r="BO420">
        <f t="shared" ca="1" si="181"/>
        <v>1.0550138540565968E-8</v>
      </c>
      <c r="BP420">
        <f t="shared" ca="1" si="182"/>
        <v>1040000.0000000063</v>
      </c>
      <c r="BQ420">
        <f t="shared" ca="1" si="183"/>
        <v>-1039999.9999999957</v>
      </c>
      <c r="BR420">
        <f ca="1">IF(ROW()&lt;($C$7+1),"",IFERROR((分析データ!F420-AVERAGE(OFFSET(分析データ!F$1,MAX(1,ROW()-$C$7),0,MIN($C$7,ROW()-1),1)))/STDEV(OFFSET(分析データ!F$1,MAX(1,ROW()-$C$7),0,MIN($C$7,ROW()-1),1)),0))</f>
        <v>1.2959006031905225</v>
      </c>
      <c r="BS420">
        <f t="shared" ca="1" si="184"/>
        <v>0</v>
      </c>
      <c r="BT420" t="str">
        <f ca="1">IF(BS420=1,IF(INDEX(分析データ!$A:$A,ROW()+$C$5)&lt;&gt;"",40000*SIGN(BR420)*(分析データ!F420-INDEX(分析データ!F:F,ROW()+$C$5)),""),"")</f>
        <v/>
      </c>
      <c r="BU420">
        <f t="shared" ca="1" si="185"/>
        <v>583200.00000000163</v>
      </c>
      <c r="BV420">
        <f t="shared" ca="1" si="186"/>
        <v>583200.00000000163</v>
      </c>
      <c r="BW420">
        <f t="shared" ca="1" si="187"/>
        <v>0</v>
      </c>
      <c r="BX420">
        <f ca="1">IF(ROW()&lt;($C$7+1),"",IFERROR((分析データ!G420-AVERAGE(OFFSET(分析データ!G$1,MAX(1,ROW()-$C$7),0,MIN($C$7,ROW()-1),1)))/STDEV(OFFSET(分析データ!G$1,MAX(1,ROW()-$C$7),0,MIN($C$7,ROW()-1),1)),0))</f>
        <v>1.0484384330956937</v>
      </c>
      <c r="BY420">
        <f t="shared" ca="1" si="188"/>
        <v>0</v>
      </c>
      <c r="BZ420" t="str">
        <f ca="1">IF(BY420=1,IF(INDEX(分析データ!$A:$A,ROW()+$C$5)&lt;&gt;"",40000*SIGN(BX420)*(分析データ!G420-INDEX(分析データ!G:G,ROW()+$C$5)),""),"")</f>
        <v/>
      </c>
      <c r="CA420">
        <f t="shared" ca="1" si="189"/>
        <v>4220275.7177734375</v>
      </c>
      <c r="CB420">
        <f t="shared" ca="1" si="190"/>
        <v>4220275.7177734375</v>
      </c>
      <c r="CC420">
        <f t="shared" ca="1" si="191"/>
        <v>0</v>
      </c>
      <c r="CD420">
        <f t="shared" ca="1" si="192"/>
        <v>-585000.00000000128</v>
      </c>
      <c r="CE420">
        <f t="shared" ca="1" si="193"/>
        <v>-599524.28222653258</v>
      </c>
      <c r="CF420">
        <f t="shared" ca="1" si="194"/>
        <v>6770475.7177734533</v>
      </c>
      <c r="CG420">
        <f t="shared" ca="1" si="195"/>
        <v>-7369999.999999986</v>
      </c>
      <c r="CH420" s="10">
        <f>分析データ!A420</f>
        <v>45538</v>
      </c>
    </row>
    <row r="421" spans="46:86">
      <c r="AT421">
        <f ca="1">IF(ROW()&lt;($C$7+1),"",IFERROR((分析データ!B421-AVERAGE(OFFSET(分析データ!B$1,MAX(1,ROW()-$C$7),0,MIN($C$7,ROW()-1),1)))/STDEV(OFFSET(分析データ!B$1,MAX(1,ROW()-$C$7),0,MIN($C$7,ROW()-1),1)),0))</f>
        <v>2.174309498683308</v>
      </c>
      <c r="AU421">
        <f t="shared" ca="1" si="168"/>
        <v>1</v>
      </c>
      <c r="AV421">
        <f ca="1">IF(AU421=1,IF(INDEX(分析データ!$A:$A,ROW()+$C$5)&lt;&gt;"",80000*SIGN(AT421)*(分析データ!B421-INDEX(分析データ!B:B,ROW()+$C$5)),""),"")</f>
        <v>-159999.99999999659</v>
      </c>
      <c r="AW421">
        <f t="shared" ca="1" si="169"/>
        <v>-559999.99999999162</v>
      </c>
      <c r="AX421">
        <f t="shared" ca="1" si="170"/>
        <v>0</v>
      </c>
      <c r="AY421">
        <f t="shared" ca="1" si="171"/>
        <v>-559999.99999999162</v>
      </c>
      <c r="AZ421">
        <f ca="1">IF(ROW()&lt;($C$7+1),"",IFERROR((分析データ!C421-AVERAGE(OFFSET(分析データ!C$1,MAX(1,ROW()-$C$7),0,MIN($C$7,ROW()-1),1)))/STDEV(OFFSET(分析データ!C$1,MAX(1,ROW()-$C$7),0,MIN($C$7,ROW()-1),1)),0))</f>
        <v>-1.9165275302079248</v>
      </c>
      <c r="BA421">
        <f t="shared" ca="1" si="172"/>
        <v>0</v>
      </c>
      <c r="BB421" t="str">
        <f ca="1">IF(BA421=1,IF(INDEX(分析データ!$A:$A,ROW()+$C$5)&lt;&gt;"",60000*SIGN(AZ421)*(分析データ!C421-INDEX(分析データ!C:C,ROW()+$C$5)),""),"")</f>
        <v/>
      </c>
      <c r="BC421">
        <f t="shared" ca="1" si="173"/>
        <v>222000.00000000486</v>
      </c>
      <c r="BD421">
        <f t="shared" ca="1" si="174"/>
        <v>420000.00000000466</v>
      </c>
      <c r="BE421">
        <f t="shared" ca="1" si="175"/>
        <v>-197999.9999999998</v>
      </c>
      <c r="BF421">
        <f ca="1">IF(ROW()&lt;($C$7+1),"",IFERROR((分析データ!D421-AVERAGE(OFFSET(分析データ!D$1,MAX(1,ROW()-$C$7),0,MIN($C$7,ROW()-1),1)))/STDEV(OFFSET(分析データ!D$1,MAX(1,ROW()-$C$7),0,MIN($C$7,ROW()-1),1)),0))</f>
        <v>-2.2156529689410633</v>
      </c>
      <c r="BG421">
        <f t="shared" ca="1" si="176"/>
        <v>1</v>
      </c>
      <c r="BH421">
        <f ca="1">IF(BG421=1,IF(INDEX(分析データ!$A:$A,ROW()+$C$5)&lt;&gt;"",50000*SIGN(BF421)*(分析データ!D421-INDEX(分析データ!D:D,ROW()+$C$5)),""),"")</f>
        <v>-64999.999999994885</v>
      </c>
      <c r="BI421">
        <f t="shared" ca="1" si="177"/>
        <v>-5289999.9999999898</v>
      </c>
      <c r="BJ421">
        <f t="shared" ca="1" si="178"/>
        <v>1695000.0000000016</v>
      </c>
      <c r="BK421">
        <f t="shared" ca="1" si="179"/>
        <v>-6984999.9999999916</v>
      </c>
      <c r="BL421">
        <f ca="1">IF(ROW()&lt;($C$7+1),"",IFERROR((分析データ!E421-AVERAGE(OFFSET(分析データ!E$1,MAX(1,ROW()-$C$7),0,MIN($C$7,ROW()-1),1)))/STDEV(OFFSET(分析データ!E$1,MAX(1,ROW()-$C$7),0,MIN($C$7,ROW()-1),1)),0))</f>
        <v>2.6209622164929671</v>
      </c>
      <c r="BM421">
        <f t="shared" ca="1" si="180"/>
        <v>1</v>
      </c>
      <c r="BN421">
        <f ca="1">IF(BM421=1,IF(INDEX(分析データ!$A:$A,ROW()+$C$5)&lt;&gt;"",40000*SIGN(BL421)*(分析データ!E421-INDEX(分析データ!E:E,ROW()+$C$5)),""),"")</f>
        <v>-80000.000000000146</v>
      </c>
      <c r="BO421">
        <f t="shared" ca="1" si="181"/>
        <v>-79999.999999989595</v>
      </c>
      <c r="BP421">
        <f t="shared" ca="1" si="182"/>
        <v>1040000.0000000063</v>
      </c>
      <c r="BQ421">
        <f t="shared" ca="1" si="183"/>
        <v>-1119999.9999999958</v>
      </c>
      <c r="BR421">
        <f ca="1">IF(ROW()&lt;($C$7+1),"",IFERROR((分析データ!F421-AVERAGE(OFFSET(分析データ!F$1,MAX(1,ROW()-$C$7),0,MIN($C$7,ROW()-1),1)))/STDEV(OFFSET(分析データ!F$1,MAX(1,ROW()-$C$7),0,MIN($C$7,ROW()-1),1)),0))</f>
        <v>1.4417357978745993</v>
      </c>
      <c r="BS421">
        <f t="shared" ca="1" si="184"/>
        <v>0</v>
      </c>
      <c r="BT421" t="str">
        <f ca="1">IF(BS421=1,IF(INDEX(分析データ!$A:$A,ROW()+$C$5)&lt;&gt;"",40000*SIGN(BR421)*(分析データ!F421-INDEX(分析データ!F:F,ROW()+$C$5)),""),"")</f>
        <v/>
      </c>
      <c r="BU421">
        <f t="shared" ca="1" si="185"/>
        <v>583200.00000000163</v>
      </c>
      <c r="BV421">
        <f t="shared" ca="1" si="186"/>
        <v>583200.00000000163</v>
      </c>
      <c r="BW421">
        <f t="shared" ca="1" si="187"/>
        <v>0</v>
      </c>
      <c r="BX421">
        <f ca="1">IF(ROW()&lt;($C$7+1),"",IFERROR((分析データ!G421-AVERAGE(OFFSET(分析データ!G$1,MAX(1,ROW()-$C$7),0,MIN($C$7,ROW()-1),1)))/STDEV(OFFSET(分析データ!G$1,MAX(1,ROW()-$C$7),0,MIN($C$7,ROW()-1),1)),0))</f>
        <v>0.99404855791022606</v>
      </c>
      <c r="BY421">
        <f t="shared" ca="1" si="188"/>
        <v>0</v>
      </c>
      <c r="BZ421" t="str">
        <f ca="1">IF(BY421=1,IF(INDEX(分析データ!$A:$A,ROW()+$C$5)&lt;&gt;"",40000*SIGN(BX421)*(分析データ!G421-INDEX(分析データ!G:G,ROW()+$C$5)),""),"")</f>
        <v/>
      </c>
      <c r="CA421">
        <f t="shared" ca="1" si="189"/>
        <v>4220275.7177734375</v>
      </c>
      <c r="CB421">
        <f t="shared" ca="1" si="190"/>
        <v>4220275.7177734375</v>
      </c>
      <c r="CC421">
        <f t="shared" ca="1" si="191"/>
        <v>0</v>
      </c>
      <c r="CD421">
        <f t="shared" ca="1" si="192"/>
        <v>-304999.99999999162</v>
      </c>
      <c r="CE421">
        <f t="shared" ca="1" si="193"/>
        <v>-904524.2822265242</v>
      </c>
      <c r="CF421">
        <f t="shared" ca="1" si="194"/>
        <v>6770475.7177734533</v>
      </c>
      <c r="CG421">
        <f t="shared" ca="1" si="195"/>
        <v>-7674999.9999999776</v>
      </c>
      <c r="CH421" s="10">
        <f>分析データ!A421</f>
        <v>45539</v>
      </c>
    </row>
    <row r="422" spans="46:86">
      <c r="AT422">
        <f ca="1">IF(ROW()&lt;($C$7+1),"",IFERROR((分析データ!B422-AVERAGE(OFFSET(分析データ!B$1,MAX(1,ROW()-$C$7),0,MIN($C$7,ROW()-1),1)))/STDEV(OFFSET(分析データ!B$1,MAX(1,ROW()-$C$7),0,MIN($C$7,ROW()-1),1)),0))</f>
        <v>1.8845444139047451</v>
      </c>
      <c r="AU422">
        <f t="shared" ca="1" si="168"/>
        <v>0</v>
      </c>
      <c r="AV422" t="str">
        <f ca="1">IF(AU422=1,IF(INDEX(分析データ!$A:$A,ROW()+$C$5)&lt;&gt;"",80000*SIGN(AT422)*(分析データ!B422-INDEX(分析データ!B:B,ROW()+$C$5)),""),"")</f>
        <v/>
      </c>
      <c r="AW422">
        <f t="shared" ca="1" si="169"/>
        <v>-559999.99999999162</v>
      </c>
      <c r="AX422">
        <f t="shared" ca="1" si="170"/>
        <v>0</v>
      </c>
      <c r="AY422">
        <f t="shared" ca="1" si="171"/>
        <v>-559999.99999999162</v>
      </c>
      <c r="AZ422">
        <f ca="1">IF(ROW()&lt;($C$7+1),"",IFERROR((分析データ!C422-AVERAGE(OFFSET(分析データ!C$1,MAX(1,ROW()-$C$7),0,MIN($C$7,ROW()-1),1)))/STDEV(OFFSET(分析データ!C$1,MAX(1,ROW()-$C$7),0,MIN($C$7,ROW()-1),1)),0))</f>
        <v>-1.9315989058948839</v>
      </c>
      <c r="BA422">
        <f t="shared" ca="1" si="172"/>
        <v>0</v>
      </c>
      <c r="BB422" t="str">
        <f ca="1">IF(BA422=1,IF(INDEX(分析データ!$A:$A,ROW()+$C$5)&lt;&gt;"",60000*SIGN(AZ422)*(分析データ!C422-INDEX(分析データ!C:C,ROW()+$C$5)),""),"")</f>
        <v/>
      </c>
      <c r="BC422">
        <f t="shared" ca="1" si="173"/>
        <v>222000.00000000486</v>
      </c>
      <c r="BD422">
        <f t="shared" ca="1" si="174"/>
        <v>420000.00000000466</v>
      </c>
      <c r="BE422">
        <f t="shared" ca="1" si="175"/>
        <v>-197999.9999999998</v>
      </c>
      <c r="BF422">
        <f ca="1">IF(ROW()&lt;($C$7+1),"",IFERROR((分析データ!D422-AVERAGE(OFFSET(分析データ!D$1,MAX(1,ROW()-$C$7),0,MIN($C$7,ROW()-1),1)))/STDEV(OFFSET(分析データ!D$1,MAX(1,ROW()-$C$7),0,MIN($C$7,ROW()-1),1)),0))</f>
        <v>-2.2793436822194528</v>
      </c>
      <c r="BG422">
        <f t="shared" ca="1" si="176"/>
        <v>1</v>
      </c>
      <c r="BH422">
        <f ca="1">IF(BG422=1,IF(INDEX(分析データ!$A:$A,ROW()+$C$5)&lt;&gt;"",50000*SIGN(BF422)*(分析データ!D422-INDEX(分析データ!D:D,ROW()+$C$5)),""),"")</f>
        <v>75000</v>
      </c>
      <c r="BI422">
        <f t="shared" ca="1" si="177"/>
        <v>-5214999.9999999898</v>
      </c>
      <c r="BJ422">
        <f t="shared" ca="1" si="178"/>
        <v>1695000.0000000016</v>
      </c>
      <c r="BK422">
        <f t="shared" ca="1" si="179"/>
        <v>-6909999.9999999916</v>
      </c>
      <c r="BL422">
        <f ca="1">IF(ROW()&lt;($C$7+1),"",IFERROR((分析データ!E422-AVERAGE(OFFSET(分析データ!E$1,MAX(1,ROW()-$C$7),0,MIN($C$7,ROW()-1),1)))/STDEV(OFFSET(分析データ!E$1,MAX(1,ROW()-$C$7),0,MIN($C$7,ROW()-1),1)),0))</f>
        <v>2.3143182492156722</v>
      </c>
      <c r="BM422">
        <f t="shared" ca="1" si="180"/>
        <v>1</v>
      </c>
      <c r="BN422">
        <f ca="1">IF(BM422=1,IF(INDEX(分析データ!$A:$A,ROW()+$C$5)&lt;&gt;"",40000*SIGN(BL422)*(分析データ!E422-INDEX(分析データ!E:E,ROW()+$C$5)),""),"")</f>
        <v>-199999.99999999942</v>
      </c>
      <c r="BO422">
        <f t="shared" ca="1" si="181"/>
        <v>-279999.999999989</v>
      </c>
      <c r="BP422">
        <f t="shared" ca="1" si="182"/>
        <v>1040000.0000000063</v>
      </c>
      <c r="BQ422">
        <f t="shared" ca="1" si="183"/>
        <v>-1319999.9999999953</v>
      </c>
      <c r="BR422">
        <f ca="1">IF(ROW()&lt;($C$7+1),"",IFERROR((分析データ!F422-AVERAGE(OFFSET(分析データ!F$1,MAX(1,ROW()-$C$7),0,MIN($C$7,ROW()-1),1)))/STDEV(OFFSET(分析データ!F$1,MAX(1,ROW()-$C$7),0,MIN($C$7,ROW()-1),1)),0))</f>
        <v>1.3245613330694139</v>
      </c>
      <c r="BS422">
        <f t="shared" ca="1" si="184"/>
        <v>0</v>
      </c>
      <c r="BT422" t="str">
        <f ca="1">IF(BS422=1,IF(INDEX(分析データ!$A:$A,ROW()+$C$5)&lt;&gt;"",40000*SIGN(BR422)*(分析データ!F422-INDEX(分析データ!F:F,ROW()+$C$5)),""),"")</f>
        <v/>
      </c>
      <c r="BU422">
        <f t="shared" ca="1" si="185"/>
        <v>583200.00000000163</v>
      </c>
      <c r="BV422">
        <f t="shared" ca="1" si="186"/>
        <v>583200.00000000163</v>
      </c>
      <c r="BW422">
        <f t="shared" ca="1" si="187"/>
        <v>0</v>
      </c>
      <c r="BX422">
        <f ca="1">IF(ROW()&lt;($C$7+1),"",IFERROR((分析データ!G422-AVERAGE(OFFSET(分析データ!G$1,MAX(1,ROW()-$C$7),0,MIN($C$7,ROW()-1),1)))/STDEV(OFFSET(分析データ!G$1,MAX(1,ROW()-$C$7),0,MIN($C$7,ROW()-1),1)),0))</f>
        <v>-0.59396373501463506</v>
      </c>
      <c r="BY422">
        <f t="shared" ca="1" si="188"/>
        <v>0</v>
      </c>
      <c r="BZ422" t="str">
        <f ca="1">IF(BY422=1,IF(INDEX(分析データ!$A:$A,ROW()+$C$5)&lt;&gt;"",40000*SIGN(BX422)*(分析データ!G422-INDEX(分析データ!G:G,ROW()+$C$5)),""),"")</f>
        <v/>
      </c>
      <c r="CA422">
        <f t="shared" ca="1" si="189"/>
        <v>4220275.7177734375</v>
      </c>
      <c r="CB422">
        <f t="shared" ca="1" si="190"/>
        <v>4220275.7177734375</v>
      </c>
      <c r="CC422">
        <f t="shared" ca="1" si="191"/>
        <v>0</v>
      </c>
      <c r="CD422">
        <f t="shared" ca="1" si="192"/>
        <v>-124999.99999999942</v>
      </c>
      <c r="CE422">
        <f t="shared" ca="1" si="193"/>
        <v>-1029524.2822265236</v>
      </c>
      <c r="CF422">
        <f t="shared" ca="1" si="194"/>
        <v>6770475.7177734533</v>
      </c>
      <c r="CG422">
        <f t="shared" ca="1" si="195"/>
        <v>-7799999.9999999767</v>
      </c>
      <c r="CH422" s="10">
        <f>分析データ!A422</f>
        <v>45540</v>
      </c>
    </row>
    <row r="423" spans="46:86">
      <c r="AT423">
        <f ca="1">IF(ROW()&lt;($C$7+1),"",IFERROR((分析データ!B423-AVERAGE(OFFSET(分析データ!B$1,MAX(1,ROW()-$C$7),0,MIN($C$7,ROW()-1),1)))/STDEV(OFFSET(分析データ!B$1,MAX(1,ROW()-$C$7),0,MIN($C$7,ROW()-1),1)),0))</f>
        <v>2.4507817815870059</v>
      </c>
      <c r="AU423">
        <f t="shared" ca="1" si="168"/>
        <v>1</v>
      </c>
      <c r="AV423">
        <f ca="1">IF(AU423=1,IF(INDEX(分析データ!$A:$A,ROW()+$C$5)&lt;&gt;"",80000*SIGN(AT423)*(分析データ!B423-INDEX(分析データ!B:B,ROW()+$C$5)),""),"")</f>
        <v>-359999.99999999942</v>
      </c>
      <c r="AW423">
        <f t="shared" ca="1" si="169"/>
        <v>-919999.99999999104</v>
      </c>
      <c r="AX423">
        <f t="shared" ca="1" si="170"/>
        <v>0</v>
      </c>
      <c r="AY423">
        <f t="shared" ca="1" si="171"/>
        <v>-919999.99999999104</v>
      </c>
      <c r="AZ423">
        <f ca="1">IF(ROW()&lt;($C$7+1),"",IFERROR((分析データ!C423-AVERAGE(OFFSET(分析データ!C$1,MAX(1,ROW()-$C$7),0,MIN($C$7,ROW()-1),1)))/STDEV(OFFSET(分析データ!C$1,MAX(1,ROW()-$C$7),0,MIN($C$7,ROW()-1),1)),0))</f>
        <v>-2.1172570216087978</v>
      </c>
      <c r="BA423">
        <f t="shared" ca="1" si="172"/>
        <v>1</v>
      </c>
      <c r="BB423">
        <f ca="1">IF(BA423=1,IF(INDEX(分析データ!$A:$A,ROW()+$C$5)&lt;&gt;"",60000*SIGN(AZ423)*(分析データ!C423-INDEX(分析データ!C:C,ROW()+$C$5)),""),"")</f>
        <v>-111000.00000000093</v>
      </c>
      <c r="BC423">
        <f t="shared" ca="1" si="173"/>
        <v>111000.00000000393</v>
      </c>
      <c r="BD423">
        <f t="shared" ca="1" si="174"/>
        <v>420000.00000000466</v>
      </c>
      <c r="BE423">
        <f t="shared" ca="1" si="175"/>
        <v>-309000.0000000007</v>
      </c>
      <c r="BF423">
        <f ca="1">IF(ROW()&lt;($C$7+1),"",IFERROR((分析データ!D423-AVERAGE(OFFSET(分析データ!D$1,MAX(1,ROW()-$C$7),0,MIN($C$7,ROW()-1),1)))/STDEV(OFFSET(分析データ!D$1,MAX(1,ROW()-$C$7),0,MIN($C$7,ROW()-1),1)),0))</f>
        <v>-2.1979467793290488</v>
      </c>
      <c r="BG423">
        <f t="shared" ca="1" si="176"/>
        <v>1</v>
      </c>
      <c r="BH423">
        <f ca="1">IF(BG423=1,IF(INDEX(分析データ!$A:$A,ROW()+$C$5)&lt;&gt;"",50000*SIGN(BF423)*(分析データ!D423-INDEX(分析データ!D:D,ROW()+$C$5)),""),"")</f>
        <v>-40000.000000003412</v>
      </c>
      <c r="BI423">
        <f t="shared" ca="1" si="177"/>
        <v>-5254999.9999999935</v>
      </c>
      <c r="BJ423">
        <f t="shared" ca="1" si="178"/>
        <v>1695000.0000000016</v>
      </c>
      <c r="BK423">
        <f t="shared" ca="1" si="179"/>
        <v>-6949999.9999999953</v>
      </c>
      <c r="BL423">
        <f ca="1">IF(ROW()&lt;($C$7+1),"",IFERROR((分析データ!E423-AVERAGE(OFFSET(分析データ!E$1,MAX(1,ROW()-$C$7),0,MIN($C$7,ROW()-1),1)))/STDEV(OFFSET(分析データ!E$1,MAX(1,ROW()-$C$7),0,MIN($C$7,ROW()-1),1)),0))</f>
        <v>2.6937243839017069</v>
      </c>
      <c r="BM423">
        <f t="shared" ca="1" si="180"/>
        <v>1</v>
      </c>
      <c r="BN423">
        <f ca="1">IF(BM423=1,IF(INDEX(分析データ!$A:$A,ROW()+$C$5)&lt;&gt;"",40000*SIGN(BL423)*(分析データ!E423-INDEX(分析データ!E:E,ROW()+$C$5)),""),"")</f>
        <v>-119999.99999999914</v>
      </c>
      <c r="BO423">
        <f t="shared" ca="1" si="181"/>
        <v>-399999.99999998813</v>
      </c>
      <c r="BP423">
        <f t="shared" ca="1" si="182"/>
        <v>1040000.0000000063</v>
      </c>
      <c r="BQ423">
        <f t="shared" ca="1" si="183"/>
        <v>-1439999.9999999944</v>
      </c>
      <c r="BR423">
        <f ca="1">IF(ROW()&lt;($C$7+1),"",IFERROR((分析データ!F423-AVERAGE(OFFSET(分析データ!F$1,MAX(1,ROW()-$C$7),0,MIN($C$7,ROW()-1),1)))/STDEV(OFFSET(分析データ!F$1,MAX(1,ROW()-$C$7),0,MIN($C$7,ROW()-1),1)),0))</f>
        <v>1.3432135212709366</v>
      </c>
      <c r="BS423">
        <f t="shared" ca="1" si="184"/>
        <v>0</v>
      </c>
      <c r="BT423" t="str">
        <f ca="1">IF(BS423=1,IF(INDEX(分析データ!$A:$A,ROW()+$C$5)&lt;&gt;"",40000*SIGN(BR423)*(分析データ!F423-INDEX(分析データ!F:F,ROW()+$C$5)),""),"")</f>
        <v/>
      </c>
      <c r="BU423">
        <f t="shared" ca="1" si="185"/>
        <v>583200.00000000163</v>
      </c>
      <c r="BV423">
        <f t="shared" ca="1" si="186"/>
        <v>583200.00000000163</v>
      </c>
      <c r="BW423">
        <f t="shared" ca="1" si="187"/>
        <v>0</v>
      </c>
      <c r="BX423">
        <f ca="1">IF(ROW()&lt;($C$7+1),"",IFERROR((分析データ!G423-AVERAGE(OFFSET(分析データ!G$1,MAX(1,ROW()-$C$7),0,MIN($C$7,ROW()-1),1)))/STDEV(OFFSET(分析データ!G$1,MAX(1,ROW()-$C$7),0,MIN($C$7,ROW()-1),1)),0))</f>
        <v>1.375144782200187</v>
      </c>
      <c r="BY423">
        <f t="shared" ca="1" si="188"/>
        <v>0</v>
      </c>
      <c r="BZ423" t="str">
        <f ca="1">IF(BY423=1,IF(INDEX(分析データ!$A:$A,ROW()+$C$5)&lt;&gt;"",40000*SIGN(BX423)*(分析データ!G423-INDEX(分析データ!G:G,ROW()+$C$5)),""),"")</f>
        <v/>
      </c>
      <c r="CA423">
        <f t="shared" ca="1" si="189"/>
        <v>4220275.7177734375</v>
      </c>
      <c r="CB423">
        <f t="shared" ca="1" si="190"/>
        <v>4220275.7177734375</v>
      </c>
      <c r="CC423">
        <f t="shared" ca="1" si="191"/>
        <v>0</v>
      </c>
      <c r="CD423">
        <f t="shared" ca="1" si="192"/>
        <v>-631000.00000000291</v>
      </c>
      <c r="CE423">
        <f t="shared" ca="1" si="193"/>
        <v>-1660524.2822265266</v>
      </c>
      <c r="CF423">
        <f t="shared" ca="1" si="194"/>
        <v>6770475.7177734533</v>
      </c>
      <c r="CG423">
        <f t="shared" ca="1" si="195"/>
        <v>-8430999.9999999795</v>
      </c>
      <c r="CH423" s="10">
        <f>分析データ!A423</f>
        <v>45541</v>
      </c>
    </row>
    <row r="424" spans="46:86">
      <c r="AT424">
        <f ca="1">IF(ROW()&lt;($C$7+1),"",IFERROR((分析データ!B424-AVERAGE(OFFSET(分析データ!B$1,MAX(1,ROW()-$C$7),0,MIN($C$7,ROW()-1),1)))/STDEV(OFFSET(分析データ!B$1,MAX(1,ROW()-$C$7),0,MIN($C$7,ROW()-1),1)),0))</f>
        <v>2.1518786490365232</v>
      </c>
      <c r="AU424">
        <f t="shared" ca="1" si="168"/>
        <v>1</v>
      </c>
      <c r="AV424">
        <f ca="1">IF(AU424=1,IF(INDEX(分析データ!$A:$A,ROW()+$C$5)&lt;&gt;"",80000*SIGN(AT424)*(分析データ!B424-INDEX(分析データ!B:B,ROW()+$C$5)),""),"")</f>
        <v>-479999.99999999686</v>
      </c>
      <c r="AW424">
        <f t="shared" ca="1" si="169"/>
        <v>-1399999.9999999879</v>
      </c>
      <c r="AX424">
        <f t="shared" ca="1" si="170"/>
        <v>0</v>
      </c>
      <c r="AY424">
        <f t="shared" ca="1" si="171"/>
        <v>-1399999.9999999879</v>
      </c>
      <c r="AZ424">
        <f ca="1">IF(ROW()&lt;($C$7+1),"",IFERROR((分析データ!C424-AVERAGE(OFFSET(分析データ!C$1,MAX(1,ROW()-$C$7),0,MIN($C$7,ROW()-1),1)))/STDEV(OFFSET(分析データ!C$1,MAX(1,ROW()-$C$7),0,MIN($C$7,ROW()-1),1)),0))</f>
        <v>-1.7725980795864567</v>
      </c>
      <c r="BA424">
        <f t="shared" ca="1" si="172"/>
        <v>0</v>
      </c>
      <c r="BB424" t="str">
        <f ca="1">IF(BA424=1,IF(INDEX(分析データ!$A:$A,ROW()+$C$5)&lt;&gt;"",60000*SIGN(AZ424)*(分析データ!C424-INDEX(分析データ!C:C,ROW()+$C$5)),""),"")</f>
        <v/>
      </c>
      <c r="BC424">
        <f t="shared" ca="1" si="173"/>
        <v>111000.00000000393</v>
      </c>
      <c r="BD424">
        <f t="shared" ca="1" si="174"/>
        <v>420000.00000000466</v>
      </c>
      <c r="BE424">
        <f t="shared" ca="1" si="175"/>
        <v>-309000.0000000007</v>
      </c>
      <c r="BF424">
        <f ca="1">IF(ROW()&lt;($C$7+1),"",IFERROR((分析データ!D424-AVERAGE(OFFSET(分析データ!D$1,MAX(1,ROW()-$C$7),0,MIN($C$7,ROW()-1),1)))/STDEV(OFFSET(分析データ!D$1,MAX(1,ROW()-$C$7),0,MIN($C$7,ROW()-1),1)),0))</f>
        <v>-2.3905473043031371</v>
      </c>
      <c r="BG424">
        <f t="shared" ca="1" si="176"/>
        <v>1</v>
      </c>
      <c r="BH424">
        <f ca="1">IF(BG424=1,IF(INDEX(分析データ!$A:$A,ROW()+$C$5)&lt;&gt;"",50000*SIGN(BF424)*(分析データ!D424-INDEX(分析データ!D:D,ROW()+$C$5)),""),"")</f>
        <v>384999.99999999657</v>
      </c>
      <c r="BI424">
        <f t="shared" ca="1" si="177"/>
        <v>-4869999.9999999972</v>
      </c>
      <c r="BJ424">
        <f t="shared" ca="1" si="178"/>
        <v>1695000.0000000016</v>
      </c>
      <c r="BK424">
        <f t="shared" ca="1" si="179"/>
        <v>-6564999.9999999991</v>
      </c>
      <c r="BL424">
        <f ca="1">IF(ROW()&lt;($C$7+1),"",IFERROR((分析データ!E424-AVERAGE(OFFSET(分析データ!E$1,MAX(1,ROW()-$C$7),0,MIN($C$7,ROW()-1),1)))/STDEV(OFFSET(分析データ!E$1,MAX(1,ROW()-$C$7),0,MIN($C$7,ROW()-1),1)),0))</f>
        <v>2.5299233211144418</v>
      </c>
      <c r="BM424">
        <f t="shared" ca="1" si="180"/>
        <v>1</v>
      </c>
      <c r="BN424">
        <f ca="1">IF(BM424=1,IF(INDEX(分析データ!$A:$A,ROW()+$C$5)&lt;&gt;"",40000*SIGN(BL424)*(分析データ!E424-INDEX(分析データ!E:E,ROW()+$C$5)),""),"")</f>
        <v>-120000.00000000099</v>
      </c>
      <c r="BO424">
        <f t="shared" ca="1" si="181"/>
        <v>-519999.99999998912</v>
      </c>
      <c r="BP424">
        <f t="shared" ca="1" si="182"/>
        <v>1040000.0000000063</v>
      </c>
      <c r="BQ424">
        <f t="shared" ca="1" si="183"/>
        <v>-1559999.9999999953</v>
      </c>
      <c r="BR424">
        <f ca="1">IF(ROW()&lt;($C$7+1),"",IFERROR((分析データ!F424-AVERAGE(OFFSET(分析データ!F$1,MAX(1,ROW()-$C$7),0,MIN($C$7,ROW()-1),1)))/STDEV(OFFSET(分析データ!F$1,MAX(1,ROW()-$C$7),0,MIN($C$7,ROW()-1),1)),0))</f>
        <v>1.1246699673891076</v>
      </c>
      <c r="BS424">
        <f t="shared" ca="1" si="184"/>
        <v>0</v>
      </c>
      <c r="BT424" t="str">
        <f ca="1">IF(BS424=1,IF(INDEX(分析データ!$A:$A,ROW()+$C$5)&lt;&gt;"",40000*SIGN(BR424)*(分析データ!F424-INDEX(分析データ!F:F,ROW()+$C$5)),""),"")</f>
        <v/>
      </c>
      <c r="BU424">
        <f t="shared" ca="1" si="185"/>
        <v>583200.00000000163</v>
      </c>
      <c r="BV424">
        <f t="shared" ca="1" si="186"/>
        <v>583200.00000000163</v>
      </c>
      <c r="BW424">
        <f t="shared" ca="1" si="187"/>
        <v>0</v>
      </c>
      <c r="BX424">
        <f ca="1">IF(ROW()&lt;($C$7+1),"",IFERROR((分析データ!G424-AVERAGE(OFFSET(分析データ!G$1,MAX(1,ROW()-$C$7),0,MIN($C$7,ROW()-1),1)))/STDEV(OFFSET(分析データ!G$1,MAX(1,ROW()-$C$7),0,MIN($C$7,ROW()-1),1)),0))</f>
        <v>1.6802594673826738</v>
      </c>
      <c r="BY424">
        <f t="shared" ca="1" si="188"/>
        <v>0</v>
      </c>
      <c r="BZ424" t="str">
        <f ca="1">IF(BY424=1,IF(INDEX(分析データ!$A:$A,ROW()+$C$5)&lt;&gt;"",40000*SIGN(BX424)*(分析データ!G424-INDEX(分析データ!G:G,ROW()+$C$5)),""),"")</f>
        <v/>
      </c>
      <c r="CA424">
        <f t="shared" ca="1" si="189"/>
        <v>4220275.7177734375</v>
      </c>
      <c r="CB424">
        <f t="shared" ca="1" si="190"/>
        <v>4220275.7177734375</v>
      </c>
      <c r="CC424">
        <f t="shared" ca="1" si="191"/>
        <v>0</v>
      </c>
      <c r="CD424">
        <f t="shared" ca="1" si="192"/>
        <v>-215000.00000000128</v>
      </c>
      <c r="CE424">
        <f t="shared" ca="1" si="193"/>
        <v>-1875524.282226528</v>
      </c>
      <c r="CF424">
        <f t="shared" ca="1" si="194"/>
        <v>6770475.7177734533</v>
      </c>
      <c r="CG424">
        <f t="shared" ca="1" si="195"/>
        <v>-8645999.9999999814</v>
      </c>
      <c r="CH424" s="10">
        <f>分析データ!A424</f>
        <v>45544</v>
      </c>
    </row>
    <row r="425" spans="46:86">
      <c r="AT425">
        <f ca="1">IF(ROW()&lt;($C$7+1),"",IFERROR((分析データ!B425-AVERAGE(OFFSET(分析データ!B$1,MAX(1,ROW()-$C$7),0,MIN($C$7,ROW()-1),1)))/STDEV(OFFSET(分析データ!B$1,MAX(1,ROW()-$C$7),0,MIN($C$7,ROW()-1),1)),0))</f>
        <v>2.332324020298286</v>
      </c>
      <c r="AU425">
        <f t="shared" ca="1" si="168"/>
        <v>1</v>
      </c>
      <c r="AV425">
        <f ca="1">IF(AU425=1,IF(INDEX(分析データ!$A:$A,ROW()+$C$5)&lt;&gt;"",80000*SIGN(AT425)*(分析データ!B425-INDEX(分析データ!B:B,ROW()+$C$5)),""),"")</f>
        <v>-640000.00000000407</v>
      </c>
      <c r="AW425">
        <f t="shared" ca="1" si="169"/>
        <v>-2039999.9999999921</v>
      </c>
      <c r="AX425">
        <f t="shared" ca="1" si="170"/>
        <v>0</v>
      </c>
      <c r="AY425">
        <f t="shared" ca="1" si="171"/>
        <v>-2039999.9999999921</v>
      </c>
      <c r="AZ425">
        <f ca="1">IF(ROW()&lt;($C$7+1),"",IFERROR((分析データ!C425-AVERAGE(OFFSET(分析データ!C$1,MAX(1,ROW()-$C$7),0,MIN($C$7,ROW()-1),1)))/STDEV(OFFSET(分析データ!C$1,MAX(1,ROW()-$C$7),0,MIN($C$7,ROW()-1),1)),0))</f>
        <v>-1.8426298461437285</v>
      </c>
      <c r="BA425">
        <f t="shared" ca="1" si="172"/>
        <v>0</v>
      </c>
      <c r="BB425" t="str">
        <f ca="1">IF(BA425=1,IF(INDEX(分析データ!$A:$A,ROW()+$C$5)&lt;&gt;"",60000*SIGN(AZ425)*(分析データ!C425-INDEX(分析データ!C:C,ROW()+$C$5)),""),"")</f>
        <v/>
      </c>
      <c r="BC425">
        <f t="shared" ca="1" si="173"/>
        <v>111000.00000000393</v>
      </c>
      <c r="BD425">
        <f t="shared" ca="1" si="174"/>
        <v>420000.00000000466</v>
      </c>
      <c r="BE425">
        <f t="shared" ca="1" si="175"/>
        <v>-309000.0000000007</v>
      </c>
      <c r="BF425">
        <f ca="1">IF(ROW()&lt;($C$7+1),"",IFERROR((分析データ!D425-AVERAGE(OFFSET(分析データ!D$1,MAX(1,ROW()-$C$7),0,MIN($C$7,ROW()-1),1)))/STDEV(OFFSET(分析データ!D$1,MAX(1,ROW()-$C$7),0,MIN($C$7,ROW()-1),1)),0))</f>
        <v>-2.5258115518914255</v>
      </c>
      <c r="BG425">
        <f t="shared" ca="1" si="176"/>
        <v>1</v>
      </c>
      <c r="BH425">
        <f ca="1">IF(BG425=1,IF(INDEX(分析データ!$A:$A,ROW()+$C$5)&lt;&gt;"",50000*SIGN(BF425)*(分析データ!D425-INDEX(分析データ!D:D,ROW()+$C$5)),""),"")</f>
        <v>840000.00000000338</v>
      </c>
      <c r="BI425">
        <f t="shared" ca="1" si="177"/>
        <v>-4029999.9999999939</v>
      </c>
      <c r="BJ425">
        <f t="shared" ca="1" si="178"/>
        <v>1695000.0000000016</v>
      </c>
      <c r="BK425">
        <f t="shared" ca="1" si="179"/>
        <v>-5724999.9999999953</v>
      </c>
      <c r="BL425">
        <f ca="1">IF(ROW()&lt;($C$7+1),"",IFERROR((分析データ!E425-AVERAGE(OFFSET(分析データ!E$1,MAX(1,ROW()-$C$7),0,MIN($C$7,ROW()-1),1)))/STDEV(OFFSET(分析データ!E$1,MAX(1,ROW()-$C$7),0,MIN($C$7,ROW()-1),1)),0))</f>
        <v>2.6326001236687158</v>
      </c>
      <c r="BM425">
        <f t="shared" ca="1" si="180"/>
        <v>1</v>
      </c>
      <c r="BN425">
        <f ca="1">IF(BM425=1,IF(INDEX(分析データ!$A:$A,ROW()+$C$5)&lt;&gt;"",40000*SIGN(BL425)*(分析データ!E425-INDEX(分析データ!E:E,ROW()+$C$5)),""),"")</f>
        <v>-200000.00000000099</v>
      </c>
      <c r="BO425">
        <f t="shared" ca="1" si="181"/>
        <v>-719999.9999999901</v>
      </c>
      <c r="BP425">
        <f t="shared" ca="1" si="182"/>
        <v>1040000.0000000063</v>
      </c>
      <c r="BQ425">
        <f t="shared" ca="1" si="183"/>
        <v>-1759999.9999999963</v>
      </c>
      <c r="BR425">
        <f ca="1">IF(ROW()&lt;($C$7+1),"",IFERROR((分析データ!F425-AVERAGE(OFFSET(分析データ!F$1,MAX(1,ROW()-$C$7),0,MIN($C$7,ROW()-1),1)))/STDEV(OFFSET(分析データ!F$1,MAX(1,ROW()-$C$7),0,MIN($C$7,ROW()-1),1)),0))</f>
        <v>1.3953100630158661</v>
      </c>
      <c r="BS425">
        <f t="shared" ca="1" si="184"/>
        <v>0</v>
      </c>
      <c r="BT425" t="str">
        <f ca="1">IF(BS425=1,IF(INDEX(分析データ!$A:$A,ROW()+$C$5)&lt;&gt;"",40000*SIGN(BR425)*(分析データ!F425-INDEX(分析データ!F:F,ROW()+$C$5)),""),"")</f>
        <v/>
      </c>
      <c r="BU425">
        <f t="shared" ca="1" si="185"/>
        <v>583200.00000000163</v>
      </c>
      <c r="BV425">
        <f t="shared" ca="1" si="186"/>
        <v>583200.00000000163</v>
      </c>
      <c r="BW425">
        <f t="shared" ca="1" si="187"/>
        <v>0</v>
      </c>
      <c r="BX425">
        <f ca="1">IF(ROW()&lt;($C$7+1),"",IFERROR((分析データ!G425-AVERAGE(OFFSET(分析データ!G$1,MAX(1,ROW()-$C$7),0,MIN($C$7,ROW()-1),1)))/STDEV(OFFSET(分析データ!G$1,MAX(1,ROW()-$C$7),0,MIN($C$7,ROW()-1),1)),0))</f>
        <v>1.6388714988648205</v>
      </c>
      <c r="BY425">
        <f t="shared" ca="1" si="188"/>
        <v>0</v>
      </c>
      <c r="BZ425" t="str">
        <f ca="1">IF(BY425=1,IF(INDEX(分析データ!$A:$A,ROW()+$C$5)&lt;&gt;"",40000*SIGN(BX425)*(分析データ!G425-INDEX(分析データ!G:G,ROW()+$C$5)),""),"")</f>
        <v/>
      </c>
      <c r="CA425">
        <f t="shared" ca="1" si="189"/>
        <v>4220275.7177734375</v>
      </c>
      <c r="CB425">
        <f t="shared" ca="1" si="190"/>
        <v>4220275.7177734375</v>
      </c>
      <c r="CC425">
        <f t="shared" ca="1" si="191"/>
        <v>0</v>
      </c>
      <c r="CD425">
        <f t="shared" ca="1" si="192"/>
        <v>-1.6880221664905548E-9</v>
      </c>
      <c r="CE425">
        <f t="shared" ca="1" si="193"/>
        <v>-1875524.2822265297</v>
      </c>
      <c r="CF425">
        <f t="shared" ca="1" si="194"/>
        <v>6770475.7177734533</v>
      </c>
      <c r="CG425">
        <f t="shared" ca="1" si="195"/>
        <v>-8645999.9999999832</v>
      </c>
      <c r="CH425" s="10">
        <f>分析データ!A425</f>
        <v>45545</v>
      </c>
    </row>
    <row r="426" spans="46:86">
      <c r="AT426">
        <f ca="1">IF(ROW()&lt;($C$7+1),"",IFERROR((分析データ!B426-AVERAGE(OFFSET(分析データ!B$1,MAX(1,ROW()-$C$7),0,MIN($C$7,ROW()-1),1)))/STDEV(OFFSET(分析データ!B$1,MAX(1,ROW()-$C$7),0,MIN($C$7,ROW()-1),1)),0))</f>
        <v>2.132562699552762</v>
      </c>
      <c r="AU426">
        <f t="shared" ca="1" si="168"/>
        <v>1</v>
      </c>
      <c r="AV426">
        <f ca="1">IF(AU426=1,IF(INDEX(分析データ!$A:$A,ROW()+$C$5)&lt;&gt;"",80000*SIGN(AT426)*(分析データ!B426-INDEX(分析データ!B:B,ROW()+$C$5)),""),"")</f>
        <v>-760000.00000000151</v>
      </c>
      <c r="AW426">
        <f t="shared" ca="1" si="169"/>
        <v>-2799999.9999999935</v>
      </c>
      <c r="AX426">
        <f t="shared" ca="1" si="170"/>
        <v>0</v>
      </c>
      <c r="AY426">
        <f t="shared" ca="1" si="171"/>
        <v>-2799999.9999999935</v>
      </c>
      <c r="AZ426">
        <f ca="1">IF(ROW()&lt;($C$7+1),"",IFERROR((分析データ!C426-AVERAGE(OFFSET(分析データ!C$1,MAX(1,ROW()-$C$7),0,MIN($C$7,ROW()-1),1)))/STDEV(OFFSET(分析データ!C$1,MAX(1,ROW()-$C$7),0,MIN($C$7,ROW()-1),1)),0))</f>
        <v>-2.1944357296215715</v>
      </c>
      <c r="BA426">
        <f t="shared" ca="1" si="172"/>
        <v>1</v>
      </c>
      <c r="BB426">
        <f ca="1">IF(BA426=1,IF(INDEX(分析データ!$A:$A,ROW()+$C$5)&lt;&gt;"",60000*SIGN(AZ426)*(分析データ!C426-INDEX(分析データ!C:C,ROW()+$C$5)),""),"")</f>
        <v>-81000.000000000509</v>
      </c>
      <c r="BC426">
        <f t="shared" ca="1" si="173"/>
        <v>30000.00000000342</v>
      </c>
      <c r="BD426">
        <f t="shared" ca="1" si="174"/>
        <v>420000.00000000466</v>
      </c>
      <c r="BE426">
        <f t="shared" ca="1" si="175"/>
        <v>-390000.00000000122</v>
      </c>
      <c r="BF426">
        <f ca="1">IF(ROW()&lt;($C$7+1),"",IFERROR((分析データ!D426-AVERAGE(OFFSET(分析データ!D$1,MAX(1,ROW()-$C$7),0,MIN($C$7,ROW()-1),1)))/STDEV(OFFSET(分析データ!D$1,MAX(1,ROW()-$C$7),0,MIN($C$7,ROW()-1),1)),0))</f>
        <v>-2.3504831354264133</v>
      </c>
      <c r="BG426">
        <f t="shared" ca="1" si="176"/>
        <v>1</v>
      </c>
      <c r="BH426">
        <f ca="1">IF(BG426=1,IF(INDEX(分析データ!$A:$A,ROW()+$C$5)&lt;&gt;"",50000*SIGN(BF426)*(分析データ!D426-INDEX(分析データ!D:D,ROW()+$C$5)),""),"")</f>
        <v>870000.00000000175</v>
      </c>
      <c r="BI426">
        <f t="shared" ca="1" si="177"/>
        <v>-3159999.9999999921</v>
      </c>
      <c r="BJ426">
        <f t="shared" ca="1" si="178"/>
        <v>1695000.0000000016</v>
      </c>
      <c r="BK426">
        <f t="shared" ca="1" si="179"/>
        <v>-4854999.9999999935</v>
      </c>
      <c r="BL426">
        <f ca="1">IF(ROW()&lt;($C$7+1),"",IFERROR((分析データ!E426-AVERAGE(OFFSET(分析データ!E$1,MAX(1,ROW()-$C$7),0,MIN($C$7,ROW()-1),1)))/STDEV(OFFSET(分析データ!E$1,MAX(1,ROW()-$C$7),0,MIN($C$7,ROW()-1),1)),0))</f>
        <v>2.3359571239334458</v>
      </c>
      <c r="BM426">
        <f t="shared" ca="1" si="180"/>
        <v>1</v>
      </c>
      <c r="BN426">
        <f ca="1">IF(BM426=1,IF(INDEX(分析データ!$A:$A,ROW()+$C$5)&lt;&gt;"",40000*SIGN(BL426)*(分析データ!E426-INDEX(分析データ!E:E,ROW()+$C$5)),""),"")</f>
        <v>-280000.00000000116</v>
      </c>
      <c r="BO426">
        <f t="shared" ca="1" si="181"/>
        <v>-999999.99999999127</v>
      </c>
      <c r="BP426">
        <f t="shared" ca="1" si="182"/>
        <v>1040000.0000000063</v>
      </c>
      <c r="BQ426">
        <f t="shared" ca="1" si="183"/>
        <v>-2039999.9999999977</v>
      </c>
      <c r="BR426">
        <f ca="1">IF(ROW()&lt;($C$7+1),"",IFERROR((分析データ!F426-AVERAGE(OFFSET(分析データ!F$1,MAX(1,ROW()-$C$7),0,MIN($C$7,ROW()-1),1)))/STDEV(OFFSET(分析データ!F$1,MAX(1,ROW()-$C$7),0,MIN($C$7,ROW()-1),1)),0))</f>
        <v>1.2817439841876035</v>
      </c>
      <c r="BS426">
        <f t="shared" ca="1" si="184"/>
        <v>0</v>
      </c>
      <c r="BT426" t="str">
        <f ca="1">IF(BS426=1,IF(INDEX(分析データ!$A:$A,ROW()+$C$5)&lt;&gt;"",40000*SIGN(BR426)*(分析データ!F426-INDEX(分析データ!F:F,ROW()+$C$5)),""),"")</f>
        <v/>
      </c>
      <c r="BU426">
        <f t="shared" ca="1" si="185"/>
        <v>583200.00000000163</v>
      </c>
      <c r="BV426">
        <f t="shared" ca="1" si="186"/>
        <v>583200.00000000163</v>
      </c>
      <c r="BW426">
        <f t="shared" ca="1" si="187"/>
        <v>0</v>
      </c>
      <c r="BX426">
        <f ca="1">IF(ROW()&lt;($C$7+1),"",IFERROR((分析データ!G426-AVERAGE(OFFSET(分析データ!G$1,MAX(1,ROW()-$C$7),0,MIN($C$7,ROW()-1),1)))/STDEV(OFFSET(分析データ!G$1,MAX(1,ROW()-$C$7),0,MIN($C$7,ROW()-1),1)),0))</f>
        <v>1.5557564914012498</v>
      </c>
      <c r="BY426">
        <f t="shared" ca="1" si="188"/>
        <v>0</v>
      </c>
      <c r="BZ426" t="str">
        <f ca="1">IF(BY426=1,IF(INDEX(分析データ!$A:$A,ROW()+$C$5)&lt;&gt;"",40000*SIGN(BX426)*(分析データ!G426-INDEX(分析データ!G:G,ROW()+$C$5)),""),"")</f>
        <v/>
      </c>
      <c r="CA426">
        <f t="shared" ca="1" si="189"/>
        <v>4220275.7177734375</v>
      </c>
      <c r="CB426">
        <f t="shared" ca="1" si="190"/>
        <v>4220275.7177734375</v>
      </c>
      <c r="CC426">
        <f t="shared" ca="1" si="191"/>
        <v>0</v>
      </c>
      <c r="CD426">
        <f t="shared" ca="1" si="192"/>
        <v>-251000.0000000014</v>
      </c>
      <c r="CE426">
        <f t="shared" ca="1" si="193"/>
        <v>-2126524.2822265308</v>
      </c>
      <c r="CF426">
        <f t="shared" ca="1" si="194"/>
        <v>6770475.7177734533</v>
      </c>
      <c r="CG426">
        <f t="shared" ca="1" si="195"/>
        <v>-8896999.9999999851</v>
      </c>
      <c r="CH426" s="10">
        <f>分析データ!A426</f>
        <v>45546</v>
      </c>
    </row>
    <row r="427" spans="46:86">
      <c r="AT427">
        <f ca="1">IF(ROW()&lt;($C$7+1),"",IFERROR((分析データ!B427-AVERAGE(OFFSET(分析データ!B$1,MAX(1,ROW()-$C$7),0,MIN($C$7,ROW()-1),1)))/STDEV(OFFSET(分析データ!B$1,MAX(1,ROW()-$C$7),0,MIN($C$7,ROW()-1),1)),0))</f>
        <v>2.1234535354018913</v>
      </c>
      <c r="AU427">
        <f t="shared" ca="1" si="168"/>
        <v>1</v>
      </c>
      <c r="AV427">
        <f ca="1">IF(AU427=1,IF(INDEX(分析データ!$A:$A,ROW()+$C$5)&lt;&gt;"",80000*SIGN(AT427)*(分析データ!B427-INDEX(分析データ!B:B,ROW()+$C$5)),""),"")</f>
        <v>-559999.99999999872</v>
      </c>
      <c r="AW427">
        <f t="shared" ca="1" si="169"/>
        <v>-3359999.9999999921</v>
      </c>
      <c r="AX427">
        <f t="shared" ca="1" si="170"/>
        <v>0</v>
      </c>
      <c r="AY427">
        <f t="shared" ca="1" si="171"/>
        <v>-3359999.9999999921</v>
      </c>
      <c r="AZ427">
        <f ca="1">IF(ROW()&lt;($C$7+1),"",IFERROR((分析データ!C427-AVERAGE(OFFSET(分析データ!C$1,MAX(1,ROW()-$C$7),0,MIN($C$7,ROW()-1),1)))/STDEV(OFFSET(分析データ!C$1,MAX(1,ROW()-$C$7),0,MIN($C$7,ROW()-1),1)),0))</f>
        <v>-2.0793102909354348</v>
      </c>
      <c r="BA427">
        <f t="shared" ca="1" si="172"/>
        <v>1</v>
      </c>
      <c r="BB427">
        <f ca="1">IF(BA427=1,IF(INDEX(分析データ!$A:$A,ROW()+$C$5)&lt;&gt;"",60000*SIGN(AZ427)*(分析データ!C427-INDEX(分析データ!C:C,ROW()+$C$5)),""),"")</f>
        <v>-99000.000000001193</v>
      </c>
      <c r="BC427">
        <f t="shared" ca="1" si="173"/>
        <v>-68999.999999997774</v>
      </c>
      <c r="BD427">
        <f t="shared" ca="1" si="174"/>
        <v>420000.00000000466</v>
      </c>
      <c r="BE427">
        <f t="shared" ca="1" si="175"/>
        <v>-489000.00000000244</v>
      </c>
      <c r="BF427">
        <f ca="1">IF(ROW()&lt;($C$7+1),"",IFERROR((分析データ!D427-AVERAGE(OFFSET(分析データ!D$1,MAX(1,ROW()-$C$7),0,MIN($C$7,ROW()-1),1)))/STDEV(OFFSET(分析データ!D$1,MAX(1,ROW()-$C$7),0,MIN($C$7,ROW()-1),1)),0))</f>
        <v>-2.248865051298484</v>
      </c>
      <c r="BG427">
        <f t="shared" ca="1" si="176"/>
        <v>1</v>
      </c>
      <c r="BH427">
        <f ca="1">IF(BG427=1,IF(INDEX(分析データ!$A:$A,ROW()+$C$5)&lt;&gt;"",50000*SIGN(BF427)*(分析データ!D427-INDEX(分析データ!D:D,ROW()+$C$5)),""),"")</f>
        <v>669999.99999999884</v>
      </c>
      <c r="BI427">
        <f t="shared" ca="1" si="177"/>
        <v>-2489999.9999999935</v>
      </c>
      <c r="BJ427">
        <f t="shared" ca="1" si="178"/>
        <v>1695000.0000000016</v>
      </c>
      <c r="BK427">
        <f t="shared" ca="1" si="179"/>
        <v>-4184999.9999999953</v>
      </c>
      <c r="BL427">
        <f ca="1">IF(ROW()&lt;($C$7+1),"",IFERROR((分析データ!E427-AVERAGE(OFFSET(分析データ!E$1,MAX(1,ROW()-$C$7),0,MIN($C$7,ROW()-1),1)))/STDEV(OFFSET(分析データ!E$1,MAX(1,ROW()-$C$7),0,MIN($C$7,ROW()-1),1)),0))</f>
        <v>2.444686054574198</v>
      </c>
      <c r="BM427">
        <f t="shared" ca="1" si="180"/>
        <v>1</v>
      </c>
      <c r="BN427">
        <f ca="1">IF(BM427=1,IF(INDEX(分析データ!$A:$A,ROW()+$C$5)&lt;&gt;"",40000*SIGN(BL427)*(分析データ!E427-INDEX(分析データ!E:E,ROW()+$C$5)),""),"")</f>
        <v>-120000.00000000099</v>
      </c>
      <c r="BO427">
        <f t="shared" ca="1" si="181"/>
        <v>-1119999.9999999923</v>
      </c>
      <c r="BP427">
        <f t="shared" ca="1" si="182"/>
        <v>1040000.0000000063</v>
      </c>
      <c r="BQ427">
        <f t="shared" ca="1" si="183"/>
        <v>-2159999.9999999986</v>
      </c>
      <c r="BR427">
        <f ca="1">IF(ROW()&lt;($C$7+1),"",IFERROR((分析データ!F427-AVERAGE(OFFSET(分析データ!F$1,MAX(1,ROW()-$C$7),0,MIN($C$7,ROW()-1),1)))/STDEV(OFFSET(分析データ!F$1,MAX(1,ROW()-$C$7),0,MIN($C$7,ROW()-1),1)),0))</f>
        <v>0.74142107086272391</v>
      </c>
      <c r="BS427">
        <f t="shared" ca="1" si="184"/>
        <v>0</v>
      </c>
      <c r="BT427" t="str">
        <f ca="1">IF(BS427=1,IF(INDEX(分析データ!$A:$A,ROW()+$C$5)&lt;&gt;"",40000*SIGN(BR427)*(分析データ!F427-INDEX(分析データ!F:F,ROW()+$C$5)),""),"")</f>
        <v/>
      </c>
      <c r="BU427">
        <f t="shared" ca="1" si="185"/>
        <v>583200.00000000163</v>
      </c>
      <c r="BV427">
        <f t="shared" ca="1" si="186"/>
        <v>583200.00000000163</v>
      </c>
      <c r="BW427">
        <f t="shared" ca="1" si="187"/>
        <v>0</v>
      </c>
      <c r="BX427">
        <f ca="1">IF(ROW()&lt;($C$7+1),"",IFERROR((分析データ!G427-AVERAGE(OFFSET(分析データ!G$1,MAX(1,ROW()-$C$7),0,MIN($C$7,ROW()-1),1)))/STDEV(OFFSET(分析データ!G$1,MAX(1,ROW()-$C$7),0,MIN($C$7,ROW()-1),1)),0))</f>
        <v>1.8863387420727806</v>
      </c>
      <c r="BY427">
        <f t="shared" ca="1" si="188"/>
        <v>0</v>
      </c>
      <c r="BZ427" t="str">
        <f ca="1">IF(BY427=1,IF(INDEX(分析データ!$A:$A,ROW()+$C$5)&lt;&gt;"",40000*SIGN(BX427)*(分析データ!G427-INDEX(分析データ!G:G,ROW()+$C$5)),""),"")</f>
        <v/>
      </c>
      <c r="CA427">
        <f t="shared" ca="1" si="189"/>
        <v>4220275.7177734375</v>
      </c>
      <c r="CB427">
        <f t="shared" ca="1" si="190"/>
        <v>4220275.7177734375</v>
      </c>
      <c r="CC427">
        <f t="shared" ca="1" si="191"/>
        <v>0</v>
      </c>
      <c r="CD427">
        <f t="shared" ca="1" si="192"/>
        <v>-109000.00000000204</v>
      </c>
      <c r="CE427">
        <f t="shared" ca="1" si="193"/>
        <v>-2235524.2822265327</v>
      </c>
      <c r="CF427">
        <f t="shared" ca="1" si="194"/>
        <v>6770475.7177734533</v>
      </c>
      <c r="CG427">
        <f t="shared" ca="1" si="195"/>
        <v>-9005999.9999999851</v>
      </c>
      <c r="CH427" s="10">
        <f>分析データ!A427</f>
        <v>45547</v>
      </c>
    </row>
    <row r="428" spans="46:86">
      <c r="AT428">
        <f ca="1">IF(ROW()&lt;($C$7+1),"",IFERROR((分析データ!B428-AVERAGE(OFFSET(分析データ!B$1,MAX(1,ROW()-$C$7),0,MIN($C$7,ROW()-1),1)))/STDEV(OFFSET(分析データ!B$1,MAX(1,ROW()-$C$7),0,MIN($C$7,ROW()-1),1)),0))</f>
        <v>2.6056173968072356</v>
      </c>
      <c r="AU428">
        <f t="shared" ca="1" si="168"/>
        <v>1</v>
      </c>
      <c r="AV428">
        <f ca="1">IF(AU428=1,IF(INDEX(分析データ!$A:$A,ROW()+$C$5)&lt;&gt;"",80000*SIGN(AT428)*(分析データ!B428-INDEX(分析データ!B:B,ROW()+$C$5)),""),"")</f>
        <v>-320000.00000000029</v>
      </c>
      <c r="AW428">
        <f t="shared" ca="1" si="169"/>
        <v>-3679999.9999999925</v>
      </c>
      <c r="AX428">
        <f t="shared" ca="1" si="170"/>
        <v>0</v>
      </c>
      <c r="AY428">
        <f t="shared" ca="1" si="171"/>
        <v>-3679999.9999999925</v>
      </c>
      <c r="AZ428">
        <f ca="1">IF(ROW()&lt;($C$7+1),"",IFERROR((分析データ!C428-AVERAGE(OFFSET(分析データ!C$1,MAX(1,ROW()-$C$7),0,MIN($C$7,ROW()-1),1)))/STDEV(OFFSET(分析データ!C$1,MAX(1,ROW()-$C$7),0,MIN($C$7,ROW()-1),1)),0))</f>
        <v>-2.1118370936142044</v>
      </c>
      <c r="BA428">
        <f t="shared" ca="1" si="172"/>
        <v>1</v>
      </c>
      <c r="BB428">
        <f ca="1">IF(BA428=1,IF(INDEX(分析データ!$A:$A,ROW()+$C$5)&lt;&gt;"",60000*SIGN(AZ428)*(分析データ!C428-INDEX(分析データ!C:C,ROW()+$C$5)),""),"")</f>
        <v>-198000.00000000026</v>
      </c>
      <c r="BC428">
        <f t="shared" ca="1" si="173"/>
        <v>-266999.99999999802</v>
      </c>
      <c r="BD428">
        <f t="shared" ca="1" si="174"/>
        <v>420000.00000000466</v>
      </c>
      <c r="BE428">
        <f t="shared" ca="1" si="175"/>
        <v>-687000.00000000268</v>
      </c>
      <c r="BF428">
        <f ca="1">IF(ROW()&lt;($C$7+1),"",IFERROR((分析データ!D428-AVERAGE(OFFSET(分析データ!D$1,MAX(1,ROW()-$C$7),0,MIN($C$7,ROW()-1),1)))/STDEV(OFFSET(分析データ!D$1,MAX(1,ROW()-$C$7),0,MIN($C$7,ROW()-1),1)),0))</f>
        <v>-2.2235378076444516</v>
      </c>
      <c r="BG428">
        <f t="shared" ca="1" si="176"/>
        <v>1</v>
      </c>
      <c r="BH428">
        <f ca="1">IF(BG428=1,IF(INDEX(分析データ!$A:$A,ROW()+$C$5)&lt;&gt;"",50000*SIGN(BF428)*(分析データ!D428-INDEX(分析データ!D:D,ROW()+$C$5)),""),"")</f>
        <v>594999.99999999884</v>
      </c>
      <c r="BI428">
        <f t="shared" ca="1" si="177"/>
        <v>-1894999.9999999946</v>
      </c>
      <c r="BJ428">
        <f t="shared" ca="1" si="178"/>
        <v>1695000.0000000016</v>
      </c>
      <c r="BK428">
        <f t="shared" ca="1" si="179"/>
        <v>-3589999.9999999963</v>
      </c>
      <c r="BL428">
        <f ca="1">IF(ROW()&lt;($C$7+1),"",IFERROR((分析データ!E428-AVERAGE(OFFSET(分析データ!E$1,MAX(1,ROW()-$C$7),0,MIN($C$7,ROW()-1),1)))/STDEV(OFFSET(分析データ!E$1,MAX(1,ROW()-$C$7),0,MIN($C$7,ROW()-1),1)),0))</f>
        <v>2.6887891682588942</v>
      </c>
      <c r="BM428">
        <f t="shared" ca="1" si="180"/>
        <v>1</v>
      </c>
      <c r="BN428">
        <f ca="1">IF(BM428=1,IF(INDEX(分析データ!$A:$A,ROW()+$C$5)&lt;&gt;"",40000*SIGN(BL428)*(分析データ!E428-INDEX(分析データ!E:E,ROW()+$C$5)),""),"")</f>
        <v>-80000</v>
      </c>
      <c r="BO428">
        <f t="shared" ca="1" si="181"/>
        <v>-1199999.9999999923</v>
      </c>
      <c r="BP428">
        <f t="shared" ca="1" si="182"/>
        <v>1040000.0000000063</v>
      </c>
      <c r="BQ428">
        <f t="shared" ca="1" si="183"/>
        <v>-2239999.9999999986</v>
      </c>
      <c r="BR428">
        <f ca="1">IF(ROW()&lt;($C$7+1),"",IFERROR((分析データ!F428-AVERAGE(OFFSET(分析データ!F$1,MAX(1,ROW()-$C$7),0,MIN($C$7,ROW()-1),1)))/STDEV(OFFSET(分析データ!F$1,MAX(1,ROW()-$C$7),0,MIN($C$7,ROW()-1),1)),0))</f>
        <v>1.2507378785159375</v>
      </c>
      <c r="BS428">
        <f t="shared" ca="1" si="184"/>
        <v>0</v>
      </c>
      <c r="BT428" t="str">
        <f ca="1">IF(BS428=1,IF(INDEX(分析データ!$A:$A,ROW()+$C$5)&lt;&gt;"",40000*SIGN(BR428)*(分析データ!F428-INDEX(分析データ!F:F,ROW()+$C$5)),""),"")</f>
        <v/>
      </c>
      <c r="BU428">
        <f t="shared" ca="1" si="185"/>
        <v>583200.00000000163</v>
      </c>
      <c r="BV428">
        <f t="shared" ca="1" si="186"/>
        <v>583200.00000000163</v>
      </c>
      <c r="BW428">
        <f t="shared" ca="1" si="187"/>
        <v>0</v>
      </c>
      <c r="BX428">
        <f ca="1">IF(ROW()&lt;($C$7+1),"",IFERROR((分析データ!G428-AVERAGE(OFFSET(分析データ!G$1,MAX(1,ROW()-$C$7),0,MIN($C$7,ROW()-1),1)))/STDEV(OFFSET(分析データ!G$1,MAX(1,ROW()-$C$7),0,MIN($C$7,ROW()-1),1)),0))</f>
        <v>1.403011969220362</v>
      </c>
      <c r="BY428">
        <f t="shared" ca="1" si="188"/>
        <v>0</v>
      </c>
      <c r="BZ428" t="str">
        <f ca="1">IF(BY428=1,IF(INDEX(分析データ!$A:$A,ROW()+$C$5)&lt;&gt;"",40000*SIGN(BX428)*(分析データ!G428-INDEX(分析データ!G:G,ROW()+$C$5)),""),"")</f>
        <v/>
      </c>
      <c r="CA428">
        <f t="shared" ca="1" si="189"/>
        <v>4220275.7177734375</v>
      </c>
      <c r="CB428">
        <f t="shared" ca="1" si="190"/>
        <v>4220275.7177734375</v>
      </c>
      <c r="CC428">
        <f t="shared" ca="1" si="191"/>
        <v>0</v>
      </c>
      <c r="CD428">
        <f t="shared" ca="1" si="192"/>
        <v>-3000.0000000017462</v>
      </c>
      <c r="CE428">
        <f t="shared" ca="1" si="193"/>
        <v>-2238524.2822265346</v>
      </c>
      <c r="CF428">
        <f t="shared" ca="1" si="194"/>
        <v>6770475.7177734533</v>
      </c>
      <c r="CG428">
        <f t="shared" ca="1" si="195"/>
        <v>-9008999.9999999888</v>
      </c>
      <c r="CH428" s="10">
        <f>分析データ!A428</f>
        <v>45548</v>
      </c>
    </row>
    <row r="429" spans="46:86">
      <c r="AT429">
        <f ca="1">IF(ROW()&lt;($C$7+1),"",IFERROR((分析データ!B429-AVERAGE(OFFSET(分析データ!B$1,MAX(1,ROW()-$C$7),0,MIN($C$7,ROW()-1),1)))/STDEV(OFFSET(分析データ!B$1,MAX(1,ROW()-$C$7),0,MIN($C$7,ROW()-1),1)),0))</f>
        <v>2.5000968261826695</v>
      </c>
      <c r="AU429">
        <f t="shared" ca="1" si="168"/>
        <v>1</v>
      </c>
      <c r="AV429">
        <f ca="1">IF(AU429=1,IF(INDEX(分析データ!$A:$A,ROW()+$C$5)&lt;&gt;"",80000*SIGN(AT429)*(分析データ!B429-INDEX(分析データ!B:B,ROW()+$C$5)),""),"")</f>
        <v>-240000.00000000198</v>
      </c>
      <c r="AW429">
        <f t="shared" ca="1" si="169"/>
        <v>-3919999.9999999944</v>
      </c>
      <c r="AX429">
        <f t="shared" ca="1" si="170"/>
        <v>0</v>
      </c>
      <c r="AY429">
        <f t="shared" ca="1" si="171"/>
        <v>-3919999.9999999944</v>
      </c>
      <c r="AZ429">
        <f ca="1">IF(ROW()&lt;($C$7+1),"",IFERROR((分析データ!C429-AVERAGE(OFFSET(分析データ!C$1,MAX(1,ROW()-$C$7),0,MIN($C$7,ROW()-1),1)))/STDEV(OFFSET(分析データ!C$1,MAX(1,ROW()-$C$7),0,MIN($C$7,ROW()-1),1)),0))</f>
        <v>-2.0877140586252732</v>
      </c>
      <c r="BA429">
        <f t="shared" ca="1" si="172"/>
        <v>1</v>
      </c>
      <c r="BB429">
        <f ca="1">IF(BA429=1,IF(INDEX(分析データ!$A:$A,ROW()+$C$5)&lt;&gt;"",60000*SIGN(AZ429)*(分析データ!C429-INDEX(分析データ!C:C,ROW()+$C$5)),""),"")</f>
        <v>-51000.000000000939</v>
      </c>
      <c r="BC429">
        <f t="shared" ca="1" si="173"/>
        <v>-317999.99999999895</v>
      </c>
      <c r="BD429">
        <f t="shared" ca="1" si="174"/>
        <v>420000.00000000466</v>
      </c>
      <c r="BE429">
        <f t="shared" ca="1" si="175"/>
        <v>-738000.00000000361</v>
      </c>
      <c r="BF429">
        <f ca="1">IF(ROW()&lt;($C$7+1),"",IFERROR((分析データ!D429-AVERAGE(OFFSET(分析データ!D$1,MAX(1,ROW()-$C$7),0,MIN($C$7,ROW()-1),1)))/STDEV(OFFSET(分析データ!D$1,MAX(1,ROW()-$C$7),0,MIN($C$7,ROW()-1),1)),0))</f>
        <v>-2.290031720116152</v>
      </c>
      <c r="BG429">
        <f t="shared" ca="1" si="176"/>
        <v>1</v>
      </c>
      <c r="BH429">
        <f ca="1">IF(BG429=1,IF(INDEX(分析データ!$A:$A,ROW()+$C$5)&lt;&gt;"",50000*SIGN(BF429)*(分析データ!D429-INDEX(分析データ!D:D,ROW()+$C$5)),""),"")</f>
        <v>819999.99999999884</v>
      </c>
      <c r="BI429">
        <f t="shared" ca="1" si="177"/>
        <v>-1074999.9999999958</v>
      </c>
      <c r="BJ429">
        <f t="shared" ca="1" si="178"/>
        <v>1695000.0000000016</v>
      </c>
      <c r="BK429">
        <f t="shared" ca="1" si="179"/>
        <v>-2769999.9999999972</v>
      </c>
      <c r="BL429">
        <f ca="1">IF(ROW()&lt;($C$7+1),"",IFERROR((分析データ!E429-AVERAGE(OFFSET(分析データ!E$1,MAX(1,ROW()-$C$7),0,MIN($C$7,ROW()-1),1)))/STDEV(OFFSET(分析データ!E$1,MAX(1,ROW()-$C$7),0,MIN($C$7,ROW()-1),1)),0))</f>
        <v>2.52858421829248</v>
      </c>
      <c r="BM429">
        <f t="shared" ca="1" si="180"/>
        <v>1</v>
      </c>
      <c r="BN429">
        <f ca="1">IF(BM429=1,IF(INDEX(分析データ!$A:$A,ROW()+$C$5)&lt;&gt;"",40000*SIGN(BL429)*(分析データ!E429-INDEX(分析データ!E:E,ROW()+$C$5)),""),"")</f>
        <v>-40000.000000000997</v>
      </c>
      <c r="BO429">
        <f t="shared" ca="1" si="181"/>
        <v>-1239999.9999999932</v>
      </c>
      <c r="BP429">
        <f t="shared" ca="1" si="182"/>
        <v>1040000.0000000063</v>
      </c>
      <c r="BQ429">
        <f t="shared" ca="1" si="183"/>
        <v>-2279999.9999999995</v>
      </c>
      <c r="BR429">
        <f ca="1">IF(ROW()&lt;($C$7+1),"",IFERROR((分析データ!F429-AVERAGE(OFFSET(分析データ!F$1,MAX(1,ROW()-$C$7),0,MIN($C$7,ROW()-1),1)))/STDEV(OFFSET(分析データ!F$1,MAX(1,ROW()-$C$7),0,MIN($C$7,ROW()-1),1)),0))</f>
        <v>1.3442613014942077</v>
      </c>
      <c r="BS429">
        <f t="shared" ca="1" si="184"/>
        <v>0</v>
      </c>
      <c r="BT429" t="str">
        <f ca="1">IF(BS429=1,IF(INDEX(分析データ!$A:$A,ROW()+$C$5)&lt;&gt;"",40000*SIGN(BR429)*(分析データ!F429-INDEX(分析データ!F:F,ROW()+$C$5)),""),"")</f>
        <v/>
      </c>
      <c r="BU429">
        <f t="shared" ca="1" si="185"/>
        <v>583200.00000000163</v>
      </c>
      <c r="BV429">
        <f t="shared" ca="1" si="186"/>
        <v>583200.00000000163</v>
      </c>
      <c r="BW429">
        <f t="shared" ca="1" si="187"/>
        <v>0</v>
      </c>
      <c r="BX429">
        <f ca="1">IF(ROW()&lt;($C$7+1),"",IFERROR((分析データ!G429-AVERAGE(OFFSET(分析データ!G$1,MAX(1,ROW()-$C$7),0,MIN($C$7,ROW()-1),1)))/STDEV(OFFSET(分析データ!G$1,MAX(1,ROW()-$C$7),0,MIN($C$7,ROW()-1),1)),0))</f>
        <v>1.44208631596933</v>
      </c>
      <c r="BY429">
        <f t="shared" ca="1" si="188"/>
        <v>0</v>
      </c>
      <c r="BZ429" t="str">
        <f ca="1">IF(BY429=1,IF(INDEX(分析データ!$A:$A,ROW()+$C$5)&lt;&gt;"",40000*SIGN(BX429)*(分析データ!G429-INDEX(分析データ!G:G,ROW()+$C$5)),""),"")</f>
        <v/>
      </c>
      <c r="CA429">
        <f t="shared" ca="1" si="189"/>
        <v>4220275.7177734375</v>
      </c>
      <c r="CB429">
        <f t="shared" ca="1" si="190"/>
        <v>4220275.7177734375</v>
      </c>
      <c r="CC429">
        <f t="shared" ca="1" si="191"/>
        <v>0</v>
      </c>
      <c r="CD429">
        <f t="shared" ca="1" si="192"/>
        <v>488999.99999999494</v>
      </c>
      <c r="CE429">
        <f t="shared" ca="1" si="193"/>
        <v>-1749524.2822265397</v>
      </c>
      <c r="CF429">
        <f t="shared" ca="1" si="194"/>
        <v>6770475.7177734533</v>
      </c>
      <c r="CG429">
        <f t="shared" ca="1" si="195"/>
        <v>-8519999.9999999925</v>
      </c>
      <c r="CH429" s="10">
        <f>分析データ!A429</f>
        <v>45551</v>
      </c>
    </row>
    <row r="430" spans="46:86">
      <c r="AT430">
        <f ca="1">IF(ROW()&lt;($C$7+1),"",IFERROR((分析データ!B430-AVERAGE(OFFSET(分析データ!B$1,MAX(1,ROW()-$C$7),0,MIN($C$7,ROW()-1),1)))/STDEV(OFFSET(分析データ!B$1,MAX(1,ROW()-$C$7),0,MIN($C$7,ROW()-1),1)),0))</f>
        <v>2.3999499923830929</v>
      </c>
      <c r="AU430">
        <f t="shared" ca="1" si="168"/>
        <v>1</v>
      </c>
      <c r="AV430">
        <f ca="1">IF(AU430=1,IF(INDEX(分析データ!$A:$A,ROW()+$C$5)&lt;&gt;"",80000*SIGN(AT430)*(分析データ!B430-INDEX(分析データ!B:B,ROW()+$C$5)),""),"")</f>
        <v>-160000.0000000037</v>
      </c>
      <c r="AW430">
        <f t="shared" ca="1" si="169"/>
        <v>-4079999.9999999981</v>
      </c>
      <c r="AX430">
        <f t="shared" ca="1" si="170"/>
        <v>0</v>
      </c>
      <c r="AY430">
        <f t="shared" ca="1" si="171"/>
        <v>-4079999.9999999981</v>
      </c>
      <c r="AZ430">
        <f ca="1">IF(ROW()&lt;($C$7+1),"",IFERROR((分析データ!C430-AVERAGE(OFFSET(分析データ!C$1,MAX(1,ROW()-$C$7),0,MIN($C$7,ROW()-1),1)))/STDEV(OFFSET(分析データ!C$1,MAX(1,ROW()-$C$7),0,MIN($C$7,ROW()-1),1)),0))</f>
        <v>-2.0573141985196184</v>
      </c>
      <c r="BA430">
        <f t="shared" ca="1" si="172"/>
        <v>1</v>
      </c>
      <c r="BB430">
        <f ca="1">IF(BA430=1,IF(INDEX(分析データ!$A:$A,ROW()+$C$5)&lt;&gt;"",60000*SIGN(AZ430)*(分析データ!C430-INDEX(分析データ!C:C,ROW()+$C$5)),""),"")</f>
        <v>-47999.999999999403</v>
      </c>
      <c r="BC430">
        <f t="shared" ca="1" si="173"/>
        <v>-365999.99999999837</v>
      </c>
      <c r="BD430">
        <f t="shared" ca="1" si="174"/>
        <v>420000.00000000466</v>
      </c>
      <c r="BE430">
        <f t="shared" ca="1" si="175"/>
        <v>-786000.00000000303</v>
      </c>
      <c r="BF430">
        <f ca="1">IF(ROW()&lt;($C$7+1),"",IFERROR((分析データ!D430-AVERAGE(OFFSET(分析データ!D$1,MAX(1,ROW()-$C$7),0,MIN($C$7,ROW()-1),1)))/STDEV(OFFSET(分析データ!D$1,MAX(1,ROW()-$C$7),0,MIN($C$7,ROW()-1),1)),0))</f>
        <v>-2.1440067122782933</v>
      </c>
      <c r="BG430">
        <f t="shared" ca="1" si="176"/>
        <v>1</v>
      </c>
      <c r="BH430">
        <f ca="1">IF(BG430=1,IF(INDEX(分析データ!$A:$A,ROW()+$C$5)&lt;&gt;"",50000*SIGN(BF430)*(分析データ!D430-INDEX(分析データ!D:D,ROW()+$C$5)),""),"")</f>
        <v>295000.00000000169</v>
      </c>
      <c r="BI430">
        <f t="shared" ca="1" si="177"/>
        <v>-779999.99999999418</v>
      </c>
      <c r="BJ430">
        <f t="shared" ca="1" si="178"/>
        <v>1695000.0000000016</v>
      </c>
      <c r="BK430">
        <f t="shared" ca="1" si="179"/>
        <v>-2474999.9999999958</v>
      </c>
      <c r="BL430">
        <f ca="1">IF(ROW()&lt;($C$7+1),"",IFERROR((分析データ!E430-AVERAGE(OFFSET(分析データ!E$1,MAX(1,ROW()-$C$7),0,MIN($C$7,ROW()-1),1)))/STDEV(OFFSET(分析データ!E$1,MAX(1,ROW()-$C$7),0,MIN($C$7,ROW()-1),1)),0))</f>
        <v>2.3710608737614214</v>
      </c>
      <c r="BM430">
        <f t="shared" ca="1" si="180"/>
        <v>1</v>
      </c>
      <c r="BN430">
        <f ca="1">IF(BM430=1,IF(INDEX(分析データ!$A:$A,ROW()+$C$5)&lt;&gt;"",40000*SIGN(BL430)*(分析データ!E430-INDEX(分析データ!E:E,ROW()+$C$5)),""),"")</f>
        <v>-80000.000000001848</v>
      </c>
      <c r="BO430">
        <f t="shared" ca="1" si="181"/>
        <v>-1319999.9999999951</v>
      </c>
      <c r="BP430">
        <f t="shared" ca="1" si="182"/>
        <v>1040000.0000000063</v>
      </c>
      <c r="BQ430">
        <f t="shared" ca="1" si="183"/>
        <v>-2360000.0000000014</v>
      </c>
      <c r="BR430">
        <f ca="1">IF(ROW()&lt;($C$7+1),"",IFERROR((分析データ!F430-AVERAGE(OFFSET(分析データ!F$1,MAX(1,ROW()-$C$7),0,MIN($C$7,ROW()-1),1)))/STDEV(OFFSET(分析データ!F$1,MAX(1,ROW()-$C$7),0,MIN($C$7,ROW()-1),1)),0))</f>
        <v>1.2078417692152057</v>
      </c>
      <c r="BS430">
        <f t="shared" ca="1" si="184"/>
        <v>0</v>
      </c>
      <c r="BT430" t="str">
        <f ca="1">IF(BS430=1,IF(INDEX(分析データ!$A:$A,ROW()+$C$5)&lt;&gt;"",40000*SIGN(BR430)*(分析データ!F430-INDEX(分析データ!F:F,ROW()+$C$5)),""),"")</f>
        <v/>
      </c>
      <c r="BU430">
        <f t="shared" ca="1" si="185"/>
        <v>583200.00000000163</v>
      </c>
      <c r="BV430">
        <f t="shared" ca="1" si="186"/>
        <v>583200.00000000163</v>
      </c>
      <c r="BW430">
        <f t="shared" ca="1" si="187"/>
        <v>0</v>
      </c>
      <c r="BX430">
        <f ca="1">IF(ROW()&lt;($C$7+1),"",IFERROR((分析データ!G430-AVERAGE(OFFSET(分析データ!G$1,MAX(1,ROW()-$C$7),0,MIN($C$7,ROW()-1),1)))/STDEV(OFFSET(分析データ!G$1,MAX(1,ROW()-$C$7),0,MIN($C$7,ROW()-1),1)),0))</f>
        <v>1.6257838412295467</v>
      </c>
      <c r="BY430">
        <f t="shared" ca="1" si="188"/>
        <v>0</v>
      </c>
      <c r="BZ430" t="str">
        <f ca="1">IF(BY430=1,IF(INDEX(分析データ!$A:$A,ROW()+$C$5)&lt;&gt;"",40000*SIGN(BX430)*(分析データ!G430-INDEX(分析データ!G:G,ROW()+$C$5)),""),"")</f>
        <v/>
      </c>
      <c r="CA430">
        <f t="shared" ca="1" si="189"/>
        <v>4220275.7177734375</v>
      </c>
      <c r="CB430">
        <f t="shared" ca="1" si="190"/>
        <v>4220275.7177734375</v>
      </c>
      <c r="CC430">
        <f t="shared" ca="1" si="191"/>
        <v>0</v>
      </c>
      <c r="CD430">
        <f t="shared" ca="1" si="192"/>
        <v>6999.9999999967549</v>
      </c>
      <c r="CE430">
        <f t="shared" ca="1" si="193"/>
        <v>-1742524.2822265429</v>
      </c>
      <c r="CF430">
        <f t="shared" ca="1" si="194"/>
        <v>6770475.7177734533</v>
      </c>
      <c r="CG430">
        <f t="shared" ca="1" si="195"/>
        <v>-8512999.9999999963</v>
      </c>
      <c r="CH430" s="10">
        <f>分析データ!A430</f>
        <v>45552</v>
      </c>
    </row>
    <row r="431" spans="46:86">
      <c r="AT431">
        <f ca="1">IF(ROW()&lt;($C$7+1),"",IFERROR((分析データ!B431-AVERAGE(OFFSET(分析データ!B$1,MAX(1,ROW()-$C$7),0,MIN($C$7,ROW()-1),1)))/STDEV(OFFSET(分析データ!B$1,MAX(1,ROW()-$C$7),0,MIN($C$7,ROW()-1),1)),0))</f>
        <v>2.4918513407795806</v>
      </c>
      <c r="AU431">
        <f t="shared" ca="1" si="168"/>
        <v>1</v>
      </c>
      <c r="AV431">
        <f ca="1">IF(AU431=1,IF(INDEX(分析データ!$A:$A,ROW()+$C$5)&lt;&gt;"",80000*SIGN(AT431)*(分析データ!B431-INDEX(分析データ!B:B,ROW()+$C$5)),""),"")</f>
        <v>-200000.00000000285</v>
      </c>
      <c r="AW431">
        <f t="shared" ca="1" si="169"/>
        <v>-4280000.0000000009</v>
      </c>
      <c r="AX431">
        <f t="shared" ca="1" si="170"/>
        <v>0</v>
      </c>
      <c r="AY431">
        <f t="shared" ca="1" si="171"/>
        <v>-4280000.0000000009</v>
      </c>
      <c r="AZ431">
        <f ca="1">IF(ROW()&lt;($C$7+1),"",IFERROR((分析データ!C431-AVERAGE(OFFSET(分析データ!C$1,MAX(1,ROW()-$C$7),0,MIN($C$7,ROW()-1),1)))/STDEV(OFFSET(分析データ!C$1,MAX(1,ROW()-$C$7),0,MIN($C$7,ROW()-1),1)),0))</f>
        <v>-2.0562462851622962</v>
      </c>
      <c r="BA431">
        <f t="shared" ca="1" si="172"/>
        <v>1</v>
      </c>
      <c r="BB431">
        <f ca="1">IF(BA431=1,IF(INDEX(分析データ!$A:$A,ROW()+$C$5)&lt;&gt;"",60000*SIGN(AZ431)*(分析データ!C431-INDEX(分析データ!C:C,ROW()+$C$5)),""),"")</f>
        <v>-152999.99999999983</v>
      </c>
      <c r="BC431">
        <f t="shared" ca="1" si="173"/>
        <v>-518999.9999999982</v>
      </c>
      <c r="BD431">
        <f t="shared" ca="1" si="174"/>
        <v>420000.00000000466</v>
      </c>
      <c r="BE431">
        <f t="shared" ca="1" si="175"/>
        <v>-939000.00000000279</v>
      </c>
      <c r="BF431">
        <f ca="1">IF(ROW()&lt;($C$7+1),"",IFERROR((分析データ!D431-AVERAGE(OFFSET(分析データ!D$1,MAX(1,ROW()-$C$7),0,MIN($C$7,ROW()-1),1)))/STDEV(OFFSET(分析データ!D$1,MAX(1,ROW()-$C$7),0,MIN($C$7,ROW()-1),1)),0))</f>
        <v>-1.9454580040307401</v>
      </c>
      <c r="BG431">
        <f t="shared" ca="1" si="176"/>
        <v>0</v>
      </c>
      <c r="BH431" t="str">
        <f ca="1">IF(BG431=1,IF(INDEX(分析データ!$A:$A,ROW()+$C$5)&lt;&gt;"",50000*SIGN(BF431)*(分析データ!D431-INDEX(分析データ!D:D,ROW()+$C$5)),""),"")</f>
        <v/>
      </c>
      <c r="BI431">
        <f t="shared" ca="1" si="177"/>
        <v>-779999.99999999418</v>
      </c>
      <c r="BJ431">
        <f t="shared" ca="1" si="178"/>
        <v>1695000.0000000016</v>
      </c>
      <c r="BK431">
        <f t="shared" ca="1" si="179"/>
        <v>-2474999.9999999958</v>
      </c>
      <c r="BL431">
        <f ca="1">IF(ROW()&lt;($C$7+1),"",IFERROR((分析データ!E431-AVERAGE(OFFSET(分析データ!E$1,MAX(1,ROW()-$C$7),0,MIN($C$7,ROW()-1),1)))/STDEV(OFFSET(分析データ!E$1,MAX(1,ROW()-$C$7),0,MIN($C$7,ROW()-1),1)),0))</f>
        <v>2.6115970086409499</v>
      </c>
      <c r="BM431">
        <f t="shared" ca="1" si="180"/>
        <v>1</v>
      </c>
      <c r="BN431">
        <f ca="1">IF(BM431=1,IF(INDEX(分析データ!$A:$A,ROW()+$C$5)&lt;&gt;"",40000*SIGN(BL431)*(分析データ!E431-INDEX(分析データ!E:E,ROW()+$C$5)),""),"")</f>
        <v>-40000.000000000851</v>
      </c>
      <c r="BO431">
        <f t="shared" ca="1" si="181"/>
        <v>-1359999.999999996</v>
      </c>
      <c r="BP431">
        <f t="shared" ca="1" si="182"/>
        <v>1040000.0000000063</v>
      </c>
      <c r="BQ431">
        <f t="shared" ca="1" si="183"/>
        <v>-2400000.0000000023</v>
      </c>
      <c r="BR431">
        <f ca="1">IF(ROW()&lt;($C$7+1),"",IFERROR((分析データ!F431-AVERAGE(OFFSET(分析データ!F$1,MAX(1,ROW()-$C$7),0,MIN($C$7,ROW()-1),1)))/STDEV(OFFSET(分析データ!F$1,MAX(1,ROW()-$C$7),0,MIN($C$7,ROW()-1),1)),0))</f>
        <v>0.95937561947563943</v>
      </c>
      <c r="BS431">
        <f t="shared" ca="1" si="184"/>
        <v>0</v>
      </c>
      <c r="BT431" t="str">
        <f ca="1">IF(BS431=1,IF(INDEX(分析データ!$A:$A,ROW()+$C$5)&lt;&gt;"",40000*SIGN(BR431)*(分析データ!F431-INDEX(分析データ!F:F,ROW()+$C$5)),""),"")</f>
        <v/>
      </c>
      <c r="BU431">
        <f t="shared" ca="1" si="185"/>
        <v>583200.00000000163</v>
      </c>
      <c r="BV431">
        <f t="shared" ca="1" si="186"/>
        <v>583200.00000000163</v>
      </c>
      <c r="BW431">
        <f t="shared" ca="1" si="187"/>
        <v>0</v>
      </c>
      <c r="BX431">
        <f ca="1">IF(ROW()&lt;($C$7+1),"",IFERROR((分析データ!G431-AVERAGE(OFFSET(分析データ!G$1,MAX(1,ROW()-$C$7),0,MIN($C$7,ROW()-1),1)))/STDEV(OFFSET(分析データ!G$1,MAX(1,ROW()-$C$7),0,MIN($C$7,ROW()-1),1)),0))</f>
        <v>1.4277591233641529</v>
      </c>
      <c r="BY431">
        <f t="shared" ca="1" si="188"/>
        <v>0</v>
      </c>
      <c r="BZ431" t="str">
        <f ca="1">IF(BY431=1,IF(INDEX(分析データ!$A:$A,ROW()+$C$5)&lt;&gt;"",40000*SIGN(BX431)*(分析データ!G431-INDEX(分析データ!G:G,ROW()+$C$5)),""),"")</f>
        <v/>
      </c>
      <c r="CA431">
        <f t="shared" ca="1" si="189"/>
        <v>4220275.7177734375</v>
      </c>
      <c r="CB431">
        <f t="shared" ca="1" si="190"/>
        <v>4220275.7177734375</v>
      </c>
      <c r="CC431">
        <f t="shared" ca="1" si="191"/>
        <v>0</v>
      </c>
      <c r="CD431">
        <f t="shared" ca="1" si="192"/>
        <v>-393000.00000000355</v>
      </c>
      <c r="CE431">
        <f t="shared" ca="1" si="193"/>
        <v>-2135524.2822265467</v>
      </c>
      <c r="CF431">
        <f t="shared" ca="1" si="194"/>
        <v>6770475.7177734533</v>
      </c>
      <c r="CG431">
        <f t="shared" ca="1" si="195"/>
        <v>-8906000</v>
      </c>
      <c r="CH431" s="10">
        <f>分析データ!A431</f>
        <v>45553</v>
      </c>
    </row>
    <row r="432" spans="46:86">
      <c r="AT432">
        <f ca="1">IF(ROW()&lt;($C$7+1),"",IFERROR((分析データ!B432-AVERAGE(OFFSET(分析データ!B$1,MAX(1,ROW()-$C$7),0,MIN($C$7,ROW()-1),1)))/STDEV(OFFSET(分析データ!B$1,MAX(1,ROW()-$C$7),0,MIN($C$7,ROW()-1),1)),0))</f>
        <v>2.9855309044610907</v>
      </c>
      <c r="AU432">
        <f t="shared" ca="1" si="168"/>
        <v>1</v>
      </c>
      <c r="AV432">
        <f ca="1">IF(AU432=1,IF(INDEX(分析データ!$A:$A,ROW()+$C$5)&lt;&gt;"",80000*SIGN(AT432)*(分析データ!B432-INDEX(分析データ!B:B,ROW()+$C$5)),""),"")</f>
        <v>-39999.999999999149</v>
      </c>
      <c r="AW432">
        <f t="shared" ca="1" si="169"/>
        <v>-4320000</v>
      </c>
      <c r="AX432">
        <f t="shared" ca="1" si="170"/>
        <v>0</v>
      </c>
      <c r="AY432">
        <f t="shared" ca="1" si="171"/>
        <v>-4320000</v>
      </c>
      <c r="AZ432">
        <f ca="1">IF(ROW()&lt;($C$7+1),"",IFERROR((分析データ!C432-AVERAGE(OFFSET(分析データ!C$1,MAX(1,ROW()-$C$7),0,MIN($C$7,ROW()-1),1)))/STDEV(OFFSET(分析データ!C$1,MAX(1,ROW()-$C$7),0,MIN($C$7,ROW()-1),1)),0))</f>
        <v>-2.1045748814004117</v>
      </c>
      <c r="BA432">
        <f t="shared" ca="1" si="172"/>
        <v>1</v>
      </c>
      <c r="BB432">
        <f ca="1">IF(BA432=1,IF(INDEX(分析データ!$A:$A,ROW()+$C$5)&lt;&gt;"",60000*SIGN(AZ432)*(分析データ!C432-INDEX(分析データ!C:C,ROW()+$C$5)),""),"")</f>
        <v>-113999.99999999949</v>
      </c>
      <c r="BC432">
        <f t="shared" ca="1" si="173"/>
        <v>-632999.99999999767</v>
      </c>
      <c r="BD432">
        <f t="shared" ca="1" si="174"/>
        <v>420000.00000000466</v>
      </c>
      <c r="BE432">
        <f t="shared" ca="1" si="175"/>
        <v>-1053000.0000000023</v>
      </c>
      <c r="BF432">
        <f ca="1">IF(ROW()&lt;($C$7+1),"",IFERROR((分析データ!D432-AVERAGE(OFFSET(分析データ!D$1,MAX(1,ROW()-$C$7),0,MIN($C$7,ROW()-1),1)))/STDEV(OFFSET(分析データ!D$1,MAX(1,ROW()-$C$7),0,MIN($C$7,ROW()-1),1)),0))</f>
        <v>-1.9191702962867565</v>
      </c>
      <c r="BG432">
        <f t="shared" ca="1" si="176"/>
        <v>0</v>
      </c>
      <c r="BH432" t="str">
        <f ca="1">IF(BG432=1,IF(INDEX(分析データ!$A:$A,ROW()+$C$5)&lt;&gt;"",50000*SIGN(BF432)*(分析データ!D432-INDEX(分析データ!D:D,ROW()+$C$5)),""),"")</f>
        <v/>
      </c>
      <c r="BI432">
        <f t="shared" ca="1" si="177"/>
        <v>-779999.99999999418</v>
      </c>
      <c r="BJ432">
        <f t="shared" ca="1" si="178"/>
        <v>1695000.0000000016</v>
      </c>
      <c r="BK432">
        <f t="shared" ca="1" si="179"/>
        <v>-2474999.9999999958</v>
      </c>
      <c r="BL432">
        <f ca="1">IF(ROW()&lt;($C$7+1),"",IFERROR((分析データ!E432-AVERAGE(OFFSET(分析データ!E$1,MAX(1,ROW()-$C$7),0,MIN($C$7,ROW()-1),1)))/STDEV(OFFSET(分析データ!E$1,MAX(1,ROW()-$C$7),0,MIN($C$7,ROW()-1),1)),0))</f>
        <v>2.7173289786509827</v>
      </c>
      <c r="BM432">
        <f t="shared" ca="1" si="180"/>
        <v>1</v>
      </c>
      <c r="BN432">
        <f ca="1">IF(BM432=1,IF(INDEX(分析データ!$A:$A,ROW()+$C$5)&lt;&gt;"",40000*SIGN(BL432)*(分析データ!E432-INDEX(分析データ!E:E,ROW()+$C$5)),""),"")</f>
        <v>39999.999999999149</v>
      </c>
      <c r="BO432">
        <f t="shared" ca="1" si="181"/>
        <v>-1319999.999999997</v>
      </c>
      <c r="BP432">
        <f t="shared" ca="1" si="182"/>
        <v>1040000.0000000063</v>
      </c>
      <c r="BQ432">
        <f t="shared" ca="1" si="183"/>
        <v>-2360000.0000000033</v>
      </c>
      <c r="BR432">
        <f ca="1">IF(ROW()&lt;($C$7+1),"",IFERROR((分析データ!F432-AVERAGE(OFFSET(分析データ!F$1,MAX(1,ROW()-$C$7),0,MIN($C$7,ROW()-1),1)))/STDEV(OFFSET(分析データ!F$1,MAX(1,ROW()-$C$7),0,MIN($C$7,ROW()-1),1)),0))</f>
        <v>1.3014236347407331</v>
      </c>
      <c r="BS432">
        <f t="shared" ca="1" si="184"/>
        <v>0</v>
      </c>
      <c r="BT432" t="str">
        <f ca="1">IF(BS432=1,IF(INDEX(分析データ!$A:$A,ROW()+$C$5)&lt;&gt;"",40000*SIGN(BR432)*(分析データ!F432-INDEX(分析データ!F:F,ROW()+$C$5)),""),"")</f>
        <v/>
      </c>
      <c r="BU432">
        <f t="shared" ca="1" si="185"/>
        <v>583200.00000000163</v>
      </c>
      <c r="BV432">
        <f t="shared" ca="1" si="186"/>
        <v>583200.00000000163</v>
      </c>
      <c r="BW432">
        <f t="shared" ca="1" si="187"/>
        <v>0</v>
      </c>
      <c r="BX432">
        <f ca="1">IF(ROW()&lt;($C$7+1),"",IFERROR((分析データ!G432-AVERAGE(OFFSET(分析データ!G$1,MAX(1,ROW()-$C$7),0,MIN($C$7,ROW()-1),1)))/STDEV(OFFSET(分析データ!G$1,MAX(1,ROW()-$C$7),0,MIN($C$7,ROW()-1),1)),0))</f>
        <v>1.3502642066305854</v>
      </c>
      <c r="BY432">
        <f t="shared" ca="1" si="188"/>
        <v>0</v>
      </c>
      <c r="BZ432" t="str">
        <f ca="1">IF(BY432=1,IF(INDEX(分析データ!$A:$A,ROW()+$C$5)&lt;&gt;"",40000*SIGN(BX432)*(分析データ!G432-INDEX(分析データ!G:G,ROW()+$C$5)),""),"")</f>
        <v/>
      </c>
      <c r="CA432">
        <f t="shared" ca="1" si="189"/>
        <v>4220275.7177734375</v>
      </c>
      <c r="CB432">
        <f t="shared" ca="1" si="190"/>
        <v>4220275.7177734375</v>
      </c>
      <c r="CC432">
        <f t="shared" ca="1" si="191"/>
        <v>0</v>
      </c>
      <c r="CD432">
        <f t="shared" ca="1" si="192"/>
        <v>-113999.99999999948</v>
      </c>
      <c r="CE432">
        <f t="shared" ca="1" si="193"/>
        <v>-2249524.2822265462</v>
      </c>
      <c r="CF432">
        <f t="shared" ca="1" si="194"/>
        <v>6770475.7177734533</v>
      </c>
      <c r="CG432">
        <f t="shared" ca="1" si="195"/>
        <v>-9020000</v>
      </c>
      <c r="CH432" s="10">
        <f>分析データ!A432</f>
        <v>45554</v>
      </c>
    </row>
    <row r="433" spans="46:86">
      <c r="AT433">
        <f ca="1">IF(ROW()&lt;($C$7+1),"",IFERROR((分析データ!B433-AVERAGE(OFFSET(分析データ!B$1,MAX(1,ROW()-$C$7),0,MIN($C$7,ROW()-1),1)))/STDEV(OFFSET(分析データ!B$1,MAX(1,ROW()-$C$7),0,MIN($C$7,ROW()-1),1)),0))</f>
        <v>3.2522425600594342</v>
      </c>
      <c r="AU433">
        <f t="shared" ca="1" si="168"/>
        <v>1</v>
      </c>
      <c r="AV433">
        <f ca="1">IF(AU433=1,IF(INDEX(分析データ!$A:$A,ROW()+$C$5)&lt;&gt;"",80000*SIGN(AT433)*(分析データ!B433-INDEX(分析データ!B:B,ROW()+$C$5)),""),"")</f>
        <v>279999.99999999756</v>
      </c>
      <c r="AW433">
        <f t="shared" ca="1" si="169"/>
        <v>-4040000.0000000023</v>
      </c>
      <c r="AX433">
        <f t="shared" ca="1" si="170"/>
        <v>0</v>
      </c>
      <c r="AY433">
        <f t="shared" ca="1" si="171"/>
        <v>-4040000.0000000023</v>
      </c>
      <c r="AZ433">
        <f ca="1">IF(ROW()&lt;($C$7+1),"",IFERROR((分析データ!C433-AVERAGE(OFFSET(分析データ!C$1,MAX(1,ROW()-$C$7),0,MIN($C$7,ROW()-1),1)))/STDEV(OFFSET(分析データ!C$1,MAX(1,ROW()-$C$7),0,MIN($C$7,ROW()-1),1)),0))</f>
        <v>-2.1440288967243464</v>
      </c>
      <c r="BA433">
        <f t="shared" ca="1" si="172"/>
        <v>1</v>
      </c>
      <c r="BB433">
        <f ca="1">IF(BA433=1,IF(INDEX(分析データ!$A:$A,ROW()+$C$5)&lt;&gt;"",60000*SIGN(AZ433)*(分析データ!C433-INDEX(分析データ!C:C,ROW()+$C$5)),""),"")</f>
        <v>12000.000000000171</v>
      </c>
      <c r="BC433">
        <f t="shared" ca="1" si="173"/>
        <v>-620999.99999999756</v>
      </c>
      <c r="BD433">
        <f t="shared" ca="1" si="174"/>
        <v>420000.00000000466</v>
      </c>
      <c r="BE433">
        <f t="shared" ca="1" si="175"/>
        <v>-1041000.0000000022</v>
      </c>
      <c r="BF433">
        <f ca="1">IF(ROW()&lt;($C$7+1),"",IFERROR((分析データ!D433-AVERAGE(OFFSET(分析データ!D$1,MAX(1,ROW()-$C$7),0,MIN($C$7,ROW()-1),1)))/STDEV(OFFSET(分析データ!D$1,MAX(1,ROW()-$C$7),0,MIN($C$7,ROW()-1),1)),0))</f>
        <v>-1.9254018305291729</v>
      </c>
      <c r="BG433">
        <f t="shared" ca="1" si="176"/>
        <v>0</v>
      </c>
      <c r="BH433" t="str">
        <f ca="1">IF(BG433=1,IF(INDEX(分析データ!$A:$A,ROW()+$C$5)&lt;&gt;"",50000*SIGN(BF433)*(分析データ!D433-INDEX(分析データ!D:D,ROW()+$C$5)),""),"")</f>
        <v/>
      </c>
      <c r="BI433">
        <f t="shared" ca="1" si="177"/>
        <v>-779999.99999999418</v>
      </c>
      <c r="BJ433">
        <f t="shared" ca="1" si="178"/>
        <v>1695000.0000000016</v>
      </c>
      <c r="BK433">
        <f t="shared" ca="1" si="179"/>
        <v>-2474999.9999999958</v>
      </c>
      <c r="BL433">
        <f ca="1">IF(ROW()&lt;($C$7+1),"",IFERROR((分析データ!E433-AVERAGE(OFFSET(分析データ!E$1,MAX(1,ROW()-$C$7),0,MIN($C$7,ROW()-1),1)))/STDEV(OFFSET(分析データ!E$1,MAX(1,ROW()-$C$7),0,MIN($C$7,ROW()-1),1)),0))</f>
        <v>2.8188542557800256</v>
      </c>
      <c r="BM433">
        <f t="shared" ca="1" si="180"/>
        <v>1</v>
      </c>
      <c r="BN433">
        <f ca="1">IF(BM433=1,IF(INDEX(分析データ!$A:$A,ROW()+$C$5)&lt;&gt;"",40000*SIGN(BL433)*(分析データ!E433-INDEX(分析データ!E:E,ROW()+$C$5)),""),"")</f>
        <v>320000.00000000029</v>
      </c>
      <c r="BO433">
        <f t="shared" ca="1" si="181"/>
        <v>-999999.99999999674</v>
      </c>
      <c r="BP433">
        <f t="shared" ca="1" si="182"/>
        <v>1040000.0000000063</v>
      </c>
      <c r="BQ433">
        <f t="shared" ca="1" si="183"/>
        <v>-2040000.000000003</v>
      </c>
      <c r="BR433">
        <f ca="1">IF(ROW()&lt;($C$7+1),"",IFERROR((分析データ!F433-AVERAGE(OFFSET(分析データ!F$1,MAX(1,ROW()-$C$7),0,MIN($C$7,ROW()-1),1)))/STDEV(OFFSET(分析データ!F$1,MAX(1,ROW()-$C$7),0,MIN($C$7,ROW()-1),1)),0))</f>
        <v>1.4944226815813659</v>
      </c>
      <c r="BS433">
        <f t="shared" ca="1" si="184"/>
        <v>0</v>
      </c>
      <c r="BT433" t="str">
        <f ca="1">IF(BS433=1,IF(INDEX(分析データ!$A:$A,ROW()+$C$5)&lt;&gt;"",40000*SIGN(BR433)*(分析データ!F433-INDEX(分析データ!F:F,ROW()+$C$5)),""),"")</f>
        <v/>
      </c>
      <c r="BU433">
        <f t="shared" ca="1" si="185"/>
        <v>583200.00000000163</v>
      </c>
      <c r="BV433">
        <f t="shared" ca="1" si="186"/>
        <v>583200.00000000163</v>
      </c>
      <c r="BW433">
        <f t="shared" ca="1" si="187"/>
        <v>0</v>
      </c>
      <c r="BX433">
        <f ca="1">IF(ROW()&lt;($C$7+1),"",IFERROR((分析データ!G433-AVERAGE(OFFSET(分析データ!G$1,MAX(1,ROW()-$C$7),0,MIN($C$7,ROW()-1),1)))/STDEV(OFFSET(分析データ!G$1,MAX(1,ROW()-$C$7),0,MIN($C$7,ROW()-1),1)),0))</f>
        <v>1.2130518943251336</v>
      </c>
      <c r="BY433">
        <f t="shared" ca="1" si="188"/>
        <v>0</v>
      </c>
      <c r="BZ433" t="str">
        <f ca="1">IF(BY433=1,IF(INDEX(分析データ!$A:$A,ROW()+$C$5)&lt;&gt;"",40000*SIGN(BX433)*(分析データ!G433-INDEX(分析データ!G:G,ROW()+$C$5)),""),"")</f>
        <v/>
      </c>
      <c r="CA433">
        <f t="shared" ca="1" si="189"/>
        <v>4220275.7177734375</v>
      </c>
      <c r="CB433">
        <f t="shared" ca="1" si="190"/>
        <v>4220275.7177734375</v>
      </c>
      <c r="CC433">
        <f t="shared" ca="1" si="191"/>
        <v>0</v>
      </c>
      <c r="CD433">
        <f t="shared" ca="1" si="192"/>
        <v>611999.99999999802</v>
      </c>
      <c r="CE433">
        <f t="shared" ca="1" si="193"/>
        <v>-1637524.2822265481</v>
      </c>
      <c r="CF433">
        <f t="shared" ca="1" si="194"/>
        <v>6770475.7177734533</v>
      </c>
      <c r="CG433">
        <f t="shared" ca="1" si="195"/>
        <v>-8408000.0000000019</v>
      </c>
      <c r="CH433" s="10">
        <f>分析データ!A433</f>
        <v>45555</v>
      </c>
    </row>
    <row r="434" spans="46:86">
      <c r="AT434">
        <f ca="1">IF(ROW()&lt;($C$7+1),"",IFERROR((分析データ!B434-AVERAGE(OFFSET(分析データ!B$1,MAX(1,ROW()-$C$7),0,MIN($C$7,ROW()-1),1)))/STDEV(OFFSET(分析データ!B$1,MAX(1,ROW()-$C$7),0,MIN($C$7,ROW()-1),1)),0))</f>
        <v>3.234795587045014</v>
      </c>
      <c r="AU434">
        <f t="shared" ca="1" si="168"/>
        <v>1</v>
      </c>
      <c r="AV434">
        <f ca="1">IF(AU434=1,IF(INDEX(分析データ!$A:$A,ROW()+$C$5)&lt;&gt;"",80000*SIGN(AT434)*(分析データ!B434-INDEX(分析データ!B:B,ROW()+$C$5)),""),"")</f>
        <v>279999.999999994</v>
      </c>
      <c r="AW434">
        <f t="shared" ca="1" si="169"/>
        <v>-3760000.0000000084</v>
      </c>
      <c r="AX434">
        <f t="shared" ca="1" si="170"/>
        <v>0</v>
      </c>
      <c r="AY434">
        <f t="shared" ca="1" si="171"/>
        <v>-3760000.0000000084</v>
      </c>
      <c r="AZ434">
        <f ca="1">IF(ROW()&lt;($C$7+1),"",IFERROR((分析データ!C434-AVERAGE(OFFSET(分析データ!C$1,MAX(1,ROW()-$C$7),0,MIN($C$7,ROW()-1),1)))/STDEV(OFFSET(分析データ!C$1,MAX(1,ROW()-$C$7),0,MIN($C$7,ROW()-1),1)),0))</f>
        <v>-2.1206752244811318</v>
      </c>
      <c r="BA434">
        <f t="shared" ca="1" si="172"/>
        <v>1</v>
      </c>
      <c r="BB434">
        <f ca="1">IF(BA434=1,IF(INDEX(分析データ!$A:$A,ROW()+$C$5)&lt;&gt;"",60000*SIGN(AZ434)*(分析データ!C434-INDEX(分析データ!C:C,ROW()+$C$5)),""),"")</f>
        <v>48000.000000001535</v>
      </c>
      <c r="BC434">
        <f t="shared" ca="1" si="173"/>
        <v>-572999.99999999604</v>
      </c>
      <c r="BD434">
        <f t="shared" ca="1" si="174"/>
        <v>420000.00000000466</v>
      </c>
      <c r="BE434">
        <f t="shared" ca="1" si="175"/>
        <v>-993000.0000000007</v>
      </c>
      <c r="BF434">
        <f ca="1">IF(ROW()&lt;($C$7+1),"",IFERROR((分析データ!D434-AVERAGE(OFFSET(分析データ!D$1,MAX(1,ROW()-$C$7),0,MIN($C$7,ROW()-1),1)))/STDEV(OFFSET(分析データ!D$1,MAX(1,ROW()-$C$7),0,MIN($C$7,ROW()-1),1)),0))</f>
        <v>-1.8397369684365232</v>
      </c>
      <c r="BG434">
        <f t="shared" ca="1" si="176"/>
        <v>0</v>
      </c>
      <c r="BH434" t="str">
        <f ca="1">IF(BG434=1,IF(INDEX(分析データ!$A:$A,ROW()+$C$5)&lt;&gt;"",50000*SIGN(BF434)*(分析データ!D434-INDEX(分析データ!D:D,ROW()+$C$5)),""),"")</f>
        <v/>
      </c>
      <c r="BI434">
        <f t="shared" ca="1" si="177"/>
        <v>-779999.99999999418</v>
      </c>
      <c r="BJ434">
        <f t="shared" ca="1" si="178"/>
        <v>1695000.0000000016</v>
      </c>
      <c r="BK434">
        <f t="shared" ca="1" si="179"/>
        <v>-2474999.9999999958</v>
      </c>
      <c r="BL434">
        <f ca="1">IF(ROW()&lt;($C$7+1),"",IFERROR((分析データ!E434-AVERAGE(OFFSET(分析データ!E$1,MAX(1,ROW()-$C$7),0,MIN($C$7,ROW()-1),1)))/STDEV(OFFSET(分析データ!E$1,MAX(1,ROW()-$C$7),0,MIN($C$7,ROW()-1),1)),0))</f>
        <v>2.6673586195337275</v>
      </c>
      <c r="BM434">
        <f t="shared" ca="1" si="180"/>
        <v>1</v>
      </c>
      <c r="BN434">
        <f ca="1">IF(BM434=1,IF(INDEX(分析データ!$A:$A,ROW()+$C$5)&lt;&gt;"",40000*SIGN(BL434)*(分析データ!E434-INDEX(分析データ!E:E,ROW()+$C$5)),""),"")</f>
        <v>279999.99999999942</v>
      </c>
      <c r="BO434">
        <f t="shared" ca="1" si="181"/>
        <v>-719999.99999999732</v>
      </c>
      <c r="BP434">
        <f t="shared" ca="1" si="182"/>
        <v>1040000.0000000063</v>
      </c>
      <c r="BQ434">
        <f t="shared" ca="1" si="183"/>
        <v>-1760000.0000000037</v>
      </c>
      <c r="BR434">
        <f ca="1">IF(ROW()&lt;($C$7+1),"",IFERROR((分析データ!F434-AVERAGE(OFFSET(分析データ!F$1,MAX(1,ROW()-$C$7),0,MIN($C$7,ROW()-1),1)))/STDEV(OFFSET(分析データ!F$1,MAX(1,ROW()-$C$7),0,MIN($C$7,ROW()-1),1)),0))</f>
        <v>1.5740486620368022</v>
      </c>
      <c r="BS434">
        <f t="shared" ca="1" si="184"/>
        <v>0</v>
      </c>
      <c r="BT434" t="str">
        <f ca="1">IF(BS434=1,IF(INDEX(分析データ!$A:$A,ROW()+$C$5)&lt;&gt;"",40000*SIGN(BR434)*(分析データ!F434-INDEX(分析データ!F:F,ROW()+$C$5)),""),"")</f>
        <v/>
      </c>
      <c r="BU434">
        <f t="shared" ca="1" si="185"/>
        <v>583200.00000000163</v>
      </c>
      <c r="BV434">
        <f t="shared" ca="1" si="186"/>
        <v>583200.00000000163</v>
      </c>
      <c r="BW434">
        <f t="shared" ca="1" si="187"/>
        <v>0</v>
      </c>
      <c r="BX434">
        <f ca="1">IF(ROW()&lt;($C$7+1),"",IFERROR((分析データ!G434-AVERAGE(OFFSET(分析データ!G$1,MAX(1,ROW()-$C$7),0,MIN($C$7,ROW()-1),1)))/STDEV(OFFSET(分析データ!G$1,MAX(1,ROW()-$C$7),0,MIN($C$7,ROW()-1),1)),0))</f>
        <v>1.1098386496570918</v>
      </c>
      <c r="BY434">
        <f t="shared" ca="1" si="188"/>
        <v>0</v>
      </c>
      <c r="BZ434" t="str">
        <f ca="1">IF(BY434=1,IF(INDEX(分析データ!$A:$A,ROW()+$C$5)&lt;&gt;"",40000*SIGN(BX434)*(分析データ!G434-INDEX(分析データ!G:G,ROW()+$C$5)),""),"")</f>
        <v/>
      </c>
      <c r="CA434">
        <f t="shared" ca="1" si="189"/>
        <v>4220275.7177734375</v>
      </c>
      <c r="CB434">
        <f t="shared" ca="1" si="190"/>
        <v>4220275.7177734375</v>
      </c>
      <c r="CC434">
        <f t="shared" ca="1" si="191"/>
        <v>0</v>
      </c>
      <c r="CD434">
        <f t="shared" ca="1" si="192"/>
        <v>607999.99999999488</v>
      </c>
      <c r="CE434">
        <f t="shared" ca="1" si="193"/>
        <v>-1029524.2822265532</v>
      </c>
      <c r="CF434">
        <f t="shared" ca="1" si="194"/>
        <v>6770475.7177734533</v>
      </c>
      <c r="CG434">
        <f t="shared" ca="1" si="195"/>
        <v>-7800000.0000000065</v>
      </c>
      <c r="CH434" s="10">
        <f>分析データ!A434</f>
        <v>45558</v>
      </c>
    </row>
    <row r="435" spans="46:86">
      <c r="AT435">
        <f ca="1">IF(ROW()&lt;($C$7+1),"",IFERROR((分析データ!B435-AVERAGE(OFFSET(分析データ!B$1,MAX(1,ROW()-$C$7),0,MIN($C$7,ROW()-1),1)))/STDEV(OFFSET(分析データ!B$1,MAX(1,ROW()-$C$7),0,MIN($C$7,ROW()-1),1)),0))</f>
        <v>3.7496601528039282</v>
      </c>
      <c r="AU435">
        <f t="shared" ca="1" si="168"/>
        <v>1</v>
      </c>
      <c r="AV435">
        <f ca="1">IF(AU435=1,IF(INDEX(分析データ!$A:$A,ROW()+$C$5)&lt;&gt;"",80000*SIGN(AT435)*(分析データ!B435-INDEX(分析データ!B:B,ROW()+$C$5)),""),"")</f>
        <v>480000.00000000396</v>
      </c>
      <c r="AW435">
        <f t="shared" ca="1" si="169"/>
        <v>-3280000.0000000047</v>
      </c>
      <c r="AX435">
        <f t="shared" ca="1" si="170"/>
        <v>0</v>
      </c>
      <c r="AY435">
        <f t="shared" ca="1" si="171"/>
        <v>-3280000.0000000047</v>
      </c>
      <c r="AZ435">
        <f ca="1">IF(ROW()&lt;($C$7+1),"",IFERROR((分析データ!C435-AVERAGE(OFFSET(分析データ!C$1,MAX(1,ROW()-$C$7),0,MIN($C$7,ROW()-1),1)))/STDEV(OFFSET(分析データ!C$1,MAX(1,ROW()-$C$7),0,MIN($C$7,ROW()-1),1)),0))</f>
        <v>-2.3460121575911761</v>
      </c>
      <c r="BA435">
        <f t="shared" ca="1" si="172"/>
        <v>1</v>
      </c>
      <c r="BB435">
        <f ca="1">IF(BA435=1,IF(INDEX(分析データ!$A:$A,ROW()+$C$5)&lt;&gt;"",60000*SIGN(AZ435)*(分析データ!C435-INDEX(分析データ!C:C,ROW()+$C$5)),""),"")</f>
        <v>183000.00000000111</v>
      </c>
      <c r="BC435">
        <f t="shared" ca="1" si="173"/>
        <v>-389999.99999999494</v>
      </c>
      <c r="BD435">
        <f t="shared" ca="1" si="174"/>
        <v>420000.00000000466</v>
      </c>
      <c r="BE435">
        <f t="shared" ca="1" si="175"/>
        <v>-809999.99999999953</v>
      </c>
      <c r="BF435">
        <f ca="1">IF(ROW()&lt;($C$7+1),"",IFERROR((分析データ!D435-AVERAGE(OFFSET(分析データ!D$1,MAX(1,ROW()-$C$7),0,MIN($C$7,ROW()-1),1)))/STDEV(OFFSET(分析データ!D$1,MAX(1,ROW()-$C$7),0,MIN($C$7,ROW()-1),1)),0))</f>
        <v>-1.694002701878293</v>
      </c>
      <c r="BG435">
        <f t="shared" ca="1" si="176"/>
        <v>0</v>
      </c>
      <c r="BH435" t="str">
        <f ca="1">IF(BG435=1,IF(INDEX(分析データ!$A:$A,ROW()+$C$5)&lt;&gt;"",50000*SIGN(BF435)*(分析データ!D435-INDEX(分析データ!D:D,ROW()+$C$5)),""),"")</f>
        <v/>
      </c>
      <c r="BI435">
        <f t="shared" ca="1" si="177"/>
        <v>-779999.99999999418</v>
      </c>
      <c r="BJ435">
        <f t="shared" ca="1" si="178"/>
        <v>1695000.0000000016</v>
      </c>
      <c r="BK435">
        <f t="shared" ca="1" si="179"/>
        <v>-2474999.9999999958</v>
      </c>
      <c r="BL435">
        <f ca="1">IF(ROW()&lt;($C$7+1),"",IFERROR((分析データ!E435-AVERAGE(OFFSET(分析データ!E$1,MAX(1,ROW()-$C$7),0,MIN($C$7,ROW()-1),1)))/STDEV(OFFSET(分析データ!E$1,MAX(1,ROW()-$C$7),0,MIN($C$7,ROW()-1),1)),0))</f>
        <v>3.022577515799191</v>
      </c>
      <c r="BM435">
        <f t="shared" ca="1" si="180"/>
        <v>1</v>
      </c>
      <c r="BN435">
        <f ca="1">IF(BM435=1,IF(INDEX(分析データ!$A:$A,ROW()+$C$5)&lt;&gt;"",40000*SIGN(BL435)*(分析データ!E435-INDEX(分析データ!E:E,ROW()+$C$5)),""),"")</f>
        <v>359999.99999999942</v>
      </c>
      <c r="BO435">
        <f t="shared" ca="1" si="181"/>
        <v>-359999.9999999979</v>
      </c>
      <c r="BP435">
        <f t="shared" ca="1" si="182"/>
        <v>1040000.0000000063</v>
      </c>
      <c r="BQ435">
        <f t="shared" ca="1" si="183"/>
        <v>-1400000.0000000042</v>
      </c>
      <c r="BR435">
        <f ca="1">IF(ROW()&lt;($C$7+1),"",IFERROR((分析データ!F435-AVERAGE(OFFSET(分析データ!F$1,MAX(1,ROW()-$C$7),0,MIN($C$7,ROW()-1),1)))/STDEV(OFFSET(分析データ!F$1,MAX(1,ROW()-$C$7),0,MIN($C$7,ROW()-1),1)),0))</f>
        <v>1.8542926703077223</v>
      </c>
      <c r="BS435">
        <f t="shared" ca="1" si="184"/>
        <v>0</v>
      </c>
      <c r="BT435" t="str">
        <f ca="1">IF(BS435=1,IF(INDEX(分析データ!$A:$A,ROW()+$C$5)&lt;&gt;"",40000*SIGN(BR435)*(分析データ!F435-INDEX(分析データ!F:F,ROW()+$C$5)),""),"")</f>
        <v/>
      </c>
      <c r="BU435">
        <f t="shared" ca="1" si="185"/>
        <v>583200.00000000163</v>
      </c>
      <c r="BV435">
        <f t="shared" ca="1" si="186"/>
        <v>583200.00000000163</v>
      </c>
      <c r="BW435">
        <f t="shared" ca="1" si="187"/>
        <v>0</v>
      </c>
      <c r="BX435">
        <f ca="1">IF(ROW()&lt;($C$7+1),"",IFERROR((分析データ!G435-AVERAGE(OFFSET(分析データ!G$1,MAX(1,ROW()-$C$7),0,MIN($C$7,ROW()-1),1)))/STDEV(OFFSET(分析データ!G$1,MAX(1,ROW()-$C$7),0,MIN($C$7,ROW()-1),1)),0))</f>
        <v>0.83401897147752391</v>
      </c>
      <c r="BY435">
        <f t="shared" ca="1" si="188"/>
        <v>0</v>
      </c>
      <c r="BZ435" t="str">
        <f ca="1">IF(BY435=1,IF(INDEX(分析データ!$A:$A,ROW()+$C$5)&lt;&gt;"",40000*SIGN(BX435)*(分析データ!G435-INDEX(分析データ!G:G,ROW()+$C$5)),""),"")</f>
        <v/>
      </c>
      <c r="CA435">
        <f t="shared" ca="1" si="189"/>
        <v>4220275.7177734375</v>
      </c>
      <c r="CB435">
        <f t="shared" ca="1" si="190"/>
        <v>4220275.7177734375</v>
      </c>
      <c r="CC435">
        <f t="shared" ca="1" si="191"/>
        <v>0</v>
      </c>
      <c r="CD435">
        <f t="shared" ca="1" si="192"/>
        <v>1023000.0000000045</v>
      </c>
      <c r="CE435">
        <f t="shared" ca="1" si="193"/>
        <v>-6524.2822265486466</v>
      </c>
      <c r="CF435">
        <f t="shared" ca="1" si="194"/>
        <v>6770475.7177734533</v>
      </c>
      <c r="CG435">
        <f t="shared" ca="1" si="195"/>
        <v>-6777000.0000000019</v>
      </c>
      <c r="CH435" s="10">
        <f>分析データ!A435</f>
        <v>45559</v>
      </c>
    </row>
    <row r="436" spans="46:86">
      <c r="AT436">
        <f ca="1">IF(ROW()&lt;($C$7+1),"",IFERROR((分析データ!B436-AVERAGE(OFFSET(分析データ!B$1,MAX(1,ROW()-$C$7),0,MIN($C$7,ROW()-1),1)))/STDEV(OFFSET(分析データ!B$1,MAX(1,ROW()-$C$7),0,MIN($C$7,ROW()-1),1)),0))</f>
        <v>3.7698091494018002</v>
      </c>
      <c r="AU436">
        <f t="shared" ca="1" si="168"/>
        <v>1</v>
      </c>
      <c r="AV436">
        <f ca="1">IF(AU436=1,IF(INDEX(分析データ!$A:$A,ROW()+$C$5)&lt;&gt;"",80000*SIGN(AT436)*(分析データ!B436-INDEX(分析データ!B:B,ROW()+$C$5)),""),"")</f>
        <v>480000.00000000396</v>
      </c>
      <c r="AW436">
        <f t="shared" ca="1" si="169"/>
        <v>-2800000.0000000009</v>
      </c>
      <c r="AX436">
        <f t="shared" ca="1" si="170"/>
        <v>0</v>
      </c>
      <c r="AY436">
        <f t="shared" ca="1" si="171"/>
        <v>-2800000.0000000009</v>
      </c>
      <c r="AZ436">
        <f ca="1">IF(ROW()&lt;($C$7+1),"",IFERROR((分析データ!C436-AVERAGE(OFFSET(分析データ!C$1,MAX(1,ROW()-$C$7),0,MIN($C$7,ROW()-1),1)))/STDEV(OFFSET(分析データ!C$1,MAX(1,ROW()-$C$7),0,MIN($C$7,ROW()-1),1)),0))</f>
        <v>-2.1477225841219636</v>
      </c>
      <c r="BA436">
        <f t="shared" ca="1" si="172"/>
        <v>1</v>
      </c>
      <c r="BB436">
        <f ca="1">IF(BA436=1,IF(INDEX(分析データ!$A:$A,ROW()+$C$5)&lt;&gt;"",60000*SIGN(AZ436)*(分析データ!C436-INDEX(分析データ!C:C,ROW()+$C$5)),""),"")</f>
        <v>117000.0000000006</v>
      </c>
      <c r="BC436">
        <f t="shared" ca="1" si="173"/>
        <v>-272999.99999999435</v>
      </c>
      <c r="BD436">
        <f t="shared" ca="1" si="174"/>
        <v>420000.00000000466</v>
      </c>
      <c r="BE436">
        <f t="shared" ca="1" si="175"/>
        <v>-692999.99999999907</v>
      </c>
      <c r="BF436">
        <f ca="1">IF(ROW()&lt;($C$7+1),"",IFERROR((分析データ!D436-AVERAGE(OFFSET(分析データ!D$1,MAX(1,ROW()-$C$7),0,MIN($C$7,ROW()-1),1)))/STDEV(OFFSET(分析データ!D$1,MAX(1,ROW()-$C$7),0,MIN($C$7,ROW()-1),1)),0))</f>
        <v>-1.5322042752208838</v>
      </c>
      <c r="BG436">
        <f t="shared" ca="1" si="176"/>
        <v>0</v>
      </c>
      <c r="BH436" t="str">
        <f ca="1">IF(BG436=1,IF(INDEX(分析データ!$A:$A,ROW()+$C$5)&lt;&gt;"",50000*SIGN(BF436)*(分析データ!D436-INDEX(分析データ!D:D,ROW()+$C$5)),""),"")</f>
        <v/>
      </c>
      <c r="BI436">
        <f t="shared" ca="1" si="177"/>
        <v>-779999.99999999418</v>
      </c>
      <c r="BJ436">
        <f t="shared" ca="1" si="178"/>
        <v>1695000.0000000016</v>
      </c>
      <c r="BK436">
        <f t="shared" ca="1" si="179"/>
        <v>-2474999.9999999958</v>
      </c>
      <c r="BL436">
        <f ca="1">IF(ROW()&lt;($C$7+1),"",IFERROR((分析データ!E436-AVERAGE(OFFSET(分析データ!E$1,MAX(1,ROW()-$C$7),0,MIN($C$7,ROW()-1),1)))/STDEV(OFFSET(分析データ!E$1,MAX(1,ROW()-$C$7),0,MIN($C$7,ROW()-1),1)),0))</f>
        <v>2.9796006675422473</v>
      </c>
      <c r="BM436">
        <f t="shared" ca="1" si="180"/>
        <v>1</v>
      </c>
      <c r="BN436">
        <f ca="1">IF(BM436=1,IF(INDEX(分析データ!$A:$A,ROW()+$C$5)&lt;&gt;"",40000*SIGN(BL436)*(分析データ!E436-INDEX(分析データ!E:E,ROW()+$C$5)),""),"")</f>
        <v>480000.00000000215</v>
      </c>
      <c r="BO436">
        <f t="shared" ca="1" si="181"/>
        <v>120000.00000000425</v>
      </c>
      <c r="BP436">
        <f t="shared" ca="1" si="182"/>
        <v>1040000.0000000063</v>
      </c>
      <c r="BQ436">
        <f t="shared" ca="1" si="183"/>
        <v>-920000.0000000021</v>
      </c>
      <c r="BR436">
        <f ca="1">IF(ROW()&lt;($C$7+1),"",IFERROR((分析データ!F436-AVERAGE(OFFSET(分析データ!F$1,MAX(1,ROW()-$C$7),0,MIN($C$7,ROW()-1),1)))/STDEV(OFFSET(分析データ!F$1,MAX(1,ROW()-$C$7),0,MIN($C$7,ROW()-1),1)),0))</f>
        <v>1.3690231090256066</v>
      </c>
      <c r="BS436">
        <f t="shared" ca="1" si="184"/>
        <v>0</v>
      </c>
      <c r="BT436" t="str">
        <f ca="1">IF(BS436=1,IF(INDEX(分析データ!$A:$A,ROW()+$C$5)&lt;&gt;"",40000*SIGN(BR436)*(分析データ!F436-INDEX(分析データ!F:F,ROW()+$C$5)),""),"")</f>
        <v/>
      </c>
      <c r="BU436">
        <f t="shared" ca="1" si="185"/>
        <v>583200.00000000163</v>
      </c>
      <c r="BV436">
        <f t="shared" ca="1" si="186"/>
        <v>583200.00000000163</v>
      </c>
      <c r="BW436">
        <f t="shared" ca="1" si="187"/>
        <v>0</v>
      </c>
      <c r="BX436">
        <f ca="1">IF(ROW()&lt;($C$7+1),"",IFERROR((分析データ!G436-AVERAGE(OFFSET(分析データ!G$1,MAX(1,ROW()-$C$7),0,MIN($C$7,ROW()-1),1)))/STDEV(OFFSET(分析データ!G$1,MAX(1,ROW()-$C$7),0,MIN($C$7,ROW()-1),1)),0))</f>
        <v>0.98755241377600789</v>
      </c>
      <c r="BY436">
        <f t="shared" ca="1" si="188"/>
        <v>0</v>
      </c>
      <c r="BZ436" t="str">
        <f ca="1">IF(BY436=1,IF(INDEX(分析データ!$A:$A,ROW()+$C$5)&lt;&gt;"",40000*SIGN(BX436)*(分析データ!G436-INDEX(分析データ!G:G,ROW()+$C$5)),""),"")</f>
        <v/>
      </c>
      <c r="CA436">
        <f t="shared" ca="1" si="189"/>
        <v>4220275.7177734375</v>
      </c>
      <c r="CB436">
        <f t="shared" ca="1" si="190"/>
        <v>4220275.7177734375</v>
      </c>
      <c r="CC436">
        <f t="shared" ca="1" si="191"/>
        <v>0</v>
      </c>
      <c r="CD436">
        <f t="shared" ca="1" si="192"/>
        <v>1077000.0000000068</v>
      </c>
      <c r="CE436">
        <f t="shared" ca="1" si="193"/>
        <v>1070475.717773458</v>
      </c>
      <c r="CF436">
        <f t="shared" ca="1" si="194"/>
        <v>6770475.7177734533</v>
      </c>
      <c r="CG436">
        <f t="shared" ca="1" si="195"/>
        <v>-5699999.9999999953</v>
      </c>
      <c r="CH436" s="10">
        <f>分析データ!A436</f>
        <v>45560</v>
      </c>
    </row>
    <row r="437" spans="46:86">
      <c r="AT437">
        <f ca="1">IF(ROW()&lt;($C$7+1),"",IFERROR((分析データ!B437-AVERAGE(OFFSET(分析データ!B$1,MAX(1,ROW()-$C$7),0,MIN($C$7,ROW()-1),1)))/STDEV(OFFSET(分析データ!B$1,MAX(1,ROW()-$C$7),0,MIN($C$7,ROW()-1),1)),0))</f>
        <v>3.2115724142360138</v>
      </c>
      <c r="AU437">
        <f t="shared" ca="1" si="168"/>
        <v>1</v>
      </c>
      <c r="AV437">
        <f ca="1">IF(AU437=1,IF(INDEX(分析データ!$A:$A,ROW()+$C$5)&lt;&gt;"",80000*SIGN(AT437)*(分析データ!B437-INDEX(分析データ!B:B,ROW()+$C$5)),""),"")</f>
        <v>159999.99999999659</v>
      </c>
      <c r="AW437">
        <f t="shared" ca="1" si="169"/>
        <v>-2640000.0000000042</v>
      </c>
      <c r="AX437">
        <f t="shared" ca="1" si="170"/>
        <v>0</v>
      </c>
      <c r="AY437">
        <f t="shared" ca="1" si="171"/>
        <v>-2640000.0000000042</v>
      </c>
      <c r="AZ437">
        <f ca="1">IF(ROW()&lt;($C$7+1),"",IFERROR((分析データ!C437-AVERAGE(OFFSET(分析データ!C$1,MAX(1,ROW()-$C$7),0,MIN($C$7,ROW()-1),1)))/STDEV(OFFSET(分析データ!C$1,MAX(1,ROW()-$C$7),0,MIN($C$7,ROW()-1),1)),0))</f>
        <v>-2.0839470160900677</v>
      </c>
      <c r="BA437">
        <f t="shared" ca="1" si="172"/>
        <v>1</v>
      </c>
      <c r="BB437">
        <f ca="1">IF(BA437=1,IF(INDEX(分析データ!$A:$A,ROW()+$C$5)&lt;&gt;"",60000*SIGN(AZ437)*(分析データ!C437-INDEX(分析データ!C:C,ROW()+$C$5)),""),"")</f>
        <v>129000.00000000119</v>
      </c>
      <c r="BC437">
        <f t="shared" ca="1" si="173"/>
        <v>-143999.99999999316</v>
      </c>
      <c r="BD437">
        <f t="shared" ca="1" si="174"/>
        <v>420000.00000000466</v>
      </c>
      <c r="BE437">
        <f t="shared" ca="1" si="175"/>
        <v>-563999.99999999779</v>
      </c>
      <c r="BF437">
        <f ca="1">IF(ROW()&lt;($C$7+1),"",IFERROR((分析データ!D437-AVERAGE(OFFSET(分析データ!D$1,MAX(1,ROW()-$C$7),0,MIN($C$7,ROW()-1),1)))/STDEV(OFFSET(分析データ!D$1,MAX(1,ROW()-$C$7),0,MIN($C$7,ROW()-1),1)),0))</f>
        <v>-1.5817575016840764</v>
      </c>
      <c r="BG437">
        <f t="shared" ca="1" si="176"/>
        <v>0</v>
      </c>
      <c r="BH437" t="str">
        <f ca="1">IF(BG437=1,IF(INDEX(分析データ!$A:$A,ROW()+$C$5)&lt;&gt;"",50000*SIGN(BF437)*(分析データ!D437-INDEX(分析データ!D:D,ROW()+$C$5)),""),"")</f>
        <v/>
      </c>
      <c r="BI437">
        <f t="shared" ca="1" si="177"/>
        <v>-779999.99999999418</v>
      </c>
      <c r="BJ437">
        <f t="shared" ca="1" si="178"/>
        <v>1695000.0000000016</v>
      </c>
      <c r="BK437">
        <f t="shared" ca="1" si="179"/>
        <v>-2474999.9999999958</v>
      </c>
      <c r="BL437">
        <f ca="1">IF(ROW()&lt;($C$7+1),"",IFERROR((分析データ!E437-AVERAGE(OFFSET(分析データ!E$1,MAX(1,ROW()-$C$7),0,MIN($C$7,ROW()-1),1)))/STDEV(OFFSET(分析データ!E$1,MAX(1,ROW()-$C$7),0,MIN($C$7,ROW()-1),1)),0))</f>
        <v>2.5446501973797804</v>
      </c>
      <c r="BM437">
        <f t="shared" ca="1" si="180"/>
        <v>1</v>
      </c>
      <c r="BN437">
        <f ca="1">IF(BM437=1,IF(INDEX(分析データ!$A:$A,ROW()+$C$5)&lt;&gt;"",40000*SIGN(BL437)*(分析データ!E437-INDEX(分析データ!E:E,ROW()+$C$5)),""),"")</f>
        <v>240000.00000000198</v>
      </c>
      <c r="BO437">
        <f t="shared" ca="1" si="181"/>
        <v>360000.00000000623</v>
      </c>
      <c r="BP437">
        <f t="shared" ca="1" si="182"/>
        <v>1040000.0000000063</v>
      </c>
      <c r="BQ437">
        <f t="shared" ca="1" si="183"/>
        <v>-680000</v>
      </c>
      <c r="BR437">
        <f ca="1">IF(ROW()&lt;($C$7+1),"",IFERROR((分析データ!F437-AVERAGE(OFFSET(分析データ!F$1,MAX(1,ROW()-$C$7),0,MIN($C$7,ROW()-1),1)))/STDEV(OFFSET(分析データ!F$1,MAX(1,ROW()-$C$7),0,MIN($C$7,ROW()-1),1)),0))</f>
        <v>1.5443642558421082</v>
      </c>
      <c r="BS437">
        <f t="shared" ca="1" si="184"/>
        <v>0</v>
      </c>
      <c r="BT437" t="str">
        <f ca="1">IF(BS437=1,IF(INDEX(分析データ!$A:$A,ROW()+$C$5)&lt;&gt;"",40000*SIGN(BR437)*(分析データ!F437-INDEX(分析データ!F:F,ROW()+$C$5)),""),"")</f>
        <v/>
      </c>
      <c r="BU437">
        <f t="shared" ca="1" si="185"/>
        <v>583200.00000000163</v>
      </c>
      <c r="BV437">
        <f t="shared" ca="1" si="186"/>
        <v>583200.00000000163</v>
      </c>
      <c r="BW437">
        <f t="shared" ca="1" si="187"/>
        <v>0</v>
      </c>
      <c r="BX437">
        <f ca="1">IF(ROW()&lt;($C$7+1),"",IFERROR((分析データ!G437-AVERAGE(OFFSET(分析データ!G$1,MAX(1,ROW()-$C$7),0,MIN($C$7,ROW()-1),1)))/STDEV(OFFSET(分析データ!G$1,MAX(1,ROW()-$C$7),0,MIN($C$7,ROW()-1),1)),0))</f>
        <v>0.76090429177764352</v>
      </c>
      <c r="BY437">
        <f t="shared" ca="1" si="188"/>
        <v>0</v>
      </c>
      <c r="BZ437" t="str">
        <f ca="1">IF(BY437=1,IF(INDEX(分析データ!$A:$A,ROW()+$C$5)&lt;&gt;"",40000*SIGN(BX437)*(分析データ!G437-INDEX(分析データ!G:G,ROW()+$C$5)),""),"")</f>
        <v/>
      </c>
      <c r="CA437">
        <f t="shared" ca="1" si="189"/>
        <v>4220275.7177734375</v>
      </c>
      <c r="CB437">
        <f t="shared" ca="1" si="190"/>
        <v>4220275.7177734375</v>
      </c>
      <c r="CC437">
        <f t="shared" ca="1" si="191"/>
        <v>0</v>
      </c>
      <c r="CD437">
        <f t="shared" ca="1" si="192"/>
        <v>528999.99999999977</v>
      </c>
      <c r="CE437">
        <f t="shared" ca="1" si="193"/>
        <v>1599475.7177734578</v>
      </c>
      <c r="CF437">
        <f t="shared" ca="1" si="194"/>
        <v>6770475.7177734533</v>
      </c>
      <c r="CG437">
        <f t="shared" ca="1" si="195"/>
        <v>-5170999.9999999953</v>
      </c>
      <c r="CH437" s="10">
        <f>分析データ!A437</f>
        <v>45561</v>
      </c>
    </row>
    <row r="438" spans="46:86">
      <c r="AT438">
        <f ca="1">IF(ROW()&lt;($C$7+1),"",IFERROR((分析データ!B438-AVERAGE(OFFSET(分析データ!B$1,MAX(1,ROW()-$C$7),0,MIN($C$7,ROW()-1),1)))/STDEV(OFFSET(分析データ!B$1,MAX(1,ROW()-$C$7),0,MIN($C$7,ROW()-1),1)),0))</f>
        <v>3.0510559373466011</v>
      </c>
      <c r="AU438">
        <f t="shared" ca="1" si="168"/>
        <v>1</v>
      </c>
      <c r="AV438">
        <f ca="1">IF(AU438=1,IF(INDEX(分析データ!$A:$A,ROW()+$C$5)&lt;&gt;"",80000*SIGN(AT438)*(分析データ!B438-INDEX(分析データ!B:B,ROW()+$C$5)),""),"")</f>
        <v>120000.00000000099</v>
      </c>
      <c r="AW438">
        <f t="shared" ca="1" si="169"/>
        <v>-2520000.0000000033</v>
      </c>
      <c r="AX438">
        <f t="shared" ca="1" si="170"/>
        <v>0</v>
      </c>
      <c r="AY438">
        <f t="shared" ca="1" si="171"/>
        <v>-2520000.0000000033</v>
      </c>
      <c r="AZ438">
        <f ca="1">IF(ROW()&lt;($C$7+1),"",IFERROR((分析データ!C438-AVERAGE(OFFSET(分析データ!C$1,MAX(1,ROW()-$C$7),0,MIN($C$7,ROW()-1),1)))/STDEV(OFFSET(分析データ!C$1,MAX(1,ROW()-$C$7),0,MIN($C$7,ROW()-1),1)),0))</f>
        <v>-2.3478900648270673</v>
      </c>
      <c r="BA438">
        <f t="shared" ca="1" si="172"/>
        <v>1</v>
      </c>
      <c r="BB438">
        <f ca="1">IF(BA438=1,IF(INDEX(分析データ!$A:$A,ROW()+$C$5)&lt;&gt;"",60000*SIGN(AZ438)*(分析データ!C438-INDEX(分析データ!C:C,ROW()+$C$5)),""),"")</f>
        <v>242999.99999999983</v>
      </c>
      <c r="BC438">
        <f t="shared" ca="1" si="173"/>
        <v>99000.000000006665</v>
      </c>
      <c r="BD438">
        <f t="shared" ca="1" si="174"/>
        <v>420000.00000000466</v>
      </c>
      <c r="BE438">
        <f t="shared" ca="1" si="175"/>
        <v>-320999.99999999802</v>
      </c>
      <c r="BF438">
        <f ca="1">IF(ROW()&lt;($C$7+1),"",IFERROR((分析データ!D438-AVERAGE(OFFSET(分析データ!D$1,MAX(1,ROW()-$C$7),0,MIN($C$7,ROW()-1),1)))/STDEV(OFFSET(分析データ!D$1,MAX(1,ROW()-$C$7),0,MIN($C$7,ROW()-1),1)),0))</f>
        <v>-1.6209774730974627</v>
      </c>
      <c r="BG438">
        <f t="shared" ca="1" si="176"/>
        <v>0</v>
      </c>
      <c r="BH438" t="str">
        <f ca="1">IF(BG438=1,IF(INDEX(分析データ!$A:$A,ROW()+$C$5)&lt;&gt;"",50000*SIGN(BF438)*(分析データ!D438-INDEX(分析データ!D:D,ROW()+$C$5)),""),"")</f>
        <v/>
      </c>
      <c r="BI438">
        <f t="shared" ca="1" si="177"/>
        <v>-779999.99999999418</v>
      </c>
      <c r="BJ438">
        <f t="shared" ca="1" si="178"/>
        <v>1695000.0000000016</v>
      </c>
      <c r="BK438">
        <f t="shared" ca="1" si="179"/>
        <v>-2474999.9999999958</v>
      </c>
      <c r="BL438">
        <f ca="1">IF(ROW()&lt;($C$7+1),"",IFERROR((分析データ!E438-AVERAGE(OFFSET(分析データ!E$1,MAX(1,ROW()-$C$7),0,MIN($C$7,ROW()-1),1)))/STDEV(OFFSET(分析データ!E$1,MAX(1,ROW()-$C$7),0,MIN($C$7,ROW()-1),1)),0))</f>
        <v>2.6328130876383593</v>
      </c>
      <c r="BM438">
        <f t="shared" ca="1" si="180"/>
        <v>1</v>
      </c>
      <c r="BN438">
        <f ca="1">IF(BM438=1,IF(INDEX(分析データ!$A:$A,ROW()+$C$5)&lt;&gt;"",40000*SIGN(BL438)*(分析データ!E438-INDEX(分析データ!E:E,ROW()+$C$5)),""),"")</f>
        <v>199999.9999999993</v>
      </c>
      <c r="BO438">
        <f t="shared" ca="1" si="181"/>
        <v>560000.00000000559</v>
      </c>
      <c r="BP438">
        <f t="shared" ca="1" si="182"/>
        <v>1040000.0000000063</v>
      </c>
      <c r="BQ438">
        <f t="shared" ca="1" si="183"/>
        <v>-480000.0000000007</v>
      </c>
      <c r="BR438">
        <f ca="1">IF(ROW()&lt;($C$7+1),"",IFERROR((分析データ!F438-AVERAGE(OFFSET(分析データ!F$1,MAX(1,ROW()-$C$7),0,MIN($C$7,ROW()-1),1)))/STDEV(OFFSET(分析データ!F$1,MAX(1,ROW()-$C$7),0,MIN($C$7,ROW()-1),1)),0))</f>
        <v>1.7719672030529385</v>
      </c>
      <c r="BS438">
        <f t="shared" ca="1" si="184"/>
        <v>0</v>
      </c>
      <c r="BT438" t="str">
        <f ca="1">IF(BS438=1,IF(INDEX(分析データ!$A:$A,ROW()+$C$5)&lt;&gt;"",40000*SIGN(BR438)*(分析データ!F438-INDEX(分析データ!F:F,ROW()+$C$5)),""),"")</f>
        <v/>
      </c>
      <c r="BU438">
        <f t="shared" ca="1" si="185"/>
        <v>583200.00000000163</v>
      </c>
      <c r="BV438">
        <f t="shared" ca="1" si="186"/>
        <v>583200.00000000163</v>
      </c>
      <c r="BW438">
        <f t="shared" ca="1" si="187"/>
        <v>0</v>
      </c>
      <c r="BX438">
        <f ca="1">IF(ROW()&lt;($C$7+1),"",IFERROR((分析データ!G438-AVERAGE(OFFSET(分析データ!G$1,MAX(1,ROW()-$C$7),0,MIN($C$7,ROW()-1),1)))/STDEV(OFFSET(分析データ!G$1,MAX(1,ROW()-$C$7),0,MIN($C$7,ROW()-1),1)),0))</f>
        <v>0.75043577693239161</v>
      </c>
      <c r="BY438">
        <f t="shared" ca="1" si="188"/>
        <v>0</v>
      </c>
      <c r="BZ438" t="str">
        <f ca="1">IF(BY438=1,IF(INDEX(分析データ!$A:$A,ROW()+$C$5)&lt;&gt;"",40000*SIGN(BX438)*(分析データ!G438-INDEX(分析データ!G:G,ROW()+$C$5)),""),"")</f>
        <v/>
      </c>
      <c r="CA438">
        <f t="shared" ca="1" si="189"/>
        <v>4220275.7177734375</v>
      </c>
      <c r="CB438">
        <f t="shared" ca="1" si="190"/>
        <v>4220275.7177734375</v>
      </c>
      <c r="CC438">
        <f t="shared" ca="1" si="191"/>
        <v>0</v>
      </c>
      <c r="CD438">
        <f t="shared" ca="1" si="192"/>
        <v>563000.00000000012</v>
      </c>
      <c r="CE438">
        <f t="shared" ca="1" si="193"/>
        <v>2162475.717773458</v>
      </c>
      <c r="CF438">
        <f t="shared" ca="1" si="194"/>
        <v>6770475.7177734533</v>
      </c>
      <c r="CG438">
        <f t="shared" ca="1" si="195"/>
        <v>-4607999.9999999953</v>
      </c>
      <c r="CH438" s="10">
        <f>分析データ!A438</f>
        <v>45562</v>
      </c>
    </row>
    <row r="439" spans="46:86">
      <c r="AT439">
        <f ca="1">IF(ROW()&lt;($C$7+1),"",IFERROR((分析データ!B439-AVERAGE(OFFSET(分析データ!B$1,MAX(1,ROW()-$C$7),0,MIN($C$7,ROW()-1),1)))/STDEV(OFFSET(分析データ!B$1,MAX(1,ROW()-$C$7),0,MIN($C$7,ROW()-1),1)),0))</f>
        <v>2.7170958368446794</v>
      </c>
      <c r="AU439">
        <f t="shared" ca="1" si="168"/>
        <v>1</v>
      </c>
      <c r="AV439">
        <f ca="1">IF(AU439=1,IF(INDEX(分析データ!$A:$A,ROW()+$C$5)&lt;&gt;"",80000*SIGN(AT439)*(分析データ!B439-INDEX(分析データ!B:B,ROW()+$C$5)),""),"")</f>
        <v>119999.99999999744</v>
      </c>
      <c r="AW439">
        <f t="shared" ca="1" si="169"/>
        <v>-2400000.0000000056</v>
      </c>
      <c r="AX439">
        <f t="shared" ca="1" si="170"/>
        <v>0</v>
      </c>
      <c r="AY439">
        <f t="shared" ca="1" si="171"/>
        <v>-2400000.0000000056</v>
      </c>
      <c r="AZ439">
        <f ca="1">IF(ROW()&lt;($C$7+1),"",IFERROR((分析データ!C439-AVERAGE(OFFSET(分析データ!C$1,MAX(1,ROW()-$C$7),0,MIN($C$7,ROW()-1),1)))/STDEV(OFFSET(分析データ!C$1,MAX(1,ROW()-$C$7),0,MIN($C$7,ROW()-1),1)),0))</f>
        <v>-1.983648350511261</v>
      </c>
      <c r="BA439">
        <f t="shared" ca="1" si="172"/>
        <v>0</v>
      </c>
      <c r="BB439" t="str">
        <f ca="1">IF(BA439=1,IF(INDEX(分析データ!$A:$A,ROW()+$C$5)&lt;&gt;"",60000*SIGN(AZ439)*(分析データ!C439-INDEX(分析データ!C:C,ROW()+$C$5)),""),"")</f>
        <v/>
      </c>
      <c r="BC439">
        <f t="shared" ca="1" si="173"/>
        <v>99000.000000006665</v>
      </c>
      <c r="BD439">
        <f t="shared" ca="1" si="174"/>
        <v>420000.00000000466</v>
      </c>
      <c r="BE439">
        <f t="shared" ca="1" si="175"/>
        <v>-320999.99999999802</v>
      </c>
      <c r="BF439">
        <f ca="1">IF(ROW()&lt;($C$7+1),"",IFERROR((分析データ!D439-AVERAGE(OFFSET(分析データ!D$1,MAX(1,ROW()-$C$7),0,MIN($C$7,ROW()-1),1)))/STDEV(OFFSET(分析データ!D$1,MAX(1,ROW()-$C$7),0,MIN($C$7,ROW()-1),1)),0))</f>
        <v>-1.5601926186159265</v>
      </c>
      <c r="BG439">
        <f t="shared" ca="1" si="176"/>
        <v>0</v>
      </c>
      <c r="BH439" t="str">
        <f ca="1">IF(BG439=1,IF(INDEX(分析データ!$A:$A,ROW()+$C$5)&lt;&gt;"",50000*SIGN(BF439)*(分析データ!D439-INDEX(分析データ!D:D,ROW()+$C$5)),""),"")</f>
        <v/>
      </c>
      <c r="BI439">
        <f t="shared" ca="1" si="177"/>
        <v>-779999.99999999418</v>
      </c>
      <c r="BJ439">
        <f t="shared" ca="1" si="178"/>
        <v>1695000.0000000016</v>
      </c>
      <c r="BK439">
        <f t="shared" ca="1" si="179"/>
        <v>-2474999.9999999958</v>
      </c>
      <c r="BL439">
        <f ca="1">IF(ROW()&lt;($C$7+1),"",IFERROR((分析データ!E439-AVERAGE(OFFSET(分析データ!E$1,MAX(1,ROW()-$C$7),0,MIN($C$7,ROW()-1),1)))/STDEV(OFFSET(分析データ!E$1,MAX(1,ROW()-$C$7),0,MIN($C$7,ROW()-1),1)),0))</f>
        <v>2.3412087909686385</v>
      </c>
      <c r="BM439">
        <f t="shared" ca="1" si="180"/>
        <v>1</v>
      </c>
      <c r="BN439">
        <f ca="1">IF(BM439=1,IF(INDEX(分析データ!$A:$A,ROW()+$C$5)&lt;&gt;"",40000*SIGN(BL439)*(分析データ!E439-INDEX(分析データ!E:E,ROW()+$C$5)),""),"")</f>
        <v>239999.99999999857</v>
      </c>
      <c r="BO439">
        <f t="shared" ca="1" si="181"/>
        <v>800000.00000000419</v>
      </c>
      <c r="BP439">
        <f t="shared" ca="1" si="182"/>
        <v>1040000.0000000063</v>
      </c>
      <c r="BQ439">
        <f t="shared" ca="1" si="183"/>
        <v>-240000.0000000021</v>
      </c>
      <c r="BR439">
        <f ca="1">IF(ROW()&lt;($C$7+1),"",IFERROR((分析データ!F439-AVERAGE(OFFSET(分析データ!F$1,MAX(1,ROW()-$C$7),0,MIN($C$7,ROW()-1),1)))/STDEV(OFFSET(分析データ!F$1,MAX(1,ROW()-$C$7),0,MIN($C$7,ROW()-1),1)),0))</f>
        <v>1.2615235816590238</v>
      </c>
      <c r="BS439">
        <f t="shared" ca="1" si="184"/>
        <v>0</v>
      </c>
      <c r="BT439" t="str">
        <f ca="1">IF(BS439=1,IF(INDEX(分析データ!$A:$A,ROW()+$C$5)&lt;&gt;"",40000*SIGN(BR439)*(分析データ!F439-INDEX(分析データ!F:F,ROW()+$C$5)),""),"")</f>
        <v/>
      </c>
      <c r="BU439">
        <f t="shared" ca="1" si="185"/>
        <v>583200.00000000163</v>
      </c>
      <c r="BV439">
        <f t="shared" ca="1" si="186"/>
        <v>583200.00000000163</v>
      </c>
      <c r="BW439">
        <f t="shared" ca="1" si="187"/>
        <v>0</v>
      </c>
      <c r="BX439">
        <f ca="1">IF(ROW()&lt;($C$7+1),"",IFERROR((分析データ!G439-AVERAGE(OFFSET(分析データ!G$1,MAX(1,ROW()-$C$7),0,MIN($C$7,ROW()-1),1)))/STDEV(OFFSET(分析データ!G$1,MAX(1,ROW()-$C$7),0,MIN($C$7,ROW()-1),1)),0))</f>
        <v>1.0996287194005314</v>
      </c>
      <c r="BY439">
        <f t="shared" ca="1" si="188"/>
        <v>0</v>
      </c>
      <c r="BZ439" t="str">
        <f ca="1">IF(BY439=1,IF(INDEX(分析データ!$A:$A,ROW()+$C$5)&lt;&gt;"",40000*SIGN(BX439)*(分析データ!G439-INDEX(分析データ!G:G,ROW()+$C$5)),""),"")</f>
        <v/>
      </c>
      <c r="CA439">
        <f t="shared" ca="1" si="189"/>
        <v>4220275.7177734375</v>
      </c>
      <c r="CB439">
        <f t="shared" ca="1" si="190"/>
        <v>4220275.7177734375</v>
      </c>
      <c r="CC439">
        <f t="shared" ca="1" si="191"/>
        <v>0</v>
      </c>
      <c r="CD439">
        <f t="shared" ca="1" si="192"/>
        <v>359999.99999999604</v>
      </c>
      <c r="CE439">
        <f t="shared" ca="1" si="193"/>
        <v>2522475.7177734543</v>
      </c>
      <c r="CF439">
        <f t="shared" ca="1" si="194"/>
        <v>6770475.7177734533</v>
      </c>
      <c r="CG439">
        <f t="shared" ca="1" si="195"/>
        <v>-4247999.9999999991</v>
      </c>
      <c r="CH439" s="10">
        <f>分析データ!A439</f>
        <v>45565</v>
      </c>
    </row>
    <row r="440" spans="46:86">
      <c r="AT440">
        <f ca="1">IF(ROW()&lt;($C$7+1),"",IFERROR((分析データ!B440-AVERAGE(OFFSET(分析データ!B$1,MAX(1,ROW()-$C$7),0,MIN($C$7,ROW()-1),1)))/STDEV(OFFSET(分析データ!B$1,MAX(1,ROW()-$C$7),0,MIN($C$7,ROW()-1),1)),0))</f>
        <v>2.3967521624646757</v>
      </c>
      <c r="AU440">
        <f t="shared" ca="1" si="168"/>
        <v>1</v>
      </c>
      <c r="AV440">
        <f ca="1">IF(AU440=1,IF(INDEX(分析データ!$A:$A,ROW()+$C$5)&lt;&gt;"",80000*SIGN(AT440)*(分析データ!B440-INDEX(分析データ!B:B,ROW()+$C$5)),""),"")</f>
        <v>-79999.999999991196</v>
      </c>
      <c r="AW440">
        <f t="shared" ca="1" si="169"/>
        <v>-2479999.9999999967</v>
      </c>
      <c r="AX440">
        <f t="shared" ca="1" si="170"/>
        <v>0</v>
      </c>
      <c r="AY440">
        <f t="shared" ca="1" si="171"/>
        <v>-2479999.9999999967</v>
      </c>
      <c r="AZ440">
        <f ca="1">IF(ROW()&lt;($C$7+1),"",IFERROR((分析データ!C440-AVERAGE(OFFSET(分析データ!C$1,MAX(1,ROW()-$C$7),0,MIN($C$7,ROW()-1),1)))/STDEV(OFFSET(分析データ!C$1,MAX(1,ROW()-$C$7),0,MIN($C$7,ROW()-1),1)),0))</f>
        <v>-1.9532869657658185</v>
      </c>
      <c r="BA440">
        <f t="shared" ca="1" si="172"/>
        <v>0</v>
      </c>
      <c r="BB440" t="str">
        <f ca="1">IF(BA440=1,IF(INDEX(分析データ!$A:$A,ROW()+$C$5)&lt;&gt;"",60000*SIGN(AZ440)*(分析データ!C440-INDEX(分析データ!C:C,ROW()+$C$5)),""),"")</f>
        <v/>
      </c>
      <c r="BC440">
        <f t="shared" ca="1" si="173"/>
        <v>99000.000000006665</v>
      </c>
      <c r="BD440">
        <f t="shared" ca="1" si="174"/>
        <v>420000.00000000466</v>
      </c>
      <c r="BE440">
        <f t="shared" ca="1" si="175"/>
        <v>-320999.99999999802</v>
      </c>
      <c r="BF440">
        <f ca="1">IF(ROW()&lt;($C$7+1),"",IFERROR((分析データ!D440-AVERAGE(OFFSET(分析データ!D$1,MAX(1,ROW()-$C$7),0,MIN($C$7,ROW()-1),1)))/STDEV(OFFSET(分析データ!D$1,MAX(1,ROW()-$C$7),0,MIN($C$7,ROW()-1),1)),0))</f>
        <v>-1.7653225706290243</v>
      </c>
      <c r="BG440">
        <f t="shared" ca="1" si="176"/>
        <v>0</v>
      </c>
      <c r="BH440" t="str">
        <f ca="1">IF(BG440=1,IF(INDEX(分析データ!$A:$A,ROW()+$C$5)&lt;&gt;"",50000*SIGN(BF440)*(分析データ!D440-INDEX(分析データ!D:D,ROW()+$C$5)),""),"")</f>
        <v/>
      </c>
      <c r="BI440">
        <f t="shared" ca="1" si="177"/>
        <v>-779999.99999999418</v>
      </c>
      <c r="BJ440">
        <f t="shared" ca="1" si="178"/>
        <v>1695000.0000000016</v>
      </c>
      <c r="BK440">
        <f t="shared" ca="1" si="179"/>
        <v>-2474999.9999999958</v>
      </c>
      <c r="BL440">
        <f ca="1">IF(ROW()&lt;($C$7+1),"",IFERROR((分析データ!E440-AVERAGE(OFFSET(分析データ!E$1,MAX(1,ROW()-$C$7),0,MIN($C$7,ROW()-1),1)))/STDEV(OFFSET(分析データ!E$1,MAX(1,ROW()-$C$7),0,MIN($C$7,ROW()-1),1)),0))</f>
        <v>2.3077048792908612</v>
      </c>
      <c r="BM440">
        <f t="shared" ca="1" si="180"/>
        <v>1</v>
      </c>
      <c r="BN440">
        <f ca="1">IF(BM440=1,IF(INDEX(分析データ!$A:$A,ROW()+$C$5)&lt;&gt;"",40000*SIGN(BL440)*(分析データ!E440-INDEX(分析データ!E:E,ROW()+$C$5)),""),"")</f>
        <v>200000.00000000285</v>
      </c>
      <c r="BO440">
        <f t="shared" ca="1" si="181"/>
        <v>1000000.000000007</v>
      </c>
      <c r="BP440">
        <f t="shared" ca="1" si="182"/>
        <v>1040000.0000000063</v>
      </c>
      <c r="BQ440">
        <f t="shared" ca="1" si="183"/>
        <v>-39999.999999999302</v>
      </c>
      <c r="BR440">
        <f ca="1">IF(ROW()&lt;($C$7+1),"",IFERROR((分析データ!F440-AVERAGE(OFFSET(分析データ!F$1,MAX(1,ROW()-$C$7),0,MIN($C$7,ROW()-1),1)))/STDEV(OFFSET(分析データ!F$1,MAX(1,ROW()-$C$7),0,MIN($C$7,ROW()-1),1)),0))</f>
        <v>1.7595703249870618</v>
      </c>
      <c r="BS440">
        <f t="shared" ca="1" si="184"/>
        <v>0</v>
      </c>
      <c r="BT440" t="str">
        <f ca="1">IF(BS440=1,IF(INDEX(分析データ!$A:$A,ROW()+$C$5)&lt;&gt;"",40000*SIGN(BR440)*(分析データ!F440-INDEX(分析データ!F:F,ROW()+$C$5)),""),"")</f>
        <v/>
      </c>
      <c r="BU440">
        <f t="shared" ca="1" si="185"/>
        <v>583200.00000000163</v>
      </c>
      <c r="BV440">
        <f t="shared" ca="1" si="186"/>
        <v>583200.00000000163</v>
      </c>
      <c r="BW440">
        <f t="shared" ca="1" si="187"/>
        <v>0</v>
      </c>
      <c r="BX440">
        <f ca="1">IF(ROW()&lt;($C$7+1),"",IFERROR((分析データ!G440-AVERAGE(OFFSET(分析データ!G$1,MAX(1,ROW()-$C$7),0,MIN($C$7,ROW()-1),1)))/STDEV(OFFSET(分析データ!G$1,MAX(1,ROW()-$C$7),0,MIN($C$7,ROW()-1),1)),0))</f>
        <v>1.0382449433605392</v>
      </c>
      <c r="BY440">
        <f t="shared" ca="1" si="188"/>
        <v>0</v>
      </c>
      <c r="BZ440" t="str">
        <f ca="1">IF(BY440=1,IF(INDEX(分析データ!$A:$A,ROW()+$C$5)&lt;&gt;"",40000*SIGN(BX440)*(分析データ!G440-INDEX(分析データ!G:G,ROW()+$C$5)),""),"")</f>
        <v/>
      </c>
      <c r="CA440">
        <f t="shared" ca="1" si="189"/>
        <v>4220275.7177734375</v>
      </c>
      <c r="CB440">
        <f t="shared" ca="1" si="190"/>
        <v>4220275.7177734375</v>
      </c>
      <c r="CC440">
        <f t="shared" ca="1" si="191"/>
        <v>0</v>
      </c>
      <c r="CD440">
        <f t="shared" ca="1" si="192"/>
        <v>120000.00000001166</v>
      </c>
      <c r="CE440">
        <f t="shared" ca="1" si="193"/>
        <v>2642475.7177734659</v>
      </c>
      <c r="CF440">
        <f t="shared" ca="1" si="194"/>
        <v>6770475.7177734533</v>
      </c>
      <c r="CG440">
        <f t="shared" ca="1" si="195"/>
        <v>-4127999.9999999874</v>
      </c>
      <c r="CH440" s="10">
        <f>分析データ!A440</f>
        <v>45566</v>
      </c>
    </row>
    <row r="441" spans="46:86">
      <c r="AT441">
        <f ca="1">IF(ROW()&lt;($C$7+1),"",IFERROR((分析データ!B441-AVERAGE(OFFSET(分析データ!B$1,MAX(1,ROW()-$C$7),0,MIN($C$7,ROW()-1),1)))/STDEV(OFFSET(分析データ!B$1,MAX(1,ROW()-$C$7),0,MIN($C$7,ROW()-1),1)),0))</f>
        <v>2.5417032655466048</v>
      </c>
      <c r="AU441">
        <f t="shared" ca="1" si="168"/>
        <v>1</v>
      </c>
      <c r="AV441">
        <f ca="1">IF(AU441=1,IF(INDEX(分析データ!$A:$A,ROW()+$C$5)&lt;&gt;"",80000*SIGN(AT441)*(分析データ!B441-INDEX(分析データ!B:B,ROW()+$C$5)),""),"")</f>
        <v>-79999.999999998297</v>
      </c>
      <c r="AW441">
        <f t="shared" ca="1" si="169"/>
        <v>-2559999.9999999949</v>
      </c>
      <c r="AX441">
        <f t="shared" ca="1" si="170"/>
        <v>0</v>
      </c>
      <c r="AY441">
        <f t="shared" ca="1" si="171"/>
        <v>-2559999.9999999949</v>
      </c>
      <c r="AZ441">
        <f ca="1">IF(ROW()&lt;($C$7+1),"",IFERROR((分析データ!C441-AVERAGE(OFFSET(分析データ!C$1,MAX(1,ROW()-$C$7),0,MIN($C$7,ROW()-1),1)))/STDEV(OFFSET(分析データ!C$1,MAX(1,ROW()-$C$7),0,MIN($C$7,ROW()-1),1)),0))</f>
        <v>-2.199331717103425</v>
      </c>
      <c r="BA441">
        <f t="shared" ca="1" si="172"/>
        <v>1</v>
      </c>
      <c r="BB441">
        <f ca="1">IF(BA441=1,IF(INDEX(分析データ!$A:$A,ROW()+$C$5)&lt;&gt;"",60000*SIGN(AZ441)*(分析データ!C441-INDEX(分析データ!C:C,ROW()+$C$5)),""),"")</f>
        <v>311999.99999999977</v>
      </c>
      <c r="BC441">
        <f t="shared" ca="1" si="173"/>
        <v>411000.0000000064</v>
      </c>
      <c r="BD441">
        <f t="shared" ca="1" si="174"/>
        <v>420000.00000000466</v>
      </c>
      <c r="BE441">
        <f t="shared" ca="1" si="175"/>
        <v>-8999.9999999982538</v>
      </c>
      <c r="BF441">
        <f ca="1">IF(ROW()&lt;($C$7+1),"",IFERROR((分析データ!D441-AVERAGE(OFFSET(分析データ!D$1,MAX(1,ROW()-$C$7),0,MIN($C$7,ROW()-1),1)))/STDEV(OFFSET(分析データ!D$1,MAX(1,ROW()-$C$7),0,MIN($C$7,ROW()-1),1)),0))</f>
        <v>-1.4835149834567598</v>
      </c>
      <c r="BG441">
        <f t="shared" ca="1" si="176"/>
        <v>0</v>
      </c>
      <c r="BH441" t="str">
        <f ca="1">IF(BG441=1,IF(INDEX(分析データ!$A:$A,ROW()+$C$5)&lt;&gt;"",50000*SIGN(BF441)*(分析データ!D441-INDEX(分析データ!D:D,ROW()+$C$5)),""),"")</f>
        <v/>
      </c>
      <c r="BI441">
        <f t="shared" ca="1" si="177"/>
        <v>-779999.99999999418</v>
      </c>
      <c r="BJ441">
        <f t="shared" ca="1" si="178"/>
        <v>1695000.0000000016</v>
      </c>
      <c r="BK441">
        <f t="shared" ca="1" si="179"/>
        <v>-2474999.9999999958</v>
      </c>
      <c r="BL441">
        <f ca="1">IF(ROW()&lt;($C$7+1),"",IFERROR((分析データ!E441-AVERAGE(OFFSET(分析データ!E$1,MAX(1,ROW()-$C$7),0,MIN($C$7,ROW()-1),1)))/STDEV(OFFSET(分析データ!E$1,MAX(1,ROW()-$C$7),0,MIN($C$7,ROW()-1),1)),0))</f>
        <v>2.3976187868508538</v>
      </c>
      <c r="BM441">
        <f t="shared" ca="1" si="180"/>
        <v>1</v>
      </c>
      <c r="BN441">
        <f ca="1">IF(BM441=1,IF(INDEX(分析データ!$A:$A,ROW()+$C$5)&lt;&gt;"",40000*SIGN(BL441)*(分析データ!E441-INDEX(分析データ!E:E,ROW()+$C$5)),""),"")</f>
        <v>200000.00000000114</v>
      </c>
      <c r="BO441">
        <f t="shared" ca="1" si="181"/>
        <v>1200000.0000000081</v>
      </c>
      <c r="BP441">
        <f t="shared" ca="1" si="182"/>
        <v>1200000.0000000081</v>
      </c>
      <c r="BQ441">
        <f t="shared" ca="1" si="183"/>
        <v>0</v>
      </c>
      <c r="BR441">
        <f ca="1">IF(ROW()&lt;($C$7+1),"",IFERROR((分析データ!F441-AVERAGE(OFFSET(分析データ!F$1,MAX(1,ROW()-$C$7),0,MIN($C$7,ROW()-1),1)))/STDEV(OFFSET(分析データ!F$1,MAX(1,ROW()-$C$7),0,MIN($C$7,ROW()-1),1)),0))</f>
        <v>0.85817781029607543</v>
      </c>
      <c r="BS441">
        <f t="shared" ca="1" si="184"/>
        <v>0</v>
      </c>
      <c r="BT441" t="str">
        <f ca="1">IF(BS441=1,IF(INDEX(分析データ!$A:$A,ROW()+$C$5)&lt;&gt;"",40000*SIGN(BR441)*(分析データ!F441-INDEX(分析データ!F:F,ROW()+$C$5)),""),"")</f>
        <v/>
      </c>
      <c r="BU441">
        <f t="shared" ca="1" si="185"/>
        <v>583200.00000000163</v>
      </c>
      <c r="BV441">
        <f t="shared" ca="1" si="186"/>
        <v>583200.00000000163</v>
      </c>
      <c r="BW441">
        <f t="shared" ca="1" si="187"/>
        <v>0</v>
      </c>
      <c r="BX441">
        <f ca="1">IF(ROW()&lt;($C$7+1),"",IFERROR((分析データ!G441-AVERAGE(OFFSET(分析データ!G$1,MAX(1,ROW()-$C$7),0,MIN($C$7,ROW()-1),1)))/STDEV(OFFSET(分析データ!G$1,MAX(1,ROW()-$C$7),0,MIN($C$7,ROW()-1),1)),0))</f>
        <v>1.1671149927540603</v>
      </c>
      <c r="BY441">
        <f t="shared" ca="1" si="188"/>
        <v>0</v>
      </c>
      <c r="BZ441" t="str">
        <f ca="1">IF(BY441=1,IF(INDEX(分析データ!$A:$A,ROW()+$C$5)&lt;&gt;"",40000*SIGN(BX441)*(分析データ!G441-INDEX(分析データ!G:G,ROW()+$C$5)),""),"")</f>
        <v/>
      </c>
      <c r="CA441">
        <f t="shared" ca="1" si="189"/>
        <v>4220275.7177734375</v>
      </c>
      <c r="CB441">
        <f t="shared" ca="1" si="190"/>
        <v>4220275.7177734375</v>
      </c>
      <c r="CC441">
        <f t="shared" ca="1" si="191"/>
        <v>0</v>
      </c>
      <c r="CD441">
        <f t="shared" ca="1" si="192"/>
        <v>432000.00000000256</v>
      </c>
      <c r="CE441">
        <f t="shared" ca="1" si="193"/>
        <v>3074475.7177734682</v>
      </c>
      <c r="CF441">
        <f t="shared" ca="1" si="194"/>
        <v>6770475.7177734533</v>
      </c>
      <c r="CG441">
        <f t="shared" ca="1" si="195"/>
        <v>-3695999.9999999851</v>
      </c>
      <c r="CH441" s="10">
        <f>分析データ!A441</f>
        <v>45567</v>
      </c>
    </row>
    <row r="442" spans="46:86">
      <c r="AT442">
        <f ca="1">IF(ROW()&lt;($C$7+1),"",IFERROR((分析データ!B442-AVERAGE(OFFSET(分析データ!B$1,MAX(1,ROW()-$C$7),0,MIN($C$7,ROW()-1),1)))/STDEV(OFFSET(分析データ!B$1,MAX(1,ROW()-$C$7),0,MIN($C$7,ROW()-1),1)),0))</f>
        <v>2.588521141112837</v>
      </c>
      <c r="AU442">
        <f t="shared" ca="1" si="168"/>
        <v>1</v>
      </c>
      <c r="AV442">
        <f ca="1">IF(AU442=1,IF(INDEX(分析データ!$A:$A,ROW()+$C$5)&lt;&gt;"",80000*SIGN(AT442)*(分析データ!B442-INDEX(分析データ!B:B,ROW()+$C$5)),""),"")</f>
        <v>-39999.999999999149</v>
      </c>
      <c r="AW442">
        <f t="shared" ca="1" si="169"/>
        <v>-2599999.9999999939</v>
      </c>
      <c r="AX442">
        <f t="shared" ca="1" si="170"/>
        <v>0</v>
      </c>
      <c r="AY442">
        <f t="shared" ca="1" si="171"/>
        <v>-2599999.9999999939</v>
      </c>
      <c r="AZ442">
        <f ca="1">IF(ROW()&lt;($C$7+1),"",IFERROR((分析データ!C442-AVERAGE(OFFSET(分析データ!C$1,MAX(1,ROW()-$C$7),0,MIN($C$7,ROW()-1),1)))/STDEV(OFFSET(分析データ!C$1,MAX(1,ROW()-$C$7),0,MIN($C$7,ROW()-1),1)),0))</f>
        <v>-2.1559387936389163</v>
      </c>
      <c r="BA442">
        <f t="shared" ca="1" si="172"/>
        <v>1</v>
      </c>
      <c r="BB442">
        <f ca="1">IF(BA442=1,IF(INDEX(分析データ!$A:$A,ROW()+$C$5)&lt;&gt;"",60000*SIGN(AZ442)*(分析データ!C442-INDEX(分析データ!C:C,ROW()+$C$5)),""),"")</f>
        <v>293999.99999999994</v>
      </c>
      <c r="BC442">
        <f t="shared" ca="1" si="173"/>
        <v>705000.00000000629</v>
      </c>
      <c r="BD442">
        <f t="shared" ca="1" si="174"/>
        <v>705000.00000000629</v>
      </c>
      <c r="BE442">
        <f t="shared" ca="1" si="175"/>
        <v>0</v>
      </c>
      <c r="BF442">
        <f ca="1">IF(ROW()&lt;($C$7+1),"",IFERROR((分析データ!D442-AVERAGE(OFFSET(分析データ!D$1,MAX(1,ROW()-$C$7),0,MIN($C$7,ROW()-1),1)))/STDEV(OFFSET(分析データ!D$1,MAX(1,ROW()-$C$7),0,MIN($C$7,ROW()-1),1)),0))</f>
        <v>-1.309709997735321</v>
      </c>
      <c r="BG442">
        <f t="shared" ca="1" si="176"/>
        <v>0</v>
      </c>
      <c r="BH442" t="str">
        <f ca="1">IF(BG442=1,IF(INDEX(分析データ!$A:$A,ROW()+$C$5)&lt;&gt;"",50000*SIGN(BF442)*(分析データ!D442-INDEX(分析データ!D:D,ROW()+$C$5)),""),"")</f>
        <v/>
      </c>
      <c r="BI442">
        <f t="shared" ca="1" si="177"/>
        <v>-779999.99999999418</v>
      </c>
      <c r="BJ442">
        <f t="shared" ca="1" si="178"/>
        <v>1695000.0000000016</v>
      </c>
      <c r="BK442">
        <f t="shared" ca="1" si="179"/>
        <v>-2474999.9999999958</v>
      </c>
      <c r="BL442">
        <f ca="1">IF(ROW()&lt;($C$7+1),"",IFERROR((分析データ!E442-AVERAGE(OFFSET(分析データ!E$1,MAX(1,ROW()-$C$7),0,MIN($C$7,ROW()-1),1)))/STDEV(OFFSET(分析データ!E$1,MAX(1,ROW()-$C$7),0,MIN($C$7,ROW()-1),1)),0))</f>
        <v>2.2399338010412411</v>
      </c>
      <c r="BM442">
        <f t="shared" ca="1" si="180"/>
        <v>1</v>
      </c>
      <c r="BN442">
        <f ca="1">IF(BM442=1,IF(INDEX(分析データ!$A:$A,ROW()+$C$5)&lt;&gt;"",40000*SIGN(BL442)*(分析データ!E442-INDEX(分析データ!E:E,ROW()+$C$5)),""),"")</f>
        <v>119999.99999999929</v>
      </c>
      <c r="BO442">
        <f t="shared" ca="1" si="181"/>
        <v>1320000.0000000075</v>
      </c>
      <c r="BP442">
        <f t="shared" ca="1" si="182"/>
        <v>1320000.0000000075</v>
      </c>
      <c r="BQ442">
        <f t="shared" ca="1" si="183"/>
        <v>0</v>
      </c>
      <c r="BR442">
        <f ca="1">IF(ROW()&lt;($C$7+1),"",IFERROR((分析データ!F442-AVERAGE(OFFSET(分析データ!F$1,MAX(1,ROW()-$C$7),0,MIN($C$7,ROW()-1),1)))/STDEV(OFFSET(分析データ!F$1,MAX(1,ROW()-$C$7),0,MIN($C$7,ROW()-1),1)),0))</f>
        <v>0.9153025633608084</v>
      </c>
      <c r="BS442">
        <f t="shared" ca="1" si="184"/>
        <v>0</v>
      </c>
      <c r="BT442" t="str">
        <f ca="1">IF(BS442=1,IF(INDEX(分析データ!$A:$A,ROW()+$C$5)&lt;&gt;"",40000*SIGN(BR442)*(分析データ!F442-INDEX(分析データ!F:F,ROW()+$C$5)),""),"")</f>
        <v/>
      </c>
      <c r="BU442">
        <f t="shared" ca="1" si="185"/>
        <v>583200.00000000163</v>
      </c>
      <c r="BV442">
        <f t="shared" ca="1" si="186"/>
        <v>583200.00000000163</v>
      </c>
      <c r="BW442">
        <f t="shared" ca="1" si="187"/>
        <v>0</v>
      </c>
      <c r="BX442">
        <f ca="1">IF(ROW()&lt;($C$7+1),"",IFERROR((分析データ!G442-AVERAGE(OFFSET(分析データ!G$1,MAX(1,ROW()-$C$7),0,MIN($C$7,ROW()-1),1)))/STDEV(OFFSET(分析データ!G$1,MAX(1,ROW()-$C$7),0,MIN($C$7,ROW()-1),1)),0))</f>
        <v>1.0325283405924881</v>
      </c>
      <c r="BY442">
        <f t="shared" ca="1" si="188"/>
        <v>0</v>
      </c>
      <c r="BZ442" t="str">
        <f ca="1">IF(BY442=1,IF(INDEX(分析データ!$A:$A,ROW()+$C$5)&lt;&gt;"",40000*SIGN(BX442)*(分析データ!G442-INDEX(分析データ!G:G,ROW()+$C$5)),""),"")</f>
        <v/>
      </c>
      <c r="CA442">
        <f t="shared" ca="1" si="189"/>
        <v>4220275.7177734375</v>
      </c>
      <c r="CB442">
        <f t="shared" ca="1" si="190"/>
        <v>4220275.7177734375</v>
      </c>
      <c r="CC442">
        <f t="shared" ca="1" si="191"/>
        <v>0</v>
      </c>
      <c r="CD442">
        <f t="shared" ca="1" si="192"/>
        <v>374000.00000000006</v>
      </c>
      <c r="CE442">
        <f t="shared" ca="1" si="193"/>
        <v>3448475.7177734682</v>
      </c>
      <c r="CF442">
        <f t="shared" ca="1" si="194"/>
        <v>6770475.7177734533</v>
      </c>
      <c r="CG442">
        <f t="shared" ca="1" si="195"/>
        <v>-3321999.9999999851</v>
      </c>
      <c r="CH442" s="10">
        <f>分析データ!A442</f>
        <v>45568</v>
      </c>
    </row>
    <row r="443" spans="46:86">
      <c r="AT443">
        <f ca="1">IF(ROW()&lt;($C$7+1),"",IFERROR((分析データ!B443-AVERAGE(OFFSET(分析データ!B$1,MAX(1,ROW()-$C$7),0,MIN($C$7,ROW()-1),1)))/STDEV(OFFSET(分析データ!B$1,MAX(1,ROW()-$C$7),0,MIN($C$7,ROW()-1),1)),0))</f>
        <v>2.1036934304151669</v>
      </c>
      <c r="AU443">
        <f t="shared" ca="1" si="168"/>
        <v>1</v>
      </c>
      <c r="AV443">
        <f ca="1">IF(AU443=1,IF(INDEX(分析データ!$A:$A,ROW()+$C$5)&lt;&gt;"",80000*SIGN(AT443)*(分析データ!B443-INDEX(分析データ!B:B,ROW()+$C$5)),""),"")</f>
        <v>-400000.00000000215</v>
      </c>
      <c r="AW443">
        <f t="shared" ca="1" si="169"/>
        <v>-2999999.9999999963</v>
      </c>
      <c r="AX443">
        <f t="shared" ca="1" si="170"/>
        <v>0</v>
      </c>
      <c r="AY443">
        <f t="shared" ca="1" si="171"/>
        <v>-2999999.9999999963</v>
      </c>
      <c r="AZ443">
        <f ca="1">IF(ROW()&lt;($C$7+1),"",IFERROR((分析データ!C443-AVERAGE(OFFSET(分析データ!C$1,MAX(1,ROW()-$C$7),0,MIN($C$7,ROW()-1),1)))/STDEV(OFFSET(分析データ!C$1,MAX(1,ROW()-$C$7),0,MIN($C$7,ROW()-1),1)),0))</f>
        <v>-1.9064471000159096</v>
      </c>
      <c r="BA443">
        <f t="shared" ca="1" si="172"/>
        <v>0</v>
      </c>
      <c r="BB443" t="str">
        <f ca="1">IF(BA443=1,IF(INDEX(分析データ!$A:$A,ROW()+$C$5)&lt;&gt;"",60000*SIGN(AZ443)*(分析データ!C443-INDEX(分析データ!C:C,ROW()+$C$5)),""),"")</f>
        <v/>
      </c>
      <c r="BC443">
        <f t="shared" ca="1" si="173"/>
        <v>705000.00000000629</v>
      </c>
      <c r="BD443">
        <f t="shared" ca="1" si="174"/>
        <v>705000.00000000629</v>
      </c>
      <c r="BE443">
        <f t="shared" ca="1" si="175"/>
        <v>0</v>
      </c>
      <c r="BF443">
        <f ca="1">IF(ROW()&lt;($C$7+1),"",IFERROR((分析データ!D443-AVERAGE(OFFSET(分析データ!D$1,MAX(1,ROW()-$C$7),0,MIN($C$7,ROW()-1),1)))/STDEV(OFFSET(分析データ!D$1,MAX(1,ROW()-$C$7),0,MIN($C$7,ROW()-1),1)),0))</f>
        <v>-0.95228755090046835</v>
      </c>
      <c r="BG443">
        <f t="shared" ca="1" si="176"/>
        <v>0</v>
      </c>
      <c r="BH443" t="str">
        <f ca="1">IF(BG443=1,IF(INDEX(分析データ!$A:$A,ROW()+$C$5)&lt;&gt;"",50000*SIGN(BF443)*(分析データ!D443-INDEX(分析データ!D:D,ROW()+$C$5)),""),"")</f>
        <v/>
      </c>
      <c r="BI443">
        <f t="shared" ca="1" si="177"/>
        <v>-779999.99999999418</v>
      </c>
      <c r="BJ443">
        <f t="shared" ca="1" si="178"/>
        <v>1695000.0000000016</v>
      </c>
      <c r="BK443">
        <f t="shared" ca="1" si="179"/>
        <v>-2474999.9999999958</v>
      </c>
      <c r="BL443">
        <f ca="1">IF(ROW()&lt;($C$7+1),"",IFERROR((分析データ!E443-AVERAGE(OFFSET(分析データ!E$1,MAX(1,ROW()-$C$7),0,MIN($C$7,ROW()-1),1)))/STDEV(OFFSET(分析データ!E$1,MAX(1,ROW()-$C$7),0,MIN($C$7,ROW()-1),1)),0))</f>
        <v>1.4733780791988837</v>
      </c>
      <c r="BM443">
        <f t="shared" ca="1" si="180"/>
        <v>0</v>
      </c>
      <c r="BN443" t="str">
        <f ca="1">IF(BM443=1,IF(INDEX(分析データ!$A:$A,ROW()+$C$5)&lt;&gt;"",40000*SIGN(BL443)*(分析データ!E443-INDEX(分析データ!E:E,ROW()+$C$5)),""),"")</f>
        <v/>
      </c>
      <c r="BO443">
        <f t="shared" ca="1" si="181"/>
        <v>1320000.0000000075</v>
      </c>
      <c r="BP443">
        <f t="shared" ca="1" si="182"/>
        <v>1320000.0000000075</v>
      </c>
      <c r="BQ443">
        <f t="shared" ca="1" si="183"/>
        <v>0</v>
      </c>
      <c r="BR443">
        <f ca="1">IF(ROW()&lt;($C$7+1),"",IFERROR((分析データ!F443-AVERAGE(OFFSET(分析データ!F$1,MAX(1,ROW()-$C$7),0,MIN($C$7,ROW()-1),1)))/STDEV(OFFSET(分析データ!F$1,MAX(1,ROW()-$C$7),0,MIN($C$7,ROW()-1),1)),0))</f>
        <v>-0.28238038495538942</v>
      </c>
      <c r="BS443">
        <f t="shared" ca="1" si="184"/>
        <v>0</v>
      </c>
      <c r="BT443" t="str">
        <f ca="1">IF(BS443=1,IF(INDEX(分析データ!$A:$A,ROW()+$C$5)&lt;&gt;"",40000*SIGN(BR443)*(分析データ!F443-INDEX(分析データ!F:F,ROW()+$C$5)),""),"")</f>
        <v/>
      </c>
      <c r="BU443">
        <f t="shared" ca="1" si="185"/>
        <v>583200.00000000163</v>
      </c>
      <c r="BV443">
        <f t="shared" ca="1" si="186"/>
        <v>583200.00000000163</v>
      </c>
      <c r="BW443">
        <f t="shared" ca="1" si="187"/>
        <v>0</v>
      </c>
      <c r="BX443">
        <f ca="1">IF(ROW()&lt;($C$7+1),"",IFERROR((分析データ!G443-AVERAGE(OFFSET(分析データ!G$1,MAX(1,ROW()-$C$7),0,MIN($C$7,ROW()-1),1)))/STDEV(OFFSET(分析データ!G$1,MAX(1,ROW()-$C$7),0,MIN($C$7,ROW()-1),1)),0))</f>
        <v>1.3260080596778165</v>
      </c>
      <c r="BY443">
        <f t="shared" ca="1" si="188"/>
        <v>0</v>
      </c>
      <c r="BZ443" t="str">
        <f ca="1">IF(BY443=1,IF(INDEX(分析データ!$A:$A,ROW()+$C$5)&lt;&gt;"",40000*SIGN(BX443)*(分析データ!G443-INDEX(分析データ!G:G,ROW()+$C$5)),""),"")</f>
        <v/>
      </c>
      <c r="CA443">
        <f t="shared" ca="1" si="189"/>
        <v>4220275.7177734375</v>
      </c>
      <c r="CB443">
        <f t="shared" ca="1" si="190"/>
        <v>4220275.7177734375</v>
      </c>
      <c r="CC443">
        <f t="shared" ca="1" si="191"/>
        <v>0</v>
      </c>
      <c r="CD443">
        <f t="shared" ca="1" si="192"/>
        <v>-400000.00000000215</v>
      </c>
      <c r="CE443">
        <f t="shared" ca="1" si="193"/>
        <v>3048475.7177734659</v>
      </c>
      <c r="CF443">
        <f t="shared" ca="1" si="194"/>
        <v>6770475.7177734533</v>
      </c>
      <c r="CG443">
        <f t="shared" ca="1" si="195"/>
        <v>-3721999.9999999874</v>
      </c>
      <c r="CH443" s="10">
        <f>分析データ!A443</f>
        <v>45569</v>
      </c>
    </row>
    <row r="444" spans="46:86">
      <c r="AT444">
        <f ca="1">IF(ROW()&lt;($C$7+1),"",IFERROR((分析データ!B444-AVERAGE(OFFSET(分析データ!B$1,MAX(1,ROW()-$C$7),0,MIN($C$7,ROW()-1),1)))/STDEV(OFFSET(分析データ!B$1,MAX(1,ROW()-$C$7),0,MIN($C$7,ROW()-1),1)),0))</f>
        <v>2.0772649418575142</v>
      </c>
      <c r="AU444">
        <f t="shared" ca="1" si="168"/>
        <v>1</v>
      </c>
      <c r="AV444">
        <f ca="1">IF(AU444=1,IF(INDEX(分析データ!$A:$A,ROW()+$C$5)&lt;&gt;"",80000*SIGN(AT444)*(分析データ!B444-INDEX(分析データ!B:B,ROW()+$C$5)),""),"")</f>
        <v>-439999.99999999773</v>
      </c>
      <c r="AW444">
        <f t="shared" ca="1" si="169"/>
        <v>-3439999.9999999939</v>
      </c>
      <c r="AX444">
        <f t="shared" ca="1" si="170"/>
        <v>0</v>
      </c>
      <c r="AY444">
        <f t="shared" ca="1" si="171"/>
        <v>-3439999.9999999939</v>
      </c>
      <c r="AZ444">
        <f ca="1">IF(ROW()&lt;($C$7+1),"",IFERROR((分析データ!C444-AVERAGE(OFFSET(分析データ!C$1,MAX(1,ROW()-$C$7),0,MIN($C$7,ROW()-1),1)))/STDEV(OFFSET(分析データ!C$1,MAX(1,ROW()-$C$7),0,MIN($C$7,ROW()-1),1)),0))</f>
        <v>-1.8088806667676838</v>
      </c>
      <c r="BA444">
        <f t="shared" ca="1" si="172"/>
        <v>0</v>
      </c>
      <c r="BB444" t="str">
        <f ca="1">IF(BA444=1,IF(INDEX(分析データ!$A:$A,ROW()+$C$5)&lt;&gt;"",60000*SIGN(AZ444)*(分析データ!C444-INDEX(分析データ!C:C,ROW()+$C$5)),""),"")</f>
        <v/>
      </c>
      <c r="BC444">
        <f t="shared" ca="1" si="173"/>
        <v>705000.00000000629</v>
      </c>
      <c r="BD444">
        <f t="shared" ca="1" si="174"/>
        <v>705000.00000000629</v>
      </c>
      <c r="BE444">
        <f t="shared" ca="1" si="175"/>
        <v>0</v>
      </c>
      <c r="BF444">
        <f ca="1">IF(ROW()&lt;($C$7+1),"",IFERROR((分析データ!D444-AVERAGE(OFFSET(分析データ!D$1,MAX(1,ROW()-$C$7),0,MIN($C$7,ROW()-1),1)))/STDEV(OFFSET(分析データ!D$1,MAX(1,ROW()-$C$7),0,MIN($C$7,ROW()-1),1)),0))</f>
        <v>-0.91373034592371605</v>
      </c>
      <c r="BG444">
        <f t="shared" ca="1" si="176"/>
        <v>0</v>
      </c>
      <c r="BH444" t="str">
        <f ca="1">IF(BG444=1,IF(INDEX(分析データ!$A:$A,ROW()+$C$5)&lt;&gt;"",50000*SIGN(BF444)*(分析データ!D444-INDEX(分析データ!D:D,ROW()+$C$5)),""),"")</f>
        <v/>
      </c>
      <c r="BI444">
        <f t="shared" ca="1" si="177"/>
        <v>-779999.99999999418</v>
      </c>
      <c r="BJ444">
        <f t="shared" ca="1" si="178"/>
        <v>1695000.0000000016</v>
      </c>
      <c r="BK444">
        <f t="shared" ca="1" si="179"/>
        <v>-2474999.9999999958</v>
      </c>
      <c r="BL444">
        <f ca="1">IF(ROW()&lt;($C$7+1),"",IFERROR((分析データ!E444-AVERAGE(OFFSET(分析データ!E$1,MAX(1,ROW()-$C$7),0,MIN($C$7,ROW()-1),1)))/STDEV(OFFSET(分析データ!E$1,MAX(1,ROW()-$C$7),0,MIN($C$7,ROW()-1),1)),0))</f>
        <v>1.4599907238356797</v>
      </c>
      <c r="BM444">
        <f t="shared" ca="1" si="180"/>
        <v>0</v>
      </c>
      <c r="BN444" t="str">
        <f ca="1">IF(BM444=1,IF(INDEX(分析データ!$A:$A,ROW()+$C$5)&lt;&gt;"",40000*SIGN(BL444)*(分析データ!E444-INDEX(分析データ!E:E,ROW()+$C$5)),""),"")</f>
        <v/>
      </c>
      <c r="BO444">
        <f t="shared" ca="1" si="181"/>
        <v>1320000.0000000075</v>
      </c>
      <c r="BP444">
        <f t="shared" ca="1" si="182"/>
        <v>1320000.0000000075</v>
      </c>
      <c r="BQ444">
        <f t="shared" ca="1" si="183"/>
        <v>0</v>
      </c>
      <c r="BR444">
        <f ca="1">IF(ROW()&lt;($C$7+1),"",IFERROR((分析データ!F444-AVERAGE(OFFSET(分析データ!F$1,MAX(1,ROW()-$C$7),0,MIN($C$7,ROW()-1),1)))/STDEV(OFFSET(分析データ!F$1,MAX(1,ROW()-$C$7),0,MIN($C$7,ROW()-1),1)),0))</f>
        <v>0.13612215597842306</v>
      </c>
      <c r="BS444">
        <f t="shared" ca="1" si="184"/>
        <v>0</v>
      </c>
      <c r="BT444" t="str">
        <f ca="1">IF(BS444=1,IF(INDEX(分析データ!$A:$A,ROW()+$C$5)&lt;&gt;"",40000*SIGN(BR444)*(分析データ!F444-INDEX(分析データ!F:F,ROW()+$C$5)),""),"")</f>
        <v/>
      </c>
      <c r="BU444">
        <f t="shared" ca="1" si="185"/>
        <v>583200.00000000163</v>
      </c>
      <c r="BV444">
        <f t="shared" ca="1" si="186"/>
        <v>583200.00000000163</v>
      </c>
      <c r="BW444">
        <f t="shared" ca="1" si="187"/>
        <v>0</v>
      </c>
      <c r="BX444">
        <f ca="1">IF(ROW()&lt;($C$7+1),"",IFERROR((分析データ!G444-AVERAGE(OFFSET(分析データ!G$1,MAX(1,ROW()-$C$7),0,MIN($C$7,ROW()-1),1)))/STDEV(OFFSET(分析データ!G$1,MAX(1,ROW()-$C$7),0,MIN($C$7,ROW()-1),1)),0))</f>
        <v>1.1024565408970697</v>
      </c>
      <c r="BY444">
        <f t="shared" ca="1" si="188"/>
        <v>0</v>
      </c>
      <c r="BZ444" t="str">
        <f ca="1">IF(BY444=1,IF(INDEX(分析データ!$A:$A,ROW()+$C$5)&lt;&gt;"",40000*SIGN(BX444)*(分析データ!G444-INDEX(分析データ!G:G,ROW()+$C$5)),""),"")</f>
        <v/>
      </c>
      <c r="CA444">
        <f t="shared" ca="1" si="189"/>
        <v>4220275.7177734375</v>
      </c>
      <c r="CB444">
        <f t="shared" ca="1" si="190"/>
        <v>4220275.7177734375</v>
      </c>
      <c r="CC444">
        <f t="shared" ca="1" si="191"/>
        <v>0</v>
      </c>
      <c r="CD444">
        <f t="shared" ca="1" si="192"/>
        <v>-439999.99999999773</v>
      </c>
      <c r="CE444">
        <f t="shared" ca="1" si="193"/>
        <v>2608475.7177734682</v>
      </c>
      <c r="CF444">
        <f t="shared" ca="1" si="194"/>
        <v>6770475.7177734533</v>
      </c>
      <c r="CG444">
        <f t="shared" ca="1" si="195"/>
        <v>-4161999.9999999851</v>
      </c>
      <c r="CH444" s="10">
        <f>分析データ!A444</f>
        <v>45572</v>
      </c>
    </row>
    <row r="445" spans="46:86">
      <c r="AT445">
        <f ca="1">IF(ROW()&lt;($C$7+1),"",IFERROR((分析データ!B445-AVERAGE(OFFSET(分析データ!B$1,MAX(1,ROW()-$C$7),0,MIN($C$7,ROW()-1),1)))/STDEV(OFFSET(分析データ!B$1,MAX(1,ROW()-$C$7),0,MIN($C$7,ROW()-1),1)),0))</f>
        <v>2.1381049477569762</v>
      </c>
      <c r="AU445">
        <f t="shared" ca="1" si="168"/>
        <v>1</v>
      </c>
      <c r="AV445">
        <f ca="1">IF(AU445=1,IF(INDEX(分析データ!$A:$A,ROW()+$C$5)&lt;&gt;"",80000*SIGN(AT445)*(分析データ!B445-INDEX(分析データ!B:B,ROW()+$C$5)),""),"")</f>
        <v>-480000.00000000396</v>
      </c>
      <c r="AW445">
        <f t="shared" ca="1" si="169"/>
        <v>-3919999.9999999981</v>
      </c>
      <c r="AX445">
        <f t="shared" ca="1" si="170"/>
        <v>0</v>
      </c>
      <c r="AY445">
        <f t="shared" ca="1" si="171"/>
        <v>-3919999.9999999981</v>
      </c>
      <c r="AZ445">
        <f ca="1">IF(ROW()&lt;($C$7+1),"",IFERROR((分析データ!C445-AVERAGE(OFFSET(分析データ!C$1,MAX(1,ROW()-$C$7),0,MIN($C$7,ROW()-1),1)))/STDEV(OFFSET(分析データ!C$1,MAX(1,ROW()-$C$7),0,MIN($C$7,ROW()-1),1)),0))</f>
        <v>-1.724404167103863</v>
      </c>
      <c r="BA445">
        <f t="shared" ca="1" si="172"/>
        <v>0</v>
      </c>
      <c r="BB445" t="str">
        <f ca="1">IF(BA445=1,IF(INDEX(分析データ!$A:$A,ROW()+$C$5)&lt;&gt;"",60000*SIGN(AZ445)*(分析データ!C445-INDEX(分析データ!C:C,ROW()+$C$5)),""),"")</f>
        <v/>
      </c>
      <c r="BC445">
        <f t="shared" ca="1" si="173"/>
        <v>705000.00000000629</v>
      </c>
      <c r="BD445">
        <f t="shared" ca="1" si="174"/>
        <v>705000.00000000629</v>
      </c>
      <c r="BE445">
        <f t="shared" ca="1" si="175"/>
        <v>0</v>
      </c>
      <c r="BF445">
        <f ca="1">IF(ROW()&lt;($C$7+1),"",IFERROR((分析データ!D445-AVERAGE(OFFSET(分析データ!D$1,MAX(1,ROW()-$C$7),0,MIN($C$7,ROW()-1),1)))/STDEV(OFFSET(分析データ!D$1,MAX(1,ROW()-$C$7),0,MIN($C$7,ROW()-1),1)),0))</f>
        <v>-0.8751628655171837</v>
      </c>
      <c r="BG445">
        <f t="shared" ca="1" si="176"/>
        <v>0</v>
      </c>
      <c r="BH445" t="str">
        <f ca="1">IF(BG445=1,IF(INDEX(分析データ!$A:$A,ROW()+$C$5)&lt;&gt;"",50000*SIGN(BF445)*(分析データ!D445-INDEX(分析データ!D:D,ROW()+$C$5)),""),"")</f>
        <v/>
      </c>
      <c r="BI445">
        <f t="shared" ca="1" si="177"/>
        <v>-779999.99999999418</v>
      </c>
      <c r="BJ445">
        <f t="shared" ca="1" si="178"/>
        <v>1695000.0000000016</v>
      </c>
      <c r="BK445">
        <f t="shared" ca="1" si="179"/>
        <v>-2474999.9999999958</v>
      </c>
      <c r="BL445">
        <f ca="1">IF(ROW()&lt;($C$7+1),"",IFERROR((分析データ!E445-AVERAGE(OFFSET(分析データ!E$1,MAX(1,ROW()-$C$7),0,MIN($C$7,ROW()-1),1)))/STDEV(OFFSET(分析データ!E$1,MAX(1,ROW()-$C$7),0,MIN($C$7,ROW()-1),1)),0))</f>
        <v>1.5699042910967984</v>
      </c>
      <c r="BM445">
        <f t="shared" ca="1" si="180"/>
        <v>0</v>
      </c>
      <c r="BN445" t="str">
        <f ca="1">IF(BM445=1,IF(INDEX(分析データ!$A:$A,ROW()+$C$5)&lt;&gt;"",40000*SIGN(BL445)*(分析データ!E445-INDEX(分析データ!E:E,ROW()+$C$5)),""),"")</f>
        <v/>
      </c>
      <c r="BO445">
        <f t="shared" ca="1" si="181"/>
        <v>1320000.0000000075</v>
      </c>
      <c r="BP445">
        <f t="shared" ca="1" si="182"/>
        <v>1320000.0000000075</v>
      </c>
      <c r="BQ445">
        <f t="shared" ca="1" si="183"/>
        <v>0</v>
      </c>
      <c r="BR445">
        <f ca="1">IF(ROW()&lt;($C$7+1),"",IFERROR((分析データ!F445-AVERAGE(OFFSET(分析データ!F$1,MAX(1,ROW()-$C$7),0,MIN($C$7,ROW()-1),1)))/STDEV(OFFSET(分析データ!F$1,MAX(1,ROW()-$C$7),0,MIN($C$7,ROW()-1),1)),0))</f>
        <v>0.10918436363644143</v>
      </c>
      <c r="BS445">
        <f t="shared" ca="1" si="184"/>
        <v>0</v>
      </c>
      <c r="BT445" t="str">
        <f ca="1">IF(BS445=1,IF(INDEX(分析データ!$A:$A,ROW()+$C$5)&lt;&gt;"",40000*SIGN(BR445)*(分析データ!F445-INDEX(分析データ!F:F,ROW()+$C$5)),""),"")</f>
        <v/>
      </c>
      <c r="BU445">
        <f t="shared" ca="1" si="185"/>
        <v>583200.00000000163</v>
      </c>
      <c r="BV445">
        <f t="shared" ca="1" si="186"/>
        <v>583200.00000000163</v>
      </c>
      <c r="BW445">
        <f t="shared" ca="1" si="187"/>
        <v>0</v>
      </c>
      <c r="BX445">
        <f ca="1">IF(ROW()&lt;($C$7+1),"",IFERROR((分析データ!G445-AVERAGE(OFFSET(分析データ!G$1,MAX(1,ROW()-$C$7),0,MIN($C$7,ROW()-1),1)))/STDEV(OFFSET(分析データ!G$1,MAX(1,ROW()-$C$7),0,MIN($C$7,ROW()-1),1)),0))</f>
        <v>1.0565190291870978</v>
      </c>
      <c r="BY445">
        <f t="shared" ca="1" si="188"/>
        <v>0</v>
      </c>
      <c r="BZ445" t="str">
        <f ca="1">IF(BY445=1,IF(INDEX(分析データ!$A:$A,ROW()+$C$5)&lt;&gt;"",40000*SIGN(BX445)*(分析データ!G445-INDEX(分析データ!G:G,ROW()+$C$5)),""),"")</f>
        <v/>
      </c>
      <c r="CA445">
        <f t="shared" ca="1" si="189"/>
        <v>4220275.7177734375</v>
      </c>
      <c r="CB445">
        <f t="shared" ca="1" si="190"/>
        <v>4220275.7177734375</v>
      </c>
      <c r="CC445">
        <f t="shared" ca="1" si="191"/>
        <v>0</v>
      </c>
      <c r="CD445">
        <f t="shared" ca="1" si="192"/>
        <v>-480000.00000000396</v>
      </c>
      <c r="CE445">
        <f t="shared" ca="1" si="193"/>
        <v>2128475.7177734645</v>
      </c>
      <c r="CF445">
        <f t="shared" ca="1" si="194"/>
        <v>6770475.7177734533</v>
      </c>
      <c r="CG445">
        <f t="shared" ca="1" si="195"/>
        <v>-4641999.9999999888</v>
      </c>
      <c r="CH445" s="10">
        <f>分析データ!A445</f>
        <v>45573</v>
      </c>
    </row>
    <row r="446" spans="46:86">
      <c r="AT446">
        <f ca="1">IF(ROW()&lt;($C$7+1),"",IFERROR((分析データ!B446-AVERAGE(OFFSET(分析データ!B$1,MAX(1,ROW()-$C$7),0,MIN($C$7,ROW()-1),1)))/STDEV(OFFSET(分析データ!B$1,MAX(1,ROW()-$C$7),0,MIN($C$7,ROW()-1),1)),0))</f>
        <v>2.1964377856093242</v>
      </c>
      <c r="AU446">
        <f t="shared" ca="1" si="168"/>
        <v>1</v>
      </c>
      <c r="AV446">
        <f ca="1">IF(AU446=1,IF(INDEX(分析データ!$A:$A,ROW()+$C$5)&lt;&gt;"",80000*SIGN(AT446)*(分析データ!B446-INDEX(分析データ!B:B,ROW()+$C$5)),""),"")</f>
        <v>-360000.00000000652</v>
      </c>
      <c r="AW446">
        <f t="shared" ca="1" si="169"/>
        <v>-4280000.0000000047</v>
      </c>
      <c r="AX446">
        <f t="shared" ca="1" si="170"/>
        <v>0</v>
      </c>
      <c r="AY446">
        <f t="shared" ca="1" si="171"/>
        <v>-4280000.0000000047</v>
      </c>
      <c r="AZ446">
        <f ca="1">IF(ROW()&lt;($C$7+1),"",IFERROR((分析データ!C446-AVERAGE(OFFSET(分析データ!C$1,MAX(1,ROW()-$C$7),0,MIN($C$7,ROW()-1),1)))/STDEV(OFFSET(分析データ!C$1,MAX(1,ROW()-$C$7),0,MIN($C$7,ROW()-1),1)),0))</f>
        <v>-1.6890111831076375</v>
      </c>
      <c r="BA446">
        <f t="shared" ca="1" si="172"/>
        <v>0</v>
      </c>
      <c r="BB446" t="str">
        <f ca="1">IF(BA446=1,IF(INDEX(分析データ!$A:$A,ROW()+$C$5)&lt;&gt;"",60000*SIGN(AZ446)*(分析データ!C446-INDEX(分析データ!C:C,ROW()+$C$5)),""),"")</f>
        <v/>
      </c>
      <c r="BC446">
        <f t="shared" ca="1" si="173"/>
        <v>705000.00000000629</v>
      </c>
      <c r="BD446">
        <f t="shared" ca="1" si="174"/>
        <v>705000.00000000629</v>
      </c>
      <c r="BE446">
        <f t="shared" ca="1" si="175"/>
        <v>0</v>
      </c>
      <c r="BF446">
        <f ca="1">IF(ROW()&lt;($C$7+1),"",IFERROR((分析データ!D446-AVERAGE(OFFSET(分析データ!D$1,MAX(1,ROW()-$C$7),0,MIN($C$7,ROW()-1),1)))/STDEV(OFFSET(分析データ!D$1,MAX(1,ROW()-$C$7),0,MIN($C$7,ROW()-1),1)),0))</f>
        <v>-0.83701075313530293</v>
      </c>
      <c r="BG446">
        <f t="shared" ca="1" si="176"/>
        <v>0</v>
      </c>
      <c r="BH446" t="str">
        <f ca="1">IF(BG446=1,IF(INDEX(分析データ!$A:$A,ROW()+$C$5)&lt;&gt;"",50000*SIGN(BF446)*(分析データ!D446-INDEX(分析データ!D:D,ROW()+$C$5)),""),"")</f>
        <v/>
      </c>
      <c r="BI446">
        <f t="shared" ca="1" si="177"/>
        <v>-779999.99999999418</v>
      </c>
      <c r="BJ446">
        <f t="shared" ca="1" si="178"/>
        <v>1695000.0000000016</v>
      </c>
      <c r="BK446">
        <f t="shared" ca="1" si="179"/>
        <v>-2474999.9999999958</v>
      </c>
      <c r="BL446">
        <f ca="1">IF(ROW()&lt;($C$7+1),"",IFERROR((分析データ!E446-AVERAGE(OFFSET(分析データ!E$1,MAX(1,ROW()-$C$7),0,MIN($C$7,ROW()-1),1)))/STDEV(OFFSET(分析データ!E$1,MAX(1,ROW()-$C$7),0,MIN($C$7,ROW()-1),1)),0))</f>
        <v>1.1890062615384751</v>
      </c>
      <c r="BM446">
        <f t="shared" ca="1" si="180"/>
        <v>0</v>
      </c>
      <c r="BN446" t="str">
        <f ca="1">IF(BM446=1,IF(INDEX(分析データ!$A:$A,ROW()+$C$5)&lt;&gt;"",40000*SIGN(BL446)*(分析データ!E446-INDEX(分析データ!E:E,ROW()+$C$5)),""),"")</f>
        <v/>
      </c>
      <c r="BO446">
        <f t="shared" ca="1" si="181"/>
        <v>1320000.0000000075</v>
      </c>
      <c r="BP446">
        <f t="shared" ca="1" si="182"/>
        <v>1320000.0000000075</v>
      </c>
      <c r="BQ446">
        <f t="shared" ca="1" si="183"/>
        <v>0</v>
      </c>
      <c r="BR446">
        <f ca="1">IF(ROW()&lt;($C$7+1),"",IFERROR((分析データ!F446-AVERAGE(OFFSET(分析データ!F$1,MAX(1,ROW()-$C$7),0,MIN($C$7,ROW()-1),1)))/STDEV(OFFSET(分析データ!F$1,MAX(1,ROW()-$C$7),0,MIN($C$7,ROW()-1),1)),0))</f>
        <v>3.5939833329131261E-2</v>
      </c>
      <c r="BS446">
        <f t="shared" ca="1" si="184"/>
        <v>0</v>
      </c>
      <c r="BT446" t="str">
        <f ca="1">IF(BS446=1,IF(INDEX(分析データ!$A:$A,ROW()+$C$5)&lt;&gt;"",40000*SIGN(BR446)*(分析データ!F446-INDEX(分析データ!F:F,ROW()+$C$5)),""),"")</f>
        <v/>
      </c>
      <c r="BU446">
        <f t="shared" ca="1" si="185"/>
        <v>583200.00000000163</v>
      </c>
      <c r="BV446">
        <f t="shared" ca="1" si="186"/>
        <v>583200.00000000163</v>
      </c>
      <c r="BW446">
        <f t="shared" ca="1" si="187"/>
        <v>0</v>
      </c>
      <c r="BX446">
        <f ca="1">IF(ROW()&lt;($C$7+1),"",IFERROR((分析データ!G446-AVERAGE(OFFSET(分析データ!G$1,MAX(1,ROW()-$C$7),0,MIN($C$7,ROW()-1),1)))/STDEV(OFFSET(分析データ!G$1,MAX(1,ROW()-$C$7),0,MIN($C$7,ROW()-1),1)),0))</f>
        <v>1.1087926963999351</v>
      </c>
      <c r="BY446">
        <f t="shared" ca="1" si="188"/>
        <v>0</v>
      </c>
      <c r="BZ446" t="str">
        <f ca="1">IF(BY446=1,IF(INDEX(分析データ!$A:$A,ROW()+$C$5)&lt;&gt;"",40000*SIGN(BX446)*(分析データ!G446-INDEX(分析データ!G:G,ROW()+$C$5)),""),"")</f>
        <v/>
      </c>
      <c r="CA446">
        <f t="shared" ca="1" si="189"/>
        <v>4220275.7177734375</v>
      </c>
      <c r="CB446">
        <f t="shared" ca="1" si="190"/>
        <v>4220275.7177734375</v>
      </c>
      <c r="CC446">
        <f t="shared" ca="1" si="191"/>
        <v>0</v>
      </c>
      <c r="CD446">
        <f t="shared" ca="1" si="192"/>
        <v>-360000.00000000652</v>
      </c>
      <c r="CE446">
        <f t="shared" ca="1" si="193"/>
        <v>1768475.717773458</v>
      </c>
      <c r="CF446">
        <f t="shared" ca="1" si="194"/>
        <v>6770475.7177734533</v>
      </c>
      <c r="CG446">
        <f t="shared" ca="1" si="195"/>
        <v>-5001999.9999999953</v>
      </c>
      <c r="CH446" s="10">
        <f>分析データ!A446</f>
        <v>45574</v>
      </c>
    </row>
    <row r="447" spans="46:86">
      <c r="AT447">
        <f ca="1">IF(ROW()&lt;($C$7+1),"",IFERROR((分析データ!B447-AVERAGE(OFFSET(分析データ!B$1,MAX(1,ROW()-$C$7),0,MIN($C$7,ROW()-1),1)))/STDEV(OFFSET(分析データ!B$1,MAX(1,ROW()-$C$7),0,MIN($C$7,ROW()-1),1)),0))</f>
        <v>2.4214230573700082</v>
      </c>
      <c r="AU447">
        <f t="shared" ca="1" si="168"/>
        <v>1</v>
      </c>
      <c r="AV447">
        <f ca="1">IF(AU447=1,IF(INDEX(分析データ!$A:$A,ROW()+$C$5)&lt;&gt;"",80000*SIGN(AT447)*(分析データ!B447-INDEX(分析データ!B:B,ROW()+$C$5)),""),"")</f>
        <v>-239999.99999999488</v>
      </c>
      <c r="AW447">
        <f t="shared" ca="1" si="169"/>
        <v>-4520000</v>
      </c>
      <c r="AX447">
        <f t="shared" ca="1" si="170"/>
        <v>0</v>
      </c>
      <c r="AY447">
        <f t="shared" ca="1" si="171"/>
        <v>-4520000</v>
      </c>
      <c r="AZ447">
        <f ca="1">IF(ROW()&lt;($C$7+1),"",IFERROR((分析データ!C447-AVERAGE(OFFSET(分析データ!C$1,MAX(1,ROW()-$C$7),0,MIN($C$7,ROW()-1),1)))/STDEV(OFFSET(分析データ!C$1,MAX(1,ROW()-$C$7),0,MIN($C$7,ROW()-1),1)),0))</f>
        <v>-1.6048231596922544</v>
      </c>
      <c r="BA447">
        <f t="shared" ca="1" si="172"/>
        <v>0</v>
      </c>
      <c r="BB447" t="str">
        <f ca="1">IF(BA447=1,IF(INDEX(分析データ!$A:$A,ROW()+$C$5)&lt;&gt;"",60000*SIGN(AZ447)*(分析データ!C447-INDEX(分析データ!C:C,ROW()+$C$5)),""),"")</f>
        <v/>
      </c>
      <c r="BC447">
        <f t="shared" ca="1" si="173"/>
        <v>705000.00000000629</v>
      </c>
      <c r="BD447">
        <f t="shared" ca="1" si="174"/>
        <v>705000.00000000629</v>
      </c>
      <c r="BE447">
        <f t="shared" ca="1" si="175"/>
        <v>0</v>
      </c>
      <c r="BF447">
        <f ca="1">IF(ROW()&lt;($C$7+1),"",IFERROR((分析データ!D447-AVERAGE(OFFSET(分析データ!D$1,MAX(1,ROW()-$C$7),0,MIN($C$7,ROW()-1),1)))/STDEV(OFFSET(分析データ!D$1,MAX(1,ROW()-$C$7),0,MIN($C$7,ROW()-1),1)),0))</f>
        <v>-0.81112542199255577</v>
      </c>
      <c r="BG447">
        <f t="shared" ca="1" si="176"/>
        <v>0</v>
      </c>
      <c r="BH447" t="str">
        <f ca="1">IF(BG447=1,IF(INDEX(分析データ!$A:$A,ROW()+$C$5)&lt;&gt;"",50000*SIGN(BF447)*(分析データ!D447-INDEX(分析データ!D:D,ROW()+$C$5)),""),"")</f>
        <v/>
      </c>
      <c r="BI447">
        <f t="shared" ca="1" si="177"/>
        <v>-779999.99999999418</v>
      </c>
      <c r="BJ447">
        <f t="shared" ca="1" si="178"/>
        <v>1695000.0000000016</v>
      </c>
      <c r="BK447">
        <f t="shared" ca="1" si="179"/>
        <v>-2474999.9999999958</v>
      </c>
      <c r="BL447">
        <f ca="1">IF(ROW()&lt;($C$7+1),"",IFERROR((分析データ!E447-AVERAGE(OFFSET(分析データ!E$1,MAX(1,ROW()-$C$7),0,MIN($C$7,ROW()-1),1)))/STDEV(OFFSET(分析データ!E$1,MAX(1,ROW()-$C$7),0,MIN($C$7,ROW()-1),1)),0))</f>
        <v>1.5456202313036136</v>
      </c>
      <c r="BM447">
        <f t="shared" ca="1" si="180"/>
        <v>0</v>
      </c>
      <c r="BN447" t="str">
        <f ca="1">IF(BM447=1,IF(INDEX(分析データ!$A:$A,ROW()+$C$5)&lt;&gt;"",40000*SIGN(BL447)*(分析データ!E447-INDEX(分析データ!E:E,ROW()+$C$5)),""),"")</f>
        <v/>
      </c>
      <c r="BO447">
        <f t="shared" ca="1" si="181"/>
        <v>1320000.0000000075</v>
      </c>
      <c r="BP447">
        <f t="shared" ca="1" si="182"/>
        <v>1320000.0000000075</v>
      </c>
      <c r="BQ447">
        <f t="shared" ca="1" si="183"/>
        <v>0</v>
      </c>
      <c r="BR447">
        <f ca="1">IF(ROW()&lt;($C$7+1),"",IFERROR((分析データ!F447-AVERAGE(OFFSET(分析データ!F$1,MAX(1,ROW()-$C$7),0,MIN($C$7,ROW()-1),1)))/STDEV(OFFSET(分析データ!F$1,MAX(1,ROW()-$C$7),0,MIN($C$7,ROW()-1),1)),0))</f>
        <v>2.4014726966716901E-2</v>
      </c>
      <c r="BS447">
        <f t="shared" ca="1" si="184"/>
        <v>0</v>
      </c>
      <c r="BT447" t="str">
        <f ca="1">IF(BS447=1,IF(INDEX(分析データ!$A:$A,ROW()+$C$5)&lt;&gt;"",40000*SIGN(BR447)*(分析データ!F447-INDEX(分析データ!F:F,ROW()+$C$5)),""),"")</f>
        <v/>
      </c>
      <c r="BU447">
        <f t="shared" ca="1" si="185"/>
        <v>583200.00000000163</v>
      </c>
      <c r="BV447">
        <f t="shared" ca="1" si="186"/>
        <v>583200.00000000163</v>
      </c>
      <c r="BW447">
        <f t="shared" ca="1" si="187"/>
        <v>0</v>
      </c>
      <c r="BX447">
        <f ca="1">IF(ROW()&lt;($C$7+1),"",IFERROR((分析データ!G447-AVERAGE(OFFSET(分析データ!G$1,MAX(1,ROW()-$C$7),0,MIN($C$7,ROW()-1),1)))/STDEV(OFFSET(分析データ!G$1,MAX(1,ROW()-$C$7),0,MIN($C$7,ROW()-1),1)),0))</f>
        <v>1.1655790536548607</v>
      </c>
      <c r="BY447">
        <f t="shared" ca="1" si="188"/>
        <v>0</v>
      </c>
      <c r="BZ447" t="str">
        <f ca="1">IF(BY447=1,IF(INDEX(分析データ!$A:$A,ROW()+$C$5)&lt;&gt;"",40000*SIGN(BX447)*(分析データ!G447-INDEX(分析データ!G:G,ROW()+$C$5)),""),"")</f>
        <v/>
      </c>
      <c r="CA447">
        <f t="shared" ca="1" si="189"/>
        <v>4220275.7177734375</v>
      </c>
      <c r="CB447">
        <f t="shared" ca="1" si="190"/>
        <v>4220275.7177734375</v>
      </c>
      <c r="CC447">
        <f t="shared" ca="1" si="191"/>
        <v>0</v>
      </c>
      <c r="CD447">
        <f t="shared" ca="1" si="192"/>
        <v>-239999.99999999488</v>
      </c>
      <c r="CE447">
        <f t="shared" ca="1" si="193"/>
        <v>1528475.7177734631</v>
      </c>
      <c r="CF447">
        <f t="shared" ca="1" si="194"/>
        <v>6770475.7177734533</v>
      </c>
      <c r="CG447">
        <f t="shared" ca="1" si="195"/>
        <v>-5241999.9999999907</v>
      </c>
      <c r="CH447" s="10">
        <f>分析データ!A447</f>
        <v>45575</v>
      </c>
    </row>
    <row r="448" spans="46:86">
      <c r="AT448">
        <f ca="1">IF(ROW()&lt;($C$7+1),"",IFERROR((分析データ!B448-AVERAGE(OFFSET(分析データ!B$1,MAX(1,ROW()-$C$7),0,MIN($C$7,ROW()-1),1)))/STDEV(OFFSET(分析データ!B$1,MAX(1,ROW()-$C$7),0,MIN($C$7,ROW()-1),1)),0))</f>
        <v>2.3845114016832412</v>
      </c>
      <c r="AU448">
        <f t="shared" ca="1" si="168"/>
        <v>1</v>
      </c>
      <c r="AV448">
        <f ca="1">IF(AU448=1,IF(INDEX(分析データ!$A:$A,ROW()+$C$5)&lt;&gt;"",80000*SIGN(AT448)*(分析データ!B448-INDEX(分析データ!B:B,ROW()+$C$5)),""),"")</f>
        <v>-359999.99999999942</v>
      </c>
      <c r="AW448">
        <f t="shared" ca="1" si="169"/>
        <v>-4879999.9999999991</v>
      </c>
      <c r="AX448">
        <f t="shared" ca="1" si="170"/>
        <v>0</v>
      </c>
      <c r="AY448">
        <f t="shared" ca="1" si="171"/>
        <v>-4879999.9999999991</v>
      </c>
      <c r="AZ448">
        <f ca="1">IF(ROW()&lt;($C$7+1),"",IFERROR((分析データ!C448-AVERAGE(OFFSET(分析データ!C$1,MAX(1,ROW()-$C$7),0,MIN($C$7,ROW()-1),1)))/STDEV(OFFSET(分析データ!C$1,MAX(1,ROW()-$C$7),0,MIN($C$7,ROW()-1),1)),0))</f>
        <v>-1.6119999959677911</v>
      </c>
      <c r="BA448">
        <f t="shared" ca="1" si="172"/>
        <v>0</v>
      </c>
      <c r="BB448" t="str">
        <f ca="1">IF(BA448=1,IF(INDEX(分析データ!$A:$A,ROW()+$C$5)&lt;&gt;"",60000*SIGN(AZ448)*(分析データ!C448-INDEX(分析データ!C:C,ROW()+$C$5)),""),"")</f>
        <v/>
      </c>
      <c r="BC448">
        <f t="shared" ca="1" si="173"/>
        <v>705000.00000000629</v>
      </c>
      <c r="BD448">
        <f t="shared" ca="1" si="174"/>
        <v>705000.00000000629</v>
      </c>
      <c r="BE448">
        <f t="shared" ca="1" si="175"/>
        <v>0</v>
      </c>
      <c r="BF448">
        <f ca="1">IF(ROW()&lt;($C$7+1),"",IFERROR((分析データ!D448-AVERAGE(OFFSET(分析データ!D$1,MAX(1,ROW()-$C$7),0,MIN($C$7,ROW()-1),1)))/STDEV(OFFSET(分析データ!D$1,MAX(1,ROW()-$C$7),0,MIN($C$7,ROW()-1),1)),0))</f>
        <v>-0.80446067769660545</v>
      </c>
      <c r="BG448">
        <f t="shared" ca="1" si="176"/>
        <v>0</v>
      </c>
      <c r="BH448" t="str">
        <f ca="1">IF(BG448=1,IF(INDEX(分析データ!$A:$A,ROW()+$C$5)&lt;&gt;"",50000*SIGN(BF448)*(分析データ!D448-INDEX(分析データ!D:D,ROW()+$C$5)),""),"")</f>
        <v/>
      </c>
      <c r="BI448">
        <f t="shared" ca="1" si="177"/>
        <v>-779999.99999999418</v>
      </c>
      <c r="BJ448">
        <f t="shared" ca="1" si="178"/>
        <v>1695000.0000000016</v>
      </c>
      <c r="BK448">
        <f t="shared" ca="1" si="179"/>
        <v>-2474999.9999999958</v>
      </c>
      <c r="BL448">
        <f ca="1">IF(ROW()&lt;($C$7+1),"",IFERROR((分析データ!E448-AVERAGE(OFFSET(分析データ!E$1,MAX(1,ROW()-$C$7),0,MIN($C$7,ROW()-1),1)))/STDEV(OFFSET(分析データ!E$1,MAX(1,ROW()-$C$7),0,MIN($C$7,ROW()-1),1)),0))</f>
        <v>1.772414012938655</v>
      </c>
      <c r="BM448">
        <f t="shared" ca="1" si="180"/>
        <v>0</v>
      </c>
      <c r="BN448" t="str">
        <f ca="1">IF(BM448=1,IF(INDEX(分析データ!$A:$A,ROW()+$C$5)&lt;&gt;"",40000*SIGN(BL448)*(分析データ!E448-INDEX(分析データ!E:E,ROW()+$C$5)),""),"")</f>
        <v/>
      </c>
      <c r="BO448">
        <f t="shared" ca="1" si="181"/>
        <v>1320000.0000000075</v>
      </c>
      <c r="BP448">
        <f t="shared" ca="1" si="182"/>
        <v>1320000.0000000075</v>
      </c>
      <c r="BQ448">
        <f t="shared" ca="1" si="183"/>
        <v>0</v>
      </c>
      <c r="BR448">
        <f ca="1">IF(ROW()&lt;($C$7+1),"",IFERROR((分析データ!F448-AVERAGE(OFFSET(分析データ!F$1,MAX(1,ROW()-$C$7),0,MIN($C$7,ROW()-1),1)))/STDEV(OFFSET(分析データ!F$1,MAX(1,ROW()-$C$7),0,MIN($C$7,ROW()-1),1)),0))</f>
        <v>4.5300472429408351E-2</v>
      </c>
      <c r="BS448">
        <f t="shared" ca="1" si="184"/>
        <v>0</v>
      </c>
      <c r="BT448" t="str">
        <f ca="1">IF(BS448=1,IF(INDEX(分析データ!$A:$A,ROW()+$C$5)&lt;&gt;"",40000*SIGN(BR448)*(分析データ!F448-INDEX(分析データ!F:F,ROW()+$C$5)),""),"")</f>
        <v/>
      </c>
      <c r="BU448">
        <f t="shared" ca="1" si="185"/>
        <v>583200.00000000163</v>
      </c>
      <c r="BV448">
        <f t="shared" ca="1" si="186"/>
        <v>583200.00000000163</v>
      </c>
      <c r="BW448">
        <f t="shared" ca="1" si="187"/>
        <v>0</v>
      </c>
      <c r="BX448">
        <f ca="1">IF(ROW()&lt;($C$7+1),"",IFERROR((分析データ!G448-AVERAGE(OFFSET(分析データ!G$1,MAX(1,ROW()-$C$7),0,MIN($C$7,ROW()-1),1)))/STDEV(OFFSET(分析データ!G$1,MAX(1,ROW()-$C$7),0,MIN($C$7,ROW()-1),1)),0))</f>
        <v>1.2028181522257666</v>
      </c>
      <c r="BY448">
        <f t="shared" ca="1" si="188"/>
        <v>0</v>
      </c>
      <c r="BZ448" t="str">
        <f ca="1">IF(BY448=1,IF(INDEX(分析データ!$A:$A,ROW()+$C$5)&lt;&gt;"",40000*SIGN(BX448)*(分析データ!G448-INDEX(分析データ!G:G,ROW()+$C$5)),""),"")</f>
        <v/>
      </c>
      <c r="CA448">
        <f t="shared" ca="1" si="189"/>
        <v>4220275.7177734375</v>
      </c>
      <c r="CB448">
        <f t="shared" ca="1" si="190"/>
        <v>4220275.7177734375</v>
      </c>
      <c r="CC448">
        <f t="shared" ca="1" si="191"/>
        <v>0</v>
      </c>
      <c r="CD448">
        <f t="shared" ca="1" si="192"/>
        <v>-359999.99999999942</v>
      </c>
      <c r="CE448">
        <f t="shared" ca="1" si="193"/>
        <v>1168475.7177734636</v>
      </c>
      <c r="CF448">
        <f t="shared" ca="1" si="194"/>
        <v>6770475.7177734533</v>
      </c>
      <c r="CG448">
        <f t="shared" ca="1" si="195"/>
        <v>-5601999.9999999898</v>
      </c>
      <c r="CH448" s="10">
        <f>分析データ!A448</f>
        <v>45576</v>
      </c>
    </row>
    <row r="449" spans="46:86">
      <c r="AT449">
        <f ca="1">IF(ROW()&lt;($C$7+1),"",IFERROR((分析データ!B449-AVERAGE(OFFSET(分析データ!B$1,MAX(1,ROW()-$C$7),0,MIN($C$7,ROW()-1),1)))/STDEV(OFFSET(分析データ!B$1,MAX(1,ROW()-$C$7),0,MIN($C$7,ROW()-1),1)),0))</f>
        <v>2.09775271765883</v>
      </c>
      <c r="AU449">
        <f t="shared" ca="1" si="168"/>
        <v>1</v>
      </c>
      <c r="AV449">
        <f ca="1">IF(AU449=1,IF(INDEX(分析データ!$A:$A,ROW()+$C$5)&lt;&gt;"",80000*SIGN(AT449)*(分析データ!B449-INDEX(分析データ!B:B,ROW()+$C$5)),""),"")</f>
        <v>-560000.00000000233</v>
      </c>
      <c r="AW449">
        <f t="shared" ca="1" si="169"/>
        <v>-5440000.0000000019</v>
      </c>
      <c r="AX449">
        <f t="shared" ca="1" si="170"/>
        <v>0</v>
      </c>
      <c r="AY449">
        <f t="shared" ca="1" si="171"/>
        <v>-5440000.0000000019</v>
      </c>
      <c r="AZ449">
        <f ca="1">IF(ROW()&lt;($C$7+1),"",IFERROR((分析データ!C449-AVERAGE(OFFSET(分析データ!C$1,MAX(1,ROW()-$C$7),0,MIN($C$7,ROW()-1),1)))/STDEV(OFFSET(分析データ!C$1,MAX(1,ROW()-$C$7),0,MIN($C$7,ROW()-1),1)),0))</f>
        <v>-1.3237159710801505</v>
      </c>
      <c r="BA449">
        <f t="shared" ca="1" si="172"/>
        <v>0</v>
      </c>
      <c r="BB449" t="str">
        <f ca="1">IF(BA449=1,IF(INDEX(分析データ!$A:$A,ROW()+$C$5)&lt;&gt;"",60000*SIGN(AZ449)*(分析データ!C449-INDEX(分析データ!C:C,ROW()+$C$5)),""),"")</f>
        <v/>
      </c>
      <c r="BC449">
        <f t="shared" ca="1" si="173"/>
        <v>705000.00000000629</v>
      </c>
      <c r="BD449">
        <f t="shared" ca="1" si="174"/>
        <v>705000.00000000629</v>
      </c>
      <c r="BE449">
        <f t="shared" ca="1" si="175"/>
        <v>0</v>
      </c>
      <c r="BF449">
        <f ca="1">IF(ROW()&lt;($C$7+1),"",IFERROR((分析データ!D449-AVERAGE(OFFSET(分析データ!D$1,MAX(1,ROW()-$C$7),0,MIN($C$7,ROW()-1),1)))/STDEV(OFFSET(分析データ!D$1,MAX(1,ROW()-$C$7),0,MIN($C$7,ROW()-1),1)),0))</f>
        <v>-1.0454446226757708</v>
      </c>
      <c r="BG449">
        <f t="shared" ca="1" si="176"/>
        <v>0</v>
      </c>
      <c r="BH449" t="str">
        <f ca="1">IF(BG449=1,IF(INDEX(分析データ!$A:$A,ROW()+$C$5)&lt;&gt;"",50000*SIGN(BF449)*(分析データ!D449-INDEX(分析データ!D:D,ROW()+$C$5)),""),"")</f>
        <v/>
      </c>
      <c r="BI449">
        <f t="shared" ca="1" si="177"/>
        <v>-779999.99999999418</v>
      </c>
      <c r="BJ449">
        <f t="shared" ca="1" si="178"/>
        <v>1695000.0000000016</v>
      </c>
      <c r="BK449">
        <f t="shared" ca="1" si="179"/>
        <v>-2474999.9999999958</v>
      </c>
      <c r="BL449">
        <f ca="1">IF(ROW()&lt;($C$7+1),"",IFERROR((分析データ!E449-AVERAGE(OFFSET(分析データ!E$1,MAX(1,ROW()-$C$7),0,MIN($C$7,ROW()-1),1)))/STDEV(OFFSET(分析データ!E$1,MAX(1,ROW()-$C$7),0,MIN($C$7,ROW()-1),1)),0))</f>
        <v>1.3928538295224653</v>
      </c>
      <c r="BM449">
        <f t="shared" ca="1" si="180"/>
        <v>0</v>
      </c>
      <c r="BN449" t="str">
        <f ca="1">IF(BM449=1,IF(INDEX(分析データ!$A:$A,ROW()+$C$5)&lt;&gt;"",40000*SIGN(BL449)*(分析データ!E449-INDEX(分析データ!E:E,ROW()+$C$5)),""),"")</f>
        <v/>
      </c>
      <c r="BO449">
        <f t="shared" ca="1" si="181"/>
        <v>1320000.0000000075</v>
      </c>
      <c r="BP449">
        <f t="shared" ca="1" si="182"/>
        <v>1320000.0000000075</v>
      </c>
      <c r="BQ449">
        <f t="shared" ca="1" si="183"/>
        <v>0</v>
      </c>
      <c r="BR449">
        <f ca="1">IF(ROW()&lt;($C$7+1),"",IFERROR((分析データ!F449-AVERAGE(OFFSET(分析データ!F$1,MAX(1,ROW()-$C$7),0,MIN($C$7,ROW()-1),1)))/STDEV(OFFSET(分析データ!F$1,MAX(1,ROW()-$C$7),0,MIN($C$7,ROW()-1),1)),0))</f>
        <v>0.3016942839909158</v>
      </c>
      <c r="BS449">
        <f t="shared" ca="1" si="184"/>
        <v>0</v>
      </c>
      <c r="BT449" t="str">
        <f ca="1">IF(BS449=1,IF(INDEX(分析データ!$A:$A,ROW()+$C$5)&lt;&gt;"",40000*SIGN(BR449)*(分析データ!F449-INDEX(分析データ!F:F,ROW()+$C$5)),""),"")</f>
        <v/>
      </c>
      <c r="BU449">
        <f t="shared" ca="1" si="185"/>
        <v>583200.00000000163</v>
      </c>
      <c r="BV449">
        <f t="shared" ca="1" si="186"/>
        <v>583200.00000000163</v>
      </c>
      <c r="BW449">
        <f t="shared" ca="1" si="187"/>
        <v>0</v>
      </c>
      <c r="BX449">
        <f ca="1">IF(ROW()&lt;($C$7+1),"",IFERROR((分析データ!G449-AVERAGE(OFFSET(分析データ!G$1,MAX(1,ROW()-$C$7),0,MIN($C$7,ROW()-1),1)))/STDEV(OFFSET(分析データ!G$1,MAX(1,ROW()-$C$7),0,MIN($C$7,ROW()-1),1)),0))</f>
        <v>1.2743269156816766</v>
      </c>
      <c r="BY449">
        <f t="shared" ca="1" si="188"/>
        <v>0</v>
      </c>
      <c r="BZ449" t="str">
        <f ca="1">IF(BY449=1,IF(INDEX(分析データ!$A:$A,ROW()+$C$5)&lt;&gt;"",40000*SIGN(BX449)*(分析データ!G449-INDEX(分析データ!G:G,ROW()+$C$5)),""),"")</f>
        <v/>
      </c>
      <c r="CA449">
        <f t="shared" ca="1" si="189"/>
        <v>4220275.7177734375</v>
      </c>
      <c r="CB449">
        <f t="shared" ca="1" si="190"/>
        <v>4220275.7177734375</v>
      </c>
      <c r="CC449">
        <f t="shared" ca="1" si="191"/>
        <v>0</v>
      </c>
      <c r="CD449">
        <f t="shared" ca="1" si="192"/>
        <v>-560000.00000000233</v>
      </c>
      <c r="CE449">
        <f t="shared" ca="1" si="193"/>
        <v>608475.71777346125</v>
      </c>
      <c r="CF449">
        <f t="shared" ca="1" si="194"/>
        <v>6770475.7177734533</v>
      </c>
      <c r="CG449">
        <f t="shared" ca="1" si="195"/>
        <v>-6161999.9999999925</v>
      </c>
      <c r="CH449" s="10">
        <f>分析データ!A449</f>
        <v>45580</v>
      </c>
    </row>
    <row r="450" spans="46:86">
      <c r="AT450">
        <f ca="1">IF(ROW()&lt;($C$7+1),"",IFERROR((分析データ!B450-AVERAGE(OFFSET(分析データ!B$1,MAX(1,ROW()-$C$7),0,MIN($C$7,ROW()-1),1)))/STDEV(OFFSET(分析データ!B$1,MAX(1,ROW()-$C$7),0,MIN($C$7,ROW()-1),1)),0))</f>
        <v>2.2371406322276428</v>
      </c>
      <c r="AU450">
        <f t="shared" ref="AU450:AU513" ca="1" si="196">IF(ISNUMBER(AT450),IF(ABS(AT450)&gt;=$C$6,1,0),0)</f>
        <v>1</v>
      </c>
      <c r="AV450">
        <f ca="1">IF(AU450=1,IF(INDEX(分析データ!$A:$A,ROW()+$C$5)&lt;&gt;"",80000*SIGN(AT450)*(分析データ!B450-INDEX(分析データ!B:B,ROW()+$C$5)),""),"")</f>
        <v>-520000.00000000314</v>
      </c>
      <c r="AW450">
        <f t="shared" ref="AW450:AW513" ca="1" si="197">AW449+IF(AND(AU450=1,ISNUMBER(AV450)),AV450,0)</f>
        <v>-5960000.0000000047</v>
      </c>
      <c r="AX450">
        <f t="shared" ref="AX450:AX513" ca="1" si="198">MAX(AX449,AW450)</f>
        <v>0</v>
      </c>
      <c r="AY450">
        <f t="shared" ref="AY450:AY513" ca="1" si="199">AW450-AX450</f>
        <v>-5960000.0000000047</v>
      </c>
      <c r="AZ450">
        <f ca="1">IF(ROW()&lt;($C$7+1),"",IFERROR((分析データ!C450-AVERAGE(OFFSET(分析データ!C$1,MAX(1,ROW()-$C$7),0,MIN($C$7,ROW()-1),1)))/STDEV(OFFSET(分析データ!C$1,MAX(1,ROW()-$C$7),0,MIN($C$7,ROW()-1),1)),0))</f>
        <v>-1.5208234382521522</v>
      </c>
      <c r="BA450">
        <f t="shared" ref="BA450:BA513" ca="1" si="200">IF(ISNUMBER(AZ450),IF(ABS(AZ450)&gt;=$C$6,1,0),0)</f>
        <v>0</v>
      </c>
      <c r="BB450" t="str">
        <f ca="1">IF(BA450=1,IF(INDEX(分析データ!$A:$A,ROW()+$C$5)&lt;&gt;"",60000*SIGN(AZ450)*(分析データ!C450-INDEX(分析データ!C:C,ROW()+$C$5)),""),"")</f>
        <v/>
      </c>
      <c r="BC450">
        <f t="shared" ref="BC450:BC513" ca="1" si="201">BC449+IF(AND(BA450=1,ISNUMBER(BB450)),BB450,0)</f>
        <v>705000.00000000629</v>
      </c>
      <c r="BD450">
        <f t="shared" ref="BD450:BD513" ca="1" si="202">MAX(BD449,BC450)</f>
        <v>705000.00000000629</v>
      </c>
      <c r="BE450">
        <f t="shared" ref="BE450:BE513" ca="1" si="203">BC450-BD450</f>
        <v>0</v>
      </c>
      <c r="BF450">
        <f ca="1">IF(ROW()&lt;($C$7+1),"",IFERROR((分析データ!D450-AVERAGE(OFFSET(分析データ!D$1,MAX(1,ROW()-$C$7),0,MIN($C$7,ROW()-1),1)))/STDEV(OFFSET(分析データ!D$1,MAX(1,ROW()-$C$7),0,MIN($C$7,ROW()-1),1)),0))</f>
        <v>-1.0087571152253829</v>
      </c>
      <c r="BG450">
        <f t="shared" ref="BG450:BG513" ca="1" si="204">IF(ISNUMBER(BF450),IF(ABS(BF450)&gt;=$C$6,1,0),0)</f>
        <v>0</v>
      </c>
      <c r="BH450" t="str">
        <f ca="1">IF(BG450=1,IF(INDEX(分析データ!$A:$A,ROW()+$C$5)&lt;&gt;"",50000*SIGN(BF450)*(分析データ!D450-INDEX(分析データ!D:D,ROW()+$C$5)),""),"")</f>
        <v/>
      </c>
      <c r="BI450">
        <f t="shared" ref="BI450:BI513" ca="1" si="205">BI449+IF(AND(BG450=1,ISNUMBER(BH450)),BH450,0)</f>
        <v>-779999.99999999418</v>
      </c>
      <c r="BJ450">
        <f t="shared" ref="BJ450:BJ513" ca="1" si="206">MAX(BJ449,BI450)</f>
        <v>1695000.0000000016</v>
      </c>
      <c r="BK450">
        <f t="shared" ref="BK450:BK513" ca="1" si="207">BI450-BJ450</f>
        <v>-2474999.9999999958</v>
      </c>
      <c r="BL450">
        <f ca="1">IF(ROW()&lt;($C$7+1),"",IFERROR((分析データ!E450-AVERAGE(OFFSET(分析データ!E$1,MAX(1,ROW()-$C$7),0,MIN($C$7,ROW()-1),1)))/STDEV(OFFSET(分析データ!E$1,MAX(1,ROW()-$C$7),0,MIN($C$7,ROW()-1),1)),0))</f>
        <v>1.5009475250921549</v>
      </c>
      <c r="BM450">
        <f t="shared" ref="BM450:BM513" ca="1" si="208">IF(ISNUMBER(BL450),IF(ABS(BL450)&gt;=$C$6,1,0),0)</f>
        <v>0</v>
      </c>
      <c r="BN450" t="str">
        <f ca="1">IF(BM450=1,IF(INDEX(分析データ!$A:$A,ROW()+$C$5)&lt;&gt;"",40000*SIGN(BL450)*(分析データ!E450-INDEX(分析データ!E:E,ROW()+$C$5)),""),"")</f>
        <v/>
      </c>
      <c r="BO450">
        <f t="shared" ref="BO450:BO513" ca="1" si="209">BO449+IF(AND(BM450=1,ISNUMBER(BN450)),BN450,0)</f>
        <v>1320000.0000000075</v>
      </c>
      <c r="BP450">
        <f t="shared" ref="BP450:BP513" ca="1" si="210">MAX(BP449,BO450)</f>
        <v>1320000.0000000075</v>
      </c>
      <c r="BQ450">
        <f t="shared" ref="BQ450:BQ513" ca="1" si="211">BO450-BP450</f>
        <v>0</v>
      </c>
      <c r="BR450">
        <f ca="1">IF(ROW()&lt;($C$7+1),"",IFERROR((分析データ!F450-AVERAGE(OFFSET(分析データ!F$1,MAX(1,ROW()-$C$7),0,MIN($C$7,ROW()-1),1)))/STDEV(OFFSET(分析データ!F$1,MAX(1,ROW()-$C$7),0,MIN($C$7,ROW()-1),1)),0))</f>
        <v>0.38114207433679886</v>
      </c>
      <c r="BS450">
        <f t="shared" ref="BS450:BS513" ca="1" si="212">IF(ISNUMBER(BR450),IF(ABS(BR450)&gt;=$C$6,1,0),0)</f>
        <v>0</v>
      </c>
      <c r="BT450" t="str">
        <f ca="1">IF(BS450=1,IF(INDEX(分析データ!$A:$A,ROW()+$C$5)&lt;&gt;"",40000*SIGN(BR450)*(分析データ!F450-INDEX(分析データ!F:F,ROW()+$C$5)),""),"")</f>
        <v/>
      </c>
      <c r="BU450">
        <f t="shared" ref="BU450:BU513" ca="1" si="213">BU449+IF(AND(BS450=1,ISNUMBER(BT450)),BT450,0)</f>
        <v>583200.00000000163</v>
      </c>
      <c r="BV450">
        <f t="shared" ref="BV450:BV513" ca="1" si="214">MAX(BV449,BU450)</f>
        <v>583200.00000000163</v>
      </c>
      <c r="BW450">
        <f t="shared" ref="BW450:BW513" ca="1" si="215">BU450-BV450</f>
        <v>0</v>
      </c>
      <c r="BX450">
        <f ca="1">IF(ROW()&lt;($C$7+1),"",IFERROR((分析データ!G450-AVERAGE(OFFSET(分析データ!G$1,MAX(1,ROW()-$C$7),0,MIN($C$7,ROW()-1),1)))/STDEV(OFFSET(分析データ!G$1,MAX(1,ROW()-$C$7),0,MIN($C$7,ROW()-1),1)),0))</f>
        <v>1.1119976251013524</v>
      </c>
      <c r="BY450">
        <f t="shared" ref="BY450:BY513" ca="1" si="216">IF(ISNUMBER(BX450),IF(ABS(BX450)&gt;=$C$6,1,0),0)</f>
        <v>0</v>
      </c>
      <c r="BZ450" t="str">
        <f ca="1">IF(BY450=1,IF(INDEX(分析データ!$A:$A,ROW()+$C$5)&lt;&gt;"",40000*SIGN(BX450)*(分析データ!G450-INDEX(分析データ!G:G,ROW()+$C$5)),""),"")</f>
        <v/>
      </c>
      <c r="CA450">
        <f t="shared" ref="CA450:CA513" ca="1" si="217">CA449+IF(AND(BY450=1,ISNUMBER(BZ450)),BZ450,0)</f>
        <v>4220275.7177734375</v>
      </c>
      <c r="CB450">
        <f t="shared" ref="CB450:CB513" ca="1" si="218">MAX(CB449,CA450)</f>
        <v>4220275.7177734375</v>
      </c>
      <c r="CC450">
        <f t="shared" ref="CC450:CC513" ca="1" si="219">CA450-CB450</f>
        <v>0</v>
      </c>
      <c r="CD450">
        <f t="shared" ref="CD450:CD513" ca="1" si="220">N(AV450)+N(BB450)+N(BH450)+N(BN450)+N(BT450)+N(BZ450)</f>
        <v>-520000.00000000314</v>
      </c>
      <c r="CE450">
        <f t="shared" ref="CE450:CE513" ca="1" si="221">CE449+CD450</f>
        <v>88475.717773458106</v>
      </c>
      <c r="CF450">
        <f t="shared" ref="CF450:CF513" ca="1" si="222">MAX(CF449,CE450)</f>
        <v>6770475.7177734533</v>
      </c>
      <c r="CG450">
        <f t="shared" ref="CG450:CG513" ca="1" si="223">CE450-CF450</f>
        <v>-6681999.9999999953</v>
      </c>
      <c r="CH450" s="10">
        <f>分析データ!A450</f>
        <v>45581</v>
      </c>
    </row>
    <row r="451" spans="46:86">
      <c r="AT451">
        <f ca="1">IF(ROW()&lt;($C$7+1),"",IFERROR((分析データ!B451-AVERAGE(OFFSET(分析データ!B$1,MAX(1,ROW()-$C$7),0,MIN($C$7,ROW()-1),1)))/STDEV(OFFSET(分析データ!B$1,MAX(1,ROW()-$C$7),0,MIN($C$7,ROW()-1),1)),0))</f>
        <v>2.369781316187844</v>
      </c>
      <c r="AU451">
        <f t="shared" ca="1" si="196"/>
        <v>1</v>
      </c>
      <c r="AV451">
        <f ca="1">IF(AU451=1,IF(INDEX(分析データ!$A:$A,ROW()+$C$5)&lt;&gt;"",80000*SIGN(AT451)*(分析データ!B451-INDEX(分析データ!B:B,ROW()+$C$5)),""),"")</f>
        <v>-400000.0000000057</v>
      </c>
      <c r="AW451">
        <f t="shared" ca="1" si="197"/>
        <v>-6360000.0000000102</v>
      </c>
      <c r="AX451">
        <f t="shared" ca="1" si="198"/>
        <v>0</v>
      </c>
      <c r="AY451">
        <f t="shared" ca="1" si="199"/>
        <v>-6360000.0000000102</v>
      </c>
      <c r="AZ451">
        <f ca="1">IF(ROW()&lt;($C$7+1),"",IFERROR((分析データ!C451-AVERAGE(OFFSET(分析データ!C$1,MAX(1,ROW()-$C$7),0,MIN($C$7,ROW()-1),1)))/STDEV(OFFSET(分析データ!C$1,MAX(1,ROW()-$C$7),0,MIN($C$7,ROW()-1),1)),0))</f>
        <v>-1.3290720880085904</v>
      </c>
      <c r="BA451">
        <f t="shared" ca="1" si="200"/>
        <v>0</v>
      </c>
      <c r="BB451" t="str">
        <f ca="1">IF(BA451=1,IF(INDEX(分析データ!$A:$A,ROW()+$C$5)&lt;&gt;"",60000*SIGN(AZ451)*(分析データ!C451-INDEX(分析データ!C:C,ROW()+$C$5)),""),"")</f>
        <v/>
      </c>
      <c r="BC451">
        <f t="shared" ca="1" si="201"/>
        <v>705000.00000000629</v>
      </c>
      <c r="BD451">
        <f t="shared" ca="1" si="202"/>
        <v>705000.00000000629</v>
      </c>
      <c r="BE451">
        <f t="shared" ca="1" si="203"/>
        <v>0</v>
      </c>
      <c r="BF451">
        <f ca="1">IF(ROW()&lt;($C$7+1),"",IFERROR((分析データ!D451-AVERAGE(OFFSET(分析データ!D$1,MAX(1,ROW()-$C$7),0,MIN($C$7,ROW()-1),1)))/STDEV(OFFSET(分析データ!D$1,MAX(1,ROW()-$C$7),0,MIN($C$7,ROW()-1),1)),0))</f>
        <v>-0.80580608313047608</v>
      </c>
      <c r="BG451">
        <f t="shared" ca="1" si="204"/>
        <v>0</v>
      </c>
      <c r="BH451" t="str">
        <f ca="1">IF(BG451=1,IF(INDEX(分析データ!$A:$A,ROW()+$C$5)&lt;&gt;"",50000*SIGN(BF451)*(分析データ!D451-INDEX(分析データ!D:D,ROW()+$C$5)),""),"")</f>
        <v/>
      </c>
      <c r="BI451">
        <f t="shared" ca="1" si="205"/>
        <v>-779999.99999999418</v>
      </c>
      <c r="BJ451">
        <f t="shared" ca="1" si="206"/>
        <v>1695000.0000000016</v>
      </c>
      <c r="BK451">
        <f t="shared" ca="1" si="207"/>
        <v>-2474999.9999999958</v>
      </c>
      <c r="BL451">
        <f ca="1">IF(ROW()&lt;($C$7+1),"",IFERROR((分析データ!E451-AVERAGE(OFFSET(分析データ!E$1,MAX(1,ROW()-$C$7),0,MIN($C$7,ROW()-1),1)))/STDEV(OFFSET(分析データ!E$1,MAX(1,ROW()-$C$7),0,MIN($C$7,ROW()-1),1)),0))</f>
        <v>1.6067147825309223</v>
      </c>
      <c r="BM451">
        <f t="shared" ca="1" si="208"/>
        <v>0</v>
      </c>
      <c r="BN451" t="str">
        <f ca="1">IF(BM451=1,IF(INDEX(分析データ!$A:$A,ROW()+$C$5)&lt;&gt;"",40000*SIGN(BL451)*(分析データ!E451-INDEX(分析データ!E:E,ROW()+$C$5)),""),"")</f>
        <v/>
      </c>
      <c r="BO451">
        <f t="shared" ca="1" si="209"/>
        <v>1320000.0000000075</v>
      </c>
      <c r="BP451">
        <f t="shared" ca="1" si="210"/>
        <v>1320000.0000000075</v>
      </c>
      <c r="BQ451">
        <f t="shared" ca="1" si="211"/>
        <v>0</v>
      </c>
      <c r="BR451">
        <f ca="1">IF(ROW()&lt;($C$7+1),"",IFERROR((分析データ!F451-AVERAGE(OFFSET(分析データ!F$1,MAX(1,ROW()-$C$7),0,MIN($C$7,ROW()-1),1)))/STDEV(OFFSET(分析データ!F$1,MAX(1,ROW()-$C$7),0,MIN($C$7,ROW()-1),1)),0))</f>
        <v>-0.56590058372264462</v>
      </c>
      <c r="BS451">
        <f t="shared" ca="1" si="212"/>
        <v>0</v>
      </c>
      <c r="BT451" t="str">
        <f ca="1">IF(BS451=1,IF(INDEX(分析データ!$A:$A,ROW()+$C$5)&lt;&gt;"",40000*SIGN(BR451)*(分析データ!F451-INDEX(分析データ!F:F,ROW()+$C$5)),""),"")</f>
        <v/>
      </c>
      <c r="BU451">
        <f t="shared" ca="1" si="213"/>
        <v>583200.00000000163</v>
      </c>
      <c r="BV451">
        <f t="shared" ca="1" si="214"/>
        <v>583200.00000000163</v>
      </c>
      <c r="BW451">
        <f t="shared" ca="1" si="215"/>
        <v>0</v>
      </c>
      <c r="BX451">
        <f ca="1">IF(ROW()&lt;($C$7+1),"",IFERROR((分析データ!G451-AVERAGE(OFFSET(分析データ!G$1,MAX(1,ROW()-$C$7),0,MIN($C$7,ROW()-1),1)))/STDEV(OFFSET(分析データ!G$1,MAX(1,ROW()-$C$7),0,MIN($C$7,ROW()-1),1)),0))</f>
        <v>1.6020051885564144</v>
      </c>
      <c r="BY451">
        <f t="shared" ca="1" si="216"/>
        <v>0</v>
      </c>
      <c r="BZ451" t="str">
        <f ca="1">IF(BY451=1,IF(INDEX(分析データ!$A:$A,ROW()+$C$5)&lt;&gt;"",40000*SIGN(BX451)*(分析データ!G451-INDEX(分析データ!G:G,ROW()+$C$5)),""),"")</f>
        <v/>
      </c>
      <c r="CA451">
        <f t="shared" ca="1" si="217"/>
        <v>4220275.7177734375</v>
      </c>
      <c r="CB451">
        <f t="shared" ca="1" si="218"/>
        <v>4220275.7177734375</v>
      </c>
      <c r="CC451">
        <f t="shared" ca="1" si="219"/>
        <v>0</v>
      </c>
      <c r="CD451">
        <f t="shared" ca="1" si="220"/>
        <v>-400000.0000000057</v>
      </c>
      <c r="CE451">
        <f t="shared" ca="1" si="221"/>
        <v>-311524.2822265476</v>
      </c>
      <c r="CF451">
        <f t="shared" ca="1" si="222"/>
        <v>6770475.7177734533</v>
      </c>
      <c r="CG451">
        <f t="shared" ca="1" si="223"/>
        <v>-7082000.0000000009</v>
      </c>
      <c r="CH451" s="10">
        <f>分析データ!A451</f>
        <v>45582</v>
      </c>
    </row>
    <row r="452" spans="46:86">
      <c r="AT452">
        <f ca="1">IF(ROW()&lt;($C$7+1),"",IFERROR((分析データ!B452-AVERAGE(OFFSET(分析データ!B$1,MAX(1,ROW()-$C$7),0,MIN($C$7,ROW()-1),1)))/STDEV(OFFSET(分析データ!B$1,MAX(1,ROW()-$C$7),0,MIN($C$7,ROW()-1),1)),0))</f>
        <v>2.3340395719394618</v>
      </c>
      <c r="AU452">
        <f t="shared" ca="1" si="196"/>
        <v>1</v>
      </c>
      <c r="AV452">
        <f ca="1">IF(AU452=1,IF(INDEX(分析データ!$A:$A,ROW()+$C$5)&lt;&gt;"",80000*SIGN(AT452)*(分析データ!B452-INDEX(分析データ!B:B,ROW()+$C$5)),""),"")</f>
        <v>-519999.99999999604</v>
      </c>
      <c r="AW452">
        <f t="shared" ca="1" si="197"/>
        <v>-6880000.0000000065</v>
      </c>
      <c r="AX452">
        <f t="shared" ca="1" si="198"/>
        <v>0</v>
      </c>
      <c r="AY452">
        <f t="shared" ca="1" si="199"/>
        <v>-6880000.0000000065</v>
      </c>
      <c r="AZ452">
        <f ca="1">IF(ROW()&lt;($C$7+1),"",IFERROR((分析データ!C452-AVERAGE(OFFSET(分析データ!C$1,MAX(1,ROW()-$C$7),0,MIN($C$7,ROW()-1),1)))/STDEV(OFFSET(分析データ!C$1,MAX(1,ROW()-$C$7),0,MIN($C$7,ROW()-1),1)),0))</f>
        <v>-1.3394788885039586</v>
      </c>
      <c r="BA452">
        <f t="shared" ca="1" si="200"/>
        <v>0</v>
      </c>
      <c r="BB452" t="str">
        <f ca="1">IF(BA452=1,IF(INDEX(分析データ!$A:$A,ROW()+$C$5)&lt;&gt;"",60000*SIGN(AZ452)*(分析データ!C452-INDEX(分析データ!C:C,ROW()+$C$5)),""),"")</f>
        <v/>
      </c>
      <c r="BC452">
        <f t="shared" ca="1" si="201"/>
        <v>705000.00000000629</v>
      </c>
      <c r="BD452">
        <f t="shared" ca="1" si="202"/>
        <v>705000.00000000629</v>
      </c>
      <c r="BE452">
        <f t="shared" ca="1" si="203"/>
        <v>0</v>
      </c>
      <c r="BF452">
        <f ca="1">IF(ROW()&lt;($C$7+1),"",IFERROR((分析データ!D452-AVERAGE(OFFSET(分析データ!D$1,MAX(1,ROW()-$C$7),0,MIN($C$7,ROW()-1),1)))/STDEV(OFFSET(分析データ!D$1,MAX(1,ROW()-$C$7),0,MIN($C$7,ROW()-1),1)),0))</f>
        <v>-0.85041081197155743</v>
      </c>
      <c r="BG452">
        <f t="shared" ca="1" si="204"/>
        <v>0</v>
      </c>
      <c r="BH452" t="str">
        <f ca="1">IF(BG452=1,IF(INDEX(分析データ!$A:$A,ROW()+$C$5)&lt;&gt;"",50000*SIGN(BF452)*(分析データ!D452-INDEX(分析データ!D:D,ROW()+$C$5)),""),"")</f>
        <v/>
      </c>
      <c r="BI452">
        <f t="shared" ca="1" si="205"/>
        <v>-779999.99999999418</v>
      </c>
      <c r="BJ452">
        <f t="shared" ca="1" si="206"/>
        <v>1695000.0000000016</v>
      </c>
      <c r="BK452">
        <f t="shared" ca="1" si="207"/>
        <v>-2474999.9999999958</v>
      </c>
      <c r="BL452">
        <f ca="1">IF(ROW()&lt;($C$7+1),"",IFERROR((分析データ!E452-AVERAGE(OFFSET(分析データ!E$1,MAX(1,ROW()-$C$7),0,MIN($C$7,ROW()-1),1)))/STDEV(OFFSET(分析データ!E$1,MAX(1,ROW()-$C$7),0,MIN($C$7,ROW()-1),1)),0))</f>
        <v>1.7106100631084467</v>
      </c>
      <c r="BM452">
        <f t="shared" ca="1" si="208"/>
        <v>0</v>
      </c>
      <c r="BN452" t="str">
        <f ca="1">IF(BM452=1,IF(INDEX(分析データ!$A:$A,ROW()+$C$5)&lt;&gt;"",40000*SIGN(BL452)*(分析データ!E452-INDEX(分析データ!E:E,ROW()+$C$5)),""),"")</f>
        <v/>
      </c>
      <c r="BO452">
        <f t="shared" ca="1" si="209"/>
        <v>1320000.0000000075</v>
      </c>
      <c r="BP452">
        <f t="shared" ca="1" si="210"/>
        <v>1320000.0000000075</v>
      </c>
      <c r="BQ452">
        <f t="shared" ca="1" si="211"/>
        <v>0</v>
      </c>
      <c r="BR452">
        <f ca="1">IF(ROW()&lt;($C$7+1),"",IFERROR((分析データ!F452-AVERAGE(OFFSET(分析データ!F$1,MAX(1,ROW()-$C$7),0,MIN($C$7,ROW()-1),1)))/STDEV(OFFSET(分析データ!F$1,MAX(1,ROW()-$C$7),0,MIN($C$7,ROW()-1),1)),0))</f>
        <v>-0.15775354392063953</v>
      </c>
      <c r="BS452">
        <f t="shared" ca="1" si="212"/>
        <v>0</v>
      </c>
      <c r="BT452" t="str">
        <f ca="1">IF(BS452=1,IF(INDEX(分析データ!$A:$A,ROW()+$C$5)&lt;&gt;"",40000*SIGN(BR452)*(分析データ!F452-INDEX(分析データ!F:F,ROW()+$C$5)),""),"")</f>
        <v/>
      </c>
      <c r="BU452">
        <f t="shared" ca="1" si="213"/>
        <v>583200.00000000163</v>
      </c>
      <c r="BV452">
        <f t="shared" ca="1" si="214"/>
        <v>583200.00000000163</v>
      </c>
      <c r="BW452">
        <f t="shared" ca="1" si="215"/>
        <v>0</v>
      </c>
      <c r="BX452">
        <f ca="1">IF(ROW()&lt;($C$7+1),"",IFERROR((分析データ!G452-AVERAGE(OFFSET(分析データ!G$1,MAX(1,ROW()-$C$7),0,MIN($C$7,ROW()-1),1)))/STDEV(OFFSET(分析データ!G$1,MAX(1,ROW()-$C$7),0,MIN($C$7,ROW()-1),1)),0))</f>
        <v>1.3686001888658912</v>
      </c>
      <c r="BY452">
        <f t="shared" ca="1" si="216"/>
        <v>0</v>
      </c>
      <c r="BZ452" t="str">
        <f ca="1">IF(BY452=1,IF(INDEX(分析データ!$A:$A,ROW()+$C$5)&lt;&gt;"",40000*SIGN(BX452)*(分析データ!G452-INDEX(分析データ!G:G,ROW()+$C$5)),""),"")</f>
        <v/>
      </c>
      <c r="CA452">
        <f t="shared" ca="1" si="217"/>
        <v>4220275.7177734375</v>
      </c>
      <c r="CB452">
        <f t="shared" ca="1" si="218"/>
        <v>4220275.7177734375</v>
      </c>
      <c r="CC452">
        <f t="shared" ca="1" si="219"/>
        <v>0</v>
      </c>
      <c r="CD452">
        <f t="shared" ca="1" si="220"/>
        <v>-519999.99999999604</v>
      </c>
      <c r="CE452">
        <f t="shared" ca="1" si="221"/>
        <v>-831524.28222654364</v>
      </c>
      <c r="CF452">
        <f t="shared" ca="1" si="222"/>
        <v>6770475.7177734533</v>
      </c>
      <c r="CG452">
        <f t="shared" ca="1" si="223"/>
        <v>-7601999.9999999972</v>
      </c>
      <c r="CH452" s="10">
        <f>分析データ!A452</f>
        <v>45583</v>
      </c>
    </row>
    <row r="453" spans="46:86">
      <c r="AT453">
        <f ca="1">IF(ROW()&lt;($C$7+1),"",IFERROR((分析データ!B453-AVERAGE(OFFSET(分析データ!B$1,MAX(1,ROW()-$C$7),0,MIN($C$7,ROW()-1),1)))/STDEV(OFFSET(分析データ!B$1,MAX(1,ROW()-$C$7),0,MIN($C$7,ROW()-1),1)),0))</f>
        <v>2.6237323877115823</v>
      </c>
      <c r="AU453">
        <f t="shared" ca="1" si="196"/>
        <v>1</v>
      </c>
      <c r="AV453">
        <f ca="1">IF(AU453=1,IF(INDEX(分析データ!$A:$A,ROW()+$C$5)&lt;&gt;"",80000*SIGN(AT453)*(分析データ!B453-INDEX(分析データ!B:B,ROW()+$C$5)),""),"")</f>
        <v>-319999.99999999319</v>
      </c>
      <c r="AW453">
        <f t="shared" ca="1" si="197"/>
        <v>-7200000</v>
      </c>
      <c r="AX453">
        <f t="shared" ca="1" si="198"/>
        <v>0</v>
      </c>
      <c r="AY453">
        <f t="shared" ca="1" si="199"/>
        <v>-7200000</v>
      </c>
      <c r="AZ453">
        <f ca="1">IF(ROW()&lt;($C$7+1),"",IFERROR((分析データ!C453-AVERAGE(OFFSET(分析データ!C$1,MAX(1,ROW()-$C$7),0,MIN($C$7,ROW()-1),1)))/STDEV(OFFSET(分析データ!C$1,MAX(1,ROW()-$C$7),0,MIN($C$7,ROW()-1),1)),0))</f>
        <v>-1.5366125925716243</v>
      </c>
      <c r="BA453">
        <f t="shared" ca="1" si="200"/>
        <v>0</v>
      </c>
      <c r="BB453" t="str">
        <f ca="1">IF(BA453=1,IF(INDEX(分析データ!$A:$A,ROW()+$C$5)&lt;&gt;"",60000*SIGN(AZ453)*(分析データ!C453-INDEX(分析データ!C:C,ROW()+$C$5)),""),"")</f>
        <v/>
      </c>
      <c r="BC453">
        <f t="shared" ca="1" si="201"/>
        <v>705000.00000000629</v>
      </c>
      <c r="BD453">
        <f t="shared" ca="1" si="202"/>
        <v>705000.00000000629</v>
      </c>
      <c r="BE453">
        <f t="shared" ca="1" si="203"/>
        <v>0</v>
      </c>
      <c r="BF453">
        <f ca="1">IF(ROW()&lt;($C$7+1),"",IFERROR((分析データ!D453-AVERAGE(OFFSET(分析データ!D$1,MAX(1,ROW()-$C$7),0,MIN($C$7,ROW()-1),1)))/STDEV(OFFSET(分析データ!D$1,MAX(1,ROW()-$C$7),0,MIN($C$7,ROW()-1),1)),0))</f>
        <v>-0.44757318941222463</v>
      </c>
      <c r="BG453">
        <f t="shared" ca="1" si="204"/>
        <v>0</v>
      </c>
      <c r="BH453" t="str">
        <f ca="1">IF(BG453=1,IF(INDEX(分析データ!$A:$A,ROW()+$C$5)&lt;&gt;"",50000*SIGN(BF453)*(分析データ!D453-INDEX(分析データ!D:D,ROW()+$C$5)),""),"")</f>
        <v/>
      </c>
      <c r="BI453">
        <f t="shared" ca="1" si="205"/>
        <v>-779999.99999999418</v>
      </c>
      <c r="BJ453">
        <f t="shared" ca="1" si="206"/>
        <v>1695000.0000000016</v>
      </c>
      <c r="BK453">
        <f t="shared" ca="1" si="207"/>
        <v>-2474999.9999999958</v>
      </c>
      <c r="BL453">
        <f ca="1">IF(ROW()&lt;($C$7+1),"",IFERROR((分析データ!E453-AVERAGE(OFFSET(分析データ!E$1,MAX(1,ROW()-$C$7),0,MIN($C$7,ROW()-1),1)))/STDEV(OFFSET(分析データ!E$1,MAX(1,ROW()-$C$7),0,MIN($C$7,ROW()-1),1)),0))</f>
        <v>1.8112986590181153</v>
      </c>
      <c r="BM453">
        <f t="shared" ca="1" si="208"/>
        <v>0</v>
      </c>
      <c r="BN453" t="str">
        <f ca="1">IF(BM453=1,IF(INDEX(分析データ!$A:$A,ROW()+$C$5)&lt;&gt;"",40000*SIGN(BL453)*(分析データ!E453-INDEX(分析データ!E:E,ROW()+$C$5)),""),"")</f>
        <v/>
      </c>
      <c r="BO453">
        <f t="shared" ca="1" si="209"/>
        <v>1320000.0000000075</v>
      </c>
      <c r="BP453">
        <f t="shared" ca="1" si="210"/>
        <v>1320000.0000000075</v>
      </c>
      <c r="BQ453">
        <f t="shared" ca="1" si="211"/>
        <v>0</v>
      </c>
      <c r="BR453">
        <f ca="1">IF(ROW()&lt;($C$7+1),"",IFERROR((分析データ!F453-AVERAGE(OFFSET(分析データ!F$1,MAX(1,ROW()-$C$7),0,MIN($C$7,ROW()-1),1)))/STDEV(OFFSET(分析データ!F$1,MAX(1,ROW()-$C$7),0,MIN($C$7,ROW()-1),1)),0))</f>
        <v>-0.92429773164982898</v>
      </c>
      <c r="BS453">
        <f t="shared" ca="1" si="212"/>
        <v>0</v>
      </c>
      <c r="BT453" t="str">
        <f ca="1">IF(BS453=1,IF(INDEX(分析データ!$A:$A,ROW()+$C$5)&lt;&gt;"",40000*SIGN(BR453)*(分析データ!F453-INDEX(分析データ!F:F,ROW()+$C$5)),""),"")</f>
        <v/>
      </c>
      <c r="BU453">
        <f t="shared" ca="1" si="213"/>
        <v>583200.00000000163</v>
      </c>
      <c r="BV453">
        <f t="shared" ca="1" si="214"/>
        <v>583200.00000000163</v>
      </c>
      <c r="BW453">
        <f t="shared" ca="1" si="215"/>
        <v>0</v>
      </c>
      <c r="BX453">
        <f ca="1">IF(ROW()&lt;($C$7+1),"",IFERROR((分析データ!G453-AVERAGE(OFFSET(分析データ!G$1,MAX(1,ROW()-$C$7),0,MIN($C$7,ROW()-1),1)))/STDEV(OFFSET(分析データ!G$1,MAX(1,ROW()-$C$7),0,MIN($C$7,ROW()-1),1)),0))</f>
        <v>1.3966855986541069</v>
      </c>
      <c r="BY453">
        <f t="shared" ca="1" si="216"/>
        <v>0</v>
      </c>
      <c r="BZ453" t="str">
        <f ca="1">IF(BY453=1,IF(INDEX(分析データ!$A:$A,ROW()+$C$5)&lt;&gt;"",40000*SIGN(BX453)*(分析データ!G453-INDEX(分析データ!G:G,ROW()+$C$5)),""),"")</f>
        <v/>
      </c>
      <c r="CA453">
        <f t="shared" ca="1" si="217"/>
        <v>4220275.7177734375</v>
      </c>
      <c r="CB453">
        <f t="shared" ca="1" si="218"/>
        <v>4220275.7177734375</v>
      </c>
      <c r="CC453">
        <f t="shared" ca="1" si="219"/>
        <v>0</v>
      </c>
      <c r="CD453">
        <f t="shared" ca="1" si="220"/>
        <v>-319999.99999999319</v>
      </c>
      <c r="CE453">
        <f t="shared" ca="1" si="221"/>
        <v>-1151524.2822265369</v>
      </c>
      <c r="CF453">
        <f t="shared" ca="1" si="222"/>
        <v>6770475.7177734533</v>
      </c>
      <c r="CG453">
        <f t="shared" ca="1" si="223"/>
        <v>-7921999.9999999907</v>
      </c>
      <c r="CH453" s="10">
        <f>分析データ!A453</f>
        <v>45586</v>
      </c>
    </row>
    <row r="454" spans="46:86">
      <c r="AT454">
        <f ca="1">IF(ROW()&lt;($C$7+1),"",IFERROR((分析データ!B454-AVERAGE(OFFSET(分析データ!B$1,MAX(1,ROW()-$C$7),0,MIN($C$7,ROW()-1),1)))/STDEV(OFFSET(分析データ!B$1,MAX(1,ROW()-$C$7),0,MIN($C$7,ROW()-1),1)),0))</f>
        <v>2.670572012294814</v>
      </c>
      <c r="AU454">
        <f t="shared" ca="1" si="196"/>
        <v>1</v>
      </c>
      <c r="AV454">
        <f ca="1">IF(AU454=1,IF(INDEX(分析データ!$A:$A,ROW()+$C$5)&lt;&gt;"",80000*SIGN(AT454)*(分析データ!B454-INDEX(分析データ!B:B,ROW()+$C$5)),""),"")</f>
        <v>-39999.99999999204</v>
      </c>
      <c r="AW454">
        <f t="shared" ca="1" si="197"/>
        <v>-7239999.9999999916</v>
      </c>
      <c r="AX454">
        <f t="shared" ca="1" si="198"/>
        <v>0</v>
      </c>
      <c r="AY454">
        <f t="shared" ca="1" si="199"/>
        <v>-7239999.9999999916</v>
      </c>
      <c r="AZ454">
        <f ca="1">IF(ROW()&lt;($C$7+1),"",IFERROR((分析データ!C454-AVERAGE(OFFSET(分析データ!C$1,MAX(1,ROW()-$C$7),0,MIN($C$7,ROW()-1),1)))/STDEV(OFFSET(分析データ!C$1,MAX(1,ROW()-$C$7),0,MIN($C$7,ROW()-1),1)),0))</f>
        <v>-1.6153851142060054</v>
      </c>
      <c r="BA454">
        <f t="shared" ca="1" si="200"/>
        <v>0</v>
      </c>
      <c r="BB454" t="str">
        <f ca="1">IF(BA454=1,IF(INDEX(分析データ!$A:$A,ROW()+$C$5)&lt;&gt;"",60000*SIGN(AZ454)*(分析データ!C454-INDEX(分析データ!C:C,ROW()+$C$5)),""),"")</f>
        <v/>
      </c>
      <c r="BC454">
        <f t="shared" ca="1" si="201"/>
        <v>705000.00000000629</v>
      </c>
      <c r="BD454">
        <f t="shared" ca="1" si="202"/>
        <v>705000.00000000629</v>
      </c>
      <c r="BE454">
        <f t="shared" ca="1" si="203"/>
        <v>0</v>
      </c>
      <c r="BF454">
        <f ca="1">IF(ROW()&lt;($C$7+1),"",IFERROR((分析データ!D454-AVERAGE(OFFSET(分析データ!D$1,MAX(1,ROW()-$C$7),0,MIN($C$7,ROW()-1),1)))/STDEV(OFFSET(分析データ!D$1,MAX(1,ROW()-$C$7),0,MIN($C$7,ROW()-1),1)),0))</f>
        <v>-0.47533663682914923</v>
      </c>
      <c r="BG454">
        <f t="shared" ca="1" si="204"/>
        <v>0</v>
      </c>
      <c r="BH454" t="str">
        <f ca="1">IF(BG454=1,IF(INDEX(分析データ!$A:$A,ROW()+$C$5)&lt;&gt;"",50000*SIGN(BF454)*(分析データ!D454-INDEX(分析データ!D:D,ROW()+$C$5)),""),"")</f>
        <v/>
      </c>
      <c r="BI454">
        <f t="shared" ca="1" si="205"/>
        <v>-779999.99999999418</v>
      </c>
      <c r="BJ454">
        <f t="shared" ca="1" si="206"/>
        <v>1695000.0000000016</v>
      </c>
      <c r="BK454">
        <f t="shared" ca="1" si="207"/>
        <v>-2474999.9999999958</v>
      </c>
      <c r="BL454">
        <f ca="1">IF(ROW()&lt;($C$7+1),"",IFERROR((分析データ!E454-AVERAGE(OFFSET(分析データ!E$1,MAX(1,ROW()-$C$7),0,MIN($C$7,ROW()-1),1)))/STDEV(OFFSET(分析データ!E$1,MAX(1,ROW()-$C$7),0,MIN($C$7,ROW()-1),1)),0))</f>
        <v>1.6740302141955723</v>
      </c>
      <c r="BM454">
        <f t="shared" ca="1" si="208"/>
        <v>0</v>
      </c>
      <c r="BN454" t="str">
        <f ca="1">IF(BM454=1,IF(INDEX(分析データ!$A:$A,ROW()+$C$5)&lt;&gt;"",40000*SIGN(BL454)*(分析データ!E454-INDEX(分析データ!E:E,ROW()+$C$5)),""),"")</f>
        <v/>
      </c>
      <c r="BO454">
        <f t="shared" ca="1" si="209"/>
        <v>1320000.0000000075</v>
      </c>
      <c r="BP454">
        <f t="shared" ca="1" si="210"/>
        <v>1320000.0000000075</v>
      </c>
      <c r="BQ454">
        <f t="shared" ca="1" si="211"/>
        <v>0</v>
      </c>
      <c r="BR454">
        <f ca="1">IF(ROW()&lt;($C$7+1),"",IFERROR((分析データ!F454-AVERAGE(OFFSET(分析データ!F$1,MAX(1,ROW()-$C$7),0,MIN($C$7,ROW()-1),1)))/STDEV(OFFSET(分析データ!F$1,MAX(1,ROW()-$C$7),0,MIN($C$7,ROW()-1),1)),0))</f>
        <v>-0.47224649392854484</v>
      </c>
      <c r="BS454">
        <f t="shared" ca="1" si="212"/>
        <v>0</v>
      </c>
      <c r="BT454" t="str">
        <f ca="1">IF(BS454=1,IF(INDEX(分析データ!$A:$A,ROW()+$C$5)&lt;&gt;"",40000*SIGN(BR454)*(分析データ!F454-INDEX(分析データ!F:F,ROW()+$C$5)),""),"")</f>
        <v/>
      </c>
      <c r="BU454">
        <f t="shared" ca="1" si="213"/>
        <v>583200.00000000163</v>
      </c>
      <c r="BV454">
        <f t="shared" ca="1" si="214"/>
        <v>583200.00000000163</v>
      </c>
      <c r="BW454">
        <f t="shared" ca="1" si="215"/>
        <v>0</v>
      </c>
      <c r="BX454">
        <f ca="1">IF(ROW()&lt;($C$7+1),"",IFERROR((分析データ!G454-AVERAGE(OFFSET(分析データ!G$1,MAX(1,ROW()-$C$7),0,MIN($C$7,ROW()-1),1)))/STDEV(OFFSET(分析データ!G$1,MAX(1,ROW()-$C$7),0,MIN($C$7,ROW()-1),1)),0))</f>
        <v>1.1892951525606716</v>
      </c>
      <c r="BY454">
        <f t="shared" ca="1" si="216"/>
        <v>0</v>
      </c>
      <c r="BZ454" t="str">
        <f ca="1">IF(BY454=1,IF(INDEX(分析データ!$A:$A,ROW()+$C$5)&lt;&gt;"",40000*SIGN(BX454)*(分析データ!G454-INDEX(分析データ!G:G,ROW()+$C$5)),""),"")</f>
        <v/>
      </c>
      <c r="CA454">
        <f t="shared" ca="1" si="217"/>
        <v>4220275.7177734375</v>
      </c>
      <c r="CB454">
        <f t="shared" ca="1" si="218"/>
        <v>4220275.7177734375</v>
      </c>
      <c r="CC454">
        <f t="shared" ca="1" si="219"/>
        <v>0</v>
      </c>
      <c r="CD454">
        <f t="shared" ca="1" si="220"/>
        <v>-39999.99999999204</v>
      </c>
      <c r="CE454">
        <f t="shared" ca="1" si="221"/>
        <v>-1191524.282226529</v>
      </c>
      <c r="CF454">
        <f t="shared" ca="1" si="222"/>
        <v>6770475.7177734533</v>
      </c>
      <c r="CG454">
        <f t="shared" ca="1" si="223"/>
        <v>-7961999.9999999823</v>
      </c>
      <c r="CH454" s="10">
        <f>分析データ!A454</f>
        <v>45587</v>
      </c>
    </row>
    <row r="455" spans="46:86">
      <c r="AT455">
        <f ca="1">IF(ROW()&lt;($C$7+1),"",IFERROR((分析データ!B455-AVERAGE(OFFSET(分析データ!B$1,MAX(1,ROW()-$C$7),0,MIN($C$7,ROW()-1),1)))/STDEV(OFFSET(分析データ!B$1,MAX(1,ROW()-$C$7),0,MIN($C$7,ROW()-1),1)),0))</f>
        <v>2.7900836416466448</v>
      </c>
      <c r="AU455">
        <f t="shared" ca="1" si="196"/>
        <v>1</v>
      </c>
      <c r="AV455">
        <f ca="1">IF(AU455=1,IF(INDEX(分析データ!$A:$A,ROW()+$C$5)&lt;&gt;"",80000*SIGN(AT455)*(分析データ!B455-INDEX(分析データ!B:B,ROW()+$C$5)),""),"")</f>
        <v>-280000.00000000116</v>
      </c>
      <c r="AW455">
        <f t="shared" ca="1" si="197"/>
        <v>-7519999.9999999925</v>
      </c>
      <c r="AX455">
        <f t="shared" ca="1" si="198"/>
        <v>0</v>
      </c>
      <c r="AY455">
        <f t="shared" ca="1" si="199"/>
        <v>-7519999.9999999925</v>
      </c>
      <c r="AZ455">
        <f ca="1">IF(ROW()&lt;($C$7+1),"",IFERROR((分析データ!C455-AVERAGE(OFFSET(分析データ!C$1,MAX(1,ROW()-$C$7),0,MIN($C$7,ROW()-1),1)))/STDEV(OFFSET(分析データ!C$1,MAX(1,ROW()-$C$7),0,MIN($C$7,ROW()-1),1)),0))</f>
        <v>-1.5684152170275953</v>
      </c>
      <c r="BA455">
        <f t="shared" ca="1" si="200"/>
        <v>0</v>
      </c>
      <c r="BB455" t="str">
        <f ca="1">IF(BA455=1,IF(INDEX(分析データ!$A:$A,ROW()+$C$5)&lt;&gt;"",60000*SIGN(AZ455)*(分析データ!C455-INDEX(分析データ!C:C,ROW()+$C$5)),""),"")</f>
        <v/>
      </c>
      <c r="BC455">
        <f t="shared" ca="1" si="201"/>
        <v>705000.00000000629</v>
      </c>
      <c r="BD455">
        <f t="shared" ca="1" si="202"/>
        <v>705000.00000000629</v>
      </c>
      <c r="BE455">
        <f t="shared" ca="1" si="203"/>
        <v>0</v>
      </c>
      <c r="BF455">
        <f ca="1">IF(ROW()&lt;($C$7+1),"",IFERROR((分析データ!D455-AVERAGE(OFFSET(分析データ!D$1,MAX(1,ROW()-$C$7),0,MIN($C$7,ROW()-1),1)))/STDEV(OFFSET(分析データ!D$1,MAX(1,ROW()-$C$7),0,MIN($C$7,ROW()-1),1)),0))</f>
        <v>-0.33147713914174293</v>
      </c>
      <c r="BG455">
        <f t="shared" ca="1" si="204"/>
        <v>0</v>
      </c>
      <c r="BH455" t="str">
        <f ca="1">IF(BG455=1,IF(INDEX(分析データ!$A:$A,ROW()+$C$5)&lt;&gt;"",50000*SIGN(BF455)*(分析データ!D455-INDEX(分析データ!D:D,ROW()+$C$5)),""),"")</f>
        <v/>
      </c>
      <c r="BI455">
        <f t="shared" ca="1" si="205"/>
        <v>-779999.99999999418</v>
      </c>
      <c r="BJ455">
        <f t="shared" ca="1" si="206"/>
        <v>1695000.0000000016</v>
      </c>
      <c r="BK455">
        <f t="shared" ca="1" si="207"/>
        <v>-2474999.9999999958</v>
      </c>
      <c r="BL455">
        <f ca="1">IF(ROW()&lt;($C$7+1),"",IFERROR((分析データ!E455-AVERAGE(OFFSET(分析データ!E$1,MAX(1,ROW()-$C$7),0,MIN($C$7,ROW()-1),1)))/STDEV(OFFSET(分析データ!E$1,MAX(1,ROW()-$C$7),0,MIN($C$7,ROW()-1),1)),0))</f>
        <v>1.5415354253656441</v>
      </c>
      <c r="BM455">
        <f t="shared" ca="1" si="208"/>
        <v>0</v>
      </c>
      <c r="BN455" t="str">
        <f ca="1">IF(BM455=1,IF(INDEX(分析データ!$A:$A,ROW()+$C$5)&lt;&gt;"",40000*SIGN(BL455)*(分析データ!E455-INDEX(分析データ!E:E,ROW()+$C$5)),""),"")</f>
        <v/>
      </c>
      <c r="BO455">
        <f t="shared" ca="1" si="209"/>
        <v>1320000.0000000075</v>
      </c>
      <c r="BP455">
        <f t="shared" ca="1" si="210"/>
        <v>1320000.0000000075</v>
      </c>
      <c r="BQ455">
        <f t="shared" ca="1" si="211"/>
        <v>0</v>
      </c>
      <c r="BR455">
        <f ca="1">IF(ROW()&lt;($C$7+1),"",IFERROR((分析データ!F455-AVERAGE(OFFSET(分析データ!F$1,MAX(1,ROW()-$C$7),0,MIN($C$7,ROW()-1),1)))/STDEV(OFFSET(分析データ!F$1,MAX(1,ROW()-$C$7),0,MIN($C$7,ROW()-1),1)),0))</f>
        <v>-0.36236851707753548</v>
      </c>
      <c r="BS455">
        <f t="shared" ca="1" si="212"/>
        <v>0</v>
      </c>
      <c r="BT455" t="str">
        <f ca="1">IF(BS455=1,IF(INDEX(分析データ!$A:$A,ROW()+$C$5)&lt;&gt;"",40000*SIGN(BR455)*(分析データ!F455-INDEX(分析データ!F:F,ROW()+$C$5)),""),"")</f>
        <v/>
      </c>
      <c r="BU455">
        <f t="shared" ca="1" si="213"/>
        <v>583200.00000000163</v>
      </c>
      <c r="BV455">
        <f t="shared" ca="1" si="214"/>
        <v>583200.00000000163</v>
      </c>
      <c r="BW455">
        <f t="shared" ca="1" si="215"/>
        <v>0</v>
      </c>
      <c r="BX455">
        <f ca="1">IF(ROW()&lt;($C$7+1),"",IFERROR((分析データ!G455-AVERAGE(OFFSET(分析データ!G$1,MAX(1,ROW()-$C$7),0,MIN($C$7,ROW()-1),1)))/STDEV(OFFSET(分析データ!G$1,MAX(1,ROW()-$C$7),0,MIN($C$7,ROW()-1),1)),0))</f>
        <v>0.98570985871084515</v>
      </c>
      <c r="BY455">
        <f t="shared" ca="1" si="216"/>
        <v>0</v>
      </c>
      <c r="BZ455" t="str">
        <f ca="1">IF(BY455=1,IF(INDEX(分析データ!$A:$A,ROW()+$C$5)&lt;&gt;"",40000*SIGN(BX455)*(分析データ!G455-INDEX(分析データ!G:G,ROW()+$C$5)),""),"")</f>
        <v/>
      </c>
      <c r="CA455">
        <f t="shared" ca="1" si="217"/>
        <v>4220275.7177734375</v>
      </c>
      <c r="CB455">
        <f t="shared" ca="1" si="218"/>
        <v>4220275.7177734375</v>
      </c>
      <c r="CC455">
        <f t="shared" ca="1" si="219"/>
        <v>0</v>
      </c>
      <c r="CD455">
        <f t="shared" ca="1" si="220"/>
        <v>-280000.00000000116</v>
      </c>
      <c r="CE455">
        <f t="shared" ca="1" si="221"/>
        <v>-1471524.2822265301</v>
      </c>
      <c r="CF455">
        <f t="shared" ca="1" si="222"/>
        <v>6770475.7177734533</v>
      </c>
      <c r="CG455">
        <f t="shared" ca="1" si="223"/>
        <v>-8241999.9999999832</v>
      </c>
      <c r="CH455" s="10">
        <f>分析データ!A455</f>
        <v>45588</v>
      </c>
    </row>
    <row r="456" spans="46:86">
      <c r="AT456">
        <f ca="1">IF(ROW()&lt;($C$7+1),"",IFERROR((分析データ!B456-AVERAGE(OFFSET(分析データ!B$1,MAX(1,ROW()-$C$7),0,MIN($C$7,ROW()-1),1)))/STDEV(OFFSET(分析データ!B$1,MAX(1,ROW()-$C$7),0,MIN($C$7,ROW()-1),1)),0))</f>
        <v>2.5915373176863032</v>
      </c>
      <c r="AU456">
        <f t="shared" ca="1" si="196"/>
        <v>1</v>
      </c>
      <c r="AV456">
        <f ca="1">IF(AU456=1,IF(INDEX(分析データ!$A:$A,ROW()+$C$5)&lt;&gt;"",80000*SIGN(AT456)*(分析データ!B456-INDEX(分析データ!B:B,ROW()+$C$5)),""),"")</f>
        <v>-39999.99999999204</v>
      </c>
      <c r="AW456">
        <f t="shared" ca="1" si="197"/>
        <v>-7559999.9999999842</v>
      </c>
      <c r="AX456">
        <f t="shared" ca="1" si="198"/>
        <v>0</v>
      </c>
      <c r="AY456">
        <f t="shared" ca="1" si="199"/>
        <v>-7559999.9999999842</v>
      </c>
      <c r="AZ456">
        <f ca="1">IF(ROW()&lt;($C$7+1),"",IFERROR((分析データ!C456-AVERAGE(OFFSET(分析データ!C$1,MAX(1,ROW()-$C$7),0,MIN($C$7,ROW()-1),1)))/STDEV(OFFSET(分析データ!C$1,MAX(1,ROW()-$C$7),0,MIN($C$7,ROW()-1),1)),0))</f>
        <v>-1.7896082016838288</v>
      </c>
      <c r="BA456">
        <f t="shared" ca="1" si="200"/>
        <v>0</v>
      </c>
      <c r="BB456" t="str">
        <f ca="1">IF(BA456=1,IF(INDEX(分析データ!$A:$A,ROW()+$C$5)&lt;&gt;"",60000*SIGN(AZ456)*(分析データ!C456-INDEX(分析データ!C:C,ROW()+$C$5)),""),"")</f>
        <v/>
      </c>
      <c r="BC456">
        <f t="shared" ca="1" si="201"/>
        <v>705000.00000000629</v>
      </c>
      <c r="BD456">
        <f t="shared" ca="1" si="202"/>
        <v>705000.00000000629</v>
      </c>
      <c r="BE456">
        <f t="shared" ca="1" si="203"/>
        <v>0</v>
      </c>
      <c r="BF456">
        <f ca="1">IF(ROW()&lt;($C$7+1),"",IFERROR((分析データ!D456-AVERAGE(OFFSET(分析データ!D$1,MAX(1,ROW()-$C$7),0,MIN($C$7,ROW()-1),1)))/STDEV(OFFSET(分析データ!D$1,MAX(1,ROW()-$C$7),0,MIN($C$7,ROW()-1),1)),0))</f>
        <v>-0.36276049686260498</v>
      </c>
      <c r="BG456">
        <f t="shared" ca="1" si="204"/>
        <v>0</v>
      </c>
      <c r="BH456" t="str">
        <f ca="1">IF(BG456=1,IF(INDEX(分析データ!$A:$A,ROW()+$C$5)&lt;&gt;"",50000*SIGN(BF456)*(分析データ!D456-INDEX(分析データ!D:D,ROW()+$C$5)),""),"")</f>
        <v/>
      </c>
      <c r="BI456">
        <f t="shared" ca="1" si="205"/>
        <v>-779999.99999999418</v>
      </c>
      <c r="BJ456">
        <f t="shared" ca="1" si="206"/>
        <v>1695000.0000000016</v>
      </c>
      <c r="BK456">
        <f t="shared" ca="1" si="207"/>
        <v>-2474999.9999999958</v>
      </c>
      <c r="BL456">
        <f ca="1">IF(ROW()&lt;($C$7+1),"",IFERROR((分析データ!E456-AVERAGE(OFFSET(分析データ!E$1,MAX(1,ROW()-$C$7),0,MIN($C$7,ROW()-1),1)))/STDEV(OFFSET(分析データ!E$1,MAX(1,ROW()-$C$7),0,MIN($C$7,ROW()-1),1)),0))</f>
        <v>1.4108873131271971</v>
      </c>
      <c r="BM456">
        <f t="shared" ca="1" si="208"/>
        <v>0</v>
      </c>
      <c r="BN456" t="str">
        <f ca="1">IF(BM456=1,IF(INDEX(分析データ!$A:$A,ROW()+$C$5)&lt;&gt;"",40000*SIGN(BL456)*(分析データ!E456-INDEX(分析データ!E:E,ROW()+$C$5)),""),"")</f>
        <v/>
      </c>
      <c r="BO456">
        <f t="shared" ca="1" si="209"/>
        <v>1320000.0000000075</v>
      </c>
      <c r="BP456">
        <f t="shared" ca="1" si="210"/>
        <v>1320000.0000000075</v>
      </c>
      <c r="BQ456">
        <f t="shared" ca="1" si="211"/>
        <v>0</v>
      </c>
      <c r="BR456">
        <f ca="1">IF(ROW()&lt;($C$7+1),"",IFERROR((分析データ!F456-AVERAGE(OFFSET(分析データ!F$1,MAX(1,ROW()-$C$7),0,MIN($C$7,ROW()-1),1)))/STDEV(OFFSET(分析データ!F$1,MAX(1,ROW()-$C$7),0,MIN($C$7,ROW()-1),1)),0))</f>
        <v>-0.29642989714106149</v>
      </c>
      <c r="BS456">
        <f t="shared" ca="1" si="212"/>
        <v>0</v>
      </c>
      <c r="BT456" t="str">
        <f ca="1">IF(BS456=1,IF(INDEX(分析データ!$A:$A,ROW()+$C$5)&lt;&gt;"",40000*SIGN(BR456)*(分析データ!F456-INDEX(分析データ!F:F,ROW()+$C$5)),""),"")</f>
        <v/>
      </c>
      <c r="BU456">
        <f t="shared" ca="1" si="213"/>
        <v>583200.00000000163</v>
      </c>
      <c r="BV456">
        <f t="shared" ca="1" si="214"/>
        <v>583200.00000000163</v>
      </c>
      <c r="BW456">
        <f t="shared" ca="1" si="215"/>
        <v>0</v>
      </c>
      <c r="BX456">
        <f ca="1">IF(ROW()&lt;($C$7+1),"",IFERROR((分析データ!G456-AVERAGE(OFFSET(分析データ!G$1,MAX(1,ROW()-$C$7),0,MIN($C$7,ROW()-1),1)))/STDEV(OFFSET(分析データ!G$1,MAX(1,ROW()-$C$7),0,MIN($C$7,ROW()-1),1)),0))</f>
        <v>0.9147920533811349</v>
      </c>
      <c r="BY456">
        <f t="shared" ca="1" si="216"/>
        <v>0</v>
      </c>
      <c r="BZ456" t="str">
        <f ca="1">IF(BY456=1,IF(INDEX(分析データ!$A:$A,ROW()+$C$5)&lt;&gt;"",40000*SIGN(BX456)*(分析データ!G456-INDEX(分析データ!G:G,ROW()+$C$5)),""),"")</f>
        <v/>
      </c>
      <c r="CA456">
        <f t="shared" ca="1" si="217"/>
        <v>4220275.7177734375</v>
      </c>
      <c r="CB456">
        <f t="shared" ca="1" si="218"/>
        <v>4220275.7177734375</v>
      </c>
      <c r="CC456">
        <f t="shared" ca="1" si="219"/>
        <v>0</v>
      </c>
      <c r="CD456">
        <f t="shared" ca="1" si="220"/>
        <v>-39999.99999999204</v>
      </c>
      <c r="CE456">
        <f t="shared" ca="1" si="221"/>
        <v>-1511524.2822265222</v>
      </c>
      <c r="CF456">
        <f t="shared" ca="1" si="222"/>
        <v>6770475.7177734533</v>
      </c>
      <c r="CG456">
        <f t="shared" ca="1" si="223"/>
        <v>-8281999.9999999758</v>
      </c>
      <c r="CH456" s="10">
        <f>分析データ!A456</f>
        <v>45589</v>
      </c>
    </row>
    <row r="457" spans="46:86">
      <c r="AT457">
        <f ca="1">IF(ROW()&lt;($C$7+1),"",IFERROR((分析データ!B457-AVERAGE(OFFSET(分析データ!B$1,MAX(1,ROW()-$C$7),0,MIN($C$7,ROW()-1),1)))/STDEV(OFFSET(分析データ!B$1,MAX(1,ROW()-$C$7),0,MIN($C$7,ROW()-1),1)),0))</f>
        <v>2.556475969198809</v>
      </c>
      <c r="AU457">
        <f t="shared" ca="1" si="196"/>
        <v>1</v>
      </c>
      <c r="AV457">
        <f ca="1">IF(AU457=1,IF(INDEX(分析データ!$A:$A,ROW()+$C$5)&lt;&gt;"",80000*SIGN(AT457)*(分析データ!B457-INDEX(分析データ!B:B,ROW()+$C$5)),""),"")</f>
        <v>39999.999999999149</v>
      </c>
      <c r="AW457">
        <f t="shared" ca="1" si="197"/>
        <v>-7519999.9999999851</v>
      </c>
      <c r="AX457">
        <f t="shared" ca="1" si="198"/>
        <v>0</v>
      </c>
      <c r="AY457">
        <f t="shared" ca="1" si="199"/>
        <v>-7519999.9999999851</v>
      </c>
      <c r="AZ457">
        <f ca="1">IF(ROW()&lt;($C$7+1),"",IFERROR((分析データ!C457-AVERAGE(OFFSET(分析データ!C$1,MAX(1,ROW()-$C$7),0,MIN($C$7,ROW()-1),1)))/STDEV(OFFSET(分析データ!C$1,MAX(1,ROW()-$C$7),0,MIN($C$7,ROW()-1),1)),0))</f>
        <v>-1.7252382236677035</v>
      </c>
      <c r="BA457">
        <f t="shared" ca="1" si="200"/>
        <v>0</v>
      </c>
      <c r="BB457" t="str">
        <f ca="1">IF(BA457=1,IF(INDEX(分析データ!$A:$A,ROW()+$C$5)&lt;&gt;"",60000*SIGN(AZ457)*(分析データ!C457-INDEX(分析データ!C:C,ROW()+$C$5)),""),"")</f>
        <v/>
      </c>
      <c r="BC457">
        <f t="shared" ca="1" si="201"/>
        <v>705000.00000000629</v>
      </c>
      <c r="BD457">
        <f t="shared" ca="1" si="202"/>
        <v>705000.00000000629</v>
      </c>
      <c r="BE457">
        <f t="shared" ca="1" si="203"/>
        <v>0</v>
      </c>
      <c r="BF457">
        <f ca="1">IF(ROW()&lt;($C$7+1),"",IFERROR((分析データ!D457-AVERAGE(OFFSET(分析データ!D$1,MAX(1,ROW()-$C$7),0,MIN($C$7,ROW()-1),1)))/STDEV(OFFSET(分析データ!D$1,MAX(1,ROW()-$C$7),0,MIN($C$7,ROW()-1),1)),0))</f>
        <v>-0.18380563226188187</v>
      </c>
      <c r="BG457">
        <f t="shared" ca="1" si="204"/>
        <v>0</v>
      </c>
      <c r="BH457" t="str">
        <f ca="1">IF(BG457=1,IF(INDEX(分析データ!$A:$A,ROW()+$C$5)&lt;&gt;"",50000*SIGN(BF457)*(分析データ!D457-INDEX(分析データ!D:D,ROW()+$C$5)),""),"")</f>
        <v/>
      </c>
      <c r="BI457">
        <f t="shared" ca="1" si="205"/>
        <v>-779999.99999999418</v>
      </c>
      <c r="BJ457">
        <f t="shared" ca="1" si="206"/>
        <v>1695000.0000000016</v>
      </c>
      <c r="BK457">
        <f t="shared" ca="1" si="207"/>
        <v>-2474999.9999999958</v>
      </c>
      <c r="BL457">
        <f ca="1">IF(ROW()&lt;($C$7+1),"",IFERROR((分析データ!E457-AVERAGE(OFFSET(分析データ!E$1,MAX(1,ROW()-$C$7),0,MIN($C$7,ROW()-1),1)))/STDEV(OFFSET(分析データ!E$1,MAX(1,ROW()-$C$7),0,MIN($C$7,ROW()-1),1)),0))</f>
        <v>1.3984156867389201</v>
      </c>
      <c r="BM457">
        <f t="shared" ca="1" si="208"/>
        <v>0</v>
      </c>
      <c r="BN457" t="str">
        <f ca="1">IF(BM457=1,IF(INDEX(分析データ!$A:$A,ROW()+$C$5)&lt;&gt;"",40000*SIGN(BL457)*(分析データ!E457-INDEX(分析データ!E:E,ROW()+$C$5)),""),"")</f>
        <v/>
      </c>
      <c r="BO457">
        <f t="shared" ca="1" si="209"/>
        <v>1320000.0000000075</v>
      </c>
      <c r="BP457">
        <f t="shared" ca="1" si="210"/>
        <v>1320000.0000000075</v>
      </c>
      <c r="BQ457">
        <f t="shared" ca="1" si="211"/>
        <v>0</v>
      </c>
      <c r="BR457">
        <f ca="1">IF(ROW()&lt;($C$7+1),"",IFERROR((分析データ!F457-AVERAGE(OFFSET(分析データ!F$1,MAX(1,ROW()-$C$7),0,MIN($C$7,ROW()-1),1)))/STDEV(OFFSET(分析データ!F$1,MAX(1,ROW()-$C$7),0,MIN($C$7,ROW()-1),1)),0))</f>
        <v>-0.88754456425243544</v>
      </c>
      <c r="BS457">
        <f t="shared" ca="1" si="212"/>
        <v>0</v>
      </c>
      <c r="BT457" t="str">
        <f ca="1">IF(BS457=1,IF(INDEX(分析データ!$A:$A,ROW()+$C$5)&lt;&gt;"",40000*SIGN(BR457)*(分析データ!F457-INDEX(分析データ!F:F,ROW()+$C$5)),""),"")</f>
        <v/>
      </c>
      <c r="BU457">
        <f t="shared" ca="1" si="213"/>
        <v>583200.00000000163</v>
      </c>
      <c r="BV457">
        <f t="shared" ca="1" si="214"/>
        <v>583200.00000000163</v>
      </c>
      <c r="BW457">
        <f t="shared" ca="1" si="215"/>
        <v>0</v>
      </c>
      <c r="BX457">
        <f ca="1">IF(ROW()&lt;($C$7+1),"",IFERROR((分析データ!G457-AVERAGE(OFFSET(分析データ!G$1,MAX(1,ROW()-$C$7),0,MIN($C$7,ROW()-1),1)))/STDEV(OFFSET(分析データ!G$1,MAX(1,ROW()-$C$7),0,MIN($C$7,ROW()-1),1)),0))</f>
        <v>1.2535298109185526</v>
      </c>
      <c r="BY457">
        <f t="shared" ca="1" si="216"/>
        <v>0</v>
      </c>
      <c r="BZ457" t="str">
        <f ca="1">IF(BY457=1,IF(INDEX(分析データ!$A:$A,ROW()+$C$5)&lt;&gt;"",40000*SIGN(BX457)*(分析データ!G457-INDEX(分析データ!G:G,ROW()+$C$5)),""),"")</f>
        <v/>
      </c>
      <c r="CA457">
        <f t="shared" ca="1" si="217"/>
        <v>4220275.7177734375</v>
      </c>
      <c r="CB457">
        <f t="shared" ca="1" si="218"/>
        <v>4220275.7177734375</v>
      </c>
      <c r="CC457">
        <f t="shared" ca="1" si="219"/>
        <v>0</v>
      </c>
      <c r="CD457">
        <f t="shared" ca="1" si="220"/>
        <v>39999.999999999149</v>
      </c>
      <c r="CE457">
        <f t="shared" ca="1" si="221"/>
        <v>-1471524.2822265232</v>
      </c>
      <c r="CF457">
        <f t="shared" ca="1" si="222"/>
        <v>6770475.7177734533</v>
      </c>
      <c r="CG457">
        <f t="shared" ca="1" si="223"/>
        <v>-8241999.9999999767</v>
      </c>
      <c r="CH457" s="10">
        <f>分析データ!A457</f>
        <v>45590</v>
      </c>
    </row>
    <row r="458" spans="46:86">
      <c r="AT458">
        <f ca="1">IF(ROW()&lt;($C$7+1),"",IFERROR((分析データ!B458-AVERAGE(OFFSET(分析データ!B$1,MAX(1,ROW()-$C$7),0,MIN($C$7,ROW()-1),1)))/STDEV(OFFSET(分析データ!B$1,MAX(1,ROW()-$C$7),0,MIN($C$7,ROW()-1),1)),0))</f>
        <v>2.7533970394375107</v>
      </c>
      <c r="AU458">
        <f t="shared" ca="1" si="196"/>
        <v>1</v>
      </c>
      <c r="AV458">
        <f ca="1">IF(AU458=1,IF(INDEX(分析データ!$A:$A,ROW()+$C$5)&lt;&gt;"",80000*SIGN(AT458)*(分析データ!B458-INDEX(分析データ!B:B,ROW()+$C$5)),""),"")</f>
        <v>-119999.99999999744</v>
      </c>
      <c r="AW458">
        <f t="shared" ca="1" si="197"/>
        <v>-7639999.9999999823</v>
      </c>
      <c r="AX458">
        <f t="shared" ca="1" si="198"/>
        <v>0</v>
      </c>
      <c r="AY458">
        <f t="shared" ca="1" si="199"/>
        <v>-7639999.9999999823</v>
      </c>
      <c r="AZ458">
        <f ca="1">IF(ROW()&lt;($C$7+1),"",IFERROR((分析データ!C458-AVERAGE(OFFSET(分析データ!C$1,MAX(1,ROW()-$C$7),0,MIN($C$7,ROW()-1),1)))/STDEV(OFFSET(分析データ!C$1,MAX(1,ROW()-$C$7),0,MIN($C$7,ROW()-1),1)),0))</f>
        <v>-1.6917758848970221</v>
      </c>
      <c r="BA458">
        <f t="shared" ca="1" si="200"/>
        <v>0</v>
      </c>
      <c r="BB458" t="str">
        <f ca="1">IF(BA458=1,IF(INDEX(分析データ!$A:$A,ROW()+$C$5)&lt;&gt;"",60000*SIGN(AZ458)*(分析データ!C458-INDEX(分析データ!C:C,ROW()+$C$5)),""),"")</f>
        <v/>
      </c>
      <c r="BC458">
        <f t="shared" ca="1" si="201"/>
        <v>705000.00000000629</v>
      </c>
      <c r="BD458">
        <f t="shared" ca="1" si="202"/>
        <v>705000.00000000629</v>
      </c>
      <c r="BE458">
        <f t="shared" ca="1" si="203"/>
        <v>0</v>
      </c>
      <c r="BF458">
        <f ca="1">IF(ROW()&lt;($C$7+1),"",IFERROR((分析データ!D458-AVERAGE(OFFSET(分析データ!D$1,MAX(1,ROW()-$C$7),0,MIN($C$7,ROW()-1),1)))/STDEV(OFFSET(分析データ!D$1,MAX(1,ROW()-$C$7),0,MIN($C$7,ROW()-1),1)),0))</f>
        <v>-0.16080112362514823</v>
      </c>
      <c r="BG458">
        <f t="shared" ca="1" si="204"/>
        <v>0</v>
      </c>
      <c r="BH458" t="str">
        <f ca="1">IF(BG458=1,IF(INDEX(分析データ!$A:$A,ROW()+$C$5)&lt;&gt;"",50000*SIGN(BF458)*(分析データ!D458-INDEX(分析データ!D:D,ROW()+$C$5)),""),"")</f>
        <v/>
      </c>
      <c r="BI458">
        <f t="shared" ca="1" si="205"/>
        <v>-779999.99999999418</v>
      </c>
      <c r="BJ458">
        <f t="shared" ca="1" si="206"/>
        <v>1695000.0000000016</v>
      </c>
      <c r="BK458">
        <f t="shared" ca="1" si="207"/>
        <v>-2474999.9999999958</v>
      </c>
      <c r="BL458">
        <f ca="1">IF(ROW()&lt;($C$7+1),"",IFERROR((分析データ!E458-AVERAGE(OFFSET(分析データ!E$1,MAX(1,ROW()-$C$7),0,MIN($C$7,ROW()-1),1)))/STDEV(OFFSET(分析データ!E$1,MAX(1,ROW()-$C$7),0,MIN($C$7,ROW()-1),1)),0))</f>
        <v>1.2710788787950238</v>
      </c>
      <c r="BM458">
        <f t="shared" ca="1" si="208"/>
        <v>0</v>
      </c>
      <c r="BN458" t="str">
        <f ca="1">IF(BM458=1,IF(INDEX(分析データ!$A:$A,ROW()+$C$5)&lt;&gt;"",40000*SIGN(BL458)*(分析データ!E458-INDEX(分析データ!E:E,ROW()+$C$5)),""),"")</f>
        <v/>
      </c>
      <c r="BO458">
        <f t="shared" ca="1" si="209"/>
        <v>1320000.0000000075</v>
      </c>
      <c r="BP458">
        <f t="shared" ca="1" si="210"/>
        <v>1320000.0000000075</v>
      </c>
      <c r="BQ458">
        <f t="shared" ca="1" si="211"/>
        <v>0</v>
      </c>
      <c r="BR458">
        <f ca="1">IF(ROW()&lt;($C$7+1),"",IFERROR((分析データ!F458-AVERAGE(OFFSET(分析データ!F$1,MAX(1,ROW()-$C$7),0,MIN($C$7,ROW()-1),1)))/STDEV(OFFSET(分析データ!F$1,MAX(1,ROW()-$C$7),0,MIN($C$7,ROW()-1),1)),0))</f>
        <v>-0.81625846385758505</v>
      </c>
      <c r="BS458">
        <f t="shared" ca="1" si="212"/>
        <v>0</v>
      </c>
      <c r="BT458" t="str">
        <f ca="1">IF(BS458=1,IF(INDEX(分析データ!$A:$A,ROW()+$C$5)&lt;&gt;"",40000*SIGN(BR458)*(分析データ!F458-INDEX(分析データ!F:F,ROW()+$C$5)),""),"")</f>
        <v/>
      </c>
      <c r="BU458">
        <f t="shared" ca="1" si="213"/>
        <v>583200.00000000163</v>
      </c>
      <c r="BV458">
        <f t="shared" ca="1" si="214"/>
        <v>583200.00000000163</v>
      </c>
      <c r="BW458">
        <f t="shared" ca="1" si="215"/>
        <v>0</v>
      </c>
      <c r="BX458">
        <f ca="1">IF(ROW()&lt;($C$7+1),"",IFERROR((分析データ!G458-AVERAGE(OFFSET(分析データ!G$1,MAX(1,ROW()-$C$7),0,MIN($C$7,ROW()-1),1)))/STDEV(OFFSET(分析データ!G$1,MAX(1,ROW()-$C$7),0,MIN($C$7,ROW()-1),1)),0))</f>
        <v>1.0602398404034601</v>
      </c>
      <c r="BY458">
        <f t="shared" ca="1" si="216"/>
        <v>0</v>
      </c>
      <c r="BZ458" t="str">
        <f ca="1">IF(BY458=1,IF(INDEX(分析データ!$A:$A,ROW()+$C$5)&lt;&gt;"",40000*SIGN(BX458)*(分析データ!G458-INDEX(分析データ!G:G,ROW()+$C$5)),""),"")</f>
        <v/>
      </c>
      <c r="CA458">
        <f t="shared" ca="1" si="217"/>
        <v>4220275.7177734375</v>
      </c>
      <c r="CB458">
        <f t="shared" ca="1" si="218"/>
        <v>4220275.7177734375</v>
      </c>
      <c r="CC458">
        <f t="shared" ca="1" si="219"/>
        <v>0</v>
      </c>
      <c r="CD458">
        <f t="shared" ca="1" si="220"/>
        <v>-119999.99999999744</v>
      </c>
      <c r="CE458">
        <f t="shared" ca="1" si="221"/>
        <v>-1591524.2822265206</v>
      </c>
      <c r="CF458">
        <f t="shared" ca="1" si="222"/>
        <v>6770475.7177734533</v>
      </c>
      <c r="CG458">
        <f t="shared" ca="1" si="223"/>
        <v>-8361999.9999999739</v>
      </c>
      <c r="CH458" s="10">
        <f>分析データ!A458</f>
        <v>45593</v>
      </c>
    </row>
    <row r="459" spans="46:86">
      <c r="AT459">
        <f ca="1">IF(ROW()&lt;($C$7+1),"",IFERROR((分析データ!B459-AVERAGE(OFFSET(分析データ!B$1,MAX(1,ROW()-$C$7),0,MIN($C$7,ROW()-1),1)))/STDEV(OFFSET(分析データ!B$1,MAX(1,ROW()-$C$7),0,MIN($C$7,ROW()-1),1)),0))</f>
        <v>2.8591107721156095</v>
      </c>
      <c r="AU459">
        <f t="shared" ca="1" si="196"/>
        <v>1</v>
      </c>
      <c r="AV459">
        <f ca="1">IF(AU459=1,IF(INDEX(分析データ!$A:$A,ROW()+$C$5)&lt;&gt;"",80000*SIGN(AT459)*(分析データ!B459-INDEX(分析データ!B:B,ROW()+$C$5)),""),"")</f>
        <v>-200000.00000000285</v>
      </c>
      <c r="AW459">
        <f t="shared" ca="1" si="197"/>
        <v>-7839999.9999999851</v>
      </c>
      <c r="AX459">
        <f t="shared" ca="1" si="198"/>
        <v>0</v>
      </c>
      <c r="AY459">
        <f t="shared" ca="1" si="199"/>
        <v>-7839999.9999999851</v>
      </c>
      <c r="AZ459">
        <f ca="1">IF(ROW()&lt;($C$7+1),"",IFERROR((分析データ!C459-AVERAGE(OFFSET(分析データ!C$1,MAX(1,ROW()-$C$7),0,MIN($C$7,ROW()-1),1)))/STDEV(OFFSET(分析データ!C$1,MAX(1,ROW()-$C$7),0,MIN($C$7,ROW()-1),1)),0))</f>
        <v>-1.5707414681031409</v>
      </c>
      <c r="BA459">
        <f t="shared" ca="1" si="200"/>
        <v>0</v>
      </c>
      <c r="BB459" t="str">
        <f ca="1">IF(BA459=1,IF(INDEX(分析データ!$A:$A,ROW()+$C$5)&lt;&gt;"",60000*SIGN(AZ459)*(分析データ!C459-INDEX(分析データ!C:C,ROW()+$C$5)),""),"")</f>
        <v/>
      </c>
      <c r="BC459">
        <f t="shared" ca="1" si="201"/>
        <v>705000.00000000629</v>
      </c>
      <c r="BD459">
        <f t="shared" ca="1" si="202"/>
        <v>705000.00000000629</v>
      </c>
      <c r="BE459">
        <f t="shared" ca="1" si="203"/>
        <v>0</v>
      </c>
      <c r="BF459">
        <f ca="1">IF(ROW()&lt;($C$7+1),"",IFERROR((分析データ!D459-AVERAGE(OFFSET(分析データ!D$1,MAX(1,ROW()-$C$7),0,MIN($C$7,ROW()-1),1)))/STDEV(OFFSET(分析データ!D$1,MAX(1,ROW()-$C$7),0,MIN($C$7,ROW()-1),1)),0))</f>
        <v>-0.152751548975948</v>
      </c>
      <c r="BG459">
        <f t="shared" ca="1" si="204"/>
        <v>0</v>
      </c>
      <c r="BH459" t="str">
        <f ca="1">IF(BG459=1,IF(INDEX(分析データ!$A:$A,ROW()+$C$5)&lt;&gt;"",50000*SIGN(BF459)*(分析データ!D459-INDEX(分析データ!D:D,ROW()+$C$5)),""),"")</f>
        <v/>
      </c>
      <c r="BI459">
        <f t="shared" ca="1" si="205"/>
        <v>-779999.99999999418</v>
      </c>
      <c r="BJ459">
        <f t="shared" ca="1" si="206"/>
        <v>1695000.0000000016</v>
      </c>
      <c r="BK459">
        <f t="shared" ca="1" si="207"/>
        <v>-2474999.9999999958</v>
      </c>
      <c r="BL459">
        <f ca="1">IF(ROW()&lt;($C$7+1),"",IFERROR((分析データ!E459-AVERAGE(OFFSET(分析データ!E$1,MAX(1,ROW()-$C$7),0,MIN($C$7,ROW()-1),1)))/STDEV(OFFSET(分析データ!E$1,MAX(1,ROW()-$C$7),0,MIN($C$7,ROW()-1),1)),0))</f>
        <v>1.2623889387962344</v>
      </c>
      <c r="BM459">
        <f t="shared" ca="1" si="208"/>
        <v>0</v>
      </c>
      <c r="BN459" t="str">
        <f ca="1">IF(BM459=1,IF(INDEX(分析データ!$A:$A,ROW()+$C$5)&lt;&gt;"",40000*SIGN(BL459)*(分析データ!E459-INDEX(分析データ!E:E,ROW()+$C$5)),""),"")</f>
        <v/>
      </c>
      <c r="BO459">
        <f t="shared" ca="1" si="209"/>
        <v>1320000.0000000075</v>
      </c>
      <c r="BP459">
        <f t="shared" ca="1" si="210"/>
        <v>1320000.0000000075</v>
      </c>
      <c r="BQ459">
        <f t="shared" ca="1" si="211"/>
        <v>0</v>
      </c>
      <c r="BR459">
        <f ca="1">IF(ROW()&lt;($C$7+1),"",IFERROR((分析データ!F459-AVERAGE(OFFSET(分析データ!F$1,MAX(1,ROW()-$C$7),0,MIN($C$7,ROW()-1),1)))/STDEV(OFFSET(分析データ!F$1,MAX(1,ROW()-$C$7),0,MIN($C$7,ROW()-1),1)),0))</f>
        <v>-0.88319345139667049</v>
      </c>
      <c r="BS459">
        <f t="shared" ca="1" si="212"/>
        <v>0</v>
      </c>
      <c r="BT459" t="str">
        <f ca="1">IF(BS459=1,IF(INDEX(分析データ!$A:$A,ROW()+$C$5)&lt;&gt;"",40000*SIGN(BR459)*(分析データ!F459-INDEX(分析データ!F:F,ROW()+$C$5)),""),"")</f>
        <v/>
      </c>
      <c r="BU459">
        <f t="shared" ca="1" si="213"/>
        <v>583200.00000000163</v>
      </c>
      <c r="BV459">
        <f t="shared" ca="1" si="214"/>
        <v>583200.00000000163</v>
      </c>
      <c r="BW459">
        <f t="shared" ca="1" si="215"/>
        <v>0</v>
      </c>
      <c r="BX459">
        <f ca="1">IF(ROW()&lt;($C$7+1),"",IFERROR((分析データ!G459-AVERAGE(OFFSET(分析データ!G$1,MAX(1,ROW()-$C$7),0,MIN($C$7,ROW()-1),1)))/STDEV(OFFSET(分析データ!G$1,MAX(1,ROW()-$C$7),0,MIN($C$7,ROW()-1),1)),0))</f>
        <v>1.1315834901243589</v>
      </c>
      <c r="BY459">
        <f t="shared" ca="1" si="216"/>
        <v>0</v>
      </c>
      <c r="BZ459" t="str">
        <f ca="1">IF(BY459=1,IF(INDEX(分析データ!$A:$A,ROW()+$C$5)&lt;&gt;"",40000*SIGN(BX459)*(分析データ!G459-INDEX(分析データ!G:G,ROW()+$C$5)),""),"")</f>
        <v/>
      </c>
      <c r="CA459">
        <f t="shared" ca="1" si="217"/>
        <v>4220275.7177734375</v>
      </c>
      <c r="CB459">
        <f t="shared" ca="1" si="218"/>
        <v>4220275.7177734375</v>
      </c>
      <c r="CC459">
        <f t="shared" ca="1" si="219"/>
        <v>0</v>
      </c>
      <c r="CD459">
        <f t="shared" ca="1" si="220"/>
        <v>-200000.00000000285</v>
      </c>
      <c r="CE459">
        <f t="shared" ca="1" si="221"/>
        <v>-1791524.2822265234</v>
      </c>
      <c r="CF459">
        <f t="shared" ca="1" si="222"/>
        <v>6770475.7177734533</v>
      </c>
      <c r="CG459">
        <f t="shared" ca="1" si="223"/>
        <v>-8561999.9999999776</v>
      </c>
      <c r="CH459" s="10">
        <f>分析データ!A459</f>
        <v>45594</v>
      </c>
    </row>
    <row r="460" spans="46:86">
      <c r="AT460">
        <f ca="1">IF(ROW()&lt;($C$7+1),"",IFERROR((分析データ!B460-AVERAGE(OFFSET(分析データ!B$1,MAX(1,ROW()-$C$7),0,MIN($C$7,ROW()-1),1)))/STDEV(OFFSET(分析データ!B$1,MAX(1,ROW()-$C$7),0,MIN($C$7,ROW()-1),1)),0))</f>
        <v>2.8815135685256936</v>
      </c>
      <c r="AU460">
        <f t="shared" ca="1" si="196"/>
        <v>1</v>
      </c>
      <c r="AV460">
        <f ca="1">IF(AU460=1,IF(INDEX(分析データ!$A:$A,ROW()+$C$5)&lt;&gt;"",80000*SIGN(AT460)*(分析データ!B460-INDEX(分析データ!B:B,ROW()+$C$5)),""),"")</f>
        <v>0</v>
      </c>
      <c r="AW460">
        <f t="shared" ca="1" si="197"/>
        <v>-7839999.9999999851</v>
      </c>
      <c r="AX460">
        <f t="shared" ca="1" si="198"/>
        <v>0</v>
      </c>
      <c r="AY460">
        <f t="shared" ca="1" si="199"/>
        <v>-7839999.9999999851</v>
      </c>
      <c r="AZ460">
        <f ca="1">IF(ROW()&lt;($C$7+1),"",IFERROR((分析データ!C460-AVERAGE(OFFSET(分析データ!C$1,MAX(1,ROW()-$C$7),0,MIN($C$7,ROW()-1),1)))/STDEV(OFFSET(分析データ!C$1,MAX(1,ROW()-$C$7),0,MIN($C$7,ROW()-1),1)),0))</f>
        <v>-1.8573199145176247</v>
      </c>
      <c r="BA460">
        <f t="shared" ca="1" si="200"/>
        <v>0</v>
      </c>
      <c r="BB460" t="str">
        <f ca="1">IF(BA460=1,IF(INDEX(分析データ!$A:$A,ROW()+$C$5)&lt;&gt;"",60000*SIGN(AZ460)*(分析データ!C460-INDEX(分析データ!C:C,ROW()+$C$5)),""),"")</f>
        <v/>
      </c>
      <c r="BC460">
        <f t="shared" ca="1" si="201"/>
        <v>705000.00000000629</v>
      </c>
      <c r="BD460">
        <f t="shared" ca="1" si="202"/>
        <v>705000.00000000629</v>
      </c>
      <c r="BE460">
        <f t="shared" ca="1" si="203"/>
        <v>0</v>
      </c>
      <c r="BF460">
        <f ca="1">IF(ROW()&lt;($C$7+1),"",IFERROR((分析データ!D460-AVERAGE(OFFSET(分析データ!D$1,MAX(1,ROW()-$C$7),0,MIN($C$7,ROW()-1),1)))/STDEV(OFFSET(分析データ!D$1,MAX(1,ROW()-$C$7),0,MIN($C$7,ROW()-1),1)),0))</f>
        <v>-3.5527391543671696E-2</v>
      </c>
      <c r="BG460">
        <f t="shared" ca="1" si="204"/>
        <v>0</v>
      </c>
      <c r="BH460" t="str">
        <f ca="1">IF(BG460=1,IF(INDEX(分析データ!$A:$A,ROW()+$C$5)&lt;&gt;"",50000*SIGN(BF460)*(分析データ!D460-INDEX(分析データ!D:D,ROW()+$C$5)),""),"")</f>
        <v/>
      </c>
      <c r="BI460">
        <f t="shared" ca="1" si="205"/>
        <v>-779999.99999999418</v>
      </c>
      <c r="BJ460">
        <f t="shared" ca="1" si="206"/>
        <v>1695000.0000000016</v>
      </c>
      <c r="BK460">
        <f t="shared" ca="1" si="207"/>
        <v>-2474999.9999999958</v>
      </c>
      <c r="BL460">
        <f ca="1">IF(ROW()&lt;($C$7+1),"",IFERROR((分析データ!E460-AVERAGE(OFFSET(分析データ!E$1,MAX(1,ROW()-$C$7),0,MIN($C$7,ROW()-1),1)))/STDEV(OFFSET(分析データ!E$1,MAX(1,ROW()-$C$7),0,MIN($C$7,ROW()-1),1)),0))</f>
        <v>1.0224702716473573</v>
      </c>
      <c r="BM460">
        <f t="shared" ca="1" si="208"/>
        <v>0</v>
      </c>
      <c r="BN460" t="str">
        <f ca="1">IF(BM460=1,IF(INDEX(分析データ!$A:$A,ROW()+$C$5)&lt;&gt;"",40000*SIGN(BL460)*(分析データ!E460-INDEX(分析データ!E:E,ROW()+$C$5)),""),"")</f>
        <v/>
      </c>
      <c r="BO460">
        <f t="shared" ca="1" si="209"/>
        <v>1320000.0000000075</v>
      </c>
      <c r="BP460">
        <f t="shared" ca="1" si="210"/>
        <v>1320000.0000000075</v>
      </c>
      <c r="BQ460">
        <f t="shared" ca="1" si="211"/>
        <v>0</v>
      </c>
      <c r="BR460">
        <f ca="1">IF(ROW()&lt;($C$7+1),"",IFERROR((分析データ!F460-AVERAGE(OFFSET(分析データ!F$1,MAX(1,ROW()-$C$7),0,MIN($C$7,ROW()-1),1)))/STDEV(OFFSET(分析データ!F$1,MAX(1,ROW()-$C$7),0,MIN($C$7,ROW()-1),1)),0))</f>
        <v>-0.36833941474465476</v>
      </c>
      <c r="BS460">
        <f t="shared" ca="1" si="212"/>
        <v>0</v>
      </c>
      <c r="BT460" t="str">
        <f ca="1">IF(BS460=1,IF(INDEX(分析データ!$A:$A,ROW()+$C$5)&lt;&gt;"",40000*SIGN(BR460)*(分析データ!F460-INDEX(分析データ!F:F,ROW()+$C$5)),""),"")</f>
        <v/>
      </c>
      <c r="BU460">
        <f t="shared" ca="1" si="213"/>
        <v>583200.00000000163</v>
      </c>
      <c r="BV460">
        <f t="shared" ca="1" si="214"/>
        <v>583200.00000000163</v>
      </c>
      <c r="BW460">
        <f t="shared" ca="1" si="215"/>
        <v>0</v>
      </c>
      <c r="BX460">
        <f ca="1">IF(ROW()&lt;($C$7+1),"",IFERROR((分析データ!G460-AVERAGE(OFFSET(分析データ!G$1,MAX(1,ROW()-$C$7),0,MIN($C$7,ROW()-1),1)))/STDEV(OFFSET(分析データ!G$1,MAX(1,ROW()-$C$7),0,MIN($C$7,ROW()-1),1)),0))</f>
        <v>0.66342326568799592</v>
      </c>
      <c r="BY460">
        <f t="shared" ca="1" si="216"/>
        <v>0</v>
      </c>
      <c r="BZ460" t="str">
        <f ca="1">IF(BY460=1,IF(INDEX(分析データ!$A:$A,ROW()+$C$5)&lt;&gt;"",40000*SIGN(BX460)*(分析データ!G460-INDEX(分析データ!G:G,ROW()+$C$5)),""),"")</f>
        <v/>
      </c>
      <c r="CA460">
        <f t="shared" ca="1" si="217"/>
        <v>4220275.7177734375</v>
      </c>
      <c r="CB460">
        <f t="shared" ca="1" si="218"/>
        <v>4220275.7177734375</v>
      </c>
      <c r="CC460">
        <f t="shared" ca="1" si="219"/>
        <v>0</v>
      </c>
      <c r="CD460">
        <f t="shared" ca="1" si="220"/>
        <v>0</v>
      </c>
      <c r="CE460">
        <f t="shared" ca="1" si="221"/>
        <v>-1791524.2822265234</v>
      </c>
      <c r="CF460">
        <f t="shared" ca="1" si="222"/>
        <v>6770475.7177734533</v>
      </c>
      <c r="CG460">
        <f t="shared" ca="1" si="223"/>
        <v>-8561999.9999999776</v>
      </c>
      <c r="CH460" s="10">
        <f>分析データ!A460</f>
        <v>45595</v>
      </c>
    </row>
    <row r="461" spans="46:86">
      <c r="AT461">
        <f ca="1">IF(ROW()&lt;($C$7+1),"",IFERROR((分析データ!B461-AVERAGE(OFFSET(分析データ!B$1,MAX(1,ROW()-$C$7),0,MIN($C$7,ROW()-1),1)))/STDEV(OFFSET(分析データ!B$1,MAX(1,ROW()-$C$7),0,MIN($C$7,ROW()-1),1)),0))</f>
        <v>2.7619550322435993</v>
      </c>
      <c r="AU461">
        <f t="shared" ca="1" si="196"/>
        <v>1</v>
      </c>
      <c r="AV461">
        <f ca="1">IF(AU461=1,IF(INDEX(分析データ!$A:$A,ROW()+$C$5)&lt;&gt;"",80000*SIGN(AT461)*(分析データ!B461-INDEX(分析データ!B:B,ROW()+$C$5)),""),"")</f>
        <v>-79999.999999991196</v>
      </c>
      <c r="AW461">
        <f t="shared" ca="1" si="197"/>
        <v>-7919999.9999999767</v>
      </c>
      <c r="AX461">
        <f t="shared" ca="1" si="198"/>
        <v>0</v>
      </c>
      <c r="AY461">
        <f t="shared" ca="1" si="199"/>
        <v>-7919999.9999999767</v>
      </c>
      <c r="AZ461">
        <f ca="1">IF(ROW()&lt;($C$7+1),"",IFERROR((分析データ!C461-AVERAGE(OFFSET(分析データ!C$1,MAX(1,ROW()-$C$7),0,MIN($C$7,ROW()-1),1)))/STDEV(OFFSET(分析データ!C$1,MAX(1,ROW()-$C$7),0,MIN($C$7,ROW()-1),1)),0))</f>
        <v>-1.8918462105712748</v>
      </c>
      <c r="BA461">
        <f t="shared" ca="1" si="200"/>
        <v>0</v>
      </c>
      <c r="BB461" t="str">
        <f ca="1">IF(BA461=1,IF(INDEX(分析データ!$A:$A,ROW()+$C$5)&lt;&gt;"",60000*SIGN(AZ461)*(分析データ!C461-INDEX(分析データ!C:C,ROW()+$C$5)),""),"")</f>
        <v/>
      </c>
      <c r="BC461">
        <f t="shared" ca="1" si="201"/>
        <v>705000.00000000629</v>
      </c>
      <c r="BD461">
        <f t="shared" ca="1" si="202"/>
        <v>705000.00000000629</v>
      </c>
      <c r="BE461">
        <f t="shared" ca="1" si="203"/>
        <v>0</v>
      </c>
      <c r="BF461">
        <f ca="1">IF(ROW()&lt;($C$7+1),"",IFERROR((分析データ!D461-AVERAGE(OFFSET(分析データ!D$1,MAX(1,ROW()-$C$7),0,MIN($C$7,ROW()-1),1)))/STDEV(OFFSET(分析データ!D$1,MAX(1,ROW()-$C$7),0,MIN($C$7,ROW()-1),1)),0))</f>
        <v>-1.1595555149899531E-2</v>
      </c>
      <c r="BG461">
        <f t="shared" ca="1" si="204"/>
        <v>0</v>
      </c>
      <c r="BH461" t="str">
        <f ca="1">IF(BG461=1,IF(INDEX(分析データ!$A:$A,ROW()+$C$5)&lt;&gt;"",50000*SIGN(BF461)*(分析データ!D461-INDEX(分析データ!D:D,ROW()+$C$5)),""),"")</f>
        <v/>
      </c>
      <c r="BI461">
        <f t="shared" ca="1" si="205"/>
        <v>-779999.99999999418</v>
      </c>
      <c r="BJ461">
        <f t="shared" ca="1" si="206"/>
        <v>1695000.0000000016</v>
      </c>
      <c r="BK461">
        <f t="shared" ca="1" si="207"/>
        <v>-2474999.9999999958</v>
      </c>
      <c r="BL461">
        <f ca="1">IF(ROW()&lt;($C$7+1),"",IFERROR((分析データ!E461-AVERAGE(OFFSET(分析データ!E$1,MAX(1,ROW()-$C$7),0,MIN($C$7,ROW()-1),1)))/STDEV(OFFSET(分析データ!E$1,MAX(1,ROW()-$C$7),0,MIN($C$7,ROW()-1),1)),0))</f>
        <v>0.78511044490398318</v>
      </c>
      <c r="BM461">
        <f t="shared" ca="1" si="208"/>
        <v>0</v>
      </c>
      <c r="BN461" t="str">
        <f ca="1">IF(BM461=1,IF(INDEX(分析データ!$A:$A,ROW()+$C$5)&lt;&gt;"",40000*SIGN(BL461)*(分析データ!E461-INDEX(分析データ!E:E,ROW()+$C$5)),""),"")</f>
        <v/>
      </c>
      <c r="BO461">
        <f t="shared" ca="1" si="209"/>
        <v>1320000.0000000075</v>
      </c>
      <c r="BP461">
        <f t="shared" ca="1" si="210"/>
        <v>1320000.0000000075</v>
      </c>
      <c r="BQ461">
        <f t="shared" ca="1" si="211"/>
        <v>0</v>
      </c>
      <c r="BR461">
        <f ca="1">IF(ROW()&lt;($C$7+1),"",IFERROR((分析データ!F461-AVERAGE(OFFSET(分析データ!F$1,MAX(1,ROW()-$C$7),0,MIN($C$7,ROW()-1),1)))/STDEV(OFFSET(分析データ!F$1,MAX(1,ROW()-$C$7),0,MIN($C$7,ROW()-1),1)),0))</f>
        <v>-0.414170037170141</v>
      </c>
      <c r="BS461">
        <f t="shared" ca="1" si="212"/>
        <v>0</v>
      </c>
      <c r="BT461" t="str">
        <f ca="1">IF(BS461=1,IF(INDEX(分析データ!$A:$A,ROW()+$C$5)&lt;&gt;"",40000*SIGN(BR461)*(分析データ!F461-INDEX(分析データ!F:F,ROW()+$C$5)),""),"")</f>
        <v/>
      </c>
      <c r="BU461">
        <f t="shared" ca="1" si="213"/>
        <v>583200.00000000163</v>
      </c>
      <c r="BV461">
        <f t="shared" ca="1" si="214"/>
        <v>583200.00000000163</v>
      </c>
      <c r="BW461">
        <f t="shared" ca="1" si="215"/>
        <v>0</v>
      </c>
      <c r="BX461">
        <f ca="1">IF(ROW()&lt;($C$7+1),"",IFERROR((分析データ!G461-AVERAGE(OFFSET(分析データ!G$1,MAX(1,ROW()-$C$7),0,MIN($C$7,ROW()-1),1)))/STDEV(OFFSET(分析データ!G$1,MAX(1,ROW()-$C$7),0,MIN($C$7,ROW()-1),1)),0))</f>
        <v>0.77125132188925893</v>
      </c>
      <c r="BY461">
        <f t="shared" ca="1" si="216"/>
        <v>0</v>
      </c>
      <c r="BZ461" t="str">
        <f ca="1">IF(BY461=1,IF(INDEX(分析データ!$A:$A,ROW()+$C$5)&lt;&gt;"",40000*SIGN(BX461)*(分析データ!G461-INDEX(分析データ!G:G,ROW()+$C$5)),""),"")</f>
        <v/>
      </c>
      <c r="CA461">
        <f t="shared" ca="1" si="217"/>
        <v>4220275.7177734375</v>
      </c>
      <c r="CB461">
        <f t="shared" ca="1" si="218"/>
        <v>4220275.7177734375</v>
      </c>
      <c r="CC461">
        <f t="shared" ca="1" si="219"/>
        <v>0</v>
      </c>
      <c r="CD461">
        <f t="shared" ca="1" si="220"/>
        <v>-79999.999999991196</v>
      </c>
      <c r="CE461">
        <f t="shared" ca="1" si="221"/>
        <v>-1871524.2822265145</v>
      </c>
      <c r="CF461">
        <f t="shared" ca="1" si="222"/>
        <v>6770475.7177734533</v>
      </c>
      <c r="CG461">
        <f t="shared" ca="1" si="223"/>
        <v>-8641999.9999999683</v>
      </c>
      <c r="CH461" s="10">
        <f>分析データ!A461</f>
        <v>45596</v>
      </c>
    </row>
    <row r="462" spans="46:86">
      <c r="AT462">
        <f ca="1">IF(ROW()&lt;($C$7+1),"",IFERROR((分析データ!B462-AVERAGE(OFFSET(分析データ!B$1,MAX(1,ROW()-$C$7),0,MIN($C$7,ROW()-1),1)))/STDEV(OFFSET(分析データ!B$1,MAX(1,ROW()-$C$7),0,MIN($C$7,ROW()-1),1)),0))</f>
        <v>2.9262012392364789</v>
      </c>
      <c r="AU462">
        <f t="shared" ca="1" si="196"/>
        <v>1</v>
      </c>
      <c r="AV462">
        <f ca="1">IF(AU462=1,IF(INDEX(分析データ!$A:$A,ROW()+$C$5)&lt;&gt;"",80000*SIGN(AT462)*(分析データ!B462-INDEX(分析データ!B:B,ROW()+$C$5)),""),"")</f>
        <v>79999.999999998297</v>
      </c>
      <c r="AW462">
        <f t="shared" ca="1" si="197"/>
        <v>-7839999.9999999786</v>
      </c>
      <c r="AX462">
        <f t="shared" ca="1" si="198"/>
        <v>0</v>
      </c>
      <c r="AY462">
        <f t="shared" ca="1" si="199"/>
        <v>-7839999.9999999786</v>
      </c>
      <c r="AZ462">
        <f ca="1">IF(ROW()&lt;($C$7+1),"",IFERROR((分析データ!C462-AVERAGE(OFFSET(分析データ!C$1,MAX(1,ROW()-$C$7),0,MIN($C$7,ROW()-1),1)))/STDEV(OFFSET(分析データ!C$1,MAX(1,ROW()-$C$7),0,MIN($C$7,ROW()-1),1)),0))</f>
        <v>-2.0286354947528342</v>
      </c>
      <c r="BA462">
        <f t="shared" ca="1" si="200"/>
        <v>1</v>
      </c>
      <c r="BB462">
        <f ca="1">IF(BA462=1,IF(INDEX(分析データ!$A:$A,ROW()+$C$5)&lt;&gt;"",60000*SIGN(AZ462)*(分析データ!C462-INDEX(分析データ!C:C,ROW()+$C$5)),""),"")</f>
        <v>288000.00000000023</v>
      </c>
      <c r="BC462">
        <f t="shared" ca="1" si="201"/>
        <v>993000.00000000652</v>
      </c>
      <c r="BD462">
        <f t="shared" ca="1" si="202"/>
        <v>993000.00000000652</v>
      </c>
      <c r="BE462">
        <f t="shared" ca="1" si="203"/>
        <v>0</v>
      </c>
      <c r="BF462">
        <f ca="1">IF(ROW()&lt;($C$7+1),"",IFERROR((分析データ!D462-AVERAGE(OFFSET(分析データ!D$1,MAX(1,ROW()-$C$7),0,MIN($C$7,ROW()-1),1)))/STDEV(OFFSET(分析データ!D$1,MAX(1,ROW()-$C$7),0,MIN($C$7,ROW()-1),1)),0))</f>
        <v>0.31282892004297613</v>
      </c>
      <c r="BG462">
        <f t="shared" ca="1" si="204"/>
        <v>0</v>
      </c>
      <c r="BH462" t="str">
        <f ca="1">IF(BG462=1,IF(INDEX(分析データ!$A:$A,ROW()+$C$5)&lt;&gt;"",50000*SIGN(BF462)*(分析データ!D462-INDEX(分析データ!D:D,ROW()+$C$5)),""),"")</f>
        <v/>
      </c>
      <c r="BI462">
        <f t="shared" ca="1" si="205"/>
        <v>-779999.99999999418</v>
      </c>
      <c r="BJ462">
        <f t="shared" ca="1" si="206"/>
        <v>1695000.0000000016</v>
      </c>
      <c r="BK462">
        <f t="shared" ca="1" si="207"/>
        <v>-2474999.9999999958</v>
      </c>
      <c r="BL462">
        <f ca="1">IF(ROW()&lt;($C$7+1),"",IFERROR((分析データ!E462-AVERAGE(OFFSET(分析データ!E$1,MAX(1,ROW()-$C$7),0,MIN($C$7,ROW()-1),1)))/STDEV(OFFSET(分析データ!E$1,MAX(1,ROW()-$C$7),0,MIN($C$7,ROW()-1),1)),0))</f>
        <v>1.0127156284993484</v>
      </c>
      <c r="BM462">
        <f t="shared" ca="1" si="208"/>
        <v>0</v>
      </c>
      <c r="BN462" t="str">
        <f ca="1">IF(BM462=1,IF(INDEX(分析データ!$A:$A,ROW()+$C$5)&lt;&gt;"",40000*SIGN(BL462)*(分析データ!E462-INDEX(分析データ!E:E,ROW()+$C$5)),""),"")</f>
        <v/>
      </c>
      <c r="BO462">
        <f t="shared" ca="1" si="209"/>
        <v>1320000.0000000075</v>
      </c>
      <c r="BP462">
        <f t="shared" ca="1" si="210"/>
        <v>1320000.0000000075</v>
      </c>
      <c r="BQ462">
        <f t="shared" ca="1" si="211"/>
        <v>0</v>
      </c>
      <c r="BR462">
        <f ca="1">IF(ROW()&lt;($C$7+1),"",IFERROR((分析データ!F462-AVERAGE(OFFSET(分析データ!F$1,MAX(1,ROW()-$C$7),0,MIN($C$7,ROW()-1),1)))/STDEV(OFFSET(分析データ!F$1,MAX(1,ROW()-$C$7),0,MIN($C$7,ROW()-1),1)),0))</f>
        <v>-1.5244898465677605</v>
      </c>
      <c r="BS462">
        <f t="shared" ca="1" si="212"/>
        <v>0</v>
      </c>
      <c r="BT462" t="str">
        <f ca="1">IF(BS462=1,IF(INDEX(分析データ!$A:$A,ROW()+$C$5)&lt;&gt;"",40000*SIGN(BR462)*(分析データ!F462-INDEX(分析データ!F:F,ROW()+$C$5)),""),"")</f>
        <v/>
      </c>
      <c r="BU462">
        <f t="shared" ca="1" si="213"/>
        <v>583200.00000000163</v>
      </c>
      <c r="BV462">
        <f t="shared" ca="1" si="214"/>
        <v>583200.00000000163</v>
      </c>
      <c r="BW462">
        <f t="shared" ca="1" si="215"/>
        <v>0</v>
      </c>
      <c r="BX462">
        <f ca="1">IF(ROW()&lt;($C$7+1),"",IFERROR((分析データ!G462-AVERAGE(OFFSET(分析データ!G$1,MAX(1,ROW()-$C$7),0,MIN($C$7,ROW()-1),1)))/STDEV(OFFSET(分析データ!G$1,MAX(1,ROW()-$C$7),0,MIN($C$7,ROW()-1),1)),0))</f>
        <v>1.0727789714715836</v>
      </c>
      <c r="BY462">
        <f t="shared" ca="1" si="216"/>
        <v>0</v>
      </c>
      <c r="BZ462" t="str">
        <f ca="1">IF(BY462=1,IF(INDEX(分析データ!$A:$A,ROW()+$C$5)&lt;&gt;"",40000*SIGN(BX462)*(分析データ!G462-INDEX(分析データ!G:G,ROW()+$C$5)),""),"")</f>
        <v/>
      </c>
      <c r="CA462">
        <f t="shared" ca="1" si="217"/>
        <v>4220275.7177734375</v>
      </c>
      <c r="CB462">
        <f t="shared" ca="1" si="218"/>
        <v>4220275.7177734375</v>
      </c>
      <c r="CC462">
        <f t="shared" ca="1" si="219"/>
        <v>0</v>
      </c>
      <c r="CD462">
        <f t="shared" ca="1" si="220"/>
        <v>367999.99999999854</v>
      </c>
      <c r="CE462">
        <f t="shared" ca="1" si="221"/>
        <v>-1503524.2822265159</v>
      </c>
      <c r="CF462">
        <f t="shared" ca="1" si="222"/>
        <v>6770475.7177734533</v>
      </c>
      <c r="CG462">
        <f t="shared" ca="1" si="223"/>
        <v>-8273999.9999999693</v>
      </c>
      <c r="CH462" s="10">
        <f>分析データ!A462</f>
        <v>45597</v>
      </c>
    </row>
    <row r="463" spans="46:86">
      <c r="AT463">
        <f ca="1">IF(ROW()&lt;($C$7+1),"",IFERROR((分析データ!B463-AVERAGE(OFFSET(分析データ!B$1,MAX(1,ROW()-$C$7),0,MIN($C$7,ROW()-1),1)))/STDEV(OFFSET(分析データ!B$1,MAX(1,ROW()-$C$7),0,MIN($C$7,ROW()-1),1)),0))</f>
        <v>2.8007547157685595</v>
      </c>
      <c r="AU463">
        <f t="shared" ca="1" si="196"/>
        <v>1</v>
      </c>
      <c r="AV463">
        <f ca="1">IF(AU463=1,IF(INDEX(分析データ!$A:$A,ROW()+$C$5)&lt;&gt;"",80000*SIGN(AT463)*(分析データ!B463-INDEX(分析データ!B:B,ROW()+$C$5)),""),"")</f>
        <v>39999.999999999149</v>
      </c>
      <c r="AW463">
        <f t="shared" ca="1" si="197"/>
        <v>-7799999.9999999795</v>
      </c>
      <c r="AX463">
        <f t="shared" ca="1" si="198"/>
        <v>0</v>
      </c>
      <c r="AY463">
        <f t="shared" ca="1" si="199"/>
        <v>-7799999.9999999795</v>
      </c>
      <c r="AZ463">
        <f ca="1">IF(ROW()&lt;($C$7+1),"",IFERROR((分析データ!C463-AVERAGE(OFFSET(分析データ!C$1,MAX(1,ROW()-$C$7),0,MIN($C$7,ROW()-1),1)))/STDEV(OFFSET(分析データ!C$1,MAX(1,ROW()-$C$7),0,MIN($C$7,ROW()-1),1)),0))</f>
        <v>-2.0182451233309071</v>
      </c>
      <c r="BA463">
        <f t="shared" ca="1" si="200"/>
        <v>1</v>
      </c>
      <c r="BB463">
        <f ca="1">IF(BA463=1,IF(INDEX(分析データ!$A:$A,ROW()+$C$5)&lt;&gt;"",60000*SIGN(AZ463)*(分析データ!C463-INDEX(分析データ!C:C,ROW()+$C$5)),""),"")</f>
        <v>294000.00000000076</v>
      </c>
      <c r="BC463">
        <f t="shared" ca="1" si="201"/>
        <v>1287000.0000000072</v>
      </c>
      <c r="BD463">
        <f t="shared" ca="1" si="202"/>
        <v>1287000.0000000072</v>
      </c>
      <c r="BE463">
        <f t="shared" ca="1" si="203"/>
        <v>0</v>
      </c>
      <c r="BF463">
        <f ca="1">IF(ROW()&lt;($C$7+1),"",IFERROR((分析データ!D463-AVERAGE(OFFSET(分析データ!D$1,MAX(1,ROW()-$C$7),0,MIN($C$7,ROW()-1),1)))/STDEV(OFFSET(分析データ!D$1,MAX(1,ROW()-$C$7),0,MIN($C$7,ROW()-1),1)),0))</f>
        <v>9.6386799401239079E-2</v>
      </c>
      <c r="BG463">
        <f t="shared" ca="1" si="204"/>
        <v>0</v>
      </c>
      <c r="BH463" t="str">
        <f ca="1">IF(BG463=1,IF(INDEX(分析データ!$A:$A,ROW()+$C$5)&lt;&gt;"",50000*SIGN(BF463)*(分析データ!D463-INDEX(分析データ!D:D,ROW()+$C$5)),""),"")</f>
        <v/>
      </c>
      <c r="BI463">
        <f t="shared" ca="1" si="205"/>
        <v>-779999.99999999418</v>
      </c>
      <c r="BJ463">
        <f t="shared" ca="1" si="206"/>
        <v>1695000.0000000016</v>
      </c>
      <c r="BK463">
        <f t="shared" ca="1" si="207"/>
        <v>-2474999.9999999958</v>
      </c>
      <c r="BL463">
        <f ca="1">IF(ROW()&lt;($C$7+1),"",IFERROR((分析データ!E463-AVERAGE(OFFSET(分析データ!E$1,MAX(1,ROW()-$C$7),0,MIN($C$7,ROW()-1),1)))/STDEV(OFFSET(分析データ!E$1,MAX(1,ROW()-$C$7),0,MIN($C$7,ROW()-1),1)),0))</f>
        <v>0.89307358015463123</v>
      </c>
      <c r="BM463">
        <f t="shared" ca="1" si="208"/>
        <v>0</v>
      </c>
      <c r="BN463" t="str">
        <f ca="1">IF(BM463=1,IF(INDEX(分析データ!$A:$A,ROW()+$C$5)&lt;&gt;"",40000*SIGN(BL463)*(分析データ!E463-INDEX(分析データ!E:E,ROW()+$C$5)),""),"")</f>
        <v/>
      </c>
      <c r="BO463">
        <f t="shared" ca="1" si="209"/>
        <v>1320000.0000000075</v>
      </c>
      <c r="BP463">
        <f t="shared" ca="1" si="210"/>
        <v>1320000.0000000075</v>
      </c>
      <c r="BQ463">
        <f t="shared" ca="1" si="211"/>
        <v>0</v>
      </c>
      <c r="BR463">
        <f ca="1">IF(ROW()&lt;($C$7+1),"",IFERROR((分析データ!F463-AVERAGE(OFFSET(分析データ!F$1,MAX(1,ROW()-$C$7),0,MIN($C$7,ROW()-1),1)))/STDEV(OFFSET(分析データ!F$1,MAX(1,ROW()-$C$7),0,MIN($C$7,ROW()-1),1)),0))</f>
        <v>-0.64545757850625152</v>
      </c>
      <c r="BS463">
        <f t="shared" ca="1" si="212"/>
        <v>0</v>
      </c>
      <c r="BT463" t="str">
        <f ca="1">IF(BS463=1,IF(INDEX(分析データ!$A:$A,ROW()+$C$5)&lt;&gt;"",40000*SIGN(BR463)*(分析データ!F463-INDEX(分析データ!F:F,ROW()+$C$5)),""),"")</f>
        <v/>
      </c>
      <c r="BU463">
        <f t="shared" ca="1" si="213"/>
        <v>583200.00000000163</v>
      </c>
      <c r="BV463">
        <f t="shared" ca="1" si="214"/>
        <v>583200.00000000163</v>
      </c>
      <c r="BW463">
        <f t="shared" ca="1" si="215"/>
        <v>0</v>
      </c>
      <c r="BX463">
        <f ca="1">IF(ROW()&lt;($C$7+1),"",IFERROR((分析データ!G463-AVERAGE(OFFSET(分析データ!G$1,MAX(1,ROW()-$C$7),0,MIN($C$7,ROW()-1),1)))/STDEV(OFFSET(分析データ!G$1,MAX(1,ROW()-$C$7),0,MIN($C$7,ROW()-1),1)),0))</f>
        <v>0.64732418779878431</v>
      </c>
      <c r="BY463">
        <f t="shared" ca="1" si="216"/>
        <v>0</v>
      </c>
      <c r="BZ463" t="str">
        <f ca="1">IF(BY463=1,IF(INDEX(分析データ!$A:$A,ROW()+$C$5)&lt;&gt;"",40000*SIGN(BX463)*(分析データ!G463-INDEX(分析データ!G:G,ROW()+$C$5)),""),"")</f>
        <v/>
      </c>
      <c r="CA463">
        <f t="shared" ca="1" si="217"/>
        <v>4220275.7177734375</v>
      </c>
      <c r="CB463">
        <f t="shared" ca="1" si="218"/>
        <v>4220275.7177734375</v>
      </c>
      <c r="CC463">
        <f t="shared" ca="1" si="219"/>
        <v>0</v>
      </c>
      <c r="CD463">
        <f t="shared" ca="1" si="220"/>
        <v>333999.99999999988</v>
      </c>
      <c r="CE463">
        <f t="shared" ca="1" si="221"/>
        <v>-1169524.2822265159</v>
      </c>
      <c r="CF463">
        <f t="shared" ca="1" si="222"/>
        <v>6770475.7177734533</v>
      </c>
      <c r="CG463">
        <f t="shared" ca="1" si="223"/>
        <v>-7939999.9999999693</v>
      </c>
      <c r="CH463" s="10">
        <f>分析データ!A463</f>
        <v>45600</v>
      </c>
    </row>
    <row r="464" spans="46:86">
      <c r="AT464">
        <f ca="1">IF(ROW()&lt;($C$7+1),"",IFERROR((分析データ!B464-AVERAGE(OFFSET(分析データ!B$1,MAX(1,ROW()-$C$7),0,MIN($C$7,ROW()-1),1)))/STDEV(OFFSET(分析データ!B$1,MAX(1,ROW()-$C$7),0,MIN($C$7,ROW()-1),1)),0))</f>
        <v>2.3350373379901246</v>
      </c>
      <c r="AU464">
        <f t="shared" ca="1" si="196"/>
        <v>1</v>
      </c>
      <c r="AV464">
        <f ca="1">IF(AU464=1,IF(INDEX(分析データ!$A:$A,ROW()+$C$5)&lt;&gt;"",80000*SIGN(AT464)*(分析データ!B464-INDEX(分析データ!B:B,ROW()+$C$5)),""),"")</f>
        <v>-120000.00000001166</v>
      </c>
      <c r="AW464">
        <f t="shared" ca="1" si="197"/>
        <v>-7919999.9999999916</v>
      </c>
      <c r="AX464">
        <f t="shared" ca="1" si="198"/>
        <v>0</v>
      </c>
      <c r="AY464">
        <f t="shared" ca="1" si="199"/>
        <v>-7919999.9999999916</v>
      </c>
      <c r="AZ464">
        <f ca="1">IF(ROW()&lt;($C$7+1),"",IFERROR((分析データ!C464-AVERAGE(OFFSET(分析データ!C$1,MAX(1,ROW()-$C$7),0,MIN($C$7,ROW()-1),1)))/STDEV(OFFSET(分析データ!C$1,MAX(1,ROW()-$C$7),0,MIN($C$7,ROW()-1),1)),0))</f>
        <v>-2.0745174136591809</v>
      </c>
      <c r="BA464">
        <f t="shared" ca="1" si="200"/>
        <v>1</v>
      </c>
      <c r="BB464">
        <f ca="1">IF(BA464=1,IF(INDEX(分析データ!$A:$A,ROW()+$C$5)&lt;&gt;"",60000*SIGN(AZ464)*(分析データ!C464-INDEX(分析データ!C:C,ROW()+$C$5)),""),"")</f>
        <v>315000</v>
      </c>
      <c r="BC464">
        <f t="shared" ca="1" si="201"/>
        <v>1602000.0000000072</v>
      </c>
      <c r="BD464">
        <f t="shared" ca="1" si="202"/>
        <v>1602000.0000000072</v>
      </c>
      <c r="BE464">
        <f t="shared" ca="1" si="203"/>
        <v>0</v>
      </c>
      <c r="BF464">
        <f ca="1">IF(ROW()&lt;($C$7+1),"",IFERROR((分析データ!D464-AVERAGE(OFFSET(分析データ!D$1,MAX(1,ROW()-$C$7),0,MIN($C$7,ROW()-1),1)))/STDEV(OFFSET(分析データ!D$1,MAX(1,ROW()-$C$7),0,MIN($C$7,ROW()-1),1)),0))</f>
        <v>-5.5046919536734268E-2</v>
      </c>
      <c r="BG464">
        <f t="shared" ca="1" si="204"/>
        <v>0</v>
      </c>
      <c r="BH464" t="str">
        <f ca="1">IF(BG464=1,IF(INDEX(分析データ!$A:$A,ROW()+$C$5)&lt;&gt;"",50000*SIGN(BF464)*(分析データ!D464-INDEX(分析データ!D:D,ROW()+$C$5)),""),"")</f>
        <v/>
      </c>
      <c r="BI464">
        <f t="shared" ca="1" si="205"/>
        <v>-779999.99999999418</v>
      </c>
      <c r="BJ464">
        <f t="shared" ca="1" si="206"/>
        <v>1695000.0000000016</v>
      </c>
      <c r="BK464">
        <f t="shared" ca="1" si="207"/>
        <v>-2474999.9999999958</v>
      </c>
      <c r="BL464">
        <f ca="1">IF(ROW()&lt;($C$7+1),"",IFERROR((分析データ!E464-AVERAGE(OFFSET(分析データ!E$1,MAX(1,ROW()-$C$7),0,MIN($C$7,ROW()-1),1)))/STDEV(OFFSET(分析データ!E$1,MAX(1,ROW()-$C$7),0,MIN($C$7,ROW()-1),1)),0))</f>
        <v>0.4232456246973948</v>
      </c>
      <c r="BM464">
        <f t="shared" ca="1" si="208"/>
        <v>0</v>
      </c>
      <c r="BN464" t="str">
        <f ca="1">IF(BM464=1,IF(INDEX(分析データ!$A:$A,ROW()+$C$5)&lt;&gt;"",40000*SIGN(BL464)*(分析データ!E464-INDEX(分析データ!E:E,ROW()+$C$5)),""),"")</f>
        <v/>
      </c>
      <c r="BO464">
        <f t="shared" ca="1" si="209"/>
        <v>1320000.0000000075</v>
      </c>
      <c r="BP464">
        <f t="shared" ca="1" si="210"/>
        <v>1320000.0000000075</v>
      </c>
      <c r="BQ464">
        <f t="shared" ca="1" si="211"/>
        <v>0</v>
      </c>
      <c r="BR464">
        <f ca="1">IF(ROW()&lt;($C$7+1),"",IFERROR((分析データ!F464-AVERAGE(OFFSET(分析データ!F$1,MAX(1,ROW()-$C$7),0,MIN($C$7,ROW()-1),1)))/STDEV(OFFSET(分析データ!F$1,MAX(1,ROW()-$C$7),0,MIN($C$7,ROW()-1),1)),0))</f>
        <v>-0.67183001396872222</v>
      </c>
      <c r="BS464">
        <f t="shared" ca="1" si="212"/>
        <v>0</v>
      </c>
      <c r="BT464" t="str">
        <f ca="1">IF(BS464=1,IF(INDEX(分析データ!$A:$A,ROW()+$C$5)&lt;&gt;"",40000*SIGN(BR464)*(分析データ!F464-INDEX(分析データ!F:F,ROW()+$C$5)),""),"")</f>
        <v/>
      </c>
      <c r="BU464">
        <f t="shared" ca="1" si="213"/>
        <v>583200.00000000163</v>
      </c>
      <c r="BV464">
        <f t="shared" ca="1" si="214"/>
        <v>583200.00000000163</v>
      </c>
      <c r="BW464">
        <f t="shared" ca="1" si="215"/>
        <v>0</v>
      </c>
      <c r="BX464">
        <f ca="1">IF(ROW()&lt;($C$7+1),"",IFERROR((分析データ!G464-AVERAGE(OFFSET(分析データ!G$1,MAX(1,ROW()-$C$7),0,MIN($C$7,ROW()-1),1)))/STDEV(OFFSET(分析データ!G$1,MAX(1,ROW()-$C$7),0,MIN($C$7,ROW()-1),1)),0))</f>
        <v>0.57847197691089081</v>
      </c>
      <c r="BY464">
        <f t="shared" ca="1" si="216"/>
        <v>0</v>
      </c>
      <c r="BZ464" t="str">
        <f ca="1">IF(BY464=1,IF(INDEX(分析データ!$A:$A,ROW()+$C$5)&lt;&gt;"",40000*SIGN(BX464)*(分析データ!G464-INDEX(分析データ!G:G,ROW()+$C$5)),""),"")</f>
        <v/>
      </c>
      <c r="CA464">
        <f t="shared" ca="1" si="217"/>
        <v>4220275.7177734375</v>
      </c>
      <c r="CB464">
        <f t="shared" ca="1" si="218"/>
        <v>4220275.7177734375</v>
      </c>
      <c r="CC464">
        <f t="shared" ca="1" si="219"/>
        <v>0</v>
      </c>
      <c r="CD464">
        <f t="shared" ca="1" si="220"/>
        <v>194999.99999998836</v>
      </c>
      <c r="CE464">
        <f t="shared" ca="1" si="221"/>
        <v>-974524.28222652758</v>
      </c>
      <c r="CF464">
        <f t="shared" ca="1" si="222"/>
        <v>6770475.7177734533</v>
      </c>
      <c r="CG464">
        <f t="shared" ca="1" si="223"/>
        <v>-7744999.9999999814</v>
      </c>
      <c r="CH464" s="10">
        <f>分析データ!A464</f>
        <v>45601</v>
      </c>
    </row>
    <row r="465" spans="46:86">
      <c r="AT465">
        <f ca="1">IF(ROW()&lt;($C$7+1),"",IFERROR((分析データ!B465-AVERAGE(OFFSET(分析データ!B$1,MAX(1,ROW()-$C$7),0,MIN($C$7,ROW()-1),1)))/STDEV(OFFSET(分析データ!B$1,MAX(1,ROW()-$C$7),0,MIN($C$7,ROW()-1),1)),0))</f>
        <v>2.8429881479291774</v>
      </c>
      <c r="AU465">
        <f t="shared" ca="1" si="196"/>
        <v>1</v>
      </c>
      <c r="AV465">
        <f ca="1">IF(AU465=1,IF(INDEX(分析データ!$A:$A,ROW()+$C$5)&lt;&gt;"",80000*SIGN(AT465)*(分析データ!B465-INDEX(分析データ!B:B,ROW()+$C$5)),""),"")</f>
        <v>240000.00000000198</v>
      </c>
      <c r="AW465">
        <f t="shared" ca="1" si="197"/>
        <v>-7679999.9999999898</v>
      </c>
      <c r="AX465">
        <f t="shared" ca="1" si="198"/>
        <v>0</v>
      </c>
      <c r="AY465">
        <f t="shared" ca="1" si="199"/>
        <v>-7679999.9999999898</v>
      </c>
      <c r="AZ465">
        <f ca="1">IF(ROW()&lt;($C$7+1),"",IFERROR((分析データ!C465-AVERAGE(OFFSET(分析データ!C$1,MAX(1,ROW()-$C$7),0,MIN($C$7,ROW()-1),1)))/STDEV(OFFSET(分析データ!C$1,MAX(1,ROW()-$C$7),0,MIN($C$7,ROW()-1),1)),0))</f>
        <v>-1.6435938457170889</v>
      </c>
      <c r="BA465">
        <f t="shared" ca="1" si="200"/>
        <v>0</v>
      </c>
      <c r="BB465" t="str">
        <f ca="1">IF(BA465=1,IF(INDEX(分析データ!$A:$A,ROW()+$C$5)&lt;&gt;"",60000*SIGN(AZ465)*(分析データ!C465-INDEX(分析データ!C:C,ROW()+$C$5)),""),"")</f>
        <v/>
      </c>
      <c r="BC465">
        <f t="shared" ca="1" si="201"/>
        <v>1602000.0000000072</v>
      </c>
      <c r="BD465">
        <f t="shared" ca="1" si="202"/>
        <v>1602000.0000000072</v>
      </c>
      <c r="BE465">
        <f t="shared" ca="1" si="203"/>
        <v>0</v>
      </c>
      <c r="BF465">
        <f ca="1">IF(ROW()&lt;($C$7+1),"",IFERROR((分析データ!D465-AVERAGE(OFFSET(分析データ!D$1,MAX(1,ROW()-$C$7),0,MIN($C$7,ROW()-1),1)))/STDEV(OFFSET(分析データ!D$1,MAX(1,ROW()-$C$7),0,MIN($C$7,ROW()-1),1)),0))</f>
        <v>0.3679045614322925</v>
      </c>
      <c r="BG465">
        <f t="shared" ca="1" si="204"/>
        <v>0</v>
      </c>
      <c r="BH465" t="str">
        <f ca="1">IF(BG465=1,IF(INDEX(分析データ!$A:$A,ROW()+$C$5)&lt;&gt;"",50000*SIGN(BF465)*(分析データ!D465-INDEX(分析データ!D:D,ROW()+$C$5)),""),"")</f>
        <v/>
      </c>
      <c r="BI465">
        <f t="shared" ca="1" si="205"/>
        <v>-779999.99999999418</v>
      </c>
      <c r="BJ465">
        <f t="shared" ca="1" si="206"/>
        <v>1695000.0000000016</v>
      </c>
      <c r="BK465">
        <f t="shared" ca="1" si="207"/>
        <v>-2474999.9999999958</v>
      </c>
      <c r="BL465">
        <f ca="1">IF(ROW()&lt;($C$7+1),"",IFERROR((分析データ!E465-AVERAGE(OFFSET(分析データ!E$1,MAX(1,ROW()-$C$7),0,MIN($C$7,ROW()-1),1)))/STDEV(OFFSET(分析データ!E$1,MAX(1,ROW()-$C$7),0,MIN($C$7,ROW()-1),1)),0))</f>
        <v>1.0008988059311974</v>
      </c>
      <c r="BM465">
        <f t="shared" ca="1" si="208"/>
        <v>0</v>
      </c>
      <c r="BN465" t="str">
        <f ca="1">IF(BM465=1,IF(INDEX(分析データ!$A:$A,ROW()+$C$5)&lt;&gt;"",40000*SIGN(BL465)*(分析データ!E465-INDEX(分析データ!E:E,ROW()+$C$5)),""),"")</f>
        <v/>
      </c>
      <c r="BO465">
        <f t="shared" ca="1" si="209"/>
        <v>1320000.0000000075</v>
      </c>
      <c r="BP465">
        <f t="shared" ca="1" si="210"/>
        <v>1320000.0000000075</v>
      </c>
      <c r="BQ465">
        <f t="shared" ca="1" si="211"/>
        <v>0</v>
      </c>
      <c r="BR465">
        <f ca="1">IF(ROW()&lt;($C$7+1),"",IFERROR((分析データ!F465-AVERAGE(OFFSET(分析データ!F$1,MAX(1,ROW()-$C$7),0,MIN($C$7,ROW()-1),1)))/STDEV(OFFSET(分析データ!F$1,MAX(1,ROW()-$C$7),0,MIN($C$7,ROW()-1),1)),0))</f>
        <v>-1.2504304225176923</v>
      </c>
      <c r="BS465">
        <f t="shared" ca="1" si="212"/>
        <v>0</v>
      </c>
      <c r="BT465" t="str">
        <f ca="1">IF(BS465=1,IF(INDEX(分析データ!$A:$A,ROW()+$C$5)&lt;&gt;"",40000*SIGN(BR465)*(分析データ!F465-INDEX(分析データ!F:F,ROW()+$C$5)),""),"")</f>
        <v/>
      </c>
      <c r="BU465">
        <f t="shared" ca="1" si="213"/>
        <v>583200.00000000163</v>
      </c>
      <c r="BV465">
        <f t="shared" ca="1" si="214"/>
        <v>583200.00000000163</v>
      </c>
      <c r="BW465">
        <f t="shared" ca="1" si="215"/>
        <v>0</v>
      </c>
      <c r="BX465">
        <f ca="1">IF(ROW()&lt;($C$7+1),"",IFERROR((分析データ!G465-AVERAGE(OFFSET(分析データ!G$1,MAX(1,ROW()-$C$7),0,MIN($C$7,ROW()-1),1)))/STDEV(OFFSET(分析データ!G$1,MAX(1,ROW()-$C$7),0,MIN($C$7,ROW()-1),1)),0))</f>
        <v>0.85484814356429684</v>
      </c>
      <c r="BY465">
        <f t="shared" ca="1" si="216"/>
        <v>0</v>
      </c>
      <c r="BZ465" t="str">
        <f ca="1">IF(BY465=1,IF(INDEX(分析データ!$A:$A,ROW()+$C$5)&lt;&gt;"",40000*SIGN(BX465)*(分析データ!G465-INDEX(分析データ!G:G,ROW()+$C$5)),""),"")</f>
        <v/>
      </c>
      <c r="CA465">
        <f t="shared" ca="1" si="217"/>
        <v>4220275.7177734375</v>
      </c>
      <c r="CB465">
        <f t="shared" ca="1" si="218"/>
        <v>4220275.7177734375</v>
      </c>
      <c r="CC465">
        <f t="shared" ca="1" si="219"/>
        <v>0</v>
      </c>
      <c r="CD465">
        <f t="shared" ca="1" si="220"/>
        <v>240000.00000000198</v>
      </c>
      <c r="CE465">
        <f t="shared" ca="1" si="221"/>
        <v>-734524.2822265256</v>
      </c>
      <c r="CF465">
        <f t="shared" ca="1" si="222"/>
        <v>6770475.7177734533</v>
      </c>
      <c r="CG465">
        <f t="shared" ca="1" si="223"/>
        <v>-7504999.9999999786</v>
      </c>
      <c r="CH465" s="10">
        <f>分析データ!A465</f>
        <v>45602</v>
      </c>
    </row>
    <row r="466" spans="46:86">
      <c r="AT466">
        <f ca="1">IF(ROW()&lt;($C$7+1),"",IFERROR((分析データ!B466-AVERAGE(OFFSET(分析データ!B$1,MAX(1,ROW()-$C$7),0,MIN($C$7,ROW()-1),1)))/STDEV(OFFSET(分析データ!B$1,MAX(1,ROW()-$C$7),0,MIN($C$7,ROW()-1),1)),0))</f>
        <v>2.2531107155127899</v>
      </c>
      <c r="AU466">
        <f t="shared" ca="1" si="196"/>
        <v>1</v>
      </c>
      <c r="AV466">
        <f ca="1">IF(AU466=1,IF(INDEX(分析データ!$A:$A,ROW()+$C$5)&lt;&gt;"",80000*SIGN(AT466)*(分析データ!B466-INDEX(分析データ!B:B,ROW()+$C$5)),""),"")</f>
        <v>159999.99999998949</v>
      </c>
      <c r="AW466">
        <f t="shared" ca="1" si="197"/>
        <v>-7520000</v>
      </c>
      <c r="AX466">
        <f t="shared" ca="1" si="198"/>
        <v>0</v>
      </c>
      <c r="AY466">
        <f t="shared" ca="1" si="199"/>
        <v>-7520000</v>
      </c>
      <c r="AZ466">
        <f ca="1">IF(ROW()&lt;($C$7+1),"",IFERROR((分析データ!C466-AVERAGE(OFFSET(分析データ!C$1,MAX(1,ROW()-$C$7),0,MIN($C$7,ROW()-1),1)))/STDEV(OFFSET(分析データ!C$1,MAX(1,ROW()-$C$7),0,MIN($C$7,ROW()-1),1)),0))</f>
        <v>-1.598316338059165</v>
      </c>
      <c r="BA466">
        <f t="shared" ca="1" si="200"/>
        <v>0</v>
      </c>
      <c r="BB466" t="str">
        <f ca="1">IF(BA466=1,IF(INDEX(分析データ!$A:$A,ROW()+$C$5)&lt;&gt;"",60000*SIGN(AZ466)*(分析データ!C466-INDEX(分析データ!C:C,ROW()+$C$5)),""),"")</f>
        <v/>
      </c>
      <c r="BC466">
        <f t="shared" ca="1" si="201"/>
        <v>1602000.0000000072</v>
      </c>
      <c r="BD466">
        <f t="shared" ca="1" si="202"/>
        <v>1602000.0000000072</v>
      </c>
      <c r="BE466">
        <f t="shared" ca="1" si="203"/>
        <v>0</v>
      </c>
      <c r="BF466">
        <f ca="1">IF(ROW()&lt;($C$7+1),"",IFERROR((分析データ!D466-AVERAGE(OFFSET(分析データ!D$1,MAX(1,ROW()-$C$7),0,MIN($C$7,ROW()-1),1)))/STDEV(OFFSET(分析データ!D$1,MAX(1,ROW()-$C$7),0,MIN($C$7,ROW()-1),1)),0))</f>
        <v>-0.12832624011094962</v>
      </c>
      <c r="BG466">
        <f t="shared" ca="1" si="204"/>
        <v>0</v>
      </c>
      <c r="BH466" t="str">
        <f ca="1">IF(BG466=1,IF(INDEX(分析データ!$A:$A,ROW()+$C$5)&lt;&gt;"",50000*SIGN(BF466)*(分析データ!D466-INDEX(分析データ!D:D,ROW()+$C$5)),""),"")</f>
        <v/>
      </c>
      <c r="BI466">
        <f t="shared" ca="1" si="205"/>
        <v>-779999.99999999418</v>
      </c>
      <c r="BJ466">
        <f t="shared" ca="1" si="206"/>
        <v>1695000.0000000016</v>
      </c>
      <c r="BK466">
        <f t="shared" ca="1" si="207"/>
        <v>-2474999.9999999958</v>
      </c>
      <c r="BL466">
        <f ca="1">IF(ROW()&lt;($C$7+1),"",IFERROR((分析データ!E466-AVERAGE(OFFSET(分析データ!E$1,MAX(1,ROW()-$C$7),0,MIN($C$7,ROW()-1),1)))/STDEV(OFFSET(分析データ!E$1,MAX(1,ROW()-$C$7),0,MIN($C$7,ROW()-1),1)),0))</f>
        <v>0.87996921214117352</v>
      </c>
      <c r="BM466">
        <f t="shared" ca="1" si="208"/>
        <v>0</v>
      </c>
      <c r="BN466" t="str">
        <f ca="1">IF(BM466=1,IF(INDEX(分析データ!$A:$A,ROW()+$C$5)&lt;&gt;"",40000*SIGN(BL466)*(分析データ!E466-INDEX(分析データ!E:E,ROW()+$C$5)),""),"")</f>
        <v/>
      </c>
      <c r="BO466">
        <f t="shared" ca="1" si="209"/>
        <v>1320000.0000000075</v>
      </c>
      <c r="BP466">
        <f t="shared" ca="1" si="210"/>
        <v>1320000.0000000075</v>
      </c>
      <c r="BQ466">
        <f t="shared" ca="1" si="211"/>
        <v>0</v>
      </c>
      <c r="BR466">
        <f ca="1">IF(ROW()&lt;($C$7+1),"",IFERROR((分析データ!F466-AVERAGE(OFFSET(分析データ!F$1,MAX(1,ROW()-$C$7),0,MIN($C$7,ROW()-1),1)))/STDEV(OFFSET(分析データ!F$1,MAX(1,ROW()-$C$7),0,MIN($C$7,ROW()-1),1)),0))</f>
        <v>-0.18508262866293196</v>
      </c>
      <c r="BS466">
        <f t="shared" ca="1" si="212"/>
        <v>0</v>
      </c>
      <c r="BT466" t="str">
        <f ca="1">IF(BS466=1,IF(INDEX(分析データ!$A:$A,ROW()+$C$5)&lt;&gt;"",40000*SIGN(BR466)*(分析データ!F466-INDEX(分析データ!F:F,ROW()+$C$5)),""),"")</f>
        <v/>
      </c>
      <c r="BU466">
        <f t="shared" ca="1" si="213"/>
        <v>583200.00000000163</v>
      </c>
      <c r="BV466">
        <f t="shared" ca="1" si="214"/>
        <v>583200.00000000163</v>
      </c>
      <c r="BW466">
        <f t="shared" ca="1" si="215"/>
        <v>0</v>
      </c>
      <c r="BX466">
        <f ca="1">IF(ROW()&lt;($C$7+1),"",IFERROR((分析データ!G466-AVERAGE(OFFSET(分析データ!G$1,MAX(1,ROW()-$C$7),0,MIN($C$7,ROW()-1),1)))/STDEV(OFFSET(分析データ!G$1,MAX(1,ROW()-$C$7),0,MIN($C$7,ROW()-1),1)),0))</f>
        <v>0.60142442593207812</v>
      </c>
      <c r="BY466">
        <f t="shared" ca="1" si="216"/>
        <v>0</v>
      </c>
      <c r="BZ466" t="str">
        <f ca="1">IF(BY466=1,IF(INDEX(分析データ!$A:$A,ROW()+$C$5)&lt;&gt;"",40000*SIGN(BX466)*(分析データ!G466-INDEX(分析データ!G:G,ROW()+$C$5)),""),"")</f>
        <v/>
      </c>
      <c r="CA466">
        <f t="shared" ca="1" si="217"/>
        <v>4220275.7177734375</v>
      </c>
      <c r="CB466">
        <f t="shared" ca="1" si="218"/>
        <v>4220275.7177734375</v>
      </c>
      <c r="CC466">
        <f t="shared" ca="1" si="219"/>
        <v>0</v>
      </c>
      <c r="CD466">
        <f t="shared" ca="1" si="220"/>
        <v>159999.99999998949</v>
      </c>
      <c r="CE466">
        <f t="shared" ca="1" si="221"/>
        <v>-574524.28222653607</v>
      </c>
      <c r="CF466">
        <f t="shared" ca="1" si="222"/>
        <v>6770475.7177734533</v>
      </c>
      <c r="CG466">
        <f t="shared" ca="1" si="223"/>
        <v>-7344999.9999999898</v>
      </c>
      <c r="CH466" s="10">
        <f>分析データ!A466</f>
        <v>45603</v>
      </c>
    </row>
    <row r="467" spans="46:86">
      <c r="AT467">
        <f ca="1">IF(ROW()&lt;($C$7+1),"",IFERROR((分析データ!B467-AVERAGE(OFFSET(分析データ!B$1,MAX(1,ROW()-$C$7),0,MIN($C$7,ROW()-1),1)))/STDEV(OFFSET(分析データ!B$1,MAX(1,ROW()-$C$7),0,MIN($C$7,ROW()-1),1)),0))</f>
        <v>2.0873283397843325</v>
      </c>
      <c r="AU467">
        <f t="shared" ca="1" si="196"/>
        <v>1</v>
      </c>
      <c r="AV467">
        <f ca="1">IF(AU467=1,IF(INDEX(分析データ!$A:$A,ROW()+$C$5)&lt;&gt;"",80000*SIGN(AT467)*(分析データ!B467-INDEX(分析データ!B:B,ROW()+$C$5)),""),"")</f>
        <v>-39999.999999999149</v>
      </c>
      <c r="AW467">
        <f t="shared" ca="1" si="197"/>
        <v>-7559999.9999999991</v>
      </c>
      <c r="AX467">
        <f t="shared" ca="1" si="198"/>
        <v>0</v>
      </c>
      <c r="AY467">
        <f t="shared" ca="1" si="199"/>
        <v>-7559999.9999999991</v>
      </c>
      <c r="AZ467">
        <f ca="1">IF(ROW()&lt;($C$7+1),"",IFERROR((分析データ!C467-AVERAGE(OFFSET(分析データ!C$1,MAX(1,ROW()-$C$7),0,MIN($C$7,ROW()-1),1)))/STDEV(OFFSET(分析データ!C$1,MAX(1,ROW()-$C$7),0,MIN($C$7,ROW()-1),1)),0))</f>
        <v>-1.603903784230186</v>
      </c>
      <c r="BA467">
        <f t="shared" ca="1" si="200"/>
        <v>0</v>
      </c>
      <c r="BB467" t="str">
        <f ca="1">IF(BA467=1,IF(INDEX(分析データ!$A:$A,ROW()+$C$5)&lt;&gt;"",60000*SIGN(AZ467)*(分析データ!C467-INDEX(分析データ!C:C,ROW()+$C$5)),""),"")</f>
        <v/>
      </c>
      <c r="BC467">
        <f t="shared" ca="1" si="201"/>
        <v>1602000.0000000072</v>
      </c>
      <c r="BD467">
        <f t="shared" ca="1" si="202"/>
        <v>1602000.0000000072</v>
      </c>
      <c r="BE467">
        <f t="shared" ca="1" si="203"/>
        <v>0</v>
      </c>
      <c r="BF467">
        <f ca="1">IF(ROW()&lt;($C$7+1),"",IFERROR((分析データ!D467-AVERAGE(OFFSET(分析データ!D$1,MAX(1,ROW()-$C$7),0,MIN($C$7,ROW()-1),1)))/STDEV(OFFSET(分析データ!D$1,MAX(1,ROW()-$C$7),0,MIN($C$7,ROW()-1),1)),0))</f>
        <v>-0.14173357207057502</v>
      </c>
      <c r="BG467">
        <f t="shared" ca="1" si="204"/>
        <v>0</v>
      </c>
      <c r="BH467" t="str">
        <f ca="1">IF(BG467=1,IF(INDEX(分析データ!$A:$A,ROW()+$C$5)&lt;&gt;"",50000*SIGN(BF467)*(分析データ!D467-INDEX(分析データ!D:D,ROW()+$C$5)),""),"")</f>
        <v/>
      </c>
      <c r="BI467">
        <f t="shared" ca="1" si="205"/>
        <v>-779999.99999999418</v>
      </c>
      <c r="BJ467">
        <f t="shared" ca="1" si="206"/>
        <v>1695000.0000000016</v>
      </c>
      <c r="BK467">
        <f t="shared" ca="1" si="207"/>
        <v>-2474999.9999999958</v>
      </c>
      <c r="BL467">
        <f ca="1">IF(ROW()&lt;($C$7+1),"",IFERROR((分析データ!E467-AVERAGE(OFFSET(分析データ!E$1,MAX(1,ROW()-$C$7),0,MIN($C$7,ROW()-1),1)))/STDEV(OFFSET(分析データ!E$1,MAX(1,ROW()-$C$7),0,MIN($C$7,ROW()-1),1)),0))</f>
        <v>0.4129003157896432</v>
      </c>
      <c r="BM467">
        <f t="shared" ca="1" si="208"/>
        <v>0</v>
      </c>
      <c r="BN467" t="str">
        <f ca="1">IF(BM467=1,IF(INDEX(分析データ!$A:$A,ROW()+$C$5)&lt;&gt;"",40000*SIGN(BL467)*(分析データ!E467-INDEX(分析データ!E:E,ROW()+$C$5)),""),"")</f>
        <v/>
      </c>
      <c r="BO467">
        <f t="shared" ca="1" si="209"/>
        <v>1320000.0000000075</v>
      </c>
      <c r="BP467">
        <f t="shared" ca="1" si="210"/>
        <v>1320000.0000000075</v>
      </c>
      <c r="BQ467">
        <f t="shared" ca="1" si="211"/>
        <v>0</v>
      </c>
      <c r="BR467">
        <f ca="1">IF(ROW()&lt;($C$7+1),"",IFERROR((分析データ!F467-AVERAGE(OFFSET(分析データ!F$1,MAX(1,ROW()-$C$7),0,MIN($C$7,ROW()-1),1)))/STDEV(OFFSET(分析データ!F$1,MAX(1,ROW()-$C$7),0,MIN($C$7,ROW()-1),1)),0))</f>
        <v>0.35135921048495061</v>
      </c>
      <c r="BS467">
        <f t="shared" ca="1" si="212"/>
        <v>0</v>
      </c>
      <c r="BT467" t="str">
        <f ca="1">IF(BS467=1,IF(INDEX(分析データ!$A:$A,ROW()+$C$5)&lt;&gt;"",40000*SIGN(BR467)*(分析データ!F467-INDEX(分析データ!F:F,ROW()+$C$5)),""),"")</f>
        <v/>
      </c>
      <c r="BU467">
        <f t="shared" ca="1" si="213"/>
        <v>583200.00000000163</v>
      </c>
      <c r="BV467">
        <f t="shared" ca="1" si="214"/>
        <v>583200.00000000163</v>
      </c>
      <c r="BW467">
        <f t="shared" ca="1" si="215"/>
        <v>0</v>
      </c>
      <c r="BX467">
        <f ca="1">IF(ROW()&lt;($C$7+1),"",IFERROR((分析データ!G467-AVERAGE(OFFSET(分析データ!G$1,MAX(1,ROW()-$C$7),0,MIN($C$7,ROW()-1),1)))/STDEV(OFFSET(分析データ!G$1,MAX(1,ROW()-$C$7),0,MIN($C$7,ROW()-1),1)),0))</f>
        <v>0.13229156477422904</v>
      </c>
      <c r="BY467">
        <f t="shared" ca="1" si="216"/>
        <v>0</v>
      </c>
      <c r="BZ467" t="str">
        <f ca="1">IF(BY467=1,IF(INDEX(分析データ!$A:$A,ROW()+$C$5)&lt;&gt;"",40000*SIGN(BX467)*(分析データ!G467-INDEX(分析データ!G:G,ROW()+$C$5)),""),"")</f>
        <v/>
      </c>
      <c r="CA467">
        <f t="shared" ca="1" si="217"/>
        <v>4220275.7177734375</v>
      </c>
      <c r="CB467">
        <f t="shared" ca="1" si="218"/>
        <v>4220275.7177734375</v>
      </c>
      <c r="CC467">
        <f t="shared" ca="1" si="219"/>
        <v>0</v>
      </c>
      <c r="CD467">
        <f t="shared" ca="1" si="220"/>
        <v>-39999.999999999149</v>
      </c>
      <c r="CE467">
        <f t="shared" ca="1" si="221"/>
        <v>-614524.28222653526</v>
      </c>
      <c r="CF467">
        <f t="shared" ca="1" si="222"/>
        <v>6770475.7177734533</v>
      </c>
      <c r="CG467">
        <f t="shared" ca="1" si="223"/>
        <v>-7384999.9999999888</v>
      </c>
      <c r="CH467" s="10">
        <f>分析データ!A467</f>
        <v>45604</v>
      </c>
    </row>
    <row r="468" spans="46:86">
      <c r="AT468">
        <f ca="1">IF(ROW()&lt;($C$7+1),"",IFERROR((分析データ!B468-AVERAGE(OFFSET(分析データ!B$1,MAX(1,ROW()-$C$7),0,MIN($C$7,ROW()-1),1)))/STDEV(OFFSET(分析データ!B$1,MAX(1,ROW()-$C$7),0,MIN($C$7,ROW()-1),1)),0))</f>
        <v>2.5249334314155711</v>
      </c>
      <c r="AU468">
        <f t="shared" ca="1" si="196"/>
        <v>1</v>
      </c>
      <c r="AV468">
        <f ca="1">IF(AU468=1,IF(INDEX(分析データ!$A:$A,ROW()+$C$5)&lt;&gt;"",80000*SIGN(AT468)*(分析データ!B468-INDEX(分析データ!B:B,ROW()+$C$5)),""),"")</f>
        <v>120000.00000000454</v>
      </c>
      <c r="AW468">
        <f t="shared" ca="1" si="197"/>
        <v>-7439999.9999999944</v>
      </c>
      <c r="AX468">
        <f t="shared" ca="1" si="198"/>
        <v>0</v>
      </c>
      <c r="AY468">
        <f t="shared" ca="1" si="199"/>
        <v>-7439999.9999999944</v>
      </c>
      <c r="AZ468">
        <f ca="1">IF(ROW()&lt;($C$7+1),"",IFERROR((分析データ!C468-AVERAGE(OFFSET(分析データ!C$1,MAX(1,ROW()-$C$7),0,MIN($C$7,ROW()-1),1)))/STDEV(OFFSET(分析データ!C$1,MAX(1,ROW()-$C$7),0,MIN($C$7,ROW()-1),1)),0))</f>
        <v>-1.5947016082471293</v>
      </c>
      <c r="BA468">
        <f t="shared" ca="1" si="200"/>
        <v>0</v>
      </c>
      <c r="BB468" t="str">
        <f ca="1">IF(BA468=1,IF(INDEX(分析データ!$A:$A,ROW()+$C$5)&lt;&gt;"",60000*SIGN(AZ468)*(分析データ!C468-INDEX(分析データ!C:C,ROW()+$C$5)),""),"")</f>
        <v/>
      </c>
      <c r="BC468">
        <f t="shared" ca="1" si="201"/>
        <v>1602000.0000000072</v>
      </c>
      <c r="BD468">
        <f t="shared" ca="1" si="202"/>
        <v>1602000.0000000072</v>
      </c>
      <c r="BE468">
        <f t="shared" ca="1" si="203"/>
        <v>0</v>
      </c>
      <c r="BF468">
        <f ca="1">IF(ROW()&lt;($C$7+1),"",IFERROR((分析データ!D468-AVERAGE(OFFSET(分析データ!D$1,MAX(1,ROW()-$C$7),0,MIN($C$7,ROW()-1),1)))/STDEV(OFFSET(分析データ!D$1,MAX(1,ROW()-$C$7),0,MIN($C$7,ROW()-1),1)),0))</f>
        <v>0.32860908812959316</v>
      </c>
      <c r="BG468">
        <f t="shared" ca="1" si="204"/>
        <v>0</v>
      </c>
      <c r="BH468" t="str">
        <f ca="1">IF(BG468=1,IF(INDEX(分析データ!$A:$A,ROW()+$C$5)&lt;&gt;"",50000*SIGN(BF468)*(分析データ!D468-INDEX(分析データ!D:D,ROW()+$C$5)),""),"")</f>
        <v/>
      </c>
      <c r="BI468">
        <f t="shared" ca="1" si="205"/>
        <v>-779999.99999999418</v>
      </c>
      <c r="BJ468">
        <f t="shared" ca="1" si="206"/>
        <v>1695000.0000000016</v>
      </c>
      <c r="BK468">
        <f t="shared" ca="1" si="207"/>
        <v>-2474999.9999999958</v>
      </c>
      <c r="BL468">
        <f ca="1">IF(ROW()&lt;($C$7+1),"",IFERROR((分析データ!E468-AVERAGE(OFFSET(分析データ!E$1,MAX(1,ROW()-$C$7),0,MIN($C$7,ROW()-1),1)))/STDEV(OFFSET(分析データ!E$1,MAX(1,ROW()-$C$7),0,MIN($C$7,ROW()-1),1)),0))</f>
        <v>0.5237590528423629</v>
      </c>
      <c r="BM468">
        <f t="shared" ca="1" si="208"/>
        <v>0</v>
      </c>
      <c r="BN468" t="str">
        <f ca="1">IF(BM468=1,IF(INDEX(分析データ!$A:$A,ROW()+$C$5)&lt;&gt;"",40000*SIGN(BL468)*(分析データ!E468-INDEX(分析データ!E:E,ROW()+$C$5)),""),"")</f>
        <v/>
      </c>
      <c r="BO468">
        <f t="shared" ca="1" si="209"/>
        <v>1320000.0000000075</v>
      </c>
      <c r="BP468">
        <f t="shared" ca="1" si="210"/>
        <v>1320000.0000000075</v>
      </c>
      <c r="BQ468">
        <f t="shared" ca="1" si="211"/>
        <v>0</v>
      </c>
      <c r="BR468">
        <f ca="1">IF(ROW()&lt;($C$7+1),"",IFERROR((分析データ!F468-AVERAGE(OFFSET(分析データ!F$1,MAX(1,ROW()-$C$7),0,MIN($C$7,ROW()-1),1)))/STDEV(OFFSET(分析データ!F$1,MAX(1,ROW()-$C$7),0,MIN($C$7,ROW()-1),1)),0))</f>
        <v>-0.80238730318401608</v>
      </c>
      <c r="BS468">
        <f t="shared" ca="1" si="212"/>
        <v>0</v>
      </c>
      <c r="BT468" t="str">
        <f ca="1">IF(BS468=1,IF(INDEX(分析データ!$A:$A,ROW()+$C$5)&lt;&gt;"",40000*SIGN(BR468)*(分析データ!F468-INDEX(分析データ!F:F,ROW()+$C$5)),""),"")</f>
        <v/>
      </c>
      <c r="BU468">
        <f t="shared" ca="1" si="213"/>
        <v>583200.00000000163</v>
      </c>
      <c r="BV468">
        <f t="shared" ca="1" si="214"/>
        <v>583200.00000000163</v>
      </c>
      <c r="BW468">
        <f t="shared" ca="1" si="215"/>
        <v>0</v>
      </c>
      <c r="BX468">
        <f ca="1">IF(ROW()&lt;($C$7+1),"",IFERROR((分析データ!G468-AVERAGE(OFFSET(分析データ!G$1,MAX(1,ROW()-$C$7),0,MIN($C$7,ROW()-1),1)))/STDEV(OFFSET(分析データ!G$1,MAX(1,ROW()-$C$7),0,MIN($C$7,ROW()-1),1)),0))</f>
        <v>0.52337735254008122</v>
      </c>
      <c r="BY468">
        <f t="shared" ca="1" si="216"/>
        <v>0</v>
      </c>
      <c r="BZ468" t="str">
        <f ca="1">IF(BY468=1,IF(INDEX(分析データ!$A:$A,ROW()+$C$5)&lt;&gt;"",40000*SIGN(BX468)*(分析データ!G468-INDEX(分析データ!G:G,ROW()+$C$5)),""),"")</f>
        <v/>
      </c>
      <c r="CA468">
        <f t="shared" ca="1" si="217"/>
        <v>4220275.7177734375</v>
      </c>
      <c r="CB468">
        <f t="shared" ca="1" si="218"/>
        <v>4220275.7177734375</v>
      </c>
      <c r="CC468">
        <f t="shared" ca="1" si="219"/>
        <v>0</v>
      </c>
      <c r="CD468">
        <f t="shared" ca="1" si="220"/>
        <v>120000.00000000454</v>
      </c>
      <c r="CE468">
        <f t="shared" ca="1" si="221"/>
        <v>-494524.28222653072</v>
      </c>
      <c r="CF468">
        <f t="shared" ca="1" si="222"/>
        <v>6770475.7177734533</v>
      </c>
      <c r="CG468">
        <f t="shared" ca="1" si="223"/>
        <v>-7264999.9999999842</v>
      </c>
      <c r="CH468" s="10">
        <f>分析データ!A468</f>
        <v>45608</v>
      </c>
    </row>
    <row r="469" spans="46:86">
      <c r="AT469">
        <f ca="1">IF(ROW()&lt;($C$7+1),"",IFERROR((分析データ!B469-AVERAGE(OFFSET(分析データ!B$1,MAX(1,ROW()-$C$7),0,MIN($C$7,ROW()-1),1)))/STDEV(OFFSET(分析データ!B$1,MAX(1,ROW()-$C$7),0,MIN($C$7,ROW()-1),1)),0))</f>
        <v>2.7431589295932701</v>
      </c>
      <c r="AU469">
        <f t="shared" ca="1" si="196"/>
        <v>1</v>
      </c>
      <c r="AV469">
        <f ca="1">IF(AU469=1,IF(INDEX(分析データ!$A:$A,ROW()+$C$5)&lt;&gt;"",80000*SIGN(AT469)*(分析データ!B469-INDEX(分析データ!B:B,ROW()+$C$5)),""),"")</f>
        <v>440000.00000001193</v>
      </c>
      <c r="AW469">
        <f t="shared" ca="1" si="197"/>
        <v>-6999999.9999999823</v>
      </c>
      <c r="AX469">
        <f t="shared" ca="1" si="198"/>
        <v>0</v>
      </c>
      <c r="AY469">
        <f t="shared" ca="1" si="199"/>
        <v>-6999999.9999999823</v>
      </c>
      <c r="AZ469">
        <f ca="1">IF(ROW()&lt;($C$7+1),"",IFERROR((分析データ!C469-AVERAGE(OFFSET(分析データ!C$1,MAX(1,ROW()-$C$7),0,MIN($C$7,ROW()-1),1)))/STDEV(OFFSET(分析データ!C$1,MAX(1,ROW()-$C$7),0,MIN($C$7,ROW()-1),1)),0))</f>
        <v>-1.3750942912332769</v>
      </c>
      <c r="BA469">
        <f t="shared" ca="1" si="200"/>
        <v>0</v>
      </c>
      <c r="BB469" t="str">
        <f ca="1">IF(BA469=1,IF(INDEX(分析データ!$A:$A,ROW()+$C$5)&lt;&gt;"",60000*SIGN(AZ469)*(分析データ!C469-INDEX(分析データ!C:C,ROW()+$C$5)),""),"")</f>
        <v/>
      </c>
      <c r="BC469">
        <f t="shared" ca="1" si="201"/>
        <v>1602000.0000000072</v>
      </c>
      <c r="BD469">
        <f t="shared" ca="1" si="202"/>
        <v>1602000.0000000072</v>
      </c>
      <c r="BE469">
        <f t="shared" ca="1" si="203"/>
        <v>0</v>
      </c>
      <c r="BF469">
        <f ca="1">IF(ROW()&lt;($C$7+1),"",IFERROR((分析データ!D469-AVERAGE(OFFSET(分析データ!D$1,MAX(1,ROW()-$C$7),0,MIN($C$7,ROW()-1),1)))/STDEV(OFFSET(分析データ!D$1,MAX(1,ROW()-$C$7),0,MIN($C$7,ROW()-1),1)),0))</f>
        <v>0.2440523813419449</v>
      </c>
      <c r="BG469">
        <f t="shared" ca="1" si="204"/>
        <v>0</v>
      </c>
      <c r="BH469" t="str">
        <f ca="1">IF(BG469=1,IF(INDEX(分析データ!$A:$A,ROW()+$C$5)&lt;&gt;"",50000*SIGN(BF469)*(分析データ!D469-INDEX(分析データ!D:D,ROW()+$C$5)),""),"")</f>
        <v/>
      </c>
      <c r="BI469">
        <f t="shared" ca="1" si="205"/>
        <v>-779999.99999999418</v>
      </c>
      <c r="BJ469">
        <f t="shared" ca="1" si="206"/>
        <v>1695000.0000000016</v>
      </c>
      <c r="BK469">
        <f t="shared" ca="1" si="207"/>
        <v>-2474999.9999999958</v>
      </c>
      <c r="BL469">
        <f ca="1">IF(ROW()&lt;($C$7+1),"",IFERROR((分析データ!E469-AVERAGE(OFFSET(分析データ!E$1,MAX(1,ROW()-$C$7),0,MIN($C$7,ROW()-1),1)))/STDEV(OFFSET(分析データ!E$1,MAX(1,ROW()-$C$7),0,MIN($C$7,ROW()-1),1)),0))</f>
        <v>0.86559604355426634</v>
      </c>
      <c r="BM469">
        <f t="shared" ca="1" si="208"/>
        <v>0</v>
      </c>
      <c r="BN469" t="str">
        <f ca="1">IF(BM469=1,IF(INDEX(分析データ!$A:$A,ROW()+$C$5)&lt;&gt;"",40000*SIGN(BL469)*(分析データ!E469-INDEX(分析データ!E:E,ROW()+$C$5)),""),"")</f>
        <v/>
      </c>
      <c r="BO469">
        <f t="shared" ca="1" si="209"/>
        <v>1320000.0000000075</v>
      </c>
      <c r="BP469">
        <f t="shared" ca="1" si="210"/>
        <v>1320000.0000000075</v>
      </c>
      <c r="BQ469">
        <f t="shared" ca="1" si="211"/>
        <v>0</v>
      </c>
      <c r="BR469">
        <f ca="1">IF(ROW()&lt;($C$7+1),"",IFERROR((分析データ!F469-AVERAGE(OFFSET(分析データ!F$1,MAX(1,ROW()-$C$7),0,MIN($C$7,ROW()-1),1)))/STDEV(OFFSET(分析データ!F$1,MAX(1,ROW()-$C$7),0,MIN($C$7,ROW()-1),1)),0))</f>
        <v>-1.0875867450096313</v>
      </c>
      <c r="BS469">
        <f t="shared" ca="1" si="212"/>
        <v>0</v>
      </c>
      <c r="BT469" t="str">
        <f ca="1">IF(BS469=1,IF(INDEX(分析データ!$A:$A,ROW()+$C$5)&lt;&gt;"",40000*SIGN(BR469)*(分析データ!F469-INDEX(分析データ!F:F,ROW()+$C$5)),""),"")</f>
        <v/>
      </c>
      <c r="BU469">
        <f t="shared" ca="1" si="213"/>
        <v>583200.00000000163</v>
      </c>
      <c r="BV469">
        <f t="shared" ca="1" si="214"/>
        <v>583200.00000000163</v>
      </c>
      <c r="BW469">
        <f t="shared" ca="1" si="215"/>
        <v>0</v>
      </c>
      <c r="BX469">
        <f ca="1">IF(ROW()&lt;($C$7+1),"",IFERROR((分析データ!G469-AVERAGE(OFFSET(分析データ!G$1,MAX(1,ROW()-$C$7),0,MIN($C$7,ROW()-1),1)))/STDEV(OFFSET(分析データ!G$1,MAX(1,ROW()-$C$7),0,MIN($C$7,ROW()-1),1)),0))</f>
        <v>1.0047753767608556</v>
      </c>
      <c r="BY469">
        <f t="shared" ca="1" si="216"/>
        <v>0</v>
      </c>
      <c r="BZ469" t="str">
        <f ca="1">IF(BY469=1,IF(INDEX(分析データ!$A:$A,ROW()+$C$5)&lt;&gt;"",40000*SIGN(BX469)*(分析データ!G469-INDEX(分析データ!G:G,ROW()+$C$5)),""),"")</f>
        <v/>
      </c>
      <c r="CA469">
        <f t="shared" ca="1" si="217"/>
        <v>4220275.7177734375</v>
      </c>
      <c r="CB469">
        <f t="shared" ca="1" si="218"/>
        <v>4220275.7177734375</v>
      </c>
      <c r="CC469">
        <f t="shared" ca="1" si="219"/>
        <v>0</v>
      </c>
      <c r="CD469">
        <f t="shared" ca="1" si="220"/>
        <v>440000.00000001193</v>
      </c>
      <c r="CE469">
        <f t="shared" ca="1" si="221"/>
        <v>-54524.282226518786</v>
      </c>
      <c r="CF469">
        <f t="shared" ca="1" si="222"/>
        <v>6770475.7177734533</v>
      </c>
      <c r="CG469">
        <f t="shared" ca="1" si="223"/>
        <v>-6824999.9999999721</v>
      </c>
      <c r="CH469" s="10">
        <f>分析データ!A469</f>
        <v>45609</v>
      </c>
    </row>
    <row r="470" spans="46:86">
      <c r="AT470">
        <f ca="1">IF(ROW()&lt;($C$7+1),"",IFERROR((分析データ!B470-AVERAGE(OFFSET(分析データ!B$1,MAX(1,ROW()-$C$7),0,MIN($C$7,ROW()-1),1)))/STDEV(OFFSET(分析データ!B$1,MAX(1,ROW()-$C$7),0,MIN($C$7,ROW()-1),1)),0))</f>
        <v>2.436707765097661</v>
      </c>
      <c r="AU470">
        <f t="shared" ca="1" si="196"/>
        <v>1</v>
      </c>
      <c r="AV470">
        <f ca="1">IF(AU470=1,IF(INDEX(分析データ!$A:$A,ROW()+$C$5)&lt;&gt;"",80000*SIGN(AT470)*(分析データ!B470-INDEX(分析データ!B:B,ROW()+$C$5)),""),"")</f>
        <v>280000.00000000116</v>
      </c>
      <c r="AW470">
        <f t="shared" ca="1" si="197"/>
        <v>-6719999.9999999814</v>
      </c>
      <c r="AX470">
        <f t="shared" ca="1" si="198"/>
        <v>0</v>
      </c>
      <c r="AY470">
        <f t="shared" ca="1" si="199"/>
        <v>-6719999.9999999814</v>
      </c>
      <c r="AZ470">
        <f ca="1">IF(ROW()&lt;($C$7+1),"",IFERROR((分析データ!C470-AVERAGE(OFFSET(分析データ!C$1,MAX(1,ROW()-$C$7),0,MIN($C$7,ROW()-1),1)))/STDEV(OFFSET(分析データ!C$1,MAX(1,ROW()-$C$7),0,MIN($C$7,ROW()-1),1)),0))</f>
        <v>-1.3284442008741966</v>
      </c>
      <c r="BA470">
        <f t="shared" ca="1" si="200"/>
        <v>0</v>
      </c>
      <c r="BB470" t="str">
        <f ca="1">IF(BA470=1,IF(INDEX(分析データ!$A:$A,ROW()+$C$5)&lt;&gt;"",60000*SIGN(AZ470)*(分析データ!C470-INDEX(分析データ!C:C,ROW()+$C$5)),""),"")</f>
        <v/>
      </c>
      <c r="BC470">
        <f t="shared" ca="1" si="201"/>
        <v>1602000.0000000072</v>
      </c>
      <c r="BD470">
        <f t="shared" ca="1" si="202"/>
        <v>1602000.0000000072</v>
      </c>
      <c r="BE470">
        <f t="shared" ca="1" si="203"/>
        <v>0</v>
      </c>
      <c r="BF470">
        <f ca="1">IF(ROW()&lt;($C$7+1),"",IFERROR((分析データ!D470-AVERAGE(OFFSET(分析データ!D$1,MAX(1,ROW()-$C$7),0,MIN($C$7,ROW()-1),1)))/STDEV(OFFSET(分析データ!D$1,MAX(1,ROW()-$C$7),0,MIN($C$7,ROW()-1),1)),0))</f>
        <v>0.15065605571560606</v>
      </c>
      <c r="BG470">
        <f t="shared" ca="1" si="204"/>
        <v>0</v>
      </c>
      <c r="BH470" t="str">
        <f ca="1">IF(BG470=1,IF(INDEX(分析データ!$A:$A,ROW()+$C$5)&lt;&gt;"",50000*SIGN(BF470)*(分析データ!D470-INDEX(分析データ!D:D,ROW()+$C$5)),""),"")</f>
        <v/>
      </c>
      <c r="BI470">
        <f t="shared" ca="1" si="205"/>
        <v>-779999.99999999418</v>
      </c>
      <c r="BJ470">
        <f t="shared" ca="1" si="206"/>
        <v>1695000.0000000016</v>
      </c>
      <c r="BK470">
        <f t="shared" ca="1" si="207"/>
        <v>-2474999.9999999958</v>
      </c>
      <c r="BL470">
        <f ca="1">IF(ROW()&lt;($C$7+1),"",IFERROR((分析データ!E470-AVERAGE(OFFSET(分析データ!E$1,MAX(1,ROW()-$C$7),0,MIN($C$7,ROW()-1),1)))/STDEV(OFFSET(分析データ!E$1,MAX(1,ROW()-$C$7),0,MIN($C$7,ROW()-1),1)),0))</f>
        <v>0.51075382031844341</v>
      </c>
      <c r="BM470">
        <f t="shared" ca="1" si="208"/>
        <v>0</v>
      </c>
      <c r="BN470" t="str">
        <f ca="1">IF(BM470=1,IF(INDEX(分析データ!$A:$A,ROW()+$C$5)&lt;&gt;"",40000*SIGN(BL470)*(分析データ!E470-INDEX(分析データ!E:E,ROW()+$C$5)),""),"")</f>
        <v/>
      </c>
      <c r="BO470">
        <f t="shared" ca="1" si="209"/>
        <v>1320000.0000000075</v>
      </c>
      <c r="BP470">
        <f t="shared" ca="1" si="210"/>
        <v>1320000.0000000075</v>
      </c>
      <c r="BQ470">
        <f t="shared" ca="1" si="211"/>
        <v>0</v>
      </c>
      <c r="BR470">
        <f ca="1">IF(ROW()&lt;($C$7+1),"",IFERROR((分析データ!F470-AVERAGE(OFFSET(分析データ!F$1,MAX(1,ROW()-$C$7),0,MIN($C$7,ROW()-1),1)))/STDEV(OFFSET(分析データ!F$1,MAX(1,ROW()-$C$7),0,MIN($C$7,ROW()-1),1)),0))</f>
        <v>-0.8587054685950698</v>
      </c>
      <c r="BS470">
        <f t="shared" ca="1" si="212"/>
        <v>0</v>
      </c>
      <c r="BT470" t="str">
        <f ca="1">IF(BS470=1,IF(INDEX(分析データ!$A:$A,ROW()+$C$5)&lt;&gt;"",40000*SIGN(BR470)*(分析データ!F470-INDEX(分析データ!F:F,ROW()+$C$5)),""),"")</f>
        <v/>
      </c>
      <c r="BU470">
        <f t="shared" ca="1" si="213"/>
        <v>583200.00000000163</v>
      </c>
      <c r="BV470">
        <f t="shared" ca="1" si="214"/>
        <v>583200.00000000163</v>
      </c>
      <c r="BW470">
        <f t="shared" ca="1" si="215"/>
        <v>0</v>
      </c>
      <c r="BX470">
        <f ca="1">IF(ROW()&lt;($C$7+1),"",IFERROR((分析データ!G470-AVERAGE(OFFSET(分析データ!G$1,MAX(1,ROW()-$C$7),0,MIN($C$7,ROW()-1),1)))/STDEV(OFFSET(分析データ!G$1,MAX(1,ROW()-$C$7),0,MIN($C$7,ROW()-1),1)),0))</f>
        <v>0.86047361929591382</v>
      </c>
      <c r="BY470">
        <f t="shared" ca="1" si="216"/>
        <v>0</v>
      </c>
      <c r="BZ470" t="str">
        <f ca="1">IF(BY470=1,IF(INDEX(分析データ!$A:$A,ROW()+$C$5)&lt;&gt;"",40000*SIGN(BX470)*(分析データ!G470-INDEX(分析データ!G:G,ROW()+$C$5)),""),"")</f>
        <v/>
      </c>
      <c r="CA470">
        <f t="shared" ca="1" si="217"/>
        <v>4220275.7177734375</v>
      </c>
      <c r="CB470">
        <f t="shared" ca="1" si="218"/>
        <v>4220275.7177734375</v>
      </c>
      <c r="CC470">
        <f t="shared" ca="1" si="219"/>
        <v>0</v>
      </c>
      <c r="CD470">
        <f t="shared" ca="1" si="220"/>
        <v>280000.00000000116</v>
      </c>
      <c r="CE470">
        <f t="shared" ca="1" si="221"/>
        <v>225475.71777348238</v>
      </c>
      <c r="CF470">
        <f t="shared" ca="1" si="222"/>
        <v>6770475.7177734533</v>
      </c>
      <c r="CG470">
        <f t="shared" ca="1" si="223"/>
        <v>-6544999.9999999711</v>
      </c>
      <c r="CH470" s="10">
        <f>分析データ!A470</f>
        <v>45610</v>
      </c>
    </row>
    <row r="471" spans="46:86">
      <c r="AT471">
        <f ca="1">IF(ROW()&lt;($C$7+1),"",IFERROR((分析データ!B471-AVERAGE(OFFSET(分析データ!B$1,MAX(1,ROW()-$C$7),0,MIN($C$7,ROW()-1),1)))/STDEV(OFFSET(分析データ!B$1,MAX(1,ROW()-$C$7),0,MIN($C$7,ROW()-1),1)),0))</f>
        <v>2.4617605874413835</v>
      </c>
      <c r="AU471">
        <f t="shared" ca="1" si="196"/>
        <v>1</v>
      </c>
      <c r="AV471">
        <f ca="1">IF(AU471=1,IF(INDEX(分析データ!$A:$A,ROW()+$C$5)&lt;&gt;"",80000*SIGN(AT471)*(分析データ!B471-INDEX(分析データ!B:B,ROW()+$C$5)),""),"")</f>
        <v>399999.9999999986</v>
      </c>
      <c r="AW471">
        <f t="shared" ca="1" si="197"/>
        <v>-6319999.9999999832</v>
      </c>
      <c r="AX471">
        <f t="shared" ca="1" si="198"/>
        <v>0</v>
      </c>
      <c r="AY471">
        <f t="shared" ca="1" si="199"/>
        <v>-6319999.9999999832</v>
      </c>
      <c r="AZ471">
        <f ca="1">IF(ROW()&lt;($C$7+1),"",IFERROR((分析データ!C471-AVERAGE(OFFSET(分析データ!C$1,MAX(1,ROW()-$C$7),0,MIN($C$7,ROW()-1),1)))/STDEV(OFFSET(分析データ!C$1,MAX(1,ROW()-$C$7),0,MIN($C$7,ROW()-1),1)),0))</f>
        <v>-1.2610224105044743</v>
      </c>
      <c r="BA471">
        <f t="shared" ca="1" si="200"/>
        <v>0</v>
      </c>
      <c r="BB471" t="str">
        <f ca="1">IF(BA471=1,IF(INDEX(分析データ!$A:$A,ROW()+$C$5)&lt;&gt;"",60000*SIGN(AZ471)*(分析データ!C471-INDEX(分析データ!C:C,ROW()+$C$5)),""),"")</f>
        <v/>
      </c>
      <c r="BC471">
        <f t="shared" ca="1" si="201"/>
        <v>1602000.0000000072</v>
      </c>
      <c r="BD471">
        <f t="shared" ca="1" si="202"/>
        <v>1602000.0000000072</v>
      </c>
      <c r="BE471">
        <f t="shared" ca="1" si="203"/>
        <v>0</v>
      </c>
      <c r="BF471">
        <f ca="1">IF(ROW()&lt;($C$7+1),"",IFERROR((分析データ!D471-AVERAGE(OFFSET(分析データ!D$1,MAX(1,ROW()-$C$7),0,MIN($C$7,ROW()-1),1)))/STDEV(OFFSET(分析データ!D$1,MAX(1,ROW()-$C$7),0,MIN($C$7,ROW()-1),1)),0))</f>
        <v>0.10708406379671646</v>
      </c>
      <c r="BG471">
        <f t="shared" ca="1" si="204"/>
        <v>0</v>
      </c>
      <c r="BH471" t="str">
        <f ca="1">IF(BG471=1,IF(INDEX(分析データ!$A:$A,ROW()+$C$5)&lt;&gt;"",50000*SIGN(BF471)*(分析データ!D471-INDEX(分析データ!D:D,ROW()+$C$5)),""),"")</f>
        <v/>
      </c>
      <c r="BI471">
        <f t="shared" ca="1" si="205"/>
        <v>-779999.99999999418</v>
      </c>
      <c r="BJ471">
        <f t="shared" ca="1" si="206"/>
        <v>1695000.0000000016</v>
      </c>
      <c r="BK471">
        <f t="shared" ca="1" si="207"/>
        <v>-2474999.9999999958</v>
      </c>
      <c r="BL471">
        <f ca="1">IF(ROW()&lt;($C$7+1),"",IFERROR((分析データ!E471-AVERAGE(OFFSET(分析データ!E$1,MAX(1,ROW()-$C$7),0,MIN($C$7,ROW()-1),1)))/STDEV(OFFSET(分析データ!E$1,MAX(1,ROW()-$C$7),0,MIN($C$7,ROW()-1),1)),0))</f>
        <v>0.73778696852214976</v>
      </c>
      <c r="BM471">
        <f t="shared" ca="1" si="208"/>
        <v>0</v>
      </c>
      <c r="BN471" t="str">
        <f ca="1">IF(BM471=1,IF(INDEX(分析データ!$A:$A,ROW()+$C$5)&lt;&gt;"",40000*SIGN(BL471)*(分析データ!E471-INDEX(分析データ!E:E,ROW()+$C$5)),""),"")</f>
        <v/>
      </c>
      <c r="BO471">
        <f t="shared" ca="1" si="209"/>
        <v>1320000.0000000075</v>
      </c>
      <c r="BP471">
        <f t="shared" ca="1" si="210"/>
        <v>1320000.0000000075</v>
      </c>
      <c r="BQ471">
        <f t="shared" ca="1" si="211"/>
        <v>0</v>
      </c>
      <c r="BR471">
        <f ca="1">IF(ROW()&lt;($C$7+1),"",IFERROR((分析データ!F471-AVERAGE(OFFSET(分析データ!F$1,MAX(1,ROW()-$C$7),0,MIN($C$7,ROW()-1),1)))/STDEV(OFFSET(分析データ!F$1,MAX(1,ROW()-$C$7),0,MIN($C$7,ROW()-1),1)),0))</f>
        <v>-1.2462949706538717</v>
      </c>
      <c r="BS471">
        <f t="shared" ca="1" si="212"/>
        <v>0</v>
      </c>
      <c r="BT471" t="str">
        <f ca="1">IF(BS471=1,IF(INDEX(分析データ!$A:$A,ROW()+$C$5)&lt;&gt;"",40000*SIGN(BR471)*(分析データ!F471-INDEX(分析データ!F:F,ROW()+$C$5)),""),"")</f>
        <v/>
      </c>
      <c r="BU471">
        <f t="shared" ca="1" si="213"/>
        <v>583200.00000000163</v>
      </c>
      <c r="BV471">
        <f t="shared" ca="1" si="214"/>
        <v>583200.00000000163</v>
      </c>
      <c r="BW471">
        <f t="shared" ca="1" si="215"/>
        <v>0</v>
      </c>
      <c r="BX471">
        <f ca="1">IF(ROW()&lt;($C$7+1),"",IFERROR((分析データ!G471-AVERAGE(OFFSET(分析データ!G$1,MAX(1,ROW()-$C$7),0,MIN($C$7,ROW()-1),1)))/STDEV(OFFSET(分析データ!G$1,MAX(1,ROW()-$C$7),0,MIN($C$7,ROW()-1),1)),0))</f>
        <v>1.2086245375500628</v>
      </c>
      <c r="BY471">
        <f t="shared" ca="1" si="216"/>
        <v>0</v>
      </c>
      <c r="BZ471" t="str">
        <f ca="1">IF(BY471=1,IF(INDEX(分析データ!$A:$A,ROW()+$C$5)&lt;&gt;"",40000*SIGN(BX471)*(分析データ!G471-INDEX(分析データ!G:G,ROW()+$C$5)),""),"")</f>
        <v/>
      </c>
      <c r="CA471">
        <f t="shared" ca="1" si="217"/>
        <v>4220275.7177734375</v>
      </c>
      <c r="CB471">
        <f t="shared" ca="1" si="218"/>
        <v>4220275.7177734375</v>
      </c>
      <c r="CC471">
        <f t="shared" ca="1" si="219"/>
        <v>0</v>
      </c>
      <c r="CD471">
        <f t="shared" ca="1" si="220"/>
        <v>399999.9999999986</v>
      </c>
      <c r="CE471">
        <f t="shared" ca="1" si="221"/>
        <v>625475.71777348104</v>
      </c>
      <c r="CF471">
        <f t="shared" ca="1" si="222"/>
        <v>6770475.7177734533</v>
      </c>
      <c r="CG471">
        <f t="shared" ca="1" si="223"/>
        <v>-6144999.9999999721</v>
      </c>
      <c r="CH471" s="10">
        <f>分析データ!A471</f>
        <v>45611</v>
      </c>
    </row>
    <row r="472" spans="46:86">
      <c r="AT472">
        <f ca="1">IF(ROW()&lt;($C$7+1),"",IFERROR((分析データ!B472-AVERAGE(OFFSET(分析データ!B$1,MAX(1,ROW()-$C$7),0,MIN($C$7,ROW()-1),1)))/STDEV(OFFSET(分析データ!B$1,MAX(1,ROW()-$C$7),0,MIN($C$7,ROW()-1),1)),0))</f>
        <v>2.359714911192301</v>
      </c>
      <c r="AU472">
        <f t="shared" ca="1" si="196"/>
        <v>1</v>
      </c>
      <c r="AV472">
        <f ca="1">IF(AU472=1,IF(INDEX(分析データ!$A:$A,ROW()+$C$5)&lt;&gt;"",80000*SIGN(AT472)*(分析データ!B472-INDEX(分析データ!B:B,ROW()+$C$5)),""),"")</f>
        <v>199999.99999999575</v>
      </c>
      <c r="AW472">
        <f t="shared" ca="1" si="197"/>
        <v>-6119999.9999999879</v>
      </c>
      <c r="AX472">
        <f t="shared" ca="1" si="198"/>
        <v>0</v>
      </c>
      <c r="AY472">
        <f t="shared" ca="1" si="199"/>
        <v>-6119999.9999999879</v>
      </c>
      <c r="AZ472">
        <f ca="1">IF(ROW()&lt;($C$7+1),"",IFERROR((分析データ!C472-AVERAGE(OFFSET(分析データ!C$1,MAX(1,ROW()-$C$7),0,MIN($C$7,ROW()-1),1)))/STDEV(OFFSET(分析データ!C$1,MAX(1,ROW()-$C$7),0,MIN($C$7,ROW()-1),1)),0))</f>
        <v>-1.2729957260447289</v>
      </c>
      <c r="BA472">
        <f t="shared" ca="1" si="200"/>
        <v>0</v>
      </c>
      <c r="BB472" t="str">
        <f ca="1">IF(BA472=1,IF(INDEX(分析データ!$A:$A,ROW()+$C$5)&lt;&gt;"",60000*SIGN(AZ472)*(分析データ!C472-INDEX(分析データ!C:C,ROW()+$C$5)),""),"")</f>
        <v/>
      </c>
      <c r="BC472">
        <f t="shared" ca="1" si="201"/>
        <v>1602000.0000000072</v>
      </c>
      <c r="BD472">
        <f t="shared" ca="1" si="202"/>
        <v>1602000.0000000072</v>
      </c>
      <c r="BE472">
        <f t="shared" ca="1" si="203"/>
        <v>0</v>
      </c>
      <c r="BF472">
        <f ca="1">IF(ROW()&lt;($C$7+1),"",IFERROR((分析データ!D472-AVERAGE(OFFSET(分析データ!D$1,MAX(1,ROW()-$C$7),0,MIN($C$7,ROW()-1),1)))/STDEV(OFFSET(分析データ!D$1,MAX(1,ROW()-$C$7),0,MIN($C$7,ROW()-1),1)),0))</f>
        <v>6.8132771278924698E-2</v>
      </c>
      <c r="BG472">
        <f t="shared" ca="1" si="204"/>
        <v>0</v>
      </c>
      <c r="BH472" t="str">
        <f ca="1">IF(BG472=1,IF(INDEX(分析データ!$A:$A,ROW()+$C$5)&lt;&gt;"",50000*SIGN(BF472)*(分析データ!D472-INDEX(分析データ!D:D,ROW()+$C$5)),""),"")</f>
        <v/>
      </c>
      <c r="BI472">
        <f t="shared" ca="1" si="205"/>
        <v>-779999.99999999418</v>
      </c>
      <c r="BJ472">
        <f t="shared" ca="1" si="206"/>
        <v>1695000.0000000016</v>
      </c>
      <c r="BK472">
        <f t="shared" ca="1" si="207"/>
        <v>-2474999.9999999958</v>
      </c>
      <c r="BL472">
        <f ca="1">IF(ROW()&lt;($C$7+1),"",IFERROR((分析データ!E472-AVERAGE(OFFSET(分析データ!E$1,MAX(1,ROW()-$C$7),0,MIN($C$7,ROW()-1),1)))/STDEV(OFFSET(分析データ!E$1,MAX(1,ROW()-$C$7),0,MIN($C$7,ROW()-1),1)),0))</f>
        <v>0.84836701688128691</v>
      </c>
      <c r="BM472">
        <f t="shared" ca="1" si="208"/>
        <v>0</v>
      </c>
      <c r="BN472" t="str">
        <f ca="1">IF(BM472=1,IF(INDEX(分析データ!$A:$A,ROW()+$C$5)&lt;&gt;"",40000*SIGN(BL472)*(分析データ!E472-INDEX(分析データ!E:E,ROW()+$C$5)),""),"")</f>
        <v/>
      </c>
      <c r="BO472">
        <f t="shared" ca="1" si="209"/>
        <v>1320000.0000000075</v>
      </c>
      <c r="BP472">
        <f t="shared" ca="1" si="210"/>
        <v>1320000.0000000075</v>
      </c>
      <c r="BQ472">
        <f t="shared" ca="1" si="211"/>
        <v>0</v>
      </c>
      <c r="BR472">
        <f ca="1">IF(ROW()&lt;($C$7+1),"",IFERROR((分析データ!F472-AVERAGE(OFFSET(分析データ!F$1,MAX(1,ROW()-$C$7),0,MIN($C$7,ROW()-1),1)))/STDEV(OFFSET(分析データ!F$1,MAX(1,ROW()-$C$7),0,MIN($C$7,ROW()-1),1)),0))</f>
        <v>-1.4632158733594343</v>
      </c>
      <c r="BS472">
        <f t="shared" ca="1" si="212"/>
        <v>0</v>
      </c>
      <c r="BT472" t="str">
        <f ca="1">IF(BS472=1,IF(INDEX(分析データ!$A:$A,ROW()+$C$5)&lt;&gt;"",40000*SIGN(BR472)*(分析データ!F472-INDEX(分析データ!F:F,ROW()+$C$5)),""),"")</f>
        <v/>
      </c>
      <c r="BU472">
        <f t="shared" ca="1" si="213"/>
        <v>583200.00000000163</v>
      </c>
      <c r="BV472">
        <f t="shared" ca="1" si="214"/>
        <v>583200.00000000163</v>
      </c>
      <c r="BW472">
        <f t="shared" ca="1" si="215"/>
        <v>0</v>
      </c>
      <c r="BX472">
        <f ca="1">IF(ROW()&lt;($C$7+1),"",IFERROR((分析データ!G472-AVERAGE(OFFSET(分析データ!G$1,MAX(1,ROW()-$C$7),0,MIN($C$7,ROW()-1),1)))/STDEV(OFFSET(分析データ!G$1,MAX(1,ROW()-$C$7),0,MIN($C$7,ROW()-1),1)),0))</f>
        <v>1.4458582567538338</v>
      </c>
      <c r="BY472">
        <f t="shared" ca="1" si="216"/>
        <v>0</v>
      </c>
      <c r="BZ472" t="str">
        <f ca="1">IF(BY472=1,IF(INDEX(分析データ!$A:$A,ROW()+$C$5)&lt;&gt;"",40000*SIGN(BX472)*(分析データ!G472-INDEX(分析データ!G:G,ROW()+$C$5)),""),"")</f>
        <v/>
      </c>
      <c r="CA472">
        <f t="shared" ca="1" si="217"/>
        <v>4220275.7177734375</v>
      </c>
      <c r="CB472">
        <f t="shared" ca="1" si="218"/>
        <v>4220275.7177734375</v>
      </c>
      <c r="CC472">
        <f t="shared" ca="1" si="219"/>
        <v>0</v>
      </c>
      <c r="CD472">
        <f t="shared" ca="1" si="220"/>
        <v>199999.99999999575</v>
      </c>
      <c r="CE472">
        <f t="shared" ca="1" si="221"/>
        <v>825475.71777347685</v>
      </c>
      <c r="CF472">
        <f t="shared" ca="1" si="222"/>
        <v>6770475.7177734533</v>
      </c>
      <c r="CG472">
        <f t="shared" ca="1" si="223"/>
        <v>-5944999.9999999767</v>
      </c>
      <c r="CH472" s="10">
        <f>分析データ!A472</f>
        <v>45614</v>
      </c>
    </row>
    <row r="473" spans="46:86">
      <c r="AT473">
        <f ca="1">IF(ROW()&lt;($C$7+1),"",IFERROR((分析データ!B473-AVERAGE(OFFSET(分析データ!B$1,MAX(1,ROW()-$C$7),0,MIN($C$7,ROW()-1),1)))/STDEV(OFFSET(分析データ!B$1,MAX(1,ROW()-$C$7),0,MIN($C$7,ROW()-1),1)),0))</f>
        <v>2.324162351830628</v>
      </c>
      <c r="AU473">
        <f t="shared" ca="1" si="196"/>
        <v>1</v>
      </c>
      <c r="AV473">
        <f ca="1">IF(AU473=1,IF(INDEX(分析データ!$A:$A,ROW()+$C$5)&lt;&gt;"",80000*SIGN(AT473)*(分析データ!B473-INDEX(分析データ!B:B,ROW()+$C$5)),""),"")</f>
        <v>159999.99999999659</v>
      </c>
      <c r="AW473">
        <f t="shared" ca="1" si="197"/>
        <v>-5959999.9999999916</v>
      </c>
      <c r="AX473">
        <f t="shared" ca="1" si="198"/>
        <v>0</v>
      </c>
      <c r="AY473">
        <f t="shared" ca="1" si="199"/>
        <v>-5959999.9999999916</v>
      </c>
      <c r="AZ473">
        <f ca="1">IF(ROW()&lt;($C$7+1),"",IFERROR((分析データ!C473-AVERAGE(OFFSET(分析データ!C$1,MAX(1,ROW()-$C$7),0,MIN($C$7,ROW()-1),1)))/STDEV(OFFSET(分析データ!C$1,MAX(1,ROW()-$C$7),0,MIN($C$7,ROW()-1),1)),0))</f>
        <v>-1.25349710368506</v>
      </c>
      <c r="BA473">
        <f t="shared" ca="1" si="200"/>
        <v>0</v>
      </c>
      <c r="BB473" t="str">
        <f ca="1">IF(BA473=1,IF(INDEX(分析データ!$A:$A,ROW()+$C$5)&lt;&gt;"",60000*SIGN(AZ473)*(分析データ!C473-INDEX(分析データ!C:C,ROW()+$C$5)),""),"")</f>
        <v/>
      </c>
      <c r="BC473">
        <f t="shared" ca="1" si="201"/>
        <v>1602000.0000000072</v>
      </c>
      <c r="BD473">
        <f t="shared" ca="1" si="202"/>
        <v>1602000.0000000072</v>
      </c>
      <c r="BE473">
        <f t="shared" ca="1" si="203"/>
        <v>0</v>
      </c>
      <c r="BF473">
        <f ca="1">IF(ROW()&lt;($C$7+1),"",IFERROR((分析データ!D473-AVERAGE(OFFSET(分析データ!D$1,MAX(1,ROW()-$C$7),0,MIN($C$7,ROW()-1),1)))/STDEV(OFFSET(分析データ!D$1,MAX(1,ROW()-$C$7),0,MIN($C$7,ROW()-1),1)),0))</f>
        <v>-2.3192760747710903E-2</v>
      </c>
      <c r="BG473">
        <f t="shared" ca="1" si="204"/>
        <v>0</v>
      </c>
      <c r="BH473" t="str">
        <f ca="1">IF(BG473=1,IF(INDEX(分析データ!$A:$A,ROW()+$C$5)&lt;&gt;"",50000*SIGN(BF473)*(分析データ!D473-INDEX(分析データ!D:D,ROW()+$C$5)),""),"")</f>
        <v/>
      </c>
      <c r="BI473">
        <f t="shared" ca="1" si="205"/>
        <v>-779999.99999999418</v>
      </c>
      <c r="BJ473">
        <f t="shared" ca="1" si="206"/>
        <v>1695000.0000000016</v>
      </c>
      <c r="BK473">
        <f t="shared" ca="1" si="207"/>
        <v>-2474999.9999999958</v>
      </c>
      <c r="BL473">
        <f ca="1">IF(ROW()&lt;($C$7+1),"",IFERROR((分析データ!E473-AVERAGE(OFFSET(分析データ!E$1,MAX(1,ROW()-$C$7),0,MIN($C$7,ROW()-1),1)))/STDEV(OFFSET(分析データ!E$1,MAX(1,ROW()-$C$7),0,MIN($C$7,ROW()-1),1)),0))</f>
        <v>0.84190382326853375</v>
      </c>
      <c r="BM473">
        <f t="shared" ca="1" si="208"/>
        <v>0</v>
      </c>
      <c r="BN473" t="str">
        <f ca="1">IF(BM473=1,IF(INDEX(分析データ!$A:$A,ROW()+$C$5)&lt;&gt;"",40000*SIGN(BL473)*(分析データ!E473-INDEX(分析データ!E:E,ROW()+$C$5)),""),"")</f>
        <v/>
      </c>
      <c r="BO473">
        <f t="shared" ca="1" si="209"/>
        <v>1320000.0000000075</v>
      </c>
      <c r="BP473">
        <f t="shared" ca="1" si="210"/>
        <v>1320000.0000000075</v>
      </c>
      <c r="BQ473">
        <f t="shared" ca="1" si="211"/>
        <v>0</v>
      </c>
      <c r="BR473">
        <f ca="1">IF(ROW()&lt;($C$7+1),"",IFERROR((分析データ!F473-AVERAGE(OFFSET(分析データ!F$1,MAX(1,ROW()-$C$7),0,MIN($C$7,ROW()-1),1)))/STDEV(OFFSET(分析データ!F$1,MAX(1,ROW()-$C$7),0,MIN($C$7,ROW()-1),1)),0))</f>
        <v>-1.2155213741503743</v>
      </c>
      <c r="BS473">
        <f t="shared" ca="1" si="212"/>
        <v>0</v>
      </c>
      <c r="BT473" t="str">
        <f ca="1">IF(BS473=1,IF(INDEX(分析データ!$A:$A,ROW()+$C$5)&lt;&gt;"",40000*SIGN(BR473)*(分析データ!F473-INDEX(分析データ!F:F,ROW()+$C$5)),""),"")</f>
        <v/>
      </c>
      <c r="BU473">
        <f t="shared" ca="1" si="213"/>
        <v>583200.00000000163</v>
      </c>
      <c r="BV473">
        <f t="shared" ca="1" si="214"/>
        <v>583200.00000000163</v>
      </c>
      <c r="BW473">
        <f t="shared" ca="1" si="215"/>
        <v>0</v>
      </c>
      <c r="BX473">
        <f ca="1">IF(ROW()&lt;($C$7+1),"",IFERROR((分析データ!G473-AVERAGE(OFFSET(分析データ!G$1,MAX(1,ROW()-$C$7),0,MIN($C$7,ROW()-1),1)))/STDEV(OFFSET(分析データ!G$1,MAX(1,ROW()-$C$7),0,MIN($C$7,ROW()-1),1)),0))</f>
        <v>1.5460335450979392</v>
      </c>
      <c r="BY473">
        <f t="shared" ca="1" si="216"/>
        <v>0</v>
      </c>
      <c r="BZ473" t="str">
        <f ca="1">IF(BY473=1,IF(INDEX(分析データ!$A:$A,ROW()+$C$5)&lt;&gt;"",40000*SIGN(BX473)*(分析データ!G473-INDEX(分析データ!G:G,ROW()+$C$5)),""),"")</f>
        <v/>
      </c>
      <c r="CA473">
        <f t="shared" ca="1" si="217"/>
        <v>4220275.7177734375</v>
      </c>
      <c r="CB473">
        <f t="shared" ca="1" si="218"/>
        <v>4220275.7177734375</v>
      </c>
      <c r="CC473">
        <f t="shared" ca="1" si="219"/>
        <v>0</v>
      </c>
      <c r="CD473">
        <f t="shared" ca="1" si="220"/>
        <v>159999.99999999659</v>
      </c>
      <c r="CE473">
        <f t="shared" ca="1" si="221"/>
        <v>985475.71777347347</v>
      </c>
      <c r="CF473">
        <f t="shared" ca="1" si="222"/>
        <v>6770475.7177734533</v>
      </c>
      <c r="CG473">
        <f t="shared" ca="1" si="223"/>
        <v>-5784999.9999999795</v>
      </c>
      <c r="CH473" s="10">
        <f>分析データ!A473</f>
        <v>45615</v>
      </c>
    </row>
    <row r="474" spans="46:86">
      <c r="AT474">
        <f ca="1">IF(ROW()&lt;($C$7+1),"",IFERROR((分析データ!B474-AVERAGE(OFFSET(分析データ!B$1,MAX(1,ROW()-$C$7),0,MIN($C$7,ROW()-1),1)))/STDEV(OFFSET(分析データ!B$1,MAX(1,ROW()-$C$7),0,MIN($C$7,ROW()-1),1)),0))</f>
        <v>2.1667404108013337</v>
      </c>
      <c r="AU474">
        <f t="shared" ca="1" si="196"/>
        <v>1</v>
      </c>
      <c r="AV474">
        <f ca="1">IF(AU474=1,IF(INDEX(分析データ!$A:$A,ROW()+$C$5)&lt;&gt;"",80000*SIGN(AT474)*(分析データ!B474-INDEX(分析データ!B:B,ROW()+$C$5)),""),"")</f>
        <v>240000.00000000908</v>
      </c>
      <c r="AW474">
        <f t="shared" ca="1" si="197"/>
        <v>-5719999.9999999823</v>
      </c>
      <c r="AX474">
        <f t="shared" ca="1" si="198"/>
        <v>0</v>
      </c>
      <c r="AY474">
        <f t="shared" ca="1" si="199"/>
        <v>-5719999.9999999823</v>
      </c>
      <c r="AZ474">
        <f ca="1">IF(ROW()&lt;($C$7+1),"",IFERROR((分析データ!C474-AVERAGE(OFFSET(分析データ!C$1,MAX(1,ROW()-$C$7),0,MIN($C$7,ROW()-1),1)))/STDEV(OFFSET(分析データ!C$1,MAX(1,ROW()-$C$7),0,MIN($C$7,ROW()-1),1)),0))</f>
        <v>-1.2704805229977556</v>
      </c>
      <c r="BA474">
        <f t="shared" ca="1" si="200"/>
        <v>0</v>
      </c>
      <c r="BB474" t="str">
        <f ca="1">IF(BA474=1,IF(INDEX(分析データ!$A:$A,ROW()+$C$5)&lt;&gt;"",60000*SIGN(AZ474)*(分析データ!C474-INDEX(分析データ!C:C,ROW()+$C$5)),""),"")</f>
        <v/>
      </c>
      <c r="BC474">
        <f t="shared" ca="1" si="201"/>
        <v>1602000.0000000072</v>
      </c>
      <c r="BD474">
        <f t="shared" ca="1" si="202"/>
        <v>1602000.0000000072</v>
      </c>
      <c r="BE474">
        <f t="shared" ca="1" si="203"/>
        <v>0</v>
      </c>
      <c r="BF474">
        <f ca="1">IF(ROW()&lt;($C$7+1),"",IFERROR((分析データ!D474-AVERAGE(OFFSET(分析データ!D$1,MAX(1,ROW()-$C$7),0,MIN($C$7,ROW()-1),1)))/STDEV(OFFSET(分析データ!D$1,MAX(1,ROW()-$C$7),0,MIN($C$7,ROW()-1),1)),0))</f>
        <v>6.4366807761777278E-2</v>
      </c>
      <c r="BG474">
        <f t="shared" ca="1" si="204"/>
        <v>0</v>
      </c>
      <c r="BH474" t="str">
        <f ca="1">IF(BG474=1,IF(INDEX(分析データ!$A:$A,ROW()+$C$5)&lt;&gt;"",50000*SIGN(BF474)*(分析データ!D474-INDEX(分析データ!D:D,ROW()+$C$5)),""),"")</f>
        <v/>
      </c>
      <c r="BI474">
        <f t="shared" ca="1" si="205"/>
        <v>-779999.99999999418</v>
      </c>
      <c r="BJ474">
        <f t="shared" ca="1" si="206"/>
        <v>1695000.0000000016</v>
      </c>
      <c r="BK474">
        <f t="shared" ca="1" si="207"/>
        <v>-2474999.9999999958</v>
      </c>
      <c r="BL474">
        <f ca="1">IF(ROW()&lt;($C$7+1),"",IFERROR((分析データ!E474-AVERAGE(OFFSET(分析データ!E$1,MAX(1,ROW()-$C$7),0,MIN($C$7,ROW()-1),1)))/STDEV(OFFSET(分析データ!E$1,MAX(1,ROW()-$C$7),0,MIN($C$7,ROW()-1),1)),0))</f>
        <v>0.71981282776900768</v>
      </c>
      <c r="BM474">
        <f t="shared" ca="1" si="208"/>
        <v>0</v>
      </c>
      <c r="BN474" t="str">
        <f ca="1">IF(BM474=1,IF(INDEX(分析データ!$A:$A,ROW()+$C$5)&lt;&gt;"",40000*SIGN(BL474)*(分析データ!E474-INDEX(分析データ!E:E,ROW()+$C$5)),""),"")</f>
        <v/>
      </c>
      <c r="BO474">
        <f t="shared" ca="1" si="209"/>
        <v>1320000.0000000075</v>
      </c>
      <c r="BP474">
        <f t="shared" ca="1" si="210"/>
        <v>1320000.0000000075</v>
      </c>
      <c r="BQ474">
        <f t="shared" ca="1" si="211"/>
        <v>0</v>
      </c>
      <c r="BR474">
        <f ca="1">IF(ROW()&lt;($C$7+1),"",IFERROR((分析データ!F474-AVERAGE(OFFSET(分析データ!F$1,MAX(1,ROW()-$C$7),0,MIN($C$7,ROW()-1),1)))/STDEV(OFFSET(分析データ!F$1,MAX(1,ROW()-$C$7),0,MIN($C$7,ROW()-1),1)),0))</f>
        <v>-1.4076246005616548</v>
      </c>
      <c r="BS474">
        <f t="shared" ca="1" si="212"/>
        <v>0</v>
      </c>
      <c r="BT474" t="str">
        <f ca="1">IF(BS474=1,IF(INDEX(分析データ!$A:$A,ROW()+$C$5)&lt;&gt;"",40000*SIGN(BR474)*(分析データ!F474-INDEX(分析データ!F:F,ROW()+$C$5)),""),"")</f>
        <v/>
      </c>
      <c r="BU474">
        <f t="shared" ca="1" si="213"/>
        <v>583200.00000000163</v>
      </c>
      <c r="BV474">
        <f t="shared" ca="1" si="214"/>
        <v>583200.00000000163</v>
      </c>
      <c r="BW474">
        <f t="shared" ca="1" si="215"/>
        <v>0</v>
      </c>
      <c r="BX474">
        <f ca="1">IF(ROW()&lt;($C$7+1),"",IFERROR((分析データ!G474-AVERAGE(OFFSET(分析データ!G$1,MAX(1,ROW()-$C$7),0,MIN($C$7,ROW()-1),1)))/STDEV(OFFSET(分析データ!G$1,MAX(1,ROW()-$C$7),0,MIN($C$7,ROW()-1),1)),0))</f>
        <v>1.4035682585518463</v>
      </c>
      <c r="BY474">
        <f t="shared" ca="1" si="216"/>
        <v>0</v>
      </c>
      <c r="BZ474" t="str">
        <f ca="1">IF(BY474=1,IF(INDEX(分析データ!$A:$A,ROW()+$C$5)&lt;&gt;"",40000*SIGN(BX474)*(分析データ!G474-INDEX(分析データ!G:G,ROW()+$C$5)),""),"")</f>
        <v/>
      </c>
      <c r="CA474">
        <f t="shared" ca="1" si="217"/>
        <v>4220275.7177734375</v>
      </c>
      <c r="CB474">
        <f t="shared" ca="1" si="218"/>
        <v>4220275.7177734375</v>
      </c>
      <c r="CC474">
        <f t="shared" ca="1" si="219"/>
        <v>0</v>
      </c>
      <c r="CD474">
        <f t="shared" ca="1" si="220"/>
        <v>240000.00000000908</v>
      </c>
      <c r="CE474">
        <f t="shared" ca="1" si="221"/>
        <v>1225475.7177734827</v>
      </c>
      <c r="CF474">
        <f t="shared" ca="1" si="222"/>
        <v>6770475.7177734533</v>
      </c>
      <c r="CG474">
        <f t="shared" ca="1" si="223"/>
        <v>-5544999.9999999702</v>
      </c>
      <c r="CH474" s="10">
        <f>分析データ!A474</f>
        <v>45616</v>
      </c>
    </row>
    <row r="475" spans="46:86">
      <c r="AT475">
        <f ca="1">IF(ROW()&lt;($C$7+1),"",IFERROR((分析データ!B475-AVERAGE(OFFSET(分析データ!B$1,MAX(1,ROW()-$C$7),0,MIN($C$7,ROW()-1),1)))/STDEV(OFFSET(分析データ!B$1,MAX(1,ROW()-$C$7),0,MIN($C$7,ROW()-1),1)),0))</f>
        <v>2.0773205262430832</v>
      </c>
      <c r="AU475">
        <f t="shared" ca="1" si="196"/>
        <v>1</v>
      </c>
      <c r="AV475">
        <f ca="1">IF(AU475=1,IF(INDEX(分析データ!$A:$A,ROW()+$C$5)&lt;&gt;"",80000*SIGN(AT475)*(分析データ!B475-INDEX(分析データ!B:B,ROW()+$C$5)),""),"")</f>
        <v>199999.99999999575</v>
      </c>
      <c r="AW475">
        <f t="shared" ca="1" si="197"/>
        <v>-5519999.999999987</v>
      </c>
      <c r="AX475">
        <f t="shared" ca="1" si="198"/>
        <v>0</v>
      </c>
      <c r="AY475">
        <f t="shared" ca="1" si="199"/>
        <v>-5519999.999999987</v>
      </c>
      <c r="AZ475">
        <f ca="1">IF(ROW()&lt;($C$7+1),"",IFERROR((分析データ!C475-AVERAGE(OFFSET(分析データ!C$1,MAX(1,ROW()-$C$7),0,MIN($C$7,ROW()-1),1)))/STDEV(OFFSET(分析データ!C$1,MAX(1,ROW()-$C$7),0,MIN($C$7,ROW()-1),1)),0))</f>
        <v>-0.98612812496513091</v>
      </c>
      <c r="BA475">
        <f t="shared" ca="1" si="200"/>
        <v>0</v>
      </c>
      <c r="BB475" t="str">
        <f ca="1">IF(BA475=1,IF(INDEX(分析データ!$A:$A,ROW()+$C$5)&lt;&gt;"",60000*SIGN(AZ475)*(分析データ!C475-INDEX(分析データ!C:C,ROW()+$C$5)),""),"")</f>
        <v/>
      </c>
      <c r="BC475">
        <f t="shared" ca="1" si="201"/>
        <v>1602000.0000000072</v>
      </c>
      <c r="BD475">
        <f t="shared" ca="1" si="202"/>
        <v>1602000.0000000072</v>
      </c>
      <c r="BE475">
        <f t="shared" ca="1" si="203"/>
        <v>0</v>
      </c>
      <c r="BF475">
        <f ca="1">IF(ROW()&lt;($C$7+1),"",IFERROR((分析データ!D475-AVERAGE(OFFSET(分析データ!D$1,MAX(1,ROW()-$C$7),0,MIN($C$7,ROW()-1),1)))/STDEV(OFFSET(分析データ!D$1,MAX(1,ROW()-$C$7),0,MIN($C$7,ROW()-1),1)),0))</f>
        <v>3.4562475859296608E-2</v>
      </c>
      <c r="BG475">
        <f t="shared" ca="1" si="204"/>
        <v>0</v>
      </c>
      <c r="BH475" t="str">
        <f ca="1">IF(BG475=1,IF(INDEX(分析データ!$A:$A,ROW()+$C$5)&lt;&gt;"",50000*SIGN(BF475)*(分析データ!D475-INDEX(分析データ!D:D,ROW()+$C$5)),""),"")</f>
        <v/>
      </c>
      <c r="BI475">
        <f t="shared" ca="1" si="205"/>
        <v>-779999.99999999418</v>
      </c>
      <c r="BJ475">
        <f t="shared" ca="1" si="206"/>
        <v>1695000.0000000016</v>
      </c>
      <c r="BK475">
        <f t="shared" ca="1" si="207"/>
        <v>-2474999.9999999958</v>
      </c>
      <c r="BL475">
        <f ca="1">IF(ROW()&lt;($C$7+1),"",IFERROR((分析データ!E475-AVERAGE(OFFSET(分析データ!E$1,MAX(1,ROW()-$C$7),0,MIN($C$7,ROW()-1),1)))/STDEV(OFFSET(分析データ!E$1,MAX(1,ROW()-$C$7),0,MIN($C$7,ROW()-1),1)),0))</f>
        <v>0.71379671614806806</v>
      </c>
      <c r="BM475">
        <f t="shared" ca="1" si="208"/>
        <v>0</v>
      </c>
      <c r="BN475" t="str">
        <f ca="1">IF(BM475=1,IF(INDEX(分析データ!$A:$A,ROW()+$C$5)&lt;&gt;"",40000*SIGN(BL475)*(分析データ!E475-INDEX(分析データ!E:E,ROW()+$C$5)),""),"")</f>
        <v/>
      </c>
      <c r="BO475">
        <f t="shared" ca="1" si="209"/>
        <v>1320000.0000000075</v>
      </c>
      <c r="BP475">
        <f t="shared" ca="1" si="210"/>
        <v>1320000.0000000075</v>
      </c>
      <c r="BQ475">
        <f t="shared" ca="1" si="211"/>
        <v>0</v>
      </c>
      <c r="BR475">
        <f ca="1">IF(ROW()&lt;($C$7+1),"",IFERROR((分析データ!F475-AVERAGE(OFFSET(分析データ!F$1,MAX(1,ROW()-$C$7),0,MIN($C$7,ROW()-1),1)))/STDEV(OFFSET(分析データ!F$1,MAX(1,ROW()-$C$7),0,MIN($C$7,ROW()-1),1)),0))</f>
        <v>-1.1648241323319566</v>
      </c>
      <c r="BS475">
        <f t="shared" ca="1" si="212"/>
        <v>0</v>
      </c>
      <c r="BT475" t="str">
        <f ca="1">IF(BS475=1,IF(INDEX(分析データ!$A:$A,ROW()+$C$5)&lt;&gt;"",40000*SIGN(BR475)*(分析データ!F475-INDEX(分析データ!F:F,ROW()+$C$5)),""),"")</f>
        <v/>
      </c>
      <c r="BU475">
        <f t="shared" ca="1" si="213"/>
        <v>583200.00000000163</v>
      </c>
      <c r="BV475">
        <f t="shared" ca="1" si="214"/>
        <v>583200.00000000163</v>
      </c>
      <c r="BW475">
        <f t="shared" ca="1" si="215"/>
        <v>0</v>
      </c>
      <c r="BX475">
        <f ca="1">IF(ROW()&lt;($C$7+1),"",IFERROR((分析データ!G475-AVERAGE(OFFSET(分析データ!G$1,MAX(1,ROW()-$C$7),0,MIN($C$7,ROW()-1),1)))/STDEV(OFFSET(分析データ!G$1,MAX(1,ROW()-$C$7),0,MIN($C$7,ROW()-1),1)),0))</f>
        <v>1.2368544630794449</v>
      </c>
      <c r="BY475">
        <f t="shared" ca="1" si="216"/>
        <v>0</v>
      </c>
      <c r="BZ475" t="str">
        <f ca="1">IF(BY475=1,IF(INDEX(分析データ!$A:$A,ROW()+$C$5)&lt;&gt;"",40000*SIGN(BX475)*(分析データ!G475-INDEX(分析データ!G:G,ROW()+$C$5)),""),"")</f>
        <v/>
      </c>
      <c r="CA475">
        <f t="shared" ca="1" si="217"/>
        <v>4220275.7177734375</v>
      </c>
      <c r="CB475">
        <f t="shared" ca="1" si="218"/>
        <v>4220275.7177734375</v>
      </c>
      <c r="CC475">
        <f t="shared" ca="1" si="219"/>
        <v>0</v>
      </c>
      <c r="CD475">
        <f t="shared" ca="1" si="220"/>
        <v>199999.99999999575</v>
      </c>
      <c r="CE475">
        <f t="shared" ca="1" si="221"/>
        <v>1425475.7177734785</v>
      </c>
      <c r="CF475">
        <f t="shared" ca="1" si="222"/>
        <v>6770475.7177734533</v>
      </c>
      <c r="CG475">
        <f t="shared" ca="1" si="223"/>
        <v>-5344999.9999999749</v>
      </c>
      <c r="CH475" s="10">
        <f>分析データ!A475</f>
        <v>45617</v>
      </c>
    </row>
    <row r="476" spans="46:86">
      <c r="AT476">
        <f ca="1">IF(ROW()&lt;($C$7+1),"",IFERROR((分析データ!B476-AVERAGE(OFFSET(分析データ!B$1,MAX(1,ROW()-$C$7),0,MIN($C$7,ROW()-1),1)))/STDEV(OFFSET(分析データ!B$1,MAX(1,ROW()-$C$7),0,MIN($C$7,ROW()-1),1)),0))</f>
        <v>1.6829918207842858</v>
      </c>
      <c r="AU476">
        <f t="shared" ca="1" si="196"/>
        <v>0</v>
      </c>
      <c r="AV476" t="str">
        <f ca="1">IF(AU476=1,IF(INDEX(分析データ!$A:$A,ROW()+$C$5)&lt;&gt;"",80000*SIGN(AT476)*(分析データ!B476-INDEX(分析データ!B:B,ROW()+$C$5)),""),"")</f>
        <v/>
      </c>
      <c r="AW476">
        <f t="shared" ca="1" si="197"/>
        <v>-5519999.999999987</v>
      </c>
      <c r="AX476">
        <f t="shared" ca="1" si="198"/>
        <v>0</v>
      </c>
      <c r="AY476">
        <f t="shared" ca="1" si="199"/>
        <v>-5519999.999999987</v>
      </c>
      <c r="AZ476">
        <f ca="1">IF(ROW()&lt;($C$7+1),"",IFERROR((分析データ!C476-AVERAGE(OFFSET(分析データ!C$1,MAX(1,ROW()-$C$7),0,MIN($C$7,ROW()-1),1)))/STDEV(OFFSET(分析データ!C$1,MAX(1,ROW()-$C$7),0,MIN($C$7,ROW()-1),1)),0))</f>
        <v>-1.3055804690945343</v>
      </c>
      <c r="BA476">
        <f t="shared" ca="1" si="200"/>
        <v>0</v>
      </c>
      <c r="BB476" t="str">
        <f ca="1">IF(BA476=1,IF(INDEX(分析データ!$A:$A,ROW()+$C$5)&lt;&gt;"",60000*SIGN(AZ476)*(分析データ!C476-INDEX(分析データ!C:C,ROW()+$C$5)),""),"")</f>
        <v/>
      </c>
      <c r="BC476">
        <f t="shared" ca="1" si="201"/>
        <v>1602000.0000000072</v>
      </c>
      <c r="BD476">
        <f t="shared" ca="1" si="202"/>
        <v>1602000.0000000072</v>
      </c>
      <c r="BE476">
        <f t="shared" ca="1" si="203"/>
        <v>0</v>
      </c>
      <c r="BF476">
        <f ca="1">IF(ROW()&lt;($C$7+1),"",IFERROR((分析データ!D476-AVERAGE(OFFSET(分析データ!D$1,MAX(1,ROW()-$C$7),0,MIN($C$7,ROW()-1),1)))/STDEV(OFFSET(分析データ!D$1,MAX(1,ROW()-$C$7),0,MIN($C$7,ROW()-1),1)),0))</f>
        <v>1.6339787643268044E-2</v>
      </c>
      <c r="BG476">
        <f t="shared" ca="1" si="204"/>
        <v>0</v>
      </c>
      <c r="BH476" t="str">
        <f ca="1">IF(BG476=1,IF(INDEX(分析データ!$A:$A,ROW()+$C$5)&lt;&gt;"",50000*SIGN(BF476)*(分析データ!D476-INDEX(分析データ!D:D,ROW()+$C$5)),""),"")</f>
        <v/>
      </c>
      <c r="BI476">
        <f t="shared" ca="1" si="205"/>
        <v>-779999.99999999418</v>
      </c>
      <c r="BJ476">
        <f t="shared" ca="1" si="206"/>
        <v>1695000.0000000016</v>
      </c>
      <c r="BK476">
        <f t="shared" ca="1" si="207"/>
        <v>-2474999.9999999958</v>
      </c>
      <c r="BL476">
        <f ca="1">IF(ROW()&lt;($C$7+1),"",IFERROR((分析データ!E476-AVERAGE(OFFSET(分析データ!E$1,MAX(1,ROW()-$C$7),0,MIN($C$7,ROW()-1),1)))/STDEV(OFFSET(分析データ!E$1,MAX(1,ROW()-$C$7),0,MIN($C$7,ROW()-1),1)),0))</f>
        <v>0.47512945355372627</v>
      </c>
      <c r="BM476">
        <f t="shared" ca="1" si="208"/>
        <v>0</v>
      </c>
      <c r="BN476" t="str">
        <f ca="1">IF(BM476=1,IF(INDEX(分析データ!$A:$A,ROW()+$C$5)&lt;&gt;"",40000*SIGN(BL476)*(分析データ!E476-INDEX(分析データ!E:E,ROW()+$C$5)),""),"")</f>
        <v/>
      </c>
      <c r="BO476">
        <f t="shared" ca="1" si="209"/>
        <v>1320000.0000000075</v>
      </c>
      <c r="BP476">
        <f t="shared" ca="1" si="210"/>
        <v>1320000.0000000075</v>
      </c>
      <c r="BQ476">
        <f t="shared" ca="1" si="211"/>
        <v>0</v>
      </c>
      <c r="BR476">
        <f ca="1">IF(ROW()&lt;($C$7+1),"",IFERROR((分析データ!F476-AVERAGE(OFFSET(分析データ!F$1,MAX(1,ROW()-$C$7),0,MIN($C$7,ROW()-1),1)))/STDEV(OFFSET(分析データ!F$1,MAX(1,ROW()-$C$7),0,MIN($C$7,ROW()-1),1)),0))</f>
        <v>-1.1824754097030454</v>
      </c>
      <c r="BS476">
        <f t="shared" ca="1" si="212"/>
        <v>0</v>
      </c>
      <c r="BT476" t="str">
        <f ca="1">IF(BS476=1,IF(INDEX(分析データ!$A:$A,ROW()+$C$5)&lt;&gt;"",40000*SIGN(BR476)*(分析データ!F476-INDEX(分析データ!F:F,ROW()+$C$5)),""),"")</f>
        <v/>
      </c>
      <c r="BU476">
        <f t="shared" ca="1" si="213"/>
        <v>583200.00000000163</v>
      </c>
      <c r="BV476">
        <f t="shared" ca="1" si="214"/>
        <v>583200.00000000163</v>
      </c>
      <c r="BW476">
        <f t="shared" ca="1" si="215"/>
        <v>0</v>
      </c>
      <c r="BX476">
        <f ca="1">IF(ROW()&lt;($C$7+1),"",IFERROR((分析データ!G476-AVERAGE(OFFSET(分析データ!G$1,MAX(1,ROW()-$C$7),0,MIN($C$7,ROW()-1),1)))/STDEV(OFFSET(分析データ!G$1,MAX(1,ROW()-$C$7),0,MIN($C$7,ROW()-1),1)),0))</f>
        <v>1.2983968107237023</v>
      </c>
      <c r="BY476">
        <f t="shared" ca="1" si="216"/>
        <v>0</v>
      </c>
      <c r="BZ476" t="str">
        <f ca="1">IF(BY476=1,IF(INDEX(分析データ!$A:$A,ROW()+$C$5)&lt;&gt;"",40000*SIGN(BX476)*(分析データ!G476-INDEX(分析データ!G:G,ROW()+$C$5)),""),"")</f>
        <v/>
      </c>
      <c r="CA476">
        <f t="shared" ca="1" si="217"/>
        <v>4220275.7177734375</v>
      </c>
      <c r="CB476">
        <f t="shared" ca="1" si="218"/>
        <v>4220275.7177734375</v>
      </c>
      <c r="CC476">
        <f t="shared" ca="1" si="219"/>
        <v>0</v>
      </c>
      <c r="CD476">
        <f t="shared" ca="1" si="220"/>
        <v>0</v>
      </c>
      <c r="CE476">
        <f t="shared" ca="1" si="221"/>
        <v>1425475.7177734785</v>
      </c>
      <c r="CF476">
        <f t="shared" ca="1" si="222"/>
        <v>6770475.7177734533</v>
      </c>
      <c r="CG476">
        <f t="shared" ca="1" si="223"/>
        <v>-5344999.9999999749</v>
      </c>
      <c r="CH476" s="10">
        <f>分析データ!A476</f>
        <v>45618</v>
      </c>
    </row>
    <row r="477" spans="46:86">
      <c r="AT477">
        <f ca="1">IF(ROW()&lt;($C$7+1),"",IFERROR((分析データ!B477-AVERAGE(OFFSET(分析データ!B$1,MAX(1,ROW()-$C$7),0,MIN($C$7,ROW()-1),1)))/STDEV(OFFSET(分析データ!B$1,MAX(1,ROW()-$C$7),0,MIN($C$7,ROW()-1),1)),0))</f>
        <v>1.8521151831118852</v>
      </c>
      <c r="AU477">
        <f t="shared" ca="1" si="196"/>
        <v>0</v>
      </c>
      <c r="AV477" t="str">
        <f ca="1">IF(AU477=1,IF(INDEX(分析データ!$A:$A,ROW()+$C$5)&lt;&gt;"",80000*SIGN(AT477)*(分析データ!B477-INDEX(分析データ!B:B,ROW()+$C$5)),""),"")</f>
        <v/>
      </c>
      <c r="AW477">
        <f t="shared" ca="1" si="197"/>
        <v>-5519999.999999987</v>
      </c>
      <c r="AX477">
        <f t="shared" ca="1" si="198"/>
        <v>0</v>
      </c>
      <c r="AY477">
        <f t="shared" ca="1" si="199"/>
        <v>-5519999.999999987</v>
      </c>
      <c r="AZ477">
        <f ca="1">IF(ROW()&lt;($C$7+1),"",IFERROR((分析データ!C477-AVERAGE(OFFSET(分析データ!C$1,MAX(1,ROW()-$C$7),0,MIN($C$7,ROW()-1),1)))/STDEV(OFFSET(分析データ!C$1,MAX(1,ROW()-$C$7),0,MIN($C$7,ROW()-1),1)),0))</f>
        <v>-1.4193168099372515</v>
      </c>
      <c r="BA477">
        <f t="shared" ca="1" si="200"/>
        <v>0</v>
      </c>
      <c r="BB477" t="str">
        <f ca="1">IF(BA477=1,IF(INDEX(分析データ!$A:$A,ROW()+$C$5)&lt;&gt;"",60000*SIGN(AZ477)*(分析データ!C477-INDEX(分析データ!C:C,ROW()+$C$5)),""),"")</f>
        <v/>
      </c>
      <c r="BC477">
        <f t="shared" ca="1" si="201"/>
        <v>1602000.0000000072</v>
      </c>
      <c r="BD477">
        <f t="shared" ca="1" si="202"/>
        <v>1602000.0000000072</v>
      </c>
      <c r="BE477">
        <f t="shared" ca="1" si="203"/>
        <v>0</v>
      </c>
      <c r="BF477">
        <f ca="1">IF(ROW()&lt;($C$7+1),"",IFERROR((分析データ!D477-AVERAGE(OFFSET(分析データ!D$1,MAX(1,ROW()-$C$7),0,MIN($C$7,ROW()-1),1)))/STDEV(OFFSET(分析データ!D$1,MAX(1,ROW()-$C$7),0,MIN($C$7,ROW()-1),1)),0))</f>
        <v>-0.50131164283392649</v>
      </c>
      <c r="BG477">
        <f t="shared" ca="1" si="204"/>
        <v>0</v>
      </c>
      <c r="BH477" t="str">
        <f ca="1">IF(BG477=1,IF(INDEX(分析データ!$A:$A,ROW()+$C$5)&lt;&gt;"",50000*SIGN(BF477)*(分析データ!D477-INDEX(分析データ!D:D,ROW()+$C$5)),""),"")</f>
        <v/>
      </c>
      <c r="BI477">
        <f t="shared" ca="1" si="205"/>
        <v>-779999.99999999418</v>
      </c>
      <c r="BJ477">
        <f t="shared" ca="1" si="206"/>
        <v>1695000.0000000016</v>
      </c>
      <c r="BK477">
        <f t="shared" ca="1" si="207"/>
        <v>-2474999.9999999958</v>
      </c>
      <c r="BL477">
        <f ca="1">IF(ROW()&lt;($C$7+1),"",IFERROR((分析データ!E477-AVERAGE(OFFSET(分析データ!E$1,MAX(1,ROW()-$C$7),0,MIN($C$7,ROW()-1),1)))/STDEV(OFFSET(分析データ!E$1,MAX(1,ROW()-$C$7),0,MIN($C$7,ROW()-1),1)),0))</f>
        <v>0.35394049173655651</v>
      </c>
      <c r="BM477">
        <f t="shared" ca="1" si="208"/>
        <v>0</v>
      </c>
      <c r="BN477" t="str">
        <f ca="1">IF(BM477=1,IF(INDEX(分析データ!$A:$A,ROW()+$C$5)&lt;&gt;"",40000*SIGN(BL477)*(分析データ!E477-INDEX(分析データ!E:E,ROW()+$C$5)),""),"")</f>
        <v/>
      </c>
      <c r="BO477">
        <f t="shared" ca="1" si="209"/>
        <v>1320000.0000000075</v>
      </c>
      <c r="BP477">
        <f t="shared" ca="1" si="210"/>
        <v>1320000.0000000075</v>
      </c>
      <c r="BQ477">
        <f t="shared" ca="1" si="211"/>
        <v>0</v>
      </c>
      <c r="BR477">
        <f ca="1">IF(ROW()&lt;($C$7+1),"",IFERROR((分析データ!F477-AVERAGE(OFFSET(分析データ!F$1,MAX(1,ROW()-$C$7),0,MIN($C$7,ROW()-1),1)))/STDEV(OFFSET(分析データ!F$1,MAX(1,ROW()-$C$7),0,MIN($C$7,ROW()-1),1)),0))</f>
        <v>-0.58365165623198345</v>
      </c>
      <c r="BS477">
        <f t="shared" ca="1" si="212"/>
        <v>0</v>
      </c>
      <c r="BT477" t="str">
        <f ca="1">IF(BS477=1,IF(INDEX(分析データ!$A:$A,ROW()+$C$5)&lt;&gt;"",40000*SIGN(BR477)*(分析データ!F477-INDEX(分析データ!F:F,ROW()+$C$5)),""),"")</f>
        <v/>
      </c>
      <c r="BU477">
        <f t="shared" ca="1" si="213"/>
        <v>583200.00000000163</v>
      </c>
      <c r="BV477">
        <f t="shared" ca="1" si="214"/>
        <v>583200.00000000163</v>
      </c>
      <c r="BW477">
        <f t="shared" ca="1" si="215"/>
        <v>0</v>
      </c>
      <c r="BX477">
        <f ca="1">IF(ROW()&lt;($C$7+1),"",IFERROR((分析データ!G477-AVERAGE(OFFSET(分析データ!G$1,MAX(1,ROW()-$C$7),0,MIN($C$7,ROW()-1),1)))/STDEV(OFFSET(分析データ!G$1,MAX(1,ROW()-$C$7),0,MIN($C$7,ROW()-1),1)),0))</f>
        <v>1.534514392032003</v>
      </c>
      <c r="BY477">
        <f t="shared" ca="1" si="216"/>
        <v>0</v>
      </c>
      <c r="BZ477" t="str">
        <f ca="1">IF(BY477=1,IF(INDEX(分析データ!$A:$A,ROW()+$C$5)&lt;&gt;"",40000*SIGN(BX477)*(分析データ!G477-INDEX(分析データ!G:G,ROW()+$C$5)),""),"")</f>
        <v/>
      </c>
      <c r="CA477">
        <f t="shared" ca="1" si="217"/>
        <v>4220275.7177734375</v>
      </c>
      <c r="CB477">
        <f t="shared" ca="1" si="218"/>
        <v>4220275.7177734375</v>
      </c>
      <c r="CC477">
        <f t="shared" ca="1" si="219"/>
        <v>0</v>
      </c>
      <c r="CD477">
        <f t="shared" ca="1" si="220"/>
        <v>0</v>
      </c>
      <c r="CE477">
        <f t="shared" ca="1" si="221"/>
        <v>1425475.7177734785</v>
      </c>
      <c r="CF477">
        <f t="shared" ca="1" si="222"/>
        <v>6770475.7177734533</v>
      </c>
      <c r="CG477">
        <f t="shared" ca="1" si="223"/>
        <v>-5344999.9999999749</v>
      </c>
      <c r="CH477" s="10">
        <f>分析データ!A477</f>
        <v>45621</v>
      </c>
    </row>
    <row r="478" spans="46:86">
      <c r="AT478">
        <f ca="1">IF(ROW()&lt;($C$7+1),"",IFERROR((分析データ!B478-AVERAGE(OFFSET(分析データ!B$1,MAX(1,ROW()-$C$7),0,MIN($C$7,ROW()-1),1)))/STDEV(OFFSET(分析データ!B$1,MAX(1,ROW()-$C$7),0,MIN($C$7,ROW()-1),1)),0))</f>
        <v>2.0162454305700912</v>
      </c>
      <c r="AU478">
        <f t="shared" ca="1" si="196"/>
        <v>1</v>
      </c>
      <c r="AV478">
        <f ca="1">IF(AU478=1,IF(INDEX(分析データ!$A:$A,ROW()+$C$5)&lt;&gt;"",80000*SIGN(AT478)*(分析データ!B478-INDEX(分析データ!B:B,ROW()+$C$5)),""),"")</f>
        <v>79999.999999998297</v>
      </c>
      <c r="AW478">
        <f t="shared" ca="1" si="197"/>
        <v>-5439999.9999999888</v>
      </c>
      <c r="AX478">
        <f t="shared" ca="1" si="198"/>
        <v>0</v>
      </c>
      <c r="AY478">
        <f t="shared" ca="1" si="199"/>
        <v>-5439999.9999999888</v>
      </c>
      <c r="AZ478">
        <f ca="1">IF(ROW()&lt;($C$7+1),"",IFERROR((分析データ!C478-AVERAGE(OFFSET(分析データ!C$1,MAX(1,ROW()-$C$7),0,MIN($C$7,ROW()-1),1)))/STDEV(OFFSET(分析データ!C$1,MAX(1,ROW()-$C$7),0,MIN($C$7,ROW()-1),1)),0))</f>
        <v>-1.5475481529705084</v>
      </c>
      <c r="BA478">
        <f t="shared" ca="1" si="200"/>
        <v>0</v>
      </c>
      <c r="BB478" t="str">
        <f ca="1">IF(BA478=1,IF(INDEX(分析データ!$A:$A,ROW()+$C$5)&lt;&gt;"",60000*SIGN(AZ478)*(分析データ!C478-INDEX(分析データ!C:C,ROW()+$C$5)),""),"")</f>
        <v/>
      </c>
      <c r="BC478">
        <f t="shared" ca="1" si="201"/>
        <v>1602000.0000000072</v>
      </c>
      <c r="BD478">
        <f t="shared" ca="1" si="202"/>
        <v>1602000.0000000072</v>
      </c>
      <c r="BE478">
        <f t="shared" ca="1" si="203"/>
        <v>0</v>
      </c>
      <c r="BF478">
        <f ca="1">IF(ROW()&lt;($C$7+1),"",IFERROR((分析データ!D478-AVERAGE(OFFSET(分析データ!D$1,MAX(1,ROW()-$C$7),0,MIN($C$7,ROW()-1),1)))/STDEV(OFFSET(分析データ!D$1,MAX(1,ROW()-$C$7),0,MIN($C$7,ROW()-1),1)),0))</f>
        <v>-0.33618721533278295</v>
      </c>
      <c r="BG478">
        <f t="shared" ca="1" si="204"/>
        <v>0</v>
      </c>
      <c r="BH478" t="str">
        <f ca="1">IF(BG478=1,IF(INDEX(分析データ!$A:$A,ROW()+$C$5)&lt;&gt;"",50000*SIGN(BF478)*(分析データ!D478-INDEX(分析データ!D:D,ROW()+$C$5)),""),"")</f>
        <v/>
      </c>
      <c r="BI478">
        <f t="shared" ca="1" si="205"/>
        <v>-779999.99999999418</v>
      </c>
      <c r="BJ478">
        <f t="shared" ca="1" si="206"/>
        <v>1695000.0000000016</v>
      </c>
      <c r="BK478">
        <f t="shared" ca="1" si="207"/>
        <v>-2474999.9999999958</v>
      </c>
      <c r="BL478">
        <f ca="1">IF(ROW()&lt;($C$7+1),"",IFERROR((分析データ!E478-AVERAGE(OFFSET(分析データ!E$1,MAX(1,ROW()-$C$7),0,MIN($C$7,ROW()-1),1)))/STDEV(OFFSET(分析データ!E$1,MAX(1,ROW()-$C$7),0,MIN($C$7,ROW()-1),1)),0))</f>
        <v>0.69898913800149032</v>
      </c>
      <c r="BM478">
        <f t="shared" ca="1" si="208"/>
        <v>0</v>
      </c>
      <c r="BN478" t="str">
        <f ca="1">IF(BM478=1,IF(INDEX(分析データ!$A:$A,ROW()+$C$5)&lt;&gt;"",40000*SIGN(BL478)*(分析データ!E478-INDEX(分析データ!E:E,ROW()+$C$5)),""),"")</f>
        <v/>
      </c>
      <c r="BO478">
        <f t="shared" ca="1" si="209"/>
        <v>1320000.0000000075</v>
      </c>
      <c r="BP478">
        <f t="shared" ca="1" si="210"/>
        <v>1320000.0000000075</v>
      </c>
      <c r="BQ478">
        <f t="shared" ca="1" si="211"/>
        <v>0</v>
      </c>
      <c r="BR478">
        <f ca="1">IF(ROW()&lt;($C$7+1),"",IFERROR((分析データ!F478-AVERAGE(OFFSET(分析データ!F$1,MAX(1,ROW()-$C$7),0,MIN($C$7,ROW()-1),1)))/STDEV(OFFSET(分析データ!F$1,MAX(1,ROW()-$C$7),0,MIN($C$7,ROW()-1),1)),0))</f>
        <v>-1.4216735723408325</v>
      </c>
      <c r="BS478">
        <f t="shared" ca="1" si="212"/>
        <v>0</v>
      </c>
      <c r="BT478" t="str">
        <f ca="1">IF(BS478=1,IF(INDEX(分析データ!$A:$A,ROW()+$C$5)&lt;&gt;"",40000*SIGN(BR478)*(分析データ!F478-INDEX(分析データ!F:F,ROW()+$C$5)),""),"")</f>
        <v/>
      </c>
      <c r="BU478">
        <f t="shared" ca="1" si="213"/>
        <v>583200.00000000163</v>
      </c>
      <c r="BV478">
        <f t="shared" ca="1" si="214"/>
        <v>583200.00000000163</v>
      </c>
      <c r="BW478">
        <f t="shared" ca="1" si="215"/>
        <v>0</v>
      </c>
      <c r="BX478">
        <f ca="1">IF(ROW()&lt;($C$7+1),"",IFERROR((分析データ!G478-AVERAGE(OFFSET(分析データ!G$1,MAX(1,ROW()-$C$7),0,MIN($C$7,ROW()-1),1)))/STDEV(OFFSET(分析データ!G$1,MAX(1,ROW()-$C$7),0,MIN($C$7,ROW()-1),1)),0))</f>
        <v>2.0264729215956483</v>
      </c>
      <c r="BY478">
        <f t="shared" ca="1" si="216"/>
        <v>1</v>
      </c>
      <c r="BZ478">
        <f ca="1">IF(BY478=1,IF(INDEX(分析データ!$A:$A,ROW()+$C$5)&lt;&gt;"",40000*SIGN(BX478)*(分析データ!G478-INDEX(分析データ!G:G,ROW()+$C$5)),""),"")</f>
        <v>308331.42578124866</v>
      </c>
      <c r="CA478">
        <f t="shared" ca="1" si="217"/>
        <v>4528607.1435546866</v>
      </c>
      <c r="CB478">
        <f t="shared" ca="1" si="218"/>
        <v>4528607.1435546866</v>
      </c>
      <c r="CC478">
        <f t="shared" ca="1" si="219"/>
        <v>0</v>
      </c>
      <c r="CD478">
        <f t="shared" ca="1" si="220"/>
        <v>388331.42578124697</v>
      </c>
      <c r="CE478">
        <f t="shared" ca="1" si="221"/>
        <v>1813807.1435547255</v>
      </c>
      <c r="CF478">
        <f t="shared" ca="1" si="222"/>
        <v>6770475.7177734533</v>
      </c>
      <c r="CG478">
        <f t="shared" ca="1" si="223"/>
        <v>-4956668.5742187276</v>
      </c>
      <c r="CH478" s="10">
        <f>分析データ!A478</f>
        <v>45622</v>
      </c>
    </row>
    <row r="479" spans="46:86">
      <c r="AT479">
        <f ca="1">IF(ROW()&lt;($C$7+1),"",IFERROR((分析データ!B479-AVERAGE(OFFSET(分析データ!B$1,MAX(1,ROW()-$C$7),0,MIN($C$7,ROW()-1),1)))/STDEV(OFFSET(分析データ!B$1,MAX(1,ROW()-$C$7),0,MIN($C$7,ROW()-1),1)),0))</f>
        <v>1.7488614971937315</v>
      </c>
      <c r="AU479">
        <f t="shared" ca="1" si="196"/>
        <v>0</v>
      </c>
      <c r="AV479" t="str">
        <f ca="1">IF(AU479=1,IF(INDEX(分析データ!$A:$A,ROW()+$C$5)&lt;&gt;"",80000*SIGN(AT479)*(分析データ!B479-INDEX(分析データ!B:B,ROW()+$C$5)),""),"")</f>
        <v/>
      </c>
      <c r="AW479">
        <f t="shared" ca="1" si="197"/>
        <v>-5439999.9999999888</v>
      </c>
      <c r="AX479">
        <f t="shared" ca="1" si="198"/>
        <v>0</v>
      </c>
      <c r="AY479">
        <f t="shared" ca="1" si="199"/>
        <v>-5439999.9999999888</v>
      </c>
      <c r="AZ479">
        <f ca="1">IF(ROW()&lt;($C$7+1),"",IFERROR((分析データ!C479-AVERAGE(OFFSET(分析データ!C$1,MAX(1,ROW()-$C$7),0,MIN($C$7,ROW()-1),1)))/STDEV(OFFSET(分析データ!C$1,MAX(1,ROW()-$C$7),0,MIN($C$7,ROW()-1),1)),0))</f>
        <v>-1.5945586905496207</v>
      </c>
      <c r="BA479">
        <f t="shared" ca="1" si="200"/>
        <v>0</v>
      </c>
      <c r="BB479" t="str">
        <f ca="1">IF(BA479=1,IF(INDEX(分析データ!$A:$A,ROW()+$C$5)&lt;&gt;"",60000*SIGN(AZ479)*(分析データ!C479-INDEX(分析データ!C:C,ROW()+$C$5)),""),"")</f>
        <v/>
      </c>
      <c r="BC479">
        <f t="shared" ca="1" si="201"/>
        <v>1602000.0000000072</v>
      </c>
      <c r="BD479">
        <f t="shared" ca="1" si="202"/>
        <v>1602000.0000000072</v>
      </c>
      <c r="BE479">
        <f t="shared" ca="1" si="203"/>
        <v>0</v>
      </c>
      <c r="BF479">
        <f ca="1">IF(ROW()&lt;($C$7+1),"",IFERROR((分析データ!D479-AVERAGE(OFFSET(分析データ!D$1,MAX(1,ROW()-$C$7),0,MIN($C$7,ROW()-1),1)))/STDEV(OFFSET(分析データ!D$1,MAX(1,ROW()-$C$7),0,MIN($C$7,ROW()-1),1)),0))</f>
        <v>-0.56613393722813143</v>
      </c>
      <c r="BG479">
        <f t="shared" ca="1" si="204"/>
        <v>0</v>
      </c>
      <c r="BH479" t="str">
        <f ca="1">IF(BG479=1,IF(INDEX(分析データ!$A:$A,ROW()+$C$5)&lt;&gt;"",50000*SIGN(BF479)*(分析データ!D479-INDEX(分析データ!D:D,ROW()+$C$5)),""),"")</f>
        <v/>
      </c>
      <c r="BI479">
        <f t="shared" ca="1" si="205"/>
        <v>-779999.99999999418</v>
      </c>
      <c r="BJ479">
        <f t="shared" ca="1" si="206"/>
        <v>1695000.0000000016</v>
      </c>
      <c r="BK479">
        <f t="shared" ca="1" si="207"/>
        <v>-2474999.9999999958</v>
      </c>
      <c r="BL479">
        <f ca="1">IF(ROW()&lt;($C$7+1),"",IFERROR((分析データ!E479-AVERAGE(OFFSET(分析データ!E$1,MAX(1,ROW()-$C$7),0,MIN($C$7,ROW()-1),1)))/STDEV(OFFSET(分析データ!E$1,MAX(1,ROW()-$C$7),0,MIN($C$7,ROW()-1),1)),0))</f>
        <v>0.80950082619820751</v>
      </c>
      <c r="BM479">
        <f t="shared" ca="1" si="208"/>
        <v>0</v>
      </c>
      <c r="BN479" t="str">
        <f ca="1">IF(BM479=1,IF(INDEX(分析データ!$A:$A,ROW()+$C$5)&lt;&gt;"",40000*SIGN(BL479)*(分析データ!E479-INDEX(分析データ!E:E,ROW()+$C$5)),""),"")</f>
        <v/>
      </c>
      <c r="BO479">
        <f t="shared" ca="1" si="209"/>
        <v>1320000.0000000075</v>
      </c>
      <c r="BP479">
        <f t="shared" ca="1" si="210"/>
        <v>1320000.0000000075</v>
      </c>
      <c r="BQ479">
        <f t="shared" ca="1" si="211"/>
        <v>0</v>
      </c>
      <c r="BR479">
        <f ca="1">IF(ROW()&lt;($C$7+1),"",IFERROR((分析データ!F479-AVERAGE(OFFSET(分析データ!F$1,MAX(1,ROW()-$C$7),0,MIN($C$7,ROW()-1),1)))/STDEV(OFFSET(分析データ!F$1,MAX(1,ROW()-$C$7),0,MIN($C$7,ROW()-1),1)),0))</f>
        <v>-1.0640295405226439</v>
      </c>
      <c r="BS479">
        <f t="shared" ca="1" si="212"/>
        <v>0</v>
      </c>
      <c r="BT479" t="str">
        <f ca="1">IF(BS479=1,IF(INDEX(分析データ!$A:$A,ROW()+$C$5)&lt;&gt;"",40000*SIGN(BR479)*(分析データ!F479-INDEX(分析データ!F:F,ROW()+$C$5)),""),"")</f>
        <v/>
      </c>
      <c r="BU479">
        <f t="shared" ca="1" si="213"/>
        <v>583200.00000000163</v>
      </c>
      <c r="BV479">
        <f t="shared" ca="1" si="214"/>
        <v>583200.00000000163</v>
      </c>
      <c r="BW479">
        <f t="shared" ca="1" si="215"/>
        <v>0</v>
      </c>
      <c r="BX479">
        <f ca="1">IF(ROW()&lt;($C$7+1),"",IFERROR((分析データ!G479-AVERAGE(OFFSET(分析データ!G$1,MAX(1,ROW()-$C$7),0,MIN($C$7,ROW()-1),1)))/STDEV(OFFSET(分析データ!G$1,MAX(1,ROW()-$C$7),0,MIN($C$7,ROW()-1),1)),0))</f>
        <v>1.8375957557153044</v>
      </c>
      <c r="BY479">
        <f t="shared" ca="1" si="216"/>
        <v>0</v>
      </c>
      <c r="BZ479" t="str">
        <f ca="1">IF(BY479=1,IF(INDEX(分析データ!$A:$A,ROW()+$C$5)&lt;&gt;"",40000*SIGN(BX479)*(分析データ!G479-INDEX(分析データ!G:G,ROW()+$C$5)),""),"")</f>
        <v/>
      </c>
      <c r="CA479">
        <f t="shared" ca="1" si="217"/>
        <v>4528607.1435546866</v>
      </c>
      <c r="CB479">
        <f t="shared" ca="1" si="218"/>
        <v>4528607.1435546866</v>
      </c>
      <c r="CC479">
        <f t="shared" ca="1" si="219"/>
        <v>0</v>
      </c>
      <c r="CD479">
        <f t="shared" ca="1" si="220"/>
        <v>0</v>
      </c>
      <c r="CE479">
        <f t="shared" ca="1" si="221"/>
        <v>1813807.1435547255</v>
      </c>
      <c r="CF479">
        <f t="shared" ca="1" si="222"/>
        <v>6770475.7177734533</v>
      </c>
      <c r="CG479">
        <f t="shared" ca="1" si="223"/>
        <v>-4956668.5742187276</v>
      </c>
      <c r="CH479" s="10">
        <f>分析データ!A479</f>
        <v>45623</v>
      </c>
    </row>
    <row r="480" spans="46:86">
      <c r="AT480">
        <f ca="1">IF(ROW()&lt;($C$7+1),"",IFERROR((分析データ!B480-AVERAGE(OFFSET(分析データ!B$1,MAX(1,ROW()-$C$7),0,MIN($C$7,ROW()-1),1)))/STDEV(OFFSET(分析データ!B$1,MAX(1,ROW()-$C$7),0,MIN($C$7,ROW()-1),1)),0))</f>
        <v>1.7313259576222921</v>
      </c>
      <c r="AU480">
        <f t="shared" ca="1" si="196"/>
        <v>0</v>
      </c>
      <c r="AV480" t="str">
        <f ca="1">IF(AU480=1,IF(INDEX(分析データ!$A:$A,ROW()+$C$5)&lt;&gt;"",80000*SIGN(AT480)*(分析データ!B480-INDEX(分析データ!B:B,ROW()+$C$5)),""),"")</f>
        <v/>
      </c>
      <c r="AW480">
        <f t="shared" ca="1" si="197"/>
        <v>-5439999.9999999888</v>
      </c>
      <c r="AX480">
        <f t="shared" ca="1" si="198"/>
        <v>0</v>
      </c>
      <c r="AY480">
        <f t="shared" ca="1" si="199"/>
        <v>-5439999.9999999888</v>
      </c>
      <c r="AZ480">
        <f ca="1">IF(ROW()&lt;($C$7+1),"",IFERROR((分析データ!C480-AVERAGE(OFFSET(分析データ!C$1,MAX(1,ROW()-$C$7),0,MIN($C$7,ROW()-1),1)))/STDEV(OFFSET(分析データ!C$1,MAX(1,ROW()-$C$7),0,MIN($C$7,ROW()-1),1)),0))</f>
        <v>-1.7472802612799327</v>
      </c>
      <c r="BA480">
        <f t="shared" ca="1" si="200"/>
        <v>0</v>
      </c>
      <c r="BB480" t="str">
        <f ca="1">IF(BA480=1,IF(INDEX(分析データ!$A:$A,ROW()+$C$5)&lt;&gt;"",60000*SIGN(AZ480)*(分析データ!C480-INDEX(分析データ!C:C,ROW()+$C$5)),""),"")</f>
        <v/>
      </c>
      <c r="BC480">
        <f t="shared" ca="1" si="201"/>
        <v>1602000.0000000072</v>
      </c>
      <c r="BD480">
        <f t="shared" ca="1" si="202"/>
        <v>1602000.0000000072</v>
      </c>
      <c r="BE480">
        <f t="shared" ca="1" si="203"/>
        <v>0</v>
      </c>
      <c r="BF480">
        <f ca="1">IF(ROW()&lt;($C$7+1),"",IFERROR((分析データ!D480-AVERAGE(OFFSET(分析データ!D$1,MAX(1,ROW()-$C$7),0,MIN($C$7,ROW()-1),1)))/STDEV(OFFSET(分析データ!D$1,MAX(1,ROW()-$C$7),0,MIN($C$7,ROW()-1),1)),0))</f>
        <v>-0.76439615335281097</v>
      </c>
      <c r="BG480">
        <f t="shared" ca="1" si="204"/>
        <v>0</v>
      </c>
      <c r="BH480" t="str">
        <f ca="1">IF(BG480=1,IF(INDEX(分析データ!$A:$A,ROW()+$C$5)&lt;&gt;"",50000*SIGN(BF480)*(分析データ!D480-INDEX(分析データ!D:D,ROW()+$C$5)),""),"")</f>
        <v/>
      </c>
      <c r="BI480">
        <f t="shared" ca="1" si="205"/>
        <v>-779999.99999999418</v>
      </c>
      <c r="BJ480">
        <f t="shared" ca="1" si="206"/>
        <v>1695000.0000000016</v>
      </c>
      <c r="BK480">
        <f t="shared" ca="1" si="207"/>
        <v>-2474999.9999999958</v>
      </c>
      <c r="BL480">
        <f ca="1">IF(ROW()&lt;($C$7+1),"",IFERROR((分析データ!E480-AVERAGE(OFFSET(分析データ!E$1,MAX(1,ROW()-$C$7),0,MIN($C$7,ROW()-1),1)))/STDEV(OFFSET(分析データ!E$1,MAX(1,ROW()-$C$7),0,MIN($C$7,ROW()-1),1)),0))</f>
        <v>0.68666495741006195</v>
      </c>
      <c r="BM480">
        <f t="shared" ca="1" si="208"/>
        <v>0</v>
      </c>
      <c r="BN480" t="str">
        <f ca="1">IF(BM480=1,IF(INDEX(分析データ!$A:$A,ROW()+$C$5)&lt;&gt;"",40000*SIGN(BL480)*(分析データ!E480-INDEX(分析データ!E:E,ROW()+$C$5)),""),"")</f>
        <v/>
      </c>
      <c r="BO480">
        <f t="shared" ca="1" si="209"/>
        <v>1320000.0000000075</v>
      </c>
      <c r="BP480">
        <f t="shared" ca="1" si="210"/>
        <v>1320000.0000000075</v>
      </c>
      <c r="BQ480">
        <f t="shared" ca="1" si="211"/>
        <v>0</v>
      </c>
      <c r="BR480">
        <f ca="1">IF(ROW()&lt;($C$7+1),"",IFERROR((分析データ!F480-AVERAGE(OFFSET(分析データ!F$1,MAX(1,ROW()-$C$7),0,MIN($C$7,ROW()-1),1)))/STDEV(OFFSET(分析データ!F$1,MAX(1,ROW()-$C$7),0,MIN($C$7,ROW()-1),1)),0))</f>
        <v>-0.75188154576674493</v>
      </c>
      <c r="BS480">
        <f t="shared" ca="1" si="212"/>
        <v>0</v>
      </c>
      <c r="BT480" t="str">
        <f ca="1">IF(BS480=1,IF(INDEX(分析データ!$A:$A,ROW()+$C$5)&lt;&gt;"",40000*SIGN(BR480)*(分析データ!F480-INDEX(分析データ!F:F,ROW()+$C$5)),""),"")</f>
        <v/>
      </c>
      <c r="BU480">
        <f t="shared" ca="1" si="213"/>
        <v>583200.00000000163</v>
      </c>
      <c r="BV480">
        <f t="shared" ca="1" si="214"/>
        <v>583200.00000000163</v>
      </c>
      <c r="BW480">
        <f t="shared" ca="1" si="215"/>
        <v>0</v>
      </c>
      <c r="BX480">
        <f ca="1">IF(ROW()&lt;($C$7+1),"",IFERROR((分析データ!G480-AVERAGE(OFFSET(分析データ!G$1,MAX(1,ROW()-$C$7),0,MIN($C$7,ROW()-1),1)))/STDEV(OFFSET(分析データ!G$1,MAX(1,ROW()-$C$7),0,MIN($C$7,ROW()-1),1)),0))</f>
        <v>1.7705889917281761</v>
      </c>
      <c r="BY480">
        <f t="shared" ca="1" si="216"/>
        <v>0</v>
      </c>
      <c r="BZ480" t="str">
        <f ca="1">IF(BY480=1,IF(INDEX(分析データ!$A:$A,ROW()+$C$5)&lt;&gt;"",40000*SIGN(BX480)*(分析データ!G480-INDEX(分析データ!G:G,ROW()+$C$5)),""),"")</f>
        <v/>
      </c>
      <c r="CA480">
        <f t="shared" ca="1" si="217"/>
        <v>4528607.1435546866</v>
      </c>
      <c r="CB480">
        <f t="shared" ca="1" si="218"/>
        <v>4528607.1435546866</v>
      </c>
      <c r="CC480">
        <f t="shared" ca="1" si="219"/>
        <v>0</v>
      </c>
      <c r="CD480">
        <f t="shared" ca="1" si="220"/>
        <v>0</v>
      </c>
      <c r="CE480">
        <f t="shared" ca="1" si="221"/>
        <v>1813807.1435547255</v>
      </c>
      <c r="CF480">
        <f t="shared" ca="1" si="222"/>
        <v>6770475.7177734533</v>
      </c>
      <c r="CG480">
        <f t="shared" ca="1" si="223"/>
        <v>-4956668.5742187276</v>
      </c>
      <c r="CH480" s="10">
        <f>分析データ!A480</f>
        <v>45625</v>
      </c>
    </row>
    <row r="481" spans="46:86">
      <c r="AT481">
        <f ca="1">IF(ROW()&lt;($C$7+1),"",IFERROR((分析データ!B481-AVERAGE(OFFSET(分析データ!B$1,MAX(1,ROW()-$C$7),0,MIN($C$7,ROW()-1),1)))/STDEV(OFFSET(分析データ!B$1,MAX(1,ROW()-$C$7),0,MIN($C$7,ROW()-1),1)),0))</f>
        <v>1.5923371083309223</v>
      </c>
      <c r="AU481">
        <f t="shared" ca="1" si="196"/>
        <v>0</v>
      </c>
      <c r="AV481" t="str">
        <f ca="1">IF(AU481=1,IF(INDEX(分析データ!$A:$A,ROW()+$C$5)&lt;&gt;"",80000*SIGN(AT481)*(分析データ!B481-INDEX(分析データ!B:B,ROW()+$C$5)),""),"")</f>
        <v/>
      </c>
      <c r="AW481">
        <f t="shared" ca="1" si="197"/>
        <v>-5439999.9999999888</v>
      </c>
      <c r="AX481">
        <f t="shared" ca="1" si="198"/>
        <v>0</v>
      </c>
      <c r="AY481">
        <f t="shared" ca="1" si="199"/>
        <v>-5439999.9999999888</v>
      </c>
      <c r="AZ481">
        <f ca="1">IF(ROW()&lt;($C$7+1),"",IFERROR((分析データ!C481-AVERAGE(OFFSET(分析データ!C$1,MAX(1,ROW()-$C$7),0,MIN($C$7,ROW()-1),1)))/STDEV(OFFSET(分析データ!C$1,MAX(1,ROW()-$C$7),0,MIN($C$7,ROW()-1),1)),0))</f>
        <v>-1.5133634989424503</v>
      </c>
      <c r="BA481">
        <f t="shared" ca="1" si="200"/>
        <v>0</v>
      </c>
      <c r="BB481" t="str">
        <f ca="1">IF(BA481=1,IF(INDEX(分析データ!$A:$A,ROW()+$C$5)&lt;&gt;"",60000*SIGN(AZ481)*(分析データ!C481-INDEX(分析データ!C:C,ROW()+$C$5)),""),"")</f>
        <v/>
      </c>
      <c r="BC481">
        <f t="shared" ca="1" si="201"/>
        <v>1602000.0000000072</v>
      </c>
      <c r="BD481">
        <f t="shared" ca="1" si="202"/>
        <v>1602000.0000000072</v>
      </c>
      <c r="BE481">
        <f t="shared" ca="1" si="203"/>
        <v>0</v>
      </c>
      <c r="BF481">
        <f ca="1">IF(ROW()&lt;($C$7+1),"",IFERROR((分析データ!D481-AVERAGE(OFFSET(分析データ!D$1,MAX(1,ROW()-$C$7),0,MIN($C$7,ROW()-1),1)))/STDEV(OFFSET(分析データ!D$1,MAX(1,ROW()-$C$7),0,MIN($C$7,ROW()-1),1)),0))</f>
        <v>-0.8259800923350874</v>
      </c>
      <c r="BG481">
        <f t="shared" ca="1" si="204"/>
        <v>0</v>
      </c>
      <c r="BH481" t="str">
        <f ca="1">IF(BG481=1,IF(INDEX(分析データ!$A:$A,ROW()+$C$5)&lt;&gt;"",50000*SIGN(BF481)*(分析データ!D481-INDEX(分析データ!D:D,ROW()+$C$5)),""),"")</f>
        <v/>
      </c>
      <c r="BI481">
        <f t="shared" ca="1" si="205"/>
        <v>-779999.99999999418</v>
      </c>
      <c r="BJ481">
        <f t="shared" ca="1" si="206"/>
        <v>1695000.0000000016</v>
      </c>
      <c r="BK481">
        <f t="shared" ca="1" si="207"/>
        <v>-2474999.9999999958</v>
      </c>
      <c r="BL481">
        <f ca="1">IF(ROW()&lt;($C$7+1),"",IFERROR((分析データ!E481-AVERAGE(OFFSET(分析データ!E$1,MAX(1,ROW()-$C$7),0,MIN($C$7,ROW()-1),1)))/STDEV(OFFSET(分析データ!E$1,MAX(1,ROW()-$C$7),0,MIN($C$7,ROW()-1),1)),0))</f>
        <v>0.4491175343458505</v>
      </c>
      <c r="BM481">
        <f t="shared" ca="1" si="208"/>
        <v>0</v>
      </c>
      <c r="BN481" t="str">
        <f ca="1">IF(BM481=1,IF(INDEX(分析データ!$A:$A,ROW()+$C$5)&lt;&gt;"",40000*SIGN(BL481)*(分析データ!E481-INDEX(分析データ!E:E,ROW()+$C$5)),""),"")</f>
        <v/>
      </c>
      <c r="BO481">
        <f t="shared" ca="1" si="209"/>
        <v>1320000.0000000075</v>
      </c>
      <c r="BP481">
        <f t="shared" ca="1" si="210"/>
        <v>1320000.0000000075</v>
      </c>
      <c r="BQ481">
        <f t="shared" ca="1" si="211"/>
        <v>0</v>
      </c>
      <c r="BR481">
        <f ca="1">IF(ROW()&lt;($C$7+1),"",IFERROR((分析データ!F481-AVERAGE(OFFSET(分析データ!F$1,MAX(1,ROW()-$C$7),0,MIN($C$7,ROW()-1),1)))/STDEV(OFFSET(分析データ!F$1,MAX(1,ROW()-$C$7),0,MIN($C$7,ROW()-1),1)),0))</f>
        <v>-1.1597569575694673</v>
      </c>
      <c r="BS481">
        <f t="shared" ca="1" si="212"/>
        <v>0</v>
      </c>
      <c r="BT481" t="str">
        <f ca="1">IF(BS481=1,IF(INDEX(分析データ!$A:$A,ROW()+$C$5)&lt;&gt;"",40000*SIGN(BR481)*(分析データ!F481-INDEX(分析データ!F:F,ROW()+$C$5)),""),"")</f>
        <v/>
      </c>
      <c r="BU481">
        <f t="shared" ca="1" si="213"/>
        <v>583200.00000000163</v>
      </c>
      <c r="BV481">
        <f t="shared" ca="1" si="214"/>
        <v>583200.00000000163</v>
      </c>
      <c r="BW481">
        <f t="shared" ca="1" si="215"/>
        <v>0</v>
      </c>
      <c r="BX481">
        <f ca="1">IF(ROW()&lt;($C$7+1),"",IFERROR((分析データ!G481-AVERAGE(OFFSET(分析データ!G$1,MAX(1,ROW()-$C$7),0,MIN($C$7,ROW()-1),1)))/STDEV(OFFSET(分析データ!G$1,MAX(1,ROW()-$C$7),0,MIN($C$7,ROW()-1),1)),0))</f>
        <v>2.4139646646386268</v>
      </c>
      <c r="BY481">
        <f t="shared" ca="1" si="216"/>
        <v>1</v>
      </c>
      <c r="BZ481">
        <f ca="1">IF(BY481=1,IF(INDEX(分析データ!$A:$A,ROW()+$C$5)&lt;&gt;"",40000*SIGN(BX481)*(分析データ!G481-INDEX(分析データ!G:G,ROW()+$C$5)),""),"")</f>
        <v>794799.99999999965</v>
      </c>
      <c r="CA481">
        <f t="shared" ca="1" si="217"/>
        <v>5323407.1435546866</v>
      </c>
      <c r="CB481">
        <f t="shared" ca="1" si="218"/>
        <v>5323407.1435546866</v>
      </c>
      <c r="CC481">
        <f t="shared" ca="1" si="219"/>
        <v>0</v>
      </c>
      <c r="CD481">
        <f t="shared" ca="1" si="220"/>
        <v>794799.99999999965</v>
      </c>
      <c r="CE481">
        <f t="shared" ca="1" si="221"/>
        <v>2608607.1435547252</v>
      </c>
      <c r="CF481">
        <f t="shared" ca="1" si="222"/>
        <v>6770475.7177734533</v>
      </c>
      <c r="CG481">
        <f t="shared" ca="1" si="223"/>
        <v>-4161868.5742187281</v>
      </c>
      <c r="CH481" s="10">
        <f>分析データ!A481</f>
        <v>45628</v>
      </c>
    </row>
    <row r="482" spans="46:86">
      <c r="AT482">
        <f ca="1">IF(ROW()&lt;($C$7+1),"",IFERROR((分析データ!B482-AVERAGE(OFFSET(分析データ!B$1,MAX(1,ROW()-$C$7),0,MIN($C$7,ROW()-1),1)))/STDEV(OFFSET(分析データ!B$1,MAX(1,ROW()-$C$7),0,MIN($C$7,ROW()-1),1)),0))</f>
        <v>1.8186752441693248</v>
      </c>
      <c r="AU482">
        <f t="shared" ca="1" si="196"/>
        <v>0</v>
      </c>
      <c r="AV482" t="str">
        <f ca="1">IF(AU482=1,IF(INDEX(分析データ!$A:$A,ROW()+$C$5)&lt;&gt;"",80000*SIGN(AT482)*(分析データ!B482-INDEX(分析データ!B:B,ROW()+$C$5)),""),"")</f>
        <v/>
      </c>
      <c r="AW482">
        <f t="shared" ca="1" si="197"/>
        <v>-5439999.9999999888</v>
      </c>
      <c r="AX482">
        <f t="shared" ca="1" si="198"/>
        <v>0</v>
      </c>
      <c r="AY482">
        <f t="shared" ca="1" si="199"/>
        <v>-5439999.9999999888</v>
      </c>
      <c r="AZ482">
        <f ca="1">IF(ROW()&lt;($C$7+1),"",IFERROR((分析データ!C482-AVERAGE(OFFSET(分析データ!C$1,MAX(1,ROW()-$C$7),0,MIN($C$7,ROW()-1),1)))/STDEV(OFFSET(分析データ!C$1,MAX(1,ROW()-$C$7),0,MIN($C$7,ROW()-1),1)),0))</f>
        <v>-1.4550852853223069</v>
      </c>
      <c r="BA482">
        <f t="shared" ca="1" si="200"/>
        <v>0</v>
      </c>
      <c r="BB482" t="str">
        <f ca="1">IF(BA482=1,IF(INDEX(分析データ!$A:$A,ROW()+$C$5)&lt;&gt;"",60000*SIGN(AZ482)*(分析データ!C482-INDEX(分析データ!C:C,ROW()+$C$5)),""),"")</f>
        <v/>
      </c>
      <c r="BC482">
        <f t="shared" ca="1" si="201"/>
        <v>1602000.0000000072</v>
      </c>
      <c r="BD482">
        <f t="shared" ca="1" si="202"/>
        <v>1602000.0000000072</v>
      </c>
      <c r="BE482">
        <f t="shared" ca="1" si="203"/>
        <v>0</v>
      </c>
      <c r="BF482">
        <f ca="1">IF(ROW()&lt;($C$7+1),"",IFERROR((分析データ!D482-AVERAGE(OFFSET(分析データ!D$1,MAX(1,ROW()-$C$7),0,MIN($C$7,ROW()-1),1)))/STDEV(OFFSET(分析データ!D$1,MAX(1,ROW()-$C$7),0,MIN($C$7,ROW()-1),1)),0))</f>
        <v>-0.65899772198537454</v>
      </c>
      <c r="BG482">
        <f t="shared" ca="1" si="204"/>
        <v>0</v>
      </c>
      <c r="BH482" t="str">
        <f ca="1">IF(BG482=1,IF(INDEX(分析データ!$A:$A,ROW()+$C$5)&lt;&gt;"",50000*SIGN(BF482)*(分析データ!D482-INDEX(分析データ!D:D,ROW()+$C$5)),""),"")</f>
        <v/>
      </c>
      <c r="BI482">
        <f t="shared" ca="1" si="205"/>
        <v>-779999.99999999418</v>
      </c>
      <c r="BJ482">
        <f t="shared" ca="1" si="206"/>
        <v>1695000.0000000016</v>
      </c>
      <c r="BK482">
        <f t="shared" ca="1" si="207"/>
        <v>-2474999.9999999958</v>
      </c>
      <c r="BL482">
        <f ca="1">IF(ROW()&lt;($C$7+1),"",IFERROR((分析データ!E482-AVERAGE(OFFSET(分析データ!E$1,MAX(1,ROW()-$C$7),0,MIN($C$7,ROW()-1),1)))/STDEV(OFFSET(分析データ!E$1,MAX(1,ROW()-$C$7),0,MIN($C$7,ROW()-1),1)),0))</f>
        <v>0.5628582293348845</v>
      </c>
      <c r="BM482">
        <f t="shared" ca="1" si="208"/>
        <v>0</v>
      </c>
      <c r="BN482" t="str">
        <f ca="1">IF(BM482=1,IF(INDEX(分析データ!$A:$A,ROW()+$C$5)&lt;&gt;"",40000*SIGN(BL482)*(分析データ!E482-INDEX(分析データ!E:E,ROW()+$C$5)),""),"")</f>
        <v/>
      </c>
      <c r="BO482">
        <f t="shared" ca="1" si="209"/>
        <v>1320000.0000000075</v>
      </c>
      <c r="BP482">
        <f t="shared" ca="1" si="210"/>
        <v>1320000.0000000075</v>
      </c>
      <c r="BQ482">
        <f t="shared" ca="1" si="211"/>
        <v>0</v>
      </c>
      <c r="BR482">
        <f ca="1">IF(ROW()&lt;($C$7+1),"",IFERROR((分析データ!F482-AVERAGE(OFFSET(分析データ!F$1,MAX(1,ROW()-$C$7),0,MIN($C$7,ROW()-1),1)))/STDEV(OFFSET(分析データ!F$1,MAX(1,ROW()-$C$7),0,MIN($C$7,ROW()-1),1)),0))</f>
        <v>-1.3891486890933018</v>
      </c>
      <c r="BS482">
        <f t="shared" ca="1" si="212"/>
        <v>0</v>
      </c>
      <c r="BT482" t="str">
        <f ca="1">IF(BS482=1,IF(INDEX(分析データ!$A:$A,ROW()+$C$5)&lt;&gt;"",40000*SIGN(BR482)*(分析データ!F482-INDEX(分析データ!F:F,ROW()+$C$5)),""),"")</f>
        <v/>
      </c>
      <c r="BU482">
        <f t="shared" ca="1" si="213"/>
        <v>583200.00000000163</v>
      </c>
      <c r="BV482">
        <f t="shared" ca="1" si="214"/>
        <v>583200.00000000163</v>
      </c>
      <c r="BW482">
        <f t="shared" ca="1" si="215"/>
        <v>0</v>
      </c>
      <c r="BX482">
        <f ca="1">IF(ROW()&lt;($C$7+1),"",IFERROR((分析データ!G482-AVERAGE(OFFSET(分析データ!G$1,MAX(1,ROW()-$C$7),0,MIN($C$7,ROW()-1),1)))/STDEV(OFFSET(分析データ!G$1,MAX(1,ROW()-$C$7),0,MIN($C$7,ROW()-1),1)),0))</f>
        <v>2.3340412279619049</v>
      </c>
      <c r="BY482">
        <f t="shared" ca="1" si="216"/>
        <v>1</v>
      </c>
      <c r="BZ482">
        <f ca="1">IF(BY482=1,IF(INDEX(分析データ!$A:$A,ROW()+$C$5)&lt;&gt;"",40000*SIGN(BX482)*(分析データ!G482-INDEX(分析データ!G:G,ROW()+$C$5)),""),"")</f>
        <v>902967.14355469216</v>
      </c>
      <c r="CA482">
        <f t="shared" ca="1" si="217"/>
        <v>6226374.2871093787</v>
      </c>
      <c r="CB482">
        <f t="shared" ca="1" si="218"/>
        <v>6226374.2871093787</v>
      </c>
      <c r="CC482">
        <f t="shared" ca="1" si="219"/>
        <v>0</v>
      </c>
      <c r="CD482">
        <f t="shared" ca="1" si="220"/>
        <v>902967.14355469216</v>
      </c>
      <c r="CE482">
        <f t="shared" ca="1" si="221"/>
        <v>3511574.2871094174</v>
      </c>
      <c r="CF482">
        <f t="shared" ca="1" si="222"/>
        <v>6770475.7177734533</v>
      </c>
      <c r="CG482">
        <f t="shared" ca="1" si="223"/>
        <v>-3258901.430664036</v>
      </c>
      <c r="CH482" s="10">
        <f>分析データ!A482</f>
        <v>45629</v>
      </c>
    </row>
    <row r="483" spans="46:86">
      <c r="AT483">
        <f ca="1">IF(ROW()&lt;($C$7+1),"",IFERROR((分析データ!B483-AVERAGE(OFFSET(分析データ!B$1,MAX(1,ROW()-$C$7),0,MIN($C$7,ROW()-1),1)))/STDEV(OFFSET(分析データ!B$1,MAX(1,ROW()-$C$7),0,MIN($C$7,ROW()-1),1)),0))</f>
        <v>1.8586997761565138</v>
      </c>
      <c r="AU483">
        <f t="shared" ca="1" si="196"/>
        <v>0</v>
      </c>
      <c r="AV483" t="str">
        <f ca="1">IF(AU483=1,IF(INDEX(分析データ!$A:$A,ROW()+$C$5)&lt;&gt;"",80000*SIGN(AT483)*(分析データ!B483-INDEX(分析データ!B:B,ROW()+$C$5)),""),"")</f>
        <v/>
      </c>
      <c r="AW483">
        <f t="shared" ca="1" si="197"/>
        <v>-5439999.9999999888</v>
      </c>
      <c r="AX483">
        <f t="shared" ca="1" si="198"/>
        <v>0</v>
      </c>
      <c r="AY483">
        <f t="shared" ca="1" si="199"/>
        <v>-5439999.9999999888</v>
      </c>
      <c r="AZ483">
        <f ca="1">IF(ROW()&lt;($C$7+1),"",IFERROR((分析データ!C483-AVERAGE(OFFSET(分析データ!C$1,MAX(1,ROW()-$C$7),0,MIN($C$7,ROW()-1),1)))/STDEV(OFFSET(分析データ!C$1,MAX(1,ROW()-$C$7),0,MIN($C$7,ROW()-1),1)),0))</f>
        <v>-1.5191579349536966</v>
      </c>
      <c r="BA483">
        <f t="shared" ca="1" si="200"/>
        <v>0</v>
      </c>
      <c r="BB483" t="str">
        <f ca="1">IF(BA483=1,IF(INDEX(分析データ!$A:$A,ROW()+$C$5)&lt;&gt;"",60000*SIGN(AZ483)*(分析データ!C483-INDEX(分析データ!C:C,ROW()+$C$5)),""),"")</f>
        <v/>
      </c>
      <c r="BC483">
        <f t="shared" ca="1" si="201"/>
        <v>1602000.0000000072</v>
      </c>
      <c r="BD483">
        <f t="shared" ca="1" si="202"/>
        <v>1602000.0000000072</v>
      </c>
      <c r="BE483">
        <f t="shared" ca="1" si="203"/>
        <v>0</v>
      </c>
      <c r="BF483">
        <f ca="1">IF(ROW()&lt;($C$7+1),"",IFERROR((分析データ!D483-AVERAGE(OFFSET(分析データ!D$1,MAX(1,ROW()-$C$7),0,MIN($C$7,ROW()-1),1)))/STDEV(OFFSET(分析データ!D$1,MAX(1,ROW()-$C$7),0,MIN($C$7,ROW()-1),1)),0))</f>
        <v>-0.72120496503780218</v>
      </c>
      <c r="BG483">
        <f t="shared" ca="1" si="204"/>
        <v>0</v>
      </c>
      <c r="BH483" t="str">
        <f ca="1">IF(BG483=1,IF(INDEX(分析データ!$A:$A,ROW()+$C$5)&lt;&gt;"",50000*SIGN(BF483)*(分析データ!D483-INDEX(分析データ!D:D,ROW()+$C$5)),""),"")</f>
        <v/>
      </c>
      <c r="BI483">
        <f t="shared" ca="1" si="205"/>
        <v>-779999.99999999418</v>
      </c>
      <c r="BJ483">
        <f t="shared" ca="1" si="206"/>
        <v>1695000.0000000016</v>
      </c>
      <c r="BK483">
        <f t="shared" ca="1" si="207"/>
        <v>-2474999.9999999958</v>
      </c>
      <c r="BL483">
        <f ca="1">IF(ROW()&lt;($C$7+1),"",IFERROR((分析データ!E483-AVERAGE(OFFSET(分析データ!E$1,MAX(1,ROW()-$C$7),0,MIN($C$7,ROW()-1),1)))/STDEV(OFFSET(分析データ!E$1,MAX(1,ROW()-$C$7),0,MIN($C$7,ROW()-1),1)),0))</f>
        <v>0.55973823967290415</v>
      </c>
      <c r="BM483">
        <f t="shared" ca="1" si="208"/>
        <v>0</v>
      </c>
      <c r="BN483" t="str">
        <f ca="1">IF(BM483=1,IF(INDEX(分析データ!$A:$A,ROW()+$C$5)&lt;&gt;"",40000*SIGN(BL483)*(分析データ!E483-INDEX(分析データ!E:E,ROW()+$C$5)),""),"")</f>
        <v/>
      </c>
      <c r="BO483">
        <f t="shared" ca="1" si="209"/>
        <v>1320000.0000000075</v>
      </c>
      <c r="BP483">
        <f t="shared" ca="1" si="210"/>
        <v>1320000.0000000075</v>
      </c>
      <c r="BQ483">
        <f t="shared" ca="1" si="211"/>
        <v>0</v>
      </c>
      <c r="BR483">
        <f ca="1">IF(ROW()&lt;($C$7+1),"",IFERROR((分析データ!F483-AVERAGE(OFFSET(分析データ!F$1,MAX(1,ROW()-$C$7),0,MIN($C$7,ROW()-1),1)))/STDEV(OFFSET(分析データ!F$1,MAX(1,ROW()-$C$7),0,MIN($C$7,ROW()-1),1)),0))</f>
        <v>-1.2015019439022849</v>
      </c>
      <c r="BS483">
        <f t="shared" ca="1" si="212"/>
        <v>0</v>
      </c>
      <c r="BT483" t="str">
        <f ca="1">IF(BS483=1,IF(INDEX(分析データ!$A:$A,ROW()+$C$5)&lt;&gt;"",40000*SIGN(BR483)*(分析データ!F483-INDEX(分析データ!F:F,ROW()+$C$5)),""),"")</f>
        <v/>
      </c>
      <c r="BU483">
        <f t="shared" ca="1" si="213"/>
        <v>583200.00000000163</v>
      </c>
      <c r="BV483">
        <f t="shared" ca="1" si="214"/>
        <v>583200.00000000163</v>
      </c>
      <c r="BW483">
        <f t="shared" ca="1" si="215"/>
        <v>0</v>
      </c>
      <c r="BX483">
        <f ca="1">IF(ROW()&lt;($C$7+1),"",IFERROR((分析データ!G483-AVERAGE(OFFSET(分析データ!G$1,MAX(1,ROW()-$C$7),0,MIN($C$7,ROW()-1),1)))/STDEV(OFFSET(分析データ!G$1,MAX(1,ROW()-$C$7),0,MIN($C$7,ROW()-1),1)),0))</f>
        <v>2.1422500448060955</v>
      </c>
      <c r="BY483">
        <f t="shared" ca="1" si="216"/>
        <v>1</v>
      </c>
      <c r="BZ483">
        <f ca="1">IF(BY483=1,IF(INDEX(分析データ!$A:$A,ROW()+$C$5)&lt;&gt;"",40000*SIGN(BX483)*(分析データ!G483-INDEX(分析データ!G:G,ROW()+$C$5)),""),"")</f>
        <v>798338.56933593238</v>
      </c>
      <c r="CA483">
        <f t="shared" ca="1" si="217"/>
        <v>7024712.8564453106</v>
      </c>
      <c r="CB483">
        <f t="shared" ca="1" si="218"/>
        <v>7024712.8564453106</v>
      </c>
      <c r="CC483">
        <f t="shared" ca="1" si="219"/>
        <v>0</v>
      </c>
      <c r="CD483">
        <f t="shared" ca="1" si="220"/>
        <v>798338.56933593238</v>
      </c>
      <c r="CE483">
        <f t="shared" ca="1" si="221"/>
        <v>4309912.8564453498</v>
      </c>
      <c r="CF483">
        <f t="shared" ca="1" si="222"/>
        <v>6770475.7177734533</v>
      </c>
      <c r="CG483">
        <f t="shared" ca="1" si="223"/>
        <v>-2460562.8613281036</v>
      </c>
      <c r="CH483" s="10">
        <f>分析データ!A483</f>
        <v>45630</v>
      </c>
    </row>
    <row r="484" spans="46:86">
      <c r="AT484">
        <f ca="1">IF(ROW()&lt;($C$7+1),"",IFERROR((分析データ!B484-AVERAGE(OFFSET(分析データ!B$1,MAX(1,ROW()-$C$7),0,MIN($C$7,ROW()-1),1)))/STDEV(OFFSET(分析データ!B$1,MAX(1,ROW()-$C$7),0,MIN($C$7,ROW()-1),1)),0))</f>
        <v>1.5989919831712525</v>
      </c>
      <c r="AU484">
        <f t="shared" ca="1" si="196"/>
        <v>0</v>
      </c>
      <c r="AV484" t="str">
        <f ca="1">IF(AU484=1,IF(INDEX(分析データ!$A:$A,ROW()+$C$5)&lt;&gt;"",80000*SIGN(AT484)*(分析データ!B484-INDEX(分析データ!B:B,ROW()+$C$5)),""),"")</f>
        <v/>
      </c>
      <c r="AW484">
        <f t="shared" ca="1" si="197"/>
        <v>-5439999.9999999888</v>
      </c>
      <c r="AX484">
        <f t="shared" ca="1" si="198"/>
        <v>0</v>
      </c>
      <c r="AY484">
        <f t="shared" ca="1" si="199"/>
        <v>-5439999.9999999888</v>
      </c>
      <c r="AZ484">
        <f ca="1">IF(ROW()&lt;($C$7+1),"",IFERROR((分析データ!C484-AVERAGE(OFFSET(分析データ!C$1,MAX(1,ROW()-$C$7),0,MIN($C$7,ROW()-1),1)))/STDEV(OFFSET(分析データ!C$1,MAX(1,ROW()-$C$7),0,MIN($C$7,ROW()-1),1)),0))</f>
        <v>-1.4699272302200641</v>
      </c>
      <c r="BA484">
        <f t="shared" ca="1" si="200"/>
        <v>0</v>
      </c>
      <c r="BB484" t="str">
        <f ca="1">IF(BA484=1,IF(INDEX(分析データ!$A:$A,ROW()+$C$5)&lt;&gt;"",60000*SIGN(AZ484)*(分析データ!C484-INDEX(分析データ!C:C,ROW()+$C$5)),""),"")</f>
        <v/>
      </c>
      <c r="BC484">
        <f t="shared" ca="1" si="201"/>
        <v>1602000.0000000072</v>
      </c>
      <c r="BD484">
        <f t="shared" ca="1" si="202"/>
        <v>1602000.0000000072</v>
      </c>
      <c r="BE484">
        <f t="shared" ca="1" si="203"/>
        <v>0</v>
      </c>
      <c r="BF484">
        <f ca="1">IF(ROW()&lt;($C$7+1),"",IFERROR((分析データ!D484-AVERAGE(OFFSET(分析データ!D$1,MAX(1,ROW()-$C$7),0,MIN($C$7,ROW()-1),1)))/STDEV(OFFSET(分析データ!D$1,MAX(1,ROW()-$C$7),0,MIN($C$7,ROW()-1),1)),0))</f>
        <v>-0.85202770050127574</v>
      </c>
      <c r="BG484">
        <f t="shared" ca="1" si="204"/>
        <v>0</v>
      </c>
      <c r="BH484" t="str">
        <f ca="1">IF(BG484=1,IF(INDEX(分析データ!$A:$A,ROW()+$C$5)&lt;&gt;"",50000*SIGN(BF484)*(分析データ!D484-INDEX(分析データ!D:D,ROW()+$C$5)),""),"")</f>
        <v/>
      </c>
      <c r="BI484">
        <f t="shared" ca="1" si="205"/>
        <v>-779999.99999999418</v>
      </c>
      <c r="BJ484">
        <f t="shared" ca="1" si="206"/>
        <v>1695000.0000000016</v>
      </c>
      <c r="BK484">
        <f t="shared" ca="1" si="207"/>
        <v>-2474999.9999999958</v>
      </c>
      <c r="BL484">
        <f ca="1">IF(ROW()&lt;($C$7+1),"",IFERROR((分析データ!E484-AVERAGE(OFFSET(分析データ!E$1,MAX(1,ROW()-$C$7),0,MIN($C$7,ROW()-1),1)))/STDEV(OFFSET(分析データ!E$1,MAX(1,ROW()-$C$7),0,MIN($C$7,ROW()-1),1)),0))</f>
        <v>0.32443647975617534</v>
      </c>
      <c r="BM484">
        <f t="shared" ca="1" si="208"/>
        <v>0</v>
      </c>
      <c r="BN484" t="str">
        <f ca="1">IF(BM484=1,IF(INDEX(分析データ!$A:$A,ROW()+$C$5)&lt;&gt;"",40000*SIGN(BL484)*(分析データ!E484-INDEX(分析データ!E:E,ROW()+$C$5)),""),"")</f>
        <v/>
      </c>
      <c r="BO484">
        <f t="shared" ca="1" si="209"/>
        <v>1320000.0000000075</v>
      </c>
      <c r="BP484">
        <f t="shared" ca="1" si="210"/>
        <v>1320000.0000000075</v>
      </c>
      <c r="BQ484">
        <f t="shared" ca="1" si="211"/>
        <v>0</v>
      </c>
      <c r="BR484">
        <f ca="1">IF(ROW()&lt;($C$7+1),"",IFERROR((分析データ!F484-AVERAGE(OFFSET(分析データ!F$1,MAX(1,ROW()-$C$7),0,MIN($C$7,ROW()-1),1)))/STDEV(OFFSET(分析データ!F$1,MAX(1,ROW()-$C$7),0,MIN($C$7,ROW()-1),1)),0))</f>
        <v>-0.95033573381728531</v>
      </c>
      <c r="BS484">
        <f t="shared" ca="1" si="212"/>
        <v>0</v>
      </c>
      <c r="BT484" t="str">
        <f ca="1">IF(BS484=1,IF(INDEX(分析データ!$A:$A,ROW()+$C$5)&lt;&gt;"",40000*SIGN(BR484)*(分析データ!F484-INDEX(分析データ!F:F,ROW()+$C$5)),""),"")</f>
        <v/>
      </c>
      <c r="BU484">
        <f t="shared" ca="1" si="213"/>
        <v>583200.00000000163</v>
      </c>
      <c r="BV484">
        <f t="shared" ca="1" si="214"/>
        <v>583200.00000000163</v>
      </c>
      <c r="BW484">
        <f t="shared" ca="1" si="215"/>
        <v>0</v>
      </c>
      <c r="BX484">
        <f ca="1">IF(ROW()&lt;($C$7+1),"",IFERROR((分析データ!G484-AVERAGE(OFFSET(分析データ!G$1,MAX(1,ROW()-$C$7),0,MIN($C$7,ROW()-1),1)))/STDEV(OFFSET(分析データ!G$1,MAX(1,ROW()-$C$7),0,MIN($C$7,ROW()-1),1)),0))</f>
        <v>2.119031184079526</v>
      </c>
      <c r="BY484">
        <f t="shared" ca="1" si="216"/>
        <v>1</v>
      </c>
      <c r="BZ484">
        <f ca="1">IF(BY484=1,IF(INDEX(分析データ!$A:$A,ROW()+$C$5)&lt;&gt;"",40000*SIGN(BX484)*(分析データ!G484-INDEX(分析データ!G:G,ROW()+$C$5)),""),"")</f>
        <v>828839.99999999418</v>
      </c>
      <c r="CA484">
        <f t="shared" ca="1" si="217"/>
        <v>7853552.856445305</v>
      </c>
      <c r="CB484">
        <f t="shared" ca="1" si="218"/>
        <v>7853552.856445305</v>
      </c>
      <c r="CC484">
        <f t="shared" ca="1" si="219"/>
        <v>0</v>
      </c>
      <c r="CD484">
        <f t="shared" ca="1" si="220"/>
        <v>828839.99999999418</v>
      </c>
      <c r="CE484">
        <f t="shared" ca="1" si="221"/>
        <v>5138752.8564453442</v>
      </c>
      <c r="CF484">
        <f t="shared" ca="1" si="222"/>
        <v>6770475.7177734533</v>
      </c>
      <c r="CG484">
        <f t="shared" ca="1" si="223"/>
        <v>-1631722.8613281092</v>
      </c>
      <c r="CH484" s="10">
        <f>分析データ!A484</f>
        <v>45631</v>
      </c>
    </row>
    <row r="485" spans="46:86">
      <c r="AT485">
        <f ca="1">IF(ROW()&lt;($C$7+1),"",IFERROR((分析データ!B485-AVERAGE(OFFSET(分析データ!B$1,MAX(1,ROW()-$C$7),0,MIN($C$7,ROW()-1),1)))/STDEV(OFFSET(分析データ!B$1,MAX(1,ROW()-$C$7),0,MIN($C$7,ROW()-1),1)),0))</f>
        <v>1.5834123260519735</v>
      </c>
      <c r="AU485">
        <f t="shared" ca="1" si="196"/>
        <v>0</v>
      </c>
      <c r="AV485" t="str">
        <f ca="1">IF(AU485=1,IF(INDEX(分析データ!$A:$A,ROW()+$C$5)&lt;&gt;"",80000*SIGN(AT485)*(分析データ!B485-INDEX(分析データ!B:B,ROW()+$C$5)),""),"")</f>
        <v/>
      </c>
      <c r="AW485">
        <f t="shared" ca="1" si="197"/>
        <v>-5439999.9999999888</v>
      </c>
      <c r="AX485">
        <f t="shared" ca="1" si="198"/>
        <v>0</v>
      </c>
      <c r="AY485">
        <f t="shared" ca="1" si="199"/>
        <v>-5439999.9999999888</v>
      </c>
      <c r="AZ485">
        <f ca="1">IF(ROW()&lt;($C$7+1),"",IFERROR((分析データ!C485-AVERAGE(OFFSET(分析データ!C$1,MAX(1,ROW()-$C$7),0,MIN($C$7,ROW()-1),1)))/STDEV(OFFSET(分析データ!C$1,MAX(1,ROW()-$C$7),0,MIN($C$7,ROW()-1),1)),0))</f>
        <v>-1.436095389513685</v>
      </c>
      <c r="BA485">
        <f t="shared" ca="1" si="200"/>
        <v>0</v>
      </c>
      <c r="BB485" t="str">
        <f ca="1">IF(BA485=1,IF(INDEX(分析データ!$A:$A,ROW()+$C$5)&lt;&gt;"",60000*SIGN(AZ485)*(分析データ!C485-INDEX(分析データ!C:C,ROW()+$C$5)),""),"")</f>
        <v/>
      </c>
      <c r="BC485">
        <f t="shared" ca="1" si="201"/>
        <v>1602000.0000000072</v>
      </c>
      <c r="BD485">
        <f t="shared" ca="1" si="202"/>
        <v>1602000.0000000072</v>
      </c>
      <c r="BE485">
        <f t="shared" ca="1" si="203"/>
        <v>0</v>
      </c>
      <c r="BF485">
        <f ca="1">IF(ROW()&lt;($C$7+1),"",IFERROR((分析データ!D485-AVERAGE(OFFSET(分析データ!D$1,MAX(1,ROW()-$C$7),0,MIN($C$7,ROW()-1),1)))/STDEV(OFFSET(分析データ!D$1,MAX(1,ROW()-$C$7),0,MIN($C$7,ROW()-1),1)),0))</f>
        <v>-0.86925156480482535</v>
      </c>
      <c r="BG485">
        <f t="shared" ca="1" si="204"/>
        <v>0</v>
      </c>
      <c r="BH485" t="str">
        <f ca="1">IF(BG485=1,IF(INDEX(分析データ!$A:$A,ROW()+$C$5)&lt;&gt;"",50000*SIGN(BF485)*(分析データ!D485-INDEX(分析データ!D:D,ROW()+$C$5)),""),"")</f>
        <v/>
      </c>
      <c r="BI485">
        <f t="shared" ca="1" si="205"/>
        <v>-779999.99999999418</v>
      </c>
      <c r="BJ485">
        <f t="shared" ca="1" si="206"/>
        <v>1695000.0000000016</v>
      </c>
      <c r="BK485">
        <f t="shared" ca="1" si="207"/>
        <v>-2474999.9999999958</v>
      </c>
      <c r="BL485">
        <f ca="1">IF(ROW()&lt;($C$7+1),"",IFERROR((分析データ!E485-AVERAGE(OFFSET(分析データ!E$1,MAX(1,ROW()-$C$7),0,MIN($C$7,ROW()-1),1)))/STDEV(OFFSET(分析データ!E$1,MAX(1,ROW()-$C$7),0,MIN($C$7,ROW()-1),1)),0))</f>
        <v>0.55517967600687501</v>
      </c>
      <c r="BM485">
        <f t="shared" ca="1" si="208"/>
        <v>0</v>
      </c>
      <c r="BN485" t="str">
        <f ca="1">IF(BM485=1,IF(INDEX(分析データ!$A:$A,ROW()+$C$5)&lt;&gt;"",40000*SIGN(BL485)*(分析データ!E485-INDEX(分析データ!E:E,ROW()+$C$5)),""),"")</f>
        <v/>
      </c>
      <c r="BO485">
        <f t="shared" ca="1" si="209"/>
        <v>1320000.0000000075</v>
      </c>
      <c r="BP485">
        <f t="shared" ca="1" si="210"/>
        <v>1320000.0000000075</v>
      </c>
      <c r="BQ485">
        <f t="shared" ca="1" si="211"/>
        <v>0</v>
      </c>
      <c r="BR485">
        <f ca="1">IF(ROW()&lt;($C$7+1),"",IFERROR((分析データ!F485-AVERAGE(OFFSET(分析データ!F$1,MAX(1,ROW()-$C$7),0,MIN($C$7,ROW()-1),1)))/STDEV(OFFSET(分析データ!F$1,MAX(1,ROW()-$C$7),0,MIN($C$7,ROW()-1),1)),0))</f>
        <v>-0.84890812469325994</v>
      </c>
      <c r="BS485">
        <f t="shared" ca="1" si="212"/>
        <v>0</v>
      </c>
      <c r="BT485" t="str">
        <f ca="1">IF(BS485=1,IF(INDEX(分析データ!$A:$A,ROW()+$C$5)&lt;&gt;"",40000*SIGN(BR485)*(分析データ!F485-INDEX(分析データ!F:F,ROW()+$C$5)),""),"")</f>
        <v/>
      </c>
      <c r="BU485">
        <f t="shared" ca="1" si="213"/>
        <v>583200.00000000163</v>
      </c>
      <c r="BV485">
        <f t="shared" ca="1" si="214"/>
        <v>583200.00000000163</v>
      </c>
      <c r="BW485">
        <f t="shared" ca="1" si="215"/>
        <v>0</v>
      </c>
      <c r="BX485">
        <f ca="1">IF(ROW()&lt;($C$7+1),"",IFERROR((分析データ!G485-AVERAGE(OFFSET(分析データ!G$1,MAX(1,ROW()-$C$7),0,MIN($C$7,ROW()-1),1)))/STDEV(OFFSET(分析データ!G$1,MAX(1,ROW()-$C$7),0,MIN($C$7,ROW()-1),1)),0))</f>
        <v>1.919857884477894</v>
      </c>
      <c r="BY485">
        <f t="shared" ca="1" si="216"/>
        <v>0</v>
      </c>
      <c r="BZ485" t="str">
        <f ca="1">IF(BY485=1,IF(INDEX(分析データ!$A:$A,ROW()+$C$5)&lt;&gt;"",40000*SIGN(BX485)*(分析データ!G485-INDEX(分析データ!G:G,ROW()+$C$5)),""),"")</f>
        <v/>
      </c>
      <c r="CA485">
        <f t="shared" ca="1" si="217"/>
        <v>7853552.856445305</v>
      </c>
      <c r="CB485">
        <f t="shared" ca="1" si="218"/>
        <v>7853552.856445305</v>
      </c>
      <c r="CC485">
        <f t="shared" ca="1" si="219"/>
        <v>0</v>
      </c>
      <c r="CD485">
        <f t="shared" ca="1" si="220"/>
        <v>0</v>
      </c>
      <c r="CE485">
        <f t="shared" ca="1" si="221"/>
        <v>5138752.8564453442</v>
      </c>
      <c r="CF485">
        <f t="shared" ca="1" si="222"/>
        <v>6770475.7177734533</v>
      </c>
      <c r="CG485">
        <f t="shared" ca="1" si="223"/>
        <v>-1631722.8613281092</v>
      </c>
      <c r="CH485" s="10">
        <f>分析データ!A485</f>
        <v>45632</v>
      </c>
    </row>
    <row r="486" spans="46:86">
      <c r="AT486">
        <f ca="1">IF(ROW()&lt;($C$7+1),"",IFERROR((分析データ!B486-AVERAGE(OFFSET(分析データ!B$1,MAX(1,ROW()-$C$7),0,MIN($C$7,ROW()-1),1)))/STDEV(OFFSET(分析データ!B$1,MAX(1,ROW()-$C$7),0,MIN($C$7,ROW()-1),1)),0))</f>
        <v>1.6867401369902306</v>
      </c>
      <c r="AU486">
        <f t="shared" ca="1" si="196"/>
        <v>0</v>
      </c>
      <c r="AV486" t="str">
        <f ca="1">IF(AU486=1,IF(INDEX(分析データ!$A:$A,ROW()+$C$5)&lt;&gt;"",80000*SIGN(AT486)*(分析データ!B486-INDEX(分析データ!B:B,ROW()+$C$5)),""),"")</f>
        <v/>
      </c>
      <c r="AW486">
        <f t="shared" ca="1" si="197"/>
        <v>-5439999.9999999888</v>
      </c>
      <c r="AX486">
        <f t="shared" ca="1" si="198"/>
        <v>0</v>
      </c>
      <c r="AY486">
        <f t="shared" ca="1" si="199"/>
        <v>-5439999.9999999888</v>
      </c>
      <c r="AZ486">
        <f ca="1">IF(ROW()&lt;($C$7+1),"",IFERROR((分析データ!C486-AVERAGE(OFFSET(分析データ!C$1,MAX(1,ROW()-$C$7),0,MIN($C$7,ROW()-1),1)))/STDEV(OFFSET(分析データ!C$1,MAX(1,ROW()-$C$7),0,MIN($C$7,ROW()-1),1)),0))</f>
        <v>-1.4624323320905595</v>
      </c>
      <c r="BA486">
        <f t="shared" ca="1" si="200"/>
        <v>0</v>
      </c>
      <c r="BB486" t="str">
        <f ca="1">IF(BA486=1,IF(INDEX(分析データ!$A:$A,ROW()+$C$5)&lt;&gt;"",60000*SIGN(AZ486)*(分析データ!C486-INDEX(分析データ!C:C,ROW()+$C$5)),""),"")</f>
        <v/>
      </c>
      <c r="BC486">
        <f t="shared" ca="1" si="201"/>
        <v>1602000.0000000072</v>
      </c>
      <c r="BD486">
        <f t="shared" ca="1" si="202"/>
        <v>1602000.0000000072</v>
      </c>
      <c r="BE486">
        <f t="shared" ca="1" si="203"/>
        <v>0</v>
      </c>
      <c r="BF486">
        <f ca="1">IF(ROW()&lt;($C$7+1),"",IFERROR((分析データ!D486-AVERAGE(OFFSET(分析データ!D$1,MAX(1,ROW()-$C$7),0,MIN($C$7,ROW()-1),1)))/STDEV(OFFSET(分析データ!D$1,MAX(1,ROW()-$C$7),0,MIN($C$7,ROW()-1),1)),0))</f>
        <v>-0.60487154856308423</v>
      </c>
      <c r="BG486">
        <f t="shared" ca="1" si="204"/>
        <v>0</v>
      </c>
      <c r="BH486" t="str">
        <f ca="1">IF(BG486=1,IF(INDEX(分析データ!$A:$A,ROW()+$C$5)&lt;&gt;"",50000*SIGN(BF486)*(分析データ!D486-INDEX(分析データ!D:D,ROW()+$C$5)),""),"")</f>
        <v/>
      </c>
      <c r="BI486">
        <f t="shared" ca="1" si="205"/>
        <v>-779999.99999999418</v>
      </c>
      <c r="BJ486">
        <f t="shared" ca="1" si="206"/>
        <v>1695000.0000000016</v>
      </c>
      <c r="BK486">
        <f t="shared" ca="1" si="207"/>
        <v>-2474999.9999999958</v>
      </c>
      <c r="BL486">
        <f ca="1">IF(ROW()&lt;($C$7+1),"",IFERROR((分析データ!E486-AVERAGE(OFFSET(分析データ!E$1,MAX(1,ROW()-$C$7),0,MIN($C$7,ROW()-1),1)))/STDEV(OFFSET(分析データ!E$1,MAX(1,ROW()-$C$7),0,MIN($C$7,ROW()-1),1)),0))</f>
        <v>0.6676723579306123</v>
      </c>
      <c r="BM486">
        <f t="shared" ca="1" si="208"/>
        <v>0</v>
      </c>
      <c r="BN486" t="str">
        <f ca="1">IF(BM486=1,IF(INDEX(分析データ!$A:$A,ROW()+$C$5)&lt;&gt;"",40000*SIGN(BL486)*(分析データ!E486-INDEX(分析データ!E:E,ROW()+$C$5)),""),"")</f>
        <v/>
      </c>
      <c r="BO486">
        <f t="shared" ca="1" si="209"/>
        <v>1320000.0000000075</v>
      </c>
      <c r="BP486">
        <f t="shared" ca="1" si="210"/>
        <v>1320000.0000000075</v>
      </c>
      <c r="BQ486">
        <f t="shared" ca="1" si="211"/>
        <v>0</v>
      </c>
      <c r="BR486">
        <f ca="1">IF(ROW()&lt;($C$7+1),"",IFERROR((分析データ!F486-AVERAGE(OFFSET(分析データ!F$1,MAX(1,ROW()-$C$7),0,MIN($C$7,ROW()-1),1)))/STDEV(OFFSET(分析データ!F$1,MAX(1,ROW()-$C$7),0,MIN($C$7,ROW()-1),1)),0))</f>
        <v>-1.1453233150609181</v>
      </c>
      <c r="BS486">
        <f t="shared" ca="1" si="212"/>
        <v>0</v>
      </c>
      <c r="BT486" t="str">
        <f ca="1">IF(BS486=1,IF(INDEX(分析データ!$A:$A,ROW()+$C$5)&lt;&gt;"",40000*SIGN(BR486)*(分析データ!F486-INDEX(分析データ!F:F,ROW()+$C$5)),""),"")</f>
        <v/>
      </c>
      <c r="BU486">
        <f t="shared" ca="1" si="213"/>
        <v>583200.00000000163</v>
      </c>
      <c r="BV486">
        <f t="shared" ca="1" si="214"/>
        <v>583200.00000000163</v>
      </c>
      <c r="BW486">
        <f t="shared" ca="1" si="215"/>
        <v>0</v>
      </c>
      <c r="BX486">
        <f ca="1">IF(ROW()&lt;($C$7+1),"",IFERROR((分析データ!G486-AVERAGE(OFFSET(分析データ!G$1,MAX(1,ROW()-$C$7),0,MIN($C$7,ROW()-1),1)))/STDEV(OFFSET(分析データ!G$1,MAX(1,ROW()-$C$7),0,MIN($C$7,ROW()-1),1)),0))</f>
        <v>1.8057554352093621</v>
      </c>
      <c r="BY486">
        <f t="shared" ca="1" si="216"/>
        <v>0</v>
      </c>
      <c r="BZ486" t="str">
        <f ca="1">IF(BY486=1,IF(INDEX(分析データ!$A:$A,ROW()+$C$5)&lt;&gt;"",40000*SIGN(BX486)*(分析データ!G486-INDEX(分析データ!G:G,ROW()+$C$5)),""),"")</f>
        <v/>
      </c>
      <c r="CA486">
        <f t="shared" ca="1" si="217"/>
        <v>7853552.856445305</v>
      </c>
      <c r="CB486">
        <f t="shared" ca="1" si="218"/>
        <v>7853552.856445305</v>
      </c>
      <c r="CC486">
        <f t="shared" ca="1" si="219"/>
        <v>0</v>
      </c>
      <c r="CD486">
        <f t="shared" ca="1" si="220"/>
        <v>0</v>
      </c>
      <c r="CE486">
        <f t="shared" ca="1" si="221"/>
        <v>5138752.8564453442</v>
      </c>
      <c r="CF486">
        <f t="shared" ca="1" si="222"/>
        <v>6770475.7177734533</v>
      </c>
      <c r="CG486">
        <f t="shared" ca="1" si="223"/>
        <v>-1631722.8613281092</v>
      </c>
      <c r="CH486" s="10">
        <f>分析データ!A486</f>
        <v>45635</v>
      </c>
    </row>
    <row r="487" spans="46:86">
      <c r="AT487">
        <f ca="1">IF(ROW()&lt;($C$7+1),"",IFERROR((分析データ!B487-AVERAGE(OFFSET(分析データ!B$1,MAX(1,ROW()-$C$7),0,MIN($C$7,ROW()-1),1)))/STDEV(OFFSET(分析データ!B$1,MAX(1,ROW()-$C$7),0,MIN($C$7,ROW()-1),1)),0))</f>
        <v>1.6702882223701983</v>
      </c>
      <c r="AU487">
        <f t="shared" ca="1" si="196"/>
        <v>0</v>
      </c>
      <c r="AV487" t="str">
        <f ca="1">IF(AU487=1,IF(INDEX(分析データ!$A:$A,ROW()+$C$5)&lt;&gt;"",80000*SIGN(AT487)*(分析データ!B487-INDEX(分析データ!B:B,ROW()+$C$5)),""),"")</f>
        <v/>
      </c>
      <c r="AW487">
        <f t="shared" ca="1" si="197"/>
        <v>-5439999.9999999888</v>
      </c>
      <c r="AX487">
        <f t="shared" ca="1" si="198"/>
        <v>0</v>
      </c>
      <c r="AY487">
        <f t="shared" ca="1" si="199"/>
        <v>-5439999.9999999888</v>
      </c>
      <c r="AZ487">
        <f ca="1">IF(ROW()&lt;($C$7+1),"",IFERROR((分析データ!C487-AVERAGE(OFFSET(分析データ!C$1,MAX(1,ROW()-$C$7),0,MIN($C$7,ROW()-1),1)))/STDEV(OFFSET(分析データ!C$1,MAX(1,ROW()-$C$7),0,MIN($C$7,ROW()-1),1)),0))</f>
        <v>-1.1894262186432794</v>
      </c>
      <c r="BA487">
        <f t="shared" ca="1" si="200"/>
        <v>0</v>
      </c>
      <c r="BB487" t="str">
        <f ca="1">IF(BA487=1,IF(INDEX(分析データ!$A:$A,ROW()+$C$5)&lt;&gt;"",60000*SIGN(AZ487)*(分析データ!C487-INDEX(分析データ!C:C,ROW()+$C$5)),""),"")</f>
        <v/>
      </c>
      <c r="BC487">
        <f t="shared" ca="1" si="201"/>
        <v>1602000.0000000072</v>
      </c>
      <c r="BD487">
        <f t="shared" ca="1" si="202"/>
        <v>1602000.0000000072</v>
      </c>
      <c r="BE487">
        <f t="shared" ca="1" si="203"/>
        <v>0</v>
      </c>
      <c r="BF487">
        <f ca="1">IF(ROW()&lt;($C$7+1),"",IFERROR((分析データ!D487-AVERAGE(OFFSET(分析データ!D$1,MAX(1,ROW()-$C$7),0,MIN($C$7,ROW()-1),1)))/STDEV(OFFSET(分析データ!D$1,MAX(1,ROW()-$C$7),0,MIN($C$7,ROW()-1),1)),0))</f>
        <v>-0.61611127168853341</v>
      </c>
      <c r="BG487">
        <f t="shared" ca="1" si="204"/>
        <v>0</v>
      </c>
      <c r="BH487" t="str">
        <f ca="1">IF(BG487=1,IF(INDEX(分析データ!$A:$A,ROW()+$C$5)&lt;&gt;"",50000*SIGN(BF487)*(分析データ!D487-INDEX(分析データ!D:D,ROW()+$C$5)),""),"")</f>
        <v/>
      </c>
      <c r="BI487">
        <f t="shared" ca="1" si="205"/>
        <v>-779999.99999999418</v>
      </c>
      <c r="BJ487">
        <f t="shared" ca="1" si="206"/>
        <v>1695000.0000000016</v>
      </c>
      <c r="BK487">
        <f t="shared" ca="1" si="207"/>
        <v>-2474999.9999999958</v>
      </c>
      <c r="BL487">
        <f ca="1">IF(ROW()&lt;($C$7+1),"",IFERROR((分析データ!E487-AVERAGE(OFFSET(分析データ!E$1,MAX(1,ROW()-$C$7),0,MIN($C$7,ROW()-1),1)))/STDEV(OFFSET(分析データ!E$1,MAX(1,ROW()-$C$7),0,MIN($C$7,ROW()-1),1)),0))</f>
        <v>0.66202114351890784</v>
      </c>
      <c r="BM487">
        <f t="shared" ca="1" si="208"/>
        <v>0</v>
      </c>
      <c r="BN487" t="str">
        <f ca="1">IF(BM487=1,IF(INDEX(分析データ!$A:$A,ROW()+$C$5)&lt;&gt;"",40000*SIGN(BL487)*(分析データ!E487-INDEX(分析データ!E:E,ROW()+$C$5)),""),"")</f>
        <v/>
      </c>
      <c r="BO487">
        <f t="shared" ca="1" si="209"/>
        <v>1320000.0000000075</v>
      </c>
      <c r="BP487">
        <f t="shared" ca="1" si="210"/>
        <v>1320000.0000000075</v>
      </c>
      <c r="BQ487">
        <f t="shared" ca="1" si="211"/>
        <v>0</v>
      </c>
      <c r="BR487">
        <f ca="1">IF(ROW()&lt;($C$7+1),"",IFERROR((分析データ!F487-AVERAGE(OFFSET(分析データ!F$1,MAX(1,ROW()-$C$7),0,MIN($C$7,ROW()-1),1)))/STDEV(OFFSET(分析データ!F$1,MAX(1,ROW()-$C$7),0,MIN($C$7,ROW()-1),1)),0))</f>
        <v>-1.0986220428267899</v>
      </c>
      <c r="BS487">
        <f t="shared" ca="1" si="212"/>
        <v>0</v>
      </c>
      <c r="BT487" t="str">
        <f ca="1">IF(BS487=1,IF(INDEX(分析データ!$A:$A,ROW()+$C$5)&lt;&gt;"",40000*SIGN(BR487)*(分析データ!F487-INDEX(分析データ!F:F,ROW()+$C$5)),""),"")</f>
        <v/>
      </c>
      <c r="BU487">
        <f t="shared" ca="1" si="213"/>
        <v>583200.00000000163</v>
      </c>
      <c r="BV487">
        <f t="shared" ca="1" si="214"/>
        <v>583200.00000000163</v>
      </c>
      <c r="BW487">
        <f t="shared" ca="1" si="215"/>
        <v>0</v>
      </c>
      <c r="BX487">
        <f ca="1">IF(ROW()&lt;($C$7+1),"",IFERROR((分析データ!G487-AVERAGE(OFFSET(分析データ!G$1,MAX(1,ROW()-$C$7),0,MIN($C$7,ROW()-1),1)))/STDEV(OFFSET(分析データ!G$1,MAX(1,ROW()-$C$7),0,MIN($C$7,ROW()-1),1)),0))</f>
        <v>1.9282897204378153</v>
      </c>
      <c r="BY487">
        <f t="shared" ca="1" si="216"/>
        <v>0</v>
      </c>
      <c r="BZ487" t="str">
        <f ca="1">IF(BY487=1,IF(INDEX(分析データ!$A:$A,ROW()+$C$5)&lt;&gt;"",40000*SIGN(BX487)*(分析データ!G487-INDEX(分析データ!G:G,ROW()+$C$5)),""),"")</f>
        <v/>
      </c>
      <c r="CA487">
        <f t="shared" ca="1" si="217"/>
        <v>7853552.856445305</v>
      </c>
      <c r="CB487">
        <f t="shared" ca="1" si="218"/>
        <v>7853552.856445305</v>
      </c>
      <c r="CC487">
        <f t="shared" ca="1" si="219"/>
        <v>0</v>
      </c>
      <c r="CD487">
        <f t="shared" ca="1" si="220"/>
        <v>0</v>
      </c>
      <c r="CE487">
        <f t="shared" ca="1" si="221"/>
        <v>5138752.8564453442</v>
      </c>
      <c r="CF487">
        <f t="shared" ca="1" si="222"/>
        <v>6770475.7177734533</v>
      </c>
      <c r="CG487">
        <f t="shared" ca="1" si="223"/>
        <v>-1631722.8613281092</v>
      </c>
      <c r="CH487" s="10">
        <f>分析データ!A487</f>
        <v>45636</v>
      </c>
    </row>
    <row r="488" spans="46:86">
      <c r="AT488">
        <f ca="1">IF(ROW()&lt;($C$7+1),"",IFERROR((分析データ!B488-AVERAGE(OFFSET(分析データ!B$1,MAX(1,ROW()-$C$7),0,MIN($C$7,ROW()-1),1)))/STDEV(OFFSET(分析データ!B$1,MAX(1,ROW()-$C$7),0,MIN($C$7,ROW()-1),1)),0))</f>
        <v>1.7124967174299701</v>
      </c>
      <c r="AU488">
        <f t="shared" ca="1" si="196"/>
        <v>0</v>
      </c>
      <c r="AV488" t="str">
        <f ca="1">IF(AU488=1,IF(INDEX(分析データ!$A:$A,ROW()+$C$5)&lt;&gt;"",80000*SIGN(AT488)*(分析データ!B488-INDEX(分析データ!B:B,ROW()+$C$5)),""),"")</f>
        <v/>
      </c>
      <c r="AW488">
        <f t="shared" ca="1" si="197"/>
        <v>-5439999.9999999888</v>
      </c>
      <c r="AX488">
        <f t="shared" ca="1" si="198"/>
        <v>0</v>
      </c>
      <c r="AY488">
        <f t="shared" ca="1" si="199"/>
        <v>-5439999.9999999888</v>
      </c>
      <c r="AZ488">
        <f ca="1">IF(ROW()&lt;($C$7+1),"",IFERROR((分析データ!C488-AVERAGE(OFFSET(分析データ!C$1,MAX(1,ROW()-$C$7),0,MIN($C$7,ROW()-1),1)))/STDEV(OFFSET(分析データ!C$1,MAX(1,ROW()-$C$7),0,MIN($C$7,ROW()-1),1)),0))</f>
        <v>-1.1441349619546004</v>
      </c>
      <c r="BA488">
        <f t="shared" ca="1" si="200"/>
        <v>0</v>
      </c>
      <c r="BB488" t="str">
        <f ca="1">IF(BA488=1,IF(INDEX(分析データ!$A:$A,ROW()+$C$5)&lt;&gt;"",60000*SIGN(AZ488)*(分析データ!C488-INDEX(分析データ!C:C,ROW()+$C$5)),""),"")</f>
        <v/>
      </c>
      <c r="BC488">
        <f t="shared" ca="1" si="201"/>
        <v>1602000.0000000072</v>
      </c>
      <c r="BD488">
        <f t="shared" ca="1" si="202"/>
        <v>1602000.0000000072</v>
      </c>
      <c r="BE488">
        <f t="shared" ca="1" si="203"/>
        <v>0</v>
      </c>
      <c r="BF488">
        <f ca="1">IF(ROW()&lt;($C$7+1),"",IFERROR((分析データ!D488-AVERAGE(OFFSET(分析データ!D$1,MAX(1,ROW()-$C$7),0,MIN($C$7,ROW()-1),1)))/STDEV(OFFSET(分析データ!D$1,MAX(1,ROW()-$C$7),0,MIN($C$7,ROW()-1),1)),0))</f>
        <v>-0.47110850808632926</v>
      </c>
      <c r="BG488">
        <f t="shared" ca="1" si="204"/>
        <v>0</v>
      </c>
      <c r="BH488" t="str">
        <f ca="1">IF(BG488=1,IF(INDEX(分析データ!$A:$A,ROW()+$C$5)&lt;&gt;"",50000*SIGN(BF488)*(分析データ!D488-INDEX(分析データ!D:D,ROW()+$C$5)),""),"")</f>
        <v/>
      </c>
      <c r="BI488">
        <f t="shared" ca="1" si="205"/>
        <v>-779999.99999999418</v>
      </c>
      <c r="BJ488">
        <f t="shared" ca="1" si="206"/>
        <v>1695000.0000000016</v>
      </c>
      <c r="BK488">
        <f t="shared" ca="1" si="207"/>
        <v>-2474999.9999999958</v>
      </c>
      <c r="BL488">
        <f ca="1">IF(ROW()&lt;($C$7+1),"",IFERROR((分析データ!E488-AVERAGE(OFFSET(分析データ!E$1,MAX(1,ROW()-$C$7),0,MIN($C$7,ROW()-1),1)))/STDEV(OFFSET(分析データ!E$1,MAX(1,ROW()-$C$7),0,MIN($C$7,ROW()-1),1)),0))</f>
        <v>0.65714758387638972</v>
      </c>
      <c r="BM488">
        <f t="shared" ca="1" si="208"/>
        <v>0</v>
      </c>
      <c r="BN488" t="str">
        <f ca="1">IF(BM488=1,IF(INDEX(分析データ!$A:$A,ROW()+$C$5)&lt;&gt;"",40000*SIGN(BL488)*(分析データ!E488-INDEX(分析データ!E:E,ROW()+$C$5)),""),"")</f>
        <v/>
      </c>
      <c r="BO488">
        <f t="shared" ca="1" si="209"/>
        <v>1320000.0000000075</v>
      </c>
      <c r="BP488">
        <f t="shared" ca="1" si="210"/>
        <v>1320000.0000000075</v>
      </c>
      <c r="BQ488">
        <f t="shared" ca="1" si="211"/>
        <v>0</v>
      </c>
      <c r="BR488">
        <f ca="1">IF(ROW()&lt;($C$7+1),"",IFERROR((分析データ!F488-AVERAGE(OFFSET(分析データ!F$1,MAX(1,ROW()-$C$7),0,MIN($C$7,ROW()-1),1)))/STDEV(OFFSET(分析データ!F$1,MAX(1,ROW()-$C$7),0,MIN($C$7,ROW()-1),1)),0))</f>
        <v>-1.0241504858985297</v>
      </c>
      <c r="BS488">
        <f t="shared" ca="1" si="212"/>
        <v>0</v>
      </c>
      <c r="BT488" t="str">
        <f ca="1">IF(BS488=1,IF(INDEX(分析データ!$A:$A,ROW()+$C$5)&lt;&gt;"",40000*SIGN(BR488)*(分析データ!F488-INDEX(分析データ!F:F,ROW()+$C$5)),""),"")</f>
        <v/>
      </c>
      <c r="BU488">
        <f t="shared" ca="1" si="213"/>
        <v>583200.00000000163</v>
      </c>
      <c r="BV488">
        <f t="shared" ca="1" si="214"/>
        <v>583200.00000000163</v>
      </c>
      <c r="BW488">
        <f t="shared" ca="1" si="215"/>
        <v>0</v>
      </c>
      <c r="BX488">
        <f ca="1">IF(ROW()&lt;($C$7+1),"",IFERROR((分析データ!G488-AVERAGE(OFFSET(分析データ!G$1,MAX(1,ROW()-$C$7),0,MIN($C$7,ROW()-1),1)))/STDEV(OFFSET(分析データ!G$1,MAX(1,ROW()-$C$7),0,MIN($C$7,ROW()-1),1)),0))</f>
        <v>1.5133219526743151</v>
      </c>
      <c r="BY488">
        <f t="shared" ca="1" si="216"/>
        <v>0</v>
      </c>
      <c r="BZ488" t="str">
        <f ca="1">IF(BY488=1,IF(INDEX(分析データ!$A:$A,ROW()+$C$5)&lt;&gt;"",40000*SIGN(BX488)*(分析データ!G488-INDEX(分析データ!G:G,ROW()+$C$5)),""),"")</f>
        <v/>
      </c>
      <c r="CA488">
        <f t="shared" ca="1" si="217"/>
        <v>7853552.856445305</v>
      </c>
      <c r="CB488">
        <f t="shared" ca="1" si="218"/>
        <v>7853552.856445305</v>
      </c>
      <c r="CC488">
        <f t="shared" ca="1" si="219"/>
        <v>0</v>
      </c>
      <c r="CD488">
        <f t="shared" ca="1" si="220"/>
        <v>0</v>
      </c>
      <c r="CE488">
        <f t="shared" ca="1" si="221"/>
        <v>5138752.8564453442</v>
      </c>
      <c r="CF488">
        <f t="shared" ca="1" si="222"/>
        <v>6770475.7177734533</v>
      </c>
      <c r="CG488">
        <f t="shared" ca="1" si="223"/>
        <v>-1631722.8613281092</v>
      </c>
      <c r="CH488" s="10">
        <f>分析データ!A488</f>
        <v>45637</v>
      </c>
    </row>
    <row r="489" spans="46:86">
      <c r="AT489">
        <f ca="1">IF(ROW()&lt;($C$7+1),"",IFERROR((分析データ!B489-AVERAGE(OFFSET(分析データ!B$1,MAX(1,ROW()-$C$7),0,MIN($C$7,ROW()-1),1)))/STDEV(OFFSET(分析データ!B$1,MAX(1,ROW()-$C$7),0,MIN($C$7,ROW()-1),1)),0))</f>
        <v>1.8122336028405583</v>
      </c>
      <c r="AU489">
        <f t="shared" ca="1" si="196"/>
        <v>0</v>
      </c>
      <c r="AV489" t="str">
        <f ca="1">IF(AU489=1,IF(INDEX(分析データ!$A:$A,ROW()+$C$5)&lt;&gt;"",80000*SIGN(AT489)*(分析データ!B489-INDEX(分析データ!B:B,ROW()+$C$5)),""),"")</f>
        <v/>
      </c>
      <c r="AW489">
        <f t="shared" ca="1" si="197"/>
        <v>-5439999.9999999888</v>
      </c>
      <c r="AX489">
        <f t="shared" ca="1" si="198"/>
        <v>0</v>
      </c>
      <c r="AY489">
        <f t="shared" ca="1" si="199"/>
        <v>-5439999.9999999888</v>
      </c>
      <c r="AZ489">
        <f ca="1">IF(ROW()&lt;($C$7+1),"",IFERROR((分析データ!C489-AVERAGE(OFFSET(分析データ!C$1,MAX(1,ROW()-$C$7),0,MIN($C$7,ROW()-1),1)))/STDEV(OFFSET(分析データ!C$1,MAX(1,ROW()-$C$7),0,MIN($C$7,ROW()-1),1)),0))</f>
        <v>-1.2149852295492078</v>
      </c>
      <c r="BA489">
        <f t="shared" ca="1" si="200"/>
        <v>0</v>
      </c>
      <c r="BB489" t="str">
        <f ca="1">IF(BA489=1,IF(INDEX(分析データ!$A:$A,ROW()+$C$5)&lt;&gt;"",60000*SIGN(AZ489)*(分析データ!C489-INDEX(分析データ!C:C,ROW()+$C$5)),""),"")</f>
        <v/>
      </c>
      <c r="BC489">
        <f t="shared" ca="1" si="201"/>
        <v>1602000.0000000072</v>
      </c>
      <c r="BD489">
        <f t="shared" ca="1" si="202"/>
        <v>1602000.0000000072</v>
      </c>
      <c r="BE489">
        <f t="shared" ca="1" si="203"/>
        <v>0</v>
      </c>
      <c r="BF489">
        <f ca="1">IF(ROW()&lt;($C$7+1),"",IFERROR((分析データ!D489-AVERAGE(OFFSET(分析データ!D$1,MAX(1,ROW()-$C$7),0,MIN($C$7,ROW()-1),1)))/STDEV(OFFSET(分析データ!D$1,MAX(1,ROW()-$C$7),0,MIN($C$7,ROW()-1),1)),0))</f>
        <v>-0.1523349777822938</v>
      </c>
      <c r="BG489">
        <f t="shared" ca="1" si="204"/>
        <v>0</v>
      </c>
      <c r="BH489" t="str">
        <f ca="1">IF(BG489=1,IF(INDEX(分析データ!$A:$A,ROW()+$C$5)&lt;&gt;"",50000*SIGN(BF489)*(分析データ!D489-INDEX(分析データ!D:D,ROW()+$C$5)),""),"")</f>
        <v/>
      </c>
      <c r="BI489">
        <f t="shared" ca="1" si="205"/>
        <v>-779999.99999999418</v>
      </c>
      <c r="BJ489">
        <f t="shared" ca="1" si="206"/>
        <v>1695000.0000000016</v>
      </c>
      <c r="BK489">
        <f t="shared" ca="1" si="207"/>
        <v>-2474999.9999999958</v>
      </c>
      <c r="BL489">
        <f ca="1">IF(ROW()&lt;($C$7+1),"",IFERROR((分析データ!E489-AVERAGE(OFFSET(分析データ!E$1,MAX(1,ROW()-$C$7),0,MIN($C$7,ROW()-1),1)))/STDEV(OFFSET(分析データ!E$1,MAX(1,ROW()-$C$7),0,MIN($C$7,ROW()-1),1)),0))</f>
        <v>0.76778905022039545</v>
      </c>
      <c r="BM489">
        <f t="shared" ca="1" si="208"/>
        <v>0</v>
      </c>
      <c r="BN489" t="str">
        <f ca="1">IF(BM489=1,IF(INDEX(分析データ!$A:$A,ROW()+$C$5)&lt;&gt;"",40000*SIGN(BL489)*(分析データ!E489-INDEX(分析データ!E:E,ROW()+$C$5)),""),"")</f>
        <v/>
      </c>
      <c r="BO489">
        <f t="shared" ca="1" si="209"/>
        <v>1320000.0000000075</v>
      </c>
      <c r="BP489">
        <f t="shared" ca="1" si="210"/>
        <v>1320000.0000000075</v>
      </c>
      <c r="BQ489">
        <f t="shared" ca="1" si="211"/>
        <v>0</v>
      </c>
      <c r="BR489">
        <f ca="1">IF(ROW()&lt;($C$7+1),"",IFERROR((分析データ!F489-AVERAGE(OFFSET(分析データ!F$1,MAX(1,ROW()-$C$7),0,MIN($C$7,ROW()-1),1)))/STDEV(OFFSET(分析データ!F$1,MAX(1,ROW()-$C$7),0,MIN($C$7,ROW()-1),1)),0))</f>
        <v>-1.1498628166197717</v>
      </c>
      <c r="BS489">
        <f t="shared" ca="1" si="212"/>
        <v>0</v>
      </c>
      <c r="BT489" t="str">
        <f ca="1">IF(BS489=1,IF(INDEX(分析データ!$A:$A,ROW()+$C$5)&lt;&gt;"",40000*SIGN(BR489)*(分析データ!F489-INDEX(分析データ!F:F,ROW()+$C$5)),""),"")</f>
        <v/>
      </c>
      <c r="BU489">
        <f t="shared" ca="1" si="213"/>
        <v>583200.00000000163</v>
      </c>
      <c r="BV489">
        <f t="shared" ca="1" si="214"/>
        <v>583200.00000000163</v>
      </c>
      <c r="BW489">
        <f t="shared" ca="1" si="215"/>
        <v>0</v>
      </c>
      <c r="BX489">
        <f ca="1">IF(ROW()&lt;($C$7+1),"",IFERROR((分析データ!G489-AVERAGE(OFFSET(分析データ!G$1,MAX(1,ROW()-$C$7),0,MIN($C$7,ROW()-1),1)))/STDEV(OFFSET(分析データ!G$1,MAX(1,ROW()-$C$7),0,MIN($C$7,ROW()-1),1)),0))</f>
        <v>1.4224206452423356</v>
      </c>
      <c r="BY489">
        <f t="shared" ca="1" si="216"/>
        <v>0</v>
      </c>
      <c r="BZ489" t="str">
        <f ca="1">IF(BY489=1,IF(INDEX(分析データ!$A:$A,ROW()+$C$5)&lt;&gt;"",40000*SIGN(BX489)*(分析データ!G489-INDEX(分析データ!G:G,ROW()+$C$5)),""),"")</f>
        <v/>
      </c>
      <c r="CA489">
        <f t="shared" ca="1" si="217"/>
        <v>7853552.856445305</v>
      </c>
      <c r="CB489">
        <f t="shared" ca="1" si="218"/>
        <v>7853552.856445305</v>
      </c>
      <c r="CC489">
        <f t="shared" ca="1" si="219"/>
        <v>0</v>
      </c>
      <c r="CD489">
        <f t="shared" ca="1" si="220"/>
        <v>0</v>
      </c>
      <c r="CE489">
        <f t="shared" ca="1" si="221"/>
        <v>5138752.8564453442</v>
      </c>
      <c r="CF489">
        <f t="shared" ca="1" si="222"/>
        <v>6770475.7177734533</v>
      </c>
      <c r="CG489">
        <f t="shared" ca="1" si="223"/>
        <v>-1631722.8613281092</v>
      </c>
      <c r="CH489" s="10">
        <f>分析データ!A489</f>
        <v>45638</v>
      </c>
    </row>
    <row r="490" spans="46:86">
      <c r="AT490">
        <f ca="1">IF(ROW()&lt;($C$7+1),"",IFERROR((分析データ!B490-AVERAGE(OFFSET(分析データ!B$1,MAX(1,ROW()-$C$7),0,MIN($C$7,ROW()-1),1)))/STDEV(OFFSET(分析データ!B$1,MAX(1,ROW()-$C$7),0,MIN($C$7,ROW()-1),1)),0))</f>
        <v>1.967393647081229</v>
      </c>
      <c r="AU490">
        <f t="shared" ca="1" si="196"/>
        <v>0</v>
      </c>
      <c r="AV490" t="str">
        <f ca="1">IF(AU490=1,IF(INDEX(分析データ!$A:$A,ROW()+$C$5)&lt;&gt;"",80000*SIGN(AT490)*(分析データ!B490-INDEX(分析データ!B:B,ROW()+$C$5)),""),"")</f>
        <v/>
      </c>
      <c r="AW490">
        <f t="shared" ca="1" si="197"/>
        <v>-5439999.9999999888</v>
      </c>
      <c r="AX490">
        <f t="shared" ca="1" si="198"/>
        <v>0</v>
      </c>
      <c r="AY490">
        <f t="shared" ca="1" si="199"/>
        <v>-5439999.9999999888</v>
      </c>
      <c r="AZ490">
        <f ca="1">IF(ROW()&lt;($C$7+1),"",IFERROR((分析データ!C490-AVERAGE(OFFSET(分析データ!C$1,MAX(1,ROW()-$C$7),0,MIN($C$7,ROW()-1),1)))/STDEV(OFFSET(分析データ!C$1,MAX(1,ROW()-$C$7),0,MIN($C$7,ROW()-1),1)),0))</f>
        <v>-1.270911362834964</v>
      </c>
      <c r="BA490">
        <f t="shared" ca="1" si="200"/>
        <v>0</v>
      </c>
      <c r="BB490" t="str">
        <f ca="1">IF(BA490=1,IF(INDEX(分析データ!$A:$A,ROW()+$C$5)&lt;&gt;"",60000*SIGN(AZ490)*(分析データ!C490-INDEX(分析データ!C:C,ROW()+$C$5)),""),"")</f>
        <v/>
      </c>
      <c r="BC490">
        <f t="shared" ca="1" si="201"/>
        <v>1602000.0000000072</v>
      </c>
      <c r="BD490">
        <f t="shared" ca="1" si="202"/>
        <v>1602000.0000000072</v>
      </c>
      <c r="BE490">
        <f t="shared" ca="1" si="203"/>
        <v>0</v>
      </c>
      <c r="BF490">
        <f ca="1">IF(ROW()&lt;($C$7+1),"",IFERROR((分析データ!D490-AVERAGE(OFFSET(分析データ!D$1,MAX(1,ROW()-$C$7),0,MIN($C$7,ROW()-1),1)))/STDEV(OFFSET(分析データ!D$1,MAX(1,ROW()-$C$7),0,MIN($C$7,ROW()-1),1)),0))</f>
        <v>0.21393605967820628</v>
      </c>
      <c r="BG490">
        <f t="shared" ca="1" si="204"/>
        <v>0</v>
      </c>
      <c r="BH490" t="str">
        <f ca="1">IF(BG490=1,IF(INDEX(分析データ!$A:$A,ROW()+$C$5)&lt;&gt;"",50000*SIGN(BF490)*(分析データ!D490-INDEX(分析データ!D:D,ROW()+$C$5)),""),"")</f>
        <v/>
      </c>
      <c r="BI490">
        <f t="shared" ca="1" si="205"/>
        <v>-779999.99999999418</v>
      </c>
      <c r="BJ490">
        <f t="shared" ca="1" si="206"/>
        <v>1695000.0000000016</v>
      </c>
      <c r="BK490">
        <f t="shared" ca="1" si="207"/>
        <v>-2474999.9999999958</v>
      </c>
      <c r="BL490">
        <f ca="1">IF(ROW()&lt;($C$7+1),"",IFERROR((分析データ!E490-AVERAGE(OFFSET(分析データ!E$1,MAX(1,ROW()-$C$7),0,MIN($C$7,ROW()-1),1)))/STDEV(OFFSET(分析データ!E$1,MAX(1,ROW()-$C$7),0,MIN($C$7,ROW()-1),1)),0))</f>
        <v>0.87780652840485174</v>
      </c>
      <c r="BM490">
        <f t="shared" ca="1" si="208"/>
        <v>0</v>
      </c>
      <c r="BN490" t="str">
        <f ca="1">IF(BM490=1,IF(INDEX(分析データ!$A:$A,ROW()+$C$5)&lt;&gt;"",40000*SIGN(BL490)*(分析データ!E490-INDEX(分析データ!E:E,ROW()+$C$5)),""),"")</f>
        <v/>
      </c>
      <c r="BO490">
        <f t="shared" ca="1" si="209"/>
        <v>1320000.0000000075</v>
      </c>
      <c r="BP490">
        <f t="shared" ca="1" si="210"/>
        <v>1320000.0000000075</v>
      </c>
      <c r="BQ490">
        <f t="shared" ca="1" si="211"/>
        <v>0</v>
      </c>
      <c r="BR490">
        <f ca="1">IF(ROW()&lt;($C$7+1),"",IFERROR((分析データ!F490-AVERAGE(OFFSET(分析データ!F$1,MAX(1,ROW()-$C$7),0,MIN($C$7,ROW()-1),1)))/STDEV(OFFSET(分析データ!F$1,MAX(1,ROW()-$C$7),0,MIN($C$7,ROW()-1),1)),0))</f>
        <v>-1.5280200699781941</v>
      </c>
      <c r="BS490">
        <f t="shared" ca="1" si="212"/>
        <v>0</v>
      </c>
      <c r="BT490" t="str">
        <f ca="1">IF(BS490=1,IF(INDEX(分析データ!$A:$A,ROW()+$C$5)&lt;&gt;"",40000*SIGN(BR490)*(分析データ!F490-INDEX(分析データ!F:F,ROW()+$C$5)),""),"")</f>
        <v/>
      </c>
      <c r="BU490">
        <f t="shared" ca="1" si="213"/>
        <v>583200.00000000163</v>
      </c>
      <c r="BV490">
        <f t="shared" ca="1" si="214"/>
        <v>583200.00000000163</v>
      </c>
      <c r="BW490">
        <f t="shared" ca="1" si="215"/>
        <v>0</v>
      </c>
      <c r="BX490">
        <f ca="1">IF(ROW()&lt;($C$7+1),"",IFERROR((分析データ!G490-AVERAGE(OFFSET(分析データ!G$1,MAX(1,ROW()-$C$7),0,MIN($C$7,ROW()-1),1)))/STDEV(OFFSET(分析データ!G$1,MAX(1,ROW()-$C$7),0,MIN($C$7,ROW()-1),1)),0))</f>
        <v>1.2211835363426973</v>
      </c>
      <c r="BY490">
        <f t="shared" ca="1" si="216"/>
        <v>0</v>
      </c>
      <c r="BZ490" t="str">
        <f ca="1">IF(BY490=1,IF(INDEX(分析データ!$A:$A,ROW()+$C$5)&lt;&gt;"",40000*SIGN(BX490)*(分析データ!G490-INDEX(分析データ!G:G,ROW()+$C$5)),""),"")</f>
        <v/>
      </c>
      <c r="CA490">
        <f t="shared" ca="1" si="217"/>
        <v>7853552.856445305</v>
      </c>
      <c r="CB490">
        <f t="shared" ca="1" si="218"/>
        <v>7853552.856445305</v>
      </c>
      <c r="CC490">
        <f t="shared" ca="1" si="219"/>
        <v>0</v>
      </c>
      <c r="CD490">
        <f t="shared" ca="1" si="220"/>
        <v>0</v>
      </c>
      <c r="CE490">
        <f t="shared" ca="1" si="221"/>
        <v>5138752.8564453442</v>
      </c>
      <c r="CF490">
        <f t="shared" ca="1" si="222"/>
        <v>6770475.7177734533</v>
      </c>
      <c r="CG490">
        <f t="shared" ca="1" si="223"/>
        <v>-1631722.8613281092</v>
      </c>
      <c r="CH490" s="10">
        <f>分析データ!A490</f>
        <v>45639</v>
      </c>
    </row>
    <row r="491" spans="46:86">
      <c r="AT491">
        <f ca="1">IF(ROW()&lt;($C$7+1),"",IFERROR((分析データ!B491-AVERAGE(OFFSET(分析データ!B$1,MAX(1,ROW()-$C$7),0,MIN($C$7,ROW()-1),1)))/STDEV(OFFSET(分析データ!B$1,MAX(1,ROW()-$C$7),0,MIN($C$7,ROW()-1),1)),0))</f>
        <v>1.8890203247254003</v>
      </c>
      <c r="AU491">
        <f t="shared" ca="1" si="196"/>
        <v>0</v>
      </c>
      <c r="AV491" t="str">
        <f ca="1">IF(AU491=1,IF(INDEX(分析データ!$A:$A,ROW()+$C$5)&lt;&gt;"",80000*SIGN(AT491)*(分析データ!B491-INDEX(分析データ!B:B,ROW()+$C$5)),""),"")</f>
        <v/>
      </c>
      <c r="AW491">
        <f t="shared" ca="1" si="197"/>
        <v>-5439999.9999999888</v>
      </c>
      <c r="AX491">
        <f t="shared" ca="1" si="198"/>
        <v>0</v>
      </c>
      <c r="AY491">
        <f t="shared" ca="1" si="199"/>
        <v>-5439999.9999999888</v>
      </c>
      <c r="AZ491">
        <f ca="1">IF(ROW()&lt;($C$7+1),"",IFERROR((分析データ!C491-AVERAGE(OFFSET(分析データ!C$1,MAX(1,ROW()-$C$7),0,MIN($C$7,ROW()-1),1)))/STDEV(OFFSET(分析データ!C$1,MAX(1,ROW()-$C$7),0,MIN($C$7,ROW()-1),1)),0))</f>
        <v>-1.231419866521416</v>
      </c>
      <c r="BA491">
        <f t="shared" ca="1" si="200"/>
        <v>0</v>
      </c>
      <c r="BB491" t="str">
        <f ca="1">IF(BA491=1,IF(INDEX(分析データ!$A:$A,ROW()+$C$5)&lt;&gt;"",60000*SIGN(AZ491)*(分析データ!C491-INDEX(分析データ!C:C,ROW()+$C$5)),""),"")</f>
        <v/>
      </c>
      <c r="BC491">
        <f t="shared" ca="1" si="201"/>
        <v>1602000.0000000072</v>
      </c>
      <c r="BD491">
        <f t="shared" ca="1" si="202"/>
        <v>1602000.0000000072</v>
      </c>
      <c r="BE491">
        <f t="shared" ca="1" si="203"/>
        <v>0</v>
      </c>
      <c r="BF491">
        <f ca="1">IF(ROW()&lt;($C$7+1),"",IFERROR((分析データ!D491-AVERAGE(OFFSET(分析データ!D$1,MAX(1,ROW()-$C$7),0,MIN($C$7,ROW()-1),1)))/STDEV(OFFSET(分析データ!D$1,MAX(1,ROW()-$C$7),0,MIN($C$7,ROW()-1),1)),0))</f>
        <v>5.8019975658318387E-2</v>
      </c>
      <c r="BG491">
        <f t="shared" ca="1" si="204"/>
        <v>0</v>
      </c>
      <c r="BH491" t="str">
        <f ca="1">IF(BG491=1,IF(INDEX(分析データ!$A:$A,ROW()+$C$5)&lt;&gt;"",50000*SIGN(BF491)*(分析データ!D491-INDEX(分析データ!D:D,ROW()+$C$5)),""),"")</f>
        <v/>
      </c>
      <c r="BI491">
        <f t="shared" ca="1" si="205"/>
        <v>-779999.99999999418</v>
      </c>
      <c r="BJ491">
        <f t="shared" ca="1" si="206"/>
        <v>1695000.0000000016</v>
      </c>
      <c r="BK491">
        <f t="shared" ca="1" si="207"/>
        <v>-2474999.9999999958</v>
      </c>
      <c r="BL491">
        <f ca="1">IF(ROW()&lt;($C$7+1),"",IFERROR((分析データ!E491-AVERAGE(OFFSET(分析データ!E$1,MAX(1,ROW()-$C$7),0,MIN($C$7,ROW()-1),1)))/STDEV(OFFSET(分析データ!E$1,MAX(1,ROW()-$C$7),0,MIN($C$7,ROW()-1),1)),0))</f>
        <v>0.75410857987267677</v>
      </c>
      <c r="BM491">
        <f t="shared" ca="1" si="208"/>
        <v>0</v>
      </c>
      <c r="BN491" t="str">
        <f ca="1">IF(BM491=1,IF(INDEX(分析データ!$A:$A,ROW()+$C$5)&lt;&gt;"",40000*SIGN(BL491)*(分析データ!E491-INDEX(分析データ!E:E,ROW()+$C$5)),""),"")</f>
        <v/>
      </c>
      <c r="BO491">
        <f t="shared" ca="1" si="209"/>
        <v>1320000.0000000075</v>
      </c>
      <c r="BP491">
        <f t="shared" ca="1" si="210"/>
        <v>1320000.0000000075</v>
      </c>
      <c r="BQ491">
        <f t="shared" ca="1" si="211"/>
        <v>0</v>
      </c>
      <c r="BR491">
        <f ca="1">IF(ROW()&lt;($C$7+1),"",IFERROR((分析データ!F491-AVERAGE(OFFSET(分析データ!F$1,MAX(1,ROW()-$C$7),0,MIN($C$7,ROW()-1),1)))/STDEV(OFFSET(分析データ!F$1,MAX(1,ROW()-$C$7),0,MIN($C$7,ROW()-1),1)),0))</f>
        <v>-1.5360202892735624</v>
      </c>
      <c r="BS491">
        <f t="shared" ca="1" si="212"/>
        <v>0</v>
      </c>
      <c r="BT491" t="str">
        <f ca="1">IF(BS491=1,IF(INDEX(分析データ!$A:$A,ROW()+$C$5)&lt;&gt;"",40000*SIGN(BR491)*(分析データ!F491-INDEX(分析データ!F:F,ROW()+$C$5)),""),"")</f>
        <v/>
      </c>
      <c r="BU491">
        <f t="shared" ca="1" si="213"/>
        <v>583200.00000000163</v>
      </c>
      <c r="BV491">
        <f t="shared" ca="1" si="214"/>
        <v>583200.00000000163</v>
      </c>
      <c r="BW491">
        <f t="shared" ca="1" si="215"/>
        <v>0</v>
      </c>
      <c r="BX491">
        <f ca="1">IF(ROW()&lt;($C$7+1),"",IFERROR((分析データ!G491-AVERAGE(OFFSET(分析データ!G$1,MAX(1,ROW()-$C$7),0,MIN($C$7,ROW()-1),1)))/STDEV(OFFSET(分析データ!G$1,MAX(1,ROW()-$C$7),0,MIN($C$7,ROW()-1),1)),0))</f>
        <v>1.3678609721160542</v>
      </c>
      <c r="BY491">
        <f t="shared" ca="1" si="216"/>
        <v>0</v>
      </c>
      <c r="BZ491" t="str">
        <f ca="1">IF(BY491=1,IF(INDEX(分析データ!$A:$A,ROW()+$C$5)&lt;&gt;"",40000*SIGN(BX491)*(分析データ!G491-INDEX(分析データ!G:G,ROW()+$C$5)),""),"")</f>
        <v/>
      </c>
      <c r="CA491">
        <f t="shared" ca="1" si="217"/>
        <v>7853552.856445305</v>
      </c>
      <c r="CB491">
        <f t="shared" ca="1" si="218"/>
        <v>7853552.856445305</v>
      </c>
      <c r="CC491">
        <f t="shared" ca="1" si="219"/>
        <v>0</v>
      </c>
      <c r="CD491">
        <f t="shared" ca="1" si="220"/>
        <v>0</v>
      </c>
      <c r="CE491">
        <f t="shared" ca="1" si="221"/>
        <v>5138752.8564453442</v>
      </c>
      <c r="CF491">
        <f t="shared" ca="1" si="222"/>
        <v>6770475.7177734533</v>
      </c>
      <c r="CG491">
        <f t="shared" ca="1" si="223"/>
        <v>-1631722.8613281092</v>
      </c>
      <c r="CH491" s="10">
        <f>分析データ!A491</f>
        <v>45642</v>
      </c>
    </row>
    <row r="492" spans="46:86">
      <c r="AT492">
        <f ca="1">IF(ROW()&lt;($C$7+1),"",IFERROR((分析データ!B492-AVERAGE(OFFSET(分析データ!B$1,MAX(1,ROW()-$C$7),0,MIN($C$7,ROW()-1),1)))/STDEV(OFFSET(分析データ!B$1,MAX(1,ROW()-$C$7),0,MIN($C$7,ROW()-1),1)),0))</f>
        <v>2.0407392568896903</v>
      </c>
      <c r="AU492">
        <f t="shared" ca="1" si="196"/>
        <v>1</v>
      </c>
      <c r="AV492">
        <f ca="1">IF(AU492=1,IF(INDEX(分析データ!$A:$A,ROW()+$C$5)&lt;&gt;"",80000*SIGN(AT492)*(分析データ!B492-INDEX(分析データ!B:B,ROW()+$C$5)),""),"")</f>
        <v>-560000.00000000233</v>
      </c>
      <c r="AW492">
        <f t="shared" ca="1" si="197"/>
        <v>-5999999.9999999907</v>
      </c>
      <c r="AX492">
        <f t="shared" ca="1" si="198"/>
        <v>0</v>
      </c>
      <c r="AY492">
        <f t="shared" ca="1" si="199"/>
        <v>-5999999.9999999907</v>
      </c>
      <c r="AZ492">
        <f ca="1">IF(ROW()&lt;($C$7+1),"",IFERROR((分析データ!C492-AVERAGE(OFFSET(分析データ!C$1,MAX(1,ROW()-$C$7),0,MIN($C$7,ROW()-1),1)))/STDEV(OFFSET(分析データ!C$1,MAX(1,ROW()-$C$7),0,MIN($C$7,ROW()-1),1)),0))</f>
        <v>-1.2310511249168012</v>
      </c>
      <c r="BA492">
        <f t="shared" ca="1" si="200"/>
        <v>0</v>
      </c>
      <c r="BB492" t="str">
        <f ca="1">IF(BA492=1,IF(INDEX(分析データ!$A:$A,ROW()+$C$5)&lt;&gt;"",60000*SIGN(AZ492)*(分析データ!C492-INDEX(分析データ!C:C,ROW()+$C$5)),""),"")</f>
        <v/>
      </c>
      <c r="BC492">
        <f t="shared" ca="1" si="201"/>
        <v>1602000.0000000072</v>
      </c>
      <c r="BD492">
        <f t="shared" ca="1" si="202"/>
        <v>1602000.0000000072</v>
      </c>
      <c r="BE492">
        <f t="shared" ca="1" si="203"/>
        <v>0</v>
      </c>
      <c r="BF492">
        <f ca="1">IF(ROW()&lt;($C$7+1),"",IFERROR((分析データ!D492-AVERAGE(OFFSET(分析データ!D$1,MAX(1,ROW()-$C$7),0,MIN($C$7,ROW()-1),1)))/STDEV(OFFSET(分析データ!D$1,MAX(1,ROW()-$C$7),0,MIN($C$7,ROW()-1),1)),0))</f>
        <v>5.8425129451065226E-2</v>
      </c>
      <c r="BG492">
        <f t="shared" ca="1" si="204"/>
        <v>0</v>
      </c>
      <c r="BH492" t="str">
        <f ca="1">IF(BG492=1,IF(INDEX(分析データ!$A:$A,ROW()+$C$5)&lt;&gt;"",50000*SIGN(BF492)*(分析データ!D492-INDEX(分析データ!D:D,ROW()+$C$5)),""),"")</f>
        <v/>
      </c>
      <c r="BI492">
        <f t="shared" ca="1" si="205"/>
        <v>-779999.99999999418</v>
      </c>
      <c r="BJ492">
        <f t="shared" ca="1" si="206"/>
        <v>1695000.0000000016</v>
      </c>
      <c r="BK492">
        <f t="shared" ca="1" si="207"/>
        <v>-2474999.9999999958</v>
      </c>
      <c r="BL492">
        <f ca="1">IF(ROW()&lt;($C$7+1),"",IFERROR((分析データ!E492-AVERAGE(OFFSET(分析データ!E$1,MAX(1,ROW()-$C$7),0,MIN($C$7,ROW()-1),1)))/STDEV(OFFSET(分析データ!E$1,MAX(1,ROW()-$C$7),0,MIN($C$7,ROW()-1),1)),0))</f>
        <v>0.74887152948667945</v>
      </c>
      <c r="BM492">
        <f t="shared" ca="1" si="208"/>
        <v>0</v>
      </c>
      <c r="BN492" t="str">
        <f ca="1">IF(BM492=1,IF(INDEX(分析データ!$A:$A,ROW()+$C$5)&lt;&gt;"",40000*SIGN(BL492)*(分析データ!E492-INDEX(分析データ!E:E,ROW()+$C$5)),""),"")</f>
        <v/>
      </c>
      <c r="BO492">
        <f t="shared" ca="1" si="209"/>
        <v>1320000.0000000075</v>
      </c>
      <c r="BP492">
        <f t="shared" ca="1" si="210"/>
        <v>1320000.0000000075</v>
      </c>
      <c r="BQ492">
        <f t="shared" ca="1" si="211"/>
        <v>0</v>
      </c>
      <c r="BR492">
        <f ca="1">IF(ROW()&lt;($C$7+1),"",IFERROR((分析データ!F492-AVERAGE(OFFSET(分析データ!F$1,MAX(1,ROW()-$C$7),0,MIN($C$7,ROW()-1),1)))/STDEV(OFFSET(分析データ!F$1,MAX(1,ROW()-$C$7),0,MIN($C$7,ROW()-1),1)),0))</f>
        <v>-1.2139605187207383</v>
      </c>
      <c r="BS492">
        <f t="shared" ca="1" si="212"/>
        <v>0</v>
      </c>
      <c r="BT492" t="str">
        <f ca="1">IF(BS492=1,IF(INDEX(分析データ!$A:$A,ROW()+$C$5)&lt;&gt;"",40000*SIGN(BR492)*(分析データ!F492-INDEX(分析データ!F:F,ROW()+$C$5)),""),"")</f>
        <v/>
      </c>
      <c r="BU492">
        <f t="shared" ca="1" si="213"/>
        <v>583200.00000000163</v>
      </c>
      <c r="BV492">
        <f t="shared" ca="1" si="214"/>
        <v>583200.00000000163</v>
      </c>
      <c r="BW492">
        <f t="shared" ca="1" si="215"/>
        <v>0</v>
      </c>
      <c r="BX492">
        <f ca="1">IF(ROW()&lt;($C$7+1),"",IFERROR((分析データ!G492-AVERAGE(OFFSET(分析データ!G$1,MAX(1,ROW()-$C$7),0,MIN($C$7,ROW()-1),1)))/STDEV(OFFSET(分析データ!G$1,MAX(1,ROW()-$C$7),0,MIN($C$7,ROW()-1),1)),0))</f>
        <v>1.1823726966226409</v>
      </c>
      <c r="BY492">
        <f t="shared" ca="1" si="216"/>
        <v>0</v>
      </c>
      <c r="BZ492" t="str">
        <f ca="1">IF(BY492=1,IF(INDEX(分析データ!$A:$A,ROW()+$C$5)&lt;&gt;"",40000*SIGN(BX492)*(分析データ!G492-INDEX(分析データ!G:G,ROW()+$C$5)),""),"")</f>
        <v/>
      </c>
      <c r="CA492">
        <f t="shared" ca="1" si="217"/>
        <v>7853552.856445305</v>
      </c>
      <c r="CB492">
        <f t="shared" ca="1" si="218"/>
        <v>7853552.856445305</v>
      </c>
      <c r="CC492">
        <f t="shared" ca="1" si="219"/>
        <v>0</v>
      </c>
      <c r="CD492">
        <f t="shared" ca="1" si="220"/>
        <v>-560000.00000000233</v>
      </c>
      <c r="CE492">
        <f t="shared" ca="1" si="221"/>
        <v>4578752.8564453423</v>
      </c>
      <c r="CF492">
        <f t="shared" ca="1" si="222"/>
        <v>6770475.7177734533</v>
      </c>
      <c r="CG492">
        <f t="shared" ca="1" si="223"/>
        <v>-2191722.861328111</v>
      </c>
      <c r="CH492" s="10">
        <f>分析データ!A492</f>
        <v>45643</v>
      </c>
    </row>
    <row r="493" spans="46:86">
      <c r="AT493">
        <f ca="1">IF(ROW()&lt;($C$7+1),"",IFERROR((分析データ!B493-AVERAGE(OFFSET(分析データ!B$1,MAX(1,ROW()-$C$7),0,MIN($C$7,ROW()-1),1)))/STDEV(OFFSET(分析データ!B$1,MAX(1,ROW()-$C$7),0,MIN($C$7,ROW()-1),1)),0))</f>
        <v>2.2435504345321493</v>
      </c>
      <c r="AU493">
        <f t="shared" ca="1" si="196"/>
        <v>1</v>
      </c>
      <c r="AV493">
        <f ca="1">IF(AU493=1,IF(INDEX(分析データ!$A:$A,ROW()+$C$5)&lt;&gt;"",80000*SIGN(AT493)*(分析データ!B493-INDEX(分析データ!B:B,ROW()+$C$5)),""),"")</f>
        <v>-399999.9999999915</v>
      </c>
      <c r="AW493">
        <f t="shared" ca="1" si="197"/>
        <v>-6399999.9999999823</v>
      </c>
      <c r="AX493">
        <f t="shared" ca="1" si="198"/>
        <v>0</v>
      </c>
      <c r="AY493">
        <f t="shared" ca="1" si="199"/>
        <v>-6399999.9999999823</v>
      </c>
      <c r="AZ493">
        <f ca="1">IF(ROW()&lt;($C$7+1),"",IFERROR((分析データ!C493-AVERAGE(OFFSET(分析データ!C$1,MAX(1,ROW()-$C$7),0,MIN($C$7,ROW()-1),1)))/STDEV(OFFSET(分析データ!C$1,MAX(1,ROW()-$C$7),0,MIN($C$7,ROW()-1),1)),0))</f>
        <v>-1.2224722432664923</v>
      </c>
      <c r="BA493">
        <f t="shared" ca="1" si="200"/>
        <v>0</v>
      </c>
      <c r="BB493" t="str">
        <f ca="1">IF(BA493=1,IF(INDEX(分析データ!$A:$A,ROW()+$C$5)&lt;&gt;"",60000*SIGN(AZ493)*(分析データ!C493-INDEX(分析データ!C:C,ROW()+$C$5)),""),"")</f>
        <v/>
      </c>
      <c r="BC493">
        <f t="shared" ca="1" si="201"/>
        <v>1602000.0000000072</v>
      </c>
      <c r="BD493">
        <f t="shared" ca="1" si="202"/>
        <v>1602000.0000000072</v>
      </c>
      <c r="BE493">
        <f t="shared" ca="1" si="203"/>
        <v>0</v>
      </c>
      <c r="BF493">
        <f ca="1">IF(ROW()&lt;($C$7+1),"",IFERROR((分析データ!D493-AVERAGE(OFFSET(分析データ!D$1,MAX(1,ROW()-$C$7),0,MIN($C$7,ROW()-1),1)))/STDEV(OFFSET(分析データ!D$1,MAX(1,ROW()-$C$7),0,MIN($C$7,ROW()-1),1)),0))</f>
        <v>0.5217808535047036</v>
      </c>
      <c r="BG493">
        <f t="shared" ca="1" si="204"/>
        <v>0</v>
      </c>
      <c r="BH493" t="str">
        <f ca="1">IF(BG493=1,IF(INDEX(分析データ!$A:$A,ROW()+$C$5)&lt;&gt;"",50000*SIGN(BF493)*(分析データ!D493-INDEX(分析データ!D:D,ROW()+$C$5)),""),"")</f>
        <v/>
      </c>
      <c r="BI493">
        <f t="shared" ca="1" si="205"/>
        <v>-779999.99999999418</v>
      </c>
      <c r="BJ493">
        <f t="shared" ca="1" si="206"/>
        <v>1695000.0000000016</v>
      </c>
      <c r="BK493">
        <f t="shared" ca="1" si="207"/>
        <v>-2474999.9999999958</v>
      </c>
      <c r="BL493">
        <f ca="1">IF(ROW()&lt;($C$7+1),"",IFERROR((分析データ!E493-AVERAGE(OFFSET(分析データ!E$1,MAX(1,ROW()-$C$7),0,MIN($C$7,ROW()-1),1)))/STDEV(OFFSET(分析データ!E$1,MAX(1,ROW()-$C$7),0,MIN($C$7,ROW()-1),1)),0))</f>
        <v>0.27590203839862465</v>
      </c>
      <c r="BM493">
        <f t="shared" ca="1" si="208"/>
        <v>0</v>
      </c>
      <c r="BN493" t="str">
        <f ca="1">IF(BM493=1,IF(INDEX(分析データ!$A:$A,ROW()+$C$5)&lt;&gt;"",40000*SIGN(BL493)*(分析データ!E493-INDEX(分析データ!E:E,ROW()+$C$5)),""),"")</f>
        <v/>
      </c>
      <c r="BO493">
        <f t="shared" ca="1" si="209"/>
        <v>1320000.0000000075</v>
      </c>
      <c r="BP493">
        <f t="shared" ca="1" si="210"/>
        <v>1320000.0000000075</v>
      </c>
      <c r="BQ493">
        <f t="shared" ca="1" si="211"/>
        <v>0</v>
      </c>
      <c r="BR493">
        <f ca="1">IF(ROW()&lt;($C$7+1),"",IFERROR((分析データ!F493-AVERAGE(OFFSET(分析データ!F$1,MAX(1,ROW()-$C$7),0,MIN($C$7,ROW()-1),1)))/STDEV(OFFSET(分析データ!F$1,MAX(1,ROW()-$C$7),0,MIN($C$7,ROW()-1),1)),0))</f>
        <v>-1.6464333113399241</v>
      </c>
      <c r="BS493">
        <f t="shared" ca="1" si="212"/>
        <v>0</v>
      </c>
      <c r="BT493" t="str">
        <f ca="1">IF(BS493=1,IF(INDEX(分析データ!$A:$A,ROW()+$C$5)&lt;&gt;"",40000*SIGN(BR493)*(分析データ!F493-INDEX(分析データ!F:F,ROW()+$C$5)),""),"")</f>
        <v/>
      </c>
      <c r="BU493">
        <f t="shared" ca="1" si="213"/>
        <v>583200.00000000163</v>
      </c>
      <c r="BV493">
        <f t="shared" ca="1" si="214"/>
        <v>583200.00000000163</v>
      </c>
      <c r="BW493">
        <f t="shared" ca="1" si="215"/>
        <v>0</v>
      </c>
      <c r="BX493">
        <f ca="1">IF(ROW()&lt;($C$7+1),"",IFERROR((分析データ!G493-AVERAGE(OFFSET(分析データ!G$1,MAX(1,ROW()-$C$7),0,MIN($C$7,ROW()-1),1)))/STDEV(OFFSET(分析データ!G$1,MAX(1,ROW()-$C$7),0,MIN($C$7,ROW()-1),1)),0))</f>
        <v>1.1229200051659365</v>
      </c>
      <c r="BY493">
        <f t="shared" ca="1" si="216"/>
        <v>0</v>
      </c>
      <c r="BZ493" t="str">
        <f ca="1">IF(BY493=1,IF(INDEX(分析データ!$A:$A,ROW()+$C$5)&lt;&gt;"",40000*SIGN(BX493)*(分析データ!G493-INDEX(分析データ!G:G,ROW()+$C$5)),""),"")</f>
        <v/>
      </c>
      <c r="CA493">
        <f t="shared" ca="1" si="217"/>
        <v>7853552.856445305</v>
      </c>
      <c r="CB493">
        <f t="shared" ca="1" si="218"/>
        <v>7853552.856445305</v>
      </c>
      <c r="CC493">
        <f t="shared" ca="1" si="219"/>
        <v>0</v>
      </c>
      <c r="CD493">
        <f t="shared" ca="1" si="220"/>
        <v>-399999.9999999915</v>
      </c>
      <c r="CE493">
        <f t="shared" ca="1" si="221"/>
        <v>4178752.8564453507</v>
      </c>
      <c r="CF493">
        <f t="shared" ca="1" si="222"/>
        <v>6770475.7177734533</v>
      </c>
      <c r="CG493">
        <f t="shared" ca="1" si="223"/>
        <v>-2591722.8613281026</v>
      </c>
      <c r="CH493" s="10">
        <f>分析データ!A493</f>
        <v>45644</v>
      </c>
    </row>
    <row r="494" spans="46:86">
      <c r="AT494">
        <f ca="1">IF(ROW()&lt;($C$7+1),"",IFERROR((分析データ!B494-AVERAGE(OFFSET(分析データ!B$1,MAX(1,ROW()-$C$7),0,MIN($C$7,ROW()-1),1)))/STDEV(OFFSET(分析データ!B$1,MAX(1,ROW()-$C$7),0,MIN($C$7,ROW()-1),1)),0))</f>
        <v>2.6633433894987832</v>
      </c>
      <c r="AU494">
        <f t="shared" ca="1" si="196"/>
        <v>1</v>
      </c>
      <c r="AV494">
        <f ca="1">IF(AU494=1,IF(INDEX(分析データ!$A:$A,ROW()+$C$5)&lt;&gt;"",80000*SIGN(AT494)*(分析データ!B494-INDEX(分析データ!B:B,ROW()+$C$5)),""),"")</f>
        <v>-120000.00000000454</v>
      </c>
      <c r="AW494">
        <f t="shared" ca="1" si="197"/>
        <v>-6519999.999999987</v>
      </c>
      <c r="AX494">
        <f t="shared" ca="1" si="198"/>
        <v>0</v>
      </c>
      <c r="AY494">
        <f t="shared" ca="1" si="199"/>
        <v>-6519999.999999987</v>
      </c>
      <c r="AZ494">
        <f ca="1">IF(ROW()&lt;($C$7+1),"",IFERROR((分析データ!C494-AVERAGE(OFFSET(分析データ!C$1,MAX(1,ROW()-$C$7),0,MIN($C$7,ROW()-1),1)))/STDEV(OFFSET(分析データ!C$1,MAX(1,ROW()-$C$7),0,MIN($C$7,ROW()-1),1)),0))</f>
        <v>-1.1043989954815057</v>
      </c>
      <c r="BA494">
        <f t="shared" ca="1" si="200"/>
        <v>0</v>
      </c>
      <c r="BB494" t="str">
        <f ca="1">IF(BA494=1,IF(INDEX(分析データ!$A:$A,ROW()+$C$5)&lt;&gt;"",60000*SIGN(AZ494)*(分析データ!C494-INDEX(分析データ!C:C,ROW()+$C$5)),""),"")</f>
        <v/>
      </c>
      <c r="BC494">
        <f t="shared" ca="1" si="201"/>
        <v>1602000.0000000072</v>
      </c>
      <c r="BD494">
        <f t="shared" ca="1" si="202"/>
        <v>1602000.0000000072</v>
      </c>
      <c r="BE494">
        <f t="shared" ca="1" si="203"/>
        <v>0</v>
      </c>
      <c r="BF494">
        <f ca="1">IF(ROW()&lt;($C$7+1),"",IFERROR((分析データ!D494-AVERAGE(OFFSET(分析データ!D$1,MAX(1,ROW()-$C$7),0,MIN($C$7,ROW()-1),1)))/STDEV(OFFSET(分析データ!D$1,MAX(1,ROW()-$C$7),0,MIN($C$7,ROW()-1),1)),0))</f>
        <v>0.72755733231087116</v>
      </c>
      <c r="BG494">
        <f t="shared" ca="1" si="204"/>
        <v>0</v>
      </c>
      <c r="BH494" t="str">
        <f ca="1">IF(BG494=1,IF(INDEX(分析データ!$A:$A,ROW()+$C$5)&lt;&gt;"",50000*SIGN(BF494)*(分析データ!D494-INDEX(分析データ!D:D,ROW()+$C$5)),""),"")</f>
        <v/>
      </c>
      <c r="BI494">
        <f t="shared" ca="1" si="205"/>
        <v>-779999.99999999418</v>
      </c>
      <c r="BJ494">
        <f t="shared" ca="1" si="206"/>
        <v>1695000.0000000016</v>
      </c>
      <c r="BK494">
        <f t="shared" ca="1" si="207"/>
        <v>-2474999.9999999958</v>
      </c>
      <c r="BL494">
        <f ca="1">IF(ROW()&lt;($C$7+1),"",IFERROR((分析データ!E494-AVERAGE(OFFSET(分析データ!E$1,MAX(1,ROW()-$C$7),0,MIN($C$7,ROW()-1),1)))/STDEV(OFFSET(分析データ!E$1,MAX(1,ROW()-$C$7),0,MIN($C$7,ROW()-1),1)),0))</f>
        <v>0.7395426582545277</v>
      </c>
      <c r="BM494">
        <f t="shared" ca="1" si="208"/>
        <v>0</v>
      </c>
      <c r="BN494" t="str">
        <f ca="1">IF(BM494=1,IF(INDEX(分析データ!$A:$A,ROW()+$C$5)&lt;&gt;"",40000*SIGN(BL494)*(分析データ!E494-INDEX(分析データ!E:E,ROW()+$C$5)),""),"")</f>
        <v/>
      </c>
      <c r="BO494">
        <f t="shared" ca="1" si="209"/>
        <v>1320000.0000000075</v>
      </c>
      <c r="BP494">
        <f t="shared" ca="1" si="210"/>
        <v>1320000.0000000075</v>
      </c>
      <c r="BQ494">
        <f t="shared" ca="1" si="211"/>
        <v>0</v>
      </c>
      <c r="BR494">
        <f ca="1">IF(ROW()&lt;($C$7+1),"",IFERROR((分析データ!F494-AVERAGE(OFFSET(分析データ!F$1,MAX(1,ROW()-$C$7),0,MIN($C$7,ROW()-1),1)))/STDEV(OFFSET(分析データ!F$1,MAX(1,ROW()-$C$7),0,MIN($C$7,ROW()-1),1)),0))</f>
        <v>-1.9889907285326791</v>
      </c>
      <c r="BS494">
        <f t="shared" ca="1" si="212"/>
        <v>0</v>
      </c>
      <c r="BT494" t="str">
        <f ca="1">IF(BS494=1,IF(INDEX(分析データ!$A:$A,ROW()+$C$5)&lt;&gt;"",40000*SIGN(BR494)*(分析データ!F494-INDEX(分析データ!F:F,ROW()+$C$5)),""),"")</f>
        <v/>
      </c>
      <c r="BU494">
        <f t="shared" ca="1" si="213"/>
        <v>583200.00000000163</v>
      </c>
      <c r="BV494">
        <f t="shared" ca="1" si="214"/>
        <v>583200.00000000163</v>
      </c>
      <c r="BW494">
        <f t="shared" ca="1" si="215"/>
        <v>0</v>
      </c>
      <c r="BX494">
        <f ca="1">IF(ROW()&lt;($C$7+1),"",IFERROR((分析データ!G494-AVERAGE(OFFSET(分析データ!G$1,MAX(1,ROW()-$C$7),0,MIN($C$7,ROW()-1),1)))/STDEV(OFFSET(分析データ!G$1,MAX(1,ROW()-$C$7),0,MIN($C$7,ROW()-1),1)),0))</f>
        <v>1.0759888773554944</v>
      </c>
      <c r="BY494">
        <f t="shared" ca="1" si="216"/>
        <v>0</v>
      </c>
      <c r="BZ494" t="str">
        <f ca="1">IF(BY494=1,IF(INDEX(分析データ!$A:$A,ROW()+$C$5)&lt;&gt;"",40000*SIGN(BX494)*(分析データ!G494-INDEX(分析データ!G:G,ROW()+$C$5)),""),"")</f>
        <v/>
      </c>
      <c r="CA494">
        <f t="shared" ca="1" si="217"/>
        <v>7853552.856445305</v>
      </c>
      <c r="CB494">
        <f t="shared" ca="1" si="218"/>
        <v>7853552.856445305</v>
      </c>
      <c r="CC494">
        <f t="shared" ca="1" si="219"/>
        <v>0</v>
      </c>
      <c r="CD494">
        <f t="shared" ca="1" si="220"/>
        <v>-120000.00000000454</v>
      </c>
      <c r="CE494">
        <f t="shared" ca="1" si="221"/>
        <v>4058752.856445346</v>
      </c>
      <c r="CF494">
        <f t="shared" ca="1" si="222"/>
        <v>6770475.7177734533</v>
      </c>
      <c r="CG494">
        <f t="shared" ca="1" si="223"/>
        <v>-2711722.8613281073</v>
      </c>
      <c r="CH494" s="10">
        <f>分析データ!A494</f>
        <v>45645</v>
      </c>
    </row>
    <row r="495" spans="46:86">
      <c r="AT495">
        <f ca="1">IF(ROW()&lt;($C$7+1),"",IFERROR((分析データ!B495-AVERAGE(OFFSET(分析データ!B$1,MAX(1,ROW()-$C$7),0,MIN($C$7,ROW()-1),1)))/STDEV(OFFSET(分析データ!B$1,MAX(1,ROW()-$C$7),0,MIN($C$7,ROW()-1),1)),0))</f>
        <v>2.2865505923212606</v>
      </c>
      <c r="AU495">
        <f t="shared" ca="1" si="196"/>
        <v>1</v>
      </c>
      <c r="AV495">
        <f ca="1">IF(AU495=1,IF(INDEX(分析データ!$A:$A,ROW()+$C$5)&lt;&gt;"",80000*SIGN(AT495)*(分析データ!B495-INDEX(分析データ!B:B,ROW()+$C$5)),""),"")</f>
        <v>-439999.99999999773</v>
      </c>
      <c r="AW495">
        <f t="shared" ca="1" si="197"/>
        <v>-6959999.9999999851</v>
      </c>
      <c r="AX495">
        <f t="shared" ca="1" si="198"/>
        <v>0</v>
      </c>
      <c r="AY495">
        <f t="shared" ca="1" si="199"/>
        <v>-6959999.9999999851</v>
      </c>
      <c r="AZ495">
        <f ca="1">IF(ROW()&lt;($C$7+1),"",IFERROR((分析データ!C495-AVERAGE(OFFSET(分析データ!C$1,MAX(1,ROW()-$C$7),0,MIN($C$7,ROW()-1),1)))/STDEV(OFFSET(分析データ!C$1,MAX(1,ROW()-$C$7),0,MIN($C$7,ROW()-1),1)),0))</f>
        <v>-1.1596736129808407</v>
      </c>
      <c r="BA495">
        <f t="shared" ca="1" si="200"/>
        <v>0</v>
      </c>
      <c r="BB495" t="str">
        <f ca="1">IF(BA495=1,IF(INDEX(分析データ!$A:$A,ROW()+$C$5)&lt;&gt;"",60000*SIGN(AZ495)*(分析データ!C495-INDEX(分析データ!C:C,ROW()+$C$5)),""),"")</f>
        <v/>
      </c>
      <c r="BC495">
        <f t="shared" ca="1" si="201"/>
        <v>1602000.0000000072</v>
      </c>
      <c r="BD495">
        <f t="shared" ca="1" si="202"/>
        <v>1602000.0000000072</v>
      </c>
      <c r="BE495">
        <f t="shared" ca="1" si="203"/>
        <v>0</v>
      </c>
      <c r="BF495">
        <f ca="1">IF(ROW()&lt;($C$7+1),"",IFERROR((分析データ!D495-AVERAGE(OFFSET(分析データ!D$1,MAX(1,ROW()-$C$7),0,MIN($C$7,ROW()-1),1)))/STDEV(OFFSET(分析データ!D$1,MAX(1,ROW()-$C$7),0,MIN($C$7,ROW()-1),1)),0))</f>
        <v>0.63079725049249047</v>
      </c>
      <c r="BG495">
        <f t="shared" ca="1" si="204"/>
        <v>0</v>
      </c>
      <c r="BH495" t="str">
        <f ca="1">IF(BG495=1,IF(INDEX(分析データ!$A:$A,ROW()+$C$5)&lt;&gt;"",50000*SIGN(BF495)*(分析データ!D495-INDEX(分析データ!D:D,ROW()+$C$5)),""),"")</f>
        <v/>
      </c>
      <c r="BI495">
        <f t="shared" ca="1" si="205"/>
        <v>-779999.99999999418</v>
      </c>
      <c r="BJ495">
        <f t="shared" ca="1" si="206"/>
        <v>1695000.0000000016</v>
      </c>
      <c r="BK495">
        <f t="shared" ca="1" si="207"/>
        <v>-2474999.9999999958</v>
      </c>
      <c r="BL495">
        <f ca="1">IF(ROW()&lt;($C$7+1),"",IFERROR((分析データ!E495-AVERAGE(OFFSET(分析データ!E$1,MAX(1,ROW()-$C$7),0,MIN($C$7,ROW()-1),1)))/STDEV(OFFSET(分析データ!E$1,MAX(1,ROW()-$C$7),0,MIN($C$7,ROW()-1),1)),0))</f>
        <v>0.85034658541568253</v>
      </c>
      <c r="BM495">
        <f t="shared" ca="1" si="208"/>
        <v>0</v>
      </c>
      <c r="BN495" t="str">
        <f ca="1">IF(BM495=1,IF(INDEX(分析データ!$A:$A,ROW()+$C$5)&lt;&gt;"",40000*SIGN(BL495)*(分析データ!E495-INDEX(分析データ!E:E,ROW()+$C$5)),""),"")</f>
        <v/>
      </c>
      <c r="BO495">
        <f t="shared" ca="1" si="209"/>
        <v>1320000.0000000075</v>
      </c>
      <c r="BP495">
        <f t="shared" ca="1" si="210"/>
        <v>1320000.0000000075</v>
      </c>
      <c r="BQ495">
        <f t="shared" ca="1" si="211"/>
        <v>0</v>
      </c>
      <c r="BR495">
        <f ca="1">IF(ROW()&lt;($C$7+1),"",IFERROR((分析データ!F495-AVERAGE(OFFSET(分析データ!F$1,MAX(1,ROW()-$C$7),0,MIN($C$7,ROW()-1),1)))/STDEV(OFFSET(分析データ!F$1,MAX(1,ROW()-$C$7),0,MIN($C$7,ROW()-1),1)),0))</f>
        <v>-1.3590580682628934</v>
      </c>
      <c r="BS495">
        <f t="shared" ca="1" si="212"/>
        <v>0</v>
      </c>
      <c r="BT495" t="str">
        <f ca="1">IF(BS495=1,IF(INDEX(分析データ!$A:$A,ROW()+$C$5)&lt;&gt;"",40000*SIGN(BR495)*(分析データ!F495-INDEX(分析データ!F:F,ROW()+$C$5)),""),"")</f>
        <v/>
      </c>
      <c r="BU495">
        <f t="shared" ca="1" si="213"/>
        <v>583200.00000000163</v>
      </c>
      <c r="BV495">
        <f t="shared" ca="1" si="214"/>
        <v>583200.00000000163</v>
      </c>
      <c r="BW495">
        <f t="shared" ca="1" si="215"/>
        <v>0</v>
      </c>
      <c r="BX495">
        <f ca="1">IF(ROW()&lt;($C$7+1),"",IFERROR((分析データ!G495-AVERAGE(OFFSET(分析データ!G$1,MAX(1,ROW()-$C$7),0,MIN($C$7,ROW()-1),1)))/STDEV(OFFSET(分析データ!G$1,MAX(1,ROW()-$C$7),0,MIN($C$7,ROW()-1),1)),0))</f>
        <v>0.59362978179645032</v>
      </c>
      <c r="BY495">
        <f t="shared" ca="1" si="216"/>
        <v>0</v>
      </c>
      <c r="BZ495" t="str">
        <f ca="1">IF(BY495=1,IF(INDEX(分析データ!$A:$A,ROW()+$C$5)&lt;&gt;"",40000*SIGN(BX495)*(分析データ!G495-INDEX(分析データ!G:G,ROW()+$C$5)),""),"")</f>
        <v/>
      </c>
      <c r="CA495">
        <f t="shared" ca="1" si="217"/>
        <v>7853552.856445305</v>
      </c>
      <c r="CB495">
        <f t="shared" ca="1" si="218"/>
        <v>7853552.856445305</v>
      </c>
      <c r="CC495">
        <f t="shared" ca="1" si="219"/>
        <v>0</v>
      </c>
      <c r="CD495">
        <f t="shared" ca="1" si="220"/>
        <v>-439999.99999999773</v>
      </c>
      <c r="CE495">
        <f t="shared" ca="1" si="221"/>
        <v>3618752.8564453484</v>
      </c>
      <c r="CF495">
        <f t="shared" ca="1" si="222"/>
        <v>6770475.7177734533</v>
      </c>
      <c r="CG495">
        <f t="shared" ca="1" si="223"/>
        <v>-3151722.861328105</v>
      </c>
      <c r="CH495" s="10">
        <f>分析データ!A495</f>
        <v>45646</v>
      </c>
    </row>
    <row r="496" spans="46:86">
      <c r="AT496">
        <f ca="1">IF(ROW()&lt;($C$7+1),"",IFERROR((分析データ!B496-AVERAGE(OFFSET(分析データ!B$1,MAX(1,ROW()-$C$7),0,MIN($C$7,ROW()-1),1)))/STDEV(OFFSET(分析データ!B$1,MAX(1,ROW()-$C$7),0,MIN($C$7,ROW()-1),1)),0))</f>
        <v>2.6941703443177376</v>
      </c>
      <c r="AU496">
        <f t="shared" ca="1" si="196"/>
        <v>1</v>
      </c>
      <c r="AV496">
        <f ca="1">IF(AU496=1,IF(INDEX(分析データ!$A:$A,ROW()+$C$5)&lt;&gt;"",80000*SIGN(AT496)*(分析データ!B496-INDEX(分析データ!B:B,ROW()+$C$5)),""),"")</f>
        <v>-199999.99999999575</v>
      </c>
      <c r="AW496">
        <f t="shared" ca="1" si="197"/>
        <v>-7159999.9999999804</v>
      </c>
      <c r="AX496">
        <f t="shared" ca="1" si="198"/>
        <v>0</v>
      </c>
      <c r="AY496">
        <f t="shared" ca="1" si="199"/>
        <v>-7159999.9999999804</v>
      </c>
      <c r="AZ496">
        <f ca="1">IF(ROW()&lt;($C$7+1),"",IFERROR((分析データ!C496-AVERAGE(OFFSET(分析データ!C$1,MAX(1,ROW()-$C$7),0,MIN($C$7,ROW()-1),1)))/STDEV(OFFSET(分析データ!C$1,MAX(1,ROW()-$C$7),0,MIN($C$7,ROW()-1),1)),0))</f>
        <v>-1.1274093931938052</v>
      </c>
      <c r="BA496">
        <f t="shared" ca="1" si="200"/>
        <v>0</v>
      </c>
      <c r="BB496" t="str">
        <f ca="1">IF(BA496=1,IF(INDEX(分析データ!$A:$A,ROW()+$C$5)&lt;&gt;"",60000*SIGN(AZ496)*(分析データ!C496-INDEX(分析データ!C:C,ROW()+$C$5)),""),"")</f>
        <v/>
      </c>
      <c r="BC496">
        <f t="shared" ca="1" si="201"/>
        <v>1602000.0000000072</v>
      </c>
      <c r="BD496">
        <f t="shared" ca="1" si="202"/>
        <v>1602000.0000000072</v>
      </c>
      <c r="BE496">
        <f t="shared" ca="1" si="203"/>
        <v>0</v>
      </c>
      <c r="BF496">
        <f ca="1">IF(ROW()&lt;($C$7+1),"",IFERROR((分析データ!D496-AVERAGE(OFFSET(分析データ!D$1,MAX(1,ROW()-$C$7),0,MIN($C$7,ROW()-1),1)))/STDEV(OFFSET(分析データ!D$1,MAX(1,ROW()-$C$7),0,MIN($C$7,ROW()-1),1)),0))</f>
        <v>0.86462902347849591</v>
      </c>
      <c r="BG496">
        <f t="shared" ca="1" si="204"/>
        <v>0</v>
      </c>
      <c r="BH496" t="str">
        <f ca="1">IF(BG496=1,IF(INDEX(分析データ!$A:$A,ROW()+$C$5)&lt;&gt;"",50000*SIGN(BF496)*(分析データ!D496-INDEX(分析データ!D:D,ROW()+$C$5)),""),"")</f>
        <v/>
      </c>
      <c r="BI496">
        <f t="shared" ca="1" si="205"/>
        <v>-779999.99999999418</v>
      </c>
      <c r="BJ496">
        <f t="shared" ca="1" si="206"/>
        <v>1695000.0000000016</v>
      </c>
      <c r="BK496">
        <f t="shared" ca="1" si="207"/>
        <v>-2474999.9999999958</v>
      </c>
      <c r="BL496">
        <f ca="1">IF(ROW()&lt;($C$7+1),"",IFERROR((分析データ!E496-AVERAGE(OFFSET(分析データ!E$1,MAX(1,ROW()-$C$7),0,MIN($C$7,ROW()-1),1)))/STDEV(OFFSET(分析データ!E$1,MAX(1,ROW()-$C$7),0,MIN($C$7,ROW()-1),1)),0))</f>
        <v>0.84347657915921392</v>
      </c>
      <c r="BM496">
        <f t="shared" ca="1" si="208"/>
        <v>0</v>
      </c>
      <c r="BN496" t="str">
        <f ca="1">IF(BM496=1,IF(INDEX(分析データ!$A:$A,ROW()+$C$5)&lt;&gt;"",40000*SIGN(BL496)*(分析データ!E496-INDEX(分析データ!E:E,ROW()+$C$5)),""),"")</f>
        <v/>
      </c>
      <c r="BO496">
        <f t="shared" ca="1" si="209"/>
        <v>1320000.0000000075</v>
      </c>
      <c r="BP496">
        <f t="shared" ca="1" si="210"/>
        <v>1320000.0000000075</v>
      </c>
      <c r="BQ496">
        <f t="shared" ca="1" si="211"/>
        <v>0</v>
      </c>
      <c r="BR496">
        <f ca="1">IF(ROW()&lt;($C$7+1),"",IFERROR((分析データ!F496-AVERAGE(OFFSET(分析データ!F$1,MAX(1,ROW()-$C$7),0,MIN($C$7,ROW()-1),1)))/STDEV(OFFSET(分析データ!F$1,MAX(1,ROW()-$C$7),0,MIN($C$7,ROW()-1),1)),0))</f>
        <v>-1.9773392358378223</v>
      </c>
      <c r="BS496">
        <f t="shared" ca="1" si="212"/>
        <v>0</v>
      </c>
      <c r="BT496" t="str">
        <f ca="1">IF(BS496=1,IF(INDEX(分析データ!$A:$A,ROW()+$C$5)&lt;&gt;"",40000*SIGN(BR496)*(分析データ!F496-INDEX(分析データ!F:F,ROW()+$C$5)),""),"")</f>
        <v/>
      </c>
      <c r="BU496">
        <f t="shared" ca="1" si="213"/>
        <v>583200.00000000163</v>
      </c>
      <c r="BV496">
        <f t="shared" ca="1" si="214"/>
        <v>583200.00000000163</v>
      </c>
      <c r="BW496">
        <f t="shared" ca="1" si="215"/>
        <v>0</v>
      </c>
      <c r="BX496">
        <f ca="1">IF(ROW()&lt;($C$7+1),"",IFERROR((分析データ!G496-AVERAGE(OFFSET(分析データ!G$1,MAX(1,ROW()-$C$7),0,MIN($C$7,ROW()-1),1)))/STDEV(OFFSET(分析データ!G$1,MAX(1,ROW()-$C$7),0,MIN($C$7,ROW()-1),1)),0))</f>
        <v>0.88952518461357033</v>
      </c>
      <c r="BY496">
        <f t="shared" ca="1" si="216"/>
        <v>0</v>
      </c>
      <c r="BZ496" t="str">
        <f ca="1">IF(BY496=1,IF(INDEX(分析データ!$A:$A,ROW()+$C$5)&lt;&gt;"",40000*SIGN(BX496)*(分析データ!G496-INDEX(分析データ!G:G,ROW()+$C$5)),""),"")</f>
        <v/>
      </c>
      <c r="CA496">
        <f t="shared" ca="1" si="217"/>
        <v>7853552.856445305</v>
      </c>
      <c r="CB496">
        <f t="shared" ca="1" si="218"/>
        <v>7853552.856445305</v>
      </c>
      <c r="CC496">
        <f t="shared" ca="1" si="219"/>
        <v>0</v>
      </c>
      <c r="CD496">
        <f t="shared" ca="1" si="220"/>
        <v>-199999.99999999575</v>
      </c>
      <c r="CE496">
        <f t="shared" ca="1" si="221"/>
        <v>3418752.8564453525</v>
      </c>
      <c r="CF496">
        <f t="shared" ca="1" si="222"/>
        <v>6770475.7177734533</v>
      </c>
      <c r="CG496">
        <f t="shared" ca="1" si="223"/>
        <v>-3351722.8613281008</v>
      </c>
      <c r="CH496" s="10">
        <f>分析データ!A496</f>
        <v>45649</v>
      </c>
    </row>
    <row r="497" spans="46:86">
      <c r="AT497">
        <f ca="1">IF(ROW()&lt;($C$7+1),"",IFERROR((分析データ!B497-AVERAGE(OFFSET(分析データ!B$1,MAX(1,ROW()-$C$7),0,MIN($C$7,ROW()-1),1)))/STDEV(OFFSET(分析データ!B$1,MAX(1,ROW()-$C$7),0,MIN($C$7,ROW()-1),1)),0))</f>
        <v>2.8102085777765748</v>
      </c>
      <c r="AU497">
        <f t="shared" ca="1" si="196"/>
        <v>1</v>
      </c>
      <c r="AV497">
        <f ca="1">IF(AU497=1,IF(INDEX(分析データ!$A:$A,ROW()+$C$5)&lt;&gt;"",80000*SIGN(AT497)*(分析データ!B497-INDEX(分析データ!B:B,ROW()+$C$5)),""),"")</f>
        <v>-160000.0000000037</v>
      </c>
      <c r="AW497">
        <f t="shared" ca="1" si="197"/>
        <v>-7319999.9999999842</v>
      </c>
      <c r="AX497">
        <f t="shared" ca="1" si="198"/>
        <v>0</v>
      </c>
      <c r="AY497">
        <f t="shared" ca="1" si="199"/>
        <v>-7319999.9999999842</v>
      </c>
      <c r="AZ497">
        <f ca="1">IF(ROW()&lt;($C$7+1),"",IFERROR((分析データ!C497-AVERAGE(OFFSET(分析データ!C$1,MAX(1,ROW()-$C$7),0,MIN($C$7,ROW()-1),1)))/STDEV(OFFSET(分析データ!C$1,MAX(1,ROW()-$C$7),0,MIN($C$7,ROW()-1),1)),0))</f>
        <v>-0.97542196928646774</v>
      </c>
      <c r="BA497">
        <f t="shared" ca="1" si="200"/>
        <v>0</v>
      </c>
      <c r="BB497" t="str">
        <f ca="1">IF(BA497=1,IF(INDEX(分析データ!$A:$A,ROW()+$C$5)&lt;&gt;"",60000*SIGN(AZ497)*(分析データ!C497-INDEX(分析データ!C:C,ROW()+$C$5)),""),"")</f>
        <v/>
      </c>
      <c r="BC497">
        <f t="shared" ca="1" si="201"/>
        <v>1602000.0000000072</v>
      </c>
      <c r="BD497">
        <f t="shared" ca="1" si="202"/>
        <v>1602000.0000000072</v>
      </c>
      <c r="BE497">
        <f t="shared" ca="1" si="203"/>
        <v>0</v>
      </c>
      <c r="BF497">
        <f ca="1">IF(ROW()&lt;($C$7+1),"",IFERROR((分析データ!D497-AVERAGE(OFFSET(分析データ!D$1,MAX(1,ROW()-$C$7),0,MIN($C$7,ROW()-1),1)))/STDEV(OFFSET(分析データ!D$1,MAX(1,ROW()-$C$7),0,MIN($C$7,ROW()-1),1)),0))</f>
        <v>0.8396144477637657</v>
      </c>
      <c r="BG497">
        <f t="shared" ca="1" si="204"/>
        <v>0</v>
      </c>
      <c r="BH497" t="str">
        <f ca="1">IF(BG497=1,IF(INDEX(分析データ!$A:$A,ROW()+$C$5)&lt;&gt;"",50000*SIGN(BF497)*(分析データ!D497-INDEX(分析データ!D:D,ROW()+$C$5)),""),"")</f>
        <v/>
      </c>
      <c r="BI497">
        <f t="shared" ca="1" si="205"/>
        <v>-779999.99999999418</v>
      </c>
      <c r="BJ497">
        <f t="shared" ca="1" si="206"/>
        <v>1695000.0000000016</v>
      </c>
      <c r="BK497">
        <f t="shared" ca="1" si="207"/>
        <v>-2474999.9999999958</v>
      </c>
      <c r="BL497">
        <f ca="1">IF(ROW()&lt;($C$7+1),"",IFERROR((分析データ!E497-AVERAGE(OFFSET(分析データ!E$1,MAX(1,ROW()-$C$7),0,MIN($C$7,ROW()-1),1)))/STDEV(OFFSET(分析データ!E$1,MAX(1,ROW()-$C$7),0,MIN($C$7,ROW()-1),1)),0))</f>
        <v>0.9534564006703764</v>
      </c>
      <c r="BM497">
        <f t="shared" ca="1" si="208"/>
        <v>0</v>
      </c>
      <c r="BN497" t="str">
        <f ca="1">IF(BM497=1,IF(INDEX(分析データ!$A:$A,ROW()+$C$5)&lt;&gt;"",40000*SIGN(BL497)*(分析データ!E497-INDEX(分析データ!E:E,ROW()+$C$5)),""),"")</f>
        <v/>
      </c>
      <c r="BO497">
        <f t="shared" ca="1" si="209"/>
        <v>1320000.0000000075</v>
      </c>
      <c r="BP497">
        <f t="shared" ca="1" si="210"/>
        <v>1320000.0000000075</v>
      </c>
      <c r="BQ497">
        <f t="shared" ca="1" si="211"/>
        <v>0</v>
      </c>
      <c r="BR497">
        <f ca="1">IF(ROW()&lt;($C$7+1),"",IFERROR((分析データ!F497-AVERAGE(OFFSET(分析データ!F$1,MAX(1,ROW()-$C$7),0,MIN($C$7,ROW()-1),1)))/STDEV(OFFSET(分析データ!F$1,MAX(1,ROW()-$C$7),0,MIN($C$7,ROW()-1),1)),0))</f>
        <v>-1.9228275830678967</v>
      </c>
      <c r="BS497">
        <f t="shared" ca="1" si="212"/>
        <v>0</v>
      </c>
      <c r="BT497" t="str">
        <f ca="1">IF(BS497=1,IF(INDEX(分析データ!$A:$A,ROW()+$C$5)&lt;&gt;"",40000*SIGN(BR497)*(分析データ!F497-INDEX(分析データ!F:F,ROW()+$C$5)),""),"")</f>
        <v/>
      </c>
      <c r="BU497">
        <f t="shared" ca="1" si="213"/>
        <v>583200.00000000163</v>
      </c>
      <c r="BV497">
        <f t="shared" ca="1" si="214"/>
        <v>583200.00000000163</v>
      </c>
      <c r="BW497">
        <f t="shared" ca="1" si="215"/>
        <v>0</v>
      </c>
      <c r="BX497">
        <f ca="1">IF(ROW()&lt;($C$7+1),"",IFERROR((分析データ!G497-AVERAGE(OFFSET(分析データ!G$1,MAX(1,ROW()-$C$7),0,MIN($C$7,ROW()-1),1)))/STDEV(OFFSET(分析データ!G$1,MAX(1,ROW()-$C$7),0,MIN($C$7,ROW()-1),1)),0))</f>
        <v>0.84804872712655854</v>
      </c>
      <c r="BY497">
        <f t="shared" ca="1" si="216"/>
        <v>0</v>
      </c>
      <c r="BZ497" t="str">
        <f ca="1">IF(BY497=1,IF(INDEX(分析データ!$A:$A,ROW()+$C$5)&lt;&gt;"",40000*SIGN(BX497)*(分析データ!G497-INDEX(分析データ!G:G,ROW()+$C$5)),""),"")</f>
        <v/>
      </c>
      <c r="CA497">
        <f t="shared" ca="1" si="217"/>
        <v>7853552.856445305</v>
      </c>
      <c r="CB497">
        <f t="shared" ca="1" si="218"/>
        <v>7853552.856445305</v>
      </c>
      <c r="CC497">
        <f t="shared" ca="1" si="219"/>
        <v>0</v>
      </c>
      <c r="CD497">
        <f t="shared" ca="1" si="220"/>
        <v>-160000.0000000037</v>
      </c>
      <c r="CE497">
        <f t="shared" ca="1" si="221"/>
        <v>3258752.8564453488</v>
      </c>
      <c r="CF497">
        <f t="shared" ca="1" si="222"/>
        <v>6770475.7177734533</v>
      </c>
      <c r="CG497">
        <f t="shared" ca="1" si="223"/>
        <v>-3511722.8613281045</v>
      </c>
      <c r="CH497" s="10">
        <f>分析データ!A497</f>
        <v>45650</v>
      </c>
    </row>
    <row r="498" spans="46:86">
      <c r="AT498">
        <f ca="1">IF(ROW()&lt;($C$7+1),"",IFERROR((分析データ!B498-AVERAGE(OFFSET(分析データ!B$1,MAX(1,ROW()-$C$7),0,MIN($C$7,ROW()-1),1)))/STDEV(OFFSET(分析データ!B$1,MAX(1,ROW()-$C$7),0,MIN($C$7,ROW()-1),1)),0))</f>
        <v>2.5994191248766598</v>
      </c>
      <c r="AU498">
        <f t="shared" ca="1" si="196"/>
        <v>1</v>
      </c>
      <c r="AV498">
        <f ca="1">IF(AU498=1,IF(INDEX(分析データ!$A:$A,ROW()+$C$5)&lt;&gt;"",80000*SIGN(AT498)*(分析データ!B498-INDEX(分析データ!B:B,ROW()+$C$5)),""),"")</f>
        <v>-319999.99999999319</v>
      </c>
      <c r="AW498">
        <f t="shared" ca="1" si="197"/>
        <v>-7639999.9999999776</v>
      </c>
      <c r="AX498">
        <f t="shared" ca="1" si="198"/>
        <v>0</v>
      </c>
      <c r="AY498">
        <f t="shared" ca="1" si="199"/>
        <v>-7639999.9999999776</v>
      </c>
      <c r="AZ498">
        <f ca="1">IF(ROW()&lt;($C$7+1),"",IFERROR((分析データ!C498-AVERAGE(OFFSET(分析データ!C$1,MAX(1,ROW()-$C$7),0,MIN($C$7,ROW()-1),1)))/STDEV(OFFSET(分析データ!C$1,MAX(1,ROW()-$C$7),0,MIN($C$7,ROW()-1),1)),0))</f>
        <v>-0.83234831872669424</v>
      </c>
      <c r="BA498">
        <f t="shared" ca="1" si="200"/>
        <v>0</v>
      </c>
      <c r="BB498" t="str">
        <f ca="1">IF(BA498=1,IF(INDEX(分析データ!$A:$A,ROW()+$C$5)&lt;&gt;"",60000*SIGN(AZ498)*(分析データ!C498-INDEX(分析データ!C:C,ROW()+$C$5)),""),"")</f>
        <v/>
      </c>
      <c r="BC498">
        <f t="shared" ca="1" si="201"/>
        <v>1602000.0000000072</v>
      </c>
      <c r="BD498">
        <f t="shared" ca="1" si="202"/>
        <v>1602000.0000000072</v>
      </c>
      <c r="BE498">
        <f t="shared" ca="1" si="203"/>
        <v>0</v>
      </c>
      <c r="BF498">
        <f ca="1">IF(ROW()&lt;($C$7+1),"",IFERROR((分析データ!D498-AVERAGE(OFFSET(分析データ!D$1,MAX(1,ROW()-$C$7),0,MIN($C$7,ROW()-1),1)))/STDEV(OFFSET(分析データ!D$1,MAX(1,ROW()-$C$7),0,MIN($C$7,ROW()-1),1)),0))</f>
        <v>0.72663742227725014</v>
      </c>
      <c r="BG498">
        <f t="shared" ca="1" si="204"/>
        <v>0</v>
      </c>
      <c r="BH498" t="str">
        <f ca="1">IF(BG498=1,IF(INDEX(分析データ!$A:$A,ROW()+$C$5)&lt;&gt;"",50000*SIGN(BF498)*(分析データ!D498-INDEX(分析データ!D:D,ROW()+$C$5)),""),"")</f>
        <v/>
      </c>
      <c r="BI498">
        <f t="shared" ca="1" si="205"/>
        <v>-779999.99999999418</v>
      </c>
      <c r="BJ498">
        <f t="shared" ca="1" si="206"/>
        <v>1695000.0000000016</v>
      </c>
      <c r="BK498">
        <f t="shared" ca="1" si="207"/>
        <v>-2474999.9999999958</v>
      </c>
      <c r="BL498">
        <f ca="1">IF(ROW()&lt;($C$7+1),"",IFERROR((分析データ!E498-AVERAGE(OFFSET(分析データ!E$1,MAX(1,ROW()-$C$7),0,MIN($C$7,ROW()-1),1)))/STDEV(OFFSET(分析データ!E$1,MAX(1,ROW()-$C$7),0,MIN($C$7,ROW()-1),1)),0))</f>
        <v>0.94613623603292529</v>
      </c>
      <c r="BM498">
        <f t="shared" ca="1" si="208"/>
        <v>0</v>
      </c>
      <c r="BN498" t="str">
        <f ca="1">IF(BM498=1,IF(INDEX(分析データ!$A:$A,ROW()+$C$5)&lt;&gt;"",40000*SIGN(BL498)*(分析データ!E498-INDEX(分析データ!E:E,ROW()+$C$5)),""),"")</f>
        <v/>
      </c>
      <c r="BO498">
        <f t="shared" ca="1" si="209"/>
        <v>1320000.0000000075</v>
      </c>
      <c r="BP498">
        <f t="shared" ca="1" si="210"/>
        <v>1320000.0000000075</v>
      </c>
      <c r="BQ498">
        <f t="shared" ca="1" si="211"/>
        <v>0</v>
      </c>
      <c r="BR498">
        <f ca="1">IF(ROW()&lt;($C$7+1),"",IFERROR((分析データ!F498-AVERAGE(OFFSET(分析データ!F$1,MAX(1,ROW()-$C$7),0,MIN($C$7,ROW()-1),1)))/STDEV(OFFSET(分析データ!F$1,MAX(1,ROW()-$C$7),0,MIN($C$7,ROW()-1),1)),0))</f>
        <v>-1.7967634576116922</v>
      </c>
      <c r="BS498">
        <f t="shared" ca="1" si="212"/>
        <v>0</v>
      </c>
      <c r="BT498" t="str">
        <f ca="1">IF(BS498=1,IF(INDEX(分析データ!$A:$A,ROW()+$C$5)&lt;&gt;"",40000*SIGN(BR498)*(分析データ!F498-INDEX(分析データ!F:F,ROW()+$C$5)),""),"")</f>
        <v/>
      </c>
      <c r="BU498">
        <f t="shared" ca="1" si="213"/>
        <v>583200.00000000163</v>
      </c>
      <c r="BV498">
        <f t="shared" ca="1" si="214"/>
        <v>583200.00000000163</v>
      </c>
      <c r="BW498">
        <f t="shared" ca="1" si="215"/>
        <v>0</v>
      </c>
      <c r="BX498">
        <f ca="1">IF(ROW()&lt;($C$7+1),"",IFERROR((分析データ!G498-AVERAGE(OFFSET(分析データ!G$1,MAX(1,ROW()-$C$7),0,MIN($C$7,ROW()-1),1)))/STDEV(OFFSET(分析データ!G$1,MAX(1,ROW()-$C$7),0,MIN($C$7,ROW()-1),1)),0))</f>
        <v>0.87764471951221001</v>
      </c>
      <c r="BY498">
        <f t="shared" ca="1" si="216"/>
        <v>0</v>
      </c>
      <c r="BZ498" t="str">
        <f ca="1">IF(BY498=1,IF(INDEX(分析データ!$A:$A,ROW()+$C$5)&lt;&gt;"",40000*SIGN(BX498)*(分析データ!G498-INDEX(分析データ!G:G,ROW()+$C$5)),""),"")</f>
        <v/>
      </c>
      <c r="CA498">
        <f t="shared" ca="1" si="217"/>
        <v>7853552.856445305</v>
      </c>
      <c r="CB498">
        <f t="shared" ca="1" si="218"/>
        <v>7853552.856445305</v>
      </c>
      <c r="CC498">
        <f t="shared" ca="1" si="219"/>
        <v>0</v>
      </c>
      <c r="CD498">
        <f t="shared" ca="1" si="220"/>
        <v>-319999.99999999319</v>
      </c>
      <c r="CE498">
        <f t="shared" ca="1" si="221"/>
        <v>2938752.8564453558</v>
      </c>
      <c r="CF498">
        <f t="shared" ca="1" si="222"/>
        <v>6770475.7177734533</v>
      </c>
      <c r="CG498">
        <f t="shared" ca="1" si="223"/>
        <v>-3831722.8613280975</v>
      </c>
      <c r="CH498" s="10">
        <f>分析データ!A498</f>
        <v>45652</v>
      </c>
    </row>
    <row r="499" spans="46:86">
      <c r="AT499">
        <f ca="1">IF(ROW()&lt;($C$7+1),"",IFERROR((分析データ!B499-AVERAGE(OFFSET(分析データ!B$1,MAX(1,ROW()-$C$7),0,MIN($C$7,ROW()-1),1)))/STDEV(OFFSET(分析データ!B$1,MAX(1,ROW()-$C$7),0,MIN($C$7,ROW()-1),1)),0))</f>
        <v>2.6091101946232778</v>
      </c>
      <c r="AU499">
        <f t="shared" ca="1" si="196"/>
        <v>1</v>
      </c>
      <c r="AV499">
        <f ca="1">IF(AU499=1,IF(INDEX(分析データ!$A:$A,ROW()+$C$5)&lt;&gt;"",80000*SIGN(AT499)*(分析データ!B499-INDEX(分析データ!B:B,ROW()+$C$5)),""),"")</f>
        <v>-399999.9999999915</v>
      </c>
      <c r="AW499">
        <f t="shared" ca="1" si="197"/>
        <v>-8039999.9999999693</v>
      </c>
      <c r="AX499">
        <f t="shared" ca="1" si="198"/>
        <v>0</v>
      </c>
      <c r="AY499">
        <f t="shared" ca="1" si="199"/>
        <v>-8039999.9999999693</v>
      </c>
      <c r="AZ499">
        <f ca="1">IF(ROW()&lt;($C$7+1),"",IFERROR((分析データ!C499-AVERAGE(OFFSET(分析データ!C$1,MAX(1,ROW()-$C$7),0,MIN($C$7,ROW()-1),1)))/STDEV(OFFSET(分析データ!C$1,MAX(1,ROW()-$C$7),0,MIN($C$7,ROW()-1),1)),0))</f>
        <v>-0.79360148539628439</v>
      </c>
      <c r="BA499">
        <f t="shared" ca="1" si="200"/>
        <v>0</v>
      </c>
      <c r="BB499" t="str">
        <f ca="1">IF(BA499=1,IF(INDEX(分析データ!$A:$A,ROW()+$C$5)&lt;&gt;"",60000*SIGN(AZ499)*(分析データ!C499-INDEX(分析データ!C:C,ROW()+$C$5)),""),"")</f>
        <v/>
      </c>
      <c r="BC499">
        <f t="shared" ca="1" si="201"/>
        <v>1602000.0000000072</v>
      </c>
      <c r="BD499">
        <f t="shared" ca="1" si="202"/>
        <v>1602000.0000000072</v>
      </c>
      <c r="BE499">
        <f t="shared" ca="1" si="203"/>
        <v>0</v>
      </c>
      <c r="BF499">
        <f ca="1">IF(ROW()&lt;($C$7+1),"",IFERROR((分析データ!D499-AVERAGE(OFFSET(分析データ!D$1,MAX(1,ROW()-$C$7),0,MIN($C$7,ROW()-1),1)))/STDEV(OFFSET(分析データ!D$1,MAX(1,ROW()-$C$7),0,MIN($C$7,ROW()-1),1)),0))</f>
        <v>0.81840328751964952</v>
      </c>
      <c r="BG499">
        <f t="shared" ca="1" si="204"/>
        <v>0</v>
      </c>
      <c r="BH499" t="str">
        <f ca="1">IF(BG499=1,IF(INDEX(分析データ!$A:$A,ROW()+$C$5)&lt;&gt;"",50000*SIGN(BF499)*(分析データ!D499-INDEX(分析データ!D:D,ROW()+$C$5)),""),"")</f>
        <v/>
      </c>
      <c r="BI499">
        <f t="shared" ca="1" si="205"/>
        <v>-779999.99999999418</v>
      </c>
      <c r="BJ499">
        <f t="shared" ca="1" si="206"/>
        <v>1695000.0000000016</v>
      </c>
      <c r="BK499">
        <f t="shared" ca="1" si="207"/>
        <v>-2474999.9999999958</v>
      </c>
      <c r="BL499">
        <f ca="1">IF(ROW()&lt;($C$7+1),"",IFERROR((分析データ!E499-AVERAGE(OFFSET(分析データ!E$1,MAX(1,ROW()-$C$7),0,MIN($C$7,ROW()-1),1)))/STDEV(OFFSET(分析データ!E$1,MAX(1,ROW()-$C$7),0,MIN($C$7,ROW()-1),1)),0))</f>
        <v>1.0554171333855562</v>
      </c>
      <c r="BM499">
        <f t="shared" ca="1" si="208"/>
        <v>0</v>
      </c>
      <c r="BN499" t="str">
        <f ca="1">IF(BM499=1,IF(INDEX(分析データ!$A:$A,ROW()+$C$5)&lt;&gt;"",40000*SIGN(BL499)*(分析データ!E499-INDEX(分析データ!E:E,ROW()+$C$5)),""),"")</f>
        <v/>
      </c>
      <c r="BO499">
        <f t="shared" ca="1" si="209"/>
        <v>1320000.0000000075</v>
      </c>
      <c r="BP499">
        <f t="shared" ca="1" si="210"/>
        <v>1320000.0000000075</v>
      </c>
      <c r="BQ499">
        <f t="shared" ca="1" si="211"/>
        <v>0</v>
      </c>
      <c r="BR499">
        <f ca="1">IF(ROW()&lt;($C$7+1),"",IFERROR((分析データ!F499-AVERAGE(OFFSET(分析データ!F$1,MAX(1,ROW()-$C$7),0,MIN($C$7,ROW()-1),1)))/STDEV(OFFSET(分析データ!F$1,MAX(1,ROW()-$C$7),0,MIN($C$7,ROW()-1),1)),0))</f>
        <v>-1.9818422371813698</v>
      </c>
      <c r="BS499">
        <f t="shared" ca="1" si="212"/>
        <v>0</v>
      </c>
      <c r="BT499" t="str">
        <f ca="1">IF(BS499=1,IF(INDEX(分析データ!$A:$A,ROW()+$C$5)&lt;&gt;"",40000*SIGN(BR499)*(分析データ!F499-INDEX(分析データ!F:F,ROW()+$C$5)),""),"")</f>
        <v/>
      </c>
      <c r="BU499">
        <f t="shared" ca="1" si="213"/>
        <v>583200.00000000163</v>
      </c>
      <c r="BV499">
        <f t="shared" ca="1" si="214"/>
        <v>583200.00000000163</v>
      </c>
      <c r="BW499">
        <f t="shared" ca="1" si="215"/>
        <v>0</v>
      </c>
      <c r="BX499">
        <f ca="1">IF(ROW()&lt;($C$7+1),"",IFERROR((分析データ!G499-AVERAGE(OFFSET(分析データ!G$1,MAX(1,ROW()-$C$7),0,MIN($C$7,ROW()-1),1)))/STDEV(OFFSET(分析データ!G$1,MAX(1,ROW()-$C$7),0,MIN($C$7,ROW()-1),1)),0))</f>
        <v>0.89842057844328549</v>
      </c>
      <c r="BY499">
        <f t="shared" ca="1" si="216"/>
        <v>0</v>
      </c>
      <c r="BZ499" t="str">
        <f ca="1">IF(BY499=1,IF(INDEX(分析データ!$A:$A,ROW()+$C$5)&lt;&gt;"",40000*SIGN(BX499)*(分析データ!G499-INDEX(分析データ!G:G,ROW()+$C$5)),""),"")</f>
        <v/>
      </c>
      <c r="CA499">
        <f t="shared" ca="1" si="217"/>
        <v>7853552.856445305</v>
      </c>
      <c r="CB499">
        <f t="shared" ca="1" si="218"/>
        <v>7853552.856445305</v>
      </c>
      <c r="CC499">
        <f t="shared" ca="1" si="219"/>
        <v>0</v>
      </c>
      <c r="CD499">
        <f t="shared" ca="1" si="220"/>
        <v>-399999.9999999915</v>
      </c>
      <c r="CE499">
        <f t="shared" ca="1" si="221"/>
        <v>2538752.8564453642</v>
      </c>
      <c r="CF499">
        <f t="shared" ca="1" si="222"/>
        <v>6770475.7177734533</v>
      </c>
      <c r="CG499">
        <f t="shared" ca="1" si="223"/>
        <v>-4231722.8613280896</v>
      </c>
      <c r="CH499" s="10">
        <f>分析データ!A499</f>
        <v>45653</v>
      </c>
    </row>
    <row r="500" spans="46:86">
      <c r="AT500">
        <f ca="1">IF(ROW()&lt;($C$7+1),"",IFERROR((分析データ!B500-AVERAGE(OFFSET(分析データ!B$1,MAX(1,ROW()-$C$7),0,MIN($C$7,ROW()-1),1)))/STDEV(OFFSET(分析データ!B$1,MAX(1,ROW()-$C$7),0,MIN($C$7,ROW()-1),1)),0))</f>
        <v>2.4602648125587163</v>
      </c>
      <c r="AU500">
        <f t="shared" ca="1" si="196"/>
        <v>1</v>
      </c>
      <c r="AV500">
        <f ca="1">IF(AU500=1,IF(INDEX(分析データ!$A:$A,ROW()+$C$5)&lt;&gt;"",80000*SIGN(AT500)*(分析データ!B500-INDEX(分析データ!B:B,ROW()+$C$5)),""),"")</f>
        <v>-479999.99999999686</v>
      </c>
      <c r="AW500">
        <f t="shared" ca="1" si="197"/>
        <v>-8519999.9999999665</v>
      </c>
      <c r="AX500">
        <f t="shared" ca="1" si="198"/>
        <v>0</v>
      </c>
      <c r="AY500">
        <f t="shared" ca="1" si="199"/>
        <v>-8519999.9999999665</v>
      </c>
      <c r="AZ500">
        <f ca="1">IF(ROW()&lt;($C$7+1),"",IFERROR((分析データ!C500-AVERAGE(OFFSET(分析データ!C$1,MAX(1,ROW()-$C$7),0,MIN($C$7,ROW()-1),1)))/STDEV(OFFSET(分析データ!C$1,MAX(1,ROW()-$C$7),0,MIN($C$7,ROW()-1),1)),0))</f>
        <v>-0.83499123326856051</v>
      </c>
      <c r="BA500">
        <f t="shared" ca="1" si="200"/>
        <v>0</v>
      </c>
      <c r="BB500" t="str">
        <f ca="1">IF(BA500=1,IF(INDEX(分析データ!$A:$A,ROW()+$C$5)&lt;&gt;"",60000*SIGN(AZ500)*(分析データ!C500-INDEX(分析データ!C:C,ROW()+$C$5)),""),"")</f>
        <v/>
      </c>
      <c r="BC500">
        <f t="shared" ca="1" si="201"/>
        <v>1602000.0000000072</v>
      </c>
      <c r="BD500">
        <f t="shared" ca="1" si="202"/>
        <v>1602000.0000000072</v>
      </c>
      <c r="BE500">
        <f t="shared" ca="1" si="203"/>
        <v>0</v>
      </c>
      <c r="BF500">
        <f ca="1">IF(ROW()&lt;($C$7+1),"",IFERROR((分析データ!D500-AVERAGE(OFFSET(分析データ!D$1,MAX(1,ROW()-$C$7),0,MIN($C$7,ROW()-1),1)))/STDEV(OFFSET(分析データ!D$1,MAX(1,ROW()-$C$7),0,MIN($C$7,ROW()-1),1)),0))</f>
        <v>0.56497719514403821</v>
      </c>
      <c r="BG500">
        <f t="shared" ca="1" si="204"/>
        <v>0</v>
      </c>
      <c r="BH500" t="str">
        <f ca="1">IF(BG500=1,IF(INDEX(分析データ!$A:$A,ROW()+$C$5)&lt;&gt;"",50000*SIGN(BF500)*(分析データ!D500-INDEX(分析データ!D:D,ROW()+$C$5)),""),"")</f>
        <v/>
      </c>
      <c r="BI500">
        <f t="shared" ca="1" si="205"/>
        <v>-779999.99999999418</v>
      </c>
      <c r="BJ500">
        <f t="shared" ca="1" si="206"/>
        <v>1695000.0000000016</v>
      </c>
      <c r="BK500">
        <f t="shared" ca="1" si="207"/>
        <v>-2474999.9999999958</v>
      </c>
      <c r="BL500">
        <f ca="1">IF(ROW()&lt;($C$7+1),"",IFERROR((分析データ!E500-AVERAGE(OFFSET(分析データ!E$1,MAX(1,ROW()-$C$7),0,MIN($C$7,ROW()-1),1)))/STDEV(OFFSET(分析データ!E$1,MAX(1,ROW()-$C$7),0,MIN($C$7,ROW()-1),1)),0))</f>
        <v>1.1632037284791423</v>
      </c>
      <c r="BM500">
        <f t="shared" ca="1" si="208"/>
        <v>0</v>
      </c>
      <c r="BN500" t="str">
        <f ca="1">IF(BM500=1,IF(INDEX(分析データ!$A:$A,ROW()+$C$5)&lt;&gt;"",40000*SIGN(BL500)*(分析データ!E500-INDEX(分析データ!E:E,ROW()+$C$5)),""),"")</f>
        <v/>
      </c>
      <c r="BO500">
        <f t="shared" ca="1" si="209"/>
        <v>1320000.0000000075</v>
      </c>
      <c r="BP500">
        <f t="shared" ca="1" si="210"/>
        <v>1320000.0000000075</v>
      </c>
      <c r="BQ500">
        <f t="shared" ca="1" si="211"/>
        <v>0</v>
      </c>
      <c r="BR500">
        <f ca="1">IF(ROW()&lt;($C$7+1),"",IFERROR((分析データ!F500-AVERAGE(OFFSET(分析データ!F$1,MAX(1,ROW()-$C$7),0,MIN($C$7,ROW()-1),1)))/STDEV(OFFSET(分析データ!F$1,MAX(1,ROW()-$C$7),0,MIN($C$7,ROW()-1),1)),0))</f>
        <v>-1.237270455240838</v>
      </c>
      <c r="BS500">
        <f t="shared" ca="1" si="212"/>
        <v>0</v>
      </c>
      <c r="BT500" t="str">
        <f ca="1">IF(BS500=1,IF(INDEX(分析データ!$A:$A,ROW()+$C$5)&lt;&gt;"",40000*SIGN(BR500)*(分析データ!F500-INDEX(分析データ!F:F,ROW()+$C$5)),""),"")</f>
        <v/>
      </c>
      <c r="BU500">
        <f t="shared" ca="1" si="213"/>
        <v>583200.00000000163</v>
      </c>
      <c r="BV500">
        <f t="shared" ca="1" si="214"/>
        <v>583200.00000000163</v>
      </c>
      <c r="BW500">
        <f t="shared" ca="1" si="215"/>
        <v>0</v>
      </c>
      <c r="BX500">
        <f ca="1">IF(ROW()&lt;($C$7+1),"",IFERROR((分析データ!G500-AVERAGE(OFFSET(分析データ!G$1,MAX(1,ROW()-$C$7),0,MIN($C$7,ROW()-1),1)))/STDEV(OFFSET(分析データ!G$1,MAX(1,ROW()-$C$7),0,MIN($C$7,ROW()-1),1)),0))</f>
        <v>0.55953302055164922</v>
      </c>
      <c r="BY500">
        <f t="shared" ca="1" si="216"/>
        <v>0</v>
      </c>
      <c r="BZ500" t="str">
        <f ca="1">IF(BY500=1,IF(INDEX(分析データ!$A:$A,ROW()+$C$5)&lt;&gt;"",40000*SIGN(BX500)*(分析データ!G500-INDEX(分析データ!G:G,ROW()+$C$5)),""),"")</f>
        <v/>
      </c>
      <c r="CA500">
        <f t="shared" ca="1" si="217"/>
        <v>7853552.856445305</v>
      </c>
      <c r="CB500">
        <f t="shared" ca="1" si="218"/>
        <v>7853552.856445305</v>
      </c>
      <c r="CC500">
        <f t="shared" ca="1" si="219"/>
        <v>0</v>
      </c>
      <c r="CD500">
        <f t="shared" ca="1" si="220"/>
        <v>-479999.99999999686</v>
      </c>
      <c r="CE500">
        <f t="shared" ca="1" si="221"/>
        <v>2058752.8564453674</v>
      </c>
      <c r="CF500">
        <f t="shared" ca="1" si="222"/>
        <v>6770475.7177734533</v>
      </c>
      <c r="CG500">
        <f t="shared" ca="1" si="223"/>
        <v>-4711722.8613280859</v>
      </c>
      <c r="CH500" s="10">
        <f>分析データ!A500</f>
        <v>45656</v>
      </c>
    </row>
    <row r="501" spans="46:86">
      <c r="AT501">
        <f ca="1">IF(ROW()&lt;($C$7+1),"",IFERROR((分析データ!B501-AVERAGE(OFFSET(分析データ!B$1,MAX(1,ROW()-$C$7),0,MIN($C$7,ROW()-1),1)))/STDEV(OFFSET(分析データ!B$1,MAX(1,ROW()-$C$7),0,MIN($C$7,ROW()-1),1)),0))</f>
        <v>2.6294643822406161</v>
      </c>
      <c r="AU501">
        <f t="shared" ca="1" si="196"/>
        <v>1</v>
      </c>
      <c r="AV501">
        <f ca="1">IF(AU501=1,IF(INDEX(分析データ!$A:$A,ROW()+$C$5)&lt;&gt;"",80000*SIGN(AT501)*(分析データ!B501-INDEX(分析データ!B:B,ROW()+$C$5)),""),"")</f>
        <v>-160000.0000000108</v>
      </c>
      <c r="AW501">
        <f t="shared" ca="1" si="197"/>
        <v>-8679999.9999999776</v>
      </c>
      <c r="AX501">
        <f t="shared" ca="1" si="198"/>
        <v>0</v>
      </c>
      <c r="AY501">
        <f t="shared" ca="1" si="199"/>
        <v>-8679999.9999999776</v>
      </c>
      <c r="AZ501">
        <f ca="1">IF(ROW()&lt;($C$7+1),"",IFERROR((分析データ!C501-AVERAGE(OFFSET(分析データ!C$1,MAX(1,ROW()-$C$7),0,MIN($C$7,ROW()-1),1)))/STDEV(OFFSET(分析データ!C$1,MAX(1,ROW()-$C$7),0,MIN($C$7,ROW()-1),1)),0))</f>
        <v>-0.8281844074257948</v>
      </c>
      <c r="BA501">
        <f t="shared" ca="1" si="200"/>
        <v>0</v>
      </c>
      <c r="BB501" t="str">
        <f ca="1">IF(BA501=1,IF(INDEX(分析データ!$A:$A,ROW()+$C$5)&lt;&gt;"",60000*SIGN(AZ501)*(分析データ!C501-INDEX(分析データ!C:C,ROW()+$C$5)),""),"")</f>
        <v/>
      </c>
      <c r="BC501">
        <f t="shared" ca="1" si="201"/>
        <v>1602000.0000000072</v>
      </c>
      <c r="BD501">
        <f t="shared" ca="1" si="202"/>
        <v>1602000.0000000072</v>
      </c>
      <c r="BE501">
        <f t="shared" ca="1" si="203"/>
        <v>0</v>
      </c>
      <c r="BF501">
        <f ca="1">IF(ROW()&lt;($C$7+1),"",IFERROR((分析データ!D501-AVERAGE(OFFSET(分析データ!D$1,MAX(1,ROW()-$C$7),0,MIN($C$7,ROW()-1),1)))/STDEV(OFFSET(分析データ!D$1,MAX(1,ROW()-$C$7),0,MIN($C$7,ROW()-1),1)),0))</f>
        <v>0.68072573231660782</v>
      </c>
      <c r="BG501">
        <f t="shared" ca="1" si="204"/>
        <v>0</v>
      </c>
      <c r="BH501" t="str">
        <f ca="1">IF(BG501=1,IF(INDEX(分析データ!$A:$A,ROW()+$C$5)&lt;&gt;"",50000*SIGN(BF501)*(分析データ!D501-INDEX(分析データ!D:D,ROW()+$C$5)),""),"")</f>
        <v/>
      </c>
      <c r="BI501">
        <f t="shared" ca="1" si="205"/>
        <v>-779999.99999999418</v>
      </c>
      <c r="BJ501">
        <f t="shared" ca="1" si="206"/>
        <v>1695000.0000000016</v>
      </c>
      <c r="BK501">
        <f t="shared" ca="1" si="207"/>
        <v>-2474999.9999999958</v>
      </c>
      <c r="BL501">
        <f ca="1">IF(ROW()&lt;($C$7+1),"",IFERROR((分析データ!E501-AVERAGE(OFFSET(分析データ!E$1,MAX(1,ROW()-$C$7),0,MIN($C$7,ROW()-1),1)))/STDEV(OFFSET(分析データ!E$1,MAX(1,ROW()-$C$7),0,MIN($C$7,ROW()-1),1)),0))</f>
        <v>1.3852479934381861</v>
      </c>
      <c r="BM501">
        <f t="shared" ca="1" si="208"/>
        <v>0</v>
      </c>
      <c r="BN501" t="str">
        <f ca="1">IF(BM501=1,IF(INDEX(分析データ!$A:$A,ROW()+$C$5)&lt;&gt;"",40000*SIGN(BL501)*(分析データ!E501-INDEX(分析データ!E:E,ROW()+$C$5)),""),"")</f>
        <v/>
      </c>
      <c r="BO501">
        <f t="shared" ca="1" si="209"/>
        <v>1320000.0000000075</v>
      </c>
      <c r="BP501">
        <f t="shared" ca="1" si="210"/>
        <v>1320000.0000000075</v>
      </c>
      <c r="BQ501">
        <f t="shared" ca="1" si="211"/>
        <v>0</v>
      </c>
      <c r="BR501">
        <f ca="1">IF(ROW()&lt;($C$7+1),"",IFERROR((分析データ!F501-AVERAGE(OFFSET(分析データ!F$1,MAX(1,ROW()-$C$7),0,MIN($C$7,ROW()-1),1)))/STDEV(OFFSET(分析データ!F$1,MAX(1,ROW()-$C$7),0,MIN($C$7,ROW()-1),1)),0))</f>
        <v>-1.5869219751424672</v>
      </c>
      <c r="BS501">
        <f t="shared" ca="1" si="212"/>
        <v>0</v>
      </c>
      <c r="BT501" t="str">
        <f ca="1">IF(BS501=1,IF(INDEX(分析データ!$A:$A,ROW()+$C$5)&lt;&gt;"",40000*SIGN(BR501)*(分析データ!F501-INDEX(分析データ!F:F,ROW()+$C$5)),""),"")</f>
        <v/>
      </c>
      <c r="BU501">
        <f t="shared" ca="1" si="213"/>
        <v>583200.00000000163</v>
      </c>
      <c r="BV501">
        <f t="shared" ca="1" si="214"/>
        <v>583200.00000000163</v>
      </c>
      <c r="BW501">
        <f t="shared" ca="1" si="215"/>
        <v>0</v>
      </c>
      <c r="BX501">
        <f ca="1">IF(ROW()&lt;($C$7+1),"",IFERROR((分析データ!G501-AVERAGE(OFFSET(分析データ!G$1,MAX(1,ROW()-$C$7),0,MIN($C$7,ROW()-1),1)))/STDEV(OFFSET(分析データ!G$1,MAX(1,ROW()-$C$7),0,MIN($C$7,ROW()-1),1)),0))</f>
        <v>0.74476282733536647</v>
      </c>
      <c r="BY501">
        <f t="shared" ca="1" si="216"/>
        <v>0</v>
      </c>
      <c r="BZ501" t="str">
        <f ca="1">IF(BY501=1,IF(INDEX(分析データ!$A:$A,ROW()+$C$5)&lt;&gt;"",40000*SIGN(BX501)*(分析データ!G501-INDEX(分析データ!G:G,ROW()+$C$5)),""),"")</f>
        <v/>
      </c>
      <c r="CA501">
        <f t="shared" ca="1" si="217"/>
        <v>7853552.856445305</v>
      </c>
      <c r="CB501">
        <f t="shared" ca="1" si="218"/>
        <v>7853552.856445305</v>
      </c>
      <c r="CC501">
        <f t="shared" ca="1" si="219"/>
        <v>0</v>
      </c>
      <c r="CD501">
        <f t="shared" ca="1" si="220"/>
        <v>-160000.0000000108</v>
      </c>
      <c r="CE501">
        <f t="shared" ca="1" si="221"/>
        <v>1898752.8564453567</v>
      </c>
      <c r="CF501">
        <f t="shared" ca="1" si="222"/>
        <v>6770475.7177734533</v>
      </c>
      <c r="CG501">
        <f t="shared" ca="1" si="223"/>
        <v>-4871722.8613280971</v>
      </c>
      <c r="CH501" s="10">
        <f>分析データ!A501</f>
        <v>45657</v>
      </c>
    </row>
    <row r="502" spans="46:86">
      <c r="AT502">
        <f ca="1">IF(ROW()&lt;($C$7+1),"",IFERROR((分析データ!B502-AVERAGE(OFFSET(分析データ!B$1,MAX(1,ROW()-$C$7),0,MIN($C$7,ROW()-1),1)))/STDEV(OFFSET(分析データ!B$1,MAX(1,ROW()-$C$7),0,MIN($C$7,ROW()-1),1)),0))</f>
        <v>2.4321930919357975</v>
      </c>
      <c r="AU502">
        <f t="shared" ca="1" si="196"/>
        <v>1</v>
      </c>
      <c r="AV502">
        <f ca="1">IF(AU502=1,IF(INDEX(分析データ!$A:$A,ROW()+$C$5)&lt;&gt;"",80000*SIGN(AT502)*(分析データ!B502-INDEX(分析データ!B:B,ROW()+$C$5)),""),"")</f>
        <v>-199999.99999999575</v>
      </c>
      <c r="AW502">
        <f t="shared" ca="1" si="197"/>
        <v>-8879999.9999999739</v>
      </c>
      <c r="AX502">
        <f t="shared" ca="1" si="198"/>
        <v>0</v>
      </c>
      <c r="AY502">
        <f t="shared" ca="1" si="199"/>
        <v>-8879999.9999999739</v>
      </c>
      <c r="AZ502">
        <f ca="1">IF(ROW()&lt;($C$7+1),"",IFERROR((分析データ!C502-AVERAGE(OFFSET(分析データ!C$1,MAX(1,ROW()-$C$7),0,MIN($C$7,ROW()-1),1)))/STDEV(OFFSET(分析データ!C$1,MAX(1,ROW()-$C$7),0,MIN($C$7,ROW()-1),1)),0))</f>
        <v>-0.82173340728858013</v>
      </c>
      <c r="BA502">
        <f t="shared" ca="1" si="200"/>
        <v>0</v>
      </c>
      <c r="BB502" t="str">
        <f ca="1">IF(BA502=1,IF(INDEX(分析データ!$A:$A,ROW()+$C$5)&lt;&gt;"",60000*SIGN(AZ502)*(分析データ!C502-INDEX(分析データ!C:C,ROW()+$C$5)),""),"")</f>
        <v/>
      </c>
      <c r="BC502">
        <f t="shared" ca="1" si="201"/>
        <v>1602000.0000000072</v>
      </c>
      <c r="BD502">
        <f t="shared" ca="1" si="202"/>
        <v>1602000.0000000072</v>
      </c>
      <c r="BE502">
        <f t="shared" ca="1" si="203"/>
        <v>0</v>
      </c>
      <c r="BF502">
        <f ca="1">IF(ROW()&lt;($C$7+1),"",IFERROR((分析データ!D502-AVERAGE(OFFSET(分析データ!D$1,MAX(1,ROW()-$C$7),0,MIN($C$7,ROW()-1),1)))/STDEV(OFFSET(分析データ!D$1,MAX(1,ROW()-$C$7),0,MIN($C$7,ROW()-1),1)),0))</f>
        <v>0.63631060696019037</v>
      </c>
      <c r="BG502">
        <f t="shared" ca="1" si="204"/>
        <v>0</v>
      </c>
      <c r="BH502" t="str">
        <f ca="1">IF(BG502=1,IF(INDEX(分析データ!$A:$A,ROW()+$C$5)&lt;&gt;"",50000*SIGN(BF502)*(分析データ!D502-INDEX(分析データ!D:D,ROW()+$C$5)),""),"")</f>
        <v/>
      </c>
      <c r="BI502">
        <f t="shared" ca="1" si="205"/>
        <v>-779999.99999999418</v>
      </c>
      <c r="BJ502">
        <f t="shared" ca="1" si="206"/>
        <v>1695000.0000000016</v>
      </c>
      <c r="BK502">
        <f t="shared" ca="1" si="207"/>
        <v>-2474999.9999999958</v>
      </c>
      <c r="BL502">
        <f ca="1">IF(ROW()&lt;($C$7+1),"",IFERROR((分析データ!E502-AVERAGE(OFFSET(分析データ!E$1,MAX(1,ROW()-$C$7),0,MIN($C$7,ROW()-1),1)))/STDEV(OFFSET(分析データ!E$1,MAX(1,ROW()-$C$7),0,MIN($C$7,ROW()-1),1)),0))</f>
        <v>1.2577960367963468</v>
      </c>
      <c r="BM502">
        <f t="shared" ca="1" si="208"/>
        <v>0</v>
      </c>
      <c r="BN502" t="str">
        <f ca="1">IF(BM502=1,IF(INDEX(分析データ!$A:$A,ROW()+$C$5)&lt;&gt;"",40000*SIGN(BL502)*(分析データ!E502-INDEX(分析データ!E:E,ROW()+$C$5)),""),"")</f>
        <v/>
      </c>
      <c r="BO502">
        <f t="shared" ca="1" si="209"/>
        <v>1320000.0000000075</v>
      </c>
      <c r="BP502">
        <f t="shared" ca="1" si="210"/>
        <v>1320000.0000000075</v>
      </c>
      <c r="BQ502">
        <f t="shared" ca="1" si="211"/>
        <v>0</v>
      </c>
      <c r="BR502">
        <f ca="1">IF(ROW()&lt;($C$7+1),"",IFERROR((分析データ!F502-AVERAGE(OFFSET(分析データ!F$1,MAX(1,ROW()-$C$7),0,MIN($C$7,ROW()-1),1)))/STDEV(OFFSET(分析データ!F$1,MAX(1,ROW()-$C$7),0,MIN($C$7,ROW()-1),1)),0))</f>
        <v>-1.5978095830595047</v>
      </c>
      <c r="BS502">
        <f t="shared" ca="1" si="212"/>
        <v>0</v>
      </c>
      <c r="BT502" t="str">
        <f ca="1">IF(BS502=1,IF(INDEX(分析データ!$A:$A,ROW()+$C$5)&lt;&gt;"",40000*SIGN(BR502)*(分析データ!F502-INDEX(分析データ!F:F,ROW()+$C$5)),""),"")</f>
        <v/>
      </c>
      <c r="BU502">
        <f t="shared" ca="1" si="213"/>
        <v>583200.00000000163</v>
      </c>
      <c r="BV502">
        <f t="shared" ca="1" si="214"/>
        <v>583200.00000000163</v>
      </c>
      <c r="BW502">
        <f t="shared" ca="1" si="215"/>
        <v>0</v>
      </c>
      <c r="BX502">
        <f ca="1">IF(ROW()&lt;($C$7+1),"",IFERROR((分析データ!G502-AVERAGE(OFFSET(分析データ!G$1,MAX(1,ROW()-$C$7),0,MIN($C$7,ROW()-1),1)))/STDEV(OFFSET(分析データ!G$1,MAX(1,ROW()-$C$7),0,MIN($C$7,ROW()-1),1)),0))</f>
        <v>0.80632085622780292</v>
      </c>
      <c r="BY502">
        <f t="shared" ca="1" si="216"/>
        <v>0</v>
      </c>
      <c r="BZ502" t="str">
        <f ca="1">IF(BY502=1,IF(INDEX(分析データ!$A:$A,ROW()+$C$5)&lt;&gt;"",40000*SIGN(BX502)*(分析データ!G502-INDEX(分析データ!G:G,ROW()+$C$5)),""),"")</f>
        <v/>
      </c>
      <c r="CA502">
        <f t="shared" ca="1" si="217"/>
        <v>7853552.856445305</v>
      </c>
      <c r="CB502">
        <f t="shared" ca="1" si="218"/>
        <v>7853552.856445305</v>
      </c>
      <c r="CC502">
        <f t="shared" ca="1" si="219"/>
        <v>0</v>
      </c>
      <c r="CD502">
        <f t="shared" ca="1" si="220"/>
        <v>-199999.99999999575</v>
      </c>
      <c r="CE502">
        <f t="shared" ca="1" si="221"/>
        <v>1698752.8564453609</v>
      </c>
      <c r="CF502">
        <f t="shared" ca="1" si="222"/>
        <v>6770475.7177734533</v>
      </c>
      <c r="CG502">
        <f t="shared" ca="1" si="223"/>
        <v>-5071722.8613280924</v>
      </c>
      <c r="CH502" s="10">
        <f>分析データ!A502</f>
        <v>45659</v>
      </c>
    </row>
    <row r="503" spans="46:86">
      <c r="AT503">
        <f ca="1">IF(ROW()&lt;($C$7+1),"",IFERROR((分析データ!B503-AVERAGE(OFFSET(分析データ!B$1,MAX(1,ROW()-$C$7),0,MIN($C$7,ROW()-1),1)))/STDEV(OFFSET(分析データ!B$1,MAX(1,ROW()-$C$7),0,MIN($C$7,ROW()-1),1)),0))</f>
        <v>2.3942764843856237</v>
      </c>
      <c r="AU503">
        <f t="shared" ca="1" si="196"/>
        <v>1</v>
      </c>
      <c r="AV503">
        <f ca="1">IF(AU503=1,IF(INDEX(分析データ!$A:$A,ROW()+$C$5)&lt;&gt;"",80000*SIGN(AT503)*(分析データ!B503-INDEX(分析データ!B:B,ROW()+$C$5)),""),"")</f>
        <v>-40000.000000013359</v>
      </c>
      <c r="AW503">
        <f t="shared" ca="1" si="197"/>
        <v>-8919999.999999987</v>
      </c>
      <c r="AX503">
        <f t="shared" ca="1" si="198"/>
        <v>0</v>
      </c>
      <c r="AY503">
        <f t="shared" ca="1" si="199"/>
        <v>-8919999.999999987</v>
      </c>
      <c r="AZ503">
        <f ca="1">IF(ROW()&lt;($C$7+1),"",IFERROR((分析データ!C503-AVERAGE(OFFSET(分析データ!C$1,MAX(1,ROW()-$C$7),0,MIN($C$7,ROW()-1),1)))/STDEV(OFFSET(分析データ!C$1,MAX(1,ROW()-$C$7),0,MIN($C$7,ROW()-1),1)),0))</f>
        <v>-0.81514439955422957</v>
      </c>
      <c r="BA503">
        <f t="shared" ca="1" si="200"/>
        <v>0</v>
      </c>
      <c r="BB503" t="str">
        <f ca="1">IF(BA503=1,IF(INDEX(分析データ!$A:$A,ROW()+$C$5)&lt;&gt;"",60000*SIGN(AZ503)*(分析データ!C503-INDEX(分析データ!C:C,ROW()+$C$5)),""),"")</f>
        <v/>
      </c>
      <c r="BC503">
        <f t="shared" ca="1" si="201"/>
        <v>1602000.0000000072</v>
      </c>
      <c r="BD503">
        <f t="shared" ca="1" si="202"/>
        <v>1602000.0000000072</v>
      </c>
      <c r="BE503">
        <f t="shared" ca="1" si="203"/>
        <v>0</v>
      </c>
      <c r="BF503">
        <f ca="1">IF(ROW()&lt;($C$7+1),"",IFERROR((分析データ!D503-AVERAGE(OFFSET(分析データ!D$1,MAX(1,ROW()-$C$7),0,MIN($C$7,ROW()-1),1)))/STDEV(OFFSET(分析データ!D$1,MAX(1,ROW()-$C$7),0,MIN($C$7,ROW()-1),1)),0))</f>
        <v>0.75219797313848691</v>
      </c>
      <c r="BG503">
        <f t="shared" ca="1" si="204"/>
        <v>0</v>
      </c>
      <c r="BH503" t="str">
        <f ca="1">IF(BG503=1,IF(INDEX(分析データ!$A:$A,ROW()+$C$5)&lt;&gt;"",50000*SIGN(BF503)*(分析データ!D503-INDEX(分析データ!D:D,ROW()+$C$5)),""),"")</f>
        <v/>
      </c>
      <c r="BI503">
        <f t="shared" ca="1" si="205"/>
        <v>-779999.99999999418</v>
      </c>
      <c r="BJ503">
        <f t="shared" ca="1" si="206"/>
        <v>1695000.0000000016</v>
      </c>
      <c r="BK503">
        <f t="shared" ca="1" si="207"/>
        <v>-2474999.9999999958</v>
      </c>
      <c r="BL503">
        <f ca="1">IF(ROW()&lt;($C$7+1),"",IFERROR((分析データ!E503-AVERAGE(OFFSET(分析データ!E$1,MAX(1,ROW()-$C$7),0,MIN($C$7,ROW()-1),1)))/STDEV(OFFSET(分析データ!E$1,MAX(1,ROW()-$C$7),0,MIN($C$7,ROW()-1),1)),0))</f>
        <v>1.2475567001328891</v>
      </c>
      <c r="BM503">
        <f t="shared" ca="1" si="208"/>
        <v>0</v>
      </c>
      <c r="BN503" t="str">
        <f ca="1">IF(BM503=1,IF(INDEX(分析データ!$A:$A,ROW()+$C$5)&lt;&gt;"",40000*SIGN(BL503)*(分析データ!E503-INDEX(分析データ!E:E,ROW()+$C$5)),""),"")</f>
        <v/>
      </c>
      <c r="BO503">
        <f t="shared" ca="1" si="209"/>
        <v>1320000.0000000075</v>
      </c>
      <c r="BP503">
        <f t="shared" ca="1" si="210"/>
        <v>1320000.0000000075</v>
      </c>
      <c r="BQ503">
        <f t="shared" ca="1" si="211"/>
        <v>0</v>
      </c>
      <c r="BR503">
        <f ca="1">IF(ROW()&lt;($C$7+1),"",IFERROR((分析データ!F503-AVERAGE(OFFSET(分析データ!F$1,MAX(1,ROW()-$C$7),0,MIN($C$7,ROW()-1),1)))/STDEV(OFFSET(分析データ!F$1,MAX(1,ROW()-$C$7),0,MIN($C$7,ROW()-1),1)),0))</f>
        <v>-1.5656790691670466</v>
      </c>
      <c r="BS503">
        <f t="shared" ca="1" si="212"/>
        <v>0</v>
      </c>
      <c r="BT503" t="str">
        <f ca="1">IF(BS503=1,IF(INDEX(分析データ!$A:$A,ROW()+$C$5)&lt;&gt;"",40000*SIGN(BR503)*(分析データ!F503-INDEX(分析データ!F:F,ROW()+$C$5)),""),"")</f>
        <v/>
      </c>
      <c r="BU503">
        <f t="shared" ca="1" si="213"/>
        <v>583200.00000000163</v>
      </c>
      <c r="BV503">
        <f t="shared" ca="1" si="214"/>
        <v>583200.00000000163</v>
      </c>
      <c r="BW503">
        <f t="shared" ca="1" si="215"/>
        <v>0</v>
      </c>
      <c r="BX503">
        <f ca="1">IF(ROW()&lt;($C$7+1),"",IFERROR((分析データ!G503-AVERAGE(OFFSET(分析データ!G$1,MAX(1,ROW()-$C$7),0,MIN($C$7,ROW()-1),1)))/STDEV(OFFSET(分析データ!G$1,MAX(1,ROW()-$C$7),0,MIN($C$7,ROW()-1),1)),0))</f>
        <v>0.65342148260430799</v>
      </c>
      <c r="BY503">
        <f t="shared" ca="1" si="216"/>
        <v>0</v>
      </c>
      <c r="BZ503" t="str">
        <f ca="1">IF(BY503=1,IF(INDEX(分析データ!$A:$A,ROW()+$C$5)&lt;&gt;"",40000*SIGN(BX503)*(分析データ!G503-INDEX(分析データ!G:G,ROW()+$C$5)),""),"")</f>
        <v/>
      </c>
      <c r="CA503">
        <f t="shared" ca="1" si="217"/>
        <v>7853552.856445305</v>
      </c>
      <c r="CB503">
        <f t="shared" ca="1" si="218"/>
        <v>7853552.856445305</v>
      </c>
      <c r="CC503">
        <f t="shared" ca="1" si="219"/>
        <v>0</v>
      </c>
      <c r="CD503">
        <f t="shared" ca="1" si="220"/>
        <v>-40000.000000013359</v>
      </c>
      <c r="CE503">
        <f t="shared" ca="1" si="221"/>
        <v>1658752.8564453477</v>
      </c>
      <c r="CF503">
        <f t="shared" ca="1" si="222"/>
        <v>6770475.7177734533</v>
      </c>
      <c r="CG503">
        <f t="shared" ca="1" si="223"/>
        <v>-5111722.8613281054</v>
      </c>
      <c r="CH503" s="10">
        <f>分析データ!A503</f>
        <v>45660</v>
      </c>
    </row>
    <row r="504" spans="46:86">
      <c r="AT504">
        <f ca="1">IF(ROW()&lt;($C$7+1),"",IFERROR((分析データ!B504-AVERAGE(OFFSET(分析データ!B$1,MAX(1,ROW()-$C$7),0,MIN($C$7,ROW()-1),1)))/STDEV(OFFSET(分析データ!B$1,MAX(1,ROW()-$C$7),0,MIN($C$7,ROW()-1),1)),0))</f>
        <v>2.4080642030930632</v>
      </c>
      <c r="AU504">
        <f t="shared" ca="1" si="196"/>
        <v>1</v>
      </c>
      <c r="AV504">
        <f ca="1">IF(AU504=1,IF(INDEX(分析データ!$A:$A,ROW()+$C$5)&lt;&gt;"",80000*SIGN(AT504)*(分析データ!B504-INDEX(分析データ!B:B,ROW()+$C$5)),""),"")</f>
        <v>240000.00000000198</v>
      </c>
      <c r="AW504">
        <f t="shared" ca="1" si="197"/>
        <v>-8679999.9999999851</v>
      </c>
      <c r="AX504">
        <f t="shared" ca="1" si="198"/>
        <v>0</v>
      </c>
      <c r="AY504">
        <f t="shared" ca="1" si="199"/>
        <v>-8679999.9999999851</v>
      </c>
      <c r="AZ504">
        <f ca="1">IF(ROW()&lt;($C$7+1),"",IFERROR((分析データ!C504-AVERAGE(OFFSET(分析データ!C$1,MAX(1,ROW()-$C$7),0,MIN($C$7,ROW()-1),1)))/STDEV(OFFSET(分析データ!C$1,MAX(1,ROW()-$C$7),0,MIN($C$7,ROW()-1),1)),0))</f>
        <v>-0.65627845783438188</v>
      </c>
      <c r="BA504">
        <f t="shared" ca="1" si="200"/>
        <v>0</v>
      </c>
      <c r="BB504" t="str">
        <f ca="1">IF(BA504=1,IF(INDEX(分析データ!$A:$A,ROW()+$C$5)&lt;&gt;"",60000*SIGN(AZ504)*(分析データ!C504-INDEX(分析データ!C:C,ROW()+$C$5)),""),"")</f>
        <v/>
      </c>
      <c r="BC504">
        <f t="shared" ca="1" si="201"/>
        <v>1602000.0000000072</v>
      </c>
      <c r="BD504">
        <f t="shared" ca="1" si="202"/>
        <v>1602000.0000000072</v>
      </c>
      <c r="BE504">
        <f t="shared" ca="1" si="203"/>
        <v>0</v>
      </c>
      <c r="BF504">
        <f ca="1">IF(ROW()&lt;($C$7+1),"",IFERROR((分析データ!D504-AVERAGE(OFFSET(分析データ!D$1,MAX(1,ROW()-$C$7),0,MIN($C$7,ROW()-1),1)))/STDEV(OFFSET(分析データ!D$1,MAX(1,ROW()-$C$7),0,MIN($C$7,ROW()-1),1)),0))</f>
        <v>0.69251064533014728</v>
      </c>
      <c r="BG504">
        <f t="shared" ca="1" si="204"/>
        <v>0</v>
      </c>
      <c r="BH504" t="str">
        <f ca="1">IF(BG504=1,IF(INDEX(分析データ!$A:$A,ROW()+$C$5)&lt;&gt;"",50000*SIGN(BF504)*(分析データ!D504-INDEX(分析データ!D:D,ROW()+$C$5)),""),"")</f>
        <v/>
      </c>
      <c r="BI504">
        <f t="shared" ca="1" si="205"/>
        <v>-779999.99999999418</v>
      </c>
      <c r="BJ504">
        <f t="shared" ca="1" si="206"/>
        <v>1695000.0000000016</v>
      </c>
      <c r="BK504">
        <f t="shared" ca="1" si="207"/>
        <v>-2474999.9999999958</v>
      </c>
      <c r="BL504">
        <f ca="1">IF(ROW()&lt;($C$7+1),"",IFERROR((分析データ!E504-AVERAGE(OFFSET(分析データ!E$1,MAX(1,ROW()-$C$7),0,MIN($C$7,ROW()-1),1)))/STDEV(OFFSET(分析データ!E$1,MAX(1,ROW()-$C$7),0,MIN($C$7,ROW()-1),1)),0))</f>
        <v>1.3520763756685479</v>
      </c>
      <c r="BM504">
        <f t="shared" ca="1" si="208"/>
        <v>0</v>
      </c>
      <c r="BN504" t="str">
        <f ca="1">IF(BM504=1,IF(INDEX(分析データ!$A:$A,ROW()+$C$5)&lt;&gt;"",40000*SIGN(BL504)*(分析データ!E504-INDEX(分析データ!E:E,ROW()+$C$5)),""),"")</f>
        <v/>
      </c>
      <c r="BO504">
        <f t="shared" ca="1" si="209"/>
        <v>1320000.0000000075</v>
      </c>
      <c r="BP504">
        <f t="shared" ca="1" si="210"/>
        <v>1320000.0000000075</v>
      </c>
      <c r="BQ504">
        <f t="shared" ca="1" si="211"/>
        <v>0</v>
      </c>
      <c r="BR504">
        <f ca="1">IF(ROW()&lt;($C$7+1),"",IFERROR((分析データ!F504-AVERAGE(OFFSET(分析データ!F$1,MAX(1,ROW()-$C$7),0,MIN($C$7,ROW()-1),1)))/STDEV(OFFSET(分析データ!F$1,MAX(1,ROW()-$C$7),0,MIN($C$7,ROW()-1),1)),0))</f>
        <v>-1.4405818191598339</v>
      </c>
      <c r="BS504">
        <f t="shared" ca="1" si="212"/>
        <v>0</v>
      </c>
      <c r="BT504" t="str">
        <f ca="1">IF(BS504=1,IF(INDEX(分析データ!$A:$A,ROW()+$C$5)&lt;&gt;"",40000*SIGN(BR504)*(分析データ!F504-INDEX(分析データ!F:F,ROW()+$C$5)),""),"")</f>
        <v/>
      </c>
      <c r="BU504">
        <f t="shared" ca="1" si="213"/>
        <v>583200.00000000163</v>
      </c>
      <c r="BV504">
        <f t="shared" ca="1" si="214"/>
        <v>583200.00000000163</v>
      </c>
      <c r="BW504">
        <f t="shared" ca="1" si="215"/>
        <v>0</v>
      </c>
      <c r="BX504">
        <f ca="1">IF(ROW()&lt;($C$7+1),"",IFERROR((分析データ!G504-AVERAGE(OFFSET(分析データ!G$1,MAX(1,ROW()-$C$7),0,MIN($C$7,ROW()-1),1)))/STDEV(OFFSET(分析データ!G$1,MAX(1,ROW()-$C$7),0,MIN($C$7,ROW()-1),1)),0))</f>
        <v>0.58299972324826033</v>
      </c>
      <c r="BY504">
        <f t="shared" ca="1" si="216"/>
        <v>0</v>
      </c>
      <c r="BZ504" t="str">
        <f ca="1">IF(BY504=1,IF(INDEX(分析データ!$A:$A,ROW()+$C$5)&lt;&gt;"",40000*SIGN(BX504)*(分析データ!G504-INDEX(分析データ!G:G,ROW()+$C$5)),""),"")</f>
        <v/>
      </c>
      <c r="CA504">
        <f t="shared" ca="1" si="217"/>
        <v>7853552.856445305</v>
      </c>
      <c r="CB504">
        <f t="shared" ca="1" si="218"/>
        <v>7853552.856445305</v>
      </c>
      <c r="CC504">
        <f t="shared" ca="1" si="219"/>
        <v>0</v>
      </c>
      <c r="CD504">
        <f t="shared" ca="1" si="220"/>
        <v>240000.00000000198</v>
      </c>
      <c r="CE504">
        <f t="shared" ca="1" si="221"/>
        <v>1898752.8564453498</v>
      </c>
      <c r="CF504">
        <f t="shared" ca="1" si="222"/>
        <v>6770475.7177734533</v>
      </c>
      <c r="CG504">
        <f t="shared" ca="1" si="223"/>
        <v>-4871722.8613281036</v>
      </c>
      <c r="CH504" s="10">
        <f>分析データ!A504</f>
        <v>45663</v>
      </c>
    </row>
    <row r="505" spans="46:86">
      <c r="AT505">
        <f ca="1">IF(ROW()&lt;($C$7+1),"",IFERROR((分析データ!B505-AVERAGE(OFFSET(分析データ!B$1,MAX(1,ROW()-$C$7),0,MIN($C$7,ROW()-1),1)))/STDEV(OFFSET(分析データ!B$1,MAX(1,ROW()-$C$7),0,MIN($C$7,ROW()-1),1)),0))</f>
        <v>2.4716458216961552</v>
      </c>
      <c r="AU505">
        <f t="shared" ca="1" si="196"/>
        <v>1</v>
      </c>
      <c r="AV505">
        <f ca="1">IF(AU505=1,IF(INDEX(分析データ!$A:$A,ROW()+$C$5)&lt;&gt;"",80000*SIGN(AT505)*(分析データ!B505-INDEX(分析データ!B:B,ROW()+$C$5)),""),"")</f>
        <v>159999.99999999659</v>
      </c>
      <c r="AW505">
        <f t="shared" ca="1" si="197"/>
        <v>-8519999.9999999888</v>
      </c>
      <c r="AX505">
        <f t="shared" ca="1" si="198"/>
        <v>0</v>
      </c>
      <c r="AY505">
        <f t="shared" ca="1" si="199"/>
        <v>-8519999.9999999888</v>
      </c>
      <c r="AZ505">
        <f ca="1">IF(ROW()&lt;($C$7+1),"",IFERROR((分析データ!C505-AVERAGE(OFFSET(分析データ!C$1,MAX(1,ROW()-$C$7),0,MIN($C$7,ROW()-1),1)))/STDEV(OFFSET(分析データ!C$1,MAX(1,ROW()-$C$7),0,MIN($C$7,ROW()-1),1)),0))</f>
        <v>-0.68270187261389625</v>
      </c>
      <c r="BA505">
        <f t="shared" ca="1" si="200"/>
        <v>0</v>
      </c>
      <c r="BB505" t="str">
        <f ca="1">IF(BA505=1,IF(INDEX(分析データ!$A:$A,ROW()+$C$5)&lt;&gt;"",60000*SIGN(AZ505)*(分析データ!C505-INDEX(分析データ!C:C,ROW()+$C$5)),""),"")</f>
        <v/>
      </c>
      <c r="BC505">
        <f t="shared" ca="1" si="201"/>
        <v>1602000.0000000072</v>
      </c>
      <c r="BD505">
        <f t="shared" ca="1" si="202"/>
        <v>1602000.0000000072</v>
      </c>
      <c r="BE505">
        <f t="shared" ca="1" si="203"/>
        <v>0</v>
      </c>
      <c r="BF505">
        <f ca="1">IF(ROW()&lt;($C$7+1),"",IFERROR((分析データ!D505-AVERAGE(OFFSET(分析データ!D$1,MAX(1,ROW()-$C$7),0,MIN($C$7,ROW()-1),1)))/STDEV(OFFSET(分析データ!D$1,MAX(1,ROW()-$C$7),0,MIN($C$7,ROW()-1),1)),0))</f>
        <v>0.87583412292880281</v>
      </c>
      <c r="BG505">
        <f t="shared" ca="1" si="204"/>
        <v>0</v>
      </c>
      <c r="BH505" t="str">
        <f ca="1">IF(BG505=1,IF(INDEX(分析データ!$A:$A,ROW()+$C$5)&lt;&gt;"",50000*SIGN(BF505)*(分析データ!D505-INDEX(分析データ!D:D,ROW()+$C$5)),""),"")</f>
        <v/>
      </c>
      <c r="BI505">
        <f t="shared" ca="1" si="205"/>
        <v>-779999.99999999418</v>
      </c>
      <c r="BJ505">
        <f t="shared" ca="1" si="206"/>
        <v>1695000.0000000016</v>
      </c>
      <c r="BK505">
        <f t="shared" ca="1" si="207"/>
        <v>-2474999.9999999958</v>
      </c>
      <c r="BL505">
        <f ca="1">IF(ROW()&lt;($C$7+1),"",IFERROR((分析データ!E505-AVERAGE(OFFSET(分析データ!E$1,MAX(1,ROW()-$C$7),0,MIN($C$7,ROW()-1),1)))/STDEV(OFFSET(分析データ!E$1,MAX(1,ROW()-$C$7),0,MIN($C$7,ROW()-1),1)),0))</f>
        <v>1.4548453706445155</v>
      </c>
      <c r="BM505">
        <f t="shared" ca="1" si="208"/>
        <v>0</v>
      </c>
      <c r="BN505" t="str">
        <f ca="1">IF(BM505=1,IF(INDEX(分析データ!$A:$A,ROW()+$C$5)&lt;&gt;"",40000*SIGN(BL505)*(分析データ!E505-INDEX(分析データ!E:E,ROW()+$C$5)),""),"")</f>
        <v/>
      </c>
      <c r="BO505">
        <f t="shared" ca="1" si="209"/>
        <v>1320000.0000000075</v>
      </c>
      <c r="BP505">
        <f t="shared" ca="1" si="210"/>
        <v>1320000.0000000075</v>
      </c>
      <c r="BQ505">
        <f t="shared" ca="1" si="211"/>
        <v>0</v>
      </c>
      <c r="BR505">
        <f ca="1">IF(ROW()&lt;($C$7+1),"",IFERROR((分析データ!F505-AVERAGE(OFFSET(分析データ!F$1,MAX(1,ROW()-$C$7),0,MIN($C$7,ROW()-1),1)))/STDEV(OFFSET(分析データ!F$1,MAX(1,ROW()-$C$7),0,MIN($C$7,ROW()-1),1)),0))</f>
        <v>-1.6772771289808972</v>
      </c>
      <c r="BS505">
        <f t="shared" ca="1" si="212"/>
        <v>0</v>
      </c>
      <c r="BT505" t="str">
        <f ca="1">IF(BS505=1,IF(INDEX(分析データ!$A:$A,ROW()+$C$5)&lt;&gt;"",40000*SIGN(BR505)*(分析データ!F505-INDEX(分析データ!F:F,ROW()+$C$5)),""),"")</f>
        <v/>
      </c>
      <c r="BU505">
        <f t="shared" ca="1" si="213"/>
        <v>583200.00000000163</v>
      </c>
      <c r="BV505">
        <f t="shared" ca="1" si="214"/>
        <v>583200.00000000163</v>
      </c>
      <c r="BW505">
        <f t="shared" ca="1" si="215"/>
        <v>0</v>
      </c>
      <c r="BX505">
        <f ca="1">IF(ROW()&lt;($C$7+1),"",IFERROR((分析データ!G505-AVERAGE(OFFSET(分析データ!G$1,MAX(1,ROW()-$C$7),0,MIN($C$7,ROW()-1),1)))/STDEV(OFFSET(分析データ!G$1,MAX(1,ROW()-$C$7),0,MIN($C$7,ROW()-1),1)),0))</f>
        <v>0.59973711136018659</v>
      </c>
      <c r="BY505">
        <f t="shared" ca="1" si="216"/>
        <v>0</v>
      </c>
      <c r="BZ505" t="str">
        <f ca="1">IF(BY505=1,IF(INDEX(分析データ!$A:$A,ROW()+$C$5)&lt;&gt;"",40000*SIGN(BX505)*(分析データ!G505-INDEX(分析データ!G:G,ROW()+$C$5)),""),"")</f>
        <v/>
      </c>
      <c r="CA505">
        <f t="shared" ca="1" si="217"/>
        <v>7853552.856445305</v>
      </c>
      <c r="CB505">
        <f t="shared" ca="1" si="218"/>
        <v>7853552.856445305</v>
      </c>
      <c r="CC505">
        <f t="shared" ca="1" si="219"/>
        <v>0</v>
      </c>
      <c r="CD505">
        <f t="shared" ca="1" si="220"/>
        <v>159999.99999999659</v>
      </c>
      <c r="CE505">
        <f t="shared" ca="1" si="221"/>
        <v>2058752.8564453463</v>
      </c>
      <c r="CF505">
        <f t="shared" ca="1" si="222"/>
        <v>6770475.7177734533</v>
      </c>
      <c r="CG505">
        <f t="shared" ca="1" si="223"/>
        <v>-4711722.8613281073</v>
      </c>
      <c r="CH505" s="10">
        <f>分析データ!A505</f>
        <v>45664</v>
      </c>
    </row>
    <row r="506" spans="46:86">
      <c r="AT506">
        <f ca="1">IF(ROW()&lt;($C$7+1),"",IFERROR((分析データ!B506-AVERAGE(OFFSET(分析データ!B$1,MAX(1,ROW()-$C$7),0,MIN($C$7,ROW()-1),1)))/STDEV(OFFSET(分析データ!B$1,MAX(1,ROW()-$C$7),0,MIN($C$7,ROW()-1),1)),0))</f>
        <v>2.5308799730373961</v>
      </c>
      <c r="AU506">
        <f t="shared" ca="1" si="196"/>
        <v>1</v>
      </c>
      <c r="AV506">
        <f ca="1">IF(AU506=1,IF(INDEX(分析データ!$A:$A,ROW()+$C$5)&lt;&gt;"",80000*SIGN(AT506)*(分析データ!B506-INDEX(分析データ!B:B,ROW()+$C$5)),""),"")</f>
        <v>39999.99999999204</v>
      </c>
      <c r="AW506">
        <f t="shared" ca="1" si="197"/>
        <v>-8479999.9999999963</v>
      </c>
      <c r="AX506">
        <f t="shared" ca="1" si="198"/>
        <v>0</v>
      </c>
      <c r="AY506">
        <f t="shared" ca="1" si="199"/>
        <v>-8479999.9999999963</v>
      </c>
      <c r="AZ506">
        <f ca="1">IF(ROW()&lt;($C$7+1),"",IFERROR((分析データ!C506-AVERAGE(OFFSET(分析データ!C$1,MAX(1,ROW()-$C$7),0,MIN($C$7,ROW()-1),1)))/STDEV(OFFSET(分析データ!C$1,MAX(1,ROW()-$C$7),0,MIN($C$7,ROW()-1),1)),0))</f>
        <v>-0.38745064458203998</v>
      </c>
      <c r="BA506">
        <f t="shared" ca="1" si="200"/>
        <v>0</v>
      </c>
      <c r="BB506" t="str">
        <f ca="1">IF(BA506=1,IF(INDEX(分析データ!$A:$A,ROW()+$C$5)&lt;&gt;"",60000*SIGN(AZ506)*(分析データ!C506-INDEX(分析データ!C:C,ROW()+$C$5)),""),"")</f>
        <v/>
      </c>
      <c r="BC506">
        <f t="shared" ca="1" si="201"/>
        <v>1602000.0000000072</v>
      </c>
      <c r="BD506">
        <f t="shared" ca="1" si="202"/>
        <v>1602000.0000000072</v>
      </c>
      <c r="BE506">
        <f t="shared" ca="1" si="203"/>
        <v>0</v>
      </c>
      <c r="BF506">
        <f ca="1">IF(ROW()&lt;($C$7+1),"",IFERROR((分析データ!D506-AVERAGE(OFFSET(分析データ!D$1,MAX(1,ROW()-$C$7),0,MIN($C$7,ROW()-1),1)))/STDEV(OFFSET(分析データ!D$1,MAX(1,ROW()-$C$7),0,MIN($C$7,ROW()-1),1)),0))</f>
        <v>0.73638582162833766</v>
      </c>
      <c r="BG506">
        <f t="shared" ca="1" si="204"/>
        <v>0</v>
      </c>
      <c r="BH506" t="str">
        <f ca="1">IF(BG506=1,IF(INDEX(分析データ!$A:$A,ROW()+$C$5)&lt;&gt;"",50000*SIGN(BF506)*(分析データ!D506-INDEX(分析データ!D:D,ROW()+$C$5)),""),"")</f>
        <v/>
      </c>
      <c r="BI506">
        <f t="shared" ca="1" si="205"/>
        <v>-779999.99999999418</v>
      </c>
      <c r="BJ506">
        <f t="shared" ca="1" si="206"/>
        <v>1695000.0000000016</v>
      </c>
      <c r="BK506">
        <f t="shared" ca="1" si="207"/>
        <v>-2474999.9999999958</v>
      </c>
      <c r="BL506">
        <f ca="1">IF(ROW()&lt;($C$7+1),"",IFERROR((分析データ!E506-AVERAGE(OFFSET(分析データ!E$1,MAX(1,ROW()-$C$7),0,MIN($C$7,ROW()-1),1)))/STDEV(OFFSET(分析データ!E$1,MAX(1,ROW()-$C$7),0,MIN($C$7,ROW()-1),1)),0))</f>
        <v>1.555535485888845</v>
      </c>
      <c r="BM506">
        <f t="shared" ca="1" si="208"/>
        <v>0</v>
      </c>
      <c r="BN506" t="str">
        <f ca="1">IF(BM506=1,IF(INDEX(分析データ!$A:$A,ROW()+$C$5)&lt;&gt;"",40000*SIGN(BL506)*(分析データ!E506-INDEX(分析データ!E:E,ROW()+$C$5)),""),"")</f>
        <v/>
      </c>
      <c r="BO506">
        <f t="shared" ca="1" si="209"/>
        <v>1320000.0000000075</v>
      </c>
      <c r="BP506">
        <f t="shared" ca="1" si="210"/>
        <v>1320000.0000000075</v>
      </c>
      <c r="BQ506">
        <f t="shared" ca="1" si="211"/>
        <v>0</v>
      </c>
      <c r="BR506">
        <f ca="1">IF(ROW()&lt;($C$7+1),"",IFERROR((分析データ!F506-AVERAGE(OFFSET(分析データ!F$1,MAX(1,ROW()-$C$7),0,MIN($C$7,ROW()-1),1)))/STDEV(OFFSET(分析データ!F$1,MAX(1,ROW()-$C$7),0,MIN($C$7,ROW()-1),1)),0))</f>
        <v>-1.4673314632508618</v>
      </c>
      <c r="BS506">
        <f t="shared" ca="1" si="212"/>
        <v>0</v>
      </c>
      <c r="BT506" t="str">
        <f ca="1">IF(BS506=1,IF(INDEX(分析データ!$A:$A,ROW()+$C$5)&lt;&gt;"",40000*SIGN(BR506)*(分析データ!F506-INDEX(分析データ!F:F,ROW()+$C$5)),""),"")</f>
        <v/>
      </c>
      <c r="BU506">
        <f t="shared" ca="1" si="213"/>
        <v>583200.00000000163</v>
      </c>
      <c r="BV506">
        <f t="shared" ca="1" si="214"/>
        <v>583200.00000000163</v>
      </c>
      <c r="BW506">
        <f t="shared" ca="1" si="215"/>
        <v>0</v>
      </c>
      <c r="BX506">
        <f ca="1">IF(ROW()&lt;($C$7+1),"",IFERROR((分析データ!G506-AVERAGE(OFFSET(分析データ!G$1,MAX(1,ROW()-$C$7),0,MIN($C$7,ROW()-1),1)))/STDEV(OFFSET(分析データ!G$1,MAX(1,ROW()-$C$7),0,MIN($C$7,ROW()-1),1)),0))</f>
        <v>0.8802237787394771</v>
      </c>
      <c r="BY506">
        <f t="shared" ca="1" si="216"/>
        <v>0</v>
      </c>
      <c r="BZ506" t="str">
        <f ca="1">IF(BY506=1,IF(INDEX(分析データ!$A:$A,ROW()+$C$5)&lt;&gt;"",40000*SIGN(BX506)*(分析データ!G506-INDEX(分析データ!G:G,ROW()+$C$5)),""),"")</f>
        <v/>
      </c>
      <c r="CA506">
        <f t="shared" ca="1" si="217"/>
        <v>7853552.856445305</v>
      </c>
      <c r="CB506">
        <f t="shared" ca="1" si="218"/>
        <v>7853552.856445305</v>
      </c>
      <c r="CC506">
        <f t="shared" ca="1" si="219"/>
        <v>0</v>
      </c>
      <c r="CD506">
        <f t="shared" ca="1" si="220"/>
        <v>39999.99999999204</v>
      </c>
      <c r="CE506">
        <f t="shared" ca="1" si="221"/>
        <v>2098752.8564453381</v>
      </c>
      <c r="CF506">
        <f t="shared" ca="1" si="222"/>
        <v>6770475.7177734533</v>
      </c>
      <c r="CG506">
        <f t="shared" ca="1" si="223"/>
        <v>-4671722.8613281157</v>
      </c>
      <c r="CH506" s="10">
        <f>分析データ!A506</f>
        <v>45665</v>
      </c>
    </row>
    <row r="507" spans="46:86">
      <c r="AT507">
        <f ca="1">IF(ROW()&lt;($C$7+1),"",IFERROR((分析データ!B507-AVERAGE(OFFSET(分析データ!B$1,MAX(1,ROW()-$C$7),0,MIN($C$7,ROW()-1),1)))/STDEV(OFFSET(分析データ!B$1,MAX(1,ROW()-$C$7),0,MIN($C$7,ROW()-1),1)),0))</f>
        <v>2.5861029308137478</v>
      </c>
      <c r="AU507">
        <f t="shared" ca="1" si="196"/>
        <v>1</v>
      </c>
      <c r="AV507">
        <f ca="1">IF(AU507=1,IF(INDEX(分析データ!$A:$A,ROW()+$C$5)&lt;&gt;"",80000*SIGN(AT507)*(分析データ!B507-INDEX(分析データ!B:B,ROW()+$C$5)),""),"")</f>
        <v>119999.99999999744</v>
      </c>
      <c r="AW507">
        <f t="shared" ca="1" si="197"/>
        <v>-8359999.9999999991</v>
      </c>
      <c r="AX507">
        <f t="shared" ca="1" si="198"/>
        <v>0</v>
      </c>
      <c r="AY507">
        <f t="shared" ca="1" si="199"/>
        <v>-8359999.9999999991</v>
      </c>
      <c r="AZ507">
        <f ca="1">IF(ROW()&lt;($C$7+1),"",IFERROR((分析データ!C507-AVERAGE(OFFSET(分析データ!C$1,MAX(1,ROW()-$C$7),0,MIN($C$7,ROW()-1),1)))/STDEV(OFFSET(分析データ!C$1,MAX(1,ROW()-$C$7),0,MIN($C$7,ROW()-1),1)),0))</f>
        <v>-0.33424186478130574</v>
      </c>
      <c r="BA507">
        <f t="shared" ca="1" si="200"/>
        <v>0</v>
      </c>
      <c r="BB507" t="str">
        <f ca="1">IF(BA507=1,IF(INDEX(分析データ!$A:$A,ROW()+$C$5)&lt;&gt;"",60000*SIGN(AZ507)*(分析データ!C507-INDEX(分析データ!C:C,ROW()+$C$5)),""),"")</f>
        <v/>
      </c>
      <c r="BC507">
        <f t="shared" ca="1" si="201"/>
        <v>1602000.0000000072</v>
      </c>
      <c r="BD507">
        <f t="shared" ca="1" si="202"/>
        <v>1602000.0000000072</v>
      </c>
      <c r="BE507">
        <f t="shared" ca="1" si="203"/>
        <v>0</v>
      </c>
      <c r="BF507">
        <f ca="1">IF(ROW()&lt;($C$7+1),"",IFERROR((分析データ!D507-AVERAGE(OFFSET(分析データ!D$1,MAX(1,ROW()-$C$7),0,MIN($C$7,ROW()-1),1)))/STDEV(OFFSET(分析データ!D$1,MAX(1,ROW()-$C$7),0,MIN($C$7,ROW()-1),1)),0))</f>
        <v>0.79042946295729111</v>
      </c>
      <c r="BG507">
        <f t="shared" ca="1" si="204"/>
        <v>0</v>
      </c>
      <c r="BH507" t="str">
        <f ca="1">IF(BG507=1,IF(INDEX(分析データ!$A:$A,ROW()+$C$5)&lt;&gt;"",50000*SIGN(BF507)*(分析データ!D507-INDEX(分析データ!D:D,ROW()+$C$5)),""),"")</f>
        <v/>
      </c>
      <c r="BI507">
        <f t="shared" ca="1" si="205"/>
        <v>-779999.99999999418</v>
      </c>
      <c r="BJ507">
        <f t="shared" ca="1" si="206"/>
        <v>1695000.0000000016</v>
      </c>
      <c r="BK507">
        <f t="shared" ca="1" si="207"/>
        <v>-2474999.9999999958</v>
      </c>
      <c r="BL507">
        <f ca="1">IF(ROW()&lt;($C$7+1),"",IFERROR((分析データ!E507-AVERAGE(OFFSET(分析データ!E$1,MAX(1,ROW()-$C$7),0,MIN($C$7,ROW()-1),1)))/STDEV(OFFSET(分析データ!E$1,MAX(1,ROW()-$C$7),0,MIN($C$7,ROW()-1),1)),0))</f>
        <v>1.5407245925652777</v>
      </c>
      <c r="BM507">
        <f t="shared" ca="1" si="208"/>
        <v>0</v>
      </c>
      <c r="BN507" t="str">
        <f ca="1">IF(BM507=1,IF(INDEX(分析データ!$A:$A,ROW()+$C$5)&lt;&gt;"",40000*SIGN(BL507)*(分析データ!E507-INDEX(分析データ!E:E,ROW()+$C$5)),""),"")</f>
        <v/>
      </c>
      <c r="BO507">
        <f t="shared" ca="1" si="209"/>
        <v>1320000.0000000075</v>
      </c>
      <c r="BP507">
        <f t="shared" ca="1" si="210"/>
        <v>1320000.0000000075</v>
      </c>
      <c r="BQ507">
        <f t="shared" ca="1" si="211"/>
        <v>0</v>
      </c>
      <c r="BR507">
        <f ca="1">IF(ROW()&lt;($C$7+1),"",IFERROR((分析データ!F507-AVERAGE(OFFSET(分析データ!F$1,MAX(1,ROW()-$C$7),0,MIN($C$7,ROW()-1),1)))/STDEV(OFFSET(分析データ!F$1,MAX(1,ROW()-$C$7),0,MIN($C$7,ROW()-1),1)),0))</f>
        <v>-1.6367202014609303</v>
      </c>
      <c r="BS507">
        <f t="shared" ca="1" si="212"/>
        <v>0</v>
      </c>
      <c r="BT507" t="str">
        <f ca="1">IF(BS507=1,IF(INDEX(分析データ!$A:$A,ROW()+$C$5)&lt;&gt;"",40000*SIGN(BR507)*(分析データ!F507-INDEX(分析データ!F:F,ROW()+$C$5)),""),"")</f>
        <v/>
      </c>
      <c r="BU507">
        <f t="shared" ca="1" si="213"/>
        <v>583200.00000000163</v>
      </c>
      <c r="BV507">
        <f t="shared" ca="1" si="214"/>
        <v>583200.00000000163</v>
      </c>
      <c r="BW507">
        <f t="shared" ca="1" si="215"/>
        <v>0</v>
      </c>
      <c r="BX507">
        <f ca="1">IF(ROW()&lt;($C$7+1),"",IFERROR((分析データ!G507-AVERAGE(OFFSET(分析データ!G$1,MAX(1,ROW()-$C$7),0,MIN($C$7,ROW()-1),1)))/STDEV(OFFSET(分析データ!G$1,MAX(1,ROW()-$C$7),0,MIN($C$7,ROW()-1),1)),0))</f>
        <v>0.85548807353448186</v>
      </c>
      <c r="BY507">
        <f t="shared" ca="1" si="216"/>
        <v>0</v>
      </c>
      <c r="BZ507" t="str">
        <f ca="1">IF(BY507=1,IF(INDEX(分析データ!$A:$A,ROW()+$C$5)&lt;&gt;"",40000*SIGN(BX507)*(分析データ!G507-INDEX(分析データ!G:G,ROW()+$C$5)),""),"")</f>
        <v/>
      </c>
      <c r="CA507">
        <f t="shared" ca="1" si="217"/>
        <v>7853552.856445305</v>
      </c>
      <c r="CB507">
        <f t="shared" ca="1" si="218"/>
        <v>7853552.856445305</v>
      </c>
      <c r="CC507">
        <f t="shared" ca="1" si="219"/>
        <v>0</v>
      </c>
      <c r="CD507">
        <f t="shared" ca="1" si="220"/>
        <v>119999.99999999744</v>
      </c>
      <c r="CE507">
        <f t="shared" ca="1" si="221"/>
        <v>2218752.8564453358</v>
      </c>
      <c r="CF507">
        <f t="shared" ca="1" si="222"/>
        <v>6770475.7177734533</v>
      </c>
      <c r="CG507">
        <f t="shared" ca="1" si="223"/>
        <v>-4551722.8613281175</v>
      </c>
      <c r="CH507" s="10">
        <f>分析データ!A507</f>
        <v>45666</v>
      </c>
    </row>
    <row r="508" spans="46:86">
      <c r="AT508">
        <f ca="1">IF(ROW()&lt;($C$7+1),"",IFERROR((分析データ!B508-AVERAGE(OFFSET(分析データ!B$1,MAX(1,ROW()-$C$7),0,MIN($C$7,ROW()-1),1)))/STDEV(OFFSET(分析データ!B$1,MAX(1,ROW()-$C$7),0,MIN($C$7,ROW()-1),1)),0))</f>
        <v>2.5901456116591066</v>
      </c>
      <c r="AU508">
        <f t="shared" ca="1" si="196"/>
        <v>1</v>
      </c>
      <c r="AV508">
        <f ca="1">IF(AU508=1,IF(INDEX(分析データ!$A:$A,ROW()+$C$5)&lt;&gt;"",80000*SIGN(AT508)*(分析データ!B508-INDEX(分析データ!B:B,ROW()+$C$5)),""),"")</f>
        <v>199999.99999999575</v>
      </c>
      <c r="AW508">
        <f t="shared" ca="1" si="197"/>
        <v>-8160000.0000000037</v>
      </c>
      <c r="AX508">
        <f t="shared" ca="1" si="198"/>
        <v>0</v>
      </c>
      <c r="AY508">
        <f t="shared" ca="1" si="199"/>
        <v>-8160000.0000000037</v>
      </c>
      <c r="AZ508">
        <f ca="1">IF(ROW()&lt;($C$7+1),"",IFERROR((分析データ!C508-AVERAGE(OFFSET(分析データ!C$1,MAX(1,ROW()-$C$7),0,MIN($C$7,ROW()-1),1)))/STDEV(OFFSET(分析データ!C$1,MAX(1,ROW()-$C$7),0,MIN($C$7,ROW()-1),1)),0))</f>
        <v>-0.11945958243446347</v>
      </c>
      <c r="BA508">
        <f t="shared" ca="1" si="200"/>
        <v>0</v>
      </c>
      <c r="BB508" t="str">
        <f ca="1">IF(BA508=1,IF(INDEX(分析データ!$A:$A,ROW()+$C$5)&lt;&gt;"",60000*SIGN(AZ508)*(分析データ!C508-INDEX(分析データ!C:C,ROW()+$C$5)),""),"")</f>
        <v/>
      </c>
      <c r="BC508">
        <f t="shared" ca="1" si="201"/>
        <v>1602000.0000000072</v>
      </c>
      <c r="BD508">
        <f t="shared" ca="1" si="202"/>
        <v>1602000.0000000072</v>
      </c>
      <c r="BE508">
        <f t="shared" ca="1" si="203"/>
        <v>0</v>
      </c>
      <c r="BF508">
        <f ca="1">IF(ROW()&lt;($C$7+1),"",IFERROR((分析データ!D508-AVERAGE(OFFSET(分析データ!D$1,MAX(1,ROW()-$C$7),0,MIN($C$7,ROW()-1),1)))/STDEV(OFFSET(分析データ!D$1,MAX(1,ROW()-$C$7),0,MIN($C$7,ROW()-1),1)),0))</f>
        <v>1.0493979948097034</v>
      </c>
      <c r="BG508">
        <f t="shared" ca="1" si="204"/>
        <v>0</v>
      </c>
      <c r="BH508" t="str">
        <f ca="1">IF(BG508=1,IF(INDEX(分析データ!$A:$A,ROW()+$C$5)&lt;&gt;"",50000*SIGN(BF508)*(分析データ!D508-INDEX(分析データ!D:D,ROW()+$C$5)),""),"")</f>
        <v/>
      </c>
      <c r="BI508">
        <f t="shared" ca="1" si="205"/>
        <v>-779999.99999999418</v>
      </c>
      <c r="BJ508">
        <f t="shared" ca="1" si="206"/>
        <v>1695000.0000000016</v>
      </c>
      <c r="BK508">
        <f t="shared" ca="1" si="207"/>
        <v>-2474999.9999999958</v>
      </c>
      <c r="BL508">
        <f ca="1">IF(ROW()&lt;($C$7+1),"",IFERROR((分析データ!E508-AVERAGE(OFFSET(分析データ!E$1,MAX(1,ROW()-$C$7),0,MIN($C$7,ROW()-1),1)))/STDEV(OFFSET(分析データ!E$1,MAX(1,ROW()-$C$7),0,MIN($C$7,ROW()-1),1)),0))</f>
        <v>1.0731143395794169</v>
      </c>
      <c r="BM508">
        <f t="shared" ca="1" si="208"/>
        <v>0</v>
      </c>
      <c r="BN508" t="str">
        <f ca="1">IF(BM508=1,IF(INDEX(分析データ!$A:$A,ROW()+$C$5)&lt;&gt;"",40000*SIGN(BL508)*(分析データ!E508-INDEX(分析データ!E:E,ROW()+$C$5)),""),"")</f>
        <v/>
      </c>
      <c r="BO508">
        <f t="shared" ca="1" si="209"/>
        <v>1320000.0000000075</v>
      </c>
      <c r="BP508">
        <f t="shared" ca="1" si="210"/>
        <v>1320000.0000000075</v>
      </c>
      <c r="BQ508">
        <f t="shared" ca="1" si="211"/>
        <v>0</v>
      </c>
      <c r="BR508">
        <f ca="1">IF(ROW()&lt;($C$7+1),"",IFERROR((分析データ!F508-AVERAGE(OFFSET(分析データ!F$1,MAX(1,ROW()-$C$7),0,MIN($C$7,ROW()-1),1)))/STDEV(OFFSET(分析データ!F$1,MAX(1,ROW()-$C$7),0,MIN($C$7,ROW()-1),1)),0))</f>
        <v>-2.2226759546638419</v>
      </c>
      <c r="BS508">
        <f t="shared" ca="1" si="212"/>
        <v>1</v>
      </c>
      <c r="BT508">
        <f ca="1">IF(BS508=1,IF(INDEX(分析データ!$A:$A,ROW()+$C$5)&lt;&gt;"",40000*SIGN(BR508)*(分析データ!F508-INDEX(分析データ!F:F,ROW()+$C$5)),""),"")</f>
        <v>476399.99999999872</v>
      </c>
      <c r="BU508">
        <f t="shared" ca="1" si="213"/>
        <v>1059600.0000000005</v>
      </c>
      <c r="BV508">
        <f t="shared" ca="1" si="214"/>
        <v>1059600.0000000005</v>
      </c>
      <c r="BW508">
        <f t="shared" ca="1" si="215"/>
        <v>0</v>
      </c>
      <c r="BX508">
        <f ca="1">IF(ROW()&lt;($C$7+1),"",IFERROR((分析データ!G508-AVERAGE(OFFSET(分析データ!G$1,MAX(1,ROW()-$C$7),0,MIN($C$7,ROW()-1),1)))/STDEV(OFFSET(分析データ!G$1,MAX(1,ROW()-$C$7),0,MIN($C$7,ROW()-1),1)),0))</f>
        <v>0.93176026048231586</v>
      </c>
      <c r="BY508">
        <f t="shared" ca="1" si="216"/>
        <v>0</v>
      </c>
      <c r="BZ508" t="str">
        <f ca="1">IF(BY508=1,IF(INDEX(分析データ!$A:$A,ROW()+$C$5)&lt;&gt;"",40000*SIGN(BX508)*(分析データ!G508-INDEX(分析データ!G:G,ROW()+$C$5)),""),"")</f>
        <v/>
      </c>
      <c r="CA508">
        <f t="shared" ca="1" si="217"/>
        <v>7853552.856445305</v>
      </c>
      <c r="CB508">
        <f t="shared" ca="1" si="218"/>
        <v>7853552.856445305</v>
      </c>
      <c r="CC508">
        <f t="shared" ca="1" si="219"/>
        <v>0</v>
      </c>
      <c r="CD508">
        <f t="shared" ca="1" si="220"/>
        <v>676399.99999999441</v>
      </c>
      <c r="CE508">
        <f t="shared" ca="1" si="221"/>
        <v>2895152.8564453302</v>
      </c>
      <c r="CF508">
        <f t="shared" ca="1" si="222"/>
        <v>6770475.7177734533</v>
      </c>
      <c r="CG508">
        <f t="shared" ca="1" si="223"/>
        <v>-3875322.8613281231</v>
      </c>
      <c r="CH508" s="10">
        <f>分析データ!A508</f>
        <v>45667</v>
      </c>
    </row>
    <row r="509" spans="46:86">
      <c r="AT509">
        <f ca="1">IF(ROW()&lt;($C$7+1),"",IFERROR((分析データ!B509-AVERAGE(OFFSET(分析データ!B$1,MAX(1,ROW()-$C$7),0,MIN($C$7,ROW()-1),1)))/STDEV(OFFSET(分析データ!B$1,MAX(1,ROW()-$C$7),0,MIN($C$7,ROW()-1),1)),0))</f>
        <v>2.6872484262341021</v>
      </c>
      <c r="AU509">
        <f t="shared" ca="1" si="196"/>
        <v>1</v>
      </c>
      <c r="AV509">
        <f ca="1">IF(AU509=1,IF(INDEX(分析データ!$A:$A,ROW()+$C$5)&lt;&gt;"",80000*SIGN(AT509)*(分析データ!B509-INDEX(分析データ!B:B,ROW()+$C$5)),""),"")</f>
        <v>320000.00000000029</v>
      </c>
      <c r="AW509">
        <f t="shared" ca="1" si="197"/>
        <v>-7840000.0000000037</v>
      </c>
      <c r="AX509">
        <f t="shared" ca="1" si="198"/>
        <v>0</v>
      </c>
      <c r="AY509">
        <f t="shared" ca="1" si="199"/>
        <v>-7840000.0000000037</v>
      </c>
      <c r="AZ509">
        <f ca="1">IF(ROW()&lt;($C$7+1),"",IFERROR((分析データ!C509-AVERAGE(OFFSET(分析データ!C$1,MAX(1,ROW()-$C$7),0,MIN($C$7,ROW()-1),1)))/STDEV(OFFSET(分析データ!C$1,MAX(1,ROW()-$C$7),0,MIN($C$7,ROW()-1),1)),0))</f>
        <v>-0.11567469080057272</v>
      </c>
      <c r="BA509">
        <f t="shared" ca="1" si="200"/>
        <v>0</v>
      </c>
      <c r="BB509" t="str">
        <f ca="1">IF(BA509=1,IF(INDEX(分析データ!$A:$A,ROW()+$C$5)&lt;&gt;"",60000*SIGN(AZ509)*(分析データ!C509-INDEX(分析データ!C:C,ROW()+$C$5)),""),"")</f>
        <v/>
      </c>
      <c r="BC509">
        <f t="shared" ca="1" si="201"/>
        <v>1602000.0000000072</v>
      </c>
      <c r="BD509">
        <f t="shared" ca="1" si="202"/>
        <v>1602000.0000000072</v>
      </c>
      <c r="BE509">
        <f t="shared" ca="1" si="203"/>
        <v>0</v>
      </c>
      <c r="BF509">
        <f ca="1">IF(ROW()&lt;($C$7+1),"",IFERROR((分析データ!D509-AVERAGE(OFFSET(分析データ!D$1,MAX(1,ROW()-$C$7),0,MIN($C$7,ROW()-1),1)))/STDEV(OFFSET(分析データ!D$1,MAX(1,ROW()-$C$7),0,MIN($C$7,ROW()-1),1)),0))</f>
        <v>1.1239143360861603</v>
      </c>
      <c r="BG509">
        <f t="shared" ca="1" si="204"/>
        <v>0</v>
      </c>
      <c r="BH509" t="str">
        <f ca="1">IF(BG509=1,IF(INDEX(分析データ!$A:$A,ROW()+$C$5)&lt;&gt;"",50000*SIGN(BF509)*(分析データ!D509-INDEX(分析データ!D:D,ROW()+$C$5)),""),"")</f>
        <v/>
      </c>
      <c r="BI509">
        <f t="shared" ca="1" si="205"/>
        <v>-779999.99999999418</v>
      </c>
      <c r="BJ509">
        <f t="shared" ca="1" si="206"/>
        <v>1695000.0000000016</v>
      </c>
      <c r="BK509">
        <f t="shared" ca="1" si="207"/>
        <v>-2474999.9999999958</v>
      </c>
      <c r="BL509">
        <f ca="1">IF(ROW()&lt;($C$7+1),"",IFERROR((分析データ!E509-AVERAGE(OFFSET(分析データ!E$1,MAX(1,ROW()-$C$7),0,MIN($C$7,ROW()-1),1)))/STDEV(OFFSET(分析データ!E$1,MAX(1,ROW()-$C$7),0,MIN($C$7,ROW()-1),1)),0))</f>
        <v>1.0651470872788422</v>
      </c>
      <c r="BM509">
        <f t="shared" ca="1" si="208"/>
        <v>0</v>
      </c>
      <c r="BN509" t="str">
        <f ca="1">IF(BM509=1,IF(INDEX(分析データ!$A:$A,ROW()+$C$5)&lt;&gt;"",40000*SIGN(BL509)*(分析データ!E509-INDEX(分析データ!E:E,ROW()+$C$5)),""),"")</f>
        <v/>
      </c>
      <c r="BO509">
        <f t="shared" ca="1" si="209"/>
        <v>1320000.0000000075</v>
      </c>
      <c r="BP509">
        <f t="shared" ca="1" si="210"/>
        <v>1320000.0000000075</v>
      </c>
      <c r="BQ509">
        <f t="shared" ca="1" si="211"/>
        <v>0</v>
      </c>
      <c r="BR509">
        <f ca="1">IF(ROW()&lt;($C$7+1),"",IFERROR((分析データ!F509-AVERAGE(OFFSET(分析データ!F$1,MAX(1,ROW()-$C$7),0,MIN($C$7,ROW()-1),1)))/STDEV(OFFSET(分析データ!F$1,MAX(1,ROW()-$C$7),0,MIN($C$7,ROW()-1),1)),0))</f>
        <v>-2.1823821392496749</v>
      </c>
      <c r="BS509">
        <f t="shared" ca="1" si="212"/>
        <v>1</v>
      </c>
      <c r="BT509">
        <f ca="1">IF(BS509=1,IF(INDEX(分析データ!$A:$A,ROW()+$C$5)&lt;&gt;"",40000*SIGN(BR509)*(分析データ!F509-INDEX(分析データ!F:F,ROW()+$C$5)),""),"")</f>
        <v>245600.00000000172</v>
      </c>
      <c r="BU509">
        <f t="shared" ca="1" si="213"/>
        <v>1305200.0000000021</v>
      </c>
      <c r="BV509">
        <f t="shared" ca="1" si="214"/>
        <v>1305200.0000000021</v>
      </c>
      <c r="BW509">
        <f t="shared" ca="1" si="215"/>
        <v>0</v>
      </c>
      <c r="BX509">
        <f ca="1">IF(ROW()&lt;($C$7+1),"",IFERROR((分析データ!G509-AVERAGE(OFFSET(分析データ!G$1,MAX(1,ROW()-$C$7),0,MIN($C$7,ROW()-1),1)))/STDEV(OFFSET(分析データ!G$1,MAX(1,ROW()-$C$7),0,MIN($C$7,ROW()-1),1)),0))</f>
        <v>0.82781716516791437</v>
      </c>
      <c r="BY509">
        <f t="shared" ca="1" si="216"/>
        <v>0</v>
      </c>
      <c r="BZ509" t="str">
        <f ca="1">IF(BY509=1,IF(INDEX(分析データ!$A:$A,ROW()+$C$5)&lt;&gt;"",40000*SIGN(BX509)*(分析データ!G509-INDEX(分析データ!G:G,ROW()+$C$5)),""),"")</f>
        <v/>
      </c>
      <c r="CA509">
        <f t="shared" ca="1" si="217"/>
        <v>7853552.856445305</v>
      </c>
      <c r="CB509">
        <f t="shared" ca="1" si="218"/>
        <v>7853552.856445305</v>
      </c>
      <c r="CC509">
        <f t="shared" ca="1" si="219"/>
        <v>0</v>
      </c>
      <c r="CD509">
        <f t="shared" ca="1" si="220"/>
        <v>565600.00000000198</v>
      </c>
      <c r="CE509">
        <f t="shared" ca="1" si="221"/>
        <v>3460752.8564453321</v>
      </c>
      <c r="CF509">
        <f t="shared" ca="1" si="222"/>
        <v>6770475.7177734533</v>
      </c>
      <c r="CG509">
        <f t="shared" ca="1" si="223"/>
        <v>-3309722.8613281213</v>
      </c>
      <c r="CH509" s="10">
        <f>分析データ!A509</f>
        <v>45670</v>
      </c>
    </row>
    <row r="510" spans="46:86">
      <c r="AT510">
        <f ca="1">IF(ROW()&lt;($C$7+1),"",IFERROR((分析データ!B510-AVERAGE(OFFSET(分析データ!B$1,MAX(1,ROW()-$C$7),0,MIN($C$7,ROW()-1),1)))/STDEV(OFFSET(分析データ!B$1,MAX(1,ROW()-$C$7),0,MIN($C$7,ROW()-1),1)),0))</f>
        <v>2.6389229223613313</v>
      </c>
      <c r="AU510">
        <f t="shared" ca="1" si="196"/>
        <v>1</v>
      </c>
      <c r="AV510">
        <f ca="1">IF(AU510=1,IF(INDEX(分析データ!$A:$A,ROW()+$C$5)&lt;&gt;"",80000*SIGN(AT510)*(分析データ!B510-INDEX(分析データ!B:B,ROW()+$C$5)),""),"")</f>
        <v>439999.99999999773</v>
      </c>
      <c r="AW510">
        <f t="shared" ca="1" si="197"/>
        <v>-7400000.0000000056</v>
      </c>
      <c r="AX510">
        <f t="shared" ca="1" si="198"/>
        <v>0</v>
      </c>
      <c r="AY510">
        <f t="shared" ca="1" si="199"/>
        <v>-7400000.0000000056</v>
      </c>
      <c r="AZ510">
        <f ca="1">IF(ROW()&lt;($C$7+1),"",IFERROR((分析データ!C510-AVERAGE(OFFSET(分析データ!C$1,MAX(1,ROW()-$C$7),0,MIN($C$7,ROW()-1),1)))/STDEV(OFFSET(分析データ!C$1,MAX(1,ROW()-$C$7),0,MIN($C$7,ROW()-1),1)),0))</f>
        <v>5.9115413583485356E-2</v>
      </c>
      <c r="BA510">
        <f t="shared" ca="1" si="200"/>
        <v>0</v>
      </c>
      <c r="BB510" t="str">
        <f ca="1">IF(BA510=1,IF(INDEX(分析データ!$A:$A,ROW()+$C$5)&lt;&gt;"",60000*SIGN(AZ510)*(分析データ!C510-INDEX(分析データ!C:C,ROW()+$C$5)),""),"")</f>
        <v/>
      </c>
      <c r="BC510">
        <f t="shared" ca="1" si="201"/>
        <v>1602000.0000000072</v>
      </c>
      <c r="BD510">
        <f t="shared" ca="1" si="202"/>
        <v>1602000.0000000072</v>
      </c>
      <c r="BE510">
        <f t="shared" ca="1" si="203"/>
        <v>0</v>
      </c>
      <c r="BF510">
        <f ca="1">IF(ROW()&lt;($C$7+1),"",IFERROR((分析データ!D510-AVERAGE(OFFSET(分析データ!D$1,MAX(1,ROW()-$C$7),0,MIN($C$7,ROW()-1),1)))/STDEV(OFFSET(分析データ!D$1,MAX(1,ROW()-$C$7),0,MIN($C$7,ROW()-1),1)),0))</f>
        <v>0.90575620982502447</v>
      </c>
      <c r="BG510">
        <f t="shared" ca="1" si="204"/>
        <v>0</v>
      </c>
      <c r="BH510" t="str">
        <f ca="1">IF(BG510=1,IF(INDEX(分析データ!$A:$A,ROW()+$C$5)&lt;&gt;"",50000*SIGN(BF510)*(分析データ!D510-INDEX(分析データ!D:D,ROW()+$C$5)),""),"")</f>
        <v/>
      </c>
      <c r="BI510">
        <f t="shared" ca="1" si="205"/>
        <v>-779999.99999999418</v>
      </c>
      <c r="BJ510">
        <f t="shared" ca="1" si="206"/>
        <v>1695000.0000000016</v>
      </c>
      <c r="BK510">
        <f t="shared" ca="1" si="207"/>
        <v>-2474999.9999999958</v>
      </c>
      <c r="BL510">
        <f ca="1">IF(ROW()&lt;($C$7+1),"",IFERROR((分析データ!E510-AVERAGE(OFFSET(分析データ!E$1,MAX(1,ROW()-$C$7),0,MIN($C$7,ROW()-1),1)))/STDEV(OFFSET(分析データ!E$1,MAX(1,ROW()-$C$7),0,MIN($C$7,ROW()-1),1)),0))</f>
        <v>1.1704043137717755</v>
      </c>
      <c r="BM510">
        <f t="shared" ca="1" si="208"/>
        <v>0</v>
      </c>
      <c r="BN510" t="str">
        <f ca="1">IF(BM510=1,IF(INDEX(分析データ!$A:$A,ROW()+$C$5)&lt;&gt;"",40000*SIGN(BL510)*(分析データ!E510-INDEX(分析データ!E:E,ROW()+$C$5)),""),"")</f>
        <v/>
      </c>
      <c r="BO510">
        <f t="shared" ca="1" si="209"/>
        <v>1320000.0000000075</v>
      </c>
      <c r="BP510">
        <f t="shared" ca="1" si="210"/>
        <v>1320000.0000000075</v>
      </c>
      <c r="BQ510">
        <f t="shared" ca="1" si="211"/>
        <v>0</v>
      </c>
      <c r="BR510">
        <f ca="1">IF(ROW()&lt;($C$7+1),"",IFERROR((分析データ!F510-AVERAGE(OFFSET(分析データ!F$1,MAX(1,ROW()-$C$7),0,MIN($C$7,ROW()-1),1)))/STDEV(OFFSET(分析データ!F$1,MAX(1,ROW()-$C$7),0,MIN($C$7,ROW()-1),1)),0))</f>
        <v>-1.9873599919271019</v>
      </c>
      <c r="BS510">
        <f t="shared" ca="1" si="212"/>
        <v>0</v>
      </c>
      <c r="BT510" t="str">
        <f ca="1">IF(BS510=1,IF(INDEX(分析データ!$A:$A,ROW()+$C$5)&lt;&gt;"",40000*SIGN(BR510)*(分析データ!F510-INDEX(分析データ!F:F,ROW()+$C$5)),""),"")</f>
        <v/>
      </c>
      <c r="BU510">
        <f t="shared" ca="1" si="213"/>
        <v>1305200.0000000021</v>
      </c>
      <c r="BV510">
        <f t="shared" ca="1" si="214"/>
        <v>1305200.0000000021</v>
      </c>
      <c r="BW510">
        <f t="shared" ca="1" si="215"/>
        <v>0</v>
      </c>
      <c r="BX510">
        <f ca="1">IF(ROW()&lt;($C$7+1),"",IFERROR((分析データ!G510-AVERAGE(OFFSET(分析データ!G$1,MAX(1,ROW()-$C$7),0,MIN($C$7,ROW()-1),1)))/STDEV(OFFSET(分析データ!G$1,MAX(1,ROW()-$C$7),0,MIN($C$7,ROW()-1),1)),0))</f>
        <v>1.1561167513913948</v>
      </c>
      <c r="BY510">
        <f t="shared" ca="1" si="216"/>
        <v>0</v>
      </c>
      <c r="BZ510" t="str">
        <f ca="1">IF(BY510=1,IF(INDEX(分析データ!$A:$A,ROW()+$C$5)&lt;&gt;"",40000*SIGN(BX510)*(分析データ!G510-INDEX(分析データ!G:G,ROW()+$C$5)),""),"")</f>
        <v/>
      </c>
      <c r="CA510">
        <f t="shared" ca="1" si="217"/>
        <v>7853552.856445305</v>
      </c>
      <c r="CB510">
        <f t="shared" ca="1" si="218"/>
        <v>7853552.856445305</v>
      </c>
      <c r="CC510">
        <f t="shared" ca="1" si="219"/>
        <v>0</v>
      </c>
      <c r="CD510">
        <f t="shared" ca="1" si="220"/>
        <v>439999.99999999773</v>
      </c>
      <c r="CE510">
        <f t="shared" ca="1" si="221"/>
        <v>3900752.8564453297</v>
      </c>
      <c r="CF510">
        <f t="shared" ca="1" si="222"/>
        <v>6770475.7177734533</v>
      </c>
      <c r="CG510">
        <f t="shared" ca="1" si="223"/>
        <v>-2869722.8613281236</v>
      </c>
      <c r="CH510" s="10">
        <f>分析データ!A510</f>
        <v>45671</v>
      </c>
    </row>
    <row r="511" spans="46:86">
      <c r="AT511">
        <f ca="1">IF(ROW()&lt;($C$7+1),"",IFERROR((分析データ!B511-AVERAGE(OFFSET(分析データ!B$1,MAX(1,ROW()-$C$7),0,MIN($C$7,ROW()-1),1)))/STDEV(OFFSET(分析データ!B$1,MAX(1,ROW()-$C$7),0,MIN($C$7,ROW()-1),1)),0))</f>
        <v>2.4087470005555653</v>
      </c>
      <c r="AU511">
        <f t="shared" ca="1" si="196"/>
        <v>1</v>
      </c>
      <c r="AV511">
        <f ca="1">IF(AU511=1,IF(INDEX(分析データ!$A:$A,ROW()+$C$5)&lt;&gt;"",80000*SIGN(AT511)*(分析データ!B511-INDEX(分析データ!B:B,ROW()+$C$5)),""),"")</f>
        <v>280000.00000000827</v>
      </c>
      <c r="AW511">
        <f t="shared" ca="1" si="197"/>
        <v>-7119999.9999999972</v>
      </c>
      <c r="AX511">
        <f t="shared" ca="1" si="198"/>
        <v>0</v>
      </c>
      <c r="AY511">
        <f t="shared" ca="1" si="199"/>
        <v>-7119999.9999999972</v>
      </c>
      <c r="AZ511">
        <f ca="1">IF(ROW()&lt;($C$7+1),"",IFERROR((分析データ!C511-AVERAGE(OFFSET(分析データ!C$1,MAX(1,ROW()-$C$7),0,MIN($C$7,ROW()-1),1)))/STDEV(OFFSET(分析データ!C$1,MAX(1,ROW()-$C$7),0,MIN($C$7,ROW()-1),1)),0))</f>
        <v>-9.1782550870106464E-2</v>
      </c>
      <c r="BA511">
        <f t="shared" ca="1" si="200"/>
        <v>0</v>
      </c>
      <c r="BB511" t="str">
        <f ca="1">IF(BA511=1,IF(INDEX(分析データ!$A:$A,ROW()+$C$5)&lt;&gt;"",60000*SIGN(AZ511)*(分析データ!C511-INDEX(分析データ!C:C,ROW()+$C$5)),""),"")</f>
        <v/>
      </c>
      <c r="BC511">
        <f t="shared" ca="1" si="201"/>
        <v>1602000.0000000072</v>
      </c>
      <c r="BD511">
        <f t="shared" ca="1" si="202"/>
        <v>1602000.0000000072</v>
      </c>
      <c r="BE511">
        <f t="shared" ca="1" si="203"/>
        <v>0</v>
      </c>
      <c r="BF511">
        <f ca="1">IF(ROW()&lt;($C$7+1),"",IFERROR((分析データ!D511-AVERAGE(OFFSET(分析データ!D$1,MAX(1,ROW()-$C$7),0,MIN($C$7,ROW()-1),1)))/STDEV(OFFSET(分析データ!D$1,MAX(1,ROW()-$C$7),0,MIN($C$7,ROW()-1),1)),0))</f>
        <v>0.39172529636694481</v>
      </c>
      <c r="BG511">
        <f t="shared" ca="1" si="204"/>
        <v>0</v>
      </c>
      <c r="BH511" t="str">
        <f ca="1">IF(BG511=1,IF(INDEX(分析データ!$A:$A,ROW()+$C$5)&lt;&gt;"",50000*SIGN(BF511)*(分析データ!D511-INDEX(分析データ!D:D,ROW()+$C$5)),""),"")</f>
        <v/>
      </c>
      <c r="BI511">
        <f t="shared" ca="1" si="205"/>
        <v>-779999.99999999418</v>
      </c>
      <c r="BJ511">
        <f t="shared" ca="1" si="206"/>
        <v>1695000.0000000016</v>
      </c>
      <c r="BK511">
        <f t="shared" ca="1" si="207"/>
        <v>-2474999.9999999958</v>
      </c>
      <c r="BL511">
        <f ca="1">IF(ROW()&lt;($C$7+1),"",IFERROR((分析データ!E511-AVERAGE(OFFSET(分析データ!E$1,MAX(1,ROW()-$C$7),0,MIN($C$7,ROW()-1),1)))/STDEV(OFFSET(分析データ!E$1,MAX(1,ROW()-$C$7),0,MIN($C$7,ROW()-1),1)),0))</f>
        <v>1.3874467938409036</v>
      </c>
      <c r="BM511">
        <f t="shared" ca="1" si="208"/>
        <v>0</v>
      </c>
      <c r="BN511" t="str">
        <f ca="1">IF(BM511=1,IF(INDEX(分析データ!$A:$A,ROW()+$C$5)&lt;&gt;"",40000*SIGN(BL511)*(分析データ!E511-INDEX(分析データ!E:E,ROW()+$C$5)),""),"")</f>
        <v/>
      </c>
      <c r="BO511">
        <f t="shared" ca="1" si="209"/>
        <v>1320000.0000000075</v>
      </c>
      <c r="BP511">
        <f t="shared" ca="1" si="210"/>
        <v>1320000.0000000075</v>
      </c>
      <c r="BQ511">
        <f t="shared" ca="1" si="211"/>
        <v>0</v>
      </c>
      <c r="BR511">
        <f ca="1">IF(ROW()&lt;($C$7+1),"",IFERROR((分析データ!F511-AVERAGE(OFFSET(分析データ!F$1,MAX(1,ROW()-$C$7),0,MIN($C$7,ROW()-1),1)))/STDEV(OFFSET(分析データ!F$1,MAX(1,ROW()-$C$7),0,MIN($C$7,ROW()-1),1)),0))</f>
        <v>-1.6223702957890669</v>
      </c>
      <c r="BS511">
        <f t="shared" ca="1" si="212"/>
        <v>0</v>
      </c>
      <c r="BT511" t="str">
        <f ca="1">IF(BS511=1,IF(INDEX(分析データ!$A:$A,ROW()+$C$5)&lt;&gt;"",40000*SIGN(BR511)*(分析データ!F511-INDEX(分析データ!F:F,ROW()+$C$5)),""),"")</f>
        <v/>
      </c>
      <c r="BU511">
        <f t="shared" ca="1" si="213"/>
        <v>1305200.0000000021</v>
      </c>
      <c r="BV511">
        <f t="shared" ca="1" si="214"/>
        <v>1305200.0000000021</v>
      </c>
      <c r="BW511">
        <f t="shared" ca="1" si="215"/>
        <v>0</v>
      </c>
      <c r="BX511">
        <f ca="1">IF(ROW()&lt;($C$7+1),"",IFERROR((分析データ!G511-AVERAGE(OFFSET(分析データ!G$1,MAX(1,ROW()-$C$7),0,MIN($C$7,ROW()-1),1)))/STDEV(OFFSET(分析データ!G$1,MAX(1,ROW()-$C$7),0,MIN($C$7,ROW()-1),1)),0))</f>
        <v>1.2223136925187252</v>
      </c>
      <c r="BY511">
        <f t="shared" ca="1" si="216"/>
        <v>0</v>
      </c>
      <c r="BZ511" t="str">
        <f ca="1">IF(BY511=1,IF(INDEX(分析データ!$A:$A,ROW()+$C$5)&lt;&gt;"",40000*SIGN(BX511)*(分析データ!G511-INDEX(分析データ!G:G,ROW()+$C$5)),""),"")</f>
        <v/>
      </c>
      <c r="CA511">
        <f t="shared" ca="1" si="217"/>
        <v>7853552.856445305</v>
      </c>
      <c r="CB511">
        <f t="shared" ca="1" si="218"/>
        <v>7853552.856445305</v>
      </c>
      <c r="CC511">
        <f t="shared" ca="1" si="219"/>
        <v>0</v>
      </c>
      <c r="CD511">
        <f t="shared" ca="1" si="220"/>
        <v>280000.00000000827</v>
      </c>
      <c r="CE511">
        <f t="shared" ca="1" si="221"/>
        <v>4180752.8564453381</v>
      </c>
      <c r="CF511">
        <f t="shared" ca="1" si="222"/>
        <v>6770475.7177734533</v>
      </c>
      <c r="CG511">
        <f t="shared" ca="1" si="223"/>
        <v>-2589722.8613281152</v>
      </c>
      <c r="CH511" s="10">
        <f>分析データ!A511</f>
        <v>45672</v>
      </c>
    </row>
    <row r="512" spans="46:86">
      <c r="AT512">
        <f ca="1">IF(ROW()&lt;($C$7+1),"",IFERROR((分析データ!B512-AVERAGE(OFFSET(分析データ!B$1,MAX(1,ROW()-$C$7),0,MIN($C$7,ROW()-1),1)))/STDEV(OFFSET(分析データ!B$1,MAX(1,ROW()-$C$7),0,MIN($C$7,ROW()-1),1)),0))</f>
        <v>2.2799083837246514</v>
      </c>
      <c r="AU512">
        <f t="shared" ca="1" si="196"/>
        <v>1</v>
      </c>
      <c r="AV512">
        <f ca="1">IF(AU512=1,IF(INDEX(分析データ!$A:$A,ROW()+$C$5)&lt;&gt;"",80000*SIGN(AT512)*(分析データ!B512-INDEX(分析データ!B:B,ROW()+$C$5)),""),"")</f>
        <v>160000.0000000037</v>
      </c>
      <c r="AW512">
        <f t="shared" ca="1" si="197"/>
        <v>-6959999.9999999935</v>
      </c>
      <c r="AX512">
        <f t="shared" ca="1" si="198"/>
        <v>0</v>
      </c>
      <c r="AY512">
        <f t="shared" ca="1" si="199"/>
        <v>-6959999.9999999935</v>
      </c>
      <c r="AZ512">
        <f ca="1">IF(ROW()&lt;($C$7+1),"",IFERROR((分析データ!C512-AVERAGE(OFFSET(分析データ!C$1,MAX(1,ROW()-$C$7),0,MIN($C$7,ROW()-1),1)))/STDEV(OFFSET(分析データ!C$1,MAX(1,ROW()-$C$7),0,MIN($C$7,ROW()-1),1)),0))</f>
        <v>-0.55989245135587473</v>
      </c>
      <c r="BA512">
        <f t="shared" ca="1" si="200"/>
        <v>0</v>
      </c>
      <c r="BB512" t="str">
        <f ca="1">IF(BA512=1,IF(INDEX(分析データ!$A:$A,ROW()+$C$5)&lt;&gt;"",60000*SIGN(AZ512)*(分析データ!C512-INDEX(分析データ!C:C,ROW()+$C$5)),""),"")</f>
        <v/>
      </c>
      <c r="BC512">
        <f t="shared" ca="1" si="201"/>
        <v>1602000.0000000072</v>
      </c>
      <c r="BD512">
        <f t="shared" ca="1" si="202"/>
        <v>1602000.0000000072</v>
      </c>
      <c r="BE512">
        <f t="shared" ca="1" si="203"/>
        <v>0</v>
      </c>
      <c r="BF512">
        <f ca="1">IF(ROW()&lt;($C$7+1),"",IFERROR((分析データ!D512-AVERAGE(OFFSET(分析データ!D$1,MAX(1,ROW()-$C$7),0,MIN($C$7,ROW()-1),1)))/STDEV(OFFSET(分析データ!D$1,MAX(1,ROW()-$C$7),0,MIN($C$7,ROW()-1),1)),0))</f>
        <v>0.3831631755562695</v>
      </c>
      <c r="BG512">
        <f t="shared" ca="1" si="204"/>
        <v>0</v>
      </c>
      <c r="BH512" t="str">
        <f ca="1">IF(BG512=1,IF(INDEX(分析データ!$A:$A,ROW()+$C$5)&lt;&gt;"",50000*SIGN(BF512)*(分析データ!D512-INDEX(分析データ!D:D,ROW()+$C$5)),""),"")</f>
        <v/>
      </c>
      <c r="BI512">
        <f t="shared" ca="1" si="205"/>
        <v>-779999.99999999418</v>
      </c>
      <c r="BJ512">
        <f t="shared" ca="1" si="206"/>
        <v>1695000.0000000016</v>
      </c>
      <c r="BK512">
        <f t="shared" ca="1" si="207"/>
        <v>-2474999.9999999958</v>
      </c>
      <c r="BL512">
        <f ca="1">IF(ROW()&lt;($C$7+1),"",IFERROR((分析データ!E512-AVERAGE(OFFSET(分析データ!E$1,MAX(1,ROW()-$C$7),0,MIN($C$7,ROW()-1),1)))/STDEV(OFFSET(分析データ!E$1,MAX(1,ROW()-$C$7),0,MIN($C$7,ROW()-1),1)),0))</f>
        <v>1.4903695756491235</v>
      </c>
      <c r="BM512">
        <f t="shared" ca="1" si="208"/>
        <v>0</v>
      </c>
      <c r="BN512" t="str">
        <f ca="1">IF(BM512=1,IF(INDEX(分析データ!$A:$A,ROW()+$C$5)&lt;&gt;"",40000*SIGN(BL512)*(分析データ!E512-INDEX(分析データ!E:E,ROW()+$C$5)),""),"")</f>
        <v/>
      </c>
      <c r="BO512">
        <f t="shared" ca="1" si="209"/>
        <v>1320000.0000000075</v>
      </c>
      <c r="BP512">
        <f t="shared" ca="1" si="210"/>
        <v>1320000.0000000075</v>
      </c>
      <c r="BQ512">
        <f t="shared" ca="1" si="211"/>
        <v>0</v>
      </c>
      <c r="BR512">
        <f ca="1">IF(ROW()&lt;($C$7+1),"",IFERROR((分析データ!F512-AVERAGE(OFFSET(分析データ!F$1,MAX(1,ROW()-$C$7),0,MIN($C$7,ROW()-1),1)))/STDEV(OFFSET(分析データ!F$1,MAX(1,ROW()-$C$7),0,MIN($C$7,ROW()-1),1)),0))</f>
        <v>-1.7291176319727042</v>
      </c>
      <c r="BS512">
        <f t="shared" ca="1" si="212"/>
        <v>0</v>
      </c>
      <c r="BT512" t="str">
        <f ca="1">IF(BS512=1,IF(INDEX(分析データ!$A:$A,ROW()+$C$5)&lt;&gt;"",40000*SIGN(BR512)*(分析データ!F512-INDEX(分析データ!F:F,ROW()+$C$5)),""),"")</f>
        <v/>
      </c>
      <c r="BU512">
        <f t="shared" ca="1" si="213"/>
        <v>1305200.0000000021</v>
      </c>
      <c r="BV512">
        <f t="shared" ca="1" si="214"/>
        <v>1305200.0000000021</v>
      </c>
      <c r="BW512">
        <f t="shared" ca="1" si="215"/>
        <v>0</v>
      </c>
      <c r="BX512">
        <f ca="1">IF(ROW()&lt;($C$7+1),"",IFERROR((分析データ!G512-AVERAGE(OFFSET(分析データ!G$1,MAX(1,ROW()-$C$7),0,MIN($C$7,ROW()-1),1)))/STDEV(OFFSET(分析データ!G$1,MAX(1,ROW()-$C$7),0,MIN($C$7,ROW()-1),1)),0))</f>
        <v>1.3798246035487813</v>
      </c>
      <c r="BY512">
        <f t="shared" ca="1" si="216"/>
        <v>0</v>
      </c>
      <c r="BZ512" t="str">
        <f ca="1">IF(BY512=1,IF(INDEX(分析データ!$A:$A,ROW()+$C$5)&lt;&gt;"",40000*SIGN(BX512)*(分析データ!G512-INDEX(分析データ!G:G,ROW()+$C$5)),""),"")</f>
        <v/>
      </c>
      <c r="CA512">
        <f t="shared" ca="1" si="217"/>
        <v>7853552.856445305</v>
      </c>
      <c r="CB512">
        <f t="shared" ca="1" si="218"/>
        <v>7853552.856445305</v>
      </c>
      <c r="CC512">
        <f t="shared" ca="1" si="219"/>
        <v>0</v>
      </c>
      <c r="CD512">
        <f t="shared" ca="1" si="220"/>
        <v>160000.0000000037</v>
      </c>
      <c r="CE512">
        <f t="shared" ca="1" si="221"/>
        <v>4340752.8564453414</v>
      </c>
      <c r="CF512">
        <f t="shared" ca="1" si="222"/>
        <v>6770475.7177734533</v>
      </c>
      <c r="CG512">
        <f t="shared" ca="1" si="223"/>
        <v>-2429722.861328112</v>
      </c>
      <c r="CH512" s="10">
        <f>分析データ!A512</f>
        <v>45673</v>
      </c>
    </row>
    <row r="513" spans="46:86">
      <c r="AT513">
        <f ca="1">IF(ROW()&lt;($C$7+1),"",IFERROR((分析データ!B513-AVERAGE(OFFSET(分析データ!B$1,MAX(1,ROW()-$C$7),0,MIN($C$7,ROW()-1),1)))/STDEV(OFFSET(分析データ!B$1,MAX(1,ROW()-$C$7),0,MIN($C$7,ROW()-1),1)),0))</f>
        <v>2.0655698373498281</v>
      </c>
      <c r="AU513">
        <f t="shared" ca="1" si="196"/>
        <v>1</v>
      </c>
      <c r="AV513">
        <f ca="1">IF(AU513=1,IF(INDEX(分析データ!$A:$A,ROW()+$C$5)&lt;&gt;"",80000*SIGN(AT513)*(分析データ!B513-INDEX(分析データ!B:B,ROW()+$C$5)),""),"")</f>
        <v>240000.00000000198</v>
      </c>
      <c r="AW513">
        <f t="shared" ca="1" si="197"/>
        <v>-6719999.9999999916</v>
      </c>
      <c r="AX513">
        <f t="shared" ca="1" si="198"/>
        <v>0</v>
      </c>
      <c r="AY513">
        <f t="shared" ca="1" si="199"/>
        <v>-6719999.9999999916</v>
      </c>
      <c r="AZ513">
        <f ca="1">IF(ROW()&lt;($C$7+1),"",IFERROR((分析データ!C513-AVERAGE(OFFSET(分析データ!C$1,MAX(1,ROW()-$C$7),0,MIN($C$7,ROW()-1),1)))/STDEV(OFFSET(分析データ!C$1,MAX(1,ROW()-$C$7),0,MIN($C$7,ROW()-1),1)),0))</f>
        <v>-0.28621217919480524</v>
      </c>
      <c r="BA513">
        <f t="shared" ca="1" si="200"/>
        <v>0</v>
      </c>
      <c r="BB513" t="str">
        <f ca="1">IF(BA513=1,IF(INDEX(分析データ!$A:$A,ROW()+$C$5)&lt;&gt;"",60000*SIGN(AZ513)*(分析データ!C513-INDEX(分析データ!C:C,ROW()+$C$5)),""),"")</f>
        <v/>
      </c>
      <c r="BC513">
        <f t="shared" ca="1" si="201"/>
        <v>1602000.0000000072</v>
      </c>
      <c r="BD513">
        <f t="shared" ca="1" si="202"/>
        <v>1602000.0000000072</v>
      </c>
      <c r="BE513">
        <f t="shared" ca="1" si="203"/>
        <v>0</v>
      </c>
      <c r="BF513">
        <f ca="1">IF(ROW()&lt;($C$7+1),"",IFERROR((分析データ!D513-AVERAGE(OFFSET(分析データ!D$1,MAX(1,ROW()-$C$7),0,MIN($C$7,ROW()-1),1)))/STDEV(OFFSET(分析データ!D$1,MAX(1,ROW()-$C$7),0,MIN($C$7,ROW()-1),1)),0))</f>
        <v>0.38451160830608166</v>
      </c>
      <c r="BG513">
        <f t="shared" ca="1" si="204"/>
        <v>0</v>
      </c>
      <c r="BH513" t="str">
        <f ca="1">IF(BG513=1,IF(INDEX(分析データ!$A:$A,ROW()+$C$5)&lt;&gt;"",50000*SIGN(BF513)*(分析データ!D513-INDEX(分析データ!D:D,ROW()+$C$5)),""),"")</f>
        <v/>
      </c>
      <c r="BI513">
        <f t="shared" ca="1" si="205"/>
        <v>-779999.99999999418</v>
      </c>
      <c r="BJ513">
        <f t="shared" ca="1" si="206"/>
        <v>1695000.0000000016</v>
      </c>
      <c r="BK513">
        <f t="shared" ca="1" si="207"/>
        <v>-2474999.9999999958</v>
      </c>
      <c r="BL513">
        <f ca="1">IF(ROW()&lt;($C$7+1),"",IFERROR((分析データ!E513-AVERAGE(OFFSET(分析データ!E$1,MAX(1,ROW()-$C$7),0,MIN($C$7,ROW()-1),1)))/STDEV(OFFSET(分析データ!E$1,MAX(1,ROW()-$C$7),0,MIN($C$7,ROW()-1),1)),0))</f>
        <v>1.1448258785077805</v>
      </c>
      <c r="BM513">
        <f t="shared" ca="1" si="208"/>
        <v>0</v>
      </c>
      <c r="BN513" t="str">
        <f ca="1">IF(BM513=1,IF(INDEX(分析データ!$A:$A,ROW()+$C$5)&lt;&gt;"",40000*SIGN(BL513)*(分析データ!E513-INDEX(分析データ!E:E,ROW()+$C$5)),""),"")</f>
        <v/>
      </c>
      <c r="BO513">
        <f t="shared" ca="1" si="209"/>
        <v>1320000.0000000075</v>
      </c>
      <c r="BP513">
        <f t="shared" ca="1" si="210"/>
        <v>1320000.0000000075</v>
      </c>
      <c r="BQ513">
        <f t="shared" ca="1" si="211"/>
        <v>0</v>
      </c>
      <c r="BR513">
        <f ca="1">IF(ROW()&lt;($C$7+1),"",IFERROR((分析データ!F513-AVERAGE(OFFSET(分析データ!F$1,MAX(1,ROW()-$C$7),0,MIN($C$7,ROW()-1),1)))/STDEV(OFFSET(分析データ!F$1,MAX(1,ROW()-$C$7),0,MIN($C$7,ROW()-1),1)),0))</f>
        <v>-1.8830593984323931</v>
      </c>
      <c r="BS513">
        <f t="shared" ca="1" si="212"/>
        <v>0</v>
      </c>
      <c r="BT513" t="str">
        <f ca="1">IF(BS513=1,IF(INDEX(分析データ!$A:$A,ROW()+$C$5)&lt;&gt;"",40000*SIGN(BR513)*(分析データ!F513-INDEX(分析データ!F:F,ROW()+$C$5)),""),"")</f>
        <v/>
      </c>
      <c r="BU513">
        <f t="shared" ca="1" si="213"/>
        <v>1305200.0000000021</v>
      </c>
      <c r="BV513">
        <f t="shared" ca="1" si="214"/>
        <v>1305200.0000000021</v>
      </c>
      <c r="BW513">
        <f t="shared" ca="1" si="215"/>
        <v>0</v>
      </c>
      <c r="BX513">
        <f ca="1">IF(ROW()&lt;($C$7+1),"",IFERROR((分析データ!G513-AVERAGE(OFFSET(分析データ!G$1,MAX(1,ROW()-$C$7),0,MIN($C$7,ROW()-1),1)))/STDEV(OFFSET(分析データ!G$1,MAX(1,ROW()-$C$7),0,MIN($C$7,ROW()-1),1)),0))</f>
        <v>1.6772516632855428</v>
      </c>
      <c r="BY513">
        <f t="shared" ca="1" si="216"/>
        <v>0</v>
      </c>
      <c r="BZ513" t="str">
        <f ca="1">IF(BY513=1,IF(INDEX(分析データ!$A:$A,ROW()+$C$5)&lt;&gt;"",40000*SIGN(BX513)*(分析データ!G513-INDEX(分析データ!G:G,ROW()+$C$5)),""),"")</f>
        <v/>
      </c>
      <c r="CA513">
        <f t="shared" ca="1" si="217"/>
        <v>7853552.856445305</v>
      </c>
      <c r="CB513">
        <f t="shared" ca="1" si="218"/>
        <v>7853552.856445305</v>
      </c>
      <c r="CC513">
        <f t="shared" ca="1" si="219"/>
        <v>0</v>
      </c>
      <c r="CD513">
        <f t="shared" ca="1" si="220"/>
        <v>240000.00000000198</v>
      </c>
      <c r="CE513">
        <f t="shared" ca="1" si="221"/>
        <v>4580752.8564453432</v>
      </c>
      <c r="CF513">
        <f t="shared" ca="1" si="222"/>
        <v>6770475.7177734533</v>
      </c>
      <c r="CG513">
        <f t="shared" ca="1" si="223"/>
        <v>-2189722.8613281101</v>
      </c>
      <c r="CH513" s="10">
        <f>分析データ!A513</f>
        <v>45674</v>
      </c>
    </row>
    <row r="514" spans="46:86">
      <c r="AT514">
        <f ca="1">IF(ROW()&lt;($C$7+1),"",IFERROR((分析データ!B514-AVERAGE(OFFSET(分析データ!B$1,MAX(1,ROW()-$C$7),0,MIN($C$7,ROW()-1),1)))/STDEV(OFFSET(分析データ!B$1,MAX(1,ROW()-$C$7),0,MIN($C$7,ROW()-1),1)),0))</f>
        <v>1.7673040409736627</v>
      </c>
      <c r="AU514">
        <f t="shared" ref="AU514:AU577" ca="1" si="224">IF(ISNUMBER(AT514),IF(ABS(AT514)&gt;=$C$6,1,0),0)</f>
        <v>0</v>
      </c>
      <c r="AV514" t="str">
        <f ca="1">IF(AU514=1,IF(INDEX(分析データ!$A:$A,ROW()+$C$5)&lt;&gt;"",80000*SIGN(AT514)*(分析データ!B514-INDEX(分析データ!B:B,ROW()+$C$5)),""),"")</f>
        <v/>
      </c>
      <c r="AW514">
        <f t="shared" ref="AW514:AW577" ca="1" si="225">AW513+IF(AND(AU514=1,ISNUMBER(AV514)),AV514,0)</f>
        <v>-6719999.9999999916</v>
      </c>
      <c r="AX514">
        <f t="shared" ref="AX514:AX577" ca="1" si="226">MAX(AX513,AW514)</f>
        <v>0</v>
      </c>
      <c r="AY514">
        <f t="shared" ref="AY514:AY577" ca="1" si="227">AW514-AX514</f>
        <v>-6719999.9999999916</v>
      </c>
      <c r="AZ514">
        <f ca="1">IF(ROW()&lt;($C$7+1),"",IFERROR((分析データ!C514-AVERAGE(OFFSET(分析データ!C$1,MAX(1,ROW()-$C$7),0,MIN($C$7,ROW()-1),1)))/STDEV(OFFSET(分析データ!C$1,MAX(1,ROW()-$C$7),0,MIN($C$7,ROW()-1),1)),0))</f>
        <v>-0.15949946237207951</v>
      </c>
      <c r="BA514">
        <f t="shared" ref="BA514:BA577" ca="1" si="228">IF(ISNUMBER(AZ514),IF(ABS(AZ514)&gt;=$C$6,1,0),0)</f>
        <v>0</v>
      </c>
      <c r="BB514" t="str">
        <f ca="1">IF(BA514=1,IF(INDEX(分析データ!$A:$A,ROW()+$C$5)&lt;&gt;"",60000*SIGN(AZ514)*(分析データ!C514-INDEX(分析データ!C:C,ROW()+$C$5)),""),"")</f>
        <v/>
      </c>
      <c r="BC514">
        <f t="shared" ref="BC514:BC577" ca="1" si="229">BC513+IF(AND(BA514=1,ISNUMBER(BB514)),BB514,0)</f>
        <v>1602000.0000000072</v>
      </c>
      <c r="BD514">
        <f t="shared" ref="BD514:BD577" ca="1" si="230">MAX(BD513,BC514)</f>
        <v>1602000.0000000072</v>
      </c>
      <c r="BE514">
        <f t="shared" ref="BE514:BE577" ca="1" si="231">BC514-BD514</f>
        <v>0</v>
      </c>
      <c r="BF514">
        <f ca="1">IF(ROW()&lt;($C$7+1),"",IFERROR((分析データ!D514-AVERAGE(OFFSET(分析データ!D$1,MAX(1,ROW()-$C$7),0,MIN($C$7,ROW()-1),1)))/STDEV(OFFSET(分析データ!D$1,MAX(1,ROW()-$C$7),0,MIN($C$7,ROW()-1),1)),0))</f>
        <v>0.27902564207811059</v>
      </c>
      <c r="BG514">
        <f t="shared" ref="BG514:BG577" ca="1" si="232">IF(ISNUMBER(BF514),IF(ABS(BF514)&gt;=$C$6,1,0),0)</f>
        <v>0</v>
      </c>
      <c r="BH514" t="str">
        <f ca="1">IF(BG514=1,IF(INDEX(分析データ!$A:$A,ROW()+$C$5)&lt;&gt;"",50000*SIGN(BF514)*(分析データ!D514-INDEX(分析データ!D:D,ROW()+$C$5)),""),"")</f>
        <v/>
      </c>
      <c r="BI514">
        <f t="shared" ref="BI514:BI577" ca="1" si="233">BI513+IF(AND(BG514=1,ISNUMBER(BH514)),BH514,0)</f>
        <v>-779999.99999999418</v>
      </c>
      <c r="BJ514">
        <f t="shared" ref="BJ514:BJ577" ca="1" si="234">MAX(BJ513,BI514)</f>
        <v>1695000.0000000016</v>
      </c>
      <c r="BK514">
        <f t="shared" ref="BK514:BK577" ca="1" si="235">BI514-BJ514</f>
        <v>-2474999.9999999958</v>
      </c>
      <c r="BL514">
        <f ca="1">IF(ROW()&lt;($C$7+1),"",IFERROR((分析データ!E514-AVERAGE(OFFSET(分析データ!E$1,MAX(1,ROW()-$C$7),0,MIN($C$7,ROW()-1),1)))/STDEV(OFFSET(分析データ!E$1,MAX(1,ROW()-$C$7),0,MIN($C$7,ROW()-1),1)),0))</f>
        <v>0.91336430894410336</v>
      </c>
      <c r="BM514">
        <f t="shared" ref="BM514:BM577" ca="1" si="236">IF(ISNUMBER(BL514),IF(ABS(BL514)&gt;=$C$6,1,0),0)</f>
        <v>0</v>
      </c>
      <c r="BN514" t="str">
        <f ca="1">IF(BM514=1,IF(INDEX(分析データ!$A:$A,ROW()+$C$5)&lt;&gt;"",40000*SIGN(BL514)*(分析データ!E514-INDEX(分析データ!E:E,ROW()+$C$5)),""),"")</f>
        <v/>
      </c>
      <c r="BO514">
        <f t="shared" ref="BO514:BO577" ca="1" si="237">BO513+IF(AND(BM514=1,ISNUMBER(BN514)),BN514,0)</f>
        <v>1320000.0000000075</v>
      </c>
      <c r="BP514">
        <f t="shared" ref="BP514:BP577" ca="1" si="238">MAX(BP513,BO514)</f>
        <v>1320000.0000000075</v>
      </c>
      <c r="BQ514">
        <f t="shared" ref="BQ514:BQ577" ca="1" si="239">BO514-BP514</f>
        <v>0</v>
      </c>
      <c r="BR514">
        <f ca="1">IF(ROW()&lt;($C$7+1),"",IFERROR((分析データ!F514-AVERAGE(OFFSET(分析データ!F$1,MAX(1,ROW()-$C$7),0,MIN($C$7,ROW()-1),1)))/STDEV(OFFSET(分析データ!F$1,MAX(1,ROW()-$C$7),0,MIN($C$7,ROW()-1),1)),0))</f>
        <v>-1.9393341613442576</v>
      </c>
      <c r="BS514">
        <f t="shared" ref="BS514:BS577" ca="1" si="240">IF(ISNUMBER(BR514),IF(ABS(BR514)&gt;=$C$6,1,0),0)</f>
        <v>0</v>
      </c>
      <c r="BT514" t="str">
        <f ca="1">IF(BS514=1,IF(INDEX(分析データ!$A:$A,ROW()+$C$5)&lt;&gt;"",40000*SIGN(BR514)*(分析データ!F514-INDEX(分析データ!F:F,ROW()+$C$5)),""),"")</f>
        <v/>
      </c>
      <c r="BU514">
        <f t="shared" ref="BU514:BU577" ca="1" si="241">BU513+IF(AND(BS514=1,ISNUMBER(BT514)),BT514,0)</f>
        <v>1305200.0000000021</v>
      </c>
      <c r="BV514">
        <f t="shared" ref="BV514:BV577" ca="1" si="242">MAX(BV513,BU514)</f>
        <v>1305200.0000000021</v>
      </c>
      <c r="BW514">
        <f t="shared" ref="BW514:BW577" ca="1" si="243">BU514-BV514</f>
        <v>0</v>
      </c>
      <c r="BX514">
        <f ca="1">IF(ROW()&lt;($C$7+1),"",IFERROR((分析データ!G514-AVERAGE(OFFSET(分析データ!G$1,MAX(1,ROW()-$C$7),0,MIN($C$7,ROW()-1),1)))/STDEV(OFFSET(分析データ!G$1,MAX(1,ROW()-$C$7),0,MIN($C$7,ROW()-1),1)),0))</f>
        <v>1.6127247580886785</v>
      </c>
      <c r="BY514">
        <f t="shared" ref="BY514:BY577" ca="1" si="244">IF(ISNUMBER(BX514),IF(ABS(BX514)&gt;=$C$6,1,0),0)</f>
        <v>0</v>
      </c>
      <c r="BZ514" t="str">
        <f ca="1">IF(BY514=1,IF(INDEX(分析データ!$A:$A,ROW()+$C$5)&lt;&gt;"",40000*SIGN(BX514)*(分析データ!G514-INDEX(分析データ!G:G,ROW()+$C$5)),""),"")</f>
        <v/>
      </c>
      <c r="CA514">
        <f t="shared" ref="CA514:CA577" ca="1" si="245">CA513+IF(AND(BY514=1,ISNUMBER(BZ514)),BZ514,0)</f>
        <v>7853552.856445305</v>
      </c>
      <c r="CB514">
        <f t="shared" ref="CB514:CB577" ca="1" si="246">MAX(CB513,CA514)</f>
        <v>7853552.856445305</v>
      </c>
      <c r="CC514">
        <f t="shared" ref="CC514:CC577" ca="1" si="247">CA514-CB514</f>
        <v>0</v>
      </c>
      <c r="CD514">
        <f t="shared" ref="CD514:CD577" ca="1" si="248">N(AV514)+N(BB514)+N(BH514)+N(BN514)+N(BT514)+N(BZ514)</f>
        <v>0</v>
      </c>
      <c r="CE514">
        <f t="shared" ref="CE514:CE577" ca="1" si="249">CE513+CD514</f>
        <v>4580752.8564453432</v>
      </c>
      <c r="CF514">
        <f t="shared" ref="CF514:CF577" ca="1" si="250">MAX(CF513,CE514)</f>
        <v>6770475.7177734533</v>
      </c>
      <c r="CG514">
        <f t="shared" ref="CG514:CG577" ca="1" si="251">CE514-CF514</f>
        <v>-2189722.8613281101</v>
      </c>
      <c r="CH514" s="10">
        <f>分析データ!A514</f>
        <v>45678</v>
      </c>
    </row>
    <row r="515" spans="46:86">
      <c r="AT515">
        <f ca="1">IF(ROW()&lt;($C$7+1),"",IFERROR((分析データ!B515-AVERAGE(OFFSET(分析データ!B$1,MAX(1,ROW()-$C$7),0,MIN($C$7,ROW()-1),1)))/STDEV(OFFSET(分析データ!B$1,MAX(1,ROW()-$C$7),0,MIN($C$7,ROW()-1),1)),0))</f>
        <v>1.9289346159694536</v>
      </c>
      <c r="AU515">
        <f t="shared" ca="1" si="224"/>
        <v>0</v>
      </c>
      <c r="AV515" t="str">
        <f ca="1">IF(AU515=1,IF(INDEX(分析データ!$A:$A,ROW()+$C$5)&lt;&gt;"",80000*SIGN(AT515)*(分析データ!B515-INDEX(分析データ!B:B,ROW()+$C$5)),""),"")</f>
        <v/>
      </c>
      <c r="AW515">
        <f t="shared" ca="1" si="225"/>
        <v>-6719999.9999999916</v>
      </c>
      <c r="AX515">
        <f t="shared" ca="1" si="226"/>
        <v>0</v>
      </c>
      <c r="AY515">
        <f t="shared" ca="1" si="227"/>
        <v>-6719999.9999999916</v>
      </c>
      <c r="AZ515">
        <f ca="1">IF(ROW()&lt;($C$7+1),"",IFERROR((分析データ!C515-AVERAGE(OFFSET(分析データ!C$1,MAX(1,ROW()-$C$7),0,MIN($C$7,ROW()-1),1)))/STDEV(OFFSET(分析データ!C$1,MAX(1,ROW()-$C$7),0,MIN($C$7,ROW()-1),1)),0))</f>
        <v>-0.1146458504673718</v>
      </c>
      <c r="BA515">
        <f t="shared" ca="1" si="228"/>
        <v>0</v>
      </c>
      <c r="BB515" t="str">
        <f ca="1">IF(BA515=1,IF(INDEX(分析データ!$A:$A,ROW()+$C$5)&lt;&gt;"",60000*SIGN(AZ515)*(分析データ!C515-INDEX(分析データ!C:C,ROW()+$C$5)),""),"")</f>
        <v/>
      </c>
      <c r="BC515">
        <f t="shared" ca="1" si="229"/>
        <v>1602000.0000000072</v>
      </c>
      <c r="BD515">
        <f t="shared" ca="1" si="230"/>
        <v>1602000.0000000072</v>
      </c>
      <c r="BE515">
        <f t="shared" ca="1" si="231"/>
        <v>0</v>
      </c>
      <c r="BF515">
        <f ca="1">IF(ROW()&lt;($C$7+1),"",IFERROR((分析データ!D515-AVERAGE(OFFSET(分析データ!D$1,MAX(1,ROW()-$C$7),0,MIN($C$7,ROW()-1),1)))/STDEV(OFFSET(分析データ!D$1,MAX(1,ROW()-$C$7),0,MIN($C$7,ROW()-1),1)),0))</f>
        <v>0.35641990505226101</v>
      </c>
      <c r="BG515">
        <f t="shared" ca="1" si="232"/>
        <v>0</v>
      </c>
      <c r="BH515" t="str">
        <f ca="1">IF(BG515=1,IF(INDEX(分析データ!$A:$A,ROW()+$C$5)&lt;&gt;"",50000*SIGN(BF515)*(分析データ!D515-INDEX(分析データ!D:D,ROW()+$C$5)),""),"")</f>
        <v/>
      </c>
      <c r="BI515">
        <f t="shared" ca="1" si="233"/>
        <v>-779999.99999999418</v>
      </c>
      <c r="BJ515">
        <f t="shared" ca="1" si="234"/>
        <v>1695000.0000000016</v>
      </c>
      <c r="BK515">
        <f t="shared" ca="1" si="235"/>
        <v>-2474999.9999999958</v>
      </c>
      <c r="BL515">
        <f ca="1">IF(ROW()&lt;($C$7+1),"",IFERROR((分析データ!E515-AVERAGE(OFFSET(分析データ!E$1,MAX(1,ROW()-$C$7),0,MIN($C$7,ROW()-1),1)))/STDEV(OFFSET(分析データ!E$1,MAX(1,ROW()-$C$7),0,MIN($C$7,ROW()-1),1)),0))</f>
        <v>0.90875505562965431</v>
      </c>
      <c r="BM515">
        <f t="shared" ca="1" si="236"/>
        <v>0</v>
      </c>
      <c r="BN515" t="str">
        <f ca="1">IF(BM515=1,IF(INDEX(分析データ!$A:$A,ROW()+$C$5)&lt;&gt;"",40000*SIGN(BL515)*(分析データ!E515-INDEX(分析データ!E:E,ROW()+$C$5)),""),"")</f>
        <v/>
      </c>
      <c r="BO515">
        <f t="shared" ca="1" si="237"/>
        <v>1320000.0000000075</v>
      </c>
      <c r="BP515">
        <f t="shared" ca="1" si="238"/>
        <v>1320000.0000000075</v>
      </c>
      <c r="BQ515">
        <f t="shared" ca="1" si="239"/>
        <v>0</v>
      </c>
      <c r="BR515">
        <f ca="1">IF(ROW()&lt;($C$7+1),"",IFERROR((分析データ!F515-AVERAGE(OFFSET(分析データ!F$1,MAX(1,ROW()-$C$7),0,MIN($C$7,ROW()-1),1)))/STDEV(OFFSET(分析データ!F$1,MAX(1,ROW()-$C$7),0,MIN($C$7,ROW()-1),1)),0))</f>
        <v>-2.253526580148089</v>
      </c>
      <c r="BS515">
        <f t="shared" ca="1" si="240"/>
        <v>1</v>
      </c>
      <c r="BT515">
        <f ca="1">IF(BS515=1,IF(INDEX(分析データ!$A:$A,ROW()+$C$5)&lt;&gt;"",40000*SIGN(BR515)*(分析データ!F515-INDEX(分析データ!F:F,ROW()+$C$5)),""),"")</f>
        <v>951199.99999999895</v>
      </c>
      <c r="BU515">
        <f t="shared" ca="1" si="241"/>
        <v>2256400.0000000009</v>
      </c>
      <c r="BV515">
        <f t="shared" ca="1" si="242"/>
        <v>2256400.0000000009</v>
      </c>
      <c r="BW515">
        <f t="shared" ca="1" si="243"/>
        <v>0</v>
      </c>
      <c r="BX515">
        <f ca="1">IF(ROW()&lt;($C$7+1),"",IFERROR((分析データ!G515-AVERAGE(OFFSET(分析データ!G$1,MAX(1,ROW()-$C$7),0,MIN($C$7,ROW()-1),1)))/STDEV(OFFSET(分析データ!G$1,MAX(1,ROW()-$C$7),0,MIN($C$7,ROW()-1),1)),0))</f>
        <v>1.7290602871292007</v>
      </c>
      <c r="BY515">
        <f t="shared" ca="1" si="244"/>
        <v>0</v>
      </c>
      <c r="BZ515" t="str">
        <f ca="1">IF(BY515=1,IF(INDEX(分析データ!$A:$A,ROW()+$C$5)&lt;&gt;"",40000*SIGN(BX515)*(分析データ!G515-INDEX(分析データ!G:G,ROW()+$C$5)),""),"")</f>
        <v/>
      </c>
      <c r="CA515">
        <f t="shared" ca="1" si="245"/>
        <v>7853552.856445305</v>
      </c>
      <c r="CB515">
        <f t="shared" ca="1" si="246"/>
        <v>7853552.856445305</v>
      </c>
      <c r="CC515">
        <f t="shared" ca="1" si="247"/>
        <v>0</v>
      </c>
      <c r="CD515">
        <f t="shared" ca="1" si="248"/>
        <v>951199.99999999895</v>
      </c>
      <c r="CE515">
        <f t="shared" ca="1" si="249"/>
        <v>5531952.8564453423</v>
      </c>
      <c r="CF515">
        <f t="shared" ca="1" si="250"/>
        <v>6770475.7177734533</v>
      </c>
      <c r="CG515">
        <f t="shared" ca="1" si="251"/>
        <v>-1238522.861328111</v>
      </c>
      <c r="CH515" s="10">
        <f>分析データ!A515</f>
        <v>45679</v>
      </c>
    </row>
    <row r="516" spans="46:86">
      <c r="AT516">
        <f ca="1">IF(ROW()&lt;($C$7+1),"",IFERROR((分析データ!B516-AVERAGE(OFFSET(分析データ!B$1,MAX(1,ROW()-$C$7),0,MIN($C$7,ROW()-1),1)))/STDEV(OFFSET(分析データ!B$1,MAX(1,ROW()-$C$7),0,MIN($C$7,ROW()-1),1)),0))</f>
        <v>2.1293932494283077</v>
      </c>
      <c r="AU516">
        <f t="shared" ca="1" si="224"/>
        <v>1</v>
      </c>
      <c r="AV516">
        <f ca="1">IF(AU516=1,IF(INDEX(分析データ!$A:$A,ROW()+$C$5)&lt;&gt;"",80000*SIGN(AT516)*(分析データ!B516-INDEX(分析データ!B:B,ROW()+$C$5)),""),"")</f>
        <v>399999.9999999986</v>
      </c>
      <c r="AW516">
        <f t="shared" ca="1" si="225"/>
        <v>-6319999.9999999925</v>
      </c>
      <c r="AX516">
        <f t="shared" ca="1" si="226"/>
        <v>0</v>
      </c>
      <c r="AY516">
        <f t="shared" ca="1" si="227"/>
        <v>-6319999.9999999925</v>
      </c>
      <c r="AZ516">
        <f ca="1">IF(ROW()&lt;($C$7+1),"",IFERROR((分析データ!C516-AVERAGE(OFFSET(分析データ!C$1,MAX(1,ROW()-$C$7),0,MIN($C$7,ROW()-1),1)))/STDEV(OFFSET(分析データ!C$1,MAX(1,ROW()-$C$7),0,MIN($C$7,ROW()-1),1)),0))</f>
        <v>-6.1964802329250571E-2</v>
      </c>
      <c r="BA516">
        <f t="shared" ca="1" si="228"/>
        <v>0</v>
      </c>
      <c r="BB516" t="str">
        <f ca="1">IF(BA516=1,IF(INDEX(分析データ!$A:$A,ROW()+$C$5)&lt;&gt;"",60000*SIGN(AZ516)*(分析データ!C516-INDEX(分析データ!C:C,ROW()+$C$5)),""),"")</f>
        <v/>
      </c>
      <c r="BC516">
        <f t="shared" ca="1" si="229"/>
        <v>1602000.0000000072</v>
      </c>
      <c r="BD516">
        <f t="shared" ca="1" si="230"/>
        <v>1602000.0000000072</v>
      </c>
      <c r="BE516">
        <f t="shared" ca="1" si="231"/>
        <v>0</v>
      </c>
      <c r="BF516">
        <f ca="1">IF(ROW()&lt;($C$7+1),"",IFERROR((分析データ!D516-AVERAGE(OFFSET(分析データ!D$1,MAX(1,ROW()-$C$7),0,MIN($C$7,ROW()-1),1)))/STDEV(OFFSET(分析データ!D$1,MAX(1,ROW()-$C$7),0,MIN($C$7,ROW()-1),1)),0))</f>
        <v>0.51686179376643493</v>
      </c>
      <c r="BG516">
        <f t="shared" ca="1" si="232"/>
        <v>0</v>
      </c>
      <c r="BH516" t="str">
        <f ca="1">IF(BG516=1,IF(INDEX(分析データ!$A:$A,ROW()+$C$5)&lt;&gt;"",50000*SIGN(BF516)*(分析データ!D516-INDEX(分析データ!D:D,ROW()+$C$5)),""),"")</f>
        <v/>
      </c>
      <c r="BI516">
        <f t="shared" ca="1" si="233"/>
        <v>-779999.99999999418</v>
      </c>
      <c r="BJ516">
        <f t="shared" ca="1" si="234"/>
        <v>1695000.0000000016</v>
      </c>
      <c r="BK516">
        <f t="shared" ca="1" si="235"/>
        <v>-2474999.9999999958</v>
      </c>
      <c r="BL516">
        <f ca="1">IF(ROW()&lt;($C$7+1),"",IFERROR((分析データ!E516-AVERAGE(OFFSET(分析データ!E$1,MAX(1,ROW()-$C$7),0,MIN($C$7,ROW()-1),1)))/STDEV(OFFSET(分析データ!E$1,MAX(1,ROW()-$C$7),0,MIN($C$7,ROW()-1),1)),0))</f>
        <v>1.2370279585739541</v>
      </c>
      <c r="BM516">
        <f t="shared" ca="1" si="236"/>
        <v>0</v>
      </c>
      <c r="BN516" t="str">
        <f ca="1">IF(BM516=1,IF(INDEX(分析データ!$A:$A,ROW()+$C$5)&lt;&gt;"",40000*SIGN(BL516)*(分析データ!E516-INDEX(分析データ!E:E,ROW()+$C$5)),""),"")</f>
        <v/>
      </c>
      <c r="BO516">
        <f t="shared" ca="1" si="237"/>
        <v>1320000.0000000075</v>
      </c>
      <c r="BP516">
        <f t="shared" ca="1" si="238"/>
        <v>1320000.0000000075</v>
      </c>
      <c r="BQ516">
        <f t="shared" ca="1" si="239"/>
        <v>0</v>
      </c>
      <c r="BR516">
        <f ca="1">IF(ROW()&lt;($C$7+1),"",IFERROR((分析データ!F516-AVERAGE(OFFSET(分析データ!F$1,MAX(1,ROW()-$C$7),0,MIN($C$7,ROW()-1),1)))/STDEV(OFFSET(分析データ!F$1,MAX(1,ROW()-$C$7),0,MIN($C$7,ROW()-1),1)),0))</f>
        <v>-2.474413514370859</v>
      </c>
      <c r="BS516">
        <f t="shared" ca="1" si="240"/>
        <v>1</v>
      </c>
      <c r="BT516">
        <f ca="1">IF(BS516=1,IF(INDEX(分析データ!$A:$A,ROW()+$C$5)&lt;&gt;"",40000*SIGN(BR516)*(分析データ!F516-INDEX(分析データ!F:F,ROW()+$C$5)),""),"")</f>
        <v>905999.99999999686</v>
      </c>
      <c r="BU516">
        <f t="shared" ca="1" si="241"/>
        <v>3162399.9999999977</v>
      </c>
      <c r="BV516">
        <f t="shared" ca="1" si="242"/>
        <v>3162399.9999999977</v>
      </c>
      <c r="BW516">
        <f t="shared" ca="1" si="243"/>
        <v>0</v>
      </c>
      <c r="BX516">
        <f ca="1">IF(ROW()&lt;($C$7+1),"",IFERROR((分析データ!G516-AVERAGE(OFFSET(分析データ!G$1,MAX(1,ROW()-$C$7),0,MIN($C$7,ROW()-1),1)))/STDEV(OFFSET(分析データ!G$1,MAX(1,ROW()-$C$7),0,MIN($C$7,ROW()-1),1)),0))</f>
        <v>1.763001797439806</v>
      </c>
      <c r="BY516">
        <f t="shared" ca="1" si="244"/>
        <v>0</v>
      </c>
      <c r="BZ516" t="str">
        <f ca="1">IF(BY516=1,IF(INDEX(分析データ!$A:$A,ROW()+$C$5)&lt;&gt;"",40000*SIGN(BX516)*(分析データ!G516-INDEX(分析データ!G:G,ROW()+$C$5)),""),"")</f>
        <v/>
      </c>
      <c r="CA516">
        <f t="shared" ca="1" si="245"/>
        <v>7853552.856445305</v>
      </c>
      <c r="CB516">
        <f t="shared" ca="1" si="246"/>
        <v>7853552.856445305</v>
      </c>
      <c r="CC516">
        <f t="shared" ca="1" si="247"/>
        <v>0</v>
      </c>
      <c r="CD516">
        <f t="shared" ca="1" si="248"/>
        <v>1305999.9999999953</v>
      </c>
      <c r="CE516">
        <f t="shared" ca="1" si="249"/>
        <v>6837952.8564453376</v>
      </c>
      <c r="CF516">
        <f t="shared" ca="1" si="250"/>
        <v>6837952.8564453376</v>
      </c>
      <c r="CG516">
        <f t="shared" ca="1" si="251"/>
        <v>0</v>
      </c>
      <c r="CH516" s="10">
        <f>分析データ!A516</f>
        <v>45680</v>
      </c>
    </row>
    <row r="517" spans="46:86">
      <c r="AT517">
        <f ca="1">IF(ROW()&lt;($C$7+1),"",IFERROR((分析データ!B517-AVERAGE(OFFSET(分析データ!B$1,MAX(1,ROW()-$C$7),0,MIN($C$7,ROW()-1),1)))/STDEV(OFFSET(分析データ!B$1,MAX(1,ROW()-$C$7),0,MIN($C$7,ROW()-1),1)),0))</f>
        <v>2.1013439724416902</v>
      </c>
      <c r="AU517">
        <f t="shared" ca="1" si="224"/>
        <v>1</v>
      </c>
      <c r="AV517">
        <f ca="1">IF(AU517=1,IF(INDEX(分析データ!$A:$A,ROW()+$C$5)&lt;&gt;"",80000*SIGN(AT517)*(分析データ!B517-INDEX(分析データ!B:B,ROW()+$C$5)),""),"")</f>
        <v>560000.00000000233</v>
      </c>
      <c r="AW517">
        <f t="shared" ca="1" si="225"/>
        <v>-5759999.9999999907</v>
      </c>
      <c r="AX517">
        <f t="shared" ca="1" si="226"/>
        <v>0</v>
      </c>
      <c r="AY517">
        <f t="shared" ca="1" si="227"/>
        <v>-5759999.9999999907</v>
      </c>
      <c r="AZ517">
        <f ca="1">IF(ROW()&lt;($C$7+1),"",IFERROR((分析データ!C517-AVERAGE(OFFSET(分析データ!C$1,MAX(1,ROW()-$C$7),0,MIN($C$7,ROW()-1),1)))/STDEV(OFFSET(分析データ!C$1,MAX(1,ROW()-$C$7),0,MIN($C$7,ROW()-1),1)),0))</f>
        <v>0.13748319947880439</v>
      </c>
      <c r="BA517">
        <f t="shared" ca="1" si="228"/>
        <v>0</v>
      </c>
      <c r="BB517" t="str">
        <f ca="1">IF(BA517=1,IF(INDEX(分析データ!$A:$A,ROW()+$C$5)&lt;&gt;"",60000*SIGN(AZ517)*(分析データ!C517-INDEX(分析データ!C:C,ROW()+$C$5)),""),"")</f>
        <v/>
      </c>
      <c r="BC517">
        <f t="shared" ca="1" si="229"/>
        <v>1602000.0000000072</v>
      </c>
      <c r="BD517">
        <f t="shared" ca="1" si="230"/>
        <v>1602000.0000000072</v>
      </c>
      <c r="BE517">
        <f t="shared" ca="1" si="231"/>
        <v>0</v>
      </c>
      <c r="BF517">
        <f ca="1">IF(ROW()&lt;($C$7+1),"",IFERROR((分析データ!D517-AVERAGE(OFFSET(分析データ!D$1,MAX(1,ROW()-$C$7),0,MIN($C$7,ROW()-1),1)))/STDEV(OFFSET(分析データ!D$1,MAX(1,ROW()-$C$7),0,MIN($C$7,ROW()-1),1)),0))</f>
        <v>0.34642042339421364</v>
      </c>
      <c r="BG517">
        <f t="shared" ca="1" si="232"/>
        <v>0</v>
      </c>
      <c r="BH517" t="str">
        <f ca="1">IF(BG517=1,IF(INDEX(分析データ!$A:$A,ROW()+$C$5)&lt;&gt;"",50000*SIGN(BF517)*(分析データ!D517-INDEX(分析データ!D:D,ROW()+$C$5)),""),"")</f>
        <v/>
      </c>
      <c r="BI517">
        <f t="shared" ca="1" si="233"/>
        <v>-779999.99999999418</v>
      </c>
      <c r="BJ517">
        <f t="shared" ca="1" si="234"/>
        <v>1695000.0000000016</v>
      </c>
      <c r="BK517">
        <f t="shared" ca="1" si="235"/>
        <v>-2474999.9999999958</v>
      </c>
      <c r="BL517">
        <f ca="1">IF(ROW()&lt;($C$7+1),"",IFERROR((分析データ!E517-AVERAGE(OFFSET(分析データ!E$1,MAX(1,ROW()-$C$7),0,MIN($C$7,ROW()-1),1)))/STDEV(OFFSET(分析データ!E$1,MAX(1,ROW()-$C$7),0,MIN($C$7,ROW()-1),1)),0))</f>
        <v>1.2279920070757084</v>
      </c>
      <c r="BM517">
        <f t="shared" ca="1" si="236"/>
        <v>0</v>
      </c>
      <c r="BN517" t="str">
        <f ca="1">IF(BM517=1,IF(INDEX(分析データ!$A:$A,ROW()+$C$5)&lt;&gt;"",40000*SIGN(BL517)*(分析データ!E517-INDEX(分析データ!E:E,ROW()+$C$5)),""),"")</f>
        <v/>
      </c>
      <c r="BO517">
        <f t="shared" ca="1" si="237"/>
        <v>1320000.0000000075</v>
      </c>
      <c r="BP517">
        <f t="shared" ca="1" si="238"/>
        <v>1320000.0000000075</v>
      </c>
      <c r="BQ517">
        <f t="shared" ca="1" si="239"/>
        <v>0</v>
      </c>
      <c r="BR517">
        <f ca="1">IF(ROW()&lt;($C$7+1),"",IFERROR((分析データ!F517-AVERAGE(OFFSET(分析データ!F$1,MAX(1,ROW()-$C$7),0,MIN($C$7,ROW()-1),1)))/STDEV(OFFSET(分析データ!F$1,MAX(1,ROW()-$C$7),0,MIN($C$7,ROW()-1),1)),0))</f>
        <v>-2.1075267743317503</v>
      </c>
      <c r="BS517">
        <f t="shared" ca="1" si="240"/>
        <v>1</v>
      </c>
      <c r="BT517">
        <f ca="1">IF(BS517=1,IF(INDEX(分析データ!$A:$A,ROW()+$C$5)&lt;&gt;"",40000*SIGN(BR517)*(分析データ!F517-INDEX(分析データ!F:F,ROW()+$C$5)),""),"")</f>
        <v>372399.99999999779</v>
      </c>
      <c r="BU517">
        <f t="shared" ca="1" si="241"/>
        <v>3534799.9999999953</v>
      </c>
      <c r="BV517">
        <f t="shared" ca="1" si="242"/>
        <v>3534799.9999999953</v>
      </c>
      <c r="BW517">
        <f t="shared" ca="1" si="243"/>
        <v>0</v>
      </c>
      <c r="BX517">
        <f ca="1">IF(ROW()&lt;($C$7+1),"",IFERROR((分析データ!G517-AVERAGE(OFFSET(分析データ!G$1,MAX(1,ROW()-$C$7),0,MIN($C$7,ROW()-1),1)))/STDEV(OFFSET(分析データ!G$1,MAX(1,ROW()-$C$7),0,MIN($C$7,ROW()-1),1)),0))</f>
        <v>1.6176903892470014</v>
      </c>
      <c r="BY517">
        <f t="shared" ca="1" si="244"/>
        <v>0</v>
      </c>
      <c r="BZ517" t="str">
        <f ca="1">IF(BY517=1,IF(INDEX(分析データ!$A:$A,ROW()+$C$5)&lt;&gt;"",40000*SIGN(BX517)*(分析データ!G517-INDEX(分析データ!G:G,ROW()+$C$5)),""),"")</f>
        <v/>
      </c>
      <c r="CA517">
        <f t="shared" ca="1" si="245"/>
        <v>7853552.856445305</v>
      </c>
      <c r="CB517">
        <f t="shared" ca="1" si="246"/>
        <v>7853552.856445305</v>
      </c>
      <c r="CC517">
        <f t="shared" ca="1" si="247"/>
        <v>0</v>
      </c>
      <c r="CD517">
        <f t="shared" ca="1" si="248"/>
        <v>932400.00000000012</v>
      </c>
      <c r="CE517">
        <f t="shared" ca="1" si="249"/>
        <v>7770352.8564453376</v>
      </c>
      <c r="CF517">
        <f t="shared" ca="1" si="250"/>
        <v>7770352.8564453376</v>
      </c>
      <c r="CG517">
        <f t="shared" ca="1" si="251"/>
        <v>0</v>
      </c>
      <c r="CH517" s="10">
        <f>分析データ!A517</f>
        <v>45681</v>
      </c>
    </row>
    <row r="518" spans="46:86">
      <c r="AT518">
        <f ca="1">IF(ROW()&lt;($C$7+1),"",IFERROR((分析データ!B518-AVERAGE(OFFSET(分析データ!B$1,MAX(1,ROW()-$C$7),0,MIN($C$7,ROW()-1),1)))/STDEV(OFFSET(分析データ!B$1,MAX(1,ROW()-$C$7),0,MIN($C$7,ROW()-1),1)),0))</f>
        <v>2.0301816219944233</v>
      </c>
      <c r="AU518">
        <f t="shared" ca="1" si="224"/>
        <v>1</v>
      </c>
      <c r="AV518">
        <f ca="1">IF(AU518=1,IF(INDEX(分析データ!$A:$A,ROW()+$C$5)&lt;&gt;"",80000*SIGN(AT518)*(分析データ!B518-INDEX(分析データ!B:B,ROW()+$C$5)),""),"")</f>
        <v>400000.0000000057</v>
      </c>
      <c r="AW518">
        <f t="shared" ca="1" si="225"/>
        <v>-5359999.9999999851</v>
      </c>
      <c r="AX518">
        <f t="shared" ca="1" si="226"/>
        <v>0</v>
      </c>
      <c r="AY518">
        <f t="shared" ca="1" si="227"/>
        <v>-5359999.9999999851</v>
      </c>
      <c r="AZ518">
        <f ca="1">IF(ROW()&lt;($C$7+1),"",IFERROR((分析データ!C518-AVERAGE(OFFSET(分析データ!C$1,MAX(1,ROW()-$C$7),0,MIN($C$7,ROW()-1),1)))/STDEV(OFFSET(分析データ!C$1,MAX(1,ROW()-$C$7),0,MIN($C$7,ROW()-1),1)),0))</f>
        <v>9.8850952941518355E-2</v>
      </c>
      <c r="BA518">
        <f t="shared" ca="1" si="228"/>
        <v>0</v>
      </c>
      <c r="BB518" t="str">
        <f ca="1">IF(BA518=1,IF(INDEX(分析データ!$A:$A,ROW()+$C$5)&lt;&gt;"",60000*SIGN(AZ518)*(分析データ!C518-INDEX(分析データ!C:C,ROW()+$C$5)),""),"")</f>
        <v/>
      </c>
      <c r="BC518">
        <f t="shared" ca="1" si="229"/>
        <v>1602000.0000000072</v>
      </c>
      <c r="BD518">
        <f t="shared" ca="1" si="230"/>
        <v>1602000.0000000072</v>
      </c>
      <c r="BE518">
        <f t="shared" ca="1" si="231"/>
        <v>0</v>
      </c>
      <c r="BF518">
        <f ca="1">IF(ROW()&lt;($C$7+1),"",IFERROR((分析データ!D518-AVERAGE(OFFSET(分析データ!D$1,MAX(1,ROW()-$C$7),0,MIN($C$7,ROW()-1),1)))/STDEV(OFFSET(分析データ!D$1,MAX(1,ROW()-$C$7),0,MIN($C$7,ROW()-1),1)),0))</f>
        <v>2.1884842386003418E-3</v>
      </c>
      <c r="BG518">
        <f t="shared" ca="1" si="232"/>
        <v>0</v>
      </c>
      <c r="BH518" t="str">
        <f ca="1">IF(BG518=1,IF(INDEX(分析データ!$A:$A,ROW()+$C$5)&lt;&gt;"",50000*SIGN(BF518)*(分析データ!D518-INDEX(分析データ!D:D,ROW()+$C$5)),""),"")</f>
        <v/>
      </c>
      <c r="BI518">
        <f t="shared" ca="1" si="233"/>
        <v>-779999.99999999418</v>
      </c>
      <c r="BJ518">
        <f t="shared" ca="1" si="234"/>
        <v>1695000.0000000016</v>
      </c>
      <c r="BK518">
        <f t="shared" ca="1" si="235"/>
        <v>-2474999.9999999958</v>
      </c>
      <c r="BL518">
        <f ca="1">IF(ROW()&lt;($C$7+1),"",IFERROR((分析データ!E518-AVERAGE(OFFSET(分析データ!E$1,MAX(1,ROW()-$C$7),0,MIN($C$7,ROW()-1),1)))/STDEV(OFFSET(分析データ!E$1,MAX(1,ROW()-$C$7),0,MIN($C$7,ROW()-1),1)),0))</f>
        <v>1.3294476067095631</v>
      </c>
      <c r="BM518">
        <f t="shared" ca="1" si="236"/>
        <v>0</v>
      </c>
      <c r="BN518" t="str">
        <f ca="1">IF(BM518=1,IF(INDEX(分析データ!$A:$A,ROW()+$C$5)&lt;&gt;"",40000*SIGN(BL518)*(分析データ!E518-INDEX(分析データ!E:E,ROW()+$C$5)),""),"")</f>
        <v/>
      </c>
      <c r="BO518">
        <f t="shared" ca="1" si="237"/>
        <v>1320000.0000000075</v>
      </c>
      <c r="BP518">
        <f t="shared" ca="1" si="238"/>
        <v>1320000.0000000075</v>
      </c>
      <c r="BQ518">
        <f t="shared" ca="1" si="239"/>
        <v>0</v>
      </c>
      <c r="BR518">
        <f ca="1">IF(ROW()&lt;($C$7+1),"",IFERROR((分析データ!F518-AVERAGE(OFFSET(分析データ!F$1,MAX(1,ROW()-$C$7),0,MIN($C$7,ROW()-1),1)))/STDEV(OFFSET(分析データ!F$1,MAX(1,ROW()-$C$7),0,MIN($C$7,ROW()-1),1)),0))</f>
        <v>-1.4352947997075147</v>
      </c>
      <c r="BS518">
        <f t="shared" ca="1" si="240"/>
        <v>0</v>
      </c>
      <c r="BT518" t="str">
        <f ca="1">IF(BS518=1,IF(INDEX(分析データ!$A:$A,ROW()+$C$5)&lt;&gt;"",40000*SIGN(BR518)*(分析データ!F518-INDEX(分析データ!F:F,ROW()+$C$5)),""),"")</f>
        <v/>
      </c>
      <c r="BU518">
        <f t="shared" ca="1" si="241"/>
        <v>3534799.9999999953</v>
      </c>
      <c r="BV518">
        <f t="shared" ca="1" si="242"/>
        <v>3534799.9999999953</v>
      </c>
      <c r="BW518">
        <f t="shared" ca="1" si="243"/>
        <v>0</v>
      </c>
      <c r="BX518">
        <f ca="1">IF(ROW()&lt;($C$7+1),"",IFERROR((分析データ!G518-AVERAGE(OFFSET(分析データ!G$1,MAX(1,ROW()-$C$7),0,MIN($C$7,ROW()-1),1)))/STDEV(OFFSET(分析データ!G$1,MAX(1,ROW()-$C$7),0,MIN($C$7,ROW()-1),1)),0))</f>
        <v>1.3036695141423762</v>
      </c>
      <c r="BY518">
        <f t="shared" ca="1" si="244"/>
        <v>0</v>
      </c>
      <c r="BZ518" t="str">
        <f ca="1">IF(BY518=1,IF(INDEX(分析データ!$A:$A,ROW()+$C$5)&lt;&gt;"",40000*SIGN(BX518)*(分析データ!G518-INDEX(分析データ!G:G,ROW()+$C$5)),""),"")</f>
        <v/>
      </c>
      <c r="CA518">
        <f t="shared" ca="1" si="245"/>
        <v>7853552.856445305</v>
      </c>
      <c r="CB518">
        <f t="shared" ca="1" si="246"/>
        <v>7853552.856445305</v>
      </c>
      <c r="CC518">
        <f t="shared" ca="1" si="247"/>
        <v>0</v>
      </c>
      <c r="CD518">
        <f t="shared" ca="1" si="248"/>
        <v>400000.0000000057</v>
      </c>
      <c r="CE518">
        <f t="shared" ca="1" si="249"/>
        <v>8170352.8564453432</v>
      </c>
      <c r="CF518">
        <f t="shared" ca="1" si="250"/>
        <v>8170352.8564453432</v>
      </c>
      <c r="CG518">
        <f t="shared" ca="1" si="251"/>
        <v>0</v>
      </c>
      <c r="CH518" s="10">
        <f>分析データ!A518</f>
        <v>45684</v>
      </c>
    </row>
    <row r="519" spans="46:86">
      <c r="AT519">
        <f ca="1">IF(ROW()&lt;($C$7+1),"",IFERROR((分析データ!B519-AVERAGE(OFFSET(分析データ!B$1,MAX(1,ROW()-$C$7),0,MIN($C$7,ROW()-1),1)))/STDEV(OFFSET(分析データ!B$1,MAX(1,ROW()-$C$7),0,MIN($C$7,ROW()-1),1)),0))</f>
        <v>2.004984570305091</v>
      </c>
      <c r="AU519">
        <f t="shared" ca="1" si="224"/>
        <v>1</v>
      </c>
      <c r="AV519">
        <f ca="1">IF(AU519=1,IF(INDEX(分析データ!$A:$A,ROW()+$C$5)&lt;&gt;"",80000*SIGN(AT519)*(分析データ!B519-INDEX(分析データ!B:B,ROW()+$C$5)),""),"")</f>
        <v>359999.99999999232</v>
      </c>
      <c r="AW519">
        <f t="shared" ca="1" si="225"/>
        <v>-4999999.9999999925</v>
      </c>
      <c r="AX519">
        <f t="shared" ca="1" si="226"/>
        <v>0</v>
      </c>
      <c r="AY519">
        <f t="shared" ca="1" si="227"/>
        <v>-4999999.9999999925</v>
      </c>
      <c r="AZ519">
        <f ca="1">IF(ROW()&lt;($C$7+1),"",IFERROR((分析データ!C519-AVERAGE(OFFSET(分析データ!C$1,MAX(1,ROW()-$C$7),0,MIN($C$7,ROW()-1),1)))/STDEV(OFFSET(分析データ!C$1,MAX(1,ROW()-$C$7),0,MIN($C$7,ROW()-1),1)),0))</f>
        <v>-6.1279360720091186E-2</v>
      </c>
      <c r="BA519">
        <f t="shared" ca="1" si="228"/>
        <v>0</v>
      </c>
      <c r="BB519" t="str">
        <f ca="1">IF(BA519=1,IF(INDEX(分析データ!$A:$A,ROW()+$C$5)&lt;&gt;"",60000*SIGN(AZ519)*(分析データ!C519-INDEX(分析データ!C:C,ROW()+$C$5)),""),"")</f>
        <v/>
      </c>
      <c r="BC519">
        <f t="shared" ca="1" si="229"/>
        <v>1602000.0000000072</v>
      </c>
      <c r="BD519">
        <f t="shared" ca="1" si="230"/>
        <v>1602000.0000000072</v>
      </c>
      <c r="BE519">
        <f t="shared" ca="1" si="231"/>
        <v>0</v>
      </c>
      <c r="BF519">
        <f ca="1">IF(ROW()&lt;($C$7+1),"",IFERROR((分析データ!D519-AVERAGE(OFFSET(分析データ!D$1,MAX(1,ROW()-$C$7),0,MIN($C$7,ROW()-1),1)))/STDEV(OFFSET(分析データ!D$1,MAX(1,ROW()-$C$7),0,MIN($C$7,ROW()-1),1)),0))</f>
        <v>0.17989854296306237</v>
      </c>
      <c r="BG519">
        <f t="shared" ca="1" si="232"/>
        <v>0</v>
      </c>
      <c r="BH519" t="str">
        <f ca="1">IF(BG519=1,IF(INDEX(分析データ!$A:$A,ROW()+$C$5)&lt;&gt;"",50000*SIGN(BF519)*(分析データ!D519-INDEX(分析データ!D:D,ROW()+$C$5)),""),"")</f>
        <v/>
      </c>
      <c r="BI519">
        <f t="shared" ca="1" si="233"/>
        <v>-779999.99999999418</v>
      </c>
      <c r="BJ519">
        <f t="shared" ca="1" si="234"/>
        <v>1695000.0000000016</v>
      </c>
      <c r="BK519">
        <f t="shared" ca="1" si="235"/>
        <v>-2474999.9999999958</v>
      </c>
      <c r="BL519">
        <f ca="1">IF(ROW()&lt;($C$7+1),"",IFERROR((分析データ!E519-AVERAGE(OFFSET(分析データ!E$1,MAX(1,ROW()-$C$7),0,MIN($C$7,ROW()-1),1)))/STDEV(OFFSET(分析データ!E$1,MAX(1,ROW()-$C$7),0,MIN($C$7,ROW()-1),1)),0))</f>
        <v>1.4309555327474437</v>
      </c>
      <c r="BM519">
        <f t="shared" ca="1" si="236"/>
        <v>0</v>
      </c>
      <c r="BN519" t="str">
        <f ca="1">IF(BM519=1,IF(INDEX(分析データ!$A:$A,ROW()+$C$5)&lt;&gt;"",40000*SIGN(BL519)*(分析データ!E519-INDEX(分析データ!E:E,ROW()+$C$5)),""),"")</f>
        <v/>
      </c>
      <c r="BO519">
        <f t="shared" ca="1" si="237"/>
        <v>1320000.0000000075</v>
      </c>
      <c r="BP519">
        <f t="shared" ca="1" si="238"/>
        <v>1320000.0000000075</v>
      </c>
      <c r="BQ519">
        <f t="shared" ca="1" si="239"/>
        <v>0</v>
      </c>
      <c r="BR519">
        <f ca="1">IF(ROW()&lt;($C$7+1),"",IFERROR((分析データ!F519-AVERAGE(OFFSET(分析データ!F$1,MAX(1,ROW()-$C$7),0,MIN($C$7,ROW()-1),1)))/STDEV(OFFSET(分析データ!F$1,MAX(1,ROW()-$C$7),0,MIN($C$7,ROW()-1),1)),0))</f>
        <v>-1.6686931304916324</v>
      </c>
      <c r="BS519">
        <f t="shared" ca="1" si="240"/>
        <v>0</v>
      </c>
      <c r="BT519" t="str">
        <f ca="1">IF(BS519=1,IF(INDEX(分析データ!$A:$A,ROW()+$C$5)&lt;&gt;"",40000*SIGN(BR519)*(分析データ!F519-INDEX(分析データ!F:F,ROW()+$C$5)),""),"")</f>
        <v/>
      </c>
      <c r="BU519">
        <f t="shared" ca="1" si="241"/>
        <v>3534799.9999999953</v>
      </c>
      <c r="BV519">
        <f t="shared" ca="1" si="242"/>
        <v>3534799.9999999953</v>
      </c>
      <c r="BW519">
        <f t="shared" ca="1" si="243"/>
        <v>0</v>
      </c>
      <c r="BX519">
        <f ca="1">IF(ROW()&lt;($C$7+1),"",IFERROR((分析データ!G519-AVERAGE(OFFSET(分析データ!G$1,MAX(1,ROW()-$C$7),0,MIN($C$7,ROW()-1),1)))/STDEV(OFFSET(分析データ!G$1,MAX(1,ROW()-$C$7),0,MIN($C$7,ROW()-1),1)),0))</f>
        <v>1.4057826304236505</v>
      </c>
      <c r="BY519">
        <f t="shared" ca="1" si="244"/>
        <v>0</v>
      </c>
      <c r="BZ519" t="str">
        <f ca="1">IF(BY519=1,IF(INDEX(分析データ!$A:$A,ROW()+$C$5)&lt;&gt;"",40000*SIGN(BX519)*(分析データ!G519-INDEX(分析データ!G:G,ROW()+$C$5)),""),"")</f>
        <v/>
      </c>
      <c r="CA519">
        <f t="shared" ca="1" si="245"/>
        <v>7853552.856445305</v>
      </c>
      <c r="CB519">
        <f t="shared" ca="1" si="246"/>
        <v>7853552.856445305</v>
      </c>
      <c r="CC519">
        <f t="shared" ca="1" si="247"/>
        <v>0</v>
      </c>
      <c r="CD519">
        <f t="shared" ca="1" si="248"/>
        <v>359999.99999999232</v>
      </c>
      <c r="CE519">
        <f t="shared" ca="1" si="249"/>
        <v>8530352.8564453349</v>
      </c>
      <c r="CF519">
        <f t="shared" ca="1" si="250"/>
        <v>8530352.8564453349</v>
      </c>
      <c r="CG519">
        <f t="shared" ca="1" si="251"/>
        <v>0</v>
      </c>
      <c r="CH519" s="10">
        <f>分析データ!A519</f>
        <v>45685</v>
      </c>
    </row>
    <row r="520" spans="46:86">
      <c r="AT520">
        <f ca="1">IF(ROW()&lt;($C$7+1),"",IFERROR((分析データ!B520-AVERAGE(OFFSET(分析データ!B$1,MAX(1,ROW()-$C$7),0,MIN($C$7,ROW()-1),1)))/STDEV(OFFSET(分析データ!B$1,MAX(1,ROW()-$C$7),0,MIN($C$7,ROW()-1),1)),0))</f>
        <v>1.8506891175449574</v>
      </c>
      <c r="AU520">
        <f t="shared" ca="1" si="224"/>
        <v>0</v>
      </c>
      <c r="AV520" t="str">
        <f ca="1">IF(AU520=1,IF(INDEX(分析データ!$A:$A,ROW()+$C$5)&lt;&gt;"",80000*SIGN(AT520)*(分析データ!B520-INDEX(分析データ!B:B,ROW()+$C$5)),""),"")</f>
        <v/>
      </c>
      <c r="AW520">
        <f t="shared" ca="1" si="225"/>
        <v>-4999999.9999999925</v>
      </c>
      <c r="AX520">
        <f t="shared" ca="1" si="226"/>
        <v>0</v>
      </c>
      <c r="AY520">
        <f t="shared" ca="1" si="227"/>
        <v>-4999999.9999999925</v>
      </c>
      <c r="AZ520">
        <f ca="1">IF(ROW()&lt;($C$7+1),"",IFERROR((分析データ!C520-AVERAGE(OFFSET(分析データ!C$1,MAX(1,ROW()-$C$7),0,MIN($C$7,ROW()-1),1)))/STDEV(OFFSET(分析データ!C$1,MAX(1,ROW()-$C$7),0,MIN($C$7,ROW()-1),1)),0))</f>
        <v>-8.0303597137163632E-2</v>
      </c>
      <c r="BA520">
        <f t="shared" ca="1" si="228"/>
        <v>0</v>
      </c>
      <c r="BB520" t="str">
        <f ca="1">IF(BA520=1,IF(INDEX(分析データ!$A:$A,ROW()+$C$5)&lt;&gt;"",60000*SIGN(AZ520)*(分析データ!C520-INDEX(分析データ!C:C,ROW()+$C$5)),""),"")</f>
        <v/>
      </c>
      <c r="BC520">
        <f t="shared" ca="1" si="229"/>
        <v>1602000.0000000072</v>
      </c>
      <c r="BD520">
        <f t="shared" ca="1" si="230"/>
        <v>1602000.0000000072</v>
      </c>
      <c r="BE520">
        <f t="shared" ca="1" si="231"/>
        <v>0</v>
      </c>
      <c r="BF520">
        <f ca="1">IF(ROW()&lt;($C$7+1),"",IFERROR((分析データ!D520-AVERAGE(OFFSET(分析データ!D$1,MAX(1,ROW()-$C$7),0,MIN($C$7,ROW()-1),1)))/STDEV(OFFSET(分析データ!D$1,MAX(1,ROW()-$C$7),0,MIN($C$7,ROW()-1),1)),0))</f>
        <v>0.1805801328136637</v>
      </c>
      <c r="BG520">
        <f t="shared" ca="1" si="232"/>
        <v>0</v>
      </c>
      <c r="BH520" t="str">
        <f ca="1">IF(BG520=1,IF(INDEX(分析データ!$A:$A,ROW()+$C$5)&lt;&gt;"",50000*SIGN(BF520)*(分析データ!D520-INDEX(分析データ!D:D,ROW()+$C$5)),""),"")</f>
        <v/>
      </c>
      <c r="BI520">
        <f t="shared" ca="1" si="233"/>
        <v>-779999.99999999418</v>
      </c>
      <c r="BJ520">
        <f t="shared" ca="1" si="234"/>
        <v>1695000.0000000016</v>
      </c>
      <c r="BK520">
        <f t="shared" ca="1" si="235"/>
        <v>-2474999.9999999958</v>
      </c>
      <c r="BL520">
        <f ca="1">IF(ROW()&lt;($C$7+1),"",IFERROR((分析データ!E520-AVERAGE(OFFSET(分析データ!E$1,MAX(1,ROW()-$C$7),0,MIN($C$7,ROW()-1),1)))/STDEV(OFFSET(分析データ!E$1,MAX(1,ROW()-$C$7),0,MIN($C$7,ROW()-1),1)),0))</f>
        <v>1.2026425170339166</v>
      </c>
      <c r="BM520">
        <f t="shared" ca="1" si="236"/>
        <v>0</v>
      </c>
      <c r="BN520" t="str">
        <f ca="1">IF(BM520=1,IF(INDEX(分析データ!$A:$A,ROW()+$C$5)&lt;&gt;"",40000*SIGN(BL520)*(分析データ!E520-INDEX(分析データ!E:E,ROW()+$C$5)),""),"")</f>
        <v/>
      </c>
      <c r="BO520">
        <f t="shared" ca="1" si="237"/>
        <v>1320000.0000000075</v>
      </c>
      <c r="BP520">
        <f t="shared" ca="1" si="238"/>
        <v>1320000.0000000075</v>
      </c>
      <c r="BQ520">
        <f t="shared" ca="1" si="239"/>
        <v>0</v>
      </c>
      <c r="BR520">
        <f ca="1">IF(ROW()&lt;($C$7+1),"",IFERROR((分析データ!F520-AVERAGE(OFFSET(分析データ!F$1,MAX(1,ROW()-$C$7),0,MIN($C$7,ROW()-1),1)))/STDEV(OFFSET(分析データ!F$1,MAX(1,ROW()-$C$7),0,MIN($C$7,ROW()-1),1)),0))</f>
        <v>-1.3077525942429802</v>
      </c>
      <c r="BS520">
        <f t="shared" ca="1" si="240"/>
        <v>0</v>
      </c>
      <c r="BT520" t="str">
        <f ca="1">IF(BS520=1,IF(INDEX(分析データ!$A:$A,ROW()+$C$5)&lt;&gt;"",40000*SIGN(BR520)*(分析データ!F520-INDEX(分析データ!F:F,ROW()+$C$5)),""),"")</f>
        <v/>
      </c>
      <c r="BU520">
        <f t="shared" ca="1" si="241"/>
        <v>3534799.9999999953</v>
      </c>
      <c r="BV520">
        <f t="shared" ca="1" si="242"/>
        <v>3534799.9999999953</v>
      </c>
      <c r="BW520">
        <f t="shared" ca="1" si="243"/>
        <v>0</v>
      </c>
      <c r="BX520">
        <f ca="1">IF(ROW()&lt;($C$7+1),"",IFERROR((分析データ!G520-AVERAGE(OFFSET(分析データ!G$1,MAX(1,ROW()-$C$7),0,MIN($C$7,ROW()-1),1)))/STDEV(OFFSET(分析データ!G$1,MAX(1,ROW()-$C$7),0,MIN($C$7,ROW()-1),1)),0))</f>
        <v>0.97188316544870712</v>
      </c>
      <c r="BY520">
        <f t="shared" ca="1" si="244"/>
        <v>0</v>
      </c>
      <c r="BZ520" t="str">
        <f ca="1">IF(BY520=1,IF(INDEX(分析データ!$A:$A,ROW()+$C$5)&lt;&gt;"",40000*SIGN(BX520)*(分析データ!G520-INDEX(分析データ!G:G,ROW()+$C$5)),""),"")</f>
        <v/>
      </c>
      <c r="CA520">
        <f t="shared" ca="1" si="245"/>
        <v>7853552.856445305</v>
      </c>
      <c r="CB520">
        <f t="shared" ca="1" si="246"/>
        <v>7853552.856445305</v>
      </c>
      <c r="CC520">
        <f t="shared" ca="1" si="247"/>
        <v>0</v>
      </c>
      <c r="CD520">
        <f t="shared" ca="1" si="248"/>
        <v>0</v>
      </c>
      <c r="CE520">
        <f t="shared" ca="1" si="249"/>
        <v>8530352.8564453349</v>
      </c>
      <c r="CF520">
        <f t="shared" ca="1" si="250"/>
        <v>8530352.8564453349</v>
      </c>
      <c r="CG520">
        <f t="shared" ca="1" si="251"/>
        <v>0</v>
      </c>
      <c r="CH520" s="10">
        <f>分析データ!A520</f>
        <v>45686</v>
      </c>
    </row>
    <row r="521" spans="46:86">
      <c r="AT521">
        <f ca="1">IF(ROW()&lt;($C$7+1),"",IFERROR((分析データ!B521-AVERAGE(OFFSET(分析データ!B$1,MAX(1,ROW()-$C$7),0,MIN($C$7,ROW()-1),1)))/STDEV(OFFSET(分析データ!B$1,MAX(1,ROW()-$C$7),0,MIN($C$7,ROW()-1),1)),0))</f>
        <v>1.8299299098529822</v>
      </c>
      <c r="AU521">
        <f t="shared" ca="1" si="224"/>
        <v>0</v>
      </c>
      <c r="AV521" t="str">
        <f ca="1">IF(AU521=1,IF(INDEX(分析データ!$A:$A,ROW()+$C$5)&lt;&gt;"",80000*SIGN(AT521)*(分析データ!B521-INDEX(分析データ!B:B,ROW()+$C$5)),""),"")</f>
        <v/>
      </c>
      <c r="AW521">
        <f t="shared" ca="1" si="225"/>
        <v>-4999999.9999999925</v>
      </c>
      <c r="AX521">
        <f t="shared" ca="1" si="226"/>
        <v>0</v>
      </c>
      <c r="AY521">
        <f t="shared" ca="1" si="227"/>
        <v>-4999999.9999999925</v>
      </c>
      <c r="AZ521">
        <f ca="1">IF(ROW()&lt;($C$7+1),"",IFERROR((分析データ!C521-AVERAGE(OFFSET(分析データ!C$1,MAX(1,ROW()-$C$7),0,MIN($C$7,ROW()-1),1)))/STDEV(OFFSET(分析データ!C$1,MAX(1,ROW()-$C$7),0,MIN($C$7,ROW()-1),1)),0))</f>
        <v>-0.10024926974954428</v>
      </c>
      <c r="BA521">
        <f t="shared" ca="1" si="228"/>
        <v>0</v>
      </c>
      <c r="BB521" t="str">
        <f ca="1">IF(BA521=1,IF(INDEX(分析データ!$A:$A,ROW()+$C$5)&lt;&gt;"",60000*SIGN(AZ521)*(分析データ!C521-INDEX(分析データ!C:C,ROW()+$C$5)),""),"")</f>
        <v/>
      </c>
      <c r="BC521">
        <f t="shared" ca="1" si="229"/>
        <v>1602000.0000000072</v>
      </c>
      <c r="BD521">
        <f t="shared" ca="1" si="230"/>
        <v>1602000.0000000072</v>
      </c>
      <c r="BE521">
        <f t="shared" ca="1" si="231"/>
        <v>0</v>
      </c>
      <c r="BF521">
        <f ca="1">IF(ROW()&lt;($C$7+1),"",IFERROR((分析データ!D521-AVERAGE(OFFSET(分析データ!D$1,MAX(1,ROW()-$C$7),0,MIN($C$7,ROW()-1),1)))/STDEV(OFFSET(分析データ!D$1,MAX(1,ROW()-$C$7),0,MIN($C$7,ROW()-1),1)),0))</f>
        <v>-1.7357207540116246E-2</v>
      </c>
      <c r="BG521">
        <f t="shared" ca="1" si="232"/>
        <v>0</v>
      </c>
      <c r="BH521" t="str">
        <f ca="1">IF(BG521=1,IF(INDEX(分析データ!$A:$A,ROW()+$C$5)&lt;&gt;"",50000*SIGN(BF521)*(分析データ!D521-INDEX(分析データ!D:D,ROW()+$C$5)),""),"")</f>
        <v/>
      </c>
      <c r="BI521">
        <f t="shared" ca="1" si="233"/>
        <v>-779999.99999999418</v>
      </c>
      <c r="BJ521">
        <f t="shared" ca="1" si="234"/>
        <v>1695000.0000000016</v>
      </c>
      <c r="BK521">
        <f t="shared" ca="1" si="235"/>
        <v>-2474999.9999999958</v>
      </c>
      <c r="BL521">
        <f ca="1">IF(ROW()&lt;($C$7+1),"",IFERROR((分析データ!E521-AVERAGE(OFFSET(分析データ!E$1,MAX(1,ROW()-$C$7),0,MIN($C$7,ROW()-1),1)))/STDEV(OFFSET(分析データ!E$1,MAX(1,ROW()-$C$7),0,MIN($C$7,ROW()-1),1)),0))</f>
        <v>1.3047013224132635</v>
      </c>
      <c r="BM521">
        <f t="shared" ca="1" si="236"/>
        <v>0</v>
      </c>
      <c r="BN521" t="str">
        <f ca="1">IF(BM521=1,IF(INDEX(分析データ!$A:$A,ROW()+$C$5)&lt;&gt;"",40000*SIGN(BL521)*(分析データ!E521-INDEX(分析データ!E:E,ROW()+$C$5)),""),"")</f>
        <v/>
      </c>
      <c r="BO521">
        <f t="shared" ca="1" si="237"/>
        <v>1320000.0000000075</v>
      </c>
      <c r="BP521">
        <f t="shared" ca="1" si="238"/>
        <v>1320000.0000000075</v>
      </c>
      <c r="BQ521">
        <f t="shared" ca="1" si="239"/>
        <v>0</v>
      </c>
      <c r="BR521">
        <f ca="1">IF(ROW()&lt;($C$7+1),"",IFERROR((分析データ!F521-AVERAGE(OFFSET(分析データ!F$1,MAX(1,ROW()-$C$7),0,MIN($C$7,ROW()-1),1)))/STDEV(OFFSET(分析データ!F$1,MAX(1,ROW()-$C$7),0,MIN($C$7,ROW()-1),1)),0))</f>
        <v>-1.0886584455077817</v>
      </c>
      <c r="BS521">
        <f t="shared" ca="1" si="240"/>
        <v>0</v>
      </c>
      <c r="BT521" t="str">
        <f ca="1">IF(BS521=1,IF(INDEX(分析データ!$A:$A,ROW()+$C$5)&lt;&gt;"",40000*SIGN(BR521)*(分析データ!F521-INDEX(分析データ!F:F,ROW()+$C$5)),""),"")</f>
        <v/>
      </c>
      <c r="BU521">
        <f t="shared" ca="1" si="241"/>
        <v>3534799.9999999953</v>
      </c>
      <c r="BV521">
        <f t="shared" ca="1" si="242"/>
        <v>3534799.9999999953</v>
      </c>
      <c r="BW521">
        <f t="shared" ca="1" si="243"/>
        <v>0</v>
      </c>
      <c r="BX521">
        <f ca="1">IF(ROW()&lt;($C$7+1),"",IFERROR((分析データ!G521-AVERAGE(OFFSET(分析データ!G$1,MAX(1,ROW()-$C$7),0,MIN($C$7,ROW()-1),1)))/STDEV(OFFSET(分析データ!G$1,MAX(1,ROW()-$C$7),0,MIN($C$7,ROW()-1),1)),0))</f>
        <v>0.99005643289075995</v>
      </c>
      <c r="BY521">
        <f t="shared" ca="1" si="244"/>
        <v>0</v>
      </c>
      <c r="BZ521" t="str">
        <f ca="1">IF(BY521=1,IF(INDEX(分析データ!$A:$A,ROW()+$C$5)&lt;&gt;"",40000*SIGN(BX521)*(分析データ!G521-INDEX(分析データ!G:G,ROW()+$C$5)),""),"")</f>
        <v/>
      </c>
      <c r="CA521">
        <f t="shared" ca="1" si="245"/>
        <v>7853552.856445305</v>
      </c>
      <c r="CB521">
        <f t="shared" ca="1" si="246"/>
        <v>7853552.856445305</v>
      </c>
      <c r="CC521">
        <f t="shared" ca="1" si="247"/>
        <v>0</v>
      </c>
      <c r="CD521">
        <f t="shared" ca="1" si="248"/>
        <v>0</v>
      </c>
      <c r="CE521">
        <f t="shared" ca="1" si="249"/>
        <v>8530352.8564453349</v>
      </c>
      <c r="CF521">
        <f t="shared" ca="1" si="250"/>
        <v>8530352.8564453349</v>
      </c>
      <c r="CG521">
        <f t="shared" ca="1" si="251"/>
        <v>0</v>
      </c>
      <c r="CH521" s="10">
        <f>分析データ!A521</f>
        <v>45687</v>
      </c>
    </row>
    <row r="522" spans="46:86">
      <c r="AT522">
        <f ca="1">IF(ROW()&lt;($C$7+1),"",IFERROR((分析データ!B522-AVERAGE(OFFSET(分析データ!B$1,MAX(1,ROW()-$C$7),0,MIN($C$7,ROW()-1),1)))/STDEV(OFFSET(分析データ!B$1,MAX(1,ROW()-$C$7),0,MIN($C$7,ROW()-1),1)),0))</f>
        <v>1.8524411374258178</v>
      </c>
      <c r="AU522">
        <f t="shared" ca="1" si="224"/>
        <v>0</v>
      </c>
      <c r="AV522" t="str">
        <f ca="1">IF(AU522=1,IF(INDEX(分析データ!$A:$A,ROW()+$C$5)&lt;&gt;"",80000*SIGN(AT522)*(分析データ!B522-INDEX(分析データ!B:B,ROW()+$C$5)),""),"")</f>
        <v/>
      </c>
      <c r="AW522">
        <f t="shared" ca="1" si="225"/>
        <v>-4999999.9999999925</v>
      </c>
      <c r="AX522">
        <f t="shared" ca="1" si="226"/>
        <v>0</v>
      </c>
      <c r="AY522">
        <f t="shared" ca="1" si="227"/>
        <v>-4999999.9999999925</v>
      </c>
      <c r="AZ522">
        <f ca="1">IF(ROW()&lt;($C$7+1),"",IFERROR((分析データ!C522-AVERAGE(OFFSET(分析データ!C$1,MAX(1,ROW()-$C$7),0,MIN($C$7,ROW()-1),1)))/STDEV(OFFSET(分析データ!C$1,MAX(1,ROW()-$C$7),0,MIN($C$7,ROW()-1),1)),0))</f>
        <v>0.16130741118167877</v>
      </c>
      <c r="BA522">
        <f t="shared" ca="1" si="228"/>
        <v>0</v>
      </c>
      <c r="BB522" t="str">
        <f ca="1">IF(BA522=1,IF(INDEX(分析データ!$A:$A,ROW()+$C$5)&lt;&gt;"",60000*SIGN(AZ522)*(分析データ!C522-INDEX(分析データ!C:C,ROW()+$C$5)),""),"")</f>
        <v/>
      </c>
      <c r="BC522">
        <f t="shared" ca="1" si="229"/>
        <v>1602000.0000000072</v>
      </c>
      <c r="BD522">
        <f t="shared" ca="1" si="230"/>
        <v>1602000.0000000072</v>
      </c>
      <c r="BE522">
        <f t="shared" ca="1" si="231"/>
        <v>0</v>
      </c>
      <c r="BF522">
        <f ca="1">IF(ROW()&lt;($C$7+1),"",IFERROR((分析データ!D522-AVERAGE(OFFSET(分析データ!D$1,MAX(1,ROW()-$C$7),0,MIN($C$7,ROW()-1),1)))/STDEV(OFFSET(分析データ!D$1,MAX(1,ROW()-$C$7),0,MIN($C$7,ROW()-1),1)),0))</f>
        <v>0.10707123079545025</v>
      </c>
      <c r="BG522">
        <f t="shared" ca="1" si="232"/>
        <v>0</v>
      </c>
      <c r="BH522" t="str">
        <f ca="1">IF(BG522=1,IF(INDEX(分析データ!$A:$A,ROW()+$C$5)&lt;&gt;"",50000*SIGN(BF522)*(分析データ!D522-INDEX(分析データ!D:D,ROW()+$C$5)),""),"")</f>
        <v/>
      </c>
      <c r="BI522">
        <f t="shared" ca="1" si="233"/>
        <v>-779999.99999999418</v>
      </c>
      <c r="BJ522">
        <f t="shared" ca="1" si="234"/>
        <v>1695000.0000000016</v>
      </c>
      <c r="BK522">
        <f t="shared" ca="1" si="235"/>
        <v>-2474999.9999999958</v>
      </c>
      <c r="BL522">
        <f ca="1">IF(ROW()&lt;($C$7+1),"",IFERROR((分析データ!E522-AVERAGE(OFFSET(分析データ!E$1,MAX(1,ROW()-$C$7),0,MIN($C$7,ROW()-1),1)))/STDEV(OFFSET(分析データ!E$1,MAX(1,ROW()-$C$7),0,MIN($C$7,ROW()-1),1)),0))</f>
        <v>1.4048569693720514</v>
      </c>
      <c r="BM522">
        <f t="shared" ca="1" si="236"/>
        <v>0</v>
      </c>
      <c r="BN522" t="str">
        <f ca="1">IF(BM522=1,IF(INDEX(分析データ!$A:$A,ROW()+$C$5)&lt;&gt;"",40000*SIGN(BL522)*(分析データ!E522-INDEX(分析データ!E:E,ROW()+$C$5)),""),"")</f>
        <v/>
      </c>
      <c r="BO522">
        <f t="shared" ca="1" si="237"/>
        <v>1320000.0000000075</v>
      </c>
      <c r="BP522">
        <f t="shared" ca="1" si="238"/>
        <v>1320000.0000000075</v>
      </c>
      <c r="BQ522">
        <f t="shared" ca="1" si="239"/>
        <v>0</v>
      </c>
      <c r="BR522">
        <f ca="1">IF(ROW()&lt;($C$7+1),"",IFERROR((分析データ!F522-AVERAGE(OFFSET(分析データ!F$1,MAX(1,ROW()-$C$7),0,MIN($C$7,ROW()-1),1)))/STDEV(OFFSET(分析データ!F$1,MAX(1,ROW()-$C$7),0,MIN($C$7,ROW()-1),1)),0))</f>
        <v>-1.4872932195272353</v>
      </c>
      <c r="BS522">
        <f t="shared" ca="1" si="240"/>
        <v>0</v>
      </c>
      <c r="BT522" t="str">
        <f ca="1">IF(BS522=1,IF(INDEX(分析データ!$A:$A,ROW()+$C$5)&lt;&gt;"",40000*SIGN(BR522)*(分析データ!F522-INDEX(分析データ!F:F,ROW()+$C$5)),""),"")</f>
        <v/>
      </c>
      <c r="BU522">
        <f t="shared" ca="1" si="241"/>
        <v>3534799.9999999953</v>
      </c>
      <c r="BV522">
        <f t="shared" ca="1" si="242"/>
        <v>3534799.9999999953</v>
      </c>
      <c r="BW522">
        <f t="shared" ca="1" si="243"/>
        <v>0</v>
      </c>
      <c r="BX522">
        <f ca="1">IF(ROW()&lt;($C$7+1),"",IFERROR((分析データ!G522-AVERAGE(OFFSET(分析データ!G$1,MAX(1,ROW()-$C$7),0,MIN($C$7,ROW()-1),1)))/STDEV(OFFSET(分析データ!G$1,MAX(1,ROW()-$C$7),0,MIN($C$7,ROW()-1),1)),0))</f>
        <v>0.81388432899522833</v>
      </c>
      <c r="BY522">
        <f t="shared" ca="1" si="244"/>
        <v>0</v>
      </c>
      <c r="BZ522" t="str">
        <f ca="1">IF(BY522=1,IF(INDEX(分析データ!$A:$A,ROW()+$C$5)&lt;&gt;"",40000*SIGN(BX522)*(分析データ!G522-INDEX(分析データ!G:G,ROW()+$C$5)),""),"")</f>
        <v/>
      </c>
      <c r="CA522">
        <f t="shared" ca="1" si="245"/>
        <v>7853552.856445305</v>
      </c>
      <c r="CB522">
        <f t="shared" ca="1" si="246"/>
        <v>7853552.856445305</v>
      </c>
      <c r="CC522">
        <f t="shared" ca="1" si="247"/>
        <v>0</v>
      </c>
      <c r="CD522">
        <f t="shared" ca="1" si="248"/>
        <v>0</v>
      </c>
      <c r="CE522">
        <f t="shared" ca="1" si="249"/>
        <v>8530352.8564453349</v>
      </c>
      <c r="CF522">
        <f t="shared" ca="1" si="250"/>
        <v>8530352.8564453349</v>
      </c>
      <c r="CG522">
        <f t="shared" ca="1" si="251"/>
        <v>0</v>
      </c>
      <c r="CH522" s="10">
        <f>分析データ!A522</f>
        <v>45688</v>
      </c>
    </row>
    <row r="523" spans="46:86">
      <c r="AT523">
        <f ca="1">IF(ROW()&lt;($C$7+1),"",IFERROR((分析データ!B523-AVERAGE(OFFSET(分析データ!B$1,MAX(1,ROW()-$C$7),0,MIN($C$7,ROW()-1),1)))/STDEV(OFFSET(分析データ!B$1,MAX(1,ROW()-$C$7),0,MIN($C$7,ROW()-1),1)),0))</f>
        <v>1.5758028342117236</v>
      </c>
      <c r="AU523">
        <f t="shared" ca="1" si="224"/>
        <v>0</v>
      </c>
      <c r="AV523" t="str">
        <f ca="1">IF(AU523=1,IF(INDEX(分析データ!$A:$A,ROW()+$C$5)&lt;&gt;"",80000*SIGN(AT523)*(分析データ!B523-INDEX(分析データ!B:B,ROW()+$C$5)),""),"")</f>
        <v/>
      </c>
      <c r="AW523">
        <f t="shared" ca="1" si="225"/>
        <v>-4999999.9999999925</v>
      </c>
      <c r="AX523">
        <f t="shared" ca="1" si="226"/>
        <v>0</v>
      </c>
      <c r="AY523">
        <f t="shared" ca="1" si="227"/>
        <v>-4999999.9999999925</v>
      </c>
      <c r="AZ523">
        <f ca="1">IF(ROW()&lt;($C$7+1),"",IFERROR((分析データ!C523-AVERAGE(OFFSET(分析データ!C$1,MAX(1,ROW()-$C$7),0,MIN($C$7,ROW()-1),1)))/STDEV(OFFSET(分析データ!C$1,MAX(1,ROW()-$C$7),0,MIN($C$7,ROW()-1),1)),0))</f>
        <v>0.20642916518865473</v>
      </c>
      <c r="BA523">
        <f t="shared" ca="1" si="228"/>
        <v>0</v>
      </c>
      <c r="BB523" t="str">
        <f ca="1">IF(BA523=1,IF(INDEX(分析データ!$A:$A,ROW()+$C$5)&lt;&gt;"",60000*SIGN(AZ523)*(分析データ!C523-INDEX(分析データ!C:C,ROW()+$C$5)),""),"")</f>
        <v/>
      </c>
      <c r="BC523">
        <f t="shared" ca="1" si="229"/>
        <v>1602000.0000000072</v>
      </c>
      <c r="BD523">
        <f t="shared" ca="1" si="230"/>
        <v>1602000.0000000072</v>
      </c>
      <c r="BE523">
        <f t="shared" ca="1" si="231"/>
        <v>0</v>
      </c>
      <c r="BF523">
        <f ca="1">IF(ROW()&lt;($C$7+1),"",IFERROR((分析データ!D523-AVERAGE(OFFSET(分析データ!D$1,MAX(1,ROW()-$C$7),0,MIN($C$7,ROW()-1),1)))/STDEV(OFFSET(分析データ!D$1,MAX(1,ROW()-$C$7),0,MIN($C$7,ROW()-1),1)),0))</f>
        <v>-6.8070292902020227E-2</v>
      </c>
      <c r="BG523">
        <f t="shared" ca="1" si="232"/>
        <v>0</v>
      </c>
      <c r="BH523" t="str">
        <f ca="1">IF(BG523=1,IF(INDEX(分析データ!$A:$A,ROW()+$C$5)&lt;&gt;"",50000*SIGN(BF523)*(分析データ!D523-INDEX(分析データ!D:D,ROW()+$C$5)),""),"")</f>
        <v/>
      </c>
      <c r="BI523">
        <f t="shared" ca="1" si="233"/>
        <v>-779999.99999999418</v>
      </c>
      <c r="BJ523">
        <f t="shared" ca="1" si="234"/>
        <v>1695000.0000000016</v>
      </c>
      <c r="BK523">
        <f t="shared" ca="1" si="235"/>
        <v>-2474999.9999999958</v>
      </c>
      <c r="BL523">
        <f ca="1">IF(ROW()&lt;($C$7+1),"",IFERROR((分析データ!E523-AVERAGE(OFFSET(分析データ!E$1,MAX(1,ROW()-$C$7),0,MIN($C$7,ROW()-1),1)))/STDEV(OFFSET(分析データ!E$1,MAX(1,ROW()-$C$7),0,MIN($C$7,ROW()-1),1)),0))</f>
        <v>1.0669731652538843</v>
      </c>
      <c r="BM523">
        <f t="shared" ca="1" si="236"/>
        <v>0</v>
      </c>
      <c r="BN523" t="str">
        <f ca="1">IF(BM523=1,IF(INDEX(分析データ!$A:$A,ROW()+$C$5)&lt;&gt;"",40000*SIGN(BL523)*(分析データ!E523-INDEX(分析データ!E:E,ROW()+$C$5)),""),"")</f>
        <v/>
      </c>
      <c r="BO523">
        <f t="shared" ca="1" si="237"/>
        <v>1320000.0000000075</v>
      </c>
      <c r="BP523">
        <f t="shared" ca="1" si="238"/>
        <v>1320000.0000000075</v>
      </c>
      <c r="BQ523">
        <f t="shared" ca="1" si="239"/>
        <v>0</v>
      </c>
      <c r="BR523">
        <f ca="1">IF(ROW()&lt;($C$7+1),"",IFERROR((分析データ!F523-AVERAGE(OFFSET(分析データ!F$1,MAX(1,ROW()-$C$7),0,MIN($C$7,ROW()-1),1)))/STDEV(OFFSET(分析データ!F$1,MAX(1,ROW()-$C$7),0,MIN($C$7,ROW()-1),1)),0))</f>
        <v>-1.5406472283473436</v>
      </c>
      <c r="BS523">
        <f t="shared" ca="1" si="240"/>
        <v>0</v>
      </c>
      <c r="BT523" t="str">
        <f ca="1">IF(BS523=1,IF(INDEX(分析データ!$A:$A,ROW()+$C$5)&lt;&gt;"",40000*SIGN(BR523)*(分析データ!F523-INDEX(分析データ!F:F,ROW()+$C$5)),""),"")</f>
        <v/>
      </c>
      <c r="BU523">
        <f t="shared" ca="1" si="241"/>
        <v>3534799.9999999953</v>
      </c>
      <c r="BV523">
        <f t="shared" ca="1" si="242"/>
        <v>3534799.9999999953</v>
      </c>
      <c r="BW523">
        <f t="shared" ca="1" si="243"/>
        <v>0</v>
      </c>
      <c r="BX523">
        <f ca="1">IF(ROW()&lt;($C$7+1),"",IFERROR((分析データ!G523-AVERAGE(OFFSET(分析データ!G$1,MAX(1,ROW()-$C$7),0,MIN($C$7,ROW()-1),1)))/STDEV(OFFSET(分析データ!G$1,MAX(1,ROW()-$C$7),0,MIN($C$7,ROW()-1),1)),0))</f>
        <v>1.8338369046650764</v>
      </c>
      <c r="BY523">
        <f t="shared" ca="1" si="244"/>
        <v>0</v>
      </c>
      <c r="BZ523" t="str">
        <f ca="1">IF(BY523=1,IF(INDEX(分析データ!$A:$A,ROW()+$C$5)&lt;&gt;"",40000*SIGN(BX523)*(分析データ!G523-INDEX(分析データ!G:G,ROW()+$C$5)),""),"")</f>
        <v/>
      </c>
      <c r="CA523">
        <f t="shared" ca="1" si="245"/>
        <v>7853552.856445305</v>
      </c>
      <c r="CB523">
        <f t="shared" ca="1" si="246"/>
        <v>7853552.856445305</v>
      </c>
      <c r="CC523">
        <f t="shared" ca="1" si="247"/>
        <v>0</v>
      </c>
      <c r="CD523">
        <f t="shared" ca="1" si="248"/>
        <v>0</v>
      </c>
      <c r="CE523">
        <f t="shared" ca="1" si="249"/>
        <v>8530352.8564453349</v>
      </c>
      <c r="CF523">
        <f t="shared" ca="1" si="250"/>
        <v>8530352.8564453349</v>
      </c>
      <c r="CG523">
        <f t="shared" ca="1" si="251"/>
        <v>0</v>
      </c>
      <c r="CH523" s="10">
        <f>分析データ!A523</f>
        <v>45691</v>
      </c>
    </row>
    <row r="524" spans="46:86">
      <c r="AT524">
        <f ca="1">IF(ROW()&lt;($C$7+1),"",IFERROR((分析データ!B524-AVERAGE(OFFSET(分析データ!B$1,MAX(1,ROW()-$C$7),0,MIN($C$7,ROW()-1),1)))/STDEV(OFFSET(分析データ!B$1,MAX(1,ROW()-$C$7),0,MIN($C$7,ROW()-1),1)),0))</f>
        <v>1.6886810007495316</v>
      </c>
      <c r="AU524">
        <f t="shared" ca="1" si="224"/>
        <v>0</v>
      </c>
      <c r="AV524" t="str">
        <f ca="1">IF(AU524=1,IF(INDEX(分析データ!$A:$A,ROW()+$C$5)&lt;&gt;"",80000*SIGN(AT524)*(分析データ!B524-INDEX(分析データ!B:B,ROW()+$C$5)),""),"")</f>
        <v/>
      </c>
      <c r="AW524">
        <f t="shared" ca="1" si="225"/>
        <v>-4999999.9999999925</v>
      </c>
      <c r="AX524">
        <f t="shared" ca="1" si="226"/>
        <v>0</v>
      </c>
      <c r="AY524">
        <f t="shared" ca="1" si="227"/>
        <v>-4999999.9999999925</v>
      </c>
      <c r="AZ524">
        <f ca="1">IF(ROW()&lt;($C$7+1),"",IFERROR((分析データ!C524-AVERAGE(OFFSET(分析データ!C$1,MAX(1,ROW()-$C$7),0,MIN($C$7,ROW()-1),1)))/STDEV(OFFSET(分析データ!C$1,MAX(1,ROW()-$C$7),0,MIN($C$7,ROW()-1),1)),0))</f>
        <v>0.32688038140057657</v>
      </c>
      <c r="BA524">
        <f t="shared" ca="1" si="228"/>
        <v>0</v>
      </c>
      <c r="BB524" t="str">
        <f ca="1">IF(BA524=1,IF(INDEX(分析データ!$A:$A,ROW()+$C$5)&lt;&gt;"",60000*SIGN(AZ524)*(分析データ!C524-INDEX(分析データ!C:C,ROW()+$C$5)),""),"")</f>
        <v/>
      </c>
      <c r="BC524">
        <f t="shared" ca="1" si="229"/>
        <v>1602000.0000000072</v>
      </c>
      <c r="BD524">
        <f t="shared" ca="1" si="230"/>
        <v>1602000.0000000072</v>
      </c>
      <c r="BE524">
        <f t="shared" ca="1" si="231"/>
        <v>0</v>
      </c>
      <c r="BF524">
        <f ca="1">IF(ROW()&lt;($C$7+1),"",IFERROR((分析データ!D524-AVERAGE(OFFSET(分析データ!D$1,MAX(1,ROW()-$C$7),0,MIN($C$7,ROW()-1),1)))/STDEV(OFFSET(分析データ!D$1,MAX(1,ROW()-$C$7),0,MIN($C$7,ROW()-1),1)),0))</f>
        <v>-0.25992654903570189</v>
      </c>
      <c r="BG524">
        <f t="shared" ca="1" si="232"/>
        <v>0</v>
      </c>
      <c r="BH524" t="str">
        <f ca="1">IF(BG524=1,IF(INDEX(分析データ!$A:$A,ROW()+$C$5)&lt;&gt;"",50000*SIGN(BF524)*(分析データ!D524-INDEX(分析データ!D:D,ROW()+$C$5)),""),"")</f>
        <v/>
      </c>
      <c r="BI524">
        <f t="shared" ca="1" si="233"/>
        <v>-779999.99999999418</v>
      </c>
      <c r="BJ524">
        <f t="shared" ca="1" si="234"/>
        <v>1695000.0000000016</v>
      </c>
      <c r="BK524">
        <f t="shared" ca="1" si="235"/>
        <v>-2474999.9999999958</v>
      </c>
      <c r="BL524">
        <f ca="1">IF(ROW()&lt;($C$7+1),"",IFERROR((分析データ!E524-AVERAGE(OFFSET(分析データ!E$1,MAX(1,ROW()-$C$7),0,MIN($C$7,ROW()-1),1)))/STDEV(OFFSET(分析データ!E$1,MAX(1,ROW()-$C$7),0,MIN($C$7,ROW()-1),1)),0))</f>
        <v>1.2767584250765132</v>
      </c>
      <c r="BM524">
        <f t="shared" ca="1" si="236"/>
        <v>0</v>
      </c>
      <c r="BN524" t="str">
        <f ca="1">IF(BM524=1,IF(INDEX(分析データ!$A:$A,ROW()+$C$5)&lt;&gt;"",40000*SIGN(BL524)*(分析データ!E524-INDEX(分析データ!E:E,ROW()+$C$5)),""),"")</f>
        <v/>
      </c>
      <c r="BO524">
        <f t="shared" ca="1" si="237"/>
        <v>1320000.0000000075</v>
      </c>
      <c r="BP524">
        <f t="shared" ca="1" si="238"/>
        <v>1320000.0000000075</v>
      </c>
      <c r="BQ524">
        <f t="shared" ca="1" si="239"/>
        <v>0</v>
      </c>
      <c r="BR524">
        <f ca="1">IF(ROW()&lt;($C$7+1),"",IFERROR((分析データ!F524-AVERAGE(OFFSET(分析データ!F$1,MAX(1,ROW()-$C$7),0,MIN($C$7,ROW()-1),1)))/STDEV(OFFSET(分析データ!F$1,MAX(1,ROW()-$C$7),0,MIN($C$7,ROW()-1),1)),0))</f>
        <v>-1.3176590049121788</v>
      </c>
      <c r="BS524">
        <f t="shared" ca="1" si="240"/>
        <v>0</v>
      </c>
      <c r="BT524" t="str">
        <f ca="1">IF(BS524=1,IF(INDEX(分析データ!$A:$A,ROW()+$C$5)&lt;&gt;"",40000*SIGN(BR524)*(分析データ!F524-INDEX(分析データ!F:F,ROW()+$C$5)),""),"")</f>
        <v/>
      </c>
      <c r="BU524">
        <f t="shared" ca="1" si="241"/>
        <v>3534799.9999999953</v>
      </c>
      <c r="BV524">
        <f t="shared" ca="1" si="242"/>
        <v>3534799.9999999953</v>
      </c>
      <c r="BW524">
        <f t="shared" ca="1" si="243"/>
        <v>0</v>
      </c>
      <c r="BX524">
        <f ca="1">IF(ROW()&lt;($C$7+1),"",IFERROR((分析データ!G524-AVERAGE(OFFSET(分析データ!G$1,MAX(1,ROW()-$C$7),0,MIN($C$7,ROW()-1),1)))/STDEV(OFFSET(分析データ!G$1,MAX(1,ROW()-$C$7),0,MIN($C$7,ROW()-1),1)),0))</f>
        <v>1.8552088945262601</v>
      </c>
      <c r="BY524">
        <f t="shared" ca="1" si="244"/>
        <v>0</v>
      </c>
      <c r="BZ524" t="str">
        <f ca="1">IF(BY524=1,IF(INDEX(分析データ!$A:$A,ROW()+$C$5)&lt;&gt;"",40000*SIGN(BX524)*(分析データ!G524-INDEX(分析データ!G:G,ROW()+$C$5)),""),"")</f>
        <v/>
      </c>
      <c r="CA524">
        <f t="shared" ca="1" si="245"/>
        <v>7853552.856445305</v>
      </c>
      <c r="CB524">
        <f t="shared" ca="1" si="246"/>
        <v>7853552.856445305</v>
      </c>
      <c r="CC524">
        <f t="shared" ca="1" si="247"/>
        <v>0</v>
      </c>
      <c r="CD524">
        <f t="shared" ca="1" si="248"/>
        <v>0</v>
      </c>
      <c r="CE524">
        <f t="shared" ca="1" si="249"/>
        <v>8530352.8564453349</v>
      </c>
      <c r="CF524">
        <f t="shared" ca="1" si="250"/>
        <v>8530352.8564453349</v>
      </c>
      <c r="CG524">
        <f t="shared" ca="1" si="251"/>
        <v>0</v>
      </c>
      <c r="CH524" s="10">
        <f>分析データ!A524</f>
        <v>45692</v>
      </c>
    </row>
    <row r="525" spans="46:86">
      <c r="AT525">
        <f ca="1">IF(ROW()&lt;($C$7+1),"",IFERROR((分析データ!B525-AVERAGE(OFFSET(分析データ!B$1,MAX(1,ROW()-$C$7),0,MIN($C$7,ROW()-1),1)))/STDEV(OFFSET(分析データ!B$1,MAX(1,ROW()-$C$7),0,MIN($C$7,ROW()-1),1)),0))</f>
        <v>1.544691542091698</v>
      </c>
      <c r="AU525">
        <f t="shared" ca="1" si="224"/>
        <v>0</v>
      </c>
      <c r="AV525" t="str">
        <f ca="1">IF(AU525=1,IF(INDEX(分析データ!$A:$A,ROW()+$C$5)&lt;&gt;"",80000*SIGN(AT525)*(分析データ!B525-INDEX(分析データ!B:B,ROW()+$C$5)),""),"")</f>
        <v/>
      </c>
      <c r="AW525">
        <f t="shared" ca="1" si="225"/>
        <v>-4999999.9999999925</v>
      </c>
      <c r="AX525">
        <f t="shared" ca="1" si="226"/>
        <v>0</v>
      </c>
      <c r="AY525">
        <f t="shared" ca="1" si="227"/>
        <v>-4999999.9999999925</v>
      </c>
      <c r="AZ525">
        <f ca="1">IF(ROW()&lt;($C$7+1),"",IFERROR((分析データ!C525-AVERAGE(OFFSET(分析データ!C$1,MAX(1,ROW()-$C$7),0,MIN($C$7,ROW()-1),1)))/STDEV(OFFSET(分析データ!C$1,MAX(1,ROW()-$C$7),0,MIN($C$7,ROW()-1),1)),0))</f>
        <v>0.32075154256392191</v>
      </c>
      <c r="BA525">
        <f t="shared" ca="1" si="228"/>
        <v>0</v>
      </c>
      <c r="BB525" t="str">
        <f ca="1">IF(BA525=1,IF(INDEX(分析データ!$A:$A,ROW()+$C$5)&lt;&gt;"",60000*SIGN(AZ525)*(分析データ!C525-INDEX(分析データ!C:C,ROW()+$C$5)),""),"")</f>
        <v/>
      </c>
      <c r="BC525">
        <f t="shared" ca="1" si="229"/>
        <v>1602000.0000000072</v>
      </c>
      <c r="BD525">
        <f t="shared" ca="1" si="230"/>
        <v>1602000.0000000072</v>
      </c>
      <c r="BE525">
        <f t="shared" ca="1" si="231"/>
        <v>0</v>
      </c>
      <c r="BF525">
        <f ca="1">IF(ROW()&lt;($C$7+1),"",IFERROR((分析データ!D525-AVERAGE(OFFSET(分析データ!D$1,MAX(1,ROW()-$C$7),0,MIN($C$7,ROW()-1),1)))/STDEV(OFFSET(分析データ!D$1,MAX(1,ROW()-$C$7),0,MIN($C$7,ROW()-1),1)),0))</f>
        <v>-0.64746656168716188</v>
      </c>
      <c r="BG525">
        <f t="shared" ca="1" si="232"/>
        <v>0</v>
      </c>
      <c r="BH525" t="str">
        <f ca="1">IF(BG525=1,IF(INDEX(分析データ!$A:$A,ROW()+$C$5)&lt;&gt;"",50000*SIGN(BF525)*(分析データ!D525-INDEX(分析データ!D:D,ROW()+$C$5)),""),"")</f>
        <v/>
      </c>
      <c r="BI525">
        <f t="shared" ca="1" si="233"/>
        <v>-779999.99999999418</v>
      </c>
      <c r="BJ525">
        <f t="shared" ca="1" si="234"/>
        <v>1695000.0000000016</v>
      </c>
      <c r="BK525">
        <f t="shared" ca="1" si="235"/>
        <v>-2474999.9999999958</v>
      </c>
      <c r="BL525">
        <f ca="1">IF(ROW()&lt;($C$7+1),"",IFERROR((分析データ!E525-AVERAGE(OFFSET(分析データ!E$1,MAX(1,ROW()-$C$7),0,MIN($C$7,ROW()-1),1)))/STDEV(OFFSET(分析データ!E$1,MAX(1,ROW()-$C$7),0,MIN($C$7,ROW()-1),1)),0))</f>
        <v>1.0504854666216963</v>
      </c>
      <c r="BM525">
        <f t="shared" ca="1" si="236"/>
        <v>0</v>
      </c>
      <c r="BN525" t="str">
        <f ca="1">IF(BM525=1,IF(INDEX(分析データ!$A:$A,ROW()+$C$5)&lt;&gt;"",40000*SIGN(BL525)*(分析データ!E525-INDEX(分析データ!E:E,ROW()+$C$5)),""),"")</f>
        <v/>
      </c>
      <c r="BO525">
        <f t="shared" ca="1" si="237"/>
        <v>1320000.0000000075</v>
      </c>
      <c r="BP525">
        <f t="shared" ca="1" si="238"/>
        <v>1320000.0000000075</v>
      </c>
      <c r="BQ525">
        <f t="shared" ca="1" si="239"/>
        <v>0</v>
      </c>
      <c r="BR525">
        <f ca="1">IF(ROW()&lt;($C$7+1),"",IFERROR((分析データ!F525-AVERAGE(OFFSET(分析データ!F$1,MAX(1,ROW()-$C$7),0,MIN($C$7,ROW()-1),1)))/STDEV(OFFSET(分析データ!F$1,MAX(1,ROW()-$C$7),0,MIN($C$7,ROW()-1),1)),0))</f>
        <v>-1.0232362856567943</v>
      </c>
      <c r="BS525">
        <f t="shared" ca="1" si="240"/>
        <v>0</v>
      </c>
      <c r="BT525" t="str">
        <f ca="1">IF(BS525=1,IF(INDEX(分析データ!$A:$A,ROW()+$C$5)&lt;&gt;"",40000*SIGN(BR525)*(分析データ!F525-INDEX(分析データ!F:F,ROW()+$C$5)),""),"")</f>
        <v/>
      </c>
      <c r="BU525">
        <f t="shared" ca="1" si="241"/>
        <v>3534799.9999999953</v>
      </c>
      <c r="BV525">
        <f t="shared" ca="1" si="242"/>
        <v>3534799.9999999953</v>
      </c>
      <c r="BW525">
        <f t="shared" ca="1" si="243"/>
        <v>0</v>
      </c>
      <c r="BX525">
        <f ca="1">IF(ROW()&lt;($C$7+1),"",IFERROR((分析データ!G525-AVERAGE(OFFSET(分析データ!G$1,MAX(1,ROW()-$C$7),0,MIN($C$7,ROW()-1),1)))/STDEV(OFFSET(分析データ!G$1,MAX(1,ROW()-$C$7),0,MIN($C$7,ROW()-1),1)),0))</f>
        <v>1.9463849980319219</v>
      </c>
      <c r="BY525">
        <f t="shared" ca="1" si="244"/>
        <v>0</v>
      </c>
      <c r="BZ525" t="str">
        <f ca="1">IF(BY525=1,IF(INDEX(分析データ!$A:$A,ROW()+$C$5)&lt;&gt;"",40000*SIGN(BX525)*(分析データ!G525-INDEX(分析データ!G:G,ROW()+$C$5)),""),"")</f>
        <v/>
      </c>
      <c r="CA525">
        <f t="shared" ca="1" si="245"/>
        <v>7853552.856445305</v>
      </c>
      <c r="CB525">
        <f t="shared" ca="1" si="246"/>
        <v>7853552.856445305</v>
      </c>
      <c r="CC525">
        <f t="shared" ca="1" si="247"/>
        <v>0</v>
      </c>
      <c r="CD525">
        <f t="shared" ca="1" si="248"/>
        <v>0</v>
      </c>
      <c r="CE525">
        <f t="shared" ca="1" si="249"/>
        <v>8530352.8564453349</v>
      </c>
      <c r="CF525">
        <f t="shared" ca="1" si="250"/>
        <v>8530352.8564453349</v>
      </c>
      <c r="CG525">
        <f t="shared" ca="1" si="251"/>
        <v>0</v>
      </c>
      <c r="CH525" s="10">
        <f>分析データ!A525</f>
        <v>45693</v>
      </c>
    </row>
    <row r="526" spans="46:86">
      <c r="AT526">
        <f ca="1">IF(ROW()&lt;($C$7+1),"",IFERROR((分析データ!B526-AVERAGE(OFFSET(分析データ!B$1,MAX(1,ROW()-$C$7),0,MIN($C$7,ROW()-1),1)))/STDEV(OFFSET(分析データ!B$1,MAX(1,ROW()-$C$7),0,MIN($C$7,ROW()-1),1)),0))</f>
        <v>1.4878419878595475</v>
      </c>
      <c r="AU526">
        <f t="shared" ca="1" si="224"/>
        <v>0</v>
      </c>
      <c r="AV526" t="str">
        <f ca="1">IF(AU526=1,IF(INDEX(分析データ!$A:$A,ROW()+$C$5)&lt;&gt;"",80000*SIGN(AT526)*(分析データ!B526-INDEX(分析データ!B:B,ROW()+$C$5)),""),"")</f>
        <v/>
      </c>
      <c r="AW526">
        <f t="shared" ca="1" si="225"/>
        <v>-4999999.9999999925</v>
      </c>
      <c r="AX526">
        <f t="shared" ca="1" si="226"/>
        <v>0</v>
      </c>
      <c r="AY526">
        <f t="shared" ca="1" si="227"/>
        <v>-4999999.9999999925</v>
      </c>
      <c r="AZ526">
        <f ca="1">IF(ROW()&lt;($C$7+1),"",IFERROR((分析データ!C526-AVERAGE(OFFSET(分析データ!C$1,MAX(1,ROW()-$C$7),0,MIN($C$7,ROW()-1),1)))/STDEV(OFFSET(分析データ!C$1,MAX(1,ROW()-$C$7),0,MIN($C$7,ROW()-1),1)),0))</f>
        <v>0.40451207137922163</v>
      </c>
      <c r="BA526">
        <f t="shared" ca="1" si="228"/>
        <v>0</v>
      </c>
      <c r="BB526" t="str">
        <f ca="1">IF(BA526=1,IF(INDEX(分析データ!$A:$A,ROW()+$C$5)&lt;&gt;"",60000*SIGN(AZ526)*(分析データ!C526-INDEX(分析データ!C:C,ROW()+$C$5)),""),"")</f>
        <v/>
      </c>
      <c r="BC526">
        <f t="shared" ca="1" si="229"/>
        <v>1602000.0000000072</v>
      </c>
      <c r="BD526">
        <f t="shared" ca="1" si="230"/>
        <v>1602000.0000000072</v>
      </c>
      <c r="BE526">
        <f t="shared" ca="1" si="231"/>
        <v>0</v>
      </c>
      <c r="BF526">
        <f ca="1">IF(ROW()&lt;($C$7+1),"",IFERROR((分析データ!D526-AVERAGE(OFFSET(分析データ!D$1,MAX(1,ROW()-$C$7),0,MIN($C$7,ROW()-1),1)))/STDEV(OFFSET(分析データ!D$1,MAX(1,ROW()-$C$7),0,MIN($C$7,ROW()-1),1)),0))</f>
        <v>-0.48834874148491797</v>
      </c>
      <c r="BG526">
        <f t="shared" ca="1" si="232"/>
        <v>0</v>
      </c>
      <c r="BH526" t="str">
        <f ca="1">IF(BG526=1,IF(INDEX(分析データ!$A:$A,ROW()+$C$5)&lt;&gt;"",50000*SIGN(BF526)*(分析データ!D526-INDEX(分析データ!D:D,ROW()+$C$5)),""),"")</f>
        <v/>
      </c>
      <c r="BI526">
        <f t="shared" ca="1" si="233"/>
        <v>-779999.99999999418</v>
      </c>
      <c r="BJ526">
        <f t="shared" ca="1" si="234"/>
        <v>1695000.0000000016</v>
      </c>
      <c r="BK526">
        <f t="shared" ca="1" si="235"/>
        <v>-2474999.9999999958</v>
      </c>
      <c r="BL526">
        <f ca="1">IF(ROW()&lt;($C$7+1),"",IFERROR((分析データ!E526-AVERAGE(OFFSET(分析データ!E$1,MAX(1,ROW()-$C$7),0,MIN($C$7,ROW()-1),1)))/STDEV(OFFSET(分析データ!E$1,MAX(1,ROW()-$C$7),0,MIN($C$7,ROW()-1),1)),0))</f>
        <v>0.82587636582224233</v>
      </c>
      <c r="BM526">
        <f t="shared" ca="1" si="236"/>
        <v>0</v>
      </c>
      <c r="BN526" t="str">
        <f ca="1">IF(BM526=1,IF(INDEX(分析データ!$A:$A,ROW()+$C$5)&lt;&gt;"",40000*SIGN(BL526)*(分析データ!E526-INDEX(分析データ!E:E,ROW()+$C$5)),""),"")</f>
        <v/>
      </c>
      <c r="BO526">
        <f t="shared" ca="1" si="237"/>
        <v>1320000.0000000075</v>
      </c>
      <c r="BP526">
        <f t="shared" ca="1" si="238"/>
        <v>1320000.0000000075</v>
      </c>
      <c r="BQ526">
        <f t="shared" ca="1" si="239"/>
        <v>0</v>
      </c>
      <c r="BR526">
        <f ca="1">IF(ROW()&lt;($C$7+1),"",IFERROR((分析データ!F526-AVERAGE(OFFSET(分析データ!F$1,MAX(1,ROW()-$C$7),0,MIN($C$7,ROW()-1),1)))/STDEV(OFFSET(分析データ!F$1,MAX(1,ROW()-$C$7),0,MIN($C$7,ROW()-1),1)),0))</f>
        <v>-1.3146896294772679</v>
      </c>
      <c r="BS526">
        <f t="shared" ca="1" si="240"/>
        <v>0</v>
      </c>
      <c r="BT526" t="str">
        <f ca="1">IF(BS526=1,IF(INDEX(分析データ!$A:$A,ROW()+$C$5)&lt;&gt;"",40000*SIGN(BR526)*(分析データ!F526-INDEX(分析データ!F:F,ROW()+$C$5)),""),"")</f>
        <v/>
      </c>
      <c r="BU526">
        <f t="shared" ca="1" si="241"/>
        <v>3534799.9999999953</v>
      </c>
      <c r="BV526">
        <f t="shared" ca="1" si="242"/>
        <v>3534799.9999999953</v>
      </c>
      <c r="BW526">
        <f t="shared" ca="1" si="243"/>
        <v>0</v>
      </c>
      <c r="BX526">
        <f ca="1">IF(ROW()&lt;($C$7+1),"",IFERROR((分析データ!G526-AVERAGE(OFFSET(分析データ!G$1,MAX(1,ROW()-$C$7),0,MIN($C$7,ROW()-1),1)))/STDEV(OFFSET(分析データ!G$1,MAX(1,ROW()-$C$7),0,MIN($C$7,ROW()-1),1)),0))</f>
        <v>1.4229279939527519</v>
      </c>
      <c r="BY526">
        <f t="shared" ca="1" si="244"/>
        <v>0</v>
      </c>
      <c r="BZ526" t="str">
        <f ca="1">IF(BY526=1,IF(INDEX(分析データ!$A:$A,ROW()+$C$5)&lt;&gt;"",40000*SIGN(BX526)*(分析データ!G526-INDEX(分析データ!G:G,ROW()+$C$5)),""),"")</f>
        <v/>
      </c>
      <c r="CA526">
        <f t="shared" ca="1" si="245"/>
        <v>7853552.856445305</v>
      </c>
      <c r="CB526">
        <f t="shared" ca="1" si="246"/>
        <v>7853552.856445305</v>
      </c>
      <c r="CC526">
        <f t="shared" ca="1" si="247"/>
        <v>0</v>
      </c>
      <c r="CD526">
        <f t="shared" ca="1" si="248"/>
        <v>0</v>
      </c>
      <c r="CE526">
        <f t="shared" ca="1" si="249"/>
        <v>8530352.8564453349</v>
      </c>
      <c r="CF526">
        <f t="shared" ca="1" si="250"/>
        <v>8530352.8564453349</v>
      </c>
      <c r="CG526">
        <f t="shared" ca="1" si="251"/>
        <v>0</v>
      </c>
      <c r="CH526" s="10">
        <f>分析データ!A526</f>
        <v>45694</v>
      </c>
    </row>
    <row r="527" spans="46:86">
      <c r="AT527">
        <f ca="1">IF(ROW()&lt;($C$7+1),"",IFERROR((分析データ!B527-AVERAGE(OFFSET(分析データ!B$1,MAX(1,ROW()-$C$7),0,MIN($C$7,ROW()-1),1)))/STDEV(OFFSET(分析データ!B$1,MAX(1,ROW()-$C$7),0,MIN($C$7,ROW()-1),1)),0))</f>
        <v>1.3046127318598737</v>
      </c>
      <c r="AU527">
        <f t="shared" ca="1" si="224"/>
        <v>0</v>
      </c>
      <c r="AV527" t="str">
        <f ca="1">IF(AU527=1,IF(INDEX(分析データ!$A:$A,ROW()+$C$5)&lt;&gt;"",80000*SIGN(AT527)*(分析データ!B527-INDEX(分析データ!B:B,ROW()+$C$5)),""),"")</f>
        <v/>
      </c>
      <c r="AW527">
        <f t="shared" ca="1" si="225"/>
        <v>-4999999.9999999925</v>
      </c>
      <c r="AX527">
        <f t="shared" ca="1" si="226"/>
        <v>0</v>
      </c>
      <c r="AY527">
        <f t="shared" ca="1" si="227"/>
        <v>-4999999.9999999925</v>
      </c>
      <c r="AZ527">
        <f ca="1">IF(ROW()&lt;($C$7+1),"",IFERROR((分析データ!C527-AVERAGE(OFFSET(分析データ!C$1,MAX(1,ROW()-$C$7),0,MIN($C$7,ROW()-1),1)))/STDEV(OFFSET(分析データ!C$1,MAX(1,ROW()-$C$7),0,MIN($C$7,ROW()-1),1)),0))</f>
        <v>0.54918179635059494</v>
      </c>
      <c r="BA527">
        <f t="shared" ca="1" si="228"/>
        <v>0</v>
      </c>
      <c r="BB527" t="str">
        <f ca="1">IF(BA527=1,IF(INDEX(分析データ!$A:$A,ROW()+$C$5)&lt;&gt;"",60000*SIGN(AZ527)*(分析データ!C527-INDEX(分析データ!C:C,ROW()+$C$5)),""),"")</f>
        <v/>
      </c>
      <c r="BC527">
        <f t="shared" ca="1" si="229"/>
        <v>1602000.0000000072</v>
      </c>
      <c r="BD527">
        <f t="shared" ca="1" si="230"/>
        <v>1602000.0000000072</v>
      </c>
      <c r="BE527">
        <f t="shared" ca="1" si="231"/>
        <v>0</v>
      </c>
      <c r="BF527">
        <f ca="1">IF(ROW()&lt;($C$7+1),"",IFERROR((分析データ!D527-AVERAGE(OFFSET(分析データ!D$1,MAX(1,ROW()-$C$7),0,MIN($C$7,ROW()-1),1)))/STDEV(OFFSET(分析データ!D$1,MAX(1,ROW()-$C$7),0,MIN($C$7,ROW()-1),1)),0))</f>
        <v>-0.47229005207866526</v>
      </c>
      <c r="BG527">
        <f t="shared" ca="1" si="232"/>
        <v>0</v>
      </c>
      <c r="BH527" t="str">
        <f ca="1">IF(BG527=1,IF(INDEX(分析データ!$A:$A,ROW()+$C$5)&lt;&gt;"",50000*SIGN(BF527)*(分析データ!D527-INDEX(分析データ!D:D,ROW()+$C$5)),""),"")</f>
        <v/>
      </c>
      <c r="BI527">
        <f t="shared" ca="1" si="233"/>
        <v>-779999.99999999418</v>
      </c>
      <c r="BJ527">
        <f t="shared" ca="1" si="234"/>
        <v>1695000.0000000016</v>
      </c>
      <c r="BK527">
        <f t="shared" ca="1" si="235"/>
        <v>-2474999.9999999958</v>
      </c>
      <c r="BL527">
        <f ca="1">IF(ROW()&lt;($C$7+1),"",IFERROR((分析データ!E527-AVERAGE(OFFSET(分析データ!E$1,MAX(1,ROW()-$C$7),0,MIN($C$7,ROW()-1),1)))/STDEV(OFFSET(分析データ!E$1,MAX(1,ROW()-$C$7),0,MIN($C$7,ROW()-1),1)),0))</f>
        <v>0.60282774933781158</v>
      </c>
      <c r="BM527">
        <f t="shared" ca="1" si="236"/>
        <v>0</v>
      </c>
      <c r="BN527" t="str">
        <f ca="1">IF(BM527=1,IF(INDEX(分析データ!$A:$A,ROW()+$C$5)&lt;&gt;"",40000*SIGN(BL527)*(分析データ!E527-INDEX(分析データ!E:E,ROW()+$C$5)),""),"")</f>
        <v/>
      </c>
      <c r="BO527">
        <f t="shared" ca="1" si="237"/>
        <v>1320000.0000000075</v>
      </c>
      <c r="BP527">
        <f t="shared" ca="1" si="238"/>
        <v>1320000.0000000075</v>
      </c>
      <c r="BQ527">
        <f t="shared" ca="1" si="239"/>
        <v>0</v>
      </c>
      <c r="BR527">
        <f ca="1">IF(ROW()&lt;($C$7+1),"",IFERROR((分析データ!F527-AVERAGE(OFFSET(分析データ!F$1,MAX(1,ROW()-$C$7),0,MIN($C$7,ROW()-1),1)))/STDEV(OFFSET(分析データ!F$1,MAX(1,ROW()-$C$7),0,MIN($C$7,ROW()-1),1)),0))</f>
        <v>-1.5607866291115866</v>
      </c>
      <c r="BS527">
        <f t="shared" ca="1" si="240"/>
        <v>0</v>
      </c>
      <c r="BT527" t="str">
        <f ca="1">IF(BS527=1,IF(INDEX(分析データ!$A:$A,ROW()+$C$5)&lt;&gt;"",40000*SIGN(BR527)*(分析データ!F527-INDEX(分析データ!F:F,ROW()+$C$5)),""),"")</f>
        <v/>
      </c>
      <c r="BU527">
        <f t="shared" ca="1" si="241"/>
        <v>3534799.9999999953</v>
      </c>
      <c r="BV527">
        <f t="shared" ca="1" si="242"/>
        <v>3534799.9999999953</v>
      </c>
      <c r="BW527">
        <f t="shared" ca="1" si="243"/>
        <v>0</v>
      </c>
      <c r="BX527">
        <f ca="1">IF(ROW()&lt;($C$7+1),"",IFERROR((分析データ!G527-AVERAGE(OFFSET(分析データ!G$1,MAX(1,ROW()-$C$7),0,MIN($C$7,ROW()-1),1)))/STDEV(OFFSET(分析データ!G$1,MAX(1,ROW()-$C$7),0,MIN($C$7,ROW()-1),1)),0))</f>
        <v>2.3342571337488653</v>
      </c>
      <c r="BY527">
        <f t="shared" ca="1" si="244"/>
        <v>1</v>
      </c>
      <c r="BZ527">
        <f ca="1">IF(BY527=1,IF(INDEX(分析データ!$A:$A,ROW()+$C$5)&lt;&gt;"",40000*SIGN(BX527)*(分析データ!G527-INDEX(分析データ!G:G,ROW()+$C$5)),""),"")</f>
        <v>518319.99999999651</v>
      </c>
      <c r="CA527">
        <f t="shared" ca="1" si="245"/>
        <v>8371872.8564453013</v>
      </c>
      <c r="CB527">
        <f t="shared" ca="1" si="246"/>
        <v>8371872.8564453013</v>
      </c>
      <c r="CC527">
        <f t="shared" ca="1" si="247"/>
        <v>0</v>
      </c>
      <c r="CD527">
        <f t="shared" ca="1" si="248"/>
        <v>518319.99999999651</v>
      </c>
      <c r="CE527">
        <f t="shared" ca="1" si="249"/>
        <v>9048672.8564453311</v>
      </c>
      <c r="CF527">
        <f t="shared" ca="1" si="250"/>
        <v>9048672.8564453311</v>
      </c>
      <c r="CG527">
        <f t="shared" ca="1" si="251"/>
        <v>0</v>
      </c>
      <c r="CH527" s="10">
        <f>分析データ!A527</f>
        <v>45695</v>
      </c>
    </row>
    <row r="528" spans="46:86">
      <c r="AT528">
        <f ca="1">IF(ROW()&lt;($C$7+1),"",IFERROR((分析データ!B528-AVERAGE(OFFSET(分析データ!B$1,MAX(1,ROW()-$C$7),0,MIN($C$7,ROW()-1),1)))/STDEV(OFFSET(分析データ!B$1,MAX(1,ROW()-$C$7),0,MIN($C$7,ROW()-1),1)),0))</f>
        <v>1.420562718182776</v>
      </c>
      <c r="AU528">
        <f t="shared" ca="1" si="224"/>
        <v>0</v>
      </c>
      <c r="AV528" t="str">
        <f ca="1">IF(AU528=1,IF(INDEX(分析データ!$A:$A,ROW()+$C$5)&lt;&gt;"",80000*SIGN(AT528)*(分析データ!B528-INDEX(分析データ!B:B,ROW()+$C$5)),""),"")</f>
        <v/>
      </c>
      <c r="AW528">
        <f t="shared" ca="1" si="225"/>
        <v>-4999999.9999999925</v>
      </c>
      <c r="AX528">
        <f t="shared" ca="1" si="226"/>
        <v>0</v>
      </c>
      <c r="AY528">
        <f t="shared" ca="1" si="227"/>
        <v>-4999999.9999999925</v>
      </c>
      <c r="AZ528">
        <f ca="1">IF(ROW()&lt;($C$7+1),"",IFERROR((分析データ!C528-AVERAGE(OFFSET(分析データ!C$1,MAX(1,ROW()-$C$7),0,MIN($C$7,ROW()-1),1)))/STDEV(OFFSET(分析データ!C$1,MAX(1,ROW()-$C$7),0,MIN($C$7,ROW()-1),1)),0))</f>
        <v>0.7025637176338333</v>
      </c>
      <c r="BA528">
        <f t="shared" ca="1" si="228"/>
        <v>0</v>
      </c>
      <c r="BB528" t="str">
        <f ca="1">IF(BA528=1,IF(INDEX(分析データ!$A:$A,ROW()+$C$5)&lt;&gt;"",60000*SIGN(AZ528)*(分析データ!C528-INDEX(分析データ!C:C,ROW()+$C$5)),""),"")</f>
        <v/>
      </c>
      <c r="BC528">
        <f t="shared" ca="1" si="229"/>
        <v>1602000.0000000072</v>
      </c>
      <c r="BD528">
        <f t="shared" ca="1" si="230"/>
        <v>1602000.0000000072</v>
      </c>
      <c r="BE528">
        <f t="shared" ca="1" si="231"/>
        <v>0</v>
      </c>
      <c r="BF528">
        <f ca="1">IF(ROW()&lt;($C$7+1),"",IFERROR((分析データ!D528-AVERAGE(OFFSET(分析データ!D$1,MAX(1,ROW()-$C$7),0,MIN($C$7,ROW()-1),1)))/STDEV(OFFSET(分析データ!D$1,MAX(1,ROW()-$C$7),0,MIN($C$7,ROW()-1),1)),0))</f>
        <v>-0.43343484674654498</v>
      </c>
      <c r="BG528">
        <f t="shared" ca="1" si="232"/>
        <v>0</v>
      </c>
      <c r="BH528" t="str">
        <f ca="1">IF(BG528=1,IF(INDEX(分析データ!$A:$A,ROW()+$C$5)&lt;&gt;"",50000*SIGN(BF528)*(分析データ!D528-INDEX(分析データ!D:D,ROW()+$C$5)),""),"")</f>
        <v/>
      </c>
      <c r="BI528">
        <f t="shared" ca="1" si="233"/>
        <v>-779999.99999999418</v>
      </c>
      <c r="BJ528">
        <f t="shared" ca="1" si="234"/>
        <v>1695000.0000000016</v>
      </c>
      <c r="BK528">
        <f t="shared" ca="1" si="235"/>
        <v>-2474999.9999999958</v>
      </c>
      <c r="BL528">
        <f ca="1">IF(ROW()&lt;($C$7+1),"",IFERROR((分析データ!E528-AVERAGE(OFFSET(分析データ!E$1,MAX(1,ROW()-$C$7),0,MIN($C$7,ROW()-1),1)))/STDEV(OFFSET(分析データ!E$1,MAX(1,ROW()-$C$7),0,MIN($C$7,ROW()-1),1)),0))</f>
        <v>0.81547756875966804</v>
      </c>
      <c r="BM528">
        <f t="shared" ca="1" si="236"/>
        <v>0</v>
      </c>
      <c r="BN528" t="str">
        <f ca="1">IF(BM528=1,IF(INDEX(分析データ!$A:$A,ROW()+$C$5)&lt;&gt;"",40000*SIGN(BL528)*(分析データ!E528-INDEX(分析データ!E:E,ROW()+$C$5)),""),"")</f>
        <v/>
      </c>
      <c r="BO528">
        <f t="shared" ca="1" si="237"/>
        <v>1320000.0000000075</v>
      </c>
      <c r="BP528">
        <f t="shared" ca="1" si="238"/>
        <v>1320000.0000000075</v>
      </c>
      <c r="BQ528">
        <f t="shared" ca="1" si="239"/>
        <v>0</v>
      </c>
      <c r="BR528">
        <f ca="1">IF(ROW()&lt;($C$7+1),"",IFERROR((分析データ!F528-AVERAGE(OFFSET(分析データ!F$1,MAX(1,ROW()-$C$7),0,MIN($C$7,ROW()-1),1)))/STDEV(OFFSET(分析データ!F$1,MAX(1,ROW()-$C$7),0,MIN($C$7,ROW()-1),1)),0))</f>
        <v>-1.5504783506001241</v>
      </c>
      <c r="BS528">
        <f t="shared" ca="1" si="240"/>
        <v>0</v>
      </c>
      <c r="BT528" t="str">
        <f ca="1">IF(BS528=1,IF(INDEX(分析データ!$A:$A,ROW()+$C$5)&lt;&gt;"",40000*SIGN(BR528)*(分析データ!F528-INDEX(分析データ!F:F,ROW()+$C$5)),""),"")</f>
        <v/>
      </c>
      <c r="BU528">
        <f t="shared" ca="1" si="241"/>
        <v>3534799.9999999953</v>
      </c>
      <c r="BV528">
        <f t="shared" ca="1" si="242"/>
        <v>3534799.9999999953</v>
      </c>
      <c r="BW528">
        <f t="shared" ca="1" si="243"/>
        <v>0</v>
      </c>
      <c r="BX528">
        <f ca="1">IF(ROW()&lt;($C$7+1),"",IFERROR((分析データ!G528-AVERAGE(OFFSET(分析データ!G$1,MAX(1,ROW()-$C$7),0,MIN($C$7,ROW()-1),1)))/STDEV(OFFSET(分析データ!G$1,MAX(1,ROW()-$C$7),0,MIN($C$7,ROW()-1),1)),0))</f>
        <v>2.149590421052995</v>
      </c>
      <c r="BY528">
        <f t="shared" ca="1" si="244"/>
        <v>1</v>
      </c>
      <c r="BZ528">
        <f ca="1">IF(BY528=1,IF(INDEX(分析データ!$A:$A,ROW()+$C$5)&lt;&gt;"",40000*SIGN(BX528)*(分析データ!G528-INDEX(分析データ!G:G,ROW()+$C$5)),""),"")</f>
        <v>103927.14355469395</v>
      </c>
      <c r="CA528">
        <f t="shared" ca="1" si="245"/>
        <v>8475799.9999999944</v>
      </c>
      <c r="CB528">
        <f t="shared" ca="1" si="246"/>
        <v>8475799.9999999944</v>
      </c>
      <c r="CC528">
        <f t="shared" ca="1" si="247"/>
        <v>0</v>
      </c>
      <c r="CD528">
        <f t="shared" ca="1" si="248"/>
        <v>103927.14355469395</v>
      </c>
      <c r="CE528">
        <f t="shared" ca="1" si="249"/>
        <v>9152600.0000000242</v>
      </c>
      <c r="CF528">
        <f t="shared" ca="1" si="250"/>
        <v>9152600.0000000242</v>
      </c>
      <c r="CG528">
        <f t="shared" ca="1" si="251"/>
        <v>0</v>
      </c>
      <c r="CH528" s="10">
        <f>分析データ!A528</f>
        <v>45698</v>
      </c>
    </row>
    <row r="529" spans="46:86">
      <c r="AT529">
        <f ca="1">IF(ROW()&lt;($C$7+1),"",IFERROR((分析データ!B529-AVERAGE(OFFSET(分析データ!B$1,MAX(1,ROW()-$C$7),0,MIN($C$7,ROW()-1),1)))/STDEV(OFFSET(分析データ!B$1,MAX(1,ROW()-$C$7),0,MIN($C$7,ROW()-1),1)),0))</f>
        <v>1.4503938307444351</v>
      </c>
      <c r="AU529">
        <f t="shared" ca="1" si="224"/>
        <v>0</v>
      </c>
      <c r="AV529" t="str">
        <f ca="1">IF(AU529=1,IF(INDEX(分析データ!$A:$A,ROW()+$C$5)&lt;&gt;"",80000*SIGN(AT529)*(分析データ!B529-INDEX(分析データ!B:B,ROW()+$C$5)),""),"")</f>
        <v/>
      </c>
      <c r="AW529">
        <f t="shared" ca="1" si="225"/>
        <v>-4999999.9999999925</v>
      </c>
      <c r="AX529">
        <f t="shared" ca="1" si="226"/>
        <v>0</v>
      </c>
      <c r="AY529">
        <f t="shared" ca="1" si="227"/>
        <v>-4999999.9999999925</v>
      </c>
      <c r="AZ529">
        <f ca="1">IF(ROW()&lt;($C$7+1),"",IFERROR((分析データ!C529-AVERAGE(OFFSET(分析データ!C$1,MAX(1,ROW()-$C$7),0,MIN($C$7,ROW()-1),1)))/STDEV(OFFSET(分析データ!C$1,MAX(1,ROW()-$C$7),0,MIN($C$7,ROW()-1),1)),0))</f>
        <v>0.70489157055065588</v>
      </c>
      <c r="BA529">
        <f t="shared" ca="1" si="228"/>
        <v>0</v>
      </c>
      <c r="BB529" t="str">
        <f ca="1">IF(BA529=1,IF(INDEX(分析データ!$A:$A,ROW()+$C$5)&lt;&gt;"",60000*SIGN(AZ529)*(分析データ!C529-INDEX(分析データ!C:C,ROW()+$C$5)),""),"")</f>
        <v/>
      </c>
      <c r="BC529">
        <f t="shared" ca="1" si="229"/>
        <v>1602000.0000000072</v>
      </c>
      <c r="BD529">
        <f t="shared" ca="1" si="230"/>
        <v>1602000.0000000072</v>
      </c>
      <c r="BE529">
        <f t="shared" ca="1" si="231"/>
        <v>0</v>
      </c>
      <c r="BF529">
        <f ca="1">IF(ROW()&lt;($C$7+1),"",IFERROR((分析データ!D529-AVERAGE(OFFSET(分析データ!D$1,MAX(1,ROW()-$C$7),0,MIN($C$7,ROW()-1),1)))/STDEV(OFFSET(分析データ!D$1,MAX(1,ROW()-$C$7),0,MIN($C$7,ROW()-1),1)),0))</f>
        <v>-0.31100777648939365</v>
      </c>
      <c r="BG529">
        <f t="shared" ca="1" si="232"/>
        <v>0</v>
      </c>
      <c r="BH529" t="str">
        <f ca="1">IF(BG529=1,IF(INDEX(分析データ!$A:$A,ROW()+$C$5)&lt;&gt;"",50000*SIGN(BF529)*(分析データ!D529-INDEX(分析データ!D:D,ROW()+$C$5)),""),"")</f>
        <v/>
      </c>
      <c r="BI529">
        <f t="shared" ca="1" si="233"/>
        <v>-779999.99999999418</v>
      </c>
      <c r="BJ529">
        <f t="shared" ca="1" si="234"/>
        <v>1695000.0000000016</v>
      </c>
      <c r="BK529">
        <f t="shared" ca="1" si="235"/>
        <v>-2474999.9999999958</v>
      </c>
      <c r="BL529">
        <f ca="1">IF(ROW()&lt;($C$7+1),"",IFERROR((分析データ!E529-AVERAGE(OFFSET(分析データ!E$1,MAX(1,ROW()-$C$7),0,MIN($C$7,ROW()-1),1)))/STDEV(OFFSET(分析データ!E$1,MAX(1,ROW()-$C$7),0,MIN($C$7,ROW()-1),1)),0))</f>
        <v>0.80917834384347154</v>
      </c>
      <c r="BM529">
        <f t="shared" ca="1" si="236"/>
        <v>0</v>
      </c>
      <c r="BN529" t="str">
        <f ca="1">IF(BM529=1,IF(INDEX(分析データ!$A:$A,ROW()+$C$5)&lt;&gt;"",40000*SIGN(BL529)*(分析データ!E529-INDEX(分析データ!E:E,ROW()+$C$5)),""),"")</f>
        <v/>
      </c>
      <c r="BO529">
        <f t="shared" ca="1" si="237"/>
        <v>1320000.0000000075</v>
      </c>
      <c r="BP529">
        <f t="shared" ca="1" si="238"/>
        <v>1320000.0000000075</v>
      </c>
      <c r="BQ529">
        <f t="shared" ca="1" si="239"/>
        <v>0</v>
      </c>
      <c r="BR529">
        <f ca="1">IF(ROW()&lt;($C$7+1),"",IFERROR((分析データ!F529-AVERAGE(OFFSET(分析データ!F$1,MAX(1,ROW()-$C$7),0,MIN($C$7,ROW()-1),1)))/STDEV(OFFSET(分析データ!F$1,MAX(1,ROW()-$C$7),0,MIN($C$7,ROW()-1),1)),0))</f>
        <v>-1.6824042238026562</v>
      </c>
      <c r="BS529">
        <f t="shared" ca="1" si="240"/>
        <v>0</v>
      </c>
      <c r="BT529" t="str">
        <f ca="1">IF(BS529=1,IF(INDEX(分析データ!$A:$A,ROW()+$C$5)&lt;&gt;"",40000*SIGN(BR529)*(分析データ!F529-INDEX(分析データ!F:F,ROW()+$C$5)),""),"")</f>
        <v/>
      </c>
      <c r="BU529">
        <f t="shared" ca="1" si="241"/>
        <v>3534799.9999999953</v>
      </c>
      <c r="BV529">
        <f t="shared" ca="1" si="242"/>
        <v>3534799.9999999953</v>
      </c>
      <c r="BW529">
        <f t="shared" ca="1" si="243"/>
        <v>0</v>
      </c>
      <c r="BX529">
        <f ca="1">IF(ROW()&lt;($C$7+1),"",IFERROR((分析データ!G529-AVERAGE(OFFSET(分析データ!G$1,MAX(1,ROW()-$C$7),0,MIN($C$7,ROW()-1),1)))/STDEV(OFFSET(分析データ!G$1,MAX(1,ROW()-$C$7),0,MIN($C$7,ROW()-1),1)),0))</f>
        <v>2.143130967783236</v>
      </c>
      <c r="BY529">
        <f t="shared" ca="1" si="244"/>
        <v>1</v>
      </c>
      <c r="BZ529">
        <f ca="1">IF(BY529=1,IF(INDEX(分析データ!$A:$A,ROW()+$C$5)&lt;&gt;"",40000*SIGN(BX529)*(分析データ!G529-INDEX(分析データ!G:G,ROW()+$C$5)),""),"")</f>
        <v>472647.14355468925</v>
      </c>
      <c r="CA529">
        <f t="shared" ca="1" si="245"/>
        <v>8948447.1435546838</v>
      </c>
      <c r="CB529">
        <f t="shared" ca="1" si="246"/>
        <v>8948447.1435546838</v>
      </c>
      <c r="CC529">
        <f t="shared" ca="1" si="247"/>
        <v>0</v>
      </c>
      <c r="CD529">
        <f t="shared" ca="1" si="248"/>
        <v>472647.14355468925</v>
      </c>
      <c r="CE529">
        <f t="shared" ca="1" si="249"/>
        <v>9625247.1435547136</v>
      </c>
      <c r="CF529">
        <f t="shared" ca="1" si="250"/>
        <v>9625247.1435547136</v>
      </c>
      <c r="CG529">
        <f t="shared" ca="1" si="251"/>
        <v>0</v>
      </c>
      <c r="CH529" s="10">
        <f>分析データ!A529</f>
        <v>45699</v>
      </c>
    </row>
    <row r="530" spans="46:86">
      <c r="AT530">
        <f ca="1">IF(ROW()&lt;($C$7+1),"",IFERROR((分析データ!B530-AVERAGE(OFFSET(分析データ!B$1,MAX(1,ROW()-$C$7),0,MIN($C$7,ROW()-1),1)))/STDEV(OFFSET(分析データ!B$1,MAX(1,ROW()-$C$7),0,MIN($C$7,ROW()-1),1)),0))</f>
        <v>1.4795518417139255</v>
      </c>
      <c r="AU530">
        <f t="shared" ca="1" si="224"/>
        <v>0</v>
      </c>
      <c r="AV530" t="str">
        <f ca="1">IF(AU530=1,IF(INDEX(分析データ!$A:$A,ROW()+$C$5)&lt;&gt;"",80000*SIGN(AT530)*(分析データ!B530-INDEX(分析データ!B:B,ROW()+$C$5)),""),"")</f>
        <v/>
      </c>
      <c r="AW530">
        <f t="shared" ca="1" si="225"/>
        <v>-4999999.9999999925</v>
      </c>
      <c r="AX530">
        <f t="shared" ca="1" si="226"/>
        <v>0</v>
      </c>
      <c r="AY530">
        <f t="shared" ca="1" si="227"/>
        <v>-4999999.9999999925</v>
      </c>
      <c r="AZ530">
        <f ca="1">IF(ROW()&lt;($C$7+1),"",IFERROR((分析データ!C530-AVERAGE(OFFSET(分析データ!C$1,MAX(1,ROW()-$C$7),0,MIN($C$7,ROW()-1),1)))/STDEV(OFFSET(分析データ!C$1,MAX(1,ROW()-$C$7),0,MIN($C$7,ROW()-1),1)),0))</f>
        <v>1.0982996360840929</v>
      </c>
      <c r="BA530">
        <f t="shared" ca="1" si="228"/>
        <v>0</v>
      </c>
      <c r="BB530" t="str">
        <f ca="1">IF(BA530=1,IF(INDEX(分析データ!$A:$A,ROW()+$C$5)&lt;&gt;"",60000*SIGN(AZ530)*(分析データ!C530-INDEX(分析データ!C:C,ROW()+$C$5)),""),"")</f>
        <v/>
      </c>
      <c r="BC530">
        <f t="shared" ca="1" si="229"/>
        <v>1602000.0000000072</v>
      </c>
      <c r="BD530">
        <f t="shared" ca="1" si="230"/>
        <v>1602000.0000000072</v>
      </c>
      <c r="BE530">
        <f t="shared" ca="1" si="231"/>
        <v>0</v>
      </c>
      <c r="BF530">
        <f ca="1">IF(ROW()&lt;($C$7+1),"",IFERROR((分析データ!D530-AVERAGE(OFFSET(分析データ!D$1,MAX(1,ROW()-$C$7),0,MIN($C$7,ROW()-1),1)))/STDEV(OFFSET(分析データ!D$1,MAX(1,ROW()-$C$7),0,MIN($C$7,ROW()-1),1)),0))</f>
        <v>-0.10041192176882278</v>
      </c>
      <c r="BG530">
        <f t="shared" ca="1" si="232"/>
        <v>0</v>
      </c>
      <c r="BH530" t="str">
        <f ca="1">IF(BG530=1,IF(INDEX(分析データ!$A:$A,ROW()+$C$5)&lt;&gt;"",50000*SIGN(BF530)*(分析データ!D530-INDEX(分析データ!D:D,ROW()+$C$5)),""),"")</f>
        <v/>
      </c>
      <c r="BI530">
        <f t="shared" ca="1" si="233"/>
        <v>-779999.99999999418</v>
      </c>
      <c r="BJ530">
        <f t="shared" ca="1" si="234"/>
        <v>1695000.0000000016</v>
      </c>
      <c r="BK530">
        <f t="shared" ca="1" si="235"/>
        <v>-2474999.9999999958</v>
      </c>
      <c r="BL530">
        <f ca="1">IF(ROW()&lt;($C$7+1),"",IFERROR((分析データ!E530-AVERAGE(OFFSET(分析データ!E$1,MAX(1,ROW()-$C$7),0,MIN($C$7,ROW()-1),1)))/STDEV(OFFSET(分析データ!E$1,MAX(1,ROW()-$C$7),0,MIN($C$7,ROW()-1),1)),0))</f>
        <v>0.47773573627151078</v>
      </c>
      <c r="BM530">
        <f t="shared" ca="1" si="236"/>
        <v>0</v>
      </c>
      <c r="BN530" t="str">
        <f ca="1">IF(BM530=1,IF(INDEX(分析データ!$A:$A,ROW()+$C$5)&lt;&gt;"",40000*SIGN(BL530)*(分析データ!E530-INDEX(分析データ!E:E,ROW()+$C$5)),""),"")</f>
        <v/>
      </c>
      <c r="BO530">
        <f t="shared" ca="1" si="237"/>
        <v>1320000.0000000075</v>
      </c>
      <c r="BP530">
        <f t="shared" ca="1" si="238"/>
        <v>1320000.0000000075</v>
      </c>
      <c r="BQ530">
        <f t="shared" ca="1" si="239"/>
        <v>0</v>
      </c>
      <c r="BR530">
        <f ca="1">IF(ROW()&lt;($C$7+1),"",IFERROR((分析データ!F530-AVERAGE(OFFSET(分析データ!F$1,MAX(1,ROW()-$C$7),0,MIN($C$7,ROW()-1),1)))/STDEV(OFFSET(分析データ!F$1,MAX(1,ROW()-$C$7),0,MIN($C$7,ROW()-1),1)),0))</f>
        <v>-1.7431298783585314</v>
      </c>
      <c r="BS530">
        <f t="shared" ca="1" si="240"/>
        <v>0</v>
      </c>
      <c r="BT530" t="str">
        <f ca="1">IF(BS530=1,IF(INDEX(分析データ!$A:$A,ROW()+$C$5)&lt;&gt;"",40000*SIGN(BR530)*(分析データ!F530-INDEX(分析データ!F:F,ROW()+$C$5)),""),"")</f>
        <v/>
      </c>
      <c r="BU530">
        <f t="shared" ca="1" si="241"/>
        <v>3534799.9999999953</v>
      </c>
      <c r="BV530">
        <f t="shared" ca="1" si="242"/>
        <v>3534799.9999999953</v>
      </c>
      <c r="BW530">
        <f t="shared" ca="1" si="243"/>
        <v>0</v>
      </c>
      <c r="BX530">
        <f ca="1">IF(ROW()&lt;($C$7+1),"",IFERROR((分析データ!G530-AVERAGE(OFFSET(分析データ!G$1,MAX(1,ROW()-$C$7),0,MIN($C$7,ROW()-1),1)))/STDEV(OFFSET(分析データ!G$1,MAX(1,ROW()-$C$7),0,MIN($C$7,ROW()-1),1)),0))</f>
        <v>1.8129650381312621</v>
      </c>
      <c r="BY530">
        <f t="shared" ca="1" si="244"/>
        <v>0</v>
      </c>
      <c r="BZ530" t="str">
        <f ca="1">IF(BY530=1,IF(INDEX(分析データ!$A:$A,ROW()+$C$5)&lt;&gt;"",40000*SIGN(BX530)*(分析データ!G530-INDEX(分析データ!G:G,ROW()+$C$5)),""),"")</f>
        <v/>
      </c>
      <c r="CA530">
        <f t="shared" ca="1" si="245"/>
        <v>8948447.1435546838</v>
      </c>
      <c r="CB530">
        <f t="shared" ca="1" si="246"/>
        <v>8948447.1435546838</v>
      </c>
      <c r="CC530">
        <f t="shared" ca="1" si="247"/>
        <v>0</v>
      </c>
      <c r="CD530">
        <f t="shared" ca="1" si="248"/>
        <v>0</v>
      </c>
      <c r="CE530">
        <f t="shared" ca="1" si="249"/>
        <v>9625247.1435547136</v>
      </c>
      <c r="CF530">
        <f t="shared" ca="1" si="250"/>
        <v>9625247.1435547136</v>
      </c>
      <c r="CG530">
        <f t="shared" ca="1" si="251"/>
        <v>0</v>
      </c>
      <c r="CH530" s="10">
        <f>分析データ!A530</f>
        <v>45700</v>
      </c>
    </row>
    <row r="531" spans="46:86">
      <c r="AT531">
        <f ca="1">IF(ROW()&lt;($C$7+1),"",IFERROR((分析データ!B531-AVERAGE(OFFSET(分析データ!B$1,MAX(1,ROW()-$C$7),0,MIN($C$7,ROW()-1),1)))/STDEV(OFFSET(分析データ!B$1,MAX(1,ROW()-$C$7),0,MIN($C$7,ROW()-1),1)),0))</f>
        <v>1.2981373595782724</v>
      </c>
      <c r="AU531">
        <f t="shared" ca="1" si="224"/>
        <v>0</v>
      </c>
      <c r="AV531" t="str">
        <f ca="1">IF(AU531=1,IF(INDEX(分析データ!$A:$A,ROW()+$C$5)&lt;&gt;"",80000*SIGN(AT531)*(分析データ!B531-INDEX(分析データ!B:B,ROW()+$C$5)),""),"")</f>
        <v/>
      </c>
      <c r="AW531">
        <f t="shared" ca="1" si="225"/>
        <v>-4999999.9999999925</v>
      </c>
      <c r="AX531">
        <f t="shared" ca="1" si="226"/>
        <v>0</v>
      </c>
      <c r="AY531">
        <f t="shared" ca="1" si="227"/>
        <v>-4999999.9999999925</v>
      </c>
      <c r="AZ531">
        <f ca="1">IF(ROW()&lt;($C$7+1),"",IFERROR((分析データ!C531-AVERAGE(OFFSET(分析データ!C$1,MAX(1,ROW()-$C$7),0,MIN($C$7,ROW()-1),1)))/STDEV(OFFSET(分析データ!C$1,MAX(1,ROW()-$C$7),0,MIN($C$7,ROW()-1),1)),0))</f>
        <v>1.1895580787272091</v>
      </c>
      <c r="BA531">
        <f t="shared" ca="1" si="228"/>
        <v>0</v>
      </c>
      <c r="BB531" t="str">
        <f ca="1">IF(BA531=1,IF(INDEX(分析データ!$A:$A,ROW()+$C$5)&lt;&gt;"",60000*SIGN(AZ531)*(分析データ!C531-INDEX(分析データ!C:C,ROW()+$C$5)),""),"")</f>
        <v/>
      </c>
      <c r="BC531">
        <f t="shared" ca="1" si="229"/>
        <v>1602000.0000000072</v>
      </c>
      <c r="BD531">
        <f t="shared" ca="1" si="230"/>
        <v>1602000.0000000072</v>
      </c>
      <c r="BE531">
        <f t="shared" ca="1" si="231"/>
        <v>0</v>
      </c>
      <c r="BF531">
        <f ca="1">IF(ROW()&lt;($C$7+1),"",IFERROR((分析データ!D531-AVERAGE(OFFSET(分析データ!D$1,MAX(1,ROW()-$C$7),0,MIN($C$7,ROW()-1),1)))/STDEV(OFFSET(分析データ!D$1,MAX(1,ROW()-$C$7),0,MIN($C$7,ROW()-1),1)),0))</f>
        <v>-0.54025951865801602</v>
      </c>
      <c r="BG531">
        <f t="shared" ca="1" si="232"/>
        <v>0</v>
      </c>
      <c r="BH531" t="str">
        <f ca="1">IF(BG531=1,IF(INDEX(分析データ!$A:$A,ROW()+$C$5)&lt;&gt;"",50000*SIGN(BF531)*(分析データ!D531-INDEX(分析データ!D:D,ROW()+$C$5)),""),"")</f>
        <v/>
      </c>
      <c r="BI531">
        <f t="shared" ca="1" si="233"/>
        <v>-779999.99999999418</v>
      </c>
      <c r="BJ531">
        <f t="shared" ca="1" si="234"/>
        <v>1695000.0000000016</v>
      </c>
      <c r="BK531">
        <f t="shared" ca="1" si="235"/>
        <v>-2474999.9999999958</v>
      </c>
      <c r="BL531">
        <f ca="1">IF(ROW()&lt;($C$7+1),"",IFERROR((分析データ!E531-AVERAGE(OFFSET(分析データ!E$1,MAX(1,ROW()-$C$7),0,MIN($C$7,ROW()-1),1)))/STDEV(OFFSET(分析データ!E$1,MAX(1,ROW()-$C$7),0,MIN($C$7,ROW()-1),1)),0))</f>
        <v>0.36464328296471166</v>
      </c>
      <c r="BM531">
        <f t="shared" ca="1" si="236"/>
        <v>0</v>
      </c>
      <c r="BN531" t="str">
        <f ca="1">IF(BM531=1,IF(INDEX(分析データ!$A:$A,ROW()+$C$5)&lt;&gt;"",40000*SIGN(BL531)*(分析データ!E531-INDEX(分析データ!E:E,ROW()+$C$5)),""),"")</f>
        <v/>
      </c>
      <c r="BO531">
        <f t="shared" ca="1" si="237"/>
        <v>1320000.0000000075</v>
      </c>
      <c r="BP531">
        <f t="shared" ca="1" si="238"/>
        <v>1320000.0000000075</v>
      </c>
      <c r="BQ531">
        <f t="shared" ca="1" si="239"/>
        <v>0</v>
      </c>
      <c r="BR531">
        <f ca="1">IF(ROW()&lt;($C$7+1),"",IFERROR((分析データ!F531-AVERAGE(OFFSET(分析データ!F$1,MAX(1,ROW()-$C$7),0,MIN($C$7,ROW()-1),1)))/STDEV(OFFSET(分析データ!F$1,MAX(1,ROW()-$C$7),0,MIN($C$7,ROW()-1),1)),0))</f>
        <v>-1.2311934781124021</v>
      </c>
      <c r="BS531">
        <f t="shared" ca="1" si="240"/>
        <v>0</v>
      </c>
      <c r="BT531" t="str">
        <f ca="1">IF(BS531=1,IF(INDEX(分析データ!$A:$A,ROW()+$C$5)&lt;&gt;"",40000*SIGN(BR531)*(分析データ!F531-INDEX(分析データ!F:F,ROW()+$C$5)),""),"")</f>
        <v/>
      </c>
      <c r="BU531">
        <f t="shared" ca="1" si="241"/>
        <v>3534799.9999999953</v>
      </c>
      <c r="BV531">
        <f t="shared" ca="1" si="242"/>
        <v>3534799.9999999953</v>
      </c>
      <c r="BW531">
        <f t="shared" ca="1" si="243"/>
        <v>0</v>
      </c>
      <c r="BX531">
        <f ca="1">IF(ROW()&lt;($C$7+1),"",IFERROR((分析データ!G531-AVERAGE(OFFSET(分析データ!G$1,MAX(1,ROW()-$C$7),0,MIN($C$7,ROW()-1),1)))/STDEV(OFFSET(分析データ!G$1,MAX(1,ROW()-$C$7),0,MIN($C$7,ROW()-1),1)),0))</f>
        <v>1.643934535558125</v>
      </c>
      <c r="BY531">
        <f t="shared" ca="1" si="244"/>
        <v>0</v>
      </c>
      <c r="BZ531" t="str">
        <f ca="1">IF(BY531=1,IF(INDEX(分析データ!$A:$A,ROW()+$C$5)&lt;&gt;"",40000*SIGN(BX531)*(分析データ!G531-INDEX(分析データ!G:G,ROW()+$C$5)),""),"")</f>
        <v/>
      </c>
      <c r="CA531">
        <f t="shared" ca="1" si="245"/>
        <v>8948447.1435546838</v>
      </c>
      <c r="CB531">
        <f t="shared" ca="1" si="246"/>
        <v>8948447.1435546838</v>
      </c>
      <c r="CC531">
        <f t="shared" ca="1" si="247"/>
        <v>0</v>
      </c>
      <c r="CD531">
        <f t="shared" ca="1" si="248"/>
        <v>0</v>
      </c>
      <c r="CE531">
        <f t="shared" ca="1" si="249"/>
        <v>9625247.1435547136</v>
      </c>
      <c r="CF531">
        <f t="shared" ca="1" si="250"/>
        <v>9625247.1435547136</v>
      </c>
      <c r="CG531">
        <f t="shared" ca="1" si="251"/>
        <v>0</v>
      </c>
      <c r="CH531" s="10">
        <f>分析データ!A531</f>
        <v>45701</v>
      </c>
    </row>
    <row r="532" spans="46:86">
      <c r="AT532">
        <f ca="1">IF(ROW()&lt;($C$7+1),"",IFERROR((分析データ!B532-AVERAGE(OFFSET(分析データ!B$1,MAX(1,ROW()-$C$7),0,MIN($C$7,ROW()-1),1)))/STDEV(OFFSET(分析データ!B$1,MAX(1,ROW()-$C$7),0,MIN($C$7,ROW()-1),1)),0))</f>
        <v>1.2031596120443595</v>
      </c>
      <c r="AU532">
        <f t="shared" ca="1" si="224"/>
        <v>0</v>
      </c>
      <c r="AV532" t="str">
        <f ca="1">IF(AU532=1,IF(INDEX(分析データ!$A:$A,ROW()+$C$5)&lt;&gt;"",80000*SIGN(AT532)*(分析データ!B532-INDEX(分析データ!B:B,ROW()+$C$5)),""),"")</f>
        <v/>
      </c>
      <c r="AW532">
        <f t="shared" ca="1" si="225"/>
        <v>-4999999.9999999925</v>
      </c>
      <c r="AX532">
        <f t="shared" ca="1" si="226"/>
        <v>0</v>
      </c>
      <c r="AY532">
        <f t="shared" ca="1" si="227"/>
        <v>-4999999.9999999925</v>
      </c>
      <c r="AZ532">
        <f ca="1">IF(ROW()&lt;($C$7+1),"",IFERROR((分析データ!C532-AVERAGE(OFFSET(分析データ!C$1,MAX(1,ROW()-$C$7),0,MIN($C$7,ROW()-1),1)))/STDEV(OFFSET(分析データ!C$1,MAX(1,ROW()-$C$7),0,MIN($C$7,ROW()-1),1)),0))</f>
        <v>1.2548833829308963</v>
      </c>
      <c r="BA532">
        <f t="shared" ca="1" si="228"/>
        <v>0</v>
      </c>
      <c r="BB532" t="str">
        <f ca="1">IF(BA532=1,IF(INDEX(分析データ!$A:$A,ROW()+$C$5)&lt;&gt;"",60000*SIGN(AZ532)*(分析データ!C532-INDEX(分析データ!C:C,ROW()+$C$5)),""),"")</f>
        <v/>
      </c>
      <c r="BC532">
        <f t="shared" ca="1" si="229"/>
        <v>1602000.0000000072</v>
      </c>
      <c r="BD532">
        <f t="shared" ca="1" si="230"/>
        <v>1602000.0000000072</v>
      </c>
      <c r="BE532">
        <f t="shared" ca="1" si="231"/>
        <v>0</v>
      </c>
      <c r="BF532">
        <f ca="1">IF(ROW()&lt;($C$7+1),"",IFERROR((分析データ!D532-AVERAGE(OFFSET(分析データ!D$1,MAX(1,ROW()-$C$7),0,MIN($C$7,ROW()-1),1)))/STDEV(OFFSET(分析データ!D$1,MAX(1,ROW()-$C$7),0,MIN($C$7,ROW()-1),1)),0))</f>
        <v>-0.7348579925757811</v>
      </c>
      <c r="BG532">
        <f t="shared" ca="1" si="232"/>
        <v>0</v>
      </c>
      <c r="BH532" t="str">
        <f ca="1">IF(BG532=1,IF(INDEX(分析データ!$A:$A,ROW()+$C$5)&lt;&gt;"",50000*SIGN(BF532)*(分析データ!D532-INDEX(分析データ!D:D,ROW()+$C$5)),""),"")</f>
        <v/>
      </c>
      <c r="BI532">
        <f t="shared" ca="1" si="233"/>
        <v>-779999.99999999418</v>
      </c>
      <c r="BJ532">
        <f t="shared" ca="1" si="234"/>
        <v>1695000.0000000016</v>
      </c>
      <c r="BK532">
        <f t="shared" ca="1" si="235"/>
        <v>-2474999.9999999958</v>
      </c>
      <c r="BL532">
        <f ca="1">IF(ROW()&lt;($C$7+1),"",IFERROR((分析データ!E532-AVERAGE(OFFSET(分析データ!E$1,MAX(1,ROW()-$C$7),0,MIN($C$7,ROW()-1),1)))/STDEV(OFFSET(分析データ!E$1,MAX(1,ROW()-$C$7),0,MIN($C$7,ROW()-1),1)),0))</f>
        <v>0.46959697408741002</v>
      </c>
      <c r="BM532">
        <f t="shared" ca="1" si="236"/>
        <v>0</v>
      </c>
      <c r="BN532" t="str">
        <f ca="1">IF(BM532=1,IF(INDEX(分析データ!$A:$A,ROW()+$C$5)&lt;&gt;"",40000*SIGN(BL532)*(分析データ!E532-INDEX(分析データ!E:E,ROW()+$C$5)),""),"")</f>
        <v/>
      </c>
      <c r="BO532">
        <f t="shared" ca="1" si="237"/>
        <v>1320000.0000000075</v>
      </c>
      <c r="BP532">
        <f t="shared" ca="1" si="238"/>
        <v>1320000.0000000075</v>
      </c>
      <c r="BQ532">
        <f t="shared" ca="1" si="239"/>
        <v>0</v>
      </c>
      <c r="BR532">
        <f ca="1">IF(ROW()&lt;($C$7+1),"",IFERROR((分析データ!F532-AVERAGE(OFFSET(分析データ!F$1,MAX(1,ROW()-$C$7),0,MIN($C$7,ROW()-1),1)))/STDEV(OFFSET(分析データ!F$1,MAX(1,ROW()-$C$7),0,MIN($C$7,ROW()-1),1)),0))</f>
        <v>-1.1988294861710802</v>
      </c>
      <c r="BS532">
        <f t="shared" ca="1" si="240"/>
        <v>0</v>
      </c>
      <c r="BT532" t="str">
        <f ca="1">IF(BS532=1,IF(INDEX(分析データ!$A:$A,ROW()+$C$5)&lt;&gt;"",40000*SIGN(BR532)*(分析データ!F532-INDEX(分析データ!F:F,ROW()+$C$5)),""),"")</f>
        <v/>
      </c>
      <c r="BU532">
        <f t="shared" ca="1" si="241"/>
        <v>3534799.9999999953</v>
      </c>
      <c r="BV532">
        <f t="shared" ca="1" si="242"/>
        <v>3534799.9999999953</v>
      </c>
      <c r="BW532">
        <f t="shared" ca="1" si="243"/>
        <v>0</v>
      </c>
      <c r="BX532">
        <f ca="1">IF(ROW()&lt;($C$7+1),"",IFERROR((分析データ!G532-AVERAGE(OFFSET(分析データ!G$1,MAX(1,ROW()-$C$7),0,MIN($C$7,ROW()-1),1)))/STDEV(OFFSET(分析データ!G$1,MAX(1,ROW()-$C$7),0,MIN($C$7,ROW()-1),1)),0))</f>
        <v>2.1099181066316448</v>
      </c>
      <c r="BY532">
        <f t="shared" ca="1" si="244"/>
        <v>1</v>
      </c>
      <c r="BZ532">
        <f ca="1">IF(BY532=1,IF(INDEX(分析データ!$A:$A,ROW()+$C$5)&lt;&gt;"",40000*SIGN(BX532)*(分析データ!G532-INDEX(分析データ!G:G,ROW()+$C$5)),""),"")</f>
        <v>287112.85644531867</v>
      </c>
      <c r="CA532">
        <f t="shared" ca="1" si="245"/>
        <v>9235560.0000000019</v>
      </c>
      <c r="CB532">
        <f t="shared" ca="1" si="246"/>
        <v>9235560.0000000019</v>
      </c>
      <c r="CC532">
        <f t="shared" ca="1" si="247"/>
        <v>0</v>
      </c>
      <c r="CD532">
        <f t="shared" ca="1" si="248"/>
        <v>287112.85644531867</v>
      </c>
      <c r="CE532">
        <f t="shared" ca="1" si="249"/>
        <v>9912360.0000000317</v>
      </c>
      <c r="CF532">
        <f t="shared" ca="1" si="250"/>
        <v>9912360.0000000317</v>
      </c>
      <c r="CG532">
        <f t="shared" ca="1" si="251"/>
        <v>0</v>
      </c>
      <c r="CH532" s="10">
        <f>分析データ!A532</f>
        <v>45702</v>
      </c>
    </row>
    <row r="533" spans="46:86">
      <c r="AT533">
        <f ca="1">IF(ROW()&lt;($C$7+1),"",IFERROR((分析データ!B533-AVERAGE(OFFSET(分析データ!B$1,MAX(1,ROW()-$C$7),0,MIN($C$7,ROW()-1),1)))/STDEV(OFFSET(分析データ!B$1,MAX(1,ROW()-$C$7),0,MIN($C$7,ROW()-1),1)),0))</f>
        <v>1.4028762560625843</v>
      </c>
      <c r="AU533">
        <f t="shared" ca="1" si="224"/>
        <v>0</v>
      </c>
      <c r="AV533" t="str">
        <f ca="1">IF(AU533=1,IF(INDEX(分析データ!$A:$A,ROW()+$C$5)&lt;&gt;"",80000*SIGN(AT533)*(分析データ!B533-INDEX(分析データ!B:B,ROW()+$C$5)),""),"")</f>
        <v/>
      </c>
      <c r="AW533">
        <f t="shared" ca="1" si="225"/>
        <v>-4999999.9999999925</v>
      </c>
      <c r="AX533">
        <f t="shared" ca="1" si="226"/>
        <v>0</v>
      </c>
      <c r="AY533">
        <f t="shared" ca="1" si="227"/>
        <v>-4999999.9999999925</v>
      </c>
      <c r="AZ533">
        <f ca="1">IF(ROW()&lt;($C$7+1),"",IFERROR((分析データ!C533-AVERAGE(OFFSET(分析データ!C$1,MAX(1,ROW()-$C$7),0,MIN($C$7,ROW()-1),1)))/STDEV(OFFSET(分析データ!C$1,MAX(1,ROW()-$C$7),0,MIN($C$7,ROW()-1),1)),0))</f>
        <v>2.0101280160361261</v>
      </c>
      <c r="BA533">
        <f t="shared" ca="1" si="228"/>
        <v>1</v>
      </c>
      <c r="BB533">
        <f ca="1">IF(BA533=1,IF(INDEX(分析データ!$A:$A,ROW()+$C$5)&lt;&gt;"",60000*SIGN(AZ533)*(分析データ!C533-INDEX(分析データ!C:C,ROW()+$C$5)),""),"")</f>
        <v>110999.99999999987</v>
      </c>
      <c r="BC533">
        <f t="shared" ca="1" si="229"/>
        <v>1713000.000000007</v>
      </c>
      <c r="BD533">
        <f t="shared" ca="1" si="230"/>
        <v>1713000.000000007</v>
      </c>
      <c r="BE533">
        <f t="shared" ca="1" si="231"/>
        <v>0</v>
      </c>
      <c r="BF533">
        <f ca="1">IF(ROW()&lt;($C$7+1),"",IFERROR((分析データ!D533-AVERAGE(OFFSET(分析データ!D$1,MAX(1,ROW()-$C$7),0,MIN($C$7,ROW()-1),1)))/STDEV(OFFSET(分析データ!D$1,MAX(1,ROW()-$C$7),0,MIN($C$7,ROW()-1),1)),0))</f>
        <v>-0.70865310860328601</v>
      </c>
      <c r="BG533">
        <f t="shared" ca="1" si="232"/>
        <v>0</v>
      </c>
      <c r="BH533" t="str">
        <f ca="1">IF(BG533=1,IF(INDEX(分析データ!$A:$A,ROW()+$C$5)&lt;&gt;"",50000*SIGN(BF533)*(分析データ!D533-INDEX(分析データ!D:D,ROW()+$C$5)),""),"")</f>
        <v/>
      </c>
      <c r="BI533">
        <f t="shared" ca="1" si="233"/>
        <v>-779999.99999999418</v>
      </c>
      <c r="BJ533">
        <f t="shared" ca="1" si="234"/>
        <v>1695000.0000000016</v>
      </c>
      <c r="BK533">
        <f t="shared" ca="1" si="235"/>
        <v>-2474999.9999999958</v>
      </c>
      <c r="BL533">
        <f ca="1">IF(ROW()&lt;($C$7+1),"",IFERROR((分析データ!E533-AVERAGE(OFFSET(分析データ!E$1,MAX(1,ROW()-$C$7),0,MIN($C$7,ROW()-1),1)))/STDEV(OFFSET(分析データ!E$1,MAX(1,ROW()-$C$7),0,MIN($C$7,ROW()-1),1)),0))</f>
        <v>0.57317748101528487</v>
      </c>
      <c r="BM533">
        <f t="shared" ca="1" si="236"/>
        <v>0</v>
      </c>
      <c r="BN533" t="str">
        <f ca="1">IF(BM533=1,IF(INDEX(分析データ!$A:$A,ROW()+$C$5)&lt;&gt;"",40000*SIGN(BL533)*(分析データ!E533-INDEX(分析データ!E:E,ROW()+$C$5)),""),"")</f>
        <v/>
      </c>
      <c r="BO533">
        <f t="shared" ca="1" si="237"/>
        <v>1320000.0000000075</v>
      </c>
      <c r="BP533">
        <f t="shared" ca="1" si="238"/>
        <v>1320000.0000000075</v>
      </c>
      <c r="BQ533">
        <f t="shared" ca="1" si="239"/>
        <v>0</v>
      </c>
      <c r="BR533">
        <f ca="1">IF(ROW()&lt;($C$7+1),"",IFERROR((分析データ!F533-AVERAGE(OFFSET(分析データ!F$1,MAX(1,ROW()-$C$7),0,MIN($C$7,ROW()-1),1)))/STDEV(OFFSET(分析データ!F$1,MAX(1,ROW()-$C$7),0,MIN($C$7,ROW()-1),1)),0))</f>
        <v>-1.4843457354221672</v>
      </c>
      <c r="BS533">
        <f t="shared" ca="1" si="240"/>
        <v>0</v>
      </c>
      <c r="BT533" t="str">
        <f ca="1">IF(BS533=1,IF(INDEX(分析データ!$A:$A,ROW()+$C$5)&lt;&gt;"",40000*SIGN(BR533)*(分析データ!F533-INDEX(分析データ!F:F,ROW()+$C$5)),""),"")</f>
        <v/>
      </c>
      <c r="BU533">
        <f t="shared" ca="1" si="241"/>
        <v>3534799.9999999953</v>
      </c>
      <c r="BV533">
        <f t="shared" ca="1" si="242"/>
        <v>3534799.9999999953</v>
      </c>
      <c r="BW533">
        <f t="shared" ca="1" si="243"/>
        <v>0</v>
      </c>
      <c r="BX533">
        <f ca="1">IF(ROW()&lt;($C$7+1),"",IFERROR((分析データ!G533-AVERAGE(OFFSET(分析データ!G$1,MAX(1,ROW()-$C$7),0,MIN($C$7,ROW()-1),1)))/STDEV(OFFSET(分析データ!G$1,MAX(1,ROW()-$C$7),0,MIN($C$7,ROW()-1),1)),0))</f>
        <v>2.1424361898395419</v>
      </c>
      <c r="BY533">
        <f t="shared" ca="1" si="244"/>
        <v>1</v>
      </c>
      <c r="BZ533">
        <f ca="1">IF(BY533=1,IF(INDEX(分析データ!$A:$A,ROW()+$C$5)&lt;&gt;"",40000*SIGN(BX533)*(分析データ!G533-INDEX(分析データ!G:G,ROW()+$C$5)),""),"")</f>
        <v>1734287.1435546903</v>
      </c>
      <c r="CA533">
        <f t="shared" ca="1" si="245"/>
        <v>10969847.143554691</v>
      </c>
      <c r="CB533">
        <f t="shared" ca="1" si="246"/>
        <v>10969847.143554691</v>
      </c>
      <c r="CC533">
        <f t="shared" ca="1" si="247"/>
        <v>0</v>
      </c>
      <c r="CD533">
        <f t="shared" ca="1" si="248"/>
        <v>1845287.1435546901</v>
      </c>
      <c r="CE533">
        <f t="shared" ca="1" si="249"/>
        <v>11757647.143554721</v>
      </c>
      <c r="CF533">
        <f t="shared" ca="1" si="250"/>
        <v>11757647.143554721</v>
      </c>
      <c r="CG533">
        <f t="shared" ca="1" si="251"/>
        <v>0</v>
      </c>
      <c r="CH533" s="10">
        <f>分析データ!A533</f>
        <v>45706</v>
      </c>
    </row>
    <row r="534" spans="46:86">
      <c r="AT534">
        <f ca="1">IF(ROW()&lt;($C$7+1),"",IFERROR((分析データ!B534-AVERAGE(OFFSET(分析データ!B$1,MAX(1,ROW()-$C$7),0,MIN($C$7,ROW()-1),1)))/STDEV(OFFSET(分析データ!B$1,MAX(1,ROW()-$C$7),0,MIN($C$7,ROW()-1),1)),0))</f>
        <v>1.3069805354901174</v>
      </c>
      <c r="AU534">
        <f t="shared" ca="1" si="224"/>
        <v>0</v>
      </c>
      <c r="AV534" t="str">
        <f ca="1">IF(AU534=1,IF(INDEX(分析データ!$A:$A,ROW()+$C$5)&lt;&gt;"",80000*SIGN(AT534)*(分析データ!B534-INDEX(分析データ!B:B,ROW()+$C$5)),""),"")</f>
        <v/>
      </c>
      <c r="AW534">
        <f t="shared" ca="1" si="225"/>
        <v>-4999999.9999999925</v>
      </c>
      <c r="AX534">
        <f t="shared" ca="1" si="226"/>
        <v>0</v>
      </c>
      <c r="AY534">
        <f t="shared" ca="1" si="227"/>
        <v>-4999999.9999999925</v>
      </c>
      <c r="AZ534">
        <f ca="1">IF(ROW()&lt;($C$7+1),"",IFERROR((分析データ!C534-AVERAGE(OFFSET(分析データ!C$1,MAX(1,ROW()-$C$7),0,MIN($C$7,ROW()-1),1)))/STDEV(OFFSET(分析データ!C$1,MAX(1,ROW()-$C$7),0,MIN($C$7,ROW()-1),1)),0))</f>
        <v>2.1190519841832813</v>
      </c>
      <c r="BA534">
        <f t="shared" ca="1" si="228"/>
        <v>1</v>
      </c>
      <c r="BB534">
        <f ca="1">IF(BA534=1,IF(INDEX(分析データ!$A:$A,ROW()+$C$5)&lt;&gt;"",60000*SIGN(AZ534)*(分析データ!C534-INDEX(分析データ!C:C,ROW()+$C$5)),""),"")</f>
        <v>122999.99999999983</v>
      </c>
      <c r="BC534">
        <f t="shared" ca="1" si="229"/>
        <v>1836000.0000000068</v>
      </c>
      <c r="BD534">
        <f t="shared" ca="1" si="230"/>
        <v>1836000.0000000068</v>
      </c>
      <c r="BE534">
        <f t="shared" ca="1" si="231"/>
        <v>0</v>
      </c>
      <c r="BF534">
        <f ca="1">IF(ROW()&lt;($C$7+1),"",IFERROR((分析データ!D534-AVERAGE(OFFSET(分析データ!D$1,MAX(1,ROW()-$C$7),0,MIN($C$7,ROW()-1),1)))/STDEV(OFFSET(分析データ!D$1,MAX(1,ROW()-$C$7),0,MIN($C$7,ROW()-1),1)),0))</f>
        <v>-0.7824509290681958</v>
      </c>
      <c r="BG534">
        <f t="shared" ca="1" si="232"/>
        <v>0</v>
      </c>
      <c r="BH534" t="str">
        <f ca="1">IF(BG534=1,IF(INDEX(分析データ!$A:$A,ROW()+$C$5)&lt;&gt;"",50000*SIGN(BF534)*(分析データ!D534-INDEX(分析データ!D:D,ROW()+$C$5)),""),"")</f>
        <v/>
      </c>
      <c r="BI534">
        <f t="shared" ca="1" si="233"/>
        <v>-779999.99999999418</v>
      </c>
      <c r="BJ534">
        <f t="shared" ca="1" si="234"/>
        <v>1695000.0000000016</v>
      </c>
      <c r="BK534">
        <f t="shared" ca="1" si="235"/>
        <v>-2474999.9999999958</v>
      </c>
      <c r="BL534">
        <f ca="1">IF(ROW()&lt;($C$7+1),"",IFERROR((分析データ!E534-AVERAGE(OFFSET(分析データ!E$1,MAX(1,ROW()-$C$7),0,MIN($C$7,ROW()-1),1)))/STDEV(OFFSET(分析データ!E$1,MAX(1,ROW()-$C$7),0,MIN($C$7,ROW()-1),1)),0))</f>
        <v>0.67679958924532324</v>
      </c>
      <c r="BM534">
        <f t="shared" ca="1" si="236"/>
        <v>0</v>
      </c>
      <c r="BN534" t="str">
        <f ca="1">IF(BM534=1,IF(INDEX(分析データ!$A:$A,ROW()+$C$5)&lt;&gt;"",40000*SIGN(BL534)*(分析データ!E534-INDEX(分析データ!E:E,ROW()+$C$5)),""),"")</f>
        <v/>
      </c>
      <c r="BO534">
        <f t="shared" ca="1" si="237"/>
        <v>1320000.0000000075</v>
      </c>
      <c r="BP534">
        <f t="shared" ca="1" si="238"/>
        <v>1320000.0000000075</v>
      </c>
      <c r="BQ534">
        <f t="shared" ca="1" si="239"/>
        <v>0</v>
      </c>
      <c r="BR534">
        <f ca="1">IF(ROW()&lt;($C$7+1),"",IFERROR((分析データ!F534-AVERAGE(OFFSET(分析データ!F$1,MAX(1,ROW()-$C$7),0,MIN($C$7,ROW()-1),1)))/STDEV(OFFSET(分析データ!F$1,MAX(1,ROW()-$C$7),0,MIN($C$7,ROW()-1),1)),0))</f>
        <v>-0.9442105567146879</v>
      </c>
      <c r="BS534">
        <f t="shared" ca="1" si="240"/>
        <v>0</v>
      </c>
      <c r="BT534" t="str">
        <f ca="1">IF(BS534=1,IF(INDEX(分析データ!$A:$A,ROW()+$C$5)&lt;&gt;"",40000*SIGN(BR534)*(分析データ!F534-INDEX(分析データ!F:F,ROW()+$C$5)),""),"")</f>
        <v/>
      </c>
      <c r="BU534">
        <f t="shared" ca="1" si="241"/>
        <v>3534799.9999999953</v>
      </c>
      <c r="BV534">
        <f t="shared" ca="1" si="242"/>
        <v>3534799.9999999953</v>
      </c>
      <c r="BW534">
        <f t="shared" ca="1" si="243"/>
        <v>0</v>
      </c>
      <c r="BX534">
        <f ca="1">IF(ROW()&lt;($C$7+1),"",IFERROR((分析データ!G534-AVERAGE(OFFSET(分析データ!G$1,MAX(1,ROW()-$C$7),0,MIN($C$7,ROW()-1),1)))/STDEV(OFFSET(分析データ!G$1,MAX(1,ROW()-$C$7),0,MIN($C$7,ROW()-1),1)),0))</f>
        <v>1.2682748228283656</v>
      </c>
      <c r="BY534">
        <f t="shared" ca="1" si="244"/>
        <v>0</v>
      </c>
      <c r="BZ534" t="str">
        <f ca="1">IF(BY534=1,IF(INDEX(分析データ!$A:$A,ROW()+$C$5)&lt;&gt;"",40000*SIGN(BX534)*(分析データ!G534-INDEX(分析データ!G:G,ROW()+$C$5)),""),"")</f>
        <v/>
      </c>
      <c r="CA534">
        <f t="shared" ca="1" si="245"/>
        <v>10969847.143554691</v>
      </c>
      <c r="CB534">
        <f t="shared" ca="1" si="246"/>
        <v>10969847.143554691</v>
      </c>
      <c r="CC534">
        <f t="shared" ca="1" si="247"/>
        <v>0</v>
      </c>
      <c r="CD534">
        <f t="shared" ca="1" si="248"/>
        <v>122999.99999999983</v>
      </c>
      <c r="CE534">
        <f t="shared" ca="1" si="249"/>
        <v>11880647.143554721</v>
      </c>
      <c r="CF534">
        <f t="shared" ca="1" si="250"/>
        <v>11880647.143554721</v>
      </c>
      <c r="CG534">
        <f t="shared" ca="1" si="251"/>
        <v>0</v>
      </c>
      <c r="CH534" s="10">
        <f>分析データ!A534</f>
        <v>45707</v>
      </c>
    </row>
    <row r="535" spans="46:86">
      <c r="AT535">
        <f ca="1">IF(ROW()&lt;($C$7+1),"",IFERROR((分析データ!B535-AVERAGE(OFFSET(分析データ!B$1,MAX(1,ROW()-$C$7),0,MIN($C$7,ROW()-1),1)))/STDEV(OFFSET(分析データ!B$1,MAX(1,ROW()-$C$7),0,MIN($C$7,ROW()-1),1)),0))</f>
        <v>1.128871916586389</v>
      </c>
      <c r="AU535">
        <f t="shared" ca="1" si="224"/>
        <v>0</v>
      </c>
      <c r="AV535" t="str">
        <f ca="1">IF(AU535=1,IF(INDEX(分析データ!$A:$A,ROW()+$C$5)&lt;&gt;"",80000*SIGN(AT535)*(分析データ!B535-INDEX(分析データ!B:B,ROW()+$C$5)),""),"")</f>
        <v/>
      </c>
      <c r="AW535">
        <f t="shared" ca="1" si="225"/>
        <v>-4999999.9999999925</v>
      </c>
      <c r="AX535">
        <f t="shared" ca="1" si="226"/>
        <v>0</v>
      </c>
      <c r="AY535">
        <f t="shared" ca="1" si="227"/>
        <v>-4999999.9999999925</v>
      </c>
      <c r="AZ535">
        <f ca="1">IF(ROW()&lt;($C$7+1),"",IFERROR((分析データ!C535-AVERAGE(OFFSET(分析データ!C$1,MAX(1,ROW()-$C$7),0,MIN($C$7,ROW()-1),1)))/STDEV(OFFSET(分析データ!C$1,MAX(1,ROW()-$C$7),0,MIN($C$7,ROW()-1),1)),0))</f>
        <v>2.2750740129366944</v>
      </c>
      <c r="BA535">
        <f t="shared" ca="1" si="228"/>
        <v>1</v>
      </c>
      <c r="BB535">
        <f ca="1">IF(BA535=1,IF(INDEX(分析データ!$A:$A,ROW()+$C$5)&lt;&gt;"",60000*SIGN(AZ535)*(分析データ!C535-INDEX(分析データ!C:C,ROW()+$C$5)),""),"")</f>
        <v>57000.000000001768</v>
      </c>
      <c r="BC535">
        <f t="shared" ca="1" si="229"/>
        <v>1893000.0000000086</v>
      </c>
      <c r="BD535">
        <f t="shared" ca="1" si="230"/>
        <v>1893000.0000000086</v>
      </c>
      <c r="BE535">
        <f t="shared" ca="1" si="231"/>
        <v>0</v>
      </c>
      <c r="BF535">
        <f ca="1">IF(ROW()&lt;($C$7+1),"",IFERROR((分析データ!D535-AVERAGE(OFFSET(分析データ!D$1,MAX(1,ROW()-$C$7),0,MIN($C$7,ROW()-1),1)))/STDEV(OFFSET(分析データ!D$1,MAX(1,ROW()-$C$7),0,MIN($C$7,ROW()-1),1)),0))</f>
        <v>-0.93135725042664097</v>
      </c>
      <c r="BG535">
        <f t="shared" ca="1" si="232"/>
        <v>0</v>
      </c>
      <c r="BH535" t="str">
        <f ca="1">IF(BG535=1,IF(INDEX(分析データ!$A:$A,ROW()+$C$5)&lt;&gt;"",50000*SIGN(BF535)*(分析データ!D535-INDEX(分析データ!D:D,ROW()+$C$5)),""),"")</f>
        <v/>
      </c>
      <c r="BI535">
        <f t="shared" ca="1" si="233"/>
        <v>-779999.99999999418</v>
      </c>
      <c r="BJ535">
        <f t="shared" ca="1" si="234"/>
        <v>1695000.0000000016</v>
      </c>
      <c r="BK535">
        <f t="shared" ca="1" si="235"/>
        <v>-2474999.9999999958</v>
      </c>
      <c r="BL535">
        <f ca="1">IF(ROW()&lt;($C$7+1),"",IFERROR((分析データ!E535-AVERAGE(OFFSET(分析データ!E$1,MAX(1,ROW()-$C$7),0,MIN($C$7,ROW()-1),1)))/STDEV(OFFSET(分析データ!E$1,MAX(1,ROW()-$C$7),0,MIN($C$7,ROW()-1),1)),0))</f>
        <v>0.67109883846013252</v>
      </c>
      <c r="BM535">
        <f t="shared" ca="1" si="236"/>
        <v>0</v>
      </c>
      <c r="BN535" t="str">
        <f ca="1">IF(BM535=1,IF(INDEX(分析データ!$A:$A,ROW()+$C$5)&lt;&gt;"",40000*SIGN(BL535)*(分析データ!E535-INDEX(分析データ!E:E,ROW()+$C$5)),""),"")</f>
        <v/>
      </c>
      <c r="BO535">
        <f t="shared" ca="1" si="237"/>
        <v>1320000.0000000075</v>
      </c>
      <c r="BP535">
        <f t="shared" ca="1" si="238"/>
        <v>1320000.0000000075</v>
      </c>
      <c r="BQ535">
        <f t="shared" ca="1" si="239"/>
        <v>0</v>
      </c>
      <c r="BR535">
        <f ca="1">IF(ROW()&lt;($C$7+1),"",IFERROR((分析データ!F535-AVERAGE(OFFSET(分析データ!F$1,MAX(1,ROW()-$C$7),0,MIN($C$7,ROW()-1),1)))/STDEV(OFFSET(分析データ!F$1,MAX(1,ROW()-$C$7),0,MIN($C$7,ROW()-1),1)),0))</f>
        <v>-0.39392811290621349</v>
      </c>
      <c r="BS535">
        <f t="shared" ca="1" si="240"/>
        <v>0</v>
      </c>
      <c r="BT535" t="str">
        <f ca="1">IF(BS535=1,IF(INDEX(分析データ!$A:$A,ROW()+$C$5)&lt;&gt;"",40000*SIGN(BR535)*(分析データ!F535-INDEX(分析データ!F:F,ROW()+$C$5)),""),"")</f>
        <v/>
      </c>
      <c r="BU535">
        <f t="shared" ca="1" si="241"/>
        <v>3534799.9999999953</v>
      </c>
      <c r="BV535">
        <f t="shared" ca="1" si="242"/>
        <v>3534799.9999999953</v>
      </c>
      <c r="BW535">
        <f t="shared" ca="1" si="243"/>
        <v>0</v>
      </c>
      <c r="BX535">
        <f ca="1">IF(ROW()&lt;($C$7+1),"",IFERROR((分析データ!G535-AVERAGE(OFFSET(分析データ!G$1,MAX(1,ROW()-$C$7),0,MIN($C$7,ROW()-1),1)))/STDEV(OFFSET(分析データ!G$1,MAX(1,ROW()-$C$7),0,MIN($C$7,ROW()-1),1)),0))</f>
        <v>1.7372253330323539</v>
      </c>
      <c r="BY535">
        <f t="shared" ca="1" si="244"/>
        <v>0</v>
      </c>
      <c r="BZ535" t="str">
        <f ca="1">IF(BY535=1,IF(INDEX(分析データ!$A:$A,ROW()+$C$5)&lt;&gt;"",40000*SIGN(BX535)*(分析データ!G535-INDEX(分析データ!G:G,ROW()+$C$5)),""),"")</f>
        <v/>
      </c>
      <c r="CA535">
        <f t="shared" ca="1" si="245"/>
        <v>10969847.143554691</v>
      </c>
      <c r="CB535">
        <f t="shared" ca="1" si="246"/>
        <v>10969847.143554691</v>
      </c>
      <c r="CC535">
        <f t="shared" ca="1" si="247"/>
        <v>0</v>
      </c>
      <c r="CD535">
        <f t="shared" ca="1" si="248"/>
        <v>57000.000000001768</v>
      </c>
      <c r="CE535">
        <f t="shared" ca="1" si="249"/>
        <v>11937647.143554723</v>
      </c>
      <c r="CF535">
        <f t="shared" ca="1" si="250"/>
        <v>11937647.143554723</v>
      </c>
      <c r="CG535">
        <f t="shared" ca="1" si="251"/>
        <v>0</v>
      </c>
      <c r="CH535" s="10">
        <f>分析データ!A535</f>
        <v>45708</v>
      </c>
    </row>
    <row r="536" spans="46:86">
      <c r="AT536">
        <f ca="1">IF(ROW()&lt;($C$7+1),"",IFERROR((分析データ!B536-AVERAGE(OFFSET(分析データ!B$1,MAX(1,ROW()-$C$7),0,MIN($C$7,ROW()-1),1)))/STDEV(OFFSET(分析データ!B$1,MAX(1,ROW()-$C$7),0,MIN($C$7,ROW()-1),1)),0))</f>
        <v>1.1198229086102569</v>
      </c>
      <c r="AU536">
        <f t="shared" ca="1" si="224"/>
        <v>0</v>
      </c>
      <c r="AV536" t="str">
        <f ca="1">IF(AU536=1,IF(INDEX(分析データ!$A:$A,ROW()+$C$5)&lt;&gt;"",80000*SIGN(AT536)*(分析データ!B536-INDEX(分析データ!B:B,ROW()+$C$5)),""),"")</f>
        <v/>
      </c>
      <c r="AW536">
        <f t="shared" ca="1" si="225"/>
        <v>-4999999.9999999925</v>
      </c>
      <c r="AX536">
        <f t="shared" ca="1" si="226"/>
        <v>0</v>
      </c>
      <c r="AY536">
        <f t="shared" ca="1" si="227"/>
        <v>-4999999.9999999925</v>
      </c>
      <c r="AZ536">
        <f ca="1">IF(ROW()&lt;($C$7+1),"",IFERROR((分析データ!C536-AVERAGE(OFFSET(分析データ!C$1,MAX(1,ROW()-$C$7),0,MIN($C$7,ROW()-1),1)))/STDEV(OFFSET(分析データ!C$1,MAX(1,ROW()-$C$7),0,MIN($C$7,ROW()-1),1)),0))</f>
        <v>1.9479618775259875</v>
      </c>
      <c r="BA536">
        <f t="shared" ca="1" si="228"/>
        <v>0</v>
      </c>
      <c r="BB536" t="str">
        <f ca="1">IF(BA536=1,IF(INDEX(分析データ!$A:$A,ROW()+$C$5)&lt;&gt;"",60000*SIGN(AZ536)*(分析データ!C536-INDEX(分析データ!C:C,ROW()+$C$5)),""),"")</f>
        <v/>
      </c>
      <c r="BC536">
        <f t="shared" ca="1" si="229"/>
        <v>1893000.0000000086</v>
      </c>
      <c r="BD536">
        <f t="shared" ca="1" si="230"/>
        <v>1893000.0000000086</v>
      </c>
      <c r="BE536">
        <f t="shared" ca="1" si="231"/>
        <v>0</v>
      </c>
      <c r="BF536">
        <f ca="1">IF(ROW()&lt;($C$7+1),"",IFERROR((分析データ!D536-AVERAGE(OFFSET(分析データ!D$1,MAX(1,ROW()-$C$7),0,MIN($C$7,ROW()-1),1)))/STDEV(OFFSET(分析データ!D$1,MAX(1,ROW()-$C$7),0,MIN($C$7,ROW()-1),1)),0))</f>
        <v>-1.186138172475063</v>
      </c>
      <c r="BG536">
        <f t="shared" ca="1" si="232"/>
        <v>0</v>
      </c>
      <c r="BH536" t="str">
        <f ca="1">IF(BG536=1,IF(INDEX(分析データ!$A:$A,ROW()+$C$5)&lt;&gt;"",50000*SIGN(BF536)*(分析データ!D536-INDEX(分析データ!D:D,ROW()+$C$5)),""),"")</f>
        <v/>
      </c>
      <c r="BI536">
        <f t="shared" ca="1" si="233"/>
        <v>-779999.99999999418</v>
      </c>
      <c r="BJ536">
        <f t="shared" ca="1" si="234"/>
        <v>1695000.0000000016</v>
      </c>
      <c r="BK536">
        <f t="shared" ca="1" si="235"/>
        <v>-2474999.9999999958</v>
      </c>
      <c r="BL536">
        <f ca="1">IF(ROW()&lt;($C$7+1),"",IFERROR((分析データ!E536-AVERAGE(OFFSET(分析データ!E$1,MAX(1,ROW()-$C$7),0,MIN($C$7,ROW()-1),1)))/STDEV(OFFSET(分析データ!E$1,MAX(1,ROW()-$C$7),0,MIN($C$7,ROW()-1),1)),0))</f>
        <v>0.66524996244005341</v>
      </c>
      <c r="BM536">
        <f t="shared" ca="1" si="236"/>
        <v>0</v>
      </c>
      <c r="BN536" t="str">
        <f ca="1">IF(BM536=1,IF(INDEX(分析データ!$A:$A,ROW()+$C$5)&lt;&gt;"",40000*SIGN(BL536)*(分析データ!E536-INDEX(分析データ!E:E,ROW()+$C$5)),""),"")</f>
        <v/>
      </c>
      <c r="BO536">
        <f t="shared" ca="1" si="237"/>
        <v>1320000.0000000075</v>
      </c>
      <c r="BP536">
        <f t="shared" ca="1" si="238"/>
        <v>1320000.0000000075</v>
      </c>
      <c r="BQ536">
        <f t="shared" ca="1" si="239"/>
        <v>0</v>
      </c>
      <c r="BR536">
        <f ca="1">IF(ROW()&lt;($C$7+1),"",IFERROR((分析データ!F536-AVERAGE(OFFSET(分析データ!F$1,MAX(1,ROW()-$C$7),0,MIN($C$7,ROW()-1),1)))/STDEV(OFFSET(分析データ!F$1,MAX(1,ROW()-$C$7),0,MIN($C$7,ROW()-1),1)),0))</f>
        <v>-0.18725683581638936</v>
      </c>
      <c r="BS536">
        <f t="shared" ca="1" si="240"/>
        <v>0</v>
      </c>
      <c r="BT536" t="str">
        <f ca="1">IF(BS536=1,IF(INDEX(分析データ!$A:$A,ROW()+$C$5)&lt;&gt;"",40000*SIGN(BR536)*(分析データ!F536-INDEX(分析データ!F:F,ROW()+$C$5)),""),"")</f>
        <v/>
      </c>
      <c r="BU536">
        <f t="shared" ca="1" si="241"/>
        <v>3534799.9999999953</v>
      </c>
      <c r="BV536">
        <f t="shared" ca="1" si="242"/>
        <v>3534799.9999999953</v>
      </c>
      <c r="BW536">
        <f t="shared" ca="1" si="243"/>
        <v>0</v>
      </c>
      <c r="BX536">
        <f ca="1">IF(ROW()&lt;($C$7+1),"",IFERROR((分析データ!G536-AVERAGE(OFFSET(分析データ!G$1,MAX(1,ROW()-$C$7),0,MIN($C$7,ROW()-1),1)))/STDEV(OFFSET(分析データ!G$1,MAX(1,ROW()-$C$7),0,MIN($C$7,ROW()-1),1)),0))</f>
        <v>1.4444302667432594</v>
      </c>
      <c r="BY536">
        <f t="shared" ca="1" si="244"/>
        <v>0</v>
      </c>
      <c r="BZ536" t="str">
        <f ca="1">IF(BY536=1,IF(INDEX(分析データ!$A:$A,ROW()+$C$5)&lt;&gt;"",40000*SIGN(BX536)*(分析データ!G536-INDEX(分析データ!G:G,ROW()+$C$5)),""),"")</f>
        <v/>
      </c>
      <c r="CA536">
        <f t="shared" ca="1" si="245"/>
        <v>10969847.143554691</v>
      </c>
      <c r="CB536">
        <f t="shared" ca="1" si="246"/>
        <v>10969847.143554691</v>
      </c>
      <c r="CC536">
        <f t="shared" ca="1" si="247"/>
        <v>0</v>
      </c>
      <c r="CD536">
        <f t="shared" ca="1" si="248"/>
        <v>0</v>
      </c>
      <c r="CE536">
        <f t="shared" ca="1" si="249"/>
        <v>11937647.143554723</v>
      </c>
      <c r="CF536">
        <f t="shared" ca="1" si="250"/>
        <v>11937647.143554723</v>
      </c>
      <c r="CG536">
        <f t="shared" ca="1" si="251"/>
        <v>0</v>
      </c>
      <c r="CH536" s="10">
        <f>分析データ!A536</f>
        <v>45709</v>
      </c>
    </row>
    <row r="537" spans="46:86">
      <c r="AT537">
        <f ca="1">IF(ROW()&lt;($C$7+1),"",IFERROR((分析データ!B537-AVERAGE(OFFSET(分析データ!B$1,MAX(1,ROW()-$C$7),0,MIN($C$7,ROW()-1),1)))/STDEV(OFFSET(分析データ!B$1,MAX(1,ROW()-$C$7),0,MIN($C$7,ROW()-1),1)),0))</f>
        <v>1.2359760854242838</v>
      </c>
      <c r="AU537">
        <f t="shared" ca="1" si="224"/>
        <v>0</v>
      </c>
      <c r="AV537" t="str">
        <f ca="1">IF(AU537=1,IF(INDEX(分析データ!$A:$A,ROW()+$C$5)&lt;&gt;"",80000*SIGN(AT537)*(分析データ!B537-INDEX(分析データ!B:B,ROW()+$C$5)),""),"")</f>
        <v/>
      </c>
      <c r="AW537">
        <f t="shared" ca="1" si="225"/>
        <v>-4999999.9999999925</v>
      </c>
      <c r="AX537">
        <f t="shared" ca="1" si="226"/>
        <v>0</v>
      </c>
      <c r="AY537">
        <f t="shared" ca="1" si="227"/>
        <v>-4999999.9999999925</v>
      </c>
      <c r="AZ537">
        <f ca="1">IF(ROW()&lt;($C$7+1),"",IFERROR((分析データ!C537-AVERAGE(OFFSET(分析データ!C$1,MAX(1,ROW()-$C$7),0,MIN($C$7,ROW()-1),1)))/STDEV(OFFSET(分析データ!C$1,MAX(1,ROW()-$C$7),0,MIN($C$7,ROW()-1),1)),0))</f>
        <v>1.9357961780940427</v>
      </c>
      <c r="BA537">
        <f t="shared" ca="1" si="228"/>
        <v>0</v>
      </c>
      <c r="BB537" t="str">
        <f ca="1">IF(BA537=1,IF(INDEX(分析データ!$A:$A,ROW()+$C$5)&lt;&gt;"",60000*SIGN(AZ537)*(分析データ!C537-INDEX(分析データ!C:C,ROW()+$C$5)),""),"")</f>
        <v/>
      </c>
      <c r="BC537">
        <f t="shared" ca="1" si="229"/>
        <v>1893000.0000000086</v>
      </c>
      <c r="BD537">
        <f t="shared" ca="1" si="230"/>
        <v>1893000.0000000086</v>
      </c>
      <c r="BE537">
        <f t="shared" ca="1" si="231"/>
        <v>0</v>
      </c>
      <c r="BF537">
        <f ca="1">IF(ROW()&lt;($C$7+1),"",IFERROR((分析データ!D537-AVERAGE(OFFSET(分析データ!D$1,MAX(1,ROW()-$C$7),0,MIN($C$7,ROW()-1),1)))/STDEV(OFFSET(分析データ!D$1,MAX(1,ROW()-$C$7),0,MIN($C$7,ROW()-1),1)),0))</f>
        <v>-1.2557234434604745</v>
      </c>
      <c r="BG537">
        <f t="shared" ca="1" si="232"/>
        <v>0</v>
      </c>
      <c r="BH537" t="str">
        <f ca="1">IF(BG537=1,IF(INDEX(分析データ!$A:$A,ROW()+$C$5)&lt;&gt;"",50000*SIGN(BF537)*(分析データ!D537-INDEX(分析データ!D:D,ROW()+$C$5)),""),"")</f>
        <v/>
      </c>
      <c r="BI537">
        <f t="shared" ca="1" si="233"/>
        <v>-779999.99999999418</v>
      </c>
      <c r="BJ537">
        <f t="shared" ca="1" si="234"/>
        <v>1695000.0000000016</v>
      </c>
      <c r="BK537">
        <f t="shared" ca="1" si="235"/>
        <v>-2474999.9999999958</v>
      </c>
      <c r="BL537">
        <f ca="1">IF(ROW()&lt;($C$7+1),"",IFERROR((分析データ!E537-AVERAGE(OFFSET(分析データ!E$1,MAX(1,ROW()-$C$7),0,MIN($C$7,ROW()-1),1)))/STDEV(OFFSET(分析データ!E$1,MAX(1,ROW()-$C$7),0,MIN($C$7,ROW()-1),1)),0))</f>
        <v>0.76855125932398649</v>
      </c>
      <c r="BM537">
        <f t="shared" ca="1" si="236"/>
        <v>0</v>
      </c>
      <c r="BN537" t="str">
        <f ca="1">IF(BM537=1,IF(INDEX(分析データ!$A:$A,ROW()+$C$5)&lt;&gt;"",40000*SIGN(BL537)*(分析データ!E537-INDEX(分析データ!E:E,ROW()+$C$5)),""),"")</f>
        <v/>
      </c>
      <c r="BO537">
        <f t="shared" ca="1" si="237"/>
        <v>1320000.0000000075</v>
      </c>
      <c r="BP537">
        <f t="shared" ca="1" si="238"/>
        <v>1320000.0000000075</v>
      </c>
      <c r="BQ537">
        <f t="shared" ca="1" si="239"/>
        <v>0</v>
      </c>
      <c r="BR537">
        <f ca="1">IF(ROW()&lt;($C$7+1),"",IFERROR((分析データ!F537-AVERAGE(OFFSET(分析データ!F$1,MAX(1,ROW()-$C$7),0,MIN($C$7,ROW()-1),1)))/STDEV(OFFSET(分析データ!F$1,MAX(1,ROW()-$C$7),0,MIN($C$7,ROW()-1),1)),0))</f>
        <v>-0.28445150942631114</v>
      </c>
      <c r="BS537">
        <f t="shared" ca="1" si="240"/>
        <v>0</v>
      </c>
      <c r="BT537" t="str">
        <f ca="1">IF(BS537=1,IF(INDEX(分析データ!$A:$A,ROW()+$C$5)&lt;&gt;"",40000*SIGN(BR537)*(分析データ!F537-INDEX(分析データ!F:F,ROW()+$C$5)),""),"")</f>
        <v/>
      </c>
      <c r="BU537">
        <f t="shared" ca="1" si="241"/>
        <v>3534799.9999999953</v>
      </c>
      <c r="BV537">
        <f t="shared" ca="1" si="242"/>
        <v>3534799.9999999953</v>
      </c>
      <c r="BW537">
        <f t="shared" ca="1" si="243"/>
        <v>0</v>
      </c>
      <c r="BX537">
        <f ca="1">IF(ROW()&lt;($C$7+1),"",IFERROR((分析データ!G537-AVERAGE(OFFSET(分析データ!G$1,MAX(1,ROW()-$C$7),0,MIN($C$7,ROW()-1),1)))/STDEV(OFFSET(分析データ!G$1,MAX(1,ROW()-$C$7),0,MIN($C$7,ROW()-1),1)),0))</f>
        <v>1.624235741082392</v>
      </c>
      <c r="BY537">
        <f t="shared" ca="1" si="244"/>
        <v>0</v>
      </c>
      <c r="BZ537" t="str">
        <f ca="1">IF(BY537=1,IF(INDEX(分析データ!$A:$A,ROW()+$C$5)&lt;&gt;"",40000*SIGN(BX537)*(分析データ!G537-INDEX(分析データ!G:G,ROW()+$C$5)),""),"")</f>
        <v/>
      </c>
      <c r="CA537">
        <f t="shared" ca="1" si="245"/>
        <v>10969847.143554691</v>
      </c>
      <c r="CB537">
        <f t="shared" ca="1" si="246"/>
        <v>10969847.143554691</v>
      </c>
      <c r="CC537">
        <f t="shared" ca="1" si="247"/>
        <v>0</v>
      </c>
      <c r="CD537">
        <f t="shared" ca="1" si="248"/>
        <v>0</v>
      </c>
      <c r="CE537">
        <f t="shared" ca="1" si="249"/>
        <v>11937647.143554723</v>
      </c>
      <c r="CF537">
        <f t="shared" ca="1" si="250"/>
        <v>11937647.143554723</v>
      </c>
      <c r="CG537">
        <f t="shared" ca="1" si="251"/>
        <v>0</v>
      </c>
      <c r="CH537" s="10">
        <f>分析データ!A537</f>
        <v>45712</v>
      </c>
    </row>
    <row r="538" spans="46:86">
      <c r="AT538">
        <f ca="1">IF(ROW()&lt;($C$7+1),"",IFERROR((分析データ!B538-AVERAGE(OFFSET(分析データ!B$1,MAX(1,ROW()-$C$7),0,MIN($C$7,ROW()-1),1)))/STDEV(OFFSET(分析データ!B$1,MAX(1,ROW()-$C$7),0,MIN($C$7,ROW()-1),1)),0))</f>
        <v>1.1008442256517315</v>
      </c>
      <c r="AU538">
        <f t="shared" ca="1" si="224"/>
        <v>0</v>
      </c>
      <c r="AV538" t="str">
        <f ca="1">IF(AU538=1,IF(INDEX(分析データ!$A:$A,ROW()+$C$5)&lt;&gt;"",80000*SIGN(AT538)*(分析データ!B538-INDEX(分析データ!B:B,ROW()+$C$5)),""),"")</f>
        <v/>
      </c>
      <c r="AW538">
        <f t="shared" ca="1" si="225"/>
        <v>-4999999.9999999925</v>
      </c>
      <c r="AX538">
        <f t="shared" ca="1" si="226"/>
        <v>0</v>
      </c>
      <c r="AY538">
        <f t="shared" ca="1" si="227"/>
        <v>-4999999.9999999925</v>
      </c>
      <c r="AZ538">
        <f ca="1">IF(ROW()&lt;($C$7+1),"",IFERROR((分析データ!C538-AVERAGE(OFFSET(分析データ!C$1,MAX(1,ROW()-$C$7),0,MIN($C$7,ROW()-1),1)))/STDEV(OFFSET(分析データ!C$1,MAX(1,ROW()-$C$7),0,MIN($C$7,ROW()-1),1)),0))</f>
        <v>1.532737455557976</v>
      </c>
      <c r="BA538">
        <f t="shared" ca="1" si="228"/>
        <v>0</v>
      </c>
      <c r="BB538" t="str">
        <f ca="1">IF(BA538=1,IF(INDEX(分析データ!$A:$A,ROW()+$C$5)&lt;&gt;"",60000*SIGN(AZ538)*(分析データ!C538-INDEX(分析データ!C:C,ROW()+$C$5)),""),"")</f>
        <v/>
      </c>
      <c r="BC538">
        <f t="shared" ca="1" si="229"/>
        <v>1893000.0000000086</v>
      </c>
      <c r="BD538">
        <f t="shared" ca="1" si="230"/>
        <v>1893000.0000000086</v>
      </c>
      <c r="BE538">
        <f t="shared" ca="1" si="231"/>
        <v>0</v>
      </c>
      <c r="BF538">
        <f ca="1">IF(ROW()&lt;($C$7+1),"",IFERROR((分析データ!D538-AVERAGE(OFFSET(分析データ!D$1,MAX(1,ROW()-$C$7),0,MIN($C$7,ROW()-1),1)))/STDEV(OFFSET(分析データ!D$1,MAX(1,ROW()-$C$7),0,MIN($C$7,ROW()-1),1)),0))</f>
        <v>-1.4826841931521209</v>
      </c>
      <c r="BG538">
        <f t="shared" ca="1" si="232"/>
        <v>0</v>
      </c>
      <c r="BH538" t="str">
        <f ca="1">IF(BG538=1,IF(INDEX(分析データ!$A:$A,ROW()+$C$5)&lt;&gt;"",50000*SIGN(BF538)*(分析データ!D538-INDEX(分析データ!D:D,ROW()+$C$5)),""),"")</f>
        <v/>
      </c>
      <c r="BI538">
        <f t="shared" ca="1" si="233"/>
        <v>-779999.99999999418</v>
      </c>
      <c r="BJ538">
        <f t="shared" ca="1" si="234"/>
        <v>1695000.0000000016</v>
      </c>
      <c r="BK538">
        <f t="shared" ca="1" si="235"/>
        <v>-2474999.9999999958</v>
      </c>
      <c r="BL538">
        <f ca="1">IF(ROW()&lt;($C$7+1),"",IFERROR((分析データ!E538-AVERAGE(OFFSET(分析データ!E$1,MAX(1,ROW()-$C$7),0,MIN($C$7,ROW()-1),1)))/STDEV(OFFSET(分析データ!E$1,MAX(1,ROW()-$C$7),0,MIN($C$7,ROW()-1),1)),0))</f>
        <v>0.87121197716839582</v>
      </c>
      <c r="BM538">
        <f t="shared" ca="1" si="236"/>
        <v>0</v>
      </c>
      <c r="BN538" t="str">
        <f ca="1">IF(BM538=1,IF(INDEX(分析データ!$A:$A,ROW()+$C$5)&lt;&gt;"",40000*SIGN(BL538)*(分析データ!E538-INDEX(分析データ!E:E,ROW()+$C$5)),""),"")</f>
        <v/>
      </c>
      <c r="BO538">
        <f t="shared" ca="1" si="237"/>
        <v>1320000.0000000075</v>
      </c>
      <c r="BP538">
        <f t="shared" ca="1" si="238"/>
        <v>1320000.0000000075</v>
      </c>
      <c r="BQ538">
        <f t="shared" ca="1" si="239"/>
        <v>0</v>
      </c>
      <c r="BR538">
        <f ca="1">IF(ROW()&lt;($C$7+1),"",IFERROR((分析データ!F538-AVERAGE(OFFSET(分析データ!F$1,MAX(1,ROW()-$C$7),0,MIN($C$7,ROW()-1),1)))/STDEV(OFFSET(分析データ!F$1,MAX(1,ROW()-$C$7),0,MIN($C$7,ROW()-1),1)),0))</f>
        <v>6.3498203929177766E-2</v>
      </c>
      <c r="BS538">
        <f t="shared" ca="1" si="240"/>
        <v>0</v>
      </c>
      <c r="BT538" t="str">
        <f ca="1">IF(BS538=1,IF(INDEX(分析データ!$A:$A,ROW()+$C$5)&lt;&gt;"",40000*SIGN(BR538)*(分析データ!F538-INDEX(分析データ!F:F,ROW()+$C$5)),""),"")</f>
        <v/>
      </c>
      <c r="BU538">
        <f t="shared" ca="1" si="241"/>
        <v>3534799.9999999953</v>
      </c>
      <c r="BV538">
        <f t="shared" ca="1" si="242"/>
        <v>3534799.9999999953</v>
      </c>
      <c r="BW538">
        <f t="shared" ca="1" si="243"/>
        <v>0</v>
      </c>
      <c r="BX538">
        <f ca="1">IF(ROW()&lt;($C$7+1),"",IFERROR((分析データ!G538-AVERAGE(OFFSET(分析データ!G$1,MAX(1,ROW()-$C$7),0,MIN($C$7,ROW()-1),1)))/STDEV(OFFSET(分析データ!G$1,MAX(1,ROW()-$C$7),0,MIN($C$7,ROW()-1),1)),0))</f>
        <v>1.9077833314128045</v>
      </c>
      <c r="BY538">
        <f t="shared" ca="1" si="244"/>
        <v>0</v>
      </c>
      <c r="BZ538" t="str">
        <f ca="1">IF(BY538=1,IF(INDEX(分析データ!$A:$A,ROW()+$C$5)&lt;&gt;"",40000*SIGN(BX538)*(分析データ!G538-INDEX(分析データ!G:G,ROW()+$C$5)),""),"")</f>
        <v/>
      </c>
      <c r="CA538">
        <f t="shared" ca="1" si="245"/>
        <v>10969847.143554691</v>
      </c>
      <c r="CB538">
        <f t="shared" ca="1" si="246"/>
        <v>10969847.143554691</v>
      </c>
      <c r="CC538">
        <f t="shared" ca="1" si="247"/>
        <v>0</v>
      </c>
      <c r="CD538">
        <f t="shared" ca="1" si="248"/>
        <v>0</v>
      </c>
      <c r="CE538">
        <f t="shared" ca="1" si="249"/>
        <v>11937647.143554723</v>
      </c>
      <c r="CF538">
        <f t="shared" ca="1" si="250"/>
        <v>11937647.143554723</v>
      </c>
      <c r="CG538">
        <f t="shared" ca="1" si="251"/>
        <v>0</v>
      </c>
      <c r="CH538" s="10">
        <f>分析データ!A538</f>
        <v>45713</v>
      </c>
    </row>
    <row r="539" spans="46:86">
      <c r="AT539">
        <f ca="1">IF(ROW()&lt;($C$7+1),"",IFERROR((分析データ!B539-AVERAGE(OFFSET(分析データ!B$1,MAX(1,ROW()-$C$7),0,MIN($C$7,ROW()-1),1)))/STDEV(OFFSET(分析データ!B$1,MAX(1,ROW()-$C$7),0,MIN($C$7,ROW()-1),1)),0))</f>
        <v>0.92527035593411511</v>
      </c>
      <c r="AU539">
        <f t="shared" ca="1" si="224"/>
        <v>0</v>
      </c>
      <c r="AV539" t="str">
        <f ca="1">IF(AU539=1,IF(INDEX(分析データ!$A:$A,ROW()+$C$5)&lt;&gt;"",80000*SIGN(AT539)*(分析データ!B539-INDEX(分析データ!B:B,ROW()+$C$5)),""),"")</f>
        <v/>
      </c>
      <c r="AW539">
        <f t="shared" ca="1" si="225"/>
        <v>-4999999.9999999925</v>
      </c>
      <c r="AX539">
        <f t="shared" ca="1" si="226"/>
        <v>0</v>
      </c>
      <c r="AY539">
        <f t="shared" ca="1" si="227"/>
        <v>-4999999.9999999925</v>
      </c>
      <c r="AZ539">
        <f ca="1">IF(ROW()&lt;($C$7+1),"",IFERROR((分析データ!C539-AVERAGE(OFFSET(分析データ!C$1,MAX(1,ROW()-$C$7),0,MIN($C$7,ROW()-1),1)))/STDEV(OFFSET(分析データ!C$1,MAX(1,ROW()-$C$7),0,MIN($C$7,ROW()-1),1)),0))</f>
        <v>1.3195130521092033</v>
      </c>
      <c r="BA539">
        <f t="shared" ca="1" si="228"/>
        <v>0</v>
      </c>
      <c r="BB539" t="str">
        <f ca="1">IF(BA539=1,IF(INDEX(分析データ!$A:$A,ROW()+$C$5)&lt;&gt;"",60000*SIGN(AZ539)*(分析データ!C539-INDEX(分析データ!C:C,ROW()+$C$5)),""),"")</f>
        <v/>
      </c>
      <c r="BC539">
        <f t="shared" ca="1" si="229"/>
        <v>1893000.0000000086</v>
      </c>
      <c r="BD539">
        <f t="shared" ca="1" si="230"/>
        <v>1893000.0000000086</v>
      </c>
      <c r="BE539">
        <f t="shared" ca="1" si="231"/>
        <v>0</v>
      </c>
      <c r="BF539">
        <f ca="1">IF(ROW()&lt;($C$7+1),"",IFERROR((分析データ!D539-AVERAGE(OFFSET(分析データ!D$1,MAX(1,ROW()-$C$7),0,MIN($C$7,ROW()-1),1)))/STDEV(OFFSET(分析データ!D$1,MAX(1,ROW()-$C$7),0,MIN($C$7,ROW()-1),1)),0))</f>
        <v>-1.6117262110584081</v>
      </c>
      <c r="BG539">
        <f t="shared" ca="1" si="232"/>
        <v>0</v>
      </c>
      <c r="BH539" t="str">
        <f ca="1">IF(BG539=1,IF(INDEX(分析データ!$A:$A,ROW()+$C$5)&lt;&gt;"",50000*SIGN(BF539)*(分析データ!D539-INDEX(分析データ!D:D,ROW()+$C$5)),""),"")</f>
        <v/>
      </c>
      <c r="BI539">
        <f t="shared" ca="1" si="233"/>
        <v>-779999.99999999418</v>
      </c>
      <c r="BJ539">
        <f t="shared" ca="1" si="234"/>
        <v>1695000.0000000016</v>
      </c>
      <c r="BK539">
        <f t="shared" ca="1" si="235"/>
        <v>-2474999.9999999958</v>
      </c>
      <c r="BL539">
        <f ca="1">IF(ROW()&lt;($C$7+1),"",IFERROR((分析データ!E539-AVERAGE(OFFSET(分析データ!E$1,MAX(1,ROW()-$C$7),0,MIN($C$7,ROW()-1),1)))/STDEV(OFFSET(分析データ!E$1,MAX(1,ROW()-$C$7),0,MIN($C$7,ROW()-1),1)),0))</f>
        <v>0.97307777910911664</v>
      </c>
      <c r="BM539">
        <f t="shared" ca="1" si="236"/>
        <v>0</v>
      </c>
      <c r="BN539" t="str">
        <f ca="1">IF(BM539=1,IF(INDEX(分析データ!$A:$A,ROW()+$C$5)&lt;&gt;"",40000*SIGN(BL539)*(分析データ!E539-INDEX(分析データ!E:E,ROW()+$C$5)),""),"")</f>
        <v/>
      </c>
      <c r="BO539">
        <f t="shared" ca="1" si="237"/>
        <v>1320000.0000000075</v>
      </c>
      <c r="BP539">
        <f t="shared" ca="1" si="238"/>
        <v>1320000.0000000075</v>
      </c>
      <c r="BQ539">
        <f t="shared" ca="1" si="239"/>
        <v>0</v>
      </c>
      <c r="BR539">
        <f ca="1">IF(ROW()&lt;($C$7+1),"",IFERROR((分析データ!F539-AVERAGE(OFFSET(分析データ!F$1,MAX(1,ROW()-$C$7),0,MIN($C$7,ROW()-1),1)))/STDEV(OFFSET(分析データ!F$1,MAX(1,ROW()-$C$7),0,MIN($C$7,ROW()-1),1)),0))</f>
        <v>0.13138896972446612</v>
      </c>
      <c r="BS539">
        <f t="shared" ca="1" si="240"/>
        <v>0</v>
      </c>
      <c r="BT539" t="str">
        <f ca="1">IF(BS539=1,IF(INDEX(分析データ!$A:$A,ROW()+$C$5)&lt;&gt;"",40000*SIGN(BR539)*(分析データ!F539-INDEX(分析データ!F:F,ROW()+$C$5)),""),"")</f>
        <v/>
      </c>
      <c r="BU539">
        <f t="shared" ca="1" si="241"/>
        <v>3534799.9999999953</v>
      </c>
      <c r="BV539">
        <f t="shared" ca="1" si="242"/>
        <v>3534799.9999999953</v>
      </c>
      <c r="BW539">
        <f t="shared" ca="1" si="243"/>
        <v>0</v>
      </c>
      <c r="BX539">
        <f ca="1">IF(ROW()&lt;($C$7+1),"",IFERROR((分析データ!G539-AVERAGE(OFFSET(分析データ!G$1,MAX(1,ROW()-$C$7),0,MIN($C$7,ROW()-1),1)))/STDEV(OFFSET(分析データ!G$1,MAX(1,ROW()-$C$7),0,MIN($C$7,ROW()-1),1)),0))</f>
        <v>1.5076455326798819</v>
      </c>
      <c r="BY539">
        <f t="shared" ca="1" si="244"/>
        <v>0</v>
      </c>
      <c r="BZ539" t="str">
        <f ca="1">IF(BY539=1,IF(INDEX(分析データ!$A:$A,ROW()+$C$5)&lt;&gt;"",40000*SIGN(BX539)*(分析データ!G539-INDEX(分析データ!G:G,ROW()+$C$5)),""),"")</f>
        <v/>
      </c>
      <c r="CA539">
        <f t="shared" ca="1" si="245"/>
        <v>10969847.143554691</v>
      </c>
      <c r="CB539">
        <f t="shared" ca="1" si="246"/>
        <v>10969847.143554691</v>
      </c>
      <c r="CC539">
        <f t="shared" ca="1" si="247"/>
        <v>0</v>
      </c>
      <c r="CD539">
        <f t="shared" ca="1" si="248"/>
        <v>0</v>
      </c>
      <c r="CE539">
        <f t="shared" ca="1" si="249"/>
        <v>11937647.143554723</v>
      </c>
      <c r="CF539">
        <f t="shared" ca="1" si="250"/>
        <v>11937647.143554723</v>
      </c>
      <c r="CG539">
        <f t="shared" ca="1" si="251"/>
        <v>0</v>
      </c>
      <c r="CH539" s="10">
        <f>分析データ!A539</f>
        <v>45714</v>
      </c>
    </row>
    <row r="540" spans="46:86">
      <c r="AT540">
        <f ca="1">IF(ROW()&lt;($C$7+1),"",IFERROR((分析データ!B540-AVERAGE(OFFSET(分析データ!B$1,MAX(1,ROW()-$C$7),0,MIN($C$7,ROW()-1),1)))/STDEV(OFFSET(分析データ!B$1,MAX(1,ROW()-$C$7),0,MIN($C$7,ROW()-1),1)),0))</f>
        <v>0.95966508728677369</v>
      </c>
      <c r="AU540">
        <f t="shared" ca="1" si="224"/>
        <v>0</v>
      </c>
      <c r="AV540" t="str">
        <f ca="1">IF(AU540=1,IF(INDEX(分析データ!$A:$A,ROW()+$C$5)&lt;&gt;"",80000*SIGN(AT540)*(分析データ!B540-INDEX(分析データ!B:B,ROW()+$C$5)),""),"")</f>
        <v/>
      </c>
      <c r="AW540">
        <f t="shared" ca="1" si="225"/>
        <v>-4999999.9999999925</v>
      </c>
      <c r="AX540">
        <f t="shared" ca="1" si="226"/>
        <v>0</v>
      </c>
      <c r="AY540">
        <f t="shared" ca="1" si="227"/>
        <v>-4999999.9999999925</v>
      </c>
      <c r="AZ540">
        <f ca="1">IF(ROW()&lt;($C$7+1),"",IFERROR((分析データ!C540-AVERAGE(OFFSET(分析データ!C$1,MAX(1,ROW()-$C$7),0,MIN($C$7,ROW()-1),1)))/STDEV(OFFSET(分析データ!C$1,MAX(1,ROW()-$C$7),0,MIN($C$7,ROW()-1),1)),0))</f>
        <v>1.3650921408418566</v>
      </c>
      <c r="BA540">
        <f t="shared" ca="1" si="228"/>
        <v>0</v>
      </c>
      <c r="BB540" t="str">
        <f ca="1">IF(BA540=1,IF(INDEX(分析データ!$A:$A,ROW()+$C$5)&lt;&gt;"",60000*SIGN(AZ540)*(分析データ!C540-INDEX(分析データ!C:C,ROW()+$C$5)),""),"")</f>
        <v/>
      </c>
      <c r="BC540">
        <f t="shared" ca="1" si="229"/>
        <v>1893000.0000000086</v>
      </c>
      <c r="BD540">
        <f t="shared" ca="1" si="230"/>
        <v>1893000.0000000086</v>
      </c>
      <c r="BE540">
        <f t="shared" ca="1" si="231"/>
        <v>0</v>
      </c>
      <c r="BF540">
        <f ca="1">IF(ROW()&lt;($C$7+1),"",IFERROR((分析データ!D540-AVERAGE(OFFSET(分析データ!D$1,MAX(1,ROW()-$C$7),0,MIN($C$7,ROW()-1),1)))/STDEV(OFFSET(分析データ!D$1,MAX(1,ROW()-$C$7),0,MIN($C$7,ROW()-1),1)),0))</f>
        <v>-1.5376051537355369</v>
      </c>
      <c r="BG540">
        <f t="shared" ca="1" si="232"/>
        <v>0</v>
      </c>
      <c r="BH540" t="str">
        <f ca="1">IF(BG540=1,IF(INDEX(分析データ!$A:$A,ROW()+$C$5)&lt;&gt;"",50000*SIGN(BF540)*(分析データ!D540-INDEX(分析データ!D:D,ROW()+$C$5)),""),"")</f>
        <v/>
      </c>
      <c r="BI540">
        <f t="shared" ca="1" si="233"/>
        <v>-779999.99999999418</v>
      </c>
      <c r="BJ540">
        <f t="shared" ca="1" si="234"/>
        <v>1695000.0000000016</v>
      </c>
      <c r="BK540">
        <f t="shared" ca="1" si="235"/>
        <v>-2474999.9999999958</v>
      </c>
      <c r="BL540">
        <f ca="1">IF(ROW()&lt;($C$7+1),"",IFERROR((分析データ!E540-AVERAGE(OFFSET(分析データ!E$1,MAX(1,ROW()-$C$7),0,MIN($C$7,ROW()-1),1)))/STDEV(OFFSET(分析データ!E$1,MAX(1,ROW()-$C$7),0,MIN($C$7,ROW()-1),1)),0))</f>
        <v>1.0744975259197804</v>
      </c>
      <c r="BM540">
        <f t="shared" ca="1" si="236"/>
        <v>0</v>
      </c>
      <c r="BN540" t="str">
        <f ca="1">IF(BM540=1,IF(INDEX(分析データ!$A:$A,ROW()+$C$5)&lt;&gt;"",40000*SIGN(BL540)*(分析データ!E540-INDEX(分析データ!E:E,ROW()+$C$5)),""),"")</f>
        <v/>
      </c>
      <c r="BO540">
        <f t="shared" ca="1" si="237"/>
        <v>1320000.0000000075</v>
      </c>
      <c r="BP540">
        <f t="shared" ca="1" si="238"/>
        <v>1320000.0000000075</v>
      </c>
      <c r="BQ540">
        <f t="shared" ca="1" si="239"/>
        <v>0</v>
      </c>
      <c r="BR540">
        <f ca="1">IF(ROW()&lt;($C$7+1),"",IFERROR((分析データ!F540-AVERAGE(OFFSET(分析データ!F$1,MAX(1,ROW()-$C$7),0,MIN($C$7,ROW()-1),1)))/STDEV(OFFSET(分析データ!F$1,MAX(1,ROW()-$C$7),0,MIN($C$7,ROW()-1),1)),0))</f>
        <v>-5.1038390696761256E-2</v>
      </c>
      <c r="BS540">
        <f t="shared" ca="1" si="240"/>
        <v>0</v>
      </c>
      <c r="BT540" t="str">
        <f ca="1">IF(BS540=1,IF(INDEX(分析データ!$A:$A,ROW()+$C$5)&lt;&gt;"",40000*SIGN(BR540)*(分析データ!F540-INDEX(分析データ!F:F,ROW()+$C$5)),""),"")</f>
        <v/>
      </c>
      <c r="BU540">
        <f t="shared" ca="1" si="241"/>
        <v>3534799.9999999953</v>
      </c>
      <c r="BV540">
        <f t="shared" ca="1" si="242"/>
        <v>3534799.9999999953</v>
      </c>
      <c r="BW540">
        <f t="shared" ca="1" si="243"/>
        <v>0</v>
      </c>
      <c r="BX540">
        <f ca="1">IF(ROW()&lt;($C$7+1),"",IFERROR((分析データ!G540-AVERAGE(OFFSET(分析データ!G$1,MAX(1,ROW()-$C$7),0,MIN($C$7,ROW()-1),1)))/STDEV(OFFSET(分析データ!G$1,MAX(1,ROW()-$C$7),0,MIN($C$7,ROW()-1),1)),0))</f>
        <v>1.7523589127215318</v>
      </c>
      <c r="BY540">
        <f t="shared" ca="1" si="244"/>
        <v>0</v>
      </c>
      <c r="BZ540" t="str">
        <f ca="1">IF(BY540=1,IF(INDEX(分析データ!$A:$A,ROW()+$C$5)&lt;&gt;"",40000*SIGN(BX540)*(分析データ!G540-INDEX(分析データ!G:G,ROW()+$C$5)),""),"")</f>
        <v/>
      </c>
      <c r="CA540">
        <f t="shared" ca="1" si="245"/>
        <v>10969847.143554691</v>
      </c>
      <c r="CB540">
        <f t="shared" ca="1" si="246"/>
        <v>10969847.143554691</v>
      </c>
      <c r="CC540">
        <f t="shared" ca="1" si="247"/>
        <v>0</v>
      </c>
      <c r="CD540">
        <f t="shared" ca="1" si="248"/>
        <v>0</v>
      </c>
      <c r="CE540">
        <f t="shared" ca="1" si="249"/>
        <v>11937647.143554723</v>
      </c>
      <c r="CF540">
        <f t="shared" ca="1" si="250"/>
        <v>11937647.143554723</v>
      </c>
      <c r="CG540">
        <f t="shared" ca="1" si="251"/>
        <v>0</v>
      </c>
      <c r="CH540" s="10">
        <f>分析データ!A540</f>
        <v>45715</v>
      </c>
    </row>
    <row r="541" spans="46:86">
      <c r="AT541">
        <f ca="1">IF(ROW()&lt;($C$7+1),"",IFERROR((分析データ!B541-AVERAGE(OFFSET(分析データ!B$1,MAX(1,ROW()-$C$7),0,MIN($C$7,ROW()-1),1)))/STDEV(OFFSET(分析データ!B$1,MAX(1,ROW()-$C$7),0,MIN($C$7,ROW()-1),1)),0))</f>
        <v>1.0772446392854076</v>
      </c>
      <c r="AU541">
        <f t="shared" ca="1" si="224"/>
        <v>0</v>
      </c>
      <c r="AV541" t="str">
        <f ca="1">IF(AU541=1,IF(INDEX(分析データ!$A:$A,ROW()+$C$5)&lt;&gt;"",80000*SIGN(AT541)*(分析データ!B541-INDEX(分析データ!B:B,ROW()+$C$5)),""),"")</f>
        <v/>
      </c>
      <c r="AW541">
        <f t="shared" ca="1" si="225"/>
        <v>-4999999.9999999925</v>
      </c>
      <c r="AX541">
        <f t="shared" ca="1" si="226"/>
        <v>0</v>
      </c>
      <c r="AY541">
        <f t="shared" ca="1" si="227"/>
        <v>-4999999.9999999925</v>
      </c>
      <c r="AZ541">
        <f ca="1">IF(ROW()&lt;($C$7+1),"",IFERROR((分析データ!C541-AVERAGE(OFFSET(分析データ!C$1,MAX(1,ROW()-$C$7),0,MIN($C$7,ROW()-1),1)))/STDEV(OFFSET(分析データ!C$1,MAX(1,ROW()-$C$7),0,MIN($C$7,ROW()-1),1)),0))</f>
        <v>1.1044673120375537</v>
      </c>
      <c r="BA541">
        <f t="shared" ca="1" si="228"/>
        <v>0</v>
      </c>
      <c r="BB541" t="str">
        <f ca="1">IF(BA541=1,IF(INDEX(分析データ!$A:$A,ROW()+$C$5)&lt;&gt;"",60000*SIGN(AZ541)*(分析データ!C541-INDEX(分析データ!C:C,ROW()+$C$5)),""),"")</f>
        <v/>
      </c>
      <c r="BC541">
        <f t="shared" ca="1" si="229"/>
        <v>1893000.0000000086</v>
      </c>
      <c r="BD541">
        <f t="shared" ca="1" si="230"/>
        <v>1893000.0000000086</v>
      </c>
      <c r="BE541">
        <f t="shared" ca="1" si="231"/>
        <v>0</v>
      </c>
      <c r="BF541">
        <f ca="1">IF(ROW()&lt;($C$7+1),"",IFERROR((分析データ!D541-AVERAGE(OFFSET(分析データ!D$1,MAX(1,ROW()-$C$7),0,MIN($C$7,ROW()-1),1)))/STDEV(OFFSET(分析データ!D$1,MAX(1,ROW()-$C$7),0,MIN($C$7,ROW()-1),1)),0))</f>
        <v>-1.6413265361400733</v>
      </c>
      <c r="BG541">
        <f t="shared" ca="1" si="232"/>
        <v>0</v>
      </c>
      <c r="BH541" t="str">
        <f ca="1">IF(BG541=1,IF(INDEX(分析データ!$A:$A,ROW()+$C$5)&lt;&gt;"",50000*SIGN(BF541)*(分析データ!D541-INDEX(分析データ!D:D,ROW()+$C$5)),""),"")</f>
        <v/>
      </c>
      <c r="BI541">
        <f t="shared" ca="1" si="233"/>
        <v>-779999.99999999418</v>
      </c>
      <c r="BJ541">
        <f t="shared" ca="1" si="234"/>
        <v>1695000.0000000016</v>
      </c>
      <c r="BK541">
        <f t="shared" ca="1" si="235"/>
        <v>-2474999.9999999958</v>
      </c>
      <c r="BL541">
        <f ca="1">IF(ROW()&lt;($C$7+1),"",IFERROR((分析データ!E541-AVERAGE(OFFSET(分析データ!E$1,MAX(1,ROW()-$C$7),0,MIN($C$7,ROW()-1),1)))/STDEV(OFFSET(分析データ!E$1,MAX(1,ROW()-$C$7),0,MIN($C$7,ROW()-1),1)),0))</f>
        <v>1.1750345755350244</v>
      </c>
      <c r="BM541">
        <f t="shared" ca="1" si="236"/>
        <v>0</v>
      </c>
      <c r="BN541" t="str">
        <f ca="1">IF(BM541=1,IF(INDEX(分析データ!$A:$A,ROW()+$C$5)&lt;&gt;"",40000*SIGN(BL541)*(分析データ!E541-INDEX(分析データ!E:E,ROW()+$C$5)),""),"")</f>
        <v/>
      </c>
      <c r="BO541">
        <f t="shared" ca="1" si="237"/>
        <v>1320000.0000000075</v>
      </c>
      <c r="BP541">
        <f t="shared" ca="1" si="238"/>
        <v>1320000.0000000075</v>
      </c>
      <c r="BQ541">
        <f t="shared" ca="1" si="239"/>
        <v>0</v>
      </c>
      <c r="BR541">
        <f ca="1">IF(ROW()&lt;($C$7+1),"",IFERROR((分析データ!F541-AVERAGE(OFFSET(分析データ!F$1,MAX(1,ROW()-$C$7),0,MIN($C$7,ROW()-1),1)))/STDEV(OFFSET(分析データ!F$1,MAX(1,ROW()-$C$7),0,MIN($C$7,ROW()-1),1)),0))</f>
        <v>0.31509549406404253</v>
      </c>
      <c r="BS541">
        <f t="shared" ca="1" si="240"/>
        <v>0</v>
      </c>
      <c r="BT541" t="str">
        <f ca="1">IF(BS541=1,IF(INDEX(分析データ!$A:$A,ROW()+$C$5)&lt;&gt;"",40000*SIGN(BR541)*(分析データ!F541-INDEX(分析データ!F:F,ROW()+$C$5)),""),"")</f>
        <v/>
      </c>
      <c r="BU541">
        <f t="shared" ca="1" si="241"/>
        <v>3534799.9999999953</v>
      </c>
      <c r="BV541">
        <f t="shared" ca="1" si="242"/>
        <v>3534799.9999999953</v>
      </c>
      <c r="BW541">
        <f t="shared" ca="1" si="243"/>
        <v>0</v>
      </c>
      <c r="BX541">
        <f ca="1">IF(ROW()&lt;($C$7+1),"",IFERROR((分析データ!G541-AVERAGE(OFFSET(分析データ!G$1,MAX(1,ROW()-$C$7),0,MIN($C$7,ROW()-1),1)))/STDEV(OFFSET(分析データ!G$1,MAX(1,ROW()-$C$7),0,MIN($C$7,ROW()-1),1)),0))</f>
        <v>2.0846626195080966</v>
      </c>
      <c r="BY541">
        <f t="shared" ca="1" si="244"/>
        <v>1</v>
      </c>
      <c r="BZ541">
        <f ca="1">IF(BY541=1,IF(INDEX(分析データ!$A:$A,ROW()+$C$5)&lt;&gt;"",40000*SIGN(BX541)*(分析データ!G541-INDEX(分析データ!G:G,ROW()+$C$5)),""),"")</f>
        <v>357672.85644531285</v>
      </c>
      <c r="CA541">
        <f t="shared" ca="1" si="245"/>
        <v>11327520.000000004</v>
      </c>
      <c r="CB541">
        <f t="shared" ca="1" si="246"/>
        <v>11327520.000000004</v>
      </c>
      <c r="CC541">
        <f t="shared" ca="1" si="247"/>
        <v>0</v>
      </c>
      <c r="CD541">
        <f t="shared" ca="1" si="248"/>
        <v>357672.85644531285</v>
      </c>
      <c r="CE541">
        <f t="shared" ca="1" si="249"/>
        <v>12295320.000000035</v>
      </c>
      <c r="CF541">
        <f t="shared" ca="1" si="250"/>
        <v>12295320.000000035</v>
      </c>
      <c r="CG541">
        <f t="shared" ca="1" si="251"/>
        <v>0</v>
      </c>
      <c r="CH541" s="10">
        <f>分析データ!A541</f>
        <v>45716</v>
      </c>
    </row>
    <row r="542" spans="46:86">
      <c r="AT542">
        <f ca="1">IF(ROW()&lt;($C$7+1),"",IFERROR((分析データ!B542-AVERAGE(OFFSET(分析データ!B$1,MAX(1,ROW()-$C$7),0,MIN($C$7,ROW()-1),1)))/STDEV(OFFSET(分析データ!B$1,MAX(1,ROW()-$C$7),0,MIN($C$7,ROW()-1),1)),0))</f>
        <v>0.77638192187222799</v>
      </c>
      <c r="AU542">
        <f t="shared" ca="1" si="224"/>
        <v>0</v>
      </c>
      <c r="AV542" t="str">
        <f ca="1">IF(AU542=1,IF(INDEX(分析データ!$A:$A,ROW()+$C$5)&lt;&gt;"",80000*SIGN(AT542)*(分析データ!B542-INDEX(分析データ!B:B,ROW()+$C$5)),""),"")</f>
        <v/>
      </c>
      <c r="AW542">
        <f t="shared" ca="1" si="225"/>
        <v>-4999999.9999999925</v>
      </c>
      <c r="AX542">
        <f t="shared" ca="1" si="226"/>
        <v>0</v>
      </c>
      <c r="AY542">
        <f t="shared" ca="1" si="227"/>
        <v>-4999999.9999999925</v>
      </c>
      <c r="AZ542">
        <f ca="1">IF(ROW()&lt;($C$7+1),"",IFERROR((分析データ!C542-AVERAGE(OFFSET(分析データ!C$1,MAX(1,ROW()-$C$7),0,MIN($C$7,ROW()-1),1)))/STDEV(OFFSET(分析データ!C$1,MAX(1,ROW()-$C$7),0,MIN($C$7,ROW()-1),1)),0))</f>
        <v>1.468836695884143</v>
      </c>
      <c r="BA542">
        <f t="shared" ca="1" si="228"/>
        <v>0</v>
      </c>
      <c r="BB542" t="str">
        <f ca="1">IF(BA542=1,IF(INDEX(分析データ!$A:$A,ROW()+$C$5)&lt;&gt;"",60000*SIGN(AZ542)*(分析データ!C542-INDEX(分析データ!C:C,ROW()+$C$5)),""),"")</f>
        <v/>
      </c>
      <c r="BC542">
        <f t="shared" ca="1" si="229"/>
        <v>1893000.0000000086</v>
      </c>
      <c r="BD542">
        <f t="shared" ca="1" si="230"/>
        <v>1893000.0000000086</v>
      </c>
      <c r="BE542">
        <f t="shared" ca="1" si="231"/>
        <v>0</v>
      </c>
      <c r="BF542">
        <f ca="1">IF(ROW()&lt;($C$7+1),"",IFERROR((分析データ!D542-AVERAGE(OFFSET(分析データ!D$1,MAX(1,ROW()-$C$7),0,MIN($C$7,ROW()-1),1)))/STDEV(OFFSET(分析データ!D$1,MAX(1,ROW()-$C$7),0,MIN($C$7,ROW()-1),1)),0))</f>
        <v>-2.0689027498850918</v>
      </c>
      <c r="BG542">
        <f t="shared" ca="1" si="232"/>
        <v>1</v>
      </c>
      <c r="BH542">
        <f ca="1">IF(BG542=1,IF(INDEX(分析データ!$A:$A,ROW()+$C$5)&lt;&gt;"",50000*SIGN(BF542)*(分析データ!D542-INDEX(分析データ!D:D,ROW()+$C$5)),""),"")</f>
        <v>244999.99999999886</v>
      </c>
      <c r="BI542">
        <f t="shared" ca="1" si="233"/>
        <v>-534999.99999999534</v>
      </c>
      <c r="BJ542">
        <f t="shared" ca="1" si="234"/>
        <v>1695000.0000000016</v>
      </c>
      <c r="BK542">
        <f t="shared" ca="1" si="235"/>
        <v>-2229999.9999999972</v>
      </c>
      <c r="BL542">
        <f ca="1">IF(ROW()&lt;($C$7+1),"",IFERROR((分析データ!E542-AVERAGE(OFFSET(分析データ!E$1,MAX(1,ROW()-$C$7),0,MIN($C$7,ROW()-1),1)))/STDEV(OFFSET(分析データ!E$1,MAX(1,ROW()-$C$7),0,MIN($C$7,ROW()-1),1)),0))</f>
        <v>0.94787531553397986</v>
      </c>
      <c r="BM542">
        <f t="shared" ca="1" si="236"/>
        <v>0</v>
      </c>
      <c r="BN542" t="str">
        <f ca="1">IF(BM542=1,IF(INDEX(分析データ!$A:$A,ROW()+$C$5)&lt;&gt;"",40000*SIGN(BL542)*(分析データ!E542-INDEX(分析データ!E:E,ROW()+$C$5)),""),"")</f>
        <v/>
      </c>
      <c r="BO542">
        <f t="shared" ca="1" si="237"/>
        <v>1320000.0000000075</v>
      </c>
      <c r="BP542">
        <f t="shared" ca="1" si="238"/>
        <v>1320000.0000000075</v>
      </c>
      <c r="BQ542">
        <f t="shared" ca="1" si="239"/>
        <v>0</v>
      </c>
      <c r="BR542">
        <f ca="1">IF(ROW()&lt;($C$7+1),"",IFERROR((分析データ!F542-AVERAGE(OFFSET(分析データ!F$1,MAX(1,ROW()-$C$7),0,MIN($C$7,ROW()-1),1)))/STDEV(OFFSET(分析データ!F$1,MAX(1,ROW()-$C$7),0,MIN($C$7,ROW()-1),1)),0))</f>
        <v>0.43220458070345014</v>
      </c>
      <c r="BS542">
        <f t="shared" ca="1" si="240"/>
        <v>0</v>
      </c>
      <c r="BT542" t="str">
        <f ca="1">IF(BS542=1,IF(INDEX(分析データ!$A:$A,ROW()+$C$5)&lt;&gt;"",40000*SIGN(BR542)*(分析データ!F542-INDEX(分析データ!F:F,ROW()+$C$5)),""),"")</f>
        <v/>
      </c>
      <c r="BU542">
        <f t="shared" ca="1" si="241"/>
        <v>3534799.9999999953</v>
      </c>
      <c r="BV542">
        <f t="shared" ca="1" si="242"/>
        <v>3534799.9999999953</v>
      </c>
      <c r="BW542">
        <f t="shared" ca="1" si="243"/>
        <v>0</v>
      </c>
      <c r="BX542">
        <f ca="1">IF(ROW()&lt;($C$7+1),"",IFERROR((分析データ!G542-AVERAGE(OFFSET(分析データ!G$1,MAX(1,ROW()-$C$7),0,MIN($C$7,ROW()-1),1)))/STDEV(OFFSET(分析データ!G$1,MAX(1,ROW()-$C$7),0,MIN($C$7,ROW()-1),1)),0))</f>
        <v>1.68723356620547</v>
      </c>
      <c r="BY542">
        <f t="shared" ca="1" si="244"/>
        <v>0</v>
      </c>
      <c r="BZ542" t="str">
        <f ca="1">IF(BY542=1,IF(INDEX(分析データ!$A:$A,ROW()+$C$5)&lt;&gt;"",40000*SIGN(BX542)*(分析データ!G542-INDEX(分析データ!G:G,ROW()+$C$5)),""),"")</f>
        <v/>
      </c>
      <c r="CA542">
        <f t="shared" ca="1" si="245"/>
        <v>11327520.000000004</v>
      </c>
      <c r="CB542">
        <f t="shared" ca="1" si="246"/>
        <v>11327520.000000004</v>
      </c>
      <c r="CC542">
        <f t="shared" ca="1" si="247"/>
        <v>0</v>
      </c>
      <c r="CD542">
        <f t="shared" ca="1" si="248"/>
        <v>244999.99999999886</v>
      </c>
      <c r="CE542">
        <f t="shared" ca="1" si="249"/>
        <v>12540320.000000034</v>
      </c>
      <c r="CF542">
        <f t="shared" ca="1" si="250"/>
        <v>12540320.000000034</v>
      </c>
      <c r="CG542">
        <f t="shared" ca="1" si="251"/>
        <v>0</v>
      </c>
      <c r="CH542" s="10">
        <f>分析データ!A542</f>
        <v>45719</v>
      </c>
    </row>
    <row r="543" spans="46:86">
      <c r="AT543">
        <f ca="1">IF(ROW()&lt;($C$7+1),"",IFERROR((分析データ!B543-AVERAGE(OFFSET(分析データ!B$1,MAX(1,ROW()-$C$7),0,MIN($C$7,ROW()-1),1)))/STDEV(OFFSET(分析データ!B$1,MAX(1,ROW()-$C$7),0,MIN($C$7,ROW()-1),1)),0))</f>
        <v>0.93728042366321662</v>
      </c>
      <c r="AU543">
        <f t="shared" ca="1" si="224"/>
        <v>0</v>
      </c>
      <c r="AV543" t="str">
        <f ca="1">IF(AU543=1,IF(INDEX(分析データ!$A:$A,ROW()+$C$5)&lt;&gt;"",80000*SIGN(AT543)*(分析データ!B543-INDEX(分析データ!B:B,ROW()+$C$5)),""),"")</f>
        <v/>
      </c>
      <c r="AW543">
        <f t="shared" ca="1" si="225"/>
        <v>-4999999.9999999925</v>
      </c>
      <c r="AX543">
        <f t="shared" ca="1" si="226"/>
        <v>0</v>
      </c>
      <c r="AY543">
        <f t="shared" ca="1" si="227"/>
        <v>-4999999.9999999925</v>
      </c>
      <c r="AZ543">
        <f ca="1">IF(ROW()&lt;($C$7+1),"",IFERROR((分析データ!C543-AVERAGE(OFFSET(分析データ!C$1,MAX(1,ROW()-$C$7),0,MIN($C$7,ROW()-1),1)))/STDEV(OFFSET(分析データ!C$1,MAX(1,ROW()-$C$7),0,MIN($C$7,ROW()-1),1)),0))</f>
        <v>1.6108875074923732</v>
      </c>
      <c r="BA543">
        <f t="shared" ca="1" si="228"/>
        <v>0</v>
      </c>
      <c r="BB543" t="str">
        <f ca="1">IF(BA543=1,IF(INDEX(分析データ!$A:$A,ROW()+$C$5)&lt;&gt;"",60000*SIGN(AZ543)*(分析データ!C543-INDEX(分析データ!C:C,ROW()+$C$5)),""),"")</f>
        <v/>
      </c>
      <c r="BC543">
        <f t="shared" ca="1" si="229"/>
        <v>1893000.0000000086</v>
      </c>
      <c r="BD543">
        <f t="shared" ca="1" si="230"/>
        <v>1893000.0000000086</v>
      </c>
      <c r="BE543">
        <f t="shared" ca="1" si="231"/>
        <v>0</v>
      </c>
      <c r="BF543">
        <f ca="1">IF(ROW()&lt;($C$7+1),"",IFERROR((分析データ!D543-AVERAGE(OFFSET(分析データ!D$1,MAX(1,ROW()-$C$7),0,MIN($C$7,ROW()-1),1)))/STDEV(OFFSET(分析データ!D$1,MAX(1,ROW()-$C$7),0,MIN($C$7,ROW()-1),1)),0))</f>
        <v>-1.8749358896919996</v>
      </c>
      <c r="BG543">
        <f t="shared" ca="1" si="232"/>
        <v>0</v>
      </c>
      <c r="BH543" t="str">
        <f ca="1">IF(BG543=1,IF(INDEX(分析データ!$A:$A,ROW()+$C$5)&lt;&gt;"",50000*SIGN(BF543)*(分析データ!D543-INDEX(分析データ!D:D,ROW()+$C$5)),""),"")</f>
        <v/>
      </c>
      <c r="BI543">
        <f t="shared" ca="1" si="233"/>
        <v>-534999.99999999534</v>
      </c>
      <c r="BJ543">
        <f t="shared" ca="1" si="234"/>
        <v>1695000.0000000016</v>
      </c>
      <c r="BK543">
        <f t="shared" ca="1" si="235"/>
        <v>-2229999.9999999972</v>
      </c>
      <c r="BL543">
        <f ca="1">IF(ROW()&lt;($C$7+1),"",IFERROR((分析データ!E543-AVERAGE(OFFSET(分析データ!E$1,MAX(1,ROW()-$C$7),0,MIN($C$7,ROW()-1),1)))/STDEV(OFFSET(分析データ!E$1,MAX(1,ROW()-$C$7),0,MIN($C$7,ROW()-1),1)),0))</f>
        <v>1.1584495312333938</v>
      </c>
      <c r="BM543">
        <f t="shared" ca="1" si="236"/>
        <v>0</v>
      </c>
      <c r="BN543" t="str">
        <f ca="1">IF(BM543=1,IF(INDEX(分析データ!$A:$A,ROW()+$C$5)&lt;&gt;"",40000*SIGN(BL543)*(分析データ!E543-INDEX(分析データ!E:E,ROW()+$C$5)),""),"")</f>
        <v/>
      </c>
      <c r="BO543">
        <f t="shared" ca="1" si="237"/>
        <v>1320000.0000000075</v>
      </c>
      <c r="BP543">
        <f t="shared" ca="1" si="238"/>
        <v>1320000.0000000075</v>
      </c>
      <c r="BQ543">
        <f t="shared" ca="1" si="239"/>
        <v>0</v>
      </c>
      <c r="BR543">
        <f ca="1">IF(ROW()&lt;($C$7+1),"",IFERROR((分析データ!F543-AVERAGE(OFFSET(分析データ!F$1,MAX(1,ROW()-$C$7),0,MIN($C$7,ROW()-1),1)))/STDEV(OFFSET(分析データ!F$1,MAX(1,ROW()-$C$7),0,MIN($C$7,ROW()-1),1)),0))</f>
        <v>0.5653429331620341</v>
      </c>
      <c r="BS543">
        <f t="shared" ca="1" si="240"/>
        <v>0</v>
      </c>
      <c r="BT543" t="str">
        <f ca="1">IF(BS543=1,IF(INDEX(分析データ!$A:$A,ROW()+$C$5)&lt;&gt;"",40000*SIGN(BR543)*(分析データ!F543-INDEX(分析データ!F:F,ROW()+$C$5)),""),"")</f>
        <v/>
      </c>
      <c r="BU543">
        <f t="shared" ca="1" si="241"/>
        <v>3534799.9999999953</v>
      </c>
      <c r="BV543">
        <f t="shared" ca="1" si="242"/>
        <v>3534799.9999999953</v>
      </c>
      <c r="BW543">
        <f t="shared" ca="1" si="243"/>
        <v>0</v>
      </c>
      <c r="BX543">
        <f ca="1">IF(ROW()&lt;($C$7+1),"",IFERROR((分析データ!G543-AVERAGE(OFFSET(分析データ!G$1,MAX(1,ROW()-$C$7),0,MIN($C$7,ROW()-1),1)))/STDEV(OFFSET(分析データ!G$1,MAX(1,ROW()-$C$7),0,MIN($C$7,ROW()-1),1)),0))</f>
        <v>9.8294533313723689E-2</v>
      </c>
      <c r="BY543">
        <f t="shared" ca="1" si="244"/>
        <v>0</v>
      </c>
      <c r="BZ543" t="str">
        <f ca="1">IF(BY543=1,IF(INDEX(分析データ!$A:$A,ROW()+$C$5)&lt;&gt;"",40000*SIGN(BX543)*(分析データ!G543-INDEX(分析データ!G:G,ROW()+$C$5)),""),"")</f>
        <v/>
      </c>
      <c r="CA543">
        <f t="shared" ca="1" si="245"/>
        <v>11327520.000000004</v>
      </c>
      <c r="CB543">
        <f t="shared" ca="1" si="246"/>
        <v>11327520.000000004</v>
      </c>
      <c r="CC543">
        <f t="shared" ca="1" si="247"/>
        <v>0</v>
      </c>
      <c r="CD543">
        <f t="shared" ca="1" si="248"/>
        <v>0</v>
      </c>
      <c r="CE543">
        <f t="shared" ca="1" si="249"/>
        <v>12540320.000000034</v>
      </c>
      <c r="CF543">
        <f t="shared" ca="1" si="250"/>
        <v>12540320.000000034</v>
      </c>
      <c r="CG543">
        <f t="shared" ca="1" si="251"/>
        <v>0</v>
      </c>
      <c r="CH543" s="10">
        <f>分析データ!A543</f>
        <v>45720</v>
      </c>
    </row>
    <row r="544" spans="46:86">
      <c r="AT544">
        <f ca="1">IF(ROW()&lt;($C$7+1),"",IFERROR((分析データ!B544-AVERAGE(OFFSET(分析データ!B$1,MAX(1,ROW()-$C$7),0,MIN($C$7,ROW()-1),1)))/STDEV(OFFSET(分析データ!B$1,MAX(1,ROW()-$C$7),0,MIN($C$7,ROW()-1),1)),0))</f>
        <v>1.1385829514245862</v>
      </c>
      <c r="AU544">
        <f t="shared" ca="1" si="224"/>
        <v>0</v>
      </c>
      <c r="AV544" t="str">
        <f ca="1">IF(AU544=1,IF(INDEX(分析データ!$A:$A,ROW()+$C$5)&lt;&gt;"",80000*SIGN(AT544)*(分析データ!B544-INDEX(分析データ!B:B,ROW()+$C$5)),""),"")</f>
        <v/>
      </c>
      <c r="AW544">
        <f t="shared" ca="1" si="225"/>
        <v>-4999999.9999999925</v>
      </c>
      <c r="AX544">
        <f t="shared" ca="1" si="226"/>
        <v>0</v>
      </c>
      <c r="AY544">
        <f t="shared" ca="1" si="227"/>
        <v>-4999999.9999999925</v>
      </c>
      <c r="AZ544">
        <f ca="1">IF(ROW()&lt;($C$7+1),"",IFERROR((分析データ!C544-AVERAGE(OFFSET(分析データ!C$1,MAX(1,ROW()-$C$7),0,MIN($C$7,ROW()-1),1)))/STDEV(OFFSET(分析データ!C$1,MAX(1,ROW()-$C$7),0,MIN($C$7,ROW()-1),1)),0))</f>
        <v>1.6853950295176101</v>
      </c>
      <c r="BA544">
        <f t="shared" ca="1" si="228"/>
        <v>0</v>
      </c>
      <c r="BB544" t="str">
        <f ca="1">IF(BA544=1,IF(INDEX(分析データ!$A:$A,ROW()+$C$5)&lt;&gt;"",60000*SIGN(AZ544)*(分析データ!C544-INDEX(分析データ!C:C,ROW()+$C$5)),""),"")</f>
        <v/>
      </c>
      <c r="BC544">
        <f t="shared" ca="1" si="229"/>
        <v>1893000.0000000086</v>
      </c>
      <c r="BD544">
        <f t="shared" ca="1" si="230"/>
        <v>1893000.0000000086</v>
      </c>
      <c r="BE544">
        <f t="shared" ca="1" si="231"/>
        <v>0</v>
      </c>
      <c r="BF544">
        <f ca="1">IF(ROW()&lt;($C$7+1),"",IFERROR((分析データ!D544-AVERAGE(OFFSET(分析データ!D$1,MAX(1,ROW()-$C$7),0,MIN($C$7,ROW()-1),1)))/STDEV(OFFSET(分析データ!D$1,MAX(1,ROW()-$C$7),0,MIN($C$7,ROW()-1),1)),0))</f>
        <v>-1.7006506323193649</v>
      </c>
      <c r="BG544">
        <f t="shared" ca="1" si="232"/>
        <v>0</v>
      </c>
      <c r="BH544" t="str">
        <f ca="1">IF(BG544=1,IF(INDEX(分析データ!$A:$A,ROW()+$C$5)&lt;&gt;"",50000*SIGN(BF544)*(分析データ!D544-INDEX(分析データ!D:D,ROW()+$C$5)),""),"")</f>
        <v/>
      </c>
      <c r="BI544">
        <f t="shared" ca="1" si="233"/>
        <v>-534999.99999999534</v>
      </c>
      <c r="BJ544">
        <f t="shared" ca="1" si="234"/>
        <v>1695000.0000000016</v>
      </c>
      <c r="BK544">
        <f t="shared" ca="1" si="235"/>
        <v>-2229999.9999999972</v>
      </c>
      <c r="BL544">
        <f ca="1">IF(ROW()&lt;($C$7+1),"",IFERROR((分析データ!E544-AVERAGE(OFFSET(分析データ!E$1,MAX(1,ROW()-$C$7),0,MIN($C$7,ROW()-1),1)))/STDEV(OFFSET(分析データ!E$1,MAX(1,ROW()-$C$7),0,MIN($C$7,ROW()-1),1)),0))</f>
        <v>1.0404312091539216</v>
      </c>
      <c r="BM544">
        <f t="shared" ca="1" si="236"/>
        <v>0</v>
      </c>
      <c r="BN544" t="str">
        <f ca="1">IF(BM544=1,IF(INDEX(分析データ!$A:$A,ROW()+$C$5)&lt;&gt;"",40000*SIGN(BL544)*(分析データ!E544-INDEX(分析データ!E:E,ROW()+$C$5)),""),"")</f>
        <v/>
      </c>
      <c r="BO544">
        <f t="shared" ca="1" si="237"/>
        <v>1320000.0000000075</v>
      </c>
      <c r="BP544">
        <f t="shared" ca="1" si="238"/>
        <v>1320000.0000000075</v>
      </c>
      <c r="BQ544">
        <f t="shared" ca="1" si="239"/>
        <v>0</v>
      </c>
      <c r="BR544">
        <f ca="1">IF(ROW()&lt;($C$7+1),"",IFERROR((分析データ!F544-AVERAGE(OFFSET(分析データ!F$1,MAX(1,ROW()-$C$7),0,MIN($C$7,ROW()-1),1)))/STDEV(OFFSET(分析データ!F$1,MAX(1,ROW()-$C$7),0,MIN($C$7,ROW()-1),1)),0))</f>
        <v>0.14577840397724656</v>
      </c>
      <c r="BS544">
        <f t="shared" ca="1" si="240"/>
        <v>0</v>
      </c>
      <c r="BT544" t="str">
        <f ca="1">IF(BS544=1,IF(INDEX(分析データ!$A:$A,ROW()+$C$5)&lt;&gt;"",40000*SIGN(BR544)*(分析データ!F544-INDEX(分析データ!F:F,ROW()+$C$5)),""),"")</f>
        <v/>
      </c>
      <c r="BU544">
        <f t="shared" ca="1" si="241"/>
        <v>3534799.9999999953</v>
      </c>
      <c r="BV544">
        <f t="shared" ca="1" si="242"/>
        <v>3534799.9999999953</v>
      </c>
      <c r="BW544">
        <f t="shared" ca="1" si="243"/>
        <v>0</v>
      </c>
      <c r="BX544">
        <f ca="1">IF(ROW()&lt;($C$7+1),"",IFERROR((分析データ!G544-AVERAGE(OFFSET(分析データ!G$1,MAX(1,ROW()-$C$7),0,MIN($C$7,ROW()-1),1)))/STDEV(OFFSET(分析データ!G$1,MAX(1,ROW()-$C$7),0,MIN($C$7,ROW()-1),1)),0))</f>
        <v>1.8576327391386882</v>
      </c>
      <c r="BY544">
        <f t="shared" ca="1" si="244"/>
        <v>0</v>
      </c>
      <c r="BZ544" t="str">
        <f ca="1">IF(BY544=1,IF(INDEX(分析データ!$A:$A,ROW()+$C$5)&lt;&gt;"",40000*SIGN(BX544)*(分析データ!G544-INDEX(分析データ!G:G,ROW()+$C$5)),""),"")</f>
        <v/>
      </c>
      <c r="CA544">
        <f t="shared" ca="1" si="245"/>
        <v>11327520.000000004</v>
      </c>
      <c r="CB544">
        <f t="shared" ca="1" si="246"/>
        <v>11327520.000000004</v>
      </c>
      <c r="CC544">
        <f t="shared" ca="1" si="247"/>
        <v>0</v>
      </c>
      <c r="CD544">
        <f t="shared" ca="1" si="248"/>
        <v>0</v>
      </c>
      <c r="CE544">
        <f t="shared" ca="1" si="249"/>
        <v>12540320.000000034</v>
      </c>
      <c r="CF544">
        <f t="shared" ca="1" si="250"/>
        <v>12540320.000000034</v>
      </c>
      <c r="CG544">
        <f t="shared" ca="1" si="251"/>
        <v>0</v>
      </c>
      <c r="CH544" s="10">
        <f>分析データ!A544</f>
        <v>45721</v>
      </c>
    </row>
    <row r="545" spans="46:86">
      <c r="AT545">
        <f ca="1">IF(ROW()&lt;($C$7+1),"",IFERROR((分析データ!B545-AVERAGE(OFFSET(分析データ!B$1,MAX(1,ROW()-$C$7),0,MIN($C$7,ROW()-1),1)))/STDEV(OFFSET(分析データ!B$1,MAX(1,ROW()-$C$7),0,MIN($C$7,ROW()-1),1)),0))</f>
        <v>1.2958851682292738</v>
      </c>
      <c r="AU545">
        <f t="shared" ca="1" si="224"/>
        <v>0</v>
      </c>
      <c r="AV545" t="str">
        <f ca="1">IF(AU545=1,IF(INDEX(分析データ!$A:$A,ROW()+$C$5)&lt;&gt;"",80000*SIGN(AT545)*(分析データ!B545-INDEX(分析データ!B:B,ROW()+$C$5)),""),"")</f>
        <v/>
      </c>
      <c r="AW545">
        <f t="shared" ca="1" si="225"/>
        <v>-4999999.9999999925</v>
      </c>
      <c r="AX545">
        <f t="shared" ca="1" si="226"/>
        <v>0</v>
      </c>
      <c r="AY545">
        <f t="shared" ca="1" si="227"/>
        <v>-4999999.9999999925</v>
      </c>
      <c r="AZ545">
        <f ca="1">IF(ROW()&lt;($C$7+1),"",IFERROR((分析データ!C545-AVERAGE(OFFSET(分析データ!C$1,MAX(1,ROW()-$C$7),0,MIN($C$7,ROW()-1),1)))/STDEV(OFFSET(分析データ!C$1,MAX(1,ROW()-$C$7),0,MIN($C$7,ROW()-1),1)),0))</f>
        <v>2.0166317277834924</v>
      </c>
      <c r="BA545">
        <f t="shared" ca="1" si="228"/>
        <v>1</v>
      </c>
      <c r="BB545">
        <f ca="1">IF(BA545=1,IF(INDEX(分析データ!$A:$A,ROW()+$C$5)&lt;&gt;"",60000*SIGN(AZ545)*(分析データ!C545-INDEX(分析データ!C:C,ROW()+$C$5)),""),"")</f>
        <v>194999.99999999988</v>
      </c>
      <c r="BC545">
        <f t="shared" ca="1" si="229"/>
        <v>2088000.0000000084</v>
      </c>
      <c r="BD545">
        <f t="shared" ca="1" si="230"/>
        <v>2088000.0000000084</v>
      </c>
      <c r="BE545">
        <f t="shared" ca="1" si="231"/>
        <v>0</v>
      </c>
      <c r="BF545">
        <f ca="1">IF(ROW()&lt;($C$7+1),"",IFERROR((分析データ!D545-AVERAGE(OFFSET(分析データ!D$1,MAX(1,ROW()-$C$7),0,MIN($C$7,ROW()-1),1)))/STDEV(OFFSET(分析データ!D$1,MAX(1,ROW()-$C$7),0,MIN($C$7,ROW()-1),1)),0))</f>
        <v>-1.9088626075445749</v>
      </c>
      <c r="BG545">
        <f t="shared" ca="1" si="232"/>
        <v>0</v>
      </c>
      <c r="BH545" t="str">
        <f ca="1">IF(BG545=1,IF(INDEX(分析データ!$A:$A,ROW()+$C$5)&lt;&gt;"",50000*SIGN(BF545)*(分析データ!D545-INDEX(分析データ!D:D,ROW()+$C$5)),""),"")</f>
        <v/>
      </c>
      <c r="BI545">
        <f t="shared" ca="1" si="233"/>
        <v>-534999.99999999534</v>
      </c>
      <c r="BJ545">
        <f t="shared" ca="1" si="234"/>
        <v>1695000.0000000016</v>
      </c>
      <c r="BK545">
        <f t="shared" ca="1" si="235"/>
        <v>-2229999.9999999972</v>
      </c>
      <c r="BL545">
        <f ca="1">IF(ROW()&lt;($C$7+1),"",IFERROR((分析データ!E545-AVERAGE(OFFSET(分析データ!E$1,MAX(1,ROW()-$C$7),0,MIN($C$7,ROW()-1),1)))/STDEV(OFFSET(分析データ!E$1,MAX(1,ROW()-$C$7),0,MIN($C$7,ROW()-1),1)),0))</f>
        <v>1.3587040988827481</v>
      </c>
      <c r="BM545">
        <f t="shared" ca="1" si="236"/>
        <v>0</v>
      </c>
      <c r="BN545" t="str">
        <f ca="1">IF(BM545=1,IF(INDEX(分析データ!$A:$A,ROW()+$C$5)&lt;&gt;"",40000*SIGN(BL545)*(分析データ!E545-INDEX(分析データ!E:E,ROW()+$C$5)),""),"")</f>
        <v/>
      </c>
      <c r="BO545">
        <f t="shared" ca="1" si="237"/>
        <v>1320000.0000000075</v>
      </c>
      <c r="BP545">
        <f t="shared" ca="1" si="238"/>
        <v>1320000.0000000075</v>
      </c>
      <c r="BQ545">
        <f t="shared" ca="1" si="239"/>
        <v>0</v>
      </c>
      <c r="BR545">
        <f ca="1">IF(ROW()&lt;($C$7+1),"",IFERROR((分析データ!F545-AVERAGE(OFFSET(分析データ!F$1,MAX(1,ROW()-$C$7),0,MIN($C$7,ROW()-1),1)))/STDEV(OFFSET(分析データ!F$1,MAX(1,ROW()-$C$7),0,MIN($C$7,ROW()-1),1)),0))</f>
        <v>0.70054298573323037</v>
      </c>
      <c r="BS545">
        <f t="shared" ca="1" si="240"/>
        <v>0</v>
      </c>
      <c r="BT545" t="str">
        <f ca="1">IF(BS545=1,IF(INDEX(分析データ!$A:$A,ROW()+$C$5)&lt;&gt;"",40000*SIGN(BR545)*(分析データ!F545-INDEX(分析データ!F:F,ROW()+$C$5)),""),"")</f>
        <v/>
      </c>
      <c r="BU545">
        <f t="shared" ca="1" si="241"/>
        <v>3534799.9999999953</v>
      </c>
      <c r="BV545">
        <f t="shared" ca="1" si="242"/>
        <v>3534799.9999999953</v>
      </c>
      <c r="BW545">
        <f t="shared" ca="1" si="243"/>
        <v>0</v>
      </c>
      <c r="BX545">
        <f ca="1">IF(ROW()&lt;($C$7+1),"",IFERROR((分析データ!G545-AVERAGE(OFFSET(分析データ!G$1,MAX(1,ROW()-$C$7),0,MIN($C$7,ROW()-1),1)))/STDEV(OFFSET(分析データ!G$1,MAX(1,ROW()-$C$7),0,MIN($C$7,ROW()-1),1)),0))</f>
        <v>1.2835933607249841</v>
      </c>
      <c r="BY545">
        <f t="shared" ca="1" si="244"/>
        <v>0</v>
      </c>
      <c r="BZ545" t="str">
        <f ca="1">IF(BY545=1,IF(INDEX(分析データ!$A:$A,ROW()+$C$5)&lt;&gt;"",40000*SIGN(BX545)*(分析データ!G545-INDEX(分析データ!G:G,ROW()+$C$5)),""),"")</f>
        <v/>
      </c>
      <c r="CA545">
        <f t="shared" ca="1" si="245"/>
        <v>11327520.000000004</v>
      </c>
      <c r="CB545">
        <f t="shared" ca="1" si="246"/>
        <v>11327520.000000004</v>
      </c>
      <c r="CC545">
        <f t="shared" ca="1" si="247"/>
        <v>0</v>
      </c>
      <c r="CD545">
        <f t="shared" ca="1" si="248"/>
        <v>194999.99999999988</v>
      </c>
      <c r="CE545">
        <f t="shared" ca="1" si="249"/>
        <v>12735320.000000034</v>
      </c>
      <c r="CF545">
        <f t="shared" ca="1" si="250"/>
        <v>12735320.000000034</v>
      </c>
      <c r="CG545">
        <f t="shared" ca="1" si="251"/>
        <v>0</v>
      </c>
      <c r="CH545" s="10">
        <f>分析データ!A545</f>
        <v>45722</v>
      </c>
    </row>
    <row r="546" spans="46:86">
      <c r="AT546">
        <f ca="1">IF(ROW()&lt;($C$7+1),"",IFERROR((分析データ!B546-AVERAGE(OFFSET(分析データ!B$1,MAX(1,ROW()-$C$7),0,MIN($C$7,ROW()-1),1)))/STDEV(OFFSET(分析データ!B$1,MAX(1,ROW()-$C$7),0,MIN($C$7,ROW()-1),1)),0))</f>
        <v>1.2436924369515001</v>
      </c>
      <c r="AU546">
        <f t="shared" ca="1" si="224"/>
        <v>0</v>
      </c>
      <c r="AV546" t="str">
        <f ca="1">IF(AU546=1,IF(INDEX(分析データ!$A:$A,ROW()+$C$5)&lt;&gt;"",80000*SIGN(AT546)*(分析データ!B546-INDEX(分析データ!B:B,ROW()+$C$5)),""),"")</f>
        <v/>
      </c>
      <c r="AW546">
        <f t="shared" ca="1" si="225"/>
        <v>-4999999.9999999925</v>
      </c>
      <c r="AX546">
        <f t="shared" ca="1" si="226"/>
        <v>0</v>
      </c>
      <c r="AY546">
        <f t="shared" ca="1" si="227"/>
        <v>-4999999.9999999925</v>
      </c>
      <c r="AZ546">
        <f ca="1">IF(ROW()&lt;($C$7+1),"",IFERROR((分析データ!C546-AVERAGE(OFFSET(分析データ!C$1,MAX(1,ROW()-$C$7),0,MIN($C$7,ROW()-1),1)))/STDEV(OFFSET(分析データ!C$1,MAX(1,ROW()-$C$7),0,MIN($C$7,ROW()-1),1)),0))</f>
        <v>1.8567535716917805</v>
      </c>
      <c r="BA546">
        <f t="shared" ca="1" si="228"/>
        <v>0</v>
      </c>
      <c r="BB546" t="str">
        <f ca="1">IF(BA546=1,IF(INDEX(分析データ!$A:$A,ROW()+$C$5)&lt;&gt;"",60000*SIGN(AZ546)*(分析データ!C546-INDEX(分析データ!C:C,ROW()+$C$5)),""),"")</f>
        <v/>
      </c>
      <c r="BC546">
        <f t="shared" ca="1" si="229"/>
        <v>2088000.0000000084</v>
      </c>
      <c r="BD546">
        <f t="shared" ca="1" si="230"/>
        <v>2088000.0000000084</v>
      </c>
      <c r="BE546">
        <f t="shared" ca="1" si="231"/>
        <v>0</v>
      </c>
      <c r="BF546">
        <f ca="1">IF(ROW()&lt;($C$7+1),"",IFERROR((分析データ!D546-AVERAGE(OFFSET(分析データ!D$1,MAX(1,ROW()-$C$7),0,MIN($C$7,ROW()-1),1)))/STDEV(OFFSET(分析データ!D$1,MAX(1,ROW()-$C$7),0,MIN($C$7,ROW()-1),1)),0))</f>
        <v>-1.7960323756883176</v>
      </c>
      <c r="BG546">
        <f t="shared" ca="1" si="232"/>
        <v>0</v>
      </c>
      <c r="BH546" t="str">
        <f ca="1">IF(BG546=1,IF(INDEX(分析データ!$A:$A,ROW()+$C$5)&lt;&gt;"",50000*SIGN(BF546)*(分析データ!D546-INDEX(分析データ!D:D,ROW()+$C$5)),""),"")</f>
        <v/>
      </c>
      <c r="BI546">
        <f t="shared" ca="1" si="233"/>
        <v>-534999.99999999534</v>
      </c>
      <c r="BJ546">
        <f t="shared" ca="1" si="234"/>
        <v>1695000.0000000016</v>
      </c>
      <c r="BK546">
        <f t="shared" ca="1" si="235"/>
        <v>-2229999.9999999972</v>
      </c>
      <c r="BL546">
        <f ca="1">IF(ROW()&lt;($C$7+1),"",IFERROR((分析データ!E546-AVERAGE(OFFSET(分析データ!E$1,MAX(1,ROW()-$C$7),0,MIN($C$7,ROW()-1),1)))/STDEV(OFFSET(分析データ!E$1,MAX(1,ROW()-$C$7),0,MIN($C$7,ROW()-1),1)),0))</f>
        <v>1.3472257557774787</v>
      </c>
      <c r="BM546">
        <f t="shared" ca="1" si="236"/>
        <v>0</v>
      </c>
      <c r="BN546" t="str">
        <f ca="1">IF(BM546=1,IF(INDEX(分析データ!$A:$A,ROW()+$C$5)&lt;&gt;"",40000*SIGN(BL546)*(分析データ!E546-INDEX(分析データ!E:E,ROW()+$C$5)),""),"")</f>
        <v/>
      </c>
      <c r="BO546">
        <f t="shared" ca="1" si="237"/>
        <v>1320000.0000000075</v>
      </c>
      <c r="BP546">
        <f t="shared" ca="1" si="238"/>
        <v>1320000.0000000075</v>
      </c>
      <c r="BQ546">
        <f t="shared" ca="1" si="239"/>
        <v>0</v>
      </c>
      <c r="BR546">
        <f ca="1">IF(ROW()&lt;($C$7+1),"",IFERROR((分析データ!F546-AVERAGE(OFFSET(分析データ!F$1,MAX(1,ROW()-$C$7),0,MIN($C$7,ROW()-1),1)))/STDEV(OFFSET(分析データ!F$1,MAX(1,ROW()-$C$7),0,MIN($C$7,ROW()-1),1)),0))</f>
        <v>0.7418471711546567</v>
      </c>
      <c r="BS546">
        <f t="shared" ca="1" si="240"/>
        <v>0</v>
      </c>
      <c r="BT546" t="str">
        <f ca="1">IF(BS546=1,IF(INDEX(分析データ!$A:$A,ROW()+$C$5)&lt;&gt;"",40000*SIGN(BR546)*(分析データ!F546-INDEX(分析データ!F:F,ROW()+$C$5)),""),"")</f>
        <v/>
      </c>
      <c r="BU546">
        <f t="shared" ca="1" si="241"/>
        <v>3534799.9999999953</v>
      </c>
      <c r="BV546">
        <f t="shared" ca="1" si="242"/>
        <v>3534799.9999999953</v>
      </c>
      <c r="BW546">
        <f t="shared" ca="1" si="243"/>
        <v>0</v>
      </c>
      <c r="BX546">
        <f ca="1">IF(ROW()&lt;($C$7+1),"",IFERROR((分析データ!G546-AVERAGE(OFFSET(分析データ!G$1,MAX(1,ROW()-$C$7),0,MIN($C$7,ROW()-1),1)))/STDEV(OFFSET(分析データ!G$1,MAX(1,ROW()-$C$7),0,MIN($C$7,ROW()-1),1)),0))</f>
        <v>1.3300499790041336</v>
      </c>
      <c r="BY546">
        <f t="shared" ca="1" si="244"/>
        <v>0</v>
      </c>
      <c r="BZ546" t="str">
        <f ca="1">IF(BY546=1,IF(INDEX(分析データ!$A:$A,ROW()+$C$5)&lt;&gt;"",40000*SIGN(BX546)*(分析データ!G546-INDEX(分析データ!G:G,ROW()+$C$5)),""),"")</f>
        <v/>
      </c>
      <c r="CA546">
        <f t="shared" ca="1" si="245"/>
        <v>11327520.000000004</v>
      </c>
      <c r="CB546">
        <f t="shared" ca="1" si="246"/>
        <v>11327520.000000004</v>
      </c>
      <c r="CC546">
        <f t="shared" ca="1" si="247"/>
        <v>0</v>
      </c>
      <c r="CD546">
        <f t="shared" ca="1" si="248"/>
        <v>0</v>
      </c>
      <c r="CE546">
        <f t="shared" ca="1" si="249"/>
        <v>12735320.000000034</v>
      </c>
      <c r="CF546">
        <f t="shared" ca="1" si="250"/>
        <v>12735320.000000034</v>
      </c>
      <c r="CG546">
        <f t="shared" ca="1" si="251"/>
        <v>0</v>
      </c>
      <c r="CH546" s="10">
        <f>分析データ!A546</f>
        <v>45723</v>
      </c>
    </row>
    <row r="547" spans="46:86">
      <c r="AT547">
        <f ca="1">IF(ROW()&lt;($C$7+1),"",IFERROR((分析データ!B547-AVERAGE(OFFSET(分析データ!B$1,MAX(1,ROW()-$C$7),0,MIN($C$7,ROW()-1),1)))/STDEV(OFFSET(分析データ!B$1,MAX(1,ROW()-$C$7),0,MIN($C$7,ROW()-1),1)),0))</f>
        <v>1.1506262034678403</v>
      </c>
      <c r="AU547">
        <f t="shared" ca="1" si="224"/>
        <v>0</v>
      </c>
      <c r="AV547" t="str">
        <f ca="1">IF(AU547=1,IF(INDEX(分析データ!$A:$A,ROW()+$C$5)&lt;&gt;"",80000*SIGN(AT547)*(分析データ!B547-INDEX(分析データ!B:B,ROW()+$C$5)),""),"")</f>
        <v/>
      </c>
      <c r="AW547">
        <f t="shared" ca="1" si="225"/>
        <v>-4999999.9999999925</v>
      </c>
      <c r="AX547">
        <f t="shared" ca="1" si="226"/>
        <v>0</v>
      </c>
      <c r="AY547">
        <f t="shared" ca="1" si="227"/>
        <v>-4999999.9999999925</v>
      </c>
      <c r="AZ547">
        <f ca="1">IF(ROW()&lt;($C$7+1),"",IFERROR((分析データ!C547-AVERAGE(OFFSET(分析データ!C$1,MAX(1,ROW()-$C$7),0,MIN($C$7,ROW()-1),1)))/STDEV(OFFSET(分析データ!C$1,MAX(1,ROW()-$C$7),0,MIN($C$7,ROW()-1),1)),0))</f>
        <v>2.0611264193642724</v>
      </c>
      <c r="BA547">
        <f t="shared" ca="1" si="228"/>
        <v>1</v>
      </c>
      <c r="BB547">
        <f ca="1">IF(BA547=1,IF(INDEX(分析データ!$A:$A,ROW()+$C$5)&lt;&gt;"",60000*SIGN(AZ547)*(分析データ!C547-INDEX(分析データ!C:C,ROW()+$C$5)),""),"")</f>
        <v>141000.00000000052</v>
      </c>
      <c r="BC547">
        <f t="shared" ca="1" si="229"/>
        <v>2229000.0000000088</v>
      </c>
      <c r="BD547">
        <f t="shared" ca="1" si="230"/>
        <v>2229000.0000000088</v>
      </c>
      <c r="BE547">
        <f t="shared" ca="1" si="231"/>
        <v>0</v>
      </c>
      <c r="BF547">
        <f ca="1">IF(ROW()&lt;($C$7+1),"",IFERROR((分析データ!D547-AVERAGE(OFFSET(分析データ!D$1,MAX(1,ROW()-$C$7),0,MIN($C$7,ROW()-1),1)))/STDEV(OFFSET(分析データ!D$1,MAX(1,ROW()-$C$7),0,MIN($C$7,ROW()-1),1)),0))</f>
        <v>-2.3474731909070861</v>
      </c>
      <c r="BG547">
        <f t="shared" ca="1" si="232"/>
        <v>1</v>
      </c>
      <c r="BH547">
        <f ca="1">IF(BG547=1,IF(INDEX(分析データ!$A:$A,ROW()+$C$5)&lt;&gt;"",50000*SIGN(BF547)*(分析データ!D547-INDEX(分析データ!D:D,ROW()+$C$5)),""),"")</f>
        <v>730000.00000000116</v>
      </c>
      <c r="BI547">
        <f t="shared" ca="1" si="233"/>
        <v>195000.00000000582</v>
      </c>
      <c r="BJ547">
        <f t="shared" ca="1" si="234"/>
        <v>1695000.0000000016</v>
      </c>
      <c r="BK547">
        <f t="shared" ca="1" si="235"/>
        <v>-1499999.9999999958</v>
      </c>
      <c r="BL547">
        <f ca="1">IF(ROW()&lt;($C$7+1),"",IFERROR((分析データ!E547-AVERAGE(OFFSET(分析データ!E$1,MAX(1,ROW()-$C$7),0,MIN($C$7,ROW()-1),1)))/STDEV(OFFSET(分析データ!E$1,MAX(1,ROW()-$C$7),0,MIN($C$7,ROW()-1),1)),0))</f>
        <v>1.4443853680424978</v>
      </c>
      <c r="BM547">
        <f t="shared" ca="1" si="236"/>
        <v>0</v>
      </c>
      <c r="BN547" t="str">
        <f ca="1">IF(BM547=1,IF(INDEX(分析データ!$A:$A,ROW()+$C$5)&lt;&gt;"",40000*SIGN(BL547)*(分析データ!E547-INDEX(分析データ!E:E,ROW()+$C$5)),""),"")</f>
        <v/>
      </c>
      <c r="BO547">
        <f t="shared" ca="1" si="237"/>
        <v>1320000.0000000075</v>
      </c>
      <c r="BP547">
        <f t="shared" ca="1" si="238"/>
        <v>1320000.0000000075</v>
      </c>
      <c r="BQ547">
        <f t="shared" ca="1" si="239"/>
        <v>0</v>
      </c>
      <c r="BR547">
        <f ca="1">IF(ROW()&lt;($C$7+1),"",IFERROR((分析データ!F547-AVERAGE(OFFSET(分析データ!F$1,MAX(1,ROW()-$C$7),0,MIN($C$7,ROW()-1),1)))/STDEV(OFFSET(分析データ!F$1,MAX(1,ROW()-$C$7),0,MIN($C$7,ROW()-1),1)),0))</f>
        <v>1.0368396395902422</v>
      </c>
      <c r="BS547">
        <f t="shared" ca="1" si="240"/>
        <v>0</v>
      </c>
      <c r="BT547" t="str">
        <f ca="1">IF(BS547=1,IF(INDEX(分析データ!$A:$A,ROW()+$C$5)&lt;&gt;"",40000*SIGN(BR547)*(分析データ!F547-INDEX(分析データ!F:F,ROW()+$C$5)),""),"")</f>
        <v/>
      </c>
      <c r="BU547">
        <f t="shared" ca="1" si="241"/>
        <v>3534799.9999999953</v>
      </c>
      <c r="BV547">
        <f t="shared" ca="1" si="242"/>
        <v>3534799.9999999953</v>
      </c>
      <c r="BW547">
        <f t="shared" ca="1" si="243"/>
        <v>0</v>
      </c>
      <c r="BX547">
        <f ca="1">IF(ROW()&lt;($C$7+1),"",IFERROR((分析データ!G547-AVERAGE(OFFSET(分析データ!G$1,MAX(1,ROW()-$C$7),0,MIN($C$7,ROW()-1),1)))/STDEV(OFFSET(分析データ!G$1,MAX(1,ROW()-$C$7),0,MIN($C$7,ROW()-1),1)),0))</f>
        <v>1.9749233571843932</v>
      </c>
      <c r="BY547">
        <f t="shared" ca="1" si="244"/>
        <v>0</v>
      </c>
      <c r="BZ547" t="str">
        <f ca="1">IF(BY547=1,IF(INDEX(分析データ!$A:$A,ROW()+$C$5)&lt;&gt;"",40000*SIGN(BX547)*(分析データ!G547-INDEX(分析データ!G:G,ROW()+$C$5)),""),"")</f>
        <v/>
      </c>
      <c r="CA547">
        <f t="shared" ca="1" si="245"/>
        <v>11327520.000000004</v>
      </c>
      <c r="CB547">
        <f t="shared" ca="1" si="246"/>
        <v>11327520.000000004</v>
      </c>
      <c r="CC547">
        <f t="shared" ca="1" si="247"/>
        <v>0</v>
      </c>
      <c r="CD547">
        <f t="shared" ca="1" si="248"/>
        <v>871000.00000000163</v>
      </c>
      <c r="CE547">
        <f t="shared" ca="1" si="249"/>
        <v>13606320.000000035</v>
      </c>
      <c r="CF547">
        <f t="shared" ca="1" si="250"/>
        <v>13606320.000000035</v>
      </c>
      <c r="CG547">
        <f t="shared" ca="1" si="251"/>
        <v>0</v>
      </c>
      <c r="CH547" s="10">
        <f>分析データ!A547</f>
        <v>45726</v>
      </c>
    </row>
    <row r="548" spans="46:86">
      <c r="AT548">
        <f ca="1">IF(ROW()&lt;($C$7+1),"",IFERROR((分析データ!B548-AVERAGE(OFFSET(分析データ!B$1,MAX(1,ROW()-$C$7),0,MIN($C$7,ROW()-1),1)))/STDEV(OFFSET(分析データ!B$1,MAX(1,ROW()-$C$7),0,MIN($C$7,ROW()-1),1)),0))</f>
        <v>1.2249709426673754</v>
      </c>
      <c r="AU548">
        <f t="shared" ca="1" si="224"/>
        <v>0</v>
      </c>
      <c r="AV548" t="str">
        <f ca="1">IF(AU548=1,IF(INDEX(分析データ!$A:$A,ROW()+$C$5)&lt;&gt;"",80000*SIGN(AT548)*(分析データ!B548-INDEX(分析データ!B:B,ROW()+$C$5)),""),"")</f>
        <v/>
      </c>
      <c r="AW548">
        <f t="shared" ca="1" si="225"/>
        <v>-4999999.9999999925</v>
      </c>
      <c r="AX548">
        <f t="shared" ca="1" si="226"/>
        <v>0</v>
      </c>
      <c r="AY548">
        <f t="shared" ca="1" si="227"/>
        <v>-4999999.9999999925</v>
      </c>
      <c r="AZ548">
        <f ca="1">IF(ROW()&lt;($C$7+1),"",IFERROR((分析データ!C548-AVERAGE(OFFSET(分析データ!C$1,MAX(1,ROW()-$C$7),0,MIN($C$7,ROW()-1),1)))/STDEV(OFFSET(分析データ!C$1,MAX(1,ROW()-$C$7),0,MIN($C$7,ROW()-1),1)),0))</f>
        <v>1.4817474949469003</v>
      </c>
      <c r="BA548">
        <f t="shared" ca="1" si="228"/>
        <v>0</v>
      </c>
      <c r="BB548" t="str">
        <f ca="1">IF(BA548=1,IF(INDEX(分析データ!$A:$A,ROW()+$C$5)&lt;&gt;"",60000*SIGN(AZ548)*(分析データ!C548-INDEX(分析データ!C:C,ROW()+$C$5)),""),"")</f>
        <v/>
      </c>
      <c r="BC548">
        <f t="shared" ca="1" si="229"/>
        <v>2229000.0000000088</v>
      </c>
      <c r="BD548">
        <f t="shared" ca="1" si="230"/>
        <v>2229000.0000000088</v>
      </c>
      <c r="BE548">
        <f t="shared" ca="1" si="231"/>
        <v>0</v>
      </c>
      <c r="BF548">
        <f ca="1">IF(ROW()&lt;($C$7+1),"",IFERROR((分析データ!D548-AVERAGE(OFFSET(分析データ!D$1,MAX(1,ROW()-$C$7),0,MIN($C$7,ROW()-1),1)))/STDEV(OFFSET(分析データ!D$1,MAX(1,ROW()-$C$7),0,MIN($C$7,ROW()-1),1)),0))</f>
        <v>-1.8515536830694177</v>
      </c>
      <c r="BG548">
        <f t="shared" ca="1" si="232"/>
        <v>0</v>
      </c>
      <c r="BH548" t="str">
        <f ca="1">IF(BG548=1,IF(INDEX(分析データ!$A:$A,ROW()+$C$5)&lt;&gt;"",50000*SIGN(BF548)*(分析データ!D548-INDEX(分析データ!D:D,ROW()+$C$5)),""),"")</f>
        <v/>
      </c>
      <c r="BI548">
        <f t="shared" ca="1" si="233"/>
        <v>195000.00000000582</v>
      </c>
      <c r="BJ548">
        <f t="shared" ca="1" si="234"/>
        <v>1695000.0000000016</v>
      </c>
      <c r="BK548">
        <f t="shared" ca="1" si="235"/>
        <v>-1499999.9999999958</v>
      </c>
      <c r="BL548">
        <f ca="1">IF(ROW()&lt;($C$7+1),"",IFERROR((分析データ!E548-AVERAGE(OFFSET(分析データ!E$1,MAX(1,ROW()-$C$7),0,MIN($C$7,ROW()-1),1)))/STDEV(OFFSET(分析データ!E$1,MAX(1,ROW()-$C$7),0,MIN($C$7,ROW()-1),1)),0))</f>
        <v>1.5404121774216897</v>
      </c>
      <c r="BM548">
        <f t="shared" ca="1" si="236"/>
        <v>0</v>
      </c>
      <c r="BN548" t="str">
        <f ca="1">IF(BM548=1,IF(INDEX(分析データ!$A:$A,ROW()+$C$5)&lt;&gt;"",40000*SIGN(BL548)*(分析データ!E548-INDEX(分析データ!E:E,ROW()+$C$5)),""),"")</f>
        <v/>
      </c>
      <c r="BO548">
        <f t="shared" ca="1" si="237"/>
        <v>1320000.0000000075</v>
      </c>
      <c r="BP548">
        <f t="shared" ca="1" si="238"/>
        <v>1320000.0000000075</v>
      </c>
      <c r="BQ548">
        <f t="shared" ca="1" si="239"/>
        <v>0</v>
      </c>
      <c r="BR548">
        <f ca="1">IF(ROW()&lt;($C$7+1),"",IFERROR((分析データ!F548-AVERAGE(OFFSET(分析データ!F$1,MAX(1,ROW()-$C$7),0,MIN($C$7,ROW()-1),1)))/STDEV(OFFSET(分析データ!F$1,MAX(1,ROW()-$C$7),0,MIN($C$7,ROW()-1),1)),0))</f>
        <v>0.63931964331158531</v>
      </c>
      <c r="BS548">
        <f t="shared" ca="1" si="240"/>
        <v>0</v>
      </c>
      <c r="BT548" t="str">
        <f ca="1">IF(BS548=1,IF(INDEX(分析データ!$A:$A,ROW()+$C$5)&lt;&gt;"",40000*SIGN(BR548)*(分析データ!F548-INDEX(分析データ!F:F,ROW()+$C$5)),""),"")</f>
        <v/>
      </c>
      <c r="BU548">
        <f t="shared" ca="1" si="241"/>
        <v>3534799.9999999953</v>
      </c>
      <c r="BV548">
        <f t="shared" ca="1" si="242"/>
        <v>3534799.9999999953</v>
      </c>
      <c r="BW548">
        <f t="shared" ca="1" si="243"/>
        <v>0</v>
      </c>
      <c r="BX548">
        <f ca="1">IF(ROW()&lt;($C$7+1),"",IFERROR((分析データ!G548-AVERAGE(OFFSET(分析データ!G$1,MAX(1,ROW()-$C$7),0,MIN($C$7,ROW()-1),1)))/STDEV(OFFSET(分析データ!G$1,MAX(1,ROW()-$C$7),0,MIN($C$7,ROW()-1),1)),0))</f>
        <v>1.6536041145888236</v>
      </c>
      <c r="BY548">
        <f t="shared" ca="1" si="244"/>
        <v>0</v>
      </c>
      <c r="BZ548" t="str">
        <f ca="1">IF(BY548=1,IF(INDEX(分析データ!$A:$A,ROW()+$C$5)&lt;&gt;"",40000*SIGN(BX548)*(分析データ!G548-INDEX(分析データ!G:G,ROW()+$C$5)),""),"")</f>
        <v/>
      </c>
      <c r="CA548">
        <f t="shared" ca="1" si="245"/>
        <v>11327520.000000004</v>
      </c>
      <c r="CB548">
        <f t="shared" ca="1" si="246"/>
        <v>11327520.000000004</v>
      </c>
      <c r="CC548">
        <f t="shared" ca="1" si="247"/>
        <v>0</v>
      </c>
      <c r="CD548">
        <f t="shared" ca="1" si="248"/>
        <v>0</v>
      </c>
      <c r="CE548">
        <f t="shared" ca="1" si="249"/>
        <v>13606320.000000035</v>
      </c>
      <c r="CF548">
        <f t="shared" ca="1" si="250"/>
        <v>13606320.000000035</v>
      </c>
      <c r="CG548">
        <f t="shared" ca="1" si="251"/>
        <v>0</v>
      </c>
      <c r="CH548" s="10">
        <f>分析データ!A548</f>
        <v>45727</v>
      </c>
    </row>
    <row r="549" spans="46:86">
      <c r="AT549">
        <f ca="1">IF(ROW()&lt;($C$7+1),"",IFERROR((分析データ!B549-AVERAGE(OFFSET(分析データ!B$1,MAX(1,ROW()-$C$7),0,MIN($C$7,ROW()-1),1)))/STDEV(OFFSET(分析データ!B$1,MAX(1,ROW()-$C$7),0,MIN($C$7,ROW()-1),1)),0))</f>
        <v>1.0905433779378817</v>
      </c>
      <c r="AU549">
        <f t="shared" ca="1" si="224"/>
        <v>0</v>
      </c>
      <c r="AV549" t="str">
        <f ca="1">IF(AU549=1,IF(INDEX(分析データ!$A:$A,ROW()+$C$5)&lt;&gt;"",80000*SIGN(AT549)*(分析データ!B549-INDEX(分析データ!B:B,ROW()+$C$5)),""),"")</f>
        <v/>
      </c>
      <c r="AW549">
        <f t="shared" ca="1" si="225"/>
        <v>-4999999.9999999925</v>
      </c>
      <c r="AX549">
        <f t="shared" ca="1" si="226"/>
        <v>0</v>
      </c>
      <c r="AY549">
        <f t="shared" ca="1" si="227"/>
        <v>-4999999.9999999925</v>
      </c>
      <c r="AZ549">
        <f ca="1">IF(ROW()&lt;($C$7+1),"",IFERROR((分析データ!C549-AVERAGE(OFFSET(分析データ!C$1,MAX(1,ROW()-$C$7),0,MIN($C$7,ROW()-1),1)))/STDEV(OFFSET(分析データ!C$1,MAX(1,ROW()-$C$7),0,MIN($C$7,ROW()-1),1)),0))</f>
        <v>1.5574731323321527</v>
      </c>
      <c r="BA549">
        <f t="shared" ca="1" si="228"/>
        <v>0</v>
      </c>
      <c r="BB549" t="str">
        <f ca="1">IF(BA549=1,IF(INDEX(分析データ!$A:$A,ROW()+$C$5)&lt;&gt;"",60000*SIGN(AZ549)*(分析データ!C549-INDEX(分析データ!C:C,ROW()+$C$5)),""),"")</f>
        <v/>
      </c>
      <c r="BC549">
        <f t="shared" ca="1" si="229"/>
        <v>2229000.0000000088</v>
      </c>
      <c r="BD549">
        <f t="shared" ca="1" si="230"/>
        <v>2229000.0000000088</v>
      </c>
      <c r="BE549">
        <f t="shared" ca="1" si="231"/>
        <v>0</v>
      </c>
      <c r="BF549">
        <f ca="1">IF(ROW()&lt;($C$7+1),"",IFERROR((分析データ!D549-AVERAGE(OFFSET(分析データ!D$1,MAX(1,ROW()-$C$7),0,MIN($C$7,ROW()-1),1)))/STDEV(OFFSET(分析データ!D$1,MAX(1,ROW()-$C$7),0,MIN($C$7,ROW()-1),1)),0))</f>
        <v>-1.7416677699374734</v>
      </c>
      <c r="BG549">
        <f t="shared" ca="1" si="232"/>
        <v>0</v>
      </c>
      <c r="BH549" t="str">
        <f ca="1">IF(BG549=1,IF(INDEX(分析データ!$A:$A,ROW()+$C$5)&lt;&gt;"",50000*SIGN(BF549)*(分析データ!D549-INDEX(分析データ!D:D,ROW()+$C$5)),""),"")</f>
        <v/>
      </c>
      <c r="BI549">
        <f t="shared" ca="1" si="233"/>
        <v>195000.00000000582</v>
      </c>
      <c r="BJ549">
        <f t="shared" ca="1" si="234"/>
        <v>1695000.0000000016</v>
      </c>
      <c r="BK549">
        <f t="shared" ca="1" si="235"/>
        <v>-1499999.9999999958</v>
      </c>
      <c r="BL549">
        <f ca="1">IF(ROW()&lt;($C$7+1),"",IFERROR((分析データ!E549-AVERAGE(OFFSET(分析データ!E$1,MAX(1,ROW()-$C$7),0,MIN($C$7,ROW()-1),1)))/STDEV(OFFSET(分析データ!E$1,MAX(1,ROW()-$C$7),0,MIN($C$7,ROW()-1),1)),0))</f>
        <v>1.3105798646511546</v>
      </c>
      <c r="BM549">
        <f t="shared" ca="1" si="236"/>
        <v>0</v>
      </c>
      <c r="BN549" t="str">
        <f ca="1">IF(BM549=1,IF(INDEX(分析データ!$A:$A,ROW()+$C$5)&lt;&gt;"",40000*SIGN(BL549)*(分析データ!E549-INDEX(分析データ!E:E,ROW()+$C$5)),""),"")</f>
        <v/>
      </c>
      <c r="BO549">
        <f t="shared" ca="1" si="237"/>
        <v>1320000.0000000075</v>
      </c>
      <c r="BP549">
        <f t="shared" ca="1" si="238"/>
        <v>1320000.0000000075</v>
      </c>
      <c r="BQ549">
        <f t="shared" ca="1" si="239"/>
        <v>0</v>
      </c>
      <c r="BR549">
        <f ca="1">IF(ROW()&lt;($C$7+1),"",IFERROR((分析データ!F549-AVERAGE(OFFSET(分析データ!F$1,MAX(1,ROW()-$C$7),0,MIN($C$7,ROW()-1),1)))/STDEV(OFFSET(分析データ!F$1,MAX(1,ROW()-$C$7),0,MIN($C$7,ROW()-1),1)),0))</f>
        <v>0.44205924151192544</v>
      </c>
      <c r="BS549">
        <f t="shared" ca="1" si="240"/>
        <v>0</v>
      </c>
      <c r="BT549" t="str">
        <f ca="1">IF(BS549=1,IF(INDEX(分析データ!$A:$A,ROW()+$C$5)&lt;&gt;"",40000*SIGN(BR549)*(分析データ!F549-INDEX(分析データ!F:F,ROW()+$C$5)),""),"")</f>
        <v/>
      </c>
      <c r="BU549">
        <f t="shared" ca="1" si="241"/>
        <v>3534799.9999999953</v>
      </c>
      <c r="BV549">
        <f t="shared" ca="1" si="242"/>
        <v>3534799.9999999953</v>
      </c>
      <c r="BW549">
        <f t="shared" ca="1" si="243"/>
        <v>0</v>
      </c>
      <c r="BX549">
        <f ca="1">IF(ROW()&lt;($C$7+1),"",IFERROR((分析データ!G549-AVERAGE(OFFSET(分析データ!G$1,MAX(1,ROW()-$C$7),0,MIN($C$7,ROW()-1),1)))/STDEV(OFFSET(分析データ!G$1,MAX(1,ROW()-$C$7),0,MIN($C$7,ROW()-1),1)),0))</f>
        <v>2.0678466427724929</v>
      </c>
      <c r="BY549">
        <f t="shared" ca="1" si="244"/>
        <v>1</v>
      </c>
      <c r="BZ549">
        <f ca="1">IF(BY549=1,IF(INDEX(分析データ!$A:$A,ROW()+$C$5)&lt;&gt;"",40000*SIGN(BX549)*(分析データ!G549-INDEX(分析データ!G:G,ROW()+$C$5)),""),"")</f>
        <v>-296094.28710937721</v>
      </c>
      <c r="CA549">
        <f t="shared" ca="1" si="245"/>
        <v>11031425.712890627</v>
      </c>
      <c r="CB549">
        <f t="shared" ca="1" si="246"/>
        <v>11327520.000000004</v>
      </c>
      <c r="CC549">
        <f t="shared" ca="1" si="247"/>
        <v>-296094.28710937686</v>
      </c>
      <c r="CD549">
        <f t="shared" ca="1" si="248"/>
        <v>-296094.28710937721</v>
      </c>
      <c r="CE549">
        <f t="shared" ca="1" si="249"/>
        <v>13310225.712890659</v>
      </c>
      <c r="CF549">
        <f t="shared" ca="1" si="250"/>
        <v>13606320.000000035</v>
      </c>
      <c r="CG549">
        <f t="shared" ca="1" si="251"/>
        <v>-296094.28710937686</v>
      </c>
      <c r="CH549" s="10">
        <f>分析データ!A549</f>
        <v>45728</v>
      </c>
    </row>
    <row r="550" spans="46:86">
      <c r="AT550">
        <f ca="1">IF(ROW()&lt;($C$7+1),"",IFERROR((分析データ!B550-AVERAGE(OFFSET(分析データ!B$1,MAX(1,ROW()-$C$7),0,MIN($C$7,ROW()-1),1)))/STDEV(OFFSET(分析データ!B$1,MAX(1,ROW()-$C$7),0,MIN($C$7,ROW()-1),1)),0))</f>
        <v>1.1238292020815612</v>
      </c>
      <c r="AU550">
        <f t="shared" ca="1" si="224"/>
        <v>0</v>
      </c>
      <c r="AV550" t="str">
        <f ca="1">IF(AU550=1,IF(INDEX(分析データ!$A:$A,ROW()+$C$5)&lt;&gt;"",80000*SIGN(AT550)*(分析データ!B550-INDEX(分析データ!B:B,ROW()+$C$5)),""),"")</f>
        <v/>
      </c>
      <c r="AW550">
        <f t="shared" ca="1" si="225"/>
        <v>-4999999.9999999925</v>
      </c>
      <c r="AX550">
        <f t="shared" ca="1" si="226"/>
        <v>0</v>
      </c>
      <c r="AY550">
        <f t="shared" ca="1" si="227"/>
        <v>-4999999.9999999925</v>
      </c>
      <c r="AZ550">
        <f ca="1">IF(ROW()&lt;($C$7+1),"",IFERROR((分析データ!C550-AVERAGE(OFFSET(分析データ!C$1,MAX(1,ROW()-$C$7),0,MIN($C$7,ROW()-1),1)))/STDEV(OFFSET(分析データ!C$1,MAX(1,ROW()-$C$7),0,MIN($C$7,ROW()-1),1)),0))</f>
        <v>1.7060228684297325</v>
      </c>
      <c r="BA550">
        <f t="shared" ca="1" si="228"/>
        <v>0</v>
      </c>
      <c r="BB550" t="str">
        <f ca="1">IF(BA550=1,IF(INDEX(分析データ!$A:$A,ROW()+$C$5)&lt;&gt;"",60000*SIGN(AZ550)*(分析データ!C550-INDEX(分析データ!C:C,ROW()+$C$5)),""),"")</f>
        <v/>
      </c>
      <c r="BC550">
        <f t="shared" ca="1" si="229"/>
        <v>2229000.0000000088</v>
      </c>
      <c r="BD550">
        <f t="shared" ca="1" si="230"/>
        <v>2229000.0000000088</v>
      </c>
      <c r="BE550">
        <f t="shared" ca="1" si="231"/>
        <v>0</v>
      </c>
      <c r="BF550">
        <f ca="1">IF(ROW()&lt;($C$7+1),"",IFERROR((分析データ!D550-AVERAGE(OFFSET(分析データ!D$1,MAX(1,ROW()-$C$7),0,MIN($C$7,ROW()-1),1)))/STDEV(OFFSET(分析データ!D$1,MAX(1,ROW()-$C$7),0,MIN($C$7,ROW()-1),1)),0))</f>
        <v>-1.9890770188122515</v>
      </c>
      <c r="BG550">
        <f t="shared" ca="1" si="232"/>
        <v>0</v>
      </c>
      <c r="BH550" t="str">
        <f ca="1">IF(BG550=1,IF(INDEX(分析データ!$A:$A,ROW()+$C$5)&lt;&gt;"",50000*SIGN(BF550)*(分析データ!D550-INDEX(分析データ!D:D,ROW()+$C$5)),""),"")</f>
        <v/>
      </c>
      <c r="BI550">
        <f t="shared" ca="1" si="233"/>
        <v>195000.00000000582</v>
      </c>
      <c r="BJ550">
        <f t="shared" ca="1" si="234"/>
        <v>1695000.0000000016</v>
      </c>
      <c r="BK550">
        <f t="shared" ca="1" si="235"/>
        <v>-1499999.9999999958</v>
      </c>
      <c r="BL550">
        <f ca="1">IF(ROW()&lt;($C$7+1),"",IFERROR((分析データ!E550-AVERAGE(OFFSET(分析データ!E$1,MAX(1,ROW()-$C$7),0,MIN($C$7,ROW()-1),1)))/STDEV(OFFSET(分析データ!E$1,MAX(1,ROW()-$C$7),0,MIN($C$7,ROW()-1),1)),0))</f>
        <v>1.5147284771157594</v>
      </c>
      <c r="BM550">
        <f t="shared" ca="1" si="236"/>
        <v>0</v>
      </c>
      <c r="BN550" t="str">
        <f ca="1">IF(BM550=1,IF(INDEX(分析データ!$A:$A,ROW()+$C$5)&lt;&gt;"",40000*SIGN(BL550)*(分析データ!E550-INDEX(分析データ!E:E,ROW()+$C$5)),""),"")</f>
        <v/>
      </c>
      <c r="BO550">
        <f t="shared" ca="1" si="237"/>
        <v>1320000.0000000075</v>
      </c>
      <c r="BP550">
        <f t="shared" ca="1" si="238"/>
        <v>1320000.0000000075</v>
      </c>
      <c r="BQ550">
        <f t="shared" ca="1" si="239"/>
        <v>0</v>
      </c>
      <c r="BR550">
        <f ca="1">IF(ROW()&lt;($C$7+1),"",IFERROR((分析データ!F550-AVERAGE(OFFSET(分析データ!F$1,MAX(1,ROW()-$C$7),0,MIN($C$7,ROW()-1),1)))/STDEV(OFFSET(分析データ!F$1,MAX(1,ROW()-$C$7),0,MIN($C$7,ROW()-1),1)),0))</f>
        <v>0.77976175448541452</v>
      </c>
      <c r="BS550">
        <f t="shared" ca="1" si="240"/>
        <v>0</v>
      </c>
      <c r="BT550" t="str">
        <f ca="1">IF(BS550=1,IF(INDEX(分析データ!$A:$A,ROW()+$C$5)&lt;&gt;"",40000*SIGN(BR550)*(分析データ!F550-INDEX(分析データ!F:F,ROW()+$C$5)),""),"")</f>
        <v/>
      </c>
      <c r="BU550">
        <f t="shared" ca="1" si="241"/>
        <v>3534799.9999999953</v>
      </c>
      <c r="BV550">
        <f t="shared" ca="1" si="242"/>
        <v>3534799.9999999953</v>
      </c>
      <c r="BW550">
        <f t="shared" ca="1" si="243"/>
        <v>0</v>
      </c>
      <c r="BX550">
        <f ca="1">IF(ROW()&lt;($C$7+1),"",IFERROR((分析データ!G550-AVERAGE(OFFSET(分析データ!G$1,MAX(1,ROW()-$C$7),0,MIN($C$7,ROW()-1),1)))/STDEV(OFFSET(分析データ!G$1,MAX(1,ROW()-$C$7),0,MIN($C$7,ROW()-1),1)),0))</f>
        <v>2.4240063689622344</v>
      </c>
      <c r="BY550">
        <f t="shared" ca="1" si="244"/>
        <v>1</v>
      </c>
      <c r="BZ550">
        <f ca="1">IF(BY550=1,IF(INDEX(分析データ!$A:$A,ROW()+$C$5)&lt;&gt;"",40000*SIGN(BX550)*(分析データ!G550-INDEX(分析データ!G:G,ROW()+$C$5)),""),"")</f>
        <v>93407.143554686336</v>
      </c>
      <c r="CA550">
        <f t="shared" ca="1" si="245"/>
        <v>11124832.856445313</v>
      </c>
      <c r="CB550">
        <f t="shared" ca="1" si="246"/>
        <v>11327520.000000004</v>
      </c>
      <c r="CC550">
        <f t="shared" ca="1" si="247"/>
        <v>-202687.14355469123</v>
      </c>
      <c r="CD550">
        <f t="shared" ca="1" si="248"/>
        <v>93407.143554686336</v>
      </c>
      <c r="CE550">
        <f t="shared" ca="1" si="249"/>
        <v>13403632.856445344</v>
      </c>
      <c r="CF550">
        <f t="shared" ca="1" si="250"/>
        <v>13606320.000000035</v>
      </c>
      <c r="CG550">
        <f t="shared" ca="1" si="251"/>
        <v>-202687.14355469123</v>
      </c>
      <c r="CH550" s="10">
        <f>分析データ!A550</f>
        <v>45729</v>
      </c>
    </row>
    <row r="551" spans="46:86">
      <c r="AT551">
        <f ca="1">IF(ROW()&lt;($C$7+1),"",IFERROR((分析データ!B551-AVERAGE(OFFSET(分析データ!B$1,MAX(1,ROW()-$C$7),0,MIN($C$7,ROW()-1),1)))/STDEV(OFFSET(分析データ!B$1,MAX(1,ROW()-$C$7),0,MIN($C$7,ROW()-1),1)),0))</f>
        <v>0.98993850739649414</v>
      </c>
      <c r="AU551">
        <f t="shared" ca="1" si="224"/>
        <v>0</v>
      </c>
      <c r="AV551" t="str">
        <f ca="1">IF(AU551=1,IF(INDEX(分析データ!$A:$A,ROW()+$C$5)&lt;&gt;"",80000*SIGN(AT551)*(分析データ!B551-INDEX(分析データ!B:B,ROW()+$C$5)),""),"")</f>
        <v/>
      </c>
      <c r="AW551">
        <f t="shared" ca="1" si="225"/>
        <v>-4999999.9999999925</v>
      </c>
      <c r="AX551">
        <f t="shared" ca="1" si="226"/>
        <v>0</v>
      </c>
      <c r="AY551">
        <f t="shared" ca="1" si="227"/>
        <v>-4999999.9999999925</v>
      </c>
      <c r="AZ551">
        <f ca="1">IF(ROW()&lt;($C$7+1),"",IFERROR((分析データ!C551-AVERAGE(OFFSET(分析データ!C$1,MAX(1,ROW()-$C$7),0,MIN($C$7,ROW()-1),1)))/STDEV(OFFSET(分析データ!C$1,MAX(1,ROW()-$C$7),0,MIN($C$7,ROW()-1),1)),0))</f>
        <v>1.53562542060384</v>
      </c>
      <c r="BA551">
        <f t="shared" ca="1" si="228"/>
        <v>0</v>
      </c>
      <c r="BB551" t="str">
        <f ca="1">IF(BA551=1,IF(INDEX(分析データ!$A:$A,ROW()+$C$5)&lt;&gt;"",60000*SIGN(AZ551)*(分析データ!C551-INDEX(分析データ!C:C,ROW()+$C$5)),""),"")</f>
        <v/>
      </c>
      <c r="BC551">
        <f t="shared" ca="1" si="229"/>
        <v>2229000.0000000088</v>
      </c>
      <c r="BD551">
        <f t="shared" ca="1" si="230"/>
        <v>2229000.0000000088</v>
      </c>
      <c r="BE551">
        <f t="shared" ca="1" si="231"/>
        <v>0</v>
      </c>
      <c r="BF551">
        <f ca="1">IF(ROW()&lt;($C$7+1),"",IFERROR((分析データ!D551-AVERAGE(OFFSET(分析データ!D$1,MAX(1,ROW()-$C$7),0,MIN($C$7,ROW()-1),1)))/STDEV(OFFSET(分析データ!D$1,MAX(1,ROW()-$C$7),0,MIN($C$7,ROW()-1),1)),0))</f>
        <v>-1.7197410758407836</v>
      </c>
      <c r="BG551">
        <f t="shared" ca="1" si="232"/>
        <v>0</v>
      </c>
      <c r="BH551" t="str">
        <f ca="1">IF(BG551=1,IF(INDEX(分析データ!$A:$A,ROW()+$C$5)&lt;&gt;"",50000*SIGN(BF551)*(分析データ!D551-INDEX(分析データ!D:D,ROW()+$C$5)),""),"")</f>
        <v/>
      </c>
      <c r="BI551">
        <f t="shared" ca="1" si="233"/>
        <v>195000.00000000582</v>
      </c>
      <c r="BJ551">
        <f t="shared" ca="1" si="234"/>
        <v>1695000.0000000016</v>
      </c>
      <c r="BK551">
        <f t="shared" ca="1" si="235"/>
        <v>-1499999.9999999958</v>
      </c>
      <c r="BL551">
        <f ca="1">IF(ROW()&lt;($C$7+1),"",IFERROR((分析データ!E551-AVERAGE(OFFSET(分析データ!E$1,MAX(1,ROW()-$C$7),0,MIN($C$7,ROW()-1),1)))/STDEV(OFFSET(分析データ!E$1,MAX(1,ROW()-$C$7),0,MIN($C$7,ROW()-1),1)),0))</f>
        <v>1.1785865887379225</v>
      </c>
      <c r="BM551">
        <f t="shared" ca="1" si="236"/>
        <v>0</v>
      </c>
      <c r="BN551" t="str">
        <f ca="1">IF(BM551=1,IF(INDEX(分析データ!$A:$A,ROW()+$C$5)&lt;&gt;"",40000*SIGN(BL551)*(分析データ!E551-INDEX(分析データ!E:E,ROW()+$C$5)),""),"")</f>
        <v/>
      </c>
      <c r="BO551">
        <f t="shared" ca="1" si="237"/>
        <v>1320000.0000000075</v>
      </c>
      <c r="BP551">
        <f t="shared" ca="1" si="238"/>
        <v>1320000.0000000075</v>
      </c>
      <c r="BQ551">
        <f t="shared" ca="1" si="239"/>
        <v>0</v>
      </c>
      <c r="BR551">
        <f ca="1">IF(ROW()&lt;($C$7+1),"",IFERROR((分析データ!F551-AVERAGE(OFFSET(分析データ!F$1,MAX(1,ROW()-$C$7),0,MIN($C$7,ROW()-1),1)))/STDEV(OFFSET(分析データ!F$1,MAX(1,ROW()-$C$7),0,MIN($C$7,ROW()-1),1)),0))</f>
        <v>0.65164735927105366</v>
      </c>
      <c r="BS551">
        <f t="shared" ca="1" si="240"/>
        <v>0</v>
      </c>
      <c r="BT551" t="str">
        <f ca="1">IF(BS551=1,IF(INDEX(分析データ!$A:$A,ROW()+$C$5)&lt;&gt;"",40000*SIGN(BR551)*(分析データ!F551-INDEX(分析データ!F:F,ROW()+$C$5)),""),"")</f>
        <v/>
      </c>
      <c r="BU551">
        <f t="shared" ca="1" si="241"/>
        <v>3534799.9999999953</v>
      </c>
      <c r="BV551">
        <f t="shared" ca="1" si="242"/>
        <v>3534799.9999999953</v>
      </c>
      <c r="BW551">
        <f t="shared" ca="1" si="243"/>
        <v>0</v>
      </c>
      <c r="BX551">
        <f ca="1">IF(ROW()&lt;($C$7+1),"",IFERROR((分析データ!G551-AVERAGE(OFFSET(分析データ!G$1,MAX(1,ROW()-$C$7),0,MIN($C$7,ROW()-1),1)))/STDEV(OFFSET(分析データ!G$1,MAX(1,ROW()-$C$7),0,MIN($C$7,ROW()-1),1)),0))</f>
        <v>1.5906516162993811</v>
      </c>
      <c r="BY551">
        <f t="shared" ca="1" si="244"/>
        <v>0</v>
      </c>
      <c r="BZ551" t="str">
        <f ca="1">IF(BY551=1,IF(INDEX(分析データ!$A:$A,ROW()+$C$5)&lt;&gt;"",40000*SIGN(BX551)*(分析データ!G551-INDEX(分析データ!G:G,ROW()+$C$5)),""),"")</f>
        <v/>
      </c>
      <c r="CA551">
        <f t="shared" ca="1" si="245"/>
        <v>11124832.856445313</v>
      </c>
      <c r="CB551">
        <f t="shared" ca="1" si="246"/>
        <v>11327520.000000004</v>
      </c>
      <c r="CC551">
        <f t="shared" ca="1" si="247"/>
        <v>-202687.14355469123</v>
      </c>
      <c r="CD551">
        <f t="shared" ca="1" si="248"/>
        <v>0</v>
      </c>
      <c r="CE551">
        <f t="shared" ca="1" si="249"/>
        <v>13403632.856445344</v>
      </c>
      <c r="CF551">
        <f t="shared" ca="1" si="250"/>
        <v>13606320.000000035</v>
      </c>
      <c r="CG551">
        <f t="shared" ca="1" si="251"/>
        <v>-202687.14355469123</v>
      </c>
      <c r="CH551" s="10">
        <f>分析データ!A551</f>
        <v>45730</v>
      </c>
    </row>
    <row r="552" spans="46:86">
      <c r="AT552">
        <f ca="1">IF(ROW()&lt;($C$7+1),"",IFERROR((分析データ!B552-AVERAGE(OFFSET(分析データ!B$1,MAX(1,ROW()-$C$7),0,MIN($C$7,ROW()-1),1)))/STDEV(OFFSET(分析データ!B$1,MAX(1,ROW()-$C$7),0,MIN($C$7,ROW()-1),1)),0))</f>
        <v>0.8985354400116583</v>
      </c>
      <c r="AU552">
        <f t="shared" ca="1" si="224"/>
        <v>0</v>
      </c>
      <c r="AV552" t="str">
        <f ca="1">IF(AU552=1,IF(INDEX(分析データ!$A:$A,ROW()+$C$5)&lt;&gt;"",80000*SIGN(AT552)*(分析データ!B552-INDEX(分析データ!B:B,ROW()+$C$5)),""),"")</f>
        <v/>
      </c>
      <c r="AW552">
        <f t="shared" ca="1" si="225"/>
        <v>-4999999.9999999925</v>
      </c>
      <c r="AX552">
        <f t="shared" ca="1" si="226"/>
        <v>0</v>
      </c>
      <c r="AY552">
        <f t="shared" ca="1" si="227"/>
        <v>-4999999.9999999925</v>
      </c>
      <c r="AZ552">
        <f ca="1">IF(ROW()&lt;($C$7+1),"",IFERROR((分析データ!C552-AVERAGE(OFFSET(分析データ!C$1,MAX(1,ROW()-$C$7),0,MIN($C$7,ROW()-1),1)))/STDEV(OFFSET(分析データ!C$1,MAX(1,ROW()-$C$7),0,MIN($C$7,ROW()-1),1)),0))</f>
        <v>1.4977582035394419</v>
      </c>
      <c r="BA552">
        <f t="shared" ca="1" si="228"/>
        <v>0</v>
      </c>
      <c r="BB552" t="str">
        <f ca="1">IF(BA552=1,IF(INDEX(分析データ!$A:$A,ROW()+$C$5)&lt;&gt;"",60000*SIGN(AZ552)*(分析データ!C552-INDEX(分析データ!C:C,ROW()+$C$5)),""),"")</f>
        <v/>
      </c>
      <c r="BC552">
        <f t="shared" ca="1" si="229"/>
        <v>2229000.0000000088</v>
      </c>
      <c r="BD552">
        <f t="shared" ca="1" si="230"/>
        <v>2229000.0000000088</v>
      </c>
      <c r="BE552">
        <f t="shared" ca="1" si="231"/>
        <v>0</v>
      </c>
      <c r="BF552">
        <f ca="1">IF(ROW()&lt;($C$7+1),"",IFERROR((分析データ!D552-AVERAGE(OFFSET(分析データ!D$1,MAX(1,ROW()-$C$7),0,MIN($C$7,ROW()-1),1)))/STDEV(OFFSET(分析データ!D$1,MAX(1,ROW()-$C$7),0,MIN($C$7,ROW()-1),1)),0))</f>
        <v>-1.6689755568298734</v>
      </c>
      <c r="BG552">
        <f t="shared" ca="1" si="232"/>
        <v>0</v>
      </c>
      <c r="BH552" t="str">
        <f ca="1">IF(BG552=1,IF(INDEX(分析データ!$A:$A,ROW()+$C$5)&lt;&gt;"",50000*SIGN(BF552)*(分析データ!D552-INDEX(分析データ!D:D,ROW()+$C$5)),""),"")</f>
        <v/>
      </c>
      <c r="BI552">
        <f t="shared" ca="1" si="233"/>
        <v>195000.00000000582</v>
      </c>
      <c r="BJ552">
        <f t="shared" ca="1" si="234"/>
        <v>1695000.0000000016</v>
      </c>
      <c r="BK552">
        <f t="shared" ca="1" si="235"/>
        <v>-1499999.9999999958</v>
      </c>
      <c r="BL552">
        <f ca="1">IF(ROW()&lt;($C$7+1),"",IFERROR((分析データ!E552-AVERAGE(OFFSET(分析データ!E$1,MAX(1,ROW()-$C$7),0,MIN($C$7,ROW()-1),1)))/STDEV(OFFSET(分析データ!E$1,MAX(1,ROW()-$C$7),0,MIN($C$7,ROW()-1),1)),0))</f>
        <v>0.95347950135134518</v>
      </c>
      <c r="BM552">
        <f t="shared" ca="1" si="236"/>
        <v>0</v>
      </c>
      <c r="BN552" t="str">
        <f ca="1">IF(BM552=1,IF(INDEX(分析データ!$A:$A,ROW()+$C$5)&lt;&gt;"",40000*SIGN(BL552)*(分析データ!E552-INDEX(分析データ!E:E,ROW()+$C$5)),""),"")</f>
        <v/>
      </c>
      <c r="BO552">
        <f t="shared" ca="1" si="237"/>
        <v>1320000.0000000075</v>
      </c>
      <c r="BP552">
        <f t="shared" ca="1" si="238"/>
        <v>1320000.0000000075</v>
      </c>
      <c r="BQ552">
        <f t="shared" ca="1" si="239"/>
        <v>0</v>
      </c>
      <c r="BR552">
        <f ca="1">IF(ROW()&lt;($C$7+1),"",IFERROR((分析データ!F552-AVERAGE(OFFSET(分析データ!F$1,MAX(1,ROW()-$C$7),0,MIN($C$7,ROW()-1),1)))/STDEV(OFFSET(分析データ!F$1,MAX(1,ROW()-$C$7),0,MIN($C$7,ROW()-1),1)),0))</f>
        <v>0.49346176964138988</v>
      </c>
      <c r="BS552">
        <f t="shared" ca="1" si="240"/>
        <v>0</v>
      </c>
      <c r="BT552" t="str">
        <f ca="1">IF(BS552=1,IF(INDEX(分析データ!$A:$A,ROW()+$C$5)&lt;&gt;"",40000*SIGN(BR552)*(分析データ!F552-INDEX(分析データ!F:F,ROW()+$C$5)),""),"")</f>
        <v/>
      </c>
      <c r="BU552">
        <f t="shared" ca="1" si="241"/>
        <v>3534799.9999999953</v>
      </c>
      <c r="BV552">
        <f t="shared" ca="1" si="242"/>
        <v>3534799.9999999953</v>
      </c>
      <c r="BW552">
        <f t="shared" ca="1" si="243"/>
        <v>0</v>
      </c>
      <c r="BX552">
        <f ca="1">IF(ROW()&lt;($C$7+1),"",IFERROR((分析データ!G552-AVERAGE(OFFSET(分析データ!G$1,MAX(1,ROW()-$C$7),0,MIN($C$7,ROW()-1),1)))/STDEV(OFFSET(分析データ!G$1,MAX(1,ROW()-$C$7),0,MIN($C$7,ROW()-1),1)),0))</f>
        <v>2.0336458428850963</v>
      </c>
      <c r="BY552">
        <f t="shared" ca="1" si="244"/>
        <v>1</v>
      </c>
      <c r="BZ552">
        <f ca="1">IF(BY552=1,IF(INDEX(分析データ!$A:$A,ROW()+$C$5)&lt;&gt;"",40000*SIGN(BX552)*(分析データ!G552-INDEX(分析データ!G:G,ROW()+$C$5)),""),"")</f>
        <v>-50959.999999994354</v>
      </c>
      <c r="CA552">
        <f t="shared" ca="1" si="245"/>
        <v>11073872.856445318</v>
      </c>
      <c r="CB552">
        <f t="shared" ca="1" si="246"/>
        <v>11327520.000000004</v>
      </c>
      <c r="CC552">
        <f t="shared" ca="1" si="247"/>
        <v>-253647.14355468564</v>
      </c>
      <c r="CD552">
        <f t="shared" ca="1" si="248"/>
        <v>-50959.999999994354</v>
      </c>
      <c r="CE552">
        <f t="shared" ca="1" si="249"/>
        <v>13352672.85644535</v>
      </c>
      <c r="CF552">
        <f t="shared" ca="1" si="250"/>
        <v>13606320.000000035</v>
      </c>
      <c r="CG552">
        <f t="shared" ca="1" si="251"/>
        <v>-253647.14355468564</v>
      </c>
      <c r="CH552" s="10">
        <f>分析データ!A552</f>
        <v>45733</v>
      </c>
    </row>
    <row r="553" spans="46:86">
      <c r="AT553">
        <f ca="1">IF(ROW()&lt;($C$7+1),"",IFERROR((分析データ!B553-AVERAGE(OFFSET(分析データ!B$1,MAX(1,ROW()-$C$7),0,MIN($C$7,ROW()-1),1)))/STDEV(OFFSET(分析データ!B$1,MAX(1,ROW()-$C$7),0,MIN($C$7,ROW()-1),1)),0))</f>
        <v>0.89148156123862532</v>
      </c>
      <c r="AU553">
        <f t="shared" ca="1" si="224"/>
        <v>0</v>
      </c>
      <c r="AV553" t="str">
        <f ca="1">IF(AU553=1,IF(INDEX(分析データ!$A:$A,ROW()+$C$5)&lt;&gt;"",80000*SIGN(AT553)*(分析データ!B553-INDEX(分析データ!B:B,ROW()+$C$5)),""),"")</f>
        <v/>
      </c>
      <c r="AW553">
        <f t="shared" ca="1" si="225"/>
        <v>-4999999.9999999925</v>
      </c>
      <c r="AX553">
        <f t="shared" ca="1" si="226"/>
        <v>0</v>
      </c>
      <c r="AY553">
        <f t="shared" ca="1" si="227"/>
        <v>-4999999.9999999925</v>
      </c>
      <c r="AZ553">
        <f ca="1">IF(ROW()&lt;($C$7+1),"",IFERROR((分析データ!C553-AVERAGE(OFFSET(分析データ!C$1,MAX(1,ROW()-$C$7),0,MIN($C$7,ROW()-1),1)))/STDEV(OFFSET(分析データ!C$1,MAX(1,ROW()-$C$7),0,MIN($C$7,ROW()-1),1)),0))</f>
        <v>1.4299185182313254</v>
      </c>
      <c r="BA553">
        <f t="shared" ca="1" si="228"/>
        <v>0</v>
      </c>
      <c r="BB553" t="str">
        <f ca="1">IF(BA553=1,IF(INDEX(分析データ!$A:$A,ROW()+$C$5)&lt;&gt;"",60000*SIGN(AZ553)*(分析データ!C553-INDEX(分析データ!C:C,ROW()+$C$5)),""),"")</f>
        <v/>
      </c>
      <c r="BC553">
        <f t="shared" ca="1" si="229"/>
        <v>2229000.0000000088</v>
      </c>
      <c r="BD553">
        <f t="shared" ca="1" si="230"/>
        <v>2229000.0000000088</v>
      </c>
      <c r="BE553">
        <f t="shared" ca="1" si="231"/>
        <v>0</v>
      </c>
      <c r="BF553">
        <f ca="1">IF(ROW()&lt;($C$7+1),"",IFERROR((分析データ!D553-AVERAGE(OFFSET(分析データ!D$1,MAX(1,ROW()-$C$7),0,MIN($C$7,ROW()-1),1)))/STDEV(OFFSET(分析データ!D$1,MAX(1,ROW()-$C$7),0,MIN($C$7,ROW()-1),1)),0))</f>
        <v>-1.7029934477314124</v>
      </c>
      <c r="BG553">
        <f t="shared" ca="1" si="232"/>
        <v>0</v>
      </c>
      <c r="BH553" t="str">
        <f ca="1">IF(BG553=1,IF(INDEX(分析データ!$A:$A,ROW()+$C$5)&lt;&gt;"",50000*SIGN(BF553)*(分析データ!D553-INDEX(分析データ!D:D,ROW()+$C$5)),""),"")</f>
        <v/>
      </c>
      <c r="BI553">
        <f t="shared" ca="1" si="233"/>
        <v>195000.00000000582</v>
      </c>
      <c r="BJ553">
        <f t="shared" ca="1" si="234"/>
        <v>1695000.0000000016</v>
      </c>
      <c r="BK553">
        <f t="shared" ca="1" si="235"/>
        <v>-1499999.9999999958</v>
      </c>
      <c r="BL553">
        <f ca="1">IF(ROW()&lt;($C$7+1),"",IFERROR((分析データ!E553-AVERAGE(OFFSET(分析データ!E$1,MAX(1,ROW()-$C$7),0,MIN($C$7,ROW()-1),1)))/STDEV(OFFSET(分析データ!E$1,MAX(1,ROW()-$C$7),0,MIN($C$7,ROW()-1),1)),0))</f>
        <v>1.1619611630116535</v>
      </c>
      <c r="BM553">
        <f t="shared" ca="1" si="236"/>
        <v>0</v>
      </c>
      <c r="BN553" t="str">
        <f ca="1">IF(BM553=1,IF(INDEX(分析データ!$A:$A,ROW()+$C$5)&lt;&gt;"",40000*SIGN(BL553)*(分析データ!E553-INDEX(分析データ!E:E,ROW()+$C$5)),""),"")</f>
        <v/>
      </c>
      <c r="BO553">
        <f t="shared" ca="1" si="237"/>
        <v>1320000.0000000075</v>
      </c>
      <c r="BP553">
        <f t="shared" ca="1" si="238"/>
        <v>1320000.0000000075</v>
      </c>
      <c r="BQ553">
        <f t="shared" ca="1" si="239"/>
        <v>0</v>
      </c>
      <c r="BR553">
        <f ca="1">IF(ROW()&lt;($C$7+1),"",IFERROR((分析データ!F553-AVERAGE(OFFSET(分析データ!F$1,MAX(1,ROW()-$C$7),0,MIN($C$7,ROW()-1),1)))/STDEV(OFFSET(分析データ!F$1,MAX(1,ROW()-$C$7),0,MIN($C$7,ROW()-1),1)),0))</f>
        <v>0.26838458982693181</v>
      </c>
      <c r="BS553">
        <f t="shared" ca="1" si="240"/>
        <v>0</v>
      </c>
      <c r="BT553" t="str">
        <f ca="1">IF(BS553=1,IF(INDEX(分析データ!$A:$A,ROW()+$C$5)&lt;&gt;"",40000*SIGN(BR553)*(分析データ!F553-INDEX(分析データ!F:F,ROW()+$C$5)),""),"")</f>
        <v/>
      </c>
      <c r="BU553">
        <f t="shared" ca="1" si="241"/>
        <v>3534799.9999999953</v>
      </c>
      <c r="BV553">
        <f t="shared" ca="1" si="242"/>
        <v>3534799.9999999953</v>
      </c>
      <c r="BW553">
        <f t="shared" ca="1" si="243"/>
        <v>0</v>
      </c>
      <c r="BX553">
        <f ca="1">IF(ROW()&lt;($C$7+1),"",IFERROR((分析データ!G553-AVERAGE(OFFSET(分析データ!G$1,MAX(1,ROW()-$C$7),0,MIN($C$7,ROW()-1),1)))/STDEV(OFFSET(分析データ!G$1,MAX(1,ROW()-$C$7),0,MIN($C$7,ROW()-1),1)),0))</f>
        <v>2.0805387982634969</v>
      </c>
      <c r="BY553">
        <f t="shared" ca="1" si="244"/>
        <v>1</v>
      </c>
      <c r="BZ553">
        <f ca="1">IF(BY553=1,IF(INDEX(分析データ!$A:$A,ROW()+$C$5)&lt;&gt;"",40000*SIGN(BX553)*(分析データ!G553-INDEX(分析データ!G:G,ROW()+$C$5)),""),"")</f>
        <v>-563680.00000000326</v>
      </c>
      <c r="CA553">
        <f t="shared" ca="1" si="245"/>
        <v>10510192.856445314</v>
      </c>
      <c r="CB553">
        <f t="shared" ca="1" si="246"/>
        <v>11327520.000000004</v>
      </c>
      <c r="CC553">
        <f t="shared" ca="1" si="247"/>
        <v>-817327.14355468936</v>
      </c>
      <c r="CD553">
        <f t="shared" ca="1" si="248"/>
        <v>-563680.00000000326</v>
      </c>
      <c r="CE553">
        <f t="shared" ca="1" si="249"/>
        <v>12788992.856445346</v>
      </c>
      <c r="CF553">
        <f t="shared" ca="1" si="250"/>
        <v>13606320.000000035</v>
      </c>
      <c r="CG553">
        <f t="shared" ca="1" si="251"/>
        <v>-817327.14355468936</v>
      </c>
      <c r="CH553" s="10">
        <f>分析データ!A553</f>
        <v>45734</v>
      </c>
    </row>
    <row r="554" spans="46:86">
      <c r="AT554">
        <f ca="1">IF(ROW()&lt;($C$7+1),"",IFERROR((分析データ!B554-AVERAGE(OFFSET(分析データ!B$1,MAX(1,ROW()-$C$7),0,MIN($C$7,ROW()-1),1)))/STDEV(OFFSET(分析データ!B$1,MAX(1,ROW()-$C$7),0,MIN($C$7,ROW()-1),1)),0))</f>
        <v>0.84228055868123719</v>
      </c>
      <c r="AU554">
        <f t="shared" ca="1" si="224"/>
        <v>0</v>
      </c>
      <c r="AV554" t="str">
        <f ca="1">IF(AU554=1,IF(INDEX(分析データ!$A:$A,ROW()+$C$5)&lt;&gt;"",80000*SIGN(AT554)*(分析データ!B554-INDEX(分析データ!B:B,ROW()+$C$5)),""),"")</f>
        <v/>
      </c>
      <c r="AW554">
        <f t="shared" ca="1" si="225"/>
        <v>-4999999.9999999925</v>
      </c>
      <c r="AX554">
        <f t="shared" ca="1" si="226"/>
        <v>0</v>
      </c>
      <c r="AY554">
        <f t="shared" ca="1" si="227"/>
        <v>-4999999.9999999925</v>
      </c>
      <c r="AZ554">
        <f ca="1">IF(ROW()&lt;($C$7+1),"",IFERROR((分析データ!C554-AVERAGE(OFFSET(分析データ!C$1,MAX(1,ROW()-$C$7),0,MIN($C$7,ROW()-1),1)))/STDEV(OFFSET(分析データ!C$1,MAX(1,ROW()-$C$7),0,MIN($C$7,ROW()-1),1)),0))</f>
        <v>1.4091047206514689</v>
      </c>
      <c r="BA554">
        <f t="shared" ca="1" si="228"/>
        <v>0</v>
      </c>
      <c r="BB554" t="str">
        <f ca="1">IF(BA554=1,IF(INDEX(分析データ!$A:$A,ROW()+$C$5)&lt;&gt;"",60000*SIGN(AZ554)*(分析データ!C554-INDEX(分析データ!C:C,ROW()+$C$5)),""),"")</f>
        <v/>
      </c>
      <c r="BC554">
        <f t="shared" ca="1" si="229"/>
        <v>2229000.0000000088</v>
      </c>
      <c r="BD554">
        <f t="shared" ca="1" si="230"/>
        <v>2229000.0000000088</v>
      </c>
      <c r="BE554">
        <f t="shared" ca="1" si="231"/>
        <v>0</v>
      </c>
      <c r="BF554">
        <f ca="1">IF(ROW()&lt;($C$7+1),"",IFERROR((分析データ!D554-AVERAGE(OFFSET(分析データ!D$1,MAX(1,ROW()-$C$7),0,MIN($C$7,ROW()-1),1)))/STDEV(OFFSET(分析データ!D$1,MAX(1,ROW()-$C$7),0,MIN($C$7,ROW()-1),1)),0))</f>
        <v>-1.8773709497434981</v>
      </c>
      <c r="BG554">
        <f t="shared" ca="1" si="232"/>
        <v>0</v>
      </c>
      <c r="BH554" t="str">
        <f ca="1">IF(BG554=1,IF(INDEX(分析データ!$A:$A,ROW()+$C$5)&lt;&gt;"",50000*SIGN(BF554)*(分析データ!D554-INDEX(分析データ!D:D,ROW()+$C$5)),""),"")</f>
        <v/>
      </c>
      <c r="BI554">
        <f t="shared" ca="1" si="233"/>
        <v>195000.00000000582</v>
      </c>
      <c r="BJ554">
        <f t="shared" ca="1" si="234"/>
        <v>1695000.0000000016</v>
      </c>
      <c r="BK554">
        <f t="shared" ca="1" si="235"/>
        <v>-1499999.9999999958</v>
      </c>
      <c r="BL554">
        <f ca="1">IF(ROW()&lt;($C$7+1),"",IFERROR((分析データ!E554-AVERAGE(OFFSET(分析データ!E$1,MAX(1,ROW()-$C$7),0,MIN($C$7,ROW()-1),1)))/STDEV(OFFSET(分析データ!E$1,MAX(1,ROW()-$C$7),0,MIN($C$7,ROW()-1),1)),0))</f>
        <v>1.1529000980432063</v>
      </c>
      <c r="BM554">
        <f t="shared" ca="1" si="236"/>
        <v>0</v>
      </c>
      <c r="BN554" t="str">
        <f ca="1">IF(BM554=1,IF(INDEX(分析データ!$A:$A,ROW()+$C$5)&lt;&gt;"",40000*SIGN(BL554)*(分析データ!E554-INDEX(分析データ!E:E,ROW()+$C$5)),""),"")</f>
        <v/>
      </c>
      <c r="BO554">
        <f t="shared" ca="1" si="237"/>
        <v>1320000.0000000075</v>
      </c>
      <c r="BP554">
        <f t="shared" ca="1" si="238"/>
        <v>1320000.0000000075</v>
      </c>
      <c r="BQ554">
        <f t="shared" ca="1" si="239"/>
        <v>0</v>
      </c>
      <c r="BR554">
        <f ca="1">IF(ROW()&lt;($C$7+1),"",IFERROR((分析データ!F554-AVERAGE(OFFSET(分析データ!F$1,MAX(1,ROW()-$C$7),0,MIN($C$7,ROW()-1),1)))/STDEV(OFFSET(分析データ!F$1,MAX(1,ROW()-$C$7),0,MIN($C$7,ROW()-1),1)),0))</f>
        <v>0.55611069834745552</v>
      </c>
      <c r="BS554">
        <f t="shared" ca="1" si="240"/>
        <v>0</v>
      </c>
      <c r="BT554" t="str">
        <f ca="1">IF(BS554=1,IF(INDEX(分析データ!$A:$A,ROW()+$C$5)&lt;&gt;"",40000*SIGN(BR554)*(分析データ!F554-INDEX(分析データ!F:F,ROW()+$C$5)),""),"")</f>
        <v/>
      </c>
      <c r="BU554">
        <f t="shared" ca="1" si="241"/>
        <v>3534799.9999999953</v>
      </c>
      <c r="BV554">
        <f t="shared" ca="1" si="242"/>
        <v>3534799.9999999953</v>
      </c>
      <c r="BW554">
        <f t="shared" ca="1" si="243"/>
        <v>0</v>
      </c>
      <c r="BX554">
        <f ca="1">IF(ROW()&lt;($C$7+1),"",IFERROR((分析データ!G554-AVERAGE(OFFSET(分析データ!G$1,MAX(1,ROW()-$C$7),0,MIN($C$7,ROW()-1),1)))/STDEV(OFFSET(分析データ!G$1,MAX(1,ROW()-$C$7),0,MIN($C$7,ROW()-1),1)),0))</f>
        <v>2.1755606477670502</v>
      </c>
      <c r="BY554">
        <f t="shared" ca="1" si="244"/>
        <v>1</v>
      </c>
      <c r="BZ554">
        <f ca="1">IF(BY554=1,IF(INDEX(分析データ!$A:$A,ROW()+$C$5)&lt;&gt;"",40000*SIGN(BX554)*(分析データ!G554-INDEX(分析データ!G:G,ROW()+$C$5)),""),"")</f>
        <v>-179588.57421875422</v>
      </c>
      <c r="CA554">
        <f t="shared" ca="1" si="245"/>
        <v>10330604.282226561</v>
      </c>
      <c r="CB554">
        <f t="shared" ca="1" si="246"/>
        <v>11327520.000000004</v>
      </c>
      <c r="CC554">
        <f t="shared" ca="1" si="247"/>
        <v>-996915.71777344309</v>
      </c>
      <c r="CD554">
        <f t="shared" ca="1" si="248"/>
        <v>-179588.57421875422</v>
      </c>
      <c r="CE554">
        <f t="shared" ca="1" si="249"/>
        <v>12609404.282226592</v>
      </c>
      <c r="CF554">
        <f t="shared" ca="1" si="250"/>
        <v>13606320.000000035</v>
      </c>
      <c r="CG554">
        <f t="shared" ca="1" si="251"/>
        <v>-996915.71777344309</v>
      </c>
      <c r="CH554" s="10">
        <f>分析データ!A554</f>
        <v>45735</v>
      </c>
    </row>
    <row r="555" spans="46:86">
      <c r="AT555">
        <f ca="1">IF(ROW()&lt;($C$7+1),"",IFERROR((分析データ!B555-AVERAGE(OFFSET(分析データ!B$1,MAX(1,ROW()-$C$7),0,MIN($C$7,ROW()-1),1)))/STDEV(OFFSET(分析データ!B$1,MAX(1,ROW()-$C$7),0,MIN($C$7,ROW()-1),1)),0))</f>
        <v>0.96178513847115354</v>
      </c>
      <c r="AU555">
        <f t="shared" ca="1" si="224"/>
        <v>0</v>
      </c>
      <c r="AV555" t="str">
        <f ca="1">IF(AU555=1,IF(INDEX(分析データ!$A:$A,ROW()+$C$5)&lt;&gt;"",80000*SIGN(AT555)*(分析データ!B555-INDEX(分析データ!B:B,ROW()+$C$5)),""),"")</f>
        <v/>
      </c>
      <c r="AW555">
        <f t="shared" ca="1" si="225"/>
        <v>-4999999.9999999925</v>
      </c>
      <c r="AX555">
        <f t="shared" ca="1" si="226"/>
        <v>0</v>
      </c>
      <c r="AY555">
        <f t="shared" ca="1" si="227"/>
        <v>-4999999.9999999925</v>
      </c>
      <c r="AZ555">
        <f ca="1">IF(ROW()&lt;($C$7+1),"",IFERROR((分析データ!C555-AVERAGE(OFFSET(分析データ!C$1,MAX(1,ROW()-$C$7),0,MIN($C$7,ROW()-1),1)))/STDEV(OFFSET(分析データ!C$1,MAX(1,ROW()-$C$7),0,MIN($C$7,ROW()-1),1)),0))</f>
        <v>1.4045653942284757</v>
      </c>
      <c r="BA555">
        <f t="shared" ca="1" si="228"/>
        <v>0</v>
      </c>
      <c r="BB555" t="str">
        <f ca="1">IF(BA555=1,IF(INDEX(分析データ!$A:$A,ROW()+$C$5)&lt;&gt;"",60000*SIGN(AZ555)*(分析データ!C555-INDEX(分析データ!C:C,ROW()+$C$5)),""),"")</f>
        <v/>
      </c>
      <c r="BC555">
        <f t="shared" ca="1" si="229"/>
        <v>2229000.0000000088</v>
      </c>
      <c r="BD555">
        <f t="shared" ca="1" si="230"/>
        <v>2229000.0000000088</v>
      </c>
      <c r="BE555">
        <f t="shared" ca="1" si="231"/>
        <v>0</v>
      </c>
      <c r="BF555">
        <f ca="1">IF(ROW()&lt;($C$7+1),"",IFERROR((分析データ!D555-AVERAGE(OFFSET(分析データ!D$1,MAX(1,ROW()-$C$7),0,MIN($C$7,ROW()-1),1)))/STDEV(OFFSET(分析データ!D$1,MAX(1,ROW()-$C$7),0,MIN($C$7,ROW()-1),1)),0))</f>
        <v>-1.8925704750940504</v>
      </c>
      <c r="BG555">
        <f t="shared" ca="1" si="232"/>
        <v>0</v>
      </c>
      <c r="BH555" t="str">
        <f ca="1">IF(BG555=1,IF(INDEX(分析データ!$A:$A,ROW()+$C$5)&lt;&gt;"",50000*SIGN(BF555)*(分析データ!D555-INDEX(分析データ!D:D,ROW()+$C$5)),""),"")</f>
        <v/>
      </c>
      <c r="BI555">
        <f t="shared" ca="1" si="233"/>
        <v>195000.00000000582</v>
      </c>
      <c r="BJ555">
        <f t="shared" ca="1" si="234"/>
        <v>1695000.0000000016</v>
      </c>
      <c r="BK555">
        <f t="shared" ca="1" si="235"/>
        <v>-1499999.9999999958</v>
      </c>
      <c r="BL555">
        <f ca="1">IF(ROW()&lt;($C$7+1),"",IFERROR((分析データ!E555-AVERAGE(OFFSET(分析データ!E$1,MAX(1,ROW()-$C$7),0,MIN($C$7,ROW()-1),1)))/STDEV(OFFSET(分析データ!E$1,MAX(1,ROW()-$C$7),0,MIN($C$7,ROW()-1),1)),0))</f>
        <v>1.252415921904583</v>
      </c>
      <c r="BM555">
        <f t="shared" ca="1" si="236"/>
        <v>0</v>
      </c>
      <c r="BN555" t="str">
        <f ca="1">IF(BM555=1,IF(INDEX(分析データ!$A:$A,ROW()+$C$5)&lt;&gt;"",40000*SIGN(BL555)*(分析データ!E555-INDEX(分析データ!E:E,ROW()+$C$5)),""),"")</f>
        <v/>
      </c>
      <c r="BO555">
        <f t="shared" ca="1" si="237"/>
        <v>1320000.0000000075</v>
      </c>
      <c r="BP555">
        <f t="shared" ca="1" si="238"/>
        <v>1320000.0000000075</v>
      </c>
      <c r="BQ555">
        <f t="shared" ca="1" si="239"/>
        <v>0</v>
      </c>
      <c r="BR555">
        <f ca="1">IF(ROW()&lt;($C$7+1),"",IFERROR((分析データ!F555-AVERAGE(OFFSET(分析データ!F$1,MAX(1,ROW()-$C$7),0,MIN($C$7,ROW()-1),1)))/STDEV(OFFSET(分析データ!F$1,MAX(1,ROW()-$C$7),0,MIN($C$7,ROW()-1),1)),0))</f>
        <v>0.63813895557831868</v>
      </c>
      <c r="BS555">
        <f t="shared" ca="1" si="240"/>
        <v>0</v>
      </c>
      <c r="BT555" t="str">
        <f ca="1">IF(BS555=1,IF(INDEX(分析データ!$A:$A,ROW()+$C$5)&lt;&gt;"",40000*SIGN(BR555)*(分析データ!F555-INDEX(分析データ!F:F,ROW()+$C$5)),""),"")</f>
        <v/>
      </c>
      <c r="BU555">
        <f t="shared" ca="1" si="241"/>
        <v>3534799.9999999953</v>
      </c>
      <c r="BV555">
        <f t="shared" ca="1" si="242"/>
        <v>3534799.9999999953</v>
      </c>
      <c r="BW555">
        <f t="shared" ca="1" si="243"/>
        <v>0</v>
      </c>
      <c r="BX555">
        <f ca="1">IF(ROW()&lt;($C$7+1),"",IFERROR((分析データ!G555-AVERAGE(OFFSET(分析データ!G$1,MAX(1,ROW()-$C$7),0,MIN($C$7,ROW()-1),1)))/STDEV(OFFSET(分析データ!G$1,MAX(1,ROW()-$C$7),0,MIN($C$7,ROW()-1),1)),0))</f>
        <v>2.1091231985196432</v>
      </c>
      <c r="BY555">
        <f t="shared" ca="1" si="244"/>
        <v>1</v>
      </c>
      <c r="BZ555">
        <f ca="1">IF(BY555=1,IF(INDEX(分析データ!$A:$A,ROW()+$C$5)&lt;&gt;"",40000*SIGN(BX555)*(分析データ!G555-INDEX(分析データ!G:G,ROW()+$C$5)),""),"")</f>
        <v>506131.4257812518</v>
      </c>
      <c r="CA555">
        <f t="shared" ca="1" si="245"/>
        <v>10836735.708007813</v>
      </c>
      <c r="CB555">
        <f t="shared" ca="1" si="246"/>
        <v>11327520.000000004</v>
      </c>
      <c r="CC555">
        <f t="shared" ca="1" si="247"/>
        <v>-490784.29199219123</v>
      </c>
      <c r="CD555">
        <f t="shared" ca="1" si="248"/>
        <v>506131.4257812518</v>
      </c>
      <c r="CE555">
        <f t="shared" ca="1" si="249"/>
        <v>13115535.708007844</v>
      </c>
      <c r="CF555">
        <f t="shared" ca="1" si="250"/>
        <v>13606320.000000035</v>
      </c>
      <c r="CG555">
        <f t="shared" ca="1" si="251"/>
        <v>-490784.29199219123</v>
      </c>
      <c r="CH555" s="10">
        <f>分析データ!A555</f>
        <v>45736</v>
      </c>
    </row>
    <row r="556" spans="46:86">
      <c r="AT556">
        <f ca="1">IF(ROW()&lt;($C$7+1),"",IFERROR((分析データ!B556-AVERAGE(OFFSET(分析データ!B$1,MAX(1,ROW()-$C$7),0,MIN($C$7,ROW()-1),1)))/STDEV(OFFSET(分析データ!B$1,MAX(1,ROW()-$C$7),0,MIN($C$7,ROW()-1),1)),0))</f>
        <v>0.9120488221531573</v>
      </c>
      <c r="AU556">
        <f t="shared" ca="1" si="224"/>
        <v>0</v>
      </c>
      <c r="AV556" t="str">
        <f ca="1">IF(AU556=1,IF(INDEX(分析データ!$A:$A,ROW()+$C$5)&lt;&gt;"",80000*SIGN(AT556)*(分析データ!B556-INDEX(分析データ!B:B,ROW()+$C$5)),""),"")</f>
        <v/>
      </c>
      <c r="AW556">
        <f t="shared" ca="1" si="225"/>
        <v>-4999999.9999999925</v>
      </c>
      <c r="AX556">
        <f t="shared" ca="1" si="226"/>
        <v>0</v>
      </c>
      <c r="AY556">
        <f t="shared" ca="1" si="227"/>
        <v>-4999999.9999999925</v>
      </c>
      <c r="AZ556">
        <f ca="1">IF(ROW()&lt;($C$7+1),"",IFERROR((分析データ!C556-AVERAGE(OFFSET(分析データ!C$1,MAX(1,ROW()-$C$7),0,MIN($C$7,ROW()-1),1)))/STDEV(OFFSET(分析データ!C$1,MAX(1,ROW()-$C$7),0,MIN($C$7,ROW()-1),1)),0))</f>
        <v>1.4436682953973645</v>
      </c>
      <c r="BA556">
        <f t="shared" ca="1" si="228"/>
        <v>0</v>
      </c>
      <c r="BB556" t="str">
        <f ca="1">IF(BA556=1,IF(INDEX(分析データ!$A:$A,ROW()+$C$5)&lt;&gt;"",60000*SIGN(AZ556)*(分析データ!C556-INDEX(分析データ!C:C,ROW()+$C$5)),""),"")</f>
        <v/>
      </c>
      <c r="BC556">
        <f t="shared" ca="1" si="229"/>
        <v>2229000.0000000088</v>
      </c>
      <c r="BD556">
        <f t="shared" ca="1" si="230"/>
        <v>2229000.0000000088</v>
      </c>
      <c r="BE556">
        <f t="shared" ca="1" si="231"/>
        <v>0</v>
      </c>
      <c r="BF556">
        <f ca="1">IF(ROW()&lt;($C$7+1),"",IFERROR((分析データ!D556-AVERAGE(OFFSET(分析データ!D$1,MAX(1,ROW()-$C$7),0,MIN($C$7,ROW()-1),1)))/STDEV(OFFSET(分析データ!D$1,MAX(1,ROW()-$C$7),0,MIN($C$7,ROW()-1),1)),0))</f>
        <v>-1.8617378915076275</v>
      </c>
      <c r="BG556">
        <f t="shared" ca="1" si="232"/>
        <v>0</v>
      </c>
      <c r="BH556" t="str">
        <f ca="1">IF(BG556=1,IF(INDEX(分析データ!$A:$A,ROW()+$C$5)&lt;&gt;"",50000*SIGN(BF556)*(分析データ!D556-INDEX(分析データ!D:D,ROW()+$C$5)),""),"")</f>
        <v/>
      </c>
      <c r="BI556">
        <f t="shared" ca="1" si="233"/>
        <v>195000.00000000582</v>
      </c>
      <c r="BJ556">
        <f t="shared" ca="1" si="234"/>
        <v>1695000.0000000016</v>
      </c>
      <c r="BK556">
        <f t="shared" ca="1" si="235"/>
        <v>-1499999.9999999958</v>
      </c>
      <c r="BL556">
        <f ca="1">IF(ROW()&lt;($C$7+1),"",IFERROR((分析データ!E556-AVERAGE(OFFSET(分析データ!E$1,MAX(1,ROW()-$C$7),0,MIN($C$7,ROW()-1),1)))/STDEV(OFFSET(分析データ!E$1,MAX(1,ROW()-$C$7),0,MIN($C$7,ROW()-1),1)),0))</f>
        <v>1.4588946633433377</v>
      </c>
      <c r="BM556">
        <f t="shared" ca="1" si="236"/>
        <v>0</v>
      </c>
      <c r="BN556" t="str">
        <f ca="1">IF(BM556=1,IF(INDEX(分析データ!$A:$A,ROW()+$C$5)&lt;&gt;"",40000*SIGN(BL556)*(分析データ!E556-INDEX(分析データ!E:E,ROW()+$C$5)),""),"")</f>
        <v/>
      </c>
      <c r="BO556">
        <f t="shared" ca="1" si="237"/>
        <v>1320000.0000000075</v>
      </c>
      <c r="BP556">
        <f t="shared" ca="1" si="238"/>
        <v>1320000.0000000075</v>
      </c>
      <c r="BQ556">
        <f t="shared" ca="1" si="239"/>
        <v>0</v>
      </c>
      <c r="BR556">
        <f ca="1">IF(ROW()&lt;($C$7+1),"",IFERROR((分析データ!F556-AVERAGE(OFFSET(分析データ!F$1,MAX(1,ROW()-$C$7),0,MIN($C$7,ROW()-1),1)))/STDEV(OFFSET(分析データ!F$1,MAX(1,ROW()-$C$7),0,MIN($C$7,ROW()-1),1)),0))</f>
        <v>0.70692769436728198</v>
      </c>
      <c r="BS556">
        <f t="shared" ca="1" si="240"/>
        <v>0</v>
      </c>
      <c r="BT556" t="str">
        <f ca="1">IF(BS556=1,IF(INDEX(分析データ!$A:$A,ROW()+$C$5)&lt;&gt;"",40000*SIGN(BR556)*(分析データ!F556-INDEX(分析データ!F:F,ROW()+$C$5)),""),"")</f>
        <v/>
      </c>
      <c r="BU556">
        <f t="shared" ca="1" si="241"/>
        <v>3534799.9999999953</v>
      </c>
      <c r="BV556">
        <f t="shared" ca="1" si="242"/>
        <v>3534799.9999999953</v>
      </c>
      <c r="BW556">
        <f t="shared" ca="1" si="243"/>
        <v>0</v>
      </c>
      <c r="BX556">
        <f ca="1">IF(ROW()&lt;($C$7+1),"",IFERROR((分析データ!G556-AVERAGE(OFFSET(分析データ!G$1,MAX(1,ROW()-$C$7),0,MIN($C$7,ROW()-1),1)))/STDEV(OFFSET(分析データ!G$1,MAX(1,ROW()-$C$7),0,MIN($C$7,ROW()-1),1)),0))</f>
        <v>1.6731763800937285</v>
      </c>
      <c r="BY556">
        <f t="shared" ca="1" si="244"/>
        <v>0</v>
      </c>
      <c r="BZ556" t="str">
        <f ca="1">IF(BY556=1,IF(INDEX(分析データ!$A:$A,ROW()+$C$5)&lt;&gt;"",40000*SIGN(BX556)*(分析データ!G556-INDEX(分析データ!G:G,ROW()+$C$5)),""),"")</f>
        <v/>
      </c>
      <c r="CA556">
        <f t="shared" ca="1" si="245"/>
        <v>10836735.708007813</v>
      </c>
      <c r="CB556">
        <f t="shared" ca="1" si="246"/>
        <v>11327520.000000004</v>
      </c>
      <c r="CC556">
        <f t="shared" ca="1" si="247"/>
        <v>-490784.29199219123</v>
      </c>
      <c r="CD556">
        <f t="shared" ca="1" si="248"/>
        <v>0</v>
      </c>
      <c r="CE556">
        <f t="shared" ca="1" si="249"/>
        <v>13115535.708007844</v>
      </c>
      <c r="CF556">
        <f t="shared" ca="1" si="250"/>
        <v>13606320.000000035</v>
      </c>
      <c r="CG556">
        <f t="shared" ca="1" si="251"/>
        <v>-490784.29199219123</v>
      </c>
      <c r="CH556" s="10">
        <f>分析データ!A556</f>
        <v>45737</v>
      </c>
    </row>
    <row r="557" spans="46:86">
      <c r="AT557">
        <f ca="1">IF(ROW()&lt;($C$7+1),"",IFERROR((分析データ!B557-AVERAGE(OFFSET(分析データ!B$1,MAX(1,ROW()-$C$7),0,MIN($C$7,ROW()-1),1)))/STDEV(OFFSET(分析データ!B$1,MAX(1,ROW()-$C$7),0,MIN($C$7,ROW()-1),1)),0))</f>
        <v>0.94696742908145415</v>
      </c>
      <c r="AU557">
        <f t="shared" ca="1" si="224"/>
        <v>0</v>
      </c>
      <c r="AV557" t="str">
        <f ca="1">IF(AU557=1,IF(INDEX(分析データ!$A:$A,ROW()+$C$5)&lt;&gt;"",80000*SIGN(AT557)*(分析データ!B557-INDEX(分析データ!B:B,ROW()+$C$5)),""),"")</f>
        <v/>
      </c>
      <c r="AW557">
        <f t="shared" ca="1" si="225"/>
        <v>-4999999.9999999925</v>
      </c>
      <c r="AX557">
        <f t="shared" ca="1" si="226"/>
        <v>0</v>
      </c>
      <c r="AY557">
        <f t="shared" ca="1" si="227"/>
        <v>-4999999.9999999925</v>
      </c>
      <c r="AZ557">
        <f ca="1">IF(ROW()&lt;($C$7+1),"",IFERROR((分析データ!C557-AVERAGE(OFFSET(分析データ!C$1,MAX(1,ROW()-$C$7),0,MIN($C$7,ROW()-1),1)))/STDEV(OFFSET(分析データ!C$1,MAX(1,ROW()-$C$7),0,MIN($C$7,ROW()-1),1)),0))</f>
        <v>1.6060053171654083</v>
      </c>
      <c r="BA557">
        <f t="shared" ca="1" si="228"/>
        <v>0</v>
      </c>
      <c r="BB557" t="str">
        <f ca="1">IF(BA557=1,IF(INDEX(分析データ!$A:$A,ROW()+$C$5)&lt;&gt;"",60000*SIGN(AZ557)*(分析データ!C557-INDEX(分析データ!C:C,ROW()+$C$5)),""),"")</f>
        <v/>
      </c>
      <c r="BC557">
        <f t="shared" ca="1" si="229"/>
        <v>2229000.0000000088</v>
      </c>
      <c r="BD557">
        <f t="shared" ca="1" si="230"/>
        <v>2229000.0000000088</v>
      </c>
      <c r="BE557">
        <f t="shared" ca="1" si="231"/>
        <v>0</v>
      </c>
      <c r="BF557">
        <f ca="1">IF(ROW()&lt;($C$7+1),"",IFERROR((分析データ!D557-AVERAGE(OFFSET(分析データ!D$1,MAX(1,ROW()-$C$7),0,MIN($C$7,ROW()-1),1)))/STDEV(OFFSET(分析データ!D$1,MAX(1,ROW()-$C$7),0,MIN($C$7,ROW()-1),1)),0))</f>
        <v>-1.5994529531481856</v>
      </c>
      <c r="BG557">
        <f t="shared" ca="1" si="232"/>
        <v>0</v>
      </c>
      <c r="BH557" t="str">
        <f ca="1">IF(BG557=1,IF(INDEX(分析データ!$A:$A,ROW()+$C$5)&lt;&gt;"",50000*SIGN(BF557)*(分析データ!D557-INDEX(分析データ!D:D,ROW()+$C$5)),""),"")</f>
        <v/>
      </c>
      <c r="BI557">
        <f t="shared" ca="1" si="233"/>
        <v>195000.00000000582</v>
      </c>
      <c r="BJ557">
        <f t="shared" ca="1" si="234"/>
        <v>1695000.0000000016</v>
      </c>
      <c r="BK557">
        <f t="shared" ca="1" si="235"/>
        <v>-1499999.9999999958</v>
      </c>
      <c r="BL557">
        <f ca="1">IF(ROW()&lt;($C$7+1),"",IFERROR((分析データ!E557-AVERAGE(OFFSET(分析データ!E$1,MAX(1,ROW()-$C$7),0,MIN($C$7,ROW()-1),1)))/STDEV(OFFSET(分析データ!E$1,MAX(1,ROW()-$C$7),0,MIN($C$7,ROW()-1),1)),0))</f>
        <v>1.4470590273644515</v>
      </c>
      <c r="BM557">
        <f t="shared" ca="1" si="236"/>
        <v>0</v>
      </c>
      <c r="BN557" t="str">
        <f ca="1">IF(BM557=1,IF(INDEX(分析データ!$A:$A,ROW()+$C$5)&lt;&gt;"",40000*SIGN(BL557)*(分析データ!E557-INDEX(分析データ!E:E,ROW()+$C$5)),""),"")</f>
        <v/>
      </c>
      <c r="BO557">
        <f t="shared" ca="1" si="237"/>
        <v>1320000.0000000075</v>
      </c>
      <c r="BP557">
        <f t="shared" ca="1" si="238"/>
        <v>1320000.0000000075</v>
      </c>
      <c r="BQ557">
        <f t="shared" ca="1" si="239"/>
        <v>0</v>
      </c>
      <c r="BR557">
        <f ca="1">IF(ROW()&lt;($C$7+1),"",IFERROR((分析データ!F557-AVERAGE(OFFSET(分析データ!F$1,MAX(1,ROW()-$C$7),0,MIN($C$7,ROW()-1),1)))/STDEV(OFFSET(分析データ!F$1,MAX(1,ROW()-$C$7),0,MIN($C$7,ROW()-1),1)),0))</f>
        <v>0.21265449531224812</v>
      </c>
      <c r="BS557">
        <f t="shared" ca="1" si="240"/>
        <v>0</v>
      </c>
      <c r="BT557" t="str">
        <f ca="1">IF(BS557=1,IF(INDEX(分析データ!$A:$A,ROW()+$C$5)&lt;&gt;"",40000*SIGN(BR557)*(分析データ!F557-INDEX(分析データ!F:F,ROW()+$C$5)),""),"")</f>
        <v/>
      </c>
      <c r="BU557">
        <f t="shared" ca="1" si="241"/>
        <v>3534799.9999999953</v>
      </c>
      <c r="BV557">
        <f t="shared" ca="1" si="242"/>
        <v>3534799.9999999953</v>
      </c>
      <c r="BW557">
        <f t="shared" ca="1" si="243"/>
        <v>0</v>
      </c>
      <c r="BX557">
        <f ca="1">IF(ROW()&lt;($C$7+1),"",IFERROR((分析データ!G557-AVERAGE(OFFSET(分析データ!G$1,MAX(1,ROW()-$C$7),0,MIN($C$7,ROW()-1),1)))/STDEV(OFFSET(分析データ!G$1,MAX(1,ROW()-$C$7),0,MIN($C$7,ROW()-1),1)),0))</f>
        <v>1.7860642257025441</v>
      </c>
      <c r="BY557">
        <f t="shared" ca="1" si="244"/>
        <v>0</v>
      </c>
      <c r="BZ557" t="str">
        <f ca="1">IF(BY557=1,IF(INDEX(分析データ!$A:$A,ROW()+$C$5)&lt;&gt;"",40000*SIGN(BX557)*(分析データ!G557-INDEX(分析データ!G:G,ROW()+$C$5)),""),"")</f>
        <v/>
      </c>
      <c r="CA557">
        <f t="shared" ca="1" si="245"/>
        <v>10836735.708007813</v>
      </c>
      <c r="CB557">
        <f t="shared" ca="1" si="246"/>
        <v>11327520.000000004</v>
      </c>
      <c r="CC557">
        <f t="shared" ca="1" si="247"/>
        <v>-490784.29199219123</v>
      </c>
      <c r="CD557">
        <f t="shared" ca="1" si="248"/>
        <v>0</v>
      </c>
      <c r="CE557">
        <f t="shared" ca="1" si="249"/>
        <v>13115535.708007844</v>
      </c>
      <c r="CF557">
        <f t="shared" ca="1" si="250"/>
        <v>13606320.000000035</v>
      </c>
      <c r="CG557">
        <f t="shared" ca="1" si="251"/>
        <v>-490784.29199219123</v>
      </c>
      <c r="CH557" s="10">
        <f>分析データ!A557</f>
        <v>45740</v>
      </c>
    </row>
    <row r="558" spans="46:86">
      <c r="AT558">
        <f ca="1">IF(ROW()&lt;($C$7+1),"",IFERROR((分析データ!B558-AVERAGE(OFFSET(分析データ!B$1,MAX(1,ROW()-$C$7),0,MIN($C$7,ROW()-1),1)))/STDEV(OFFSET(分析データ!B$1,MAX(1,ROW()-$C$7),0,MIN($C$7,ROW()-1),1)),0))</f>
        <v>1.0659675976307774</v>
      </c>
      <c r="AU558">
        <f t="shared" ca="1" si="224"/>
        <v>0</v>
      </c>
      <c r="AV558" t="str">
        <f ca="1">IF(AU558=1,IF(INDEX(分析データ!$A:$A,ROW()+$C$5)&lt;&gt;"",80000*SIGN(AT558)*(分析データ!B558-INDEX(分析データ!B:B,ROW()+$C$5)),""),"")</f>
        <v/>
      </c>
      <c r="AW558">
        <f t="shared" ca="1" si="225"/>
        <v>-4999999.9999999925</v>
      </c>
      <c r="AX558">
        <f t="shared" ca="1" si="226"/>
        <v>0</v>
      </c>
      <c r="AY558">
        <f t="shared" ca="1" si="227"/>
        <v>-4999999.9999999925</v>
      </c>
      <c r="AZ558">
        <f ca="1">IF(ROW()&lt;($C$7+1),"",IFERROR((分析データ!C558-AVERAGE(OFFSET(分析データ!C$1,MAX(1,ROW()-$C$7),0,MIN($C$7,ROW()-1),1)))/STDEV(OFFSET(分析データ!C$1,MAX(1,ROW()-$C$7),0,MIN($C$7,ROW()-1),1)),0))</f>
        <v>1.9187777718437635</v>
      </c>
      <c r="BA558">
        <f t="shared" ca="1" si="228"/>
        <v>0</v>
      </c>
      <c r="BB558" t="str">
        <f ca="1">IF(BA558=1,IF(INDEX(分析データ!$A:$A,ROW()+$C$5)&lt;&gt;"",60000*SIGN(AZ558)*(分析データ!C558-INDEX(分析データ!C:C,ROW()+$C$5)),""),"")</f>
        <v/>
      </c>
      <c r="BC558">
        <f t="shared" ca="1" si="229"/>
        <v>2229000.0000000088</v>
      </c>
      <c r="BD558">
        <f t="shared" ca="1" si="230"/>
        <v>2229000.0000000088</v>
      </c>
      <c r="BE558">
        <f t="shared" ca="1" si="231"/>
        <v>0</v>
      </c>
      <c r="BF558">
        <f ca="1">IF(ROW()&lt;($C$7+1),"",IFERROR((分析データ!D558-AVERAGE(OFFSET(分析データ!D$1,MAX(1,ROW()-$C$7),0,MIN($C$7,ROW()-1),1)))/STDEV(OFFSET(分析データ!D$1,MAX(1,ROW()-$C$7),0,MIN($C$7,ROW()-1),1)),0))</f>
        <v>-1.7946058368627449</v>
      </c>
      <c r="BG558">
        <f t="shared" ca="1" si="232"/>
        <v>0</v>
      </c>
      <c r="BH558" t="str">
        <f ca="1">IF(BG558=1,IF(INDEX(分析データ!$A:$A,ROW()+$C$5)&lt;&gt;"",50000*SIGN(BF558)*(分析データ!D558-INDEX(分析データ!D:D,ROW()+$C$5)),""),"")</f>
        <v/>
      </c>
      <c r="BI558">
        <f t="shared" ca="1" si="233"/>
        <v>195000.00000000582</v>
      </c>
      <c r="BJ558">
        <f t="shared" ca="1" si="234"/>
        <v>1695000.0000000016</v>
      </c>
      <c r="BK558">
        <f t="shared" ca="1" si="235"/>
        <v>-1499999.9999999958</v>
      </c>
      <c r="BL558">
        <f ca="1">IF(ROW()&lt;($C$7+1),"",IFERROR((分析データ!E558-AVERAGE(OFFSET(分析データ!E$1,MAX(1,ROW()-$C$7),0,MIN($C$7,ROW()-1),1)))/STDEV(OFFSET(分析データ!E$1,MAX(1,ROW()-$C$7),0,MIN($C$7,ROW()-1),1)),0))</f>
        <v>1.3268574345276252</v>
      </c>
      <c r="BM558">
        <f t="shared" ca="1" si="236"/>
        <v>0</v>
      </c>
      <c r="BN558" t="str">
        <f ca="1">IF(BM558=1,IF(INDEX(分析データ!$A:$A,ROW()+$C$5)&lt;&gt;"",40000*SIGN(BL558)*(分析データ!E558-INDEX(分析データ!E:E,ROW()+$C$5)),""),"")</f>
        <v/>
      </c>
      <c r="BO558">
        <f t="shared" ca="1" si="237"/>
        <v>1320000.0000000075</v>
      </c>
      <c r="BP558">
        <f t="shared" ca="1" si="238"/>
        <v>1320000.0000000075</v>
      </c>
      <c r="BQ558">
        <f t="shared" ca="1" si="239"/>
        <v>0</v>
      </c>
      <c r="BR558">
        <f ca="1">IF(ROW()&lt;($C$7+1),"",IFERROR((分析データ!F558-AVERAGE(OFFSET(分析データ!F$1,MAX(1,ROW()-$C$7),0,MIN($C$7,ROW()-1),1)))/STDEV(OFFSET(分析データ!F$1,MAX(1,ROW()-$C$7),0,MIN($C$7,ROW()-1),1)),0))</f>
        <v>0.39525357362283614</v>
      </c>
      <c r="BS558">
        <f t="shared" ca="1" si="240"/>
        <v>0</v>
      </c>
      <c r="BT558" t="str">
        <f ca="1">IF(BS558=1,IF(INDEX(分析データ!$A:$A,ROW()+$C$5)&lt;&gt;"",40000*SIGN(BR558)*(分析データ!F558-INDEX(分析データ!F:F,ROW()+$C$5)),""),"")</f>
        <v/>
      </c>
      <c r="BU558">
        <f t="shared" ca="1" si="241"/>
        <v>3534799.9999999953</v>
      </c>
      <c r="BV558">
        <f t="shared" ca="1" si="242"/>
        <v>3534799.9999999953</v>
      </c>
      <c r="BW558">
        <f t="shared" ca="1" si="243"/>
        <v>0</v>
      </c>
      <c r="BX558">
        <f ca="1">IF(ROW()&lt;($C$7+1),"",IFERROR((分析データ!G558-AVERAGE(OFFSET(分析データ!G$1,MAX(1,ROW()-$C$7),0,MIN($C$7,ROW()-1),1)))/STDEV(OFFSET(分析データ!G$1,MAX(1,ROW()-$C$7),0,MIN($C$7,ROW()-1),1)),0))</f>
        <v>2.0787465859169032</v>
      </c>
      <c r="BY558">
        <f t="shared" ca="1" si="244"/>
        <v>1</v>
      </c>
      <c r="BZ558">
        <f ca="1">IF(BY558=1,IF(INDEX(分析データ!$A:$A,ROW()+$C$5)&lt;&gt;"",40000*SIGN(BX558)*(分析データ!G558-INDEX(分析データ!G:G,ROW()+$C$5)),""),"")</f>
        <v>-1338440.0000000028</v>
      </c>
      <c r="CA558">
        <f t="shared" ca="1" si="245"/>
        <v>9498295.7080078088</v>
      </c>
      <c r="CB558">
        <f t="shared" ca="1" si="246"/>
        <v>11327520.000000004</v>
      </c>
      <c r="CC558">
        <f t="shared" ca="1" si="247"/>
        <v>-1829224.291992195</v>
      </c>
      <c r="CD558">
        <f t="shared" ca="1" si="248"/>
        <v>-1338440.0000000028</v>
      </c>
      <c r="CE558">
        <f t="shared" ca="1" si="249"/>
        <v>11777095.708007842</v>
      </c>
      <c r="CF558">
        <f t="shared" ca="1" si="250"/>
        <v>13606320.000000035</v>
      </c>
      <c r="CG558">
        <f t="shared" ca="1" si="251"/>
        <v>-1829224.2919921931</v>
      </c>
      <c r="CH558" s="10">
        <f>分析データ!A558</f>
        <v>45741</v>
      </c>
    </row>
    <row r="559" spans="46:86">
      <c r="AT559">
        <f ca="1">IF(ROW()&lt;($C$7+1),"",IFERROR((分析データ!B559-AVERAGE(OFFSET(分析データ!B$1,MAX(1,ROW()-$C$7),0,MIN($C$7,ROW()-1),1)))/STDEV(OFFSET(分析データ!B$1,MAX(1,ROW()-$C$7),0,MIN($C$7,ROW()-1),1)),0))</f>
        <v>1.1419241742723554</v>
      </c>
      <c r="AU559">
        <f t="shared" ca="1" si="224"/>
        <v>0</v>
      </c>
      <c r="AV559" t="str">
        <f ca="1">IF(AU559=1,IF(INDEX(分析データ!$A:$A,ROW()+$C$5)&lt;&gt;"",80000*SIGN(AT559)*(分析データ!B559-INDEX(分析データ!B:B,ROW()+$C$5)),""),"")</f>
        <v/>
      </c>
      <c r="AW559">
        <f t="shared" ca="1" si="225"/>
        <v>-4999999.9999999925</v>
      </c>
      <c r="AX559">
        <f t="shared" ca="1" si="226"/>
        <v>0</v>
      </c>
      <c r="AY559">
        <f t="shared" ca="1" si="227"/>
        <v>-4999999.9999999925</v>
      </c>
      <c r="AZ559">
        <f ca="1">IF(ROW()&lt;($C$7+1),"",IFERROR((分析データ!C559-AVERAGE(OFFSET(分析データ!C$1,MAX(1,ROW()-$C$7),0,MIN($C$7,ROW()-1),1)))/STDEV(OFFSET(分析データ!C$1,MAX(1,ROW()-$C$7),0,MIN($C$7,ROW()-1),1)),0))</f>
        <v>1.9220988089755318</v>
      </c>
      <c r="BA559">
        <f t="shared" ca="1" si="228"/>
        <v>0</v>
      </c>
      <c r="BB559" t="str">
        <f ca="1">IF(BA559=1,IF(INDEX(分析データ!$A:$A,ROW()+$C$5)&lt;&gt;"",60000*SIGN(AZ559)*(分析データ!C559-INDEX(分析データ!C:C,ROW()+$C$5)),""),"")</f>
        <v/>
      </c>
      <c r="BC559">
        <f t="shared" ca="1" si="229"/>
        <v>2229000.0000000088</v>
      </c>
      <c r="BD559">
        <f t="shared" ca="1" si="230"/>
        <v>2229000.0000000088</v>
      </c>
      <c r="BE559">
        <f t="shared" ca="1" si="231"/>
        <v>0</v>
      </c>
      <c r="BF559">
        <f ca="1">IF(ROW()&lt;($C$7+1),"",IFERROR((分析データ!D559-AVERAGE(OFFSET(分析データ!D$1,MAX(1,ROW()-$C$7),0,MIN($C$7,ROW()-1),1)))/STDEV(OFFSET(分析データ!D$1,MAX(1,ROW()-$C$7),0,MIN($C$7,ROW()-1),1)),0))</f>
        <v>-1.6517857674186271</v>
      </c>
      <c r="BG559">
        <f t="shared" ca="1" si="232"/>
        <v>0</v>
      </c>
      <c r="BH559" t="str">
        <f ca="1">IF(BG559=1,IF(INDEX(分析データ!$A:$A,ROW()+$C$5)&lt;&gt;"",50000*SIGN(BF559)*(分析データ!D559-INDEX(分析データ!D:D,ROW()+$C$5)),""),"")</f>
        <v/>
      </c>
      <c r="BI559">
        <f t="shared" ca="1" si="233"/>
        <v>195000.00000000582</v>
      </c>
      <c r="BJ559">
        <f t="shared" ca="1" si="234"/>
        <v>1695000.0000000016</v>
      </c>
      <c r="BK559">
        <f t="shared" ca="1" si="235"/>
        <v>-1499999.9999999958</v>
      </c>
      <c r="BL559">
        <f ca="1">IF(ROW()&lt;($C$7+1),"",IFERROR((分析データ!E559-AVERAGE(OFFSET(分析データ!E$1,MAX(1,ROW()-$C$7),0,MIN($C$7,ROW()-1),1)))/STDEV(OFFSET(分析データ!E$1,MAX(1,ROW()-$C$7),0,MIN($C$7,ROW()-1),1)),0))</f>
        <v>1.6378654130069108</v>
      </c>
      <c r="BM559">
        <f t="shared" ca="1" si="236"/>
        <v>0</v>
      </c>
      <c r="BN559" t="str">
        <f ca="1">IF(BM559=1,IF(INDEX(分析データ!$A:$A,ROW()+$C$5)&lt;&gt;"",40000*SIGN(BL559)*(分析データ!E559-INDEX(分析データ!E:E,ROW()+$C$5)),""),"")</f>
        <v/>
      </c>
      <c r="BO559">
        <f t="shared" ca="1" si="237"/>
        <v>1320000.0000000075</v>
      </c>
      <c r="BP559">
        <f t="shared" ca="1" si="238"/>
        <v>1320000.0000000075</v>
      </c>
      <c r="BQ559">
        <f t="shared" ca="1" si="239"/>
        <v>0</v>
      </c>
      <c r="BR559">
        <f ca="1">IF(ROW()&lt;($C$7+1),"",IFERROR((分析データ!F559-AVERAGE(OFFSET(分析データ!F$1,MAX(1,ROW()-$C$7),0,MIN($C$7,ROW()-1),1)))/STDEV(OFFSET(分析データ!F$1,MAX(1,ROW()-$C$7),0,MIN($C$7,ROW()-1),1)),0))</f>
        <v>0.40251896949776589</v>
      </c>
      <c r="BS559">
        <f t="shared" ca="1" si="240"/>
        <v>0</v>
      </c>
      <c r="BT559" t="str">
        <f ca="1">IF(BS559=1,IF(INDEX(分析データ!$A:$A,ROW()+$C$5)&lt;&gt;"",40000*SIGN(BR559)*(分析データ!F559-INDEX(分析データ!F:F,ROW()+$C$5)),""),"")</f>
        <v/>
      </c>
      <c r="BU559">
        <f t="shared" ca="1" si="241"/>
        <v>3534799.9999999953</v>
      </c>
      <c r="BV559">
        <f t="shared" ca="1" si="242"/>
        <v>3534799.9999999953</v>
      </c>
      <c r="BW559">
        <f t="shared" ca="1" si="243"/>
        <v>0</v>
      </c>
      <c r="BX559">
        <f ca="1">IF(ROW()&lt;($C$7+1),"",IFERROR((分析データ!G559-AVERAGE(OFFSET(分析データ!G$1,MAX(1,ROW()-$C$7),0,MIN($C$7,ROW()-1),1)))/STDEV(OFFSET(分析データ!G$1,MAX(1,ROW()-$C$7),0,MIN($C$7,ROW()-1),1)),0))</f>
        <v>2.1943754720726854</v>
      </c>
      <c r="BY559">
        <f t="shared" ca="1" si="244"/>
        <v>1</v>
      </c>
      <c r="BZ559">
        <f ca="1">IF(BY559=1,IF(INDEX(分析データ!$A:$A,ROW()+$C$5)&lt;&gt;"",40000*SIGN(BX559)*(分析データ!G559-INDEX(分析データ!G:G,ROW()+$C$5)),""),"")</f>
        <v>-129967.14355468441</v>
      </c>
      <c r="CA559">
        <f t="shared" ca="1" si="245"/>
        <v>9368328.564453125</v>
      </c>
      <c r="CB559">
        <f t="shared" ca="1" si="246"/>
        <v>11327520.000000004</v>
      </c>
      <c r="CC559">
        <f t="shared" ca="1" si="247"/>
        <v>-1959191.4355468787</v>
      </c>
      <c r="CD559">
        <f t="shared" ca="1" si="248"/>
        <v>-129967.14355468441</v>
      </c>
      <c r="CE559">
        <f t="shared" ca="1" si="249"/>
        <v>11647128.564453159</v>
      </c>
      <c r="CF559">
        <f t="shared" ca="1" si="250"/>
        <v>13606320.000000035</v>
      </c>
      <c r="CG559">
        <f t="shared" ca="1" si="251"/>
        <v>-1959191.4355468769</v>
      </c>
      <c r="CH559" s="10">
        <f>分析データ!A559</f>
        <v>45742</v>
      </c>
    </row>
    <row r="560" spans="46:86">
      <c r="AT560">
        <f ca="1">IF(ROW()&lt;($C$7+1),"",IFERROR((分析データ!B560-AVERAGE(OFFSET(分析データ!B$1,MAX(1,ROW()-$C$7),0,MIN($C$7,ROW()-1),1)))/STDEV(OFFSET(分析データ!B$1,MAX(1,ROW()-$C$7),0,MIN($C$7,ROW()-1),1)),0))</f>
        <v>1.259459554994798</v>
      </c>
      <c r="AU560">
        <f t="shared" ca="1" si="224"/>
        <v>0</v>
      </c>
      <c r="AV560" t="str">
        <f ca="1">IF(AU560=1,IF(INDEX(分析データ!$A:$A,ROW()+$C$5)&lt;&gt;"",80000*SIGN(AT560)*(分析データ!B560-INDEX(分析データ!B:B,ROW()+$C$5)),""),"")</f>
        <v/>
      </c>
      <c r="AW560">
        <f t="shared" ca="1" si="225"/>
        <v>-4999999.9999999925</v>
      </c>
      <c r="AX560">
        <f t="shared" ca="1" si="226"/>
        <v>0</v>
      </c>
      <c r="AY560">
        <f t="shared" ca="1" si="227"/>
        <v>-4999999.9999999925</v>
      </c>
      <c r="AZ560">
        <f ca="1">IF(ROW()&lt;($C$7+1),"",IFERROR((分析データ!C560-AVERAGE(OFFSET(分析データ!C$1,MAX(1,ROW()-$C$7),0,MIN($C$7,ROW()-1),1)))/STDEV(OFFSET(分析データ!C$1,MAX(1,ROW()-$C$7),0,MIN($C$7,ROW()-1),1)),0))</f>
        <v>2.0622198930842934</v>
      </c>
      <c r="BA560">
        <f t="shared" ca="1" si="228"/>
        <v>1</v>
      </c>
      <c r="BB560">
        <f ca="1">IF(BA560=1,IF(INDEX(分析データ!$A:$A,ROW()+$C$5)&lt;&gt;"",60000*SIGN(AZ560)*(分析データ!C560-INDEX(分析データ!C:C,ROW()+$C$5)),""),"")</f>
        <v>846000.0000000014</v>
      </c>
      <c r="BC560">
        <f t="shared" ca="1" si="229"/>
        <v>3075000.0000000102</v>
      </c>
      <c r="BD560">
        <f t="shared" ca="1" si="230"/>
        <v>3075000.0000000102</v>
      </c>
      <c r="BE560">
        <f t="shared" ca="1" si="231"/>
        <v>0</v>
      </c>
      <c r="BF560">
        <f ca="1">IF(ROW()&lt;($C$7+1),"",IFERROR((分析データ!D560-AVERAGE(OFFSET(分析データ!D$1,MAX(1,ROW()-$C$7),0,MIN($C$7,ROW()-1),1)))/STDEV(OFFSET(分析データ!D$1,MAX(1,ROW()-$C$7),0,MIN($C$7,ROW()-1),1)),0))</f>
        <v>-1.5469447796421238</v>
      </c>
      <c r="BG560">
        <f t="shared" ca="1" si="232"/>
        <v>0</v>
      </c>
      <c r="BH560" t="str">
        <f ca="1">IF(BG560=1,IF(INDEX(分析データ!$A:$A,ROW()+$C$5)&lt;&gt;"",50000*SIGN(BF560)*(分析データ!D560-INDEX(分析データ!D:D,ROW()+$C$5)),""),"")</f>
        <v/>
      </c>
      <c r="BI560">
        <f t="shared" ca="1" si="233"/>
        <v>195000.00000000582</v>
      </c>
      <c r="BJ560">
        <f t="shared" ca="1" si="234"/>
        <v>1695000.0000000016</v>
      </c>
      <c r="BK560">
        <f t="shared" ca="1" si="235"/>
        <v>-1499999.9999999958</v>
      </c>
      <c r="BL560">
        <f ca="1">IF(ROW()&lt;($C$7+1),"",IFERROR((分析データ!E560-AVERAGE(OFFSET(分析データ!E$1,MAX(1,ROW()-$C$7),0,MIN($C$7,ROW()-1),1)))/STDEV(OFFSET(分析データ!E$1,MAX(1,ROW()-$C$7),0,MIN($C$7,ROW()-1),1)),0))</f>
        <v>1.8351497377677859</v>
      </c>
      <c r="BM560">
        <f t="shared" ca="1" si="236"/>
        <v>0</v>
      </c>
      <c r="BN560" t="str">
        <f ca="1">IF(BM560=1,IF(INDEX(分析データ!$A:$A,ROW()+$C$5)&lt;&gt;"",40000*SIGN(BL560)*(分析データ!E560-INDEX(分析データ!E:E,ROW()+$C$5)),""),"")</f>
        <v/>
      </c>
      <c r="BO560">
        <f t="shared" ca="1" si="237"/>
        <v>1320000.0000000075</v>
      </c>
      <c r="BP560">
        <f t="shared" ca="1" si="238"/>
        <v>1320000.0000000075</v>
      </c>
      <c r="BQ560">
        <f t="shared" ca="1" si="239"/>
        <v>0</v>
      </c>
      <c r="BR560">
        <f ca="1">IF(ROW()&lt;($C$7+1),"",IFERROR((分析データ!F560-AVERAGE(OFFSET(分析データ!F$1,MAX(1,ROW()-$C$7),0,MIN($C$7,ROW()-1),1)))/STDEV(OFFSET(分析データ!F$1,MAX(1,ROW()-$C$7),0,MIN($C$7,ROW()-1),1)),0))</f>
        <v>0.10272747847326202</v>
      </c>
      <c r="BS560">
        <f t="shared" ca="1" si="240"/>
        <v>0</v>
      </c>
      <c r="BT560" t="str">
        <f ca="1">IF(BS560=1,IF(INDEX(分析データ!$A:$A,ROW()+$C$5)&lt;&gt;"",40000*SIGN(BR560)*(分析データ!F560-INDEX(分析データ!F:F,ROW()+$C$5)),""),"")</f>
        <v/>
      </c>
      <c r="BU560">
        <f t="shared" ca="1" si="241"/>
        <v>3534799.9999999953</v>
      </c>
      <c r="BV560">
        <f t="shared" ca="1" si="242"/>
        <v>3534799.9999999953</v>
      </c>
      <c r="BW560">
        <f t="shared" ca="1" si="243"/>
        <v>0</v>
      </c>
      <c r="BX560">
        <f ca="1">IF(ROW()&lt;($C$7+1),"",IFERROR((分析データ!G560-AVERAGE(OFFSET(分析データ!G$1,MAX(1,ROW()-$C$7),0,MIN($C$7,ROW()-1),1)))/STDEV(OFFSET(分析データ!G$1,MAX(1,ROW()-$C$7),0,MIN($C$7,ROW()-1),1)),0))</f>
        <v>2.1112597655586969</v>
      </c>
      <c r="BY560">
        <f t="shared" ca="1" si="244"/>
        <v>1</v>
      </c>
      <c r="BZ560">
        <f ca="1">IF(BY560=1,IF(INDEX(分析データ!$A:$A,ROW()+$C$5)&lt;&gt;"",40000*SIGN(BX560)*(分析データ!G560-INDEX(分析データ!G:G,ROW()+$C$5)),""),"")</f>
        <v>-2391072.8564453176</v>
      </c>
      <c r="CA560">
        <f t="shared" ca="1" si="245"/>
        <v>6977255.7080078069</v>
      </c>
      <c r="CB560">
        <f t="shared" ca="1" si="246"/>
        <v>11327520.000000004</v>
      </c>
      <c r="CC560">
        <f t="shared" ca="1" si="247"/>
        <v>-4350264.2919921968</v>
      </c>
      <c r="CD560">
        <f t="shared" ca="1" si="248"/>
        <v>-1545072.8564453162</v>
      </c>
      <c r="CE560">
        <f t="shared" ca="1" si="249"/>
        <v>10102055.708007842</v>
      </c>
      <c r="CF560">
        <f t="shared" ca="1" si="250"/>
        <v>13606320.000000035</v>
      </c>
      <c r="CG560">
        <f t="shared" ca="1" si="251"/>
        <v>-3504264.2919921931</v>
      </c>
      <c r="CH560" s="10">
        <f>分析データ!A560</f>
        <v>45743</v>
      </c>
    </row>
    <row r="561" spans="46:86">
      <c r="AT561">
        <f ca="1">IF(ROW()&lt;($C$7+1),"",IFERROR((分析データ!B561-AVERAGE(OFFSET(分析データ!B$1,MAX(1,ROW()-$C$7),0,MIN($C$7,ROW()-1),1)))/STDEV(OFFSET(分析データ!B$1,MAX(1,ROW()-$C$7),0,MIN($C$7,ROW()-1),1)),0))</f>
        <v>1.0386149729191561</v>
      </c>
      <c r="AU561">
        <f t="shared" ca="1" si="224"/>
        <v>0</v>
      </c>
      <c r="AV561" t="str">
        <f ca="1">IF(AU561=1,IF(INDEX(分析データ!$A:$A,ROW()+$C$5)&lt;&gt;"",80000*SIGN(AT561)*(分析データ!B561-INDEX(分析データ!B:B,ROW()+$C$5)),""),"")</f>
        <v/>
      </c>
      <c r="AW561">
        <f t="shared" ca="1" si="225"/>
        <v>-4999999.9999999925</v>
      </c>
      <c r="AX561">
        <f t="shared" ca="1" si="226"/>
        <v>0</v>
      </c>
      <c r="AY561">
        <f t="shared" ca="1" si="227"/>
        <v>-4999999.9999999925</v>
      </c>
      <c r="AZ561">
        <f ca="1">IF(ROW()&lt;($C$7+1),"",IFERROR((分析データ!C561-AVERAGE(OFFSET(分析データ!C$1,MAX(1,ROW()-$C$7),0,MIN($C$7,ROW()-1),1)))/STDEV(OFFSET(分析データ!C$1,MAX(1,ROW()-$C$7),0,MIN($C$7,ROW()-1),1)),0))</f>
        <v>1.9374880556784524</v>
      </c>
      <c r="BA561">
        <f t="shared" ca="1" si="228"/>
        <v>0</v>
      </c>
      <c r="BB561" t="str">
        <f ca="1">IF(BA561=1,IF(INDEX(分析データ!$A:$A,ROW()+$C$5)&lt;&gt;"",60000*SIGN(AZ561)*(分析データ!C561-INDEX(分析データ!C:C,ROW()+$C$5)),""),"")</f>
        <v/>
      </c>
      <c r="BC561">
        <f t="shared" ca="1" si="229"/>
        <v>3075000.0000000102</v>
      </c>
      <c r="BD561">
        <f t="shared" ca="1" si="230"/>
        <v>3075000.0000000102</v>
      </c>
      <c r="BE561">
        <f t="shared" ca="1" si="231"/>
        <v>0</v>
      </c>
      <c r="BF561">
        <f ca="1">IF(ROW()&lt;($C$7+1),"",IFERROR((分析データ!D561-AVERAGE(OFFSET(分析データ!D$1,MAX(1,ROW()-$C$7),0,MIN($C$7,ROW()-1),1)))/STDEV(OFFSET(分析データ!D$1,MAX(1,ROW()-$C$7),0,MIN($C$7,ROW()-1),1)),0))</f>
        <v>-1.7898207675108562</v>
      </c>
      <c r="BG561">
        <f t="shared" ca="1" si="232"/>
        <v>0</v>
      </c>
      <c r="BH561" t="str">
        <f ca="1">IF(BG561=1,IF(INDEX(分析データ!$A:$A,ROW()+$C$5)&lt;&gt;"",50000*SIGN(BF561)*(分析データ!D561-INDEX(分析データ!D:D,ROW()+$C$5)),""),"")</f>
        <v/>
      </c>
      <c r="BI561">
        <f t="shared" ca="1" si="233"/>
        <v>195000.00000000582</v>
      </c>
      <c r="BJ561">
        <f t="shared" ca="1" si="234"/>
        <v>1695000.0000000016</v>
      </c>
      <c r="BK561">
        <f t="shared" ca="1" si="235"/>
        <v>-1499999.9999999958</v>
      </c>
      <c r="BL561">
        <f ca="1">IF(ROW()&lt;($C$7+1),"",IFERROR((分析データ!E561-AVERAGE(OFFSET(分析データ!E$1,MAX(1,ROW()-$C$7),0,MIN($C$7,ROW()-1),1)))/STDEV(OFFSET(分析データ!E$1,MAX(1,ROW()-$C$7),0,MIN($C$7,ROW()-1),1)),0))</f>
        <v>1.8157693350778863</v>
      </c>
      <c r="BM561">
        <f t="shared" ca="1" si="236"/>
        <v>0</v>
      </c>
      <c r="BN561" t="str">
        <f ca="1">IF(BM561=1,IF(INDEX(分析データ!$A:$A,ROW()+$C$5)&lt;&gt;"",40000*SIGN(BL561)*(分析データ!E561-INDEX(分析データ!E:E,ROW()+$C$5)),""),"")</f>
        <v/>
      </c>
      <c r="BO561">
        <f t="shared" ca="1" si="237"/>
        <v>1320000.0000000075</v>
      </c>
      <c r="BP561">
        <f t="shared" ca="1" si="238"/>
        <v>1320000.0000000075</v>
      </c>
      <c r="BQ561">
        <f t="shared" ca="1" si="239"/>
        <v>0</v>
      </c>
      <c r="BR561">
        <f ca="1">IF(ROW()&lt;($C$7+1),"",IFERROR((分析データ!F561-AVERAGE(OFFSET(分析データ!F$1,MAX(1,ROW()-$C$7),0,MIN($C$7,ROW()-1),1)))/STDEV(OFFSET(分析データ!F$1,MAX(1,ROW()-$C$7),0,MIN($C$7,ROW()-1),1)),0))</f>
        <v>0.69551801180310036</v>
      </c>
      <c r="BS561">
        <f t="shared" ca="1" si="240"/>
        <v>0</v>
      </c>
      <c r="BT561" t="str">
        <f ca="1">IF(BS561=1,IF(INDEX(分析データ!$A:$A,ROW()+$C$5)&lt;&gt;"",40000*SIGN(BR561)*(分析データ!F561-INDEX(分析データ!F:F,ROW()+$C$5)),""),"")</f>
        <v/>
      </c>
      <c r="BU561">
        <f t="shared" ca="1" si="241"/>
        <v>3534799.9999999953</v>
      </c>
      <c r="BV561">
        <f t="shared" ca="1" si="242"/>
        <v>3534799.9999999953</v>
      </c>
      <c r="BW561">
        <f t="shared" ca="1" si="243"/>
        <v>0</v>
      </c>
      <c r="BX561">
        <f ca="1">IF(ROW()&lt;($C$7+1),"",IFERROR((分析データ!G561-AVERAGE(OFFSET(分析データ!G$1,MAX(1,ROW()-$C$7),0,MIN($C$7,ROW()-1),1)))/STDEV(OFFSET(分析データ!G$1,MAX(1,ROW()-$C$7),0,MIN($C$7,ROW()-1),1)),0))</f>
        <v>1.6997505739911831</v>
      </c>
      <c r="BY561">
        <f t="shared" ca="1" si="244"/>
        <v>0</v>
      </c>
      <c r="BZ561" t="str">
        <f ca="1">IF(BY561=1,IF(INDEX(分析データ!$A:$A,ROW()+$C$5)&lt;&gt;"",40000*SIGN(BX561)*(分析データ!G561-INDEX(分析データ!G:G,ROW()+$C$5)),""),"")</f>
        <v/>
      </c>
      <c r="CA561">
        <f t="shared" ca="1" si="245"/>
        <v>6977255.7080078069</v>
      </c>
      <c r="CB561">
        <f t="shared" ca="1" si="246"/>
        <v>11327520.000000004</v>
      </c>
      <c r="CC561">
        <f t="shared" ca="1" si="247"/>
        <v>-4350264.2919921968</v>
      </c>
      <c r="CD561">
        <f t="shared" ca="1" si="248"/>
        <v>0</v>
      </c>
      <c r="CE561">
        <f t="shared" ca="1" si="249"/>
        <v>10102055.708007842</v>
      </c>
      <c r="CF561">
        <f t="shared" ca="1" si="250"/>
        <v>13606320.000000035</v>
      </c>
      <c r="CG561">
        <f t="shared" ca="1" si="251"/>
        <v>-3504264.2919921931</v>
      </c>
      <c r="CH561" s="10">
        <f>分析データ!A561</f>
        <v>45744</v>
      </c>
    </row>
    <row r="562" spans="46:86">
      <c r="AT562">
        <f ca="1">IF(ROW()&lt;($C$7+1),"",IFERROR((分析データ!B562-AVERAGE(OFFSET(分析データ!B$1,MAX(1,ROW()-$C$7),0,MIN($C$7,ROW()-1),1)))/STDEV(OFFSET(分析データ!B$1,MAX(1,ROW()-$C$7),0,MIN($C$7,ROW()-1),1)),0))</f>
        <v>0.90386470027325483</v>
      </c>
      <c r="AU562">
        <f t="shared" ca="1" si="224"/>
        <v>0</v>
      </c>
      <c r="AV562" t="str">
        <f ca="1">IF(AU562=1,IF(INDEX(分析データ!$A:$A,ROW()+$C$5)&lt;&gt;"",80000*SIGN(AT562)*(分析データ!B562-INDEX(分析データ!B:B,ROW()+$C$5)),""),"")</f>
        <v/>
      </c>
      <c r="AW562">
        <f t="shared" ca="1" si="225"/>
        <v>-4999999.9999999925</v>
      </c>
      <c r="AX562">
        <f t="shared" ca="1" si="226"/>
        <v>0</v>
      </c>
      <c r="AY562">
        <f t="shared" ca="1" si="227"/>
        <v>-4999999.9999999925</v>
      </c>
      <c r="AZ562">
        <f ca="1">IF(ROW()&lt;($C$7+1),"",IFERROR((分析データ!C562-AVERAGE(OFFSET(分析データ!C$1,MAX(1,ROW()-$C$7),0,MIN($C$7,ROW()-1),1)))/STDEV(OFFSET(分析データ!C$1,MAX(1,ROW()-$C$7),0,MIN($C$7,ROW()-1),1)),0))</f>
        <v>1.3502792954773462</v>
      </c>
      <c r="BA562">
        <f t="shared" ca="1" si="228"/>
        <v>0</v>
      </c>
      <c r="BB562" t="str">
        <f ca="1">IF(BA562=1,IF(INDEX(分析データ!$A:$A,ROW()+$C$5)&lt;&gt;"",60000*SIGN(AZ562)*(分析データ!C562-INDEX(分析データ!C:C,ROW()+$C$5)),""),"")</f>
        <v/>
      </c>
      <c r="BC562">
        <f t="shared" ca="1" si="229"/>
        <v>3075000.0000000102</v>
      </c>
      <c r="BD562">
        <f t="shared" ca="1" si="230"/>
        <v>3075000.0000000102</v>
      </c>
      <c r="BE562">
        <f t="shared" ca="1" si="231"/>
        <v>0</v>
      </c>
      <c r="BF562">
        <f ca="1">IF(ROW()&lt;($C$7+1),"",IFERROR((分析データ!D562-AVERAGE(OFFSET(分析データ!D$1,MAX(1,ROW()-$C$7),0,MIN($C$7,ROW()-1),1)))/STDEV(OFFSET(分析データ!D$1,MAX(1,ROW()-$C$7),0,MIN($C$7,ROW()-1),1)),0))</f>
        <v>-1.7219206085409726</v>
      </c>
      <c r="BG562">
        <f t="shared" ca="1" si="232"/>
        <v>0</v>
      </c>
      <c r="BH562" t="str">
        <f ca="1">IF(BG562=1,IF(INDEX(分析データ!$A:$A,ROW()+$C$5)&lt;&gt;"",50000*SIGN(BF562)*(分析データ!D562-INDEX(分析データ!D:D,ROW()+$C$5)),""),"")</f>
        <v/>
      </c>
      <c r="BI562">
        <f t="shared" ca="1" si="233"/>
        <v>195000.00000000582</v>
      </c>
      <c r="BJ562">
        <f t="shared" ca="1" si="234"/>
        <v>1695000.0000000016</v>
      </c>
      <c r="BK562">
        <f t="shared" ca="1" si="235"/>
        <v>-1499999.9999999958</v>
      </c>
      <c r="BL562">
        <f ca="1">IF(ROW()&lt;($C$7+1),"",IFERROR((分析データ!E562-AVERAGE(OFFSET(分析データ!E$1,MAX(1,ROW()-$C$7),0,MIN($C$7,ROW()-1),1)))/STDEV(OFFSET(分析データ!E$1,MAX(1,ROW()-$C$7),0,MIN($C$7,ROW()-1),1)),0))</f>
        <v>1.5856220381499968</v>
      </c>
      <c r="BM562">
        <f t="shared" ca="1" si="236"/>
        <v>0</v>
      </c>
      <c r="BN562" t="str">
        <f ca="1">IF(BM562=1,IF(INDEX(分析データ!$A:$A,ROW()+$C$5)&lt;&gt;"",40000*SIGN(BL562)*(分析データ!E562-INDEX(分析データ!E:E,ROW()+$C$5)),""),"")</f>
        <v/>
      </c>
      <c r="BO562">
        <f t="shared" ca="1" si="237"/>
        <v>1320000.0000000075</v>
      </c>
      <c r="BP562">
        <f t="shared" ca="1" si="238"/>
        <v>1320000.0000000075</v>
      </c>
      <c r="BQ562">
        <f t="shared" ca="1" si="239"/>
        <v>0</v>
      </c>
      <c r="BR562">
        <f ca="1">IF(ROW()&lt;($C$7+1),"",IFERROR((分析データ!F562-AVERAGE(OFFSET(分析データ!F$1,MAX(1,ROW()-$C$7),0,MIN($C$7,ROW()-1),1)))/STDEV(OFFSET(分析データ!F$1,MAX(1,ROW()-$C$7),0,MIN($C$7,ROW()-1),1)),0))</f>
        <v>0.46227306480123476</v>
      </c>
      <c r="BS562">
        <f t="shared" ca="1" si="240"/>
        <v>0</v>
      </c>
      <c r="BT562" t="str">
        <f ca="1">IF(BS562=1,IF(INDEX(分析データ!$A:$A,ROW()+$C$5)&lt;&gt;"",40000*SIGN(BR562)*(分析データ!F562-INDEX(分析データ!F:F,ROW()+$C$5)),""),"")</f>
        <v/>
      </c>
      <c r="BU562">
        <f t="shared" ca="1" si="241"/>
        <v>3534799.9999999953</v>
      </c>
      <c r="BV562">
        <f t="shared" ca="1" si="242"/>
        <v>3534799.9999999953</v>
      </c>
      <c r="BW562">
        <f t="shared" ca="1" si="243"/>
        <v>0</v>
      </c>
      <c r="BX562">
        <f ca="1">IF(ROW()&lt;($C$7+1),"",IFERROR((分析データ!G562-AVERAGE(OFFSET(分析データ!G$1,MAX(1,ROW()-$C$7),0,MIN($C$7,ROW()-1),1)))/STDEV(OFFSET(分析データ!G$1,MAX(1,ROW()-$C$7),0,MIN($C$7,ROW()-1),1)),0))</f>
        <v>1.8963191486984414</v>
      </c>
      <c r="BY562">
        <f t="shared" ca="1" si="244"/>
        <v>0</v>
      </c>
      <c r="BZ562" t="str">
        <f ca="1">IF(BY562=1,IF(INDEX(分析データ!$A:$A,ROW()+$C$5)&lt;&gt;"",40000*SIGN(BX562)*(分析データ!G562-INDEX(分析データ!G:G,ROW()+$C$5)),""),"")</f>
        <v/>
      </c>
      <c r="CA562">
        <f t="shared" ca="1" si="245"/>
        <v>6977255.7080078069</v>
      </c>
      <c r="CB562">
        <f t="shared" ca="1" si="246"/>
        <v>11327520.000000004</v>
      </c>
      <c r="CC562">
        <f t="shared" ca="1" si="247"/>
        <v>-4350264.2919921968</v>
      </c>
      <c r="CD562">
        <f t="shared" ca="1" si="248"/>
        <v>0</v>
      </c>
      <c r="CE562">
        <f t="shared" ca="1" si="249"/>
        <v>10102055.708007842</v>
      </c>
      <c r="CF562">
        <f t="shared" ca="1" si="250"/>
        <v>13606320.000000035</v>
      </c>
      <c r="CG562">
        <f t="shared" ca="1" si="251"/>
        <v>-3504264.2919921931</v>
      </c>
      <c r="CH562" s="10">
        <f>分析データ!A562</f>
        <v>45747</v>
      </c>
    </row>
    <row r="563" spans="46:86">
      <c r="AT563">
        <f ca="1">IF(ROW()&lt;($C$7+1),"",IFERROR((分析データ!B563-AVERAGE(OFFSET(分析データ!B$1,MAX(1,ROW()-$C$7),0,MIN($C$7,ROW()-1),1)))/STDEV(OFFSET(分析データ!B$1,MAX(1,ROW()-$C$7),0,MIN($C$7,ROW()-1),1)),0))</f>
        <v>0.76979669978782084</v>
      </c>
      <c r="AU563">
        <f t="shared" ca="1" si="224"/>
        <v>0</v>
      </c>
      <c r="AV563" t="str">
        <f ca="1">IF(AU563=1,IF(INDEX(分析データ!$A:$A,ROW()+$C$5)&lt;&gt;"",80000*SIGN(AT563)*(分析データ!B563-INDEX(分析データ!B:B,ROW()+$C$5)),""),"")</f>
        <v/>
      </c>
      <c r="AW563">
        <f t="shared" ca="1" si="225"/>
        <v>-4999999.9999999925</v>
      </c>
      <c r="AX563">
        <f t="shared" ca="1" si="226"/>
        <v>0</v>
      </c>
      <c r="AY563">
        <f t="shared" ca="1" si="227"/>
        <v>-4999999.9999999925</v>
      </c>
      <c r="AZ563">
        <f ca="1">IF(ROW()&lt;($C$7+1),"",IFERROR((分析データ!C563-AVERAGE(OFFSET(分析データ!C$1,MAX(1,ROW()-$C$7),0,MIN($C$7,ROW()-1),1)))/STDEV(OFFSET(分析データ!C$1,MAX(1,ROW()-$C$7),0,MIN($C$7,ROW()-1),1)),0))</f>
        <v>1.4058882844108147</v>
      </c>
      <c r="BA563">
        <f t="shared" ca="1" si="228"/>
        <v>0</v>
      </c>
      <c r="BB563" t="str">
        <f ca="1">IF(BA563=1,IF(INDEX(分析データ!$A:$A,ROW()+$C$5)&lt;&gt;"",60000*SIGN(AZ563)*(分析データ!C563-INDEX(分析データ!C:C,ROW()+$C$5)),""),"")</f>
        <v/>
      </c>
      <c r="BC563">
        <f t="shared" ca="1" si="229"/>
        <v>3075000.0000000102</v>
      </c>
      <c r="BD563">
        <f t="shared" ca="1" si="230"/>
        <v>3075000.0000000102</v>
      </c>
      <c r="BE563">
        <f t="shared" ca="1" si="231"/>
        <v>0</v>
      </c>
      <c r="BF563">
        <f ca="1">IF(ROW()&lt;($C$7+1),"",IFERROR((分析データ!D563-AVERAGE(OFFSET(分析データ!D$1,MAX(1,ROW()-$C$7),0,MIN($C$7,ROW()-1),1)))/STDEV(OFFSET(分析データ!D$1,MAX(1,ROW()-$C$7),0,MIN($C$7,ROW()-1),1)),0))</f>
        <v>-1.9616454229560034</v>
      </c>
      <c r="BG563">
        <f t="shared" ca="1" si="232"/>
        <v>0</v>
      </c>
      <c r="BH563" t="str">
        <f ca="1">IF(BG563=1,IF(INDEX(分析データ!$A:$A,ROW()+$C$5)&lt;&gt;"",50000*SIGN(BF563)*(分析データ!D563-INDEX(分析データ!D:D,ROW()+$C$5)),""),"")</f>
        <v/>
      </c>
      <c r="BI563">
        <f t="shared" ca="1" si="233"/>
        <v>195000.00000000582</v>
      </c>
      <c r="BJ563">
        <f t="shared" ca="1" si="234"/>
        <v>1695000.0000000016</v>
      </c>
      <c r="BK563">
        <f t="shared" ca="1" si="235"/>
        <v>-1499999.9999999958</v>
      </c>
      <c r="BL563">
        <f ca="1">IF(ROW()&lt;($C$7+1),"",IFERROR((分析データ!E563-AVERAGE(OFFSET(分析データ!E$1,MAX(1,ROW()-$C$7),0,MIN($C$7,ROW()-1),1)))/STDEV(OFFSET(分析データ!E$1,MAX(1,ROW()-$C$7),0,MIN($C$7,ROW()-1),1)),0))</f>
        <v>1.4652906603160851</v>
      </c>
      <c r="BM563">
        <f t="shared" ca="1" si="236"/>
        <v>0</v>
      </c>
      <c r="BN563" t="str">
        <f ca="1">IF(BM563=1,IF(INDEX(分析データ!$A:$A,ROW()+$C$5)&lt;&gt;"",40000*SIGN(BL563)*(分析データ!E563-INDEX(分析データ!E:E,ROW()+$C$5)),""),"")</f>
        <v/>
      </c>
      <c r="BO563">
        <f t="shared" ca="1" si="237"/>
        <v>1320000.0000000075</v>
      </c>
      <c r="BP563">
        <f t="shared" ca="1" si="238"/>
        <v>1320000.0000000075</v>
      </c>
      <c r="BQ563">
        <f t="shared" ca="1" si="239"/>
        <v>0</v>
      </c>
      <c r="BR563">
        <f ca="1">IF(ROW()&lt;($C$7+1),"",IFERROR((分析データ!F563-AVERAGE(OFFSET(分析データ!F$1,MAX(1,ROW()-$C$7),0,MIN($C$7,ROW()-1),1)))/STDEV(OFFSET(分析データ!F$1,MAX(1,ROW()-$C$7),0,MIN($C$7,ROW()-1),1)),0))</f>
        <v>0.76287800700255837</v>
      </c>
      <c r="BS563">
        <f t="shared" ca="1" si="240"/>
        <v>0</v>
      </c>
      <c r="BT563" t="str">
        <f ca="1">IF(BS563=1,IF(INDEX(分析データ!$A:$A,ROW()+$C$5)&lt;&gt;"",40000*SIGN(BR563)*(分析データ!F563-INDEX(分析データ!F:F,ROW()+$C$5)),""),"")</f>
        <v/>
      </c>
      <c r="BU563">
        <f t="shared" ca="1" si="241"/>
        <v>3534799.9999999953</v>
      </c>
      <c r="BV563">
        <f t="shared" ca="1" si="242"/>
        <v>3534799.9999999953</v>
      </c>
      <c r="BW563">
        <f t="shared" ca="1" si="243"/>
        <v>0</v>
      </c>
      <c r="BX563">
        <f ca="1">IF(ROW()&lt;($C$7+1),"",IFERROR((分析データ!G563-AVERAGE(OFFSET(分析データ!G$1,MAX(1,ROW()-$C$7),0,MIN($C$7,ROW()-1),1)))/STDEV(OFFSET(分析データ!G$1,MAX(1,ROW()-$C$7),0,MIN($C$7,ROW()-1),1)),0))</f>
        <v>2.5035186724664671</v>
      </c>
      <c r="BY563">
        <f t="shared" ca="1" si="244"/>
        <v>1</v>
      </c>
      <c r="BZ563">
        <f ca="1">IF(BY563=1,IF(INDEX(分析データ!$A:$A,ROW()+$C$5)&lt;&gt;"",40000*SIGN(BX563)*(分析データ!G563-INDEX(分析データ!G:G,ROW()+$C$5)),""),"")</f>
        <v>-1552312.8564453062</v>
      </c>
      <c r="CA563">
        <f t="shared" ca="1" si="245"/>
        <v>5424942.8515625009</v>
      </c>
      <c r="CB563">
        <f t="shared" ca="1" si="246"/>
        <v>11327520.000000004</v>
      </c>
      <c r="CC563">
        <f t="shared" ca="1" si="247"/>
        <v>-5902577.1484375028</v>
      </c>
      <c r="CD563">
        <f t="shared" ca="1" si="248"/>
        <v>-1552312.8564453062</v>
      </c>
      <c r="CE563">
        <f t="shared" ca="1" si="249"/>
        <v>8549742.8515625354</v>
      </c>
      <c r="CF563">
        <f t="shared" ca="1" si="250"/>
        <v>13606320.000000035</v>
      </c>
      <c r="CG563">
        <f t="shared" ca="1" si="251"/>
        <v>-5056577.1484375</v>
      </c>
      <c r="CH563" s="10">
        <f>分析データ!A563</f>
        <v>45748</v>
      </c>
    </row>
    <row r="564" spans="46:86">
      <c r="AT564">
        <f ca="1">IF(ROW()&lt;($C$7+1),"",IFERROR((分析データ!B564-AVERAGE(OFFSET(分析データ!B$1,MAX(1,ROW()-$C$7),0,MIN($C$7,ROW()-1),1)))/STDEV(OFFSET(分析データ!B$1,MAX(1,ROW()-$C$7),0,MIN($C$7,ROW()-1),1)),0))</f>
        <v>0.76328009963213239</v>
      </c>
      <c r="AU564">
        <f t="shared" ca="1" si="224"/>
        <v>0</v>
      </c>
      <c r="AV564" t="str">
        <f ca="1">IF(AU564=1,IF(INDEX(分析データ!$A:$A,ROW()+$C$5)&lt;&gt;"",80000*SIGN(AT564)*(分析データ!B564-INDEX(分析データ!B:B,ROW()+$C$5)),""),"")</f>
        <v/>
      </c>
      <c r="AW564">
        <f t="shared" ca="1" si="225"/>
        <v>-4999999.9999999925</v>
      </c>
      <c r="AX564">
        <f t="shared" ca="1" si="226"/>
        <v>0</v>
      </c>
      <c r="AY564">
        <f t="shared" ca="1" si="227"/>
        <v>-4999999.9999999925</v>
      </c>
      <c r="AZ564">
        <f ca="1">IF(ROW()&lt;($C$7+1),"",IFERROR((分析データ!C564-AVERAGE(OFFSET(分析データ!C$1,MAX(1,ROW()-$C$7),0,MIN($C$7,ROW()-1),1)))/STDEV(OFFSET(分析データ!C$1,MAX(1,ROW()-$C$7),0,MIN($C$7,ROW()-1),1)),0))</f>
        <v>1.5033877447943604</v>
      </c>
      <c r="BA564">
        <f t="shared" ca="1" si="228"/>
        <v>0</v>
      </c>
      <c r="BB564" t="str">
        <f ca="1">IF(BA564=1,IF(INDEX(分析データ!$A:$A,ROW()+$C$5)&lt;&gt;"",60000*SIGN(AZ564)*(分析データ!C564-INDEX(分析データ!C:C,ROW()+$C$5)),""),"")</f>
        <v/>
      </c>
      <c r="BC564">
        <f t="shared" ca="1" si="229"/>
        <v>3075000.0000000102</v>
      </c>
      <c r="BD564">
        <f t="shared" ca="1" si="230"/>
        <v>3075000.0000000102</v>
      </c>
      <c r="BE564">
        <f t="shared" ca="1" si="231"/>
        <v>0</v>
      </c>
      <c r="BF564">
        <f ca="1">IF(ROW()&lt;($C$7+1),"",IFERROR((分析データ!D564-AVERAGE(OFFSET(分析データ!D$1,MAX(1,ROW()-$C$7),0,MIN($C$7,ROW()-1),1)))/STDEV(OFFSET(分析データ!D$1,MAX(1,ROW()-$C$7),0,MIN($C$7,ROW()-1),1)),0))</f>
        <v>-1.7313152235105722</v>
      </c>
      <c r="BG564">
        <f t="shared" ca="1" si="232"/>
        <v>0</v>
      </c>
      <c r="BH564" t="str">
        <f ca="1">IF(BG564=1,IF(INDEX(分析データ!$A:$A,ROW()+$C$5)&lt;&gt;"",50000*SIGN(BF564)*(分析データ!D564-INDEX(分析データ!D:D,ROW()+$C$5)),""),"")</f>
        <v/>
      </c>
      <c r="BI564">
        <f t="shared" ca="1" si="233"/>
        <v>195000.00000000582</v>
      </c>
      <c r="BJ564">
        <f t="shared" ca="1" si="234"/>
        <v>1695000.0000000016</v>
      </c>
      <c r="BK564">
        <f t="shared" ca="1" si="235"/>
        <v>-1499999.9999999958</v>
      </c>
      <c r="BL564">
        <f ca="1">IF(ROW()&lt;($C$7+1),"",IFERROR((分析データ!E564-AVERAGE(OFFSET(分析データ!E$1,MAX(1,ROW()-$C$7),0,MIN($C$7,ROW()-1),1)))/STDEV(OFFSET(分析データ!E$1,MAX(1,ROW()-$C$7),0,MIN($C$7,ROW()-1),1)),0))</f>
        <v>1.3477129071283631</v>
      </c>
      <c r="BM564">
        <f t="shared" ca="1" si="236"/>
        <v>0</v>
      </c>
      <c r="BN564" t="str">
        <f ca="1">IF(BM564=1,IF(INDEX(分析データ!$A:$A,ROW()+$C$5)&lt;&gt;"",40000*SIGN(BL564)*(分析データ!E564-INDEX(分析データ!E:E,ROW()+$C$5)),""),"")</f>
        <v/>
      </c>
      <c r="BO564">
        <f t="shared" ca="1" si="237"/>
        <v>1320000.0000000075</v>
      </c>
      <c r="BP564">
        <f t="shared" ca="1" si="238"/>
        <v>1320000.0000000075</v>
      </c>
      <c r="BQ564">
        <f t="shared" ca="1" si="239"/>
        <v>0</v>
      </c>
      <c r="BR564">
        <f ca="1">IF(ROW()&lt;($C$7+1),"",IFERROR((分析データ!F564-AVERAGE(OFFSET(分析データ!F$1,MAX(1,ROW()-$C$7),0,MIN($C$7,ROW()-1),1)))/STDEV(OFFSET(分析データ!F$1,MAX(1,ROW()-$C$7),0,MIN($C$7,ROW()-1),1)),0))</f>
        <v>0.45860911542468497</v>
      </c>
      <c r="BS564">
        <f t="shared" ca="1" si="240"/>
        <v>0</v>
      </c>
      <c r="BT564" t="str">
        <f ca="1">IF(BS564=1,IF(INDEX(分析データ!$A:$A,ROW()+$C$5)&lt;&gt;"",40000*SIGN(BR564)*(分析データ!F564-INDEX(分析データ!F:F,ROW()+$C$5)),""),"")</f>
        <v/>
      </c>
      <c r="BU564">
        <f t="shared" ca="1" si="241"/>
        <v>3534799.9999999953</v>
      </c>
      <c r="BV564">
        <f t="shared" ca="1" si="242"/>
        <v>3534799.9999999953</v>
      </c>
      <c r="BW564">
        <f t="shared" ca="1" si="243"/>
        <v>0</v>
      </c>
      <c r="BX564">
        <f ca="1">IF(ROW()&lt;($C$7+1),"",IFERROR((分析データ!G564-AVERAGE(OFFSET(分析データ!G$1,MAX(1,ROW()-$C$7),0,MIN($C$7,ROW()-1),1)))/STDEV(OFFSET(分析データ!G$1,MAX(1,ROW()-$C$7),0,MIN($C$7,ROW()-1),1)),0))</f>
        <v>2.1723749695816692</v>
      </c>
      <c r="BY564">
        <f t="shared" ca="1" si="244"/>
        <v>1</v>
      </c>
      <c r="BZ564">
        <f ca="1">IF(BY564=1,IF(INDEX(分析データ!$A:$A,ROW()+$C$5)&lt;&gt;"",40000*SIGN(BX564)*(分析データ!G564-INDEX(分析データ!G:G,ROW()+$C$5)),""),"")</f>
        <v>-1335752.8564453113</v>
      </c>
      <c r="CA564">
        <f t="shared" ca="1" si="245"/>
        <v>4089189.9951171894</v>
      </c>
      <c r="CB564">
        <f t="shared" ca="1" si="246"/>
        <v>11327520.000000004</v>
      </c>
      <c r="CC564">
        <f t="shared" ca="1" si="247"/>
        <v>-7238330.0048828144</v>
      </c>
      <c r="CD564">
        <f t="shared" ca="1" si="248"/>
        <v>-1335752.8564453113</v>
      </c>
      <c r="CE564">
        <f t="shared" ca="1" si="249"/>
        <v>7213989.9951172238</v>
      </c>
      <c r="CF564">
        <f t="shared" ca="1" si="250"/>
        <v>13606320.000000035</v>
      </c>
      <c r="CG564">
        <f t="shared" ca="1" si="251"/>
        <v>-6392330.0048828116</v>
      </c>
      <c r="CH564" s="10">
        <f>分析データ!A564</f>
        <v>45749</v>
      </c>
    </row>
    <row r="565" spans="46:86">
      <c r="AT565">
        <f ca="1">IF(ROW()&lt;($C$7+1),"",IFERROR((分析データ!B565-AVERAGE(OFFSET(分析データ!B$1,MAX(1,ROW()-$C$7),0,MIN($C$7,ROW()-1),1)))/STDEV(OFFSET(分析データ!B$1,MAX(1,ROW()-$C$7),0,MIN($C$7,ROW()-1),1)),0))</f>
        <v>0.62924084419899817</v>
      </c>
      <c r="AU565">
        <f t="shared" ca="1" si="224"/>
        <v>0</v>
      </c>
      <c r="AV565" t="str">
        <f ca="1">IF(AU565=1,IF(INDEX(分析データ!$A:$A,ROW()+$C$5)&lt;&gt;"",80000*SIGN(AT565)*(分析データ!B565-INDEX(分析データ!B:B,ROW()+$C$5)),""),"")</f>
        <v/>
      </c>
      <c r="AW565">
        <f t="shared" ca="1" si="225"/>
        <v>-4999999.9999999925</v>
      </c>
      <c r="AX565">
        <f t="shared" ca="1" si="226"/>
        <v>0</v>
      </c>
      <c r="AY565">
        <f t="shared" ca="1" si="227"/>
        <v>-4999999.9999999925</v>
      </c>
      <c r="AZ565">
        <f ca="1">IF(ROW()&lt;($C$7+1),"",IFERROR((分析データ!C565-AVERAGE(OFFSET(分析データ!C$1,MAX(1,ROW()-$C$7),0,MIN($C$7,ROW()-1),1)))/STDEV(OFFSET(分析データ!C$1,MAX(1,ROW()-$C$7),0,MIN($C$7,ROW()-1),1)),0))</f>
        <v>0.87806017095121858</v>
      </c>
      <c r="BA565">
        <f t="shared" ca="1" si="228"/>
        <v>0</v>
      </c>
      <c r="BB565" t="str">
        <f ca="1">IF(BA565=1,IF(INDEX(分析データ!$A:$A,ROW()+$C$5)&lt;&gt;"",60000*SIGN(AZ565)*(分析データ!C565-INDEX(分析データ!C:C,ROW()+$C$5)),""),"")</f>
        <v/>
      </c>
      <c r="BC565">
        <f t="shared" ca="1" si="229"/>
        <v>3075000.0000000102</v>
      </c>
      <c r="BD565">
        <f t="shared" ca="1" si="230"/>
        <v>3075000.0000000102</v>
      </c>
      <c r="BE565">
        <f t="shared" ca="1" si="231"/>
        <v>0</v>
      </c>
      <c r="BF565">
        <f ca="1">IF(ROW()&lt;($C$7+1),"",IFERROR((分析データ!D565-AVERAGE(OFFSET(分析データ!D$1,MAX(1,ROW()-$C$7),0,MIN($C$7,ROW()-1),1)))/STDEV(OFFSET(分析データ!D$1,MAX(1,ROW()-$C$7),0,MIN($C$7,ROW()-1),1)),0))</f>
        <v>-1.8010193992615879</v>
      </c>
      <c r="BG565">
        <f t="shared" ca="1" si="232"/>
        <v>0</v>
      </c>
      <c r="BH565" t="str">
        <f ca="1">IF(BG565=1,IF(INDEX(分析データ!$A:$A,ROW()+$C$5)&lt;&gt;"",50000*SIGN(BF565)*(分析データ!D565-INDEX(分析データ!D:D,ROW()+$C$5)),""),"")</f>
        <v/>
      </c>
      <c r="BI565">
        <f t="shared" ca="1" si="233"/>
        <v>195000.00000000582</v>
      </c>
      <c r="BJ565">
        <f t="shared" ca="1" si="234"/>
        <v>1695000.0000000016</v>
      </c>
      <c r="BK565">
        <f t="shared" ca="1" si="235"/>
        <v>-1499999.9999999958</v>
      </c>
      <c r="BL565">
        <f ca="1">IF(ROW()&lt;($C$7+1),"",IFERROR((分析データ!E565-AVERAGE(OFFSET(分析データ!E$1,MAX(1,ROW()-$C$7),0,MIN($C$7,ROW()-1),1)))/STDEV(OFFSET(分析データ!E$1,MAX(1,ROW()-$C$7),0,MIN($C$7,ROW()-1),1)),0))</f>
        <v>1.9698952646806878</v>
      </c>
      <c r="BM565">
        <f t="shared" ca="1" si="236"/>
        <v>0</v>
      </c>
      <c r="BN565" t="str">
        <f ca="1">IF(BM565=1,IF(INDEX(分析データ!$A:$A,ROW()+$C$5)&lt;&gt;"",40000*SIGN(BL565)*(分析データ!E565-INDEX(分析データ!E:E,ROW()+$C$5)),""),"")</f>
        <v/>
      </c>
      <c r="BO565">
        <f t="shared" ca="1" si="237"/>
        <v>1320000.0000000075</v>
      </c>
      <c r="BP565">
        <f t="shared" ca="1" si="238"/>
        <v>1320000.0000000075</v>
      </c>
      <c r="BQ565">
        <f t="shared" ca="1" si="239"/>
        <v>0</v>
      </c>
      <c r="BR565">
        <f ca="1">IF(ROW()&lt;($C$7+1),"",IFERROR((分析データ!F565-AVERAGE(OFFSET(分析データ!F$1,MAX(1,ROW()-$C$7),0,MIN($C$7,ROW()-1),1)))/STDEV(OFFSET(分析データ!F$1,MAX(1,ROW()-$C$7),0,MIN($C$7,ROW()-1),1)),0))</f>
        <v>1.115706475835706</v>
      </c>
      <c r="BS565">
        <f t="shared" ca="1" si="240"/>
        <v>0</v>
      </c>
      <c r="BT565" t="str">
        <f ca="1">IF(BS565=1,IF(INDEX(分析データ!$A:$A,ROW()+$C$5)&lt;&gt;"",40000*SIGN(BR565)*(分析データ!F565-INDEX(分析データ!F:F,ROW()+$C$5)),""),"")</f>
        <v/>
      </c>
      <c r="BU565">
        <f t="shared" ca="1" si="241"/>
        <v>3534799.9999999953</v>
      </c>
      <c r="BV565">
        <f t="shared" ca="1" si="242"/>
        <v>3534799.9999999953</v>
      </c>
      <c r="BW565">
        <f t="shared" ca="1" si="243"/>
        <v>0</v>
      </c>
      <c r="BX565">
        <f ca="1">IF(ROW()&lt;($C$7+1),"",IFERROR((分析データ!G565-AVERAGE(OFFSET(分析データ!G$1,MAX(1,ROW()-$C$7),0,MIN($C$7,ROW()-1),1)))/STDEV(OFFSET(分析データ!G$1,MAX(1,ROW()-$C$7),0,MIN($C$7,ROW()-1),1)),0))</f>
        <v>1.3632223201192453</v>
      </c>
      <c r="BY565">
        <f t="shared" ca="1" si="244"/>
        <v>0</v>
      </c>
      <c r="BZ565" t="str">
        <f ca="1">IF(BY565=1,IF(INDEX(分析データ!$A:$A,ROW()+$C$5)&lt;&gt;"",40000*SIGN(BX565)*(分析データ!G565-INDEX(分析データ!G:G,ROW()+$C$5)),""),"")</f>
        <v/>
      </c>
      <c r="CA565">
        <f t="shared" ca="1" si="245"/>
        <v>4089189.9951171894</v>
      </c>
      <c r="CB565">
        <f t="shared" ca="1" si="246"/>
        <v>11327520.000000004</v>
      </c>
      <c r="CC565">
        <f t="shared" ca="1" si="247"/>
        <v>-7238330.0048828144</v>
      </c>
      <c r="CD565">
        <f t="shared" ca="1" si="248"/>
        <v>0</v>
      </c>
      <c r="CE565">
        <f t="shared" ca="1" si="249"/>
        <v>7213989.9951172238</v>
      </c>
      <c r="CF565">
        <f t="shared" ca="1" si="250"/>
        <v>13606320.000000035</v>
      </c>
      <c r="CG565">
        <f t="shared" ca="1" si="251"/>
        <v>-6392330.0048828116</v>
      </c>
      <c r="CH565" s="10">
        <f>分析データ!A565</f>
        <v>45750</v>
      </c>
    </row>
    <row r="566" spans="46:86">
      <c r="AT566">
        <f ca="1">IF(ROW()&lt;($C$7+1),"",IFERROR((分析データ!B566-AVERAGE(OFFSET(分析データ!B$1,MAX(1,ROW()-$C$7),0,MIN($C$7,ROW()-1),1)))/STDEV(OFFSET(分析データ!B$1,MAX(1,ROW()-$C$7),0,MIN($C$7,ROW()-1),1)),0))</f>
        <v>0.66598356469667863</v>
      </c>
      <c r="AU566">
        <f t="shared" ca="1" si="224"/>
        <v>0</v>
      </c>
      <c r="AV566" t="str">
        <f ca="1">IF(AU566=1,IF(INDEX(分析データ!$A:$A,ROW()+$C$5)&lt;&gt;"",80000*SIGN(AT566)*(分析データ!B566-INDEX(分析データ!B:B,ROW()+$C$5)),""),"")</f>
        <v/>
      </c>
      <c r="AW566">
        <f t="shared" ca="1" si="225"/>
        <v>-4999999.9999999925</v>
      </c>
      <c r="AX566">
        <f t="shared" ca="1" si="226"/>
        <v>0</v>
      </c>
      <c r="AY566">
        <f t="shared" ca="1" si="227"/>
        <v>-4999999.9999999925</v>
      </c>
      <c r="AZ566">
        <f ca="1">IF(ROW()&lt;($C$7+1),"",IFERROR((分析データ!C566-AVERAGE(OFFSET(分析データ!C$1,MAX(1,ROW()-$C$7),0,MIN($C$7,ROW()-1),1)))/STDEV(OFFSET(分析データ!C$1,MAX(1,ROW()-$C$7),0,MIN($C$7,ROW()-1),1)),0))</f>
        <v>-0.28304052583069617</v>
      </c>
      <c r="BA566">
        <f t="shared" ca="1" si="228"/>
        <v>0</v>
      </c>
      <c r="BB566" t="str">
        <f ca="1">IF(BA566=1,IF(INDEX(分析データ!$A:$A,ROW()+$C$5)&lt;&gt;"",60000*SIGN(AZ566)*(分析データ!C566-INDEX(分析データ!C:C,ROW()+$C$5)),""),"")</f>
        <v/>
      </c>
      <c r="BC566">
        <f t="shared" ca="1" si="229"/>
        <v>3075000.0000000102</v>
      </c>
      <c r="BD566">
        <f t="shared" ca="1" si="230"/>
        <v>3075000.0000000102</v>
      </c>
      <c r="BE566">
        <f t="shared" ca="1" si="231"/>
        <v>0</v>
      </c>
      <c r="BF566">
        <f ca="1">IF(ROW()&lt;($C$7+1),"",IFERROR((分析データ!D566-AVERAGE(OFFSET(分析データ!D$1,MAX(1,ROW()-$C$7),0,MIN($C$7,ROW()-1),1)))/STDEV(OFFSET(分析データ!D$1,MAX(1,ROW()-$C$7),0,MIN($C$7,ROW()-1),1)),0))</f>
        <v>-1.2995450751615825</v>
      </c>
      <c r="BG566">
        <f t="shared" ca="1" si="232"/>
        <v>0</v>
      </c>
      <c r="BH566" t="str">
        <f ca="1">IF(BG566=1,IF(INDEX(分析データ!$A:$A,ROW()+$C$5)&lt;&gt;"",50000*SIGN(BF566)*(分析データ!D566-INDEX(分析データ!D:D,ROW()+$C$5)),""),"")</f>
        <v/>
      </c>
      <c r="BI566">
        <f t="shared" ca="1" si="233"/>
        <v>195000.00000000582</v>
      </c>
      <c r="BJ566">
        <f t="shared" ca="1" si="234"/>
        <v>1695000.0000000016</v>
      </c>
      <c r="BK566">
        <f t="shared" ca="1" si="235"/>
        <v>-1499999.9999999958</v>
      </c>
      <c r="BL566">
        <f ca="1">IF(ROW()&lt;($C$7+1),"",IFERROR((分析データ!E566-AVERAGE(OFFSET(分析データ!E$1,MAX(1,ROW()-$C$7),0,MIN($C$7,ROW()-1),1)))/STDEV(OFFSET(分析データ!E$1,MAX(1,ROW()-$C$7),0,MIN($C$7,ROW()-1),1)),0))</f>
        <v>1.7391886812787103</v>
      </c>
      <c r="BM566">
        <f t="shared" ca="1" si="236"/>
        <v>0</v>
      </c>
      <c r="BN566" t="str">
        <f ca="1">IF(BM566=1,IF(INDEX(分析データ!$A:$A,ROW()+$C$5)&lt;&gt;"",40000*SIGN(BL566)*(分析データ!E566-INDEX(分析データ!E:E,ROW()+$C$5)),""),"")</f>
        <v/>
      </c>
      <c r="BO566">
        <f t="shared" ca="1" si="237"/>
        <v>1320000.0000000075</v>
      </c>
      <c r="BP566">
        <f t="shared" ca="1" si="238"/>
        <v>1320000.0000000075</v>
      </c>
      <c r="BQ566">
        <f t="shared" ca="1" si="239"/>
        <v>0</v>
      </c>
      <c r="BR566">
        <f ca="1">IF(ROW()&lt;($C$7+1),"",IFERROR((分析データ!F566-AVERAGE(OFFSET(分析データ!F$1,MAX(1,ROW()-$C$7),0,MIN($C$7,ROW()-1),1)))/STDEV(OFFSET(分析データ!F$1,MAX(1,ROW()-$C$7),0,MIN($C$7,ROW()-1),1)),0))</f>
        <v>0.56145480183324636</v>
      </c>
      <c r="BS566">
        <f t="shared" ca="1" si="240"/>
        <v>0</v>
      </c>
      <c r="BT566" t="str">
        <f ca="1">IF(BS566=1,IF(INDEX(分析データ!$A:$A,ROW()+$C$5)&lt;&gt;"",40000*SIGN(BR566)*(分析データ!F566-INDEX(分析データ!F:F,ROW()+$C$5)),""),"")</f>
        <v/>
      </c>
      <c r="BU566">
        <f t="shared" ca="1" si="241"/>
        <v>3534799.9999999953</v>
      </c>
      <c r="BV566">
        <f t="shared" ca="1" si="242"/>
        <v>3534799.9999999953</v>
      </c>
      <c r="BW566">
        <f t="shared" ca="1" si="243"/>
        <v>0</v>
      </c>
      <c r="BX566">
        <f ca="1">IF(ROW()&lt;($C$7+1),"",IFERROR((分析データ!G566-AVERAGE(OFFSET(分析データ!G$1,MAX(1,ROW()-$C$7),0,MIN($C$7,ROW()-1),1)))/STDEV(OFFSET(分析データ!G$1,MAX(1,ROW()-$C$7),0,MIN($C$7,ROW()-1),1)),0))</f>
        <v>1.9880836902930812</v>
      </c>
      <c r="BY566">
        <f t="shared" ca="1" si="244"/>
        <v>0</v>
      </c>
      <c r="BZ566" t="str">
        <f ca="1">IF(BY566=1,IF(INDEX(分析データ!$A:$A,ROW()+$C$5)&lt;&gt;"",40000*SIGN(BX566)*(分析データ!G566-INDEX(分析データ!G:G,ROW()+$C$5)),""),"")</f>
        <v/>
      </c>
      <c r="CA566">
        <f t="shared" ca="1" si="245"/>
        <v>4089189.9951171894</v>
      </c>
      <c r="CB566">
        <f t="shared" ca="1" si="246"/>
        <v>11327520.000000004</v>
      </c>
      <c r="CC566">
        <f t="shared" ca="1" si="247"/>
        <v>-7238330.0048828144</v>
      </c>
      <c r="CD566">
        <f t="shared" ca="1" si="248"/>
        <v>0</v>
      </c>
      <c r="CE566">
        <f t="shared" ca="1" si="249"/>
        <v>7213989.9951172238</v>
      </c>
      <c r="CF566">
        <f t="shared" ca="1" si="250"/>
        <v>13606320.000000035</v>
      </c>
      <c r="CG566">
        <f t="shared" ca="1" si="251"/>
        <v>-6392330.0048828116</v>
      </c>
      <c r="CH566" s="10">
        <f>分析データ!A566</f>
        <v>45751</v>
      </c>
    </row>
    <row r="567" spans="46:86">
      <c r="AT567">
        <f ca="1">IF(ROW()&lt;($C$7+1),"",IFERROR((分析データ!B567-AVERAGE(OFFSET(分析データ!B$1,MAX(1,ROW()-$C$7),0,MIN($C$7,ROW()-1),1)))/STDEV(OFFSET(分析データ!B$1,MAX(1,ROW()-$C$7),0,MIN($C$7,ROW()-1),1)),0))</f>
        <v>0.91571549979222244</v>
      </c>
      <c r="AU567">
        <f t="shared" ca="1" si="224"/>
        <v>0</v>
      </c>
      <c r="AV567" t="str">
        <f ca="1">IF(AU567=1,IF(INDEX(分析データ!$A:$A,ROW()+$C$5)&lt;&gt;"",80000*SIGN(AT567)*(分析データ!B567-INDEX(分析データ!B:B,ROW()+$C$5)),""),"")</f>
        <v/>
      </c>
      <c r="AW567">
        <f t="shared" ca="1" si="225"/>
        <v>-4999999.9999999925</v>
      </c>
      <c r="AX567">
        <f t="shared" ca="1" si="226"/>
        <v>0</v>
      </c>
      <c r="AY567">
        <f t="shared" ca="1" si="227"/>
        <v>-4999999.9999999925</v>
      </c>
      <c r="AZ567">
        <f ca="1">IF(ROW()&lt;($C$7+1),"",IFERROR((分析データ!C567-AVERAGE(OFFSET(分析データ!C$1,MAX(1,ROW()-$C$7),0,MIN($C$7,ROW()-1),1)))/STDEV(OFFSET(分析データ!C$1,MAX(1,ROW()-$C$7),0,MIN($C$7,ROW()-1),1)),0))</f>
        <v>-0.61826054337002523</v>
      </c>
      <c r="BA567">
        <f t="shared" ca="1" si="228"/>
        <v>0</v>
      </c>
      <c r="BB567" t="str">
        <f ca="1">IF(BA567=1,IF(INDEX(分析データ!$A:$A,ROW()+$C$5)&lt;&gt;"",60000*SIGN(AZ567)*(分析データ!C567-INDEX(分析データ!C:C,ROW()+$C$5)),""),"")</f>
        <v/>
      </c>
      <c r="BC567">
        <f t="shared" ca="1" si="229"/>
        <v>3075000.0000000102</v>
      </c>
      <c r="BD567">
        <f t="shared" ca="1" si="230"/>
        <v>3075000.0000000102</v>
      </c>
      <c r="BE567">
        <f t="shared" ca="1" si="231"/>
        <v>0</v>
      </c>
      <c r="BF567">
        <f ca="1">IF(ROW()&lt;($C$7+1),"",IFERROR((分析データ!D567-AVERAGE(OFFSET(分析データ!D$1,MAX(1,ROW()-$C$7),0,MIN($C$7,ROW()-1),1)))/STDEV(OFFSET(分析データ!D$1,MAX(1,ROW()-$C$7),0,MIN($C$7,ROW()-1),1)),0))</f>
        <v>-0.63712560859972489</v>
      </c>
      <c r="BG567">
        <f t="shared" ca="1" si="232"/>
        <v>0</v>
      </c>
      <c r="BH567" t="str">
        <f ca="1">IF(BG567=1,IF(INDEX(分析データ!$A:$A,ROW()+$C$5)&lt;&gt;"",50000*SIGN(BF567)*(分析データ!D567-INDEX(分析データ!D:D,ROW()+$C$5)),""),"")</f>
        <v/>
      </c>
      <c r="BI567">
        <f t="shared" ca="1" si="233"/>
        <v>195000.00000000582</v>
      </c>
      <c r="BJ567">
        <f t="shared" ca="1" si="234"/>
        <v>1695000.0000000016</v>
      </c>
      <c r="BK567">
        <f t="shared" ca="1" si="235"/>
        <v>-1499999.9999999958</v>
      </c>
      <c r="BL567">
        <f ca="1">IF(ROW()&lt;($C$7+1),"",IFERROR((分析データ!E567-AVERAGE(OFFSET(分析データ!E$1,MAX(1,ROW()-$C$7),0,MIN($C$7,ROW()-1),1)))/STDEV(OFFSET(分析データ!E$1,MAX(1,ROW()-$C$7),0,MIN($C$7,ROW()-1),1)),0))</f>
        <v>2.1376715836874647</v>
      </c>
      <c r="BM567">
        <f t="shared" ca="1" si="236"/>
        <v>1</v>
      </c>
      <c r="BN567">
        <f ca="1">IF(BM567=1,IF(INDEX(分析データ!$A:$A,ROW()+$C$5)&lt;&gt;"",40000*SIGN(BL567)*(分析データ!E567-INDEX(分析データ!E:E,ROW()+$C$5)),""),"")</f>
        <v>-399999.9999999986</v>
      </c>
      <c r="BO567">
        <f t="shared" ca="1" si="237"/>
        <v>920000.00000000885</v>
      </c>
      <c r="BP567">
        <f t="shared" ca="1" si="238"/>
        <v>1320000.0000000075</v>
      </c>
      <c r="BQ567">
        <f t="shared" ca="1" si="239"/>
        <v>-399999.9999999986</v>
      </c>
      <c r="BR567">
        <f ca="1">IF(ROW()&lt;($C$7+1),"",IFERROR((分析データ!F567-AVERAGE(OFFSET(分析データ!F$1,MAX(1,ROW()-$C$7),0,MIN($C$7,ROW()-1),1)))/STDEV(OFFSET(分析データ!F$1,MAX(1,ROW()-$C$7),0,MIN($C$7,ROW()-1),1)),0))</f>
        <v>-0.70644957552737742</v>
      </c>
      <c r="BS567">
        <f t="shared" ca="1" si="240"/>
        <v>0</v>
      </c>
      <c r="BT567" t="str">
        <f ca="1">IF(BS567=1,IF(INDEX(分析データ!$A:$A,ROW()+$C$5)&lt;&gt;"",40000*SIGN(BR567)*(分析データ!F567-INDEX(分析データ!F:F,ROW()+$C$5)),""),"")</f>
        <v/>
      </c>
      <c r="BU567">
        <f t="shared" ca="1" si="241"/>
        <v>3534799.9999999953</v>
      </c>
      <c r="BV567">
        <f t="shared" ca="1" si="242"/>
        <v>3534799.9999999953</v>
      </c>
      <c r="BW567">
        <f t="shared" ca="1" si="243"/>
        <v>0</v>
      </c>
      <c r="BX567">
        <f ca="1">IF(ROW()&lt;($C$7+1),"",IFERROR((分析データ!G567-AVERAGE(OFFSET(分析データ!G$1,MAX(1,ROW()-$C$7),0,MIN($C$7,ROW()-1),1)))/STDEV(OFFSET(分析データ!G$1,MAX(1,ROW()-$C$7),0,MIN($C$7,ROW()-1),1)),0))</f>
        <v>1.8834138585288485</v>
      </c>
      <c r="BY567">
        <f t="shared" ca="1" si="244"/>
        <v>0</v>
      </c>
      <c r="BZ567" t="str">
        <f ca="1">IF(BY567=1,IF(INDEX(分析データ!$A:$A,ROW()+$C$5)&lt;&gt;"",40000*SIGN(BX567)*(分析データ!G567-INDEX(分析データ!G:G,ROW()+$C$5)),""),"")</f>
        <v/>
      </c>
      <c r="CA567">
        <f t="shared" ca="1" si="245"/>
        <v>4089189.9951171894</v>
      </c>
      <c r="CB567">
        <f t="shared" ca="1" si="246"/>
        <v>11327520.000000004</v>
      </c>
      <c r="CC567">
        <f t="shared" ca="1" si="247"/>
        <v>-7238330.0048828144</v>
      </c>
      <c r="CD567">
        <f t="shared" ca="1" si="248"/>
        <v>-399999.9999999986</v>
      </c>
      <c r="CE567">
        <f t="shared" ca="1" si="249"/>
        <v>6813989.9951172248</v>
      </c>
      <c r="CF567">
        <f t="shared" ca="1" si="250"/>
        <v>13606320.000000035</v>
      </c>
      <c r="CG567">
        <f t="shared" ca="1" si="251"/>
        <v>-6792330.0048828106</v>
      </c>
      <c r="CH567" s="10">
        <f>分析データ!A567</f>
        <v>45754</v>
      </c>
    </row>
    <row r="568" spans="46:86">
      <c r="AT568">
        <f ca="1">IF(ROW()&lt;($C$7+1),"",IFERROR((分析データ!B568-AVERAGE(OFFSET(分析データ!B$1,MAX(1,ROW()-$C$7),0,MIN($C$7,ROW()-1),1)))/STDEV(OFFSET(分析データ!B$1,MAX(1,ROW()-$C$7),0,MIN($C$7,ROW()-1),1)),0))</f>
        <v>1.3757062680397345</v>
      </c>
      <c r="AU568">
        <f t="shared" ca="1" si="224"/>
        <v>0</v>
      </c>
      <c r="AV568" t="str">
        <f ca="1">IF(AU568=1,IF(INDEX(分析データ!$A:$A,ROW()+$C$5)&lt;&gt;"",80000*SIGN(AT568)*(分析データ!B568-INDEX(分析データ!B:B,ROW()+$C$5)),""),"")</f>
        <v/>
      </c>
      <c r="AW568">
        <f t="shared" ca="1" si="225"/>
        <v>-4999999.9999999925</v>
      </c>
      <c r="AX568">
        <f t="shared" ca="1" si="226"/>
        <v>0</v>
      </c>
      <c r="AY568">
        <f t="shared" ca="1" si="227"/>
        <v>-4999999.9999999925</v>
      </c>
      <c r="AZ568">
        <f ca="1">IF(ROW()&lt;($C$7+1),"",IFERROR((分析データ!C568-AVERAGE(OFFSET(分析データ!C$1,MAX(1,ROW()-$C$7),0,MIN($C$7,ROW()-1),1)))/STDEV(OFFSET(分析データ!C$1,MAX(1,ROW()-$C$7),0,MIN($C$7,ROW()-1),1)),0))</f>
        <v>-0.46975207090787024</v>
      </c>
      <c r="BA568">
        <f t="shared" ca="1" si="228"/>
        <v>0</v>
      </c>
      <c r="BB568" t="str">
        <f ca="1">IF(BA568=1,IF(INDEX(分析データ!$A:$A,ROW()+$C$5)&lt;&gt;"",60000*SIGN(AZ568)*(分析データ!C568-INDEX(分析データ!C:C,ROW()+$C$5)),""),"")</f>
        <v/>
      </c>
      <c r="BC568">
        <f t="shared" ca="1" si="229"/>
        <v>3075000.0000000102</v>
      </c>
      <c r="BD568">
        <f t="shared" ca="1" si="230"/>
        <v>3075000.0000000102</v>
      </c>
      <c r="BE568">
        <f t="shared" ca="1" si="231"/>
        <v>0</v>
      </c>
      <c r="BF568">
        <f ca="1">IF(ROW()&lt;($C$7+1),"",IFERROR((分析データ!D568-AVERAGE(OFFSET(分析データ!D$1,MAX(1,ROW()-$C$7),0,MIN($C$7,ROW()-1),1)))/STDEV(OFFSET(分析データ!D$1,MAX(1,ROW()-$C$7),0,MIN($C$7,ROW()-1),1)),0))</f>
        <v>-0.73285496830701169</v>
      </c>
      <c r="BG568">
        <f t="shared" ca="1" si="232"/>
        <v>0</v>
      </c>
      <c r="BH568" t="str">
        <f ca="1">IF(BG568=1,IF(INDEX(分析データ!$A:$A,ROW()+$C$5)&lt;&gt;"",50000*SIGN(BF568)*(分析データ!D568-INDEX(分析データ!D:D,ROW()+$C$5)),""),"")</f>
        <v/>
      </c>
      <c r="BI568">
        <f t="shared" ca="1" si="233"/>
        <v>195000.00000000582</v>
      </c>
      <c r="BJ568">
        <f t="shared" ca="1" si="234"/>
        <v>1695000.0000000016</v>
      </c>
      <c r="BK568">
        <f t="shared" ca="1" si="235"/>
        <v>-1499999.9999999958</v>
      </c>
      <c r="BL568">
        <f ca="1">IF(ROW()&lt;($C$7+1),"",IFERROR((分析データ!E568-AVERAGE(OFFSET(分析データ!E$1,MAX(1,ROW()-$C$7),0,MIN($C$7,ROW()-1),1)))/STDEV(OFFSET(分析データ!E$1,MAX(1,ROW()-$C$7),0,MIN($C$7,ROW()-1),1)),0))</f>
        <v>2.6223445130610186</v>
      </c>
      <c r="BM568">
        <f t="shared" ca="1" si="236"/>
        <v>1</v>
      </c>
      <c r="BN568">
        <f ca="1">IF(BM568=1,IF(INDEX(分析データ!$A:$A,ROW()+$C$5)&lt;&gt;"",40000*SIGN(BL568)*(分析データ!E568-INDEX(分析データ!E:E,ROW()+$C$5)),""),"")</f>
        <v>-80000.000000001994</v>
      </c>
      <c r="BO568">
        <f t="shared" ca="1" si="237"/>
        <v>840000.00000000687</v>
      </c>
      <c r="BP568">
        <f t="shared" ca="1" si="238"/>
        <v>1320000.0000000075</v>
      </c>
      <c r="BQ568">
        <f t="shared" ca="1" si="239"/>
        <v>-480000.00000000058</v>
      </c>
      <c r="BR568">
        <f ca="1">IF(ROW()&lt;($C$7+1),"",IFERROR((分析データ!F568-AVERAGE(OFFSET(分析データ!F$1,MAX(1,ROW()-$C$7),0,MIN($C$7,ROW()-1),1)))/STDEV(OFFSET(分析データ!F$1,MAX(1,ROW()-$C$7),0,MIN($C$7,ROW()-1),1)),0))</f>
        <v>-1.4820007023538606</v>
      </c>
      <c r="BS568">
        <f t="shared" ca="1" si="240"/>
        <v>0</v>
      </c>
      <c r="BT568" t="str">
        <f ca="1">IF(BS568=1,IF(INDEX(分析データ!$A:$A,ROW()+$C$5)&lt;&gt;"",40000*SIGN(BR568)*(分析データ!F568-INDEX(分析データ!F:F,ROW()+$C$5)),""),"")</f>
        <v/>
      </c>
      <c r="BU568">
        <f t="shared" ca="1" si="241"/>
        <v>3534799.9999999953</v>
      </c>
      <c r="BV568">
        <f t="shared" ca="1" si="242"/>
        <v>3534799.9999999953</v>
      </c>
      <c r="BW568">
        <f t="shared" ca="1" si="243"/>
        <v>0</v>
      </c>
      <c r="BX568">
        <f ca="1">IF(ROW()&lt;($C$7+1),"",IFERROR((分析データ!G568-AVERAGE(OFFSET(分析データ!G$1,MAX(1,ROW()-$C$7),0,MIN($C$7,ROW()-1),1)))/STDEV(OFFSET(分析データ!G$1,MAX(1,ROW()-$C$7),0,MIN($C$7,ROW()-1),1)),0))</f>
        <v>3.2962432951937881</v>
      </c>
      <c r="BY568">
        <f t="shared" ca="1" si="244"/>
        <v>1</v>
      </c>
      <c r="BZ568">
        <f ca="1">IF(BY568=1,IF(INDEX(分析データ!$A:$A,ROW()+$C$5)&lt;&gt;"",40000*SIGN(BX568)*(分析データ!G568-INDEX(分析データ!G:G,ROW()+$C$5)),""),"")</f>
        <v>-1040701.4306640584</v>
      </c>
      <c r="CA568">
        <f t="shared" ca="1" si="245"/>
        <v>3048488.5644531311</v>
      </c>
      <c r="CB568">
        <f t="shared" ca="1" si="246"/>
        <v>11327520.000000004</v>
      </c>
      <c r="CC568">
        <f t="shared" ca="1" si="247"/>
        <v>-8279031.4355468731</v>
      </c>
      <c r="CD568">
        <f t="shared" ca="1" si="248"/>
        <v>-1120701.4306640604</v>
      </c>
      <c r="CE568">
        <f t="shared" ca="1" si="249"/>
        <v>5693288.5644531641</v>
      </c>
      <c r="CF568">
        <f t="shared" ca="1" si="250"/>
        <v>13606320.000000035</v>
      </c>
      <c r="CG568">
        <f t="shared" ca="1" si="251"/>
        <v>-7913031.4355468713</v>
      </c>
      <c r="CH568" s="10">
        <f>分析データ!A568</f>
        <v>45755</v>
      </c>
    </row>
    <row r="569" spans="46:86">
      <c r="AT569">
        <f ca="1">IF(ROW()&lt;($C$7+1),"",IFERROR((分析データ!B569-AVERAGE(OFFSET(分析データ!B$1,MAX(1,ROW()-$C$7),0,MIN($C$7,ROW()-1),1)))/STDEV(OFFSET(分析データ!B$1,MAX(1,ROW()-$C$7),0,MIN($C$7,ROW()-1),1)),0))</f>
        <v>1.1523910780192077</v>
      </c>
      <c r="AU569">
        <f t="shared" ca="1" si="224"/>
        <v>0</v>
      </c>
      <c r="AV569" t="str">
        <f ca="1">IF(AU569=1,IF(INDEX(分析データ!$A:$A,ROW()+$C$5)&lt;&gt;"",80000*SIGN(AT569)*(分析データ!B569-INDEX(分析データ!B:B,ROW()+$C$5)),""),"")</f>
        <v/>
      </c>
      <c r="AW569">
        <f t="shared" ca="1" si="225"/>
        <v>-4999999.9999999925</v>
      </c>
      <c r="AX569">
        <f t="shared" ca="1" si="226"/>
        <v>0</v>
      </c>
      <c r="AY569">
        <f t="shared" ca="1" si="227"/>
        <v>-4999999.9999999925</v>
      </c>
      <c r="AZ569">
        <f ca="1">IF(ROW()&lt;($C$7+1),"",IFERROR((分析データ!C569-AVERAGE(OFFSET(分析データ!C$1,MAX(1,ROW()-$C$7),0,MIN($C$7,ROW()-1),1)))/STDEV(OFFSET(分析データ!C$1,MAX(1,ROW()-$C$7),0,MIN($C$7,ROW()-1),1)),0))</f>
        <v>-1.1545325303507128</v>
      </c>
      <c r="BA569">
        <f t="shared" ca="1" si="228"/>
        <v>0</v>
      </c>
      <c r="BB569" t="str">
        <f ca="1">IF(BA569=1,IF(INDEX(分析データ!$A:$A,ROW()+$C$5)&lt;&gt;"",60000*SIGN(AZ569)*(分析データ!C569-INDEX(分析データ!C:C,ROW()+$C$5)),""),"")</f>
        <v/>
      </c>
      <c r="BC569">
        <f t="shared" ca="1" si="229"/>
        <v>3075000.0000000102</v>
      </c>
      <c r="BD569">
        <f t="shared" ca="1" si="230"/>
        <v>3075000.0000000102</v>
      </c>
      <c r="BE569">
        <f t="shared" ca="1" si="231"/>
        <v>0</v>
      </c>
      <c r="BF569">
        <f ca="1">IF(ROW()&lt;($C$7+1),"",IFERROR((分析データ!D569-AVERAGE(OFFSET(分析データ!D$1,MAX(1,ROW()-$C$7),0,MIN($C$7,ROW()-1),1)))/STDEV(OFFSET(分析データ!D$1,MAX(1,ROW()-$C$7),0,MIN($C$7,ROW()-1),1)),0))</f>
        <v>-0.50129409199793684</v>
      </c>
      <c r="BG569">
        <f t="shared" ca="1" si="232"/>
        <v>0</v>
      </c>
      <c r="BH569" t="str">
        <f ca="1">IF(BG569=1,IF(INDEX(分析データ!$A:$A,ROW()+$C$5)&lt;&gt;"",50000*SIGN(BF569)*(分析データ!D569-INDEX(分析データ!D:D,ROW()+$C$5)),""),"")</f>
        <v/>
      </c>
      <c r="BI569">
        <f t="shared" ca="1" si="233"/>
        <v>195000.00000000582</v>
      </c>
      <c r="BJ569">
        <f t="shared" ca="1" si="234"/>
        <v>1695000.0000000016</v>
      </c>
      <c r="BK569">
        <f t="shared" ca="1" si="235"/>
        <v>-1499999.9999999958</v>
      </c>
      <c r="BL569">
        <f ca="1">IF(ROW()&lt;($C$7+1),"",IFERROR((分析データ!E569-AVERAGE(OFFSET(分析データ!E$1,MAX(1,ROW()-$C$7),0,MIN($C$7,ROW()-1),1)))/STDEV(OFFSET(分析データ!E$1,MAX(1,ROW()-$C$7),0,MIN($C$7,ROW()-1),1)),0))</f>
        <v>1.5622395233876238</v>
      </c>
      <c r="BM569">
        <f t="shared" ca="1" si="236"/>
        <v>0</v>
      </c>
      <c r="BN569" t="str">
        <f ca="1">IF(BM569=1,IF(INDEX(分析データ!$A:$A,ROW()+$C$5)&lt;&gt;"",40000*SIGN(BL569)*(分析データ!E569-INDEX(分析データ!E:E,ROW()+$C$5)),""),"")</f>
        <v/>
      </c>
      <c r="BO569">
        <f t="shared" ca="1" si="237"/>
        <v>840000.00000000687</v>
      </c>
      <c r="BP569">
        <f t="shared" ca="1" si="238"/>
        <v>1320000.0000000075</v>
      </c>
      <c r="BQ569">
        <f t="shared" ca="1" si="239"/>
        <v>-480000.00000000058</v>
      </c>
      <c r="BR569">
        <f ca="1">IF(ROW()&lt;($C$7+1),"",IFERROR((分析データ!F569-AVERAGE(OFFSET(分析データ!F$1,MAX(1,ROW()-$C$7),0,MIN($C$7,ROW()-1),1)))/STDEV(OFFSET(分析データ!F$1,MAX(1,ROW()-$C$7),0,MIN($C$7,ROW()-1),1)),0))</f>
        <v>-1.5963851229177028</v>
      </c>
      <c r="BS569">
        <f t="shared" ca="1" si="240"/>
        <v>0</v>
      </c>
      <c r="BT569" t="str">
        <f ca="1">IF(BS569=1,IF(INDEX(分析データ!$A:$A,ROW()+$C$5)&lt;&gt;"",40000*SIGN(BR569)*(分析データ!F569-INDEX(分析データ!F:F,ROW()+$C$5)),""),"")</f>
        <v/>
      </c>
      <c r="BU569">
        <f t="shared" ca="1" si="241"/>
        <v>3534799.9999999953</v>
      </c>
      <c r="BV569">
        <f t="shared" ca="1" si="242"/>
        <v>3534799.9999999953</v>
      </c>
      <c r="BW569">
        <f t="shared" ca="1" si="243"/>
        <v>0</v>
      </c>
      <c r="BX569">
        <f ca="1">IF(ROW()&lt;($C$7+1),"",IFERROR((分析データ!G569-AVERAGE(OFFSET(分析データ!G$1,MAX(1,ROW()-$C$7),0,MIN($C$7,ROW()-1),1)))/STDEV(OFFSET(分析データ!G$1,MAX(1,ROW()-$C$7),0,MIN($C$7,ROW()-1),1)),0))</f>
        <v>2.0947671258198093</v>
      </c>
      <c r="BY569">
        <f t="shared" ca="1" si="244"/>
        <v>1</v>
      </c>
      <c r="BZ569">
        <f ca="1">IF(BY569=1,IF(INDEX(分析データ!$A:$A,ROW()+$C$5)&lt;&gt;"",40000*SIGN(BX569)*(分析データ!G569-INDEX(分析データ!G:G,ROW()+$C$5)),""),"")</f>
        <v>-1331400.000000003</v>
      </c>
      <c r="CA569">
        <f t="shared" ca="1" si="245"/>
        <v>1717088.564453128</v>
      </c>
      <c r="CB569">
        <f t="shared" ca="1" si="246"/>
        <v>11327520.000000004</v>
      </c>
      <c r="CC569">
        <f t="shared" ca="1" si="247"/>
        <v>-9610431.435546875</v>
      </c>
      <c r="CD569">
        <f t="shared" ca="1" si="248"/>
        <v>-1331400.000000003</v>
      </c>
      <c r="CE569">
        <f t="shared" ca="1" si="249"/>
        <v>4361888.5644531613</v>
      </c>
      <c r="CF569">
        <f t="shared" ca="1" si="250"/>
        <v>13606320.000000035</v>
      </c>
      <c r="CG569">
        <f t="shared" ca="1" si="251"/>
        <v>-9244431.435546875</v>
      </c>
      <c r="CH569" s="10">
        <f>分析データ!A569</f>
        <v>45756</v>
      </c>
    </row>
    <row r="570" spans="46:86">
      <c r="AT570">
        <f ca="1">IF(ROW()&lt;($C$7+1),"",IFERROR((分析データ!B570-AVERAGE(OFFSET(分析データ!B$1,MAX(1,ROW()-$C$7),0,MIN($C$7,ROW()-1),1)))/STDEV(OFFSET(分析データ!B$1,MAX(1,ROW()-$C$7),0,MIN($C$7,ROW()-1),1)),0))</f>
        <v>1.3551557756695158</v>
      </c>
      <c r="AU570">
        <f t="shared" ca="1" si="224"/>
        <v>0</v>
      </c>
      <c r="AV570" t="str">
        <f ca="1">IF(AU570=1,IF(INDEX(分析データ!$A:$A,ROW()+$C$5)&lt;&gt;"",80000*SIGN(AT570)*(分析データ!B570-INDEX(分析データ!B:B,ROW()+$C$5)),""),"")</f>
        <v/>
      </c>
      <c r="AW570">
        <f t="shared" ca="1" si="225"/>
        <v>-4999999.9999999925</v>
      </c>
      <c r="AX570">
        <f t="shared" ca="1" si="226"/>
        <v>0</v>
      </c>
      <c r="AY570">
        <f t="shared" ca="1" si="227"/>
        <v>-4999999.9999999925</v>
      </c>
      <c r="AZ570">
        <f ca="1">IF(ROW()&lt;($C$7+1),"",IFERROR((分析データ!C570-AVERAGE(OFFSET(分析データ!C$1,MAX(1,ROW()-$C$7),0,MIN($C$7,ROW()-1),1)))/STDEV(OFFSET(分析データ!C$1,MAX(1,ROW()-$C$7),0,MIN($C$7,ROW()-1),1)),0))</f>
        <v>-2.1144696312837611E-2</v>
      </c>
      <c r="BA570">
        <f t="shared" ca="1" si="228"/>
        <v>0</v>
      </c>
      <c r="BB570" t="str">
        <f ca="1">IF(BA570=1,IF(INDEX(分析データ!$A:$A,ROW()+$C$5)&lt;&gt;"",60000*SIGN(AZ570)*(分析データ!C570-INDEX(分析データ!C:C,ROW()+$C$5)),""),"")</f>
        <v/>
      </c>
      <c r="BC570">
        <f t="shared" ca="1" si="229"/>
        <v>3075000.0000000102</v>
      </c>
      <c r="BD570">
        <f t="shared" ca="1" si="230"/>
        <v>3075000.0000000102</v>
      </c>
      <c r="BE570">
        <f t="shared" ca="1" si="231"/>
        <v>0</v>
      </c>
      <c r="BF570">
        <f ca="1">IF(ROW()&lt;($C$7+1),"",IFERROR((分析データ!D570-AVERAGE(OFFSET(分析データ!D$1,MAX(1,ROW()-$C$7),0,MIN($C$7,ROW()-1),1)))/STDEV(OFFSET(分析データ!D$1,MAX(1,ROW()-$C$7),0,MIN($C$7,ROW()-1),1)),0))</f>
        <v>-0.61904520776402294</v>
      </c>
      <c r="BG570">
        <f t="shared" ca="1" si="232"/>
        <v>0</v>
      </c>
      <c r="BH570" t="str">
        <f ca="1">IF(BG570=1,IF(INDEX(分析データ!$A:$A,ROW()+$C$5)&lt;&gt;"",50000*SIGN(BF570)*(分析データ!D570-INDEX(分析データ!D:D,ROW()+$C$5)),""),"")</f>
        <v/>
      </c>
      <c r="BI570">
        <f t="shared" ca="1" si="233"/>
        <v>195000.00000000582</v>
      </c>
      <c r="BJ570">
        <f t="shared" ca="1" si="234"/>
        <v>1695000.0000000016</v>
      </c>
      <c r="BK570">
        <f t="shared" ca="1" si="235"/>
        <v>-1499999.9999999958</v>
      </c>
      <c r="BL570">
        <f ca="1">IF(ROW()&lt;($C$7+1),"",IFERROR((分析データ!E570-AVERAGE(OFFSET(分析データ!E$1,MAX(1,ROW()-$C$7),0,MIN($C$7,ROW()-1),1)))/STDEV(OFFSET(分析データ!E$1,MAX(1,ROW()-$C$7),0,MIN($C$7,ROW()-1),1)),0))</f>
        <v>2.3656877346733616</v>
      </c>
      <c r="BM570">
        <f t="shared" ca="1" si="236"/>
        <v>1</v>
      </c>
      <c r="BN570">
        <f ca="1">IF(BM570=1,IF(INDEX(分析データ!$A:$A,ROW()+$C$5)&lt;&gt;"",40000*SIGN(BL570)*(分析データ!E570-INDEX(分析データ!E:E,ROW()+$C$5)),""),"")</f>
        <v>-199999.99999999942</v>
      </c>
      <c r="BO570">
        <f t="shared" ca="1" si="237"/>
        <v>640000.00000000745</v>
      </c>
      <c r="BP570">
        <f t="shared" ca="1" si="238"/>
        <v>1320000.0000000075</v>
      </c>
      <c r="BQ570">
        <f t="shared" ca="1" si="239"/>
        <v>-680000</v>
      </c>
      <c r="BR570">
        <f ca="1">IF(ROW()&lt;($C$7+1),"",IFERROR((分析データ!F570-AVERAGE(OFFSET(分析データ!F$1,MAX(1,ROW()-$C$7),0,MIN($C$7,ROW()-1),1)))/STDEV(OFFSET(分析データ!F$1,MAX(1,ROW()-$C$7),0,MIN($C$7,ROW()-1),1)),0))</f>
        <v>-2.5662326986263397</v>
      </c>
      <c r="BS570">
        <f t="shared" ca="1" si="240"/>
        <v>1</v>
      </c>
      <c r="BT570">
        <f ca="1">IF(BS570=1,IF(INDEX(分析データ!$A:$A,ROW()+$C$5)&lt;&gt;"",40000*SIGN(BR570)*(分析データ!F570-INDEX(分析データ!F:F,ROW()+$C$5)),""),"")</f>
        <v>201600.00000000309</v>
      </c>
      <c r="BU570">
        <f t="shared" ca="1" si="241"/>
        <v>3736399.9999999986</v>
      </c>
      <c r="BV570">
        <f t="shared" ca="1" si="242"/>
        <v>3736399.9999999986</v>
      </c>
      <c r="BW570">
        <f t="shared" ca="1" si="243"/>
        <v>0</v>
      </c>
      <c r="BX570">
        <f ca="1">IF(ROW()&lt;($C$7+1),"",IFERROR((分析データ!G570-AVERAGE(OFFSET(分析データ!G$1,MAX(1,ROW()-$C$7),0,MIN($C$7,ROW()-1),1)))/STDEV(OFFSET(分析データ!G$1,MAX(1,ROW()-$C$7),0,MIN($C$7,ROW()-1),1)),0))</f>
        <v>4.298870310205956</v>
      </c>
      <c r="BY570">
        <f t="shared" ca="1" si="244"/>
        <v>1</v>
      </c>
      <c r="BZ570">
        <f ca="1">IF(BY570=1,IF(INDEX(分析データ!$A:$A,ROW()+$C$5)&lt;&gt;"",40000*SIGN(BX570)*(分析データ!G570-INDEX(分析データ!G:G,ROW()+$C$5)),""),"")</f>
        <v>280785.71289062552</v>
      </c>
      <c r="CA570">
        <f t="shared" ca="1" si="245"/>
        <v>1997874.2773437535</v>
      </c>
      <c r="CB570">
        <f t="shared" ca="1" si="246"/>
        <v>11327520.000000004</v>
      </c>
      <c r="CC570">
        <f t="shared" ca="1" si="247"/>
        <v>-9329645.72265625</v>
      </c>
      <c r="CD570">
        <f t="shared" ca="1" si="248"/>
        <v>282385.71289062919</v>
      </c>
      <c r="CE570">
        <f t="shared" ca="1" si="249"/>
        <v>4644274.277343791</v>
      </c>
      <c r="CF570">
        <f t="shared" ca="1" si="250"/>
        <v>13606320.000000035</v>
      </c>
      <c r="CG570">
        <f t="shared" ca="1" si="251"/>
        <v>-8962045.7226562444</v>
      </c>
      <c r="CH570" s="10">
        <f>分析データ!A570</f>
        <v>45757</v>
      </c>
    </row>
    <row r="571" spans="46:86">
      <c r="AT571">
        <f ca="1">IF(ROW()&lt;($C$7+1),"",IFERROR((分析データ!B571-AVERAGE(OFFSET(分析データ!B$1,MAX(1,ROW()-$C$7),0,MIN($C$7,ROW()-1),1)))/STDEV(OFFSET(分析データ!B$1,MAX(1,ROW()-$C$7),0,MIN($C$7,ROW()-1),1)),0))</f>
        <v>1.5553892440041239</v>
      </c>
      <c r="AU571">
        <f t="shared" ca="1" si="224"/>
        <v>0</v>
      </c>
      <c r="AV571" t="str">
        <f ca="1">IF(AU571=1,IF(INDEX(分析データ!$A:$A,ROW()+$C$5)&lt;&gt;"",80000*SIGN(AT571)*(分析データ!B571-INDEX(分析データ!B:B,ROW()+$C$5)),""),"")</f>
        <v/>
      </c>
      <c r="AW571">
        <f t="shared" ca="1" si="225"/>
        <v>-4999999.9999999925</v>
      </c>
      <c r="AX571">
        <f t="shared" ca="1" si="226"/>
        <v>0</v>
      </c>
      <c r="AY571">
        <f t="shared" ca="1" si="227"/>
        <v>-4999999.9999999925</v>
      </c>
      <c r="AZ571">
        <f ca="1">IF(ROW()&lt;($C$7+1),"",IFERROR((分析データ!C571-AVERAGE(OFFSET(分析データ!C$1,MAX(1,ROW()-$C$7),0,MIN($C$7,ROW()-1),1)))/STDEV(OFFSET(分析データ!C$1,MAX(1,ROW()-$C$7),0,MIN($C$7,ROW()-1),1)),0))</f>
        <v>-0.22822638152112706</v>
      </c>
      <c r="BA571">
        <f t="shared" ca="1" si="228"/>
        <v>0</v>
      </c>
      <c r="BB571" t="str">
        <f ca="1">IF(BA571=1,IF(INDEX(分析データ!$A:$A,ROW()+$C$5)&lt;&gt;"",60000*SIGN(AZ571)*(分析データ!C571-INDEX(分析データ!C:C,ROW()+$C$5)),""),"")</f>
        <v/>
      </c>
      <c r="BC571">
        <f t="shared" ca="1" si="229"/>
        <v>3075000.0000000102</v>
      </c>
      <c r="BD571">
        <f t="shared" ca="1" si="230"/>
        <v>3075000.0000000102</v>
      </c>
      <c r="BE571">
        <f t="shared" ca="1" si="231"/>
        <v>0</v>
      </c>
      <c r="BF571">
        <f ca="1">IF(ROW()&lt;($C$7+1),"",IFERROR((分析データ!D571-AVERAGE(OFFSET(分析データ!D$1,MAX(1,ROW()-$C$7),0,MIN($C$7,ROW()-1),1)))/STDEV(OFFSET(分析データ!D$1,MAX(1,ROW()-$C$7),0,MIN($C$7,ROW()-1),1)),0))</f>
        <v>-0.2511653994126134</v>
      </c>
      <c r="BG571">
        <f t="shared" ca="1" si="232"/>
        <v>0</v>
      </c>
      <c r="BH571" t="str">
        <f ca="1">IF(BG571=1,IF(INDEX(分析データ!$A:$A,ROW()+$C$5)&lt;&gt;"",50000*SIGN(BF571)*(分析データ!D571-INDEX(分析データ!D:D,ROW()+$C$5)),""),"")</f>
        <v/>
      </c>
      <c r="BI571">
        <f t="shared" ca="1" si="233"/>
        <v>195000.00000000582</v>
      </c>
      <c r="BJ571">
        <f t="shared" ca="1" si="234"/>
        <v>1695000.0000000016</v>
      </c>
      <c r="BK571">
        <f t="shared" ca="1" si="235"/>
        <v>-1499999.9999999958</v>
      </c>
      <c r="BL571">
        <f ca="1">IF(ROW()&lt;($C$7+1),"",IFERROR((分析データ!E571-AVERAGE(OFFSET(分析データ!E$1,MAX(1,ROW()-$C$7),0,MIN($C$7,ROW()-1),1)))/STDEV(OFFSET(分析データ!E$1,MAX(1,ROW()-$C$7),0,MIN($C$7,ROW()-1),1)),0))</f>
        <v>2.0324928336327033</v>
      </c>
      <c r="BM571">
        <f t="shared" ca="1" si="236"/>
        <v>1</v>
      </c>
      <c r="BN571">
        <f ca="1">IF(BM571=1,IF(INDEX(分析データ!$A:$A,ROW()+$C$5)&lt;&gt;"",40000*SIGN(BL571)*(分析データ!E571-INDEX(分析データ!E:E,ROW()+$C$5)),""),"")</f>
        <v>-360000.00000000116</v>
      </c>
      <c r="BO571">
        <f t="shared" ca="1" si="237"/>
        <v>280000.00000000629</v>
      </c>
      <c r="BP571">
        <f t="shared" ca="1" si="238"/>
        <v>1320000.0000000075</v>
      </c>
      <c r="BQ571">
        <f t="shared" ca="1" si="239"/>
        <v>-1040000.0000000012</v>
      </c>
      <c r="BR571">
        <f ca="1">IF(ROW()&lt;($C$7+1),"",IFERROR((分析データ!F571-AVERAGE(OFFSET(分析データ!F$1,MAX(1,ROW()-$C$7),0,MIN($C$7,ROW()-1),1)))/STDEV(OFFSET(分析データ!F$1,MAX(1,ROW()-$C$7),0,MIN($C$7,ROW()-1),1)),0))</f>
        <v>-2.8008763070939273</v>
      </c>
      <c r="BS571">
        <f t="shared" ca="1" si="240"/>
        <v>1</v>
      </c>
      <c r="BT571">
        <f ca="1">IF(BS571=1,IF(INDEX(分析データ!$A:$A,ROW()+$C$5)&lt;&gt;"",40000*SIGN(BR571)*(分析データ!F571-INDEX(分析データ!F:F,ROW()+$C$5)),""),"")</f>
        <v>862000.00000000268</v>
      </c>
      <c r="BU571">
        <f t="shared" ca="1" si="241"/>
        <v>4598400.0000000009</v>
      </c>
      <c r="BV571">
        <f t="shared" ca="1" si="242"/>
        <v>4598400.0000000009</v>
      </c>
      <c r="BW571">
        <f t="shared" ca="1" si="243"/>
        <v>0</v>
      </c>
      <c r="BX571">
        <f ca="1">IF(ROW()&lt;($C$7+1),"",IFERROR((分析データ!G571-AVERAGE(OFFSET(分析データ!G$1,MAX(1,ROW()-$C$7),0,MIN($C$7,ROW()-1),1)))/STDEV(OFFSET(分析データ!G$1,MAX(1,ROW()-$C$7),0,MIN($C$7,ROW()-1),1)),0))</f>
        <v>2.2526160549580059</v>
      </c>
      <c r="BY571">
        <f t="shared" ca="1" si="244"/>
        <v>1</v>
      </c>
      <c r="BZ571">
        <f ca="1">IF(BY571=1,IF(INDEX(分析データ!$A:$A,ROW()+$C$5)&lt;&gt;"",40000*SIGN(BX571)*(分析データ!G571-INDEX(分析データ!G:G,ROW()+$C$5)),""),"")</f>
        <v>-1029032.8564453137</v>
      </c>
      <c r="CA571">
        <f t="shared" ca="1" si="245"/>
        <v>968841.42089843983</v>
      </c>
      <c r="CB571">
        <f t="shared" ca="1" si="246"/>
        <v>11327520.000000004</v>
      </c>
      <c r="CC571">
        <f t="shared" ca="1" si="247"/>
        <v>-10358678.579101564</v>
      </c>
      <c r="CD571">
        <f t="shared" ca="1" si="248"/>
        <v>-527032.85644531215</v>
      </c>
      <c r="CE571">
        <f t="shared" ca="1" si="249"/>
        <v>4117241.4208984789</v>
      </c>
      <c r="CF571">
        <f t="shared" ca="1" si="250"/>
        <v>13606320.000000035</v>
      </c>
      <c r="CG571">
        <f t="shared" ca="1" si="251"/>
        <v>-9489078.5791015569</v>
      </c>
      <c r="CH571" s="10">
        <f>分析データ!A571</f>
        <v>45758</v>
      </c>
    </row>
    <row r="572" spans="46:86">
      <c r="AT572">
        <f ca="1">IF(ROW()&lt;($C$7+1),"",IFERROR((分析データ!B572-AVERAGE(OFFSET(分析データ!B$1,MAX(1,ROW()-$C$7),0,MIN($C$7,ROW()-1),1)))/STDEV(OFFSET(分析データ!B$1,MAX(1,ROW()-$C$7),0,MIN($C$7,ROW()-1),1)),0))</f>
        <v>1.4153924909819577</v>
      </c>
      <c r="AU572">
        <f t="shared" ca="1" si="224"/>
        <v>0</v>
      </c>
      <c r="AV572" t="str">
        <f ca="1">IF(AU572=1,IF(INDEX(分析データ!$A:$A,ROW()+$C$5)&lt;&gt;"",80000*SIGN(AT572)*(分析データ!B572-INDEX(分析データ!B:B,ROW()+$C$5)),""),"")</f>
        <v/>
      </c>
      <c r="AW572">
        <f t="shared" ca="1" si="225"/>
        <v>-4999999.9999999925</v>
      </c>
      <c r="AX572">
        <f t="shared" ca="1" si="226"/>
        <v>0</v>
      </c>
      <c r="AY572">
        <f t="shared" ca="1" si="227"/>
        <v>-4999999.9999999925</v>
      </c>
      <c r="AZ572">
        <f ca="1">IF(ROW()&lt;($C$7+1),"",IFERROR((分析データ!C572-AVERAGE(OFFSET(分析データ!C$1,MAX(1,ROW()-$C$7),0,MIN($C$7,ROW()-1),1)))/STDEV(OFFSET(分析データ!C$1,MAX(1,ROW()-$C$7),0,MIN($C$7,ROW()-1),1)),0))</f>
        <v>-0.84996978741755636</v>
      </c>
      <c r="BA572">
        <f t="shared" ca="1" si="228"/>
        <v>0</v>
      </c>
      <c r="BB572" t="str">
        <f ca="1">IF(BA572=1,IF(INDEX(分析データ!$A:$A,ROW()+$C$5)&lt;&gt;"",60000*SIGN(AZ572)*(分析データ!C572-INDEX(分析データ!C:C,ROW()+$C$5)),""),"")</f>
        <v/>
      </c>
      <c r="BC572">
        <f t="shared" ca="1" si="229"/>
        <v>3075000.0000000102</v>
      </c>
      <c r="BD572">
        <f t="shared" ca="1" si="230"/>
        <v>3075000.0000000102</v>
      </c>
      <c r="BE572">
        <f t="shared" ca="1" si="231"/>
        <v>0</v>
      </c>
      <c r="BF572">
        <f ca="1">IF(ROW()&lt;($C$7+1),"",IFERROR((分析データ!D572-AVERAGE(OFFSET(分析データ!D$1,MAX(1,ROW()-$C$7),0,MIN($C$7,ROW()-1),1)))/STDEV(OFFSET(分析データ!D$1,MAX(1,ROW()-$C$7),0,MIN($C$7,ROW()-1),1)),0))</f>
        <v>-0.57674099993333894</v>
      </c>
      <c r="BG572">
        <f t="shared" ca="1" si="232"/>
        <v>0</v>
      </c>
      <c r="BH572" t="str">
        <f ca="1">IF(BG572=1,IF(INDEX(分析データ!$A:$A,ROW()+$C$5)&lt;&gt;"",50000*SIGN(BF572)*(分析データ!D572-INDEX(分析データ!D:D,ROW()+$C$5)),""),"")</f>
        <v/>
      </c>
      <c r="BI572">
        <f t="shared" ca="1" si="233"/>
        <v>195000.00000000582</v>
      </c>
      <c r="BJ572">
        <f t="shared" ca="1" si="234"/>
        <v>1695000.0000000016</v>
      </c>
      <c r="BK572">
        <f t="shared" ca="1" si="235"/>
        <v>-1499999.9999999958</v>
      </c>
      <c r="BL572">
        <f ca="1">IF(ROW()&lt;($C$7+1),"",IFERROR((分析データ!E572-AVERAGE(OFFSET(分析データ!E$1,MAX(1,ROW()-$C$7),0,MIN($C$7,ROW()-1),1)))/STDEV(OFFSET(分析データ!E$1,MAX(1,ROW()-$C$7),0,MIN($C$7,ROW()-1),1)),0))</f>
        <v>2.3185396612697695</v>
      </c>
      <c r="BM572">
        <f t="shared" ca="1" si="236"/>
        <v>1</v>
      </c>
      <c r="BN572">
        <f ca="1">IF(BM572=1,IF(INDEX(分析データ!$A:$A,ROW()+$C$5)&lt;&gt;"",40000*SIGN(BL572)*(分析データ!E572-INDEX(分析データ!E:E,ROW()+$C$5)),""),"")</f>
        <v>-240000.00000000029</v>
      </c>
      <c r="BO572">
        <f t="shared" ca="1" si="237"/>
        <v>40000.000000005995</v>
      </c>
      <c r="BP572">
        <f t="shared" ca="1" si="238"/>
        <v>1320000.0000000075</v>
      </c>
      <c r="BQ572">
        <f t="shared" ca="1" si="239"/>
        <v>-1280000.0000000014</v>
      </c>
      <c r="BR572">
        <f ca="1">IF(ROW()&lt;($C$7+1),"",IFERROR((分析データ!F572-AVERAGE(OFFSET(分析データ!F$1,MAX(1,ROW()-$C$7),0,MIN($C$7,ROW()-1),1)))/STDEV(OFFSET(分析データ!F$1,MAX(1,ROW()-$C$7),0,MIN($C$7,ROW()-1),1)),0))</f>
        <v>-2.775131117637518</v>
      </c>
      <c r="BS572">
        <f t="shared" ca="1" si="240"/>
        <v>1</v>
      </c>
      <c r="BT572">
        <f ca="1">IF(BS572=1,IF(INDEX(分析データ!$A:$A,ROW()+$C$5)&lt;&gt;"",40000*SIGN(BR572)*(分析データ!F572-INDEX(分析データ!F:F,ROW()+$C$5)),""),"")</f>
        <v>1388399.9999999991</v>
      </c>
      <c r="BU572">
        <f t="shared" ca="1" si="241"/>
        <v>5986800</v>
      </c>
      <c r="BV572">
        <f t="shared" ca="1" si="242"/>
        <v>5986800</v>
      </c>
      <c r="BW572">
        <f t="shared" ca="1" si="243"/>
        <v>0</v>
      </c>
      <c r="BX572">
        <f ca="1">IF(ROW()&lt;($C$7+1),"",IFERROR((分析データ!G572-AVERAGE(OFFSET(分析データ!G$1,MAX(1,ROW()-$C$7),0,MIN($C$7,ROW()-1),1)))/STDEV(OFFSET(分析データ!G$1,MAX(1,ROW()-$C$7),0,MIN($C$7,ROW()-1),1)),0))</f>
        <v>4.5604698563113946</v>
      </c>
      <c r="BY572">
        <f t="shared" ca="1" si="244"/>
        <v>1</v>
      </c>
      <c r="BZ572">
        <f ca="1">IF(BY572=1,IF(INDEX(分析データ!$A:$A,ROW()+$C$5)&lt;&gt;"",40000*SIGN(BX572)*(分析データ!G572-INDEX(分析データ!G:G,ROW()+$C$5)),""),"")</f>
        <v>1757974.2871093708</v>
      </c>
      <c r="CA572">
        <f t="shared" ca="1" si="245"/>
        <v>2726815.7080078106</v>
      </c>
      <c r="CB572">
        <f t="shared" ca="1" si="246"/>
        <v>11327520.000000004</v>
      </c>
      <c r="CC572">
        <f t="shared" ca="1" si="247"/>
        <v>-8600704.2919921931</v>
      </c>
      <c r="CD572">
        <f t="shared" ca="1" si="248"/>
        <v>2906374.2871093694</v>
      </c>
      <c r="CE572">
        <f t="shared" ca="1" si="249"/>
        <v>7023615.7080078479</v>
      </c>
      <c r="CF572">
        <f t="shared" ca="1" si="250"/>
        <v>13606320.000000035</v>
      </c>
      <c r="CG572">
        <f t="shared" ca="1" si="251"/>
        <v>-6582704.2919921875</v>
      </c>
      <c r="CH572" s="10">
        <f>分析データ!A572</f>
        <v>45761</v>
      </c>
    </row>
    <row r="573" spans="46:86">
      <c r="AT573">
        <f ca="1">IF(ROW()&lt;($C$7+1),"",IFERROR((分析データ!B573-AVERAGE(OFFSET(分析データ!B$1,MAX(1,ROW()-$C$7),0,MIN($C$7,ROW()-1),1)))/STDEV(OFFSET(分析データ!B$1,MAX(1,ROW()-$C$7),0,MIN($C$7,ROW()-1),1)),0))</f>
        <v>1.1922757661150756</v>
      </c>
      <c r="AU573">
        <f t="shared" ca="1" si="224"/>
        <v>0</v>
      </c>
      <c r="AV573" t="str">
        <f ca="1">IF(AU573=1,IF(INDEX(分析データ!$A:$A,ROW()+$C$5)&lt;&gt;"",80000*SIGN(AT573)*(分析データ!B573-INDEX(分析データ!B:B,ROW()+$C$5)),""),"")</f>
        <v/>
      </c>
      <c r="AW573">
        <f t="shared" ca="1" si="225"/>
        <v>-4999999.9999999925</v>
      </c>
      <c r="AX573">
        <f t="shared" ca="1" si="226"/>
        <v>0</v>
      </c>
      <c r="AY573">
        <f t="shared" ca="1" si="227"/>
        <v>-4999999.9999999925</v>
      </c>
      <c r="AZ573">
        <f ca="1">IF(ROW()&lt;($C$7+1),"",IFERROR((分析データ!C573-AVERAGE(OFFSET(分析データ!C$1,MAX(1,ROW()-$C$7),0,MIN($C$7,ROW()-1),1)))/STDEV(OFFSET(分析データ!C$1,MAX(1,ROW()-$C$7),0,MIN($C$7,ROW()-1),1)),0))</f>
        <v>-0.70103757201347849</v>
      </c>
      <c r="BA573">
        <f t="shared" ca="1" si="228"/>
        <v>0</v>
      </c>
      <c r="BB573" t="str">
        <f ca="1">IF(BA573=1,IF(INDEX(分析データ!$A:$A,ROW()+$C$5)&lt;&gt;"",60000*SIGN(AZ573)*(分析データ!C573-INDEX(分析データ!C:C,ROW()+$C$5)),""),"")</f>
        <v/>
      </c>
      <c r="BC573">
        <f t="shared" ca="1" si="229"/>
        <v>3075000.0000000102</v>
      </c>
      <c r="BD573">
        <f t="shared" ca="1" si="230"/>
        <v>3075000.0000000102</v>
      </c>
      <c r="BE573">
        <f t="shared" ca="1" si="231"/>
        <v>0</v>
      </c>
      <c r="BF573">
        <f ca="1">IF(ROW()&lt;($C$7+1),"",IFERROR((分析データ!D573-AVERAGE(OFFSET(分析データ!D$1,MAX(1,ROW()-$C$7),0,MIN($C$7,ROW()-1),1)))/STDEV(OFFSET(分析データ!D$1,MAX(1,ROW()-$C$7),0,MIN($C$7,ROW()-1),1)),0))</f>
        <v>-0.77540626626189491</v>
      </c>
      <c r="BG573">
        <f t="shared" ca="1" si="232"/>
        <v>0</v>
      </c>
      <c r="BH573" t="str">
        <f ca="1">IF(BG573=1,IF(INDEX(分析データ!$A:$A,ROW()+$C$5)&lt;&gt;"",50000*SIGN(BF573)*(分析データ!D573-INDEX(分析データ!D:D,ROW()+$C$5)),""),"")</f>
        <v/>
      </c>
      <c r="BI573">
        <f t="shared" ca="1" si="233"/>
        <v>195000.00000000582</v>
      </c>
      <c r="BJ573">
        <f t="shared" ca="1" si="234"/>
        <v>1695000.0000000016</v>
      </c>
      <c r="BK573">
        <f t="shared" ca="1" si="235"/>
        <v>-1499999.9999999958</v>
      </c>
      <c r="BL573">
        <f ca="1">IF(ROW()&lt;($C$7+1),"",IFERROR((分析データ!E573-AVERAGE(OFFSET(分析データ!E$1,MAX(1,ROW()-$C$7),0,MIN($C$7,ROW()-1),1)))/STDEV(OFFSET(分析データ!E$1,MAX(1,ROW()-$C$7),0,MIN($C$7,ROW()-1),1)),0))</f>
        <v>2.3940685235946799</v>
      </c>
      <c r="BM573">
        <f t="shared" ca="1" si="236"/>
        <v>1</v>
      </c>
      <c r="BN573">
        <f ca="1">IF(BM573=1,IF(INDEX(分析データ!$A:$A,ROW()+$C$5)&lt;&gt;"",40000*SIGN(BL573)*(分析データ!E573-INDEX(分析データ!E:E,ROW()+$C$5)),""),"")</f>
        <v>-320000.00000000029</v>
      </c>
      <c r="BO573">
        <f t="shared" ca="1" si="237"/>
        <v>-279999.9999999943</v>
      </c>
      <c r="BP573">
        <f t="shared" ca="1" si="238"/>
        <v>1320000.0000000075</v>
      </c>
      <c r="BQ573">
        <f t="shared" ca="1" si="239"/>
        <v>-1600000.0000000019</v>
      </c>
      <c r="BR573">
        <f ca="1">IF(ROW()&lt;($C$7+1),"",IFERROR((分析データ!F573-AVERAGE(OFFSET(分析データ!F$1,MAX(1,ROW()-$C$7),0,MIN($C$7,ROW()-1),1)))/STDEV(OFFSET(分析データ!F$1,MAX(1,ROW()-$C$7),0,MIN($C$7,ROW()-1),1)),0))</f>
        <v>-2.576423033903672</v>
      </c>
      <c r="BS573">
        <f t="shared" ca="1" si="240"/>
        <v>1</v>
      </c>
      <c r="BT573">
        <f ca="1">IF(BS573=1,IF(INDEX(分析データ!$A:$A,ROW()+$C$5)&lt;&gt;"",40000*SIGN(BR573)*(分析データ!F573-INDEX(分析データ!F:F,ROW()+$C$5)),""),"")</f>
        <v>1237199.9999999979</v>
      </c>
      <c r="BU573">
        <f t="shared" ca="1" si="241"/>
        <v>7223999.9999999981</v>
      </c>
      <c r="BV573">
        <f t="shared" ca="1" si="242"/>
        <v>7223999.9999999981</v>
      </c>
      <c r="BW573">
        <f t="shared" ca="1" si="243"/>
        <v>0</v>
      </c>
      <c r="BX573">
        <f ca="1">IF(ROW()&lt;($C$7+1),"",IFERROR((分析データ!G573-AVERAGE(OFFSET(分析データ!G$1,MAX(1,ROW()-$C$7),0,MIN($C$7,ROW()-1),1)))/STDEV(OFFSET(分析データ!G$1,MAX(1,ROW()-$C$7),0,MIN($C$7,ROW()-1),1)),0))</f>
        <v>3.5462713472410523</v>
      </c>
      <c r="BY573">
        <f t="shared" ca="1" si="244"/>
        <v>1</v>
      </c>
      <c r="BZ573">
        <f ca="1">IF(BY573=1,IF(INDEX(分析データ!$A:$A,ROW()+$C$5)&lt;&gt;"",40000*SIGN(BX573)*(分析データ!G573-INDEX(分析データ!G:G,ROW()+$C$5)),""),"")</f>
        <v>643487.14355468401</v>
      </c>
      <c r="CA573">
        <f t="shared" ca="1" si="245"/>
        <v>3370302.8515624944</v>
      </c>
      <c r="CB573">
        <f t="shared" ca="1" si="246"/>
        <v>11327520.000000004</v>
      </c>
      <c r="CC573">
        <f t="shared" ca="1" si="247"/>
        <v>-7957217.1484375093</v>
      </c>
      <c r="CD573">
        <f t="shared" ca="1" si="248"/>
        <v>1560687.1435546817</v>
      </c>
      <c r="CE573">
        <f t="shared" ca="1" si="249"/>
        <v>8584302.8515625298</v>
      </c>
      <c r="CF573">
        <f t="shared" ca="1" si="250"/>
        <v>13606320.000000035</v>
      </c>
      <c r="CG573">
        <f t="shared" ca="1" si="251"/>
        <v>-5022017.1484375056</v>
      </c>
      <c r="CH573" s="10">
        <f>分析データ!A573</f>
        <v>45762</v>
      </c>
    </row>
    <row r="574" spans="46:86">
      <c r="AT574">
        <f ca="1">IF(ROW()&lt;($C$7+1),"",IFERROR((分析データ!B574-AVERAGE(OFFSET(分析データ!B$1,MAX(1,ROW()-$C$7),0,MIN($C$7,ROW()-1),1)))/STDEV(OFFSET(分析データ!B$1,MAX(1,ROW()-$C$7),0,MIN($C$7,ROW()-1),1)),0))</f>
        <v>1.1828739370077581</v>
      </c>
      <c r="AU574">
        <f t="shared" ca="1" si="224"/>
        <v>0</v>
      </c>
      <c r="AV574" t="str">
        <f ca="1">IF(AU574=1,IF(INDEX(分析データ!$A:$A,ROW()+$C$5)&lt;&gt;"",80000*SIGN(AT574)*(分析データ!B574-INDEX(分析データ!B:B,ROW()+$C$5)),""),"")</f>
        <v/>
      </c>
      <c r="AW574">
        <f t="shared" ca="1" si="225"/>
        <v>-4999999.9999999925</v>
      </c>
      <c r="AX574">
        <f t="shared" ca="1" si="226"/>
        <v>0</v>
      </c>
      <c r="AY574">
        <f t="shared" ca="1" si="227"/>
        <v>-4999999.9999999925</v>
      </c>
      <c r="AZ574">
        <f ca="1">IF(ROW()&lt;($C$7+1),"",IFERROR((分析データ!C574-AVERAGE(OFFSET(分析データ!C$1,MAX(1,ROW()-$C$7),0,MIN($C$7,ROW()-1),1)))/STDEV(OFFSET(分析データ!C$1,MAX(1,ROW()-$C$7),0,MIN($C$7,ROW()-1),1)),0))</f>
        <v>-0.88155093954926833</v>
      </c>
      <c r="BA574">
        <f t="shared" ca="1" si="228"/>
        <v>0</v>
      </c>
      <c r="BB574" t="str">
        <f ca="1">IF(BA574=1,IF(INDEX(分析データ!$A:$A,ROW()+$C$5)&lt;&gt;"",60000*SIGN(AZ574)*(分析データ!C574-INDEX(分析データ!C:C,ROW()+$C$5)),""),"")</f>
        <v/>
      </c>
      <c r="BC574">
        <f t="shared" ca="1" si="229"/>
        <v>3075000.0000000102</v>
      </c>
      <c r="BD574">
        <f t="shared" ca="1" si="230"/>
        <v>3075000.0000000102</v>
      </c>
      <c r="BE574">
        <f t="shared" ca="1" si="231"/>
        <v>0</v>
      </c>
      <c r="BF574">
        <f ca="1">IF(ROW()&lt;($C$7+1),"",IFERROR((分析データ!D574-AVERAGE(OFFSET(分析データ!D$1,MAX(1,ROW()-$C$7),0,MIN($C$7,ROW()-1),1)))/STDEV(OFFSET(分析データ!D$1,MAX(1,ROW()-$C$7),0,MIN($C$7,ROW()-1),1)),0))</f>
        <v>-0.72578732467238571</v>
      </c>
      <c r="BG574">
        <f t="shared" ca="1" si="232"/>
        <v>0</v>
      </c>
      <c r="BH574" t="str">
        <f ca="1">IF(BG574=1,IF(INDEX(分析データ!$A:$A,ROW()+$C$5)&lt;&gt;"",50000*SIGN(BF574)*(分析データ!D574-INDEX(分析データ!D:D,ROW()+$C$5)),""),"")</f>
        <v/>
      </c>
      <c r="BI574">
        <f t="shared" ca="1" si="233"/>
        <v>195000.00000000582</v>
      </c>
      <c r="BJ574">
        <f t="shared" ca="1" si="234"/>
        <v>1695000.0000000016</v>
      </c>
      <c r="BK574">
        <f t="shared" ca="1" si="235"/>
        <v>-1499999.9999999958</v>
      </c>
      <c r="BL574">
        <f ca="1">IF(ROW()&lt;($C$7+1),"",IFERROR((分析データ!E574-AVERAGE(OFFSET(分析データ!E$1,MAX(1,ROW()-$C$7),0,MIN($C$7,ROW()-1),1)))/STDEV(OFFSET(分析データ!E$1,MAX(1,ROW()-$C$7),0,MIN($C$7,ROW()-1),1)),0))</f>
        <v>2.465415893161051</v>
      </c>
      <c r="BM574">
        <f t="shared" ca="1" si="236"/>
        <v>1</v>
      </c>
      <c r="BN574">
        <f ca="1">IF(BM574=1,IF(INDEX(分析データ!$A:$A,ROW()+$C$5)&lt;&gt;"",40000*SIGN(BL574)*(分析データ!E574-INDEX(分析データ!E:E,ROW()+$C$5)),""),"")</f>
        <v>-240000.00000000029</v>
      </c>
      <c r="BO574">
        <f t="shared" ca="1" si="237"/>
        <v>-519999.99999999459</v>
      </c>
      <c r="BP574">
        <f t="shared" ca="1" si="238"/>
        <v>1320000.0000000075</v>
      </c>
      <c r="BQ574">
        <f t="shared" ca="1" si="239"/>
        <v>-1840000.0000000021</v>
      </c>
      <c r="BR574">
        <f ca="1">IF(ROW()&lt;($C$7+1),"",IFERROR((分析データ!F574-AVERAGE(OFFSET(分析データ!F$1,MAX(1,ROW()-$C$7),0,MIN($C$7,ROW()-1),1)))/STDEV(OFFSET(分析データ!F$1,MAX(1,ROW()-$C$7),0,MIN($C$7,ROW()-1),1)),0))</f>
        <v>-1.6236244373003892</v>
      </c>
      <c r="BS574">
        <f t="shared" ca="1" si="240"/>
        <v>0</v>
      </c>
      <c r="BT574" t="str">
        <f ca="1">IF(BS574=1,IF(INDEX(分析データ!$A:$A,ROW()+$C$5)&lt;&gt;"",40000*SIGN(BR574)*(分析データ!F574-INDEX(分析データ!F:F,ROW()+$C$5)),""),"")</f>
        <v/>
      </c>
      <c r="BU574">
        <f t="shared" ca="1" si="241"/>
        <v>7223999.9999999981</v>
      </c>
      <c r="BV574">
        <f t="shared" ca="1" si="242"/>
        <v>7223999.9999999981</v>
      </c>
      <c r="BW574">
        <f t="shared" ca="1" si="243"/>
        <v>0</v>
      </c>
      <c r="BX574">
        <f ca="1">IF(ROW()&lt;($C$7+1),"",IFERROR((分析データ!G574-AVERAGE(OFFSET(分析データ!G$1,MAX(1,ROW()-$C$7),0,MIN($C$7,ROW()-1),1)))/STDEV(OFFSET(分析データ!G$1,MAX(1,ROW()-$C$7),0,MIN($C$7,ROW()-1),1)),0))</f>
        <v>3.0079903843206814</v>
      </c>
      <c r="BY574">
        <f t="shared" ca="1" si="244"/>
        <v>1</v>
      </c>
      <c r="BZ574">
        <f ca="1">IF(BY574=1,IF(INDEX(分析データ!$A:$A,ROW()+$C$5)&lt;&gt;"",40000*SIGN(BX574)*(分析データ!G574-INDEX(分析データ!G:G,ROW()+$C$5)),""),"")</f>
        <v>157520.00000000256</v>
      </c>
      <c r="CA574">
        <f t="shared" ca="1" si="245"/>
        <v>3527822.8515624972</v>
      </c>
      <c r="CB574">
        <f t="shared" ca="1" si="246"/>
        <v>11327520.000000004</v>
      </c>
      <c r="CC574">
        <f t="shared" ca="1" si="247"/>
        <v>-7799697.1484375065</v>
      </c>
      <c r="CD574">
        <f t="shared" ca="1" si="248"/>
        <v>-82479.99999999773</v>
      </c>
      <c r="CE574">
        <f t="shared" ca="1" si="249"/>
        <v>8501822.8515625317</v>
      </c>
      <c r="CF574">
        <f t="shared" ca="1" si="250"/>
        <v>13606320.000000035</v>
      </c>
      <c r="CG574">
        <f t="shared" ca="1" si="251"/>
        <v>-5104497.1484375037</v>
      </c>
      <c r="CH574" s="10">
        <f>分析データ!A574</f>
        <v>45763</v>
      </c>
    </row>
    <row r="575" spans="46:86">
      <c r="AT575">
        <f ca="1">IF(ROW()&lt;($C$7+1),"",IFERROR((分析データ!B575-AVERAGE(OFFSET(分析データ!B$1,MAX(1,ROW()-$C$7),0,MIN($C$7,ROW()-1),1)))/STDEV(OFFSET(分析データ!B$1,MAX(1,ROW()-$C$7),0,MIN($C$7,ROW()-1),1)),0))</f>
        <v>1.1732658510007439</v>
      </c>
      <c r="AU575">
        <f t="shared" ca="1" si="224"/>
        <v>0</v>
      </c>
      <c r="AV575" t="str">
        <f ca="1">IF(AU575=1,IF(INDEX(分析データ!$A:$A,ROW()+$C$5)&lt;&gt;"",80000*SIGN(AT575)*(分析データ!B575-INDEX(分析データ!B:B,ROW()+$C$5)),""),"")</f>
        <v/>
      </c>
      <c r="AW575">
        <f t="shared" ca="1" si="225"/>
        <v>-4999999.9999999925</v>
      </c>
      <c r="AX575">
        <f t="shared" ca="1" si="226"/>
        <v>0</v>
      </c>
      <c r="AY575">
        <f t="shared" ca="1" si="227"/>
        <v>-4999999.9999999925</v>
      </c>
      <c r="AZ575">
        <f ca="1">IF(ROW()&lt;($C$7+1),"",IFERROR((分析データ!C575-AVERAGE(OFFSET(分析データ!C$1,MAX(1,ROW()-$C$7),0,MIN($C$7,ROW()-1),1)))/STDEV(OFFSET(分析データ!C$1,MAX(1,ROW()-$C$7),0,MIN($C$7,ROW()-1),1)),0))</f>
        <v>-0.6320458934533224</v>
      </c>
      <c r="BA575">
        <f t="shared" ca="1" si="228"/>
        <v>0</v>
      </c>
      <c r="BB575" t="str">
        <f ca="1">IF(BA575=1,IF(INDEX(分析データ!$A:$A,ROW()+$C$5)&lt;&gt;"",60000*SIGN(AZ575)*(分析データ!C575-INDEX(分析データ!C:C,ROW()+$C$5)),""),"")</f>
        <v/>
      </c>
      <c r="BC575">
        <f t="shared" ca="1" si="229"/>
        <v>3075000.0000000102</v>
      </c>
      <c r="BD575">
        <f t="shared" ca="1" si="230"/>
        <v>3075000.0000000102</v>
      </c>
      <c r="BE575">
        <f t="shared" ca="1" si="231"/>
        <v>0</v>
      </c>
      <c r="BF575">
        <f ca="1">IF(ROW()&lt;($C$7+1),"",IFERROR((分析データ!D575-AVERAGE(OFFSET(分析データ!D$1,MAX(1,ROW()-$C$7),0,MIN($C$7,ROW()-1),1)))/STDEV(OFFSET(分析データ!D$1,MAX(1,ROW()-$C$7),0,MIN($C$7,ROW()-1),1)),0))</f>
        <v>-0.59297481969164756</v>
      </c>
      <c r="BG575">
        <f t="shared" ca="1" si="232"/>
        <v>0</v>
      </c>
      <c r="BH575" t="str">
        <f ca="1">IF(BG575=1,IF(INDEX(分析データ!$A:$A,ROW()+$C$5)&lt;&gt;"",50000*SIGN(BF575)*(分析データ!D575-INDEX(分析データ!D:D,ROW()+$C$5)),""),"")</f>
        <v/>
      </c>
      <c r="BI575">
        <f t="shared" ca="1" si="233"/>
        <v>195000.00000000582</v>
      </c>
      <c r="BJ575">
        <f t="shared" ca="1" si="234"/>
        <v>1695000.0000000016</v>
      </c>
      <c r="BK575">
        <f t="shared" ca="1" si="235"/>
        <v>-1499999.9999999958</v>
      </c>
      <c r="BL575">
        <f ca="1">IF(ROW()&lt;($C$7+1),"",IFERROR((分析データ!E575-AVERAGE(OFFSET(分析データ!E$1,MAX(1,ROW()-$C$7),0,MIN($C$7,ROW()-1),1)))/STDEV(OFFSET(分析データ!E$1,MAX(1,ROW()-$C$7),0,MIN($C$7,ROW()-1),1)),0))</f>
        <v>2.53110735845992</v>
      </c>
      <c r="BM575">
        <f t="shared" ca="1" si="236"/>
        <v>1</v>
      </c>
      <c r="BN575">
        <f ca="1">IF(BM575=1,IF(INDEX(分析データ!$A:$A,ROW()+$C$5)&lt;&gt;"",40000*SIGN(BL575)*(分析データ!E575-INDEX(分析データ!E:E,ROW()+$C$5)),""),"")</f>
        <v>-80000.000000001703</v>
      </c>
      <c r="BO575">
        <f t="shared" ca="1" si="237"/>
        <v>-599999.99999999627</v>
      </c>
      <c r="BP575">
        <f t="shared" ca="1" si="238"/>
        <v>1320000.0000000075</v>
      </c>
      <c r="BQ575">
        <f t="shared" ca="1" si="239"/>
        <v>-1920000.0000000037</v>
      </c>
      <c r="BR575">
        <f ca="1">IF(ROW()&lt;($C$7+1),"",IFERROR((分析データ!F575-AVERAGE(OFFSET(分析データ!F$1,MAX(1,ROW()-$C$7),0,MIN($C$7,ROW()-1),1)))/STDEV(OFFSET(分析データ!F$1,MAX(1,ROW()-$C$7),0,MIN($C$7,ROW()-1),1)),0))</f>
        <v>-2.243836391342326</v>
      </c>
      <c r="BS575">
        <f t="shared" ca="1" si="240"/>
        <v>1</v>
      </c>
      <c r="BT575">
        <f ca="1">IF(BS575=1,IF(INDEX(分析データ!$A:$A,ROW()+$C$5)&lt;&gt;"",40000*SIGN(BR575)*(分析データ!F575-INDEX(分析データ!F:F,ROW()+$C$5)),""),"")</f>
        <v>417200.00000000029</v>
      </c>
      <c r="BU575">
        <f t="shared" ca="1" si="241"/>
        <v>7641199.9999999981</v>
      </c>
      <c r="BV575">
        <f t="shared" ca="1" si="242"/>
        <v>7641199.9999999981</v>
      </c>
      <c r="BW575">
        <f t="shared" ca="1" si="243"/>
        <v>0</v>
      </c>
      <c r="BX575">
        <f ca="1">IF(ROW()&lt;($C$7+1),"",IFERROR((分析データ!G575-AVERAGE(OFFSET(分析データ!G$1,MAX(1,ROW()-$C$7),0,MIN($C$7,ROW()-1),1)))/STDEV(OFFSET(分析データ!G$1,MAX(1,ROW()-$C$7),0,MIN($C$7,ROW()-1),1)),0))</f>
        <v>2.7635178862078633</v>
      </c>
      <c r="BY575">
        <f t="shared" ca="1" si="244"/>
        <v>1</v>
      </c>
      <c r="BZ575">
        <f ca="1">IF(BY575=1,IF(INDEX(分析データ!$A:$A,ROW()+$C$5)&lt;&gt;"",40000*SIGN(BX575)*(分析データ!G575-INDEX(分析データ!G:G,ROW()+$C$5)),""),"")</f>
        <v>117607.14355468415</v>
      </c>
      <c r="CA575">
        <f t="shared" ca="1" si="245"/>
        <v>3645429.9951171814</v>
      </c>
      <c r="CB575">
        <f t="shared" ca="1" si="246"/>
        <v>11327520.000000004</v>
      </c>
      <c r="CC575">
        <f t="shared" ca="1" si="247"/>
        <v>-7682090.0048828218</v>
      </c>
      <c r="CD575">
        <f t="shared" ca="1" si="248"/>
        <v>454807.14355468273</v>
      </c>
      <c r="CE575">
        <f t="shared" ca="1" si="249"/>
        <v>8956629.9951172136</v>
      </c>
      <c r="CF575">
        <f t="shared" ca="1" si="250"/>
        <v>13606320.000000035</v>
      </c>
      <c r="CG575">
        <f t="shared" ca="1" si="251"/>
        <v>-4649690.0048828218</v>
      </c>
      <c r="CH575" s="10">
        <f>分析データ!A575</f>
        <v>45764</v>
      </c>
    </row>
    <row r="576" spans="46:86">
      <c r="AT576">
        <f ca="1">IF(ROW()&lt;($C$7+1),"",IFERROR((分析データ!B576-AVERAGE(OFFSET(分析データ!B$1,MAX(1,ROW()-$C$7),0,MIN($C$7,ROW()-1),1)))/STDEV(OFFSET(分析データ!B$1,MAX(1,ROW()-$C$7),0,MIN($C$7,ROW()-1),1)),0))</f>
        <v>1.6257441326917179</v>
      </c>
      <c r="AU576">
        <f t="shared" ca="1" si="224"/>
        <v>0</v>
      </c>
      <c r="AV576" t="str">
        <f ca="1">IF(AU576=1,IF(INDEX(分析データ!$A:$A,ROW()+$C$5)&lt;&gt;"",80000*SIGN(AT576)*(分析データ!B576-INDEX(分析データ!B:B,ROW()+$C$5)),""),"")</f>
        <v/>
      </c>
      <c r="AW576">
        <f t="shared" ca="1" si="225"/>
        <v>-4999999.9999999925</v>
      </c>
      <c r="AX576">
        <f t="shared" ca="1" si="226"/>
        <v>0</v>
      </c>
      <c r="AY576">
        <f t="shared" ca="1" si="227"/>
        <v>-4999999.9999999925</v>
      </c>
      <c r="AZ576">
        <f ca="1">IF(ROW()&lt;($C$7+1),"",IFERROR((分析データ!C576-AVERAGE(OFFSET(分析データ!C$1,MAX(1,ROW()-$C$7),0,MIN($C$7,ROW()-1),1)))/STDEV(OFFSET(分析データ!C$1,MAX(1,ROW()-$C$7),0,MIN($C$7,ROW()-1),1)),0))</f>
        <v>-1.3749354065568387</v>
      </c>
      <c r="BA576">
        <f t="shared" ca="1" si="228"/>
        <v>0</v>
      </c>
      <c r="BB576" t="str">
        <f ca="1">IF(BA576=1,IF(INDEX(分析データ!$A:$A,ROW()+$C$5)&lt;&gt;"",60000*SIGN(AZ576)*(分析データ!C576-INDEX(分析データ!C:C,ROW()+$C$5)),""),"")</f>
        <v/>
      </c>
      <c r="BC576">
        <f t="shared" ca="1" si="229"/>
        <v>3075000.0000000102</v>
      </c>
      <c r="BD576">
        <f t="shared" ca="1" si="230"/>
        <v>3075000.0000000102</v>
      </c>
      <c r="BE576">
        <f t="shared" ca="1" si="231"/>
        <v>0</v>
      </c>
      <c r="BF576">
        <f ca="1">IF(ROW()&lt;($C$7+1),"",IFERROR((分析データ!D576-AVERAGE(OFFSET(分析データ!D$1,MAX(1,ROW()-$C$7),0,MIN($C$7,ROW()-1),1)))/STDEV(OFFSET(分析データ!D$1,MAX(1,ROW()-$C$7),0,MIN($C$7,ROW()-1),1)),0))</f>
        <v>-0.22697792750735893</v>
      </c>
      <c r="BG576">
        <f t="shared" ca="1" si="232"/>
        <v>0</v>
      </c>
      <c r="BH576" t="str">
        <f ca="1">IF(BG576=1,IF(INDEX(分析データ!$A:$A,ROW()+$C$5)&lt;&gt;"",50000*SIGN(BF576)*(分析データ!D576-INDEX(分析データ!D:D,ROW()+$C$5)),""),"")</f>
        <v/>
      </c>
      <c r="BI576">
        <f t="shared" ca="1" si="233"/>
        <v>195000.00000000582</v>
      </c>
      <c r="BJ576">
        <f t="shared" ca="1" si="234"/>
        <v>1695000.0000000016</v>
      </c>
      <c r="BK576">
        <f t="shared" ca="1" si="235"/>
        <v>-1499999.9999999958</v>
      </c>
      <c r="BL576">
        <f ca="1">IF(ROW()&lt;($C$7+1),"",IFERROR((分析データ!E576-AVERAGE(OFFSET(分析データ!E$1,MAX(1,ROW()-$C$7),0,MIN($C$7,ROW()-1),1)))/STDEV(OFFSET(分析データ!E$1,MAX(1,ROW()-$C$7),0,MIN($C$7,ROW()-1),1)),0))</f>
        <v>3.0758577608134958</v>
      </c>
      <c r="BM576">
        <f t="shared" ca="1" si="236"/>
        <v>1</v>
      </c>
      <c r="BN576">
        <f ca="1">IF(BM576=1,IF(INDEX(分析データ!$A:$A,ROW()+$C$5)&lt;&gt;"",40000*SIGN(BL576)*(分析データ!E576-INDEX(分析データ!E:E,ROW()+$C$5)),""),"")</f>
        <v>159999.99999999828</v>
      </c>
      <c r="BO576">
        <f t="shared" ca="1" si="237"/>
        <v>-439999.99999999802</v>
      </c>
      <c r="BP576">
        <f t="shared" ca="1" si="238"/>
        <v>1320000.0000000075</v>
      </c>
      <c r="BQ576">
        <f t="shared" ca="1" si="239"/>
        <v>-1760000.0000000056</v>
      </c>
      <c r="BR576">
        <f ca="1">IF(ROW()&lt;($C$7+1),"",IFERROR((分析データ!F576-AVERAGE(OFFSET(分析データ!F$1,MAX(1,ROW()-$C$7),0,MIN($C$7,ROW()-1),1)))/STDEV(OFFSET(分析データ!F$1,MAX(1,ROW()-$C$7),0,MIN($C$7,ROW()-1),1)),0))</f>
        <v>-2.668259957767591</v>
      </c>
      <c r="BS576">
        <f t="shared" ca="1" si="240"/>
        <v>1</v>
      </c>
      <c r="BT576">
        <f ca="1">IF(BS576=1,IF(INDEX(分析データ!$A:$A,ROW()+$C$5)&lt;&gt;"",40000*SIGN(BR576)*(分析データ!F576-INDEX(分析データ!F:F,ROW()+$C$5)),""),"")</f>
        <v>575599.99999999942</v>
      </c>
      <c r="BU576">
        <f t="shared" ca="1" si="241"/>
        <v>8216799.9999999972</v>
      </c>
      <c r="BV576">
        <f t="shared" ca="1" si="242"/>
        <v>8216799.9999999972</v>
      </c>
      <c r="BW576">
        <f t="shared" ca="1" si="243"/>
        <v>0</v>
      </c>
      <c r="BX576">
        <f ca="1">IF(ROW()&lt;($C$7+1),"",IFERROR((分析データ!G576-AVERAGE(OFFSET(分析データ!G$1,MAX(1,ROW()-$C$7),0,MIN($C$7,ROW()-1),1)))/STDEV(OFFSET(分析データ!G$1,MAX(1,ROW()-$C$7),0,MIN($C$7,ROW()-1),1)),0))</f>
        <v>3.5156746143419033</v>
      </c>
      <c r="BY576">
        <f t="shared" ca="1" si="244"/>
        <v>1</v>
      </c>
      <c r="BZ576">
        <f ca="1">IF(BY576=1,IF(INDEX(分析データ!$A:$A,ROW()+$C$5)&lt;&gt;"",40000*SIGN(BX576)*(分析データ!G576-INDEX(分析データ!G:G,ROW()+$C$5)),""),"")</f>
        <v>833734.28710937337</v>
      </c>
      <c r="CA576">
        <f t="shared" ca="1" si="245"/>
        <v>4479164.282226555</v>
      </c>
      <c r="CB576">
        <f t="shared" ca="1" si="246"/>
        <v>11327520.000000004</v>
      </c>
      <c r="CC576">
        <f t="shared" ca="1" si="247"/>
        <v>-6848355.7177734487</v>
      </c>
      <c r="CD576">
        <f t="shared" ca="1" si="248"/>
        <v>1569334.287109371</v>
      </c>
      <c r="CE576">
        <f t="shared" ca="1" si="249"/>
        <v>10525964.282226585</v>
      </c>
      <c r="CF576">
        <f t="shared" ca="1" si="250"/>
        <v>13606320.000000035</v>
      </c>
      <c r="CG576">
        <f t="shared" ca="1" si="251"/>
        <v>-3080355.7177734505</v>
      </c>
      <c r="CH576" s="10">
        <f>分析データ!A576</f>
        <v>45768</v>
      </c>
    </row>
    <row r="577" spans="46:86">
      <c r="AT577">
        <f ca="1">IF(ROW()&lt;($C$7+1),"",IFERROR((分析データ!B577-AVERAGE(OFFSET(分析データ!B$1,MAX(1,ROW()-$C$7),0,MIN($C$7,ROW()-1),1)))/STDEV(OFFSET(分析データ!B$1,MAX(1,ROW()-$C$7),0,MIN($C$7,ROW()-1),1)),0))</f>
        <v>1.6104018831836571</v>
      </c>
      <c r="AU577">
        <f t="shared" ca="1" si="224"/>
        <v>0</v>
      </c>
      <c r="AV577" t="str">
        <f ca="1">IF(AU577=1,IF(INDEX(分析データ!$A:$A,ROW()+$C$5)&lt;&gt;"",80000*SIGN(AT577)*(分析データ!B577-INDEX(分析データ!B:B,ROW()+$C$5)),""),"")</f>
        <v/>
      </c>
      <c r="AW577">
        <f t="shared" ca="1" si="225"/>
        <v>-4999999.9999999925</v>
      </c>
      <c r="AX577">
        <f t="shared" ca="1" si="226"/>
        <v>0</v>
      </c>
      <c r="AY577">
        <f t="shared" ca="1" si="227"/>
        <v>-4999999.9999999925</v>
      </c>
      <c r="AZ577">
        <f ca="1">IF(ROW()&lt;($C$7+1),"",IFERROR((分析データ!C577-AVERAGE(OFFSET(分析データ!C$1,MAX(1,ROW()-$C$7),0,MIN($C$7,ROW()-1),1)))/STDEV(OFFSET(分析データ!C$1,MAX(1,ROW()-$C$7),0,MIN($C$7,ROW()-1),1)),0))</f>
        <v>-1.1860152624936917</v>
      </c>
      <c r="BA577">
        <f t="shared" ca="1" si="228"/>
        <v>0</v>
      </c>
      <c r="BB577" t="str">
        <f ca="1">IF(BA577=1,IF(INDEX(分析データ!$A:$A,ROW()+$C$5)&lt;&gt;"",60000*SIGN(AZ577)*(分析データ!C577-INDEX(分析データ!C:C,ROW()+$C$5)),""),"")</f>
        <v/>
      </c>
      <c r="BC577">
        <f t="shared" ca="1" si="229"/>
        <v>3075000.0000000102</v>
      </c>
      <c r="BD577">
        <f t="shared" ca="1" si="230"/>
        <v>3075000.0000000102</v>
      </c>
      <c r="BE577">
        <f t="shared" ca="1" si="231"/>
        <v>0</v>
      </c>
      <c r="BF577">
        <f ca="1">IF(ROW()&lt;($C$7+1),"",IFERROR((分析データ!D577-AVERAGE(OFFSET(分析データ!D$1,MAX(1,ROW()-$C$7),0,MIN($C$7,ROW()-1),1)))/STDEV(OFFSET(分析データ!D$1,MAX(1,ROW()-$C$7),0,MIN($C$7,ROW()-1),1)),0))</f>
        <v>-0.33493517891114388</v>
      </c>
      <c r="BG577">
        <f t="shared" ca="1" si="232"/>
        <v>0</v>
      </c>
      <c r="BH577" t="str">
        <f ca="1">IF(BG577=1,IF(INDEX(分析データ!$A:$A,ROW()+$C$5)&lt;&gt;"",50000*SIGN(BF577)*(分析データ!D577-INDEX(分析データ!D:D,ROW()+$C$5)),""),"")</f>
        <v/>
      </c>
      <c r="BI577">
        <f t="shared" ca="1" si="233"/>
        <v>195000.00000000582</v>
      </c>
      <c r="BJ577">
        <f t="shared" ca="1" si="234"/>
        <v>1695000.0000000016</v>
      </c>
      <c r="BK577">
        <f t="shared" ca="1" si="235"/>
        <v>-1499999.9999999958</v>
      </c>
      <c r="BL577">
        <f ca="1">IF(ROW()&lt;($C$7+1),"",IFERROR((分析データ!E577-AVERAGE(OFFSET(分析データ!E$1,MAX(1,ROW()-$C$7),0,MIN($C$7,ROW()-1),1)))/STDEV(OFFSET(分析データ!E$1,MAX(1,ROW()-$C$7),0,MIN($C$7,ROW()-1),1)),0))</f>
        <v>2.8286485867989359</v>
      </c>
      <c r="BM577">
        <f t="shared" ca="1" si="236"/>
        <v>1</v>
      </c>
      <c r="BN577">
        <f ca="1">IF(BM577=1,IF(INDEX(分析データ!$A:$A,ROW()+$C$5)&lt;&gt;"",40000*SIGN(BL577)*(分析データ!E577-INDEX(分析データ!E:E,ROW()+$C$5)),""),"")</f>
        <v>120000.00000000086</v>
      </c>
      <c r="BO577">
        <f t="shared" ca="1" si="237"/>
        <v>-319999.99999999715</v>
      </c>
      <c r="BP577">
        <f t="shared" ca="1" si="238"/>
        <v>1320000.0000000075</v>
      </c>
      <c r="BQ577">
        <f t="shared" ca="1" si="239"/>
        <v>-1640000.0000000047</v>
      </c>
      <c r="BR577">
        <f ca="1">IF(ROW()&lt;($C$7+1),"",IFERROR((分析データ!F577-AVERAGE(OFFSET(分析データ!F$1,MAX(1,ROW()-$C$7),0,MIN($C$7,ROW()-1),1)))/STDEV(OFFSET(分析データ!F$1,MAX(1,ROW()-$C$7),0,MIN($C$7,ROW()-1),1)),0))</f>
        <v>-2.5882731662912297</v>
      </c>
      <c r="BS577">
        <f t="shared" ca="1" si="240"/>
        <v>1</v>
      </c>
      <c r="BT577">
        <f ca="1">IF(BS577=1,IF(INDEX(分析データ!$A:$A,ROW()+$C$5)&lt;&gt;"",40000*SIGN(BR577)*(分析データ!F577-INDEX(分析データ!F:F,ROW()+$C$5)),""),"")</f>
        <v>775600.00000000175</v>
      </c>
      <c r="BU577">
        <f t="shared" ca="1" si="241"/>
        <v>8992399.9999999981</v>
      </c>
      <c r="BV577">
        <f t="shared" ca="1" si="242"/>
        <v>8992399.9999999981</v>
      </c>
      <c r="BW577">
        <f t="shared" ca="1" si="243"/>
        <v>0</v>
      </c>
      <c r="BX577">
        <f ca="1">IF(ROW()&lt;($C$7+1),"",IFERROR((分析データ!G577-AVERAGE(OFFSET(分析データ!G$1,MAX(1,ROW()-$C$7),0,MIN($C$7,ROW()-1),1)))/STDEV(OFFSET(分析データ!G$1,MAX(1,ROW()-$C$7),0,MIN($C$7,ROW()-1),1)),0))</f>
        <v>3.5402578121079853</v>
      </c>
      <c r="BY577">
        <f t="shared" ca="1" si="244"/>
        <v>1</v>
      </c>
      <c r="BZ577">
        <f ca="1">IF(BY577=1,IF(INDEX(分析データ!$A:$A,ROW()+$C$5)&lt;&gt;"",40000*SIGN(BX577)*(分析データ!G577-INDEX(分析データ!G:G,ROW()+$C$5)),""),"")</f>
        <v>967039.99999999814</v>
      </c>
      <c r="CA577">
        <f t="shared" ca="1" si="245"/>
        <v>5446204.2822265532</v>
      </c>
      <c r="CB577">
        <f t="shared" ca="1" si="246"/>
        <v>11327520.000000004</v>
      </c>
      <c r="CC577">
        <f t="shared" ca="1" si="247"/>
        <v>-5881315.7177734505</v>
      </c>
      <c r="CD577">
        <f t="shared" ca="1" si="248"/>
        <v>1862640.0000000007</v>
      </c>
      <c r="CE577">
        <f t="shared" ca="1" si="249"/>
        <v>12388604.282226585</v>
      </c>
      <c r="CF577">
        <f t="shared" ca="1" si="250"/>
        <v>13606320.000000035</v>
      </c>
      <c r="CG577">
        <f t="shared" ca="1" si="251"/>
        <v>-1217715.7177734505</v>
      </c>
      <c r="CH577" s="10">
        <f>分析データ!A577</f>
        <v>45769</v>
      </c>
    </row>
    <row r="578" spans="46:86">
      <c r="AT578">
        <f ca="1">IF(ROW()&lt;($C$7+1),"",IFERROR((分析データ!B578-AVERAGE(OFFSET(分析データ!B$1,MAX(1,ROW()-$C$7),0,MIN($C$7,ROW()-1),1)))/STDEV(OFFSET(分析データ!B$1,MAX(1,ROW()-$C$7),0,MIN($C$7,ROW()-1),1)),0))</f>
        <v>1.5118469472536893</v>
      </c>
      <c r="AU578">
        <f t="shared" ref="AU578:AU641" ca="1" si="252">IF(ISNUMBER(AT578),IF(ABS(AT578)&gt;=$C$6,1,0),0)</f>
        <v>0</v>
      </c>
      <c r="AV578" t="str">
        <f ca="1">IF(AU578=1,IF(INDEX(分析データ!$A:$A,ROW()+$C$5)&lt;&gt;"",80000*SIGN(AT578)*(分析データ!B578-INDEX(分析データ!B:B,ROW()+$C$5)),""),"")</f>
        <v/>
      </c>
      <c r="AW578">
        <f t="shared" ref="AW578:AW641" ca="1" si="253">AW577+IF(AND(AU578=1,ISNUMBER(AV578)),AV578,0)</f>
        <v>-4999999.9999999925</v>
      </c>
      <c r="AX578">
        <f t="shared" ref="AX578:AX641" ca="1" si="254">MAX(AX577,AW578)</f>
        <v>0</v>
      </c>
      <c r="AY578">
        <f t="shared" ref="AY578:AY641" ca="1" si="255">AW578-AX578</f>
        <v>-4999999.9999999925</v>
      </c>
      <c r="AZ578">
        <f ca="1">IF(ROW()&lt;($C$7+1),"",IFERROR((分析データ!C578-AVERAGE(OFFSET(分析データ!C$1,MAX(1,ROW()-$C$7),0,MIN($C$7,ROW()-1),1)))/STDEV(OFFSET(分析データ!C$1,MAX(1,ROW()-$C$7),0,MIN($C$7,ROW()-1),1)),0))</f>
        <v>-0.70098001428154633</v>
      </c>
      <c r="BA578">
        <f t="shared" ref="BA578:BA641" ca="1" si="256">IF(ISNUMBER(AZ578),IF(ABS(AZ578)&gt;=$C$6,1,0),0)</f>
        <v>0</v>
      </c>
      <c r="BB578" t="str">
        <f ca="1">IF(BA578=1,IF(INDEX(分析データ!$A:$A,ROW()+$C$5)&lt;&gt;"",60000*SIGN(AZ578)*(分析データ!C578-INDEX(分析データ!C:C,ROW()+$C$5)),""),"")</f>
        <v/>
      </c>
      <c r="BC578">
        <f t="shared" ref="BC578:BC641" ca="1" si="257">BC577+IF(AND(BA578=1,ISNUMBER(BB578)),BB578,0)</f>
        <v>3075000.0000000102</v>
      </c>
      <c r="BD578">
        <f t="shared" ref="BD578:BD641" ca="1" si="258">MAX(BD577,BC578)</f>
        <v>3075000.0000000102</v>
      </c>
      <c r="BE578">
        <f t="shared" ref="BE578:BE641" ca="1" si="259">BC578-BD578</f>
        <v>0</v>
      </c>
      <c r="BF578">
        <f ca="1">IF(ROW()&lt;($C$7+1),"",IFERROR((分析データ!D578-AVERAGE(OFFSET(分析データ!D$1,MAX(1,ROW()-$C$7),0,MIN($C$7,ROW()-1),1)))/STDEV(OFFSET(分析データ!D$1,MAX(1,ROW()-$C$7),0,MIN($C$7,ROW()-1),1)),0))</f>
        <v>-0.4289779582789997</v>
      </c>
      <c r="BG578">
        <f t="shared" ref="BG578:BG641" ca="1" si="260">IF(ISNUMBER(BF578),IF(ABS(BF578)&gt;=$C$6,1,0),0)</f>
        <v>0</v>
      </c>
      <c r="BH578" t="str">
        <f ca="1">IF(BG578=1,IF(INDEX(分析データ!$A:$A,ROW()+$C$5)&lt;&gt;"",50000*SIGN(BF578)*(分析データ!D578-INDEX(分析データ!D:D,ROW()+$C$5)),""),"")</f>
        <v/>
      </c>
      <c r="BI578">
        <f t="shared" ref="BI578:BI641" ca="1" si="261">BI577+IF(AND(BG578=1,ISNUMBER(BH578)),BH578,0)</f>
        <v>195000.00000000582</v>
      </c>
      <c r="BJ578">
        <f t="shared" ref="BJ578:BJ641" ca="1" si="262">MAX(BJ577,BI578)</f>
        <v>1695000.0000000016</v>
      </c>
      <c r="BK578">
        <f t="shared" ref="BK578:BK641" ca="1" si="263">BI578-BJ578</f>
        <v>-1499999.9999999958</v>
      </c>
      <c r="BL578">
        <f ca="1">IF(ROW()&lt;($C$7+1),"",IFERROR((分析データ!E578-AVERAGE(OFFSET(分析データ!E$1,MAX(1,ROW()-$C$7),0,MIN($C$7,ROW()-1),1)))/STDEV(OFFSET(分析データ!E$1,MAX(1,ROW()-$C$7),0,MIN($C$7,ROW()-1),1)),0))</f>
        <v>2.5000178503000061</v>
      </c>
      <c r="BM578">
        <f t="shared" ref="BM578:BM641" ca="1" si="264">IF(ISNUMBER(BL578),IF(ABS(BL578)&gt;=$C$6,1,0),0)</f>
        <v>1</v>
      </c>
      <c r="BN578">
        <f ca="1">IF(BM578=1,IF(INDEX(分析データ!$A:$A,ROW()+$C$5)&lt;&gt;"",40000*SIGN(BL578)*(分析データ!E578-INDEX(分析データ!E:E,ROW()+$C$5)),""),"")</f>
        <v>40000.000000002561</v>
      </c>
      <c r="BO578">
        <f t="shared" ref="BO578:BO641" ca="1" si="265">BO577+IF(AND(BM578=1,ISNUMBER(BN578)),BN578,0)</f>
        <v>-279999.99999999459</v>
      </c>
      <c r="BP578">
        <f t="shared" ref="BP578:BP641" ca="1" si="266">MAX(BP577,BO578)</f>
        <v>1320000.0000000075</v>
      </c>
      <c r="BQ578">
        <f t="shared" ref="BQ578:BQ641" ca="1" si="267">BO578-BP578</f>
        <v>-1600000.0000000021</v>
      </c>
      <c r="BR578">
        <f ca="1">IF(ROW()&lt;($C$7+1),"",IFERROR((分析データ!F578-AVERAGE(OFFSET(分析データ!F$1,MAX(1,ROW()-$C$7),0,MIN($C$7,ROW()-1),1)))/STDEV(OFFSET(分析データ!F$1,MAX(1,ROW()-$C$7),0,MIN($C$7,ROW()-1),1)),0))</f>
        <v>-2.5338862248144629</v>
      </c>
      <c r="BS578">
        <f t="shared" ref="BS578:BS641" ca="1" si="268">IF(ISNUMBER(BR578),IF(ABS(BR578)&gt;=$C$6,1,0),0)</f>
        <v>1</v>
      </c>
      <c r="BT578">
        <f ca="1">IF(BS578=1,IF(INDEX(分析データ!$A:$A,ROW()+$C$5)&lt;&gt;"",40000*SIGN(BR578)*(分析データ!F578-INDEX(分析データ!F:F,ROW()+$C$5)),""),"")</f>
        <v>1178800.0000000012</v>
      </c>
      <c r="BU578">
        <f t="shared" ref="BU578:BU641" ca="1" si="269">BU577+IF(AND(BS578=1,ISNUMBER(BT578)),BT578,0)</f>
        <v>10171200</v>
      </c>
      <c r="BV578">
        <f t="shared" ref="BV578:BV641" ca="1" si="270">MAX(BV577,BU578)</f>
        <v>10171200</v>
      </c>
      <c r="BW578">
        <f t="shared" ref="BW578:BW641" ca="1" si="271">BU578-BV578</f>
        <v>0</v>
      </c>
      <c r="BX578">
        <f ca="1">IF(ROW()&lt;($C$7+1),"",IFERROR((分析データ!G578-AVERAGE(OFFSET(分析データ!G$1,MAX(1,ROW()-$C$7),0,MIN($C$7,ROW()-1),1)))/STDEV(OFFSET(分析データ!G$1,MAX(1,ROW()-$C$7),0,MIN($C$7,ROW()-1),1)),0))</f>
        <v>3.4562265513855763</v>
      </c>
      <c r="BY578">
        <f t="shared" ref="BY578:BY641" ca="1" si="272">IF(ISNUMBER(BX578),IF(ABS(BX578)&gt;=$C$6,1,0),0)</f>
        <v>1</v>
      </c>
      <c r="BZ578">
        <f ca="1">IF(BY578=1,IF(INDEX(分析データ!$A:$A,ROW()+$C$5)&lt;&gt;"",40000*SIGN(BX578)*(分析データ!G578-INDEX(分析データ!G:G,ROW()+$C$5)),""),"")</f>
        <v>1201127.1435546859</v>
      </c>
      <c r="CA578">
        <f t="shared" ref="CA578:CA641" ca="1" si="273">CA577+IF(AND(BY578=1,ISNUMBER(BZ578)),BZ578,0)</f>
        <v>6647331.4257812388</v>
      </c>
      <c r="CB578">
        <f t="shared" ref="CB578:CB641" ca="1" si="274">MAX(CB577,CA578)</f>
        <v>11327520.000000004</v>
      </c>
      <c r="CC578">
        <f t="shared" ref="CC578:CC641" ca="1" si="275">CA578-CB578</f>
        <v>-4680188.5742187649</v>
      </c>
      <c r="CD578">
        <f t="shared" ref="CD578:CD641" ca="1" si="276">N(AV578)+N(BB578)+N(BH578)+N(BN578)+N(BT578)+N(BZ578)</f>
        <v>2419927.1435546894</v>
      </c>
      <c r="CE578">
        <f t="shared" ref="CE578:CE641" ca="1" si="277">CE577+CD578</f>
        <v>14808531.425781274</v>
      </c>
      <c r="CF578">
        <f t="shared" ref="CF578:CF641" ca="1" si="278">MAX(CF577,CE578)</f>
        <v>14808531.425781274</v>
      </c>
      <c r="CG578">
        <f t="shared" ref="CG578:CG641" ca="1" si="279">CE578-CF578</f>
        <v>0</v>
      </c>
      <c r="CH578" s="10">
        <f>分析データ!A578</f>
        <v>45770</v>
      </c>
    </row>
    <row r="579" spans="46:86">
      <c r="AT579">
        <f ca="1">IF(ROW()&lt;($C$7+1),"",IFERROR((分析データ!B579-AVERAGE(OFFSET(分析データ!B$1,MAX(1,ROW()-$C$7),0,MIN($C$7,ROW()-1),1)))/STDEV(OFFSET(分析データ!B$1,MAX(1,ROW()-$C$7),0,MIN($C$7,ROW()-1),1)),0))</f>
        <v>1.248272729947111</v>
      </c>
      <c r="AU579">
        <f t="shared" ca="1" si="252"/>
        <v>0</v>
      </c>
      <c r="AV579" t="str">
        <f ca="1">IF(AU579=1,IF(INDEX(分析データ!$A:$A,ROW()+$C$5)&lt;&gt;"",80000*SIGN(AT579)*(分析データ!B579-INDEX(分析データ!B:B,ROW()+$C$5)),""),"")</f>
        <v/>
      </c>
      <c r="AW579">
        <f t="shared" ca="1" si="253"/>
        <v>-4999999.9999999925</v>
      </c>
      <c r="AX579">
        <f t="shared" ca="1" si="254"/>
        <v>0</v>
      </c>
      <c r="AY579">
        <f t="shared" ca="1" si="255"/>
        <v>-4999999.9999999925</v>
      </c>
      <c r="AZ579">
        <f ca="1">IF(ROW()&lt;($C$7+1),"",IFERROR((分析データ!C579-AVERAGE(OFFSET(分析データ!C$1,MAX(1,ROW()-$C$7),0,MIN($C$7,ROW()-1),1)))/STDEV(OFFSET(分析データ!C$1,MAX(1,ROW()-$C$7),0,MIN($C$7,ROW()-1),1)),0))</f>
        <v>-0.88763184744629298</v>
      </c>
      <c r="BA579">
        <f t="shared" ca="1" si="256"/>
        <v>0</v>
      </c>
      <c r="BB579" t="str">
        <f ca="1">IF(BA579=1,IF(INDEX(分析データ!$A:$A,ROW()+$C$5)&lt;&gt;"",60000*SIGN(AZ579)*(分析データ!C579-INDEX(分析データ!C:C,ROW()+$C$5)),""),"")</f>
        <v/>
      </c>
      <c r="BC579">
        <f t="shared" ca="1" si="257"/>
        <v>3075000.0000000102</v>
      </c>
      <c r="BD579">
        <f t="shared" ca="1" si="258"/>
        <v>3075000.0000000102</v>
      </c>
      <c r="BE579">
        <f t="shared" ca="1" si="259"/>
        <v>0</v>
      </c>
      <c r="BF579">
        <f ca="1">IF(ROW()&lt;($C$7+1),"",IFERROR((分析データ!D579-AVERAGE(OFFSET(分析データ!D$1,MAX(1,ROW()-$C$7),0,MIN($C$7,ROW()-1),1)))/STDEV(OFFSET(分析データ!D$1,MAX(1,ROW()-$C$7),0,MIN($C$7,ROW()-1),1)),0))</f>
        <v>-0.6791810142881014</v>
      </c>
      <c r="BG579">
        <f t="shared" ca="1" si="260"/>
        <v>0</v>
      </c>
      <c r="BH579" t="str">
        <f ca="1">IF(BG579=1,IF(INDEX(分析データ!$A:$A,ROW()+$C$5)&lt;&gt;"",50000*SIGN(BF579)*(分析データ!D579-INDEX(分析データ!D:D,ROW()+$C$5)),""),"")</f>
        <v/>
      </c>
      <c r="BI579">
        <f t="shared" ca="1" si="261"/>
        <v>195000.00000000582</v>
      </c>
      <c r="BJ579">
        <f t="shared" ca="1" si="262"/>
        <v>1695000.0000000016</v>
      </c>
      <c r="BK579">
        <f t="shared" ca="1" si="263"/>
        <v>-1499999.9999999958</v>
      </c>
      <c r="BL579">
        <f ca="1">IF(ROW()&lt;($C$7+1),"",IFERROR((分析データ!E579-AVERAGE(OFFSET(分析データ!E$1,MAX(1,ROW()-$C$7),0,MIN($C$7,ROW()-1),1)))/STDEV(OFFSET(分析データ!E$1,MAX(1,ROW()-$C$7),0,MIN($C$7,ROW()-1),1)),0))</f>
        <v>2.5635053198072724</v>
      </c>
      <c r="BM579">
        <f t="shared" ca="1" si="264"/>
        <v>1</v>
      </c>
      <c r="BN579">
        <f ca="1">IF(BM579=1,IF(INDEX(分析データ!$A:$A,ROW()+$C$5)&lt;&gt;"",40000*SIGN(BL579)*(分析データ!E579-INDEX(分析データ!E:E,ROW()+$C$5)),""),"")</f>
        <v>160000</v>
      </c>
      <c r="BO579">
        <f t="shared" ca="1" si="265"/>
        <v>-119999.99999999459</v>
      </c>
      <c r="BP579">
        <f t="shared" ca="1" si="266"/>
        <v>1320000.0000000075</v>
      </c>
      <c r="BQ579">
        <f t="shared" ca="1" si="267"/>
        <v>-1440000.0000000021</v>
      </c>
      <c r="BR579">
        <f ca="1">IF(ROW()&lt;($C$7+1),"",IFERROR((分析データ!F579-AVERAGE(OFFSET(分析データ!F$1,MAX(1,ROW()-$C$7),0,MIN($C$7,ROW()-1),1)))/STDEV(OFFSET(分析データ!F$1,MAX(1,ROW()-$C$7),0,MIN($C$7,ROW()-1),1)),0))</f>
        <v>-2.0777383372361329</v>
      </c>
      <c r="BS579">
        <f t="shared" ca="1" si="268"/>
        <v>1</v>
      </c>
      <c r="BT579">
        <f ca="1">IF(BS579=1,IF(INDEX(分析データ!$A:$A,ROW()+$C$5)&lt;&gt;"",40000*SIGN(BR579)*(分析データ!F579-INDEX(分析データ!F:F,ROW()+$C$5)),""),"")</f>
        <v>-46400.000000001004</v>
      </c>
      <c r="BU579">
        <f t="shared" ca="1" si="269"/>
        <v>10124799.999999998</v>
      </c>
      <c r="BV579">
        <f t="shared" ca="1" si="270"/>
        <v>10171200</v>
      </c>
      <c r="BW579">
        <f t="shared" ca="1" si="271"/>
        <v>-46400.000000001863</v>
      </c>
      <c r="BX579">
        <f ca="1">IF(ROW()&lt;($C$7+1),"",IFERROR((分析データ!G579-AVERAGE(OFFSET(分析データ!G$1,MAX(1,ROW()-$C$7),0,MIN($C$7,ROW()-1),1)))/STDEV(OFFSET(分析データ!G$1,MAX(1,ROW()-$C$7),0,MIN($C$7,ROW()-1),1)),0))</f>
        <v>2.7055053037719472</v>
      </c>
      <c r="BY579">
        <f t="shared" ca="1" si="272"/>
        <v>1</v>
      </c>
      <c r="BZ579">
        <f ca="1">IF(BY579=1,IF(INDEX(分析データ!$A:$A,ROW()+$C$5)&lt;&gt;"",40000*SIGN(BX579)*(分析データ!G579-INDEX(分析データ!G:G,ROW()+$C$5)),""),"")</f>
        <v>139567.14355468858</v>
      </c>
      <c r="CA579">
        <f t="shared" ca="1" si="273"/>
        <v>6786898.5693359273</v>
      </c>
      <c r="CB579">
        <f t="shared" ca="1" si="274"/>
        <v>11327520.000000004</v>
      </c>
      <c r="CC579">
        <f t="shared" ca="1" si="275"/>
        <v>-4540621.4306640765</v>
      </c>
      <c r="CD579">
        <f t="shared" ca="1" si="276"/>
        <v>253167.14355468756</v>
      </c>
      <c r="CE579">
        <f t="shared" ca="1" si="277"/>
        <v>15061698.569335962</v>
      </c>
      <c r="CF579">
        <f t="shared" ca="1" si="278"/>
        <v>15061698.569335962</v>
      </c>
      <c r="CG579">
        <f t="shared" ca="1" si="279"/>
        <v>0</v>
      </c>
      <c r="CH579" s="10">
        <f>分析データ!A579</f>
        <v>45771</v>
      </c>
    </row>
    <row r="580" spans="46:86">
      <c r="AT580">
        <f ca="1">IF(ROW()&lt;($C$7+1),"",IFERROR((分析データ!B580-AVERAGE(OFFSET(分析データ!B$1,MAX(1,ROW()-$C$7),0,MIN($C$7,ROW()-1),1)))/STDEV(OFFSET(分析データ!B$1,MAX(1,ROW()-$C$7),0,MIN($C$7,ROW()-1),1)),0))</f>
        <v>1.2381089733705029</v>
      </c>
      <c r="AU580">
        <f t="shared" ca="1" si="252"/>
        <v>0</v>
      </c>
      <c r="AV580" t="str">
        <f ca="1">IF(AU580=1,IF(INDEX(分析データ!$A:$A,ROW()+$C$5)&lt;&gt;"",80000*SIGN(AT580)*(分析データ!B580-INDEX(分析データ!B:B,ROW()+$C$5)),""),"")</f>
        <v/>
      </c>
      <c r="AW580">
        <f t="shared" ca="1" si="253"/>
        <v>-4999999.9999999925</v>
      </c>
      <c r="AX580">
        <f t="shared" ca="1" si="254"/>
        <v>0</v>
      </c>
      <c r="AY580">
        <f t="shared" ca="1" si="255"/>
        <v>-4999999.9999999925</v>
      </c>
      <c r="AZ580">
        <f ca="1">IF(ROW()&lt;($C$7+1),"",IFERROR((分析データ!C580-AVERAGE(OFFSET(分析データ!C$1,MAX(1,ROW()-$C$7),0,MIN($C$7,ROW()-1),1)))/STDEV(OFFSET(分析データ!C$1,MAX(1,ROW()-$C$7),0,MIN($C$7,ROW()-1),1)),0))</f>
        <v>-0.71742758645387783</v>
      </c>
      <c r="BA580">
        <f t="shared" ca="1" si="256"/>
        <v>0</v>
      </c>
      <c r="BB580" t="str">
        <f ca="1">IF(BA580=1,IF(INDEX(分析データ!$A:$A,ROW()+$C$5)&lt;&gt;"",60000*SIGN(AZ580)*(分析データ!C580-INDEX(分析データ!C:C,ROW()+$C$5)),""),"")</f>
        <v/>
      </c>
      <c r="BC580">
        <f t="shared" ca="1" si="257"/>
        <v>3075000.0000000102</v>
      </c>
      <c r="BD580">
        <f t="shared" ca="1" si="258"/>
        <v>3075000.0000000102</v>
      </c>
      <c r="BE580">
        <f t="shared" ca="1" si="259"/>
        <v>0</v>
      </c>
      <c r="BF580">
        <f ca="1">IF(ROW()&lt;($C$7+1),"",IFERROR((分析データ!D580-AVERAGE(OFFSET(分析データ!D$1,MAX(1,ROW()-$C$7),0,MIN($C$7,ROW()-1),1)))/STDEV(OFFSET(分析データ!D$1,MAX(1,ROW()-$C$7),0,MIN($C$7,ROW()-1),1)),0))</f>
        <v>-0.85977843838745582</v>
      </c>
      <c r="BG580">
        <f t="shared" ca="1" si="260"/>
        <v>0</v>
      </c>
      <c r="BH580" t="str">
        <f ca="1">IF(BG580=1,IF(INDEX(分析データ!$A:$A,ROW()+$C$5)&lt;&gt;"",50000*SIGN(BF580)*(分析データ!D580-INDEX(分析データ!D:D,ROW()+$C$5)),""),"")</f>
        <v/>
      </c>
      <c r="BI580">
        <f t="shared" ca="1" si="261"/>
        <v>195000.00000000582</v>
      </c>
      <c r="BJ580">
        <f t="shared" ca="1" si="262"/>
        <v>1695000.0000000016</v>
      </c>
      <c r="BK580">
        <f t="shared" ca="1" si="263"/>
        <v>-1499999.9999999958</v>
      </c>
      <c r="BL580">
        <f ca="1">IF(ROW()&lt;($C$7+1),"",IFERROR((分析データ!E580-AVERAGE(OFFSET(分析データ!E$1,MAX(1,ROW()-$C$7),0,MIN($C$7,ROW()-1),1)))/STDEV(OFFSET(分析データ!E$1,MAX(1,ROW()-$C$7),0,MIN($C$7,ROW()-1),1)),0))</f>
        <v>2.5301731832716845</v>
      </c>
      <c r="BM580">
        <f t="shared" ca="1" si="264"/>
        <v>1</v>
      </c>
      <c r="BN580">
        <f ca="1">IF(BM580=1,IF(INDEX(分析データ!$A:$A,ROW()+$C$5)&lt;&gt;"",40000*SIGN(BL580)*(分析データ!E580-INDEX(分析データ!E:E,ROW()+$C$5)),""),"")</f>
        <v>160000</v>
      </c>
      <c r="BO580">
        <f t="shared" ca="1" si="265"/>
        <v>40000.000000005413</v>
      </c>
      <c r="BP580">
        <f t="shared" ca="1" si="266"/>
        <v>1320000.0000000075</v>
      </c>
      <c r="BQ580">
        <f t="shared" ca="1" si="267"/>
        <v>-1280000.0000000021</v>
      </c>
      <c r="BR580">
        <f ca="1">IF(ROW()&lt;($C$7+1),"",IFERROR((分析データ!F580-AVERAGE(OFFSET(分析データ!F$1,MAX(1,ROW()-$C$7),0,MIN($C$7,ROW()-1),1)))/STDEV(OFFSET(分析データ!F$1,MAX(1,ROW()-$C$7),0,MIN($C$7,ROW()-1),1)),0))</f>
        <v>-2.078658002069421</v>
      </c>
      <c r="BS580">
        <f t="shared" ca="1" si="268"/>
        <v>1</v>
      </c>
      <c r="BT580">
        <f ca="1">IF(BS580=1,IF(INDEX(分析データ!$A:$A,ROW()+$C$5)&lt;&gt;"",40000*SIGN(BR580)*(分析データ!F580-INDEX(分析データ!F:F,ROW()+$C$5)),""),"")</f>
        <v>265199.99999999983</v>
      </c>
      <c r="BU580">
        <f t="shared" ca="1" si="269"/>
        <v>10389999.999999998</v>
      </c>
      <c r="BV580">
        <f t="shared" ca="1" si="270"/>
        <v>10389999.999999998</v>
      </c>
      <c r="BW580">
        <f t="shared" ca="1" si="271"/>
        <v>0</v>
      </c>
      <c r="BX580">
        <f ca="1">IF(ROW()&lt;($C$7+1),"",IFERROR((分析データ!G580-AVERAGE(OFFSET(分析データ!G$1,MAX(1,ROW()-$C$7),0,MIN($C$7,ROW()-1),1)))/STDEV(OFFSET(分析データ!G$1,MAX(1,ROW()-$C$7),0,MIN($C$7,ROW()-1),1)),0))</f>
        <v>3.155665552620583</v>
      </c>
      <c r="BY580">
        <f t="shared" ca="1" si="272"/>
        <v>1</v>
      </c>
      <c r="BZ580">
        <f ca="1">IF(BY580=1,IF(INDEX(分析データ!$A:$A,ROW()+$C$5)&lt;&gt;"",40000*SIGN(BX580)*(分析データ!G580-INDEX(分析データ!G:G,ROW()+$C$5)),""),"")</f>
        <v>550119.99999999884</v>
      </c>
      <c r="CA580">
        <f t="shared" ca="1" si="273"/>
        <v>7337018.5693359263</v>
      </c>
      <c r="CB580">
        <f t="shared" ca="1" si="274"/>
        <v>11327520.000000004</v>
      </c>
      <c r="CC580">
        <f t="shared" ca="1" si="275"/>
        <v>-3990501.4306640774</v>
      </c>
      <c r="CD580">
        <f t="shared" ca="1" si="276"/>
        <v>975319.9999999986</v>
      </c>
      <c r="CE580">
        <f t="shared" ca="1" si="277"/>
        <v>16037018.56933596</v>
      </c>
      <c r="CF580">
        <f t="shared" ca="1" si="278"/>
        <v>16037018.56933596</v>
      </c>
      <c r="CG580">
        <f t="shared" ca="1" si="279"/>
        <v>0</v>
      </c>
      <c r="CH580" s="10">
        <f>分析データ!A580</f>
        <v>45772</v>
      </c>
    </row>
    <row r="581" spans="46:86">
      <c r="AT581">
        <f ca="1">IF(ROW()&lt;($C$7+1),"",IFERROR((分析データ!B581-AVERAGE(OFFSET(分析データ!B$1,MAX(1,ROW()-$C$7),0,MIN($C$7,ROW()-1),1)))/STDEV(OFFSET(分析データ!B$1,MAX(1,ROW()-$C$7),0,MIN($C$7,ROW()-1),1)),0))</f>
        <v>1.2278886832060123</v>
      </c>
      <c r="AU581">
        <f t="shared" ca="1" si="252"/>
        <v>0</v>
      </c>
      <c r="AV581" t="str">
        <f ca="1">IF(AU581=1,IF(INDEX(分析データ!$A:$A,ROW()+$C$5)&lt;&gt;"",80000*SIGN(AT581)*(分析データ!B581-INDEX(分析データ!B:B,ROW()+$C$5)),""),"")</f>
        <v/>
      </c>
      <c r="AW581">
        <f t="shared" ca="1" si="253"/>
        <v>-4999999.9999999925</v>
      </c>
      <c r="AX581">
        <f t="shared" ca="1" si="254"/>
        <v>0</v>
      </c>
      <c r="AY581">
        <f t="shared" ca="1" si="255"/>
        <v>-4999999.9999999925</v>
      </c>
      <c r="AZ581">
        <f ca="1">IF(ROW()&lt;($C$7+1),"",IFERROR((分析データ!C581-AVERAGE(OFFSET(分析データ!C$1,MAX(1,ROW()-$C$7),0,MIN($C$7,ROW()-1),1)))/STDEV(OFFSET(分析データ!C$1,MAX(1,ROW()-$C$7),0,MIN($C$7,ROW()-1),1)),0))</f>
        <v>-0.94620262536431177</v>
      </c>
      <c r="BA581">
        <f t="shared" ca="1" si="256"/>
        <v>0</v>
      </c>
      <c r="BB581" t="str">
        <f ca="1">IF(BA581=1,IF(INDEX(分析データ!$A:$A,ROW()+$C$5)&lt;&gt;"",60000*SIGN(AZ581)*(分析データ!C581-INDEX(分析データ!C:C,ROW()+$C$5)),""),"")</f>
        <v/>
      </c>
      <c r="BC581">
        <f t="shared" ca="1" si="257"/>
        <v>3075000.0000000102</v>
      </c>
      <c r="BD581">
        <f t="shared" ca="1" si="258"/>
        <v>3075000.0000000102</v>
      </c>
      <c r="BE581">
        <f t="shared" ca="1" si="259"/>
        <v>0</v>
      </c>
      <c r="BF581">
        <f ca="1">IF(ROW()&lt;($C$7+1),"",IFERROR((分析データ!D581-AVERAGE(OFFSET(分析データ!D$1,MAX(1,ROW()-$C$7),0,MIN($C$7,ROW()-1),1)))/STDEV(OFFSET(分析データ!D$1,MAX(1,ROW()-$C$7),0,MIN($C$7,ROW()-1),1)),0))</f>
        <v>-1.0149936419280645</v>
      </c>
      <c r="BG581">
        <f t="shared" ca="1" si="260"/>
        <v>0</v>
      </c>
      <c r="BH581" t="str">
        <f ca="1">IF(BG581=1,IF(INDEX(分析データ!$A:$A,ROW()+$C$5)&lt;&gt;"",50000*SIGN(BF581)*(分析データ!D581-INDEX(分析データ!D:D,ROW()+$C$5)),""),"")</f>
        <v/>
      </c>
      <c r="BI581">
        <f t="shared" ca="1" si="261"/>
        <v>195000.00000000582</v>
      </c>
      <c r="BJ581">
        <f t="shared" ca="1" si="262"/>
        <v>1695000.0000000016</v>
      </c>
      <c r="BK581">
        <f t="shared" ca="1" si="263"/>
        <v>-1499999.9999999958</v>
      </c>
      <c r="BL581">
        <f ca="1">IF(ROW()&lt;($C$7+1),"",IFERROR((分析データ!E581-AVERAGE(OFFSET(分析データ!E$1,MAX(1,ROW()-$C$7),0,MIN($C$7,ROW()-1),1)))/STDEV(OFFSET(分析データ!E$1,MAX(1,ROW()-$C$7),0,MIN($C$7,ROW()-1),1)),0))</f>
        <v>2.5888123314630374</v>
      </c>
      <c r="BM581">
        <f t="shared" ca="1" si="264"/>
        <v>1</v>
      </c>
      <c r="BN581">
        <f ca="1">IF(BM581=1,IF(INDEX(分析データ!$A:$A,ROW()+$C$5)&lt;&gt;"",40000*SIGN(BL581)*(分析データ!E581-INDEX(分析データ!E:E,ROW()+$C$5)),""),"")</f>
        <v>240000.00000000029</v>
      </c>
      <c r="BO581">
        <f t="shared" ca="1" si="265"/>
        <v>280000.0000000057</v>
      </c>
      <c r="BP581">
        <f t="shared" ca="1" si="266"/>
        <v>1320000.0000000075</v>
      </c>
      <c r="BQ581">
        <f t="shared" ca="1" si="267"/>
        <v>-1040000.0000000017</v>
      </c>
      <c r="BR581">
        <f ca="1">IF(ROW()&lt;($C$7+1),"",IFERROR((分析データ!F581-AVERAGE(OFFSET(分析データ!F$1,MAX(1,ROW()-$C$7),0,MIN($C$7,ROW()-1),1)))/STDEV(OFFSET(分析データ!F$1,MAX(1,ROW()-$C$7),0,MIN($C$7,ROW()-1),1)),0))</f>
        <v>-1.7054956225139475</v>
      </c>
      <c r="BS581">
        <f t="shared" ca="1" si="268"/>
        <v>0</v>
      </c>
      <c r="BT581" t="str">
        <f ca="1">IF(BS581=1,IF(INDEX(分析データ!$A:$A,ROW()+$C$5)&lt;&gt;"",40000*SIGN(BR581)*(分析データ!F581-INDEX(分析データ!F:F,ROW()+$C$5)),""),"")</f>
        <v/>
      </c>
      <c r="BU581">
        <f t="shared" ca="1" si="269"/>
        <v>10389999.999999998</v>
      </c>
      <c r="BV581">
        <f t="shared" ca="1" si="270"/>
        <v>10389999.999999998</v>
      </c>
      <c r="BW581">
        <f t="shared" ca="1" si="271"/>
        <v>0</v>
      </c>
      <c r="BX581">
        <f ca="1">IF(ROW()&lt;($C$7+1),"",IFERROR((分析データ!G581-AVERAGE(OFFSET(分析データ!G$1,MAX(1,ROW()-$C$7),0,MIN($C$7,ROW()-1),1)))/STDEV(OFFSET(分析データ!G$1,MAX(1,ROW()-$C$7),0,MIN($C$7,ROW()-1),1)),0))</f>
        <v>2.5665242491778049</v>
      </c>
      <c r="BY581">
        <f t="shared" ca="1" si="272"/>
        <v>1</v>
      </c>
      <c r="BZ581">
        <f ca="1">IF(BY581=1,IF(INDEX(分析データ!$A:$A,ROW()+$C$5)&lt;&gt;"",40000*SIGN(BX581)*(分析データ!G581-INDEX(分析データ!G:G,ROW()+$C$5)),""),"")</f>
        <v>28720.000000003409</v>
      </c>
      <c r="CA581">
        <f t="shared" ca="1" si="273"/>
        <v>7365738.56933593</v>
      </c>
      <c r="CB581">
        <f t="shared" ca="1" si="274"/>
        <v>11327520.000000004</v>
      </c>
      <c r="CC581">
        <f t="shared" ca="1" si="275"/>
        <v>-3961781.4306640737</v>
      </c>
      <c r="CD581">
        <f t="shared" ca="1" si="276"/>
        <v>268720.00000000373</v>
      </c>
      <c r="CE581">
        <f t="shared" ca="1" si="277"/>
        <v>16305738.569335964</v>
      </c>
      <c r="CF581">
        <f t="shared" ca="1" si="278"/>
        <v>16305738.569335964</v>
      </c>
      <c r="CG581">
        <f t="shared" ca="1" si="279"/>
        <v>0</v>
      </c>
      <c r="CH581" s="10">
        <f>分析データ!A581</f>
        <v>45775</v>
      </c>
    </row>
    <row r="582" spans="46:86">
      <c r="AT582">
        <f ca="1">IF(ROW()&lt;($C$7+1),"",IFERROR((分析データ!B582-AVERAGE(OFFSET(分析データ!B$1,MAX(1,ROW()-$C$7),0,MIN($C$7,ROW()-1),1)))/STDEV(OFFSET(分析データ!B$1,MAX(1,ROW()-$C$7),0,MIN($C$7,ROW()-1),1)),0))</f>
        <v>1.1762021777017342</v>
      </c>
      <c r="AU582">
        <f t="shared" ca="1" si="252"/>
        <v>0</v>
      </c>
      <c r="AV582" t="str">
        <f ca="1">IF(AU582=1,IF(INDEX(分析データ!$A:$A,ROW()+$C$5)&lt;&gt;"",80000*SIGN(AT582)*(分析データ!B582-INDEX(分析データ!B:B,ROW()+$C$5)),""),"")</f>
        <v/>
      </c>
      <c r="AW582">
        <f t="shared" ca="1" si="253"/>
        <v>-4999999.9999999925</v>
      </c>
      <c r="AX582">
        <f t="shared" ca="1" si="254"/>
        <v>0</v>
      </c>
      <c r="AY582">
        <f t="shared" ca="1" si="255"/>
        <v>-4999999.9999999925</v>
      </c>
      <c r="AZ582">
        <f ca="1">IF(ROW()&lt;($C$7+1),"",IFERROR((分析データ!C582-AVERAGE(OFFSET(分析データ!C$1,MAX(1,ROW()-$C$7),0,MIN($C$7,ROW()-1),1)))/STDEV(OFFSET(分析データ!C$1,MAX(1,ROW()-$C$7),0,MIN($C$7,ROW()-1),1)),0))</f>
        <v>-0.93899819544814012</v>
      </c>
      <c r="BA582">
        <f t="shared" ca="1" si="256"/>
        <v>0</v>
      </c>
      <c r="BB582" t="str">
        <f ca="1">IF(BA582=1,IF(INDEX(分析データ!$A:$A,ROW()+$C$5)&lt;&gt;"",60000*SIGN(AZ582)*(分析データ!C582-INDEX(分析データ!C:C,ROW()+$C$5)),""),"")</f>
        <v/>
      </c>
      <c r="BC582">
        <f t="shared" ca="1" si="257"/>
        <v>3075000.0000000102</v>
      </c>
      <c r="BD582">
        <f t="shared" ca="1" si="258"/>
        <v>3075000.0000000102</v>
      </c>
      <c r="BE582">
        <f t="shared" ca="1" si="259"/>
        <v>0</v>
      </c>
      <c r="BF582">
        <f ca="1">IF(ROW()&lt;($C$7+1),"",IFERROR((分析データ!D582-AVERAGE(OFFSET(分析データ!D$1,MAX(1,ROW()-$C$7),0,MIN($C$7,ROW()-1),1)))/STDEV(OFFSET(分析データ!D$1,MAX(1,ROW()-$C$7),0,MIN($C$7,ROW()-1),1)),0))</f>
        <v>-1.1643958623066042</v>
      </c>
      <c r="BG582">
        <f t="shared" ca="1" si="260"/>
        <v>0</v>
      </c>
      <c r="BH582" t="str">
        <f ca="1">IF(BG582=1,IF(INDEX(分析データ!$A:$A,ROW()+$C$5)&lt;&gt;"",50000*SIGN(BF582)*(分析データ!D582-INDEX(分析データ!D:D,ROW()+$C$5)),""),"")</f>
        <v/>
      </c>
      <c r="BI582">
        <f t="shared" ca="1" si="261"/>
        <v>195000.00000000582</v>
      </c>
      <c r="BJ582">
        <f t="shared" ca="1" si="262"/>
        <v>1695000.0000000016</v>
      </c>
      <c r="BK582">
        <f t="shared" ca="1" si="263"/>
        <v>-1499999.9999999958</v>
      </c>
      <c r="BL582">
        <f ca="1">IF(ROW()&lt;($C$7+1),"",IFERROR((分析データ!E582-AVERAGE(OFFSET(分析データ!E$1,MAX(1,ROW()-$C$7),0,MIN($C$7,ROW()-1),1)))/STDEV(OFFSET(分析データ!E$1,MAX(1,ROW()-$C$7),0,MIN($C$7,ROW()-1),1)),0))</f>
        <v>2.5488462455268106</v>
      </c>
      <c r="BM582">
        <f t="shared" ca="1" si="264"/>
        <v>1</v>
      </c>
      <c r="BN582">
        <f ca="1">IF(BM582=1,IF(INDEX(分析データ!$A:$A,ROW()+$C$5)&lt;&gt;"",40000*SIGN(BL582)*(分析データ!E582-INDEX(分析データ!E:E,ROW()+$C$5)),""),"")</f>
        <v>200000.00000000084</v>
      </c>
      <c r="BO582">
        <f t="shared" ca="1" si="265"/>
        <v>480000.00000000652</v>
      </c>
      <c r="BP582">
        <f t="shared" ca="1" si="266"/>
        <v>1320000.0000000075</v>
      </c>
      <c r="BQ582">
        <f t="shared" ca="1" si="267"/>
        <v>-840000.00000000093</v>
      </c>
      <c r="BR582">
        <f ca="1">IF(ROW()&lt;($C$7+1),"",IFERROR((分析データ!F582-AVERAGE(OFFSET(分析データ!F$1,MAX(1,ROW()-$C$7),0,MIN($C$7,ROW()-1),1)))/STDEV(OFFSET(分析データ!F$1,MAX(1,ROW()-$C$7),0,MIN($C$7,ROW()-1),1)),0))</f>
        <v>-1.2176971146066347</v>
      </c>
      <c r="BS582">
        <f t="shared" ca="1" si="268"/>
        <v>0</v>
      </c>
      <c r="BT582" t="str">
        <f ca="1">IF(BS582=1,IF(INDEX(分析データ!$A:$A,ROW()+$C$5)&lt;&gt;"",40000*SIGN(BR582)*(分析データ!F582-INDEX(分析データ!F:F,ROW()+$C$5)),""),"")</f>
        <v/>
      </c>
      <c r="BU582">
        <f t="shared" ca="1" si="269"/>
        <v>10389999.999999998</v>
      </c>
      <c r="BV582">
        <f t="shared" ca="1" si="270"/>
        <v>10389999.999999998</v>
      </c>
      <c r="BW582">
        <f t="shared" ca="1" si="271"/>
        <v>0</v>
      </c>
      <c r="BX582">
        <f ca="1">IF(ROW()&lt;($C$7+1),"",IFERROR((分析データ!G582-AVERAGE(OFFSET(分析データ!G$1,MAX(1,ROW()-$C$7),0,MIN($C$7,ROW()-1),1)))/STDEV(OFFSET(分析データ!G$1,MAX(1,ROW()-$C$7),0,MIN($C$7,ROW()-1),1)),0))</f>
        <v>2.2342875932266364</v>
      </c>
      <c r="BY582">
        <f t="shared" ca="1" si="272"/>
        <v>1</v>
      </c>
      <c r="BZ582">
        <f ca="1">IF(BY582=1,IF(INDEX(分析データ!$A:$A,ROW()+$C$5)&lt;&gt;"",40000*SIGN(BX582)*(分析データ!G582-INDEX(分析データ!G:G,ROW()+$C$5)),""),"")</f>
        <v>113560.00000000585</v>
      </c>
      <c r="CA582">
        <f t="shared" ca="1" si="273"/>
        <v>7479298.5693359356</v>
      </c>
      <c r="CB582">
        <f t="shared" ca="1" si="274"/>
        <v>11327520.000000004</v>
      </c>
      <c r="CC582">
        <f t="shared" ca="1" si="275"/>
        <v>-3848221.4306640681</v>
      </c>
      <c r="CD582">
        <f t="shared" ca="1" si="276"/>
        <v>313560.00000000669</v>
      </c>
      <c r="CE582">
        <f t="shared" ca="1" si="277"/>
        <v>16619298.569335971</v>
      </c>
      <c r="CF582">
        <f t="shared" ca="1" si="278"/>
        <v>16619298.569335971</v>
      </c>
      <c r="CG582">
        <f t="shared" ca="1" si="279"/>
        <v>0</v>
      </c>
      <c r="CH582" s="10">
        <f>分析データ!A582</f>
        <v>45776</v>
      </c>
    </row>
    <row r="583" spans="46:86">
      <c r="AT583">
        <f ca="1">IF(ROW()&lt;($C$7+1),"",IFERROR((分析データ!B583-AVERAGE(OFFSET(分析データ!B$1,MAX(1,ROW()-$C$7),0,MIN($C$7,ROW()-1),1)))/STDEV(OFFSET(分析データ!B$1,MAX(1,ROW()-$C$7),0,MIN($C$7,ROW()-1),1)),0))</f>
        <v>1.1251176525577922</v>
      </c>
      <c r="AU583">
        <f t="shared" ca="1" si="252"/>
        <v>0</v>
      </c>
      <c r="AV583" t="str">
        <f ca="1">IF(AU583=1,IF(INDEX(分析データ!$A:$A,ROW()+$C$5)&lt;&gt;"",80000*SIGN(AT583)*(分析データ!B583-INDEX(分析データ!B:B,ROW()+$C$5)),""),"")</f>
        <v/>
      </c>
      <c r="AW583">
        <f t="shared" ca="1" si="253"/>
        <v>-4999999.9999999925</v>
      </c>
      <c r="AX583">
        <f t="shared" ca="1" si="254"/>
        <v>0</v>
      </c>
      <c r="AY583">
        <f t="shared" ca="1" si="255"/>
        <v>-4999999.9999999925</v>
      </c>
      <c r="AZ583">
        <f ca="1">IF(ROW()&lt;($C$7+1),"",IFERROR((分析データ!C583-AVERAGE(OFFSET(分析データ!C$1,MAX(1,ROW()-$C$7),0,MIN($C$7,ROW()-1),1)))/STDEV(OFFSET(分析データ!C$1,MAX(1,ROW()-$C$7),0,MIN($C$7,ROW()-1),1)),0))</f>
        <v>-0.88927512280941856</v>
      </c>
      <c r="BA583">
        <f t="shared" ca="1" si="256"/>
        <v>0</v>
      </c>
      <c r="BB583" t="str">
        <f ca="1">IF(BA583=1,IF(INDEX(分析データ!$A:$A,ROW()+$C$5)&lt;&gt;"",60000*SIGN(AZ583)*(分析データ!C583-INDEX(分析データ!C:C,ROW()+$C$5)),""),"")</f>
        <v/>
      </c>
      <c r="BC583">
        <f t="shared" ca="1" si="257"/>
        <v>3075000.0000000102</v>
      </c>
      <c r="BD583">
        <f t="shared" ca="1" si="258"/>
        <v>3075000.0000000102</v>
      </c>
      <c r="BE583">
        <f t="shared" ca="1" si="259"/>
        <v>0</v>
      </c>
      <c r="BF583">
        <f ca="1">IF(ROW()&lt;($C$7+1),"",IFERROR((分析データ!D583-AVERAGE(OFFSET(分析データ!D$1,MAX(1,ROW()-$C$7),0,MIN($C$7,ROW()-1),1)))/STDEV(OFFSET(分析データ!D$1,MAX(1,ROW()-$C$7),0,MIN($C$7,ROW()-1),1)),0))</f>
        <v>-1.2427993870474279</v>
      </c>
      <c r="BG583">
        <f t="shared" ca="1" si="260"/>
        <v>0</v>
      </c>
      <c r="BH583" t="str">
        <f ca="1">IF(BG583=1,IF(INDEX(分析データ!$A:$A,ROW()+$C$5)&lt;&gt;"",50000*SIGN(BF583)*(分析データ!D583-INDEX(分析データ!D:D,ROW()+$C$5)),""),"")</f>
        <v/>
      </c>
      <c r="BI583">
        <f t="shared" ca="1" si="261"/>
        <v>195000.00000000582</v>
      </c>
      <c r="BJ583">
        <f t="shared" ca="1" si="262"/>
        <v>1695000.0000000016</v>
      </c>
      <c r="BK583">
        <f t="shared" ca="1" si="263"/>
        <v>-1499999.9999999958</v>
      </c>
      <c r="BL583">
        <f ca="1">IF(ROW()&lt;($C$7+1),"",IFERROR((分析データ!E583-AVERAGE(OFFSET(分析データ!E$1,MAX(1,ROW()-$C$7),0,MIN($C$7,ROW()-1),1)))/STDEV(OFFSET(分析データ!E$1,MAX(1,ROW()-$C$7),0,MIN($C$7,ROW()-1),1)),0))</f>
        <v>2.7850719148089365</v>
      </c>
      <c r="BM583">
        <f t="shared" ca="1" si="264"/>
        <v>1</v>
      </c>
      <c r="BN583">
        <f ca="1">IF(BM583=1,IF(INDEX(分析データ!$A:$A,ROW()+$C$5)&lt;&gt;"",40000*SIGN(BL583)*(分析データ!E583-INDEX(分析データ!E:E,ROW()+$C$5)),""),"")</f>
        <v>359999.99999999773</v>
      </c>
      <c r="BO583">
        <f t="shared" ca="1" si="265"/>
        <v>840000.00000000419</v>
      </c>
      <c r="BP583">
        <f t="shared" ca="1" si="266"/>
        <v>1320000.0000000075</v>
      </c>
      <c r="BQ583">
        <f t="shared" ca="1" si="267"/>
        <v>-480000.00000000326</v>
      </c>
      <c r="BR583">
        <f ca="1">IF(ROW()&lt;($C$7+1),"",IFERROR((分析データ!F583-AVERAGE(OFFSET(分析データ!F$1,MAX(1,ROW()-$C$7),0,MIN($C$7,ROW()-1),1)))/STDEV(OFFSET(分析データ!F$1,MAX(1,ROW()-$C$7),0,MIN($C$7,ROW()-1),1)),0))</f>
        <v>-1.2084559908562111</v>
      </c>
      <c r="BS583">
        <f t="shared" ca="1" si="268"/>
        <v>0</v>
      </c>
      <c r="BT583" t="str">
        <f ca="1">IF(BS583=1,IF(INDEX(分析データ!$A:$A,ROW()+$C$5)&lt;&gt;"",40000*SIGN(BR583)*(分析データ!F583-INDEX(分析データ!F:F,ROW()+$C$5)),""),"")</f>
        <v/>
      </c>
      <c r="BU583">
        <f t="shared" ca="1" si="269"/>
        <v>10389999.999999998</v>
      </c>
      <c r="BV583">
        <f t="shared" ca="1" si="270"/>
        <v>10389999.999999998</v>
      </c>
      <c r="BW583">
        <f t="shared" ca="1" si="271"/>
        <v>0</v>
      </c>
      <c r="BX583">
        <f ca="1">IF(ROW()&lt;($C$7+1),"",IFERROR((分析データ!G583-AVERAGE(OFFSET(分析データ!G$1,MAX(1,ROW()-$C$7),0,MIN($C$7,ROW()-1),1)))/STDEV(OFFSET(分析データ!G$1,MAX(1,ROW()-$C$7),0,MIN($C$7,ROW()-1),1)),0))</f>
        <v>2.3683733883975484</v>
      </c>
      <c r="BY583">
        <f t="shared" ca="1" si="272"/>
        <v>1</v>
      </c>
      <c r="BZ583">
        <f ca="1">IF(BY583=1,IF(INDEX(分析データ!$A:$A,ROW()+$C$5)&lt;&gt;"",40000*SIGN(BX583)*(分析データ!G583-INDEX(分析データ!G:G,ROW()+$C$5)),""),"")</f>
        <v>652978.56933593936</v>
      </c>
      <c r="CA583">
        <f t="shared" ca="1" si="273"/>
        <v>8132277.138671875</v>
      </c>
      <c r="CB583">
        <f t="shared" ca="1" si="274"/>
        <v>11327520.000000004</v>
      </c>
      <c r="CC583">
        <f t="shared" ca="1" si="275"/>
        <v>-3195242.8613281287</v>
      </c>
      <c r="CD583">
        <f t="shared" ca="1" si="276"/>
        <v>1012978.569335937</v>
      </c>
      <c r="CE583">
        <f t="shared" ca="1" si="277"/>
        <v>17632277.138671909</v>
      </c>
      <c r="CF583">
        <f t="shared" ca="1" si="278"/>
        <v>17632277.138671909</v>
      </c>
      <c r="CG583">
        <f t="shared" ca="1" si="279"/>
        <v>0</v>
      </c>
      <c r="CH583" s="10">
        <f>分析データ!A583</f>
        <v>45777</v>
      </c>
    </row>
    <row r="584" spans="46:86">
      <c r="AT584">
        <f ca="1">IF(ROW()&lt;($C$7+1),"",IFERROR((分析データ!B584-AVERAGE(OFFSET(分析データ!B$1,MAX(1,ROW()-$C$7),0,MIN($C$7,ROW()-1),1)))/STDEV(OFFSET(分析データ!B$1,MAX(1,ROW()-$C$7),0,MIN($C$7,ROW()-1),1)),0))</f>
        <v>1.0329996542058493</v>
      </c>
      <c r="AU584">
        <f t="shared" ca="1" si="252"/>
        <v>0</v>
      </c>
      <c r="AV584" t="str">
        <f ca="1">IF(AU584=1,IF(INDEX(分析データ!$A:$A,ROW()+$C$5)&lt;&gt;"",80000*SIGN(AT584)*(分析データ!B584-INDEX(分析データ!B:B,ROW()+$C$5)),""),"")</f>
        <v/>
      </c>
      <c r="AW584">
        <f t="shared" ca="1" si="253"/>
        <v>-4999999.9999999925</v>
      </c>
      <c r="AX584">
        <f t="shared" ca="1" si="254"/>
        <v>0</v>
      </c>
      <c r="AY584">
        <f t="shared" ca="1" si="255"/>
        <v>-4999999.9999999925</v>
      </c>
      <c r="AZ584">
        <f ca="1">IF(ROW()&lt;($C$7+1),"",IFERROR((分析データ!C584-AVERAGE(OFFSET(分析データ!C$1,MAX(1,ROW()-$C$7),0,MIN($C$7,ROW()-1),1)))/STDEV(OFFSET(分析データ!C$1,MAX(1,ROW()-$C$7),0,MIN($C$7,ROW()-1),1)),0))</f>
        <v>-1.1580726232283629</v>
      </c>
      <c r="BA584">
        <f t="shared" ca="1" si="256"/>
        <v>0</v>
      </c>
      <c r="BB584" t="str">
        <f ca="1">IF(BA584=1,IF(INDEX(分析データ!$A:$A,ROW()+$C$5)&lt;&gt;"",60000*SIGN(AZ584)*(分析データ!C584-INDEX(分析データ!C:C,ROW()+$C$5)),""),"")</f>
        <v/>
      </c>
      <c r="BC584">
        <f t="shared" ca="1" si="257"/>
        <v>3075000.0000000102</v>
      </c>
      <c r="BD584">
        <f t="shared" ca="1" si="258"/>
        <v>3075000.0000000102</v>
      </c>
      <c r="BE584">
        <f t="shared" ca="1" si="259"/>
        <v>0</v>
      </c>
      <c r="BF584">
        <f ca="1">IF(ROW()&lt;($C$7+1),"",IFERROR((分析データ!D584-AVERAGE(OFFSET(分析データ!D$1,MAX(1,ROW()-$C$7),0,MIN($C$7,ROW()-1),1)))/STDEV(OFFSET(分析データ!D$1,MAX(1,ROW()-$C$7),0,MIN($C$7,ROW()-1),1)),0))</f>
        <v>-0.77171788703269228</v>
      </c>
      <c r="BG584">
        <f t="shared" ca="1" si="260"/>
        <v>0</v>
      </c>
      <c r="BH584" t="str">
        <f ca="1">IF(BG584=1,IF(INDEX(分析データ!$A:$A,ROW()+$C$5)&lt;&gt;"",50000*SIGN(BF584)*(分析データ!D584-INDEX(分析データ!D:D,ROW()+$C$5)),""),"")</f>
        <v/>
      </c>
      <c r="BI584">
        <f t="shared" ca="1" si="261"/>
        <v>195000.00000000582</v>
      </c>
      <c r="BJ584">
        <f t="shared" ca="1" si="262"/>
        <v>1695000.0000000016</v>
      </c>
      <c r="BK584">
        <f t="shared" ca="1" si="263"/>
        <v>-1499999.9999999958</v>
      </c>
      <c r="BL584">
        <f ca="1">IF(ROW()&lt;($C$7+1),"",IFERROR((分析データ!E584-AVERAGE(OFFSET(分析データ!E$1,MAX(1,ROW()-$C$7),0,MIN($C$7,ROW()-1),1)))/STDEV(OFFSET(分析データ!E$1,MAX(1,ROW()-$C$7),0,MIN($C$7,ROW()-1),1)),0))</f>
        <v>2.6490261631934793</v>
      </c>
      <c r="BM584">
        <f t="shared" ca="1" si="264"/>
        <v>1</v>
      </c>
      <c r="BN584">
        <f ca="1">IF(BM584=1,IF(INDEX(分析データ!$A:$A,ROW()+$C$5)&lt;&gt;"",40000*SIGN(BL584)*(分析データ!E584-INDEX(分析データ!E:E,ROW()+$C$5)),""),"")</f>
        <v>240000.00000000029</v>
      </c>
      <c r="BO584">
        <f t="shared" ca="1" si="265"/>
        <v>1080000.0000000044</v>
      </c>
      <c r="BP584">
        <f t="shared" ca="1" si="266"/>
        <v>1320000.0000000075</v>
      </c>
      <c r="BQ584">
        <f t="shared" ca="1" si="267"/>
        <v>-240000.00000000303</v>
      </c>
      <c r="BR584">
        <f ca="1">IF(ROW()&lt;($C$7+1),"",IFERROR((分析データ!F584-AVERAGE(OFFSET(分析データ!F$1,MAX(1,ROW()-$C$7),0,MIN($C$7,ROW()-1),1)))/STDEV(OFFSET(分析データ!F$1,MAX(1,ROW()-$C$7),0,MIN($C$7,ROW()-1),1)),0))</f>
        <v>-1.6575049426288062</v>
      </c>
      <c r="BS584">
        <f t="shared" ca="1" si="268"/>
        <v>0</v>
      </c>
      <c r="BT584" t="str">
        <f ca="1">IF(BS584=1,IF(INDEX(分析データ!$A:$A,ROW()+$C$5)&lt;&gt;"",40000*SIGN(BR584)*(分析データ!F584-INDEX(分析データ!F:F,ROW()+$C$5)),""),"")</f>
        <v/>
      </c>
      <c r="BU584">
        <f t="shared" ca="1" si="269"/>
        <v>10389999.999999998</v>
      </c>
      <c r="BV584">
        <f t="shared" ca="1" si="270"/>
        <v>10389999.999999998</v>
      </c>
      <c r="BW584">
        <f t="shared" ca="1" si="271"/>
        <v>0</v>
      </c>
      <c r="BX584">
        <f ca="1">IF(ROW()&lt;($C$7+1),"",IFERROR((分析データ!G584-AVERAGE(OFFSET(分析データ!G$1,MAX(1,ROW()-$C$7),0,MIN($C$7,ROW()-1),1)))/STDEV(OFFSET(分析データ!G$1,MAX(1,ROW()-$C$7),0,MIN($C$7,ROW()-1),1)),0))</f>
        <v>2.3327310957821608</v>
      </c>
      <c r="BY584">
        <f t="shared" ca="1" si="272"/>
        <v>1</v>
      </c>
      <c r="BZ584">
        <f ca="1">IF(BY584=1,IF(INDEX(分析データ!$A:$A,ROW()+$C$5)&lt;&gt;"",40000*SIGN(BX584)*(分析データ!G584-INDEX(分析データ!G:G,ROW()+$C$5)),""),"")</f>
        <v>1194919.9999999988</v>
      </c>
      <c r="CA584">
        <f t="shared" ca="1" si="273"/>
        <v>9327197.1386718731</v>
      </c>
      <c r="CB584">
        <f t="shared" ca="1" si="274"/>
        <v>11327520.000000004</v>
      </c>
      <c r="CC584">
        <f t="shared" ca="1" si="275"/>
        <v>-2000322.8613281306</v>
      </c>
      <c r="CD584">
        <f t="shared" ca="1" si="276"/>
        <v>1434919.9999999991</v>
      </c>
      <c r="CE584">
        <f t="shared" ca="1" si="277"/>
        <v>19067197.138671909</v>
      </c>
      <c r="CF584">
        <f t="shared" ca="1" si="278"/>
        <v>19067197.138671909</v>
      </c>
      <c r="CG584">
        <f t="shared" ca="1" si="279"/>
        <v>0</v>
      </c>
      <c r="CH584" s="10">
        <f>分析データ!A584</f>
        <v>45778</v>
      </c>
    </row>
    <row r="585" spans="46:86">
      <c r="AT585">
        <f ca="1">IF(ROW()&lt;($C$7+1),"",IFERROR((分析データ!B585-AVERAGE(OFFSET(分析データ!B$1,MAX(1,ROW()-$C$7),0,MIN($C$7,ROW()-1),1)))/STDEV(OFFSET(分析データ!B$1,MAX(1,ROW()-$C$7),0,MIN($C$7,ROW()-1),1)),0))</f>
        <v>0.9416547701583271</v>
      </c>
      <c r="AU585">
        <f t="shared" ca="1" si="252"/>
        <v>0</v>
      </c>
      <c r="AV585" t="str">
        <f ca="1">IF(AU585=1,IF(INDEX(分析データ!$A:$A,ROW()+$C$5)&lt;&gt;"",80000*SIGN(AT585)*(分析データ!B585-INDEX(分析データ!B:B,ROW()+$C$5)),""),"")</f>
        <v/>
      </c>
      <c r="AW585">
        <f t="shared" ca="1" si="253"/>
        <v>-4999999.9999999925</v>
      </c>
      <c r="AX585">
        <f t="shared" ca="1" si="254"/>
        <v>0</v>
      </c>
      <c r="AY585">
        <f t="shared" ca="1" si="255"/>
        <v>-4999999.9999999925</v>
      </c>
      <c r="AZ585">
        <f ca="1">IF(ROW()&lt;($C$7+1),"",IFERROR((分析データ!C585-AVERAGE(OFFSET(分析データ!C$1,MAX(1,ROW()-$C$7),0,MIN($C$7,ROW()-1),1)))/STDEV(OFFSET(分析データ!C$1,MAX(1,ROW()-$C$7),0,MIN($C$7,ROW()-1),1)),0))</f>
        <v>-1.4025814404474584</v>
      </c>
      <c r="BA585">
        <f t="shared" ca="1" si="256"/>
        <v>0</v>
      </c>
      <c r="BB585" t="str">
        <f ca="1">IF(BA585=1,IF(INDEX(分析データ!$A:$A,ROW()+$C$5)&lt;&gt;"",60000*SIGN(AZ585)*(分析データ!C585-INDEX(分析データ!C:C,ROW()+$C$5)),""),"")</f>
        <v/>
      </c>
      <c r="BC585">
        <f t="shared" ca="1" si="257"/>
        <v>3075000.0000000102</v>
      </c>
      <c r="BD585">
        <f t="shared" ca="1" si="258"/>
        <v>3075000.0000000102</v>
      </c>
      <c r="BE585">
        <f t="shared" ca="1" si="259"/>
        <v>0</v>
      </c>
      <c r="BF585">
        <f ca="1">IF(ROW()&lt;($C$7+1),"",IFERROR((分析データ!D585-AVERAGE(OFFSET(分析データ!D$1,MAX(1,ROW()-$C$7),0,MIN($C$7,ROW()-1),1)))/STDEV(OFFSET(分析データ!D$1,MAX(1,ROW()-$C$7),0,MIN($C$7,ROW()-1),1)),0))</f>
        <v>-0.41719078492760853</v>
      </c>
      <c r="BG585">
        <f t="shared" ca="1" si="260"/>
        <v>0</v>
      </c>
      <c r="BH585" t="str">
        <f ca="1">IF(BG585=1,IF(INDEX(分析データ!$A:$A,ROW()+$C$5)&lt;&gt;"",50000*SIGN(BF585)*(分析データ!D585-INDEX(分析データ!D:D,ROW()+$C$5)),""),"")</f>
        <v/>
      </c>
      <c r="BI585">
        <f t="shared" ca="1" si="261"/>
        <v>195000.00000000582</v>
      </c>
      <c r="BJ585">
        <f t="shared" ca="1" si="262"/>
        <v>1695000.0000000016</v>
      </c>
      <c r="BK585">
        <f t="shared" ca="1" si="263"/>
        <v>-1499999.9999999958</v>
      </c>
      <c r="BL585">
        <f ca="1">IF(ROW()&lt;($C$7+1),"",IFERROR((分析データ!E585-AVERAGE(OFFSET(分析データ!E$1,MAX(1,ROW()-$C$7),0,MIN($C$7,ROW()-1),1)))/STDEV(OFFSET(分析データ!E$1,MAX(1,ROW()-$C$7),0,MIN($C$7,ROW()-1),1)),0))</f>
        <v>2.3401777631283918</v>
      </c>
      <c r="BM585">
        <f t="shared" ca="1" si="264"/>
        <v>1</v>
      </c>
      <c r="BN585">
        <f ca="1">IF(BM585=1,IF(INDEX(分析データ!$A:$A,ROW()+$C$5)&lt;&gt;"",40000*SIGN(BL585)*(分析データ!E585-INDEX(分析データ!E:E,ROW()+$C$5)),""),"")</f>
        <v>160000</v>
      </c>
      <c r="BO585">
        <f t="shared" ca="1" si="265"/>
        <v>1240000.0000000044</v>
      </c>
      <c r="BP585">
        <f t="shared" ca="1" si="266"/>
        <v>1320000.0000000075</v>
      </c>
      <c r="BQ585">
        <f t="shared" ca="1" si="267"/>
        <v>-80000.000000003027</v>
      </c>
      <c r="BR585">
        <f ca="1">IF(ROW()&lt;($C$7+1),"",IFERROR((分析データ!F585-AVERAGE(OFFSET(分析データ!F$1,MAX(1,ROW()-$C$7),0,MIN($C$7,ROW()-1),1)))/STDEV(OFFSET(分析データ!F$1,MAX(1,ROW()-$C$7),0,MIN($C$7,ROW()-1),1)),0))</f>
        <v>-1.6846299243278398</v>
      </c>
      <c r="BS585">
        <f t="shared" ca="1" si="268"/>
        <v>0</v>
      </c>
      <c r="BT585" t="str">
        <f ca="1">IF(BS585=1,IF(INDEX(分析データ!$A:$A,ROW()+$C$5)&lt;&gt;"",40000*SIGN(BR585)*(分析データ!F585-INDEX(分析データ!F:F,ROW()+$C$5)),""),"")</f>
        <v/>
      </c>
      <c r="BU585">
        <f t="shared" ca="1" si="269"/>
        <v>10389999.999999998</v>
      </c>
      <c r="BV585">
        <f t="shared" ca="1" si="270"/>
        <v>10389999.999999998</v>
      </c>
      <c r="BW585">
        <f t="shared" ca="1" si="271"/>
        <v>0</v>
      </c>
      <c r="BX585">
        <f ca="1">IF(ROW()&lt;($C$7+1),"",IFERROR((分析データ!G585-AVERAGE(OFFSET(分析データ!G$1,MAX(1,ROW()-$C$7),0,MIN($C$7,ROW()-1),1)))/STDEV(OFFSET(分析データ!G$1,MAX(1,ROW()-$C$7),0,MIN($C$7,ROW()-1),1)),0))</f>
        <v>2.1714981248206513</v>
      </c>
      <c r="BY585">
        <f t="shared" ca="1" si="272"/>
        <v>1</v>
      </c>
      <c r="BZ585">
        <f ca="1">IF(BY585=1,IF(INDEX(分析データ!$A:$A,ROW()+$C$5)&lt;&gt;"",40000*SIGN(BX585)*(分析データ!G585-INDEX(分析データ!G:G,ROW()+$C$5)),""),"")</f>
        <v>-264639.99999999732</v>
      </c>
      <c r="CA585">
        <f t="shared" ca="1" si="273"/>
        <v>9062557.138671875</v>
      </c>
      <c r="CB585">
        <f t="shared" ca="1" si="274"/>
        <v>11327520.000000004</v>
      </c>
      <c r="CC585">
        <f t="shared" ca="1" si="275"/>
        <v>-2264962.8613281287</v>
      </c>
      <c r="CD585">
        <f t="shared" ca="1" si="276"/>
        <v>-104639.99999999732</v>
      </c>
      <c r="CE585">
        <f t="shared" ca="1" si="277"/>
        <v>18962557.138671912</v>
      </c>
      <c r="CF585">
        <f t="shared" ca="1" si="278"/>
        <v>19067197.138671909</v>
      </c>
      <c r="CG585">
        <f t="shared" ca="1" si="279"/>
        <v>-104639.99999999627</v>
      </c>
      <c r="CH585" s="10">
        <f>分析データ!A585</f>
        <v>45779</v>
      </c>
    </row>
    <row r="586" spans="46:86">
      <c r="AT586">
        <f ca="1">IF(ROW()&lt;($C$7+1),"",IFERROR((分析データ!B586-AVERAGE(OFFSET(分析データ!B$1,MAX(1,ROW()-$C$7),0,MIN($C$7,ROW()-1),1)))/STDEV(OFFSET(分析データ!B$1,MAX(1,ROW()-$C$7),0,MIN($C$7,ROW()-1),1)),0))</f>
        <v>1.017494764306117</v>
      </c>
      <c r="AU586">
        <f t="shared" ca="1" si="252"/>
        <v>0</v>
      </c>
      <c r="AV586" t="str">
        <f ca="1">IF(AU586=1,IF(INDEX(分析データ!$A:$A,ROW()+$C$5)&lt;&gt;"",80000*SIGN(AT586)*(分析データ!B586-INDEX(分析データ!B:B,ROW()+$C$5)),""),"")</f>
        <v/>
      </c>
      <c r="AW586">
        <f t="shared" ca="1" si="253"/>
        <v>-4999999.9999999925</v>
      </c>
      <c r="AX586">
        <f t="shared" ca="1" si="254"/>
        <v>0</v>
      </c>
      <c r="AY586">
        <f t="shared" ca="1" si="255"/>
        <v>-4999999.9999999925</v>
      </c>
      <c r="AZ586">
        <f ca="1">IF(ROW()&lt;($C$7+1),"",IFERROR((分析データ!C586-AVERAGE(OFFSET(分析データ!C$1,MAX(1,ROW()-$C$7),0,MIN($C$7,ROW()-1),1)))/STDEV(OFFSET(分析データ!C$1,MAX(1,ROW()-$C$7),0,MIN($C$7,ROW()-1),1)),0))</f>
        <v>-1.3902186241597774</v>
      </c>
      <c r="BA586">
        <f t="shared" ca="1" si="256"/>
        <v>0</v>
      </c>
      <c r="BB586" t="str">
        <f ca="1">IF(BA586=1,IF(INDEX(分析データ!$A:$A,ROW()+$C$5)&lt;&gt;"",60000*SIGN(AZ586)*(分析データ!C586-INDEX(分析データ!C:C,ROW()+$C$5)),""),"")</f>
        <v/>
      </c>
      <c r="BC586">
        <f t="shared" ca="1" si="257"/>
        <v>3075000.0000000102</v>
      </c>
      <c r="BD586">
        <f t="shared" ca="1" si="258"/>
        <v>3075000.0000000102</v>
      </c>
      <c r="BE586">
        <f t="shared" ca="1" si="259"/>
        <v>0</v>
      </c>
      <c r="BF586">
        <f ca="1">IF(ROW()&lt;($C$7+1),"",IFERROR((分析データ!D586-AVERAGE(OFFSET(分析データ!D$1,MAX(1,ROW()-$C$7),0,MIN($C$7,ROW()-1),1)))/STDEV(OFFSET(分析データ!D$1,MAX(1,ROW()-$C$7),0,MIN($C$7,ROW()-1),1)),0))</f>
        <v>-0.28981156579041473</v>
      </c>
      <c r="BG586">
        <f t="shared" ca="1" si="260"/>
        <v>0</v>
      </c>
      <c r="BH586" t="str">
        <f ca="1">IF(BG586=1,IF(INDEX(分析データ!$A:$A,ROW()+$C$5)&lt;&gt;"",50000*SIGN(BF586)*(分析データ!D586-INDEX(分析データ!D:D,ROW()+$C$5)),""),"")</f>
        <v/>
      </c>
      <c r="BI586">
        <f t="shared" ca="1" si="261"/>
        <v>195000.00000000582</v>
      </c>
      <c r="BJ586">
        <f t="shared" ca="1" si="262"/>
        <v>1695000.0000000016</v>
      </c>
      <c r="BK586">
        <f t="shared" ca="1" si="263"/>
        <v>-1499999.9999999958</v>
      </c>
      <c r="BL586">
        <f ca="1">IF(ROW()&lt;($C$7+1),"",IFERROR((分析データ!E586-AVERAGE(OFFSET(分析データ!E$1,MAX(1,ROW()-$C$7),0,MIN($C$7,ROW()-1),1)))/STDEV(OFFSET(分析データ!E$1,MAX(1,ROW()-$C$7),0,MIN($C$7,ROW()-1),1)),0))</f>
        <v>2.313006489476336</v>
      </c>
      <c r="BM586">
        <f t="shared" ca="1" si="264"/>
        <v>1</v>
      </c>
      <c r="BN586">
        <f ca="1">IF(BM586=1,IF(INDEX(分析データ!$A:$A,ROW()+$C$5)&lt;&gt;"",40000*SIGN(BL586)*(分析データ!E586-INDEX(分析データ!E:E,ROW()+$C$5)),""),"")</f>
        <v>80000.000000001703</v>
      </c>
      <c r="BO586">
        <f t="shared" ca="1" si="265"/>
        <v>1320000.0000000061</v>
      </c>
      <c r="BP586">
        <f t="shared" ca="1" si="266"/>
        <v>1320000.0000000075</v>
      </c>
      <c r="BQ586">
        <f t="shared" ca="1" si="267"/>
        <v>0</v>
      </c>
      <c r="BR586">
        <f ca="1">IF(ROW()&lt;($C$7+1),"",IFERROR((分析データ!F586-AVERAGE(OFFSET(分析データ!F$1,MAX(1,ROW()-$C$7),0,MIN($C$7,ROW()-1),1)))/STDEV(OFFSET(分析データ!F$1,MAX(1,ROW()-$C$7),0,MIN($C$7,ROW()-1),1)),0))</f>
        <v>-1.9548759950984944</v>
      </c>
      <c r="BS586">
        <f t="shared" ca="1" si="268"/>
        <v>0</v>
      </c>
      <c r="BT586" t="str">
        <f ca="1">IF(BS586=1,IF(INDEX(分析データ!$A:$A,ROW()+$C$5)&lt;&gt;"",40000*SIGN(BR586)*(分析データ!F586-INDEX(分析データ!F:F,ROW()+$C$5)),""),"")</f>
        <v/>
      </c>
      <c r="BU586">
        <f t="shared" ca="1" si="269"/>
        <v>10389999.999999998</v>
      </c>
      <c r="BV586">
        <f t="shared" ca="1" si="270"/>
        <v>10389999.999999998</v>
      </c>
      <c r="BW586">
        <f t="shared" ca="1" si="271"/>
        <v>0</v>
      </c>
      <c r="BX586">
        <f ca="1">IF(ROW()&lt;($C$7+1),"",IFERROR((分析データ!G586-AVERAGE(OFFSET(分析データ!G$1,MAX(1,ROW()-$C$7),0,MIN($C$7,ROW()-1),1)))/STDEV(OFFSET(分析データ!G$1,MAX(1,ROW()-$C$7),0,MIN($C$7,ROW()-1),1)),0))</f>
        <v>2.2927176781565994</v>
      </c>
      <c r="BY586">
        <f t="shared" ca="1" si="272"/>
        <v>1</v>
      </c>
      <c r="BZ586">
        <f ca="1">IF(BY586=1,IF(INDEX(分析データ!$A:$A,ROW()+$C$5)&lt;&gt;"",40000*SIGN(BX586)*(分析データ!G586-INDEX(分析データ!G:G,ROW()+$C$5)),""),"")</f>
        <v>-157199.99999999866</v>
      </c>
      <c r="CA586">
        <f t="shared" ca="1" si="273"/>
        <v>8905357.1386718769</v>
      </c>
      <c r="CB586">
        <f t="shared" ca="1" si="274"/>
        <v>11327520.000000004</v>
      </c>
      <c r="CC586">
        <f t="shared" ca="1" si="275"/>
        <v>-2422162.8613281269</v>
      </c>
      <c r="CD586">
        <f t="shared" ca="1" si="276"/>
        <v>-77199.999999996959</v>
      </c>
      <c r="CE586">
        <f t="shared" ca="1" si="277"/>
        <v>18885357.138671916</v>
      </c>
      <c r="CF586">
        <f t="shared" ca="1" si="278"/>
        <v>19067197.138671909</v>
      </c>
      <c r="CG586">
        <f t="shared" ca="1" si="279"/>
        <v>-181839.99999999255</v>
      </c>
      <c r="CH586" s="10">
        <f>分析データ!A586</f>
        <v>45782</v>
      </c>
    </row>
    <row r="587" spans="46:86">
      <c r="AT587">
        <f ca="1">IF(ROW()&lt;($C$7+1),"",IFERROR((分析データ!B587-AVERAGE(OFFSET(分析データ!B$1,MAX(1,ROW()-$C$7),0,MIN($C$7,ROW()-1),1)))/STDEV(OFFSET(分析データ!B$1,MAX(1,ROW()-$C$7),0,MIN($C$7,ROW()-1),1)),0))</f>
        <v>0.80098552875692508</v>
      </c>
      <c r="AU587">
        <f t="shared" ca="1" si="252"/>
        <v>0</v>
      </c>
      <c r="AV587" t="str">
        <f ca="1">IF(AU587=1,IF(INDEX(分析データ!$A:$A,ROW()+$C$5)&lt;&gt;"",80000*SIGN(AT587)*(分析データ!B587-INDEX(分析データ!B:B,ROW()+$C$5)),""),"")</f>
        <v/>
      </c>
      <c r="AW587">
        <f t="shared" ca="1" si="253"/>
        <v>-4999999.9999999925</v>
      </c>
      <c r="AX587">
        <f t="shared" ca="1" si="254"/>
        <v>0</v>
      </c>
      <c r="AY587">
        <f t="shared" ca="1" si="255"/>
        <v>-4999999.9999999925</v>
      </c>
      <c r="AZ587">
        <f ca="1">IF(ROW()&lt;($C$7+1),"",IFERROR((分析データ!C587-AVERAGE(OFFSET(分析データ!C$1,MAX(1,ROW()-$C$7),0,MIN($C$7,ROW()-1),1)))/STDEV(OFFSET(分析データ!C$1,MAX(1,ROW()-$C$7),0,MIN($C$7,ROW()-1),1)),0))</f>
        <v>-1.3780199969278453</v>
      </c>
      <c r="BA587">
        <f t="shared" ca="1" si="256"/>
        <v>0</v>
      </c>
      <c r="BB587" t="str">
        <f ca="1">IF(BA587=1,IF(INDEX(分析データ!$A:$A,ROW()+$C$5)&lt;&gt;"",60000*SIGN(AZ587)*(分析データ!C587-INDEX(分析データ!C:C,ROW()+$C$5)),""),"")</f>
        <v/>
      </c>
      <c r="BC587">
        <f t="shared" ca="1" si="257"/>
        <v>3075000.0000000102</v>
      </c>
      <c r="BD587">
        <f t="shared" ca="1" si="258"/>
        <v>3075000.0000000102</v>
      </c>
      <c r="BE587">
        <f t="shared" ca="1" si="259"/>
        <v>0</v>
      </c>
      <c r="BF587">
        <f ca="1">IF(ROW()&lt;($C$7+1),"",IFERROR((分析データ!D587-AVERAGE(OFFSET(分析データ!D$1,MAX(1,ROW()-$C$7),0,MIN($C$7,ROW()-1),1)))/STDEV(OFFSET(分析データ!D$1,MAX(1,ROW()-$C$7),0,MIN($C$7,ROW()-1),1)),0))</f>
        <v>-0.52679388372011005</v>
      </c>
      <c r="BG587">
        <f t="shared" ca="1" si="260"/>
        <v>0</v>
      </c>
      <c r="BH587" t="str">
        <f ca="1">IF(BG587=1,IF(INDEX(分析データ!$A:$A,ROW()+$C$5)&lt;&gt;"",50000*SIGN(BF587)*(分析データ!D587-INDEX(分析データ!D:D,ROW()+$C$5)),""),"")</f>
        <v/>
      </c>
      <c r="BI587">
        <f t="shared" ca="1" si="261"/>
        <v>195000.00000000582</v>
      </c>
      <c r="BJ587">
        <f t="shared" ca="1" si="262"/>
        <v>1695000.0000000016</v>
      </c>
      <c r="BK587">
        <f t="shared" ca="1" si="263"/>
        <v>-1499999.9999999958</v>
      </c>
      <c r="BL587">
        <f ca="1">IF(ROW()&lt;($C$7+1),"",IFERROR((分析データ!E587-AVERAGE(OFFSET(分析データ!E$1,MAX(1,ROW()-$C$7),0,MIN($C$7,ROW()-1),1)))/STDEV(OFFSET(分析データ!E$1,MAX(1,ROW()-$C$7),0,MIN($C$7,ROW()-1),1)),0))</f>
        <v>2.195122574947888</v>
      </c>
      <c r="BM587">
        <f t="shared" ca="1" si="264"/>
        <v>1</v>
      </c>
      <c r="BN587">
        <f ca="1">IF(BM587=1,IF(INDEX(分析データ!$A:$A,ROW()+$C$5)&lt;&gt;"",40000*SIGN(BL587)*(分析データ!E587-INDEX(分析データ!E:E,ROW()+$C$5)),""),"")</f>
        <v>-40000.000000000851</v>
      </c>
      <c r="BO587">
        <f t="shared" ca="1" si="265"/>
        <v>1280000.0000000051</v>
      </c>
      <c r="BP587">
        <f t="shared" ca="1" si="266"/>
        <v>1320000.0000000075</v>
      </c>
      <c r="BQ587">
        <f t="shared" ca="1" si="267"/>
        <v>-40000.000000002328</v>
      </c>
      <c r="BR587">
        <f ca="1">IF(ROW()&lt;($C$7+1),"",IFERROR((分析データ!F587-AVERAGE(OFFSET(分析データ!F$1,MAX(1,ROW()-$C$7),0,MIN($C$7,ROW()-1),1)))/STDEV(OFFSET(分析データ!F$1,MAX(1,ROW()-$C$7),0,MIN($C$7,ROW()-1),1)),0))</f>
        <v>-1.7160113732422355</v>
      </c>
      <c r="BS587">
        <f t="shared" ca="1" si="268"/>
        <v>0</v>
      </c>
      <c r="BT587" t="str">
        <f ca="1">IF(BS587=1,IF(INDEX(分析データ!$A:$A,ROW()+$C$5)&lt;&gt;"",40000*SIGN(BR587)*(分析データ!F587-INDEX(分析データ!F:F,ROW()+$C$5)),""),"")</f>
        <v/>
      </c>
      <c r="BU587">
        <f t="shared" ca="1" si="269"/>
        <v>10389999.999999998</v>
      </c>
      <c r="BV587">
        <f t="shared" ca="1" si="270"/>
        <v>10389999.999999998</v>
      </c>
      <c r="BW587">
        <f t="shared" ca="1" si="271"/>
        <v>0</v>
      </c>
      <c r="BX587">
        <f ca="1">IF(ROW()&lt;($C$7+1),"",IFERROR((分析データ!G587-AVERAGE(OFFSET(分析データ!G$1,MAX(1,ROW()-$C$7),0,MIN($C$7,ROW()-1),1)))/STDEV(OFFSET(分析データ!G$1,MAX(1,ROW()-$C$7),0,MIN($C$7,ROW()-1),1)),0))</f>
        <v>2.2649177016744515</v>
      </c>
      <c r="BY587">
        <f t="shared" ca="1" si="272"/>
        <v>1</v>
      </c>
      <c r="BZ587">
        <f ca="1">IF(BY587=1,IF(INDEX(分析データ!$A:$A,ROW()+$C$5)&lt;&gt;"",40000*SIGN(BX587)*(分析データ!G587-INDEX(分析データ!G:G,ROW()+$C$5)),""),"")</f>
        <v>-629225.7128906264</v>
      </c>
      <c r="CA587">
        <f t="shared" ca="1" si="273"/>
        <v>8276131.42578125</v>
      </c>
      <c r="CB587">
        <f t="shared" ca="1" si="274"/>
        <v>11327520.000000004</v>
      </c>
      <c r="CC587">
        <f t="shared" ca="1" si="275"/>
        <v>-3051388.5742187537</v>
      </c>
      <c r="CD587">
        <f t="shared" ca="1" si="276"/>
        <v>-669225.71289062721</v>
      </c>
      <c r="CE587">
        <f t="shared" ca="1" si="277"/>
        <v>18216131.425781287</v>
      </c>
      <c r="CF587">
        <f t="shared" ca="1" si="278"/>
        <v>19067197.138671909</v>
      </c>
      <c r="CG587">
        <f t="shared" ca="1" si="279"/>
        <v>-851065.71289062127</v>
      </c>
      <c r="CH587" s="10">
        <f>分析データ!A587</f>
        <v>45783</v>
      </c>
    </row>
    <row r="588" spans="46:86">
      <c r="AT588">
        <f ca="1">IF(ROW()&lt;($C$7+1),"",IFERROR((分析データ!B588-AVERAGE(OFFSET(分析データ!B$1,MAX(1,ROW()-$C$7),0,MIN($C$7,ROW()-1),1)))/STDEV(OFFSET(分析データ!B$1,MAX(1,ROW()-$C$7),0,MIN($C$7,ROW()-1),1)),0))</f>
        <v>0.62713491683333211</v>
      </c>
      <c r="AU588">
        <f t="shared" ca="1" si="252"/>
        <v>0</v>
      </c>
      <c r="AV588" t="str">
        <f ca="1">IF(AU588=1,IF(INDEX(分析データ!$A:$A,ROW()+$C$5)&lt;&gt;"",80000*SIGN(AT588)*(分析データ!B588-INDEX(分析データ!B:B,ROW()+$C$5)),""),"")</f>
        <v/>
      </c>
      <c r="AW588">
        <f t="shared" ca="1" si="253"/>
        <v>-4999999.9999999925</v>
      </c>
      <c r="AX588">
        <f t="shared" ca="1" si="254"/>
        <v>0</v>
      </c>
      <c r="AY588">
        <f t="shared" ca="1" si="255"/>
        <v>-4999999.9999999925</v>
      </c>
      <c r="AZ588">
        <f ca="1">IF(ROW()&lt;($C$7+1),"",IFERROR((分析データ!C588-AVERAGE(OFFSET(分析データ!C$1,MAX(1,ROW()-$C$7),0,MIN($C$7,ROW()-1),1)))/STDEV(OFFSET(分析データ!C$1,MAX(1,ROW()-$C$7),0,MIN($C$7,ROW()-1),1)),0))</f>
        <v>-1.5611969079239572</v>
      </c>
      <c r="BA588">
        <f t="shared" ca="1" si="256"/>
        <v>0</v>
      </c>
      <c r="BB588" t="str">
        <f ca="1">IF(BA588=1,IF(INDEX(分析データ!$A:$A,ROW()+$C$5)&lt;&gt;"",60000*SIGN(AZ588)*(分析データ!C588-INDEX(分析データ!C:C,ROW()+$C$5)),""),"")</f>
        <v/>
      </c>
      <c r="BC588">
        <f t="shared" ca="1" si="257"/>
        <v>3075000.0000000102</v>
      </c>
      <c r="BD588">
        <f t="shared" ca="1" si="258"/>
        <v>3075000.0000000102</v>
      </c>
      <c r="BE588">
        <f t="shared" ca="1" si="259"/>
        <v>0</v>
      </c>
      <c r="BF588">
        <f ca="1">IF(ROW()&lt;($C$7+1),"",IFERROR((分析データ!D588-AVERAGE(OFFSET(分析データ!D$1,MAX(1,ROW()-$C$7),0,MIN($C$7,ROW()-1),1)))/STDEV(OFFSET(分析データ!D$1,MAX(1,ROW()-$C$7),0,MIN($C$7,ROW()-1),1)),0))</f>
        <v>-0.82836104769769991</v>
      </c>
      <c r="BG588">
        <f t="shared" ca="1" si="260"/>
        <v>0</v>
      </c>
      <c r="BH588" t="str">
        <f ca="1">IF(BG588=1,IF(INDEX(分析データ!$A:$A,ROW()+$C$5)&lt;&gt;"",50000*SIGN(BF588)*(分析データ!D588-INDEX(分析データ!D:D,ROW()+$C$5)),""),"")</f>
        <v/>
      </c>
      <c r="BI588">
        <f t="shared" ca="1" si="261"/>
        <v>195000.00000000582</v>
      </c>
      <c r="BJ588">
        <f t="shared" ca="1" si="262"/>
        <v>1695000.0000000016</v>
      </c>
      <c r="BK588">
        <f t="shared" ca="1" si="263"/>
        <v>-1499999.9999999958</v>
      </c>
      <c r="BL588">
        <f ca="1">IF(ROW()&lt;($C$7+1),"",IFERROR((分析データ!E588-AVERAGE(OFFSET(分析データ!E$1,MAX(1,ROW()-$C$7),0,MIN($C$7,ROW()-1),1)))/STDEV(OFFSET(分析データ!E$1,MAX(1,ROW()-$C$7),0,MIN($C$7,ROW()-1),1)),0))</f>
        <v>2.0793282205690176</v>
      </c>
      <c r="BM588">
        <f t="shared" ca="1" si="264"/>
        <v>1</v>
      </c>
      <c r="BN588">
        <f ca="1">IF(BM588=1,IF(INDEX(分析データ!$A:$A,ROW()+$C$5)&lt;&gt;"",40000*SIGN(BL588)*(分析データ!E588-INDEX(分析データ!E:E,ROW()+$C$5)),""),"")</f>
        <v>-160000</v>
      </c>
      <c r="BO588">
        <f t="shared" ca="1" si="265"/>
        <v>1120000.0000000051</v>
      </c>
      <c r="BP588">
        <f t="shared" ca="1" si="266"/>
        <v>1320000.0000000075</v>
      </c>
      <c r="BQ588">
        <f t="shared" ca="1" si="267"/>
        <v>-200000.00000000233</v>
      </c>
      <c r="BR588">
        <f ca="1">IF(ROW()&lt;($C$7+1),"",IFERROR((分析データ!F588-AVERAGE(OFFSET(分析データ!F$1,MAX(1,ROW()-$C$7),0,MIN($C$7,ROW()-1),1)))/STDEV(OFFSET(分析データ!F$1,MAX(1,ROW()-$C$7),0,MIN($C$7,ROW()-1),1)),0))</f>
        <v>-1.3128064822890912</v>
      </c>
      <c r="BS588">
        <f t="shared" ca="1" si="268"/>
        <v>0</v>
      </c>
      <c r="BT588" t="str">
        <f ca="1">IF(BS588=1,IF(INDEX(分析データ!$A:$A,ROW()+$C$5)&lt;&gt;"",40000*SIGN(BR588)*(分析データ!F588-INDEX(分析データ!F:F,ROW()+$C$5)),""),"")</f>
        <v/>
      </c>
      <c r="BU588">
        <f t="shared" ca="1" si="269"/>
        <v>10389999.999999998</v>
      </c>
      <c r="BV588">
        <f t="shared" ca="1" si="270"/>
        <v>10389999.999999998</v>
      </c>
      <c r="BW588">
        <f t="shared" ca="1" si="271"/>
        <v>0</v>
      </c>
      <c r="BX588">
        <f ca="1">IF(ROW()&lt;($C$7+1),"",IFERROR((分析データ!G588-AVERAGE(OFFSET(分析データ!G$1,MAX(1,ROW()-$C$7),0,MIN($C$7,ROW()-1),1)))/STDEV(OFFSET(分析データ!G$1,MAX(1,ROW()-$C$7),0,MIN($C$7,ROW()-1),1)),0))</f>
        <v>2.055781663198252</v>
      </c>
      <c r="BY588">
        <f t="shared" ca="1" si="272"/>
        <v>1</v>
      </c>
      <c r="BZ588">
        <f ca="1">IF(BY588=1,IF(INDEX(分析データ!$A:$A,ROW()+$C$5)&lt;&gt;"",40000*SIGN(BX588)*(分析データ!G588-INDEX(分析データ!G:G,ROW()+$C$5)),""),"")</f>
        <v>-938214.28710937663</v>
      </c>
      <c r="CA588">
        <f t="shared" ca="1" si="273"/>
        <v>7337917.1386718731</v>
      </c>
      <c r="CB588">
        <f t="shared" ca="1" si="274"/>
        <v>11327520.000000004</v>
      </c>
      <c r="CC588">
        <f t="shared" ca="1" si="275"/>
        <v>-3989602.8613281306</v>
      </c>
      <c r="CD588">
        <f t="shared" ca="1" si="276"/>
        <v>-1098214.2871093766</v>
      </c>
      <c r="CE588">
        <f t="shared" ca="1" si="277"/>
        <v>17117917.138671912</v>
      </c>
      <c r="CF588">
        <f t="shared" ca="1" si="278"/>
        <v>19067197.138671909</v>
      </c>
      <c r="CG588">
        <f t="shared" ca="1" si="279"/>
        <v>-1949279.9999999963</v>
      </c>
      <c r="CH588" s="10">
        <f>分析データ!A588</f>
        <v>45784</v>
      </c>
    </row>
    <row r="589" spans="46:86">
      <c r="AT589">
        <f ca="1">IF(ROW()&lt;($C$7+1),"",IFERROR((分析データ!B589-AVERAGE(OFFSET(分析データ!B$1,MAX(1,ROW()-$C$7),0,MIN($C$7,ROW()-1),1)))/STDEV(OFFSET(分析データ!B$1,MAX(1,ROW()-$C$7),0,MIN($C$7,ROW()-1),1)),0))</f>
        <v>0.78881239375337098</v>
      </c>
      <c r="AU589">
        <f t="shared" ca="1" si="252"/>
        <v>0</v>
      </c>
      <c r="AV589" t="str">
        <f ca="1">IF(AU589=1,IF(INDEX(分析データ!$A:$A,ROW()+$C$5)&lt;&gt;"",80000*SIGN(AT589)*(分析データ!B589-INDEX(分析データ!B:B,ROW()+$C$5)),""),"")</f>
        <v/>
      </c>
      <c r="AW589">
        <f t="shared" ca="1" si="253"/>
        <v>-4999999.9999999925</v>
      </c>
      <c r="AX589">
        <f t="shared" ca="1" si="254"/>
        <v>0</v>
      </c>
      <c r="AY589">
        <f t="shared" ca="1" si="255"/>
        <v>-4999999.9999999925</v>
      </c>
      <c r="AZ589">
        <f ca="1">IF(ROW()&lt;($C$7+1),"",IFERROR((分析データ!C589-AVERAGE(OFFSET(分析データ!C$1,MAX(1,ROW()-$C$7),0,MIN($C$7,ROW()-1),1)))/STDEV(OFFSET(分析データ!C$1,MAX(1,ROW()-$C$7),0,MIN($C$7,ROW()-1),1)),0))</f>
        <v>-1.1846036421166701</v>
      </c>
      <c r="BA589">
        <f t="shared" ca="1" si="256"/>
        <v>0</v>
      </c>
      <c r="BB589" t="str">
        <f ca="1">IF(BA589=1,IF(INDEX(分析データ!$A:$A,ROW()+$C$5)&lt;&gt;"",60000*SIGN(AZ589)*(分析データ!C589-INDEX(分析データ!C:C,ROW()+$C$5)),""),"")</f>
        <v/>
      </c>
      <c r="BC589">
        <f t="shared" ca="1" si="257"/>
        <v>3075000.0000000102</v>
      </c>
      <c r="BD589">
        <f t="shared" ca="1" si="258"/>
        <v>3075000.0000000102</v>
      </c>
      <c r="BE589">
        <f t="shared" ca="1" si="259"/>
        <v>0</v>
      </c>
      <c r="BF589">
        <f ca="1">IF(ROW()&lt;($C$7+1),"",IFERROR((分析データ!D589-AVERAGE(OFFSET(分析データ!D$1,MAX(1,ROW()-$C$7),0,MIN($C$7,ROW()-1),1)))/STDEV(OFFSET(分析データ!D$1,MAX(1,ROW()-$C$7),0,MIN($C$7,ROW()-1),1)),0))</f>
        <v>-0.47162317567848105</v>
      </c>
      <c r="BG589">
        <f t="shared" ca="1" si="260"/>
        <v>0</v>
      </c>
      <c r="BH589" t="str">
        <f ca="1">IF(BG589=1,IF(INDEX(分析データ!$A:$A,ROW()+$C$5)&lt;&gt;"",50000*SIGN(BF589)*(分析データ!D589-INDEX(分析データ!D:D,ROW()+$C$5)),""),"")</f>
        <v/>
      </c>
      <c r="BI589">
        <f t="shared" ca="1" si="261"/>
        <v>195000.00000000582</v>
      </c>
      <c r="BJ589">
        <f t="shared" ca="1" si="262"/>
        <v>1695000.0000000016</v>
      </c>
      <c r="BK589">
        <f t="shared" ca="1" si="263"/>
        <v>-1499999.9999999958</v>
      </c>
      <c r="BL589">
        <f ca="1">IF(ROW()&lt;($C$7+1),"",IFERROR((分析データ!E589-AVERAGE(OFFSET(分析データ!E$1,MAX(1,ROW()-$C$7),0,MIN($C$7,ROW()-1),1)))/STDEV(OFFSET(分析データ!E$1,MAX(1,ROW()-$C$7),0,MIN($C$7,ROW()-1),1)),0))</f>
        <v>1.8769781607708058</v>
      </c>
      <c r="BM589">
        <f t="shared" ca="1" si="264"/>
        <v>0</v>
      </c>
      <c r="BN589" t="str">
        <f ca="1">IF(BM589=1,IF(INDEX(分析データ!$A:$A,ROW()+$C$5)&lt;&gt;"",40000*SIGN(BL589)*(分析データ!E589-INDEX(分析データ!E:E,ROW()+$C$5)),""),"")</f>
        <v/>
      </c>
      <c r="BO589">
        <f t="shared" ca="1" si="265"/>
        <v>1120000.0000000051</v>
      </c>
      <c r="BP589">
        <f t="shared" ca="1" si="266"/>
        <v>1320000.0000000075</v>
      </c>
      <c r="BQ589">
        <f t="shared" ca="1" si="267"/>
        <v>-200000.00000000233</v>
      </c>
      <c r="BR589">
        <f ca="1">IF(ROW()&lt;($C$7+1),"",IFERROR((分析データ!F589-AVERAGE(OFFSET(分析データ!F$1,MAX(1,ROW()-$C$7),0,MIN($C$7,ROW()-1),1)))/STDEV(OFFSET(分析データ!F$1,MAX(1,ROW()-$C$7),0,MIN($C$7,ROW()-1),1)),0))</f>
        <v>-2.0121327049512376</v>
      </c>
      <c r="BS589">
        <f t="shared" ca="1" si="268"/>
        <v>1</v>
      </c>
      <c r="BT589">
        <f ca="1">IF(BS589=1,IF(INDEX(分析データ!$A:$A,ROW()+$C$5)&lt;&gt;"",40000*SIGN(BR589)*(分析データ!F589-INDEX(分析データ!F:F,ROW()+$C$5)),""),"")</f>
        <v>200800.00000000154</v>
      </c>
      <c r="BU589">
        <f t="shared" ca="1" si="269"/>
        <v>10590800</v>
      </c>
      <c r="BV589">
        <f t="shared" ca="1" si="270"/>
        <v>10590800</v>
      </c>
      <c r="BW589">
        <f t="shared" ca="1" si="271"/>
        <v>0</v>
      </c>
      <c r="BX589">
        <f ca="1">IF(ROW()&lt;($C$7+1),"",IFERROR((分析データ!G589-AVERAGE(OFFSET(分析データ!G$1,MAX(1,ROW()-$C$7),0,MIN($C$7,ROW()-1),1)))/STDEV(OFFSET(分析データ!G$1,MAX(1,ROW()-$C$7),0,MIN($C$7,ROW()-1),1)),0))</f>
        <v>2.2423553467729169</v>
      </c>
      <c r="BY589">
        <f t="shared" ca="1" si="272"/>
        <v>1</v>
      </c>
      <c r="BZ589">
        <f ca="1">IF(BY589=1,IF(INDEX(分析データ!$A:$A,ROW()+$C$5)&lt;&gt;"",40000*SIGN(BX589)*(分析データ!G589-INDEX(分析データ!G:G,ROW()+$C$5)),""),"")</f>
        <v>-480305.71289062692</v>
      </c>
      <c r="CA589">
        <f t="shared" ca="1" si="273"/>
        <v>6857611.4257812463</v>
      </c>
      <c r="CB589">
        <f t="shared" ca="1" si="274"/>
        <v>11327520.000000004</v>
      </c>
      <c r="CC589">
        <f t="shared" ca="1" si="275"/>
        <v>-4469908.5742187575</v>
      </c>
      <c r="CD589">
        <f t="shared" ca="1" si="276"/>
        <v>-279505.71289062535</v>
      </c>
      <c r="CE589">
        <f t="shared" ca="1" si="277"/>
        <v>16838411.425781287</v>
      </c>
      <c r="CF589">
        <f t="shared" ca="1" si="278"/>
        <v>19067197.138671909</v>
      </c>
      <c r="CG589">
        <f t="shared" ca="1" si="279"/>
        <v>-2228785.7128906213</v>
      </c>
      <c r="CH589" s="10">
        <f>分析データ!A589</f>
        <v>45785</v>
      </c>
    </row>
    <row r="590" spans="46:86">
      <c r="AT590">
        <f ca="1">IF(ROW()&lt;($C$7+1),"",IFERROR((分析データ!B590-AVERAGE(OFFSET(分析データ!B$1,MAX(1,ROW()-$C$7),0,MIN($C$7,ROW()-1),1)))/STDEV(OFFSET(分析データ!B$1,MAX(1,ROW()-$C$7),0,MIN($C$7,ROW()-1),1)),0))</f>
        <v>0.86611182738064429</v>
      </c>
      <c r="AU590">
        <f t="shared" ca="1" si="252"/>
        <v>0</v>
      </c>
      <c r="AV590" t="str">
        <f ca="1">IF(AU590=1,IF(INDEX(分析データ!$A:$A,ROW()+$C$5)&lt;&gt;"",80000*SIGN(AT590)*(分析データ!B590-INDEX(分析データ!B:B,ROW()+$C$5)),""),"")</f>
        <v/>
      </c>
      <c r="AW590">
        <f t="shared" ca="1" si="253"/>
        <v>-4999999.9999999925</v>
      </c>
      <c r="AX590">
        <f t="shared" ca="1" si="254"/>
        <v>0</v>
      </c>
      <c r="AY590">
        <f t="shared" ca="1" si="255"/>
        <v>-4999999.9999999925</v>
      </c>
      <c r="AZ590">
        <f ca="1">IF(ROW()&lt;($C$7+1),"",IFERROR((分析データ!C590-AVERAGE(OFFSET(分析データ!C$1,MAX(1,ROW()-$C$7),0,MIN($C$7,ROW()-1),1)))/STDEV(OFFSET(分析データ!C$1,MAX(1,ROW()-$C$7),0,MIN($C$7,ROW()-1),1)),0))</f>
        <v>-1.0633971313335404</v>
      </c>
      <c r="BA590">
        <f t="shared" ca="1" si="256"/>
        <v>0</v>
      </c>
      <c r="BB590" t="str">
        <f ca="1">IF(BA590=1,IF(INDEX(分析データ!$A:$A,ROW()+$C$5)&lt;&gt;"",60000*SIGN(AZ590)*(分析データ!C590-INDEX(分析データ!C:C,ROW()+$C$5)),""),"")</f>
        <v/>
      </c>
      <c r="BC590">
        <f t="shared" ca="1" si="257"/>
        <v>3075000.0000000102</v>
      </c>
      <c r="BD590">
        <f t="shared" ca="1" si="258"/>
        <v>3075000.0000000102</v>
      </c>
      <c r="BE590">
        <f t="shared" ca="1" si="259"/>
        <v>0</v>
      </c>
      <c r="BF590">
        <f ca="1">IF(ROW()&lt;($C$7+1),"",IFERROR((分析データ!D590-AVERAGE(OFFSET(分析データ!D$1,MAX(1,ROW()-$C$7),0,MIN($C$7,ROW()-1),1)))/STDEV(OFFSET(分析データ!D$1,MAX(1,ROW()-$C$7),0,MIN($C$7,ROW()-1),1)),0))</f>
        <v>-0.57761103207983433</v>
      </c>
      <c r="BG590">
        <f t="shared" ca="1" si="260"/>
        <v>0</v>
      </c>
      <c r="BH590" t="str">
        <f ca="1">IF(BG590=1,IF(INDEX(分析データ!$A:$A,ROW()+$C$5)&lt;&gt;"",50000*SIGN(BF590)*(分析データ!D590-INDEX(分析データ!D:D,ROW()+$C$5)),""),"")</f>
        <v/>
      </c>
      <c r="BI590">
        <f t="shared" ca="1" si="261"/>
        <v>195000.00000000582</v>
      </c>
      <c r="BJ590">
        <f t="shared" ca="1" si="262"/>
        <v>1695000.0000000016</v>
      </c>
      <c r="BK590">
        <f t="shared" ca="1" si="263"/>
        <v>-1499999.9999999958</v>
      </c>
      <c r="BL590">
        <f ca="1">IF(ROW()&lt;($C$7+1),"",IFERROR((分析データ!E590-AVERAGE(OFFSET(分析データ!E$1,MAX(1,ROW()-$C$7),0,MIN($C$7,ROW()-1),1)))/STDEV(OFFSET(分析データ!E$1,MAX(1,ROW()-$C$7),0,MIN($C$7,ROW()-1),1)),0))</f>
        <v>1.8583511724723893</v>
      </c>
      <c r="BM590">
        <f t="shared" ca="1" si="264"/>
        <v>0</v>
      </c>
      <c r="BN590" t="str">
        <f ca="1">IF(BM590=1,IF(INDEX(分析データ!$A:$A,ROW()+$C$5)&lt;&gt;"",40000*SIGN(BL590)*(分析データ!E590-INDEX(分析データ!E:E,ROW()+$C$5)),""),"")</f>
        <v/>
      </c>
      <c r="BO590">
        <f t="shared" ca="1" si="265"/>
        <v>1120000.0000000051</v>
      </c>
      <c r="BP590">
        <f t="shared" ca="1" si="266"/>
        <v>1320000.0000000075</v>
      </c>
      <c r="BQ590">
        <f t="shared" ca="1" si="267"/>
        <v>-200000.00000000233</v>
      </c>
      <c r="BR590">
        <f ca="1">IF(ROW()&lt;($C$7+1),"",IFERROR((分析データ!F590-AVERAGE(OFFSET(分析データ!F$1,MAX(1,ROW()-$C$7),0,MIN($C$7,ROW()-1),1)))/STDEV(OFFSET(分析データ!F$1,MAX(1,ROW()-$C$7),0,MIN($C$7,ROW()-1),1)),0))</f>
        <v>-1.7285960194360042</v>
      </c>
      <c r="BS590">
        <f t="shared" ca="1" si="268"/>
        <v>0</v>
      </c>
      <c r="BT590" t="str">
        <f ca="1">IF(BS590=1,IF(INDEX(分析データ!$A:$A,ROW()+$C$5)&lt;&gt;"",40000*SIGN(BR590)*(分析データ!F590-INDEX(分析データ!F:F,ROW()+$C$5)),""),"")</f>
        <v/>
      </c>
      <c r="BU590">
        <f t="shared" ca="1" si="269"/>
        <v>10590800</v>
      </c>
      <c r="BV590">
        <f t="shared" ca="1" si="270"/>
        <v>10590800</v>
      </c>
      <c r="BW590">
        <f t="shared" ca="1" si="271"/>
        <v>0</v>
      </c>
      <c r="BX590">
        <f ca="1">IF(ROW()&lt;($C$7+1),"",IFERROR((分析データ!G590-AVERAGE(OFFSET(分析データ!G$1,MAX(1,ROW()-$C$7),0,MIN($C$7,ROW()-1),1)))/STDEV(OFFSET(分析データ!G$1,MAX(1,ROW()-$C$7),0,MIN($C$7,ROW()-1),1)),0))</f>
        <v>2.3576891106354352</v>
      </c>
      <c r="BY590">
        <f t="shared" ca="1" si="272"/>
        <v>1</v>
      </c>
      <c r="BZ590">
        <f ca="1">IF(BY590=1,IF(INDEX(分析データ!$A:$A,ROW()+$C$5)&lt;&gt;"",40000*SIGN(BX590)*(分析データ!G590-INDEX(分析データ!G:G,ROW()+$C$5)),""),"")</f>
        <v>-168545.71289061848</v>
      </c>
      <c r="CA590">
        <f t="shared" ca="1" si="273"/>
        <v>6689065.7128906278</v>
      </c>
      <c r="CB590">
        <f t="shared" ca="1" si="274"/>
        <v>11327520.000000004</v>
      </c>
      <c r="CC590">
        <f t="shared" ca="1" si="275"/>
        <v>-4638454.2871093759</v>
      </c>
      <c r="CD590">
        <f t="shared" ca="1" si="276"/>
        <v>-168545.71289061848</v>
      </c>
      <c r="CE590">
        <f t="shared" ca="1" si="277"/>
        <v>16669865.71289067</v>
      </c>
      <c r="CF590">
        <f t="shared" ca="1" si="278"/>
        <v>19067197.138671909</v>
      </c>
      <c r="CG590">
        <f t="shared" ca="1" si="279"/>
        <v>-2397331.4257812388</v>
      </c>
      <c r="CH590" s="10">
        <f>分析データ!A590</f>
        <v>45786</v>
      </c>
    </row>
    <row r="591" spans="46:86">
      <c r="AT591">
        <f ca="1">IF(ROW()&lt;($C$7+1),"",IFERROR((分析データ!B591-AVERAGE(OFFSET(分析データ!B$1,MAX(1,ROW()-$C$7),0,MIN($C$7,ROW()-1),1)))/STDEV(OFFSET(分析データ!B$1,MAX(1,ROW()-$C$7),0,MIN($C$7,ROW()-1),1)),0))</f>
        <v>0.85917502709322024</v>
      </c>
      <c r="AU591">
        <f t="shared" ca="1" si="252"/>
        <v>0</v>
      </c>
      <c r="AV591" t="str">
        <f ca="1">IF(AU591=1,IF(INDEX(分析データ!$A:$A,ROW()+$C$5)&lt;&gt;"",80000*SIGN(AT591)*(分析データ!B591-INDEX(分析データ!B:B,ROW()+$C$5)),""),"")</f>
        <v/>
      </c>
      <c r="AW591">
        <f t="shared" ca="1" si="253"/>
        <v>-4999999.9999999925</v>
      </c>
      <c r="AX591">
        <f t="shared" ca="1" si="254"/>
        <v>0</v>
      </c>
      <c r="AY591">
        <f t="shared" ca="1" si="255"/>
        <v>-4999999.9999999925</v>
      </c>
      <c r="AZ591">
        <f ca="1">IF(ROW()&lt;($C$7+1),"",IFERROR((分析データ!C591-AVERAGE(OFFSET(分析データ!C$1,MAX(1,ROW()-$C$7),0,MIN($C$7,ROW()-1),1)))/STDEV(OFFSET(分析データ!C$1,MAX(1,ROW()-$C$7),0,MIN($C$7,ROW()-1),1)),0))</f>
        <v>-0.98554465616868803</v>
      </c>
      <c r="BA591">
        <f t="shared" ca="1" si="256"/>
        <v>0</v>
      </c>
      <c r="BB591" t="str">
        <f ca="1">IF(BA591=1,IF(INDEX(分析データ!$A:$A,ROW()+$C$5)&lt;&gt;"",60000*SIGN(AZ591)*(分析データ!C591-INDEX(分析データ!C:C,ROW()+$C$5)),""),"")</f>
        <v/>
      </c>
      <c r="BC591">
        <f t="shared" ca="1" si="257"/>
        <v>3075000.0000000102</v>
      </c>
      <c r="BD591">
        <f t="shared" ca="1" si="258"/>
        <v>3075000.0000000102</v>
      </c>
      <c r="BE591">
        <f t="shared" ca="1" si="259"/>
        <v>0</v>
      </c>
      <c r="BF591">
        <f ca="1">IF(ROW()&lt;($C$7+1),"",IFERROR((分析データ!D591-AVERAGE(OFFSET(分析データ!D$1,MAX(1,ROW()-$C$7),0,MIN($C$7,ROW()-1),1)))/STDEV(OFFSET(分析データ!D$1,MAX(1,ROW()-$C$7),0,MIN($C$7,ROW()-1),1)),0))</f>
        <v>-0.38329015538449307</v>
      </c>
      <c r="BG591">
        <f t="shared" ca="1" si="260"/>
        <v>0</v>
      </c>
      <c r="BH591" t="str">
        <f ca="1">IF(BG591=1,IF(INDEX(分析データ!$A:$A,ROW()+$C$5)&lt;&gt;"",50000*SIGN(BF591)*(分析データ!D591-INDEX(分析データ!D:D,ROW()+$C$5)),""),"")</f>
        <v/>
      </c>
      <c r="BI591">
        <f t="shared" ca="1" si="261"/>
        <v>195000.00000000582</v>
      </c>
      <c r="BJ591">
        <f t="shared" ca="1" si="262"/>
        <v>1695000.0000000016</v>
      </c>
      <c r="BK591">
        <f t="shared" ca="1" si="263"/>
        <v>-1499999.9999999958</v>
      </c>
      <c r="BL591">
        <f ca="1">IF(ROW()&lt;($C$7+1),"",IFERROR((分析データ!E591-AVERAGE(OFFSET(分析データ!E$1,MAX(1,ROW()-$C$7),0,MIN($C$7,ROW()-1),1)))/STDEV(OFFSET(分析データ!E$1,MAX(1,ROW()-$C$7),0,MIN($C$7,ROW()-1),1)),0))</f>
        <v>1.7523617981558441</v>
      </c>
      <c r="BM591">
        <f t="shared" ca="1" si="264"/>
        <v>0</v>
      </c>
      <c r="BN591" t="str">
        <f ca="1">IF(BM591=1,IF(INDEX(分析データ!$A:$A,ROW()+$C$5)&lt;&gt;"",40000*SIGN(BL591)*(分析データ!E591-INDEX(分析データ!E:E,ROW()+$C$5)),""),"")</f>
        <v/>
      </c>
      <c r="BO591">
        <f t="shared" ca="1" si="265"/>
        <v>1120000.0000000051</v>
      </c>
      <c r="BP591">
        <f t="shared" ca="1" si="266"/>
        <v>1320000.0000000075</v>
      </c>
      <c r="BQ591">
        <f t="shared" ca="1" si="267"/>
        <v>-200000.00000000233</v>
      </c>
      <c r="BR591">
        <f ca="1">IF(ROW()&lt;($C$7+1),"",IFERROR((分析データ!F591-AVERAGE(OFFSET(分析データ!F$1,MAX(1,ROW()-$C$7),0,MIN($C$7,ROW()-1),1)))/STDEV(OFFSET(分析データ!F$1,MAX(1,ROW()-$C$7),0,MIN($C$7,ROW()-1),1)),0))</f>
        <v>-1.8668312939061105</v>
      </c>
      <c r="BS591">
        <f t="shared" ca="1" si="268"/>
        <v>0</v>
      </c>
      <c r="BT591" t="str">
        <f ca="1">IF(BS591=1,IF(INDEX(分析データ!$A:$A,ROW()+$C$5)&lt;&gt;"",40000*SIGN(BR591)*(分析データ!F591-INDEX(分析データ!F:F,ROW()+$C$5)),""),"")</f>
        <v/>
      </c>
      <c r="BU591">
        <f t="shared" ca="1" si="269"/>
        <v>10590800</v>
      </c>
      <c r="BV591">
        <f t="shared" ca="1" si="270"/>
        <v>10590800</v>
      </c>
      <c r="BW591">
        <f t="shared" ca="1" si="271"/>
        <v>0</v>
      </c>
      <c r="BX591">
        <f ca="1">IF(ROW()&lt;($C$7+1),"",IFERROR((分析データ!G591-AVERAGE(OFFSET(分析データ!G$1,MAX(1,ROW()-$C$7),0,MIN($C$7,ROW()-1),1)))/STDEV(OFFSET(分析データ!G$1,MAX(1,ROW()-$C$7),0,MIN($C$7,ROW()-1),1)),0))</f>
        <v>2.2396513785863386</v>
      </c>
      <c r="BY591">
        <f t="shared" ca="1" si="272"/>
        <v>1</v>
      </c>
      <c r="BZ591">
        <f ca="1">IF(BY591=1,IF(INDEX(分析データ!$A:$A,ROW()+$C$5)&lt;&gt;"",40000*SIGN(BX591)*(分析データ!G591-INDEX(分析データ!G:G,ROW()+$C$5)),""),"")</f>
        <v>-15054.287109371955</v>
      </c>
      <c r="CA591">
        <f t="shared" ca="1" si="273"/>
        <v>6674011.4257812556</v>
      </c>
      <c r="CB591">
        <f t="shared" ca="1" si="274"/>
        <v>11327520.000000004</v>
      </c>
      <c r="CC591">
        <f t="shared" ca="1" si="275"/>
        <v>-4653508.5742187481</v>
      </c>
      <c r="CD591">
        <f t="shared" ca="1" si="276"/>
        <v>-15054.287109371955</v>
      </c>
      <c r="CE591">
        <f t="shared" ca="1" si="277"/>
        <v>16654811.425781298</v>
      </c>
      <c r="CF591">
        <f t="shared" ca="1" si="278"/>
        <v>19067197.138671909</v>
      </c>
      <c r="CG591">
        <f t="shared" ca="1" si="279"/>
        <v>-2412385.7128906101</v>
      </c>
      <c r="CH591" s="10">
        <f>分析データ!A591</f>
        <v>45789</v>
      </c>
    </row>
    <row r="592" spans="46:86">
      <c r="AT592">
        <f ca="1">IF(ROW()&lt;($C$7+1),"",IFERROR((分析データ!B592-AVERAGE(OFFSET(分析データ!B$1,MAX(1,ROW()-$C$7),0,MIN($C$7,ROW()-1),1)))/STDEV(OFFSET(分析データ!B$1,MAX(1,ROW()-$C$7),0,MIN($C$7,ROW()-1),1)),0))</f>
        <v>0.81023416794412451</v>
      </c>
      <c r="AU592">
        <f t="shared" ca="1" si="252"/>
        <v>0</v>
      </c>
      <c r="AV592" t="str">
        <f ca="1">IF(AU592=1,IF(INDEX(分析データ!$A:$A,ROW()+$C$5)&lt;&gt;"",80000*SIGN(AT592)*(分析データ!B592-INDEX(分析データ!B:B,ROW()+$C$5)),""),"")</f>
        <v/>
      </c>
      <c r="AW592">
        <f t="shared" ca="1" si="253"/>
        <v>-4999999.9999999925</v>
      </c>
      <c r="AX592">
        <f t="shared" ca="1" si="254"/>
        <v>0</v>
      </c>
      <c r="AY592">
        <f t="shared" ca="1" si="255"/>
        <v>-4999999.9999999925</v>
      </c>
      <c r="AZ592">
        <f ca="1">IF(ROW()&lt;($C$7+1),"",IFERROR((分析データ!C592-AVERAGE(OFFSET(分析データ!C$1,MAX(1,ROW()-$C$7),0,MIN($C$7,ROW()-1),1)))/STDEV(OFFSET(分析データ!C$1,MAX(1,ROW()-$C$7),0,MIN($C$7,ROW()-1),1)),0))</f>
        <v>-0.21601418034290834</v>
      </c>
      <c r="BA592">
        <f t="shared" ca="1" si="256"/>
        <v>0</v>
      </c>
      <c r="BB592" t="str">
        <f ca="1">IF(BA592=1,IF(INDEX(分析データ!$A:$A,ROW()+$C$5)&lt;&gt;"",60000*SIGN(AZ592)*(分析データ!C592-INDEX(分析データ!C:C,ROW()+$C$5)),""),"")</f>
        <v/>
      </c>
      <c r="BC592">
        <f t="shared" ca="1" si="257"/>
        <v>3075000.0000000102</v>
      </c>
      <c r="BD592">
        <f t="shared" ca="1" si="258"/>
        <v>3075000.0000000102</v>
      </c>
      <c r="BE592">
        <f t="shared" ca="1" si="259"/>
        <v>0</v>
      </c>
      <c r="BF592">
        <f ca="1">IF(ROW()&lt;($C$7+1),"",IFERROR((分析データ!D592-AVERAGE(OFFSET(分析データ!D$1,MAX(1,ROW()-$C$7),0,MIN($C$7,ROW()-1),1)))/STDEV(OFFSET(分析データ!D$1,MAX(1,ROW()-$C$7),0,MIN($C$7,ROW()-1),1)),0))</f>
        <v>-0.44005621867983818</v>
      </c>
      <c r="BG592">
        <f t="shared" ca="1" si="260"/>
        <v>0</v>
      </c>
      <c r="BH592" t="str">
        <f ca="1">IF(BG592=1,IF(INDEX(分析データ!$A:$A,ROW()+$C$5)&lt;&gt;"",50000*SIGN(BF592)*(分析データ!D592-INDEX(分析データ!D:D,ROW()+$C$5)),""),"")</f>
        <v/>
      </c>
      <c r="BI592">
        <f t="shared" ca="1" si="261"/>
        <v>195000.00000000582</v>
      </c>
      <c r="BJ592">
        <f t="shared" ca="1" si="262"/>
        <v>1695000.0000000016</v>
      </c>
      <c r="BK592">
        <f t="shared" ca="1" si="263"/>
        <v>-1499999.9999999958</v>
      </c>
      <c r="BL592">
        <f ca="1">IF(ROW()&lt;($C$7+1),"",IFERROR((分析データ!E592-AVERAGE(OFFSET(分析データ!E$1,MAX(1,ROW()-$C$7),0,MIN($C$7,ROW()-1),1)))/STDEV(OFFSET(分析データ!E$1,MAX(1,ROW()-$C$7),0,MIN($C$7,ROW()-1),1)),0))</f>
        <v>1.8272112979429882</v>
      </c>
      <c r="BM592">
        <f t="shared" ca="1" si="264"/>
        <v>0</v>
      </c>
      <c r="BN592" t="str">
        <f ca="1">IF(BM592=1,IF(INDEX(分析データ!$A:$A,ROW()+$C$5)&lt;&gt;"",40000*SIGN(BL592)*(分析データ!E592-INDEX(分析データ!E:E,ROW()+$C$5)),""),"")</f>
        <v/>
      </c>
      <c r="BO592">
        <f t="shared" ca="1" si="265"/>
        <v>1120000.0000000051</v>
      </c>
      <c r="BP592">
        <f t="shared" ca="1" si="266"/>
        <v>1320000.0000000075</v>
      </c>
      <c r="BQ592">
        <f t="shared" ca="1" si="267"/>
        <v>-200000.00000000233</v>
      </c>
      <c r="BR592">
        <f ca="1">IF(ROW()&lt;($C$7+1),"",IFERROR((分析データ!F592-AVERAGE(OFFSET(分析データ!F$1,MAX(1,ROW()-$C$7),0,MIN($C$7,ROW()-1),1)))/STDEV(OFFSET(分析データ!F$1,MAX(1,ROW()-$C$7),0,MIN($C$7,ROW()-1),1)),0))</f>
        <v>-1.3838017782641294</v>
      </c>
      <c r="BS592">
        <f t="shared" ca="1" si="268"/>
        <v>0</v>
      </c>
      <c r="BT592" t="str">
        <f ca="1">IF(BS592=1,IF(INDEX(分析データ!$A:$A,ROW()+$C$5)&lt;&gt;"",40000*SIGN(BR592)*(分析データ!F592-INDEX(分析データ!F:F,ROW()+$C$5)),""),"")</f>
        <v/>
      </c>
      <c r="BU592">
        <f t="shared" ca="1" si="269"/>
        <v>10590800</v>
      </c>
      <c r="BV592">
        <f t="shared" ca="1" si="270"/>
        <v>10590800</v>
      </c>
      <c r="BW592">
        <f t="shared" ca="1" si="271"/>
        <v>0</v>
      </c>
      <c r="BX592">
        <f ca="1">IF(ROW()&lt;($C$7+1),"",IFERROR((分析データ!G592-AVERAGE(OFFSET(分析データ!G$1,MAX(1,ROW()-$C$7),0,MIN($C$7,ROW()-1),1)))/STDEV(OFFSET(分析データ!G$1,MAX(1,ROW()-$C$7),0,MIN($C$7,ROW()-1),1)),0))</f>
        <v>1.8683984258693647</v>
      </c>
      <c r="BY592">
        <f t="shared" ca="1" si="272"/>
        <v>0</v>
      </c>
      <c r="BZ592" t="str">
        <f ca="1">IF(BY592=1,IF(INDEX(分析データ!$A:$A,ROW()+$C$5)&lt;&gt;"",40000*SIGN(BX592)*(分析データ!G592-INDEX(分析データ!G:G,ROW()+$C$5)),""),"")</f>
        <v/>
      </c>
      <c r="CA592">
        <f t="shared" ca="1" si="273"/>
        <v>6674011.4257812556</v>
      </c>
      <c r="CB592">
        <f t="shared" ca="1" si="274"/>
        <v>11327520.000000004</v>
      </c>
      <c r="CC592">
        <f t="shared" ca="1" si="275"/>
        <v>-4653508.5742187481</v>
      </c>
      <c r="CD592">
        <f t="shared" ca="1" si="276"/>
        <v>0</v>
      </c>
      <c r="CE592">
        <f t="shared" ca="1" si="277"/>
        <v>16654811.425781298</v>
      </c>
      <c r="CF592">
        <f t="shared" ca="1" si="278"/>
        <v>19067197.138671909</v>
      </c>
      <c r="CG592">
        <f t="shared" ca="1" si="279"/>
        <v>-2412385.7128906101</v>
      </c>
      <c r="CH592" s="10">
        <f>分析データ!A592</f>
        <v>45790</v>
      </c>
    </row>
    <row r="593" spans="46:86">
      <c r="AT593">
        <f ca="1">IF(ROW()&lt;($C$7+1),"",IFERROR((分析データ!B593-AVERAGE(OFFSET(分析データ!B$1,MAX(1,ROW()-$C$7),0,MIN($C$7,ROW()-1),1)))/STDEV(OFFSET(分析データ!B$1,MAX(1,ROW()-$C$7),0,MIN($C$7,ROW()-1),1)),0))</f>
        <v>0.8880926410960247</v>
      </c>
      <c r="AU593">
        <f t="shared" ca="1" si="252"/>
        <v>0</v>
      </c>
      <c r="AV593" t="str">
        <f ca="1">IF(AU593=1,IF(INDEX(分析データ!$A:$A,ROW()+$C$5)&lt;&gt;"",80000*SIGN(AT593)*(分析データ!B593-INDEX(分析データ!B:B,ROW()+$C$5)),""),"")</f>
        <v/>
      </c>
      <c r="AW593">
        <f t="shared" ca="1" si="253"/>
        <v>-4999999.9999999925</v>
      </c>
      <c r="AX593">
        <f t="shared" ca="1" si="254"/>
        <v>0</v>
      </c>
      <c r="AY593">
        <f t="shared" ca="1" si="255"/>
        <v>-4999999.9999999925</v>
      </c>
      <c r="AZ593">
        <f ca="1">IF(ROW()&lt;($C$7+1),"",IFERROR((分析データ!C593-AVERAGE(OFFSET(分析データ!C$1,MAX(1,ROW()-$C$7),0,MIN($C$7,ROW()-1),1)))/STDEV(OFFSET(分析データ!C$1,MAX(1,ROW()-$C$7),0,MIN($C$7,ROW()-1),1)),0))</f>
        <v>-0.26817858564702524</v>
      </c>
      <c r="BA593">
        <f t="shared" ca="1" si="256"/>
        <v>0</v>
      </c>
      <c r="BB593" t="str">
        <f ca="1">IF(BA593=1,IF(INDEX(分析データ!$A:$A,ROW()+$C$5)&lt;&gt;"",60000*SIGN(AZ593)*(分析データ!C593-INDEX(分析データ!C:C,ROW()+$C$5)),""),"")</f>
        <v/>
      </c>
      <c r="BC593">
        <f t="shared" ca="1" si="257"/>
        <v>3075000.0000000102</v>
      </c>
      <c r="BD593">
        <f t="shared" ca="1" si="258"/>
        <v>3075000.0000000102</v>
      </c>
      <c r="BE593">
        <f t="shared" ca="1" si="259"/>
        <v>0</v>
      </c>
      <c r="BF593">
        <f ca="1">IF(ROW()&lt;($C$7+1),"",IFERROR((分析データ!D593-AVERAGE(OFFSET(分析データ!D$1,MAX(1,ROW()-$C$7),0,MIN($C$7,ROW()-1),1)))/STDEV(OFFSET(分析データ!D$1,MAX(1,ROW()-$C$7),0,MIN($C$7,ROW()-1),1)),0))</f>
        <v>-0.28980965632879196</v>
      </c>
      <c r="BG593">
        <f t="shared" ca="1" si="260"/>
        <v>0</v>
      </c>
      <c r="BH593" t="str">
        <f ca="1">IF(BG593=1,IF(INDEX(分析データ!$A:$A,ROW()+$C$5)&lt;&gt;"",50000*SIGN(BF593)*(分析データ!D593-INDEX(分析データ!D:D,ROW()+$C$5)),""),"")</f>
        <v/>
      </c>
      <c r="BI593">
        <f t="shared" ca="1" si="261"/>
        <v>195000.00000000582</v>
      </c>
      <c r="BJ593">
        <f t="shared" ca="1" si="262"/>
        <v>1695000.0000000016</v>
      </c>
      <c r="BK593">
        <f t="shared" ca="1" si="263"/>
        <v>-1499999.9999999958</v>
      </c>
      <c r="BL593">
        <f ca="1">IF(ROW()&lt;($C$7+1),"",IFERROR((分析データ!E593-AVERAGE(OFFSET(分析データ!E$1,MAX(1,ROW()-$C$7),0,MIN($C$7,ROW()-1),1)))/STDEV(OFFSET(分析データ!E$1,MAX(1,ROW()-$C$7),0,MIN($C$7,ROW()-1),1)),0))</f>
        <v>1.7227839181969558</v>
      </c>
      <c r="BM593">
        <f t="shared" ca="1" si="264"/>
        <v>0</v>
      </c>
      <c r="BN593" t="str">
        <f ca="1">IF(BM593=1,IF(INDEX(分析データ!$A:$A,ROW()+$C$5)&lt;&gt;"",40000*SIGN(BL593)*(分析データ!E593-INDEX(分析データ!E:E,ROW()+$C$5)),""),"")</f>
        <v/>
      </c>
      <c r="BO593">
        <f t="shared" ca="1" si="265"/>
        <v>1120000.0000000051</v>
      </c>
      <c r="BP593">
        <f t="shared" ca="1" si="266"/>
        <v>1320000.0000000075</v>
      </c>
      <c r="BQ593">
        <f t="shared" ca="1" si="267"/>
        <v>-200000.00000000233</v>
      </c>
      <c r="BR593">
        <f ca="1">IF(ROW()&lt;($C$7+1),"",IFERROR((分析データ!F593-AVERAGE(OFFSET(分析データ!F$1,MAX(1,ROW()-$C$7),0,MIN($C$7,ROW()-1),1)))/STDEV(OFFSET(分析データ!F$1,MAX(1,ROW()-$C$7),0,MIN($C$7,ROW()-1),1)),0))</f>
        <v>-1.4225015889450405</v>
      </c>
      <c r="BS593">
        <f t="shared" ca="1" si="268"/>
        <v>0</v>
      </c>
      <c r="BT593" t="str">
        <f ca="1">IF(BS593=1,IF(INDEX(分析データ!$A:$A,ROW()+$C$5)&lt;&gt;"",40000*SIGN(BR593)*(分析データ!F593-INDEX(分析データ!F:F,ROW()+$C$5)),""),"")</f>
        <v/>
      </c>
      <c r="BU593">
        <f t="shared" ca="1" si="269"/>
        <v>10590800</v>
      </c>
      <c r="BV593">
        <f t="shared" ca="1" si="270"/>
        <v>10590800</v>
      </c>
      <c r="BW593">
        <f t="shared" ca="1" si="271"/>
        <v>0</v>
      </c>
      <c r="BX593">
        <f ca="1">IF(ROW()&lt;($C$7+1),"",IFERROR((分析データ!G593-AVERAGE(OFFSET(分析データ!G$1,MAX(1,ROW()-$C$7),0,MIN($C$7,ROW()-1),1)))/STDEV(OFFSET(分析データ!G$1,MAX(1,ROW()-$C$7),0,MIN($C$7,ROW()-1),1)),0))</f>
        <v>1.5816087051297865</v>
      </c>
      <c r="BY593">
        <f t="shared" ca="1" si="272"/>
        <v>0</v>
      </c>
      <c r="BZ593" t="str">
        <f ca="1">IF(BY593=1,IF(INDEX(分析データ!$A:$A,ROW()+$C$5)&lt;&gt;"",40000*SIGN(BX593)*(分析データ!G593-INDEX(分析データ!G:G,ROW()+$C$5)),""),"")</f>
        <v/>
      </c>
      <c r="CA593">
        <f t="shared" ca="1" si="273"/>
        <v>6674011.4257812556</v>
      </c>
      <c r="CB593">
        <f t="shared" ca="1" si="274"/>
        <v>11327520.000000004</v>
      </c>
      <c r="CC593">
        <f t="shared" ca="1" si="275"/>
        <v>-4653508.5742187481</v>
      </c>
      <c r="CD593">
        <f t="shared" ca="1" si="276"/>
        <v>0</v>
      </c>
      <c r="CE593">
        <f t="shared" ca="1" si="277"/>
        <v>16654811.425781298</v>
      </c>
      <c r="CF593">
        <f t="shared" ca="1" si="278"/>
        <v>19067197.138671909</v>
      </c>
      <c r="CG593">
        <f t="shared" ca="1" si="279"/>
        <v>-2412385.7128906101</v>
      </c>
      <c r="CH593" s="10">
        <f>分析データ!A593</f>
        <v>45791</v>
      </c>
    </row>
    <row r="594" spans="46:86">
      <c r="AT594">
        <f ca="1">IF(ROW()&lt;($C$7+1),"",IFERROR((分析データ!B594-AVERAGE(OFFSET(分析データ!B$1,MAX(1,ROW()-$C$7),0,MIN($C$7,ROW()-1),1)))/STDEV(OFFSET(分析データ!B$1,MAX(1,ROW()-$C$7),0,MIN($C$7,ROW()-1),1)),0))</f>
        <v>0.83880215644556799</v>
      </c>
      <c r="AU594">
        <f t="shared" ca="1" si="252"/>
        <v>0</v>
      </c>
      <c r="AV594" t="str">
        <f ca="1">IF(AU594=1,IF(INDEX(分析データ!$A:$A,ROW()+$C$5)&lt;&gt;"",80000*SIGN(AT594)*(分析データ!B594-INDEX(分析データ!B:B,ROW()+$C$5)),""),"")</f>
        <v/>
      </c>
      <c r="AW594">
        <f t="shared" ca="1" si="253"/>
        <v>-4999999.9999999925</v>
      </c>
      <c r="AX594">
        <f t="shared" ca="1" si="254"/>
        <v>0</v>
      </c>
      <c r="AY594">
        <f t="shared" ca="1" si="255"/>
        <v>-4999999.9999999925</v>
      </c>
      <c r="AZ594">
        <f ca="1">IF(ROW()&lt;($C$7+1),"",IFERROR((分析データ!C594-AVERAGE(OFFSET(分析データ!C$1,MAX(1,ROW()-$C$7),0,MIN($C$7,ROW()-1),1)))/STDEV(OFFSET(分析データ!C$1,MAX(1,ROW()-$C$7),0,MIN($C$7,ROW()-1),1)),0))</f>
        <v>-0.21547299879289891</v>
      </c>
      <c r="BA594">
        <f t="shared" ca="1" si="256"/>
        <v>0</v>
      </c>
      <c r="BB594" t="str">
        <f ca="1">IF(BA594=1,IF(INDEX(分析データ!$A:$A,ROW()+$C$5)&lt;&gt;"",60000*SIGN(AZ594)*(分析データ!C594-INDEX(分析データ!C:C,ROW()+$C$5)),""),"")</f>
        <v/>
      </c>
      <c r="BC594">
        <f t="shared" ca="1" si="257"/>
        <v>3075000.0000000102</v>
      </c>
      <c r="BD594">
        <f t="shared" ca="1" si="258"/>
        <v>3075000.0000000102</v>
      </c>
      <c r="BE594">
        <f t="shared" ca="1" si="259"/>
        <v>0</v>
      </c>
      <c r="BF594">
        <f ca="1">IF(ROW()&lt;($C$7+1),"",IFERROR((分析データ!D594-AVERAGE(OFFSET(分析データ!D$1,MAX(1,ROW()-$C$7),0,MIN($C$7,ROW()-1),1)))/STDEV(OFFSET(分析データ!D$1,MAX(1,ROW()-$C$7),0,MIN($C$7,ROW()-1),1)),0))</f>
        <v>-0.7224895162620768</v>
      </c>
      <c r="BG594">
        <f t="shared" ca="1" si="260"/>
        <v>0</v>
      </c>
      <c r="BH594" t="str">
        <f ca="1">IF(BG594=1,IF(INDEX(分析データ!$A:$A,ROW()+$C$5)&lt;&gt;"",50000*SIGN(BF594)*(分析データ!D594-INDEX(分析データ!D:D,ROW()+$C$5)),""),"")</f>
        <v/>
      </c>
      <c r="BI594">
        <f t="shared" ca="1" si="261"/>
        <v>195000.00000000582</v>
      </c>
      <c r="BJ594">
        <f t="shared" ca="1" si="262"/>
        <v>1695000.0000000016</v>
      </c>
      <c r="BK594">
        <f t="shared" ca="1" si="263"/>
        <v>-1499999.9999999958</v>
      </c>
      <c r="BL594">
        <f ca="1">IF(ROW()&lt;($C$7+1),"",IFERROR((分析データ!E594-AVERAGE(OFFSET(分析データ!E$1,MAX(1,ROW()-$C$7),0,MIN($C$7,ROW()-1),1)))/STDEV(OFFSET(分析データ!E$1,MAX(1,ROW()-$C$7),0,MIN($C$7,ROW()-1),1)),0))</f>
        <v>1.8871566241026516</v>
      </c>
      <c r="BM594">
        <f t="shared" ca="1" si="264"/>
        <v>0</v>
      </c>
      <c r="BN594" t="str">
        <f ca="1">IF(BM594=1,IF(INDEX(分析データ!$A:$A,ROW()+$C$5)&lt;&gt;"",40000*SIGN(BL594)*(分析データ!E594-INDEX(分析データ!E:E,ROW()+$C$5)),""),"")</f>
        <v/>
      </c>
      <c r="BO594">
        <f t="shared" ca="1" si="265"/>
        <v>1120000.0000000051</v>
      </c>
      <c r="BP594">
        <f t="shared" ca="1" si="266"/>
        <v>1320000.0000000075</v>
      </c>
      <c r="BQ594">
        <f t="shared" ca="1" si="267"/>
        <v>-200000.00000000233</v>
      </c>
      <c r="BR594">
        <f ca="1">IF(ROW()&lt;($C$7+1),"",IFERROR((分析データ!F594-AVERAGE(OFFSET(分析データ!F$1,MAX(1,ROW()-$C$7),0,MIN($C$7,ROW()-1),1)))/STDEV(OFFSET(分析データ!F$1,MAX(1,ROW()-$C$7),0,MIN($C$7,ROW()-1),1)),0))</f>
        <v>-1.1600502998621962</v>
      </c>
      <c r="BS594">
        <f t="shared" ca="1" si="268"/>
        <v>0</v>
      </c>
      <c r="BT594" t="str">
        <f ca="1">IF(BS594=1,IF(INDEX(分析データ!$A:$A,ROW()+$C$5)&lt;&gt;"",40000*SIGN(BR594)*(分析データ!F594-INDEX(分析データ!F:F,ROW()+$C$5)),""),"")</f>
        <v/>
      </c>
      <c r="BU594">
        <f t="shared" ca="1" si="269"/>
        <v>10590800</v>
      </c>
      <c r="BV594">
        <f t="shared" ca="1" si="270"/>
        <v>10590800</v>
      </c>
      <c r="BW594">
        <f t="shared" ca="1" si="271"/>
        <v>0</v>
      </c>
      <c r="BX594">
        <f ca="1">IF(ROW()&lt;($C$7+1),"",IFERROR((分析データ!G594-AVERAGE(OFFSET(分析データ!G$1,MAX(1,ROW()-$C$7),0,MIN($C$7,ROW()-1),1)))/STDEV(OFFSET(分析データ!G$1,MAX(1,ROW()-$C$7),0,MIN($C$7,ROW()-1),1)),0))</f>
        <v>1.1395865955789728</v>
      </c>
      <c r="BY594">
        <f t="shared" ca="1" si="272"/>
        <v>0</v>
      </c>
      <c r="BZ594" t="str">
        <f ca="1">IF(BY594=1,IF(INDEX(分析データ!$A:$A,ROW()+$C$5)&lt;&gt;"",40000*SIGN(BX594)*(分析データ!G594-INDEX(分析データ!G:G,ROW()+$C$5)),""),"")</f>
        <v/>
      </c>
      <c r="CA594">
        <f t="shared" ca="1" si="273"/>
        <v>6674011.4257812556</v>
      </c>
      <c r="CB594">
        <f t="shared" ca="1" si="274"/>
        <v>11327520.000000004</v>
      </c>
      <c r="CC594">
        <f t="shared" ca="1" si="275"/>
        <v>-4653508.5742187481</v>
      </c>
      <c r="CD594">
        <f t="shared" ca="1" si="276"/>
        <v>0</v>
      </c>
      <c r="CE594">
        <f t="shared" ca="1" si="277"/>
        <v>16654811.425781298</v>
      </c>
      <c r="CF594">
        <f t="shared" ca="1" si="278"/>
        <v>19067197.138671909</v>
      </c>
      <c r="CG594">
        <f t="shared" ca="1" si="279"/>
        <v>-2412385.7128906101</v>
      </c>
      <c r="CH594" s="10">
        <f>分析データ!A594</f>
        <v>45792</v>
      </c>
    </row>
    <row r="595" spans="46:86">
      <c r="AT595">
        <f ca="1">IF(ROW()&lt;($C$7+1),"",IFERROR((分析データ!B595-AVERAGE(OFFSET(分析データ!B$1,MAX(1,ROW()-$C$7),0,MIN($C$7,ROW()-1),1)))/STDEV(OFFSET(分析データ!B$1,MAX(1,ROW()-$C$7),0,MIN($C$7,ROW()-1),1)),0))</f>
        <v>0.66196758910045339</v>
      </c>
      <c r="AU595">
        <f t="shared" ca="1" si="252"/>
        <v>0</v>
      </c>
      <c r="AV595" t="str">
        <f ca="1">IF(AU595=1,IF(INDEX(分析データ!$A:$A,ROW()+$C$5)&lt;&gt;"",80000*SIGN(AT595)*(分析データ!B595-INDEX(分析データ!B:B,ROW()+$C$5)),""),"")</f>
        <v/>
      </c>
      <c r="AW595">
        <f t="shared" ca="1" si="253"/>
        <v>-4999999.9999999925</v>
      </c>
      <c r="AX595">
        <f t="shared" ca="1" si="254"/>
        <v>0</v>
      </c>
      <c r="AY595">
        <f t="shared" ca="1" si="255"/>
        <v>-4999999.9999999925</v>
      </c>
      <c r="AZ595">
        <f ca="1">IF(ROW()&lt;($C$7+1),"",IFERROR((分析データ!C595-AVERAGE(OFFSET(分析データ!C$1,MAX(1,ROW()-$C$7),0,MIN($C$7,ROW()-1),1)))/STDEV(OFFSET(分析データ!C$1,MAX(1,ROW()-$C$7),0,MIN($C$7,ROW()-1),1)),0))</f>
        <v>-0.47163645627523049</v>
      </c>
      <c r="BA595">
        <f t="shared" ca="1" si="256"/>
        <v>0</v>
      </c>
      <c r="BB595" t="str">
        <f ca="1">IF(BA595=1,IF(INDEX(分析データ!$A:$A,ROW()+$C$5)&lt;&gt;"",60000*SIGN(AZ595)*(分析データ!C595-INDEX(分析データ!C:C,ROW()+$C$5)),""),"")</f>
        <v/>
      </c>
      <c r="BC595">
        <f t="shared" ca="1" si="257"/>
        <v>3075000.0000000102</v>
      </c>
      <c r="BD595">
        <f t="shared" ca="1" si="258"/>
        <v>3075000.0000000102</v>
      </c>
      <c r="BE595">
        <f t="shared" ca="1" si="259"/>
        <v>0</v>
      </c>
      <c r="BF595">
        <f ca="1">IF(ROW()&lt;($C$7+1),"",IFERROR((分析データ!D595-AVERAGE(OFFSET(分析データ!D$1,MAX(1,ROW()-$C$7),0,MIN($C$7,ROW()-1),1)))/STDEV(OFFSET(分析データ!D$1,MAX(1,ROW()-$C$7),0,MIN($C$7,ROW()-1),1)),0))</f>
        <v>-0.70348536397652317</v>
      </c>
      <c r="BG595">
        <f t="shared" ca="1" si="260"/>
        <v>0</v>
      </c>
      <c r="BH595" t="str">
        <f ca="1">IF(BG595=1,IF(INDEX(分析データ!$A:$A,ROW()+$C$5)&lt;&gt;"",50000*SIGN(BF595)*(分析データ!D595-INDEX(分析データ!D:D,ROW()+$C$5)),""),"")</f>
        <v/>
      </c>
      <c r="BI595">
        <f t="shared" ca="1" si="261"/>
        <v>195000.00000000582</v>
      </c>
      <c r="BJ595">
        <f t="shared" ca="1" si="262"/>
        <v>1695000.0000000016</v>
      </c>
      <c r="BK595">
        <f t="shared" ca="1" si="263"/>
        <v>-1499999.9999999958</v>
      </c>
      <c r="BL595">
        <f ca="1">IF(ROW()&lt;($C$7+1),"",IFERROR((分析データ!E595-AVERAGE(OFFSET(分析データ!E$1,MAX(1,ROW()-$C$7),0,MIN($C$7,ROW()-1),1)))/STDEV(OFFSET(分析データ!E$1,MAX(1,ROW()-$C$7),0,MIN($C$7,ROW()-1),1)),0))</f>
        <v>1.7820729519733072</v>
      </c>
      <c r="BM595">
        <f t="shared" ca="1" si="264"/>
        <v>0</v>
      </c>
      <c r="BN595" t="str">
        <f ca="1">IF(BM595=1,IF(INDEX(分析データ!$A:$A,ROW()+$C$5)&lt;&gt;"",40000*SIGN(BL595)*(分析データ!E595-INDEX(分析データ!E:E,ROW()+$C$5)),""),"")</f>
        <v/>
      </c>
      <c r="BO595">
        <f t="shared" ca="1" si="265"/>
        <v>1120000.0000000051</v>
      </c>
      <c r="BP595">
        <f t="shared" ca="1" si="266"/>
        <v>1320000.0000000075</v>
      </c>
      <c r="BQ595">
        <f t="shared" ca="1" si="267"/>
        <v>-200000.00000000233</v>
      </c>
      <c r="BR595">
        <f ca="1">IF(ROW()&lt;($C$7+1),"",IFERROR((分析データ!F595-AVERAGE(OFFSET(分析データ!F$1,MAX(1,ROW()-$C$7),0,MIN($C$7,ROW()-1),1)))/STDEV(OFFSET(分析データ!F$1,MAX(1,ROW()-$C$7),0,MIN($C$7,ROW()-1),1)),0))</f>
        <v>-1.2928510297386704</v>
      </c>
      <c r="BS595">
        <f t="shared" ca="1" si="268"/>
        <v>0</v>
      </c>
      <c r="BT595" t="str">
        <f ca="1">IF(BS595=1,IF(INDEX(分析データ!$A:$A,ROW()+$C$5)&lt;&gt;"",40000*SIGN(BR595)*(分析データ!F595-INDEX(分析データ!F:F,ROW()+$C$5)),""),"")</f>
        <v/>
      </c>
      <c r="BU595">
        <f t="shared" ca="1" si="269"/>
        <v>10590800</v>
      </c>
      <c r="BV595">
        <f t="shared" ca="1" si="270"/>
        <v>10590800</v>
      </c>
      <c r="BW595">
        <f t="shared" ca="1" si="271"/>
        <v>0</v>
      </c>
      <c r="BX595">
        <f ca="1">IF(ROW()&lt;($C$7+1),"",IFERROR((分析データ!G595-AVERAGE(OFFSET(分析データ!G$1,MAX(1,ROW()-$C$7),0,MIN($C$7,ROW()-1),1)))/STDEV(OFFSET(分析データ!G$1,MAX(1,ROW()-$C$7),0,MIN($C$7,ROW()-1),1)),0))</f>
        <v>2.1353651128237159</v>
      </c>
      <c r="BY595">
        <f t="shared" ca="1" si="272"/>
        <v>1</v>
      </c>
      <c r="BZ595">
        <f ca="1">IF(BY595=1,IF(INDEX(分析データ!$A:$A,ROW()+$C$5)&lt;&gt;"",40000*SIGN(BX595)*(分析データ!G595-INDEX(分析データ!G:G,ROW()+$C$5)),""),"")</f>
        <v>-615200.0000000007</v>
      </c>
      <c r="CA595">
        <f t="shared" ca="1" si="273"/>
        <v>6058811.4257812547</v>
      </c>
      <c r="CB595">
        <f t="shared" ca="1" si="274"/>
        <v>11327520.000000004</v>
      </c>
      <c r="CC595">
        <f t="shared" ca="1" si="275"/>
        <v>-5268708.5742187491</v>
      </c>
      <c r="CD595">
        <f t="shared" ca="1" si="276"/>
        <v>-615200.0000000007</v>
      </c>
      <c r="CE595">
        <f t="shared" ca="1" si="277"/>
        <v>16039611.425781298</v>
      </c>
      <c r="CF595">
        <f t="shared" ca="1" si="278"/>
        <v>19067197.138671909</v>
      </c>
      <c r="CG595">
        <f t="shared" ca="1" si="279"/>
        <v>-3027585.7128906101</v>
      </c>
      <c r="CH595" s="10">
        <f>分析データ!A595</f>
        <v>45793</v>
      </c>
    </row>
    <row r="596" spans="46:86">
      <c r="AT596">
        <f ca="1">IF(ROW()&lt;($C$7+1),"",IFERROR((分析データ!B596-AVERAGE(OFFSET(分析データ!B$1,MAX(1,ROW()-$C$7),0,MIN($C$7,ROW()-1),1)))/STDEV(OFFSET(分析データ!B$1,MAX(1,ROW()-$C$7),0,MIN($C$7,ROW()-1),1)),0))</f>
        <v>0.82652042120503666</v>
      </c>
      <c r="AU596">
        <f t="shared" ca="1" si="252"/>
        <v>0</v>
      </c>
      <c r="AV596" t="str">
        <f ca="1">IF(AU596=1,IF(INDEX(分析データ!$A:$A,ROW()+$C$5)&lt;&gt;"",80000*SIGN(AT596)*(分析データ!B596-INDEX(分析データ!B:B,ROW()+$C$5)),""),"")</f>
        <v/>
      </c>
      <c r="AW596">
        <f t="shared" ca="1" si="253"/>
        <v>-4999999.9999999925</v>
      </c>
      <c r="AX596">
        <f t="shared" ca="1" si="254"/>
        <v>0</v>
      </c>
      <c r="AY596">
        <f t="shared" ca="1" si="255"/>
        <v>-4999999.9999999925</v>
      </c>
      <c r="AZ596">
        <f ca="1">IF(ROW()&lt;($C$7+1),"",IFERROR((分析データ!C596-AVERAGE(OFFSET(分析データ!C$1,MAX(1,ROW()-$C$7),0,MIN($C$7,ROW()-1),1)))/STDEV(OFFSET(分析データ!C$1,MAX(1,ROW()-$C$7),0,MIN($C$7,ROW()-1),1)),0))</f>
        <v>-0.22752676972217431</v>
      </c>
      <c r="BA596">
        <f t="shared" ca="1" si="256"/>
        <v>0</v>
      </c>
      <c r="BB596" t="str">
        <f ca="1">IF(BA596=1,IF(INDEX(分析データ!$A:$A,ROW()+$C$5)&lt;&gt;"",60000*SIGN(AZ596)*(分析データ!C596-INDEX(分析データ!C:C,ROW()+$C$5)),""),"")</f>
        <v/>
      </c>
      <c r="BC596">
        <f t="shared" ca="1" si="257"/>
        <v>3075000.0000000102</v>
      </c>
      <c r="BD596">
        <f t="shared" ca="1" si="258"/>
        <v>3075000.0000000102</v>
      </c>
      <c r="BE596">
        <f t="shared" ca="1" si="259"/>
        <v>0</v>
      </c>
      <c r="BF596">
        <f ca="1">IF(ROW()&lt;($C$7+1),"",IFERROR((分析データ!D596-AVERAGE(OFFSET(分析データ!D$1,MAX(1,ROW()-$C$7),0,MIN($C$7,ROW()-1),1)))/STDEV(OFFSET(分析データ!D$1,MAX(1,ROW()-$C$7),0,MIN($C$7,ROW()-1),1)),0))</f>
        <v>-0.68862103220526782</v>
      </c>
      <c r="BG596">
        <f t="shared" ca="1" si="260"/>
        <v>0</v>
      </c>
      <c r="BH596" t="str">
        <f ca="1">IF(BG596=1,IF(INDEX(分析データ!$A:$A,ROW()+$C$5)&lt;&gt;"",50000*SIGN(BF596)*(分析データ!D596-INDEX(分析データ!D:D,ROW()+$C$5)),""),"")</f>
        <v/>
      </c>
      <c r="BI596">
        <f t="shared" ca="1" si="261"/>
        <v>195000.00000000582</v>
      </c>
      <c r="BJ596">
        <f t="shared" ca="1" si="262"/>
        <v>1695000.0000000016</v>
      </c>
      <c r="BK596">
        <f t="shared" ca="1" si="263"/>
        <v>-1499999.9999999958</v>
      </c>
      <c r="BL596">
        <f ca="1">IF(ROW()&lt;($C$7+1),"",IFERROR((分析データ!E596-AVERAGE(OFFSET(分析データ!E$1,MAX(1,ROW()-$C$7),0,MIN($C$7,ROW()-1),1)))/STDEV(OFFSET(分析データ!E$1,MAX(1,ROW()-$C$7),0,MIN($C$7,ROW()-1),1)),0))</f>
        <v>1.9443793982605562</v>
      </c>
      <c r="BM596">
        <f t="shared" ca="1" si="264"/>
        <v>0</v>
      </c>
      <c r="BN596" t="str">
        <f ca="1">IF(BM596=1,IF(INDEX(分析データ!$A:$A,ROW()+$C$5)&lt;&gt;"",40000*SIGN(BL596)*(分析データ!E596-INDEX(分析データ!E:E,ROW()+$C$5)),""),"")</f>
        <v/>
      </c>
      <c r="BO596">
        <f t="shared" ca="1" si="265"/>
        <v>1120000.0000000051</v>
      </c>
      <c r="BP596">
        <f t="shared" ca="1" si="266"/>
        <v>1320000.0000000075</v>
      </c>
      <c r="BQ596">
        <f t="shared" ca="1" si="267"/>
        <v>-200000.00000000233</v>
      </c>
      <c r="BR596">
        <f ca="1">IF(ROW()&lt;($C$7+1),"",IFERROR((分析データ!F596-AVERAGE(OFFSET(分析データ!F$1,MAX(1,ROW()-$C$7),0,MIN($C$7,ROW()-1),1)))/STDEV(OFFSET(分析データ!F$1,MAX(1,ROW()-$C$7),0,MIN($C$7,ROW()-1),1)),0))</f>
        <v>-1.3966963182789003</v>
      </c>
      <c r="BS596">
        <f t="shared" ca="1" si="268"/>
        <v>0</v>
      </c>
      <c r="BT596" t="str">
        <f ca="1">IF(BS596=1,IF(INDEX(分析データ!$A:$A,ROW()+$C$5)&lt;&gt;"",40000*SIGN(BR596)*(分析データ!F596-INDEX(分析データ!F:F,ROW()+$C$5)),""),"")</f>
        <v/>
      </c>
      <c r="BU596">
        <f t="shared" ca="1" si="269"/>
        <v>10590800</v>
      </c>
      <c r="BV596">
        <f t="shared" ca="1" si="270"/>
        <v>10590800</v>
      </c>
      <c r="BW596">
        <f t="shared" ca="1" si="271"/>
        <v>0</v>
      </c>
      <c r="BX596">
        <f ca="1">IF(ROW()&lt;($C$7+1),"",IFERROR((分析データ!G596-AVERAGE(OFFSET(分析データ!G$1,MAX(1,ROW()-$C$7),0,MIN($C$7,ROW()-1),1)))/STDEV(OFFSET(分析データ!G$1,MAX(1,ROW()-$C$7),0,MIN($C$7,ROW()-1),1)),0))</f>
        <v>2.1635097587618044</v>
      </c>
      <c r="BY596">
        <f t="shared" ca="1" si="272"/>
        <v>1</v>
      </c>
      <c r="BZ596">
        <f ca="1">IF(BY596=1,IF(INDEX(分析データ!$A:$A,ROW()+$C$5)&lt;&gt;"",40000*SIGN(BX596)*(分析データ!G596-INDEX(分析データ!G:G,ROW()+$C$5)),""),"")</f>
        <v>-477614.28710937453</v>
      </c>
      <c r="CA596">
        <f t="shared" ca="1" si="273"/>
        <v>5581197.1386718806</v>
      </c>
      <c r="CB596">
        <f t="shared" ca="1" si="274"/>
        <v>11327520.000000004</v>
      </c>
      <c r="CC596">
        <f t="shared" ca="1" si="275"/>
        <v>-5746322.8613281231</v>
      </c>
      <c r="CD596">
        <f t="shared" ca="1" si="276"/>
        <v>-477614.28710937453</v>
      </c>
      <c r="CE596">
        <f t="shared" ca="1" si="277"/>
        <v>15561997.138671923</v>
      </c>
      <c r="CF596">
        <f t="shared" ca="1" si="278"/>
        <v>19067197.138671909</v>
      </c>
      <c r="CG596">
        <f t="shared" ca="1" si="279"/>
        <v>-3505199.9999999851</v>
      </c>
      <c r="CH596" s="10">
        <f>分析データ!A596</f>
        <v>45796</v>
      </c>
    </row>
    <row r="597" spans="46:86">
      <c r="AT597">
        <f ca="1">IF(ROW()&lt;($C$7+1),"",IFERROR((分析データ!B597-AVERAGE(OFFSET(分析データ!B$1,MAX(1,ROW()-$C$7),0,MIN($C$7,ROW()-1),1)))/STDEV(OFFSET(分析データ!B$1,MAX(1,ROW()-$C$7),0,MIN($C$7,ROW()-1),1)),0))</f>
        <v>0.81997298774530092</v>
      </c>
      <c r="AU597">
        <f t="shared" ca="1" si="252"/>
        <v>0</v>
      </c>
      <c r="AV597" t="str">
        <f ca="1">IF(AU597=1,IF(INDEX(分析データ!$A:$A,ROW()+$C$5)&lt;&gt;"",80000*SIGN(AT597)*(分析データ!B597-INDEX(分析データ!B:B,ROW()+$C$5)),""),"")</f>
        <v/>
      </c>
      <c r="AW597">
        <f t="shared" ca="1" si="253"/>
        <v>-4999999.9999999925</v>
      </c>
      <c r="AX597">
        <f t="shared" ca="1" si="254"/>
        <v>0</v>
      </c>
      <c r="AY597">
        <f t="shared" ca="1" si="255"/>
        <v>-4999999.9999999925</v>
      </c>
      <c r="AZ597">
        <f ca="1">IF(ROW()&lt;($C$7+1),"",IFERROR((分析データ!C597-AVERAGE(OFFSET(分析データ!C$1,MAX(1,ROW()-$C$7),0,MIN($C$7,ROW()-1),1)))/STDEV(OFFSET(分析データ!C$1,MAX(1,ROW()-$C$7),0,MIN($C$7,ROW()-1),1)),0))</f>
        <v>-0.61784920464382476</v>
      </c>
      <c r="BA597">
        <f t="shared" ca="1" si="256"/>
        <v>0</v>
      </c>
      <c r="BB597" t="str">
        <f ca="1">IF(BA597=1,IF(INDEX(分析データ!$A:$A,ROW()+$C$5)&lt;&gt;"",60000*SIGN(AZ597)*(分析データ!C597-INDEX(分析データ!C:C,ROW()+$C$5)),""),"")</f>
        <v/>
      </c>
      <c r="BC597">
        <f t="shared" ca="1" si="257"/>
        <v>3075000.0000000102</v>
      </c>
      <c r="BD597">
        <f t="shared" ca="1" si="258"/>
        <v>3075000.0000000102</v>
      </c>
      <c r="BE597">
        <f t="shared" ca="1" si="259"/>
        <v>0</v>
      </c>
      <c r="BF597">
        <f ca="1">IF(ROW()&lt;($C$7+1),"",IFERROR((分析データ!D597-AVERAGE(OFFSET(分析データ!D$1,MAX(1,ROW()-$C$7),0,MIN($C$7,ROW()-1),1)))/STDEV(OFFSET(分析データ!D$1,MAX(1,ROW()-$C$7),0,MIN($C$7,ROW()-1),1)),0))</f>
        <v>-0.75135057247887282</v>
      </c>
      <c r="BG597">
        <f t="shared" ca="1" si="260"/>
        <v>0</v>
      </c>
      <c r="BH597" t="str">
        <f ca="1">IF(BG597=1,IF(INDEX(分析データ!$A:$A,ROW()+$C$5)&lt;&gt;"",50000*SIGN(BF597)*(分析データ!D597-INDEX(分析データ!D:D,ROW()+$C$5)),""),"")</f>
        <v/>
      </c>
      <c r="BI597">
        <f t="shared" ca="1" si="261"/>
        <v>195000.00000000582</v>
      </c>
      <c r="BJ597">
        <f t="shared" ca="1" si="262"/>
        <v>1695000.0000000016</v>
      </c>
      <c r="BK597">
        <f t="shared" ca="1" si="263"/>
        <v>-1499999.9999999958</v>
      </c>
      <c r="BL597">
        <f ca="1">IF(ROW()&lt;($C$7+1),"",IFERROR((分析データ!E597-AVERAGE(OFFSET(分析データ!E$1,MAX(1,ROW()-$C$7),0,MIN($C$7,ROW()-1),1)))/STDEV(OFFSET(分析データ!E$1,MAX(1,ROW()-$C$7),0,MIN($C$7,ROW()-1),1)),0))</f>
        <v>2.1010187275654966</v>
      </c>
      <c r="BM597">
        <f t="shared" ca="1" si="264"/>
        <v>1</v>
      </c>
      <c r="BN597">
        <f ca="1">IF(BM597=1,IF(INDEX(分析データ!$A:$A,ROW()+$C$5)&lt;&gt;"",40000*SIGN(BL597)*(分析データ!E597-INDEX(分析データ!E:E,ROW()+$C$5)),""),"")</f>
        <v>-119999.99999999914</v>
      </c>
      <c r="BO597">
        <f t="shared" ca="1" si="265"/>
        <v>1000000.0000000059</v>
      </c>
      <c r="BP597">
        <f t="shared" ca="1" si="266"/>
        <v>1320000.0000000075</v>
      </c>
      <c r="BQ597">
        <f t="shared" ca="1" si="267"/>
        <v>-320000.00000000151</v>
      </c>
      <c r="BR597">
        <f ca="1">IF(ROW()&lt;($C$7+1),"",IFERROR((分析データ!F597-AVERAGE(OFFSET(分析データ!F$1,MAX(1,ROW()-$C$7),0,MIN($C$7,ROW()-1),1)))/STDEV(OFFSET(分析データ!F$1,MAX(1,ROW()-$C$7),0,MIN($C$7,ROW()-1),1)),0))</f>
        <v>-1.6332680631528824</v>
      </c>
      <c r="BS597">
        <f t="shared" ca="1" si="268"/>
        <v>0</v>
      </c>
      <c r="BT597" t="str">
        <f ca="1">IF(BS597=1,IF(INDEX(分析データ!$A:$A,ROW()+$C$5)&lt;&gt;"",40000*SIGN(BR597)*(分析データ!F597-INDEX(分析データ!F:F,ROW()+$C$5)),""),"")</f>
        <v/>
      </c>
      <c r="BU597">
        <f t="shared" ca="1" si="269"/>
        <v>10590800</v>
      </c>
      <c r="BV597">
        <f t="shared" ca="1" si="270"/>
        <v>10590800</v>
      </c>
      <c r="BW597">
        <f t="shared" ca="1" si="271"/>
        <v>0</v>
      </c>
      <c r="BX597">
        <f ca="1">IF(ROW()&lt;($C$7+1),"",IFERROR((分析データ!G597-AVERAGE(OFFSET(分析データ!G$1,MAX(1,ROW()-$C$7),0,MIN($C$7,ROW()-1),1)))/STDEV(OFFSET(分析データ!G$1,MAX(1,ROW()-$C$7),0,MIN($C$7,ROW()-1),1)),0))</f>
        <v>2.4888150837249507</v>
      </c>
      <c r="BY597">
        <f t="shared" ca="1" si="272"/>
        <v>1</v>
      </c>
      <c r="BZ597">
        <f ca="1">IF(BY597=1,IF(INDEX(分析データ!$A:$A,ROW()+$C$5)&lt;&gt;"",40000*SIGN(BX597)*(分析データ!G597-INDEX(分析データ!G:G,ROW()+$C$5)),""),"")</f>
        <v>-110374.28710937206</v>
      </c>
      <c r="CA597">
        <f t="shared" ca="1" si="273"/>
        <v>5470822.8515625084</v>
      </c>
      <c r="CB597">
        <f t="shared" ca="1" si="274"/>
        <v>11327520.000000004</v>
      </c>
      <c r="CC597">
        <f t="shared" ca="1" si="275"/>
        <v>-5856697.1484374953</v>
      </c>
      <c r="CD597">
        <f t="shared" ca="1" si="276"/>
        <v>-230374.28710937122</v>
      </c>
      <c r="CE597">
        <f t="shared" ca="1" si="277"/>
        <v>15331622.851562552</v>
      </c>
      <c r="CF597">
        <f t="shared" ca="1" si="278"/>
        <v>19067197.138671909</v>
      </c>
      <c r="CG597">
        <f t="shared" ca="1" si="279"/>
        <v>-3735574.2871093564</v>
      </c>
      <c r="CH597" s="10">
        <f>分析データ!A597</f>
        <v>45797</v>
      </c>
    </row>
    <row r="598" spans="46:86">
      <c r="AT598">
        <f ca="1">IF(ROW()&lt;($C$7+1),"",IFERROR((分析データ!B598-AVERAGE(OFFSET(分析データ!B$1,MAX(1,ROW()-$C$7),0,MIN($C$7,ROW()-1),1)))/STDEV(OFFSET(分析データ!B$1,MAX(1,ROW()-$C$7),0,MIN($C$7,ROW()-1),1)),0))</f>
        <v>1.0281898697644063</v>
      </c>
      <c r="AU598">
        <f t="shared" ca="1" si="252"/>
        <v>0</v>
      </c>
      <c r="AV598" t="str">
        <f ca="1">IF(AU598=1,IF(INDEX(分析データ!$A:$A,ROW()+$C$5)&lt;&gt;"",80000*SIGN(AT598)*(分析データ!B598-INDEX(分析データ!B:B,ROW()+$C$5)),""),"")</f>
        <v/>
      </c>
      <c r="AW598">
        <f t="shared" ca="1" si="253"/>
        <v>-4999999.9999999925</v>
      </c>
      <c r="AX598">
        <f t="shared" ca="1" si="254"/>
        <v>0</v>
      </c>
      <c r="AY598">
        <f t="shared" ca="1" si="255"/>
        <v>-4999999.9999999925</v>
      </c>
      <c r="AZ598">
        <f ca="1">IF(ROW()&lt;($C$7+1),"",IFERROR((分析データ!C598-AVERAGE(OFFSET(分析データ!C$1,MAX(1,ROW()-$C$7),0,MIN($C$7,ROW()-1),1)))/STDEV(OFFSET(分析データ!C$1,MAX(1,ROW()-$C$7),0,MIN($C$7,ROW()-1),1)),0))</f>
        <v>-0.60573013586672964</v>
      </c>
      <c r="BA598">
        <f t="shared" ca="1" si="256"/>
        <v>0</v>
      </c>
      <c r="BB598" t="str">
        <f ca="1">IF(BA598=1,IF(INDEX(分析データ!$A:$A,ROW()+$C$5)&lt;&gt;"",60000*SIGN(AZ598)*(分析データ!C598-INDEX(分析データ!C:C,ROW()+$C$5)),""),"")</f>
        <v/>
      </c>
      <c r="BC598">
        <f t="shared" ca="1" si="257"/>
        <v>3075000.0000000102</v>
      </c>
      <c r="BD598">
        <f t="shared" ca="1" si="258"/>
        <v>3075000.0000000102</v>
      </c>
      <c r="BE598">
        <f t="shared" ca="1" si="259"/>
        <v>0</v>
      </c>
      <c r="BF598">
        <f ca="1">IF(ROW()&lt;($C$7+1),"",IFERROR((分析データ!D598-AVERAGE(OFFSET(分析データ!D$1,MAX(1,ROW()-$C$7),0,MIN($C$7,ROW()-1),1)))/STDEV(OFFSET(分析データ!D$1,MAX(1,ROW()-$C$7),0,MIN($C$7,ROW()-1),1)),0))</f>
        <v>-0.31267146977948879</v>
      </c>
      <c r="BG598">
        <f t="shared" ca="1" si="260"/>
        <v>0</v>
      </c>
      <c r="BH598" t="str">
        <f ca="1">IF(BG598=1,IF(INDEX(分析データ!$A:$A,ROW()+$C$5)&lt;&gt;"",50000*SIGN(BF598)*(分析データ!D598-INDEX(分析データ!D:D,ROW()+$C$5)),""),"")</f>
        <v/>
      </c>
      <c r="BI598">
        <f t="shared" ca="1" si="261"/>
        <v>195000.00000000582</v>
      </c>
      <c r="BJ598">
        <f t="shared" ca="1" si="262"/>
        <v>1695000.0000000016</v>
      </c>
      <c r="BK598">
        <f t="shared" ca="1" si="263"/>
        <v>-1499999.9999999958</v>
      </c>
      <c r="BL598">
        <f ca="1">IF(ROW()&lt;($C$7+1),"",IFERROR((分析データ!E598-AVERAGE(OFFSET(分析データ!E$1,MAX(1,ROW()-$C$7),0,MIN($C$7,ROW()-1),1)))/STDEV(OFFSET(分析データ!E$1,MAX(1,ROW()-$C$7),0,MIN($C$7,ROW()-1),1)),0))</f>
        <v>2.2554455796567865</v>
      </c>
      <c r="BM598">
        <f t="shared" ca="1" si="264"/>
        <v>1</v>
      </c>
      <c r="BN598">
        <f ca="1">IF(BM598=1,IF(INDEX(分析データ!$A:$A,ROW()+$C$5)&lt;&gt;"",40000*SIGN(BL598)*(分析データ!E598-INDEX(分析データ!E:E,ROW()+$C$5)),""),"")</f>
        <v>79999.999999998297</v>
      </c>
      <c r="BO598">
        <f t="shared" ca="1" si="265"/>
        <v>1080000.0000000042</v>
      </c>
      <c r="BP598">
        <f t="shared" ca="1" si="266"/>
        <v>1320000.0000000075</v>
      </c>
      <c r="BQ598">
        <f t="shared" ca="1" si="267"/>
        <v>-240000.00000000326</v>
      </c>
      <c r="BR598">
        <f ca="1">IF(ROW()&lt;($C$7+1),"",IFERROR((分析データ!F598-AVERAGE(OFFSET(分析データ!F$1,MAX(1,ROW()-$C$7),0,MIN($C$7,ROW()-1),1)))/STDEV(OFFSET(分析データ!F$1,MAX(1,ROW()-$C$7),0,MIN($C$7,ROW()-1),1)),0))</f>
        <v>-1.9390584638515445</v>
      </c>
      <c r="BS598">
        <f t="shared" ca="1" si="268"/>
        <v>0</v>
      </c>
      <c r="BT598" t="str">
        <f ca="1">IF(BS598=1,IF(INDEX(分析データ!$A:$A,ROW()+$C$5)&lt;&gt;"",40000*SIGN(BR598)*(分析データ!F598-INDEX(分析データ!F:F,ROW()+$C$5)),""),"")</f>
        <v/>
      </c>
      <c r="BU598">
        <f t="shared" ca="1" si="269"/>
        <v>10590800</v>
      </c>
      <c r="BV598">
        <f t="shared" ca="1" si="270"/>
        <v>10590800</v>
      </c>
      <c r="BW598">
        <f t="shared" ca="1" si="271"/>
        <v>0</v>
      </c>
      <c r="BX598">
        <f ca="1">IF(ROW()&lt;($C$7+1),"",IFERROR((分析データ!G598-AVERAGE(OFFSET(分析データ!G$1,MAX(1,ROW()-$C$7),0,MIN($C$7,ROW()-1),1)))/STDEV(OFFSET(分析データ!G$1,MAX(1,ROW()-$C$7),0,MIN($C$7,ROW()-1),1)),0))</f>
        <v>2.5079882504593036</v>
      </c>
      <c r="BY598">
        <f t="shared" ca="1" si="272"/>
        <v>1</v>
      </c>
      <c r="BZ598">
        <f ca="1">IF(BY598=1,IF(INDEX(分析データ!$A:$A,ROW()+$C$5)&lt;&gt;"",40000*SIGN(BX598)*(分析データ!G598-INDEX(分析データ!G:G,ROW()+$C$5)),""),"")</f>
        <v>-70251.425781244732</v>
      </c>
      <c r="CA598">
        <f t="shared" ca="1" si="273"/>
        <v>5400571.425781264</v>
      </c>
      <c r="CB598">
        <f t="shared" ca="1" si="274"/>
        <v>11327520.000000004</v>
      </c>
      <c r="CC598">
        <f t="shared" ca="1" si="275"/>
        <v>-5926948.5742187398</v>
      </c>
      <c r="CD598">
        <f t="shared" ca="1" si="276"/>
        <v>9748.5742187535652</v>
      </c>
      <c r="CE598">
        <f t="shared" ca="1" si="277"/>
        <v>15341371.425781306</v>
      </c>
      <c r="CF598">
        <f t="shared" ca="1" si="278"/>
        <v>19067197.138671909</v>
      </c>
      <c r="CG598">
        <f t="shared" ca="1" si="279"/>
        <v>-3725825.7128906026</v>
      </c>
      <c r="CH598" s="10">
        <f>分析データ!A598</f>
        <v>45798</v>
      </c>
    </row>
    <row r="599" spans="46:86">
      <c r="AT599">
        <f ca="1">IF(ROW()&lt;($C$7+1),"",IFERROR((分析データ!B599-AVERAGE(OFFSET(分析データ!B$1,MAX(1,ROW()-$C$7),0,MIN($C$7,ROW()-1),1)))/STDEV(OFFSET(分析データ!B$1,MAX(1,ROW()-$C$7),0,MIN($C$7,ROW()-1),1)),0))</f>
        <v>0.80567101243394112</v>
      </c>
      <c r="AU599">
        <f t="shared" ca="1" si="252"/>
        <v>0</v>
      </c>
      <c r="AV599" t="str">
        <f ca="1">IF(AU599=1,IF(INDEX(分析データ!$A:$A,ROW()+$C$5)&lt;&gt;"",80000*SIGN(AT599)*(分析データ!B599-INDEX(分析データ!B:B,ROW()+$C$5)),""),"")</f>
        <v/>
      </c>
      <c r="AW599">
        <f t="shared" ca="1" si="253"/>
        <v>-4999999.9999999925</v>
      </c>
      <c r="AX599">
        <f t="shared" ca="1" si="254"/>
        <v>0</v>
      </c>
      <c r="AY599">
        <f t="shared" ca="1" si="255"/>
        <v>-4999999.9999999925</v>
      </c>
      <c r="AZ599">
        <f ca="1">IF(ROW()&lt;($C$7+1),"",IFERROR((分析データ!C599-AVERAGE(OFFSET(分析データ!C$1,MAX(1,ROW()-$C$7),0,MIN($C$7,ROW()-1),1)))/STDEV(OFFSET(分析データ!C$1,MAX(1,ROW()-$C$7),0,MIN($C$7,ROW()-1),1)),0))</f>
        <v>-0.27627694227090382</v>
      </c>
      <c r="BA599">
        <f t="shared" ca="1" si="256"/>
        <v>0</v>
      </c>
      <c r="BB599" t="str">
        <f ca="1">IF(BA599=1,IF(INDEX(分析データ!$A:$A,ROW()+$C$5)&lt;&gt;"",60000*SIGN(AZ599)*(分析データ!C599-INDEX(分析データ!C:C,ROW()+$C$5)),""),"")</f>
        <v/>
      </c>
      <c r="BC599">
        <f t="shared" ca="1" si="257"/>
        <v>3075000.0000000102</v>
      </c>
      <c r="BD599">
        <f t="shared" ca="1" si="258"/>
        <v>3075000.0000000102</v>
      </c>
      <c r="BE599">
        <f t="shared" ca="1" si="259"/>
        <v>0</v>
      </c>
      <c r="BF599">
        <f ca="1">IF(ROW()&lt;($C$7+1),"",IFERROR((分析データ!D599-AVERAGE(OFFSET(分析データ!D$1,MAX(1,ROW()-$C$7),0,MIN($C$7,ROW()-1),1)))/STDEV(OFFSET(分析データ!D$1,MAX(1,ROW()-$C$7),0,MIN($C$7,ROW()-1),1)),0))</f>
        <v>-0.66722207939391376</v>
      </c>
      <c r="BG599">
        <f t="shared" ca="1" si="260"/>
        <v>0</v>
      </c>
      <c r="BH599" t="str">
        <f ca="1">IF(BG599=1,IF(INDEX(分析データ!$A:$A,ROW()+$C$5)&lt;&gt;"",50000*SIGN(BF599)*(分析データ!D599-INDEX(分析データ!D:D,ROW()+$C$5)),""),"")</f>
        <v/>
      </c>
      <c r="BI599">
        <f t="shared" ca="1" si="261"/>
        <v>195000.00000000582</v>
      </c>
      <c r="BJ599">
        <f t="shared" ca="1" si="262"/>
        <v>1695000.0000000016</v>
      </c>
      <c r="BK599">
        <f t="shared" ca="1" si="263"/>
        <v>-1499999.9999999958</v>
      </c>
      <c r="BL599">
        <f ca="1">IF(ROW()&lt;($C$7+1),"",IFERROR((分析データ!E599-AVERAGE(OFFSET(分析データ!E$1,MAX(1,ROW()-$C$7),0,MIN($C$7,ROW()-1),1)))/STDEV(OFFSET(分析データ!E$1,MAX(1,ROW()-$C$7),0,MIN($C$7,ROW()-1),1)),0))</f>
        <v>2.2310789734661003</v>
      </c>
      <c r="BM599">
        <f t="shared" ca="1" si="264"/>
        <v>1</v>
      </c>
      <c r="BN599">
        <f ca="1">IF(BM599=1,IF(INDEX(分析データ!$A:$A,ROW()+$C$5)&lt;&gt;"",40000*SIGN(BL599)*(分析データ!E599-INDEX(分析データ!E:E,ROW()+$C$5)),""),"")</f>
        <v>199999.99999999942</v>
      </c>
      <c r="BO599">
        <f t="shared" ca="1" si="265"/>
        <v>1280000.0000000037</v>
      </c>
      <c r="BP599">
        <f t="shared" ca="1" si="266"/>
        <v>1320000.0000000075</v>
      </c>
      <c r="BQ599">
        <f t="shared" ca="1" si="267"/>
        <v>-40000.000000003725</v>
      </c>
      <c r="BR599">
        <f ca="1">IF(ROW()&lt;($C$7+1),"",IFERROR((分析データ!F599-AVERAGE(OFFSET(分析データ!F$1,MAX(1,ROW()-$C$7),0,MIN($C$7,ROW()-1),1)))/STDEV(OFFSET(分析データ!F$1,MAX(1,ROW()-$C$7),0,MIN($C$7,ROW()-1),1)),0))</f>
        <v>-1.716566086492388</v>
      </c>
      <c r="BS599">
        <f t="shared" ca="1" si="268"/>
        <v>0</v>
      </c>
      <c r="BT599" t="str">
        <f ca="1">IF(BS599=1,IF(INDEX(分析データ!$A:$A,ROW()+$C$5)&lt;&gt;"",40000*SIGN(BR599)*(分析データ!F599-INDEX(分析データ!F:F,ROW()+$C$5)),""),"")</f>
        <v/>
      </c>
      <c r="BU599">
        <f t="shared" ca="1" si="269"/>
        <v>10590800</v>
      </c>
      <c r="BV599">
        <f t="shared" ca="1" si="270"/>
        <v>10590800</v>
      </c>
      <c r="BW599">
        <f t="shared" ca="1" si="271"/>
        <v>0</v>
      </c>
      <c r="BX599">
        <f ca="1">IF(ROW()&lt;($C$7+1),"",IFERROR((分析データ!G599-AVERAGE(OFFSET(分析データ!G$1,MAX(1,ROW()-$C$7),0,MIN($C$7,ROW()-1),1)))/STDEV(OFFSET(分析データ!G$1,MAX(1,ROW()-$C$7),0,MIN($C$7,ROW()-1),1)),0))</f>
        <v>2.3253766065455905</v>
      </c>
      <c r="BY599">
        <f t="shared" ca="1" si="272"/>
        <v>1</v>
      </c>
      <c r="BZ599">
        <f ca="1">IF(BY599=1,IF(INDEX(分析データ!$A:$A,ROW()+$C$5)&lt;&gt;"",40000*SIGN(BX599)*(分析データ!G599-INDEX(分析データ!G:G,ROW()+$C$5)),""),"")</f>
        <v>185698.56933594143</v>
      </c>
      <c r="CA599">
        <f t="shared" ca="1" si="273"/>
        <v>5586269.9951172052</v>
      </c>
      <c r="CB599">
        <f t="shared" ca="1" si="274"/>
        <v>11327520.000000004</v>
      </c>
      <c r="CC599">
        <f t="shared" ca="1" si="275"/>
        <v>-5741250.0048827985</v>
      </c>
      <c r="CD599">
        <f t="shared" ca="1" si="276"/>
        <v>385698.56933594088</v>
      </c>
      <c r="CE599">
        <f t="shared" ca="1" si="277"/>
        <v>15727069.995117247</v>
      </c>
      <c r="CF599">
        <f t="shared" ca="1" si="278"/>
        <v>19067197.138671909</v>
      </c>
      <c r="CG599">
        <f t="shared" ca="1" si="279"/>
        <v>-3340127.1435546614</v>
      </c>
      <c r="CH599" s="10">
        <f>分析データ!A599</f>
        <v>45799</v>
      </c>
    </row>
    <row r="600" spans="46:86">
      <c r="AT600">
        <f ca="1">IF(ROW()&lt;($C$7+1),"",IFERROR((分析データ!B600-AVERAGE(OFFSET(分析データ!B$1,MAX(1,ROW()-$C$7),0,MIN($C$7,ROW()-1),1)))/STDEV(OFFSET(分析データ!B$1,MAX(1,ROW()-$C$7),0,MIN($C$7,ROW()-1),1)),0))</f>
        <v>0.58244324272810033</v>
      </c>
      <c r="AU600">
        <f t="shared" ca="1" si="252"/>
        <v>0</v>
      </c>
      <c r="AV600" t="str">
        <f ca="1">IF(AU600=1,IF(INDEX(分析データ!$A:$A,ROW()+$C$5)&lt;&gt;"",80000*SIGN(AT600)*(分析データ!B600-INDEX(分析データ!B:B,ROW()+$C$5)),""),"")</f>
        <v/>
      </c>
      <c r="AW600">
        <f t="shared" ca="1" si="253"/>
        <v>-4999999.9999999925</v>
      </c>
      <c r="AX600">
        <f t="shared" ca="1" si="254"/>
        <v>0</v>
      </c>
      <c r="AY600">
        <f t="shared" ca="1" si="255"/>
        <v>-4999999.9999999925</v>
      </c>
      <c r="AZ600">
        <f ca="1">IF(ROW()&lt;($C$7+1),"",IFERROR((分析データ!C600-AVERAGE(OFFSET(分析データ!C$1,MAX(1,ROW()-$C$7),0,MIN($C$7,ROW()-1),1)))/STDEV(OFFSET(分析データ!C$1,MAX(1,ROW()-$C$7),0,MIN($C$7,ROW()-1),1)),0))</f>
        <v>9.5835260989540635E-2</v>
      </c>
      <c r="BA600">
        <f t="shared" ca="1" si="256"/>
        <v>0</v>
      </c>
      <c r="BB600" t="str">
        <f ca="1">IF(BA600=1,IF(INDEX(分析データ!$A:$A,ROW()+$C$5)&lt;&gt;"",60000*SIGN(AZ600)*(分析データ!C600-INDEX(分析データ!C:C,ROW()+$C$5)),""),"")</f>
        <v/>
      </c>
      <c r="BC600">
        <f t="shared" ca="1" si="257"/>
        <v>3075000.0000000102</v>
      </c>
      <c r="BD600">
        <f t="shared" ca="1" si="258"/>
        <v>3075000.0000000102</v>
      </c>
      <c r="BE600">
        <f t="shared" ca="1" si="259"/>
        <v>0</v>
      </c>
      <c r="BF600">
        <f ca="1">IF(ROW()&lt;($C$7+1),"",IFERROR((分析データ!D600-AVERAGE(OFFSET(分析データ!D$1,MAX(1,ROW()-$C$7),0,MIN($C$7,ROW()-1),1)))/STDEV(OFFSET(分析データ!D$1,MAX(1,ROW()-$C$7),0,MIN($C$7,ROW()-1),1)),0))</f>
        <v>-0.73063432322545607</v>
      </c>
      <c r="BG600">
        <f t="shared" ca="1" si="260"/>
        <v>0</v>
      </c>
      <c r="BH600" t="str">
        <f ca="1">IF(BG600=1,IF(INDEX(分析データ!$A:$A,ROW()+$C$5)&lt;&gt;"",50000*SIGN(BF600)*(分析データ!D600-INDEX(分析データ!D:D,ROW()+$C$5)),""),"")</f>
        <v/>
      </c>
      <c r="BI600">
        <f t="shared" ca="1" si="261"/>
        <v>195000.00000000582</v>
      </c>
      <c r="BJ600">
        <f t="shared" ca="1" si="262"/>
        <v>1695000.0000000016</v>
      </c>
      <c r="BK600">
        <f t="shared" ca="1" si="263"/>
        <v>-1499999.9999999958</v>
      </c>
      <c r="BL600">
        <f ca="1">IF(ROW()&lt;($C$7+1),"",IFERROR((分析データ!E600-AVERAGE(OFFSET(分析データ!E$1,MAX(1,ROW()-$C$7),0,MIN($C$7,ROW()-1),1)))/STDEV(OFFSET(分析データ!E$1,MAX(1,ROW()-$C$7),0,MIN($C$7,ROW()-1),1)),0))</f>
        <v>2.2074821471640687</v>
      </c>
      <c r="BM600">
        <f t="shared" ca="1" si="264"/>
        <v>1</v>
      </c>
      <c r="BN600">
        <f ca="1">IF(BM600=1,IF(INDEX(分析データ!$A:$A,ROW()+$C$5)&lt;&gt;"",40000*SIGN(BL600)*(分析データ!E600-INDEX(分析データ!E:E,ROW()+$C$5)),""),"")</f>
        <v>119999.99999999744</v>
      </c>
      <c r="BO600">
        <f t="shared" ca="1" si="265"/>
        <v>1400000.0000000012</v>
      </c>
      <c r="BP600">
        <f t="shared" ca="1" si="266"/>
        <v>1400000.0000000012</v>
      </c>
      <c r="BQ600">
        <f t="shared" ca="1" si="267"/>
        <v>0</v>
      </c>
      <c r="BR600">
        <f ca="1">IF(ROW()&lt;($C$7+1),"",IFERROR((分析データ!F600-AVERAGE(OFFSET(分析データ!F$1,MAX(1,ROW()-$C$7),0,MIN($C$7,ROW()-1),1)))/STDEV(OFFSET(分析データ!F$1,MAX(1,ROW()-$C$7),0,MIN($C$7,ROW()-1),1)),0))</f>
        <v>-1.4376699459750846</v>
      </c>
      <c r="BS600">
        <f t="shared" ca="1" si="268"/>
        <v>0</v>
      </c>
      <c r="BT600" t="str">
        <f ca="1">IF(BS600=1,IF(INDEX(分析データ!$A:$A,ROW()+$C$5)&lt;&gt;"",40000*SIGN(BR600)*(分析データ!F600-INDEX(分析データ!F:F,ROW()+$C$5)),""),"")</f>
        <v/>
      </c>
      <c r="BU600">
        <f t="shared" ca="1" si="269"/>
        <v>10590800</v>
      </c>
      <c r="BV600">
        <f t="shared" ca="1" si="270"/>
        <v>10590800</v>
      </c>
      <c r="BW600">
        <f t="shared" ca="1" si="271"/>
        <v>0</v>
      </c>
      <c r="BX600">
        <f ca="1">IF(ROW()&lt;($C$7+1),"",IFERROR((分析データ!G600-AVERAGE(OFFSET(分析データ!G$1,MAX(1,ROW()-$C$7),0,MIN($C$7,ROW()-1),1)))/STDEV(OFFSET(分析データ!G$1,MAX(1,ROW()-$C$7),0,MIN($C$7,ROW()-1),1)),0))</f>
        <v>2.1994358852989442</v>
      </c>
      <c r="BY600">
        <f t="shared" ca="1" si="272"/>
        <v>1</v>
      </c>
      <c r="BZ600">
        <f ca="1">IF(BY600=1,IF(INDEX(分析データ!$A:$A,ROW()+$C$5)&lt;&gt;"",40000*SIGN(BX600)*(分析データ!G600-INDEX(分析データ!G:G,ROW()+$C$5)),""),"")</f>
        <v>46479.999999996304</v>
      </c>
      <c r="CA600">
        <f t="shared" ca="1" si="273"/>
        <v>5632749.9951172015</v>
      </c>
      <c r="CB600">
        <f t="shared" ca="1" si="274"/>
        <v>11327520.000000004</v>
      </c>
      <c r="CC600">
        <f t="shared" ca="1" si="275"/>
        <v>-5694770.0048828023</v>
      </c>
      <c r="CD600">
        <f t="shared" ca="1" si="276"/>
        <v>166479.99999999374</v>
      </c>
      <c r="CE600">
        <f t="shared" ca="1" si="277"/>
        <v>15893549.995117242</v>
      </c>
      <c r="CF600">
        <f t="shared" ca="1" si="278"/>
        <v>19067197.138671909</v>
      </c>
      <c r="CG600">
        <f t="shared" ca="1" si="279"/>
        <v>-3173647.143554667</v>
      </c>
      <c r="CH600" s="10">
        <f>分析データ!A600</f>
        <v>45800</v>
      </c>
    </row>
    <row r="601" spans="46:86">
      <c r="AT601">
        <f ca="1">IF(ROW()&lt;($C$7+1),"",IFERROR((分析データ!B601-AVERAGE(OFFSET(分析データ!B$1,MAX(1,ROW()-$C$7),0,MIN($C$7,ROW()-1),1)))/STDEV(OFFSET(分析データ!B$1,MAX(1,ROW()-$C$7),0,MIN($C$7,ROW()-1),1)),0))</f>
        <v>0.66355916685230854</v>
      </c>
      <c r="AU601">
        <f t="shared" ca="1" si="252"/>
        <v>0</v>
      </c>
      <c r="AV601" t="str">
        <f ca="1">IF(AU601=1,IF(INDEX(分析データ!$A:$A,ROW()+$C$5)&lt;&gt;"",80000*SIGN(AT601)*(分析データ!B601-INDEX(分析データ!B:B,ROW()+$C$5)),""),"")</f>
        <v/>
      </c>
      <c r="AW601">
        <f t="shared" ca="1" si="253"/>
        <v>-4999999.9999999925</v>
      </c>
      <c r="AX601">
        <f t="shared" ca="1" si="254"/>
        <v>0</v>
      </c>
      <c r="AY601">
        <f t="shared" ca="1" si="255"/>
        <v>-4999999.9999999925</v>
      </c>
      <c r="AZ601">
        <f ca="1">IF(ROW()&lt;($C$7+1),"",IFERROR((分析データ!C601-AVERAGE(OFFSET(分析データ!C$1,MAX(1,ROW()-$C$7),0,MIN($C$7,ROW()-1),1)))/STDEV(OFFSET(分析データ!C$1,MAX(1,ROW()-$C$7),0,MIN($C$7,ROW()-1),1)),0))</f>
        <v>0.19899106886713588</v>
      </c>
      <c r="BA601">
        <f t="shared" ca="1" si="256"/>
        <v>0</v>
      </c>
      <c r="BB601" t="str">
        <f ca="1">IF(BA601=1,IF(INDEX(分析データ!$A:$A,ROW()+$C$5)&lt;&gt;"",60000*SIGN(AZ601)*(分析データ!C601-INDEX(分析データ!C:C,ROW()+$C$5)),""),"")</f>
        <v/>
      </c>
      <c r="BC601">
        <f t="shared" ca="1" si="257"/>
        <v>3075000.0000000102</v>
      </c>
      <c r="BD601">
        <f t="shared" ca="1" si="258"/>
        <v>3075000.0000000102</v>
      </c>
      <c r="BE601">
        <f t="shared" ca="1" si="259"/>
        <v>0</v>
      </c>
      <c r="BF601">
        <f ca="1">IF(ROW()&lt;($C$7+1),"",IFERROR((分析データ!D601-AVERAGE(OFFSET(分析データ!D$1,MAX(1,ROW()-$C$7),0,MIN($C$7,ROW()-1),1)))/STDEV(OFFSET(分析データ!D$1,MAX(1,ROW()-$C$7),0,MIN($C$7,ROW()-1),1)),0))</f>
        <v>-0.72426779560796772</v>
      </c>
      <c r="BG601">
        <f t="shared" ca="1" si="260"/>
        <v>0</v>
      </c>
      <c r="BH601" t="str">
        <f ca="1">IF(BG601=1,IF(INDEX(分析データ!$A:$A,ROW()+$C$5)&lt;&gt;"",50000*SIGN(BF601)*(分析データ!D601-INDEX(分析データ!D:D,ROW()+$C$5)),""),"")</f>
        <v/>
      </c>
      <c r="BI601">
        <f t="shared" ca="1" si="261"/>
        <v>195000.00000000582</v>
      </c>
      <c r="BJ601">
        <f t="shared" ca="1" si="262"/>
        <v>1695000.0000000016</v>
      </c>
      <c r="BK601">
        <f t="shared" ca="1" si="263"/>
        <v>-1499999.9999999958</v>
      </c>
      <c r="BL601">
        <f ca="1">IF(ROW()&lt;($C$7+1),"",IFERROR((分析データ!E601-AVERAGE(OFFSET(分析データ!E$1,MAX(1,ROW()-$C$7),0,MIN($C$7,ROW()-1),1)))/STDEV(OFFSET(分析データ!E$1,MAX(1,ROW()-$C$7),0,MIN($C$7,ROW()-1),1)),0))</f>
        <v>1.837203617081812</v>
      </c>
      <c r="BM601">
        <f t="shared" ca="1" si="264"/>
        <v>0</v>
      </c>
      <c r="BN601" t="str">
        <f ca="1">IF(BM601=1,IF(INDEX(分析データ!$A:$A,ROW()+$C$5)&lt;&gt;"",40000*SIGN(BL601)*(分析データ!E601-INDEX(分析データ!E:E,ROW()+$C$5)),""),"")</f>
        <v/>
      </c>
      <c r="BO601">
        <f t="shared" ca="1" si="265"/>
        <v>1400000.0000000012</v>
      </c>
      <c r="BP601">
        <f t="shared" ca="1" si="266"/>
        <v>1400000.0000000012</v>
      </c>
      <c r="BQ601">
        <f t="shared" ca="1" si="267"/>
        <v>0</v>
      </c>
      <c r="BR601">
        <f ca="1">IF(ROW()&lt;($C$7+1),"",IFERROR((分析データ!F601-AVERAGE(OFFSET(分析データ!F$1,MAX(1,ROW()-$C$7),0,MIN($C$7,ROW()-1),1)))/STDEV(OFFSET(分析データ!F$1,MAX(1,ROW()-$C$7),0,MIN($C$7,ROW()-1),1)),0))</f>
        <v>-1.2985011145299459</v>
      </c>
      <c r="BS601">
        <f t="shared" ca="1" si="268"/>
        <v>0</v>
      </c>
      <c r="BT601" t="str">
        <f ca="1">IF(BS601=1,IF(INDEX(分析データ!$A:$A,ROW()+$C$5)&lt;&gt;"",40000*SIGN(BR601)*(分析データ!F601-INDEX(分析データ!F:F,ROW()+$C$5)),""),"")</f>
        <v/>
      </c>
      <c r="BU601">
        <f t="shared" ca="1" si="269"/>
        <v>10590800</v>
      </c>
      <c r="BV601">
        <f t="shared" ca="1" si="270"/>
        <v>10590800</v>
      </c>
      <c r="BW601">
        <f t="shared" ca="1" si="271"/>
        <v>0</v>
      </c>
      <c r="BX601">
        <f ca="1">IF(ROW()&lt;($C$7+1),"",IFERROR((分析データ!G601-AVERAGE(OFFSET(分析データ!G$1,MAX(1,ROW()-$C$7),0,MIN($C$7,ROW()-1),1)))/STDEV(OFFSET(分析データ!G$1,MAX(1,ROW()-$C$7),0,MIN($C$7,ROW()-1),1)),0))</f>
        <v>1.9802905569701259</v>
      </c>
      <c r="BY601">
        <f t="shared" ca="1" si="272"/>
        <v>0</v>
      </c>
      <c r="BZ601" t="str">
        <f ca="1">IF(BY601=1,IF(INDEX(分析データ!$A:$A,ROW()+$C$5)&lt;&gt;"",40000*SIGN(BX601)*(分析データ!G601-INDEX(分析データ!G:G,ROW()+$C$5)),""),"")</f>
        <v/>
      </c>
      <c r="CA601">
        <f t="shared" ca="1" si="273"/>
        <v>5632749.9951172015</v>
      </c>
      <c r="CB601">
        <f t="shared" ca="1" si="274"/>
        <v>11327520.000000004</v>
      </c>
      <c r="CC601">
        <f t="shared" ca="1" si="275"/>
        <v>-5694770.0048828023</v>
      </c>
      <c r="CD601">
        <f t="shared" ca="1" si="276"/>
        <v>0</v>
      </c>
      <c r="CE601">
        <f t="shared" ca="1" si="277"/>
        <v>15893549.995117242</v>
      </c>
      <c r="CF601">
        <f t="shared" ca="1" si="278"/>
        <v>19067197.138671909</v>
      </c>
      <c r="CG601">
        <f t="shared" ca="1" si="279"/>
        <v>-3173647.143554667</v>
      </c>
      <c r="CH601" s="10">
        <f>分析データ!A601</f>
        <v>45804</v>
      </c>
    </row>
    <row r="602" spans="46:86">
      <c r="AT602">
        <f ca="1">IF(ROW()&lt;($C$7+1),"",IFERROR((分析データ!B602-AVERAGE(OFFSET(分析データ!B$1,MAX(1,ROW()-$C$7),0,MIN($C$7,ROW()-1),1)))/STDEV(OFFSET(分析データ!B$1,MAX(1,ROW()-$C$7),0,MIN($C$7,ROW()-1),1)),0))</f>
        <v>0.70127029803358498</v>
      </c>
      <c r="AU602">
        <f t="shared" ca="1" si="252"/>
        <v>0</v>
      </c>
      <c r="AV602" t="str">
        <f ca="1">IF(AU602=1,IF(INDEX(分析データ!$A:$A,ROW()+$C$5)&lt;&gt;"",80000*SIGN(AT602)*(分析データ!B602-INDEX(分析データ!B:B,ROW()+$C$5)),""),"")</f>
        <v/>
      </c>
      <c r="AW602">
        <f t="shared" ca="1" si="253"/>
        <v>-4999999.9999999925</v>
      </c>
      <c r="AX602">
        <f t="shared" ca="1" si="254"/>
        <v>0</v>
      </c>
      <c r="AY602">
        <f t="shared" ca="1" si="255"/>
        <v>-4999999.9999999925</v>
      </c>
      <c r="AZ602">
        <f ca="1">IF(ROW()&lt;($C$7+1),"",IFERROR((分析データ!C602-AVERAGE(OFFSET(分析データ!C$1,MAX(1,ROW()-$C$7),0,MIN($C$7,ROW()-1),1)))/STDEV(OFFSET(分析データ!C$1,MAX(1,ROW()-$C$7),0,MIN($C$7,ROW()-1),1)),0))</f>
        <v>0.46439758888095872</v>
      </c>
      <c r="BA602">
        <f t="shared" ca="1" si="256"/>
        <v>0</v>
      </c>
      <c r="BB602" t="str">
        <f ca="1">IF(BA602=1,IF(INDEX(分析データ!$A:$A,ROW()+$C$5)&lt;&gt;"",60000*SIGN(AZ602)*(分析データ!C602-INDEX(分析データ!C:C,ROW()+$C$5)),""),"")</f>
        <v/>
      </c>
      <c r="BC602">
        <f t="shared" ca="1" si="257"/>
        <v>3075000.0000000102</v>
      </c>
      <c r="BD602">
        <f t="shared" ca="1" si="258"/>
        <v>3075000.0000000102</v>
      </c>
      <c r="BE602">
        <f t="shared" ca="1" si="259"/>
        <v>0</v>
      </c>
      <c r="BF602">
        <f ca="1">IF(ROW()&lt;($C$7+1),"",IFERROR((分析データ!D602-AVERAGE(OFFSET(分析データ!D$1,MAX(1,ROW()-$C$7),0,MIN($C$7,ROW()-1),1)))/STDEV(OFFSET(分析データ!D$1,MAX(1,ROW()-$C$7),0,MIN($C$7,ROW()-1),1)),0))</f>
        <v>-0.77036210474040756</v>
      </c>
      <c r="BG602">
        <f t="shared" ca="1" si="260"/>
        <v>0</v>
      </c>
      <c r="BH602" t="str">
        <f ca="1">IF(BG602=1,IF(INDEX(分析データ!$A:$A,ROW()+$C$5)&lt;&gt;"",50000*SIGN(BF602)*(分析データ!D602-INDEX(分析データ!D:D,ROW()+$C$5)),""),"")</f>
        <v/>
      </c>
      <c r="BI602">
        <f t="shared" ca="1" si="261"/>
        <v>195000.00000000582</v>
      </c>
      <c r="BJ602">
        <f t="shared" ca="1" si="262"/>
        <v>1695000.0000000016</v>
      </c>
      <c r="BK602">
        <f t="shared" ca="1" si="263"/>
        <v>-1499999.9999999958</v>
      </c>
      <c r="BL602">
        <f ca="1">IF(ROW()&lt;($C$7+1),"",IFERROR((分析データ!E602-AVERAGE(OFFSET(分析データ!E$1,MAX(1,ROW()-$C$7),0,MIN($C$7,ROW()-1),1)))/STDEV(OFFSET(分析データ!E$1,MAX(1,ROW()-$C$7),0,MIN($C$7,ROW()-1),1)),0))</f>
        <v>2.0854557282135744</v>
      </c>
      <c r="BM602">
        <f t="shared" ca="1" si="264"/>
        <v>1</v>
      </c>
      <c r="BN602">
        <f ca="1">IF(BM602=1,IF(INDEX(分析データ!$A:$A,ROW()+$C$5)&lt;&gt;"",40000*SIGN(BL602)*(分析データ!E602-INDEX(分析データ!E:E,ROW()+$C$5)),""),"")</f>
        <v>119999.99999999744</v>
      </c>
      <c r="BO602">
        <f t="shared" ca="1" si="265"/>
        <v>1519999.9999999986</v>
      </c>
      <c r="BP602">
        <f t="shared" ca="1" si="266"/>
        <v>1519999.9999999986</v>
      </c>
      <c r="BQ602">
        <f t="shared" ca="1" si="267"/>
        <v>0</v>
      </c>
      <c r="BR602">
        <f ca="1">IF(ROW()&lt;($C$7+1),"",IFERROR((分析データ!F602-AVERAGE(OFFSET(分析データ!F$1,MAX(1,ROW()-$C$7),0,MIN($C$7,ROW()-1),1)))/STDEV(OFFSET(分析データ!F$1,MAX(1,ROW()-$C$7),0,MIN($C$7,ROW()-1),1)),0))</f>
        <v>-1.5416025480529871</v>
      </c>
      <c r="BS602">
        <f t="shared" ca="1" si="268"/>
        <v>0</v>
      </c>
      <c r="BT602" t="str">
        <f ca="1">IF(BS602=1,IF(INDEX(分析データ!$A:$A,ROW()+$C$5)&lt;&gt;"",40000*SIGN(BR602)*(分析データ!F602-INDEX(分析データ!F:F,ROW()+$C$5)),""),"")</f>
        <v/>
      </c>
      <c r="BU602">
        <f t="shared" ca="1" si="269"/>
        <v>10590800</v>
      </c>
      <c r="BV602">
        <f t="shared" ca="1" si="270"/>
        <v>10590800</v>
      </c>
      <c r="BW602">
        <f t="shared" ca="1" si="271"/>
        <v>0</v>
      </c>
      <c r="BX602">
        <f ca="1">IF(ROW()&lt;($C$7+1),"",IFERROR((分析データ!G602-AVERAGE(OFFSET(分析データ!G$1,MAX(1,ROW()-$C$7),0,MIN($C$7,ROW()-1),1)))/STDEV(OFFSET(分析データ!G$1,MAX(1,ROW()-$C$7),0,MIN($C$7,ROW()-1),1)),0))</f>
        <v>2.2118303928469478</v>
      </c>
      <c r="BY602">
        <f t="shared" ca="1" si="272"/>
        <v>1</v>
      </c>
      <c r="BZ602">
        <f ca="1">IF(BY602=1,IF(INDEX(分析データ!$A:$A,ROW()+$C$5)&lt;&gt;"",40000*SIGN(BX602)*(分析データ!G602-INDEX(分析データ!G:G,ROW()+$C$5)),""),"")</f>
        <v>-290807.14355469175</v>
      </c>
      <c r="CA602">
        <f t="shared" ca="1" si="273"/>
        <v>5341942.8515625093</v>
      </c>
      <c r="CB602">
        <f t="shared" ca="1" si="274"/>
        <v>11327520.000000004</v>
      </c>
      <c r="CC602">
        <f t="shared" ca="1" si="275"/>
        <v>-5985577.1484374944</v>
      </c>
      <c r="CD602">
        <f t="shared" ca="1" si="276"/>
        <v>-170807.14355469431</v>
      </c>
      <c r="CE602">
        <f t="shared" ca="1" si="277"/>
        <v>15722742.851562547</v>
      </c>
      <c r="CF602">
        <f t="shared" ca="1" si="278"/>
        <v>19067197.138671909</v>
      </c>
      <c r="CG602">
        <f t="shared" ca="1" si="279"/>
        <v>-3344454.287109362</v>
      </c>
      <c r="CH602" s="10">
        <f>分析データ!A602</f>
        <v>45805</v>
      </c>
    </row>
    <row r="603" spans="46:86">
      <c r="AT603">
        <f ca="1">IF(ROW()&lt;($C$7+1),"",IFERROR((分析データ!B603-AVERAGE(OFFSET(分析データ!B$1,MAX(1,ROW()-$C$7),0,MIN($C$7,ROW()-1),1)))/STDEV(OFFSET(分析データ!B$1,MAX(1,ROW()-$C$7),0,MIN($C$7,ROW()-1),1)),0))</f>
        <v>0.73919642754116732</v>
      </c>
      <c r="AU603">
        <f t="shared" ca="1" si="252"/>
        <v>0</v>
      </c>
      <c r="AV603" t="str">
        <f ca="1">IF(AU603=1,IF(INDEX(分析データ!$A:$A,ROW()+$C$5)&lt;&gt;"",80000*SIGN(AT603)*(分析データ!B603-INDEX(分析データ!B:B,ROW()+$C$5)),""),"")</f>
        <v/>
      </c>
      <c r="AW603">
        <f t="shared" ca="1" si="253"/>
        <v>-4999999.9999999925</v>
      </c>
      <c r="AX603">
        <f t="shared" ca="1" si="254"/>
        <v>0</v>
      </c>
      <c r="AY603">
        <f t="shared" ca="1" si="255"/>
        <v>-4999999.9999999925</v>
      </c>
      <c r="AZ603">
        <f ca="1">IF(ROW()&lt;($C$7+1),"",IFERROR((分析データ!C603-AVERAGE(OFFSET(分析データ!C$1,MAX(1,ROW()-$C$7),0,MIN($C$7,ROW()-1),1)))/STDEV(OFFSET(分析データ!C$1,MAX(1,ROW()-$C$7),0,MIN($C$7,ROW()-1),1)),0))</f>
        <v>4.0755988489955514E-2</v>
      </c>
      <c r="BA603">
        <f t="shared" ca="1" si="256"/>
        <v>0</v>
      </c>
      <c r="BB603" t="str">
        <f ca="1">IF(BA603=1,IF(INDEX(分析データ!$A:$A,ROW()+$C$5)&lt;&gt;"",60000*SIGN(AZ603)*(分析データ!C603-INDEX(分析データ!C:C,ROW()+$C$5)),""),"")</f>
        <v/>
      </c>
      <c r="BC603">
        <f t="shared" ca="1" si="257"/>
        <v>3075000.0000000102</v>
      </c>
      <c r="BD603">
        <f t="shared" ca="1" si="258"/>
        <v>3075000.0000000102</v>
      </c>
      <c r="BE603">
        <f t="shared" ca="1" si="259"/>
        <v>0</v>
      </c>
      <c r="BF603">
        <f ca="1">IF(ROW()&lt;($C$7+1),"",IFERROR((分析データ!D603-AVERAGE(OFFSET(分析データ!D$1,MAX(1,ROW()-$C$7),0,MIN($C$7,ROW()-1),1)))/STDEV(OFFSET(分析データ!D$1,MAX(1,ROW()-$C$7),0,MIN($C$7,ROW()-1),1)),0))</f>
        <v>-0.94352056692142139</v>
      </c>
      <c r="BG603">
        <f t="shared" ca="1" si="260"/>
        <v>0</v>
      </c>
      <c r="BH603" t="str">
        <f ca="1">IF(BG603=1,IF(INDEX(分析データ!$A:$A,ROW()+$C$5)&lt;&gt;"",50000*SIGN(BF603)*(分析データ!D603-INDEX(分析データ!D:D,ROW()+$C$5)),""),"")</f>
        <v/>
      </c>
      <c r="BI603">
        <f t="shared" ca="1" si="261"/>
        <v>195000.00000000582</v>
      </c>
      <c r="BJ603">
        <f t="shared" ca="1" si="262"/>
        <v>1695000.0000000016</v>
      </c>
      <c r="BK603">
        <f t="shared" ca="1" si="263"/>
        <v>-1499999.9999999958</v>
      </c>
      <c r="BL603">
        <f ca="1">IF(ROW()&lt;($C$7+1),"",IFERROR((分析データ!E603-AVERAGE(OFFSET(分析データ!E$1,MAX(1,ROW()-$C$7),0,MIN($C$7,ROW()-1),1)))/STDEV(OFFSET(分析データ!E$1,MAX(1,ROW()-$C$7),0,MIN($C$7,ROW()-1),1)),0))</f>
        <v>2.155883190260246</v>
      </c>
      <c r="BM603">
        <f t="shared" ca="1" si="264"/>
        <v>1</v>
      </c>
      <c r="BN603">
        <f ca="1">IF(BM603=1,IF(INDEX(分析データ!$A:$A,ROW()+$C$5)&lt;&gt;"",40000*SIGN(BL603)*(分析データ!E603-INDEX(分析データ!E:E,ROW()+$C$5)),""),"")</f>
        <v>159999.99999999828</v>
      </c>
      <c r="BO603">
        <f t="shared" ca="1" si="265"/>
        <v>1679999.999999997</v>
      </c>
      <c r="BP603">
        <f t="shared" ca="1" si="266"/>
        <v>1679999.999999997</v>
      </c>
      <c r="BQ603">
        <f t="shared" ca="1" si="267"/>
        <v>0</v>
      </c>
      <c r="BR603">
        <f ca="1">IF(ROW()&lt;($C$7+1),"",IFERROR((分析データ!F603-AVERAGE(OFFSET(分析データ!F$1,MAX(1,ROW()-$C$7),0,MIN($C$7,ROW()-1),1)))/STDEV(OFFSET(分析データ!F$1,MAX(1,ROW()-$C$7),0,MIN($C$7,ROW()-1),1)),0))</f>
        <v>-1.3817617024908675</v>
      </c>
      <c r="BS603">
        <f t="shared" ca="1" si="268"/>
        <v>0</v>
      </c>
      <c r="BT603" t="str">
        <f ca="1">IF(BS603=1,IF(INDEX(分析データ!$A:$A,ROW()+$C$5)&lt;&gt;"",40000*SIGN(BR603)*(分析データ!F603-INDEX(分析データ!F:F,ROW()+$C$5)),""),"")</f>
        <v/>
      </c>
      <c r="BU603">
        <f t="shared" ca="1" si="269"/>
        <v>10590800</v>
      </c>
      <c r="BV603">
        <f t="shared" ca="1" si="270"/>
        <v>10590800</v>
      </c>
      <c r="BW603">
        <f t="shared" ca="1" si="271"/>
        <v>0</v>
      </c>
      <c r="BX603">
        <f ca="1">IF(ROW()&lt;($C$7+1),"",IFERROR((分析データ!G603-AVERAGE(OFFSET(分析データ!G$1,MAX(1,ROW()-$C$7),0,MIN($C$7,ROW()-1),1)))/STDEV(OFFSET(分析データ!G$1,MAX(1,ROW()-$C$7),0,MIN($C$7,ROW()-1),1)),0))</f>
        <v>2.2250511412920613</v>
      </c>
      <c r="BY603">
        <f t="shared" ca="1" si="272"/>
        <v>1</v>
      </c>
      <c r="BZ603">
        <f ca="1">IF(BY603=1,IF(INDEX(分析データ!$A:$A,ROW()+$C$5)&lt;&gt;"",40000*SIGN(BX603)*(分析データ!G603-INDEX(分析データ!G:G,ROW()+$C$5)),""),"")</f>
        <v>-380247.14355468971</v>
      </c>
      <c r="CA603">
        <f t="shared" ca="1" si="273"/>
        <v>4961695.70800782</v>
      </c>
      <c r="CB603">
        <f t="shared" ca="1" si="274"/>
        <v>11327520.000000004</v>
      </c>
      <c r="CC603">
        <f t="shared" ca="1" si="275"/>
        <v>-6365824.2919921838</v>
      </c>
      <c r="CD603">
        <f t="shared" ca="1" si="276"/>
        <v>-220247.14355469143</v>
      </c>
      <c r="CE603">
        <f t="shared" ca="1" si="277"/>
        <v>15502495.708007855</v>
      </c>
      <c r="CF603">
        <f t="shared" ca="1" si="278"/>
        <v>19067197.138671909</v>
      </c>
      <c r="CG603">
        <f t="shared" ca="1" si="279"/>
        <v>-3564701.4306640532</v>
      </c>
      <c r="CH603" s="10">
        <f>分析データ!A603</f>
        <v>45806</v>
      </c>
    </row>
    <row r="604" spans="46:86">
      <c r="AT604">
        <f ca="1">IF(ROW()&lt;($C$7+1),"",IFERROR((分析データ!B604-AVERAGE(OFFSET(分析データ!B$1,MAX(1,ROW()-$C$7),0,MIN($C$7,ROW()-1),1)))/STDEV(OFFSET(分析データ!B$1,MAX(1,ROW()-$C$7),0,MIN($C$7,ROW()-1),1)),0))</f>
        <v>0.68896734411619853</v>
      </c>
      <c r="AU604">
        <f t="shared" ca="1" si="252"/>
        <v>0</v>
      </c>
      <c r="AV604" t="str">
        <f ca="1">IF(AU604=1,IF(INDEX(分析データ!$A:$A,ROW()+$C$5)&lt;&gt;"",80000*SIGN(AT604)*(分析データ!B604-INDEX(分析データ!B:B,ROW()+$C$5)),""),"")</f>
        <v/>
      </c>
      <c r="AW604">
        <f t="shared" ca="1" si="253"/>
        <v>-4999999.9999999925</v>
      </c>
      <c r="AX604">
        <f t="shared" ca="1" si="254"/>
        <v>0</v>
      </c>
      <c r="AY604">
        <f t="shared" ca="1" si="255"/>
        <v>-4999999.9999999925</v>
      </c>
      <c r="AZ604">
        <f ca="1">IF(ROW()&lt;($C$7+1),"",IFERROR((分析データ!C604-AVERAGE(OFFSET(分析データ!C$1,MAX(1,ROW()-$C$7),0,MIN($C$7,ROW()-1),1)))/STDEV(OFFSET(分析データ!C$1,MAX(1,ROW()-$C$7),0,MIN($C$7,ROW()-1),1)),0))</f>
        <v>-4.8006409302525206E-2</v>
      </c>
      <c r="BA604">
        <f t="shared" ca="1" si="256"/>
        <v>0</v>
      </c>
      <c r="BB604" t="str">
        <f ca="1">IF(BA604=1,IF(INDEX(分析データ!$A:$A,ROW()+$C$5)&lt;&gt;"",60000*SIGN(AZ604)*(分析データ!C604-INDEX(分析データ!C:C,ROW()+$C$5)),""),"")</f>
        <v/>
      </c>
      <c r="BC604">
        <f t="shared" ca="1" si="257"/>
        <v>3075000.0000000102</v>
      </c>
      <c r="BD604">
        <f t="shared" ca="1" si="258"/>
        <v>3075000.0000000102</v>
      </c>
      <c r="BE604">
        <f t="shared" ca="1" si="259"/>
        <v>0</v>
      </c>
      <c r="BF604">
        <f ca="1">IF(ROW()&lt;($C$7+1),"",IFERROR((分析データ!D604-AVERAGE(OFFSET(分析データ!D$1,MAX(1,ROW()-$C$7),0,MIN($C$7,ROW()-1),1)))/STDEV(OFFSET(分析データ!D$1,MAX(1,ROW()-$C$7),0,MIN($C$7,ROW()-1),1)),0))</f>
        <v>-0.96267264704012856</v>
      </c>
      <c r="BG604">
        <f t="shared" ca="1" si="260"/>
        <v>0</v>
      </c>
      <c r="BH604" t="str">
        <f ca="1">IF(BG604=1,IF(INDEX(分析データ!$A:$A,ROW()+$C$5)&lt;&gt;"",50000*SIGN(BF604)*(分析データ!D604-INDEX(分析データ!D:D,ROW()+$C$5)),""),"")</f>
        <v/>
      </c>
      <c r="BI604">
        <f t="shared" ca="1" si="261"/>
        <v>195000.00000000582</v>
      </c>
      <c r="BJ604">
        <f t="shared" ca="1" si="262"/>
        <v>1695000.0000000016</v>
      </c>
      <c r="BK604">
        <f t="shared" ca="1" si="263"/>
        <v>-1499999.9999999958</v>
      </c>
      <c r="BL604">
        <f ca="1">IF(ROW()&lt;($C$7+1),"",IFERROR((分析データ!E604-AVERAGE(OFFSET(分析データ!E$1,MAX(1,ROW()-$C$7),0,MIN($C$7,ROW()-1),1)))/STDEV(OFFSET(分析データ!E$1,MAX(1,ROW()-$C$7),0,MIN($C$7,ROW()-1),1)),0))</f>
        <v>2.3140121696425231</v>
      </c>
      <c r="BM604">
        <f t="shared" ca="1" si="264"/>
        <v>1</v>
      </c>
      <c r="BN604">
        <f ca="1">IF(BM604=1,IF(INDEX(分析データ!$A:$A,ROW()+$C$5)&lt;&gt;"",40000*SIGN(BL604)*(分析データ!E604-INDEX(分析データ!E:E,ROW()+$C$5)),""),"")</f>
        <v>239999.99999999828</v>
      </c>
      <c r="BO604">
        <f t="shared" ca="1" si="265"/>
        <v>1919999.9999999953</v>
      </c>
      <c r="BP604">
        <f t="shared" ca="1" si="266"/>
        <v>1919999.9999999953</v>
      </c>
      <c r="BQ604">
        <f t="shared" ca="1" si="267"/>
        <v>0</v>
      </c>
      <c r="BR604">
        <f ca="1">IF(ROW()&lt;($C$7+1),"",IFERROR((分析データ!F604-AVERAGE(OFFSET(分析データ!F$1,MAX(1,ROW()-$C$7),0,MIN($C$7,ROW()-1),1)))/STDEV(OFFSET(分析データ!F$1,MAX(1,ROW()-$C$7),0,MIN($C$7,ROW()-1),1)),0))</f>
        <v>-1.626323260836477</v>
      </c>
      <c r="BS604">
        <f t="shared" ca="1" si="268"/>
        <v>0</v>
      </c>
      <c r="BT604" t="str">
        <f ca="1">IF(BS604=1,IF(INDEX(分析データ!$A:$A,ROW()+$C$5)&lt;&gt;"",40000*SIGN(BR604)*(分析データ!F604-INDEX(分析データ!F:F,ROW()+$C$5)),""),"")</f>
        <v/>
      </c>
      <c r="BU604">
        <f t="shared" ca="1" si="269"/>
        <v>10590800</v>
      </c>
      <c r="BV604">
        <f t="shared" ca="1" si="270"/>
        <v>10590800</v>
      </c>
      <c r="BW604">
        <f t="shared" ca="1" si="271"/>
        <v>0</v>
      </c>
      <c r="BX604">
        <f ca="1">IF(ROW()&lt;($C$7+1),"",IFERROR((分析データ!G604-AVERAGE(OFFSET(分析データ!G$1,MAX(1,ROW()-$C$7),0,MIN($C$7,ROW()-1),1)))/STDEV(OFFSET(分析データ!G$1,MAX(1,ROW()-$C$7),0,MIN($C$7,ROW()-1),1)),0))</f>
        <v>2.2886792646355927</v>
      </c>
      <c r="BY604">
        <f t="shared" ca="1" si="272"/>
        <v>1</v>
      </c>
      <c r="BZ604">
        <f ca="1">IF(BY604=1,IF(INDEX(分析データ!$A:$A,ROW()+$C$5)&lt;&gt;"",40000*SIGN(BX604)*(分析データ!G604-INDEX(分析データ!G:G,ROW()+$C$5)),""),"")</f>
        <v>-561952.85644531436</v>
      </c>
      <c r="CA604">
        <f t="shared" ca="1" si="273"/>
        <v>4399742.8515625056</v>
      </c>
      <c r="CB604">
        <f t="shared" ca="1" si="274"/>
        <v>11327520.000000004</v>
      </c>
      <c r="CC604">
        <f t="shared" ca="1" si="275"/>
        <v>-6927777.1484374981</v>
      </c>
      <c r="CD604">
        <f t="shared" ca="1" si="276"/>
        <v>-321952.85644531611</v>
      </c>
      <c r="CE604">
        <f t="shared" ca="1" si="277"/>
        <v>15180542.851562539</v>
      </c>
      <c r="CF604">
        <f t="shared" ca="1" si="278"/>
        <v>19067197.138671909</v>
      </c>
      <c r="CG604">
        <f t="shared" ca="1" si="279"/>
        <v>-3886654.2871093694</v>
      </c>
      <c r="CH604" s="10">
        <f>分析データ!A604</f>
        <v>45807</v>
      </c>
    </row>
    <row r="605" spans="46:86">
      <c r="AT605">
        <f ca="1">IF(ROW()&lt;($C$7+1),"",IFERROR((分析データ!B605-AVERAGE(OFFSET(分析データ!B$1,MAX(1,ROW()-$C$7),0,MIN($C$7,ROW()-1),1)))/STDEV(OFFSET(分析データ!B$1,MAX(1,ROW()-$C$7),0,MIN($C$7,ROW()-1),1)),0))</f>
        <v>0.5936914856820602</v>
      </c>
      <c r="AU605">
        <f t="shared" ca="1" si="252"/>
        <v>0</v>
      </c>
      <c r="AV605" t="str">
        <f ca="1">IF(AU605=1,IF(INDEX(分析データ!$A:$A,ROW()+$C$5)&lt;&gt;"",80000*SIGN(AT605)*(分析データ!B605-INDEX(分析データ!B:B,ROW()+$C$5)),""),"")</f>
        <v/>
      </c>
      <c r="AW605">
        <f t="shared" ca="1" si="253"/>
        <v>-4999999.9999999925</v>
      </c>
      <c r="AX605">
        <f t="shared" ca="1" si="254"/>
        <v>0</v>
      </c>
      <c r="AY605">
        <f t="shared" ca="1" si="255"/>
        <v>-4999999.9999999925</v>
      </c>
      <c r="AZ605">
        <f ca="1">IF(ROW()&lt;($C$7+1),"",IFERROR((分析データ!C605-AVERAGE(OFFSET(分析データ!C$1,MAX(1,ROW()-$C$7),0,MIN($C$7,ROW()-1),1)))/STDEV(OFFSET(分析データ!C$1,MAX(1,ROW()-$C$7),0,MIN($C$7,ROW()-1),1)),0))</f>
        <v>0.17102912317687458</v>
      </c>
      <c r="BA605">
        <f t="shared" ca="1" si="256"/>
        <v>0</v>
      </c>
      <c r="BB605" t="str">
        <f ca="1">IF(BA605=1,IF(INDEX(分析データ!$A:$A,ROW()+$C$5)&lt;&gt;"",60000*SIGN(AZ605)*(分析データ!C605-INDEX(分析データ!C:C,ROW()+$C$5)),""),"")</f>
        <v/>
      </c>
      <c r="BC605">
        <f t="shared" ca="1" si="257"/>
        <v>3075000.0000000102</v>
      </c>
      <c r="BD605">
        <f t="shared" ca="1" si="258"/>
        <v>3075000.0000000102</v>
      </c>
      <c r="BE605">
        <f t="shared" ca="1" si="259"/>
        <v>0</v>
      </c>
      <c r="BF605">
        <f ca="1">IF(ROW()&lt;($C$7+1),"",IFERROR((分析データ!D605-AVERAGE(OFFSET(分析データ!D$1,MAX(1,ROW()-$C$7),0,MIN($C$7,ROW()-1),1)))/STDEV(OFFSET(分析データ!D$1,MAX(1,ROW()-$C$7),0,MIN($C$7,ROW()-1),1)),0))</f>
        <v>-0.75750136104657195</v>
      </c>
      <c r="BG605">
        <f t="shared" ca="1" si="260"/>
        <v>0</v>
      </c>
      <c r="BH605" t="str">
        <f ca="1">IF(BG605=1,IF(INDEX(分析データ!$A:$A,ROW()+$C$5)&lt;&gt;"",50000*SIGN(BF605)*(分析データ!D605-INDEX(分析データ!D:D,ROW()+$C$5)),""),"")</f>
        <v/>
      </c>
      <c r="BI605">
        <f t="shared" ca="1" si="261"/>
        <v>195000.00000000582</v>
      </c>
      <c r="BJ605">
        <f t="shared" ca="1" si="262"/>
        <v>1695000.0000000016</v>
      </c>
      <c r="BK605">
        <f t="shared" ca="1" si="263"/>
        <v>-1499999.9999999958</v>
      </c>
      <c r="BL605">
        <f ca="1">IF(ROW()&lt;($C$7+1),"",IFERROR((分析データ!E605-AVERAGE(OFFSET(分析データ!E$1,MAX(1,ROW()-$C$7),0,MIN($C$7,ROW()-1),1)))/STDEV(OFFSET(分析データ!E$1,MAX(1,ROW()-$C$7),0,MIN($C$7,ROW()-1),1)),0))</f>
        <v>2.2890068547574072</v>
      </c>
      <c r="BM605">
        <f t="shared" ca="1" si="264"/>
        <v>1</v>
      </c>
      <c r="BN605">
        <f ca="1">IF(BM605=1,IF(INDEX(分析データ!$A:$A,ROW()+$C$5)&lt;&gt;"",40000*SIGN(BL605)*(分析データ!E605-INDEX(分析データ!E:E,ROW()+$C$5)),""),"")</f>
        <v>120000.00000000086</v>
      </c>
      <c r="BO605">
        <f t="shared" ca="1" si="265"/>
        <v>2039999.9999999963</v>
      </c>
      <c r="BP605">
        <f t="shared" ca="1" si="266"/>
        <v>2039999.9999999963</v>
      </c>
      <c r="BQ605">
        <f t="shared" ca="1" si="267"/>
        <v>0</v>
      </c>
      <c r="BR605">
        <f ca="1">IF(ROW()&lt;($C$7+1),"",IFERROR((分析データ!F605-AVERAGE(OFFSET(分析データ!F$1,MAX(1,ROW()-$C$7),0,MIN($C$7,ROW()-1),1)))/STDEV(OFFSET(分析データ!F$1,MAX(1,ROW()-$C$7),0,MIN($C$7,ROW()-1),1)),0))</f>
        <v>-1.81448739920881</v>
      </c>
      <c r="BS605">
        <f t="shared" ca="1" si="268"/>
        <v>0</v>
      </c>
      <c r="BT605" t="str">
        <f ca="1">IF(BS605=1,IF(INDEX(分析データ!$A:$A,ROW()+$C$5)&lt;&gt;"",40000*SIGN(BR605)*(分析データ!F605-INDEX(分析データ!F:F,ROW()+$C$5)),""),"")</f>
        <v/>
      </c>
      <c r="BU605">
        <f t="shared" ca="1" si="269"/>
        <v>10590800</v>
      </c>
      <c r="BV605">
        <f t="shared" ca="1" si="270"/>
        <v>10590800</v>
      </c>
      <c r="BW605">
        <f t="shared" ca="1" si="271"/>
        <v>0</v>
      </c>
      <c r="BX605">
        <f ca="1">IF(ROW()&lt;($C$7+1),"",IFERROR((分析データ!G605-AVERAGE(OFFSET(分析データ!G$1,MAX(1,ROW()-$C$7),0,MIN($C$7,ROW()-1),1)))/STDEV(OFFSET(分析データ!G$1,MAX(1,ROW()-$C$7),0,MIN($C$7,ROW()-1),1)),0))</f>
        <v>2.2738793829673312</v>
      </c>
      <c r="BY605">
        <f t="shared" ca="1" si="272"/>
        <v>1</v>
      </c>
      <c r="BZ605">
        <f ca="1">IF(BY605=1,IF(INDEX(分析データ!$A:$A,ROW()+$C$5)&lt;&gt;"",40000*SIGN(BX605)*(分析データ!G605-INDEX(分析データ!G:G,ROW()+$C$5)),""),"")</f>
        <v>-312025.71289062762</v>
      </c>
      <c r="CA605">
        <f t="shared" ca="1" si="273"/>
        <v>4087717.1386718778</v>
      </c>
      <c r="CB605">
        <f t="shared" ca="1" si="274"/>
        <v>11327520.000000004</v>
      </c>
      <c r="CC605">
        <f t="shared" ca="1" si="275"/>
        <v>-7239802.8613281259</v>
      </c>
      <c r="CD605">
        <f t="shared" ca="1" si="276"/>
        <v>-192025.71289062675</v>
      </c>
      <c r="CE605">
        <f t="shared" ca="1" si="277"/>
        <v>14988517.138671912</v>
      </c>
      <c r="CF605">
        <f t="shared" ca="1" si="278"/>
        <v>19067197.138671909</v>
      </c>
      <c r="CG605">
        <f t="shared" ca="1" si="279"/>
        <v>-4078679.9999999963</v>
      </c>
      <c r="CH605" s="10">
        <f>分析データ!A605</f>
        <v>45810</v>
      </c>
    </row>
    <row r="606" spans="46:86">
      <c r="AT606">
        <f ca="1">IF(ROW()&lt;($C$7+1),"",IFERROR((分析データ!B606-AVERAGE(OFFSET(分析データ!B$1,MAX(1,ROW()-$C$7),0,MIN($C$7,ROW()-1),1)))/STDEV(OFFSET(分析データ!B$1,MAX(1,ROW()-$C$7),0,MIN($C$7,ROW()-1),1)),0))</f>
        <v>0.54287535974142198</v>
      </c>
      <c r="AU606">
        <f t="shared" ca="1" si="252"/>
        <v>0</v>
      </c>
      <c r="AV606" t="str">
        <f ca="1">IF(AU606=1,IF(INDEX(分析データ!$A:$A,ROW()+$C$5)&lt;&gt;"",80000*SIGN(AT606)*(分析データ!B606-INDEX(分析データ!B:B,ROW()+$C$5)),""),"")</f>
        <v/>
      </c>
      <c r="AW606">
        <f t="shared" ca="1" si="253"/>
        <v>-4999999.9999999925</v>
      </c>
      <c r="AX606">
        <f t="shared" ca="1" si="254"/>
        <v>0</v>
      </c>
      <c r="AY606">
        <f t="shared" ca="1" si="255"/>
        <v>-4999999.9999999925</v>
      </c>
      <c r="AZ606">
        <f ca="1">IF(ROW()&lt;($C$7+1),"",IFERROR((分析データ!C606-AVERAGE(OFFSET(分析データ!C$1,MAX(1,ROW()-$C$7),0,MIN($C$7,ROW()-1),1)))/STDEV(OFFSET(分析データ!C$1,MAX(1,ROW()-$C$7),0,MIN($C$7,ROW()-1),1)),0))</f>
        <v>-0.19620460747031163</v>
      </c>
      <c r="BA606">
        <f t="shared" ca="1" si="256"/>
        <v>0</v>
      </c>
      <c r="BB606" t="str">
        <f ca="1">IF(BA606=1,IF(INDEX(分析データ!$A:$A,ROW()+$C$5)&lt;&gt;"",60000*SIGN(AZ606)*(分析データ!C606-INDEX(分析データ!C:C,ROW()+$C$5)),""),"")</f>
        <v/>
      </c>
      <c r="BC606">
        <f t="shared" ca="1" si="257"/>
        <v>3075000.0000000102</v>
      </c>
      <c r="BD606">
        <f t="shared" ca="1" si="258"/>
        <v>3075000.0000000102</v>
      </c>
      <c r="BE606">
        <f t="shared" ca="1" si="259"/>
        <v>0</v>
      </c>
      <c r="BF606">
        <f ca="1">IF(ROW()&lt;($C$7+1),"",IFERROR((分析データ!D606-AVERAGE(OFFSET(分析データ!D$1,MAX(1,ROW()-$C$7),0,MIN($C$7,ROW()-1),1)))/STDEV(OFFSET(分析データ!D$1,MAX(1,ROW()-$C$7),0,MIN($C$7,ROW()-1),1)),0))</f>
        <v>-0.64490191240736694</v>
      </c>
      <c r="BG606">
        <f t="shared" ca="1" si="260"/>
        <v>0</v>
      </c>
      <c r="BH606" t="str">
        <f ca="1">IF(BG606=1,IF(INDEX(分析データ!$A:$A,ROW()+$C$5)&lt;&gt;"",50000*SIGN(BF606)*(分析データ!D606-INDEX(分析データ!D:D,ROW()+$C$5)),""),"")</f>
        <v/>
      </c>
      <c r="BI606">
        <f t="shared" ca="1" si="261"/>
        <v>195000.00000000582</v>
      </c>
      <c r="BJ606">
        <f t="shared" ca="1" si="262"/>
        <v>1695000.0000000016</v>
      </c>
      <c r="BK606">
        <f t="shared" ca="1" si="263"/>
        <v>-1499999.9999999958</v>
      </c>
      <c r="BL606">
        <f ca="1">IF(ROW()&lt;($C$7+1),"",IFERROR((分析データ!E606-AVERAGE(OFFSET(分析データ!E$1,MAX(1,ROW()-$C$7),0,MIN($C$7,ROW()-1),1)))/STDEV(OFFSET(分析データ!E$1,MAX(1,ROW()-$C$7),0,MIN($C$7,ROW()-1),1)),0))</f>
        <v>2.0064768123196326</v>
      </c>
      <c r="BM606">
        <f t="shared" ca="1" si="264"/>
        <v>1</v>
      </c>
      <c r="BN606">
        <f ca="1">IF(BM606=1,IF(INDEX(分析データ!$A:$A,ROW()+$C$5)&lt;&gt;"",40000*SIGN(BL606)*(分析データ!E606-INDEX(分析データ!E:E,ROW()+$C$5)),""),"")</f>
        <v>80000.000000001994</v>
      </c>
      <c r="BO606">
        <f t="shared" ca="1" si="265"/>
        <v>2119999.9999999981</v>
      </c>
      <c r="BP606">
        <f t="shared" ca="1" si="266"/>
        <v>2119999.9999999981</v>
      </c>
      <c r="BQ606">
        <f t="shared" ca="1" si="267"/>
        <v>0</v>
      </c>
      <c r="BR606">
        <f ca="1">IF(ROW()&lt;($C$7+1),"",IFERROR((分析データ!F606-AVERAGE(OFFSET(分析データ!F$1,MAX(1,ROW()-$C$7),0,MIN($C$7,ROW()-1),1)))/STDEV(OFFSET(分析データ!F$1,MAX(1,ROW()-$C$7),0,MIN($C$7,ROW()-1),1)),0))</f>
        <v>-1.8264799022323845</v>
      </c>
      <c r="BS606">
        <f t="shared" ca="1" si="268"/>
        <v>0</v>
      </c>
      <c r="BT606" t="str">
        <f ca="1">IF(BS606=1,IF(INDEX(分析データ!$A:$A,ROW()+$C$5)&lt;&gt;"",40000*SIGN(BR606)*(分析データ!F606-INDEX(分析データ!F:F,ROW()+$C$5)),""),"")</f>
        <v/>
      </c>
      <c r="BU606">
        <f t="shared" ca="1" si="269"/>
        <v>10590800</v>
      </c>
      <c r="BV606">
        <f t="shared" ca="1" si="270"/>
        <v>10590800</v>
      </c>
      <c r="BW606">
        <f t="shared" ca="1" si="271"/>
        <v>0</v>
      </c>
      <c r="BX606">
        <f ca="1">IF(ROW()&lt;($C$7+1),"",IFERROR((分析データ!G606-AVERAGE(OFFSET(分析データ!G$1,MAX(1,ROW()-$C$7),0,MIN($C$7,ROW()-1),1)))/STDEV(OFFSET(分析データ!G$1,MAX(1,ROW()-$C$7),0,MIN($C$7,ROW()-1),1)),0))</f>
        <v>2.198187059522275</v>
      </c>
      <c r="BY606">
        <f t="shared" ca="1" si="272"/>
        <v>1</v>
      </c>
      <c r="BZ606">
        <f ca="1">IF(BY606=1,IF(INDEX(分析データ!$A:$A,ROW()+$C$5)&lt;&gt;"",40000*SIGN(BX606)*(分析データ!G606-INDEX(分析データ!G:G,ROW()+$C$5)),""),"")</f>
        <v>-725651.4257812486</v>
      </c>
      <c r="CA606">
        <f t="shared" ca="1" si="273"/>
        <v>3362065.7128906292</v>
      </c>
      <c r="CB606">
        <f t="shared" ca="1" si="274"/>
        <v>11327520.000000004</v>
      </c>
      <c r="CC606">
        <f t="shared" ca="1" si="275"/>
        <v>-7965454.287109375</v>
      </c>
      <c r="CD606">
        <f t="shared" ca="1" si="276"/>
        <v>-645651.42578124662</v>
      </c>
      <c r="CE606">
        <f t="shared" ca="1" si="277"/>
        <v>14342865.712890666</v>
      </c>
      <c r="CF606">
        <f t="shared" ca="1" si="278"/>
        <v>19067197.138671909</v>
      </c>
      <c r="CG606">
        <f t="shared" ca="1" si="279"/>
        <v>-4724331.4257812425</v>
      </c>
      <c r="CH606" s="10">
        <f>分析データ!A606</f>
        <v>45811</v>
      </c>
    </row>
    <row r="607" spans="46:86">
      <c r="AT607">
        <f ca="1">IF(ROW()&lt;($C$7+1),"",IFERROR((分析データ!B607-AVERAGE(OFFSET(分析データ!B$1,MAX(1,ROW()-$C$7),0,MIN($C$7,ROW()-1),1)))/STDEV(OFFSET(分析データ!B$1,MAX(1,ROW()-$C$7),0,MIN($C$7,ROW()-1),1)),0))</f>
        <v>0.53679184744561359</v>
      </c>
      <c r="AU607">
        <f t="shared" ca="1" si="252"/>
        <v>0</v>
      </c>
      <c r="AV607" t="str">
        <f ca="1">IF(AU607=1,IF(INDEX(分析データ!$A:$A,ROW()+$C$5)&lt;&gt;"",80000*SIGN(AT607)*(分析データ!B607-INDEX(分析データ!B:B,ROW()+$C$5)),""),"")</f>
        <v/>
      </c>
      <c r="AW607">
        <f t="shared" ca="1" si="253"/>
        <v>-4999999.9999999925</v>
      </c>
      <c r="AX607">
        <f t="shared" ca="1" si="254"/>
        <v>0</v>
      </c>
      <c r="AY607">
        <f t="shared" ca="1" si="255"/>
        <v>-4999999.9999999925</v>
      </c>
      <c r="AZ607">
        <f ca="1">IF(ROW()&lt;($C$7+1),"",IFERROR((分析データ!C607-AVERAGE(OFFSET(分析データ!C$1,MAX(1,ROW()-$C$7),0,MIN($C$7,ROW()-1),1)))/STDEV(OFFSET(分析データ!C$1,MAX(1,ROW()-$C$7),0,MIN($C$7,ROW()-1),1)),0))</f>
        <v>-4.7836881365734947E-2</v>
      </c>
      <c r="BA607">
        <f t="shared" ca="1" si="256"/>
        <v>0</v>
      </c>
      <c r="BB607" t="str">
        <f ca="1">IF(BA607=1,IF(INDEX(分析データ!$A:$A,ROW()+$C$5)&lt;&gt;"",60000*SIGN(AZ607)*(分析データ!C607-INDEX(分析データ!C:C,ROW()+$C$5)),""),"")</f>
        <v/>
      </c>
      <c r="BC607">
        <f t="shared" ca="1" si="257"/>
        <v>3075000.0000000102</v>
      </c>
      <c r="BD607">
        <f t="shared" ca="1" si="258"/>
        <v>3075000.0000000102</v>
      </c>
      <c r="BE607">
        <f t="shared" ca="1" si="259"/>
        <v>0</v>
      </c>
      <c r="BF607">
        <f ca="1">IF(ROW()&lt;($C$7+1),"",IFERROR((分析データ!D607-AVERAGE(OFFSET(分析データ!D$1,MAX(1,ROW()-$C$7),0,MIN($C$7,ROW()-1),1)))/STDEV(OFFSET(分析データ!D$1,MAX(1,ROW()-$C$7),0,MIN($C$7,ROW()-1),1)),0))</f>
        <v>-1.1243286514931412</v>
      </c>
      <c r="BG607">
        <f t="shared" ca="1" si="260"/>
        <v>0</v>
      </c>
      <c r="BH607" t="str">
        <f ca="1">IF(BG607=1,IF(INDEX(分析データ!$A:$A,ROW()+$C$5)&lt;&gt;"",50000*SIGN(BF607)*(分析データ!D607-INDEX(分析データ!D:D,ROW()+$C$5)),""),"")</f>
        <v/>
      </c>
      <c r="BI607">
        <f t="shared" ca="1" si="261"/>
        <v>195000.00000000582</v>
      </c>
      <c r="BJ607">
        <f t="shared" ca="1" si="262"/>
        <v>1695000.0000000016</v>
      </c>
      <c r="BK607">
        <f t="shared" ca="1" si="263"/>
        <v>-1499999.9999999958</v>
      </c>
      <c r="BL607">
        <f ca="1">IF(ROW()&lt;($C$7+1),"",IFERROR((分析データ!E607-AVERAGE(OFFSET(分析データ!E$1,MAX(1,ROW()-$C$7),0,MIN($C$7,ROW()-1),1)))/STDEV(OFFSET(分析データ!E$1,MAX(1,ROW()-$C$7),0,MIN($C$7,ROW()-1),1)),0))</f>
        <v>2.1615888854286052</v>
      </c>
      <c r="BM607">
        <f t="shared" ca="1" si="264"/>
        <v>1</v>
      </c>
      <c r="BN607">
        <f ca="1">IF(BM607=1,IF(INDEX(分析データ!$A:$A,ROW()+$C$5)&lt;&gt;"",40000*SIGN(BL607)*(分析データ!E607-INDEX(分析データ!E:E,ROW()+$C$5)),""),"")</f>
        <v>160000</v>
      </c>
      <c r="BO607">
        <f t="shared" ca="1" si="265"/>
        <v>2279999.9999999981</v>
      </c>
      <c r="BP607">
        <f t="shared" ca="1" si="266"/>
        <v>2279999.9999999981</v>
      </c>
      <c r="BQ607">
        <f t="shared" ca="1" si="267"/>
        <v>0</v>
      </c>
      <c r="BR607">
        <f ca="1">IF(ROW()&lt;($C$7+1),"",IFERROR((分析データ!F607-AVERAGE(OFFSET(分析データ!F$1,MAX(1,ROW()-$C$7),0,MIN($C$7,ROW()-1),1)))/STDEV(OFFSET(分析データ!F$1,MAX(1,ROW()-$C$7),0,MIN($C$7,ROW()-1),1)),0))</f>
        <v>-1.4504575151366463</v>
      </c>
      <c r="BS607">
        <f t="shared" ca="1" si="268"/>
        <v>0</v>
      </c>
      <c r="BT607" t="str">
        <f ca="1">IF(BS607=1,IF(INDEX(分析データ!$A:$A,ROW()+$C$5)&lt;&gt;"",40000*SIGN(BR607)*(分析データ!F607-INDEX(分析データ!F:F,ROW()+$C$5)),""),"")</f>
        <v/>
      </c>
      <c r="BU607">
        <f t="shared" ca="1" si="269"/>
        <v>10590800</v>
      </c>
      <c r="BV607">
        <f t="shared" ca="1" si="270"/>
        <v>10590800</v>
      </c>
      <c r="BW607">
        <f t="shared" ca="1" si="271"/>
        <v>0</v>
      </c>
      <c r="BX607">
        <f ca="1">IF(ROW()&lt;($C$7+1),"",IFERROR((分析データ!G607-AVERAGE(OFFSET(分析データ!G$1,MAX(1,ROW()-$C$7),0,MIN($C$7,ROW()-1),1)))/STDEV(OFFSET(分析データ!G$1,MAX(1,ROW()-$C$7),0,MIN($C$7,ROW()-1),1)),0))</f>
        <v>2.2424225224865193</v>
      </c>
      <c r="BY607">
        <f t="shared" ca="1" si="272"/>
        <v>1</v>
      </c>
      <c r="BZ607">
        <f ca="1">IF(BY607=1,IF(INDEX(分析データ!$A:$A,ROW()+$C$5)&lt;&gt;"",40000*SIGN(BX607)*(分析データ!G607-INDEX(分析データ!G:G,ROW()+$C$5)),""),"")</f>
        <v>-579719.99999999907</v>
      </c>
      <c r="CA607">
        <f t="shared" ca="1" si="273"/>
        <v>2782345.7128906301</v>
      </c>
      <c r="CB607">
        <f t="shared" ca="1" si="274"/>
        <v>11327520.000000004</v>
      </c>
      <c r="CC607">
        <f t="shared" ca="1" si="275"/>
        <v>-8545174.2871093731</v>
      </c>
      <c r="CD607">
        <f t="shared" ca="1" si="276"/>
        <v>-419719.99999999907</v>
      </c>
      <c r="CE607">
        <f t="shared" ca="1" si="277"/>
        <v>13923145.712890666</v>
      </c>
      <c r="CF607">
        <f t="shared" ca="1" si="278"/>
        <v>19067197.138671909</v>
      </c>
      <c r="CG607">
        <f t="shared" ca="1" si="279"/>
        <v>-5144051.4257812425</v>
      </c>
      <c r="CH607" s="10">
        <f>分析データ!A607</f>
        <v>45812</v>
      </c>
    </row>
    <row r="608" spans="46:86">
      <c r="AT608">
        <f ca="1">IF(ROW()&lt;($C$7+1),"",IFERROR((分析データ!B608-AVERAGE(OFFSET(分析データ!B$1,MAX(1,ROW()-$C$7),0,MIN($C$7,ROW()-1),1)))/STDEV(OFFSET(分析データ!B$1,MAX(1,ROW()-$C$7),0,MIN($C$7,ROW()-1),1)),0))</f>
        <v>0.62110987585349264</v>
      </c>
      <c r="AU608">
        <f t="shared" ca="1" si="252"/>
        <v>0</v>
      </c>
      <c r="AV608" t="str">
        <f ca="1">IF(AU608=1,IF(INDEX(分析データ!$A:$A,ROW()+$C$5)&lt;&gt;"",80000*SIGN(AT608)*(分析データ!B608-INDEX(分析データ!B:B,ROW()+$C$5)),""),"")</f>
        <v/>
      </c>
      <c r="AW608">
        <f t="shared" ca="1" si="253"/>
        <v>-4999999.9999999925</v>
      </c>
      <c r="AX608">
        <f t="shared" ca="1" si="254"/>
        <v>0</v>
      </c>
      <c r="AY608">
        <f t="shared" ca="1" si="255"/>
        <v>-4999999.9999999925</v>
      </c>
      <c r="AZ608">
        <f ca="1">IF(ROW()&lt;($C$7+1),"",IFERROR((分析データ!C608-AVERAGE(OFFSET(分析データ!C$1,MAX(1,ROW()-$C$7),0,MIN($C$7,ROW()-1),1)))/STDEV(OFFSET(分析データ!C$1,MAX(1,ROW()-$C$7),0,MIN($C$7,ROW()-1),1)),0))</f>
        <v>-0.17275087911707665</v>
      </c>
      <c r="BA608">
        <f t="shared" ca="1" si="256"/>
        <v>0</v>
      </c>
      <c r="BB608" t="str">
        <f ca="1">IF(BA608=1,IF(INDEX(分析データ!$A:$A,ROW()+$C$5)&lt;&gt;"",60000*SIGN(AZ608)*(分析データ!C608-INDEX(分析データ!C:C,ROW()+$C$5)),""),"")</f>
        <v/>
      </c>
      <c r="BC608">
        <f t="shared" ca="1" si="257"/>
        <v>3075000.0000000102</v>
      </c>
      <c r="BD608">
        <f t="shared" ca="1" si="258"/>
        <v>3075000.0000000102</v>
      </c>
      <c r="BE608">
        <f t="shared" ca="1" si="259"/>
        <v>0</v>
      </c>
      <c r="BF608">
        <f ca="1">IF(ROW()&lt;($C$7+1),"",IFERROR((分析データ!D608-AVERAGE(OFFSET(分析データ!D$1,MAX(1,ROW()-$C$7),0,MIN($C$7,ROW()-1),1)))/STDEV(OFFSET(分析データ!D$1,MAX(1,ROW()-$C$7),0,MIN($C$7,ROW()-1),1)),0))</f>
        <v>-0.81734922114489661</v>
      </c>
      <c r="BG608">
        <f t="shared" ca="1" si="260"/>
        <v>0</v>
      </c>
      <c r="BH608" t="str">
        <f ca="1">IF(BG608=1,IF(INDEX(分析データ!$A:$A,ROW()+$C$5)&lt;&gt;"",50000*SIGN(BF608)*(分析データ!D608-INDEX(分析データ!D:D,ROW()+$C$5)),""),"")</f>
        <v/>
      </c>
      <c r="BI608">
        <f t="shared" ca="1" si="261"/>
        <v>195000.00000000582</v>
      </c>
      <c r="BJ608">
        <f t="shared" ca="1" si="262"/>
        <v>1695000.0000000016</v>
      </c>
      <c r="BK608">
        <f t="shared" ca="1" si="263"/>
        <v>-1499999.9999999958</v>
      </c>
      <c r="BL608">
        <f ca="1">IF(ROW()&lt;($C$7+1),"",IFERROR((分析データ!E608-AVERAGE(OFFSET(分析データ!E$1,MAX(1,ROW()-$C$7),0,MIN($C$7,ROW()-1),1)))/STDEV(OFFSET(分析データ!E$1,MAX(1,ROW()-$C$7),0,MIN($C$7,ROW()-1),1)),0))</f>
        <v>1.8818586367806025</v>
      </c>
      <c r="BM608">
        <f t="shared" ca="1" si="264"/>
        <v>0</v>
      </c>
      <c r="BN608" t="str">
        <f ca="1">IF(BM608=1,IF(INDEX(分析データ!$A:$A,ROW()+$C$5)&lt;&gt;"",40000*SIGN(BL608)*(分析データ!E608-INDEX(分析データ!E:E,ROW()+$C$5)),""),"")</f>
        <v/>
      </c>
      <c r="BO608">
        <f t="shared" ca="1" si="265"/>
        <v>2279999.9999999981</v>
      </c>
      <c r="BP608">
        <f t="shared" ca="1" si="266"/>
        <v>2279999.9999999981</v>
      </c>
      <c r="BQ608">
        <f t="shared" ca="1" si="267"/>
        <v>0</v>
      </c>
      <c r="BR608">
        <f ca="1">IF(ROW()&lt;($C$7+1),"",IFERROR((分析データ!F608-AVERAGE(OFFSET(分析データ!F$1,MAX(1,ROW()-$C$7),0,MIN($C$7,ROW()-1),1)))/STDEV(OFFSET(分析データ!F$1,MAX(1,ROW()-$C$7),0,MIN($C$7,ROW()-1),1)),0))</f>
        <v>-1.5198490413428281</v>
      </c>
      <c r="BS608">
        <f t="shared" ca="1" si="268"/>
        <v>0</v>
      </c>
      <c r="BT608" t="str">
        <f ca="1">IF(BS608=1,IF(INDEX(分析データ!$A:$A,ROW()+$C$5)&lt;&gt;"",40000*SIGN(BR608)*(分析データ!F608-INDEX(分析データ!F:F,ROW()+$C$5)),""),"")</f>
        <v/>
      </c>
      <c r="BU608">
        <f t="shared" ca="1" si="269"/>
        <v>10590800</v>
      </c>
      <c r="BV608">
        <f t="shared" ca="1" si="270"/>
        <v>10590800</v>
      </c>
      <c r="BW608">
        <f t="shared" ca="1" si="271"/>
        <v>0</v>
      </c>
      <c r="BX608">
        <f ca="1">IF(ROW()&lt;($C$7+1),"",IFERROR((分析データ!G608-AVERAGE(OFFSET(分析データ!G$1,MAX(1,ROW()-$C$7),0,MIN($C$7,ROW()-1),1)))/STDEV(OFFSET(分析データ!G$1,MAX(1,ROW()-$C$7),0,MIN($C$7,ROW()-1),1)),0))</f>
        <v>2.2408089017551056</v>
      </c>
      <c r="BY608">
        <f t="shared" ca="1" si="272"/>
        <v>1</v>
      </c>
      <c r="BZ608">
        <f ca="1">IF(BY608=1,IF(INDEX(分析データ!$A:$A,ROW()+$C$5)&lt;&gt;"",40000*SIGN(BX608)*(分析データ!G608-INDEX(分析データ!G:G,ROW()+$C$5)),""),"")</f>
        <v>-587294.28710937896</v>
      </c>
      <c r="CA608">
        <f t="shared" ca="1" si="273"/>
        <v>2195051.4257812509</v>
      </c>
      <c r="CB608">
        <f t="shared" ca="1" si="274"/>
        <v>11327520.000000004</v>
      </c>
      <c r="CC608">
        <f t="shared" ca="1" si="275"/>
        <v>-9132468.5742187537</v>
      </c>
      <c r="CD608">
        <f t="shared" ca="1" si="276"/>
        <v>-587294.28710937896</v>
      </c>
      <c r="CE608">
        <f t="shared" ca="1" si="277"/>
        <v>13335851.425781287</v>
      </c>
      <c r="CF608">
        <f t="shared" ca="1" si="278"/>
        <v>19067197.138671909</v>
      </c>
      <c r="CG608">
        <f t="shared" ca="1" si="279"/>
        <v>-5731345.7128906213</v>
      </c>
      <c r="CH608" s="10">
        <f>分析データ!A608</f>
        <v>45813</v>
      </c>
    </row>
    <row r="609" spans="46:86">
      <c r="AT609">
        <f ca="1">IF(ROW()&lt;($C$7+1),"",IFERROR((分析データ!B609-AVERAGE(OFFSET(分析データ!B$1,MAX(1,ROW()-$C$7),0,MIN($C$7,ROW()-1),1)))/STDEV(OFFSET(分析データ!B$1,MAX(1,ROW()-$C$7),0,MIN($C$7,ROW()-1),1)),0))</f>
        <v>0.66056279451447852</v>
      </c>
      <c r="AU609">
        <f t="shared" ca="1" si="252"/>
        <v>0</v>
      </c>
      <c r="AV609" t="str">
        <f ca="1">IF(AU609=1,IF(INDEX(分析データ!$A:$A,ROW()+$C$5)&lt;&gt;"",80000*SIGN(AT609)*(分析データ!B609-INDEX(分析データ!B:B,ROW()+$C$5)),""),"")</f>
        <v/>
      </c>
      <c r="AW609">
        <f t="shared" ca="1" si="253"/>
        <v>-4999999.9999999925</v>
      </c>
      <c r="AX609">
        <f t="shared" ca="1" si="254"/>
        <v>0</v>
      </c>
      <c r="AY609">
        <f t="shared" ca="1" si="255"/>
        <v>-4999999.9999999925</v>
      </c>
      <c r="AZ609">
        <f ca="1">IF(ROW()&lt;($C$7+1),"",IFERROR((分析データ!C609-AVERAGE(OFFSET(分析データ!C$1,MAX(1,ROW()-$C$7),0,MIN($C$7,ROW()-1),1)))/STDEV(OFFSET(分析データ!C$1,MAX(1,ROW()-$C$7),0,MIN($C$7,ROW()-1),1)),0))</f>
        <v>-0.21191437025672996</v>
      </c>
      <c r="BA609">
        <f t="shared" ca="1" si="256"/>
        <v>0</v>
      </c>
      <c r="BB609" t="str">
        <f ca="1">IF(BA609=1,IF(INDEX(分析データ!$A:$A,ROW()+$C$5)&lt;&gt;"",60000*SIGN(AZ609)*(分析データ!C609-INDEX(分析データ!C:C,ROW()+$C$5)),""),"")</f>
        <v/>
      </c>
      <c r="BC609">
        <f t="shared" ca="1" si="257"/>
        <v>3075000.0000000102</v>
      </c>
      <c r="BD609">
        <f t="shared" ca="1" si="258"/>
        <v>3075000.0000000102</v>
      </c>
      <c r="BE609">
        <f t="shared" ca="1" si="259"/>
        <v>0</v>
      </c>
      <c r="BF609">
        <f ca="1">IF(ROW()&lt;($C$7+1),"",IFERROR((分析データ!D609-AVERAGE(OFFSET(分析データ!D$1,MAX(1,ROW()-$C$7),0,MIN($C$7,ROW()-1),1)))/STDEV(OFFSET(分析データ!D$1,MAX(1,ROW()-$C$7),0,MIN($C$7,ROW()-1),1)),0))</f>
        <v>-0.30000024459878966</v>
      </c>
      <c r="BG609">
        <f t="shared" ca="1" si="260"/>
        <v>0</v>
      </c>
      <c r="BH609" t="str">
        <f ca="1">IF(BG609=1,IF(INDEX(分析データ!$A:$A,ROW()+$C$5)&lt;&gt;"",50000*SIGN(BF609)*(分析データ!D609-INDEX(分析データ!D:D,ROW()+$C$5)),""),"")</f>
        <v/>
      </c>
      <c r="BI609">
        <f t="shared" ca="1" si="261"/>
        <v>195000.00000000582</v>
      </c>
      <c r="BJ609">
        <f t="shared" ca="1" si="262"/>
        <v>1695000.0000000016</v>
      </c>
      <c r="BK609">
        <f t="shared" ca="1" si="263"/>
        <v>-1499999.9999999958</v>
      </c>
      <c r="BL609">
        <f ca="1">IF(ROW()&lt;($C$7+1),"",IFERROR((分析データ!E609-AVERAGE(OFFSET(分析データ!E$1,MAX(1,ROW()-$C$7),0,MIN($C$7,ROW()-1),1)))/STDEV(OFFSET(分析データ!E$1,MAX(1,ROW()-$C$7),0,MIN($C$7,ROW()-1),1)),0))</f>
        <v>1.6068064453857738</v>
      </c>
      <c r="BM609">
        <f t="shared" ca="1" si="264"/>
        <v>0</v>
      </c>
      <c r="BN609" t="str">
        <f ca="1">IF(BM609=1,IF(INDEX(分析データ!$A:$A,ROW()+$C$5)&lt;&gt;"",40000*SIGN(BL609)*(分析データ!E609-INDEX(分析データ!E:E,ROW()+$C$5)),""),"")</f>
        <v/>
      </c>
      <c r="BO609">
        <f t="shared" ca="1" si="265"/>
        <v>2279999.9999999981</v>
      </c>
      <c r="BP609">
        <f t="shared" ca="1" si="266"/>
        <v>2279999.9999999981</v>
      </c>
      <c r="BQ609">
        <f t="shared" ca="1" si="267"/>
        <v>0</v>
      </c>
      <c r="BR609">
        <f ca="1">IF(ROW()&lt;($C$7+1),"",IFERROR((分析データ!F609-AVERAGE(OFFSET(分析データ!F$1,MAX(1,ROW()-$C$7),0,MIN($C$7,ROW()-1),1)))/STDEV(OFFSET(分析データ!F$1,MAX(1,ROW()-$C$7),0,MIN($C$7,ROW()-1),1)),0))</f>
        <v>-1.6500028794442154</v>
      </c>
      <c r="BS609">
        <f t="shared" ca="1" si="268"/>
        <v>0</v>
      </c>
      <c r="BT609" t="str">
        <f ca="1">IF(BS609=1,IF(INDEX(分析データ!$A:$A,ROW()+$C$5)&lt;&gt;"",40000*SIGN(BR609)*(分析データ!F609-INDEX(分析データ!F:F,ROW()+$C$5)),""),"")</f>
        <v/>
      </c>
      <c r="BU609">
        <f t="shared" ca="1" si="269"/>
        <v>10590800</v>
      </c>
      <c r="BV609">
        <f t="shared" ca="1" si="270"/>
        <v>10590800</v>
      </c>
      <c r="BW609">
        <f t="shared" ca="1" si="271"/>
        <v>0</v>
      </c>
      <c r="BX609">
        <f ca="1">IF(ROW()&lt;($C$7+1),"",IFERROR((分析データ!G609-AVERAGE(OFFSET(分析データ!G$1,MAX(1,ROW()-$C$7),0,MIN($C$7,ROW()-1),1)))/STDEV(OFFSET(分析データ!G$1,MAX(1,ROW()-$C$7),0,MIN($C$7,ROW()-1),1)),0))</f>
        <v>1.9044683440175214</v>
      </c>
      <c r="BY609">
        <f t="shared" ca="1" si="272"/>
        <v>0</v>
      </c>
      <c r="BZ609" t="str">
        <f ca="1">IF(BY609=1,IF(INDEX(分析データ!$A:$A,ROW()+$C$5)&lt;&gt;"",40000*SIGN(BX609)*(分析データ!G609-INDEX(分析データ!G:G,ROW()+$C$5)),""),"")</f>
        <v/>
      </c>
      <c r="CA609">
        <f t="shared" ca="1" si="273"/>
        <v>2195051.4257812509</v>
      </c>
      <c r="CB609">
        <f t="shared" ca="1" si="274"/>
        <v>11327520.000000004</v>
      </c>
      <c r="CC609">
        <f t="shared" ca="1" si="275"/>
        <v>-9132468.5742187537</v>
      </c>
      <c r="CD609">
        <f t="shared" ca="1" si="276"/>
        <v>0</v>
      </c>
      <c r="CE609">
        <f t="shared" ca="1" si="277"/>
        <v>13335851.425781287</v>
      </c>
      <c r="CF609">
        <f t="shared" ca="1" si="278"/>
        <v>19067197.138671909</v>
      </c>
      <c r="CG609">
        <f t="shared" ca="1" si="279"/>
        <v>-5731345.7128906213</v>
      </c>
      <c r="CH609" s="10">
        <f>分析データ!A609</f>
        <v>45814</v>
      </c>
    </row>
    <row r="610" spans="46:86">
      <c r="AT610">
        <f ca="1">IF(ROW()&lt;($C$7+1),"",IFERROR((分析データ!B610-AVERAGE(OFFSET(分析データ!B$1,MAX(1,ROW()-$C$7),0,MIN($C$7,ROW()-1),1)))/STDEV(OFFSET(分析データ!B$1,MAX(1,ROW()-$C$7),0,MIN($C$7,ROW()-1),1)),0))</f>
        <v>0.70064972787121127</v>
      </c>
      <c r="AU610">
        <f t="shared" ca="1" si="252"/>
        <v>0</v>
      </c>
      <c r="AV610" t="str">
        <f ca="1">IF(AU610=1,IF(INDEX(分析データ!$A:$A,ROW()+$C$5)&lt;&gt;"",80000*SIGN(AT610)*(分析データ!B610-INDEX(分析データ!B:B,ROW()+$C$5)),""),"")</f>
        <v/>
      </c>
      <c r="AW610">
        <f t="shared" ca="1" si="253"/>
        <v>-4999999.9999999925</v>
      </c>
      <c r="AX610">
        <f t="shared" ca="1" si="254"/>
        <v>0</v>
      </c>
      <c r="AY610">
        <f t="shared" ca="1" si="255"/>
        <v>-4999999.9999999925</v>
      </c>
      <c r="AZ610">
        <f ca="1">IF(ROW()&lt;($C$7+1),"",IFERROR((分析データ!C610-AVERAGE(OFFSET(分析データ!C$1,MAX(1,ROW()-$C$7),0,MIN($C$7,ROW()-1),1)))/STDEV(OFFSET(分析データ!C$1,MAX(1,ROW()-$C$7),0,MIN($C$7,ROW()-1),1)),0))</f>
        <v>-0.29483291012971191</v>
      </c>
      <c r="BA610">
        <f t="shared" ca="1" si="256"/>
        <v>0</v>
      </c>
      <c r="BB610" t="str">
        <f ca="1">IF(BA610=1,IF(INDEX(分析データ!$A:$A,ROW()+$C$5)&lt;&gt;"",60000*SIGN(AZ610)*(分析データ!C610-INDEX(分析データ!C:C,ROW()+$C$5)),""),"")</f>
        <v/>
      </c>
      <c r="BC610">
        <f t="shared" ca="1" si="257"/>
        <v>3075000.0000000102</v>
      </c>
      <c r="BD610">
        <f t="shared" ca="1" si="258"/>
        <v>3075000.0000000102</v>
      </c>
      <c r="BE610">
        <f t="shared" ca="1" si="259"/>
        <v>0</v>
      </c>
      <c r="BF610">
        <f ca="1">IF(ROW()&lt;($C$7+1),"",IFERROR((分析データ!D610-AVERAGE(OFFSET(分析データ!D$1,MAX(1,ROW()-$C$7),0,MIN($C$7,ROW()-1),1)))/STDEV(OFFSET(分析データ!D$1,MAX(1,ROW()-$C$7),0,MIN($C$7,ROW()-1),1)),0))</f>
        <v>-0.44849341646546026</v>
      </c>
      <c r="BG610">
        <f t="shared" ca="1" si="260"/>
        <v>0</v>
      </c>
      <c r="BH610" t="str">
        <f ca="1">IF(BG610=1,IF(INDEX(分析データ!$A:$A,ROW()+$C$5)&lt;&gt;"",50000*SIGN(BF610)*(分析データ!D610-INDEX(分析データ!D:D,ROW()+$C$5)),""),"")</f>
        <v/>
      </c>
      <c r="BI610">
        <f t="shared" ca="1" si="261"/>
        <v>195000.00000000582</v>
      </c>
      <c r="BJ610">
        <f t="shared" ca="1" si="262"/>
        <v>1695000.0000000016</v>
      </c>
      <c r="BK610">
        <f t="shared" ca="1" si="263"/>
        <v>-1499999.9999999958</v>
      </c>
      <c r="BL610">
        <f ca="1">IF(ROW()&lt;($C$7+1),"",IFERROR((分析データ!E610-AVERAGE(OFFSET(分析データ!E$1,MAX(1,ROW()-$C$7),0,MIN($C$7,ROW()-1),1)))/STDEV(OFFSET(分析データ!E$1,MAX(1,ROW()-$C$7),0,MIN($C$7,ROW()-1),1)),0))</f>
        <v>1.7700901222854086</v>
      </c>
      <c r="BM610">
        <f t="shared" ca="1" si="264"/>
        <v>0</v>
      </c>
      <c r="BN610" t="str">
        <f ca="1">IF(BM610=1,IF(INDEX(分析データ!$A:$A,ROW()+$C$5)&lt;&gt;"",40000*SIGN(BL610)*(分析データ!E610-INDEX(分析データ!E:E,ROW()+$C$5)),""),"")</f>
        <v/>
      </c>
      <c r="BO610">
        <f t="shared" ca="1" si="265"/>
        <v>2279999.9999999981</v>
      </c>
      <c r="BP610">
        <f t="shared" ca="1" si="266"/>
        <v>2279999.9999999981</v>
      </c>
      <c r="BQ610">
        <f t="shared" ca="1" si="267"/>
        <v>0</v>
      </c>
      <c r="BR610">
        <f ca="1">IF(ROW()&lt;($C$7+1),"",IFERROR((分析データ!F610-AVERAGE(OFFSET(分析データ!F$1,MAX(1,ROW()-$C$7),0,MIN($C$7,ROW()-1),1)))/STDEV(OFFSET(分析データ!F$1,MAX(1,ROW()-$C$7),0,MIN($C$7,ROW()-1),1)),0))</f>
        <v>-1.6706376318220701</v>
      </c>
      <c r="BS610">
        <f t="shared" ca="1" si="268"/>
        <v>0</v>
      </c>
      <c r="BT610" t="str">
        <f ca="1">IF(BS610=1,IF(INDEX(分析データ!$A:$A,ROW()+$C$5)&lt;&gt;"",40000*SIGN(BR610)*(分析データ!F610-INDEX(分析データ!F:F,ROW()+$C$5)),""),"")</f>
        <v/>
      </c>
      <c r="BU610">
        <f t="shared" ca="1" si="269"/>
        <v>10590800</v>
      </c>
      <c r="BV610">
        <f t="shared" ca="1" si="270"/>
        <v>10590800</v>
      </c>
      <c r="BW610">
        <f t="shared" ca="1" si="271"/>
        <v>0</v>
      </c>
      <c r="BX610">
        <f ca="1">IF(ROW()&lt;($C$7+1),"",IFERROR((分析データ!G610-AVERAGE(OFFSET(分析データ!G$1,MAX(1,ROW()-$C$7),0,MIN($C$7,ROW()-1),1)))/STDEV(OFFSET(分析データ!G$1,MAX(1,ROW()-$C$7),0,MIN($C$7,ROW()-1),1)),0))</f>
        <v>1.891818908640952</v>
      </c>
      <c r="BY610">
        <f t="shared" ca="1" si="272"/>
        <v>0</v>
      </c>
      <c r="BZ610" t="str">
        <f ca="1">IF(BY610=1,IF(INDEX(分析データ!$A:$A,ROW()+$C$5)&lt;&gt;"",40000*SIGN(BX610)*(分析データ!G610-INDEX(分析データ!G:G,ROW()+$C$5)),""),"")</f>
        <v/>
      </c>
      <c r="CA610">
        <f t="shared" ca="1" si="273"/>
        <v>2195051.4257812509</v>
      </c>
      <c r="CB610">
        <f t="shared" ca="1" si="274"/>
        <v>11327520.000000004</v>
      </c>
      <c r="CC610">
        <f t="shared" ca="1" si="275"/>
        <v>-9132468.5742187537</v>
      </c>
      <c r="CD610">
        <f t="shared" ca="1" si="276"/>
        <v>0</v>
      </c>
      <c r="CE610">
        <f t="shared" ca="1" si="277"/>
        <v>13335851.425781287</v>
      </c>
      <c r="CF610">
        <f t="shared" ca="1" si="278"/>
        <v>19067197.138671909</v>
      </c>
      <c r="CG610">
        <f t="shared" ca="1" si="279"/>
        <v>-5731345.7128906213</v>
      </c>
      <c r="CH610" s="10">
        <f>分析データ!A610</f>
        <v>45817</v>
      </c>
    </row>
    <row r="611" spans="46:86">
      <c r="AT611">
        <f ca="1">IF(ROW()&lt;($C$7+1),"",IFERROR((分析データ!B611-AVERAGE(OFFSET(分析データ!B$1,MAX(1,ROW()-$C$7),0,MIN($C$7,ROW()-1),1)))/STDEV(OFFSET(分析データ!B$1,MAX(1,ROW()-$C$7),0,MIN($C$7,ROW()-1),1)),0))</f>
        <v>0.60259085984632044</v>
      </c>
      <c r="AU611">
        <f t="shared" ca="1" si="252"/>
        <v>0</v>
      </c>
      <c r="AV611" t="str">
        <f ca="1">IF(AU611=1,IF(INDEX(分析データ!$A:$A,ROW()+$C$5)&lt;&gt;"",80000*SIGN(AT611)*(分析データ!B611-INDEX(分析データ!B:B,ROW()+$C$5)),""),"")</f>
        <v/>
      </c>
      <c r="AW611">
        <f t="shared" ca="1" si="253"/>
        <v>-4999999.9999999925</v>
      </c>
      <c r="AX611">
        <f t="shared" ca="1" si="254"/>
        <v>0</v>
      </c>
      <c r="AY611">
        <f t="shared" ca="1" si="255"/>
        <v>-4999999.9999999925</v>
      </c>
      <c r="AZ611">
        <f ca="1">IF(ROW()&lt;($C$7+1),"",IFERROR((分析データ!C611-AVERAGE(OFFSET(分析データ!C$1,MAX(1,ROW()-$C$7),0,MIN($C$7,ROW()-1),1)))/STDEV(OFFSET(分析データ!C$1,MAX(1,ROW()-$C$7),0,MIN($C$7,ROW()-1),1)),0))</f>
        <v>-0.18947149767353841</v>
      </c>
      <c r="BA611">
        <f t="shared" ca="1" si="256"/>
        <v>0</v>
      </c>
      <c r="BB611" t="str">
        <f ca="1">IF(BA611=1,IF(INDEX(分析データ!$A:$A,ROW()+$C$5)&lt;&gt;"",60000*SIGN(AZ611)*(分析データ!C611-INDEX(分析データ!C:C,ROW()+$C$5)),""),"")</f>
        <v/>
      </c>
      <c r="BC611">
        <f t="shared" ca="1" si="257"/>
        <v>3075000.0000000102</v>
      </c>
      <c r="BD611">
        <f t="shared" ca="1" si="258"/>
        <v>3075000.0000000102</v>
      </c>
      <c r="BE611">
        <f t="shared" ca="1" si="259"/>
        <v>0</v>
      </c>
      <c r="BF611">
        <f ca="1">IF(ROW()&lt;($C$7+1),"",IFERROR((分析データ!D611-AVERAGE(OFFSET(分析データ!D$1,MAX(1,ROW()-$C$7),0,MIN($C$7,ROW()-1),1)))/STDEV(OFFSET(分析データ!D$1,MAX(1,ROW()-$C$7),0,MIN($C$7,ROW()-1),1)),0))</f>
        <v>-0.56518684887676141</v>
      </c>
      <c r="BG611">
        <f t="shared" ca="1" si="260"/>
        <v>0</v>
      </c>
      <c r="BH611" t="str">
        <f ca="1">IF(BG611=1,IF(INDEX(分析データ!$A:$A,ROW()+$C$5)&lt;&gt;"",50000*SIGN(BF611)*(分析データ!D611-INDEX(分析データ!D:D,ROW()+$C$5)),""),"")</f>
        <v/>
      </c>
      <c r="BI611">
        <f t="shared" ca="1" si="261"/>
        <v>195000.00000000582</v>
      </c>
      <c r="BJ611">
        <f t="shared" ca="1" si="262"/>
        <v>1695000.0000000016</v>
      </c>
      <c r="BK611">
        <f t="shared" ca="1" si="263"/>
        <v>-1499999.9999999958</v>
      </c>
      <c r="BL611">
        <f ca="1">IF(ROW()&lt;($C$7+1),"",IFERROR((分析データ!E611-AVERAGE(OFFSET(分析データ!E$1,MAX(1,ROW()-$C$7),0,MIN($C$7,ROW()-1),1)))/STDEV(OFFSET(分析データ!E$1,MAX(1,ROW()-$C$7),0,MIN($C$7,ROW()-1),1)),0))</f>
        <v>1.6708025765293413</v>
      </c>
      <c r="BM611">
        <f t="shared" ca="1" si="264"/>
        <v>0</v>
      </c>
      <c r="BN611" t="str">
        <f ca="1">IF(BM611=1,IF(INDEX(分析データ!$A:$A,ROW()+$C$5)&lt;&gt;"",40000*SIGN(BL611)*(分析データ!E611-INDEX(分析データ!E:E,ROW()+$C$5)),""),"")</f>
        <v/>
      </c>
      <c r="BO611">
        <f t="shared" ca="1" si="265"/>
        <v>2279999.9999999981</v>
      </c>
      <c r="BP611">
        <f t="shared" ca="1" si="266"/>
        <v>2279999.9999999981</v>
      </c>
      <c r="BQ611">
        <f t="shared" ca="1" si="267"/>
        <v>0</v>
      </c>
      <c r="BR611">
        <f ca="1">IF(ROW()&lt;($C$7+1),"",IFERROR((分析データ!F611-AVERAGE(OFFSET(分析データ!F$1,MAX(1,ROW()-$C$7),0,MIN($C$7,ROW()-1),1)))/STDEV(OFFSET(分析データ!F$1,MAX(1,ROW()-$C$7),0,MIN($C$7,ROW()-1),1)),0))</f>
        <v>-1.5889649895209088</v>
      </c>
      <c r="BS611">
        <f t="shared" ca="1" si="268"/>
        <v>0</v>
      </c>
      <c r="BT611" t="str">
        <f ca="1">IF(BS611=1,IF(INDEX(分析データ!$A:$A,ROW()+$C$5)&lt;&gt;"",40000*SIGN(BR611)*(分析データ!F611-INDEX(分析データ!F:F,ROW()+$C$5)),""),"")</f>
        <v/>
      </c>
      <c r="BU611">
        <f t="shared" ca="1" si="269"/>
        <v>10590800</v>
      </c>
      <c r="BV611">
        <f t="shared" ca="1" si="270"/>
        <v>10590800</v>
      </c>
      <c r="BW611">
        <f t="shared" ca="1" si="271"/>
        <v>0</v>
      </c>
      <c r="BX611">
        <f ca="1">IF(ROW()&lt;($C$7+1),"",IFERROR((分析データ!G611-AVERAGE(OFFSET(分析データ!G$1,MAX(1,ROW()-$C$7),0,MIN($C$7,ROW()-1),1)))/STDEV(OFFSET(分析データ!G$1,MAX(1,ROW()-$C$7),0,MIN($C$7,ROW()-1),1)),0))</f>
        <v>1.8052709646873664</v>
      </c>
      <c r="BY611">
        <f t="shared" ca="1" si="272"/>
        <v>0</v>
      </c>
      <c r="BZ611" t="str">
        <f ca="1">IF(BY611=1,IF(INDEX(分析データ!$A:$A,ROW()+$C$5)&lt;&gt;"",40000*SIGN(BX611)*(分析データ!G611-INDEX(分析データ!G:G,ROW()+$C$5)),""),"")</f>
        <v/>
      </c>
      <c r="CA611">
        <f t="shared" ca="1" si="273"/>
        <v>2195051.4257812509</v>
      </c>
      <c r="CB611">
        <f t="shared" ca="1" si="274"/>
        <v>11327520.000000004</v>
      </c>
      <c r="CC611">
        <f t="shared" ca="1" si="275"/>
        <v>-9132468.5742187537</v>
      </c>
      <c r="CD611">
        <f t="shared" ca="1" si="276"/>
        <v>0</v>
      </c>
      <c r="CE611">
        <f t="shared" ca="1" si="277"/>
        <v>13335851.425781287</v>
      </c>
      <c r="CF611">
        <f t="shared" ca="1" si="278"/>
        <v>19067197.138671909</v>
      </c>
      <c r="CG611">
        <f t="shared" ca="1" si="279"/>
        <v>-5731345.7128906213</v>
      </c>
      <c r="CH611" s="10">
        <f>分析データ!A611</f>
        <v>45818</v>
      </c>
    </row>
    <row r="612" spans="46:86">
      <c r="AT612">
        <f ca="1">IF(ROW()&lt;($C$7+1),"",IFERROR((分析データ!B612-AVERAGE(OFFSET(分析データ!B$1,MAX(1,ROW()-$C$7),0,MIN($C$7,ROW()-1),1)))/STDEV(OFFSET(分析データ!B$1,MAX(1,ROW()-$C$7),0,MIN($C$7,ROW()-1),1)),0))</f>
        <v>0.45691854488754979</v>
      </c>
      <c r="AU612">
        <f t="shared" ca="1" si="252"/>
        <v>0</v>
      </c>
      <c r="AV612" t="str">
        <f ca="1">IF(AU612=1,IF(INDEX(分析データ!$A:$A,ROW()+$C$5)&lt;&gt;"",80000*SIGN(AT612)*(分析データ!B612-INDEX(分析データ!B:B,ROW()+$C$5)),""),"")</f>
        <v/>
      </c>
      <c r="AW612">
        <f t="shared" ca="1" si="253"/>
        <v>-4999999.9999999925</v>
      </c>
      <c r="AX612">
        <f t="shared" ca="1" si="254"/>
        <v>0</v>
      </c>
      <c r="AY612">
        <f t="shared" ca="1" si="255"/>
        <v>-4999999.9999999925</v>
      </c>
      <c r="AZ612">
        <f ca="1">IF(ROW()&lt;($C$7+1),"",IFERROR((分析データ!C612-AVERAGE(OFFSET(分析データ!C$1,MAX(1,ROW()-$C$7),0,MIN($C$7,ROW()-1),1)))/STDEV(OFFSET(分析データ!C$1,MAX(1,ROW()-$C$7),0,MIN($C$7,ROW()-1),1)),0))</f>
        <v>-0.33014846164972456</v>
      </c>
      <c r="BA612">
        <f t="shared" ca="1" si="256"/>
        <v>0</v>
      </c>
      <c r="BB612" t="str">
        <f ca="1">IF(BA612=1,IF(INDEX(分析データ!$A:$A,ROW()+$C$5)&lt;&gt;"",60000*SIGN(AZ612)*(分析データ!C612-INDEX(分析データ!C:C,ROW()+$C$5)),""),"")</f>
        <v/>
      </c>
      <c r="BC612">
        <f t="shared" ca="1" si="257"/>
        <v>3075000.0000000102</v>
      </c>
      <c r="BD612">
        <f t="shared" ca="1" si="258"/>
        <v>3075000.0000000102</v>
      </c>
      <c r="BE612">
        <f t="shared" ca="1" si="259"/>
        <v>0</v>
      </c>
      <c r="BF612">
        <f ca="1">IF(ROW()&lt;($C$7+1),"",IFERROR((分析データ!D612-AVERAGE(OFFSET(分析データ!D$1,MAX(1,ROW()-$C$7),0,MIN($C$7,ROW()-1),1)))/STDEV(OFFSET(分析データ!D$1,MAX(1,ROW()-$C$7),0,MIN($C$7,ROW()-1),1)),0))</f>
        <v>-0.74847622499091715</v>
      </c>
      <c r="BG612">
        <f t="shared" ca="1" si="260"/>
        <v>0</v>
      </c>
      <c r="BH612" t="str">
        <f ca="1">IF(BG612=1,IF(INDEX(分析データ!$A:$A,ROW()+$C$5)&lt;&gt;"",50000*SIGN(BF612)*(分析データ!D612-INDEX(分析データ!D:D,ROW()+$C$5)),""),"")</f>
        <v/>
      </c>
      <c r="BI612">
        <f t="shared" ca="1" si="261"/>
        <v>195000.00000000582</v>
      </c>
      <c r="BJ612">
        <f t="shared" ca="1" si="262"/>
        <v>1695000.0000000016</v>
      </c>
      <c r="BK612">
        <f t="shared" ca="1" si="263"/>
        <v>-1499999.9999999958</v>
      </c>
      <c r="BL612">
        <f ca="1">IF(ROW()&lt;($C$7+1),"",IFERROR((分析データ!E612-AVERAGE(OFFSET(分析データ!E$1,MAX(1,ROW()-$C$7),0,MIN($C$7,ROW()-1),1)))/STDEV(OFFSET(分析データ!E$1,MAX(1,ROW()-$C$7),0,MIN($C$7,ROW()-1),1)),0))</f>
        <v>1.659170367108016</v>
      </c>
      <c r="BM612">
        <f t="shared" ca="1" si="264"/>
        <v>0</v>
      </c>
      <c r="BN612" t="str">
        <f ca="1">IF(BM612=1,IF(INDEX(分析データ!$A:$A,ROW()+$C$5)&lt;&gt;"",40000*SIGN(BL612)*(分析データ!E612-INDEX(分析データ!E:E,ROW()+$C$5)),""),"")</f>
        <v/>
      </c>
      <c r="BO612">
        <f t="shared" ca="1" si="265"/>
        <v>2279999.9999999981</v>
      </c>
      <c r="BP612">
        <f t="shared" ca="1" si="266"/>
        <v>2279999.9999999981</v>
      </c>
      <c r="BQ612">
        <f t="shared" ca="1" si="267"/>
        <v>0</v>
      </c>
      <c r="BR612">
        <f ca="1">IF(ROW()&lt;($C$7+1),"",IFERROR((分析データ!F612-AVERAGE(OFFSET(分析データ!F$1,MAX(1,ROW()-$C$7),0,MIN($C$7,ROW()-1),1)))/STDEV(OFFSET(分析データ!F$1,MAX(1,ROW()-$C$7),0,MIN($C$7,ROW()-1),1)),0))</f>
        <v>-1.6535843772711534</v>
      </c>
      <c r="BS612">
        <f t="shared" ca="1" si="268"/>
        <v>0</v>
      </c>
      <c r="BT612" t="str">
        <f ca="1">IF(BS612=1,IF(INDEX(分析データ!$A:$A,ROW()+$C$5)&lt;&gt;"",40000*SIGN(BR612)*(分析データ!F612-INDEX(分析データ!F:F,ROW()+$C$5)),""),"")</f>
        <v/>
      </c>
      <c r="BU612">
        <f t="shared" ca="1" si="269"/>
        <v>10590800</v>
      </c>
      <c r="BV612">
        <f t="shared" ca="1" si="270"/>
        <v>10590800</v>
      </c>
      <c r="BW612">
        <f t="shared" ca="1" si="271"/>
        <v>0</v>
      </c>
      <c r="BX612">
        <f ca="1">IF(ROW()&lt;($C$7+1),"",IFERROR((分析データ!G612-AVERAGE(OFFSET(分析データ!G$1,MAX(1,ROW()-$C$7),0,MIN($C$7,ROW()-1),1)))/STDEV(OFFSET(分析データ!G$1,MAX(1,ROW()-$C$7),0,MIN($C$7,ROW()-1),1)),0))</f>
        <v>2.1400144645339263</v>
      </c>
      <c r="BY612">
        <f t="shared" ca="1" si="272"/>
        <v>1</v>
      </c>
      <c r="BZ612">
        <f ca="1">IF(BY612=1,IF(INDEX(分析データ!$A:$A,ROW()+$C$5)&lt;&gt;"",40000*SIGN(BX612)*(分析データ!G612-INDEX(分析データ!G:G,ROW()+$C$5)),""),"")</f>
        <v>-227119.99999999578</v>
      </c>
      <c r="CA612">
        <f t="shared" ca="1" si="273"/>
        <v>1967931.4257812551</v>
      </c>
      <c r="CB612">
        <f t="shared" ca="1" si="274"/>
        <v>11327520.000000004</v>
      </c>
      <c r="CC612">
        <f t="shared" ca="1" si="275"/>
        <v>-9359588.5742187481</v>
      </c>
      <c r="CD612">
        <f t="shared" ca="1" si="276"/>
        <v>-227119.99999999578</v>
      </c>
      <c r="CE612">
        <f t="shared" ca="1" si="277"/>
        <v>13108731.425781291</v>
      </c>
      <c r="CF612">
        <f t="shared" ca="1" si="278"/>
        <v>19067197.138671909</v>
      </c>
      <c r="CG612">
        <f t="shared" ca="1" si="279"/>
        <v>-5958465.7128906175</v>
      </c>
      <c r="CH612" s="10">
        <f>分析データ!A612</f>
        <v>45819</v>
      </c>
    </row>
    <row r="613" spans="46:86">
      <c r="AT613">
        <f ca="1">IF(ROW()&lt;($C$7+1),"",IFERROR((分析データ!B613-AVERAGE(OFFSET(分析データ!B$1,MAX(1,ROW()-$C$7),0,MIN($C$7,ROW()-1),1)))/STDEV(OFFSET(分析データ!B$1,MAX(1,ROW()-$C$7),0,MIN($C$7,ROW()-1),1)),0))</f>
        <v>0.49760050729429001</v>
      </c>
      <c r="AU613">
        <f t="shared" ca="1" si="252"/>
        <v>0</v>
      </c>
      <c r="AV613" t="str">
        <f ca="1">IF(AU613=1,IF(INDEX(分析データ!$A:$A,ROW()+$C$5)&lt;&gt;"",80000*SIGN(AT613)*(分析データ!B613-INDEX(分析データ!B:B,ROW()+$C$5)),""),"")</f>
        <v/>
      </c>
      <c r="AW613">
        <f t="shared" ca="1" si="253"/>
        <v>-4999999.9999999925</v>
      </c>
      <c r="AX613">
        <f t="shared" ca="1" si="254"/>
        <v>0</v>
      </c>
      <c r="AY613">
        <f t="shared" ca="1" si="255"/>
        <v>-4999999.9999999925</v>
      </c>
      <c r="AZ613">
        <f ca="1">IF(ROW()&lt;($C$7+1),"",IFERROR((分析データ!C613-AVERAGE(OFFSET(分析データ!C$1,MAX(1,ROW()-$C$7),0,MIN($C$7,ROW()-1),1)))/STDEV(OFFSET(分析データ!C$1,MAX(1,ROW()-$C$7),0,MIN($C$7,ROW()-1),1)),0))</f>
        <v>-0.29646953900073714</v>
      </c>
      <c r="BA613">
        <f t="shared" ca="1" si="256"/>
        <v>0</v>
      </c>
      <c r="BB613" t="str">
        <f ca="1">IF(BA613=1,IF(INDEX(分析データ!$A:$A,ROW()+$C$5)&lt;&gt;"",60000*SIGN(AZ613)*(分析データ!C613-INDEX(分析データ!C:C,ROW()+$C$5)),""),"")</f>
        <v/>
      </c>
      <c r="BC613">
        <f t="shared" ca="1" si="257"/>
        <v>3075000.0000000102</v>
      </c>
      <c r="BD613">
        <f t="shared" ca="1" si="258"/>
        <v>3075000.0000000102</v>
      </c>
      <c r="BE613">
        <f t="shared" ca="1" si="259"/>
        <v>0</v>
      </c>
      <c r="BF613">
        <f ca="1">IF(ROW()&lt;($C$7+1),"",IFERROR((分析データ!D613-AVERAGE(OFFSET(分析データ!D$1,MAX(1,ROW()-$C$7),0,MIN($C$7,ROW()-1),1)))/STDEV(OFFSET(分析データ!D$1,MAX(1,ROW()-$C$7),0,MIN($C$7,ROW()-1),1)),0))</f>
        <v>-0.96716090448775638</v>
      </c>
      <c r="BG613">
        <f t="shared" ca="1" si="260"/>
        <v>0</v>
      </c>
      <c r="BH613" t="str">
        <f ca="1">IF(BG613=1,IF(INDEX(分析データ!$A:$A,ROW()+$C$5)&lt;&gt;"",50000*SIGN(BF613)*(分析データ!D613-INDEX(分析データ!D:D,ROW()+$C$5)),""),"")</f>
        <v/>
      </c>
      <c r="BI613">
        <f t="shared" ca="1" si="261"/>
        <v>195000.00000000582</v>
      </c>
      <c r="BJ613">
        <f t="shared" ca="1" si="262"/>
        <v>1695000.0000000016</v>
      </c>
      <c r="BK613">
        <f t="shared" ca="1" si="263"/>
        <v>-1499999.9999999958</v>
      </c>
      <c r="BL613">
        <f ca="1">IF(ROW()&lt;($C$7+1),"",IFERROR((分析データ!E613-AVERAGE(OFFSET(分析データ!E$1,MAX(1,ROW()-$C$7),0,MIN($C$7,ROW()-1),1)))/STDEV(OFFSET(分析データ!E$1,MAX(1,ROW()-$C$7),0,MIN($C$7,ROW()-1),1)),0))</f>
        <v>1.6494422552551964</v>
      </c>
      <c r="BM613">
        <f t="shared" ca="1" si="264"/>
        <v>0</v>
      </c>
      <c r="BN613" t="str">
        <f ca="1">IF(BM613=1,IF(INDEX(分析データ!$A:$A,ROW()+$C$5)&lt;&gt;"",40000*SIGN(BL613)*(分析データ!E613-INDEX(分析データ!E:E,ROW()+$C$5)),""),"")</f>
        <v/>
      </c>
      <c r="BO613">
        <f t="shared" ca="1" si="265"/>
        <v>2279999.9999999981</v>
      </c>
      <c r="BP613">
        <f t="shared" ca="1" si="266"/>
        <v>2279999.9999999981</v>
      </c>
      <c r="BQ613">
        <f t="shared" ca="1" si="267"/>
        <v>0</v>
      </c>
      <c r="BR613">
        <f ca="1">IF(ROW()&lt;($C$7+1),"",IFERROR((分析データ!F613-AVERAGE(OFFSET(分析データ!F$1,MAX(1,ROW()-$C$7),0,MIN($C$7,ROW()-1),1)))/STDEV(OFFSET(分析データ!F$1,MAX(1,ROW()-$C$7),0,MIN($C$7,ROW()-1),1)),0))</f>
        <v>-1.5961320289380794</v>
      </c>
      <c r="BS613">
        <f t="shared" ca="1" si="268"/>
        <v>0</v>
      </c>
      <c r="BT613" t="str">
        <f ca="1">IF(BS613=1,IF(INDEX(分析データ!$A:$A,ROW()+$C$5)&lt;&gt;"",40000*SIGN(BR613)*(分析データ!F613-INDEX(分析データ!F:F,ROW()+$C$5)),""),"")</f>
        <v/>
      </c>
      <c r="BU613">
        <f t="shared" ca="1" si="269"/>
        <v>10590800</v>
      </c>
      <c r="BV613">
        <f t="shared" ca="1" si="270"/>
        <v>10590800</v>
      </c>
      <c r="BW613">
        <f t="shared" ca="1" si="271"/>
        <v>0</v>
      </c>
      <c r="BX613">
        <f ca="1">IF(ROW()&lt;($C$7+1),"",IFERROR((分析データ!G613-AVERAGE(OFFSET(分析データ!G$1,MAX(1,ROW()-$C$7),0,MIN($C$7,ROW()-1),1)))/STDEV(OFFSET(分析データ!G$1,MAX(1,ROW()-$C$7),0,MIN($C$7,ROW()-1),1)),0))</f>
        <v>2.2128697763138505</v>
      </c>
      <c r="BY613">
        <f t="shared" ca="1" si="272"/>
        <v>1</v>
      </c>
      <c r="BZ613">
        <f ca="1">IF(BY613=1,IF(INDEX(分析データ!$A:$A,ROW()+$C$5)&lt;&gt;"",40000*SIGN(BX613)*(分析データ!G613-INDEX(分析データ!G:G,ROW()+$C$5)),""),"")</f>
        <v>-167254.28710936982</v>
      </c>
      <c r="CA613">
        <f t="shared" ca="1" si="273"/>
        <v>1800677.1386718852</v>
      </c>
      <c r="CB613">
        <f t="shared" ca="1" si="274"/>
        <v>11327520.000000004</v>
      </c>
      <c r="CC613">
        <f t="shared" ca="1" si="275"/>
        <v>-9526842.8613281175</v>
      </c>
      <c r="CD613">
        <f t="shared" ca="1" si="276"/>
        <v>-167254.28710936982</v>
      </c>
      <c r="CE613">
        <f t="shared" ca="1" si="277"/>
        <v>12941477.138671922</v>
      </c>
      <c r="CF613">
        <f t="shared" ca="1" si="278"/>
        <v>19067197.138671909</v>
      </c>
      <c r="CG613">
        <f t="shared" ca="1" si="279"/>
        <v>-6125719.999999987</v>
      </c>
      <c r="CH613" s="10">
        <f>分析データ!A613</f>
        <v>45820</v>
      </c>
    </row>
    <row r="614" spans="46:86">
      <c r="AT614">
        <f ca="1">IF(ROW()&lt;($C$7+1),"",IFERROR((分析データ!B614-AVERAGE(OFFSET(分析データ!B$1,MAX(1,ROW()-$C$7),0,MIN($C$7,ROW()-1),1)))/STDEV(OFFSET(分析データ!B$1,MAX(1,ROW()-$C$7),0,MIN($C$7,ROW()-1),1)),0))</f>
        <v>0.39678701233164504</v>
      </c>
      <c r="AU614">
        <f t="shared" ca="1" si="252"/>
        <v>0</v>
      </c>
      <c r="AV614" t="str">
        <f ca="1">IF(AU614=1,IF(INDEX(分析データ!$A:$A,ROW()+$C$5)&lt;&gt;"",80000*SIGN(AT614)*(分析データ!B614-INDEX(分析データ!B:B,ROW()+$C$5)),""),"")</f>
        <v/>
      </c>
      <c r="AW614">
        <f t="shared" ca="1" si="253"/>
        <v>-4999999.9999999925</v>
      </c>
      <c r="AX614">
        <f t="shared" ca="1" si="254"/>
        <v>0</v>
      </c>
      <c r="AY614">
        <f t="shared" ca="1" si="255"/>
        <v>-4999999.9999999925</v>
      </c>
      <c r="AZ614">
        <f ca="1">IF(ROW()&lt;($C$7+1),"",IFERROR((分析データ!C614-AVERAGE(OFFSET(分析データ!C$1,MAX(1,ROW()-$C$7),0,MIN($C$7,ROW()-1),1)))/STDEV(OFFSET(分析データ!C$1,MAX(1,ROW()-$C$7),0,MIN($C$7,ROW()-1),1)),0))</f>
        <v>-0.71990080320361305</v>
      </c>
      <c r="BA614">
        <f t="shared" ca="1" si="256"/>
        <v>0</v>
      </c>
      <c r="BB614" t="str">
        <f ca="1">IF(BA614=1,IF(INDEX(分析データ!$A:$A,ROW()+$C$5)&lt;&gt;"",60000*SIGN(AZ614)*(分析データ!C614-INDEX(分析データ!C:C,ROW()+$C$5)),""),"")</f>
        <v/>
      </c>
      <c r="BC614">
        <f t="shared" ca="1" si="257"/>
        <v>3075000.0000000102</v>
      </c>
      <c r="BD614">
        <f t="shared" ca="1" si="258"/>
        <v>3075000.0000000102</v>
      </c>
      <c r="BE614">
        <f t="shared" ca="1" si="259"/>
        <v>0</v>
      </c>
      <c r="BF614">
        <f ca="1">IF(ROW()&lt;($C$7+1),"",IFERROR((分析データ!D614-AVERAGE(OFFSET(分析データ!D$1,MAX(1,ROW()-$C$7),0,MIN($C$7,ROW()-1),1)))/STDEV(OFFSET(分析データ!D$1,MAX(1,ROW()-$C$7),0,MIN($C$7,ROW()-1),1)),0))</f>
        <v>-0.50366882822263992</v>
      </c>
      <c r="BG614">
        <f t="shared" ca="1" si="260"/>
        <v>0</v>
      </c>
      <c r="BH614" t="str">
        <f ca="1">IF(BG614=1,IF(INDEX(分析データ!$A:$A,ROW()+$C$5)&lt;&gt;"",50000*SIGN(BF614)*(分析データ!D614-INDEX(分析データ!D:D,ROW()+$C$5)),""),"")</f>
        <v/>
      </c>
      <c r="BI614">
        <f t="shared" ca="1" si="261"/>
        <v>195000.00000000582</v>
      </c>
      <c r="BJ614">
        <f t="shared" ca="1" si="262"/>
        <v>1695000.0000000016</v>
      </c>
      <c r="BK614">
        <f t="shared" ca="1" si="263"/>
        <v>-1499999.9999999958</v>
      </c>
      <c r="BL614">
        <f ca="1">IF(ROW()&lt;($C$7+1),"",IFERROR((分析データ!E614-AVERAGE(OFFSET(分析データ!E$1,MAX(1,ROW()-$C$7),0,MIN($C$7,ROW()-1),1)))/STDEV(OFFSET(分析データ!E$1,MAX(1,ROW()-$C$7),0,MIN($C$7,ROW()-1),1)),0))</f>
        <v>1.6384078366246915</v>
      </c>
      <c r="BM614">
        <f t="shared" ca="1" si="264"/>
        <v>0</v>
      </c>
      <c r="BN614" t="str">
        <f ca="1">IF(BM614=1,IF(INDEX(分析データ!$A:$A,ROW()+$C$5)&lt;&gt;"",40000*SIGN(BL614)*(分析データ!E614-INDEX(分析データ!E:E,ROW()+$C$5)),""),"")</f>
        <v/>
      </c>
      <c r="BO614">
        <f t="shared" ca="1" si="265"/>
        <v>2279999.9999999981</v>
      </c>
      <c r="BP614">
        <f t="shared" ca="1" si="266"/>
        <v>2279999.9999999981</v>
      </c>
      <c r="BQ614">
        <f t="shared" ca="1" si="267"/>
        <v>0</v>
      </c>
      <c r="BR614">
        <f ca="1">IF(ROW()&lt;($C$7+1),"",IFERROR((分析データ!F614-AVERAGE(OFFSET(分析データ!F$1,MAX(1,ROW()-$C$7),0,MIN($C$7,ROW()-1),1)))/STDEV(OFFSET(分析データ!F$1,MAX(1,ROW()-$C$7),0,MIN($C$7,ROW()-1),1)),0))</f>
        <v>-2.0880784936982999</v>
      </c>
      <c r="BS614">
        <f t="shared" ca="1" si="268"/>
        <v>1</v>
      </c>
      <c r="BT614">
        <f ca="1">IF(BS614=1,IF(INDEX(分析データ!$A:$A,ROW()+$C$5)&lt;&gt;"",40000*SIGN(BR614)*(分析データ!F614-INDEX(分析データ!F:F,ROW()+$C$5)),""),"")</f>
        <v>821599.9999999986</v>
      </c>
      <c r="BU614">
        <f t="shared" ca="1" si="269"/>
        <v>11412399.999999998</v>
      </c>
      <c r="BV614">
        <f t="shared" ca="1" si="270"/>
        <v>11412399.999999998</v>
      </c>
      <c r="BW614">
        <f t="shared" ca="1" si="271"/>
        <v>0</v>
      </c>
      <c r="BX614">
        <f ca="1">IF(ROW()&lt;($C$7+1),"",IFERROR((分析データ!G614-AVERAGE(OFFSET(分析データ!G$1,MAX(1,ROW()-$C$7),0,MIN($C$7,ROW()-1),1)))/STDEV(OFFSET(分析データ!G$1,MAX(1,ROW()-$C$7),0,MIN($C$7,ROW()-1),1)),0))</f>
        <v>2.3919667045495303</v>
      </c>
      <c r="BY614">
        <f t="shared" ca="1" si="272"/>
        <v>1</v>
      </c>
      <c r="BZ614">
        <f ca="1">IF(BY614=1,IF(INDEX(分析データ!$A:$A,ROW()+$C$5)&lt;&gt;"",40000*SIGN(BX614)*(分析データ!G614-INDEX(分析データ!G:G,ROW()+$C$5)),""),"")</f>
        <v>373131.42578124825</v>
      </c>
      <c r="CA614">
        <f t="shared" ca="1" si="273"/>
        <v>2173808.5644531334</v>
      </c>
      <c r="CB614">
        <f t="shared" ca="1" si="274"/>
        <v>11327520.000000004</v>
      </c>
      <c r="CC614">
        <f t="shared" ca="1" si="275"/>
        <v>-9153711.4355468713</v>
      </c>
      <c r="CD614">
        <f t="shared" ca="1" si="276"/>
        <v>1194731.4257812467</v>
      </c>
      <c r="CE614">
        <f t="shared" ca="1" si="277"/>
        <v>14136208.564453168</v>
      </c>
      <c r="CF614">
        <f t="shared" ca="1" si="278"/>
        <v>19067197.138671909</v>
      </c>
      <c r="CG614">
        <f t="shared" ca="1" si="279"/>
        <v>-4930988.5742187407</v>
      </c>
      <c r="CH614" s="10">
        <f>分析データ!A614</f>
        <v>45821</v>
      </c>
    </row>
    <row r="615" spans="46:86">
      <c r="AT615">
        <f ca="1">IF(ROW()&lt;($C$7+1),"",IFERROR((分析データ!B615-AVERAGE(OFFSET(分析データ!B$1,MAX(1,ROW()-$C$7),0,MIN($C$7,ROW()-1),1)))/STDEV(OFFSET(分析データ!B$1,MAX(1,ROW()-$C$7),0,MIN($C$7,ROW()-1),1)),0))</f>
        <v>0.53336389017971153</v>
      </c>
      <c r="AU615">
        <f t="shared" ca="1" si="252"/>
        <v>0</v>
      </c>
      <c r="AV615" t="str">
        <f ca="1">IF(AU615=1,IF(INDEX(分析データ!$A:$A,ROW()+$C$5)&lt;&gt;"",80000*SIGN(AT615)*(分析データ!B615-INDEX(分析データ!B:B,ROW()+$C$5)),""),"")</f>
        <v/>
      </c>
      <c r="AW615">
        <f t="shared" ca="1" si="253"/>
        <v>-4999999.9999999925</v>
      </c>
      <c r="AX615">
        <f t="shared" ca="1" si="254"/>
        <v>0</v>
      </c>
      <c r="AY615">
        <f t="shared" ca="1" si="255"/>
        <v>-4999999.9999999925</v>
      </c>
      <c r="AZ615">
        <f ca="1">IF(ROW()&lt;($C$7+1),"",IFERROR((分析データ!C615-AVERAGE(OFFSET(分析データ!C$1,MAX(1,ROW()-$C$7),0,MIN($C$7,ROW()-1),1)))/STDEV(OFFSET(分析データ!C$1,MAX(1,ROW()-$C$7),0,MIN($C$7,ROW()-1),1)),0))</f>
        <v>-0.30670760249498519</v>
      </c>
      <c r="BA615">
        <f t="shared" ca="1" si="256"/>
        <v>0</v>
      </c>
      <c r="BB615" t="str">
        <f ca="1">IF(BA615=1,IF(INDEX(分析データ!$A:$A,ROW()+$C$5)&lt;&gt;"",60000*SIGN(AZ615)*(分析データ!C615-INDEX(分析データ!C:C,ROW()+$C$5)),""),"")</f>
        <v/>
      </c>
      <c r="BC615">
        <f t="shared" ca="1" si="257"/>
        <v>3075000.0000000102</v>
      </c>
      <c r="BD615">
        <f t="shared" ca="1" si="258"/>
        <v>3075000.0000000102</v>
      </c>
      <c r="BE615">
        <f t="shared" ca="1" si="259"/>
        <v>0</v>
      </c>
      <c r="BF615">
        <f ca="1">IF(ROW()&lt;($C$7+1),"",IFERROR((分析データ!D615-AVERAGE(OFFSET(分析データ!D$1,MAX(1,ROW()-$C$7),0,MIN($C$7,ROW()-1),1)))/STDEV(OFFSET(分析データ!D$1,MAX(1,ROW()-$C$7),0,MIN($C$7,ROW()-1),1)),0))</f>
        <v>-0.4890289965896627</v>
      </c>
      <c r="BG615">
        <f t="shared" ca="1" si="260"/>
        <v>0</v>
      </c>
      <c r="BH615" t="str">
        <f ca="1">IF(BG615=1,IF(INDEX(分析データ!$A:$A,ROW()+$C$5)&lt;&gt;"",50000*SIGN(BF615)*(分析データ!D615-INDEX(分析データ!D:D,ROW()+$C$5)),""),"")</f>
        <v/>
      </c>
      <c r="BI615">
        <f t="shared" ca="1" si="261"/>
        <v>195000.00000000582</v>
      </c>
      <c r="BJ615">
        <f t="shared" ca="1" si="262"/>
        <v>1695000.0000000016</v>
      </c>
      <c r="BK615">
        <f t="shared" ca="1" si="263"/>
        <v>-1499999.9999999958</v>
      </c>
      <c r="BL615">
        <f ca="1">IF(ROW()&lt;($C$7+1),"",IFERROR((分析データ!E615-AVERAGE(OFFSET(分析データ!E$1,MAX(1,ROW()-$C$7),0,MIN($C$7,ROW()-1),1)))/STDEV(OFFSET(分析データ!E$1,MAX(1,ROW()-$C$7),0,MIN($C$7,ROW()-1),1)),0))</f>
        <v>1.8911334713612935</v>
      </c>
      <c r="BM615">
        <f t="shared" ca="1" si="264"/>
        <v>0</v>
      </c>
      <c r="BN615" t="str">
        <f ca="1">IF(BM615=1,IF(INDEX(分析データ!$A:$A,ROW()+$C$5)&lt;&gt;"",40000*SIGN(BL615)*(分析データ!E615-INDEX(分析データ!E:E,ROW()+$C$5)),""),"")</f>
        <v/>
      </c>
      <c r="BO615">
        <f t="shared" ca="1" si="265"/>
        <v>2279999.9999999981</v>
      </c>
      <c r="BP615">
        <f t="shared" ca="1" si="266"/>
        <v>2279999.9999999981</v>
      </c>
      <c r="BQ615">
        <f t="shared" ca="1" si="267"/>
        <v>0</v>
      </c>
      <c r="BR615">
        <f ca="1">IF(ROW()&lt;($C$7+1),"",IFERROR((分析データ!F615-AVERAGE(OFFSET(分析データ!F$1,MAX(1,ROW()-$C$7),0,MIN($C$7,ROW()-1),1)))/STDEV(OFFSET(分析データ!F$1,MAX(1,ROW()-$C$7),0,MIN($C$7,ROW()-1),1)),0))</f>
        <v>-1.9580564913641483</v>
      </c>
      <c r="BS615">
        <f t="shared" ca="1" si="268"/>
        <v>0</v>
      </c>
      <c r="BT615" t="str">
        <f ca="1">IF(BS615=1,IF(INDEX(分析データ!$A:$A,ROW()+$C$5)&lt;&gt;"",40000*SIGN(BR615)*(分析データ!F615-INDEX(分析データ!F:F,ROW()+$C$5)),""),"")</f>
        <v/>
      </c>
      <c r="BU615">
        <f t="shared" ca="1" si="269"/>
        <v>11412399.999999998</v>
      </c>
      <c r="BV615">
        <f t="shared" ca="1" si="270"/>
        <v>11412399.999999998</v>
      </c>
      <c r="BW615">
        <f t="shared" ca="1" si="271"/>
        <v>0</v>
      </c>
      <c r="BX615">
        <f ca="1">IF(ROW()&lt;($C$7+1),"",IFERROR((分析データ!G615-AVERAGE(OFFSET(分析データ!G$1,MAX(1,ROW()-$C$7),0,MIN($C$7,ROW()-1),1)))/STDEV(OFFSET(分析データ!G$1,MAX(1,ROW()-$C$7),0,MIN($C$7,ROW()-1),1)),0))</f>
        <v>2.2165282469556935</v>
      </c>
      <c r="BY615">
        <f t="shared" ca="1" si="272"/>
        <v>1</v>
      </c>
      <c r="BZ615">
        <f ca="1">IF(BY615=1,IF(INDEX(分析データ!$A:$A,ROW()+$C$5)&lt;&gt;"",40000*SIGN(BX615)*(分析データ!G615-INDEX(分析データ!G:G,ROW()+$C$5)),""),"")</f>
        <v>-190101.43066406299</v>
      </c>
      <c r="CA615">
        <f t="shared" ca="1" si="273"/>
        <v>1983707.1337890704</v>
      </c>
      <c r="CB615">
        <f t="shared" ca="1" si="274"/>
        <v>11327520.000000004</v>
      </c>
      <c r="CC615">
        <f t="shared" ca="1" si="275"/>
        <v>-9343812.8662109338</v>
      </c>
      <c r="CD615">
        <f t="shared" ca="1" si="276"/>
        <v>-190101.43066406299</v>
      </c>
      <c r="CE615">
        <f t="shared" ca="1" si="277"/>
        <v>13946107.133789105</v>
      </c>
      <c r="CF615">
        <f t="shared" ca="1" si="278"/>
        <v>19067197.138671909</v>
      </c>
      <c r="CG615">
        <f t="shared" ca="1" si="279"/>
        <v>-5121090.0048828032</v>
      </c>
      <c r="CH615" s="10">
        <f>分析データ!A615</f>
        <v>45824</v>
      </c>
    </row>
    <row r="616" spans="46:86">
      <c r="AT616">
        <f ca="1">IF(ROW()&lt;($C$7+1),"",IFERROR((分析データ!B616-AVERAGE(OFFSET(分析データ!B$1,MAX(1,ROW()-$C$7),0,MIN($C$7,ROW()-1),1)))/STDEV(OFFSET(分析データ!B$1,MAX(1,ROW()-$C$7),0,MIN($C$7,ROW()-1),1)),0))</f>
        <v>0.38285144115855307</v>
      </c>
      <c r="AU616">
        <f t="shared" ca="1" si="252"/>
        <v>0</v>
      </c>
      <c r="AV616" t="str">
        <f ca="1">IF(AU616=1,IF(INDEX(分析データ!$A:$A,ROW()+$C$5)&lt;&gt;"",80000*SIGN(AT616)*(分析データ!B616-INDEX(分析データ!B:B,ROW()+$C$5)),""),"")</f>
        <v/>
      </c>
      <c r="AW616">
        <f t="shared" ca="1" si="253"/>
        <v>-4999999.9999999925</v>
      </c>
      <c r="AX616">
        <f t="shared" ca="1" si="254"/>
        <v>0</v>
      </c>
      <c r="AY616">
        <f t="shared" ca="1" si="255"/>
        <v>-4999999.9999999925</v>
      </c>
      <c r="AZ616">
        <f ca="1">IF(ROW()&lt;($C$7+1),"",IFERROR((分析データ!C616-AVERAGE(OFFSET(分析データ!C$1,MAX(1,ROW()-$C$7),0,MIN($C$7,ROW()-1),1)))/STDEV(OFFSET(分析データ!C$1,MAX(1,ROW()-$C$7),0,MIN($C$7,ROW()-1),1)),0))</f>
        <v>-0.25110581576446206</v>
      </c>
      <c r="BA616">
        <f t="shared" ca="1" si="256"/>
        <v>0</v>
      </c>
      <c r="BB616" t="str">
        <f ca="1">IF(BA616=1,IF(INDEX(分析データ!$A:$A,ROW()+$C$5)&lt;&gt;"",60000*SIGN(AZ616)*(分析データ!C616-INDEX(分析データ!C:C,ROW()+$C$5)),""),"")</f>
        <v/>
      </c>
      <c r="BC616">
        <f t="shared" ca="1" si="257"/>
        <v>3075000.0000000102</v>
      </c>
      <c r="BD616">
        <f t="shared" ca="1" si="258"/>
        <v>3075000.0000000102</v>
      </c>
      <c r="BE616">
        <f t="shared" ca="1" si="259"/>
        <v>0</v>
      </c>
      <c r="BF616">
        <f ca="1">IF(ROW()&lt;($C$7+1),"",IFERROR((分析データ!D616-AVERAGE(OFFSET(分析データ!D$1,MAX(1,ROW()-$C$7),0,MIN($C$7,ROW()-1),1)))/STDEV(OFFSET(分析データ!D$1,MAX(1,ROW()-$C$7),0,MIN($C$7,ROW()-1),1)),0))</f>
        <v>-0.89671328385965032</v>
      </c>
      <c r="BG616">
        <f t="shared" ca="1" si="260"/>
        <v>0</v>
      </c>
      <c r="BH616" t="str">
        <f ca="1">IF(BG616=1,IF(INDEX(分析データ!$A:$A,ROW()+$C$5)&lt;&gt;"",50000*SIGN(BF616)*(分析データ!D616-INDEX(分析データ!D:D,ROW()+$C$5)),""),"")</f>
        <v/>
      </c>
      <c r="BI616">
        <f t="shared" ca="1" si="261"/>
        <v>195000.00000000582</v>
      </c>
      <c r="BJ616">
        <f t="shared" ca="1" si="262"/>
        <v>1695000.0000000016</v>
      </c>
      <c r="BK616">
        <f t="shared" ca="1" si="263"/>
        <v>-1499999.9999999958</v>
      </c>
      <c r="BL616">
        <f ca="1">IF(ROW()&lt;($C$7+1),"",IFERROR((分析データ!E616-AVERAGE(OFFSET(分析データ!E$1,MAX(1,ROW()-$C$7),0,MIN($C$7,ROW()-1),1)))/STDEV(OFFSET(分析データ!E$1,MAX(1,ROW()-$C$7),0,MIN($C$7,ROW()-1),1)),0))</f>
        <v>1.701703003786706</v>
      </c>
      <c r="BM616">
        <f t="shared" ca="1" si="264"/>
        <v>0</v>
      </c>
      <c r="BN616" t="str">
        <f ca="1">IF(BM616=1,IF(INDEX(分析データ!$A:$A,ROW()+$C$5)&lt;&gt;"",40000*SIGN(BL616)*(分析データ!E616-INDEX(分析データ!E:E,ROW()+$C$5)),""),"")</f>
        <v/>
      </c>
      <c r="BO616">
        <f t="shared" ca="1" si="265"/>
        <v>2279999.9999999981</v>
      </c>
      <c r="BP616">
        <f t="shared" ca="1" si="266"/>
        <v>2279999.9999999981</v>
      </c>
      <c r="BQ616">
        <f t="shared" ca="1" si="267"/>
        <v>0</v>
      </c>
      <c r="BR616">
        <f ca="1">IF(ROW()&lt;($C$7+1),"",IFERROR((分析データ!F616-AVERAGE(OFFSET(分析データ!F$1,MAX(1,ROW()-$C$7),0,MIN($C$7,ROW()-1),1)))/STDEV(OFFSET(分析データ!F$1,MAX(1,ROW()-$C$7),0,MIN($C$7,ROW()-1),1)),0))</f>
        <v>-1.8532117308304059</v>
      </c>
      <c r="BS616">
        <f t="shared" ca="1" si="268"/>
        <v>0</v>
      </c>
      <c r="BT616" t="str">
        <f ca="1">IF(BS616=1,IF(INDEX(分析データ!$A:$A,ROW()+$C$5)&lt;&gt;"",40000*SIGN(BR616)*(分析データ!F616-INDEX(分析データ!F:F,ROW()+$C$5)),""),"")</f>
        <v/>
      </c>
      <c r="BU616">
        <f t="shared" ca="1" si="269"/>
        <v>11412399.999999998</v>
      </c>
      <c r="BV616">
        <f t="shared" ca="1" si="270"/>
        <v>11412399.999999998</v>
      </c>
      <c r="BW616">
        <f t="shared" ca="1" si="271"/>
        <v>0</v>
      </c>
      <c r="BX616">
        <f ca="1">IF(ROW()&lt;($C$7+1),"",IFERROR((分析データ!G616-AVERAGE(OFFSET(分析データ!G$1,MAX(1,ROW()-$C$7),0,MIN($C$7,ROW()-1),1)))/STDEV(OFFSET(分析データ!G$1,MAX(1,ROW()-$C$7),0,MIN($C$7,ROW()-1),1)),0))</f>
        <v>2.4211323509269533</v>
      </c>
      <c r="BY616">
        <f t="shared" ca="1" si="272"/>
        <v>1</v>
      </c>
      <c r="BZ616">
        <f ca="1">IF(BY616=1,IF(INDEX(分析データ!$A:$A,ROW()+$C$5)&lt;&gt;"",40000*SIGN(BX616)*(分析データ!G616-INDEX(分析データ!G:G,ROW()+$C$5)),""),"")</f>
        <v>-32301.430664065549</v>
      </c>
      <c r="CA616">
        <f t="shared" ca="1" si="273"/>
        <v>1951405.7031250049</v>
      </c>
      <c r="CB616">
        <f t="shared" ca="1" si="274"/>
        <v>11327520.000000004</v>
      </c>
      <c r="CC616">
        <f t="shared" ca="1" si="275"/>
        <v>-9376114.2968749981</v>
      </c>
      <c r="CD616">
        <f t="shared" ca="1" si="276"/>
        <v>-32301.430664065549</v>
      </c>
      <c r="CE616">
        <f t="shared" ca="1" si="277"/>
        <v>13913805.703125039</v>
      </c>
      <c r="CF616">
        <f t="shared" ca="1" si="278"/>
        <v>19067197.138671909</v>
      </c>
      <c r="CG616">
        <f t="shared" ca="1" si="279"/>
        <v>-5153391.4355468694</v>
      </c>
      <c r="CH616" s="10">
        <f>分析データ!A616</f>
        <v>45825</v>
      </c>
    </row>
    <row r="617" spans="46:86">
      <c r="AT617">
        <f ca="1">IF(ROW()&lt;($C$7+1),"",IFERROR((分析データ!B617-AVERAGE(OFFSET(分析データ!B$1,MAX(1,ROW()-$C$7),0,MIN($C$7,ROW()-1),1)))/STDEV(OFFSET(分析データ!B$1,MAX(1,ROW()-$C$7),0,MIN($C$7,ROW()-1),1)),0))</f>
        <v>0.27860412366107307</v>
      </c>
      <c r="AU617">
        <f t="shared" ca="1" si="252"/>
        <v>0</v>
      </c>
      <c r="AV617" t="str">
        <f ca="1">IF(AU617=1,IF(INDEX(分析データ!$A:$A,ROW()+$C$5)&lt;&gt;"",80000*SIGN(AT617)*(分析データ!B617-INDEX(分析データ!B:B,ROW()+$C$5)),""),"")</f>
        <v/>
      </c>
      <c r="AW617">
        <f t="shared" ca="1" si="253"/>
        <v>-4999999.9999999925</v>
      </c>
      <c r="AX617">
        <f t="shared" ca="1" si="254"/>
        <v>0</v>
      </c>
      <c r="AY617">
        <f t="shared" ca="1" si="255"/>
        <v>-4999999.9999999925</v>
      </c>
      <c r="AZ617">
        <f ca="1">IF(ROW()&lt;($C$7+1),"",IFERROR((分析データ!C617-AVERAGE(OFFSET(分析データ!C$1,MAX(1,ROW()-$C$7),0,MIN($C$7,ROW()-1),1)))/STDEV(OFFSET(分析データ!C$1,MAX(1,ROW()-$C$7),0,MIN($C$7,ROW()-1),1)),0))</f>
        <v>-0.39274094026103956</v>
      </c>
      <c r="BA617">
        <f t="shared" ca="1" si="256"/>
        <v>0</v>
      </c>
      <c r="BB617" t="str">
        <f ca="1">IF(BA617=1,IF(INDEX(分析データ!$A:$A,ROW()+$C$5)&lt;&gt;"",60000*SIGN(AZ617)*(分析データ!C617-INDEX(分析データ!C:C,ROW()+$C$5)),""),"")</f>
        <v/>
      </c>
      <c r="BC617">
        <f t="shared" ca="1" si="257"/>
        <v>3075000.0000000102</v>
      </c>
      <c r="BD617">
        <f t="shared" ca="1" si="258"/>
        <v>3075000.0000000102</v>
      </c>
      <c r="BE617">
        <f t="shared" ca="1" si="259"/>
        <v>0</v>
      </c>
      <c r="BF617">
        <f ca="1">IF(ROW()&lt;($C$7+1),"",IFERROR((分析データ!D617-AVERAGE(OFFSET(分析データ!D$1,MAX(1,ROW()-$C$7),0,MIN($C$7,ROW()-1),1)))/STDEV(OFFSET(分析データ!D$1,MAX(1,ROW()-$C$7),0,MIN($C$7,ROW()-1),1)),0))</f>
        <v>-0.84899168406910175</v>
      </c>
      <c r="BG617">
        <f t="shared" ca="1" si="260"/>
        <v>0</v>
      </c>
      <c r="BH617" t="str">
        <f ca="1">IF(BG617=1,IF(INDEX(分析データ!$A:$A,ROW()+$C$5)&lt;&gt;"",50000*SIGN(BF617)*(分析データ!D617-INDEX(分析データ!D:D,ROW()+$C$5)),""),"")</f>
        <v/>
      </c>
      <c r="BI617">
        <f t="shared" ca="1" si="261"/>
        <v>195000.00000000582</v>
      </c>
      <c r="BJ617">
        <f t="shared" ca="1" si="262"/>
        <v>1695000.0000000016</v>
      </c>
      <c r="BK617">
        <f t="shared" ca="1" si="263"/>
        <v>-1499999.9999999958</v>
      </c>
      <c r="BL617">
        <f ca="1">IF(ROW()&lt;($C$7+1),"",IFERROR((分析データ!E617-AVERAGE(OFFSET(分析データ!E$1,MAX(1,ROW()-$C$7),0,MIN($C$7,ROW()-1),1)))/STDEV(OFFSET(分析データ!E$1,MAX(1,ROW()-$C$7),0,MIN($C$7,ROW()-1),1)),0))</f>
        <v>1.6896504821462146</v>
      </c>
      <c r="BM617">
        <f t="shared" ca="1" si="264"/>
        <v>0</v>
      </c>
      <c r="BN617" t="str">
        <f ca="1">IF(BM617=1,IF(INDEX(分析データ!$A:$A,ROW()+$C$5)&lt;&gt;"",40000*SIGN(BL617)*(分析データ!E617-INDEX(分析データ!E:E,ROW()+$C$5)),""),"")</f>
        <v/>
      </c>
      <c r="BO617">
        <f t="shared" ca="1" si="265"/>
        <v>2279999.9999999981</v>
      </c>
      <c r="BP617">
        <f t="shared" ca="1" si="266"/>
        <v>2279999.9999999981</v>
      </c>
      <c r="BQ617">
        <f t="shared" ca="1" si="267"/>
        <v>0</v>
      </c>
      <c r="BR617">
        <f ca="1">IF(ROW()&lt;($C$7+1),"",IFERROR((分析データ!F617-AVERAGE(OFFSET(分析データ!F$1,MAX(1,ROW()-$C$7),0,MIN($C$7,ROW()-1),1)))/STDEV(OFFSET(分析データ!F$1,MAX(1,ROW()-$C$7),0,MIN($C$7,ROW()-1),1)),0))</f>
        <v>-1.8197046802602503</v>
      </c>
      <c r="BS617">
        <f t="shared" ca="1" si="268"/>
        <v>0</v>
      </c>
      <c r="BT617" t="str">
        <f ca="1">IF(BS617=1,IF(INDEX(分析データ!$A:$A,ROW()+$C$5)&lt;&gt;"",40000*SIGN(BR617)*(分析データ!F617-INDEX(分析データ!F:F,ROW()+$C$5)),""),"")</f>
        <v/>
      </c>
      <c r="BU617">
        <f t="shared" ca="1" si="269"/>
        <v>11412399.999999998</v>
      </c>
      <c r="BV617">
        <f t="shared" ca="1" si="270"/>
        <v>11412399.999999998</v>
      </c>
      <c r="BW617">
        <f t="shared" ca="1" si="271"/>
        <v>0</v>
      </c>
      <c r="BX617">
        <f ca="1">IF(ROW()&lt;($C$7+1),"",IFERROR((分析データ!G617-AVERAGE(OFFSET(分析データ!G$1,MAX(1,ROW()-$C$7),0,MIN($C$7,ROW()-1),1)))/STDEV(OFFSET(分析データ!G$1,MAX(1,ROW()-$C$7),0,MIN($C$7,ROW()-1),1)),0))</f>
        <v>2.3617696549318112</v>
      </c>
      <c r="BY617">
        <f t="shared" ca="1" si="272"/>
        <v>1</v>
      </c>
      <c r="BZ617">
        <f ca="1">IF(BY617=1,IF(INDEX(分析データ!$A:$A,ROW()+$C$5)&lt;&gt;"",40000*SIGN(BX617)*(分析データ!G617-INDEX(分析データ!G:G,ROW()+$C$5)),""),"")</f>
        <v>-384567.14355469303</v>
      </c>
      <c r="CA617">
        <f t="shared" ca="1" si="273"/>
        <v>1566838.5595703118</v>
      </c>
      <c r="CB617">
        <f t="shared" ca="1" si="274"/>
        <v>11327520.000000004</v>
      </c>
      <c r="CC617">
        <f t="shared" ca="1" si="275"/>
        <v>-9760681.4404296912</v>
      </c>
      <c r="CD617">
        <f t="shared" ca="1" si="276"/>
        <v>-384567.14355469303</v>
      </c>
      <c r="CE617">
        <f t="shared" ca="1" si="277"/>
        <v>13529238.559570346</v>
      </c>
      <c r="CF617">
        <f t="shared" ca="1" si="278"/>
        <v>19067197.138671909</v>
      </c>
      <c r="CG617">
        <f t="shared" ca="1" si="279"/>
        <v>-5537958.5791015625</v>
      </c>
      <c r="CH617" s="10">
        <f>分析データ!A617</f>
        <v>45826</v>
      </c>
    </row>
    <row r="618" spans="46:86">
      <c r="AT618">
        <f ca="1">IF(ROW()&lt;($C$7+1),"",IFERROR((分析データ!B618-AVERAGE(OFFSET(分析データ!B$1,MAX(1,ROW()-$C$7),0,MIN($C$7,ROW()-1),1)))/STDEV(OFFSET(分析データ!B$1,MAX(1,ROW()-$C$7),0,MIN($C$7,ROW()-1),1)),0))</f>
        <v>0.41898192771170528</v>
      </c>
      <c r="AU618">
        <f t="shared" ca="1" si="252"/>
        <v>0</v>
      </c>
      <c r="AV618" t="str">
        <f ca="1">IF(AU618=1,IF(INDEX(分析データ!$A:$A,ROW()+$C$5)&lt;&gt;"",80000*SIGN(AT618)*(分析データ!B618-INDEX(分析データ!B:B,ROW()+$C$5)),""),"")</f>
        <v/>
      </c>
      <c r="AW618">
        <f t="shared" ca="1" si="253"/>
        <v>-4999999.9999999925</v>
      </c>
      <c r="AX618">
        <f t="shared" ca="1" si="254"/>
        <v>0</v>
      </c>
      <c r="AY618">
        <f t="shared" ca="1" si="255"/>
        <v>-4999999.9999999925</v>
      </c>
      <c r="AZ618">
        <f ca="1">IF(ROW()&lt;($C$7+1),"",IFERROR((分析データ!C618-AVERAGE(OFFSET(分析データ!C$1,MAX(1,ROW()-$C$7),0,MIN($C$7,ROW()-1),1)))/STDEV(OFFSET(分析データ!C$1,MAX(1,ROW()-$C$7),0,MIN($C$7,ROW()-1),1)),0))</f>
        <v>-0.84059425843055435</v>
      </c>
      <c r="BA618">
        <f t="shared" ca="1" si="256"/>
        <v>0</v>
      </c>
      <c r="BB618" t="str">
        <f ca="1">IF(BA618=1,IF(INDEX(分析データ!$A:$A,ROW()+$C$5)&lt;&gt;"",60000*SIGN(AZ618)*(分析データ!C618-INDEX(分析データ!C:C,ROW()+$C$5)),""),"")</f>
        <v/>
      </c>
      <c r="BC618">
        <f t="shared" ca="1" si="257"/>
        <v>3075000.0000000102</v>
      </c>
      <c r="BD618">
        <f t="shared" ca="1" si="258"/>
        <v>3075000.0000000102</v>
      </c>
      <c r="BE618">
        <f t="shared" ca="1" si="259"/>
        <v>0</v>
      </c>
      <c r="BF618">
        <f ca="1">IF(ROW()&lt;($C$7+1),"",IFERROR((分析データ!D618-AVERAGE(OFFSET(分析データ!D$1,MAX(1,ROW()-$C$7),0,MIN($C$7,ROW()-1),1)))/STDEV(OFFSET(分析データ!D$1,MAX(1,ROW()-$C$7),0,MIN($C$7,ROW()-1),1)),0))</f>
        <v>-0.59311425518503391</v>
      </c>
      <c r="BG618">
        <f t="shared" ca="1" si="260"/>
        <v>0</v>
      </c>
      <c r="BH618" t="str">
        <f ca="1">IF(BG618=1,IF(INDEX(分析データ!$A:$A,ROW()+$C$5)&lt;&gt;"",50000*SIGN(BF618)*(分析データ!D618-INDEX(分析データ!D:D,ROW()+$C$5)),""),"")</f>
        <v/>
      </c>
      <c r="BI618">
        <f t="shared" ca="1" si="261"/>
        <v>195000.00000000582</v>
      </c>
      <c r="BJ618">
        <f t="shared" ca="1" si="262"/>
        <v>1695000.0000000016</v>
      </c>
      <c r="BK618">
        <f t="shared" ca="1" si="263"/>
        <v>-1499999.9999999958</v>
      </c>
      <c r="BL618">
        <f ca="1">IF(ROW()&lt;($C$7+1),"",IFERROR((分析データ!E618-AVERAGE(OFFSET(分析データ!E$1,MAX(1,ROW()-$C$7),0,MIN($C$7,ROW()-1),1)))/STDEV(OFFSET(分析データ!E$1,MAX(1,ROW()-$C$7),0,MIN($C$7,ROW()-1),1)),0))</f>
        <v>1.8554164883374071</v>
      </c>
      <c r="BM618">
        <f t="shared" ca="1" si="264"/>
        <v>0</v>
      </c>
      <c r="BN618" t="str">
        <f ca="1">IF(BM618=1,IF(INDEX(分析データ!$A:$A,ROW()+$C$5)&lt;&gt;"",40000*SIGN(BL618)*(分析データ!E618-INDEX(分析データ!E:E,ROW()+$C$5)),""),"")</f>
        <v/>
      </c>
      <c r="BO618">
        <f t="shared" ca="1" si="265"/>
        <v>2279999.9999999981</v>
      </c>
      <c r="BP618">
        <f t="shared" ca="1" si="266"/>
        <v>2279999.9999999981</v>
      </c>
      <c r="BQ618">
        <f t="shared" ca="1" si="267"/>
        <v>0</v>
      </c>
      <c r="BR618">
        <f ca="1">IF(ROW()&lt;($C$7+1),"",IFERROR((分析データ!F618-AVERAGE(OFFSET(分析データ!F$1,MAX(1,ROW()-$C$7),0,MIN($C$7,ROW()-1),1)))/STDEV(OFFSET(分析データ!F$1,MAX(1,ROW()-$C$7),0,MIN($C$7,ROW()-1),1)),0))</f>
        <v>-2.0083672124355165</v>
      </c>
      <c r="BS618">
        <f t="shared" ca="1" si="268"/>
        <v>1</v>
      </c>
      <c r="BT618">
        <f ca="1">IF(BS618=1,IF(INDEX(分析データ!$A:$A,ROW()+$C$5)&lt;&gt;"",40000*SIGN(BR618)*(分析データ!F618-INDEX(分析データ!F:F,ROW()+$C$5)),""),"")</f>
        <v>-357999.99999999953</v>
      </c>
      <c r="BU618">
        <f t="shared" ca="1" si="269"/>
        <v>11054399.999999998</v>
      </c>
      <c r="BV618">
        <f t="shared" ca="1" si="270"/>
        <v>11412399.999999998</v>
      </c>
      <c r="BW618">
        <f t="shared" ca="1" si="271"/>
        <v>-358000</v>
      </c>
      <c r="BX618">
        <f ca="1">IF(ROW()&lt;($C$7+1),"",IFERROR((分析データ!G618-AVERAGE(OFFSET(分析データ!G$1,MAX(1,ROW()-$C$7),0,MIN($C$7,ROW()-1),1)))/STDEV(OFFSET(分析データ!G$1,MAX(1,ROW()-$C$7),0,MIN($C$7,ROW()-1),1)),0))</f>
        <v>2.3656534038383099</v>
      </c>
      <c r="BY618">
        <f t="shared" ca="1" si="272"/>
        <v>1</v>
      </c>
      <c r="BZ618">
        <f ca="1">IF(BY618=1,IF(INDEX(分析データ!$A:$A,ROW()+$C$5)&lt;&gt;"",40000*SIGN(BX618)*(分析データ!G618-INDEX(分析データ!G:G,ROW()+$C$5)),""),"")</f>
        <v>-228887.14355468834</v>
      </c>
      <c r="CA618">
        <f t="shared" ca="1" si="273"/>
        <v>1337951.4160156234</v>
      </c>
      <c r="CB618">
        <f t="shared" ca="1" si="274"/>
        <v>11327520.000000004</v>
      </c>
      <c r="CC618">
        <f t="shared" ca="1" si="275"/>
        <v>-9989568.5839843806</v>
      </c>
      <c r="CD618">
        <f t="shared" ca="1" si="276"/>
        <v>-586887.14355468785</v>
      </c>
      <c r="CE618">
        <f t="shared" ca="1" si="277"/>
        <v>12942351.416015659</v>
      </c>
      <c r="CF618">
        <f t="shared" ca="1" si="278"/>
        <v>19067197.138671909</v>
      </c>
      <c r="CG618">
        <f t="shared" ca="1" si="279"/>
        <v>-6124845.72265625</v>
      </c>
      <c r="CH618" s="10">
        <f>分析データ!A618</f>
        <v>45828</v>
      </c>
    </row>
    <row r="619" spans="46:86">
      <c r="AT619">
        <f ca="1">IF(ROW()&lt;($C$7+1),"",IFERROR((分析データ!B619-AVERAGE(OFFSET(分析データ!B$1,MAX(1,ROW()-$C$7),0,MIN($C$7,ROW()-1),1)))/STDEV(OFFSET(分析データ!B$1,MAX(1,ROW()-$C$7),0,MIN($C$7,ROW()-1),1)),0))</f>
        <v>0.41243561263450651</v>
      </c>
      <c r="AU619">
        <f t="shared" ca="1" si="252"/>
        <v>0</v>
      </c>
      <c r="AV619" t="str">
        <f ca="1">IF(AU619=1,IF(INDEX(分析データ!$A:$A,ROW()+$C$5)&lt;&gt;"",80000*SIGN(AT619)*(分析データ!B619-INDEX(分析データ!B:B,ROW()+$C$5)),""),"")</f>
        <v/>
      </c>
      <c r="AW619">
        <f t="shared" ca="1" si="253"/>
        <v>-4999999.9999999925</v>
      </c>
      <c r="AX619">
        <f t="shared" ca="1" si="254"/>
        <v>0</v>
      </c>
      <c r="AY619">
        <f t="shared" ca="1" si="255"/>
        <v>-4999999.9999999925</v>
      </c>
      <c r="AZ619">
        <f ca="1">IF(ROW()&lt;($C$7+1),"",IFERROR((分析データ!C619-AVERAGE(OFFSET(分析データ!C$1,MAX(1,ROW()-$C$7),0,MIN($C$7,ROW()-1),1)))/STDEV(OFFSET(分析データ!C$1,MAX(1,ROW()-$C$7),0,MIN($C$7,ROW()-1),1)),0))</f>
        <v>-0.79041337242882992</v>
      </c>
      <c r="BA619">
        <f t="shared" ca="1" si="256"/>
        <v>0</v>
      </c>
      <c r="BB619" t="str">
        <f ca="1">IF(BA619=1,IF(INDEX(分析データ!$A:$A,ROW()+$C$5)&lt;&gt;"",60000*SIGN(AZ619)*(分析データ!C619-INDEX(分析データ!C:C,ROW()+$C$5)),""),"")</f>
        <v/>
      </c>
      <c r="BC619">
        <f t="shared" ca="1" si="257"/>
        <v>3075000.0000000102</v>
      </c>
      <c r="BD619">
        <f t="shared" ca="1" si="258"/>
        <v>3075000.0000000102</v>
      </c>
      <c r="BE619">
        <f t="shared" ca="1" si="259"/>
        <v>0</v>
      </c>
      <c r="BF619">
        <f ca="1">IF(ROW()&lt;($C$7+1),"",IFERROR((分析データ!D619-AVERAGE(OFFSET(分析データ!D$1,MAX(1,ROW()-$C$7),0,MIN($C$7,ROW()-1),1)))/STDEV(OFFSET(分析データ!D$1,MAX(1,ROW()-$C$7),0,MIN($C$7,ROW()-1),1)),0))</f>
        <v>-0.82807140104345034</v>
      </c>
      <c r="BG619">
        <f t="shared" ca="1" si="260"/>
        <v>0</v>
      </c>
      <c r="BH619" t="str">
        <f ca="1">IF(BG619=1,IF(INDEX(分析データ!$A:$A,ROW()+$C$5)&lt;&gt;"",50000*SIGN(BF619)*(分析データ!D619-INDEX(分析データ!D:D,ROW()+$C$5)),""),"")</f>
        <v/>
      </c>
      <c r="BI619">
        <f t="shared" ca="1" si="261"/>
        <v>195000.00000000582</v>
      </c>
      <c r="BJ619">
        <f t="shared" ca="1" si="262"/>
        <v>1695000.0000000016</v>
      </c>
      <c r="BK619">
        <f t="shared" ca="1" si="263"/>
        <v>-1499999.9999999958</v>
      </c>
      <c r="BL619">
        <f ca="1">IF(ROW()&lt;($C$7+1),"",IFERROR((分析データ!E619-AVERAGE(OFFSET(分析データ!E$1,MAX(1,ROW()-$C$7),0,MIN($C$7,ROW()-1),1)))/STDEV(OFFSET(分析データ!E$1,MAX(1,ROW()-$C$7),0,MIN($C$7,ROW()-1),1)),0))</f>
        <v>1.9310618445456711</v>
      </c>
      <c r="BM619">
        <f t="shared" ca="1" si="264"/>
        <v>0</v>
      </c>
      <c r="BN619" t="str">
        <f ca="1">IF(BM619=1,IF(INDEX(分析データ!$A:$A,ROW()+$C$5)&lt;&gt;"",40000*SIGN(BL619)*(分析データ!E619-INDEX(分析データ!E:E,ROW()+$C$5)),""),"")</f>
        <v/>
      </c>
      <c r="BO619">
        <f t="shared" ca="1" si="265"/>
        <v>2279999.9999999981</v>
      </c>
      <c r="BP619">
        <f t="shared" ca="1" si="266"/>
        <v>2279999.9999999981</v>
      </c>
      <c r="BQ619">
        <f t="shared" ca="1" si="267"/>
        <v>0</v>
      </c>
      <c r="BR619">
        <f ca="1">IF(ROW()&lt;($C$7+1),"",IFERROR((分析データ!F619-AVERAGE(OFFSET(分析データ!F$1,MAX(1,ROW()-$C$7),0,MIN($C$7,ROW()-1),1)))/STDEV(OFFSET(分析データ!F$1,MAX(1,ROW()-$C$7),0,MIN($C$7,ROW()-1),1)),0))</f>
        <v>-1.7710177854037827</v>
      </c>
      <c r="BS619">
        <f t="shared" ca="1" si="268"/>
        <v>0</v>
      </c>
      <c r="BT619" t="str">
        <f ca="1">IF(BS619=1,IF(INDEX(分析データ!$A:$A,ROW()+$C$5)&lt;&gt;"",40000*SIGN(BR619)*(分析データ!F619-INDEX(分析データ!F:F,ROW()+$C$5)),""),"")</f>
        <v/>
      </c>
      <c r="BU619">
        <f t="shared" ca="1" si="269"/>
        <v>11054399.999999998</v>
      </c>
      <c r="BV619">
        <f t="shared" ca="1" si="270"/>
        <v>11412399.999999998</v>
      </c>
      <c r="BW619">
        <f t="shared" ca="1" si="271"/>
        <v>-358000</v>
      </c>
      <c r="BX619">
        <f ca="1">IF(ROW()&lt;($C$7+1),"",IFERROR((分析データ!G619-AVERAGE(OFFSET(分析データ!G$1,MAX(1,ROW()-$C$7),0,MIN($C$7,ROW()-1),1)))/STDEV(OFFSET(分析データ!G$1,MAX(1,ROW()-$C$7),0,MIN($C$7,ROW()-1),1)),0))</f>
        <v>2.147489506444566</v>
      </c>
      <c r="BY619">
        <f t="shared" ca="1" si="272"/>
        <v>1</v>
      </c>
      <c r="BZ619">
        <f ca="1">IF(BY619=1,IF(INDEX(分析データ!$A:$A,ROW()+$C$5)&lt;&gt;"",40000*SIGN(BX619)*(分析データ!G619-INDEX(分析データ!G:G,ROW()+$C$5)),""),"")</f>
        <v>713131.42578125536</v>
      </c>
      <c r="CA619">
        <f t="shared" ca="1" si="273"/>
        <v>2051082.8417968787</v>
      </c>
      <c r="CB619">
        <f t="shared" ca="1" si="274"/>
        <v>11327520.000000004</v>
      </c>
      <c r="CC619">
        <f t="shared" ca="1" si="275"/>
        <v>-9276437.158203125</v>
      </c>
      <c r="CD619">
        <f t="shared" ca="1" si="276"/>
        <v>713131.42578125536</v>
      </c>
      <c r="CE619">
        <f t="shared" ca="1" si="277"/>
        <v>13655482.841796914</v>
      </c>
      <c r="CF619">
        <f t="shared" ca="1" si="278"/>
        <v>19067197.138671909</v>
      </c>
      <c r="CG619">
        <f t="shared" ca="1" si="279"/>
        <v>-5411714.2968749944</v>
      </c>
      <c r="CH619" s="10">
        <f>分析データ!A619</f>
        <v>45831</v>
      </c>
    </row>
    <row r="620" spans="46:86">
      <c r="AT620">
        <f ca="1">IF(ROW()&lt;($C$7+1),"",IFERROR((分析データ!B620-AVERAGE(OFFSET(分析データ!B$1,MAX(1,ROW()-$C$7),0,MIN($C$7,ROW()-1),1)))/STDEV(OFFSET(分析データ!B$1,MAX(1,ROW()-$C$7),0,MIN($C$7,ROW()-1),1)),0))</f>
        <v>0.65789634896004634</v>
      </c>
      <c r="AU620">
        <f t="shared" ca="1" si="252"/>
        <v>0</v>
      </c>
      <c r="AV620" t="str">
        <f ca="1">IF(AU620=1,IF(INDEX(分析データ!$A:$A,ROW()+$C$5)&lt;&gt;"",80000*SIGN(AT620)*(分析データ!B620-INDEX(分析データ!B:B,ROW()+$C$5)),""),"")</f>
        <v/>
      </c>
      <c r="AW620">
        <f t="shared" ca="1" si="253"/>
        <v>-4999999.9999999925</v>
      </c>
      <c r="AX620">
        <f t="shared" ca="1" si="254"/>
        <v>0</v>
      </c>
      <c r="AY620">
        <f t="shared" ca="1" si="255"/>
        <v>-4999999.9999999925</v>
      </c>
      <c r="AZ620">
        <f ca="1">IF(ROW()&lt;($C$7+1),"",IFERROR((分析データ!C620-AVERAGE(OFFSET(分析データ!C$1,MAX(1,ROW()-$C$7),0,MIN($C$7,ROW()-1),1)))/STDEV(OFFSET(分析データ!C$1,MAX(1,ROW()-$C$7),0,MIN($C$7,ROW()-1),1)),0))</f>
        <v>-0.68936075939026908</v>
      </c>
      <c r="BA620">
        <f t="shared" ca="1" si="256"/>
        <v>0</v>
      </c>
      <c r="BB620" t="str">
        <f ca="1">IF(BA620=1,IF(INDEX(分析データ!$A:$A,ROW()+$C$5)&lt;&gt;"",60000*SIGN(AZ620)*(分析データ!C620-INDEX(分析データ!C:C,ROW()+$C$5)),""),"")</f>
        <v/>
      </c>
      <c r="BC620">
        <f t="shared" ca="1" si="257"/>
        <v>3075000.0000000102</v>
      </c>
      <c r="BD620">
        <f t="shared" ca="1" si="258"/>
        <v>3075000.0000000102</v>
      </c>
      <c r="BE620">
        <f t="shared" ca="1" si="259"/>
        <v>0</v>
      </c>
      <c r="BF620">
        <f ca="1">IF(ROW()&lt;($C$7+1),"",IFERROR((分析データ!D620-AVERAGE(OFFSET(分析データ!D$1,MAX(1,ROW()-$C$7),0,MIN($C$7,ROW()-1),1)))/STDEV(OFFSET(分析データ!D$1,MAX(1,ROW()-$C$7),0,MIN($C$7,ROW()-1),1)),0))</f>
        <v>-1.0390505358954503</v>
      </c>
      <c r="BG620">
        <f t="shared" ca="1" si="260"/>
        <v>0</v>
      </c>
      <c r="BH620" t="str">
        <f ca="1">IF(BG620=1,IF(INDEX(分析データ!$A:$A,ROW()+$C$5)&lt;&gt;"",50000*SIGN(BF620)*(分析データ!D620-INDEX(分析データ!D:D,ROW()+$C$5)),""),"")</f>
        <v/>
      </c>
      <c r="BI620">
        <f t="shared" ca="1" si="261"/>
        <v>195000.00000000582</v>
      </c>
      <c r="BJ620">
        <f t="shared" ca="1" si="262"/>
        <v>1695000.0000000016</v>
      </c>
      <c r="BK620">
        <f t="shared" ca="1" si="263"/>
        <v>-1499999.9999999958</v>
      </c>
      <c r="BL620">
        <f ca="1">IF(ROW()&lt;($C$7+1),"",IFERROR((分析データ!E620-AVERAGE(OFFSET(分析データ!E$1,MAX(1,ROW()-$C$7),0,MIN($C$7,ROW()-1),1)))/STDEV(OFFSET(分析データ!E$1,MAX(1,ROW()-$C$7),0,MIN($C$7,ROW()-1),1)),0))</f>
        <v>2.0056438024813987</v>
      </c>
      <c r="BM620">
        <f t="shared" ca="1" si="264"/>
        <v>1</v>
      </c>
      <c r="BN620">
        <f ca="1">IF(BM620=1,IF(INDEX(分析データ!$A:$A,ROW()+$C$5)&lt;&gt;"",40000*SIGN(BL620)*(分析データ!E620-INDEX(分析データ!E:E,ROW()+$C$5)),""),"")</f>
        <v>80000</v>
      </c>
      <c r="BO620">
        <f t="shared" ca="1" si="265"/>
        <v>2359999.9999999981</v>
      </c>
      <c r="BP620">
        <f t="shared" ca="1" si="266"/>
        <v>2359999.9999999981</v>
      </c>
      <c r="BQ620">
        <f t="shared" ca="1" si="267"/>
        <v>0</v>
      </c>
      <c r="BR620">
        <f ca="1">IF(ROW()&lt;($C$7+1),"",IFERROR((分析データ!F620-AVERAGE(OFFSET(分析データ!F$1,MAX(1,ROW()-$C$7),0,MIN($C$7,ROW()-1),1)))/STDEV(OFFSET(分析データ!F$1,MAX(1,ROW()-$C$7),0,MIN($C$7,ROW()-1),1)),0))</f>
        <v>-1.6859382294572616</v>
      </c>
      <c r="BS620">
        <f t="shared" ca="1" si="268"/>
        <v>0</v>
      </c>
      <c r="BT620" t="str">
        <f ca="1">IF(BS620=1,IF(INDEX(分析データ!$A:$A,ROW()+$C$5)&lt;&gt;"",40000*SIGN(BR620)*(分析データ!F620-INDEX(分析データ!F:F,ROW()+$C$5)),""),"")</f>
        <v/>
      </c>
      <c r="BU620">
        <f t="shared" ca="1" si="269"/>
        <v>11054399.999999998</v>
      </c>
      <c r="BV620">
        <f t="shared" ca="1" si="270"/>
        <v>11412399.999999998</v>
      </c>
      <c r="BW620">
        <f t="shared" ca="1" si="271"/>
        <v>-358000</v>
      </c>
      <c r="BX620">
        <f ca="1">IF(ROW()&lt;($C$7+1),"",IFERROR((分析データ!G620-AVERAGE(OFFSET(分析データ!G$1,MAX(1,ROW()-$C$7),0,MIN($C$7,ROW()-1),1)))/STDEV(OFFSET(分析データ!G$1,MAX(1,ROW()-$C$7),0,MIN($C$7,ROW()-1),1)),0))</f>
        <v>2.3324069480467244</v>
      </c>
      <c r="BY620">
        <f t="shared" ca="1" si="272"/>
        <v>1</v>
      </c>
      <c r="BZ620">
        <f ca="1">IF(BY620=1,IF(INDEX(分析データ!$A:$A,ROW()+$C$5)&lt;&gt;"",40000*SIGN(BX620)*(分析データ!G620-INDEX(分析データ!G:G,ROW()+$C$5)),""),"")</f>
        <v>-502065.71289062209</v>
      </c>
      <c r="CA620">
        <f t="shared" ca="1" si="273"/>
        <v>1549017.1289062565</v>
      </c>
      <c r="CB620">
        <f t="shared" ca="1" si="274"/>
        <v>11327520.000000004</v>
      </c>
      <c r="CC620">
        <f t="shared" ca="1" si="275"/>
        <v>-9778502.8710937463</v>
      </c>
      <c r="CD620">
        <f t="shared" ca="1" si="276"/>
        <v>-422065.71289062209</v>
      </c>
      <c r="CE620">
        <f t="shared" ca="1" si="277"/>
        <v>13233417.128906293</v>
      </c>
      <c r="CF620">
        <f t="shared" ca="1" si="278"/>
        <v>19067197.138671909</v>
      </c>
      <c r="CG620">
        <f t="shared" ca="1" si="279"/>
        <v>-5833780.0097656157</v>
      </c>
      <c r="CH620" s="10">
        <f>分析データ!A620</f>
        <v>45832</v>
      </c>
    </row>
    <row r="621" spans="46:86">
      <c r="AT621">
        <f ca="1">IF(ROW()&lt;($C$7+1),"",IFERROR((分析データ!B621-AVERAGE(OFFSET(分析データ!B$1,MAX(1,ROW()-$C$7),0,MIN($C$7,ROW()-1),1)))/STDEV(OFFSET(分析データ!B$1,MAX(1,ROW()-$C$7),0,MIN($C$7,ROW()-1),1)),0))</f>
        <v>0.60191330436965906</v>
      </c>
      <c r="AU621">
        <f t="shared" ca="1" si="252"/>
        <v>0</v>
      </c>
      <c r="AV621" t="str">
        <f ca="1">IF(AU621=1,IF(INDEX(分析データ!$A:$A,ROW()+$C$5)&lt;&gt;"",80000*SIGN(AT621)*(分析データ!B621-INDEX(分析データ!B:B,ROW()+$C$5)),""),"")</f>
        <v/>
      </c>
      <c r="AW621">
        <f t="shared" ca="1" si="253"/>
        <v>-4999999.9999999925</v>
      </c>
      <c r="AX621">
        <f t="shared" ca="1" si="254"/>
        <v>0</v>
      </c>
      <c r="AY621">
        <f t="shared" ca="1" si="255"/>
        <v>-4999999.9999999925</v>
      </c>
      <c r="AZ621">
        <f ca="1">IF(ROW()&lt;($C$7+1),"",IFERROR((分析データ!C621-AVERAGE(OFFSET(分析データ!C$1,MAX(1,ROW()-$C$7),0,MIN($C$7,ROW()-1),1)))/STDEV(OFFSET(分析データ!C$1,MAX(1,ROW()-$C$7),0,MIN($C$7,ROW()-1),1)),0))</f>
        <v>-0.74897107051754452</v>
      </c>
      <c r="BA621">
        <f t="shared" ca="1" si="256"/>
        <v>0</v>
      </c>
      <c r="BB621" t="str">
        <f ca="1">IF(BA621=1,IF(INDEX(分析データ!$A:$A,ROW()+$C$5)&lt;&gt;"",60000*SIGN(AZ621)*(分析データ!C621-INDEX(分析データ!C:C,ROW()+$C$5)),""),"")</f>
        <v/>
      </c>
      <c r="BC621">
        <f t="shared" ca="1" si="257"/>
        <v>3075000.0000000102</v>
      </c>
      <c r="BD621">
        <f t="shared" ca="1" si="258"/>
        <v>3075000.0000000102</v>
      </c>
      <c r="BE621">
        <f t="shared" ca="1" si="259"/>
        <v>0</v>
      </c>
      <c r="BF621">
        <f ca="1">IF(ROW()&lt;($C$7+1),"",IFERROR((分析データ!D621-AVERAGE(OFFSET(分析データ!D$1,MAX(1,ROW()-$C$7),0,MIN($C$7,ROW()-1),1)))/STDEV(OFFSET(分析データ!D$1,MAX(1,ROW()-$C$7),0,MIN($C$7,ROW()-1),1)),0))</f>
        <v>-0.99012002767927387</v>
      </c>
      <c r="BG621">
        <f t="shared" ca="1" si="260"/>
        <v>0</v>
      </c>
      <c r="BH621" t="str">
        <f ca="1">IF(BG621=1,IF(INDEX(分析データ!$A:$A,ROW()+$C$5)&lt;&gt;"",50000*SIGN(BF621)*(分析データ!D621-INDEX(分析データ!D:D,ROW()+$C$5)),""),"")</f>
        <v/>
      </c>
      <c r="BI621">
        <f t="shared" ca="1" si="261"/>
        <v>195000.00000000582</v>
      </c>
      <c r="BJ621">
        <f t="shared" ca="1" si="262"/>
        <v>1695000.0000000016</v>
      </c>
      <c r="BK621">
        <f t="shared" ca="1" si="263"/>
        <v>-1499999.9999999958</v>
      </c>
      <c r="BL621">
        <f ca="1">IF(ROW()&lt;($C$7+1),"",IFERROR((分析データ!E621-AVERAGE(OFFSET(分析データ!E$1,MAX(1,ROW()-$C$7),0,MIN($C$7,ROW()-1),1)))/STDEV(OFFSET(分析データ!E$1,MAX(1,ROW()-$C$7),0,MIN($C$7,ROW()-1),1)),0))</f>
        <v>2.1653093404878541</v>
      </c>
      <c r="BM621">
        <f t="shared" ca="1" si="264"/>
        <v>1</v>
      </c>
      <c r="BN621">
        <f ca="1">IF(BM621=1,IF(INDEX(分析データ!$A:$A,ROW()+$C$5)&lt;&gt;"",40000*SIGN(BL621)*(分析データ!E621-INDEX(分析データ!E:E,ROW()+$C$5)),""),"")</f>
        <v>160000.00000000198</v>
      </c>
      <c r="BO621">
        <f t="shared" ca="1" si="265"/>
        <v>2520000</v>
      </c>
      <c r="BP621">
        <f t="shared" ca="1" si="266"/>
        <v>2520000</v>
      </c>
      <c r="BQ621">
        <f t="shared" ca="1" si="267"/>
        <v>0</v>
      </c>
      <c r="BR621">
        <f ca="1">IF(ROW()&lt;($C$7+1),"",IFERROR((分析データ!F621-AVERAGE(OFFSET(分析データ!F$1,MAX(1,ROW()-$C$7),0,MIN($C$7,ROW()-1),1)))/STDEV(OFFSET(分析データ!F$1,MAX(1,ROW()-$C$7),0,MIN($C$7,ROW()-1),1)),0))</f>
        <v>-1.5009220772505283</v>
      </c>
      <c r="BS621">
        <f t="shared" ca="1" si="268"/>
        <v>0</v>
      </c>
      <c r="BT621" t="str">
        <f ca="1">IF(BS621=1,IF(INDEX(分析データ!$A:$A,ROW()+$C$5)&lt;&gt;"",40000*SIGN(BR621)*(分析データ!F621-INDEX(分析データ!F:F,ROW()+$C$5)),""),"")</f>
        <v/>
      </c>
      <c r="BU621">
        <f t="shared" ca="1" si="269"/>
        <v>11054399.999999998</v>
      </c>
      <c r="BV621">
        <f t="shared" ca="1" si="270"/>
        <v>11412399.999999998</v>
      </c>
      <c r="BW621">
        <f t="shared" ca="1" si="271"/>
        <v>-358000</v>
      </c>
      <c r="BX621">
        <f ca="1">IF(ROW()&lt;($C$7+1),"",IFERROR((分析データ!G621-AVERAGE(OFFSET(分析データ!G$1,MAX(1,ROW()-$C$7),0,MIN($C$7,ROW()-1),1)))/STDEV(OFFSET(分析データ!G$1,MAX(1,ROW()-$C$7),0,MIN($C$7,ROW()-1),1)),0))</f>
        <v>1.910751401331056</v>
      </c>
      <c r="BY621">
        <f t="shared" ca="1" si="272"/>
        <v>0</v>
      </c>
      <c r="BZ621" t="str">
        <f ca="1">IF(BY621=1,IF(INDEX(分析データ!$A:$A,ROW()+$C$5)&lt;&gt;"",40000*SIGN(BX621)*(分析データ!G621-INDEX(分析データ!G:G,ROW()+$C$5)),""),"")</f>
        <v/>
      </c>
      <c r="CA621">
        <f t="shared" ca="1" si="273"/>
        <v>1549017.1289062565</v>
      </c>
      <c r="CB621">
        <f t="shared" ca="1" si="274"/>
        <v>11327520.000000004</v>
      </c>
      <c r="CC621">
        <f t="shared" ca="1" si="275"/>
        <v>-9778502.8710937463</v>
      </c>
      <c r="CD621">
        <f t="shared" ca="1" si="276"/>
        <v>160000.00000000198</v>
      </c>
      <c r="CE621">
        <f t="shared" ca="1" si="277"/>
        <v>13393417.128906295</v>
      </c>
      <c r="CF621">
        <f t="shared" ca="1" si="278"/>
        <v>19067197.138671909</v>
      </c>
      <c r="CG621">
        <f t="shared" ca="1" si="279"/>
        <v>-5673780.0097656138</v>
      </c>
      <c r="CH621" s="10">
        <f>分析データ!A621</f>
        <v>45833</v>
      </c>
    </row>
    <row r="622" spans="46:86">
      <c r="AT622">
        <f ca="1">IF(ROW()&lt;($C$7+1),"",IFERROR((分析データ!B622-AVERAGE(OFFSET(分析データ!B$1,MAX(1,ROW()-$C$7),0,MIN($C$7,ROW()-1),1)))/STDEV(OFFSET(分析データ!B$1,MAX(1,ROW()-$C$7),0,MIN($C$7,ROW()-1),1)),0))</f>
        <v>0.59663138838307139</v>
      </c>
      <c r="AU622">
        <f t="shared" ca="1" si="252"/>
        <v>0</v>
      </c>
      <c r="AV622" t="str">
        <f ca="1">IF(AU622=1,IF(INDEX(分析データ!$A:$A,ROW()+$C$5)&lt;&gt;"",80000*SIGN(AT622)*(分析データ!B622-INDEX(分析データ!B:B,ROW()+$C$5)),""),"")</f>
        <v/>
      </c>
      <c r="AW622">
        <f t="shared" ca="1" si="253"/>
        <v>-4999999.9999999925</v>
      </c>
      <c r="AX622">
        <f t="shared" ca="1" si="254"/>
        <v>0</v>
      </c>
      <c r="AY622">
        <f t="shared" ca="1" si="255"/>
        <v>-4999999.9999999925</v>
      </c>
      <c r="AZ622">
        <f ca="1">IF(ROW()&lt;($C$7+1),"",IFERROR((分析データ!C622-AVERAGE(OFFSET(分析データ!C$1,MAX(1,ROW()-$C$7),0,MIN($C$7,ROW()-1),1)))/STDEV(OFFSET(分析データ!C$1,MAX(1,ROW()-$C$7),0,MIN($C$7,ROW()-1),1)),0))</f>
        <v>-0.51569058529256628</v>
      </c>
      <c r="BA622">
        <f t="shared" ca="1" si="256"/>
        <v>0</v>
      </c>
      <c r="BB622" t="str">
        <f ca="1">IF(BA622=1,IF(INDEX(分析データ!$A:$A,ROW()+$C$5)&lt;&gt;"",60000*SIGN(AZ622)*(分析データ!C622-INDEX(分析データ!C:C,ROW()+$C$5)),""),"")</f>
        <v/>
      </c>
      <c r="BC622">
        <f t="shared" ca="1" si="257"/>
        <v>3075000.0000000102</v>
      </c>
      <c r="BD622">
        <f t="shared" ca="1" si="258"/>
        <v>3075000.0000000102</v>
      </c>
      <c r="BE622">
        <f t="shared" ca="1" si="259"/>
        <v>0</v>
      </c>
      <c r="BF622">
        <f ca="1">IF(ROW()&lt;($C$7+1),"",IFERROR((分析データ!D622-AVERAGE(OFFSET(分析データ!D$1,MAX(1,ROW()-$C$7),0,MIN($C$7,ROW()-1),1)))/STDEV(OFFSET(分析データ!D$1,MAX(1,ROW()-$C$7),0,MIN($C$7,ROW()-1),1)),0))</f>
        <v>-1.2036704268396325</v>
      </c>
      <c r="BG622">
        <f t="shared" ca="1" si="260"/>
        <v>0</v>
      </c>
      <c r="BH622" t="str">
        <f ca="1">IF(BG622=1,IF(INDEX(分析データ!$A:$A,ROW()+$C$5)&lt;&gt;"",50000*SIGN(BF622)*(分析データ!D622-INDEX(分析データ!D:D,ROW()+$C$5)),""),"")</f>
        <v/>
      </c>
      <c r="BI622">
        <f t="shared" ca="1" si="261"/>
        <v>195000.00000000582</v>
      </c>
      <c r="BJ622">
        <f t="shared" ca="1" si="262"/>
        <v>1695000.0000000016</v>
      </c>
      <c r="BK622">
        <f t="shared" ca="1" si="263"/>
        <v>-1499999.9999999958</v>
      </c>
      <c r="BL622">
        <f ca="1">IF(ROW()&lt;($C$7+1),"",IFERROR((分析データ!E622-AVERAGE(OFFSET(分析データ!E$1,MAX(1,ROW()-$C$7),0,MIN($C$7,ROW()-1),1)))/STDEV(OFFSET(分析データ!E$1,MAX(1,ROW()-$C$7),0,MIN($C$7,ROW()-1),1)),0))</f>
        <v>2.2338315925840724</v>
      </c>
      <c r="BM622">
        <f t="shared" ca="1" si="264"/>
        <v>1</v>
      </c>
      <c r="BN622">
        <f ca="1">IF(BM622=1,IF(INDEX(分析データ!$A:$A,ROW()+$C$5)&lt;&gt;"",40000*SIGN(BL622)*(分析データ!E622-INDEX(分析データ!E:E,ROW()+$C$5)),""),"")</f>
        <v>120000.00000000086</v>
      </c>
      <c r="BO622">
        <f t="shared" ca="1" si="265"/>
        <v>2640000.0000000009</v>
      </c>
      <c r="BP622">
        <f t="shared" ca="1" si="266"/>
        <v>2640000.0000000009</v>
      </c>
      <c r="BQ622">
        <f t="shared" ca="1" si="267"/>
        <v>0</v>
      </c>
      <c r="BR622">
        <f ca="1">IF(ROW()&lt;($C$7+1),"",IFERROR((分析データ!F622-AVERAGE(OFFSET(分析データ!F$1,MAX(1,ROW()-$C$7),0,MIN($C$7,ROW()-1),1)))/STDEV(OFFSET(分析データ!F$1,MAX(1,ROW()-$C$7),0,MIN($C$7,ROW()-1),1)),0))</f>
        <v>-1.3496026049276437</v>
      </c>
      <c r="BS622">
        <f t="shared" ca="1" si="268"/>
        <v>0</v>
      </c>
      <c r="BT622" t="str">
        <f ca="1">IF(BS622=1,IF(INDEX(分析データ!$A:$A,ROW()+$C$5)&lt;&gt;"",40000*SIGN(BR622)*(分析データ!F622-INDEX(分析データ!F:F,ROW()+$C$5)),""),"")</f>
        <v/>
      </c>
      <c r="BU622">
        <f t="shared" ca="1" si="269"/>
        <v>11054399.999999998</v>
      </c>
      <c r="BV622">
        <f t="shared" ca="1" si="270"/>
        <v>11412399.999999998</v>
      </c>
      <c r="BW622">
        <f t="shared" ca="1" si="271"/>
        <v>-358000</v>
      </c>
      <c r="BX622">
        <f ca="1">IF(ROW()&lt;($C$7+1),"",IFERROR((分析データ!G622-AVERAGE(OFFSET(分析データ!G$1,MAX(1,ROW()-$C$7),0,MIN($C$7,ROW()-1),1)))/STDEV(OFFSET(分析データ!G$1,MAX(1,ROW()-$C$7),0,MIN($C$7,ROW()-1),1)),0))</f>
        <v>2.026493040564032</v>
      </c>
      <c r="BY622">
        <f t="shared" ca="1" si="272"/>
        <v>1</v>
      </c>
      <c r="BZ622">
        <f ca="1">IF(BY622=1,IF(INDEX(分析データ!$A:$A,ROW()+$C$5)&lt;&gt;"",40000*SIGN(BX622)*(分析データ!G622-INDEX(分析データ!G:G,ROW()+$C$5)),""),"")</f>
        <v>-703800.00000000279</v>
      </c>
      <c r="CA622">
        <f t="shared" ca="1" si="273"/>
        <v>845217.12890625373</v>
      </c>
      <c r="CB622">
        <f t="shared" ca="1" si="274"/>
        <v>11327520.000000004</v>
      </c>
      <c r="CC622">
        <f t="shared" ca="1" si="275"/>
        <v>-10482302.87109375</v>
      </c>
      <c r="CD622">
        <f t="shared" ca="1" si="276"/>
        <v>-583800.00000000198</v>
      </c>
      <c r="CE622">
        <f t="shared" ca="1" si="277"/>
        <v>12809617.128906293</v>
      </c>
      <c r="CF622">
        <f t="shared" ca="1" si="278"/>
        <v>19067197.138671909</v>
      </c>
      <c r="CG622">
        <f t="shared" ca="1" si="279"/>
        <v>-6257580.0097656157</v>
      </c>
      <c r="CH622" s="10">
        <f>分析データ!A622</f>
        <v>45834</v>
      </c>
    </row>
    <row r="623" spans="46:86">
      <c r="AT623">
        <f ca="1">IF(ROW()&lt;($C$7+1),"",IFERROR((分析データ!B623-AVERAGE(OFFSET(分析データ!B$1,MAX(1,ROW()-$C$7),0,MIN($C$7,ROW()-1),1)))/STDEV(OFFSET(分析データ!B$1,MAX(1,ROW()-$C$7),0,MIN($C$7,ROW()-1),1)),0))</f>
        <v>0.53921399217056931</v>
      </c>
      <c r="AU623">
        <f t="shared" ca="1" si="252"/>
        <v>0</v>
      </c>
      <c r="AV623" t="str">
        <f ca="1">IF(AU623=1,IF(INDEX(分析データ!$A:$A,ROW()+$C$5)&lt;&gt;"",80000*SIGN(AT623)*(分析データ!B623-INDEX(分析データ!B:B,ROW()+$C$5)),""),"")</f>
        <v/>
      </c>
      <c r="AW623">
        <f t="shared" ca="1" si="253"/>
        <v>-4999999.9999999925</v>
      </c>
      <c r="AX623">
        <f t="shared" ca="1" si="254"/>
        <v>0</v>
      </c>
      <c r="AY623">
        <f t="shared" ca="1" si="255"/>
        <v>-4999999.9999999925</v>
      </c>
      <c r="AZ623">
        <f ca="1">IF(ROW()&lt;($C$7+1),"",IFERROR((分析データ!C623-AVERAGE(OFFSET(分析データ!C$1,MAX(1,ROW()-$C$7),0,MIN($C$7,ROW()-1),1)))/STDEV(OFFSET(分析データ!C$1,MAX(1,ROW()-$C$7),0,MIN($C$7,ROW()-1),1)),0))</f>
        <v>-0.39982651215727139</v>
      </c>
      <c r="BA623">
        <f t="shared" ca="1" si="256"/>
        <v>0</v>
      </c>
      <c r="BB623" t="str">
        <f ca="1">IF(BA623=1,IF(INDEX(分析データ!$A:$A,ROW()+$C$5)&lt;&gt;"",60000*SIGN(AZ623)*(分析データ!C623-INDEX(分析データ!C:C,ROW()+$C$5)),""),"")</f>
        <v/>
      </c>
      <c r="BC623">
        <f t="shared" ca="1" si="257"/>
        <v>3075000.0000000102</v>
      </c>
      <c r="BD623">
        <f t="shared" ca="1" si="258"/>
        <v>3075000.0000000102</v>
      </c>
      <c r="BE623">
        <f t="shared" ca="1" si="259"/>
        <v>0</v>
      </c>
      <c r="BF623">
        <f ca="1">IF(ROW()&lt;($C$7+1),"",IFERROR((分析データ!D623-AVERAGE(OFFSET(分析データ!D$1,MAX(1,ROW()-$C$7),0,MIN($C$7,ROW()-1),1)))/STDEV(OFFSET(分析データ!D$1,MAX(1,ROW()-$C$7),0,MIN($C$7,ROW()-1),1)),0))</f>
        <v>-1.1217970523103051</v>
      </c>
      <c r="BG623">
        <f t="shared" ca="1" si="260"/>
        <v>0</v>
      </c>
      <c r="BH623" t="str">
        <f ca="1">IF(BG623=1,IF(INDEX(分析データ!$A:$A,ROW()+$C$5)&lt;&gt;"",50000*SIGN(BF623)*(分析データ!D623-INDEX(分析データ!D:D,ROW()+$C$5)),""),"")</f>
        <v/>
      </c>
      <c r="BI623">
        <f t="shared" ca="1" si="261"/>
        <v>195000.00000000582</v>
      </c>
      <c r="BJ623">
        <f t="shared" ca="1" si="262"/>
        <v>1695000.0000000016</v>
      </c>
      <c r="BK623">
        <f t="shared" ca="1" si="263"/>
        <v>-1499999.9999999958</v>
      </c>
      <c r="BL623">
        <f ca="1">IF(ROW()&lt;($C$7+1),"",IFERROR((分析データ!E623-AVERAGE(OFFSET(分析データ!E$1,MAX(1,ROW()-$C$7),0,MIN($C$7,ROW()-1),1)))/STDEV(OFFSET(分析データ!E$1,MAX(1,ROW()-$C$7),0,MIN($C$7,ROW()-1),1)),0))</f>
        <v>2.1277993232549473</v>
      </c>
      <c r="BM623">
        <f t="shared" ca="1" si="264"/>
        <v>1</v>
      </c>
      <c r="BN623">
        <f ca="1">IF(BM623=1,IF(INDEX(分析データ!$A:$A,ROW()+$C$5)&lt;&gt;"",40000*SIGN(BL623)*(分析データ!E623-INDEX(分析データ!E:E,ROW()+$C$5)),""),"")</f>
        <v>40000.000000001135</v>
      </c>
      <c r="BO623">
        <f t="shared" ca="1" si="265"/>
        <v>2680000.0000000019</v>
      </c>
      <c r="BP623">
        <f t="shared" ca="1" si="266"/>
        <v>2680000.0000000019</v>
      </c>
      <c r="BQ623">
        <f t="shared" ca="1" si="267"/>
        <v>0</v>
      </c>
      <c r="BR623">
        <f ca="1">IF(ROW()&lt;($C$7+1),"",IFERROR((分析データ!F623-AVERAGE(OFFSET(分析データ!F$1,MAX(1,ROW()-$C$7),0,MIN($C$7,ROW()-1),1)))/STDEV(OFFSET(分析データ!F$1,MAX(1,ROW()-$C$7),0,MIN($C$7,ROW()-1),1)),0))</f>
        <v>-1.3870764872873129</v>
      </c>
      <c r="BS623">
        <f t="shared" ca="1" si="268"/>
        <v>0</v>
      </c>
      <c r="BT623" t="str">
        <f ca="1">IF(BS623=1,IF(INDEX(分析データ!$A:$A,ROW()+$C$5)&lt;&gt;"",40000*SIGN(BR623)*(分析データ!F623-INDEX(分析データ!F:F,ROW()+$C$5)),""),"")</f>
        <v/>
      </c>
      <c r="BU623">
        <f t="shared" ca="1" si="269"/>
        <v>11054399.999999998</v>
      </c>
      <c r="BV623">
        <f t="shared" ca="1" si="270"/>
        <v>11412399.999999998</v>
      </c>
      <c r="BW623">
        <f t="shared" ca="1" si="271"/>
        <v>-358000</v>
      </c>
      <c r="BX623">
        <f ca="1">IF(ROW()&lt;($C$7+1),"",IFERROR((分析データ!G623-AVERAGE(OFFSET(分析データ!G$1,MAX(1,ROW()-$C$7),0,MIN($C$7,ROW()-1),1)))/STDEV(OFFSET(分析データ!G$1,MAX(1,ROW()-$C$7),0,MIN($C$7,ROW()-1),1)),0))</f>
        <v>2.0606545879844274</v>
      </c>
      <c r="BY623">
        <f t="shared" ca="1" si="272"/>
        <v>1</v>
      </c>
      <c r="BZ623">
        <f ca="1">IF(BY623=1,IF(INDEX(分析データ!$A:$A,ROW()+$C$5)&lt;&gt;"",40000*SIGN(BX623)*(分析データ!G623-INDEX(分析データ!G:G,ROW()+$C$5)),""),"")</f>
        <v>-937305.7128906243</v>
      </c>
      <c r="CA623">
        <f t="shared" ca="1" si="273"/>
        <v>-92088.583984370576</v>
      </c>
      <c r="CB623">
        <f t="shared" ca="1" si="274"/>
        <v>11327520.000000004</v>
      </c>
      <c r="CC623">
        <f t="shared" ca="1" si="275"/>
        <v>-11419608.583984375</v>
      </c>
      <c r="CD623">
        <f t="shared" ca="1" si="276"/>
        <v>-897305.71289062314</v>
      </c>
      <c r="CE623">
        <f t="shared" ca="1" si="277"/>
        <v>11912311.41601567</v>
      </c>
      <c r="CF623">
        <f t="shared" ca="1" si="278"/>
        <v>19067197.138671909</v>
      </c>
      <c r="CG623">
        <f t="shared" ca="1" si="279"/>
        <v>-7154885.7226562388</v>
      </c>
      <c r="CH623" s="10">
        <f>分析データ!A623</f>
        <v>45835</v>
      </c>
    </row>
    <row r="624" spans="46:86">
      <c r="AT624">
        <f ca="1">IF(ROW()&lt;($C$7+1),"",IFERROR((分析データ!B624-AVERAGE(OFFSET(分析データ!B$1,MAX(1,ROW()-$C$7),0,MIN($C$7,ROW()-1),1)))/STDEV(OFFSET(分析データ!B$1,MAX(1,ROW()-$C$7),0,MIN($C$7,ROW()-1),1)),0))</f>
        <v>0.42783352174202643</v>
      </c>
      <c r="AU624">
        <f t="shared" ca="1" si="252"/>
        <v>0</v>
      </c>
      <c r="AV624" t="str">
        <f ca="1">IF(AU624=1,IF(INDEX(分析データ!$A:$A,ROW()+$C$5)&lt;&gt;"",80000*SIGN(AT624)*(分析データ!B624-INDEX(分析データ!B:B,ROW()+$C$5)),""),"")</f>
        <v/>
      </c>
      <c r="AW624">
        <f t="shared" ca="1" si="253"/>
        <v>-4999999.9999999925</v>
      </c>
      <c r="AX624">
        <f t="shared" ca="1" si="254"/>
        <v>0</v>
      </c>
      <c r="AY624">
        <f t="shared" ca="1" si="255"/>
        <v>-4999999.9999999925</v>
      </c>
      <c r="AZ624">
        <f ca="1">IF(ROW()&lt;($C$7+1),"",IFERROR((分析データ!C624-AVERAGE(OFFSET(分析データ!C$1,MAX(1,ROW()-$C$7),0,MIN($C$7,ROW()-1),1)))/STDEV(OFFSET(分析データ!C$1,MAX(1,ROW()-$C$7),0,MIN($C$7,ROW()-1),1)),0))</f>
        <v>-0.41634314544137518</v>
      </c>
      <c r="BA624">
        <f t="shared" ca="1" si="256"/>
        <v>0</v>
      </c>
      <c r="BB624" t="str">
        <f ca="1">IF(BA624=1,IF(INDEX(分析データ!$A:$A,ROW()+$C$5)&lt;&gt;"",60000*SIGN(AZ624)*(分析データ!C624-INDEX(分析データ!C:C,ROW()+$C$5)),""),"")</f>
        <v/>
      </c>
      <c r="BC624">
        <f t="shared" ca="1" si="257"/>
        <v>3075000.0000000102</v>
      </c>
      <c r="BD624">
        <f t="shared" ca="1" si="258"/>
        <v>3075000.0000000102</v>
      </c>
      <c r="BE624">
        <f t="shared" ca="1" si="259"/>
        <v>0</v>
      </c>
      <c r="BF624">
        <f ca="1">IF(ROW()&lt;($C$7+1),"",IFERROR((分析データ!D624-AVERAGE(OFFSET(分析データ!D$1,MAX(1,ROW()-$C$7),0,MIN($C$7,ROW()-1),1)))/STDEV(OFFSET(分析データ!D$1,MAX(1,ROW()-$C$7),0,MIN($C$7,ROW()-1),1)),0))</f>
        <v>-1.3510017145157973</v>
      </c>
      <c r="BG624">
        <f t="shared" ca="1" si="260"/>
        <v>0</v>
      </c>
      <c r="BH624" t="str">
        <f ca="1">IF(BG624=1,IF(INDEX(分析データ!$A:$A,ROW()+$C$5)&lt;&gt;"",50000*SIGN(BF624)*(分析データ!D624-INDEX(分析データ!D:D,ROW()+$C$5)),""),"")</f>
        <v/>
      </c>
      <c r="BI624">
        <f t="shared" ca="1" si="261"/>
        <v>195000.00000000582</v>
      </c>
      <c r="BJ624">
        <f t="shared" ca="1" si="262"/>
        <v>1695000.0000000016</v>
      </c>
      <c r="BK624">
        <f t="shared" ca="1" si="263"/>
        <v>-1499999.9999999958</v>
      </c>
      <c r="BL624">
        <f ca="1">IF(ROW()&lt;($C$7+1),"",IFERROR((分析データ!E624-AVERAGE(OFFSET(分析データ!E$1,MAX(1,ROW()-$C$7),0,MIN($C$7,ROW()-1),1)))/STDEV(OFFSET(分析データ!E$1,MAX(1,ROW()-$C$7),0,MIN($C$7,ROW()-1),1)),0))</f>
        <v>2.0241767600443432</v>
      </c>
      <c r="BM624">
        <f t="shared" ca="1" si="264"/>
        <v>1</v>
      </c>
      <c r="BN624">
        <f ca="1">IF(BM624=1,IF(INDEX(分析データ!$A:$A,ROW()+$C$5)&lt;&gt;"",40000*SIGN(BL624)*(分析データ!E624-INDEX(分析データ!E:E,ROW()+$C$5)),""),"")</f>
        <v>0</v>
      </c>
      <c r="BO624">
        <f t="shared" ca="1" si="265"/>
        <v>2680000.0000000019</v>
      </c>
      <c r="BP624">
        <f t="shared" ca="1" si="266"/>
        <v>2680000.0000000019</v>
      </c>
      <c r="BQ624">
        <f t="shared" ca="1" si="267"/>
        <v>0</v>
      </c>
      <c r="BR624">
        <f ca="1">IF(ROW()&lt;($C$7+1),"",IFERROR((分析データ!F624-AVERAGE(OFFSET(分析データ!F$1,MAX(1,ROW()-$C$7),0,MIN($C$7,ROW()-1),1)))/STDEV(OFFSET(分析データ!F$1,MAX(1,ROW()-$C$7),0,MIN($C$7,ROW()-1),1)),0))</f>
        <v>-1.2603675773220799</v>
      </c>
      <c r="BS624">
        <f t="shared" ca="1" si="268"/>
        <v>0</v>
      </c>
      <c r="BT624" t="str">
        <f ca="1">IF(BS624=1,IF(INDEX(分析データ!$A:$A,ROW()+$C$5)&lt;&gt;"",40000*SIGN(BR624)*(分析データ!F624-INDEX(分析データ!F:F,ROW()+$C$5)),""),"")</f>
        <v/>
      </c>
      <c r="BU624">
        <f t="shared" ca="1" si="269"/>
        <v>11054399.999999998</v>
      </c>
      <c r="BV624">
        <f t="shared" ca="1" si="270"/>
        <v>11412399.999999998</v>
      </c>
      <c r="BW624">
        <f t="shared" ca="1" si="271"/>
        <v>-358000</v>
      </c>
      <c r="BX624">
        <f ca="1">IF(ROW()&lt;($C$7+1),"",IFERROR((分析データ!G624-AVERAGE(OFFSET(分析データ!G$1,MAX(1,ROW()-$C$7),0,MIN($C$7,ROW()-1),1)))/STDEV(OFFSET(分析データ!G$1,MAX(1,ROW()-$C$7),0,MIN($C$7,ROW()-1),1)),0))</f>
        <v>1.8948684169181966</v>
      </c>
      <c r="BY624">
        <f t="shared" ca="1" si="272"/>
        <v>0</v>
      </c>
      <c r="BZ624" t="str">
        <f ca="1">IF(BY624=1,IF(INDEX(分析データ!$A:$A,ROW()+$C$5)&lt;&gt;"",40000*SIGN(BX624)*(分析データ!G624-INDEX(分析データ!G:G,ROW()+$C$5)),""),"")</f>
        <v/>
      </c>
      <c r="CA624">
        <f t="shared" ca="1" si="273"/>
        <v>-92088.583984370576</v>
      </c>
      <c r="CB624">
        <f t="shared" ca="1" si="274"/>
        <v>11327520.000000004</v>
      </c>
      <c r="CC624">
        <f t="shared" ca="1" si="275"/>
        <v>-11419608.583984375</v>
      </c>
      <c r="CD624">
        <f t="shared" ca="1" si="276"/>
        <v>0</v>
      </c>
      <c r="CE624">
        <f t="shared" ca="1" si="277"/>
        <v>11912311.41601567</v>
      </c>
      <c r="CF624">
        <f t="shared" ca="1" si="278"/>
        <v>19067197.138671909</v>
      </c>
      <c r="CG624">
        <f t="shared" ca="1" si="279"/>
        <v>-7154885.7226562388</v>
      </c>
      <c r="CH624" s="10">
        <f>分析データ!A624</f>
        <v>45838</v>
      </c>
    </row>
    <row r="625" spans="46:86">
      <c r="AT625">
        <f ca="1">IF(ROW()&lt;($C$7+1),"",IFERROR((分析データ!B625-AVERAGE(OFFSET(分析データ!B$1,MAX(1,ROW()-$C$7),0,MIN($C$7,ROW()-1),1)))/STDEV(OFFSET(分析データ!B$1,MAX(1,ROW()-$C$7),0,MIN($C$7,ROW()-1),1)),0))</f>
        <v>0.31473475615604557</v>
      </c>
      <c r="AU625">
        <f t="shared" ca="1" si="252"/>
        <v>0</v>
      </c>
      <c r="AV625" t="str">
        <f ca="1">IF(AU625=1,IF(INDEX(分析データ!$A:$A,ROW()+$C$5)&lt;&gt;"",80000*SIGN(AT625)*(分析データ!B625-INDEX(分析データ!B:B,ROW()+$C$5)),""),"")</f>
        <v/>
      </c>
      <c r="AW625">
        <f t="shared" ca="1" si="253"/>
        <v>-4999999.9999999925</v>
      </c>
      <c r="AX625">
        <f t="shared" ca="1" si="254"/>
        <v>0</v>
      </c>
      <c r="AY625">
        <f t="shared" ca="1" si="255"/>
        <v>-4999999.9999999925</v>
      </c>
      <c r="AZ625">
        <f ca="1">IF(ROW()&lt;($C$7+1),"",IFERROR((分析データ!C625-AVERAGE(OFFSET(分析データ!C$1,MAX(1,ROW()-$C$7),0,MIN($C$7,ROW()-1),1)))/STDEV(OFFSET(分析データ!C$1,MAX(1,ROW()-$C$7),0,MIN($C$7,ROW()-1),1)),0))</f>
        <v>-0.86121085439290634</v>
      </c>
      <c r="BA625">
        <f t="shared" ca="1" si="256"/>
        <v>0</v>
      </c>
      <c r="BB625" t="str">
        <f ca="1">IF(BA625=1,IF(INDEX(分析データ!$A:$A,ROW()+$C$5)&lt;&gt;"",60000*SIGN(AZ625)*(分析データ!C625-INDEX(分析データ!C:C,ROW()+$C$5)),""),"")</f>
        <v/>
      </c>
      <c r="BC625">
        <f t="shared" ca="1" si="257"/>
        <v>3075000.0000000102</v>
      </c>
      <c r="BD625">
        <f t="shared" ca="1" si="258"/>
        <v>3075000.0000000102</v>
      </c>
      <c r="BE625">
        <f t="shared" ca="1" si="259"/>
        <v>0</v>
      </c>
      <c r="BF625">
        <f ca="1">IF(ROW()&lt;($C$7+1),"",IFERROR((分析データ!D625-AVERAGE(OFFSET(分析データ!D$1,MAX(1,ROW()-$C$7),0,MIN($C$7,ROW()-1),1)))/STDEV(OFFSET(分析データ!D$1,MAX(1,ROW()-$C$7),0,MIN($C$7,ROW()-1),1)),0))</f>
        <v>-1.0569466201217783</v>
      </c>
      <c r="BG625">
        <f t="shared" ca="1" si="260"/>
        <v>0</v>
      </c>
      <c r="BH625" t="str">
        <f ca="1">IF(BG625=1,IF(INDEX(分析データ!$A:$A,ROW()+$C$5)&lt;&gt;"",50000*SIGN(BF625)*(分析データ!D625-INDEX(分析データ!D:D,ROW()+$C$5)),""),"")</f>
        <v/>
      </c>
      <c r="BI625">
        <f t="shared" ca="1" si="261"/>
        <v>195000.00000000582</v>
      </c>
      <c r="BJ625">
        <f t="shared" ca="1" si="262"/>
        <v>1695000.0000000016</v>
      </c>
      <c r="BK625">
        <f t="shared" ca="1" si="263"/>
        <v>-1499999.9999999958</v>
      </c>
      <c r="BL625">
        <f ca="1">IF(ROW()&lt;($C$7+1),"",IFERROR((分析データ!E625-AVERAGE(OFFSET(分析データ!E$1,MAX(1,ROW()-$C$7),0,MIN($C$7,ROW()-1),1)))/STDEV(OFFSET(分析データ!E$1,MAX(1,ROW()-$C$7),0,MIN($C$7,ROW()-1),1)),0))</f>
        <v>1.7445711727689994</v>
      </c>
      <c r="BM625">
        <f t="shared" ca="1" si="264"/>
        <v>0</v>
      </c>
      <c r="BN625" t="str">
        <f ca="1">IF(BM625=1,IF(INDEX(分析データ!$A:$A,ROW()+$C$5)&lt;&gt;"",40000*SIGN(BL625)*(分析データ!E625-INDEX(分析データ!E:E,ROW()+$C$5)),""),"")</f>
        <v/>
      </c>
      <c r="BO625">
        <f t="shared" ca="1" si="265"/>
        <v>2680000.0000000019</v>
      </c>
      <c r="BP625">
        <f t="shared" ca="1" si="266"/>
        <v>2680000.0000000019</v>
      </c>
      <c r="BQ625">
        <f t="shared" ca="1" si="267"/>
        <v>0</v>
      </c>
      <c r="BR625">
        <f ca="1">IF(ROW()&lt;($C$7+1),"",IFERROR((分析データ!F625-AVERAGE(OFFSET(分析データ!F$1,MAX(1,ROW()-$C$7),0,MIN($C$7,ROW()-1),1)))/STDEV(OFFSET(分析データ!F$1,MAX(1,ROW()-$C$7),0,MIN($C$7,ROW()-1),1)),0))</f>
        <v>-1.4843462261475628</v>
      </c>
      <c r="BS625">
        <f t="shared" ca="1" si="268"/>
        <v>0</v>
      </c>
      <c r="BT625" t="str">
        <f ca="1">IF(BS625=1,IF(INDEX(分析データ!$A:$A,ROW()+$C$5)&lt;&gt;"",40000*SIGN(BR625)*(分析データ!F625-INDEX(分析データ!F:F,ROW()+$C$5)),""),"")</f>
        <v/>
      </c>
      <c r="BU625">
        <f t="shared" ca="1" si="269"/>
        <v>11054399.999999998</v>
      </c>
      <c r="BV625">
        <f t="shared" ca="1" si="270"/>
        <v>11412399.999999998</v>
      </c>
      <c r="BW625">
        <f t="shared" ca="1" si="271"/>
        <v>-358000</v>
      </c>
      <c r="BX625">
        <f ca="1">IF(ROW()&lt;($C$7+1),"",IFERROR((分析データ!G625-AVERAGE(OFFSET(分析データ!G$1,MAX(1,ROW()-$C$7),0,MIN($C$7,ROW()-1),1)))/STDEV(OFFSET(分析データ!G$1,MAX(1,ROW()-$C$7),0,MIN($C$7,ROW()-1),1)),0))</f>
        <v>2.0862916715853661</v>
      </c>
      <c r="BY625">
        <f t="shared" ca="1" si="272"/>
        <v>1</v>
      </c>
      <c r="BZ625">
        <f ca="1">IF(BY625=1,IF(INDEX(分析データ!$A:$A,ROW()+$C$5)&lt;&gt;"",40000*SIGN(BX625)*(分析データ!G625-INDEX(分析データ!G:G,ROW()+$C$5)),""),"")</f>
        <v>-934672.85644530831</v>
      </c>
      <c r="CA625">
        <f t="shared" ca="1" si="273"/>
        <v>-1026761.4404296789</v>
      </c>
      <c r="CB625">
        <f t="shared" ca="1" si="274"/>
        <v>11327520.000000004</v>
      </c>
      <c r="CC625">
        <f t="shared" ca="1" si="275"/>
        <v>-12354281.440429682</v>
      </c>
      <c r="CD625">
        <f t="shared" ca="1" si="276"/>
        <v>-934672.85644530831</v>
      </c>
      <c r="CE625">
        <f t="shared" ca="1" si="277"/>
        <v>10977638.559570361</v>
      </c>
      <c r="CF625">
        <f t="shared" ca="1" si="278"/>
        <v>19067197.138671909</v>
      </c>
      <c r="CG625">
        <f t="shared" ca="1" si="279"/>
        <v>-8089558.5791015476</v>
      </c>
      <c r="CH625" s="10">
        <f>分析データ!A625</f>
        <v>45839</v>
      </c>
    </row>
    <row r="626" spans="46:86">
      <c r="AT626">
        <f ca="1">IF(ROW()&lt;($C$7+1),"",IFERROR((分析データ!B626-AVERAGE(OFFSET(分析データ!B$1,MAX(1,ROW()-$C$7),0,MIN($C$7,ROW()-1),1)))/STDEV(OFFSET(分析データ!B$1,MAX(1,ROW()-$C$7),0,MIN($C$7,ROW()-1),1)),0))</f>
        <v>0.52312397833636537</v>
      </c>
      <c r="AU626">
        <f t="shared" ca="1" si="252"/>
        <v>0</v>
      </c>
      <c r="AV626" t="str">
        <f ca="1">IF(AU626=1,IF(INDEX(分析データ!$A:$A,ROW()+$C$5)&lt;&gt;"",80000*SIGN(AT626)*(分析データ!B626-INDEX(分析データ!B:B,ROW()+$C$5)),""),"")</f>
        <v/>
      </c>
      <c r="AW626">
        <f t="shared" ca="1" si="253"/>
        <v>-4999999.9999999925</v>
      </c>
      <c r="AX626">
        <f t="shared" ca="1" si="254"/>
        <v>0</v>
      </c>
      <c r="AY626">
        <f t="shared" ca="1" si="255"/>
        <v>-4999999.9999999925</v>
      </c>
      <c r="AZ626">
        <f ca="1">IF(ROW()&lt;($C$7+1),"",IFERROR((分析データ!C626-AVERAGE(OFFSET(分析データ!C$1,MAX(1,ROW()-$C$7),0,MIN($C$7,ROW()-1),1)))/STDEV(OFFSET(分析データ!C$1,MAX(1,ROW()-$C$7),0,MIN($C$7,ROW()-1),1)),0))</f>
        <v>-0.64717440273525573</v>
      </c>
      <c r="BA626">
        <f t="shared" ca="1" si="256"/>
        <v>0</v>
      </c>
      <c r="BB626" t="str">
        <f ca="1">IF(BA626=1,IF(INDEX(分析データ!$A:$A,ROW()+$C$5)&lt;&gt;"",60000*SIGN(AZ626)*(分析データ!C626-INDEX(分析データ!C:C,ROW()+$C$5)),""),"")</f>
        <v/>
      </c>
      <c r="BC626">
        <f t="shared" ca="1" si="257"/>
        <v>3075000.0000000102</v>
      </c>
      <c r="BD626">
        <f t="shared" ca="1" si="258"/>
        <v>3075000.0000000102</v>
      </c>
      <c r="BE626">
        <f t="shared" ca="1" si="259"/>
        <v>0</v>
      </c>
      <c r="BF626">
        <f ca="1">IF(ROW()&lt;($C$7+1),"",IFERROR((分析データ!D626-AVERAGE(OFFSET(分析データ!D$1,MAX(1,ROW()-$C$7),0,MIN($C$7,ROW()-1),1)))/STDEV(OFFSET(分析データ!D$1,MAX(1,ROW()-$C$7),0,MIN($C$7,ROW()-1),1)),0))</f>
        <v>-0.93665217118685984</v>
      </c>
      <c r="BG626">
        <f t="shared" ca="1" si="260"/>
        <v>0</v>
      </c>
      <c r="BH626" t="str">
        <f ca="1">IF(BG626=1,IF(INDEX(分析データ!$A:$A,ROW()+$C$5)&lt;&gt;"",50000*SIGN(BF626)*(分析データ!D626-INDEX(分析データ!D:D,ROW()+$C$5)),""),"")</f>
        <v/>
      </c>
      <c r="BI626">
        <f t="shared" ca="1" si="261"/>
        <v>195000.00000000582</v>
      </c>
      <c r="BJ626">
        <f t="shared" ca="1" si="262"/>
        <v>1695000.0000000016</v>
      </c>
      <c r="BK626">
        <f t="shared" ca="1" si="263"/>
        <v>-1499999.9999999958</v>
      </c>
      <c r="BL626">
        <f ca="1">IF(ROW()&lt;($C$7+1),"",IFERROR((分析データ!E626-AVERAGE(OFFSET(分析データ!E$1,MAX(1,ROW()-$C$7),0,MIN($C$7,ROW()-1),1)))/STDEV(OFFSET(分析データ!E$1,MAX(1,ROW()-$C$7),0,MIN($C$7,ROW()-1),1)),0))</f>
        <v>1.8215617944391749</v>
      </c>
      <c r="BM626">
        <f t="shared" ca="1" si="264"/>
        <v>0</v>
      </c>
      <c r="BN626" t="str">
        <f ca="1">IF(BM626=1,IF(INDEX(分析データ!$A:$A,ROW()+$C$5)&lt;&gt;"",40000*SIGN(BL626)*(分析データ!E626-INDEX(分析データ!E:E,ROW()+$C$5)),""),"")</f>
        <v/>
      </c>
      <c r="BO626">
        <f t="shared" ca="1" si="265"/>
        <v>2680000.0000000019</v>
      </c>
      <c r="BP626">
        <f t="shared" ca="1" si="266"/>
        <v>2680000.0000000019</v>
      </c>
      <c r="BQ626">
        <f t="shared" ca="1" si="267"/>
        <v>0</v>
      </c>
      <c r="BR626">
        <f ca="1">IF(ROW()&lt;($C$7+1),"",IFERROR((分析データ!F626-AVERAGE(OFFSET(分析データ!F$1,MAX(1,ROW()-$C$7),0,MIN($C$7,ROW()-1),1)))/STDEV(OFFSET(分析データ!F$1,MAX(1,ROW()-$C$7),0,MIN($C$7,ROW()-1),1)),0))</f>
        <v>-1.7460588307634093</v>
      </c>
      <c r="BS626">
        <f t="shared" ca="1" si="268"/>
        <v>0</v>
      </c>
      <c r="BT626" t="str">
        <f ca="1">IF(BS626=1,IF(INDEX(分析データ!$A:$A,ROW()+$C$5)&lt;&gt;"",40000*SIGN(BR626)*(分析データ!F626-INDEX(分析データ!F:F,ROW()+$C$5)),""),"")</f>
        <v/>
      </c>
      <c r="BU626">
        <f t="shared" ca="1" si="269"/>
        <v>11054399.999999998</v>
      </c>
      <c r="BV626">
        <f t="shared" ca="1" si="270"/>
        <v>11412399.999999998</v>
      </c>
      <c r="BW626">
        <f t="shared" ca="1" si="271"/>
        <v>-358000</v>
      </c>
      <c r="BX626">
        <f ca="1">IF(ROW()&lt;($C$7+1),"",IFERROR((分析データ!G626-AVERAGE(OFFSET(分析データ!G$1,MAX(1,ROW()-$C$7),0,MIN($C$7,ROW()-1),1)))/STDEV(OFFSET(分析データ!G$1,MAX(1,ROW()-$C$7),0,MIN($C$7,ROW()-1),1)),0))</f>
        <v>2.1802849289234283</v>
      </c>
      <c r="BY626">
        <f t="shared" ca="1" si="272"/>
        <v>1</v>
      </c>
      <c r="BZ626">
        <f ca="1">IF(BY626=1,IF(INDEX(分析データ!$A:$A,ROW()+$C$5)&lt;&gt;"",40000*SIGN(BX626)*(分析データ!G626-INDEX(分析データ!G:G,ROW()+$C$5)),""),"")</f>
        <v>-1110687.1435546833</v>
      </c>
      <c r="CA626">
        <f t="shared" ca="1" si="273"/>
        <v>-2137448.583984362</v>
      </c>
      <c r="CB626">
        <f t="shared" ca="1" si="274"/>
        <v>11327520.000000004</v>
      </c>
      <c r="CC626">
        <f t="shared" ca="1" si="275"/>
        <v>-13464968.583984366</v>
      </c>
      <c r="CD626">
        <f t="shared" ca="1" si="276"/>
        <v>-1110687.1435546833</v>
      </c>
      <c r="CE626">
        <f t="shared" ca="1" si="277"/>
        <v>9866951.4160156772</v>
      </c>
      <c r="CF626">
        <f t="shared" ca="1" si="278"/>
        <v>19067197.138671909</v>
      </c>
      <c r="CG626">
        <f t="shared" ca="1" si="279"/>
        <v>-9200245.7226562314</v>
      </c>
      <c r="CH626" s="10">
        <f>分析データ!A626</f>
        <v>45840</v>
      </c>
    </row>
    <row r="627" spans="46:86">
      <c r="AT627">
        <f ca="1">IF(ROW()&lt;($C$7+1),"",IFERROR((分析データ!B627-AVERAGE(OFFSET(分析データ!B$1,MAX(1,ROW()-$C$7),0,MIN($C$7,ROW()-1),1)))/STDEV(OFFSET(分析データ!B$1,MAX(1,ROW()-$C$7),0,MIN($C$7,ROW()-1),1)),0))</f>
        <v>0.299413792364144</v>
      </c>
      <c r="AU627">
        <f t="shared" ca="1" si="252"/>
        <v>0</v>
      </c>
      <c r="AV627" t="str">
        <f ca="1">IF(AU627=1,IF(INDEX(分析データ!$A:$A,ROW()+$C$5)&lt;&gt;"",80000*SIGN(AT627)*(分析データ!B627-INDEX(分析データ!B:B,ROW()+$C$5)),""),"")</f>
        <v/>
      </c>
      <c r="AW627">
        <f t="shared" ca="1" si="253"/>
        <v>-4999999.9999999925</v>
      </c>
      <c r="AX627">
        <f t="shared" ca="1" si="254"/>
        <v>0</v>
      </c>
      <c r="AY627">
        <f t="shared" ca="1" si="255"/>
        <v>-4999999.9999999925</v>
      </c>
      <c r="AZ627">
        <f ca="1">IF(ROW()&lt;($C$7+1),"",IFERROR((分析データ!C627-AVERAGE(OFFSET(分析データ!C$1,MAX(1,ROW()-$C$7),0,MIN($C$7,ROW()-1),1)))/STDEV(OFFSET(分析データ!C$1,MAX(1,ROW()-$C$7),0,MIN($C$7,ROW()-1),1)),0))</f>
        <v>-0.9082310178152837</v>
      </c>
      <c r="BA627">
        <f t="shared" ca="1" si="256"/>
        <v>0</v>
      </c>
      <c r="BB627" t="str">
        <f ca="1">IF(BA627=1,IF(INDEX(分析データ!$A:$A,ROW()+$C$5)&lt;&gt;"",60000*SIGN(AZ627)*(分析データ!C627-INDEX(分析データ!C:C,ROW()+$C$5)),""),"")</f>
        <v/>
      </c>
      <c r="BC627">
        <f t="shared" ca="1" si="257"/>
        <v>3075000.0000000102</v>
      </c>
      <c r="BD627">
        <f t="shared" ca="1" si="258"/>
        <v>3075000.0000000102</v>
      </c>
      <c r="BE627">
        <f t="shared" ca="1" si="259"/>
        <v>0</v>
      </c>
      <c r="BF627">
        <f ca="1">IF(ROW()&lt;($C$7+1),"",IFERROR((分析データ!D627-AVERAGE(OFFSET(分析データ!D$1,MAX(1,ROW()-$C$7),0,MIN($C$7,ROW()-1),1)))/STDEV(OFFSET(分析データ!D$1,MAX(1,ROW()-$C$7),0,MIN($C$7,ROW()-1),1)),0))</f>
        <v>-0.76730953171110527</v>
      </c>
      <c r="BG627">
        <f t="shared" ca="1" si="260"/>
        <v>0</v>
      </c>
      <c r="BH627" t="str">
        <f ca="1">IF(BG627=1,IF(INDEX(分析データ!$A:$A,ROW()+$C$5)&lt;&gt;"",50000*SIGN(BF627)*(分析データ!D627-INDEX(分析データ!D:D,ROW()+$C$5)),""),"")</f>
        <v/>
      </c>
      <c r="BI627">
        <f t="shared" ca="1" si="261"/>
        <v>195000.00000000582</v>
      </c>
      <c r="BJ627">
        <f t="shared" ca="1" si="262"/>
        <v>1695000.0000000016</v>
      </c>
      <c r="BK627">
        <f t="shared" ca="1" si="263"/>
        <v>-1499999.9999999958</v>
      </c>
      <c r="BL627">
        <f ca="1">IF(ROW()&lt;($C$7+1),"",IFERROR((分析データ!E627-AVERAGE(OFFSET(分析データ!E$1,MAX(1,ROW()-$C$7),0,MIN($C$7,ROW()-1),1)))/STDEV(OFFSET(分析データ!E$1,MAX(1,ROW()-$C$7),0,MIN($C$7,ROW()-1),1)),0))</f>
        <v>1.6302367301736846</v>
      </c>
      <c r="BM627">
        <f t="shared" ca="1" si="264"/>
        <v>0</v>
      </c>
      <c r="BN627" t="str">
        <f ca="1">IF(BM627=1,IF(INDEX(分析データ!$A:$A,ROW()+$C$5)&lt;&gt;"",40000*SIGN(BL627)*(分析データ!E627-INDEX(分析データ!E:E,ROW()+$C$5)),""),"")</f>
        <v/>
      </c>
      <c r="BO627">
        <f t="shared" ca="1" si="265"/>
        <v>2680000.0000000019</v>
      </c>
      <c r="BP627">
        <f t="shared" ca="1" si="266"/>
        <v>2680000.0000000019</v>
      </c>
      <c r="BQ627">
        <f t="shared" ca="1" si="267"/>
        <v>0</v>
      </c>
      <c r="BR627">
        <f ca="1">IF(ROW()&lt;($C$7+1),"",IFERROR((分析データ!F627-AVERAGE(OFFSET(分析データ!F$1,MAX(1,ROW()-$C$7),0,MIN($C$7,ROW()-1),1)))/STDEV(OFFSET(分析データ!F$1,MAX(1,ROW()-$C$7),0,MIN($C$7,ROW()-1),1)),0))</f>
        <v>-2.0145943959124533</v>
      </c>
      <c r="BS627">
        <f t="shared" ca="1" si="268"/>
        <v>1</v>
      </c>
      <c r="BT627">
        <f ca="1">IF(BS627=1,IF(INDEX(分析データ!$A:$A,ROW()+$C$5)&lt;&gt;"",40000*SIGN(BR627)*(分析データ!F627-INDEX(分析データ!F:F,ROW()+$C$5)),""),"")</f>
        <v>-298800.00000000111</v>
      </c>
      <c r="BU627">
        <f t="shared" ca="1" si="269"/>
        <v>10755599.999999996</v>
      </c>
      <c r="BV627">
        <f t="shared" ca="1" si="270"/>
        <v>11412399.999999998</v>
      </c>
      <c r="BW627">
        <f t="shared" ca="1" si="271"/>
        <v>-656800.00000000186</v>
      </c>
      <c r="BX627">
        <f ca="1">IF(ROW()&lt;($C$7+1),"",IFERROR((分析データ!G627-AVERAGE(OFFSET(分析データ!G$1,MAX(1,ROW()-$C$7),0,MIN($C$7,ROW()-1),1)))/STDEV(OFFSET(分析データ!G$1,MAX(1,ROW()-$C$7),0,MIN($C$7,ROW()-1),1)),0))</f>
        <v>2.3450355243969878</v>
      </c>
      <c r="BY627">
        <f t="shared" ca="1" si="272"/>
        <v>1</v>
      </c>
      <c r="BZ627">
        <f ca="1">IF(BY627=1,IF(INDEX(分析データ!$A:$A,ROW()+$C$5)&lt;&gt;"",40000*SIGN(BX627)*(分析データ!G627-INDEX(分析データ!G:G,ROW()+$C$5)),""),"")</f>
        <v>-380807.14355468273</v>
      </c>
      <c r="CA627">
        <f t="shared" ca="1" si="273"/>
        <v>-2518255.7275390448</v>
      </c>
      <c r="CB627">
        <f t="shared" ca="1" si="274"/>
        <v>11327520.000000004</v>
      </c>
      <c r="CC627">
        <f t="shared" ca="1" si="275"/>
        <v>-13845775.727539048</v>
      </c>
      <c r="CD627">
        <f t="shared" ca="1" si="276"/>
        <v>-679607.14355468377</v>
      </c>
      <c r="CE627">
        <f t="shared" ca="1" si="277"/>
        <v>9187344.2724609934</v>
      </c>
      <c r="CF627">
        <f t="shared" ca="1" si="278"/>
        <v>19067197.138671909</v>
      </c>
      <c r="CG627">
        <f t="shared" ca="1" si="279"/>
        <v>-9879852.8662109151</v>
      </c>
      <c r="CH627" s="10">
        <f>分析データ!A627</f>
        <v>45841</v>
      </c>
    </row>
    <row r="628" spans="46:86">
      <c r="AT628">
        <f ca="1">IF(ROW()&lt;($C$7+1),"",IFERROR((分析データ!B628-AVERAGE(OFFSET(分析データ!B$1,MAX(1,ROW()-$C$7),0,MIN($C$7,ROW()-1),1)))/STDEV(OFFSET(分析データ!B$1,MAX(1,ROW()-$C$7),0,MIN($C$7,ROW()-1),1)),0))</f>
        <v>0.40235323010196383</v>
      </c>
      <c r="AU628">
        <f t="shared" ca="1" si="252"/>
        <v>0</v>
      </c>
      <c r="AV628" t="str">
        <f ca="1">IF(AU628=1,IF(INDEX(分析データ!$A:$A,ROW()+$C$5)&lt;&gt;"",80000*SIGN(AT628)*(分析データ!B628-INDEX(分析データ!B:B,ROW()+$C$5)),""),"")</f>
        <v/>
      </c>
      <c r="AW628">
        <f t="shared" ca="1" si="253"/>
        <v>-4999999.9999999925</v>
      </c>
      <c r="AX628">
        <f t="shared" ca="1" si="254"/>
        <v>0</v>
      </c>
      <c r="AY628">
        <f t="shared" ca="1" si="255"/>
        <v>-4999999.9999999925</v>
      </c>
      <c r="AZ628">
        <f ca="1">IF(ROW()&lt;($C$7+1),"",IFERROR((分析データ!C628-AVERAGE(OFFSET(分析データ!C$1,MAX(1,ROW()-$C$7),0,MIN($C$7,ROW()-1),1)))/STDEV(OFFSET(分析データ!C$1,MAX(1,ROW()-$C$7),0,MIN($C$7,ROW()-1),1)),0))</f>
        <v>-1.2281277067392253</v>
      </c>
      <c r="BA628">
        <f t="shared" ca="1" si="256"/>
        <v>0</v>
      </c>
      <c r="BB628" t="str">
        <f ca="1">IF(BA628=1,IF(INDEX(分析データ!$A:$A,ROW()+$C$5)&lt;&gt;"",60000*SIGN(AZ628)*(分析データ!C628-INDEX(分析データ!C:C,ROW()+$C$5)),""),"")</f>
        <v/>
      </c>
      <c r="BC628">
        <f t="shared" ca="1" si="257"/>
        <v>3075000.0000000102</v>
      </c>
      <c r="BD628">
        <f t="shared" ca="1" si="258"/>
        <v>3075000.0000000102</v>
      </c>
      <c r="BE628">
        <f t="shared" ca="1" si="259"/>
        <v>0</v>
      </c>
      <c r="BF628">
        <f ca="1">IF(ROW()&lt;($C$7+1),"",IFERROR((分析データ!D628-AVERAGE(OFFSET(分析データ!D$1,MAX(1,ROW()-$C$7),0,MIN($C$7,ROW()-1),1)))/STDEV(OFFSET(分析データ!D$1,MAX(1,ROW()-$C$7),0,MIN($C$7,ROW()-1),1)),0))</f>
        <v>-0.60269440701784793</v>
      </c>
      <c r="BG628">
        <f t="shared" ca="1" si="260"/>
        <v>0</v>
      </c>
      <c r="BH628" t="str">
        <f ca="1">IF(BG628=1,IF(INDEX(分析データ!$A:$A,ROW()+$C$5)&lt;&gt;"",50000*SIGN(BF628)*(分析データ!D628-INDEX(分析データ!D:D,ROW()+$C$5)),""),"")</f>
        <v/>
      </c>
      <c r="BI628">
        <f t="shared" ca="1" si="261"/>
        <v>195000.00000000582</v>
      </c>
      <c r="BJ628">
        <f t="shared" ca="1" si="262"/>
        <v>1695000.0000000016</v>
      </c>
      <c r="BK628">
        <f t="shared" ca="1" si="263"/>
        <v>-1499999.9999999958</v>
      </c>
      <c r="BL628">
        <f ca="1">IF(ROW()&lt;($C$7+1),"",IFERROR((分析データ!E628-AVERAGE(OFFSET(分析データ!E$1,MAX(1,ROW()-$C$7),0,MIN($C$7,ROW()-1),1)))/STDEV(OFFSET(分析データ!E$1,MAX(1,ROW()-$C$7),0,MIN($C$7,ROW()-1),1)),0))</f>
        <v>1.8825809863304752</v>
      </c>
      <c r="BM628">
        <f t="shared" ca="1" si="264"/>
        <v>0</v>
      </c>
      <c r="BN628" t="str">
        <f ca="1">IF(BM628=1,IF(INDEX(分析データ!$A:$A,ROW()+$C$5)&lt;&gt;"",40000*SIGN(BL628)*(分析データ!E628-INDEX(分析データ!E:E,ROW()+$C$5)),""),"")</f>
        <v/>
      </c>
      <c r="BO628">
        <f t="shared" ca="1" si="265"/>
        <v>2680000.0000000019</v>
      </c>
      <c r="BP628">
        <f t="shared" ca="1" si="266"/>
        <v>2680000.0000000019</v>
      </c>
      <c r="BQ628">
        <f t="shared" ca="1" si="267"/>
        <v>0</v>
      </c>
      <c r="BR628">
        <f ca="1">IF(ROW()&lt;($C$7+1),"",IFERROR((分析データ!F628-AVERAGE(OFFSET(分析データ!F$1,MAX(1,ROW()-$C$7),0,MIN($C$7,ROW()-1),1)))/STDEV(OFFSET(分析データ!F$1,MAX(1,ROW()-$C$7),0,MIN($C$7,ROW()-1),1)),0))</f>
        <v>-2.1140879553974177</v>
      </c>
      <c r="BS628">
        <f t="shared" ca="1" si="268"/>
        <v>1</v>
      </c>
      <c r="BT628">
        <f ca="1">IF(BS628=1,IF(INDEX(分析データ!$A:$A,ROW()+$C$5)&lt;&gt;"",40000*SIGN(BR628)*(分析データ!F628-INDEX(分析データ!F:F,ROW()+$C$5)),""),"")</f>
        <v>31600.000000000819</v>
      </c>
      <c r="BU628">
        <f t="shared" ca="1" si="269"/>
        <v>10787199.999999996</v>
      </c>
      <c r="BV628">
        <f t="shared" ca="1" si="270"/>
        <v>11412399.999999998</v>
      </c>
      <c r="BW628">
        <f t="shared" ca="1" si="271"/>
        <v>-625200.00000000186</v>
      </c>
      <c r="BX628">
        <f ca="1">IF(ROW()&lt;($C$7+1),"",IFERROR((分析データ!G628-AVERAGE(OFFSET(分析データ!G$1,MAX(1,ROW()-$C$7),0,MIN($C$7,ROW()-1),1)))/STDEV(OFFSET(分析データ!G$1,MAX(1,ROW()-$C$7),0,MIN($C$7,ROW()-1),1)),0))</f>
        <v>2.2476106433296099</v>
      </c>
      <c r="BY628">
        <f t="shared" ca="1" si="272"/>
        <v>1</v>
      </c>
      <c r="BZ628">
        <f ca="1">IF(BY628=1,IF(INDEX(分析データ!$A:$A,ROW()+$C$5)&lt;&gt;"",40000*SIGN(BX628)*(分析データ!G628-INDEX(分析データ!G:G,ROW()+$C$5)),""),"")</f>
        <v>-560567.14355468447</v>
      </c>
      <c r="CA628">
        <f t="shared" ca="1" si="273"/>
        <v>-3078822.8710937295</v>
      </c>
      <c r="CB628">
        <f t="shared" ca="1" si="274"/>
        <v>11327520.000000004</v>
      </c>
      <c r="CC628">
        <f t="shared" ca="1" si="275"/>
        <v>-14406342.871093733</v>
      </c>
      <c r="CD628">
        <f t="shared" ca="1" si="276"/>
        <v>-528967.14355468366</v>
      </c>
      <c r="CE628">
        <f t="shared" ca="1" si="277"/>
        <v>8658377.1289063096</v>
      </c>
      <c r="CF628">
        <f t="shared" ca="1" si="278"/>
        <v>19067197.138671909</v>
      </c>
      <c r="CG628">
        <f t="shared" ca="1" si="279"/>
        <v>-10408820.009765599</v>
      </c>
      <c r="CH628" s="10">
        <f>分析データ!A628</f>
        <v>45845</v>
      </c>
    </row>
    <row r="629" spans="46:86">
      <c r="AT629">
        <f ca="1">IF(ROW()&lt;($C$7+1),"",IFERROR((分析データ!B629-AVERAGE(OFFSET(分析データ!B$1,MAX(1,ROW()-$C$7),0,MIN($C$7,ROW()-1),1)))/STDEV(OFFSET(分析データ!B$1,MAX(1,ROW()-$C$7),0,MIN($C$7,ROW()-1),1)),0))</f>
        <v>0.50637566856079996</v>
      </c>
      <c r="AU629">
        <f t="shared" ca="1" si="252"/>
        <v>0</v>
      </c>
      <c r="AV629" t="str">
        <f ca="1">IF(AU629=1,IF(INDEX(分析データ!$A:$A,ROW()+$C$5)&lt;&gt;"",80000*SIGN(AT629)*(分析データ!B629-INDEX(分析データ!B:B,ROW()+$C$5)),""),"")</f>
        <v/>
      </c>
      <c r="AW629">
        <f t="shared" ca="1" si="253"/>
        <v>-4999999.9999999925</v>
      </c>
      <c r="AX629">
        <f t="shared" ca="1" si="254"/>
        <v>0</v>
      </c>
      <c r="AY629">
        <f t="shared" ca="1" si="255"/>
        <v>-4999999.9999999925</v>
      </c>
      <c r="AZ629">
        <f ca="1">IF(ROW()&lt;($C$7+1),"",IFERROR((分析データ!C629-AVERAGE(OFFSET(分析データ!C$1,MAX(1,ROW()-$C$7),0,MIN($C$7,ROW()-1),1)))/STDEV(OFFSET(分析データ!C$1,MAX(1,ROW()-$C$7),0,MIN($C$7,ROW()-1),1)),0))</f>
        <v>-1.3542082537565425</v>
      </c>
      <c r="BA629">
        <f t="shared" ca="1" si="256"/>
        <v>0</v>
      </c>
      <c r="BB629" t="str">
        <f ca="1">IF(BA629=1,IF(INDEX(分析データ!$A:$A,ROW()+$C$5)&lt;&gt;"",60000*SIGN(AZ629)*(分析データ!C629-INDEX(分析データ!C:C,ROW()+$C$5)),""),"")</f>
        <v/>
      </c>
      <c r="BC629">
        <f t="shared" ca="1" si="257"/>
        <v>3075000.0000000102</v>
      </c>
      <c r="BD629">
        <f t="shared" ca="1" si="258"/>
        <v>3075000.0000000102</v>
      </c>
      <c r="BE629">
        <f t="shared" ca="1" si="259"/>
        <v>0</v>
      </c>
      <c r="BF629">
        <f ca="1">IF(ROW()&lt;($C$7+1),"",IFERROR((分析データ!D629-AVERAGE(OFFSET(分析データ!D$1,MAX(1,ROW()-$C$7),0,MIN($C$7,ROW()-1),1)))/STDEV(OFFSET(分析データ!D$1,MAX(1,ROW()-$C$7),0,MIN($C$7,ROW()-1),1)),0))</f>
        <v>-0.63764774711673755</v>
      </c>
      <c r="BG629">
        <f t="shared" ca="1" si="260"/>
        <v>0</v>
      </c>
      <c r="BH629" t="str">
        <f ca="1">IF(BG629=1,IF(INDEX(分析データ!$A:$A,ROW()+$C$5)&lt;&gt;"",50000*SIGN(BF629)*(分析データ!D629-INDEX(分析データ!D:D,ROW()+$C$5)),""),"")</f>
        <v/>
      </c>
      <c r="BI629">
        <f t="shared" ca="1" si="261"/>
        <v>195000.00000000582</v>
      </c>
      <c r="BJ629">
        <f t="shared" ca="1" si="262"/>
        <v>1695000.0000000016</v>
      </c>
      <c r="BK629">
        <f t="shared" ca="1" si="263"/>
        <v>-1499999.9999999958</v>
      </c>
      <c r="BL629">
        <f ca="1">IF(ROW()&lt;($C$7+1),"",IFERROR((分析データ!E629-AVERAGE(OFFSET(分析データ!E$1,MAX(1,ROW()-$C$7),0,MIN($C$7,ROW()-1),1)))/STDEV(OFFSET(分析データ!E$1,MAX(1,ROW()-$C$7),0,MIN($C$7,ROW()-1),1)),0))</f>
        <v>1.7781444682891112</v>
      </c>
      <c r="BM629">
        <f t="shared" ca="1" si="264"/>
        <v>0</v>
      </c>
      <c r="BN629" t="str">
        <f ca="1">IF(BM629=1,IF(INDEX(分析データ!$A:$A,ROW()+$C$5)&lt;&gt;"",40000*SIGN(BL629)*(分析データ!E629-INDEX(分析データ!E:E,ROW()+$C$5)),""),"")</f>
        <v/>
      </c>
      <c r="BO629">
        <f t="shared" ca="1" si="265"/>
        <v>2680000.0000000019</v>
      </c>
      <c r="BP629">
        <f t="shared" ca="1" si="266"/>
        <v>2680000.0000000019</v>
      </c>
      <c r="BQ629">
        <f t="shared" ca="1" si="267"/>
        <v>0</v>
      </c>
      <c r="BR629">
        <f ca="1">IF(ROW()&lt;($C$7+1),"",IFERROR((分析データ!F629-AVERAGE(OFFSET(分析データ!F$1,MAX(1,ROW()-$C$7),0,MIN($C$7,ROW()-1),1)))/STDEV(OFFSET(分析データ!F$1,MAX(1,ROW()-$C$7),0,MIN($C$7,ROW()-1),1)),0))</f>
        <v>-2.0204346683848895</v>
      </c>
      <c r="BS629">
        <f t="shared" ca="1" si="268"/>
        <v>1</v>
      </c>
      <c r="BT629">
        <f ca="1">IF(BS629=1,IF(INDEX(分析データ!$A:$A,ROW()+$C$5)&lt;&gt;"",40000*SIGN(BR629)*(分析データ!F629-INDEX(分析データ!F:F,ROW()+$C$5)),""),"")</f>
        <v>-315599.99999999948</v>
      </c>
      <c r="BU629">
        <f t="shared" ca="1" si="269"/>
        <v>10471599.999999996</v>
      </c>
      <c r="BV629">
        <f t="shared" ca="1" si="270"/>
        <v>11412399.999999998</v>
      </c>
      <c r="BW629">
        <f t="shared" ca="1" si="271"/>
        <v>-940800.00000000186</v>
      </c>
      <c r="BX629">
        <f ca="1">IF(ROW()&lt;($C$7+1),"",IFERROR((分析データ!G629-AVERAGE(OFFSET(分析データ!G$1,MAX(1,ROW()-$C$7),0,MIN($C$7,ROW()-1),1)))/STDEV(OFFSET(分析データ!G$1,MAX(1,ROW()-$C$7),0,MIN($C$7,ROW()-1),1)),0))</f>
        <v>1.4651056008443302</v>
      </c>
      <c r="BY629">
        <f t="shared" ca="1" si="272"/>
        <v>0</v>
      </c>
      <c r="BZ629" t="str">
        <f ca="1">IF(BY629=1,IF(INDEX(分析データ!$A:$A,ROW()+$C$5)&lt;&gt;"",40000*SIGN(BX629)*(分析データ!G629-INDEX(分析データ!G:G,ROW()+$C$5)),""),"")</f>
        <v/>
      </c>
      <c r="CA629">
        <f t="shared" ca="1" si="273"/>
        <v>-3078822.8710937295</v>
      </c>
      <c r="CB629">
        <f t="shared" ca="1" si="274"/>
        <v>11327520.000000004</v>
      </c>
      <c r="CC629">
        <f t="shared" ca="1" si="275"/>
        <v>-14406342.871093733</v>
      </c>
      <c r="CD629">
        <f t="shared" ca="1" si="276"/>
        <v>-315599.99999999948</v>
      </c>
      <c r="CE629">
        <f t="shared" ca="1" si="277"/>
        <v>8342777.1289063105</v>
      </c>
      <c r="CF629">
        <f t="shared" ca="1" si="278"/>
        <v>19067197.138671909</v>
      </c>
      <c r="CG629">
        <f t="shared" ca="1" si="279"/>
        <v>-10724420.009765599</v>
      </c>
      <c r="CH629" s="10">
        <f>分析データ!A629</f>
        <v>45846</v>
      </c>
    </row>
    <row r="630" spans="46:86">
      <c r="AT630">
        <f ca="1">IF(ROW()&lt;($C$7+1),"",IFERROR((分析データ!B630-AVERAGE(OFFSET(分析データ!B$1,MAX(1,ROW()-$C$7),0,MIN($C$7,ROW()-1),1)))/STDEV(OFFSET(分析データ!B$1,MAX(1,ROW()-$C$7),0,MIN($C$7,ROW()-1),1)),0))</f>
        <v>0.22074529822489564</v>
      </c>
      <c r="AU630">
        <f t="shared" ca="1" si="252"/>
        <v>0</v>
      </c>
      <c r="AV630" t="str">
        <f ca="1">IF(AU630=1,IF(INDEX(分析データ!$A:$A,ROW()+$C$5)&lt;&gt;"",80000*SIGN(AT630)*(分析データ!B630-INDEX(分析データ!B:B,ROW()+$C$5)),""),"")</f>
        <v/>
      </c>
      <c r="AW630">
        <f t="shared" ca="1" si="253"/>
        <v>-4999999.9999999925</v>
      </c>
      <c r="AX630">
        <f t="shared" ca="1" si="254"/>
        <v>0</v>
      </c>
      <c r="AY630">
        <f t="shared" ca="1" si="255"/>
        <v>-4999999.9999999925</v>
      </c>
      <c r="AZ630">
        <f ca="1">IF(ROW()&lt;($C$7+1),"",IFERROR((分析データ!C630-AVERAGE(OFFSET(分析データ!C$1,MAX(1,ROW()-$C$7),0,MIN($C$7,ROW()-1),1)))/STDEV(OFFSET(分析データ!C$1,MAX(1,ROW()-$C$7),0,MIN($C$7,ROW()-1),1)),0))</f>
        <v>-1.2487737344508674</v>
      </c>
      <c r="BA630">
        <f t="shared" ca="1" si="256"/>
        <v>0</v>
      </c>
      <c r="BB630" t="str">
        <f ca="1">IF(BA630=1,IF(INDEX(分析データ!$A:$A,ROW()+$C$5)&lt;&gt;"",60000*SIGN(AZ630)*(分析データ!C630-INDEX(分析データ!C:C,ROW()+$C$5)),""),"")</f>
        <v/>
      </c>
      <c r="BC630">
        <f t="shared" ca="1" si="257"/>
        <v>3075000.0000000102</v>
      </c>
      <c r="BD630">
        <f t="shared" ca="1" si="258"/>
        <v>3075000.0000000102</v>
      </c>
      <c r="BE630">
        <f t="shared" ca="1" si="259"/>
        <v>0</v>
      </c>
      <c r="BF630">
        <f ca="1">IF(ROW()&lt;($C$7+1),"",IFERROR((分析データ!D630-AVERAGE(OFFSET(分析データ!D$1,MAX(1,ROW()-$C$7),0,MIN($C$7,ROW()-1),1)))/STDEV(OFFSET(分析データ!D$1,MAX(1,ROW()-$C$7),0,MIN($C$7,ROW()-1),1)),0))</f>
        <v>-1.0618703675938723</v>
      </c>
      <c r="BG630">
        <f t="shared" ca="1" si="260"/>
        <v>0</v>
      </c>
      <c r="BH630" t="str">
        <f ca="1">IF(BG630=1,IF(INDEX(分析データ!$A:$A,ROW()+$C$5)&lt;&gt;"",50000*SIGN(BF630)*(分析データ!D630-INDEX(分析データ!D:D,ROW()+$C$5)),""),"")</f>
        <v/>
      </c>
      <c r="BI630">
        <f t="shared" ca="1" si="261"/>
        <v>195000.00000000582</v>
      </c>
      <c r="BJ630">
        <f t="shared" ca="1" si="262"/>
        <v>1695000.0000000016</v>
      </c>
      <c r="BK630">
        <f t="shared" ca="1" si="263"/>
        <v>-1499999.9999999958</v>
      </c>
      <c r="BL630">
        <f ca="1">IF(ROW()&lt;($C$7+1),"",IFERROR((分析データ!E630-AVERAGE(OFFSET(分析データ!E$1,MAX(1,ROW()-$C$7),0,MIN($C$7,ROW()-1),1)))/STDEV(OFFSET(分析データ!E$1,MAX(1,ROW()-$C$7),0,MIN($C$7,ROW()-1),1)),0))</f>
        <v>1.6762322782253214</v>
      </c>
      <c r="BM630">
        <f t="shared" ca="1" si="264"/>
        <v>0</v>
      </c>
      <c r="BN630" t="str">
        <f ca="1">IF(BM630=1,IF(INDEX(分析データ!$A:$A,ROW()+$C$5)&lt;&gt;"",40000*SIGN(BL630)*(分析データ!E630-INDEX(分析データ!E:E,ROW()+$C$5)),""),"")</f>
        <v/>
      </c>
      <c r="BO630">
        <f t="shared" ca="1" si="265"/>
        <v>2680000.0000000019</v>
      </c>
      <c r="BP630">
        <f t="shared" ca="1" si="266"/>
        <v>2680000.0000000019</v>
      </c>
      <c r="BQ630">
        <f t="shared" ca="1" si="267"/>
        <v>0</v>
      </c>
      <c r="BR630">
        <f ca="1">IF(ROW()&lt;($C$7+1),"",IFERROR((分析データ!F630-AVERAGE(OFFSET(分析データ!F$1,MAX(1,ROW()-$C$7),0,MIN($C$7,ROW()-1),1)))/STDEV(OFFSET(分析データ!F$1,MAX(1,ROW()-$C$7),0,MIN($C$7,ROW()-1),1)),0))</f>
        <v>-1.7377471757145293</v>
      </c>
      <c r="BS630">
        <f t="shared" ca="1" si="268"/>
        <v>0</v>
      </c>
      <c r="BT630" t="str">
        <f ca="1">IF(BS630=1,IF(INDEX(分析データ!$A:$A,ROW()+$C$5)&lt;&gt;"",40000*SIGN(BR630)*(分析データ!F630-INDEX(分析データ!F:F,ROW()+$C$5)),""),"")</f>
        <v/>
      </c>
      <c r="BU630">
        <f t="shared" ca="1" si="269"/>
        <v>10471599.999999996</v>
      </c>
      <c r="BV630">
        <f t="shared" ca="1" si="270"/>
        <v>11412399.999999998</v>
      </c>
      <c r="BW630">
        <f t="shared" ca="1" si="271"/>
        <v>-940800.00000000186</v>
      </c>
      <c r="BX630">
        <f ca="1">IF(ROW()&lt;($C$7+1),"",IFERROR((分析データ!G630-AVERAGE(OFFSET(分析データ!G$1,MAX(1,ROW()-$C$7),0,MIN($C$7,ROW()-1),1)))/STDEV(OFFSET(分析データ!G$1,MAX(1,ROW()-$C$7),0,MIN($C$7,ROW()-1),1)),0))</f>
        <v>2.3945709259192172</v>
      </c>
      <c r="BY630">
        <f t="shared" ca="1" si="272"/>
        <v>1</v>
      </c>
      <c r="BZ630">
        <f ca="1">IF(BY630=1,IF(INDEX(分析データ!$A:$A,ROW()+$C$5)&lt;&gt;"",40000*SIGN(BX630)*(分析データ!G630-INDEX(分析データ!G:G,ROW()+$C$5)),""),"")</f>
        <v>-990534.28710937395</v>
      </c>
      <c r="CA630">
        <f t="shared" ca="1" si="273"/>
        <v>-4069357.1582031036</v>
      </c>
      <c r="CB630">
        <f t="shared" ca="1" si="274"/>
        <v>11327520.000000004</v>
      </c>
      <c r="CC630">
        <f t="shared" ca="1" si="275"/>
        <v>-15396877.158203106</v>
      </c>
      <c r="CD630">
        <f t="shared" ca="1" si="276"/>
        <v>-990534.28710937395</v>
      </c>
      <c r="CE630">
        <f t="shared" ca="1" si="277"/>
        <v>7352242.8417969365</v>
      </c>
      <c r="CF630">
        <f t="shared" ca="1" si="278"/>
        <v>19067197.138671909</v>
      </c>
      <c r="CG630">
        <f t="shared" ca="1" si="279"/>
        <v>-11714954.296874972</v>
      </c>
      <c r="CH630" s="10">
        <f>分析データ!A630</f>
        <v>45847</v>
      </c>
    </row>
    <row r="631" spans="46:86">
      <c r="AT631">
        <f ca="1">IF(ROW()&lt;($C$7+1),"",IFERROR((分析データ!B631-AVERAGE(OFFSET(分析データ!B$1,MAX(1,ROW()-$C$7),0,MIN($C$7,ROW()-1),1)))/STDEV(OFFSET(分析データ!B$1,MAX(1,ROW()-$C$7),0,MIN($C$7,ROW()-1),1)),0))</f>
        <v>0.38257797905424851</v>
      </c>
      <c r="AU631">
        <f t="shared" ca="1" si="252"/>
        <v>0</v>
      </c>
      <c r="AV631" t="str">
        <f ca="1">IF(AU631=1,IF(INDEX(分析データ!$A:$A,ROW()+$C$5)&lt;&gt;"",80000*SIGN(AT631)*(分析データ!B631-INDEX(分析データ!B:B,ROW()+$C$5)),""),"")</f>
        <v/>
      </c>
      <c r="AW631">
        <f t="shared" ca="1" si="253"/>
        <v>-4999999.9999999925</v>
      </c>
      <c r="AX631">
        <f t="shared" ca="1" si="254"/>
        <v>0</v>
      </c>
      <c r="AY631">
        <f t="shared" ca="1" si="255"/>
        <v>-4999999.9999999925</v>
      </c>
      <c r="AZ631">
        <f ca="1">IF(ROW()&lt;($C$7+1),"",IFERROR((分析データ!C631-AVERAGE(OFFSET(分析データ!C$1,MAX(1,ROW()-$C$7),0,MIN($C$7,ROW()-1),1)))/STDEV(OFFSET(分析データ!C$1,MAX(1,ROW()-$C$7),0,MIN($C$7,ROW()-1),1)),0))</f>
        <v>-1.455000403995373</v>
      </c>
      <c r="BA631">
        <f t="shared" ca="1" si="256"/>
        <v>0</v>
      </c>
      <c r="BB631" t="str">
        <f ca="1">IF(BA631=1,IF(INDEX(分析データ!$A:$A,ROW()+$C$5)&lt;&gt;"",60000*SIGN(AZ631)*(分析データ!C631-INDEX(分析データ!C:C,ROW()+$C$5)),""),"")</f>
        <v/>
      </c>
      <c r="BC631">
        <f t="shared" ca="1" si="257"/>
        <v>3075000.0000000102</v>
      </c>
      <c r="BD631">
        <f t="shared" ca="1" si="258"/>
        <v>3075000.0000000102</v>
      </c>
      <c r="BE631">
        <f t="shared" ca="1" si="259"/>
        <v>0</v>
      </c>
      <c r="BF631">
        <f ca="1">IF(ROW()&lt;($C$7+1),"",IFERROR((分析データ!D631-AVERAGE(OFFSET(分析データ!D$1,MAX(1,ROW()-$C$7),0,MIN($C$7,ROW()-1),1)))/STDEV(OFFSET(分析データ!D$1,MAX(1,ROW()-$C$7),0,MIN($C$7,ROW()-1),1)),0))</f>
        <v>-0.967948811566264</v>
      </c>
      <c r="BG631">
        <f t="shared" ca="1" si="260"/>
        <v>0</v>
      </c>
      <c r="BH631" t="str">
        <f ca="1">IF(BG631=1,IF(INDEX(分析データ!$A:$A,ROW()+$C$5)&lt;&gt;"",50000*SIGN(BF631)*(分析データ!D631-INDEX(分析データ!D:D,ROW()+$C$5)),""),"")</f>
        <v/>
      </c>
      <c r="BI631">
        <f t="shared" ca="1" si="261"/>
        <v>195000.00000000582</v>
      </c>
      <c r="BJ631">
        <f t="shared" ca="1" si="262"/>
        <v>1695000.0000000016</v>
      </c>
      <c r="BK631">
        <f t="shared" ca="1" si="263"/>
        <v>-1499999.9999999958</v>
      </c>
      <c r="BL631">
        <f ca="1">IF(ROW()&lt;($C$7+1),"",IFERROR((分析データ!E631-AVERAGE(OFFSET(分析データ!E$1,MAX(1,ROW()-$C$7),0,MIN($C$7,ROW()-1),1)))/STDEV(OFFSET(分析データ!E$1,MAX(1,ROW()-$C$7),0,MIN($C$7,ROW()-1),1)),0))</f>
        <v>1.6622249317766755</v>
      </c>
      <c r="BM631">
        <f t="shared" ca="1" si="264"/>
        <v>0</v>
      </c>
      <c r="BN631" t="str">
        <f ca="1">IF(BM631=1,IF(INDEX(分析データ!$A:$A,ROW()+$C$5)&lt;&gt;"",40000*SIGN(BL631)*(分析データ!E631-INDEX(分析データ!E:E,ROW()+$C$5)),""),"")</f>
        <v/>
      </c>
      <c r="BO631">
        <f t="shared" ca="1" si="265"/>
        <v>2680000.0000000019</v>
      </c>
      <c r="BP631">
        <f t="shared" ca="1" si="266"/>
        <v>2680000.0000000019</v>
      </c>
      <c r="BQ631">
        <f t="shared" ca="1" si="267"/>
        <v>0</v>
      </c>
      <c r="BR631">
        <f ca="1">IF(ROW()&lt;($C$7+1),"",IFERROR((分析データ!F631-AVERAGE(OFFSET(分析データ!F$1,MAX(1,ROW()-$C$7),0,MIN($C$7,ROW()-1),1)))/STDEV(OFFSET(分析データ!F$1,MAX(1,ROW()-$C$7),0,MIN($C$7,ROW()-1),1)),0))</f>
        <v>-1.735425184506006</v>
      </c>
      <c r="BS631">
        <f t="shared" ca="1" si="268"/>
        <v>0</v>
      </c>
      <c r="BT631" t="str">
        <f ca="1">IF(BS631=1,IF(INDEX(分析データ!$A:$A,ROW()+$C$5)&lt;&gt;"",40000*SIGN(BR631)*(分析データ!F631-INDEX(分析データ!F:F,ROW()+$C$5)),""),"")</f>
        <v/>
      </c>
      <c r="BU631">
        <f t="shared" ca="1" si="269"/>
        <v>10471599.999999996</v>
      </c>
      <c r="BV631">
        <f t="shared" ca="1" si="270"/>
        <v>11412399.999999998</v>
      </c>
      <c r="BW631">
        <f t="shared" ca="1" si="271"/>
        <v>-940800.00000000186</v>
      </c>
      <c r="BX631">
        <f ca="1">IF(ROW()&lt;($C$7+1),"",IFERROR((分析データ!G631-AVERAGE(OFFSET(分析データ!G$1,MAX(1,ROW()-$C$7),0,MIN($C$7,ROW()-1),1)))/STDEV(OFFSET(分析データ!G$1,MAX(1,ROW()-$C$7),0,MIN($C$7,ROW()-1),1)),0))</f>
        <v>2.429293820077298</v>
      </c>
      <c r="BY631">
        <f t="shared" ca="1" si="272"/>
        <v>1</v>
      </c>
      <c r="BZ631">
        <f ca="1">IF(BY631=1,IF(INDEX(分析データ!$A:$A,ROW()+$C$5)&lt;&gt;"",40000*SIGN(BX631)*(分析データ!G631-INDEX(分析データ!G:G,ROW()+$C$5)),""),"")</f>
        <v>-789000.00000000314</v>
      </c>
      <c r="CA631">
        <f t="shared" ca="1" si="273"/>
        <v>-4858357.1582031064</v>
      </c>
      <c r="CB631">
        <f t="shared" ca="1" si="274"/>
        <v>11327520.000000004</v>
      </c>
      <c r="CC631">
        <f t="shared" ca="1" si="275"/>
        <v>-16185877.15820311</v>
      </c>
      <c r="CD631">
        <f t="shared" ca="1" si="276"/>
        <v>-789000.00000000314</v>
      </c>
      <c r="CE631">
        <f t="shared" ca="1" si="277"/>
        <v>6563242.8417969337</v>
      </c>
      <c r="CF631">
        <f t="shared" ca="1" si="278"/>
        <v>19067197.138671909</v>
      </c>
      <c r="CG631">
        <f t="shared" ca="1" si="279"/>
        <v>-12503954.296874974</v>
      </c>
      <c r="CH631" s="10">
        <f>分析データ!A631</f>
        <v>45848</v>
      </c>
    </row>
    <row r="632" spans="46:86">
      <c r="AT632">
        <f ca="1">IF(ROW()&lt;($C$7+1),"",IFERROR((分析データ!B632-AVERAGE(OFFSET(分析データ!B$1,MAX(1,ROW()-$C$7),0,MIN($C$7,ROW()-1),1)))/STDEV(OFFSET(分析データ!B$1,MAX(1,ROW()-$C$7),0,MIN($C$7,ROW()-1),1)),0))</f>
        <v>0.49020524597774262</v>
      </c>
      <c r="AU632">
        <f t="shared" ca="1" si="252"/>
        <v>0</v>
      </c>
      <c r="AV632" t="str">
        <f ca="1">IF(AU632=1,IF(INDEX(分析データ!$A:$A,ROW()+$C$5)&lt;&gt;"",80000*SIGN(AT632)*(分析データ!B632-INDEX(分析データ!B:B,ROW()+$C$5)),""),"")</f>
        <v/>
      </c>
      <c r="AW632">
        <f t="shared" ca="1" si="253"/>
        <v>-4999999.9999999925</v>
      </c>
      <c r="AX632">
        <f t="shared" ca="1" si="254"/>
        <v>0</v>
      </c>
      <c r="AY632">
        <f t="shared" ca="1" si="255"/>
        <v>-4999999.9999999925</v>
      </c>
      <c r="AZ632">
        <f ca="1">IF(ROW()&lt;($C$7+1),"",IFERROR((分析データ!C632-AVERAGE(OFFSET(分析データ!C$1,MAX(1,ROW()-$C$7),0,MIN($C$7,ROW()-1),1)))/STDEV(OFFSET(分析データ!C$1,MAX(1,ROW()-$C$7),0,MIN($C$7,ROW()-1),1)),0))</f>
        <v>-1.2203250373145484</v>
      </c>
      <c r="BA632">
        <f t="shared" ca="1" si="256"/>
        <v>0</v>
      </c>
      <c r="BB632" t="str">
        <f ca="1">IF(BA632=1,IF(INDEX(分析データ!$A:$A,ROW()+$C$5)&lt;&gt;"",60000*SIGN(AZ632)*(分析データ!C632-INDEX(分析データ!C:C,ROW()+$C$5)),""),"")</f>
        <v/>
      </c>
      <c r="BC632">
        <f t="shared" ca="1" si="257"/>
        <v>3075000.0000000102</v>
      </c>
      <c r="BD632">
        <f t="shared" ca="1" si="258"/>
        <v>3075000.0000000102</v>
      </c>
      <c r="BE632">
        <f t="shared" ca="1" si="259"/>
        <v>0</v>
      </c>
      <c r="BF632">
        <f ca="1">IF(ROW()&lt;($C$7+1),"",IFERROR((分析データ!D632-AVERAGE(OFFSET(分析データ!D$1,MAX(1,ROW()-$C$7),0,MIN($C$7,ROW()-1),1)))/STDEV(OFFSET(分析データ!D$1,MAX(1,ROW()-$C$7),0,MIN($C$7,ROW()-1),1)),0))</f>
        <v>-0.64021963341400567</v>
      </c>
      <c r="BG632">
        <f t="shared" ca="1" si="260"/>
        <v>0</v>
      </c>
      <c r="BH632" t="str">
        <f ca="1">IF(BG632=1,IF(INDEX(分析データ!$A:$A,ROW()+$C$5)&lt;&gt;"",50000*SIGN(BF632)*(分析データ!D632-INDEX(分析データ!D:D,ROW()+$C$5)),""),"")</f>
        <v/>
      </c>
      <c r="BI632">
        <f t="shared" ca="1" si="261"/>
        <v>195000.00000000582</v>
      </c>
      <c r="BJ632">
        <f t="shared" ca="1" si="262"/>
        <v>1695000.0000000016</v>
      </c>
      <c r="BK632">
        <f t="shared" ca="1" si="263"/>
        <v>-1499999.9999999958</v>
      </c>
      <c r="BL632">
        <f ca="1">IF(ROW()&lt;($C$7+1),"",IFERROR((分析データ!E632-AVERAGE(OFFSET(分析データ!E$1,MAX(1,ROW()-$C$7),0,MIN($C$7,ROW()-1),1)))/STDEV(OFFSET(分析データ!E$1,MAX(1,ROW()-$C$7),0,MIN($C$7,ROW()-1),1)),0))</f>
        <v>1.8252982886108891</v>
      </c>
      <c r="BM632">
        <f t="shared" ca="1" si="264"/>
        <v>0</v>
      </c>
      <c r="BN632" t="str">
        <f ca="1">IF(BM632=1,IF(INDEX(分析データ!$A:$A,ROW()+$C$5)&lt;&gt;"",40000*SIGN(BL632)*(分析データ!E632-INDEX(分析データ!E:E,ROW()+$C$5)),""),"")</f>
        <v/>
      </c>
      <c r="BO632">
        <f t="shared" ca="1" si="265"/>
        <v>2680000.0000000019</v>
      </c>
      <c r="BP632">
        <f t="shared" ca="1" si="266"/>
        <v>2680000.0000000019</v>
      </c>
      <c r="BQ632">
        <f t="shared" ca="1" si="267"/>
        <v>0</v>
      </c>
      <c r="BR632">
        <f ca="1">IF(ROW()&lt;($C$7+1),"",IFERROR((分析データ!F632-AVERAGE(OFFSET(分析データ!F$1,MAX(1,ROW()-$C$7),0,MIN($C$7,ROW()-1),1)))/STDEV(OFFSET(分析データ!F$1,MAX(1,ROW()-$C$7),0,MIN($C$7,ROW()-1),1)),0))</f>
        <v>-1.844297729689705</v>
      </c>
      <c r="BS632">
        <f t="shared" ca="1" si="268"/>
        <v>0</v>
      </c>
      <c r="BT632" t="str">
        <f ca="1">IF(BS632=1,IF(INDEX(分析データ!$A:$A,ROW()+$C$5)&lt;&gt;"",40000*SIGN(BR632)*(分析データ!F632-INDEX(分析データ!F:F,ROW()+$C$5)),""),"")</f>
        <v/>
      </c>
      <c r="BU632">
        <f t="shared" ca="1" si="269"/>
        <v>10471599.999999996</v>
      </c>
      <c r="BV632">
        <f t="shared" ca="1" si="270"/>
        <v>11412399.999999998</v>
      </c>
      <c r="BW632">
        <f t="shared" ca="1" si="271"/>
        <v>-940800.00000000186</v>
      </c>
      <c r="BX632">
        <f ca="1">IF(ROW()&lt;($C$7+1),"",IFERROR((分析データ!G632-AVERAGE(OFFSET(分析データ!G$1,MAX(1,ROW()-$C$7),0,MIN($C$7,ROW()-1),1)))/STDEV(OFFSET(分析データ!G$1,MAX(1,ROW()-$C$7),0,MIN($C$7,ROW()-1),1)),0))</f>
        <v>2.2071820522258552</v>
      </c>
      <c r="BY632">
        <f t="shared" ca="1" si="272"/>
        <v>1</v>
      </c>
      <c r="BZ632">
        <f ca="1">IF(BY632=1,IF(INDEX(分析データ!$A:$A,ROW()+$C$5)&lt;&gt;"",40000*SIGN(BX632)*(分析データ!G632-INDEX(分析データ!G:G,ROW()+$C$5)),""),"")</f>
        <v>-907127.14355468645</v>
      </c>
      <c r="CA632">
        <f t="shared" ca="1" si="273"/>
        <v>-5765484.3017577929</v>
      </c>
      <c r="CB632">
        <f t="shared" ca="1" si="274"/>
        <v>11327520.000000004</v>
      </c>
      <c r="CC632">
        <f t="shared" ca="1" si="275"/>
        <v>-17093004.301757798</v>
      </c>
      <c r="CD632">
        <f t="shared" ca="1" si="276"/>
        <v>-907127.14355468645</v>
      </c>
      <c r="CE632">
        <f t="shared" ca="1" si="277"/>
        <v>5656115.6982422471</v>
      </c>
      <c r="CF632">
        <f t="shared" ca="1" si="278"/>
        <v>19067197.138671909</v>
      </c>
      <c r="CG632">
        <f t="shared" ca="1" si="279"/>
        <v>-13411081.440429661</v>
      </c>
      <c r="CH632" s="10">
        <f>分析データ!A632</f>
        <v>45849</v>
      </c>
    </row>
    <row r="633" spans="46:86">
      <c r="AT633">
        <f ca="1">IF(ROW()&lt;($C$7+1),"",IFERROR((分析データ!B633-AVERAGE(OFFSET(分析データ!B$1,MAX(1,ROW()-$C$7),0,MIN($C$7,ROW()-1),1)))/STDEV(OFFSET(分析データ!B$1,MAX(1,ROW()-$C$7),0,MIN($C$7,ROW()-1),1)),0))</f>
        <v>0.42627566844528914</v>
      </c>
      <c r="AU633">
        <f t="shared" ca="1" si="252"/>
        <v>0</v>
      </c>
      <c r="AV633" t="str">
        <f ca="1">IF(AU633=1,IF(INDEX(分析データ!$A:$A,ROW()+$C$5)&lt;&gt;"",80000*SIGN(AT633)*(分析データ!B633-INDEX(分析データ!B:B,ROW()+$C$5)),""),"")</f>
        <v/>
      </c>
      <c r="AW633">
        <f t="shared" ca="1" si="253"/>
        <v>-4999999.9999999925</v>
      </c>
      <c r="AX633">
        <f t="shared" ca="1" si="254"/>
        <v>0</v>
      </c>
      <c r="AY633">
        <f t="shared" ca="1" si="255"/>
        <v>-4999999.9999999925</v>
      </c>
      <c r="AZ633">
        <f ca="1">IF(ROW()&lt;($C$7+1),"",IFERROR((分析データ!C633-AVERAGE(OFFSET(分析データ!C$1,MAX(1,ROW()-$C$7),0,MIN($C$7,ROW()-1),1)))/STDEV(OFFSET(分析データ!C$1,MAX(1,ROW()-$C$7),0,MIN($C$7,ROW()-1),1)),0))</f>
        <v>-1.0165664121558344</v>
      </c>
      <c r="BA633">
        <f t="shared" ca="1" si="256"/>
        <v>0</v>
      </c>
      <c r="BB633" t="str">
        <f ca="1">IF(BA633=1,IF(INDEX(分析データ!$A:$A,ROW()+$C$5)&lt;&gt;"",60000*SIGN(AZ633)*(分析データ!C633-INDEX(分析データ!C:C,ROW()+$C$5)),""),"")</f>
        <v/>
      </c>
      <c r="BC633">
        <f t="shared" ca="1" si="257"/>
        <v>3075000.0000000102</v>
      </c>
      <c r="BD633">
        <f t="shared" ca="1" si="258"/>
        <v>3075000.0000000102</v>
      </c>
      <c r="BE633">
        <f t="shared" ca="1" si="259"/>
        <v>0</v>
      </c>
      <c r="BF633">
        <f ca="1">IF(ROW()&lt;($C$7+1),"",IFERROR((分析データ!D633-AVERAGE(OFFSET(分析データ!D$1,MAX(1,ROW()-$C$7),0,MIN($C$7,ROW()-1),1)))/STDEV(OFFSET(分析データ!D$1,MAX(1,ROW()-$C$7),0,MIN($C$7,ROW()-1),1)),0))</f>
        <v>-0.9375200213115602</v>
      </c>
      <c r="BG633">
        <f t="shared" ca="1" si="260"/>
        <v>0</v>
      </c>
      <c r="BH633" t="str">
        <f ca="1">IF(BG633=1,IF(INDEX(分析データ!$A:$A,ROW()+$C$5)&lt;&gt;"",50000*SIGN(BF633)*(分析データ!D633-INDEX(分析データ!D:D,ROW()+$C$5)),""),"")</f>
        <v/>
      </c>
      <c r="BI633">
        <f t="shared" ca="1" si="261"/>
        <v>195000.00000000582</v>
      </c>
      <c r="BJ633">
        <f t="shared" ca="1" si="262"/>
        <v>1695000.0000000016</v>
      </c>
      <c r="BK633">
        <f t="shared" ca="1" si="263"/>
        <v>-1499999.9999999958</v>
      </c>
      <c r="BL633">
        <f ca="1">IF(ROW()&lt;($C$7+1),"",IFERROR((分析データ!E633-AVERAGE(OFFSET(分析データ!E$1,MAX(1,ROW()-$C$7),0,MIN($C$7,ROW()-1),1)))/STDEV(OFFSET(分析データ!E$1,MAX(1,ROW()-$C$7),0,MIN($C$7,ROW()-1),1)),0))</f>
        <v>1.8966266231746949</v>
      </c>
      <c r="BM633">
        <f t="shared" ca="1" si="264"/>
        <v>0</v>
      </c>
      <c r="BN633" t="str">
        <f ca="1">IF(BM633=1,IF(INDEX(分析データ!$A:$A,ROW()+$C$5)&lt;&gt;"",40000*SIGN(BL633)*(分析データ!E633-INDEX(分析データ!E:E,ROW()+$C$5)),""),"")</f>
        <v/>
      </c>
      <c r="BO633">
        <f t="shared" ca="1" si="265"/>
        <v>2680000.0000000019</v>
      </c>
      <c r="BP633">
        <f t="shared" ca="1" si="266"/>
        <v>2680000.0000000019</v>
      </c>
      <c r="BQ633">
        <f t="shared" ca="1" si="267"/>
        <v>0</v>
      </c>
      <c r="BR633">
        <f ca="1">IF(ROW()&lt;($C$7+1),"",IFERROR((分析データ!F633-AVERAGE(OFFSET(分析データ!F$1,MAX(1,ROW()-$C$7),0,MIN($C$7,ROW()-1),1)))/STDEV(OFFSET(分析データ!F$1,MAX(1,ROW()-$C$7),0,MIN($C$7,ROW()-1),1)),0))</f>
        <v>-1.9869440264460458</v>
      </c>
      <c r="BS633">
        <f t="shared" ca="1" si="268"/>
        <v>0</v>
      </c>
      <c r="BT633" t="str">
        <f ca="1">IF(BS633=1,IF(INDEX(分析データ!$A:$A,ROW()+$C$5)&lt;&gt;"",40000*SIGN(BR633)*(分析データ!F633-INDEX(分析データ!F:F,ROW()+$C$5)),""),"")</f>
        <v/>
      </c>
      <c r="BU633">
        <f t="shared" ca="1" si="269"/>
        <v>10471599.999999996</v>
      </c>
      <c r="BV633">
        <f t="shared" ca="1" si="270"/>
        <v>11412399.999999998</v>
      </c>
      <c r="BW633">
        <f t="shared" ca="1" si="271"/>
        <v>-940800.00000000186</v>
      </c>
      <c r="BX633">
        <f ca="1">IF(ROW()&lt;($C$7+1),"",IFERROR((分析データ!G633-AVERAGE(OFFSET(分析データ!G$1,MAX(1,ROW()-$C$7),0,MIN($C$7,ROW()-1),1)))/STDEV(OFFSET(分析データ!G$1,MAX(1,ROW()-$C$7),0,MIN($C$7,ROW()-1),1)),0))</f>
        <v>2.3701187788338403</v>
      </c>
      <c r="BY633">
        <f t="shared" ca="1" si="272"/>
        <v>1</v>
      </c>
      <c r="BZ633">
        <f ca="1">IF(BY633=1,IF(INDEX(分析データ!$A:$A,ROW()+$C$5)&lt;&gt;"",40000*SIGN(BX633)*(分析データ!G633-INDEX(分析データ!G:G,ROW()+$C$5)),""),"")</f>
        <v>-463127.14355468645</v>
      </c>
      <c r="CA633">
        <f t="shared" ca="1" si="273"/>
        <v>-6228611.4453124795</v>
      </c>
      <c r="CB633">
        <f t="shared" ca="1" si="274"/>
        <v>11327520.000000004</v>
      </c>
      <c r="CC633">
        <f t="shared" ca="1" si="275"/>
        <v>-17556131.445312485</v>
      </c>
      <c r="CD633">
        <f t="shared" ca="1" si="276"/>
        <v>-463127.14355468645</v>
      </c>
      <c r="CE633">
        <f t="shared" ca="1" si="277"/>
        <v>5192988.5546875605</v>
      </c>
      <c r="CF633">
        <f t="shared" ca="1" si="278"/>
        <v>19067197.138671909</v>
      </c>
      <c r="CG633">
        <f t="shared" ca="1" si="279"/>
        <v>-13874208.583984349</v>
      </c>
      <c r="CH633" s="10">
        <f>分析データ!A633</f>
        <v>45852</v>
      </c>
    </row>
    <row r="634" spans="46:86">
      <c r="AT634">
        <f ca="1">IF(ROW()&lt;($C$7+1),"",IFERROR((分析データ!B634-AVERAGE(OFFSET(分析データ!B$1,MAX(1,ROW()-$C$7),0,MIN($C$7,ROW()-1),1)))/STDEV(OFFSET(分析データ!B$1,MAX(1,ROW()-$C$7),0,MIN($C$7,ROW()-1),1)),0))</f>
        <v>0.71289397278234845</v>
      </c>
      <c r="AU634">
        <f t="shared" ca="1" si="252"/>
        <v>0</v>
      </c>
      <c r="AV634" t="str">
        <f ca="1">IF(AU634=1,IF(INDEX(分析データ!$A:$A,ROW()+$C$5)&lt;&gt;"",80000*SIGN(AT634)*(分析データ!B634-INDEX(分析データ!B:B,ROW()+$C$5)),""),"")</f>
        <v/>
      </c>
      <c r="AW634">
        <f t="shared" ca="1" si="253"/>
        <v>-4999999.9999999925</v>
      </c>
      <c r="AX634">
        <f t="shared" ca="1" si="254"/>
        <v>0</v>
      </c>
      <c r="AY634">
        <f t="shared" ca="1" si="255"/>
        <v>-4999999.9999999925</v>
      </c>
      <c r="AZ634">
        <f ca="1">IF(ROW()&lt;($C$7+1),"",IFERROR((分析データ!C634-AVERAGE(OFFSET(分析データ!C$1,MAX(1,ROW()-$C$7),0,MIN($C$7,ROW()-1),1)))/STDEV(OFFSET(分析データ!C$1,MAX(1,ROW()-$C$7),0,MIN($C$7,ROW()-1),1)),0))</f>
        <v>-0.91149800293230543</v>
      </c>
      <c r="BA634">
        <f t="shared" ca="1" si="256"/>
        <v>0</v>
      </c>
      <c r="BB634" t="str">
        <f ca="1">IF(BA634=1,IF(INDEX(分析データ!$A:$A,ROW()+$C$5)&lt;&gt;"",60000*SIGN(AZ634)*(分析データ!C634-INDEX(分析データ!C:C,ROW()+$C$5)),""),"")</f>
        <v/>
      </c>
      <c r="BC634">
        <f t="shared" ca="1" si="257"/>
        <v>3075000.0000000102</v>
      </c>
      <c r="BD634">
        <f t="shared" ca="1" si="258"/>
        <v>3075000.0000000102</v>
      </c>
      <c r="BE634">
        <f t="shared" ca="1" si="259"/>
        <v>0</v>
      </c>
      <c r="BF634">
        <f ca="1">IF(ROW()&lt;($C$7+1),"",IFERROR((分析データ!D634-AVERAGE(OFFSET(分析データ!D$1,MAX(1,ROW()-$C$7),0,MIN($C$7,ROW()-1),1)))/STDEV(OFFSET(分析データ!D$1,MAX(1,ROW()-$C$7),0,MIN($C$7,ROW()-1),1)),0))</f>
        <v>-0.67798924756068657</v>
      </c>
      <c r="BG634">
        <f t="shared" ca="1" si="260"/>
        <v>0</v>
      </c>
      <c r="BH634" t="str">
        <f ca="1">IF(BG634=1,IF(INDEX(分析データ!$A:$A,ROW()+$C$5)&lt;&gt;"",50000*SIGN(BF634)*(分析データ!D634-INDEX(分析データ!D:D,ROW()+$C$5)),""),"")</f>
        <v/>
      </c>
      <c r="BI634">
        <f t="shared" ca="1" si="261"/>
        <v>195000.00000000582</v>
      </c>
      <c r="BJ634">
        <f t="shared" ca="1" si="262"/>
        <v>1695000.0000000016</v>
      </c>
      <c r="BK634">
        <f t="shared" ca="1" si="263"/>
        <v>-1499999.9999999958</v>
      </c>
      <c r="BL634">
        <f ca="1">IF(ROW()&lt;($C$7+1),"",IFERROR((分析データ!E634-AVERAGE(OFFSET(分析データ!E$1,MAX(1,ROW()-$C$7),0,MIN($C$7,ROW()-1),1)))/STDEV(OFFSET(分析データ!E$1,MAX(1,ROW()-$C$7),0,MIN($C$7,ROW()-1),1)),0))</f>
        <v>1.8804762422124968</v>
      </c>
      <c r="BM634">
        <f t="shared" ca="1" si="264"/>
        <v>0</v>
      </c>
      <c r="BN634" t="str">
        <f ca="1">IF(BM634=1,IF(INDEX(分析データ!$A:$A,ROW()+$C$5)&lt;&gt;"",40000*SIGN(BL634)*(分析データ!E634-INDEX(分析データ!E:E,ROW()+$C$5)),""),"")</f>
        <v/>
      </c>
      <c r="BO634">
        <f t="shared" ca="1" si="265"/>
        <v>2680000.0000000019</v>
      </c>
      <c r="BP634">
        <f t="shared" ca="1" si="266"/>
        <v>2680000.0000000019</v>
      </c>
      <c r="BQ634">
        <f t="shared" ca="1" si="267"/>
        <v>0</v>
      </c>
      <c r="BR634">
        <f ca="1">IF(ROW()&lt;($C$7+1),"",IFERROR((分析データ!F634-AVERAGE(OFFSET(分析データ!F$1,MAX(1,ROW()-$C$7),0,MIN($C$7,ROW()-1),1)))/STDEV(OFFSET(分析データ!F$1,MAX(1,ROW()-$C$7),0,MIN($C$7,ROW()-1),1)),0))</f>
        <v>-2.3173971235471522</v>
      </c>
      <c r="BS634">
        <f t="shared" ca="1" si="268"/>
        <v>1</v>
      </c>
      <c r="BT634">
        <f ca="1">IF(BS634=1,IF(INDEX(分析データ!$A:$A,ROW()+$C$5)&lt;&gt;"",40000*SIGN(BR634)*(分析データ!F634-INDEX(分析データ!F:F,ROW()+$C$5)),""),"")</f>
        <v>498000.0000000018</v>
      </c>
      <c r="BU634">
        <f t="shared" ca="1" si="269"/>
        <v>10969599.999999998</v>
      </c>
      <c r="BV634">
        <f t="shared" ca="1" si="270"/>
        <v>11412399.999999998</v>
      </c>
      <c r="BW634">
        <f t="shared" ca="1" si="271"/>
        <v>-442800</v>
      </c>
      <c r="BX634">
        <f ca="1">IF(ROW()&lt;($C$7+1),"",IFERROR((分析データ!G634-AVERAGE(OFFSET(分析データ!G$1,MAX(1,ROW()-$C$7),0,MIN($C$7,ROW()-1),1)))/STDEV(OFFSET(分析データ!G$1,MAX(1,ROW()-$C$7),0,MIN($C$7,ROW()-1),1)),0))</f>
        <v>2.5591326727158528</v>
      </c>
      <c r="BY634">
        <f t="shared" ca="1" si="272"/>
        <v>1</v>
      </c>
      <c r="BZ634">
        <f ca="1">IF(BY634=1,IF(INDEX(分析データ!$A:$A,ROW()+$C$5)&lt;&gt;"",40000*SIGN(BX634)*(分析データ!G634-INDEX(分析データ!G:G,ROW()+$C$5)),""),"")</f>
        <v>166701.43066405784</v>
      </c>
      <c r="CA634">
        <f t="shared" ca="1" si="273"/>
        <v>-6061910.0146484217</v>
      </c>
      <c r="CB634">
        <f t="shared" ca="1" si="274"/>
        <v>11327520.000000004</v>
      </c>
      <c r="CC634">
        <f t="shared" ca="1" si="275"/>
        <v>-17389430.014648426</v>
      </c>
      <c r="CD634">
        <f t="shared" ca="1" si="276"/>
        <v>664701.43066405971</v>
      </c>
      <c r="CE634">
        <f t="shared" ca="1" si="277"/>
        <v>5857689.9853516202</v>
      </c>
      <c r="CF634">
        <f t="shared" ca="1" si="278"/>
        <v>19067197.138671909</v>
      </c>
      <c r="CG634">
        <f t="shared" ca="1" si="279"/>
        <v>-13209507.153320288</v>
      </c>
      <c r="CH634" s="10">
        <f>分析データ!A634</f>
        <v>45853</v>
      </c>
    </row>
    <row r="635" spans="46:86">
      <c r="AT635">
        <f ca="1">IF(ROW()&lt;($C$7+1),"",IFERROR((分析データ!B635-AVERAGE(OFFSET(分析データ!B$1,MAX(1,ROW()-$C$7),0,MIN($C$7,ROW()-1),1)))/STDEV(OFFSET(分析データ!B$1,MAX(1,ROW()-$C$7),0,MIN($C$7,ROW()-1),1)),0))</f>
        <v>0.64917230986883978</v>
      </c>
      <c r="AU635">
        <f t="shared" ca="1" si="252"/>
        <v>0</v>
      </c>
      <c r="AV635" t="str">
        <f ca="1">IF(AU635=1,IF(INDEX(分析データ!$A:$A,ROW()+$C$5)&lt;&gt;"",80000*SIGN(AT635)*(分析データ!B635-INDEX(分析データ!B:B,ROW()+$C$5)),""),"")</f>
        <v/>
      </c>
      <c r="AW635">
        <f t="shared" ca="1" si="253"/>
        <v>-4999999.9999999925</v>
      </c>
      <c r="AX635">
        <f t="shared" ca="1" si="254"/>
        <v>0</v>
      </c>
      <c r="AY635">
        <f t="shared" ca="1" si="255"/>
        <v>-4999999.9999999925</v>
      </c>
      <c r="AZ635">
        <f ca="1">IF(ROW()&lt;($C$7+1),"",IFERROR((分析データ!C635-AVERAGE(OFFSET(分析データ!C$1,MAX(1,ROW()-$C$7),0,MIN($C$7,ROW()-1),1)))/STDEV(OFFSET(分析データ!C$1,MAX(1,ROW()-$C$7),0,MIN($C$7,ROW()-1),1)),0))</f>
        <v>-0.5344494357895101</v>
      </c>
      <c r="BA635">
        <f t="shared" ca="1" si="256"/>
        <v>0</v>
      </c>
      <c r="BB635" t="str">
        <f ca="1">IF(BA635=1,IF(INDEX(分析データ!$A:$A,ROW()+$C$5)&lt;&gt;"",60000*SIGN(AZ635)*(分析データ!C635-INDEX(分析データ!C:C,ROW()+$C$5)),""),"")</f>
        <v/>
      </c>
      <c r="BC635">
        <f t="shared" ca="1" si="257"/>
        <v>3075000.0000000102</v>
      </c>
      <c r="BD635">
        <f t="shared" ca="1" si="258"/>
        <v>3075000.0000000102</v>
      </c>
      <c r="BE635">
        <f t="shared" ca="1" si="259"/>
        <v>0</v>
      </c>
      <c r="BF635">
        <f ca="1">IF(ROW()&lt;($C$7+1),"",IFERROR((分析データ!D635-AVERAGE(OFFSET(分析データ!D$1,MAX(1,ROW()-$C$7),0,MIN($C$7,ROW()-1),1)))/STDEV(OFFSET(分析データ!D$1,MAX(1,ROW()-$C$7),0,MIN($C$7,ROW()-1),1)),0))</f>
        <v>-0.7956040155479368</v>
      </c>
      <c r="BG635">
        <f t="shared" ca="1" si="260"/>
        <v>0</v>
      </c>
      <c r="BH635" t="str">
        <f ca="1">IF(BG635=1,IF(INDEX(分析データ!$A:$A,ROW()+$C$5)&lt;&gt;"",50000*SIGN(BF635)*(分析データ!D635-INDEX(分析データ!D:D,ROW()+$C$5)),""),"")</f>
        <v/>
      </c>
      <c r="BI635">
        <f t="shared" ca="1" si="261"/>
        <v>195000.00000000582</v>
      </c>
      <c r="BJ635">
        <f t="shared" ca="1" si="262"/>
        <v>1695000.0000000016</v>
      </c>
      <c r="BK635">
        <f t="shared" ca="1" si="263"/>
        <v>-1499999.9999999958</v>
      </c>
      <c r="BL635">
        <f ca="1">IF(ROW()&lt;($C$7+1),"",IFERROR((分析データ!E635-AVERAGE(OFFSET(分析データ!E$1,MAX(1,ROW()-$C$7),0,MIN($C$7,ROW()-1),1)))/STDEV(OFFSET(分析データ!E$1,MAX(1,ROW()-$C$7),0,MIN($C$7,ROW()-1),1)),0))</f>
        <v>2.0369610140086669</v>
      </c>
      <c r="BM635">
        <f t="shared" ca="1" si="264"/>
        <v>1</v>
      </c>
      <c r="BN635">
        <f ca="1">IF(BM635=1,IF(INDEX(分析データ!$A:$A,ROW()+$C$5)&lt;&gt;"",40000*SIGN(BL635)*(分析データ!E635-INDEX(分析データ!E:E,ROW()+$C$5)),""),"")</f>
        <v>199999.99999999916</v>
      </c>
      <c r="BO635">
        <f t="shared" ca="1" si="265"/>
        <v>2880000.0000000009</v>
      </c>
      <c r="BP635">
        <f t="shared" ca="1" si="266"/>
        <v>2880000.0000000009</v>
      </c>
      <c r="BQ635">
        <f t="shared" ca="1" si="267"/>
        <v>0</v>
      </c>
      <c r="BR635">
        <f ca="1">IF(ROW()&lt;($C$7+1),"",IFERROR((分析データ!F635-AVERAGE(OFFSET(分析データ!F$1,MAX(1,ROW()-$C$7),0,MIN($C$7,ROW()-1),1)))/STDEV(OFFSET(分析データ!F$1,MAX(1,ROW()-$C$7),0,MIN($C$7,ROW()-1),1)),0))</f>
        <v>-2.1043043460621331</v>
      </c>
      <c r="BS635">
        <f t="shared" ca="1" si="268"/>
        <v>1</v>
      </c>
      <c r="BT635">
        <f ca="1">IF(BS635=1,IF(INDEX(分析データ!$A:$A,ROW()+$C$5)&lt;&gt;"",40000*SIGN(BR635)*(分析データ!F635-INDEX(分析データ!F:F,ROW()+$C$5)),""),"")</f>
        <v>216400.00000000099</v>
      </c>
      <c r="BU635">
        <f t="shared" ca="1" si="269"/>
        <v>11186000</v>
      </c>
      <c r="BV635">
        <f t="shared" ca="1" si="270"/>
        <v>11412399.999999998</v>
      </c>
      <c r="BW635">
        <f t="shared" ca="1" si="271"/>
        <v>-226399.99999999814</v>
      </c>
      <c r="BX635">
        <f ca="1">IF(ROW()&lt;($C$7+1),"",IFERROR((分析データ!G635-AVERAGE(OFFSET(分析データ!G$1,MAX(1,ROW()-$C$7),0,MIN($C$7,ROW()-1),1)))/STDEV(OFFSET(分析データ!G$1,MAX(1,ROW()-$C$7),0,MIN($C$7,ROW()-1),1)),0))</f>
        <v>2.3623516517598908</v>
      </c>
      <c r="BY635">
        <f t="shared" ca="1" si="272"/>
        <v>1</v>
      </c>
      <c r="BZ635">
        <f ca="1">IF(BY635=1,IF(INDEX(分析データ!$A:$A,ROW()+$C$5)&lt;&gt;"",40000*SIGN(BX635)*(分析データ!G635-INDEX(分析データ!G:G,ROW()+$C$5)),""),"")</f>
        <v>-33440.000000005908</v>
      </c>
      <c r="CA635">
        <f t="shared" ca="1" si="273"/>
        <v>-6095350.0146484273</v>
      </c>
      <c r="CB635">
        <f t="shared" ca="1" si="274"/>
        <v>11327520.000000004</v>
      </c>
      <c r="CC635">
        <f t="shared" ca="1" si="275"/>
        <v>-17422870.01464843</v>
      </c>
      <c r="CD635">
        <f t="shared" ca="1" si="276"/>
        <v>382959.99999999418</v>
      </c>
      <c r="CE635">
        <f t="shared" ca="1" si="277"/>
        <v>6240649.9853516147</v>
      </c>
      <c r="CF635">
        <f t="shared" ca="1" si="278"/>
        <v>19067197.138671909</v>
      </c>
      <c r="CG635">
        <f t="shared" ca="1" si="279"/>
        <v>-12826547.153320294</v>
      </c>
      <c r="CH635" s="10">
        <f>分析データ!A635</f>
        <v>45854</v>
      </c>
    </row>
    <row r="636" spans="46:86">
      <c r="AT636">
        <f ca="1">IF(ROW()&lt;($C$7+1),"",IFERROR((分析データ!B636-AVERAGE(OFFSET(分析データ!B$1,MAX(1,ROW()-$C$7),0,MIN($C$7,ROW()-1),1)))/STDEV(OFFSET(分析データ!B$1,MAX(1,ROW()-$C$7),0,MIN($C$7,ROW()-1),1)),0))</f>
        <v>0.58404954499409345</v>
      </c>
      <c r="AU636">
        <f t="shared" ca="1" si="252"/>
        <v>0</v>
      </c>
      <c r="AV636" t="str">
        <f ca="1">IF(AU636=1,IF(INDEX(分析データ!$A:$A,ROW()+$C$5)&lt;&gt;"",80000*SIGN(AT636)*(分析データ!B636-INDEX(分析データ!B:B,ROW()+$C$5)),""),"")</f>
        <v/>
      </c>
      <c r="AW636">
        <f t="shared" ca="1" si="253"/>
        <v>-4999999.9999999925</v>
      </c>
      <c r="AX636">
        <f t="shared" ca="1" si="254"/>
        <v>0</v>
      </c>
      <c r="AY636">
        <f t="shared" ca="1" si="255"/>
        <v>-4999999.9999999925</v>
      </c>
      <c r="AZ636">
        <f ca="1">IF(ROW()&lt;($C$7+1),"",IFERROR((分析データ!C636-AVERAGE(OFFSET(分析データ!C$1,MAX(1,ROW()-$C$7),0,MIN($C$7,ROW()-1),1)))/STDEV(OFFSET(分析データ!C$1,MAX(1,ROW()-$C$7),0,MIN($C$7,ROW()-1),1)),0))</f>
        <v>-0.83934152807982088</v>
      </c>
      <c r="BA636">
        <f t="shared" ca="1" si="256"/>
        <v>0</v>
      </c>
      <c r="BB636" t="str">
        <f ca="1">IF(BA636=1,IF(INDEX(分析データ!$A:$A,ROW()+$C$5)&lt;&gt;"",60000*SIGN(AZ636)*(分析データ!C636-INDEX(分析データ!C:C,ROW()+$C$5)),""),"")</f>
        <v/>
      </c>
      <c r="BC636">
        <f t="shared" ca="1" si="257"/>
        <v>3075000.0000000102</v>
      </c>
      <c r="BD636">
        <f t="shared" ca="1" si="258"/>
        <v>3075000.0000000102</v>
      </c>
      <c r="BE636">
        <f t="shared" ca="1" si="259"/>
        <v>0</v>
      </c>
      <c r="BF636">
        <f ca="1">IF(ROW()&lt;($C$7+1),"",IFERROR((分析データ!D636-AVERAGE(OFFSET(分析データ!D$1,MAX(1,ROW()-$C$7),0,MIN($C$7,ROW()-1),1)))/STDEV(OFFSET(分析データ!D$1,MAX(1,ROW()-$C$7),0,MIN($C$7,ROW()-1),1)),0))</f>
        <v>-0.68233251600483324</v>
      </c>
      <c r="BG636">
        <f t="shared" ca="1" si="260"/>
        <v>0</v>
      </c>
      <c r="BH636" t="str">
        <f ca="1">IF(BG636=1,IF(INDEX(分析データ!$A:$A,ROW()+$C$5)&lt;&gt;"",50000*SIGN(BF636)*(分析データ!D636-INDEX(分析データ!D:D,ROW()+$C$5)),""),"")</f>
        <v/>
      </c>
      <c r="BI636">
        <f t="shared" ca="1" si="261"/>
        <v>195000.00000000582</v>
      </c>
      <c r="BJ636">
        <f t="shared" ca="1" si="262"/>
        <v>1695000.0000000016</v>
      </c>
      <c r="BK636">
        <f t="shared" ca="1" si="263"/>
        <v>-1499999.9999999958</v>
      </c>
      <c r="BL636">
        <f ca="1">IF(ROW()&lt;($C$7+1),"",IFERROR((分析データ!E636-AVERAGE(OFFSET(分析データ!E$1,MAX(1,ROW()-$C$7),0,MIN($C$7,ROW()-1),1)))/STDEV(OFFSET(分析データ!E$1,MAX(1,ROW()-$C$7),0,MIN($C$7,ROW()-1),1)),0))</f>
        <v>1.9281520750126864</v>
      </c>
      <c r="BM636">
        <f t="shared" ca="1" si="264"/>
        <v>0</v>
      </c>
      <c r="BN636" t="str">
        <f ca="1">IF(BM636=1,IF(INDEX(分析データ!$A:$A,ROW()+$C$5)&lt;&gt;"",40000*SIGN(BL636)*(分析データ!E636-INDEX(分析データ!E:E,ROW()+$C$5)),""),"")</f>
        <v/>
      </c>
      <c r="BO636">
        <f t="shared" ca="1" si="265"/>
        <v>2880000.0000000009</v>
      </c>
      <c r="BP636">
        <f t="shared" ca="1" si="266"/>
        <v>2880000.0000000009</v>
      </c>
      <c r="BQ636">
        <f t="shared" ca="1" si="267"/>
        <v>0</v>
      </c>
      <c r="BR636">
        <f ca="1">IF(ROW()&lt;($C$7+1),"",IFERROR((分析データ!F636-AVERAGE(OFFSET(分析データ!F$1,MAX(1,ROW()-$C$7),0,MIN($C$7,ROW()-1),1)))/STDEV(OFFSET(分析データ!F$1,MAX(1,ROW()-$C$7),0,MIN($C$7,ROW()-1),1)),0))</f>
        <v>-2.2439070046904876</v>
      </c>
      <c r="BS636">
        <f t="shared" ca="1" si="268"/>
        <v>1</v>
      </c>
      <c r="BT636">
        <f ca="1">IF(BS636=1,IF(INDEX(分析データ!$A:$A,ROW()+$C$5)&lt;&gt;"",40000*SIGN(BR636)*(分析データ!F636-INDEX(分析データ!F:F,ROW()+$C$5)),""),"")</f>
        <v>596799.99999999837</v>
      </c>
      <c r="BU636">
        <f t="shared" ca="1" si="269"/>
        <v>11782799.999999998</v>
      </c>
      <c r="BV636">
        <f t="shared" ca="1" si="270"/>
        <v>11782799.999999998</v>
      </c>
      <c r="BW636">
        <f t="shared" ca="1" si="271"/>
        <v>0</v>
      </c>
      <c r="BX636">
        <f ca="1">IF(ROW()&lt;($C$7+1),"",IFERROR((分析データ!G636-AVERAGE(OFFSET(分析データ!G$1,MAX(1,ROW()-$C$7),0,MIN($C$7,ROW()-1),1)))/STDEV(OFFSET(分析データ!G$1,MAX(1,ROW()-$C$7),0,MIN($C$7,ROW()-1),1)),0))</f>
        <v>2.5403256098557363</v>
      </c>
      <c r="BY636">
        <f t="shared" ca="1" si="272"/>
        <v>1</v>
      </c>
      <c r="BZ636">
        <f ca="1">IF(BY636=1,IF(INDEX(分析データ!$A:$A,ROW()+$C$5)&lt;&gt;"",40000*SIGN(BX636)*(分析データ!G636-INDEX(分析データ!G:G,ROW()+$C$5)),""),"")</f>
        <v>407279.99999999639</v>
      </c>
      <c r="CA636">
        <f t="shared" ca="1" si="273"/>
        <v>-5688070.014648431</v>
      </c>
      <c r="CB636">
        <f t="shared" ca="1" si="274"/>
        <v>11327520.000000004</v>
      </c>
      <c r="CC636">
        <f t="shared" ca="1" si="275"/>
        <v>-17015590.014648434</v>
      </c>
      <c r="CD636">
        <f t="shared" ca="1" si="276"/>
        <v>1004079.9999999948</v>
      </c>
      <c r="CE636">
        <f t="shared" ca="1" si="277"/>
        <v>7244729.9853516091</v>
      </c>
      <c r="CF636">
        <f t="shared" ca="1" si="278"/>
        <v>19067197.138671909</v>
      </c>
      <c r="CG636">
        <f t="shared" ca="1" si="279"/>
        <v>-11822467.153320299</v>
      </c>
      <c r="CH636" s="10">
        <f>分析データ!A636</f>
        <v>45855</v>
      </c>
    </row>
    <row r="637" spans="46:86">
      <c r="AT637">
        <f ca="1">IF(ROW()&lt;($C$7+1),"",IFERROR((分析データ!B637-AVERAGE(OFFSET(分析データ!B$1,MAX(1,ROW()-$C$7),0,MIN($C$7,ROW()-1),1)))/STDEV(OFFSET(分析データ!B$1,MAX(1,ROW()-$C$7),0,MIN($C$7,ROW()-1),1)),0))</f>
        <v>0.45719596412754171</v>
      </c>
      <c r="AU637">
        <f t="shared" ca="1" si="252"/>
        <v>0</v>
      </c>
      <c r="AV637" t="str">
        <f ca="1">IF(AU637=1,IF(INDEX(分析データ!$A:$A,ROW()+$C$5)&lt;&gt;"",80000*SIGN(AT637)*(分析データ!B637-INDEX(分析データ!B:B,ROW()+$C$5)),""),"")</f>
        <v/>
      </c>
      <c r="AW637">
        <f t="shared" ca="1" si="253"/>
        <v>-4999999.9999999925</v>
      </c>
      <c r="AX637">
        <f t="shared" ca="1" si="254"/>
        <v>0</v>
      </c>
      <c r="AY637">
        <f t="shared" ca="1" si="255"/>
        <v>-4999999.9999999925</v>
      </c>
      <c r="AZ637">
        <f ca="1">IF(ROW()&lt;($C$7+1),"",IFERROR((分析データ!C637-AVERAGE(OFFSET(分析データ!C$1,MAX(1,ROW()-$C$7),0,MIN($C$7,ROW()-1),1)))/STDEV(OFFSET(分析データ!C$1,MAX(1,ROW()-$C$7),0,MIN($C$7,ROW()-1),1)),0))</f>
        <v>-1.0978289037904279</v>
      </c>
      <c r="BA637">
        <f t="shared" ca="1" si="256"/>
        <v>0</v>
      </c>
      <c r="BB637" t="str">
        <f ca="1">IF(BA637=1,IF(INDEX(分析データ!$A:$A,ROW()+$C$5)&lt;&gt;"",60000*SIGN(AZ637)*(分析データ!C637-INDEX(分析データ!C:C,ROW()+$C$5)),""),"")</f>
        <v/>
      </c>
      <c r="BC637">
        <f t="shared" ca="1" si="257"/>
        <v>3075000.0000000102</v>
      </c>
      <c r="BD637">
        <f t="shared" ca="1" si="258"/>
        <v>3075000.0000000102</v>
      </c>
      <c r="BE637">
        <f t="shared" ca="1" si="259"/>
        <v>0</v>
      </c>
      <c r="BF637">
        <f ca="1">IF(ROW()&lt;($C$7+1),"",IFERROR((分析データ!D637-AVERAGE(OFFSET(分析データ!D$1,MAX(1,ROW()-$C$7),0,MIN($C$7,ROW()-1),1)))/STDEV(OFFSET(分析データ!D$1,MAX(1,ROW()-$C$7),0,MIN($C$7,ROW()-1),1)),0))</f>
        <v>-0.66378266671526831</v>
      </c>
      <c r="BG637">
        <f t="shared" ca="1" si="260"/>
        <v>0</v>
      </c>
      <c r="BH637" t="str">
        <f ca="1">IF(BG637=1,IF(INDEX(分析データ!$A:$A,ROW()+$C$5)&lt;&gt;"",50000*SIGN(BF637)*(分析データ!D637-INDEX(分析データ!D:D,ROW()+$C$5)),""),"")</f>
        <v/>
      </c>
      <c r="BI637">
        <f t="shared" ca="1" si="261"/>
        <v>195000.00000000582</v>
      </c>
      <c r="BJ637">
        <f t="shared" ca="1" si="262"/>
        <v>1695000.0000000016</v>
      </c>
      <c r="BK637">
        <f t="shared" ca="1" si="263"/>
        <v>-1499999.9999999958</v>
      </c>
      <c r="BL637">
        <f ca="1">IF(ROW()&lt;($C$7+1),"",IFERROR((分析データ!E637-AVERAGE(OFFSET(分析データ!E$1,MAX(1,ROW()-$C$7),0,MIN($C$7,ROW()-1),1)))/STDEV(OFFSET(分析データ!E$1,MAX(1,ROW()-$C$7),0,MIN($C$7,ROW()-1),1)),0))</f>
        <v>2.0803343758325763</v>
      </c>
      <c r="BM637">
        <f t="shared" ca="1" si="264"/>
        <v>1</v>
      </c>
      <c r="BN637">
        <f ca="1">IF(BM637=1,IF(INDEX(分析データ!$A:$A,ROW()+$C$5)&lt;&gt;"",40000*SIGN(BL637)*(分析データ!E637-INDEX(分析データ!E:E,ROW()+$C$5)),""),"")</f>
        <v>80000</v>
      </c>
      <c r="BO637">
        <f t="shared" ca="1" si="265"/>
        <v>2960000.0000000009</v>
      </c>
      <c r="BP637">
        <f t="shared" ca="1" si="266"/>
        <v>2960000.0000000009</v>
      </c>
      <c r="BQ637">
        <f t="shared" ca="1" si="267"/>
        <v>0</v>
      </c>
      <c r="BR637">
        <f ca="1">IF(ROW()&lt;($C$7+1),"",IFERROR((分析データ!F637-AVERAGE(OFFSET(分析データ!F$1,MAX(1,ROW()-$C$7),0,MIN($C$7,ROW()-1),1)))/STDEV(OFFSET(分析データ!F$1,MAX(1,ROW()-$C$7),0,MIN($C$7,ROW()-1),1)),0))</f>
        <v>-2.002408315820952</v>
      </c>
      <c r="BS637">
        <f t="shared" ca="1" si="268"/>
        <v>1</v>
      </c>
      <c r="BT637">
        <f ca="1">IF(BS637=1,IF(INDEX(分析データ!$A:$A,ROW()+$C$5)&lt;&gt;"",40000*SIGN(BR637)*(分析データ!F637-INDEX(分析データ!F:F,ROW()+$C$5)),""),"")</f>
        <v>769199.99999999849</v>
      </c>
      <c r="BU637">
        <f t="shared" ca="1" si="269"/>
        <v>12551999.999999996</v>
      </c>
      <c r="BV637">
        <f t="shared" ca="1" si="270"/>
        <v>12551999.999999996</v>
      </c>
      <c r="BW637">
        <f t="shared" ca="1" si="271"/>
        <v>0</v>
      </c>
      <c r="BX637">
        <f ca="1">IF(ROW()&lt;($C$7+1),"",IFERROR((分析データ!G637-AVERAGE(OFFSET(分析データ!G$1,MAX(1,ROW()-$C$7),0,MIN($C$7,ROW()-1),1)))/STDEV(OFFSET(分析データ!G$1,MAX(1,ROW()-$C$7),0,MIN($C$7,ROW()-1),1)),0))</f>
        <v>2.2641901340433983</v>
      </c>
      <c r="BY637">
        <f t="shared" ca="1" si="272"/>
        <v>1</v>
      </c>
      <c r="BZ637">
        <f ca="1">IF(BY637=1,IF(INDEX(分析データ!$A:$A,ROW()+$C$5)&lt;&gt;"",40000*SIGN(BX637)*(分析データ!G637-INDEX(分析データ!G:G,ROW()+$C$5)),""),"")</f>
        <v>62501.430664061671</v>
      </c>
      <c r="CA637">
        <f t="shared" ca="1" si="273"/>
        <v>-5625568.5839843694</v>
      </c>
      <c r="CB637">
        <f t="shared" ca="1" si="274"/>
        <v>11327520.000000004</v>
      </c>
      <c r="CC637">
        <f t="shared" ca="1" si="275"/>
        <v>-16953088.583984375</v>
      </c>
      <c r="CD637">
        <f t="shared" ca="1" si="276"/>
        <v>911701.43066406017</v>
      </c>
      <c r="CE637">
        <f t="shared" ca="1" si="277"/>
        <v>8156431.4160156697</v>
      </c>
      <c r="CF637">
        <f t="shared" ca="1" si="278"/>
        <v>19067197.138671909</v>
      </c>
      <c r="CG637">
        <f t="shared" ca="1" si="279"/>
        <v>-10910765.722656239</v>
      </c>
      <c r="CH637" s="10">
        <f>分析データ!A637</f>
        <v>45856</v>
      </c>
    </row>
    <row r="638" spans="46:86">
      <c r="AT638">
        <f ca="1">IF(ROW()&lt;($C$7+1),"",IFERROR((分析データ!B638-AVERAGE(OFFSET(分析データ!B$1,MAX(1,ROW()-$C$7),0,MIN($C$7,ROW()-1),1)))/STDEV(OFFSET(分析データ!B$1,MAX(1,ROW()-$C$7),0,MIN($C$7,ROW()-1),1)),0))</f>
        <v>0.26714506488564133</v>
      </c>
      <c r="AU638">
        <f t="shared" ca="1" si="252"/>
        <v>0</v>
      </c>
      <c r="AV638" t="str">
        <f ca="1">IF(AU638=1,IF(INDEX(分析データ!$A:$A,ROW()+$C$5)&lt;&gt;"",80000*SIGN(AT638)*(分析データ!B638-INDEX(分析データ!B:B,ROW()+$C$5)),""),"")</f>
        <v/>
      </c>
      <c r="AW638">
        <f t="shared" ca="1" si="253"/>
        <v>-4999999.9999999925</v>
      </c>
      <c r="AX638">
        <f t="shared" ca="1" si="254"/>
        <v>0</v>
      </c>
      <c r="AY638">
        <f t="shared" ca="1" si="255"/>
        <v>-4999999.9999999925</v>
      </c>
      <c r="AZ638">
        <f ca="1">IF(ROW()&lt;($C$7+1),"",IFERROR((分析データ!C638-AVERAGE(OFFSET(分析データ!C$1,MAX(1,ROW()-$C$7),0,MIN($C$7,ROW()-1),1)))/STDEV(OFFSET(分析データ!C$1,MAX(1,ROW()-$C$7),0,MIN($C$7,ROW()-1),1)),0))</f>
        <v>-1.0893173978876691</v>
      </c>
      <c r="BA638">
        <f t="shared" ca="1" si="256"/>
        <v>0</v>
      </c>
      <c r="BB638" t="str">
        <f ca="1">IF(BA638=1,IF(INDEX(分析データ!$A:$A,ROW()+$C$5)&lt;&gt;"",60000*SIGN(AZ638)*(分析データ!C638-INDEX(分析データ!C:C,ROW()+$C$5)),""),"")</f>
        <v/>
      </c>
      <c r="BC638">
        <f t="shared" ca="1" si="257"/>
        <v>3075000.0000000102</v>
      </c>
      <c r="BD638">
        <f t="shared" ca="1" si="258"/>
        <v>3075000.0000000102</v>
      </c>
      <c r="BE638">
        <f t="shared" ca="1" si="259"/>
        <v>0</v>
      </c>
      <c r="BF638">
        <f ca="1">IF(ROW()&lt;($C$7+1),"",IFERROR((分析データ!D638-AVERAGE(OFFSET(分析データ!D$1,MAX(1,ROW()-$C$7),0,MIN($C$7,ROW()-1),1)))/STDEV(OFFSET(分析データ!D$1,MAX(1,ROW()-$C$7),0,MIN($C$7,ROW()-1),1)),0))</f>
        <v>-0.92913722975440138</v>
      </c>
      <c r="BG638">
        <f t="shared" ca="1" si="260"/>
        <v>0</v>
      </c>
      <c r="BH638" t="str">
        <f ca="1">IF(BG638=1,IF(INDEX(分析データ!$A:$A,ROW()+$C$5)&lt;&gt;"",50000*SIGN(BF638)*(分析データ!D638-INDEX(分析データ!D:D,ROW()+$C$5)),""),"")</f>
        <v/>
      </c>
      <c r="BI638">
        <f t="shared" ca="1" si="261"/>
        <v>195000.00000000582</v>
      </c>
      <c r="BJ638">
        <f t="shared" ca="1" si="262"/>
        <v>1695000.0000000016</v>
      </c>
      <c r="BK638">
        <f t="shared" ca="1" si="263"/>
        <v>-1499999.9999999958</v>
      </c>
      <c r="BL638">
        <f ca="1">IF(ROW()&lt;($C$7+1),"",IFERROR((分析データ!E638-AVERAGE(OFFSET(分析データ!E$1,MAX(1,ROW()-$C$7),0,MIN($C$7,ROW()-1),1)))/STDEV(OFFSET(分析データ!E$1,MAX(1,ROW()-$C$7),0,MIN($C$7,ROW()-1),1)),0))</f>
        <v>1.971419711185084</v>
      </c>
      <c r="BM638">
        <f t="shared" ca="1" si="264"/>
        <v>0</v>
      </c>
      <c r="BN638" t="str">
        <f ca="1">IF(BM638=1,IF(INDEX(分析データ!$A:$A,ROW()+$C$5)&lt;&gt;"",40000*SIGN(BL638)*(分析データ!E638-INDEX(分析データ!E:E,ROW()+$C$5)),""),"")</f>
        <v/>
      </c>
      <c r="BO638">
        <f t="shared" ca="1" si="265"/>
        <v>2960000.0000000009</v>
      </c>
      <c r="BP638">
        <f t="shared" ca="1" si="266"/>
        <v>2960000.0000000009</v>
      </c>
      <c r="BQ638">
        <f t="shared" ca="1" si="267"/>
        <v>0</v>
      </c>
      <c r="BR638">
        <f ca="1">IF(ROW()&lt;($C$7+1),"",IFERROR((分析データ!F638-AVERAGE(OFFSET(分析データ!F$1,MAX(1,ROW()-$C$7),0,MIN($C$7,ROW()-1),1)))/STDEV(OFFSET(分析データ!F$1,MAX(1,ROW()-$C$7),0,MIN($C$7,ROW()-1),1)),0))</f>
        <v>-1.8588027215081264</v>
      </c>
      <c r="BS638">
        <f t="shared" ca="1" si="268"/>
        <v>0</v>
      </c>
      <c r="BT638" t="str">
        <f ca="1">IF(BS638=1,IF(INDEX(分析データ!$A:$A,ROW()+$C$5)&lt;&gt;"",40000*SIGN(BR638)*(分析データ!F638-INDEX(分析データ!F:F,ROW()+$C$5)),""),"")</f>
        <v/>
      </c>
      <c r="BU638">
        <f t="shared" ca="1" si="269"/>
        <v>12551999.999999996</v>
      </c>
      <c r="BV638">
        <f t="shared" ca="1" si="270"/>
        <v>12551999.999999996</v>
      </c>
      <c r="BW638">
        <f t="shared" ca="1" si="271"/>
        <v>0</v>
      </c>
      <c r="BX638">
        <f ca="1">IF(ROW()&lt;($C$7+1),"",IFERROR((分析データ!G638-AVERAGE(OFFSET(分析データ!G$1,MAX(1,ROW()-$C$7),0,MIN($C$7,ROW()-1),1)))/STDEV(OFFSET(分析データ!G$1,MAX(1,ROW()-$C$7),0,MIN($C$7,ROW()-1),1)),0))</f>
        <v>2.2755562433105472</v>
      </c>
      <c r="BY638">
        <f t="shared" ca="1" si="272"/>
        <v>1</v>
      </c>
      <c r="BZ638">
        <f ca="1">IF(BY638=1,IF(INDEX(分析データ!$A:$A,ROW()+$C$5)&lt;&gt;"",40000*SIGN(BX638)*(分析データ!G638-INDEX(分析データ!G:G,ROW()+$C$5)),""),"")</f>
        <v>-288818.5693359375</v>
      </c>
      <c r="CA638">
        <f t="shared" ca="1" si="273"/>
        <v>-5914387.1533203069</v>
      </c>
      <c r="CB638">
        <f t="shared" ca="1" si="274"/>
        <v>11327520.000000004</v>
      </c>
      <c r="CC638">
        <f t="shared" ca="1" si="275"/>
        <v>-17241907.153320313</v>
      </c>
      <c r="CD638">
        <f t="shared" ca="1" si="276"/>
        <v>-288818.5693359375</v>
      </c>
      <c r="CE638">
        <f t="shared" ca="1" si="277"/>
        <v>7867612.8466797322</v>
      </c>
      <c r="CF638">
        <f t="shared" ca="1" si="278"/>
        <v>19067197.138671909</v>
      </c>
      <c r="CG638">
        <f t="shared" ca="1" si="279"/>
        <v>-11199584.291992176</v>
      </c>
      <c r="CH638" s="10">
        <f>分析データ!A638</f>
        <v>45859</v>
      </c>
    </row>
    <row r="639" spans="46:86">
      <c r="AT639">
        <f ca="1">IF(ROW()&lt;($C$7+1),"",IFERROR((分析データ!B639-AVERAGE(OFFSET(分析データ!B$1,MAX(1,ROW()-$C$7),0,MIN($C$7,ROW()-1),1)))/STDEV(OFFSET(分析データ!B$1,MAX(1,ROW()-$C$7),0,MIN($C$7,ROW()-1),1)),0))</f>
        <v>0.25947546530300603</v>
      </c>
      <c r="AU639">
        <f t="shared" ca="1" si="252"/>
        <v>0</v>
      </c>
      <c r="AV639" t="str">
        <f ca="1">IF(AU639=1,IF(INDEX(分析データ!$A:$A,ROW()+$C$5)&lt;&gt;"",80000*SIGN(AT639)*(分析データ!B639-INDEX(分析データ!B:B,ROW()+$C$5)),""),"")</f>
        <v/>
      </c>
      <c r="AW639">
        <f t="shared" ca="1" si="253"/>
        <v>-4999999.9999999925</v>
      </c>
      <c r="AX639">
        <f t="shared" ca="1" si="254"/>
        <v>0</v>
      </c>
      <c r="AY639">
        <f t="shared" ca="1" si="255"/>
        <v>-4999999.9999999925</v>
      </c>
      <c r="AZ639">
        <f ca="1">IF(ROW()&lt;($C$7+1),"",IFERROR((分析データ!C639-AVERAGE(OFFSET(分析データ!C$1,MAX(1,ROW()-$C$7),0,MIN($C$7,ROW()-1),1)))/STDEV(OFFSET(分析データ!C$1,MAX(1,ROW()-$C$7),0,MIN($C$7,ROW()-1),1)),0))</f>
        <v>-1.3230993148612504</v>
      </c>
      <c r="BA639">
        <f t="shared" ca="1" si="256"/>
        <v>0</v>
      </c>
      <c r="BB639" t="str">
        <f ca="1">IF(BA639=1,IF(INDEX(分析データ!$A:$A,ROW()+$C$5)&lt;&gt;"",60000*SIGN(AZ639)*(分析データ!C639-INDEX(分析データ!C:C,ROW()+$C$5)),""),"")</f>
        <v/>
      </c>
      <c r="BC639">
        <f t="shared" ca="1" si="257"/>
        <v>3075000.0000000102</v>
      </c>
      <c r="BD639">
        <f t="shared" ca="1" si="258"/>
        <v>3075000.0000000102</v>
      </c>
      <c r="BE639">
        <f t="shared" ca="1" si="259"/>
        <v>0</v>
      </c>
      <c r="BF639">
        <f ca="1">IF(ROW()&lt;($C$7+1),"",IFERROR((分析データ!D639-AVERAGE(OFFSET(分析データ!D$1,MAX(1,ROW()-$C$7),0,MIN($C$7,ROW()-1),1)))/STDEV(OFFSET(分析データ!D$1,MAX(1,ROW()-$C$7),0,MIN($C$7,ROW()-1),1)),0))</f>
        <v>-0.97671737622682331</v>
      </c>
      <c r="BG639">
        <f t="shared" ca="1" si="260"/>
        <v>0</v>
      </c>
      <c r="BH639" t="str">
        <f ca="1">IF(BG639=1,IF(INDEX(分析データ!$A:$A,ROW()+$C$5)&lt;&gt;"",50000*SIGN(BF639)*(分析データ!D639-INDEX(分析データ!D:D,ROW()+$C$5)),""),"")</f>
        <v/>
      </c>
      <c r="BI639">
        <f t="shared" ca="1" si="261"/>
        <v>195000.00000000582</v>
      </c>
      <c r="BJ639">
        <f t="shared" ca="1" si="262"/>
        <v>1695000.0000000016</v>
      </c>
      <c r="BK639">
        <f t="shared" ca="1" si="263"/>
        <v>-1499999.9999999958</v>
      </c>
      <c r="BL639">
        <f ca="1">IF(ROW()&lt;($C$7+1),"",IFERROR((分析データ!E639-AVERAGE(OFFSET(分析データ!E$1,MAX(1,ROW()-$C$7),0,MIN($C$7,ROW()-1),1)))/STDEV(OFFSET(分析データ!E$1,MAX(1,ROW()-$C$7),0,MIN($C$7,ROW()-1),1)),0))</f>
        <v>1.9504906218685893</v>
      </c>
      <c r="BM639">
        <f t="shared" ca="1" si="264"/>
        <v>0</v>
      </c>
      <c r="BN639" t="str">
        <f ca="1">IF(BM639=1,IF(INDEX(分析データ!$A:$A,ROW()+$C$5)&lt;&gt;"",40000*SIGN(BL639)*(分析データ!E639-INDEX(分析データ!E:E,ROW()+$C$5)),""),"")</f>
        <v/>
      </c>
      <c r="BO639">
        <f t="shared" ca="1" si="265"/>
        <v>2960000.0000000009</v>
      </c>
      <c r="BP639">
        <f t="shared" ca="1" si="266"/>
        <v>2960000.0000000009</v>
      </c>
      <c r="BQ639">
        <f t="shared" ca="1" si="267"/>
        <v>0</v>
      </c>
      <c r="BR639">
        <f ca="1">IF(ROW()&lt;($C$7+1),"",IFERROR((分析データ!F639-AVERAGE(OFFSET(分析データ!F$1,MAX(1,ROW()-$C$7),0,MIN($C$7,ROW()-1),1)))/STDEV(OFFSET(分析データ!F$1,MAX(1,ROW()-$C$7),0,MIN($C$7,ROW()-1),1)),0))</f>
        <v>-2.0270574067027942</v>
      </c>
      <c r="BS639">
        <f t="shared" ca="1" si="268"/>
        <v>1</v>
      </c>
      <c r="BT639">
        <f ca="1">IF(BS639=1,IF(INDEX(分析データ!$A:$A,ROW()+$C$5)&lt;&gt;"",40000*SIGN(BR639)*(分析データ!F639-INDEX(分析データ!F:F,ROW()+$C$5)),""),"")</f>
        <v>240399.99999999965</v>
      </c>
      <c r="BU639">
        <f t="shared" ca="1" si="269"/>
        <v>12792399.999999996</v>
      </c>
      <c r="BV639">
        <f t="shared" ca="1" si="270"/>
        <v>12792399.999999996</v>
      </c>
      <c r="BW639">
        <f t="shared" ca="1" si="271"/>
        <v>0</v>
      </c>
      <c r="BX639">
        <f ca="1">IF(ROW()&lt;($C$7+1),"",IFERROR((分析データ!G639-AVERAGE(OFFSET(分析データ!G$1,MAX(1,ROW()-$C$7),0,MIN($C$7,ROW()-1),1)))/STDEV(OFFSET(分析データ!G$1,MAX(1,ROW()-$C$7),0,MIN($C$7,ROW()-1),1)),0))</f>
        <v>2.4501614899304323</v>
      </c>
      <c r="BY639">
        <f t="shared" ca="1" si="272"/>
        <v>1</v>
      </c>
      <c r="BZ639">
        <f ca="1">IF(BY639=1,IF(INDEX(分析データ!$A:$A,ROW()+$C$5)&lt;&gt;"",40000*SIGN(BX639)*(分析データ!G639-INDEX(分析データ!G:G,ROW()+$C$5)),""),"")</f>
        <v>-223468.57421874744</v>
      </c>
      <c r="CA639">
        <f t="shared" ca="1" si="273"/>
        <v>-6137855.7275390541</v>
      </c>
      <c r="CB639">
        <f t="shared" ca="1" si="274"/>
        <v>11327520.000000004</v>
      </c>
      <c r="CC639">
        <f t="shared" ca="1" si="275"/>
        <v>-17465375.727539059</v>
      </c>
      <c r="CD639">
        <f t="shared" ca="1" si="276"/>
        <v>16931.425781252212</v>
      </c>
      <c r="CE639">
        <f t="shared" ca="1" si="277"/>
        <v>7884544.2724609841</v>
      </c>
      <c r="CF639">
        <f t="shared" ca="1" si="278"/>
        <v>19067197.138671909</v>
      </c>
      <c r="CG639">
        <f t="shared" ca="1" si="279"/>
        <v>-11182652.866210924</v>
      </c>
      <c r="CH639" s="10">
        <f>分析データ!A639</f>
        <v>45860</v>
      </c>
    </row>
    <row r="640" spans="46:86">
      <c r="AT640">
        <f ca="1">IF(ROW()&lt;($C$7+1),"",IFERROR((分析データ!B640-AVERAGE(OFFSET(分析データ!B$1,MAX(1,ROW()-$C$7),0,MIN($C$7,ROW()-1),1)))/STDEV(OFFSET(分析データ!B$1,MAX(1,ROW()-$C$7),0,MIN($C$7,ROW()-1),1)),0))</f>
        <v>0.25168737579449996</v>
      </c>
      <c r="AU640">
        <f t="shared" ca="1" si="252"/>
        <v>0</v>
      </c>
      <c r="AV640" t="str">
        <f ca="1">IF(AU640=1,IF(INDEX(分析データ!$A:$A,ROW()+$C$5)&lt;&gt;"",80000*SIGN(AT640)*(分析データ!B640-INDEX(分析データ!B:B,ROW()+$C$5)),""),"")</f>
        <v/>
      </c>
      <c r="AW640">
        <f t="shared" ca="1" si="253"/>
        <v>-4999999.9999999925</v>
      </c>
      <c r="AX640">
        <f t="shared" ca="1" si="254"/>
        <v>0</v>
      </c>
      <c r="AY640">
        <f t="shared" ca="1" si="255"/>
        <v>-4999999.9999999925</v>
      </c>
      <c r="AZ640">
        <f ca="1">IF(ROW()&lt;($C$7+1),"",IFERROR((分析データ!C640-AVERAGE(OFFSET(分析データ!C$1,MAX(1,ROW()-$C$7),0,MIN($C$7,ROW()-1),1)))/STDEV(OFFSET(分析データ!C$1,MAX(1,ROW()-$C$7),0,MIN($C$7,ROW()-1),1)),0))</f>
        <v>-0.90354301702240525</v>
      </c>
      <c r="BA640">
        <f t="shared" ca="1" si="256"/>
        <v>0</v>
      </c>
      <c r="BB640" t="str">
        <f ca="1">IF(BA640=1,IF(INDEX(分析データ!$A:$A,ROW()+$C$5)&lt;&gt;"",60000*SIGN(AZ640)*(分析データ!C640-INDEX(分析データ!C:C,ROW()+$C$5)),""),"")</f>
        <v/>
      </c>
      <c r="BC640">
        <f t="shared" ca="1" si="257"/>
        <v>3075000.0000000102</v>
      </c>
      <c r="BD640">
        <f t="shared" ca="1" si="258"/>
        <v>3075000.0000000102</v>
      </c>
      <c r="BE640">
        <f t="shared" ca="1" si="259"/>
        <v>0</v>
      </c>
      <c r="BF640">
        <f ca="1">IF(ROW()&lt;($C$7+1),"",IFERROR((分析データ!D640-AVERAGE(OFFSET(分析データ!D$1,MAX(1,ROW()-$C$7),0,MIN($C$7,ROW()-1),1)))/STDEV(OFFSET(分析データ!D$1,MAX(1,ROW()-$C$7),0,MIN($C$7,ROW()-1),1)),0))</f>
        <v>-1.1305860155432315</v>
      </c>
      <c r="BG640">
        <f t="shared" ca="1" si="260"/>
        <v>0</v>
      </c>
      <c r="BH640" t="str">
        <f ca="1">IF(BG640=1,IF(INDEX(分析データ!$A:$A,ROW()+$C$5)&lt;&gt;"",50000*SIGN(BF640)*(分析データ!D640-INDEX(分析データ!D:D,ROW()+$C$5)),""),"")</f>
        <v/>
      </c>
      <c r="BI640">
        <f t="shared" ca="1" si="261"/>
        <v>195000.00000000582</v>
      </c>
      <c r="BJ640">
        <f t="shared" ca="1" si="262"/>
        <v>1695000.0000000016</v>
      </c>
      <c r="BK640">
        <f t="shared" ca="1" si="263"/>
        <v>-1499999.9999999958</v>
      </c>
      <c r="BL640">
        <f ca="1">IF(ROW()&lt;($C$7+1),"",IFERROR((分析データ!E640-AVERAGE(OFFSET(分析データ!E$1,MAX(1,ROW()-$C$7),0,MIN($C$7,ROW()-1),1)))/STDEV(OFFSET(分析データ!E$1,MAX(1,ROW()-$C$7),0,MIN($C$7,ROW()-1),1)),0))</f>
        <v>1.8445705173276346</v>
      </c>
      <c r="BM640">
        <f t="shared" ca="1" si="264"/>
        <v>0</v>
      </c>
      <c r="BN640" t="str">
        <f ca="1">IF(BM640=1,IF(INDEX(分析データ!$A:$A,ROW()+$C$5)&lt;&gt;"",40000*SIGN(BL640)*(分析データ!E640-INDEX(分析データ!E:E,ROW()+$C$5)),""),"")</f>
        <v/>
      </c>
      <c r="BO640">
        <f t="shared" ca="1" si="265"/>
        <v>2960000.0000000009</v>
      </c>
      <c r="BP640">
        <f t="shared" ca="1" si="266"/>
        <v>2960000.0000000009</v>
      </c>
      <c r="BQ640">
        <f t="shared" ca="1" si="267"/>
        <v>0</v>
      </c>
      <c r="BR640">
        <f ca="1">IF(ROW()&lt;($C$7+1),"",IFERROR((分析データ!F640-AVERAGE(OFFSET(分析データ!F$1,MAX(1,ROW()-$C$7),0,MIN($C$7,ROW()-1),1)))/STDEV(OFFSET(分析データ!F$1,MAX(1,ROW()-$C$7),0,MIN($C$7,ROW()-1),1)),0))</f>
        <v>-2.3069669258390664</v>
      </c>
      <c r="BS640">
        <f t="shared" ca="1" si="268"/>
        <v>1</v>
      </c>
      <c r="BT640">
        <f ca="1">IF(BS640=1,IF(INDEX(分析データ!$A:$A,ROW()+$C$5)&lt;&gt;"",40000*SIGN(BR640)*(分析データ!F640-INDEX(分析データ!F:F,ROW()+$C$5)),""),"")</f>
        <v>620800.00000000151</v>
      </c>
      <c r="BU640">
        <f t="shared" ca="1" si="269"/>
        <v>13413199.999999998</v>
      </c>
      <c r="BV640">
        <f t="shared" ca="1" si="270"/>
        <v>13413199.999999998</v>
      </c>
      <c r="BW640">
        <f t="shared" ca="1" si="271"/>
        <v>0</v>
      </c>
      <c r="BX640">
        <f ca="1">IF(ROW()&lt;($C$7+1),"",IFERROR((分析データ!G640-AVERAGE(OFFSET(分析データ!G$1,MAX(1,ROW()-$C$7),0,MIN($C$7,ROW()-1),1)))/STDEV(OFFSET(分析データ!G$1,MAX(1,ROW()-$C$7),0,MIN($C$7,ROW()-1),1)),0))</f>
        <v>2.6197838711472801</v>
      </c>
      <c r="BY640">
        <f t="shared" ca="1" si="272"/>
        <v>1</v>
      </c>
      <c r="BZ640">
        <f ca="1">IF(BY640=1,IF(INDEX(分析データ!$A:$A,ROW()+$C$5)&lt;&gt;"",40000*SIGN(BX640)*(分析データ!G640-INDEX(分析データ!G:G,ROW()+$C$5)),""),"")</f>
        <v>181439.99999999808</v>
      </c>
      <c r="CA640">
        <f t="shared" ca="1" si="273"/>
        <v>-5956415.727539056</v>
      </c>
      <c r="CB640">
        <f t="shared" ca="1" si="274"/>
        <v>11327520.000000004</v>
      </c>
      <c r="CC640">
        <f t="shared" ca="1" si="275"/>
        <v>-17283935.727539059</v>
      </c>
      <c r="CD640">
        <f t="shared" ca="1" si="276"/>
        <v>802239.99999999953</v>
      </c>
      <c r="CE640">
        <f t="shared" ca="1" si="277"/>
        <v>8686784.2724609841</v>
      </c>
      <c r="CF640">
        <f t="shared" ca="1" si="278"/>
        <v>19067197.138671909</v>
      </c>
      <c r="CG640">
        <f t="shared" ca="1" si="279"/>
        <v>-10380412.866210924</v>
      </c>
      <c r="CH640" s="10">
        <f>分析データ!A640</f>
        <v>45861</v>
      </c>
    </row>
    <row r="641" spans="46:86">
      <c r="AT641">
        <f ca="1">IF(ROW()&lt;($C$7+1),"",IFERROR((分析データ!B641-AVERAGE(OFFSET(分析データ!B$1,MAX(1,ROW()-$C$7),0,MIN($C$7,ROW()-1),1)))/STDEV(OFFSET(分析データ!B$1,MAX(1,ROW()-$C$7),0,MIN($C$7,ROW()-1),1)),0))</f>
        <v>0.37098363641842957</v>
      </c>
      <c r="AU641">
        <f t="shared" ca="1" si="252"/>
        <v>0</v>
      </c>
      <c r="AV641" t="str">
        <f ca="1">IF(AU641=1,IF(INDEX(分析データ!$A:$A,ROW()+$C$5)&lt;&gt;"",80000*SIGN(AT641)*(分析データ!B641-INDEX(分析データ!B:B,ROW()+$C$5)),""),"")</f>
        <v/>
      </c>
      <c r="AW641">
        <f t="shared" ca="1" si="253"/>
        <v>-4999999.9999999925</v>
      </c>
      <c r="AX641">
        <f t="shared" ca="1" si="254"/>
        <v>0</v>
      </c>
      <c r="AY641">
        <f t="shared" ca="1" si="255"/>
        <v>-4999999.9999999925</v>
      </c>
      <c r="AZ641">
        <f ca="1">IF(ROW()&lt;($C$7+1),"",IFERROR((分析データ!C641-AVERAGE(OFFSET(分析データ!C$1,MAX(1,ROW()-$C$7),0,MIN($C$7,ROW()-1),1)))/STDEV(OFFSET(分析データ!C$1,MAX(1,ROW()-$C$7),0,MIN($C$7,ROW()-1),1)),0))</f>
        <v>-0.66776650837074369</v>
      </c>
      <c r="BA641">
        <f t="shared" ca="1" si="256"/>
        <v>0</v>
      </c>
      <c r="BB641" t="str">
        <f ca="1">IF(BA641=1,IF(INDEX(分析データ!$A:$A,ROW()+$C$5)&lt;&gt;"",60000*SIGN(AZ641)*(分析データ!C641-INDEX(分析データ!C:C,ROW()+$C$5)),""),"")</f>
        <v/>
      </c>
      <c r="BC641">
        <f t="shared" ca="1" si="257"/>
        <v>3075000.0000000102</v>
      </c>
      <c r="BD641">
        <f t="shared" ca="1" si="258"/>
        <v>3075000.0000000102</v>
      </c>
      <c r="BE641">
        <f t="shared" ca="1" si="259"/>
        <v>0</v>
      </c>
      <c r="BF641">
        <f ca="1">IF(ROW()&lt;($C$7+1),"",IFERROR((分析データ!D641-AVERAGE(OFFSET(分析データ!D$1,MAX(1,ROW()-$C$7),0,MIN($C$7,ROW()-1),1)))/STDEV(OFFSET(分析データ!D$1,MAX(1,ROW()-$C$7),0,MIN($C$7,ROW()-1),1)),0))</f>
        <v>-1.0279608594812826</v>
      </c>
      <c r="BG641">
        <f t="shared" ca="1" si="260"/>
        <v>0</v>
      </c>
      <c r="BH641" t="str">
        <f ca="1">IF(BG641=1,IF(INDEX(分析データ!$A:$A,ROW()+$C$5)&lt;&gt;"",50000*SIGN(BF641)*(分析データ!D641-INDEX(分析データ!D:D,ROW()+$C$5)),""),"")</f>
        <v/>
      </c>
      <c r="BI641">
        <f t="shared" ca="1" si="261"/>
        <v>195000.00000000582</v>
      </c>
      <c r="BJ641">
        <f t="shared" ca="1" si="262"/>
        <v>1695000.0000000016</v>
      </c>
      <c r="BK641">
        <f t="shared" ca="1" si="263"/>
        <v>-1499999.9999999958</v>
      </c>
      <c r="BL641">
        <f ca="1">IF(ROW()&lt;($C$7+1),"",IFERROR((分析データ!E641-AVERAGE(OFFSET(分析データ!E$1,MAX(1,ROW()-$C$7),0,MIN($C$7,ROW()-1),1)))/STDEV(OFFSET(分析データ!E$1,MAX(1,ROW()-$C$7),0,MIN($C$7,ROW()-1),1)),0))</f>
        <v>1.7410200296678571</v>
      </c>
      <c r="BM641">
        <f t="shared" ca="1" si="264"/>
        <v>0</v>
      </c>
      <c r="BN641" t="str">
        <f ca="1">IF(BM641=1,IF(INDEX(分析データ!$A:$A,ROW()+$C$5)&lt;&gt;"",40000*SIGN(BL641)*(分析データ!E641-INDEX(分析データ!E:E,ROW()+$C$5)),""),"")</f>
        <v/>
      </c>
      <c r="BO641">
        <f t="shared" ca="1" si="265"/>
        <v>2960000.0000000009</v>
      </c>
      <c r="BP641">
        <f t="shared" ca="1" si="266"/>
        <v>2960000.0000000009</v>
      </c>
      <c r="BQ641">
        <f t="shared" ca="1" si="267"/>
        <v>0</v>
      </c>
      <c r="BR641">
        <f ca="1">IF(ROW()&lt;($C$7+1),"",IFERROR((分析データ!F641-AVERAGE(OFFSET(分析データ!F$1,MAX(1,ROW()-$C$7),0,MIN($C$7,ROW()-1),1)))/STDEV(OFFSET(分析データ!F$1,MAX(1,ROW()-$C$7),0,MIN($C$7,ROW()-1),1)),0))</f>
        <v>-2.182247632086546</v>
      </c>
      <c r="BS641">
        <f t="shared" ca="1" si="268"/>
        <v>1</v>
      </c>
      <c r="BT641">
        <f ca="1">IF(BS641=1,IF(INDEX(分析データ!$A:$A,ROW()+$C$5)&lt;&gt;"",40000*SIGN(BR641)*(分析データ!F641-INDEX(分析データ!F:F,ROW()+$C$5)),""),"")</f>
        <v>420799.99999999697</v>
      </c>
      <c r="BU641">
        <f t="shared" ca="1" si="269"/>
        <v>13833999.999999994</v>
      </c>
      <c r="BV641">
        <f t="shared" ca="1" si="270"/>
        <v>13833999.999999994</v>
      </c>
      <c r="BW641">
        <f t="shared" ca="1" si="271"/>
        <v>0</v>
      </c>
      <c r="BX641">
        <f ca="1">IF(ROW()&lt;($C$7+1),"",IFERROR((分析データ!G641-AVERAGE(OFFSET(分析データ!G$1,MAX(1,ROW()-$C$7),0,MIN($C$7,ROW()-1),1)))/STDEV(OFFSET(分析データ!G$1,MAX(1,ROW()-$C$7),0,MIN($C$7,ROW()-1),1)),0))</f>
        <v>2.5282913877469118</v>
      </c>
      <c r="BY641">
        <f t="shared" ca="1" si="272"/>
        <v>1</v>
      </c>
      <c r="BZ641">
        <f ca="1">IF(BY641=1,IF(INDEX(分析データ!$A:$A,ROW()+$C$5)&lt;&gt;"",40000*SIGN(BX641)*(分析データ!G641-INDEX(分析データ!G:G,ROW()+$C$5)),""),"")</f>
        <v>69821.430664068204</v>
      </c>
      <c r="CA641">
        <f t="shared" ca="1" si="273"/>
        <v>-5886594.2968749879</v>
      </c>
      <c r="CB641">
        <f t="shared" ca="1" si="274"/>
        <v>11327520.000000004</v>
      </c>
      <c r="CC641">
        <f t="shared" ca="1" si="275"/>
        <v>-17214114.296874993</v>
      </c>
      <c r="CD641">
        <f t="shared" ca="1" si="276"/>
        <v>490621.43066406518</v>
      </c>
      <c r="CE641">
        <f t="shared" ca="1" si="277"/>
        <v>9177405.7031250484</v>
      </c>
      <c r="CF641">
        <f t="shared" ca="1" si="278"/>
        <v>19067197.138671909</v>
      </c>
      <c r="CG641">
        <f t="shared" ca="1" si="279"/>
        <v>-9889791.4355468601</v>
      </c>
      <c r="CH641" s="10">
        <f>分析データ!A641</f>
        <v>45862</v>
      </c>
    </row>
    <row r="642" spans="46:86">
      <c r="AT642">
        <f ca="1">IF(ROW()&lt;($C$7+1),"",IFERROR((分析データ!B642-AVERAGE(OFFSET(分析データ!B$1,MAX(1,ROW()-$C$7),0,MIN($C$7,ROW()-1),1)))/STDEV(OFFSET(分析データ!B$1,MAX(1,ROW()-$C$7),0,MIN($C$7,ROW()-1),1)),0))</f>
        <v>0.23558485119217568</v>
      </c>
      <c r="AU642">
        <f t="shared" ref="AU642:AU705" ca="1" si="280">IF(ISNUMBER(AT642),IF(ABS(AT642)&gt;=$C$6,1,0),0)</f>
        <v>0</v>
      </c>
      <c r="AV642" t="str">
        <f ca="1">IF(AU642=1,IF(INDEX(分析データ!$A:$A,ROW()+$C$5)&lt;&gt;"",80000*SIGN(AT642)*(分析データ!B642-INDEX(分析データ!B:B,ROW()+$C$5)),""),"")</f>
        <v/>
      </c>
      <c r="AW642">
        <f t="shared" ref="AW642:AW705" ca="1" si="281">AW641+IF(AND(AU642=1,ISNUMBER(AV642)),AV642,0)</f>
        <v>-4999999.9999999925</v>
      </c>
      <c r="AX642">
        <f t="shared" ref="AX642:AX705" ca="1" si="282">MAX(AX641,AW642)</f>
        <v>0</v>
      </c>
      <c r="AY642">
        <f t="shared" ref="AY642:AY705" ca="1" si="283">AW642-AX642</f>
        <v>-4999999.9999999925</v>
      </c>
      <c r="AZ642">
        <f ca="1">IF(ROW()&lt;($C$7+1),"",IFERROR((分析データ!C642-AVERAGE(OFFSET(分析データ!C$1,MAX(1,ROW()-$C$7),0,MIN($C$7,ROW()-1),1)))/STDEV(OFFSET(分析データ!C$1,MAX(1,ROW()-$C$7),0,MIN($C$7,ROW()-1),1)),0))</f>
        <v>-0.51589800197775304</v>
      </c>
      <c r="BA642">
        <f t="shared" ref="BA642:BA705" ca="1" si="284">IF(ISNUMBER(AZ642),IF(ABS(AZ642)&gt;=$C$6,1,0),0)</f>
        <v>0</v>
      </c>
      <c r="BB642" t="str">
        <f ca="1">IF(BA642=1,IF(INDEX(分析データ!$A:$A,ROW()+$C$5)&lt;&gt;"",60000*SIGN(AZ642)*(分析データ!C642-INDEX(分析データ!C:C,ROW()+$C$5)),""),"")</f>
        <v/>
      </c>
      <c r="BC642">
        <f t="shared" ref="BC642:BC705" ca="1" si="285">BC641+IF(AND(BA642=1,ISNUMBER(BB642)),BB642,0)</f>
        <v>3075000.0000000102</v>
      </c>
      <c r="BD642">
        <f t="shared" ref="BD642:BD705" ca="1" si="286">MAX(BD641,BC642)</f>
        <v>3075000.0000000102</v>
      </c>
      <c r="BE642">
        <f t="shared" ref="BE642:BE705" ca="1" si="287">BC642-BD642</f>
        <v>0</v>
      </c>
      <c r="BF642">
        <f ca="1">IF(ROW()&lt;($C$7+1),"",IFERROR((分析データ!D642-AVERAGE(OFFSET(分析データ!D$1,MAX(1,ROW()-$C$7),0,MIN($C$7,ROW()-1),1)))/STDEV(OFFSET(分析データ!D$1,MAX(1,ROW()-$C$7),0,MIN($C$7,ROW()-1),1)),0))</f>
        <v>-1.1536875338758867</v>
      </c>
      <c r="BG642">
        <f t="shared" ref="BG642:BG705" ca="1" si="288">IF(ISNUMBER(BF642),IF(ABS(BF642)&gt;=$C$6,1,0),0)</f>
        <v>0</v>
      </c>
      <c r="BH642" t="str">
        <f ca="1">IF(BG642=1,IF(INDEX(分析データ!$A:$A,ROW()+$C$5)&lt;&gt;"",50000*SIGN(BF642)*(分析データ!D642-INDEX(分析データ!D:D,ROW()+$C$5)),""),"")</f>
        <v/>
      </c>
      <c r="BI642">
        <f t="shared" ref="BI642:BI705" ca="1" si="289">BI641+IF(AND(BG642=1,ISNUMBER(BH642)),BH642,0)</f>
        <v>195000.00000000582</v>
      </c>
      <c r="BJ642">
        <f t="shared" ref="BJ642:BJ705" ca="1" si="290">MAX(BJ641,BI642)</f>
        <v>1695000.0000000016</v>
      </c>
      <c r="BK642">
        <f t="shared" ref="BK642:BK705" ca="1" si="291">BI642-BJ642</f>
        <v>-1499999.9999999958</v>
      </c>
      <c r="BL642">
        <f ca="1">IF(ROW()&lt;($C$7+1),"",IFERROR((分析データ!E642-AVERAGE(OFFSET(分析データ!E$1,MAX(1,ROW()-$C$7),0,MIN($C$7,ROW()-1),1)))/STDEV(OFFSET(分析データ!E$1,MAX(1,ROW()-$C$7),0,MIN($C$7,ROW()-1),1)),0))</f>
        <v>1.7249477161090685</v>
      </c>
      <c r="BM642">
        <f t="shared" ref="BM642:BM705" ca="1" si="292">IF(ISNUMBER(BL642),IF(ABS(BL642)&gt;=$C$6,1,0),0)</f>
        <v>0</v>
      </c>
      <c r="BN642" t="str">
        <f ca="1">IF(BM642=1,IF(INDEX(分析データ!$A:$A,ROW()+$C$5)&lt;&gt;"",40000*SIGN(BL642)*(分析データ!E642-INDEX(分析データ!E:E,ROW()+$C$5)),""),"")</f>
        <v/>
      </c>
      <c r="BO642">
        <f t="shared" ref="BO642:BO705" ca="1" si="293">BO641+IF(AND(BM642=1,ISNUMBER(BN642)),BN642,0)</f>
        <v>2960000.0000000009</v>
      </c>
      <c r="BP642">
        <f t="shared" ref="BP642:BP705" ca="1" si="294">MAX(BP641,BO642)</f>
        <v>2960000.0000000009</v>
      </c>
      <c r="BQ642">
        <f t="shared" ref="BQ642:BQ705" ca="1" si="295">BO642-BP642</f>
        <v>0</v>
      </c>
      <c r="BR642">
        <f ca="1">IF(ROW()&lt;($C$7+1),"",IFERROR((分析データ!F642-AVERAGE(OFFSET(分析データ!F$1,MAX(1,ROW()-$C$7),0,MIN($C$7,ROW()-1),1)))/STDEV(OFFSET(分析データ!F$1,MAX(1,ROW()-$C$7),0,MIN($C$7,ROW()-1),1)),0))</f>
        <v>-2.0054908148253601</v>
      </c>
      <c r="BS642">
        <f t="shared" ref="BS642:BS705" ca="1" si="296">IF(ISNUMBER(BR642),IF(ABS(BR642)&gt;=$C$6,1,0),0)</f>
        <v>1</v>
      </c>
      <c r="BT642">
        <f ca="1">IF(BS642=1,IF(INDEX(分析データ!$A:$A,ROW()+$C$5)&lt;&gt;"",40000*SIGN(BR642)*(分析データ!F642-INDEX(分析データ!F:F,ROW()+$C$5)),""),"")</f>
        <v>350000.00000000681</v>
      </c>
      <c r="BU642">
        <f t="shared" ref="BU642:BU705" ca="1" si="297">BU641+IF(AND(BS642=1,ISNUMBER(BT642)),BT642,0)</f>
        <v>14184000.000000002</v>
      </c>
      <c r="BV642">
        <f t="shared" ref="BV642:BV705" ca="1" si="298">MAX(BV641,BU642)</f>
        <v>14184000.000000002</v>
      </c>
      <c r="BW642">
        <f t="shared" ref="BW642:BW705" ca="1" si="299">BU642-BV642</f>
        <v>0</v>
      </c>
      <c r="BX642">
        <f ca="1">IF(ROW()&lt;($C$7+1),"",IFERROR((分析データ!G642-AVERAGE(OFFSET(分析データ!G$1,MAX(1,ROW()-$C$7),0,MIN($C$7,ROW()-1),1)))/STDEV(OFFSET(分析データ!G$1,MAX(1,ROW()-$C$7),0,MIN($C$7,ROW()-1),1)),0))</f>
        <v>2.3826731894188025</v>
      </c>
      <c r="BY642">
        <f t="shared" ref="BY642:BY705" ca="1" si="300">IF(ISNUMBER(BX642),IF(ABS(BX642)&gt;=$C$6,1,0),0)</f>
        <v>1</v>
      </c>
      <c r="BZ642">
        <f ca="1">IF(BY642=1,IF(INDEX(分析データ!$A:$A,ROW()+$C$5)&lt;&gt;"",40000*SIGN(BX642)*(分析データ!G642-INDEX(分析データ!G:G,ROW()+$C$5)),""),"")</f>
        <v>47494.287109374796</v>
      </c>
      <c r="CA642">
        <f t="shared" ref="CA642:CA705" ca="1" si="301">CA641+IF(AND(BY642=1,ISNUMBER(BZ642)),BZ642,0)</f>
        <v>-5839100.0097656129</v>
      </c>
      <c r="CB642">
        <f t="shared" ref="CB642:CB705" ca="1" si="302">MAX(CB641,CA642)</f>
        <v>11327520.000000004</v>
      </c>
      <c r="CC642">
        <f t="shared" ref="CC642:CC705" ca="1" si="303">CA642-CB642</f>
        <v>-17166620.009765618</v>
      </c>
      <c r="CD642">
        <f t="shared" ref="CD642:CD705" ca="1" si="304">N(AV642)+N(BB642)+N(BH642)+N(BN642)+N(BT642)+N(BZ642)</f>
        <v>397494.28710938164</v>
      </c>
      <c r="CE642">
        <f t="shared" ref="CE642:CE705" ca="1" si="305">CE641+CD642</f>
        <v>9574899.9902344309</v>
      </c>
      <c r="CF642">
        <f t="shared" ref="CF642:CF705" ca="1" si="306">MAX(CF641,CE642)</f>
        <v>19067197.138671909</v>
      </c>
      <c r="CG642">
        <f t="shared" ref="CG642:CG705" ca="1" si="307">CE642-CF642</f>
        <v>-9492297.1484374776</v>
      </c>
      <c r="CH642" s="10">
        <f>分析データ!A642</f>
        <v>45863</v>
      </c>
    </row>
    <row r="643" spans="46:86">
      <c r="AT643">
        <f ca="1">IF(ROW()&lt;($C$7+1),"",IFERROR((分析データ!B643-AVERAGE(OFFSET(分析データ!B$1,MAX(1,ROW()-$C$7),0,MIN($C$7,ROW()-1),1)))/STDEV(OFFSET(分析データ!B$1,MAX(1,ROW()-$C$7),0,MIN($C$7,ROW()-1),1)),0))</f>
        <v>0.22847642227058967</v>
      </c>
      <c r="AU643">
        <f t="shared" ca="1" si="280"/>
        <v>0</v>
      </c>
      <c r="AV643" t="str">
        <f ca="1">IF(AU643=1,IF(INDEX(分析データ!$A:$A,ROW()+$C$5)&lt;&gt;"",80000*SIGN(AT643)*(分析データ!B643-INDEX(分析データ!B:B,ROW()+$C$5)),""),"")</f>
        <v/>
      </c>
      <c r="AW643">
        <f t="shared" ca="1" si="281"/>
        <v>-4999999.9999999925</v>
      </c>
      <c r="AX643">
        <f t="shared" ca="1" si="282"/>
        <v>0</v>
      </c>
      <c r="AY643">
        <f t="shared" ca="1" si="283"/>
        <v>-4999999.9999999925</v>
      </c>
      <c r="AZ643">
        <f ca="1">IF(ROW()&lt;($C$7+1),"",IFERROR((分析データ!C643-AVERAGE(OFFSET(分析データ!C$1,MAX(1,ROW()-$C$7),0,MIN($C$7,ROW()-1),1)))/STDEV(OFFSET(分析データ!C$1,MAX(1,ROW()-$C$7),0,MIN($C$7,ROW()-1),1)),0))</f>
        <v>-0.68696726251999984</v>
      </c>
      <c r="BA643">
        <f t="shared" ca="1" si="284"/>
        <v>0</v>
      </c>
      <c r="BB643" t="str">
        <f ca="1">IF(BA643=1,IF(INDEX(分析データ!$A:$A,ROW()+$C$5)&lt;&gt;"",60000*SIGN(AZ643)*(分析データ!C643-INDEX(分析データ!C:C,ROW()+$C$5)),""),"")</f>
        <v/>
      </c>
      <c r="BC643">
        <f t="shared" ca="1" si="285"/>
        <v>3075000.0000000102</v>
      </c>
      <c r="BD643">
        <f t="shared" ca="1" si="286"/>
        <v>3075000.0000000102</v>
      </c>
      <c r="BE643">
        <f t="shared" ca="1" si="287"/>
        <v>0</v>
      </c>
      <c r="BF643">
        <f ca="1">IF(ROW()&lt;($C$7+1),"",IFERROR((分析データ!D643-AVERAGE(OFFSET(分析データ!D$1,MAX(1,ROW()-$C$7),0,MIN($C$7,ROW()-1),1)))/STDEV(OFFSET(分析データ!D$1,MAX(1,ROW()-$C$7),0,MIN($C$7,ROW()-1),1)),0))</f>
        <v>-0.90433428944688654</v>
      </c>
      <c r="BG643">
        <f t="shared" ca="1" si="288"/>
        <v>0</v>
      </c>
      <c r="BH643" t="str">
        <f ca="1">IF(BG643=1,IF(INDEX(分析データ!$A:$A,ROW()+$C$5)&lt;&gt;"",50000*SIGN(BF643)*(分析データ!D643-INDEX(分析データ!D:D,ROW()+$C$5)),""),"")</f>
        <v/>
      </c>
      <c r="BI643">
        <f t="shared" ca="1" si="289"/>
        <v>195000.00000000582</v>
      </c>
      <c r="BJ643">
        <f t="shared" ca="1" si="290"/>
        <v>1695000.0000000016</v>
      </c>
      <c r="BK643">
        <f t="shared" ca="1" si="291"/>
        <v>-1499999.9999999958</v>
      </c>
      <c r="BL643">
        <f ca="1">IF(ROW()&lt;($C$7+1),"",IFERROR((分析データ!E643-AVERAGE(OFFSET(分析データ!E$1,MAX(1,ROW()-$C$7),0,MIN($C$7,ROW()-1),1)))/STDEV(OFFSET(分析データ!E$1,MAX(1,ROW()-$C$7),0,MIN($C$7,ROW()-1),1)),0))</f>
        <v>1.7938629915768596</v>
      </c>
      <c r="BM643">
        <f t="shared" ca="1" si="292"/>
        <v>0</v>
      </c>
      <c r="BN643" t="str">
        <f ca="1">IF(BM643=1,IF(INDEX(分析データ!$A:$A,ROW()+$C$5)&lt;&gt;"",40000*SIGN(BL643)*(分析データ!E643-INDEX(分析データ!E:E,ROW()+$C$5)),""),"")</f>
        <v/>
      </c>
      <c r="BO643">
        <f t="shared" ca="1" si="293"/>
        <v>2960000.0000000009</v>
      </c>
      <c r="BP643">
        <f t="shared" ca="1" si="294"/>
        <v>2960000.0000000009</v>
      </c>
      <c r="BQ643">
        <f t="shared" ca="1" si="295"/>
        <v>0</v>
      </c>
      <c r="BR643">
        <f ca="1">IF(ROW()&lt;($C$7+1),"",IFERROR((分析データ!F643-AVERAGE(OFFSET(分析データ!F$1,MAX(1,ROW()-$C$7),0,MIN($C$7,ROW()-1),1)))/STDEV(OFFSET(分析データ!F$1,MAX(1,ROW()-$C$7),0,MIN($C$7,ROW()-1),1)),0))</f>
        <v>-2.1248039498802611</v>
      </c>
      <c r="BS643">
        <f t="shared" ca="1" si="296"/>
        <v>1</v>
      </c>
      <c r="BT643">
        <f ca="1">IF(BS643=1,IF(INDEX(分析データ!$A:$A,ROW()+$C$5)&lt;&gt;"",40000*SIGN(BR643)*(分析データ!F643-INDEX(分析データ!F:F,ROW()+$C$5)),""),"")</f>
        <v>733200.00000000163</v>
      </c>
      <c r="BU643">
        <f t="shared" ca="1" si="297"/>
        <v>14917200.000000004</v>
      </c>
      <c r="BV643">
        <f t="shared" ca="1" si="298"/>
        <v>14917200.000000004</v>
      </c>
      <c r="BW643">
        <f t="shared" ca="1" si="299"/>
        <v>0</v>
      </c>
      <c r="BX643">
        <f ca="1">IF(ROW()&lt;($C$7+1),"",IFERROR((分析データ!G643-AVERAGE(OFFSET(分析データ!G$1,MAX(1,ROW()-$C$7),0,MIN($C$7,ROW()-1),1)))/STDEV(OFFSET(分析データ!G$1,MAX(1,ROW()-$C$7),0,MIN($C$7,ROW()-1),1)),0))</f>
        <v>2.2831548954331864</v>
      </c>
      <c r="BY643">
        <f t="shared" ca="1" si="300"/>
        <v>1</v>
      </c>
      <c r="BZ643">
        <f ca="1">IF(BY643=1,IF(INDEX(分析データ!$A:$A,ROW()+$C$5)&lt;&gt;"",40000*SIGN(BX643)*(分析データ!G643-INDEX(分析データ!G:G,ROW()+$C$5)),""),"")</f>
        <v>105134.28710936978</v>
      </c>
      <c r="CA643">
        <f t="shared" ca="1" si="301"/>
        <v>-5733965.7226562435</v>
      </c>
      <c r="CB643">
        <f t="shared" ca="1" si="302"/>
        <v>11327520.000000004</v>
      </c>
      <c r="CC643">
        <f t="shared" ca="1" si="303"/>
        <v>-17061485.722656246</v>
      </c>
      <c r="CD643">
        <f t="shared" ca="1" si="304"/>
        <v>838334.28710937139</v>
      </c>
      <c r="CE643">
        <f t="shared" ca="1" si="305"/>
        <v>10413234.277343802</v>
      </c>
      <c r="CF643">
        <f t="shared" ca="1" si="306"/>
        <v>19067197.138671909</v>
      </c>
      <c r="CG643">
        <f t="shared" ca="1" si="307"/>
        <v>-8653962.8613281064</v>
      </c>
      <c r="CH643" s="10">
        <f>分析データ!A643</f>
        <v>45866</v>
      </c>
    </row>
    <row r="644" spans="46:86">
      <c r="AT644">
        <f ca="1">IF(ROW()&lt;($C$7+1),"",IFERROR((分析データ!B644-AVERAGE(OFFSET(分析データ!B$1,MAX(1,ROW()-$C$7),0,MIN($C$7,ROW()-1),1)))/STDEV(OFFSET(分析データ!B$1,MAX(1,ROW()-$C$7),0,MIN($C$7,ROW()-1),1)),0))</f>
        <v>0.1564867472338512</v>
      </c>
      <c r="AU644">
        <f t="shared" ca="1" si="280"/>
        <v>0</v>
      </c>
      <c r="AV644" t="str">
        <f ca="1">IF(AU644=1,IF(INDEX(分析データ!$A:$A,ROW()+$C$5)&lt;&gt;"",80000*SIGN(AT644)*(分析データ!B644-INDEX(分析データ!B:B,ROW()+$C$5)),""),"")</f>
        <v/>
      </c>
      <c r="AW644">
        <f t="shared" ca="1" si="281"/>
        <v>-4999999.9999999925</v>
      </c>
      <c r="AX644">
        <f t="shared" ca="1" si="282"/>
        <v>0</v>
      </c>
      <c r="AY644">
        <f t="shared" ca="1" si="283"/>
        <v>-4999999.9999999925</v>
      </c>
      <c r="AZ644">
        <f ca="1">IF(ROW()&lt;($C$7+1),"",IFERROR((分析データ!C644-AVERAGE(OFFSET(分析データ!C$1,MAX(1,ROW()-$C$7),0,MIN($C$7,ROW()-1),1)))/STDEV(OFFSET(分析データ!C$1,MAX(1,ROW()-$C$7),0,MIN($C$7,ROW()-1),1)),0))</f>
        <v>-0.8657821034833626</v>
      </c>
      <c r="BA644">
        <f t="shared" ca="1" si="284"/>
        <v>0</v>
      </c>
      <c r="BB644" t="str">
        <f ca="1">IF(BA644=1,IF(INDEX(分析データ!$A:$A,ROW()+$C$5)&lt;&gt;"",60000*SIGN(AZ644)*(分析データ!C644-INDEX(分析データ!C:C,ROW()+$C$5)),""),"")</f>
        <v/>
      </c>
      <c r="BC644">
        <f t="shared" ca="1" si="285"/>
        <v>3075000.0000000102</v>
      </c>
      <c r="BD644">
        <f t="shared" ca="1" si="286"/>
        <v>3075000.0000000102</v>
      </c>
      <c r="BE644">
        <f t="shared" ca="1" si="287"/>
        <v>0</v>
      </c>
      <c r="BF644">
        <f ca="1">IF(ROW()&lt;($C$7+1),"",IFERROR((分析データ!D644-AVERAGE(OFFSET(分析データ!D$1,MAX(1,ROW()-$C$7),0,MIN($C$7,ROW()-1),1)))/STDEV(OFFSET(分析データ!D$1,MAX(1,ROW()-$C$7),0,MIN($C$7,ROW()-1),1)),0))</f>
        <v>-1.2218600015585726</v>
      </c>
      <c r="BG644">
        <f t="shared" ca="1" si="288"/>
        <v>0</v>
      </c>
      <c r="BH644" t="str">
        <f ca="1">IF(BG644=1,IF(INDEX(分析データ!$A:$A,ROW()+$C$5)&lt;&gt;"",50000*SIGN(BF644)*(分析データ!D644-INDEX(分析データ!D:D,ROW()+$C$5)),""),"")</f>
        <v/>
      </c>
      <c r="BI644">
        <f t="shared" ca="1" si="289"/>
        <v>195000.00000000582</v>
      </c>
      <c r="BJ644">
        <f t="shared" ca="1" si="290"/>
        <v>1695000.0000000016</v>
      </c>
      <c r="BK644">
        <f t="shared" ca="1" si="291"/>
        <v>-1499999.9999999958</v>
      </c>
      <c r="BL644">
        <f ca="1">IF(ROW()&lt;($C$7+1),"",IFERROR((分析データ!E644-AVERAGE(OFFSET(分析データ!E$1,MAX(1,ROW()-$C$7),0,MIN($C$7,ROW()-1),1)))/STDEV(OFFSET(分析データ!E$1,MAX(1,ROW()-$C$7),0,MIN($C$7,ROW()-1),1)),0))</f>
        <v>1.6050211442270752</v>
      </c>
      <c r="BM644">
        <f t="shared" ca="1" si="292"/>
        <v>0</v>
      </c>
      <c r="BN644" t="str">
        <f ca="1">IF(BM644=1,IF(INDEX(分析データ!$A:$A,ROW()+$C$5)&lt;&gt;"",40000*SIGN(BL644)*(分析データ!E644-INDEX(分析データ!E:E,ROW()+$C$5)),""),"")</f>
        <v/>
      </c>
      <c r="BO644">
        <f t="shared" ca="1" si="293"/>
        <v>2960000.0000000009</v>
      </c>
      <c r="BP644">
        <f t="shared" ca="1" si="294"/>
        <v>2960000.0000000009</v>
      </c>
      <c r="BQ644">
        <f t="shared" ca="1" si="295"/>
        <v>0</v>
      </c>
      <c r="BR644">
        <f ca="1">IF(ROW()&lt;($C$7+1),"",IFERROR((分析データ!F644-AVERAGE(OFFSET(分析データ!F$1,MAX(1,ROW()-$C$7),0,MIN($C$7,ROW()-1),1)))/STDEV(OFFSET(分析データ!F$1,MAX(1,ROW()-$C$7),0,MIN($C$7,ROW()-1),1)),0))</f>
        <v>-1.7056140758118279</v>
      </c>
      <c r="BS644">
        <f t="shared" ca="1" si="296"/>
        <v>0</v>
      </c>
      <c r="BT644" t="str">
        <f ca="1">IF(BS644=1,IF(INDEX(分析データ!$A:$A,ROW()+$C$5)&lt;&gt;"",40000*SIGN(BR644)*(分析データ!F644-INDEX(分析データ!F:F,ROW()+$C$5)),""),"")</f>
        <v/>
      </c>
      <c r="BU644">
        <f t="shared" ca="1" si="297"/>
        <v>14917200.000000004</v>
      </c>
      <c r="BV644">
        <f t="shared" ca="1" si="298"/>
        <v>14917200.000000004</v>
      </c>
      <c r="BW644">
        <f t="shared" ca="1" si="299"/>
        <v>0</v>
      </c>
      <c r="BX644">
        <f ca="1">IF(ROW()&lt;($C$7+1),"",IFERROR((分析データ!G644-AVERAGE(OFFSET(分析データ!G$1,MAX(1,ROW()-$C$7),0,MIN($C$7,ROW()-1),1)))/STDEV(OFFSET(分析データ!G$1,MAX(1,ROW()-$C$7),0,MIN($C$7,ROW()-1),1)),0))</f>
        <v>2.1183954305882335</v>
      </c>
      <c r="BY644">
        <f t="shared" ca="1" si="300"/>
        <v>1</v>
      </c>
      <c r="BZ644">
        <f ca="1">IF(BY644=1,IF(INDEX(分析データ!$A:$A,ROW()+$C$5)&lt;&gt;"",40000*SIGN(BX644)*(分析データ!G644-INDEX(分析データ!G:G,ROW()+$C$5)),""),"")</f>
        <v>77447.143554689435</v>
      </c>
      <c r="CA644">
        <f t="shared" ca="1" si="301"/>
        <v>-5656518.5791015541</v>
      </c>
      <c r="CB644">
        <f t="shared" ca="1" si="302"/>
        <v>11327520.000000004</v>
      </c>
      <c r="CC644">
        <f t="shared" ca="1" si="303"/>
        <v>-16984038.579101559</v>
      </c>
      <c r="CD644">
        <f t="shared" ca="1" si="304"/>
        <v>77447.143554689435</v>
      </c>
      <c r="CE644">
        <f t="shared" ca="1" si="305"/>
        <v>10490681.420898492</v>
      </c>
      <c r="CF644">
        <f t="shared" ca="1" si="306"/>
        <v>19067197.138671909</v>
      </c>
      <c r="CG644">
        <f t="shared" ca="1" si="307"/>
        <v>-8576515.717773417</v>
      </c>
      <c r="CH644" s="10">
        <f>分析データ!A644</f>
        <v>45867</v>
      </c>
    </row>
    <row r="645" spans="46:86">
      <c r="AT645">
        <f ca="1">IF(ROW()&lt;($C$7+1),"",IFERROR((分析データ!B645-AVERAGE(OFFSET(分析データ!B$1,MAX(1,ROW()-$C$7),0,MIN($C$7,ROW()-1),1)))/STDEV(OFFSET(分析データ!B$1,MAX(1,ROW()-$C$7),0,MIN($C$7,ROW()-1),1)),0))</f>
        <v>-4.8218945024153137E-2</v>
      </c>
      <c r="AU645">
        <f t="shared" ca="1" si="280"/>
        <v>0</v>
      </c>
      <c r="AV645" t="str">
        <f ca="1">IF(AU645=1,IF(INDEX(分析データ!$A:$A,ROW()+$C$5)&lt;&gt;"",80000*SIGN(AT645)*(分析データ!B645-INDEX(分析データ!B:B,ROW()+$C$5)),""),"")</f>
        <v/>
      </c>
      <c r="AW645">
        <f t="shared" ca="1" si="281"/>
        <v>-4999999.9999999925</v>
      </c>
      <c r="AX645">
        <f t="shared" ca="1" si="282"/>
        <v>0</v>
      </c>
      <c r="AY645">
        <f t="shared" ca="1" si="283"/>
        <v>-4999999.9999999925</v>
      </c>
      <c r="AZ645">
        <f ca="1">IF(ROW()&lt;($C$7+1),"",IFERROR((分析データ!C645-AVERAGE(OFFSET(分析データ!C$1,MAX(1,ROW()-$C$7),0,MIN($C$7,ROW()-1),1)))/STDEV(OFFSET(分析データ!C$1,MAX(1,ROW()-$C$7),0,MIN($C$7,ROW()-1),1)),0))</f>
        <v>-0.92837089120741179</v>
      </c>
      <c r="BA645">
        <f t="shared" ca="1" si="284"/>
        <v>0</v>
      </c>
      <c r="BB645" t="str">
        <f ca="1">IF(BA645=1,IF(INDEX(分析データ!$A:$A,ROW()+$C$5)&lt;&gt;"",60000*SIGN(AZ645)*(分析データ!C645-INDEX(分析データ!C:C,ROW()+$C$5)),""),"")</f>
        <v/>
      </c>
      <c r="BC645">
        <f t="shared" ca="1" si="285"/>
        <v>3075000.0000000102</v>
      </c>
      <c r="BD645">
        <f t="shared" ca="1" si="286"/>
        <v>3075000.0000000102</v>
      </c>
      <c r="BE645">
        <f t="shared" ca="1" si="287"/>
        <v>0</v>
      </c>
      <c r="BF645">
        <f ca="1">IF(ROW()&lt;($C$7+1),"",IFERROR((分析データ!D645-AVERAGE(OFFSET(分析データ!D$1,MAX(1,ROW()-$C$7),0,MIN($C$7,ROW()-1),1)))/STDEV(OFFSET(分析データ!D$1,MAX(1,ROW()-$C$7),0,MIN($C$7,ROW()-1),1)),0))</f>
        <v>-1.0391074112266034</v>
      </c>
      <c r="BG645">
        <f t="shared" ca="1" si="288"/>
        <v>0</v>
      </c>
      <c r="BH645" t="str">
        <f ca="1">IF(BG645=1,IF(INDEX(分析データ!$A:$A,ROW()+$C$5)&lt;&gt;"",50000*SIGN(BF645)*(分析データ!D645-INDEX(分析データ!D:D,ROW()+$C$5)),""),"")</f>
        <v/>
      </c>
      <c r="BI645">
        <f t="shared" ca="1" si="289"/>
        <v>195000.00000000582</v>
      </c>
      <c r="BJ645">
        <f t="shared" ca="1" si="290"/>
        <v>1695000.0000000016</v>
      </c>
      <c r="BK645">
        <f t="shared" ca="1" si="291"/>
        <v>-1499999.9999999958</v>
      </c>
      <c r="BL645">
        <f ca="1">IF(ROW()&lt;($C$7+1),"",IFERROR((分析データ!E645-AVERAGE(OFFSET(分析データ!E$1,MAX(1,ROW()-$C$7),0,MIN($C$7,ROW()-1),1)))/STDEV(OFFSET(分析データ!E$1,MAX(1,ROW()-$C$7),0,MIN($C$7,ROW()-1),1)),0))</f>
        <v>1.420128213677234</v>
      </c>
      <c r="BM645">
        <f t="shared" ca="1" si="292"/>
        <v>0</v>
      </c>
      <c r="BN645" t="str">
        <f ca="1">IF(BM645=1,IF(INDEX(分析データ!$A:$A,ROW()+$C$5)&lt;&gt;"",40000*SIGN(BL645)*(分析データ!E645-INDEX(分析データ!E:E,ROW()+$C$5)),""),"")</f>
        <v/>
      </c>
      <c r="BO645">
        <f t="shared" ca="1" si="293"/>
        <v>2960000.0000000009</v>
      </c>
      <c r="BP645">
        <f t="shared" ca="1" si="294"/>
        <v>2960000.0000000009</v>
      </c>
      <c r="BQ645">
        <f t="shared" ca="1" si="295"/>
        <v>0</v>
      </c>
      <c r="BR645">
        <f ca="1">IF(ROW()&lt;($C$7+1),"",IFERROR((分析データ!F645-AVERAGE(OFFSET(分析データ!F$1,MAX(1,ROW()-$C$7),0,MIN($C$7,ROW()-1),1)))/STDEV(OFFSET(分析データ!F$1,MAX(1,ROW()-$C$7),0,MIN($C$7,ROW()-1),1)),0))</f>
        <v>-1.7112867063268353</v>
      </c>
      <c r="BS645">
        <f t="shared" ca="1" si="296"/>
        <v>0</v>
      </c>
      <c r="BT645" t="str">
        <f ca="1">IF(BS645=1,IF(INDEX(分析データ!$A:$A,ROW()+$C$5)&lt;&gt;"",40000*SIGN(BR645)*(分析データ!F645-INDEX(分析データ!F:F,ROW()+$C$5)),""),"")</f>
        <v/>
      </c>
      <c r="BU645">
        <f t="shared" ca="1" si="297"/>
        <v>14917200.000000004</v>
      </c>
      <c r="BV645">
        <f t="shared" ca="1" si="298"/>
        <v>14917200.000000004</v>
      </c>
      <c r="BW645">
        <f t="shared" ca="1" si="299"/>
        <v>0</v>
      </c>
      <c r="BX645">
        <f ca="1">IF(ROW()&lt;($C$7+1),"",IFERROR((分析データ!G645-AVERAGE(OFFSET(分析データ!G$1,MAX(1,ROW()-$C$7),0,MIN($C$7,ROW()-1),1)))/STDEV(OFFSET(分析データ!G$1,MAX(1,ROW()-$C$7),0,MIN($C$7,ROW()-1),1)),0))</f>
        <v>2.0541633300076185</v>
      </c>
      <c r="BY645">
        <f t="shared" ca="1" si="300"/>
        <v>1</v>
      </c>
      <c r="BZ645">
        <f ca="1">IF(BY645=1,IF(INDEX(分析データ!$A:$A,ROW()+$C$5)&lt;&gt;"",40000*SIGN(BX645)*(分析データ!G645-INDEX(分析データ!G:G,ROW()+$C$5)),""),"")</f>
        <v>95720.000000006286</v>
      </c>
      <c r="CA645">
        <f t="shared" ca="1" si="301"/>
        <v>-5560798.5791015476</v>
      </c>
      <c r="CB645">
        <f t="shared" ca="1" si="302"/>
        <v>11327520.000000004</v>
      </c>
      <c r="CC645">
        <f t="shared" ca="1" si="303"/>
        <v>-16888318.579101551</v>
      </c>
      <c r="CD645">
        <f t="shared" ca="1" si="304"/>
        <v>95720.000000006286</v>
      </c>
      <c r="CE645">
        <f t="shared" ca="1" si="305"/>
        <v>10586401.420898497</v>
      </c>
      <c r="CF645">
        <f t="shared" ca="1" si="306"/>
        <v>19067197.138671909</v>
      </c>
      <c r="CG645">
        <f t="shared" ca="1" si="307"/>
        <v>-8480795.7177734114</v>
      </c>
      <c r="CH645" s="10">
        <f>分析データ!A645</f>
        <v>45868</v>
      </c>
    </row>
    <row r="646" spans="46:86">
      <c r="AT646">
        <f ca="1">IF(ROW()&lt;($C$7+1),"",IFERROR((分析データ!B646-AVERAGE(OFFSET(分析データ!B$1,MAX(1,ROW()-$C$7),0,MIN($C$7,ROW()-1),1)))/STDEV(OFFSET(分析データ!B$1,MAX(1,ROW()-$C$7),0,MIN($C$7,ROW()-1),1)),0))</f>
        <v>-0.19068588781398788</v>
      </c>
      <c r="AU646">
        <f t="shared" ca="1" si="280"/>
        <v>0</v>
      </c>
      <c r="AV646" t="str">
        <f ca="1">IF(AU646=1,IF(INDEX(分析データ!$A:$A,ROW()+$C$5)&lt;&gt;"",80000*SIGN(AT646)*(分析データ!B646-INDEX(分析データ!B:B,ROW()+$C$5)),""),"")</f>
        <v/>
      </c>
      <c r="AW646">
        <f t="shared" ca="1" si="281"/>
        <v>-4999999.9999999925</v>
      </c>
      <c r="AX646">
        <f t="shared" ca="1" si="282"/>
        <v>0</v>
      </c>
      <c r="AY646">
        <f t="shared" ca="1" si="283"/>
        <v>-4999999.9999999925</v>
      </c>
      <c r="AZ646">
        <f ca="1">IF(ROW()&lt;($C$7+1),"",IFERROR((分析データ!C646-AVERAGE(OFFSET(分析データ!C$1,MAX(1,ROW()-$C$7),0,MIN($C$7,ROW()-1),1)))/STDEV(OFFSET(分析データ!C$1,MAX(1,ROW()-$C$7),0,MIN($C$7,ROW()-1),1)),0))</f>
        <v>-1.0678674770763412</v>
      </c>
      <c r="BA646">
        <f t="shared" ca="1" si="284"/>
        <v>0</v>
      </c>
      <c r="BB646" t="str">
        <f ca="1">IF(BA646=1,IF(INDEX(分析データ!$A:$A,ROW()+$C$5)&lt;&gt;"",60000*SIGN(AZ646)*(分析データ!C646-INDEX(分析データ!C:C,ROW()+$C$5)),""),"")</f>
        <v/>
      </c>
      <c r="BC646">
        <f t="shared" ca="1" si="285"/>
        <v>3075000.0000000102</v>
      </c>
      <c r="BD646">
        <f t="shared" ca="1" si="286"/>
        <v>3075000.0000000102</v>
      </c>
      <c r="BE646">
        <f t="shared" ca="1" si="287"/>
        <v>0</v>
      </c>
      <c r="BF646">
        <f ca="1">IF(ROW()&lt;($C$7+1),"",IFERROR((分析データ!D646-AVERAGE(OFFSET(分析データ!D$1,MAX(1,ROW()-$C$7),0,MIN($C$7,ROW()-1),1)))/STDEV(OFFSET(分析データ!D$1,MAX(1,ROW()-$C$7),0,MIN($C$7,ROW()-1),1)),0))</f>
        <v>-1.0492834942917324</v>
      </c>
      <c r="BG646">
        <f t="shared" ca="1" si="288"/>
        <v>0</v>
      </c>
      <c r="BH646" t="str">
        <f ca="1">IF(BG646=1,IF(INDEX(分析データ!$A:$A,ROW()+$C$5)&lt;&gt;"",50000*SIGN(BF646)*(分析データ!D646-INDEX(分析データ!D:D,ROW()+$C$5)),""),"")</f>
        <v/>
      </c>
      <c r="BI646">
        <f t="shared" ca="1" si="289"/>
        <v>195000.00000000582</v>
      </c>
      <c r="BJ646">
        <f t="shared" ca="1" si="290"/>
        <v>1695000.0000000016</v>
      </c>
      <c r="BK646">
        <f t="shared" ca="1" si="291"/>
        <v>-1499999.9999999958</v>
      </c>
      <c r="BL646">
        <f ca="1">IF(ROW()&lt;($C$7+1),"",IFERROR((分析データ!E646-AVERAGE(OFFSET(分析データ!E$1,MAX(1,ROW()-$C$7),0,MIN($C$7,ROW()-1),1)))/STDEV(OFFSET(分析データ!E$1,MAX(1,ROW()-$C$7),0,MIN($C$7,ROW()-1),1)),0))</f>
        <v>1.3228865322845966</v>
      </c>
      <c r="BM646">
        <f t="shared" ca="1" si="292"/>
        <v>0</v>
      </c>
      <c r="BN646" t="str">
        <f ca="1">IF(BM646=1,IF(INDEX(分析データ!$A:$A,ROW()+$C$5)&lt;&gt;"",40000*SIGN(BL646)*(分析データ!E646-INDEX(分析データ!E:E,ROW()+$C$5)),""),"")</f>
        <v/>
      </c>
      <c r="BO646">
        <f t="shared" ca="1" si="293"/>
        <v>2960000.0000000009</v>
      </c>
      <c r="BP646">
        <f t="shared" ca="1" si="294"/>
        <v>2960000.0000000009</v>
      </c>
      <c r="BQ646">
        <f t="shared" ca="1" si="295"/>
        <v>0</v>
      </c>
      <c r="BR646">
        <f ca="1">IF(ROW()&lt;($C$7+1),"",IFERROR((分析データ!F646-AVERAGE(OFFSET(分析データ!F$1,MAX(1,ROW()-$C$7),0,MIN($C$7,ROW()-1),1)))/STDEV(OFFSET(分析データ!F$1,MAX(1,ROW()-$C$7),0,MIN($C$7,ROW()-1),1)),0))</f>
        <v>-1.5865267342887699</v>
      </c>
      <c r="BS646">
        <f t="shared" ca="1" si="296"/>
        <v>0</v>
      </c>
      <c r="BT646" t="str">
        <f ca="1">IF(BS646=1,IF(INDEX(分析データ!$A:$A,ROW()+$C$5)&lt;&gt;"",40000*SIGN(BR646)*(分析データ!F646-INDEX(分析データ!F:F,ROW()+$C$5)),""),"")</f>
        <v/>
      </c>
      <c r="BU646">
        <f t="shared" ca="1" si="297"/>
        <v>14917200.000000004</v>
      </c>
      <c r="BV646">
        <f t="shared" ca="1" si="298"/>
        <v>14917200.000000004</v>
      </c>
      <c r="BW646">
        <f t="shared" ca="1" si="299"/>
        <v>0</v>
      </c>
      <c r="BX646">
        <f ca="1">IF(ROW()&lt;($C$7+1),"",IFERROR((分析データ!G646-AVERAGE(OFFSET(分析データ!G$1,MAX(1,ROW()-$C$7),0,MIN($C$7,ROW()-1),1)))/STDEV(OFFSET(分析データ!G$1,MAX(1,ROW()-$C$7),0,MIN($C$7,ROW()-1),1)),0))</f>
        <v>1.9906053464824147</v>
      </c>
      <c r="BY646">
        <f t="shared" ca="1" si="300"/>
        <v>0</v>
      </c>
      <c r="BZ646" t="str">
        <f ca="1">IF(BY646=1,IF(INDEX(分析データ!$A:$A,ROW()+$C$5)&lt;&gt;"",40000*SIGN(BX646)*(分析データ!G646-INDEX(分析データ!G:G,ROW()+$C$5)),""),"")</f>
        <v/>
      </c>
      <c r="CA646">
        <f t="shared" ca="1" si="301"/>
        <v>-5560798.5791015476</v>
      </c>
      <c r="CB646">
        <f t="shared" ca="1" si="302"/>
        <v>11327520.000000004</v>
      </c>
      <c r="CC646">
        <f t="shared" ca="1" si="303"/>
        <v>-16888318.579101551</v>
      </c>
      <c r="CD646">
        <f t="shared" ca="1" si="304"/>
        <v>0</v>
      </c>
      <c r="CE646">
        <f t="shared" ca="1" si="305"/>
        <v>10586401.420898497</v>
      </c>
      <c r="CF646">
        <f t="shared" ca="1" si="306"/>
        <v>19067197.138671909</v>
      </c>
      <c r="CG646">
        <f t="shared" ca="1" si="307"/>
        <v>-8480795.7177734114</v>
      </c>
      <c r="CH646" s="10">
        <f>分析データ!A646</f>
        <v>45869</v>
      </c>
    </row>
    <row r="647" spans="46:86">
      <c r="AT647">
        <f ca="1">IF(ROW()&lt;($C$7+1),"",IFERROR((分析データ!B647-AVERAGE(OFFSET(分析データ!B$1,MAX(1,ROW()-$C$7),0,MIN($C$7,ROW()-1),1)))/STDEV(OFFSET(分析データ!B$1,MAX(1,ROW()-$C$7),0,MIN($C$7,ROW()-1),1)),0))</f>
        <v>0.13413963713331978</v>
      </c>
      <c r="AU647">
        <f t="shared" ca="1" si="280"/>
        <v>0</v>
      </c>
      <c r="AV647" t="str">
        <f ca="1">IF(AU647=1,IF(INDEX(分析データ!$A:$A,ROW()+$C$5)&lt;&gt;"",80000*SIGN(AT647)*(分析データ!B647-INDEX(分析データ!B:B,ROW()+$C$5)),""),"")</f>
        <v/>
      </c>
      <c r="AW647">
        <f t="shared" ca="1" si="281"/>
        <v>-4999999.9999999925</v>
      </c>
      <c r="AX647">
        <f t="shared" ca="1" si="282"/>
        <v>0</v>
      </c>
      <c r="AY647">
        <f t="shared" ca="1" si="283"/>
        <v>-4999999.9999999925</v>
      </c>
      <c r="AZ647">
        <f ca="1">IF(ROW()&lt;($C$7+1),"",IFERROR((分析データ!C647-AVERAGE(OFFSET(分析データ!C$1,MAX(1,ROW()-$C$7),0,MIN($C$7,ROW()-1),1)))/STDEV(OFFSET(分析データ!C$1,MAX(1,ROW()-$C$7),0,MIN($C$7,ROW()-1),1)),0))</f>
        <v>-1.0363764064729337</v>
      </c>
      <c r="BA647">
        <f t="shared" ca="1" si="284"/>
        <v>0</v>
      </c>
      <c r="BB647" t="str">
        <f ca="1">IF(BA647=1,IF(INDEX(分析データ!$A:$A,ROW()+$C$5)&lt;&gt;"",60000*SIGN(AZ647)*(分析データ!C647-INDEX(分析データ!C:C,ROW()+$C$5)),""),"")</f>
        <v/>
      </c>
      <c r="BC647">
        <f t="shared" ca="1" si="285"/>
        <v>3075000.0000000102</v>
      </c>
      <c r="BD647">
        <f t="shared" ca="1" si="286"/>
        <v>3075000.0000000102</v>
      </c>
      <c r="BE647">
        <f t="shared" ca="1" si="287"/>
        <v>0</v>
      </c>
      <c r="BF647">
        <f ca="1">IF(ROW()&lt;($C$7+1),"",IFERROR((分析データ!D647-AVERAGE(OFFSET(分析データ!D$1,MAX(1,ROW()-$C$7),0,MIN($C$7,ROW()-1),1)))/STDEV(OFFSET(分析データ!D$1,MAX(1,ROW()-$C$7),0,MIN($C$7,ROW()-1),1)),0))</f>
        <v>-1.6617568425652702</v>
      </c>
      <c r="BG647">
        <f t="shared" ca="1" si="288"/>
        <v>0</v>
      </c>
      <c r="BH647" t="str">
        <f ca="1">IF(BG647=1,IF(INDEX(分析データ!$A:$A,ROW()+$C$5)&lt;&gt;"",50000*SIGN(BF647)*(分析データ!D647-INDEX(分析データ!D:D,ROW()+$C$5)),""),"")</f>
        <v/>
      </c>
      <c r="BI647">
        <f t="shared" ca="1" si="289"/>
        <v>195000.00000000582</v>
      </c>
      <c r="BJ647">
        <f t="shared" ca="1" si="290"/>
        <v>1695000.0000000016</v>
      </c>
      <c r="BK647">
        <f t="shared" ca="1" si="291"/>
        <v>-1499999.9999999958</v>
      </c>
      <c r="BL647">
        <f ca="1">IF(ROW()&lt;($C$7+1),"",IFERROR((分析データ!E647-AVERAGE(OFFSET(分析データ!E$1,MAX(1,ROW()-$C$7),0,MIN($C$7,ROW()-1),1)))/STDEV(OFFSET(分析データ!E$1,MAX(1,ROW()-$C$7),0,MIN($C$7,ROW()-1),1)),0))</f>
        <v>1.7346797342684661</v>
      </c>
      <c r="BM647">
        <f t="shared" ca="1" si="292"/>
        <v>0</v>
      </c>
      <c r="BN647" t="str">
        <f ca="1">IF(BM647=1,IF(INDEX(分析データ!$A:$A,ROW()+$C$5)&lt;&gt;"",40000*SIGN(BL647)*(分析データ!E647-INDEX(分析データ!E:E,ROW()+$C$5)),""),"")</f>
        <v/>
      </c>
      <c r="BO647">
        <f t="shared" ca="1" si="293"/>
        <v>2960000.0000000009</v>
      </c>
      <c r="BP647">
        <f t="shared" ca="1" si="294"/>
        <v>2960000.0000000009</v>
      </c>
      <c r="BQ647">
        <f t="shared" ca="1" si="295"/>
        <v>0</v>
      </c>
      <c r="BR647">
        <f ca="1">IF(ROW()&lt;($C$7+1),"",IFERROR((分析データ!F647-AVERAGE(OFFSET(分析データ!F$1,MAX(1,ROW()-$C$7),0,MIN($C$7,ROW()-1),1)))/STDEV(OFFSET(分析データ!F$1,MAX(1,ROW()-$C$7),0,MIN($C$7,ROW()-1),1)),0))</f>
        <v>-1.247431190152986</v>
      </c>
      <c r="BS647">
        <f t="shared" ca="1" si="296"/>
        <v>0</v>
      </c>
      <c r="BT647" t="str">
        <f ca="1">IF(BS647=1,IF(INDEX(分析データ!$A:$A,ROW()+$C$5)&lt;&gt;"",40000*SIGN(BR647)*(分析データ!F647-INDEX(分析データ!F:F,ROW()+$C$5)),""),"")</f>
        <v/>
      </c>
      <c r="BU647">
        <f t="shared" ca="1" si="297"/>
        <v>14917200.000000004</v>
      </c>
      <c r="BV647">
        <f t="shared" ca="1" si="298"/>
        <v>14917200.000000004</v>
      </c>
      <c r="BW647">
        <f t="shared" ca="1" si="299"/>
        <v>0</v>
      </c>
      <c r="BX647">
        <f ca="1">IF(ROW()&lt;($C$7+1),"",IFERROR((分析データ!G647-AVERAGE(OFFSET(分析データ!G$1,MAX(1,ROW()-$C$7),0,MIN($C$7,ROW()-1),1)))/STDEV(OFFSET(分析データ!G$1,MAX(1,ROW()-$C$7),0,MIN($C$7,ROW()-1),1)),0))</f>
        <v>1.9285599541658536</v>
      </c>
      <c r="BY647">
        <f t="shared" ca="1" si="300"/>
        <v>0</v>
      </c>
      <c r="BZ647" t="str">
        <f ca="1">IF(BY647=1,IF(INDEX(分析データ!$A:$A,ROW()+$C$5)&lt;&gt;"",40000*SIGN(BX647)*(分析データ!G647-INDEX(分析データ!G:G,ROW()+$C$5)),""),"")</f>
        <v/>
      </c>
      <c r="CA647">
        <f t="shared" ca="1" si="301"/>
        <v>-5560798.5791015476</v>
      </c>
      <c r="CB647">
        <f t="shared" ca="1" si="302"/>
        <v>11327520.000000004</v>
      </c>
      <c r="CC647">
        <f t="shared" ca="1" si="303"/>
        <v>-16888318.579101551</v>
      </c>
      <c r="CD647">
        <f t="shared" ca="1" si="304"/>
        <v>0</v>
      </c>
      <c r="CE647">
        <f t="shared" ca="1" si="305"/>
        <v>10586401.420898497</v>
      </c>
      <c r="CF647">
        <f t="shared" ca="1" si="306"/>
        <v>19067197.138671909</v>
      </c>
      <c r="CG647">
        <f t="shared" ca="1" si="307"/>
        <v>-8480795.7177734114</v>
      </c>
      <c r="CH647" s="10">
        <f>分析データ!A647</f>
        <v>45870</v>
      </c>
    </row>
    <row r="648" spans="46:86">
      <c r="AT648">
        <f ca="1">IF(ROW()&lt;($C$7+1),"",IFERROR((分析データ!B648-AVERAGE(OFFSET(分析データ!B$1,MAX(1,ROW()-$C$7),0,MIN($C$7,ROW()-1),1)))/STDEV(OFFSET(分析データ!B$1,MAX(1,ROW()-$C$7),0,MIN($C$7,ROW()-1),1)),0))</f>
        <v>5.659480108150345E-2</v>
      </c>
      <c r="AU648">
        <f t="shared" ca="1" si="280"/>
        <v>0</v>
      </c>
      <c r="AV648" t="str">
        <f ca="1">IF(AU648=1,IF(INDEX(分析データ!$A:$A,ROW()+$C$5)&lt;&gt;"",80000*SIGN(AT648)*(分析データ!B648-INDEX(分析データ!B:B,ROW()+$C$5)),""),"")</f>
        <v/>
      </c>
      <c r="AW648">
        <f t="shared" ca="1" si="281"/>
        <v>-4999999.9999999925</v>
      </c>
      <c r="AX648">
        <f t="shared" ca="1" si="282"/>
        <v>0</v>
      </c>
      <c r="AY648">
        <f t="shared" ca="1" si="283"/>
        <v>-4999999.9999999925</v>
      </c>
      <c r="AZ648">
        <f ca="1">IF(ROW()&lt;($C$7+1),"",IFERROR((分析データ!C648-AVERAGE(OFFSET(分析データ!C$1,MAX(1,ROW()-$C$7),0,MIN($C$7,ROW()-1),1)))/STDEV(OFFSET(分析データ!C$1,MAX(1,ROW()-$C$7),0,MIN($C$7,ROW()-1),1)),0))</f>
        <v>-1.3287416418922624</v>
      </c>
      <c r="BA648">
        <f t="shared" ca="1" si="284"/>
        <v>0</v>
      </c>
      <c r="BB648" t="str">
        <f ca="1">IF(BA648=1,IF(INDEX(分析データ!$A:$A,ROW()+$C$5)&lt;&gt;"",60000*SIGN(AZ648)*(分析データ!C648-INDEX(分析データ!C:C,ROW()+$C$5)),""),"")</f>
        <v/>
      </c>
      <c r="BC648">
        <f t="shared" ca="1" si="285"/>
        <v>3075000.0000000102</v>
      </c>
      <c r="BD648">
        <f t="shared" ca="1" si="286"/>
        <v>3075000.0000000102</v>
      </c>
      <c r="BE648">
        <f t="shared" ca="1" si="287"/>
        <v>0</v>
      </c>
      <c r="BF648">
        <f ca="1">IF(ROW()&lt;($C$7+1),"",IFERROR((分析データ!D648-AVERAGE(OFFSET(分析データ!D$1,MAX(1,ROW()-$C$7),0,MIN($C$7,ROW()-1),1)))/STDEV(OFFSET(分析データ!D$1,MAX(1,ROW()-$C$7),0,MIN($C$7,ROW()-1),1)),0))</f>
        <v>-1.5143629838310066</v>
      </c>
      <c r="BG648">
        <f t="shared" ca="1" si="288"/>
        <v>0</v>
      </c>
      <c r="BH648" t="str">
        <f ca="1">IF(BG648=1,IF(INDEX(分析データ!$A:$A,ROW()+$C$5)&lt;&gt;"",50000*SIGN(BF648)*(分析データ!D648-INDEX(分析データ!D:D,ROW()+$C$5)),""),"")</f>
        <v/>
      </c>
      <c r="BI648">
        <f t="shared" ca="1" si="289"/>
        <v>195000.00000000582</v>
      </c>
      <c r="BJ648">
        <f t="shared" ca="1" si="290"/>
        <v>1695000.0000000016</v>
      </c>
      <c r="BK648">
        <f t="shared" ca="1" si="291"/>
        <v>-1499999.9999999958</v>
      </c>
      <c r="BL648">
        <f ca="1">IF(ROW()&lt;($C$7+1),"",IFERROR((分析データ!E648-AVERAGE(OFFSET(分析データ!E$1,MAX(1,ROW()-$C$7),0,MIN($C$7,ROW()-1),1)))/STDEV(OFFSET(分析データ!E$1,MAX(1,ROW()-$C$7),0,MIN($C$7,ROW()-1),1)),0))</f>
        <v>1.8015397286091628</v>
      </c>
      <c r="BM648">
        <f t="shared" ca="1" si="292"/>
        <v>0</v>
      </c>
      <c r="BN648" t="str">
        <f ca="1">IF(BM648=1,IF(INDEX(分析データ!$A:$A,ROW()+$C$5)&lt;&gt;"",40000*SIGN(BL648)*(分析データ!E648-INDEX(分析データ!E:E,ROW()+$C$5)),""),"")</f>
        <v/>
      </c>
      <c r="BO648">
        <f t="shared" ca="1" si="293"/>
        <v>2960000.0000000009</v>
      </c>
      <c r="BP648">
        <f t="shared" ca="1" si="294"/>
        <v>2960000.0000000009</v>
      </c>
      <c r="BQ648">
        <f t="shared" ca="1" si="295"/>
        <v>0</v>
      </c>
      <c r="BR648">
        <f ca="1">IF(ROW()&lt;($C$7+1),"",IFERROR((分析データ!F648-AVERAGE(OFFSET(分析データ!F$1,MAX(1,ROW()-$C$7),0,MIN($C$7,ROW()-1),1)))/STDEV(OFFSET(分析データ!F$1,MAX(1,ROW()-$C$7),0,MIN($C$7,ROW()-1),1)),0))</f>
        <v>-1.5288176590546545</v>
      </c>
      <c r="BS648">
        <f t="shared" ca="1" si="296"/>
        <v>0</v>
      </c>
      <c r="BT648" t="str">
        <f ca="1">IF(BS648=1,IF(INDEX(分析データ!$A:$A,ROW()+$C$5)&lt;&gt;"",40000*SIGN(BR648)*(分析データ!F648-INDEX(分析データ!F:F,ROW()+$C$5)),""),"")</f>
        <v/>
      </c>
      <c r="BU648">
        <f t="shared" ca="1" si="297"/>
        <v>14917200.000000004</v>
      </c>
      <c r="BV648">
        <f t="shared" ca="1" si="298"/>
        <v>14917200.000000004</v>
      </c>
      <c r="BW648">
        <f t="shared" ca="1" si="299"/>
        <v>0</v>
      </c>
      <c r="BX648">
        <f ca="1">IF(ROW()&lt;($C$7+1),"",IFERROR((分析データ!G648-AVERAGE(OFFSET(分析データ!G$1,MAX(1,ROW()-$C$7),0,MIN($C$7,ROW()-1),1)))/STDEV(OFFSET(分析データ!G$1,MAX(1,ROW()-$C$7),0,MIN($C$7,ROW()-1),1)),0))</f>
        <v>2.1305087943348964</v>
      </c>
      <c r="BY648">
        <f t="shared" ca="1" si="300"/>
        <v>1</v>
      </c>
      <c r="BZ648">
        <f ca="1">IF(BY648=1,IF(INDEX(分析データ!$A:$A,ROW()+$C$5)&lt;&gt;"",40000*SIGN(BX648)*(分析データ!G648-INDEX(分析データ!G:G,ROW()+$C$5)),""),"")</f>
        <v>473880.00000000116</v>
      </c>
      <c r="CA648">
        <f t="shared" ca="1" si="301"/>
        <v>-5086918.5791015467</v>
      </c>
      <c r="CB648">
        <f t="shared" ca="1" si="302"/>
        <v>11327520.000000004</v>
      </c>
      <c r="CC648">
        <f t="shared" ca="1" si="303"/>
        <v>-16414438.579101551</v>
      </c>
      <c r="CD648">
        <f t="shared" ca="1" si="304"/>
        <v>473880.00000000116</v>
      </c>
      <c r="CE648">
        <f t="shared" ca="1" si="305"/>
        <v>11060281.420898499</v>
      </c>
      <c r="CF648">
        <f t="shared" ca="1" si="306"/>
        <v>19067197.138671909</v>
      </c>
      <c r="CG648">
        <f t="shared" ca="1" si="307"/>
        <v>-8006915.7177734096</v>
      </c>
      <c r="CH648" s="10">
        <f>分析データ!A648</f>
        <v>45873</v>
      </c>
    </row>
    <row r="649" spans="46:86">
      <c r="AT649">
        <f ca="1">IF(ROW()&lt;($C$7+1),"",IFERROR((分析データ!B649-AVERAGE(OFFSET(分析データ!B$1,MAX(1,ROW()-$C$7),0,MIN($C$7,ROW()-1),1)))/STDEV(OFFSET(分析データ!B$1,MAX(1,ROW()-$C$7),0,MIN($C$7,ROW()-1),1)),0))</f>
        <v>-2.3210522259312305E-2</v>
      </c>
      <c r="AU649">
        <f t="shared" ca="1" si="280"/>
        <v>0</v>
      </c>
      <c r="AV649" t="str">
        <f ca="1">IF(AU649=1,IF(INDEX(分析データ!$A:$A,ROW()+$C$5)&lt;&gt;"",80000*SIGN(AT649)*(分析データ!B649-INDEX(分析データ!B:B,ROW()+$C$5)),""),"")</f>
        <v/>
      </c>
      <c r="AW649">
        <f t="shared" ca="1" si="281"/>
        <v>-4999999.9999999925</v>
      </c>
      <c r="AX649">
        <f t="shared" ca="1" si="282"/>
        <v>0</v>
      </c>
      <c r="AY649">
        <f t="shared" ca="1" si="283"/>
        <v>-4999999.9999999925</v>
      </c>
      <c r="AZ649">
        <f ca="1">IF(ROW()&lt;($C$7+1),"",IFERROR((分析データ!C649-AVERAGE(OFFSET(分析データ!C$1,MAX(1,ROW()-$C$7),0,MIN($C$7,ROW()-1),1)))/STDEV(OFFSET(分析データ!C$1,MAX(1,ROW()-$C$7),0,MIN($C$7,ROW()-1),1)),0))</f>
        <v>-1.539605953459249</v>
      </c>
      <c r="BA649">
        <f t="shared" ca="1" si="284"/>
        <v>0</v>
      </c>
      <c r="BB649" t="str">
        <f ca="1">IF(BA649=1,IF(INDEX(分析データ!$A:$A,ROW()+$C$5)&lt;&gt;"",60000*SIGN(AZ649)*(分析データ!C649-INDEX(分析データ!C:C,ROW()+$C$5)),""),"")</f>
        <v/>
      </c>
      <c r="BC649">
        <f t="shared" ca="1" si="285"/>
        <v>3075000.0000000102</v>
      </c>
      <c r="BD649">
        <f t="shared" ca="1" si="286"/>
        <v>3075000.0000000102</v>
      </c>
      <c r="BE649">
        <f t="shared" ca="1" si="287"/>
        <v>0</v>
      </c>
      <c r="BF649">
        <f ca="1">IF(ROW()&lt;($C$7+1),"",IFERROR((分析データ!D649-AVERAGE(OFFSET(分析データ!D$1,MAX(1,ROW()-$C$7),0,MIN($C$7,ROW()-1),1)))/STDEV(OFFSET(分析データ!D$1,MAX(1,ROW()-$C$7),0,MIN($C$7,ROW()-1),1)),0))</f>
        <v>-1.3584056260089969</v>
      </c>
      <c r="BG649">
        <f t="shared" ca="1" si="288"/>
        <v>0</v>
      </c>
      <c r="BH649" t="str">
        <f ca="1">IF(BG649=1,IF(INDEX(分析データ!$A:$A,ROW()+$C$5)&lt;&gt;"",50000*SIGN(BF649)*(分析データ!D649-INDEX(分析データ!D:D,ROW()+$C$5)),""),"")</f>
        <v/>
      </c>
      <c r="BI649">
        <f t="shared" ca="1" si="289"/>
        <v>195000.00000000582</v>
      </c>
      <c r="BJ649">
        <f t="shared" ca="1" si="290"/>
        <v>1695000.0000000016</v>
      </c>
      <c r="BK649">
        <f t="shared" ca="1" si="291"/>
        <v>-1499999.9999999958</v>
      </c>
      <c r="BL649">
        <f ca="1">IF(ROW()&lt;($C$7+1),"",IFERROR((分析データ!E649-AVERAGE(OFFSET(分析データ!E$1,MAX(1,ROW()-$C$7),0,MIN($C$7,ROW()-1),1)))/STDEV(OFFSET(分析データ!E$1,MAX(1,ROW()-$C$7),0,MIN($C$7,ROW()-1),1)),0))</f>
        <v>1.615965357216619</v>
      </c>
      <c r="BM649">
        <f t="shared" ca="1" si="292"/>
        <v>0</v>
      </c>
      <c r="BN649" t="str">
        <f ca="1">IF(BM649=1,IF(INDEX(分析データ!$A:$A,ROW()+$C$5)&lt;&gt;"",40000*SIGN(BL649)*(分析データ!E649-INDEX(分析データ!E:E,ROW()+$C$5)),""),"")</f>
        <v/>
      </c>
      <c r="BO649">
        <f t="shared" ca="1" si="293"/>
        <v>2960000.0000000009</v>
      </c>
      <c r="BP649">
        <f t="shared" ca="1" si="294"/>
        <v>2960000.0000000009</v>
      </c>
      <c r="BQ649">
        <f t="shared" ca="1" si="295"/>
        <v>0</v>
      </c>
      <c r="BR649">
        <f ca="1">IF(ROW()&lt;($C$7+1),"",IFERROR((分析データ!F649-AVERAGE(OFFSET(分析データ!F$1,MAX(1,ROW()-$C$7),0,MIN($C$7,ROW()-1),1)))/STDEV(OFFSET(分析データ!F$1,MAX(1,ROW()-$C$7),0,MIN($C$7,ROW()-1),1)),0))</f>
        <v>-1.6552031798822862</v>
      </c>
      <c r="BS649">
        <f t="shared" ca="1" si="296"/>
        <v>0</v>
      </c>
      <c r="BT649" t="str">
        <f ca="1">IF(BS649=1,IF(INDEX(分析データ!$A:$A,ROW()+$C$5)&lt;&gt;"",40000*SIGN(BR649)*(分析データ!F649-INDEX(分析データ!F:F,ROW()+$C$5)),""),"")</f>
        <v/>
      </c>
      <c r="BU649">
        <f t="shared" ca="1" si="297"/>
        <v>14917200.000000004</v>
      </c>
      <c r="BV649">
        <f t="shared" ca="1" si="298"/>
        <v>14917200.000000004</v>
      </c>
      <c r="BW649">
        <f t="shared" ca="1" si="299"/>
        <v>0</v>
      </c>
      <c r="BX649">
        <f ca="1">IF(ROW()&lt;($C$7+1),"",IFERROR((分析データ!G649-AVERAGE(OFFSET(分析データ!G$1,MAX(1,ROW()-$C$7),0,MIN($C$7,ROW()-1),1)))/STDEV(OFFSET(分析データ!G$1,MAX(1,ROW()-$C$7),0,MIN($C$7,ROW()-1),1)),0))</f>
        <v>2.2592778387819403</v>
      </c>
      <c r="BY649">
        <f t="shared" ca="1" si="300"/>
        <v>1</v>
      </c>
      <c r="BZ649">
        <f ca="1">IF(BY649=1,IF(INDEX(分析データ!$A:$A,ROW()+$C$5)&lt;&gt;"",40000*SIGN(BX649)*(分析データ!G649-INDEX(分析データ!G:G,ROW()+$C$5)),""),"")</f>
        <v>679908.57421875012</v>
      </c>
      <c r="CA649">
        <f t="shared" ca="1" si="301"/>
        <v>-4407010.0048827967</v>
      </c>
      <c r="CB649">
        <f t="shared" ca="1" si="302"/>
        <v>11327520.000000004</v>
      </c>
      <c r="CC649">
        <f t="shared" ca="1" si="303"/>
        <v>-15734530.004882801</v>
      </c>
      <c r="CD649">
        <f t="shared" ca="1" si="304"/>
        <v>679908.57421875012</v>
      </c>
      <c r="CE649">
        <f t="shared" ca="1" si="305"/>
        <v>11740189.995117249</v>
      </c>
      <c r="CF649">
        <f t="shared" ca="1" si="306"/>
        <v>19067197.138671909</v>
      </c>
      <c r="CG649">
        <f t="shared" ca="1" si="307"/>
        <v>-7327007.1435546596</v>
      </c>
      <c r="CH649" s="10">
        <f>分析データ!A649</f>
        <v>45874</v>
      </c>
    </row>
    <row r="650" spans="46:86">
      <c r="AT650">
        <f ca="1">IF(ROW()&lt;($C$7+1),"",IFERROR((分析データ!B650-AVERAGE(OFFSET(分析データ!B$1,MAX(1,ROW()-$C$7),0,MIN($C$7,ROW()-1),1)))/STDEV(OFFSET(分析データ!B$1,MAX(1,ROW()-$C$7),0,MIN($C$7,ROW()-1),1)),0))</f>
        <v>-3.4508402292983145E-2</v>
      </c>
      <c r="AU650">
        <f t="shared" ca="1" si="280"/>
        <v>0</v>
      </c>
      <c r="AV650" t="str">
        <f ca="1">IF(AU650=1,IF(INDEX(分析データ!$A:$A,ROW()+$C$5)&lt;&gt;"",80000*SIGN(AT650)*(分析データ!B650-INDEX(分析データ!B:B,ROW()+$C$5)),""),"")</f>
        <v/>
      </c>
      <c r="AW650">
        <f t="shared" ca="1" si="281"/>
        <v>-4999999.9999999925</v>
      </c>
      <c r="AX650">
        <f t="shared" ca="1" si="282"/>
        <v>0</v>
      </c>
      <c r="AY650">
        <f t="shared" ca="1" si="283"/>
        <v>-4999999.9999999925</v>
      </c>
      <c r="AZ650">
        <f ca="1">IF(ROW()&lt;($C$7+1),"",IFERROR((分析データ!C650-AVERAGE(OFFSET(分析データ!C$1,MAX(1,ROW()-$C$7),0,MIN($C$7,ROW()-1),1)))/STDEV(OFFSET(分析データ!C$1,MAX(1,ROW()-$C$7),0,MIN($C$7,ROW()-1),1)),0))</f>
        <v>-1.3113693139710754</v>
      </c>
      <c r="BA650">
        <f t="shared" ca="1" si="284"/>
        <v>0</v>
      </c>
      <c r="BB650" t="str">
        <f ca="1">IF(BA650=1,IF(INDEX(分析データ!$A:$A,ROW()+$C$5)&lt;&gt;"",60000*SIGN(AZ650)*(分析データ!C650-INDEX(分析データ!C:C,ROW()+$C$5)),""),"")</f>
        <v/>
      </c>
      <c r="BC650">
        <f t="shared" ca="1" si="285"/>
        <v>3075000.0000000102</v>
      </c>
      <c r="BD650">
        <f t="shared" ca="1" si="286"/>
        <v>3075000.0000000102</v>
      </c>
      <c r="BE650">
        <f t="shared" ca="1" si="287"/>
        <v>0</v>
      </c>
      <c r="BF650">
        <f ca="1">IF(ROW()&lt;($C$7+1),"",IFERROR((分析データ!D650-AVERAGE(OFFSET(分析データ!D$1,MAX(1,ROW()-$C$7),0,MIN($C$7,ROW()-1),1)))/STDEV(OFFSET(分析データ!D$1,MAX(1,ROW()-$C$7),0,MIN($C$7,ROW()-1),1)),0))</f>
        <v>-1.4456996962271185</v>
      </c>
      <c r="BG650">
        <f t="shared" ca="1" si="288"/>
        <v>0</v>
      </c>
      <c r="BH650" t="str">
        <f ca="1">IF(BG650=1,IF(INDEX(分析データ!$A:$A,ROW()+$C$5)&lt;&gt;"",50000*SIGN(BF650)*(分析データ!D650-INDEX(分析データ!D:D,ROW()+$C$5)),""),"")</f>
        <v/>
      </c>
      <c r="BI650">
        <f t="shared" ca="1" si="289"/>
        <v>195000.00000000582</v>
      </c>
      <c r="BJ650">
        <f t="shared" ca="1" si="290"/>
        <v>1695000.0000000016</v>
      </c>
      <c r="BK650">
        <f t="shared" ca="1" si="291"/>
        <v>-1499999.9999999958</v>
      </c>
      <c r="BL650">
        <f ca="1">IF(ROW()&lt;($C$7+1),"",IFERROR((分析データ!E650-AVERAGE(OFFSET(分析データ!E$1,MAX(1,ROW()-$C$7),0,MIN($C$7,ROW()-1),1)))/STDEV(OFFSET(分析データ!E$1,MAX(1,ROW()-$C$7),0,MIN($C$7,ROW()-1),1)),0))</f>
        <v>1.6003950389325448</v>
      </c>
      <c r="BM650">
        <f t="shared" ca="1" si="292"/>
        <v>0</v>
      </c>
      <c r="BN650" t="str">
        <f ca="1">IF(BM650=1,IF(INDEX(分析データ!$A:$A,ROW()+$C$5)&lt;&gt;"",40000*SIGN(BL650)*(分析データ!E650-INDEX(分析データ!E:E,ROW()+$C$5)),""),"")</f>
        <v/>
      </c>
      <c r="BO650">
        <f t="shared" ca="1" si="293"/>
        <v>2960000.0000000009</v>
      </c>
      <c r="BP650">
        <f t="shared" ca="1" si="294"/>
        <v>2960000.0000000009</v>
      </c>
      <c r="BQ650">
        <f t="shared" ca="1" si="295"/>
        <v>0</v>
      </c>
      <c r="BR650">
        <f ca="1">IF(ROW()&lt;($C$7+1),"",IFERROR((分析データ!F650-AVERAGE(OFFSET(分析データ!F$1,MAX(1,ROW()-$C$7),0,MIN($C$7,ROW()-1),1)))/STDEV(OFFSET(分析データ!F$1,MAX(1,ROW()-$C$7),0,MIN($C$7,ROW()-1),1)),0))</f>
        <v>-1.6714080327261369</v>
      </c>
      <c r="BS650">
        <f t="shared" ca="1" si="296"/>
        <v>0</v>
      </c>
      <c r="BT650" t="str">
        <f ca="1">IF(BS650=1,IF(INDEX(分析データ!$A:$A,ROW()+$C$5)&lt;&gt;"",40000*SIGN(BR650)*(分析データ!F650-INDEX(分析データ!F:F,ROW()+$C$5)),""),"")</f>
        <v/>
      </c>
      <c r="BU650">
        <f t="shared" ca="1" si="297"/>
        <v>14917200.000000004</v>
      </c>
      <c r="BV650">
        <f t="shared" ca="1" si="298"/>
        <v>14917200.000000004</v>
      </c>
      <c r="BW650">
        <f t="shared" ca="1" si="299"/>
        <v>0</v>
      </c>
      <c r="BX650">
        <f ca="1">IF(ROW()&lt;($C$7+1),"",IFERROR((分析データ!G650-AVERAGE(OFFSET(分析データ!G$1,MAX(1,ROW()-$C$7),0,MIN($C$7,ROW()-1),1)))/STDEV(OFFSET(分析データ!G$1,MAX(1,ROW()-$C$7),0,MIN($C$7,ROW()-1),1)),0))</f>
        <v>2.2112971369810257</v>
      </c>
      <c r="BY650">
        <f t="shared" ca="1" si="300"/>
        <v>1</v>
      </c>
      <c r="BZ650">
        <f ca="1">IF(BY650=1,IF(INDEX(分析データ!$A:$A,ROW()+$C$5)&lt;&gt;"",40000*SIGN(BX650)*(分析データ!G650-INDEX(分析データ!G:G,ROW()+$C$5)),""),"")</f>
        <v>553265.71289062314</v>
      </c>
      <c r="CA650">
        <f t="shared" ca="1" si="301"/>
        <v>-3853744.2919921735</v>
      </c>
      <c r="CB650">
        <f t="shared" ca="1" si="302"/>
        <v>11327520.000000004</v>
      </c>
      <c r="CC650">
        <f t="shared" ca="1" si="303"/>
        <v>-15181264.291992176</v>
      </c>
      <c r="CD650">
        <f t="shared" ca="1" si="304"/>
        <v>553265.71289062314</v>
      </c>
      <c r="CE650">
        <f t="shared" ca="1" si="305"/>
        <v>12293455.708007872</v>
      </c>
      <c r="CF650">
        <f t="shared" ca="1" si="306"/>
        <v>19067197.138671909</v>
      </c>
      <c r="CG650">
        <f t="shared" ca="1" si="307"/>
        <v>-6773741.4306640364</v>
      </c>
      <c r="CH650" s="10">
        <f>分析データ!A650</f>
        <v>45875</v>
      </c>
    </row>
    <row r="651" spans="46:86">
      <c r="AT651">
        <f ca="1">IF(ROW()&lt;($C$7+1),"",IFERROR((分析データ!B651-AVERAGE(OFFSET(分析データ!B$1,MAX(1,ROW()-$C$7),0,MIN($C$7,ROW()-1),1)))/STDEV(OFFSET(分析データ!B$1,MAX(1,ROW()-$C$7),0,MIN($C$7,ROW()-1),1)),0))</f>
        <v>-0.11548534029286148</v>
      </c>
      <c r="AU651">
        <f t="shared" ca="1" si="280"/>
        <v>0</v>
      </c>
      <c r="AV651" t="str">
        <f ca="1">IF(AU651=1,IF(INDEX(分析データ!$A:$A,ROW()+$C$5)&lt;&gt;"",80000*SIGN(AT651)*(分析データ!B651-INDEX(分析データ!B:B,ROW()+$C$5)),""),"")</f>
        <v/>
      </c>
      <c r="AW651">
        <f t="shared" ca="1" si="281"/>
        <v>-4999999.9999999925</v>
      </c>
      <c r="AX651">
        <f t="shared" ca="1" si="282"/>
        <v>0</v>
      </c>
      <c r="AY651">
        <f t="shared" ca="1" si="283"/>
        <v>-4999999.9999999925</v>
      </c>
      <c r="AZ651">
        <f ca="1">IF(ROW()&lt;($C$7+1),"",IFERROR((分析データ!C651-AVERAGE(OFFSET(分析データ!C$1,MAX(1,ROW()-$C$7),0,MIN($C$7,ROW()-1),1)))/STDEV(OFFSET(分析データ!C$1,MAX(1,ROW()-$C$7),0,MIN($C$7,ROW()-1),1)),0))</f>
        <v>-1.338840150318426</v>
      </c>
      <c r="BA651">
        <f t="shared" ca="1" si="284"/>
        <v>0</v>
      </c>
      <c r="BB651" t="str">
        <f ca="1">IF(BA651=1,IF(INDEX(分析データ!$A:$A,ROW()+$C$5)&lt;&gt;"",60000*SIGN(AZ651)*(分析データ!C651-INDEX(分析データ!C:C,ROW()+$C$5)),""),"")</f>
        <v/>
      </c>
      <c r="BC651">
        <f t="shared" ca="1" si="285"/>
        <v>3075000.0000000102</v>
      </c>
      <c r="BD651">
        <f t="shared" ca="1" si="286"/>
        <v>3075000.0000000102</v>
      </c>
      <c r="BE651">
        <f t="shared" ca="1" si="287"/>
        <v>0</v>
      </c>
      <c r="BF651">
        <f ca="1">IF(ROW()&lt;($C$7+1),"",IFERROR((分析データ!D651-AVERAGE(OFFSET(分析データ!D$1,MAX(1,ROW()-$C$7),0,MIN($C$7,ROW()-1),1)))/STDEV(OFFSET(分析データ!D$1,MAX(1,ROW()-$C$7),0,MIN($C$7,ROW()-1),1)),0))</f>
        <v>-1.3580286903528305</v>
      </c>
      <c r="BG651">
        <f t="shared" ca="1" si="288"/>
        <v>0</v>
      </c>
      <c r="BH651" t="str">
        <f ca="1">IF(BG651=1,IF(INDEX(分析データ!$A:$A,ROW()+$C$5)&lt;&gt;"",50000*SIGN(BF651)*(分析データ!D651-INDEX(分析データ!D:D,ROW()+$C$5)),""),"")</f>
        <v/>
      </c>
      <c r="BI651">
        <f t="shared" ca="1" si="289"/>
        <v>195000.00000000582</v>
      </c>
      <c r="BJ651">
        <f t="shared" ca="1" si="290"/>
        <v>1695000.0000000016</v>
      </c>
      <c r="BK651">
        <f t="shared" ca="1" si="291"/>
        <v>-1499999.9999999958</v>
      </c>
      <c r="BL651">
        <f ca="1">IF(ROW()&lt;($C$7+1),"",IFERROR((分析データ!E651-AVERAGE(OFFSET(分析データ!E$1,MAX(1,ROW()-$C$7),0,MIN($C$7,ROW()-1),1)))/STDEV(OFFSET(分析データ!E$1,MAX(1,ROW()-$C$7),0,MIN($C$7,ROW()-1),1)),0))</f>
        <v>1.5015351974216669</v>
      </c>
      <c r="BM651">
        <f t="shared" ca="1" si="292"/>
        <v>0</v>
      </c>
      <c r="BN651" t="str">
        <f ca="1">IF(BM651=1,IF(INDEX(分析データ!$A:$A,ROW()+$C$5)&lt;&gt;"",40000*SIGN(BL651)*(分析データ!E651-INDEX(分析データ!E:E,ROW()+$C$5)),""),"")</f>
        <v/>
      </c>
      <c r="BO651">
        <f t="shared" ca="1" si="293"/>
        <v>2960000.0000000009</v>
      </c>
      <c r="BP651">
        <f t="shared" ca="1" si="294"/>
        <v>2960000.0000000009</v>
      </c>
      <c r="BQ651">
        <f t="shared" ca="1" si="295"/>
        <v>0</v>
      </c>
      <c r="BR651">
        <f ca="1">IF(ROW()&lt;($C$7+1),"",IFERROR((分析データ!F651-AVERAGE(OFFSET(分析データ!F$1,MAX(1,ROW()-$C$7),0,MIN($C$7,ROW()-1),1)))/STDEV(OFFSET(分析データ!F$1,MAX(1,ROW()-$C$7),0,MIN($C$7,ROW()-1),1)),0))</f>
        <v>-1.7066232483258308</v>
      </c>
      <c r="BS651">
        <f t="shared" ca="1" si="296"/>
        <v>0</v>
      </c>
      <c r="BT651" t="str">
        <f ca="1">IF(BS651=1,IF(INDEX(分析データ!$A:$A,ROW()+$C$5)&lt;&gt;"",40000*SIGN(BR651)*(分析データ!F651-INDEX(分析データ!F:F,ROW()+$C$5)),""),"")</f>
        <v/>
      </c>
      <c r="BU651">
        <f t="shared" ca="1" si="297"/>
        <v>14917200.000000004</v>
      </c>
      <c r="BV651">
        <f t="shared" ca="1" si="298"/>
        <v>14917200.000000004</v>
      </c>
      <c r="BW651">
        <f t="shared" ca="1" si="299"/>
        <v>0</v>
      </c>
      <c r="BX651">
        <f ca="1">IF(ROW()&lt;($C$7+1),"",IFERROR((分析データ!G651-AVERAGE(OFFSET(分析データ!G$1,MAX(1,ROW()-$C$7),0,MIN($C$7,ROW()-1),1)))/STDEV(OFFSET(分析データ!G$1,MAX(1,ROW()-$C$7),0,MIN($C$7,ROW()-1),1)),0))</f>
        <v>2.193013216707723</v>
      </c>
      <c r="BY651">
        <f t="shared" ca="1" si="300"/>
        <v>1</v>
      </c>
      <c r="BZ651">
        <f ca="1">IF(BY651=1,IF(INDEX(分析データ!$A:$A,ROW()+$C$5)&lt;&gt;"",40000*SIGN(BX651)*(分析データ!G651-INDEX(分析データ!G:G,ROW()+$C$5)),""),"")</f>
        <v>117705.71289062531</v>
      </c>
      <c r="CA651">
        <f t="shared" ca="1" si="301"/>
        <v>-3736038.5791015481</v>
      </c>
      <c r="CB651">
        <f t="shared" ca="1" si="302"/>
        <v>11327520.000000004</v>
      </c>
      <c r="CC651">
        <f t="shared" ca="1" si="303"/>
        <v>-15063558.579101551</v>
      </c>
      <c r="CD651">
        <f t="shared" ca="1" si="304"/>
        <v>117705.71289062531</v>
      </c>
      <c r="CE651">
        <f t="shared" ca="1" si="305"/>
        <v>12411161.420898497</v>
      </c>
      <c r="CF651">
        <f t="shared" ca="1" si="306"/>
        <v>19067197.138671909</v>
      </c>
      <c r="CG651">
        <f t="shared" ca="1" si="307"/>
        <v>-6656035.7177734114</v>
      </c>
      <c r="CH651" s="10">
        <f>分析データ!A651</f>
        <v>45876</v>
      </c>
    </row>
    <row r="652" spans="46:86">
      <c r="AT652">
        <f ca="1">IF(ROW()&lt;($C$7+1),"",IFERROR((分析データ!B652-AVERAGE(OFFSET(分析データ!B$1,MAX(1,ROW()-$C$7),0,MIN($C$7,ROW()-1),1)))/STDEV(OFFSET(分析データ!B$1,MAX(1,ROW()-$C$7),0,MIN($C$7,ROW()-1),1)),0))</f>
        <v>-0.12602601182369344</v>
      </c>
      <c r="AU652">
        <f t="shared" ca="1" si="280"/>
        <v>0</v>
      </c>
      <c r="AV652" t="str">
        <f ca="1">IF(AU652=1,IF(INDEX(分析データ!$A:$A,ROW()+$C$5)&lt;&gt;"",80000*SIGN(AT652)*(分析データ!B652-INDEX(分析データ!B:B,ROW()+$C$5)),""),"")</f>
        <v/>
      </c>
      <c r="AW652">
        <f t="shared" ca="1" si="281"/>
        <v>-4999999.9999999925</v>
      </c>
      <c r="AX652">
        <f t="shared" ca="1" si="282"/>
        <v>0</v>
      </c>
      <c r="AY652">
        <f t="shared" ca="1" si="283"/>
        <v>-4999999.9999999925</v>
      </c>
      <c r="AZ652">
        <f ca="1">IF(ROW()&lt;($C$7+1),"",IFERROR((分析データ!C652-AVERAGE(OFFSET(分析データ!C$1,MAX(1,ROW()-$C$7),0,MIN($C$7,ROW()-1),1)))/STDEV(OFFSET(分析データ!C$1,MAX(1,ROW()-$C$7),0,MIN($C$7,ROW()-1),1)),0))</f>
        <v>-1.3614031122361587</v>
      </c>
      <c r="BA652">
        <f t="shared" ca="1" si="284"/>
        <v>0</v>
      </c>
      <c r="BB652" t="str">
        <f ca="1">IF(BA652=1,IF(INDEX(分析データ!$A:$A,ROW()+$C$5)&lt;&gt;"",60000*SIGN(AZ652)*(分析データ!C652-INDEX(分析データ!C:C,ROW()+$C$5)),""),"")</f>
        <v/>
      </c>
      <c r="BC652">
        <f t="shared" ca="1" si="285"/>
        <v>3075000.0000000102</v>
      </c>
      <c r="BD652">
        <f t="shared" ca="1" si="286"/>
        <v>3075000.0000000102</v>
      </c>
      <c r="BE652">
        <f t="shared" ca="1" si="287"/>
        <v>0</v>
      </c>
      <c r="BF652">
        <f ca="1">IF(ROW()&lt;($C$7+1),"",IFERROR((分析データ!D652-AVERAGE(OFFSET(分析データ!D$1,MAX(1,ROW()-$C$7),0,MIN($C$7,ROW()-1),1)))/STDEV(OFFSET(分析データ!D$1,MAX(1,ROW()-$C$7),0,MIN($C$7,ROW()-1),1)),0))</f>
        <v>-1.1843182665303007</v>
      </c>
      <c r="BG652">
        <f t="shared" ca="1" si="288"/>
        <v>0</v>
      </c>
      <c r="BH652" t="str">
        <f ca="1">IF(BG652=1,IF(INDEX(分析データ!$A:$A,ROW()+$C$5)&lt;&gt;"",50000*SIGN(BF652)*(分析データ!D652-INDEX(分析データ!D:D,ROW()+$C$5)),""),"")</f>
        <v/>
      </c>
      <c r="BI652">
        <f t="shared" ca="1" si="289"/>
        <v>195000.00000000582</v>
      </c>
      <c r="BJ652">
        <f t="shared" ca="1" si="290"/>
        <v>1695000.0000000016</v>
      </c>
      <c r="BK652">
        <f t="shared" ca="1" si="291"/>
        <v>-1499999.9999999958</v>
      </c>
      <c r="BL652">
        <f ca="1">IF(ROW()&lt;($C$7+1),"",IFERROR((分析データ!E652-AVERAGE(OFFSET(分析データ!E$1,MAX(1,ROW()-$C$7),0,MIN($C$7,ROW()-1),1)))/STDEV(OFFSET(分析データ!E$1,MAX(1,ROW()-$C$7),0,MIN($C$7,ROW()-1),1)),0))</f>
        <v>1.4045898056319817</v>
      </c>
      <c r="BM652">
        <f t="shared" ca="1" si="292"/>
        <v>0</v>
      </c>
      <c r="BN652" t="str">
        <f ca="1">IF(BM652=1,IF(INDEX(分析データ!$A:$A,ROW()+$C$5)&lt;&gt;"",40000*SIGN(BL652)*(分析データ!E652-INDEX(分析データ!E:E,ROW()+$C$5)),""),"")</f>
        <v/>
      </c>
      <c r="BO652">
        <f t="shared" ca="1" si="293"/>
        <v>2960000.0000000009</v>
      </c>
      <c r="BP652">
        <f t="shared" ca="1" si="294"/>
        <v>2960000.0000000009</v>
      </c>
      <c r="BQ652">
        <f t="shared" ca="1" si="295"/>
        <v>0</v>
      </c>
      <c r="BR652">
        <f ca="1">IF(ROW()&lt;($C$7+1),"",IFERROR((分析データ!F652-AVERAGE(OFFSET(分析データ!F$1,MAX(1,ROW()-$C$7),0,MIN($C$7,ROW()-1),1)))/STDEV(OFFSET(分析データ!F$1,MAX(1,ROW()-$C$7),0,MIN($C$7,ROW()-1),1)),0))</f>
        <v>-1.5941771486408107</v>
      </c>
      <c r="BS652">
        <f t="shared" ca="1" si="296"/>
        <v>0</v>
      </c>
      <c r="BT652" t="str">
        <f ca="1">IF(BS652=1,IF(INDEX(分析データ!$A:$A,ROW()+$C$5)&lt;&gt;"",40000*SIGN(BR652)*(分析データ!F652-INDEX(分析データ!F:F,ROW()+$C$5)),""),"")</f>
        <v/>
      </c>
      <c r="BU652">
        <f t="shared" ca="1" si="297"/>
        <v>14917200.000000004</v>
      </c>
      <c r="BV652">
        <f t="shared" ca="1" si="298"/>
        <v>14917200.000000004</v>
      </c>
      <c r="BW652">
        <f t="shared" ca="1" si="299"/>
        <v>0</v>
      </c>
      <c r="BX652">
        <f ca="1">IF(ROW()&lt;($C$7+1),"",IFERROR((分析データ!G652-AVERAGE(OFFSET(分析データ!G$1,MAX(1,ROW()-$C$7),0,MIN($C$7,ROW()-1),1)))/STDEV(OFFSET(分析データ!G$1,MAX(1,ROW()-$C$7),0,MIN($C$7,ROW()-1),1)),0))</f>
        <v>2.0758077173798992</v>
      </c>
      <c r="BY652">
        <f t="shared" ca="1" si="300"/>
        <v>1</v>
      </c>
      <c r="BZ652">
        <f ca="1">IF(BY652=1,IF(INDEX(分析データ!$A:$A,ROW()+$C$5)&lt;&gt;"",40000*SIGN(BX652)*(分析データ!G652-INDEX(分析データ!G:G,ROW()+$C$5)),""),"")</f>
        <v>220585.71289062998</v>
      </c>
      <c r="CA652">
        <f t="shared" ca="1" si="301"/>
        <v>-3515452.8662109179</v>
      </c>
      <c r="CB652">
        <f t="shared" ca="1" si="302"/>
        <v>11327520.000000004</v>
      </c>
      <c r="CC652">
        <f t="shared" ca="1" si="303"/>
        <v>-14842972.866210923</v>
      </c>
      <c r="CD652">
        <f t="shared" ca="1" si="304"/>
        <v>220585.71289062998</v>
      </c>
      <c r="CE652">
        <f t="shared" ca="1" si="305"/>
        <v>12631747.133789128</v>
      </c>
      <c r="CF652">
        <f t="shared" ca="1" si="306"/>
        <v>19067197.138671909</v>
      </c>
      <c r="CG652">
        <f t="shared" ca="1" si="307"/>
        <v>-6435450.0048827808</v>
      </c>
      <c r="CH652" s="10">
        <f>分析データ!A652</f>
        <v>45877</v>
      </c>
    </row>
    <row r="653" spans="46:86">
      <c r="AT653">
        <f ca="1">IF(ROW()&lt;($C$7+1),"",IFERROR((分析データ!B653-AVERAGE(OFFSET(分析データ!B$1,MAX(1,ROW()-$C$7),0,MIN($C$7,ROW()-1),1)))/STDEV(OFFSET(分析データ!B$1,MAX(1,ROW()-$C$7),0,MIN($C$7,ROW()-1),1)),0))</f>
        <v>-6.3252505286104085E-2</v>
      </c>
      <c r="AU653">
        <f t="shared" ca="1" si="280"/>
        <v>0</v>
      </c>
      <c r="AV653" t="str">
        <f ca="1">IF(AU653=1,IF(INDEX(分析データ!$A:$A,ROW()+$C$5)&lt;&gt;"",80000*SIGN(AT653)*(分析データ!B653-INDEX(分析データ!B:B,ROW()+$C$5)),""),"")</f>
        <v/>
      </c>
      <c r="AW653">
        <f t="shared" ca="1" si="281"/>
        <v>-4999999.9999999925</v>
      </c>
      <c r="AX653">
        <f t="shared" ca="1" si="282"/>
        <v>0</v>
      </c>
      <c r="AY653">
        <f t="shared" ca="1" si="283"/>
        <v>-4999999.9999999925</v>
      </c>
      <c r="AZ653">
        <f ca="1">IF(ROW()&lt;($C$7+1),"",IFERROR((分析データ!C653-AVERAGE(OFFSET(分析データ!C$1,MAX(1,ROW()-$C$7),0,MIN($C$7,ROW()-1),1)))/STDEV(OFFSET(分析データ!C$1,MAX(1,ROW()-$C$7),0,MIN($C$7,ROW()-1),1)),0))</f>
        <v>-1.3507377181470677</v>
      </c>
      <c r="BA653">
        <f t="shared" ca="1" si="284"/>
        <v>0</v>
      </c>
      <c r="BB653" t="str">
        <f ca="1">IF(BA653=1,IF(INDEX(分析データ!$A:$A,ROW()+$C$5)&lt;&gt;"",60000*SIGN(AZ653)*(分析データ!C653-INDEX(分析データ!C:C,ROW()+$C$5)),""),"")</f>
        <v/>
      </c>
      <c r="BC653">
        <f t="shared" ca="1" si="285"/>
        <v>3075000.0000000102</v>
      </c>
      <c r="BD653">
        <f t="shared" ca="1" si="286"/>
        <v>3075000.0000000102</v>
      </c>
      <c r="BE653">
        <f t="shared" ca="1" si="287"/>
        <v>0</v>
      </c>
      <c r="BF653">
        <f ca="1">IF(ROW()&lt;($C$7+1),"",IFERROR((分析データ!D653-AVERAGE(OFFSET(分析データ!D$1,MAX(1,ROW()-$C$7),0,MIN($C$7,ROW()-1),1)))/STDEV(OFFSET(分析データ!D$1,MAX(1,ROW()-$C$7),0,MIN($C$7,ROW()-1),1)),0))</f>
        <v>-1.1772590274487715</v>
      </c>
      <c r="BG653">
        <f t="shared" ca="1" si="288"/>
        <v>0</v>
      </c>
      <c r="BH653" t="str">
        <f ca="1">IF(BG653=1,IF(INDEX(分析データ!$A:$A,ROW()+$C$5)&lt;&gt;"",50000*SIGN(BF653)*(分析データ!D653-INDEX(分析データ!D:D,ROW()+$C$5)),""),"")</f>
        <v/>
      </c>
      <c r="BI653">
        <f t="shared" ca="1" si="289"/>
        <v>195000.00000000582</v>
      </c>
      <c r="BJ653">
        <f t="shared" ca="1" si="290"/>
        <v>1695000.0000000016</v>
      </c>
      <c r="BK653">
        <f t="shared" ca="1" si="291"/>
        <v>-1499999.9999999958</v>
      </c>
      <c r="BL653">
        <f ca="1">IF(ROW()&lt;($C$7+1),"",IFERROR((分析データ!E653-AVERAGE(OFFSET(分析データ!E$1,MAX(1,ROW()-$C$7),0,MIN($C$7,ROW()-1),1)))/STDEV(OFFSET(分析データ!E$1,MAX(1,ROW()-$C$7),0,MIN($C$7,ROW()-1),1)),0))</f>
        <v>1.4751469886991628</v>
      </c>
      <c r="BM653">
        <f t="shared" ca="1" si="292"/>
        <v>0</v>
      </c>
      <c r="BN653" t="str">
        <f ca="1">IF(BM653=1,IF(INDEX(分析データ!$A:$A,ROW()+$C$5)&lt;&gt;"",40000*SIGN(BL653)*(分析データ!E653-INDEX(分析データ!E:E,ROW()+$C$5)),""),"")</f>
        <v/>
      </c>
      <c r="BO653">
        <f t="shared" ca="1" si="293"/>
        <v>2960000.0000000009</v>
      </c>
      <c r="BP653">
        <f t="shared" ca="1" si="294"/>
        <v>2960000.0000000009</v>
      </c>
      <c r="BQ653">
        <f t="shared" ca="1" si="295"/>
        <v>0</v>
      </c>
      <c r="BR653">
        <f ca="1">IF(ROW()&lt;($C$7+1),"",IFERROR((分析データ!F653-AVERAGE(OFFSET(分析データ!F$1,MAX(1,ROW()-$C$7),0,MIN($C$7,ROW()-1),1)))/STDEV(OFFSET(分析データ!F$1,MAX(1,ROW()-$C$7),0,MIN($C$7,ROW()-1),1)),0))</f>
        <v>-1.4558717743830478</v>
      </c>
      <c r="BS653">
        <f t="shared" ca="1" si="296"/>
        <v>0</v>
      </c>
      <c r="BT653" t="str">
        <f ca="1">IF(BS653=1,IF(INDEX(分析データ!$A:$A,ROW()+$C$5)&lt;&gt;"",40000*SIGN(BR653)*(分析データ!F653-INDEX(分析データ!F:F,ROW()+$C$5)),""),"")</f>
        <v/>
      </c>
      <c r="BU653">
        <f t="shared" ca="1" si="297"/>
        <v>14917200.000000004</v>
      </c>
      <c r="BV653">
        <f t="shared" ca="1" si="298"/>
        <v>14917200.000000004</v>
      </c>
      <c r="BW653">
        <f t="shared" ca="1" si="299"/>
        <v>0</v>
      </c>
      <c r="BX653">
        <f ca="1">IF(ROW()&lt;($C$7+1),"",IFERROR((分析データ!G653-AVERAGE(OFFSET(分析データ!G$1,MAX(1,ROW()-$C$7),0,MIN($C$7,ROW()-1),1)))/STDEV(OFFSET(分析データ!G$1,MAX(1,ROW()-$C$7),0,MIN($C$7,ROW()-1),1)),0))</f>
        <v>1.9588127818790277</v>
      </c>
      <c r="BY653">
        <f t="shared" ca="1" si="300"/>
        <v>0</v>
      </c>
      <c r="BZ653" t="str">
        <f ca="1">IF(BY653=1,IF(INDEX(分析データ!$A:$A,ROW()+$C$5)&lt;&gt;"",40000*SIGN(BX653)*(分析データ!G653-INDEX(分析データ!G:G,ROW()+$C$5)),""),"")</f>
        <v/>
      </c>
      <c r="CA653">
        <f t="shared" ca="1" si="301"/>
        <v>-3515452.8662109179</v>
      </c>
      <c r="CB653">
        <f t="shared" ca="1" si="302"/>
        <v>11327520.000000004</v>
      </c>
      <c r="CC653">
        <f t="shared" ca="1" si="303"/>
        <v>-14842972.866210923</v>
      </c>
      <c r="CD653">
        <f t="shared" ca="1" si="304"/>
        <v>0</v>
      </c>
      <c r="CE653">
        <f t="shared" ca="1" si="305"/>
        <v>12631747.133789128</v>
      </c>
      <c r="CF653">
        <f t="shared" ca="1" si="306"/>
        <v>19067197.138671909</v>
      </c>
      <c r="CG653">
        <f t="shared" ca="1" si="307"/>
        <v>-6435450.0048827808</v>
      </c>
      <c r="CH653" s="10">
        <f>分析データ!A653</f>
        <v>45880</v>
      </c>
    </row>
    <row r="654" spans="46:86">
      <c r="AT654">
        <f ca="1">IF(ROW()&lt;($C$7+1),"",IFERROR((分析データ!B654-AVERAGE(OFFSET(分析データ!B$1,MAX(1,ROW()-$C$7),0,MIN($C$7,ROW()-1),1)))/STDEV(OFFSET(分析データ!B$1,MAX(1,ROW()-$C$7),0,MIN($C$7,ROW()-1),1)),0))</f>
        <v>0.22189705308289392</v>
      </c>
      <c r="AU654">
        <f t="shared" ca="1" si="280"/>
        <v>0</v>
      </c>
      <c r="AV654" t="str">
        <f ca="1">IF(AU654=1,IF(INDEX(分析データ!$A:$A,ROW()+$C$5)&lt;&gt;"",80000*SIGN(AT654)*(分析データ!B654-INDEX(分析データ!B:B,ROW()+$C$5)),""),"")</f>
        <v/>
      </c>
      <c r="AW654">
        <f t="shared" ca="1" si="281"/>
        <v>-4999999.9999999925</v>
      </c>
      <c r="AX654">
        <f t="shared" ca="1" si="282"/>
        <v>0</v>
      </c>
      <c r="AY654">
        <f t="shared" ca="1" si="283"/>
        <v>-4999999.9999999925</v>
      </c>
      <c r="AZ654">
        <f ca="1">IF(ROW()&lt;($C$7+1),"",IFERROR((分析データ!C654-AVERAGE(OFFSET(分析データ!C$1,MAX(1,ROW()-$C$7),0,MIN($C$7,ROW()-1),1)))/STDEV(OFFSET(分析データ!C$1,MAX(1,ROW()-$C$7),0,MIN($C$7,ROW()-1),1)),0))</f>
        <v>-1.2824312922418024</v>
      </c>
      <c r="BA654">
        <f t="shared" ca="1" si="284"/>
        <v>0</v>
      </c>
      <c r="BB654" t="str">
        <f ca="1">IF(BA654=1,IF(INDEX(分析データ!$A:$A,ROW()+$C$5)&lt;&gt;"",60000*SIGN(AZ654)*(分析データ!C654-INDEX(分析データ!C:C,ROW()+$C$5)),""),"")</f>
        <v/>
      </c>
      <c r="BC654">
        <f t="shared" ca="1" si="285"/>
        <v>3075000.0000000102</v>
      </c>
      <c r="BD654">
        <f t="shared" ca="1" si="286"/>
        <v>3075000.0000000102</v>
      </c>
      <c r="BE654">
        <f t="shared" ca="1" si="287"/>
        <v>0</v>
      </c>
      <c r="BF654">
        <f ca="1">IF(ROW()&lt;($C$7+1),"",IFERROR((分析データ!D654-AVERAGE(OFFSET(分析データ!D$1,MAX(1,ROW()-$C$7),0,MIN($C$7,ROW()-1),1)))/STDEV(OFFSET(分析データ!D$1,MAX(1,ROW()-$C$7),0,MIN($C$7,ROW()-1),1)),0))</f>
        <v>-1.1431839653943057</v>
      </c>
      <c r="BG654">
        <f t="shared" ca="1" si="288"/>
        <v>0</v>
      </c>
      <c r="BH654" t="str">
        <f ca="1">IF(BG654=1,IF(INDEX(分析データ!$A:$A,ROW()+$C$5)&lt;&gt;"",50000*SIGN(BF654)*(分析データ!D654-INDEX(分析データ!D:D,ROW()+$C$5)),""),"")</f>
        <v/>
      </c>
      <c r="BI654">
        <f t="shared" ca="1" si="289"/>
        <v>195000.00000000582</v>
      </c>
      <c r="BJ654">
        <f t="shared" ca="1" si="290"/>
        <v>1695000.0000000016</v>
      </c>
      <c r="BK654">
        <f t="shared" ca="1" si="291"/>
        <v>-1499999.9999999958</v>
      </c>
      <c r="BL654">
        <f ca="1">IF(ROW()&lt;($C$7+1),"",IFERROR((分析データ!E654-AVERAGE(OFFSET(分析データ!E$1,MAX(1,ROW()-$C$7),0,MIN($C$7,ROW()-1),1)))/STDEV(OFFSET(分析データ!E$1,MAX(1,ROW()-$C$7),0,MIN($C$7,ROW()-1),1)),0))</f>
        <v>1.626760623690634</v>
      </c>
      <c r="BM654">
        <f t="shared" ca="1" si="292"/>
        <v>0</v>
      </c>
      <c r="BN654" t="str">
        <f ca="1">IF(BM654=1,IF(INDEX(分析データ!$A:$A,ROW()+$C$5)&lt;&gt;"",40000*SIGN(BL654)*(分析データ!E654-INDEX(分析データ!E:E,ROW()+$C$5)),""),"")</f>
        <v/>
      </c>
      <c r="BO654">
        <f t="shared" ca="1" si="293"/>
        <v>2960000.0000000009</v>
      </c>
      <c r="BP654">
        <f t="shared" ca="1" si="294"/>
        <v>2960000.0000000009</v>
      </c>
      <c r="BQ654">
        <f t="shared" ca="1" si="295"/>
        <v>0</v>
      </c>
      <c r="BR654">
        <f ca="1">IF(ROW()&lt;($C$7+1),"",IFERROR((分析データ!F654-AVERAGE(OFFSET(分析データ!F$1,MAX(1,ROW()-$C$7),0,MIN($C$7,ROW()-1),1)))/STDEV(OFFSET(分析データ!F$1,MAX(1,ROW()-$C$7),0,MIN($C$7,ROW()-1),1)),0))</f>
        <v>-1.38395949111433</v>
      </c>
      <c r="BS654">
        <f t="shared" ca="1" si="296"/>
        <v>0</v>
      </c>
      <c r="BT654" t="str">
        <f ca="1">IF(BS654=1,IF(INDEX(分析データ!$A:$A,ROW()+$C$5)&lt;&gt;"",40000*SIGN(BR654)*(分析データ!F654-INDEX(分析データ!F:F,ROW()+$C$5)),""),"")</f>
        <v/>
      </c>
      <c r="BU654">
        <f t="shared" ca="1" si="297"/>
        <v>14917200.000000004</v>
      </c>
      <c r="BV654">
        <f t="shared" ca="1" si="298"/>
        <v>14917200.000000004</v>
      </c>
      <c r="BW654">
        <f t="shared" ca="1" si="299"/>
        <v>0</v>
      </c>
      <c r="BX654">
        <f ca="1">IF(ROW()&lt;($C$7+1),"",IFERROR((分析データ!G654-AVERAGE(OFFSET(分析データ!G$1,MAX(1,ROW()-$C$7),0,MIN($C$7,ROW()-1),1)))/STDEV(OFFSET(分析データ!G$1,MAX(1,ROW()-$C$7),0,MIN($C$7,ROW()-1),1)),0))</f>
        <v>1.8235678177296362</v>
      </c>
      <c r="BY654">
        <f t="shared" ca="1" si="300"/>
        <v>0</v>
      </c>
      <c r="BZ654" t="str">
        <f ca="1">IF(BY654=1,IF(INDEX(分析データ!$A:$A,ROW()+$C$5)&lt;&gt;"",40000*SIGN(BX654)*(分析データ!G654-INDEX(分析データ!G:G,ROW()+$C$5)),""),"")</f>
        <v/>
      </c>
      <c r="CA654">
        <f t="shared" ca="1" si="301"/>
        <v>-3515452.8662109179</v>
      </c>
      <c r="CB654">
        <f t="shared" ca="1" si="302"/>
        <v>11327520.000000004</v>
      </c>
      <c r="CC654">
        <f t="shared" ca="1" si="303"/>
        <v>-14842972.866210923</v>
      </c>
      <c r="CD654">
        <f t="shared" ca="1" si="304"/>
        <v>0</v>
      </c>
      <c r="CE654">
        <f t="shared" ca="1" si="305"/>
        <v>12631747.133789128</v>
      </c>
      <c r="CF654">
        <f t="shared" ca="1" si="306"/>
        <v>19067197.138671909</v>
      </c>
      <c r="CG654">
        <f t="shared" ca="1" si="307"/>
        <v>-6435450.0048827808</v>
      </c>
      <c r="CH654" s="10">
        <f>分析データ!A654</f>
        <v>45881</v>
      </c>
    </row>
    <row r="655" spans="46:86">
      <c r="AT655">
        <f ca="1">IF(ROW()&lt;($C$7+1),"",IFERROR((分析データ!B655-AVERAGE(OFFSET(分析データ!B$1,MAX(1,ROW()-$C$7),0,MIN($C$7,ROW()-1),1)))/STDEV(OFFSET(分析データ!B$1,MAX(1,ROW()-$C$7),0,MIN($C$7,ROW()-1),1)),0))</f>
        <v>0.21448103887039582</v>
      </c>
      <c r="AU655">
        <f t="shared" ca="1" si="280"/>
        <v>0</v>
      </c>
      <c r="AV655" t="str">
        <f ca="1">IF(AU655=1,IF(INDEX(分析データ!$A:$A,ROW()+$C$5)&lt;&gt;"",80000*SIGN(AT655)*(分析データ!B655-INDEX(分析データ!B:B,ROW()+$C$5)),""),"")</f>
        <v/>
      </c>
      <c r="AW655">
        <f t="shared" ca="1" si="281"/>
        <v>-4999999.9999999925</v>
      </c>
      <c r="AX655">
        <f t="shared" ca="1" si="282"/>
        <v>0</v>
      </c>
      <c r="AY655">
        <f t="shared" ca="1" si="283"/>
        <v>-4999999.9999999925</v>
      </c>
      <c r="AZ655">
        <f ca="1">IF(ROW()&lt;($C$7+1),"",IFERROR((分析データ!C655-AVERAGE(OFFSET(分析データ!C$1,MAX(1,ROW()-$C$7),0,MIN($C$7,ROW()-1),1)))/STDEV(OFFSET(分析データ!C$1,MAX(1,ROW()-$C$7),0,MIN($C$7,ROW()-1),1)),0))</f>
        <v>-1.1098418586747996</v>
      </c>
      <c r="BA655">
        <f t="shared" ca="1" si="284"/>
        <v>0</v>
      </c>
      <c r="BB655" t="str">
        <f ca="1">IF(BA655=1,IF(INDEX(分析データ!$A:$A,ROW()+$C$5)&lt;&gt;"",60000*SIGN(AZ655)*(分析データ!C655-INDEX(分析データ!C:C,ROW()+$C$5)),""),"")</f>
        <v/>
      </c>
      <c r="BC655">
        <f t="shared" ca="1" si="285"/>
        <v>3075000.0000000102</v>
      </c>
      <c r="BD655">
        <f t="shared" ca="1" si="286"/>
        <v>3075000.0000000102</v>
      </c>
      <c r="BE655">
        <f t="shared" ca="1" si="287"/>
        <v>0</v>
      </c>
      <c r="BF655">
        <f ca="1">IF(ROW()&lt;($C$7+1),"",IFERROR((分析データ!D655-AVERAGE(OFFSET(分析データ!D$1,MAX(1,ROW()-$C$7),0,MIN($C$7,ROW()-1),1)))/STDEV(OFFSET(分析データ!D$1,MAX(1,ROW()-$C$7),0,MIN($C$7,ROW()-1),1)),0))</f>
        <v>-1.40881005722751</v>
      </c>
      <c r="BG655">
        <f t="shared" ca="1" si="288"/>
        <v>0</v>
      </c>
      <c r="BH655" t="str">
        <f ca="1">IF(BG655=1,IF(INDEX(分析データ!$A:$A,ROW()+$C$5)&lt;&gt;"",50000*SIGN(BF655)*(分析データ!D655-INDEX(分析データ!D:D,ROW()+$C$5)),""),"")</f>
        <v/>
      </c>
      <c r="BI655">
        <f t="shared" ca="1" si="289"/>
        <v>195000.00000000582</v>
      </c>
      <c r="BJ655">
        <f t="shared" ca="1" si="290"/>
        <v>1695000.0000000016</v>
      </c>
      <c r="BK655">
        <f t="shared" ca="1" si="291"/>
        <v>-1499999.9999999958</v>
      </c>
      <c r="BL655">
        <f ca="1">IF(ROW()&lt;($C$7+1),"",IFERROR((分析データ!E655-AVERAGE(OFFSET(分析データ!E$1,MAX(1,ROW()-$C$7),0,MIN($C$7,ROW()-1),1)))/STDEV(OFFSET(分析データ!E$1,MAX(1,ROW()-$C$7),0,MIN($C$7,ROW()-1),1)),0))</f>
        <v>1.6929462616188449</v>
      </c>
      <c r="BM655">
        <f t="shared" ca="1" si="292"/>
        <v>0</v>
      </c>
      <c r="BN655" t="str">
        <f ca="1">IF(BM655=1,IF(INDEX(分析データ!$A:$A,ROW()+$C$5)&lt;&gt;"",40000*SIGN(BL655)*(分析データ!E655-INDEX(分析データ!E:E,ROW()+$C$5)),""),"")</f>
        <v/>
      </c>
      <c r="BO655">
        <f t="shared" ca="1" si="293"/>
        <v>2960000.0000000009</v>
      </c>
      <c r="BP655">
        <f t="shared" ca="1" si="294"/>
        <v>2960000.0000000009</v>
      </c>
      <c r="BQ655">
        <f t="shared" ca="1" si="295"/>
        <v>0</v>
      </c>
      <c r="BR655">
        <f ca="1">IF(ROW()&lt;($C$7+1),"",IFERROR((分析データ!F655-AVERAGE(OFFSET(分析データ!F$1,MAX(1,ROW()-$C$7),0,MIN($C$7,ROW()-1),1)))/STDEV(OFFSET(分析データ!F$1,MAX(1,ROW()-$C$7),0,MIN($C$7,ROW()-1),1)),0))</f>
        <v>-1.0964352476181096</v>
      </c>
      <c r="BS655">
        <f t="shared" ca="1" si="296"/>
        <v>0</v>
      </c>
      <c r="BT655" t="str">
        <f ca="1">IF(BS655=1,IF(INDEX(分析データ!$A:$A,ROW()+$C$5)&lt;&gt;"",40000*SIGN(BR655)*(分析データ!F655-INDEX(分析データ!F:F,ROW()+$C$5)),""),"")</f>
        <v/>
      </c>
      <c r="BU655">
        <f t="shared" ca="1" si="297"/>
        <v>14917200.000000004</v>
      </c>
      <c r="BV655">
        <f t="shared" ca="1" si="298"/>
        <v>14917200.000000004</v>
      </c>
      <c r="BW655">
        <f t="shared" ca="1" si="299"/>
        <v>0</v>
      </c>
      <c r="BX655">
        <f ca="1">IF(ROW()&lt;($C$7+1),"",IFERROR((分析データ!G655-AVERAGE(OFFSET(分析データ!G$1,MAX(1,ROW()-$C$7),0,MIN($C$7,ROW()-1),1)))/STDEV(OFFSET(分析データ!G$1,MAX(1,ROW()-$C$7),0,MIN($C$7,ROW()-1),1)),0))</f>
        <v>1.7585539841336393</v>
      </c>
      <c r="BY655">
        <f t="shared" ca="1" si="300"/>
        <v>0</v>
      </c>
      <c r="BZ655" t="str">
        <f ca="1">IF(BY655=1,IF(INDEX(分析データ!$A:$A,ROW()+$C$5)&lt;&gt;"",40000*SIGN(BX655)*(分析データ!G655-INDEX(分析データ!G:G,ROW()+$C$5)),""),"")</f>
        <v/>
      </c>
      <c r="CA655">
        <f t="shared" ca="1" si="301"/>
        <v>-3515452.8662109179</v>
      </c>
      <c r="CB655">
        <f t="shared" ca="1" si="302"/>
        <v>11327520.000000004</v>
      </c>
      <c r="CC655">
        <f t="shared" ca="1" si="303"/>
        <v>-14842972.866210923</v>
      </c>
      <c r="CD655">
        <f t="shared" ca="1" si="304"/>
        <v>0</v>
      </c>
      <c r="CE655">
        <f t="shared" ca="1" si="305"/>
        <v>12631747.133789128</v>
      </c>
      <c r="CF655">
        <f t="shared" ca="1" si="306"/>
        <v>19067197.138671909</v>
      </c>
      <c r="CG655">
        <f t="shared" ca="1" si="307"/>
        <v>-6435450.0048827808</v>
      </c>
      <c r="CH655" s="10">
        <f>分析データ!A655</f>
        <v>45882</v>
      </c>
    </row>
    <row r="656" spans="46:86">
      <c r="AT656">
        <f ca="1">IF(ROW()&lt;($C$7+1),"",IFERROR((分析データ!B656-AVERAGE(OFFSET(分析データ!B$1,MAX(1,ROW()-$C$7),0,MIN($C$7,ROW()-1),1)))/STDEV(OFFSET(分析データ!B$1,MAX(1,ROW()-$C$7),0,MIN($C$7,ROW()-1),1)),0))</f>
        <v>5.5716348463464759E-2</v>
      </c>
      <c r="AU656">
        <f t="shared" ca="1" si="280"/>
        <v>0</v>
      </c>
      <c r="AV656" t="str">
        <f ca="1">IF(AU656=1,IF(INDEX(分析データ!$A:$A,ROW()+$C$5)&lt;&gt;"",80000*SIGN(AT656)*(分析データ!B656-INDEX(分析データ!B:B,ROW()+$C$5)),""),"")</f>
        <v/>
      </c>
      <c r="AW656">
        <f t="shared" ca="1" si="281"/>
        <v>-4999999.9999999925</v>
      </c>
      <c r="AX656">
        <f t="shared" ca="1" si="282"/>
        <v>0</v>
      </c>
      <c r="AY656">
        <f t="shared" ca="1" si="283"/>
        <v>-4999999.9999999925</v>
      </c>
      <c r="AZ656">
        <f ca="1">IF(ROW()&lt;($C$7+1),"",IFERROR((分析データ!C656-AVERAGE(OFFSET(分析データ!C$1,MAX(1,ROW()-$C$7),0,MIN($C$7,ROW()-1),1)))/STDEV(OFFSET(分析データ!C$1,MAX(1,ROW()-$C$7),0,MIN($C$7,ROW()-1),1)),0))</f>
        <v>-0.87713383471048767</v>
      </c>
      <c r="BA656">
        <f t="shared" ca="1" si="284"/>
        <v>0</v>
      </c>
      <c r="BB656" t="str">
        <f ca="1">IF(BA656=1,IF(INDEX(分析データ!$A:$A,ROW()+$C$5)&lt;&gt;"",60000*SIGN(AZ656)*(分析データ!C656-INDEX(分析データ!C:C,ROW()+$C$5)),""),"")</f>
        <v/>
      </c>
      <c r="BC656">
        <f t="shared" ca="1" si="285"/>
        <v>3075000.0000000102</v>
      </c>
      <c r="BD656">
        <f t="shared" ca="1" si="286"/>
        <v>3075000.0000000102</v>
      </c>
      <c r="BE656">
        <f t="shared" ca="1" si="287"/>
        <v>0</v>
      </c>
      <c r="BF656">
        <f ca="1">IF(ROW()&lt;($C$7+1),"",IFERROR((分析データ!D656-AVERAGE(OFFSET(分析データ!D$1,MAX(1,ROW()-$C$7),0,MIN($C$7,ROW()-1),1)))/STDEV(OFFSET(分析データ!D$1,MAX(1,ROW()-$C$7),0,MIN($C$7,ROW()-1),1)),0))</f>
        <v>-1.3248642468599543</v>
      </c>
      <c r="BG656">
        <f t="shared" ca="1" si="288"/>
        <v>0</v>
      </c>
      <c r="BH656" t="str">
        <f ca="1">IF(BG656=1,IF(INDEX(分析データ!$A:$A,ROW()+$C$5)&lt;&gt;"",50000*SIGN(BF656)*(分析データ!D656-INDEX(分析データ!D:D,ROW()+$C$5)),""),"")</f>
        <v/>
      </c>
      <c r="BI656">
        <f t="shared" ca="1" si="289"/>
        <v>195000.00000000582</v>
      </c>
      <c r="BJ656">
        <f t="shared" ca="1" si="290"/>
        <v>1695000.0000000016</v>
      </c>
      <c r="BK656">
        <f t="shared" ca="1" si="291"/>
        <v>-1499999.9999999958</v>
      </c>
      <c r="BL656">
        <f ca="1">IF(ROW()&lt;($C$7+1),"",IFERROR((分析データ!E656-AVERAGE(OFFSET(分析データ!E$1,MAX(1,ROW()-$C$7),0,MIN($C$7,ROW()-1),1)))/STDEV(OFFSET(分析データ!E$1,MAX(1,ROW()-$C$7),0,MIN($C$7,ROW()-1),1)),0))</f>
        <v>1.6762966125336776</v>
      </c>
      <c r="BM656">
        <f t="shared" ca="1" si="292"/>
        <v>0</v>
      </c>
      <c r="BN656" t="str">
        <f ca="1">IF(BM656=1,IF(INDEX(分析データ!$A:$A,ROW()+$C$5)&lt;&gt;"",40000*SIGN(BL656)*(分析データ!E656-INDEX(分析データ!E:E,ROW()+$C$5)),""),"")</f>
        <v/>
      </c>
      <c r="BO656">
        <f t="shared" ca="1" si="293"/>
        <v>2960000.0000000009</v>
      </c>
      <c r="BP656">
        <f t="shared" ca="1" si="294"/>
        <v>2960000.0000000009</v>
      </c>
      <c r="BQ656">
        <f t="shared" ca="1" si="295"/>
        <v>0</v>
      </c>
      <c r="BR656">
        <f ca="1">IF(ROW()&lt;($C$7+1),"",IFERROR((分析データ!F656-AVERAGE(OFFSET(分析データ!F$1,MAX(1,ROW()-$C$7),0,MIN($C$7,ROW()-1),1)))/STDEV(OFFSET(分析データ!F$1,MAX(1,ROW()-$C$7),0,MIN($C$7,ROW()-1),1)),0))</f>
        <v>-1.3656517629975575</v>
      </c>
      <c r="BS656">
        <f t="shared" ca="1" si="296"/>
        <v>0</v>
      </c>
      <c r="BT656" t="str">
        <f ca="1">IF(BS656=1,IF(INDEX(分析データ!$A:$A,ROW()+$C$5)&lt;&gt;"",40000*SIGN(BR656)*(分析データ!F656-INDEX(分析データ!F:F,ROW()+$C$5)),""),"")</f>
        <v/>
      </c>
      <c r="BU656">
        <f t="shared" ca="1" si="297"/>
        <v>14917200.000000004</v>
      </c>
      <c r="BV656">
        <f t="shared" ca="1" si="298"/>
        <v>14917200.000000004</v>
      </c>
      <c r="BW656">
        <f t="shared" ca="1" si="299"/>
        <v>0</v>
      </c>
      <c r="BX656">
        <f ca="1">IF(ROW()&lt;($C$7+1),"",IFERROR((分析データ!G656-AVERAGE(OFFSET(分析データ!G$1,MAX(1,ROW()-$C$7),0,MIN($C$7,ROW()-1),1)))/STDEV(OFFSET(分析データ!G$1,MAX(1,ROW()-$C$7),0,MIN($C$7,ROW()-1),1)),0))</f>
        <v>1.8218652319346391</v>
      </c>
      <c r="BY656">
        <f t="shared" ca="1" si="300"/>
        <v>0</v>
      </c>
      <c r="BZ656" t="str">
        <f ca="1">IF(BY656=1,IF(INDEX(分析データ!$A:$A,ROW()+$C$5)&lt;&gt;"",40000*SIGN(BX656)*(分析データ!G656-INDEX(分析データ!G:G,ROW()+$C$5)),""),"")</f>
        <v/>
      </c>
      <c r="CA656">
        <f t="shared" ca="1" si="301"/>
        <v>-3515452.8662109179</v>
      </c>
      <c r="CB656">
        <f t="shared" ca="1" si="302"/>
        <v>11327520.000000004</v>
      </c>
      <c r="CC656">
        <f t="shared" ca="1" si="303"/>
        <v>-14842972.866210923</v>
      </c>
      <c r="CD656">
        <f t="shared" ca="1" si="304"/>
        <v>0</v>
      </c>
      <c r="CE656">
        <f t="shared" ca="1" si="305"/>
        <v>12631747.133789128</v>
      </c>
      <c r="CF656">
        <f t="shared" ca="1" si="306"/>
        <v>19067197.138671909</v>
      </c>
      <c r="CG656">
        <f t="shared" ca="1" si="307"/>
        <v>-6435450.0048827808</v>
      </c>
      <c r="CH656" s="10">
        <f>分析データ!A656</f>
        <v>45883</v>
      </c>
    </row>
    <row r="657" spans="46:86">
      <c r="AT657">
        <f ca="1">IF(ROW()&lt;($C$7+1),"",IFERROR((分析データ!B657-AVERAGE(OFFSET(分析データ!B$1,MAX(1,ROW()-$C$7),0,MIN($C$7,ROW()-1),1)))/STDEV(OFFSET(分析データ!B$1,MAX(1,ROW()-$C$7),0,MIN($C$7,ROW()-1),1)),0))</f>
        <v>0.27436895670324646</v>
      </c>
      <c r="AU657">
        <f t="shared" ca="1" si="280"/>
        <v>0</v>
      </c>
      <c r="AV657" t="str">
        <f ca="1">IF(AU657=1,IF(INDEX(分析データ!$A:$A,ROW()+$C$5)&lt;&gt;"",80000*SIGN(AT657)*(分析データ!B657-INDEX(分析データ!B:B,ROW()+$C$5)),""),"")</f>
        <v/>
      </c>
      <c r="AW657">
        <f t="shared" ca="1" si="281"/>
        <v>-4999999.9999999925</v>
      </c>
      <c r="AX657">
        <f t="shared" ca="1" si="282"/>
        <v>0</v>
      </c>
      <c r="AY657">
        <f t="shared" ca="1" si="283"/>
        <v>-4999999.9999999925</v>
      </c>
      <c r="AZ657">
        <f ca="1">IF(ROW()&lt;($C$7+1),"",IFERROR((分析データ!C657-AVERAGE(OFFSET(分析データ!C$1,MAX(1,ROW()-$C$7),0,MIN($C$7,ROW()-1),1)))/STDEV(OFFSET(分析データ!C$1,MAX(1,ROW()-$C$7),0,MIN($C$7,ROW()-1),1)),0))</f>
        <v>-0.79742021845599786</v>
      </c>
      <c r="BA657">
        <f t="shared" ca="1" si="284"/>
        <v>0</v>
      </c>
      <c r="BB657" t="str">
        <f ca="1">IF(BA657=1,IF(INDEX(分析データ!$A:$A,ROW()+$C$5)&lt;&gt;"",60000*SIGN(AZ657)*(分析データ!C657-INDEX(分析データ!C:C,ROW()+$C$5)),""),"")</f>
        <v/>
      </c>
      <c r="BC657">
        <f t="shared" ca="1" si="285"/>
        <v>3075000.0000000102</v>
      </c>
      <c r="BD657">
        <f t="shared" ca="1" si="286"/>
        <v>3075000.0000000102</v>
      </c>
      <c r="BE657">
        <f t="shared" ca="1" si="287"/>
        <v>0</v>
      </c>
      <c r="BF657">
        <f ca="1">IF(ROW()&lt;($C$7+1),"",IFERROR((分析データ!D657-AVERAGE(OFFSET(分析データ!D$1,MAX(1,ROW()-$C$7),0,MIN($C$7,ROW()-1),1)))/STDEV(OFFSET(分析データ!D$1,MAX(1,ROW()-$C$7),0,MIN($C$7,ROW()-1),1)),0))</f>
        <v>-1.191866727188349</v>
      </c>
      <c r="BG657">
        <f t="shared" ca="1" si="288"/>
        <v>0</v>
      </c>
      <c r="BH657" t="str">
        <f ca="1">IF(BG657=1,IF(INDEX(分析データ!$A:$A,ROW()+$C$5)&lt;&gt;"",50000*SIGN(BF657)*(分析データ!D657-INDEX(分析データ!D:D,ROW()+$C$5)),""),"")</f>
        <v/>
      </c>
      <c r="BI657">
        <f t="shared" ca="1" si="289"/>
        <v>195000.00000000582</v>
      </c>
      <c r="BJ657">
        <f t="shared" ca="1" si="290"/>
        <v>1695000.0000000016</v>
      </c>
      <c r="BK657">
        <f t="shared" ca="1" si="291"/>
        <v>-1499999.9999999958</v>
      </c>
      <c r="BL657">
        <f ca="1">IF(ROW()&lt;($C$7+1),"",IFERROR((分析データ!E657-AVERAGE(OFFSET(分析データ!E$1,MAX(1,ROW()-$C$7),0,MIN($C$7,ROW()-1),1)))/STDEV(OFFSET(分析データ!E$1,MAX(1,ROW()-$C$7),0,MIN($C$7,ROW()-1),1)),0))</f>
        <v>1.7411133943631145</v>
      </c>
      <c r="BM657">
        <f t="shared" ca="1" si="292"/>
        <v>0</v>
      </c>
      <c r="BN657" t="str">
        <f ca="1">IF(BM657=1,IF(INDEX(分析データ!$A:$A,ROW()+$C$5)&lt;&gt;"",40000*SIGN(BL657)*(分析データ!E657-INDEX(分析データ!E:E,ROW()+$C$5)),""),"")</f>
        <v/>
      </c>
      <c r="BO657">
        <f t="shared" ca="1" si="293"/>
        <v>2960000.0000000009</v>
      </c>
      <c r="BP657">
        <f t="shared" ca="1" si="294"/>
        <v>2960000.0000000009</v>
      </c>
      <c r="BQ657">
        <f t="shared" ca="1" si="295"/>
        <v>0</v>
      </c>
      <c r="BR657">
        <f ca="1">IF(ROW()&lt;($C$7+1),"",IFERROR((分析データ!F657-AVERAGE(OFFSET(分析データ!F$1,MAX(1,ROW()-$C$7),0,MIN($C$7,ROW()-1),1)))/STDEV(OFFSET(分析データ!F$1,MAX(1,ROW()-$C$7),0,MIN($C$7,ROW()-1),1)),0))</f>
        <v>-1.2654521552511584</v>
      </c>
      <c r="BS657">
        <f t="shared" ca="1" si="296"/>
        <v>0</v>
      </c>
      <c r="BT657" t="str">
        <f ca="1">IF(BS657=1,IF(INDEX(分析データ!$A:$A,ROW()+$C$5)&lt;&gt;"",40000*SIGN(BR657)*(分析データ!F657-INDEX(分析データ!F:F,ROW()+$C$5)),""),"")</f>
        <v/>
      </c>
      <c r="BU657">
        <f t="shared" ca="1" si="297"/>
        <v>14917200.000000004</v>
      </c>
      <c r="BV657">
        <f t="shared" ca="1" si="298"/>
        <v>14917200.000000004</v>
      </c>
      <c r="BW657">
        <f t="shared" ca="1" si="299"/>
        <v>0</v>
      </c>
      <c r="BX657">
        <f ca="1">IF(ROW()&lt;($C$7+1),"",IFERROR((分析データ!G657-AVERAGE(OFFSET(分析データ!G$1,MAX(1,ROW()-$C$7),0,MIN($C$7,ROW()-1),1)))/STDEV(OFFSET(分析データ!G$1,MAX(1,ROW()-$C$7),0,MIN($C$7,ROW()-1),1)),0))</f>
        <v>1.8253820555560041</v>
      </c>
      <c r="BY657">
        <f t="shared" ca="1" si="300"/>
        <v>0</v>
      </c>
      <c r="BZ657" t="str">
        <f ca="1">IF(BY657=1,IF(INDEX(分析データ!$A:$A,ROW()+$C$5)&lt;&gt;"",40000*SIGN(BX657)*(分析データ!G657-INDEX(分析データ!G:G,ROW()+$C$5)),""),"")</f>
        <v/>
      </c>
      <c r="CA657">
        <f t="shared" ca="1" si="301"/>
        <v>-3515452.8662109179</v>
      </c>
      <c r="CB657">
        <f t="shared" ca="1" si="302"/>
        <v>11327520.000000004</v>
      </c>
      <c r="CC657">
        <f t="shared" ca="1" si="303"/>
        <v>-14842972.866210923</v>
      </c>
      <c r="CD657">
        <f t="shared" ca="1" si="304"/>
        <v>0</v>
      </c>
      <c r="CE657">
        <f t="shared" ca="1" si="305"/>
        <v>12631747.133789128</v>
      </c>
      <c r="CF657">
        <f t="shared" ca="1" si="306"/>
        <v>19067197.138671909</v>
      </c>
      <c r="CG657">
        <f t="shared" ca="1" si="307"/>
        <v>-6435450.0048827808</v>
      </c>
      <c r="CH657" s="10">
        <f>分析データ!A657</f>
        <v>45884</v>
      </c>
    </row>
    <row r="658" spans="46:86">
      <c r="AT658">
        <f ca="1">IF(ROW()&lt;($C$7+1),"",IFERROR((分析データ!B658-AVERAGE(OFFSET(分析データ!B$1,MAX(1,ROW()-$C$7),0,MIN($C$7,ROW()-1),1)))/STDEV(OFFSET(分析データ!B$1,MAX(1,ROW()-$C$7),0,MIN($C$7,ROW()-1),1)),0))</f>
        <v>0.11185619608977258</v>
      </c>
      <c r="AU658">
        <f t="shared" ca="1" si="280"/>
        <v>0</v>
      </c>
      <c r="AV658" t="str">
        <f ca="1">IF(AU658=1,IF(INDEX(分析データ!$A:$A,ROW()+$C$5)&lt;&gt;"",80000*SIGN(AT658)*(分析データ!B658-INDEX(分析データ!B:B,ROW()+$C$5)),""),"")</f>
        <v/>
      </c>
      <c r="AW658">
        <f t="shared" ca="1" si="281"/>
        <v>-4999999.9999999925</v>
      </c>
      <c r="AX658">
        <f t="shared" ca="1" si="282"/>
        <v>0</v>
      </c>
      <c r="AY658">
        <f t="shared" ca="1" si="283"/>
        <v>-4999999.9999999925</v>
      </c>
      <c r="AZ658">
        <f ca="1">IF(ROW()&lt;($C$7+1),"",IFERROR((分析データ!C658-AVERAGE(OFFSET(分析データ!C$1,MAX(1,ROW()-$C$7),0,MIN($C$7,ROW()-1),1)))/STDEV(OFFSET(分析データ!C$1,MAX(1,ROW()-$C$7),0,MIN($C$7,ROW()-1),1)),0))</f>
        <v>-0.82465947872039536</v>
      </c>
      <c r="BA658">
        <f t="shared" ca="1" si="284"/>
        <v>0</v>
      </c>
      <c r="BB658" t="str">
        <f ca="1">IF(BA658=1,IF(INDEX(分析データ!$A:$A,ROW()+$C$5)&lt;&gt;"",60000*SIGN(AZ658)*(分析データ!C658-INDEX(分析データ!C:C,ROW()+$C$5)),""),"")</f>
        <v/>
      </c>
      <c r="BC658">
        <f t="shared" ca="1" si="285"/>
        <v>3075000.0000000102</v>
      </c>
      <c r="BD658">
        <f t="shared" ca="1" si="286"/>
        <v>3075000.0000000102</v>
      </c>
      <c r="BE658">
        <f t="shared" ca="1" si="287"/>
        <v>0</v>
      </c>
      <c r="BF658">
        <f ca="1">IF(ROW()&lt;($C$7+1),"",IFERROR((分析データ!D658-AVERAGE(OFFSET(分析データ!D$1,MAX(1,ROW()-$C$7),0,MIN($C$7,ROW()-1),1)))/STDEV(OFFSET(分析データ!D$1,MAX(1,ROW()-$C$7),0,MIN($C$7,ROW()-1),1)),0))</f>
        <v>-1.1848047314009056</v>
      </c>
      <c r="BG658">
        <f t="shared" ca="1" si="288"/>
        <v>0</v>
      </c>
      <c r="BH658" t="str">
        <f ca="1">IF(BG658=1,IF(INDEX(分析データ!$A:$A,ROW()+$C$5)&lt;&gt;"",50000*SIGN(BF658)*(分析データ!D658-INDEX(分析データ!D:D,ROW()+$C$5)),""),"")</f>
        <v/>
      </c>
      <c r="BI658">
        <f t="shared" ca="1" si="289"/>
        <v>195000.00000000582</v>
      </c>
      <c r="BJ658">
        <f t="shared" ca="1" si="290"/>
        <v>1695000.0000000016</v>
      </c>
      <c r="BK658">
        <f t="shared" ca="1" si="291"/>
        <v>-1499999.9999999958</v>
      </c>
      <c r="BL658">
        <f ca="1">IF(ROW()&lt;($C$7+1),"",IFERROR((分析データ!E658-AVERAGE(OFFSET(分析データ!E$1,MAX(1,ROW()-$C$7),0,MIN($C$7,ROW()-1),1)))/STDEV(OFFSET(分析データ!E$1,MAX(1,ROW()-$C$7),0,MIN($C$7,ROW()-1),1)),0))</f>
        <v>1.7229619586482399</v>
      </c>
      <c r="BM658">
        <f t="shared" ca="1" si="292"/>
        <v>0</v>
      </c>
      <c r="BN658" t="str">
        <f ca="1">IF(BM658=1,IF(INDEX(分析データ!$A:$A,ROW()+$C$5)&lt;&gt;"",40000*SIGN(BL658)*(分析データ!E658-INDEX(分析データ!E:E,ROW()+$C$5)),""),"")</f>
        <v/>
      </c>
      <c r="BO658">
        <f t="shared" ca="1" si="293"/>
        <v>2960000.0000000009</v>
      </c>
      <c r="BP658">
        <f t="shared" ca="1" si="294"/>
        <v>2960000.0000000009</v>
      </c>
      <c r="BQ658">
        <f t="shared" ca="1" si="295"/>
        <v>0</v>
      </c>
      <c r="BR658">
        <f ca="1">IF(ROW()&lt;($C$7+1),"",IFERROR((分析データ!F658-AVERAGE(OFFSET(分析データ!F$1,MAX(1,ROW()-$C$7),0,MIN($C$7,ROW()-1),1)))/STDEV(OFFSET(分析データ!F$1,MAX(1,ROW()-$C$7),0,MIN($C$7,ROW()-1),1)),0))</f>
        <v>-1.1889540885696517</v>
      </c>
      <c r="BS658">
        <f t="shared" ca="1" si="296"/>
        <v>0</v>
      </c>
      <c r="BT658" t="str">
        <f ca="1">IF(BS658=1,IF(INDEX(分析データ!$A:$A,ROW()+$C$5)&lt;&gt;"",40000*SIGN(BR658)*(分析データ!F658-INDEX(分析データ!F:F,ROW()+$C$5)),""),"")</f>
        <v/>
      </c>
      <c r="BU658">
        <f t="shared" ca="1" si="297"/>
        <v>14917200.000000004</v>
      </c>
      <c r="BV658">
        <f t="shared" ca="1" si="298"/>
        <v>14917200.000000004</v>
      </c>
      <c r="BW658">
        <f t="shared" ca="1" si="299"/>
        <v>0</v>
      </c>
      <c r="BX658">
        <f ca="1">IF(ROW()&lt;($C$7+1),"",IFERROR((分析データ!G658-AVERAGE(OFFSET(分析データ!G$1,MAX(1,ROW()-$C$7),0,MIN($C$7,ROW()-1),1)))/STDEV(OFFSET(分析データ!G$1,MAX(1,ROW()-$C$7),0,MIN($C$7,ROW()-1),1)),0))</f>
        <v>1.6509357718291062</v>
      </c>
      <c r="BY658">
        <f t="shared" ca="1" si="300"/>
        <v>0</v>
      </c>
      <c r="BZ658" t="str">
        <f ca="1">IF(BY658=1,IF(INDEX(分析データ!$A:$A,ROW()+$C$5)&lt;&gt;"",40000*SIGN(BX658)*(分析データ!G658-INDEX(分析データ!G:G,ROW()+$C$5)),""),"")</f>
        <v/>
      </c>
      <c r="CA658">
        <f t="shared" ca="1" si="301"/>
        <v>-3515452.8662109179</v>
      </c>
      <c r="CB658">
        <f t="shared" ca="1" si="302"/>
        <v>11327520.000000004</v>
      </c>
      <c r="CC658">
        <f t="shared" ca="1" si="303"/>
        <v>-14842972.866210923</v>
      </c>
      <c r="CD658">
        <f t="shared" ca="1" si="304"/>
        <v>0</v>
      </c>
      <c r="CE658">
        <f t="shared" ca="1" si="305"/>
        <v>12631747.133789128</v>
      </c>
      <c r="CF658">
        <f t="shared" ca="1" si="306"/>
        <v>19067197.138671909</v>
      </c>
      <c r="CG658">
        <f t="shared" ca="1" si="307"/>
        <v>-6435450.0048827808</v>
      </c>
      <c r="CH658" s="10">
        <f>分析データ!A658</f>
        <v>45887</v>
      </c>
    </row>
    <row r="659" spans="46:86">
      <c r="AT659">
        <f ca="1">IF(ROW()&lt;($C$7+1),"",IFERROR((分析データ!B659-AVERAGE(OFFSET(分析データ!B$1,MAX(1,ROW()-$C$7),0,MIN($C$7,ROW()-1),1)))/STDEV(OFFSET(分析データ!B$1,MAX(1,ROW()-$C$7),0,MIN($C$7,ROW()-1),1)),0))</f>
        <v>-5.5079390189876523E-2</v>
      </c>
      <c r="AU659">
        <f t="shared" ca="1" si="280"/>
        <v>0</v>
      </c>
      <c r="AV659" t="str">
        <f ca="1">IF(AU659=1,IF(INDEX(分析データ!$A:$A,ROW()+$C$5)&lt;&gt;"",80000*SIGN(AT659)*(分析データ!B659-INDEX(分析データ!B:B,ROW()+$C$5)),""),"")</f>
        <v/>
      </c>
      <c r="AW659">
        <f t="shared" ca="1" si="281"/>
        <v>-4999999.9999999925</v>
      </c>
      <c r="AX659">
        <f t="shared" ca="1" si="282"/>
        <v>0</v>
      </c>
      <c r="AY659">
        <f t="shared" ca="1" si="283"/>
        <v>-4999999.9999999925</v>
      </c>
      <c r="AZ659">
        <f ca="1">IF(ROW()&lt;($C$7+1),"",IFERROR((分析データ!C659-AVERAGE(OFFSET(分析データ!C$1,MAX(1,ROW()-$C$7),0,MIN($C$7,ROW()-1),1)))/STDEV(OFFSET(分析データ!C$1,MAX(1,ROW()-$C$7),0,MIN($C$7,ROW()-1),1)),0))</f>
        <v>-0.80051220746224638</v>
      </c>
      <c r="BA659">
        <f t="shared" ca="1" si="284"/>
        <v>0</v>
      </c>
      <c r="BB659" t="str">
        <f ca="1">IF(BA659=1,IF(INDEX(分析データ!$A:$A,ROW()+$C$5)&lt;&gt;"",60000*SIGN(AZ659)*(分析データ!C659-INDEX(分析データ!C:C,ROW()+$C$5)),""),"")</f>
        <v/>
      </c>
      <c r="BC659">
        <f t="shared" ca="1" si="285"/>
        <v>3075000.0000000102</v>
      </c>
      <c r="BD659">
        <f t="shared" ca="1" si="286"/>
        <v>3075000.0000000102</v>
      </c>
      <c r="BE659">
        <f t="shared" ca="1" si="287"/>
        <v>0</v>
      </c>
      <c r="BF659">
        <f ca="1">IF(ROW()&lt;($C$7+1),"",IFERROR((分析データ!D659-AVERAGE(OFFSET(分析データ!D$1,MAX(1,ROW()-$C$7),0,MIN($C$7,ROW()-1),1)))/STDEV(OFFSET(分析データ!D$1,MAX(1,ROW()-$C$7),0,MIN($C$7,ROW()-1),1)),0))</f>
        <v>-1.4270284414984018</v>
      </c>
      <c r="BG659">
        <f t="shared" ca="1" si="288"/>
        <v>0</v>
      </c>
      <c r="BH659" t="str">
        <f ca="1">IF(BG659=1,IF(INDEX(分析データ!$A:$A,ROW()+$C$5)&lt;&gt;"",50000*SIGN(BF659)*(分析データ!D659-INDEX(分析データ!D:D,ROW()+$C$5)),""),"")</f>
        <v/>
      </c>
      <c r="BI659">
        <f t="shared" ca="1" si="289"/>
        <v>195000.00000000582</v>
      </c>
      <c r="BJ659">
        <f t="shared" ca="1" si="290"/>
        <v>1695000.0000000016</v>
      </c>
      <c r="BK659">
        <f t="shared" ca="1" si="291"/>
        <v>-1499999.9999999958</v>
      </c>
      <c r="BL659">
        <f ca="1">IF(ROW()&lt;($C$7+1),"",IFERROR((分析データ!E659-AVERAGE(OFFSET(分析データ!E$1,MAX(1,ROW()-$C$7),0,MIN($C$7,ROW()-1),1)))/STDEV(OFFSET(分析データ!E$1,MAX(1,ROW()-$C$7),0,MIN($C$7,ROW()-1),1)),0))</f>
        <v>1.7053483661659368</v>
      </c>
      <c r="BM659">
        <f t="shared" ca="1" si="292"/>
        <v>0</v>
      </c>
      <c r="BN659" t="str">
        <f ca="1">IF(BM659=1,IF(INDEX(分析データ!$A:$A,ROW()+$C$5)&lt;&gt;"",40000*SIGN(BL659)*(分析データ!E659-INDEX(分析データ!E:E,ROW()+$C$5)),""),"")</f>
        <v/>
      </c>
      <c r="BO659">
        <f t="shared" ca="1" si="293"/>
        <v>2960000.0000000009</v>
      </c>
      <c r="BP659">
        <f t="shared" ca="1" si="294"/>
        <v>2960000.0000000009</v>
      </c>
      <c r="BQ659">
        <f t="shared" ca="1" si="295"/>
        <v>0</v>
      </c>
      <c r="BR659">
        <f ca="1">IF(ROW()&lt;($C$7+1),"",IFERROR((分析データ!F659-AVERAGE(OFFSET(分析データ!F$1,MAX(1,ROW()-$C$7),0,MIN($C$7,ROW()-1),1)))/STDEV(OFFSET(分析データ!F$1,MAX(1,ROW()-$C$7),0,MIN($C$7,ROW()-1),1)),0))</f>
        <v>-1.0769308433825582</v>
      </c>
      <c r="BS659">
        <f t="shared" ca="1" si="296"/>
        <v>0</v>
      </c>
      <c r="BT659" t="str">
        <f ca="1">IF(BS659=1,IF(INDEX(分析データ!$A:$A,ROW()+$C$5)&lt;&gt;"",40000*SIGN(BR659)*(分析データ!F659-INDEX(分析データ!F:F,ROW()+$C$5)),""),"")</f>
        <v/>
      </c>
      <c r="BU659">
        <f t="shared" ca="1" si="297"/>
        <v>14917200.000000004</v>
      </c>
      <c r="BV659">
        <f t="shared" ca="1" si="298"/>
        <v>14917200.000000004</v>
      </c>
      <c r="BW659">
        <f t="shared" ca="1" si="299"/>
        <v>0</v>
      </c>
      <c r="BX659">
        <f ca="1">IF(ROW()&lt;($C$7+1),"",IFERROR((分析データ!G659-AVERAGE(OFFSET(分析データ!G$1,MAX(1,ROW()-$C$7),0,MIN($C$7,ROW()-1),1)))/STDEV(OFFSET(分析データ!G$1,MAX(1,ROW()-$C$7),0,MIN($C$7,ROW()-1),1)),0))</f>
        <v>1.680969524971794</v>
      </c>
      <c r="BY659">
        <f t="shared" ca="1" si="300"/>
        <v>0</v>
      </c>
      <c r="BZ659" t="str">
        <f ca="1">IF(BY659=1,IF(INDEX(分析データ!$A:$A,ROW()+$C$5)&lt;&gt;"",40000*SIGN(BX659)*(分析データ!G659-INDEX(分析データ!G:G,ROW()+$C$5)),""),"")</f>
        <v/>
      </c>
      <c r="CA659">
        <f t="shared" ca="1" si="301"/>
        <v>-3515452.8662109179</v>
      </c>
      <c r="CB659">
        <f t="shared" ca="1" si="302"/>
        <v>11327520.000000004</v>
      </c>
      <c r="CC659">
        <f t="shared" ca="1" si="303"/>
        <v>-14842972.866210923</v>
      </c>
      <c r="CD659">
        <f t="shared" ca="1" si="304"/>
        <v>0</v>
      </c>
      <c r="CE659">
        <f t="shared" ca="1" si="305"/>
        <v>12631747.133789128</v>
      </c>
      <c r="CF659">
        <f t="shared" ca="1" si="306"/>
        <v>19067197.138671909</v>
      </c>
      <c r="CG659">
        <f t="shared" ca="1" si="307"/>
        <v>-6435450.0048827808</v>
      </c>
      <c r="CH659" s="10">
        <f>分析データ!A659</f>
        <v>45888</v>
      </c>
    </row>
    <row r="660" spans="46:86">
      <c r="AT660">
        <f ca="1">IF(ROW()&lt;($C$7+1),"",IFERROR((分析データ!B660-AVERAGE(OFFSET(分析データ!B$1,MAX(1,ROW()-$C$7),0,MIN($C$7,ROW()-1),1)))/STDEV(OFFSET(分析データ!B$1,MAX(1,ROW()-$C$7),0,MIN($C$7,ROW()-1),1)),0))</f>
        <v>-6.7868514410831068E-2</v>
      </c>
      <c r="AU660">
        <f t="shared" ca="1" si="280"/>
        <v>0</v>
      </c>
      <c r="AV660" t="str">
        <f ca="1">IF(AU660=1,IF(INDEX(分析データ!$A:$A,ROW()+$C$5)&lt;&gt;"",80000*SIGN(AT660)*(分析データ!B660-INDEX(分析データ!B:B,ROW()+$C$5)),""),"")</f>
        <v/>
      </c>
      <c r="AW660">
        <f t="shared" ca="1" si="281"/>
        <v>-4999999.9999999925</v>
      </c>
      <c r="AX660">
        <f t="shared" ca="1" si="282"/>
        <v>0</v>
      </c>
      <c r="AY660">
        <f t="shared" ca="1" si="283"/>
        <v>-4999999.9999999925</v>
      </c>
      <c r="AZ660">
        <f ca="1">IF(ROW()&lt;($C$7+1),"",IFERROR((分析データ!C660-AVERAGE(OFFSET(分析データ!C$1,MAX(1,ROW()-$C$7),0,MIN($C$7,ROW()-1),1)))/STDEV(OFFSET(分析データ!C$1,MAX(1,ROW()-$C$7),0,MIN($C$7,ROW()-1),1)),0))</f>
        <v>-0.85798619371849405</v>
      </c>
      <c r="BA660">
        <f t="shared" ca="1" si="284"/>
        <v>0</v>
      </c>
      <c r="BB660" t="str">
        <f ca="1">IF(BA660=1,IF(INDEX(分析データ!$A:$A,ROW()+$C$5)&lt;&gt;"",60000*SIGN(AZ660)*(分析データ!C660-INDEX(分析データ!C:C,ROW()+$C$5)),""),"")</f>
        <v/>
      </c>
      <c r="BC660">
        <f t="shared" ca="1" si="285"/>
        <v>3075000.0000000102</v>
      </c>
      <c r="BD660">
        <f t="shared" ca="1" si="286"/>
        <v>3075000.0000000102</v>
      </c>
      <c r="BE660">
        <f t="shared" ca="1" si="287"/>
        <v>0</v>
      </c>
      <c r="BF660">
        <f ca="1">IF(ROW()&lt;($C$7+1),"",IFERROR((分析データ!D660-AVERAGE(OFFSET(分析データ!D$1,MAX(1,ROW()-$C$7),0,MIN($C$7,ROW()-1),1)))/STDEV(OFFSET(分析データ!D$1,MAX(1,ROW()-$C$7),0,MIN($C$7,ROW()-1),1)),0))</f>
        <v>-1.516055777826508</v>
      </c>
      <c r="BG660">
        <f t="shared" ca="1" si="288"/>
        <v>0</v>
      </c>
      <c r="BH660" t="str">
        <f ca="1">IF(BG660=1,IF(INDEX(分析データ!$A:$A,ROW()+$C$5)&lt;&gt;"",50000*SIGN(BF660)*(分析データ!D660-INDEX(分析データ!D:D,ROW()+$C$5)),""),"")</f>
        <v/>
      </c>
      <c r="BI660">
        <f t="shared" ca="1" si="289"/>
        <v>195000.00000000582</v>
      </c>
      <c r="BJ660">
        <f t="shared" ca="1" si="290"/>
        <v>1695000.0000000016</v>
      </c>
      <c r="BK660">
        <f t="shared" ca="1" si="291"/>
        <v>-1499999.9999999958</v>
      </c>
      <c r="BL660">
        <f ca="1">IF(ROW()&lt;($C$7+1),"",IFERROR((分析データ!E660-AVERAGE(OFFSET(分析データ!E$1,MAX(1,ROW()-$C$7),0,MIN($C$7,ROW()-1),1)))/STDEV(OFFSET(分析データ!E$1,MAX(1,ROW()-$C$7),0,MIN($C$7,ROW()-1),1)),0))</f>
        <v>1.6888433389781359</v>
      </c>
      <c r="BM660">
        <f t="shared" ca="1" si="292"/>
        <v>0</v>
      </c>
      <c r="BN660" t="str">
        <f ca="1">IF(BM660=1,IF(INDEX(分析データ!$A:$A,ROW()+$C$5)&lt;&gt;"",40000*SIGN(BL660)*(分析データ!E660-INDEX(分析データ!E:E,ROW()+$C$5)),""),"")</f>
        <v/>
      </c>
      <c r="BO660">
        <f t="shared" ca="1" si="293"/>
        <v>2960000.0000000009</v>
      </c>
      <c r="BP660">
        <f t="shared" ca="1" si="294"/>
        <v>2960000.0000000009</v>
      </c>
      <c r="BQ660">
        <f t="shared" ca="1" si="295"/>
        <v>0</v>
      </c>
      <c r="BR660">
        <f ca="1">IF(ROW()&lt;($C$7+1),"",IFERROR((分析データ!F660-AVERAGE(OFFSET(分析データ!F$1,MAX(1,ROW()-$C$7),0,MIN($C$7,ROW()-1),1)))/STDEV(OFFSET(分析データ!F$1,MAX(1,ROW()-$C$7),0,MIN($C$7,ROW()-1),1)),0))</f>
        <v>-1.1442385796780359</v>
      </c>
      <c r="BS660">
        <f t="shared" ca="1" si="296"/>
        <v>0</v>
      </c>
      <c r="BT660" t="str">
        <f ca="1">IF(BS660=1,IF(INDEX(分析データ!$A:$A,ROW()+$C$5)&lt;&gt;"",40000*SIGN(BR660)*(分析データ!F660-INDEX(分析データ!F:F,ROW()+$C$5)),""),"")</f>
        <v/>
      </c>
      <c r="BU660">
        <f t="shared" ca="1" si="297"/>
        <v>14917200.000000004</v>
      </c>
      <c r="BV660">
        <f t="shared" ca="1" si="298"/>
        <v>14917200.000000004</v>
      </c>
      <c r="BW660">
        <f t="shared" ca="1" si="299"/>
        <v>0</v>
      </c>
      <c r="BX660">
        <f ca="1">IF(ROW()&lt;($C$7+1),"",IFERROR((分析データ!G660-AVERAGE(OFFSET(分析データ!G$1,MAX(1,ROW()-$C$7),0,MIN($C$7,ROW()-1),1)))/STDEV(OFFSET(分析データ!G$1,MAX(1,ROW()-$C$7),0,MIN($C$7,ROW()-1),1)),0))</f>
        <v>1.710233408296695</v>
      </c>
      <c r="BY660">
        <f t="shared" ca="1" si="300"/>
        <v>0</v>
      </c>
      <c r="BZ660" t="str">
        <f ca="1">IF(BY660=1,IF(INDEX(分析データ!$A:$A,ROW()+$C$5)&lt;&gt;"",40000*SIGN(BX660)*(分析データ!G660-INDEX(分析データ!G:G,ROW()+$C$5)),""),"")</f>
        <v/>
      </c>
      <c r="CA660">
        <f t="shared" ca="1" si="301"/>
        <v>-3515452.8662109179</v>
      </c>
      <c r="CB660">
        <f t="shared" ca="1" si="302"/>
        <v>11327520.000000004</v>
      </c>
      <c r="CC660">
        <f t="shared" ca="1" si="303"/>
        <v>-14842972.866210923</v>
      </c>
      <c r="CD660">
        <f t="shared" ca="1" si="304"/>
        <v>0</v>
      </c>
      <c r="CE660">
        <f t="shared" ca="1" si="305"/>
        <v>12631747.133789128</v>
      </c>
      <c r="CF660">
        <f t="shared" ca="1" si="306"/>
        <v>19067197.138671909</v>
      </c>
      <c r="CG660">
        <f t="shared" ca="1" si="307"/>
        <v>-6435450.0048827808</v>
      </c>
      <c r="CH660" s="10">
        <f>分析データ!A660</f>
        <v>45889</v>
      </c>
    </row>
    <row r="661" spans="46:86">
      <c r="AT661">
        <f ca="1">IF(ROW()&lt;($C$7+1),"",IFERROR((分析データ!B661-AVERAGE(OFFSET(分析データ!B$1,MAX(1,ROW()-$C$7),0,MIN($C$7,ROW()-1),1)))/STDEV(OFFSET(分析データ!B$1,MAX(1,ROW()-$C$7),0,MIN($C$7,ROW()-1),1)),0))</f>
        <v>-8.1578474999758677E-2</v>
      </c>
      <c r="AU661">
        <f t="shared" ca="1" si="280"/>
        <v>0</v>
      </c>
      <c r="AV661" t="str">
        <f ca="1">IF(AU661=1,IF(INDEX(分析データ!$A:$A,ROW()+$C$5)&lt;&gt;"",80000*SIGN(AT661)*(分析データ!B661-INDEX(分析データ!B:B,ROW()+$C$5)),""),"")</f>
        <v/>
      </c>
      <c r="AW661">
        <f t="shared" ca="1" si="281"/>
        <v>-4999999.9999999925</v>
      </c>
      <c r="AX661">
        <f t="shared" ca="1" si="282"/>
        <v>0</v>
      </c>
      <c r="AY661">
        <f t="shared" ca="1" si="283"/>
        <v>-4999999.9999999925</v>
      </c>
      <c r="AZ661">
        <f ca="1">IF(ROW()&lt;($C$7+1),"",IFERROR((分析データ!C661-AVERAGE(OFFSET(分析データ!C$1,MAX(1,ROW()-$C$7),0,MIN($C$7,ROW()-1),1)))/STDEV(OFFSET(分析データ!C$1,MAX(1,ROW()-$C$7),0,MIN($C$7,ROW()-1),1)),0))</f>
        <v>-0.90661070090533069</v>
      </c>
      <c r="BA661">
        <f t="shared" ca="1" si="284"/>
        <v>0</v>
      </c>
      <c r="BB661" t="str">
        <f ca="1">IF(BA661=1,IF(INDEX(分析データ!$A:$A,ROW()+$C$5)&lt;&gt;"",60000*SIGN(AZ661)*(分析データ!C661-INDEX(分析データ!C:C,ROW()+$C$5)),""),"")</f>
        <v/>
      </c>
      <c r="BC661">
        <f t="shared" ca="1" si="285"/>
        <v>3075000.0000000102</v>
      </c>
      <c r="BD661">
        <f t="shared" ca="1" si="286"/>
        <v>3075000.0000000102</v>
      </c>
      <c r="BE661">
        <f t="shared" ca="1" si="287"/>
        <v>0</v>
      </c>
      <c r="BF661">
        <f ca="1">IF(ROW()&lt;($C$7+1),"",IFERROR((分析データ!D661-AVERAGE(OFFSET(分析データ!D$1,MAX(1,ROW()-$C$7),0,MIN($C$7,ROW()-1),1)))/STDEV(OFFSET(分析データ!D$1,MAX(1,ROW()-$C$7),0,MIN($C$7,ROW()-1),1)),0))</f>
        <v>-1.3364876814356865</v>
      </c>
      <c r="BG661">
        <f t="shared" ca="1" si="288"/>
        <v>0</v>
      </c>
      <c r="BH661" t="str">
        <f ca="1">IF(BG661=1,IF(INDEX(分析データ!$A:$A,ROW()+$C$5)&lt;&gt;"",50000*SIGN(BF661)*(分析データ!D661-INDEX(分析データ!D:D,ROW()+$C$5)),""),"")</f>
        <v/>
      </c>
      <c r="BI661">
        <f t="shared" ca="1" si="289"/>
        <v>195000.00000000582</v>
      </c>
      <c r="BJ661">
        <f t="shared" ca="1" si="290"/>
        <v>1695000.0000000016</v>
      </c>
      <c r="BK661">
        <f t="shared" ca="1" si="291"/>
        <v>-1499999.9999999958</v>
      </c>
      <c r="BL661">
        <f ca="1">IF(ROW()&lt;($C$7+1),"",IFERROR((分析データ!E661-AVERAGE(OFFSET(分析データ!E$1,MAX(1,ROW()-$C$7),0,MIN($C$7,ROW()-1),1)))/STDEV(OFFSET(分析データ!E$1,MAX(1,ROW()-$C$7),0,MIN($C$7,ROW()-1),1)),0))</f>
        <v>1.5927207200006255</v>
      </c>
      <c r="BM661">
        <f t="shared" ca="1" si="292"/>
        <v>0</v>
      </c>
      <c r="BN661" t="str">
        <f ca="1">IF(BM661=1,IF(INDEX(分析データ!$A:$A,ROW()+$C$5)&lt;&gt;"",40000*SIGN(BL661)*(分析データ!E661-INDEX(分析データ!E:E,ROW()+$C$5)),""),"")</f>
        <v/>
      </c>
      <c r="BO661">
        <f t="shared" ca="1" si="293"/>
        <v>2960000.0000000009</v>
      </c>
      <c r="BP661">
        <f t="shared" ca="1" si="294"/>
        <v>2960000.0000000009</v>
      </c>
      <c r="BQ661">
        <f t="shared" ca="1" si="295"/>
        <v>0</v>
      </c>
      <c r="BR661">
        <f ca="1">IF(ROW()&lt;($C$7+1),"",IFERROR((分析データ!F661-AVERAGE(OFFSET(分析データ!F$1,MAX(1,ROW()-$C$7),0,MIN($C$7,ROW()-1),1)))/STDEV(OFFSET(分析データ!F$1,MAX(1,ROW()-$C$7),0,MIN($C$7,ROW()-1),1)),0))</f>
        <v>-1.3933958016114039</v>
      </c>
      <c r="BS661">
        <f t="shared" ca="1" si="296"/>
        <v>0</v>
      </c>
      <c r="BT661" t="str">
        <f ca="1">IF(BS661=1,IF(INDEX(分析データ!$A:$A,ROW()+$C$5)&lt;&gt;"",40000*SIGN(BR661)*(分析データ!F661-INDEX(分析データ!F:F,ROW()+$C$5)),""),"")</f>
        <v/>
      </c>
      <c r="BU661">
        <f t="shared" ca="1" si="297"/>
        <v>14917200.000000004</v>
      </c>
      <c r="BV661">
        <f t="shared" ca="1" si="298"/>
        <v>14917200.000000004</v>
      </c>
      <c r="BW661">
        <f t="shared" ca="1" si="299"/>
        <v>0</v>
      </c>
      <c r="BX661">
        <f ca="1">IF(ROW()&lt;($C$7+1),"",IFERROR((分析データ!G661-AVERAGE(OFFSET(分析データ!G$1,MAX(1,ROW()-$C$7),0,MIN($C$7,ROW()-1),1)))/STDEV(OFFSET(分析データ!G$1,MAX(1,ROW()-$C$7),0,MIN($C$7,ROW()-1),1)),0))</f>
        <v>1.9158993650158476</v>
      </c>
      <c r="BY661">
        <f t="shared" ca="1" si="300"/>
        <v>0</v>
      </c>
      <c r="BZ661" t="str">
        <f ca="1">IF(BY661=1,IF(INDEX(分析データ!$A:$A,ROW()+$C$5)&lt;&gt;"",40000*SIGN(BX661)*(分析データ!G661-INDEX(分析データ!G:G,ROW()+$C$5)),""),"")</f>
        <v/>
      </c>
      <c r="CA661">
        <f t="shared" ca="1" si="301"/>
        <v>-3515452.8662109179</v>
      </c>
      <c r="CB661">
        <f t="shared" ca="1" si="302"/>
        <v>11327520.000000004</v>
      </c>
      <c r="CC661">
        <f t="shared" ca="1" si="303"/>
        <v>-14842972.866210923</v>
      </c>
      <c r="CD661">
        <f t="shared" ca="1" si="304"/>
        <v>0</v>
      </c>
      <c r="CE661">
        <f t="shared" ca="1" si="305"/>
        <v>12631747.133789128</v>
      </c>
      <c r="CF661">
        <f t="shared" ca="1" si="306"/>
        <v>19067197.138671909</v>
      </c>
      <c r="CG661">
        <f t="shared" ca="1" si="307"/>
        <v>-6435450.0048827808</v>
      </c>
      <c r="CH661" s="10">
        <f>分析データ!A661</f>
        <v>45890</v>
      </c>
    </row>
    <row r="662" spans="46:86">
      <c r="AT662">
        <f ca="1">IF(ROW()&lt;($C$7+1),"",IFERROR((分析データ!B662-AVERAGE(OFFSET(分析データ!B$1,MAX(1,ROW()-$C$7),0,MIN($C$7,ROW()-1),1)))/STDEV(OFFSET(分析データ!B$1,MAX(1,ROW()-$C$7),0,MIN($C$7,ROW()-1),1)),0))</f>
        <v>-1.3303990481183036E-2</v>
      </c>
      <c r="AU662">
        <f t="shared" ca="1" si="280"/>
        <v>0</v>
      </c>
      <c r="AV662" t="str">
        <f ca="1">IF(AU662=1,IF(INDEX(分析データ!$A:$A,ROW()+$C$5)&lt;&gt;"",80000*SIGN(AT662)*(分析データ!B662-INDEX(分析データ!B:B,ROW()+$C$5)),""),"")</f>
        <v/>
      </c>
      <c r="AW662">
        <f t="shared" ca="1" si="281"/>
        <v>-4999999.9999999925</v>
      </c>
      <c r="AX662">
        <f t="shared" ca="1" si="282"/>
        <v>0</v>
      </c>
      <c r="AY662">
        <f t="shared" ca="1" si="283"/>
        <v>-4999999.9999999925</v>
      </c>
      <c r="AZ662">
        <f ca="1">IF(ROW()&lt;($C$7+1),"",IFERROR((分析データ!C662-AVERAGE(OFFSET(分析データ!C$1,MAX(1,ROW()-$C$7),0,MIN($C$7,ROW()-1),1)))/STDEV(OFFSET(分析データ!C$1,MAX(1,ROW()-$C$7),0,MIN($C$7,ROW()-1),1)),0))</f>
        <v>-1.0149190343637413</v>
      </c>
      <c r="BA662">
        <f t="shared" ca="1" si="284"/>
        <v>0</v>
      </c>
      <c r="BB662" t="str">
        <f ca="1">IF(BA662=1,IF(INDEX(分析データ!$A:$A,ROW()+$C$5)&lt;&gt;"",60000*SIGN(AZ662)*(分析データ!C662-INDEX(分析データ!C:C,ROW()+$C$5)),""),"")</f>
        <v/>
      </c>
      <c r="BC662">
        <f t="shared" ca="1" si="285"/>
        <v>3075000.0000000102</v>
      </c>
      <c r="BD662">
        <f t="shared" ca="1" si="286"/>
        <v>3075000.0000000102</v>
      </c>
      <c r="BE662">
        <f t="shared" ca="1" si="287"/>
        <v>0</v>
      </c>
      <c r="BF662">
        <f ca="1">IF(ROW()&lt;($C$7+1),"",IFERROR((分析データ!D662-AVERAGE(OFFSET(分析データ!D$1,MAX(1,ROW()-$C$7),0,MIN($C$7,ROW()-1),1)))/STDEV(OFFSET(分析データ!D$1,MAX(1,ROW()-$C$7),0,MIN($C$7,ROW()-1),1)),0))</f>
        <v>-1.6572827705406339</v>
      </c>
      <c r="BG662">
        <f t="shared" ca="1" si="288"/>
        <v>0</v>
      </c>
      <c r="BH662" t="str">
        <f ca="1">IF(BG662=1,IF(INDEX(分析データ!$A:$A,ROW()+$C$5)&lt;&gt;"",50000*SIGN(BF662)*(分析データ!D662-INDEX(分析データ!D:D,ROW()+$C$5)),""),"")</f>
        <v/>
      </c>
      <c r="BI662">
        <f t="shared" ca="1" si="289"/>
        <v>195000.00000000582</v>
      </c>
      <c r="BJ662">
        <f t="shared" ca="1" si="290"/>
        <v>1695000.0000000016</v>
      </c>
      <c r="BK662">
        <f t="shared" ca="1" si="291"/>
        <v>-1499999.9999999958</v>
      </c>
      <c r="BL662">
        <f ca="1">IF(ROW()&lt;($C$7+1),"",IFERROR((分析データ!E662-AVERAGE(OFFSET(分析データ!E$1,MAX(1,ROW()-$C$7),0,MIN($C$7,ROW()-1),1)))/STDEV(OFFSET(分析データ!E$1,MAX(1,ROW()-$C$7),0,MIN($C$7,ROW()-1),1)),0))</f>
        <v>1.8190353362393357</v>
      </c>
      <c r="BM662">
        <f t="shared" ca="1" si="292"/>
        <v>0</v>
      </c>
      <c r="BN662" t="str">
        <f ca="1">IF(BM662=1,IF(INDEX(分析データ!$A:$A,ROW()+$C$5)&lt;&gt;"",40000*SIGN(BL662)*(分析データ!E662-INDEX(分析データ!E:E,ROW()+$C$5)),""),"")</f>
        <v/>
      </c>
      <c r="BO662">
        <f t="shared" ca="1" si="293"/>
        <v>2960000.0000000009</v>
      </c>
      <c r="BP662">
        <f t="shared" ca="1" si="294"/>
        <v>2960000.0000000009</v>
      </c>
      <c r="BQ662">
        <f t="shared" ca="1" si="295"/>
        <v>0</v>
      </c>
      <c r="BR662">
        <f ca="1">IF(ROW()&lt;($C$7+1),"",IFERROR((分析データ!F662-AVERAGE(OFFSET(分析データ!F$1,MAX(1,ROW()-$C$7),0,MIN($C$7,ROW()-1),1)))/STDEV(OFFSET(分析データ!F$1,MAX(1,ROW()-$C$7),0,MIN($C$7,ROW()-1),1)),0))</f>
        <v>-1.0610725239808825</v>
      </c>
      <c r="BS662">
        <f t="shared" ca="1" si="296"/>
        <v>0</v>
      </c>
      <c r="BT662" t="str">
        <f ca="1">IF(BS662=1,IF(INDEX(分析データ!$A:$A,ROW()+$C$5)&lt;&gt;"",40000*SIGN(BR662)*(分析データ!F662-INDEX(分析データ!F:F,ROW()+$C$5)),""),"")</f>
        <v/>
      </c>
      <c r="BU662">
        <f t="shared" ca="1" si="297"/>
        <v>14917200.000000004</v>
      </c>
      <c r="BV662">
        <f t="shared" ca="1" si="298"/>
        <v>14917200.000000004</v>
      </c>
      <c r="BW662">
        <f t="shared" ca="1" si="299"/>
        <v>0</v>
      </c>
      <c r="BX662">
        <f ca="1">IF(ROW()&lt;($C$7+1),"",IFERROR((分析データ!G662-AVERAGE(OFFSET(分析データ!G$1,MAX(1,ROW()-$C$7),0,MIN($C$7,ROW()-1),1)))/STDEV(OFFSET(分析データ!G$1,MAX(1,ROW()-$C$7),0,MIN($C$7,ROW()-1),1)),0))</f>
        <v>1.7604860145036143</v>
      </c>
      <c r="BY662">
        <f t="shared" ca="1" si="300"/>
        <v>0</v>
      </c>
      <c r="BZ662" t="str">
        <f ca="1">IF(BY662=1,IF(INDEX(分析データ!$A:$A,ROW()+$C$5)&lt;&gt;"",40000*SIGN(BX662)*(分析データ!G662-INDEX(分析データ!G:G,ROW()+$C$5)),""),"")</f>
        <v/>
      </c>
      <c r="CA662">
        <f t="shared" ca="1" si="301"/>
        <v>-3515452.8662109179</v>
      </c>
      <c r="CB662">
        <f t="shared" ca="1" si="302"/>
        <v>11327520.000000004</v>
      </c>
      <c r="CC662">
        <f t="shared" ca="1" si="303"/>
        <v>-14842972.866210923</v>
      </c>
      <c r="CD662">
        <f t="shared" ca="1" si="304"/>
        <v>0</v>
      </c>
      <c r="CE662">
        <f t="shared" ca="1" si="305"/>
        <v>12631747.133789128</v>
      </c>
      <c r="CF662">
        <f t="shared" ca="1" si="306"/>
        <v>19067197.138671909</v>
      </c>
      <c r="CG662">
        <f t="shared" ca="1" si="307"/>
        <v>-6435450.0048827808</v>
      </c>
      <c r="CH662" s="10">
        <f>分析データ!A662</f>
        <v>45891</v>
      </c>
    </row>
    <row r="663" spans="46:86">
      <c r="AT663">
        <f ca="1">IF(ROW()&lt;($C$7+1),"",IFERROR((分析データ!B663-AVERAGE(OFFSET(分析データ!B$1,MAX(1,ROW()-$C$7),0,MIN($C$7,ROW()-1),1)))/STDEV(OFFSET(分析データ!B$1,MAX(1,ROW()-$C$7),0,MIN($C$7,ROW()-1),1)),0))</f>
        <v>-0.196964405793459</v>
      </c>
      <c r="AU663">
        <f t="shared" ca="1" si="280"/>
        <v>0</v>
      </c>
      <c r="AV663" t="str">
        <f ca="1">IF(AU663=1,IF(INDEX(分析データ!$A:$A,ROW()+$C$5)&lt;&gt;"",80000*SIGN(AT663)*(分析データ!B663-INDEX(分析データ!B:B,ROW()+$C$5)),""),"")</f>
        <v/>
      </c>
      <c r="AW663">
        <f t="shared" ca="1" si="281"/>
        <v>-4999999.9999999925</v>
      </c>
      <c r="AX663">
        <f t="shared" ca="1" si="282"/>
        <v>0</v>
      </c>
      <c r="AY663">
        <f t="shared" ca="1" si="283"/>
        <v>-4999999.9999999925</v>
      </c>
      <c r="AZ663">
        <f ca="1">IF(ROW()&lt;($C$7+1),"",IFERROR((分析データ!C663-AVERAGE(OFFSET(分析データ!C$1,MAX(1,ROW()-$C$7),0,MIN($C$7,ROW()-1),1)))/STDEV(OFFSET(分析データ!C$1,MAX(1,ROW()-$C$7),0,MIN($C$7,ROW()-1),1)),0))</f>
        <v>-0.94307735455987651</v>
      </c>
      <c r="BA663">
        <f t="shared" ca="1" si="284"/>
        <v>0</v>
      </c>
      <c r="BB663" t="str">
        <f ca="1">IF(BA663=1,IF(INDEX(分析データ!$A:$A,ROW()+$C$5)&lt;&gt;"",60000*SIGN(AZ663)*(分析データ!C663-INDEX(分析データ!C:C,ROW()+$C$5)),""),"")</f>
        <v/>
      </c>
      <c r="BC663">
        <f t="shared" ca="1" si="285"/>
        <v>3075000.0000000102</v>
      </c>
      <c r="BD663">
        <f t="shared" ca="1" si="286"/>
        <v>3075000.0000000102</v>
      </c>
      <c r="BE663">
        <f t="shared" ca="1" si="287"/>
        <v>0</v>
      </c>
      <c r="BF663">
        <f ca="1">IF(ROW()&lt;($C$7+1),"",IFERROR((分析データ!D663-AVERAGE(OFFSET(分析データ!D$1,MAX(1,ROW()-$C$7),0,MIN($C$7,ROW()-1),1)))/STDEV(OFFSET(分析データ!D$1,MAX(1,ROW()-$C$7),0,MIN($C$7,ROW()-1),1)),0))</f>
        <v>-1.5702310360650822</v>
      </c>
      <c r="BG663">
        <f t="shared" ca="1" si="288"/>
        <v>0</v>
      </c>
      <c r="BH663" t="str">
        <f ca="1">IF(BG663=1,IF(INDEX(分析データ!$A:$A,ROW()+$C$5)&lt;&gt;"",50000*SIGN(BF663)*(分析データ!D663-INDEX(分析データ!D:D,ROW()+$C$5)),""),"")</f>
        <v/>
      </c>
      <c r="BI663">
        <f t="shared" ca="1" si="289"/>
        <v>195000.00000000582</v>
      </c>
      <c r="BJ663">
        <f t="shared" ca="1" si="290"/>
        <v>1695000.0000000016</v>
      </c>
      <c r="BK663">
        <f t="shared" ca="1" si="291"/>
        <v>-1499999.9999999958</v>
      </c>
      <c r="BL663">
        <f ca="1">IF(ROW()&lt;($C$7+1),"",IFERROR((分析データ!E663-AVERAGE(OFFSET(分析データ!E$1,MAX(1,ROW()-$C$7),0,MIN($C$7,ROW()-1),1)))/STDEV(OFFSET(分析データ!E$1,MAX(1,ROW()-$C$7),0,MIN($C$7,ROW()-1),1)),0))</f>
        <v>1.6413367862384849</v>
      </c>
      <c r="BM663">
        <f t="shared" ca="1" si="292"/>
        <v>0</v>
      </c>
      <c r="BN663" t="str">
        <f ca="1">IF(BM663=1,IF(INDEX(分析データ!$A:$A,ROW()+$C$5)&lt;&gt;"",40000*SIGN(BL663)*(分析データ!E663-INDEX(分析データ!E:E,ROW()+$C$5)),""),"")</f>
        <v/>
      </c>
      <c r="BO663">
        <f t="shared" ca="1" si="293"/>
        <v>2960000.0000000009</v>
      </c>
      <c r="BP663">
        <f t="shared" ca="1" si="294"/>
        <v>2960000.0000000009</v>
      </c>
      <c r="BQ663">
        <f t="shared" ca="1" si="295"/>
        <v>0</v>
      </c>
      <c r="BR663">
        <f ca="1">IF(ROW()&lt;($C$7+1),"",IFERROR((分析データ!F663-AVERAGE(OFFSET(分析データ!F$1,MAX(1,ROW()-$C$7),0,MIN($C$7,ROW()-1),1)))/STDEV(OFFSET(分析データ!F$1,MAX(1,ROW()-$C$7),0,MIN($C$7,ROW()-1),1)),0))</f>
        <v>-1.2707369015937333</v>
      </c>
      <c r="BS663">
        <f t="shared" ca="1" si="296"/>
        <v>0</v>
      </c>
      <c r="BT663" t="str">
        <f ca="1">IF(BS663=1,IF(INDEX(分析データ!$A:$A,ROW()+$C$5)&lt;&gt;"",40000*SIGN(BR663)*(分析データ!F663-INDEX(分析データ!F:F,ROW()+$C$5)),""),"")</f>
        <v/>
      </c>
      <c r="BU663">
        <f t="shared" ca="1" si="297"/>
        <v>14917200.000000004</v>
      </c>
      <c r="BV663">
        <f t="shared" ca="1" si="298"/>
        <v>14917200.000000004</v>
      </c>
      <c r="BW663">
        <f t="shared" ca="1" si="299"/>
        <v>0</v>
      </c>
      <c r="BX663">
        <f ca="1">IF(ROW()&lt;($C$7+1),"",IFERROR((分析データ!G663-AVERAGE(OFFSET(分析データ!G$1,MAX(1,ROW()-$C$7),0,MIN($C$7,ROW()-1),1)))/STDEV(OFFSET(分析データ!G$1,MAX(1,ROW()-$C$7),0,MIN($C$7,ROW()-1),1)),0))</f>
        <v>1.92512529777854</v>
      </c>
      <c r="BY663">
        <f t="shared" ca="1" si="300"/>
        <v>0</v>
      </c>
      <c r="BZ663" t="str">
        <f ca="1">IF(BY663=1,IF(INDEX(分析データ!$A:$A,ROW()+$C$5)&lt;&gt;"",40000*SIGN(BX663)*(分析データ!G663-INDEX(分析データ!G:G,ROW()+$C$5)),""),"")</f>
        <v/>
      </c>
      <c r="CA663">
        <f t="shared" ca="1" si="301"/>
        <v>-3515452.8662109179</v>
      </c>
      <c r="CB663">
        <f t="shared" ca="1" si="302"/>
        <v>11327520.000000004</v>
      </c>
      <c r="CC663">
        <f t="shared" ca="1" si="303"/>
        <v>-14842972.866210923</v>
      </c>
      <c r="CD663">
        <f t="shared" ca="1" si="304"/>
        <v>0</v>
      </c>
      <c r="CE663">
        <f t="shared" ca="1" si="305"/>
        <v>12631747.133789128</v>
      </c>
      <c r="CF663">
        <f t="shared" ca="1" si="306"/>
        <v>19067197.138671909</v>
      </c>
      <c r="CG663">
        <f t="shared" ca="1" si="307"/>
        <v>-6435450.0048827808</v>
      </c>
      <c r="CH663" s="10">
        <f>分析データ!A663</f>
        <v>45894</v>
      </c>
    </row>
    <row r="664" spans="46:86">
      <c r="AT664">
        <f ca="1">IF(ROW()&lt;($C$7+1),"",IFERROR((分析データ!B664-AVERAGE(OFFSET(分析データ!B$1,MAX(1,ROW()-$C$7),0,MIN($C$7,ROW()-1),1)))/STDEV(OFFSET(分析データ!B$1,MAX(1,ROW()-$C$7),0,MIN($C$7,ROW()-1),1)),0))</f>
        <v>0.39574788963028446</v>
      </c>
      <c r="AU664">
        <f t="shared" ca="1" si="280"/>
        <v>0</v>
      </c>
      <c r="AV664" t="str">
        <f ca="1">IF(AU664=1,IF(INDEX(分析データ!$A:$A,ROW()+$C$5)&lt;&gt;"",80000*SIGN(AT664)*(分析データ!B664-INDEX(分析データ!B:B,ROW()+$C$5)),""),"")</f>
        <v/>
      </c>
      <c r="AW664">
        <f t="shared" ca="1" si="281"/>
        <v>-4999999.9999999925</v>
      </c>
      <c r="AX664">
        <f t="shared" ca="1" si="282"/>
        <v>0</v>
      </c>
      <c r="AY664">
        <f t="shared" ca="1" si="283"/>
        <v>-4999999.9999999925</v>
      </c>
      <c r="AZ664">
        <f ca="1">IF(ROW()&lt;($C$7+1),"",IFERROR((分析データ!C664-AVERAGE(OFFSET(分析データ!C$1,MAX(1,ROW()-$C$7),0,MIN($C$7,ROW()-1),1)))/STDEV(OFFSET(分析データ!C$1,MAX(1,ROW()-$C$7),0,MIN($C$7,ROW()-1),1)),0))</f>
        <v>-0.8649940694855256</v>
      </c>
      <c r="BA664">
        <f t="shared" ca="1" si="284"/>
        <v>0</v>
      </c>
      <c r="BB664" t="str">
        <f ca="1">IF(BA664=1,IF(INDEX(分析データ!$A:$A,ROW()+$C$5)&lt;&gt;"",60000*SIGN(AZ664)*(分析データ!C664-INDEX(分析データ!C:C,ROW()+$C$5)),""),"")</f>
        <v/>
      </c>
      <c r="BC664">
        <f t="shared" ca="1" si="285"/>
        <v>3075000.0000000102</v>
      </c>
      <c r="BD664">
        <f t="shared" ca="1" si="286"/>
        <v>3075000.0000000102</v>
      </c>
      <c r="BE664">
        <f t="shared" ca="1" si="287"/>
        <v>0</v>
      </c>
      <c r="BF664">
        <f ca="1">IF(ROW()&lt;($C$7+1),"",IFERROR((分析データ!D664-AVERAGE(OFFSET(分析データ!D$1,MAX(1,ROW()-$C$7),0,MIN($C$7,ROW()-1),1)))/STDEV(OFFSET(分析データ!D$1,MAX(1,ROW()-$C$7),0,MIN($C$7,ROW()-1),1)),0))</f>
        <v>-1.6542490248090425</v>
      </c>
      <c r="BG664">
        <f t="shared" ca="1" si="288"/>
        <v>0</v>
      </c>
      <c r="BH664" t="str">
        <f ca="1">IF(BG664=1,IF(INDEX(分析データ!$A:$A,ROW()+$C$5)&lt;&gt;"",50000*SIGN(BF664)*(分析データ!D664-INDEX(分析データ!D:D,ROW()+$C$5)),""),"")</f>
        <v/>
      </c>
      <c r="BI664">
        <f t="shared" ca="1" si="289"/>
        <v>195000.00000000582</v>
      </c>
      <c r="BJ664">
        <f t="shared" ca="1" si="290"/>
        <v>1695000.0000000016</v>
      </c>
      <c r="BK664">
        <f t="shared" ca="1" si="291"/>
        <v>-1499999.9999999958</v>
      </c>
      <c r="BL664">
        <f ca="1">IF(ROW()&lt;($C$7+1),"",IFERROR((分析データ!E664-AVERAGE(OFFSET(分析データ!E$1,MAX(1,ROW()-$C$7),0,MIN($C$7,ROW()-1),1)))/STDEV(OFFSET(分析データ!E$1,MAX(1,ROW()-$C$7),0,MIN($C$7,ROW()-1),1)),0))</f>
        <v>1.8638945019347062</v>
      </c>
      <c r="BM664">
        <f t="shared" ca="1" si="292"/>
        <v>0</v>
      </c>
      <c r="BN664" t="str">
        <f ca="1">IF(BM664=1,IF(INDEX(分析データ!$A:$A,ROW()+$C$5)&lt;&gt;"",40000*SIGN(BL664)*(分析データ!E664-INDEX(分析データ!E:E,ROW()+$C$5)),""),"")</f>
        <v/>
      </c>
      <c r="BO664">
        <f t="shared" ca="1" si="293"/>
        <v>2960000.0000000009</v>
      </c>
      <c r="BP664">
        <f t="shared" ca="1" si="294"/>
        <v>2960000.0000000009</v>
      </c>
      <c r="BQ664">
        <f t="shared" ca="1" si="295"/>
        <v>0</v>
      </c>
      <c r="BR664">
        <f ca="1">IF(ROW()&lt;($C$7+1),"",IFERROR((分析データ!F664-AVERAGE(OFFSET(分析データ!F$1,MAX(1,ROW()-$C$7),0,MIN($C$7,ROW()-1),1)))/STDEV(OFFSET(分析データ!F$1,MAX(1,ROW()-$C$7),0,MIN($C$7,ROW()-1),1)),0))</f>
        <v>-1.2061653018563006</v>
      </c>
      <c r="BS664">
        <f t="shared" ca="1" si="296"/>
        <v>0</v>
      </c>
      <c r="BT664" t="str">
        <f ca="1">IF(BS664=1,IF(INDEX(分析データ!$A:$A,ROW()+$C$5)&lt;&gt;"",40000*SIGN(BR664)*(分析データ!F664-INDEX(分析データ!F:F,ROW()+$C$5)),""),"")</f>
        <v/>
      </c>
      <c r="BU664">
        <f t="shared" ca="1" si="297"/>
        <v>14917200.000000004</v>
      </c>
      <c r="BV664">
        <f t="shared" ca="1" si="298"/>
        <v>14917200.000000004</v>
      </c>
      <c r="BW664">
        <f t="shared" ca="1" si="299"/>
        <v>0</v>
      </c>
      <c r="BX664">
        <f ca="1">IF(ROW()&lt;($C$7+1),"",IFERROR((分析データ!G664-AVERAGE(OFFSET(分析データ!G$1,MAX(1,ROW()-$C$7),0,MIN($C$7,ROW()-1),1)))/STDEV(OFFSET(分析データ!G$1,MAX(1,ROW()-$C$7),0,MIN($C$7,ROW()-1),1)),0))</f>
        <v>1.8759752621438897</v>
      </c>
      <c r="BY664">
        <f t="shared" ca="1" si="300"/>
        <v>0</v>
      </c>
      <c r="BZ664" t="str">
        <f ca="1">IF(BY664=1,IF(INDEX(分析データ!$A:$A,ROW()+$C$5)&lt;&gt;"",40000*SIGN(BX664)*(分析データ!G664-INDEX(分析データ!G:G,ROW()+$C$5)),""),"")</f>
        <v/>
      </c>
      <c r="CA664">
        <f t="shared" ca="1" si="301"/>
        <v>-3515452.8662109179</v>
      </c>
      <c r="CB664">
        <f t="shared" ca="1" si="302"/>
        <v>11327520.000000004</v>
      </c>
      <c r="CC664">
        <f t="shared" ca="1" si="303"/>
        <v>-14842972.866210923</v>
      </c>
      <c r="CD664">
        <f t="shared" ca="1" si="304"/>
        <v>0</v>
      </c>
      <c r="CE664">
        <f t="shared" ca="1" si="305"/>
        <v>12631747.133789128</v>
      </c>
      <c r="CF664">
        <f t="shared" ca="1" si="306"/>
        <v>19067197.138671909</v>
      </c>
      <c r="CG664">
        <f t="shared" ca="1" si="307"/>
        <v>-6435450.0048827808</v>
      </c>
      <c r="CH664" s="10">
        <f>分析データ!A664</f>
        <v>45895</v>
      </c>
    </row>
    <row r="665" spans="46:86">
      <c r="AT665">
        <f ca="1">IF(ROW()&lt;($C$7+1),"",IFERROR((分析データ!B665-AVERAGE(OFFSET(分析データ!B$1,MAX(1,ROW()-$C$7),0,MIN($C$7,ROW()-1),1)))/STDEV(OFFSET(分析データ!B$1,MAX(1,ROW()-$C$7),0,MIN($C$7,ROW()-1),1)),0))</f>
        <v>0.12335579346036288</v>
      </c>
      <c r="AU665">
        <f t="shared" ca="1" si="280"/>
        <v>0</v>
      </c>
      <c r="AV665" t="str">
        <f ca="1">IF(AU665=1,IF(INDEX(分析データ!$A:$A,ROW()+$C$5)&lt;&gt;"",80000*SIGN(AT665)*(分析データ!B665-INDEX(分析データ!B:B,ROW()+$C$5)),""),"")</f>
        <v/>
      </c>
      <c r="AW665">
        <f t="shared" ca="1" si="281"/>
        <v>-4999999.9999999925</v>
      </c>
      <c r="AX665">
        <f t="shared" ca="1" si="282"/>
        <v>0</v>
      </c>
      <c r="AY665">
        <f t="shared" ca="1" si="283"/>
        <v>-4999999.9999999925</v>
      </c>
      <c r="AZ665">
        <f ca="1">IF(ROW()&lt;($C$7+1),"",IFERROR((分析データ!C665-AVERAGE(OFFSET(分析データ!C$1,MAX(1,ROW()-$C$7),0,MIN($C$7,ROW()-1),1)))/STDEV(OFFSET(分析データ!C$1,MAX(1,ROW()-$C$7),0,MIN($C$7,ROW()-1),1)),0))</f>
        <v>-0.91390349959539008</v>
      </c>
      <c r="BA665">
        <f t="shared" ca="1" si="284"/>
        <v>0</v>
      </c>
      <c r="BB665" t="str">
        <f ca="1">IF(BA665=1,IF(INDEX(分析データ!$A:$A,ROW()+$C$5)&lt;&gt;"",60000*SIGN(AZ665)*(分析データ!C665-INDEX(分析データ!C:C,ROW()+$C$5)),""),"")</f>
        <v/>
      </c>
      <c r="BC665">
        <f t="shared" ca="1" si="285"/>
        <v>3075000.0000000102</v>
      </c>
      <c r="BD665">
        <f t="shared" ca="1" si="286"/>
        <v>3075000.0000000102</v>
      </c>
      <c r="BE665">
        <f t="shared" ca="1" si="287"/>
        <v>0</v>
      </c>
      <c r="BF665">
        <f ca="1">IF(ROW()&lt;($C$7+1),"",IFERROR((分析データ!D665-AVERAGE(OFFSET(分析データ!D$1,MAX(1,ROW()-$C$7),0,MIN($C$7,ROW()-1),1)))/STDEV(OFFSET(分析データ!D$1,MAX(1,ROW()-$C$7),0,MIN($C$7,ROW()-1),1)),0))</f>
        <v>-1.7464367299971686</v>
      </c>
      <c r="BG665">
        <f t="shared" ca="1" si="288"/>
        <v>0</v>
      </c>
      <c r="BH665" t="str">
        <f ca="1">IF(BG665=1,IF(INDEX(分析データ!$A:$A,ROW()+$C$5)&lt;&gt;"",50000*SIGN(BF665)*(分析データ!D665-INDEX(分析データ!D:D,ROW()+$C$5)),""),"")</f>
        <v/>
      </c>
      <c r="BI665">
        <f t="shared" ca="1" si="289"/>
        <v>195000.00000000582</v>
      </c>
      <c r="BJ665">
        <f t="shared" ca="1" si="290"/>
        <v>1695000.0000000016</v>
      </c>
      <c r="BK665">
        <f t="shared" ca="1" si="291"/>
        <v>-1499999.9999999958</v>
      </c>
      <c r="BL665">
        <f ca="1">IF(ROW()&lt;($C$7+1),"",IFERROR((分析データ!E665-AVERAGE(OFFSET(分析データ!E$1,MAX(1,ROW()-$C$7),0,MIN($C$7,ROW()-1),1)))/STDEV(OFFSET(分析データ!E$1,MAX(1,ROW()-$C$7),0,MIN($C$7,ROW()-1),1)),0))</f>
        <v>2.1585606833597164</v>
      </c>
      <c r="BM665">
        <f t="shared" ca="1" si="292"/>
        <v>1</v>
      </c>
      <c r="BN665">
        <f ca="1">IF(BM665=1,IF(INDEX(分析データ!$A:$A,ROW()+$C$5)&lt;&gt;"",40000*SIGN(BL665)*(分析データ!E665-INDEX(分析データ!E:E,ROW()+$C$5)),""),"")</f>
        <v>520000.0000000014</v>
      </c>
      <c r="BO665">
        <f t="shared" ca="1" si="293"/>
        <v>3480000.0000000023</v>
      </c>
      <c r="BP665">
        <f t="shared" ca="1" si="294"/>
        <v>3480000.0000000023</v>
      </c>
      <c r="BQ665">
        <f t="shared" ca="1" si="295"/>
        <v>0</v>
      </c>
      <c r="BR665">
        <f ca="1">IF(ROW()&lt;($C$7+1),"",IFERROR((分析データ!F665-AVERAGE(OFFSET(分析データ!F$1,MAX(1,ROW()-$C$7),0,MIN($C$7,ROW()-1),1)))/STDEV(OFFSET(分析データ!F$1,MAX(1,ROW()-$C$7),0,MIN($C$7,ROW()-1),1)),0))</f>
        <v>-1.0227472936267419</v>
      </c>
      <c r="BS665">
        <f t="shared" ca="1" si="296"/>
        <v>0</v>
      </c>
      <c r="BT665" t="str">
        <f ca="1">IF(BS665=1,IF(INDEX(分析データ!$A:$A,ROW()+$C$5)&lt;&gt;"",40000*SIGN(BR665)*(分析データ!F665-INDEX(分析データ!F:F,ROW()+$C$5)),""),"")</f>
        <v/>
      </c>
      <c r="BU665">
        <f t="shared" ca="1" si="297"/>
        <v>14917200.000000004</v>
      </c>
      <c r="BV665">
        <f t="shared" ca="1" si="298"/>
        <v>14917200.000000004</v>
      </c>
      <c r="BW665">
        <f t="shared" ca="1" si="299"/>
        <v>0</v>
      </c>
      <c r="BX665">
        <f ca="1">IF(ROW()&lt;($C$7+1),"",IFERROR((分析データ!G665-AVERAGE(OFFSET(分析データ!G$1,MAX(1,ROW()-$C$7),0,MIN($C$7,ROW()-1),1)))/STDEV(OFFSET(分析データ!G$1,MAX(1,ROW()-$C$7),0,MIN($C$7,ROW()-1),1)),0))</f>
        <v>1.7446075940252326</v>
      </c>
      <c r="BY665">
        <f t="shared" ca="1" si="300"/>
        <v>0</v>
      </c>
      <c r="BZ665" t="str">
        <f ca="1">IF(BY665=1,IF(INDEX(分析データ!$A:$A,ROW()+$C$5)&lt;&gt;"",40000*SIGN(BX665)*(分析データ!G665-INDEX(分析データ!G:G,ROW()+$C$5)),""),"")</f>
        <v/>
      </c>
      <c r="CA665">
        <f t="shared" ca="1" si="301"/>
        <v>-3515452.8662109179</v>
      </c>
      <c r="CB665">
        <f t="shared" ca="1" si="302"/>
        <v>11327520.000000004</v>
      </c>
      <c r="CC665">
        <f t="shared" ca="1" si="303"/>
        <v>-14842972.866210923</v>
      </c>
      <c r="CD665">
        <f t="shared" ca="1" si="304"/>
        <v>520000.0000000014</v>
      </c>
      <c r="CE665">
        <f t="shared" ca="1" si="305"/>
        <v>13151747.13378913</v>
      </c>
      <c r="CF665">
        <f t="shared" ca="1" si="306"/>
        <v>19067197.138671909</v>
      </c>
      <c r="CG665">
        <f t="shared" ca="1" si="307"/>
        <v>-5915450.004882779</v>
      </c>
      <c r="CH665" s="10">
        <f>分析データ!A665</f>
        <v>45896</v>
      </c>
    </row>
    <row r="666" spans="46:86">
      <c r="AT666">
        <f ca="1">IF(ROW()&lt;($C$7+1),"",IFERROR((分析データ!B666-AVERAGE(OFFSET(分析データ!B$1,MAX(1,ROW()-$C$7),0,MIN($C$7,ROW()-1),1)))/STDEV(OFFSET(分析データ!B$1,MAX(1,ROW()-$C$7),0,MIN($C$7,ROW()-1),1)),0))</f>
        <v>-0.24898667548870188</v>
      </c>
      <c r="AU666">
        <f t="shared" ca="1" si="280"/>
        <v>0</v>
      </c>
      <c r="AV666" t="str">
        <f ca="1">IF(AU666=1,IF(INDEX(分析データ!$A:$A,ROW()+$C$5)&lt;&gt;"",80000*SIGN(AT666)*(分析データ!B666-INDEX(分析データ!B:B,ROW()+$C$5)),""),"")</f>
        <v/>
      </c>
      <c r="AW666">
        <f t="shared" ca="1" si="281"/>
        <v>-4999999.9999999925</v>
      </c>
      <c r="AX666">
        <f t="shared" ca="1" si="282"/>
        <v>0</v>
      </c>
      <c r="AY666">
        <f t="shared" ca="1" si="283"/>
        <v>-4999999.9999999925</v>
      </c>
      <c r="AZ666">
        <f ca="1">IF(ROW()&lt;($C$7+1),"",IFERROR((分析データ!C666-AVERAGE(OFFSET(分析データ!C$1,MAX(1,ROW()-$C$7),0,MIN($C$7,ROW()-1),1)))/STDEV(OFFSET(分析データ!C$1,MAX(1,ROW()-$C$7),0,MIN($C$7,ROW()-1),1)),0))</f>
        <v>-0.96868811591255888</v>
      </c>
      <c r="BA666">
        <f t="shared" ca="1" si="284"/>
        <v>0</v>
      </c>
      <c r="BB666" t="str">
        <f ca="1">IF(BA666=1,IF(INDEX(分析データ!$A:$A,ROW()+$C$5)&lt;&gt;"",60000*SIGN(AZ666)*(分析データ!C666-INDEX(分析データ!C:C,ROW()+$C$5)),""),"")</f>
        <v/>
      </c>
      <c r="BC666">
        <f t="shared" ca="1" si="285"/>
        <v>3075000.0000000102</v>
      </c>
      <c r="BD666">
        <f t="shared" ca="1" si="286"/>
        <v>3075000.0000000102</v>
      </c>
      <c r="BE666">
        <f t="shared" ca="1" si="287"/>
        <v>0</v>
      </c>
      <c r="BF666">
        <f ca="1">IF(ROW()&lt;($C$7+1),"",IFERROR((分析データ!D666-AVERAGE(OFFSET(分析データ!D$1,MAX(1,ROW()-$C$7),0,MIN($C$7,ROW()-1),1)))/STDEV(OFFSET(分析データ!D$1,MAX(1,ROW()-$C$7),0,MIN($C$7,ROW()-1),1)),0))</f>
        <v>-1.776937381748561</v>
      </c>
      <c r="BG666">
        <f t="shared" ca="1" si="288"/>
        <v>0</v>
      </c>
      <c r="BH666" t="str">
        <f ca="1">IF(BG666=1,IF(INDEX(分析データ!$A:$A,ROW()+$C$5)&lt;&gt;"",50000*SIGN(BF666)*(分析データ!D666-INDEX(分析データ!D:D,ROW()+$C$5)),""),"")</f>
        <v/>
      </c>
      <c r="BI666">
        <f t="shared" ca="1" si="289"/>
        <v>195000.00000000582</v>
      </c>
      <c r="BJ666">
        <f t="shared" ca="1" si="290"/>
        <v>1695000.0000000016</v>
      </c>
      <c r="BK666">
        <f t="shared" ca="1" si="291"/>
        <v>-1499999.9999999958</v>
      </c>
      <c r="BL666">
        <f ca="1">IF(ROW()&lt;($C$7+1),"",IFERROR((分析データ!E666-AVERAGE(OFFSET(分析データ!E$1,MAX(1,ROW()-$C$7),0,MIN($C$7,ROW()-1),1)))/STDEV(OFFSET(分析データ!E$1,MAX(1,ROW()-$C$7),0,MIN($C$7,ROW()-1),1)),0))</f>
        <v>1.97468725247125</v>
      </c>
      <c r="BM666">
        <f t="shared" ca="1" si="292"/>
        <v>0</v>
      </c>
      <c r="BN666" t="str">
        <f ca="1">IF(BM666=1,IF(INDEX(分析データ!$A:$A,ROW()+$C$5)&lt;&gt;"",40000*SIGN(BL666)*(分析データ!E666-INDEX(分析データ!E:E,ROW()+$C$5)),""),"")</f>
        <v/>
      </c>
      <c r="BO666">
        <f t="shared" ca="1" si="293"/>
        <v>3480000.0000000023</v>
      </c>
      <c r="BP666">
        <f t="shared" ca="1" si="294"/>
        <v>3480000.0000000023</v>
      </c>
      <c r="BQ666">
        <f t="shared" ca="1" si="295"/>
        <v>0</v>
      </c>
      <c r="BR666">
        <f ca="1">IF(ROW()&lt;($C$7+1),"",IFERROR((分析データ!F666-AVERAGE(OFFSET(分析データ!F$1,MAX(1,ROW()-$C$7),0,MIN($C$7,ROW()-1),1)))/STDEV(OFFSET(分析データ!F$1,MAX(1,ROW()-$C$7),0,MIN($C$7,ROW()-1),1)),0))</f>
        <v>-0.81990210272059616</v>
      </c>
      <c r="BS666">
        <f t="shared" ca="1" si="296"/>
        <v>0</v>
      </c>
      <c r="BT666" t="str">
        <f ca="1">IF(BS666=1,IF(INDEX(分析データ!$A:$A,ROW()+$C$5)&lt;&gt;"",40000*SIGN(BR666)*(分析データ!F666-INDEX(分析データ!F:F,ROW()+$C$5)),""),"")</f>
        <v/>
      </c>
      <c r="BU666">
        <f t="shared" ca="1" si="297"/>
        <v>14917200.000000004</v>
      </c>
      <c r="BV666">
        <f t="shared" ca="1" si="298"/>
        <v>14917200.000000004</v>
      </c>
      <c r="BW666">
        <f t="shared" ca="1" si="299"/>
        <v>0</v>
      </c>
      <c r="BX666">
        <f ca="1">IF(ROW()&lt;($C$7+1),"",IFERROR((分析データ!G666-AVERAGE(OFFSET(分析データ!G$1,MAX(1,ROW()-$C$7),0,MIN($C$7,ROW()-1),1)))/STDEV(OFFSET(分析データ!G$1,MAX(1,ROW()-$C$7),0,MIN($C$7,ROW()-1),1)),0))</f>
        <v>1.5822895675240942</v>
      </c>
      <c r="BY666">
        <f t="shared" ca="1" si="300"/>
        <v>0</v>
      </c>
      <c r="BZ666" t="str">
        <f ca="1">IF(BY666=1,IF(INDEX(分析データ!$A:$A,ROW()+$C$5)&lt;&gt;"",40000*SIGN(BX666)*(分析データ!G666-INDEX(分析データ!G:G,ROW()+$C$5)),""),"")</f>
        <v/>
      </c>
      <c r="CA666">
        <f t="shared" ca="1" si="301"/>
        <v>-3515452.8662109179</v>
      </c>
      <c r="CB666">
        <f t="shared" ca="1" si="302"/>
        <v>11327520.000000004</v>
      </c>
      <c r="CC666">
        <f t="shared" ca="1" si="303"/>
        <v>-14842972.866210923</v>
      </c>
      <c r="CD666">
        <f t="shared" ca="1" si="304"/>
        <v>0</v>
      </c>
      <c r="CE666">
        <f t="shared" ca="1" si="305"/>
        <v>13151747.13378913</v>
      </c>
      <c r="CF666">
        <f t="shared" ca="1" si="306"/>
        <v>19067197.138671909</v>
      </c>
      <c r="CG666">
        <f t="shared" ca="1" si="307"/>
        <v>-5915450.004882779</v>
      </c>
      <c r="CH666" s="10">
        <f>分析データ!A666</f>
        <v>45897</v>
      </c>
    </row>
    <row r="667" spans="46:86">
      <c r="AT667">
        <f ca="1">IF(ROW()&lt;($C$7+1),"",IFERROR((分析データ!B667-AVERAGE(OFFSET(分析データ!B$1,MAX(1,ROW()-$C$7),0,MIN($C$7,ROW()-1),1)))/STDEV(OFFSET(分析データ!B$1,MAX(1,ROW()-$C$7),0,MIN($C$7,ROW()-1),1)),0))</f>
        <v>-0.1735540165174769</v>
      </c>
      <c r="AU667">
        <f t="shared" ca="1" si="280"/>
        <v>0</v>
      </c>
      <c r="AV667" t="str">
        <f ca="1">IF(AU667=1,IF(INDEX(分析データ!$A:$A,ROW()+$C$5)&lt;&gt;"",80000*SIGN(AT667)*(分析データ!B667-INDEX(分析データ!B:B,ROW()+$C$5)),""),"")</f>
        <v/>
      </c>
      <c r="AW667">
        <f t="shared" ca="1" si="281"/>
        <v>-4999999.9999999925</v>
      </c>
      <c r="AX667">
        <f t="shared" ca="1" si="282"/>
        <v>0</v>
      </c>
      <c r="AY667">
        <f t="shared" ca="1" si="283"/>
        <v>-4999999.9999999925</v>
      </c>
      <c r="AZ667">
        <f ca="1">IF(ROW()&lt;($C$7+1),"",IFERROR((分析データ!C667-AVERAGE(OFFSET(分析データ!C$1,MAX(1,ROW()-$C$7),0,MIN($C$7,ROW()-1),1)))/STDEV(OFFSET(分析データ!C$1,MAX(1,ROW()-$C$7),0,MIN($C$7,ROW()-1),1)),0))</f>
        <v>-0.99370447146111973</v>
      </c>
      <c r="BA667">
        <f t="shared" ca="1" si="284"/>
        <v>0</v>
      </c>
      <c r="BB667" t="str">
        <f ca="1">IF(BA667=1,IF(INDEX(分析データ!$A:$A,ROW()+$C$5)&lt;&gt;"",60000*SIGN(AZ667)*(分析データ!C667-INDEX(分析データ!C:C,ROW()+$C$5)),""),"")</f>
        <v/>
      </c>
      <c r="BC667">
        <f t="shared" ca="1" si="285"/>
        <v>3075000.0000000102</v>
      </c>
      <c r="BD667">
        <f t="shared" ca="1" si="286"/>
        <v>3075000.0000000102</v>
      </c>
      <c r="BE667">
        <f t="shared" ca="1" si="287"/>
        <v>0</v>
      </c>
      <c r="BF667">
        <f ca="1">IF(ROW()&lt;($C$7+1),"",IFERROR((分析データ!D667-AVERAGE(OFFSET(分析データ!D$1,MAX(1,ROW()-$C$7),0,MIN($C$7,ROW()-1),1)))/STDEV(OFFSET(分析データ!D$1,MAX(1,ROW()-$C$7),0,MIN($C$7,ROW()-1),1)),0))</f>
        <v>-1.660423799212849</v>
      </c>
      <c r="BG667">
        <f t="shared" ca="1" si="288"/>
        <v>0</v>
      </c>
      <c r="BH667" t="str">
        <f ca="1">IF(BG667=1,IF(INDEX(分析データ!$A:$A,ROW()+$C$5)&lt;&gt;"",50000*SIGN(BF667)*(分析データ!D667-INDEX(分析データ!D:D,ROW()+$C$5)),""),"")</f>
        <v/>
      </c>
      <c r="BI667">
        <f t="shared" ca="1" si="289"/>
        <v>195000.00000000582</v>
      </c>
      <c r="BJ667">
        <f t="shared" ca="1" si="290"/>
        <v>1695000.0000000016</v>
      </c>
      <c r="BK667">
        <f t="shared" ca="1" si="291"/>
        <v>-1499999.9999999958</v>
      </c>
      <c r="BL667">
        <f ca="1">IF(ROW()&lt;($C$7+1),"",IFERROR((分析データ!E667-AVERAGE(OFFSET(分析データ!E$1,MAX(1,ROW()-$C$7),0,MIN($C$7,ROW()-1),1)))/STDEV(OFFSET(分析データ!E$1,MAX(1,ROW()-$C$7),0,MIN($C$7,ROW()-1),1)),0))</f>
        <v>2.1067199788206783</v>
      </c>
      <c r="BM667">
        <f t="shared" ca="1" si="292"/>
        <v>1</v>
      </c>
      <c r="BN667">
        <f ca="1">IF(BM667=1,IF(INDEX(分析データ!$A:$A,ROW()+$C$5)&lt;&gt;"",40000*SIGN(BL667)*(分析データ!E667-INDEX(分析データ!E:E,ROW()+$C$5)),""),"")</f>
        <v>440000.0000000014</v>
      </c>
      <c r="BO667">
        <f t="shared" ca="1" si="293"/>
        <v>3920000.0000000037</v>
      </c>
      <c r="BP667">
        <f t="shared" ca="1" si="294"/>
        <v>3920000.0000000037</v>
      </c>
      <c r="BQ667">
        <f t="shared" ca="1" si="295"/>
        <v>0</v>
      </c>
      <c r="BR667">
        <f ca="1">IF(ROW()&lt;($C$7+1),"",IFERROR((分析データ!F667-AVERAGE(OFFSET(分析データ!F$1,MAX(1,ROW()-$C$7),0,MIN($C$7,ROW()-1),1)))/STDEV(OFFSET(分析データ!F$1,MAX(1,ROW()-$C$7),0,MIN($C$7,ROW()-1),1)),0))</f>
        <v>-0.9694577444120035</v>
      </c>
      <c r="BS667">
        <f t="shared" ca="1" si="296"/>
        <v>0</v>
      </c>
      <c r="BT667" t="str">
        <f ca="1">IF(BS667=1,IF(INDEX(分析データ!$A:$A,ROW()+$C$5)&lt;&gt;"",40000*SIGN(BR667)*(分析データ!F667-INDEX(分析データ!F:F,ROW()+$C$5)),""),"")</f>
        <v/>
      </c>
      <c r="BU667">
        <f t="shared" ca="1" si="297"/>
        <v>14917200.000000004</v>
      </c>
      <c r="BV667">
        <f t="shared" ca="1" si="298"/>
        <v>14917200.000000004</v>
      </c>
      <c r="BW667">
        <f t="shared" ca="1" si="299"/>
        <v>0</v>
      </c>
      <c r="BX667">
        <f ca="1">IF(ROW()&lt;($C$7+1),"",IFERROR((分析データ!G667-AVERAGE(OFFSET(分析データ!G$1,MAX(1,ROW()-$C$7),0,MIN($C$7,ROW()-1),1)))/STDEV(OFFSET(分析データ!G$1,MAX(1,ROW()-$C$7),0,MIN($C$7,ROW()-1),1)),0))</f>
        <v>1.6531341173335556</v>
      </c>
      <c r="BY667">
        <f t="shared" ca="1" si="300"/>
        <v>0</v>
      </c>
      <c r="BZ667" t="str">
        <f ca="1">IF(BY667=1,IF(INDEX(分析データ!$A:$A,ROW()+$C$5)&lt;&gt;"",40000*SIGN(BX667)*(分析データ!G667-INDEX(分析データ!G:G,ROW()+$C$5)),""),"")</f>
        <v/>
      </c>
      <c r="CA667">
        <f t="shared" ca="1" si="301"/>
        <v>-3515452.8662109179</v>
      </c>
      <c r="CB667">
        <f t="shared" ca="1" si="302"/>
        <v>11327520.000000004</v>
      </c>
      <c r="CC667">
        <f t="shared" ca="1" si="303"/>
        <v>-14842972.866210923</v>
      </c>
      <c r="CD667">
        <f t="shared" ca="1" si="304"/>
        <v>440000.0000000014</v>
      </c>
      <c r="CE667">
        <f t="shared" ca="1" si="305"/>
        <v>13591747.133789131</v>
      </c>
      <c r="CF667">
        <f t="shared" ca="1" si="306"/>
        <v>19067197.138671909</v>
      </c>
      <c r="CG667">
        <f t="shared" ca="1" si="307"/>
        <v>-5475450.0048827771</v>
      </c>
      <c r="CH667" s="10">
        <f>分析データ!A667</f>
        <v>45898</v>
      </c>
    </row>
    <row r="668" spans="46:86">
      <c r="AT668">
        <f ca="1">IF(ROW()&lt;($C$7+1),"",IFERROR((分析データ!B668-AVERAGE(OFFSET(分析データ!B$1,MAX(1,ROW()-$C$7),0,MIN($C$7,ROW()-1),1)))/STDEV(OFFSET(分析データ!B$1,MAX(1,ROW()-$C$7),0,MIN($C$7,ROW()-1),1)),0))</f>
        <v>-0.37187024382626882</v>
      </c>
      <c r="AU668">
        <f t="shared" ca="1" si="280"/>
        <v>0</v>
      </c>
      <c r="AV668" t="str">
        <f ca="1">IF(AU668=1,IF(INDEX(分析データ!$A:$A,ROW()+$C$5)&lt;&gt;"",80000*SIGN(AT668)*(分析データ!B668-INDEX(分析データ!B:B,ROW()+$C$5)),""),"")</f>
        <v/>
      </c>
      <c r="AW668">
        <f t="shared" ca="1" si="281"/>
        <v>-4999999.9999999925</v>
      </c>
      <c r="AX668">
        <f t="shared" ca="1" si="282"/>
        <v>0</v>
      </c>
      <c r="AY668">
        <f t="shared" ca="1" si="283"/>
        <v>-4999999.9999999925</v>
      </c>
      <c r="AZ668">
        <f ca="1">IF(ROW()&lt;($C$7+1),"",IFERROR((分析データ!C668-AVERAGE(OFFSET(分析データ!C$1,MAX(1,ROW()-$C$7),0,MIN($C$7,ROW()-1),1)))/STDEV(OFFSET(分析データ!C$1,MAX(1,ROW()-$C$7),0,MIN($C$7,ROW()-1),1)),0))</f>
        <v>-1.0626462289814078</v>
      </c>
      <c r="BA668">
        <f t="shared" ca="1" si="284"/>
        <v>0</v>
      </c>
      <c r="BB668" t="str">
        <f ca="1">IF(BA668=1,IF(INDEX(分析データ!$A:$A,ROW()+$C$5)&lt;&gt;"",60000*SIGN(AZ668)*(分析データ!C668-INDEX(分析データ!C:C,ROW()+$C$5)),""),"")</f>
        <v/>
      </c>
      <c r="BC668">
        <f t="shared" ca="1" si="285"/>
        <v>3075000.0000000102</v>
      </c>
      <c r="BD668">
        <f t="shared" ca="1" si="286"/>
        <v>3075000.0000000102</v>
      </c>
      <c r="BE668">
        <f t="shared" ca="1" si="287"/>
        <v>0</v>
      </c>
      <c r="BF668">
        <f ca="1">IF(ROW()&lt;($C$7+1),"",IFERROR((分析データ!D668-AVERAGE(OFFSET(分析データ!D$1,MAX(1,ROW()-$C$7),0,MIN($C$7,ROW()-1),1)))/STDEV(OFFSET(分析データ!D$1,MAX(1,ROW()-$C$7),0,MIN($C$7,ROW()-1),1)),0))</f>
        <v>-1.4533533605459872</v>
      </c>
      <c r="BG668">
        <f t="shared" ca="1" si="288"/>
        <v>0</v>
      </c>
      <c r="BH668" t="str">
        <f ca="1">IF(BG668=1,IF(INDEX(分析データ!$A:$A,ROW()+$C$5)&lt;&gt;"",50000*SIGN(BF668)*(分析データ!D668-INDEX(分析データ!D:D,ROW()+$C$5)),""),"")</f>
        <v/>
      </c>
      <c r="BI668">
        <f t="shared" ca="1" si="289"/>
        <v>195000.00000000582</v>
      </c>
      <c r="BJ668">
        <f t="shared" ca="1" si="290"/>
        <v>1695000.0000000016</v>
      </c>
      <c r="BK668">
        <f t="shared" ca="1" si="291"/>
        <v>-1499999.9999999958</v>
      </c>
      <c r="BL668">
        <f ca="1">IF(ROW()&lt;($C$7+1),"",IFERROR((分析データ!E668-AVERAGE(OFFSET(分析データ!E$1,MAX(1,ROW()-$C$7),0,MIN($C$7,ROW()-1),1)))/STDEV(OFFSET(分析データ!E$1,MAX(1,ROW()-$C$7),0,MIN($C$7,ROW()-1),1)),0))</f>
        <v>2.0030184715358286</v>
      </c>
      <c r="BM668">
        <f t="shared" ca="1" si="292"/>
        <v>1</v>
      </c>
      <c r="BN668">
        <f ca="1">IF(BM668=1,IF(INDEX(分析データ!$A:$A,ROW()+$C$5)&lt;&gt;"",40000*SIGN(BL668)*(分析データ!E668-INDEX(分析データ!E:E,ROW()+$C$5)),""),"")</f>
        <v>359999.99999999942</v>
      </c>
      <c r="BO668">
        <f t="shared" ca="1" si="293"/>
        <v>4280000.0000000028</v>
      </c>
      <c r="BP668">
        <f t="shared" ca="1" si="294"/>
        <v>4280000.0000000028</v>
      </c>
      <c r="BQ668">
        <f t="shared" ca="1" si="295"/>
        <v>0</v>
      </c>
      <c r="BR668">
        <f ca="1">IF(ROW()&lt;($C$7+1),"",IFERROR((分析データ!F668-AVERAGE(OFFSET(分析データ!F$1,MAX(1,ROW()-$C$7),0,MIN($C$7,ROW()-1),1)))/STDEV(OFFSET(分析データ!F$1,MAX(1,ROW()-$C$7),0,MIN($C$7,ROW()-1),1)),0))</f>
        <v>-1.1257126724606994</v>
      </c>
      <c r="BS668">
        <f t="shared" ca="1" si="296"/>
        <v>0</v>
      </c>
      <c r="BT668" t="str">
        <f ca="1">IF(BS668=1,IF(INDEX(分析データ!$A:$A,ROW()+$C$5)&lt;&gt;"",40000*SIGN(BR668)*(分析データ!F668-INDEX(分析データ!F:F,ROW()+$C$5)),""),"")</f>
        <v/>
      </c>
      <c r="BU668">
        <f t="shared" ca="1" si="297"/>
        <v>14917200.000000004</v>
      </c>
      <c r="BV668">
        <f t="shared" ca="1" si="298"/>
        <v>14917200.000000004</v>
      </c>
      <c r="BW668">
        <f t="shared" ca="1" si="299"/>
        <v>0</v>
      </c>
      <c r="BX668">
        <f ca="1">IF(ROW()&lt;($C$7+1),"",IFERROR((分析データ!G668-AVERAGE(OFFSET(分析データ!G$1,MAX(1,ROW()-$C$7),0,MIN($C$7,ROW()-1),1)))/STDEV(OFFSET(分析データ!G$1,MAX(1,ROW()-$C$7),0,MIN($C$7,ROW()-1),1)),0))</f>
        <v>1.7149084711326255</v>
      </c>
      <c r="BY668">
        <f t="shared" ca="1" si="300"/>
        <v>0</v>
      </c>
      <c r="BZ668" t="str">
        <f ca="1">IF(BY668=1,IF(INDEX(分析データ!$A:$A,ROW()+$C$5)&lt;&gt;"",40000*SIGN(BX668)*(分析データ!G668-INDEX(分析データ!G:G,ROW()+$C$5)),""),"")</f>
        <v/>
      </c>
      <c r="CA668">
        <f t="shared" ca="1" si="301"/>
        <v>-3515452.8662109179</v>
      </c>
      <c r="CB668">
        <f t="shared" ca="1" si="302"/>
        <v>11327520.000000004</v>
      </c>
      <c r="CC668">
        <f t="shared" ca="1" si="303"/>
        <v>-14842972.866210923</v>
      </c>
      <c r="CD668">
        <f t="shared" ca="1" si="304"/>
        <v>359999.99999999942</v>
      </c>
      <c r="CE668">
        <f t="shared" ca="1" si="305"/>
        <v>13951747.133789131</v>
      </c>
      <c r="CF668">
        <f t="shared" ca="1" si="306"/>
        <v>19067197.138671909</v>
      </c>
      <c r="CG668">
        <f t="shared" ca="1" si="307"/>
        <v>-5115450.0048827771</v>
      </c>
      <c r="CH668" s="10">
        <f>分析データ!A668</f>
        <v>45902</v>
      </c>
    </row>
    <row r="669" spans="46:86">
      <c r="AT669">
        <f ca="1">IF(ROW()&lt;($C$7+1),"",IFERROR((分析データ!B669-AVERAGE(OFFSET(分析データ!B$1,MAX(1,ROW()-$C$7),0,MIN($C$7,ROW()-1),1)))/STDEV(OFFSET(分析データ!B$1,MAX(1,ROW()-$C$7),0,MIN($C$7,ROW()-1),1)),0))</f>
        <v>-0.38380828194204752</v>
      </c>
      <c r="AU669">
        <f t="shared" ca="1" si="280"/>
        <v>0</v>
      </c>
      <c r="AV669" t="str">
        <f ca="1">IF(AU669=1,IF(INDEX(分析データ!$A:$A,ROW()+$C$5)&lt;&gt;"",80000*SIGN(AT669)*(分析データ!B669-INDEX(分析データ!B:B,ROW()+$C$5)),""),"")</f>
        <v/>
      </c>
      <c r="AW669">
        <f t="shared" ca="1" si="281"/>
        <v>-4999999.9999999925</v>
      </c>
      <c r="AX669">
        <f t="shared" ca="1" si="282"/>
        <v>0</v>
      </c>
      <c r="AY669">
        <f t="shared" ca="1" si="283"/>
        <v>-4999999.9999999925</v>
      </c>
      <c r="AZ669">
        <f ca="1">IF(ROW()&lt;($C$7+1),"",IFERROR((分析データ!C669-AVERAGE(OFFSET(分析データ!C$1,MAX(1,ROW()-$C$7),0,MIN($C$7,ROW()-1),1)))/STDEV(OFFSET(分析データ!C$1,MAX(1,ROW()-$C$7),0,MIN($C$7,ROW()-1),1)),0))</f>
        <v>-1.0782897489236545</v>
      </c>
      <c r="BA669">
        <f t="shared" ca="1" si="284"/>
        <v>0</v>
      </c>
      <c r="BB669" t="str">
        <f ca="1">IF(BA669=1,IF(INDEX(分析データ!$A:$A,ROW()+$C$5)&lt;&gt;"",60000*SIGN(AZ669)*(分析データ!C669-INDEX(分析データ!C:C,ROW()+$C$5)),""),"")</f>
        <v/>
      </c>
      <c r="BC669">
        <f t="shared" ca="1" si="285"/>
        <v>3075000.0000000102</v>
      </c>
      <c r="BD669">
        <f t="shared" ca="1" si="286"/>
        <v>3075000.0000000102</v>
      </c>
      <c r="BE669">
        <f t="shared" ca="1" si="287"/>
        <v>0</v>
      </c>
      <c r="BF669">
        <f ca="1">IF(ROW()&lt;($C$7+1),"",IFERROR((分析データ!D669-AVERAGE(OFFSET(分析データ!D$1,MAX(1,ROW()-$C$7),0,MIN($C$7,ROW()-1),1)))/STDEV(OFFSET(分析データ!D$1,MAX(1,ROW()-$C$7),0,MIN($C$7,ROW()-1),1)),0))</f>
        <v>-1.796710880763406</v>
      </c>
      <c r="BG669">
        <f t="shared" ca="1" si="288"/>
        <v>0</v>
      </c>
      <c r="BH669" t="str">
        <f ca="1">IF(BG669=1,IF(INDEX(分析データ!$A:$A,ROW()+$C$5)&lt;&gt;"",50000*SIGN(BF669)*(分析データ!D669-INDEX(分析データ!D:D,ROW()+$C$5)),""),"")</f>
        <v/>
      </c>
      <c r="BI669">
        <f t="shared" ca="1" si="289"/>
        <v>195000.00000000582</v>
      </c>
      <c r="BJ669">
        <f t="shared" ca="1" si="290"/>
        <v>1695000.0000000016</v>
      </c>
      <c r="BK669">
        <f t="shared" ca="1" si="291"/>
        <v>-1499999.9999999958</v>
      </c>
      <c r="BL669">
        <f ca="1">IF(ROW()&lt;($C$7+1),"",IFERROR((分析データ!E669-AVERAGE(OFFSET(分析データ!E$1,MAX(1,ROW()-$C$7),0,MIN($C$7,ROW()-1),1)))/STDEV(OFFSET(分析データ!E$1,MAX(1,ROW()-$C$7),0,MIN($C$7,ROW()-1),1)),0))</f>
        <v>1.9018906059260798</v>
      </c>
      <c r="BM669">
        <f t="shared" ca="1" si="292"/>
        <v>0</v>
      </c>
      <c r="BN669" t="str">
        <f ca="1">IF(BM669=1,IF(INDEX(分析データ!$A:$A,ROW()+$C$5)&lt;&gt;"",40000*SIGN(BL669)*(分析データ!E669-INDEX(分析データ!E:E,ROW()+$C$5)),""),"")</f>
        <v/>
      </c>
      <c r="BO669">
        <f t="shared" ca="1" si="293"/>
        <v>4280000.0000000028</v>
      </c>
      <c r="BP669">
        <f t="shared" ca="1" si="294"/>
        <v>4280000.0000000028</v>
      </c>
      <c r="BQ669">
        <f t="shared" ca="1" si="295"/>
        <v>0</v>
      </c>
      <c r="BR669">
        <f ca="1">IF(ROW()&lt;($C$7+1),"",IFERROR((分析データ!F669-AVERAGE(OFFSET(分析データ!F$1,MAX(1,ROW()-$C$7),0,MIN($C$7,ROW()-1),1)))/STDEV(OFFSET(分析データ!F$1,MAX(1,ROW()-$C$7),0,MIN($C$7,ROW()-1),1)),0))</f>
        <v>-0.98400427047057171</v>
      </c>
      <c r="BS669">
        <f t="shared" ca="1" si="296"/>
        <v>0</v>
      </c>
      <c r="BT669" t="str">
        <f ca="1">IF(BS669=1,IF(INDEX(分析データ!$A:$A,ROW()+$C$5)&lt;&gt;"",40000*SIGN(BR669)*(分析データ!F669-INDEX(分析データ!F:F,ROW()+$C$5)),""),"")</f>
        <v/>
      </c>
      <c r="BU669">
        <f t="shared" ca="1" si="297"/>
        <v>14917200.000000004</v>
      </c>
      <c r="BV669">
        <f t="shared" ca="1" si="298"/>
        <v>14917200.000000004</v>
      </c>
      <c r="BW669">
        <f t="shared" ca="1" si="299"/>
        <v>0</v>
      </c>
      <c r="BX669">
        <f ca="1">IF(ROW()&lt;($C$7+1),"",IFERROR((分析データ!G669-AVERAGE(OFFSET(分析データ!G$1,MAX(1,ROW()-$C$7),0,MIN($C$7,ROW()-1),1)))/STDEV(OFFSET(分析データ!G$1,MAX(1,ROW()-$C$7),0,MIN($C$7,ROW()-1),1)),0))</f>
        <v>1.7391279013635799</v>
      </c>
      <c r="BY669">
        <f t="shared" ca="1" si="300"/>
        <v>0</v>
      </c>
      <c r="BZ669" t="str">
        <f ca="1">IF(BY669=1,IF(INDEX(分析データ!$A:$A,ROW()+$C$5)&lt;&gt;"",40000*SIGN(BX669)*(分析データ!G669-INDEX(分析データ!G:G,ROW()+$C$5)),""),"")</f>
        <v/>
      </c>
      <c r="CA669">
        <f t="shared" ca="1" si="301"/>
        <v>-3515452.8662109179</v>
      </c>
      <c r="CB669">
        <f t="shared" ca="1" si="302"/>
        <v>11327520.000000004</v>
      </c>
      <c r="CC669">
        <f t="shared" ca="1" si="303"/>
        <v>-14842972.866210923</v>
      </c>
      <c r="CD669">
        <f t="shared" ca="1" si="304"/>
        <v>0</v>
      </c>
      <c r="CE669">
        <f t="shared" ca="1" si="305"/>
        <v>13951747.133789131</v>
      </c>
      <c r="CF669">
        <f t="shared" ca="1" si="306"/>
        <v>19067197.138671909</v>
      </c>
      <c r="CG669">
        <f t="shared" ca="1" si="307"/>
        <v>-5115450.0048827771</v>
      </c>
      <c r="CH669" s="10">
        <f>分析データ!A669</f>
        <v>45903</v>
      </c>
    </row>
    <row r="670" spans="46:86">
      <c r="AT670">
        <f ca="1">IF(ROW()&lt;($C$7+1),"",IFERROR((分析データ!B670-AVERAGE(OFFSET(分析データ!B$1,MAX(1,ROW()-$C$7),0,MIN($C$7,ROW()-1),1)))/STDEV(OFFSET(分析データ!B$1,MAX(1,ROW()-$C$7),0,MIN($C$7,ROW()-1),1)),0))</f>
        <v>-0.77738788152764471</v>
      </c>
      <c r="AU670">
        <f t="shared" ca="1" si="280"/>
        <v>0</v>
      </c>
      <c r="AV670" t="str">
        <f ca="1">IF(AU670=1,IF(INDEX(分析データ!$A:$A,ROW()+$C$5)&lt;&gt;"",80000*SIGN(AT670)*(分析データ!B670-INDEX(分析データ!B:B,ROW()+$C$5)),""),"")</f>
        <v/>
      </c>
      <c r="AW670">
        <f t="shared" ca="1" si="281"/>
        <v>-4999999.9999999925</v>
      </c>
      <c r="AX670">
        <f t="shared" ca="1" si="282"/>
        <v>0</v>
      </c>
      <c r="AY670">
        <f t="shared" ca="1" si="283"/>
        <v>-4999999.9999999925</v>
      </c>
      <c r="AZ670">
        <f ca="1">IF(ROW()&lt;($C$7+1),"",IFERROR((分析データ!C670-AVERAGE(OFFSET(分析データ!C$1,MAX(1,ROW()-$C$7),0,MIN($C$7,ROW()-1),1)))/STDEV(OFFSET(分析データ!C$1,MAX(1,ROW()-$C$7),0,MIN($C$7,ROW()-1),1)),0))</f>
        <v>-1.2561909356087133</v>
      </c>
      <c r="BA670">
        <f t="shared" ca="1" si="284"/>
        <v>0</v>
      </c>
      <c r="BB670" t="str">
        <f ca="1">IF(BA670=1,IF(INDEX(分析データ!$A:$A,ROW()+$C$5)&lt;&gt;"",60000*SIGN(AZ670)*(分析データ!C670-INDEX(分析データ!C:C,ROW()+$C$5)),""),"")</f>
        <v/>
      </c>
      <c r="BC670">
        <f t="shared" ca="1" si="285"/>
        <v>3075000.0000000102</v>
      </c>
      <c r="BD670">
        <f t="shared" ca="1" si="286"/>
        <v>3075000.0000000102</v>
      </c>
      <c r="BE670">
        <f t="shared" ca="1" si="287"/>
        <v>0</v>
      </c>
      <c r="BF670">
        <f ca="1">IF(ROW()&lt;($C$7+1),"",IFERROR((分析データ!D670-AVERAGE(OFFSET(分析データ!D$1,MAX(1,ROW()-$C$7),0,MIN($C$7,ROW()-1),1)))/STDEV(OFFSET(分析データ!D$1,MAX(1,ROW()-$C$7),0,MIN($C$7,ROW()-1),1)),0))</f>
        <v>-1.8747887770583884</v>
      </c>
      <c r="BG670">
        <f t="shared" ca="1" si="288"/>
        <v>0</v>
      </c>
      <c r="BH670" t="str">
        <f ca="1">IF(BG670=1,IF(INDEX(分析データ!$A:$A,ROW()+$C$5)&lt;&gt;"",50000*SIGN(BF670)*(分析データ!D670-INDEX(分析データ!D:D,ROW()+$C$5)),""),"")</f>
        <v/>
      </c>
      <c r="BI670">
        <f t="shared" ca="1" si="289"/>
        <v>195000.00000000582</v>
      </c>
      <c r="BJ670">
        <f t="shared" ca="1" si="290"/>
        <v>1695000.0000000016</v>
      </c>
      <c r="BK670">
        <f t="shared" ca="1" si="291"/>
        <v>-1499999.9999999958</v>
      </c>
      <c r="BL670">
        <f ca="1">IF(ROW()&lt;($C$7+1),"",IFERROR((分析データ!E670-AVERAGE(OFFSET(分析データ!E$1,MAX(1,ROW()-$C$7),0,MIN($C$7,ROW()-1),1)))/STDEV(OFFSET(分析データ!E$1,MAX(1,ROW()-$C$7),0,MIN($C$7,ROW()-1),1)),0))</f>
        <v>1.8036691991685068</v>
      </c>
      <c r="BM670">
        <f t="shared" ca="1" si="292"/>
        <v>0</v>
      </c>
      <c r="BN670" t="str">
        <f ca="1">IF(BM670=1,IF(INDEX(分析データ!$A:$A,ROW()+$C$5)&lt;&gt;"",40000*SIGN(BL670)*(分析データ!E670-INDEX(分析データ!E:E,ROW()+$C$5)),""),"")</f>
        <v/>
      </c>
      <c r="BO670">
        <f t="shared" ca="1" si="293"/>
        <v>4280000.0000000028</v>
      </c>
      <c r="BP670">
        <f t="shared" ca="1" si="294"/>
        <v>4280000.0000000028</v>
      </c>
      <c r="BQ670">
        <f t="shared" ca="1" si="295"/>
        <v>0</v>
      </c>
      <c r="BR670">
        <f ca="1">IF(ROW()&lt;($C$7+1),"",IFERROR((分析データ!F670-AVERAGE(OFFSET(分析データ!F$1,MAX(1,ROW()-$C$7),0,MIN($C$7,ROW()-1),1)))/STDEV(OFFSET(分析データ!F$1,MAX(1,ROW()-$C$7),0,MIN($C$7,ROW()-1),1)),0))</f>
        <v>-0.89017336323273388</v>
      </c>
      <c r="BS670">
        <f t="shared" ca="1" si="296"/>
        <v>0</v>
      </c>
      <c r="BT670" t="str">
        <f ca="1">IF(BS670=1,IF(INDEX(分析データ!$A:$A,ROW()+$C$5)&lt;&gt;"",40000*SIGN(BR670)*(分析データ!F670-INDEX(分析データ!F:F,ROW()+$C$5)),""),"")</f>
        <v/>
      </c>
      <c r="BU670">
        <f t="shared" ca="1" si="297"/>
        <v>14917200.000000004</v>
      </c>
      <c r="BV670">
        <f t="shared" ca="1" si="298"/>
        <v>14917200.000000004</v>
      </c>
      <c r="BW670">
        <f t="shared" ca="1" si="299"/>
        <v>0</v>
      </c>
      <c r="BX670">
        <f ca="1">IF(ROW()&lt;($C$7+1),"",IFERROR((分析データ!G670-AVERAGE(OFFSET(分析データ!G$1,MAX(1,ROW()-$C$7),0,MIN($C$7,ROW()-1),1)))/STDEV(OFFSET(分析データ!G$1,MAX(1,ROW()-$C$7),0,MIN($C$7,ROW()-1),1)),0))</f>
        <v>1.8583723070419031</v>
      </c>
      <c r="BY670">
        <f t="shared" ca="1" si="300"/>
        <v>0</v>
      </c>
      <c r="BZ670" t="str">
        <f ca="1">IF(BY670=1,IF(INDEX(分析データ!$A:$A,ROW()+$C$5)&lt;&gt;"",40000*SIGN(BX670)*(分析データ!G670-INDEX(分析データ!G:G,ROW()+$C$5)),""),"")</f>
        <v/>
      </c>
      <c r="CA670">
        <f t="shared" ca="1" si="301"/>
        <v>-3515452.8662109179</v>
      </c>
      <c r="CB670">
        <f t="shared" ca="1" si="302"/>
        <v>11327520.000000004</v>
      </c>
      <c r="CC670">
        <f t="shared" ca="1" si="303"/>
        <v>-14842972.866210923</v>
      </c>
      <c r="CD670">
        <f t="shared" ca="1" si="304"/>
        <v>0</v>
      </c>
      <c r="CE670">
        <f t="shared" ca="1" si="305"/>
        <v>13951747.133789131</v>
      </c>
      <c r="CF670">
        <f t="shared" ca="1" si="306"/>
        <v>19067197.138671909</v>
      </c>
      <c r="CG670">
        <f t="shared" ca="1" si="307"/>
        <v>-5115450.0048827771</v>
      </c>
      <c r="CH670" s="10">
        <f>分析データ!A670</f>
        <v>45904</v>
      </c>
    </row>
    <row r="671" spans="46:86">
      <c r="AT671">
        <f ca="1">IF(ROW()&lt;($C$7+1),"",IFERROR((分析データ!B671-AVERAGE(OFFSET(分析データ!B$1,MAX(1,ROW()-$C$7),0,MIN($C$7,ROW()-1),1)))/STDEV(OFFSET(分析データ!B$1,MAX(1,ROW()-$C$7),0,MIN($C$7,ROW()-1),1)),0))</f>
        <v>-0.600536062468635</v>
      </c>
      <c r="AU671">
        <f t="shared" ca="1" si="280"/>
        <v>0</v>
      </c>
      <c r="AV671" t="str">
        <f ca="1">IF(AU671=1,IF(INDEX(分析データ!$A:$A,ROW()+$C$5)&lt;&gt;"",80000*SIGN(AT671)*(分析データ!B671-INDEX(分析データ!B:B,ROW()+$C$5)),""),"")</f>
        <v/>
      </c>
      <c r="AW671">
        <f t="shared" ca="1" si="281"/>
        <v>-4999999.9999999925</v>
      </c>
      <c r="AX671">
        <f t="shared" ca="1" si="282"/>
        <v>0</v>
      </c>
      <c r="AY671">
        <f t="shared" ca="1" si="283"/>
        <v>-4999999.9999999925</v>
      </c>
      <c r="AZ671">
        <f ca="1">IF(ROW()&lt;($C$7+1),"",IFERROR((分析データ!C671-AVERAGE(OFFSET(分析データ!C$1,MAX(1,ROW()-$C$7),0,MIN($C$7,ROW()-1),1)))/STDEV(OFFSET(分析データ!C$1,MAX(1,ROW()-$C$7),0,MIN($C$7,ROW()-1),1)),0))</f>
        <v>-1.3211749651469387</v>
      </c>
      <c r="BA671">
        <f t="shared" ca="1" si="284"/>
        <v>0</v>
      </c>
      <c r="BB671" t="str">
        <f ca="1">IF(BA671=1,IF(INDEX(分析データ!$A:$A,ROW()+$C$5)&lt;&gt;"",60000*SIGN(AZ671)*(分析データ!C671-INDEX(分析データ!C:C,ROW()+$C$5)),""),"")</f>
        <v/>
      </c>
      <c r="BC671">
        <f t="shared" ca="1" si="285"/>
        <v>3075000.0000000102</v>
      </c>
      <c r="BD671">
        <f t="shared" ca="1" si="286"/>
        <v>3075000.0000000102</v>
      </c>
      <c r="BE671">
        <f t="shared" ca="1" si="287"/>
        <v>0</v>
      </c>
      <c r="BF671">
        <f ca="1">IF(ROW()&lt;($C$7+1),"",IFERROR((分析データ!D671-AVERAGE(OFFSET(分析データ!D$1,MAX(1,ROW()-$C$7),0,MIN($C$7,ROW()-1),1)))/STDEV(OFFSET(分析データ!D$1,MAX(1,ROW()-$C$7),0,MIN($C$7,ROW()-1),1)),0))</f>
        <v>-2.0240197263764328</v>
      </c>
      <c r="BG671">
        <f t="shared" ca="1" si="288"/>
        <v>1</v>
      </c>
      <c r="BH671">
        <f ca="1">IF(BG671=1,IF(INDEX(分析データ!$A:$A,ROW()+$C$5)&lt;&gt;"",50000*SIGN(BF671)*(分析データ!D671-INDEX(分析データ!D:D,ROW()+$C$5)),""),"")</f>
        <v>-125000.00000000143</v>
      </c>
      <c r="BI671">
        <f t="shared" ca="1" si="289"/>
        <v>70000.000000004395</v>
      </c>
      <c r="BJ671">
        <f t="shared" ca="1" si="290"/>
        <v>1695000.0000000016</v>
      </c>
      <c r="BK671">
        <f t="shared" ca="1" si="291"/>
        <v>-1624999.9999999972</v>
      </c>
      <c r="BL671">
        <f ca="1">IF(ROW()&lt;($C$7+1),"",IFERROR((分析データ!E671-AVERAGE(OFFSET(分析データ!E$1,MAX(1,ROW()-$C$7),0,MIN($C$7,ROW()-1),1)))/STDEV(OFFSET(分析データ!E$1,MAX(1,ROW()-$C$7),0,MIN($C$7,ROW()-1),1)),0))</f>
        <v>1.7080528035272413</v>
      </c>
      <c r="BM671">
        <f t="shared" ca="1" si="292"/>
        <v>0</v>
      </c>
      <c r="BN671" t="str">
        <f ca="1">IF(BM671=1,IF(INDEX(分析データ!$A:$A,ROW()+$C$5)&lt;&gt;"",40000*SIGN(BL671)*(分析データ!E671-INDEX(分析データ!E:E,ROW()+$C$5)),""),"")</f>
        <v/>
      </c>
      <c r="BO671">
        <f t="shared" ca="1" si="293"/>
        <v>4280000.0000000028</v>
      </c>
      <c r="BP671">
        <f t="shared" ca="1" si="294"/>
        <v>4280000.0000000028</v>
      </c>
      <c r="BQ671">
        <f t="shared" ca="1" si="295"/>
        <v>0</v>
      </c>
      <c r="BR671">
        <f ca="1">IF(ROW()&lt;($C$7+1),"",IFERROR((分析データ!F671-AVERAGE(OFFSET(分析データ!F$1,MAX(1,ROW()-$C$7),0,MIN($C$7,ROW()-1),1)))/STDEV(OFFSET(分析データ!F$1,MAX(1,ROW()-$C$7),0,MIN($C$7,ROW()-1),1)),0))</f>
        <v>-0.67372716795270926</v>
      </c>
      <c r="BS671">
        <f t="shared" ca="1" si="296"/>
        <v>0</v>
      </c>
      <c r="BT671" t="str">
        <f ca="1">IF(BS671=1,IF(INDEX(分析データ!$A:$A,ROW()+$C$5)&lt;&gt;"",40000*SIGN(BR671)*(分析データ!F671-INDEX(分析データ!F:F,ROW()+$C$5)),""),"")</f>
        <v/>
      </c>
      <c r="BU671">
        <f t="shared" ca="1" si="297"/>
        <v>14917200.000000004</v>
      </c>
      <c r="BV671">
        <f t="shared" ca="1" si="298"/>
        <v>14917200.000000004</v>
      </c>
      <c r="BW671">
        <f t="shared" ca="1" si="299"/>
        <v>0</v>
      </c>
      <c r="BX671">
        <f ca="1">IF(ROW()&lt;($C$7+1),"",IFERROR((分析データ!G671-AVERAGE(OFFSET(分析データ!G$1,MAX(1,ROW()-$C$7),0,MIN($C$7,ROW()-1),1)))/STDEV(OFFSET(分析データ!G$1,MAX(1,ROW()-$C$7),0,MIN($C$7,ROW()-1),1)),0))</f>
        <v>1.7308153282388854</v>
      </c>
      <c r="BY671">
        <f t="shared" ca="1" si="300"/>
        <v>0</v>
      </c>
      <c r="BZ671" t="str">
        <f ca="1">IF(BY671=1,IF(INDEX(分析データ!$A:$A,ROW()+$C$5)&lt;&gt;"",40000*SIGN(BX671)*(分析データ!G671-INDEX(分析データ!G:G,ROW()+$C$5)),""),"")</f>
        <v/>
      </c>
      <c r="CA671">
        <f t="shared" ca="1" si="301"/>
        <v>-3515452.8662109179</v>
      </c>
      <c r="CB671">
        <f t="shared" ca="1" si="302"/>
        <v>11327520.000000004</v>
      </c>
      <c r="CC671">
        <f t="shared" ca="1" si="303"/>
        <v>-14842972.866210923</v>
      </c>
      <c r="CD671">
        <f t="shared" ca="1" si="304"/>
        <v>-125000.00000000143</v>
      </c>
      <c r="CE671">
        <f t="shared" ca="1" si="305"/>
        <v>13826747.13378913</v>
      </c>
      <c r="CF671">
        <f t="shared" ca="1" si="306"/>
        <v>19067197.138671909</v>
      </c>
      <c r="CG671">
        <f t="shared" ca="1" si="307"/>
        <v>-5240450.004882779</v>
      </c>
      <c r="CH671" s="10">
        <f>分析データ!A671</f>
        <v>45905</v>
      </c>
    </row>
    <row r="672" spans="46:86">
      <c r="AT672">
        <f ca="1">IF(ROW()&lt;($C$7+1),"",IFERROR((分析データ!B672-AVERAGE(OFFSET(分析データ!B$1,MAX(1,ROW()-$C$7),0,MIN($C$7,ROW()-1),1)))/STDEV(OFFSET(分析データ!B$1,MAX(1,ROW()-$C$7),0,MIN($C$7,ROW()-1),1)),0))</f>
        <v>-0.52194961522685346</v>
      </c>
      <c r="AU672">
        <f t="shared" ca="1" si="280"/>
        <v>0</v>
      </c>
      <c r="AV672" t="str">
        <f ca="1">IF(AU672=1,IF(INDEX(分析データ!$A:$A,ROW()+$C$5)&lt;&gt;"",80000*SIGN(AT672)*(分析データ!B672-INDEX(分析データ!B:B,ROW()+$C$5)),""),"")</f>
        <v/>
      </c>
      <c r="AW672">
        <f t="shared" ca="1" si="281"/>
        <v>-4999999.9999999925</v>
      </c>
      <c r="AX672">
        <f t="shared" ca="1" si="282"/>
        <v>0</v>
      </c>
      <c r="AY672">
        <f t="shared" ca="1" si="283"/>
        <v>-4999999.9999999925</v>
      </c>
      <c r="AZ672">
        <f ca="1">IF(ROW()&lt;($C$7+1),"",IFERROR((分析データ!C672-AVERAGE(OFFSET(分析データ!C$1,MAX(1,ROW()-$C$7),0,MIN($C$7,ROW()-1),1)))/STDEV(OFFSET(分析データ!C$1,MAX(1,ROW()-$C$7),0,MIN($C$7,ROW()-1),1)),0))</f>
        <v>-1.5804157747656919</v>
      </c>
      <c r="BA672">
        <f t="shared" ca="1" si="284"/>
        <v>0</v>
      </c>
      <c r="BB672" t="str">
        <f ca="1">IF(BA672=1,IF(INDEX(分析データ!$A:$A,ROW()+$C$5)&lt;&gt;"",60000*SIGN(AZ672)*(分析データ!C672-INDEX(分析データ!C:C,ROW()+$C$5)),""),"")</f>
        <v/>
      </c>
      <c r="BC672">
        <f t="shared" ca="1" si="285"/>
        <v>3075000.0000000102</v>
      </c>
      <c r="BD672">
        <f t="shared" ca="1" si="286"/>
        <v>3075000.0000000102</v>
      </c>
      <c r="BE672">
        <f t="shared" ca="1" si="287"/>
        <v>0</v>
      </c>
      <c r="BF672">
        <f ca="1">IF(ROW()&lt;($C$7+1),"",IFERROR((分析データ!D672-AVERAGE(OFFSET(分析データ!D$1,MAX(1,ROW()-$C$7),0,MIN($C$7,ROW()-1),1)))/STDEV(OFFSET(分析データ!D$1,MAX(1,ROW()-$C$7),0,MIN($C$7,ROW()-1),1)),0))</f>
        <v>-2.1815754697510301</v>
      </c>
      <c r="BG672">
        <f t="shared" ca="1" si="288"/>
        <v>1</v>
      </c>
      <c r="BH672">
        <f ca="1">IF(BG672=1,IF(INDEX(分析データ!$A:$A,ROW()+$C$5)&lt;&gt;"",50000*SIGN(BF672)*(分析データ!D672-INDEX(分析データ!D:D,ROW()+$C$5)),""),"")</f>
        <v>85000.000000003696</v>
      </c>
      <c r="BI672">
        <f t="shared" ca="1" si="289"/>
        <v>155000.00000000809</v>
      </c>
      <c r="BJ672">
        <f t="shared" ca="1" si="290"/>
        <v>1695000.0000000016</v>
      </c>
      <c r="BK672">
        <f t="shared" ca="1" si="291"/>
        <v>-1539999.9999999935</v>
      </c>
      <c r="BL672">
        <f ca="1">IF(ROW()&lt;($C$7+1),"",IFERROR((分析データ!E672-AVERAGE(OFFSET(分析データ!E$1,MAX(1,ROW()-$C$7),0,MIN($C$7,ROW()-1),1)))/STDEV(OFFSET(分析データ!E$1,MAX(1,ROW()-$C$7),0,MIN($C$7,ROW()-1),1)),0))</f>
        <v>1.4629132749989855</v>
      </c>
      <c r="BM672">
        <f t="shared" ca="1" si="292"/>
        <v>0</v>
      </c>
      <c r="BN672" t="str">
        <f ca="1">IF(BM672=1,IF(INDEX(分析データ!$A:$A,ROW()+$C$5)&lt;&gt;"",40000*SIGN(BL672)*(分析データ!E672-INDEX(分析データ!E:E,ROW()+$C$5)),""),"")</f>
        <v/>
      </c>
      <c r="BO672">
        <f t="shared" ca="1" si="293"/>
        <v>4280000.0000000028</v>
      </c>
      <c r="BP672">
        <f t="shared" ca="1" si="294"/>
        <v>4280000.0000000028</v>
      </c>
      <c r="BQ672">
        <f t="shared" ca="1" si="295"/>
        <v>0</v>
      </c>
      <c r="BR672">
        <f ca="1">IF(ROW()&lt;($C$7+1),"",IFERROR((分析データ!F672-AVERAGE(OFFSET(分析データ!F$1,MAX(1,ROW()-$C$7),0,MIN($C$7,ROW()-1),1)))/STDEV(OFFSET(分析データ!F$1,MAX(1,ROW()-$C$7),0,MIN($C$7,ROW()-1),1)),0))</f>
        <v>-0.762270185129717</v>
      </c>
      <c r="BS672">
        <f t="shared" ca="1" si="296"/>
        <v>0</v>
      </c>
      <c r="BT672" t="str">
        <f ca="1">IF(BS672=1,IF(INDEX(分析データ!$A:$A,ROW()+$C$5)&lt;&gt;"",40000*SIGN(BR672)*(分析データ!F672-INDEX(分析データ!F:F,ROW()+$C$5)),""),"")</f>
        <v/>
      </c>
      <c r="BU672">
        <f t="shared" ca="1" si="297"/>
        <v>14917200.000000004</v>
      </c>
      <c r="BV672">
        <f t="shared" ca="1" si="298"/>
        <v>14917200.000000004</v>
      </c>
      <c r="BW672">
        <f t="shared" ca="1" si="299"/>
        <v>0</v>
      </c>
      <c r="BX672">
        <f ca="1">IF(ROW()&lt;($C$7+1),"",IFERROR((分析データ!G672-AVERAGE(OFFSET(分析データ!G$1,MAX(1,ROW()-$C$7),0,MIN($C$7,ROW()-1),1)))/STDEV(OFFSET(分析データ!G$1,MAX(1,ROW()-$C$7),0,MIN($C$7,ROW()-1),1)),0))</f>
        <v>1.8889536678595569</v>
      </c>
      <c r="BY672">
        <f t="shared" ca="1" si="300"/>
        <v>0</v>
      </c>
      <c r="BZ672" t="str">
        <f ca="1">IF(BY672=1,IF(INDEX(分析データ!$A:$A,ROW()+$C$5)&lt;&gt;"",40000*SIGN(BX672)*(分析データ!G672-INDEX(分析データ!G:G,ROW()+$C$5)),""),"")</f>
        <v/>
      </c>
      <c r="CA672">
        <f t="shared" ca="1" si="301"/>
        <v>-3515452.8662109179</v>
      </c>
      <c r="CB672">
        <f t="shared" ca="1" si="302"/>
        <v>11327520.000000004</v>
      </c>
      <c r="CC672">
        <f t="shared" ca="1" si="303"/>
        <v>-14842972.866210923</v>
      </c>
      <c r="CD672">
        <f t="shared" ca="1" si="304"/>
        <v>85000.000000003696</v>
      </c>
      <c r="CE672">
        <f t="shared" ca="1" si="305"/>
        <v>13911747.133789133</v>
      </c>
      <c r="CF672">
        <f t="shared" ca="1" si="306"/>
        <v>19067197.138671909</v>
      </c>
      <c r="CG672">
        <f t="shared" ca="1" si="307"/>
        <v>-5155450.0048827752</v>
      </c>
      <c r="CH672" s="10">
        <f>分析データ!A672</f>
        <v>45908</v>
      </c>
    </row>
    <row r="673" spans="46:86">
      <c r="AT673">
        <f ca="1">IF(ROW()&lt;($C$7+1),"",IFERROR((分析データ!B673-AVERAGE(OFFSET(分析データ!B$1,MAX(1,ROW()-$C$7),0,MIN($C$7,ROW()-1),1)))/STDEV(OFFSET(分析データ!B$1,MAX(1,ROW()-$C$7),0,MIN($C$7,ROW()-1),1)),0))</f>
        <v>-0.73460201392520807</v>
      </c>
      <c r="AU673">
        <f t="shared" ca="1" si="280"/>
        <v>0</v>
      </c>
      <c r="AV673" t="str">
        <f ca="1">IF(AU673=1,IF(INDEX(分析データ!$A:$A,ROW()+$C$5)&lt;&gt;"",80000*SIGN(AT673)*(分析データ!B673-INDEX(分析データ!B:B,ROW()+$C$5)),""),"")</f>
        <v/>
      </c>
      <c r="AW673">
        <f t="shared" ca="1" si="281"/>
        <v>-4999999.9999999925</v>
      </c>
      <c r="AX673">
        <f t="shared" ca="1" si="282"/>
        <v>0</v>
      </c>
      <c r="AY673">
        <f t="shared" ca="1" si="283"/>
        <v>-4999999.9999999925</v>
      </c>
      <c r="AZ673">
        <f ca="1">IF(ROW()&lt;($C$7+1),"",IFERROR((分析データ!C673-AVERAGE(OFFSET(分析データ!C$1,MAX(1,ROW()-$C$7),0,MIN($C$7,ROW()-1),1)))/STDEV(OFFSET(分析データ!C$1,MAX(1,ROW()-$C$7),0,MIN($C$7,ROW()-1),1)),0))</f>
        <v>-1.5887389897668802</v>
      </c>
      <c r="BA673">
        <f t="shared" ca="1" si="284"/>
        <v>0</v>
      </c>
      <c r="BB673" t="str">
        <f ca="1">IF(BA673=1,IF(INDEX(分析データ!$A:$A,ROW()+$C$5)&lt;&gt;"",60000*SIGN(AZ673)*(分析データ!C673-INDEX(分析データ!C:C,ROW()+$C$5)),""),"")</f>
        <v/>
      </c>
      <c r="BC673">
        <f t="shared" ca="1" si="285"/>
        <v>3075000.0000000102</v>
      </c>
      <c r="BD673">
        <f t="shared" ca="1" si="286"/>
        <v>3075000.0000000102</v>
      </c>
      <c r="BE673">
        <f t="shared" ca="1" si="287"/>
        <v>0</v>
      </c>
      <c r="BF673">
        <f ca="1">IF(ROW()&lt;($C$7+1),"",IFERROR((分析データ!D673-AVERAGE(OFFSET(分析データ!D$1,MAX(1,ROW()-$C$7),0,MIN($C$7,ROW()-1),1)))/STDEV(OFFSET(分析データ!D$1,MAX(1,ROW()-$C$7),0,MIN($C$7,ROW()-1),1)),0))</f>
        <v>-2.0181676337598189</v>
      </c>
      <c r="BG673">
        <f t="shared" ca="1" si="288"/>
        <v>1</v>
      </c>
      <c r="BH673">
        <f ca="1">IF(BG673=1,IF(INDEX(分析データ!$A:$A,ROW()+$C$5)&lt;&gt;"",50000*SIGN(BF673)*(分析データ!D673-INDEX(分析データ!D:D,ROW()+$C$5)),""),"")</f>
        <v>-245000.00000000029</v>
      </c>
      <c r="BI673">
        <f t="shared" ca="1" si="289"/>
        <v>-89999.9999999922</v>
      </c>
      <c r="BJ673">
        <f t="shared" ca="1" si="290"/>
        <v>1695000.0000000016</v>
      </c>
      <c r="BK673">
        <f t="shared" ca="1" si="291"/>
        <v>-1784999.9999999939</v>
      </c>
      <c r="BL673">
        <f ca="1">IF(ROW()&lt;($C$7+1),"",IFERROR((分析データ!E673-AVERAGE(OFFSET(分析データ!E$1,MAX(1,ROW()-$C$7),0,MIN($C$7,ROW()-1),1)))/STDEV(OFFSET(分析データ!E$1,MAX(1,ROW()-$C$7),0,MIN($C$7,ROW()-1),1)),0))</f>
        <v>1.3738216222722348</v>
      </c>
      <c r="BM673">
        <f t="shared" ca="1" si="292"/>
        <v>0</v>
      </c>
      <c r="BN673" t="str">
        <f ca="1">IF(BM673=1,IF(INDEX(分析データ!$A:$A,ROW()+$C$5)&lt;&gt;"",40000*SIGN(BL673)*(分析データ!E673-INDEX(分析データ!E:E,ROW()+$C$5)),""),"")</f>
        <v/>
      </c>
      <c r="BO673">
        <f t="shared" ca="1" si="293"/>
        <v>4280000.0000000028</v>
      </c>
      <c r="BP673">
        <f t="shared" ca="1" si="294"/>
        <v>4280000.0000000028</v>
      </c>
      <c r="BQ673">
        <f t="shared" ca="1" si="295"/>
        <v>0</v>
      </c>
      <c r="BR673">
        <f ca="1">IF(ROW()&lt;($C$7+1),"",IFERROR((分析データ!F673-AVERAGE(OFFSET(分析データ!F$1,MAX(1,ROW()-$C$7),0,MIN($C$7,ROW()-1),1)))/STDEV(OFFSET(分析データ!F$1,MAX(1,ROW()-$C$7),0,MIN($C$7,ROW()-1),1)),0))</f>
        <v>-0.89512248347645074</v>
      </c>
      <c r="BS673">
        <f t="shared" ca="1" si="296"/>
        <v>0</v>
      </c>
      <c r="BT673" t="str">
        <f ca="1">IF(BS673=1,IF(INDEX(分析データ!$A:$A,ROW()+$C$5)&lt;&gt;"",40000*SIGN(BR673)*(分析データ!F673-INDEX(分析データ!F:F,ROW()+$C$5)),""),"")</f>
        <v/>
      </c>
      <c r="BU673">
        <f t="shared" ca="1" si="297"/>
        <v>14917200.000000004</v>
      </c>
      <c r="BV673">
        <f t="shared" ca="1" si="298"/>
        <v>14917200.000000004</v>
      </c>
      <c r="BW673">
        <f t="shared" ca="1" si="299"/>
        <v>0</v>
      </c>
      <c r="BX673">
        <f ca="1">IF(ROW()&lt;($C$7+1),"",IFERROR((分析データ!G673-AVERAGE(OFFSET(分析データ!G$1,MAX(1,ROW()-$C$7),0,MIN($C$7,ROW()-1),1)))/STDEV(OFFSET(分析データ!G$1,MAX(1,ROW()-$C$7),0,MIN($C$7,ROW()-1),1)),0))</f>
        <v>1.9498429056863085</v>
      </c>
      <c r="BY673">
        <f t="shared" ca="1" si="300"/>
        <v>0</v>
      </c>
      <c r="BZ673" t="str">
        <f ca="1">IF(BY673=1,IF(INDEX(分析データ!$A:$A,ROW()+$C$5)&lt;&gt;"",40000*SIGN(BX673)*(分析データ!G673-INDEX(分析データ!G:G,ROW()+$C$5)),""),"")</f>
        <v/>
      </c>
      <c r="CA673">
        <f t="shared" ca="1" si="301"/>
        <v>-3515452.8662109179</v>
      </c>
      <c r="CB673">
        <f t="shared" ca="1" si="302"/>
        <v>11327520.000000004</v>
      </c>
      <c r="CC673">
        <f t="shared" ca="1" si="303"/>
        <v>-14842972.866210923</v>
      </c>
      <c r="CD673">
        <f t="shared" ca="1" si="304"/>
        <v>-245000.00000000029</v>
      </c>
      <c r="CE673">
        <f t="shared" ca="1" si="305"/>
        <v>13666747.133789133</v>
      </c>
      <c r="CF673">
        <f t="shared" ca="1" si="306"/>
        <v>19067197.138671909</v>
      </c>
      <c r="CG673">
        <f t="shared" ca="1" si="307"/>
        <v>-5400450.0048827752</v>
      </c>
      <c r="CH673" s="10">
        <f>分析データ!A673</f>
        <v>45909</v>
      </c>
    </row>
    <row r="674" spans="46:86">
      <c r="AT674">
        <f ca="1">IF(ROW()&lt;($C$7+1),"",IFERROR((分析データ!B674-AVERAGE(OFFSET(分析データ!B$1,MAX(1,ROW()-$C$7),0,MIN($C$7,ROW()-1),1)))/STDEV(OFFSET(分析データ!B$1,MAX(1,ROW()-$C$7),0,MIN($C$7,ROW()-1),1)),0))</f>
        <v>-1.2559933144926723</v>
      </c>
      <c r="AU674">
        <f t="shared" ca="1" si="280"/>
        <v>0</v>
      </c>
      <c r="AV674" t="str">
        <f ca="1">IF(AU674=1,IF(INDEX(分析データ!$A:$A,ROW()+$C$5)&lt;&gt;"",80000*SIGN(AT674)*(分析データ!B674-INDEX(分析データ!B:B,ROW()+$C$5)),""),"")</f>
        <v/>
      </c>
      <c r="AW674">
        <f t="shared" ca="1" si="281"/>
        <v>-4999999.9999999925</v>
      </c>
      <c r="AX674">
        <f t="shared" ca="1" si="282"/>
        <v>0</v>
      </c>
      <c r="AY674">
        <f t="shared" ca="1" si="283"/>
        <v>-4999999.9999999925</v>
      </c>
      <c r="AZ674">
        <f ca="1">IF(ROW()&lt;($C$7+1),"",IFERROR((分析データ!C674-AVERAGE(OFFSET(分析データ!C$1,MAX(1,ROW()-$C$7),0,MIN($C$7,ROW()-1),1)))/STDEV(OFFSET(分析データ!C$1,MAX(1,ROW()-$C$7),0,MIN($C$7,ROW()-1),1)),0))</f>
        <v>-1.4386392994354749</v>
      </c>
      <c r="BA674">
        <f t="shared" ca="1" si="284"/>
        <v>0</v>
      </c>
      <c r="BB674" t="str">
        <f ca="1">IF(BA674=1,IF(INDEX(分析データ!$A:$A,ROW()+$C$5)&lt;&gt;"",60000*SIGN(AZ674)*(分析データ!C674-INDEX(分析データ!C:C,ROW()+$C$5)),""),"")</f>
        <v/>
      </c>
      <c r="BC674">
        <f t="shared" ca="1" si="285"/>
        <v>3075000.0000000102</v>
      </c>
      <c r="BD674">
        <f t="shared" ca="1" si="286"/>
        <v>3075000.0000000102</v>
      </c>
      <c r="BE674">
        <f t="shared" ca="1" si="287"/>
        <v>0</v>
      </c>
      <c r="BF674">
        <f ca="1">IF(ROW()&lt;($C$7+1),"",IFERROR((分析データ!D674-AVERAGE(OFFSET(分析データ!D$1,MAX(1,ROW()-$C$7),0,MIN($C$7,ROW()-1),1)))/STDEV(OFFSET(分析データ!D$1,MAX(1,ROW()-$C$7),0,MIN($C$7,ROW()-1),1)),0))</f>
        <v>-2.1712276305252658</v>
      </c>
      <c r="BG674">
        <f t="shared" ca="1" si="288"/>
        <v>1</v>
      </c>
      <c r="BH674">
        <f ca="1">IF(BG674=1,IF(INDEX(分析データ!$A:$A,ROW()+$C$5)&lt;&gt;"",50000*SIGN(BF674)*(分析データ!D674-INDEX(分析データ!D:D,ROW()+$C$5)),""),"")</f>
        <v>250000</v>
      </c>
      <c r="BI674">
        <f t="shared" ca="1" si="289"/>
        <v>160000.0000000078</v>
      </c>
      <c r="BJ674">
        <f t="shared" ca="1" si="290"/>
        <v>1695000.0000000016</v>
      </c>
      <c r="BK674">
        <f t="shared" ca="1" si="291"/>
        <v>-1534999.9999999939</v>
      </c>
      <c r="BL674">
        <f ca="1">IF(ROW()&lt;($C$7+1),"",IFERROR((分析データ!E674-AVERAGE(OFFSET(分析データ!E$1,MAX(1,ROW()-$C$7),0,MIN($C$7,ROW()-1),1)))/STDEV(OFFSET(分析データ!E$1,MAX(1,ROW()-$C$7),0,MIN($C$7,ROW()-1),1)),0))</f>
        <v>1.2103083991596544</v>
      </c>
      <c r="BM674">
        <f t="shared" ca="1" si="292"/>
        <v>0</v>
      </c>
      <c r="BN674" t="str">
        <f ca="1">IF(BM674=1,IF(INDEX(分析データ!$A:$A,ROW()+$C$5)&lt;&gt;"",40000*SIGN(BL674)*(分析データ!E674-INDEX(分析データ!E:E,ROW()+$C$5)),""),"")</f>
        <v/>
      </c>
      <c r="BO674">
        <f t="shared" ca="1" si="293"/>
        <v>4280000.0000000028</v>
      </c>
      <c r="BP674">
        <f t="shared" ca="1" si="294"/>
        <v>4280000.0000000028</v>
      </c>
      <c r="BQ674">
        <f t="shared" ca="1" si="295"/>
        <v>0</v>
      </c>
      <c r="BR674">
        <f ca="1">IF(ROW()&lt;($C$7+1),"",IFERROR((分析データ!F674-AVERAGE(OFFSET(分析データ!F$1,MAX(1,ROW()-$C$7),0,MIN($C$7,ROW()-1),1)))/STDEV(OFFSET(分析データ!F$1,MAX(1,ROW()-$C$7),0,MIN($C$7,ROW()-1),1)),0))</f>
        <v>-0.69072277651975056</v>
      </c>
      <c r="BS674">
        <f t="shared" ca="1" si="296"/>
        <v>0</v>
      </c>
      <c r="BT674" t="str">
        <f ca="1">IF(BS674=1,IF(INDEX(分析データ!$A:$A,ROW()+$C$5)&lt;&gt;"",40000*SIGN(BR674)*(分析データ!F674-INDEX(分析データ!F:F,ROW()+$C$5)),""),"")</f>
        <v/>
      </c>
      <c r="BU674">
        <f t="shared" ca="1" si="297"/>
        <v>14917200.000000004</v>
      </c>
      <c r="BV674">
        <f t="shared" ca="1" si="298"/>
        <v>14917200.000000004</v>
      </c>
      <c r="BW674">
        <f t="shared" ca="1" si="299"/>
        <v>0</v>
      </c>
      <c r="BX674">
        <f ca="1">IF(ROW()&lt;($C$7+1),"",IFERROR((分析データ!G674-AVERAGE(OFFSET(分析データ!G$1,MAX(1,ROW()-$C$7),0,MIN($C$7,ROW()-1),1)))/STDEV(OFFSET(分析データ!G$1,MAX(1,ROW()-$C$7),0,MIN($C$7,ROW()-1),1)),0))</f>
        <v>1.8724717984117201</v>
      </c>
      <c r="BY674">
        <f t="shared" ca="1" si="300"/>
        <v>0</v>
      </c>
      <c r="BZ674" t="str">
        <f ca="1">IF(BY674=1,IF(INDEX(分析データ!$A:$A,ROW()+$C$5)&lt;&gt;"",40000*SIGN(BX674)*(分析データ!G674-INDEX(分析データ!G:G,ROW()+$C$5)),""),"")</f>
        <v/>
      </c>
      <c r="CA674">
        <f t="shared" ca="1" si="301"/>
        <v>-3515452.8662109179</v>
      </c>
      <c r="CB674">
        <f t="shared" ca="1" si="302"/>
        <v>11327520.000000004</v>
      </c>
      <c r="CC674">
        <f t="shared" ca="1" si="303"/>
        <v>-14842972.866210923</v>
      </c>
      <c r="CD674">
        <f t="shared" ca="1" si="304"/>
        <v>250000</v>
      </c>
      <c r="CE674">
        <f t="shared" ca="1" si="305"/>
        <v>13916747.133789133</v>
      </c>
      <c r="CF674">
        <f t="shared" ca="1" si="306"/>
        <v>19067197.138671909</v>
      </c>
      <c r="CG674">
        <f t="shared" ca="1" si="307"/>
        <v>-5150450.0048827752</v>
      </c>
      <c r="CH674" s="10">
        <f>分析データ!A674</f>
        <v>45910</v>
      </c>
    </row>
    <row r="675" spans="46:86">
      <c r="AT675">
        <f ca="1">IF(ROW()&lt;($C$7+1),"",IFERROR((分析データ!B675-AVERAGE(OFFSET(分析データ!B$1,MAX(1,ROW()-$C$7),0,MIN($C$7,ROW()-1),1)))/STDEV(OFFSET(分析データ!B$1,MAX(1,ROW()-$C$7),0,MIN($C$7,ROW()-1),1)),0))</f>
        <v>-1.269045027785487</v>
      </c>
      <c r="AU675">
        <f t="shared" ca="1" si="280"/>
        <v>0</v>
      </c>
      <c r="AV675" t="str">
        <f ca="1">IF(AU675=1,IF(INDEX(分析データ!$A:$A,ROW()+$C$5)&lt;&gt;"",80000*SIGN(AT675)*(分析データ!B675-INDEX(分析データ!B:B,ROW()+$C$5)),""),"")</f>
        <v/>
      </c>
      <c r="AW675">
        <f t="shared" ca="1" si="281"/>
        <v>-4999999.9999999925</v>
      </c>
      <c r="AX675">
        <f t="shared" ca="1" si="282"/>
        <v>0</v>
      </c>
      <c r="AY675">
        <f t="shared" ca="1" si="283"/>
        <v>-4999999.9999999925</v>
      </c>
      <c r="AZ675">
        <f ca="1">IF(ROW()&lt;($C$7+1),"",IFERROR((分析データ!C675-AVERAGE(OFFSET(分析データ!C$1,MAX(1,ROW()-$C$7),0,MIN($C$7,ROW()-1),1)))/STDEV(OFFSET(分析データ!C$1,MAX(1,ROW()-$C$7),0,MIN($C$7,ROW()-1),1)),0))</f>
        <v>-1.2780291786783404</v>
      </c>
      <c r="BA675">
        <f t="shared" ca="1" si="284"/>
        <v>0</v>
      </c>
      <c r="BB675" t="str">
        <f ca="1">IF(BA675=1,IF(INDEX(分析データ!$A:$A,ROW()+$C$5)&lt;&gt;"",60000*SIGN(AZ675)*(分析データ!C675-INDEX(分析データ!C:C,ROW()+$C$5)),""),"")</f>
        <v/>
      </c>
      <c r="BC675">
        <f t="shared" ca="1" si="285"/>
        <v>3075000.0000000102</v>
      </c>
      <c r="BD675">
        <f t="shared" ca="1" si="286"/>
        <v>3075000.0000000102</v>
      </c>
      <c r="BE675">
        <f t="shared" ca="1" si="287"/>
        <v>0</v>
      </c>
      <c r="BF675">
        <f ca="1">IF(ROW()&lt;($C$7+1),"",IFERROR((分析データ!D675-AVERAGE(OFFSET(分析データ!D$1,MAX(1,ROW()-$C$7),0,MIN($C$7,ROW()-1),1)))/STDEV(OFFSET(分析データ!D$1,MAX(1,ROW()-$C$7),0,MIN($C$7,ROW()-1),1)),0))</f>
        <v>-2.2945095523799441</v>
      </c>
      <c r="BG675">
        <f t="shared" ca="1" si="288"/>
        <v>1</v>
      </c>
      <c r="BH675">
        <f ca="1">IF(BG675=1,IF(INDEX(分析データ!$A:$A,ROW()+$C$5)&lt;&gt;"",50000*SIGN(BF675)*(分析データ!D675-INDEX(分析データ!D:D,ROW()+$C$5)),""),"")</f>
        <v>525000.00000000279</v>
      </c>
      <c r="BI675">
        <f t="shared" ca="1" si="289"/>
        <v>685000.00000001059</v>
      </c>
      <c r="BJ675">
        <f t="shared" ca="1" si="290"/>
        <v>1695000.0000000016</v>
      </c>
      <c r="BK675">
        <f t="shared" ca="1" si="291"/>
        <v>-1009999.999999991</v>
      </c>
      <c r="BL675">
        <f ca="1">IF(ROW()&lt;($C$7+1),"",IFERROR((分析データ!E675-AVERAGE(OFFSET(分析データ!E$1,MAX(1,ROW()-$C$7),0,MIN($C$7,ROW()-1),1)))/STDEV(OFFSET(分析データ!E$1,MAX(1,ROW()-$C$7),0,MIN($C$7,ROW()-1),1)),0))</f>
        <v>0.973133530458277</v>
      </c>
      <c r="BM675">
        <f t="shared" ca="1" si="292"/>
        <v>0</v>
      </c>
      <c r="BN675" t="str">
        <f ca="1">IF(BM675=1,IF(INDEX(分析データ!$A:$A,ROW()+$C$5)&lt;&gt;"",40000*SIGN(BL675)*(分析データ!E675-INDEX(分析データ!E:E,ROW()+$C$5)),""),"")</f>
        <v/>
      </c>
      <c r="BO675">
        <f t="shared" ca="1" si="293"/>
        <v>4280000.0000000028</v>
      </c>
      <c r="BP675">
        <f t="shared" ca="1" si="294"/>
        <v>4280000.0000000028</v>
      </c>
      <c r="BQ675">
        <f t="shared" ca="1" si="295"/>
        <v>0</v>
      </c>
      <c r="BR675">
        <f ca="1">IF(ROW()&lt;($C$7+1),"",IFERROR((分析データ!F675-AVERAGE(OFFSET(分析データ!F$1,MAX(1,ROW()-$C$7),0,MIN($C$7,ROW()-1),1)))/STDEV(OFFSET(分析データ!F$1,MAX(1,ROW()-$C$7),0,MIN($C$7,ROW()-1),1)),0))</f>
        <v>-0.57869633227493456</v>
      </c>
      <c r="BS675">
        <f t="shared" ca="1" si="296"/>
        <v>0</v>
      </c>
      <c r="BT675" t="str">
        <f ca="1">IF(BS675=1,IF(INDEX(分析データ!$A:$A,ROW()+$C$5)&lt;&gt;"",40000*SIGN(BR675)*(分析データ!F675-INDEX(分析データ!F:F,ROW()+$C$5)),""),"")</f>
        <v/>
      </c>
      <c r="BU675">
        <f t="shared" ca="1" si="297"/>
        <v>14917200.000000004</v>
      </c>
      <c r="BV675">
        <f t="shared" ca="1" si="298"/>
        <v>14917200.000000004</v>
      </c>
      <c r="BW675">
        <f t="shared" ca="1" si="299"/>
        <v>0</v>
      </c>
      <c r="BX675">
        <f ca="1">IF(ROW()&lt;($C$7+1),"",IFERROR((分析データ!G675-AVERAGE(OFFSET(分析データ!G$1,MAX(1,ROW()-$C$7),0,MIN($C$7,ROW()-1),1)))/STDEV(OFFSET(分析データ!G$1,MAX(1,ROW()-$C$7),0,MIN($C$7,ROW()-1),1)),0))</f>
        <v>1.8967942264493824</v>
      </c>
      <c r="BY675">
        <f t="shared" ca="1" si="300"/>
        <v>0</v>
      </c>
      <c r="BZ675" t="str">
        <f ca="1">IF(BY675=1,IF(INDEX(分析データ!$A:$A,ROW()+$C$5)&lt;&gt;"",40000*SIGN(BX675)*(分析データ!G675-INDEX(分析データ!G:G,ROW()+$C$5)),""),"")</f>
        <v/>
      </c>
      <c r="CA675">
        <f t="shared" ca="1" si="301"/>
        <v>-3515452.8662109179</v>
      </c>
      <c r="CB675">
        <f t="shared" ca="1" si="302"/>
        <v>11327520.000000004</v>
      </c>
      <c r="CC675">
        <f t="shared" ca="1" si="303"/>
        <v>-14842972.866210923</v>
      </c>
      <c r="CD675">
        <f t="shared" ca="1" si="304"/>
        <v>525000.00000000279</v>
      </c>
      <c r="CE675">
        <f t="shared" ca="1" si="305"/>
        <v>14441747.133789137</v>
      </c>
      <c r="CF675">
        <f t="shared" ca="1" si="306"/>
        <v>19067197.138671909</v>
      </c>
      <c r="CG675">
        <f t="shared" ca="1" si="307"/>
        <v>-4625450.0048827715</v>
      </c>
      <c r="CH675" s="10">
        <f>分析データ!A675</f>
        <v>45911</v>
      </c>
    </row>
    <row r="676" spans="46:86">
      <c r="AT676">
        <f ca="1">IF(ROW()&lt;($C$7+1),"",IFERROR((分析データ!B676-AVERAGE(OFFSET(分析データ!B$1,MAX(1,ROW()-$C$7),0,MIN($C$7,ROW()-1),1)))/STDEV(OFFSET(分析データ!B$1,MAX(1,ROW()-$C$7),0,MIN($C$7,ROW()-1),1)),0))</f>
        <v>-0.98157095320112309</v>
      </c>
      <c r="AU676">
        <f t="shared" ca="1" si="280"/>
        <v>0</v>
      </c>
      <c r="AV676" t="str">
        <f ca="1">IF(AU676=1,IF(INDEX(分析データ!$A:$A,ROW()+$C$5)&lt;&gt;"",80000*SIGN(AT676)*(分析データ!B676-INDEX(分析データ!B:B,ROW()+$C$5)),""),"")</f>
        <v/>
      </c>
      <c r="AW676">
        <f t="shared" ca="1" si="281"/>
        <v>-4999999.9999999925</v>
      </c>
      <c r="AX676">
        <f t="shared" ca="1" si="282"/>
        <v>0</v>
      </c>
      <c r="AY676">
        <f t="shared" ca="1" si="283"/>
        <v>-4999999.9999999925</v>
      </c>
      <c r="AZ676">
        <f ca="1">IF(ROW()&lt;($C$7+1),"",IFERROR((分析データ!C676-AVERAGE(OFFSET(分析データ!C$1,MAX(1,ROW()-$C$7),0,MIN($C$7,ROW()-1),1)))/STDEV(OFFSET(分析データ!C$1,MAX(1,ROW()-$C$7),0,MIN($C$7,ROW()-1),1)),0))</f>
        <v>-0.98874373292387785</v>
      </c>
      <c r="BA676">
        <f t="shared" ca="1" si="284"/>
        <v>0</v>
      </c>
      <c r="BB676" t="str">
        <f ca="1">IF(BA676=1,IF(INDEX(分析データ!$A:$A,ROW()+$C$5)&lt;&gt;"",60000*SIGN(AZ676)*(分析データ!C676-INDEX(分析データ!C:C,ROW()+$C$5)),""),"")</f>
        <v/>
      </c>
      <c r="BC676">
        <f t="shared" ca="1" si="285"/>
        <v>3075000.0000000102</v>
      </c>
      <c r="BD676">
        <f t="shared" ca="1" si="286"/>
        <v>3075000.0000000102</v>
      </c>
      <c r="BE676">
        <f t="shared" ca="1" si="287"/>
        <v>0</v>
      </c>
      <c r="BF676">
        <f ca="1">IF(ROW()&lt;($C$7+1),"",IFERROR((分析データ!D676-AVERAGE(OFFSET(分析データ!D$1,MAX(1,ROW()-$C$7),0,MIN($C$7,ROW()-1),1)))/STDEV(OFFSET(分析データ!D$1,MAX(1,ROW()-$C$7),0,MIN($C$7,ROW()-1),1)),0))</f>
        <v>-2.1528933063087958</v>
      </c>
      <c r="BG676">
        <f t="shared" ca="1" si="288"/>
        <v>1</v>
      </c>
      <c r="BH676">
        <f ca="1">IF(BG676=1,IF(INDEX(分析データ!$A:$A,ROW()+$C$5)&lt;&gt;"",50000*SIGN(BF676)*(分析データ!D676-INDEX(分析データ!D:D,ROW()+$C$5)),""),"")</f>
        <v>420000.00000000314</v>
      </c>
      <c r="BI676">
        <f t="shared" ca="1" si="289"/>
        <v>1105000.0000000137</v>
      </c>
      <c r="BJ676">
        <f t="shared" ca="1" si="290"/>
        <v>1695000.0000000016</v>
      </c>
      <c r="BK676">
        <f t="shared" ca="1" si="291"/>
        <v>-589999.99999998789</v>
      </c>
      <c r="BL676">
        <f ca="1">IF(ROW()&lt;($C$7+1),"",IFERROR((分析データ!E676-AVERAGE(OFFSET(分析データ!E$1,MAX(1,ROW()-$C$7),0,MIN($C$7,ROW()-1),1)))/STDEV(OFFSET(分析データ!E$1,MAX(1,ROW()-$C$7),0,MIN($C$7,ROW()-1),1)),0))</f>
        <v>1.0415398986590154</v>
      </c>
      <c r="BM676">
        <f t="shared" ca="1" si="292"/>
        <v>0</v>
      </c>
      <c r="BN676" t="str">
        <f ca="1">IF(BM676=1,IF(INDEX(分析データ!$A:$A,ROW()+$C$5)&lt;&gt;"",40000*SIGN(BL676)*(分析データ!E676-INDEX(分析データ!E:E,ROW()+$C$5)),""),"")</f>
        <v/>
      </c>
      <c r="BO676">
        <f t="shared" ca="1" si="293"/>
        <v>4280000.0000000028</v>
      </c>
      <c r="BP676">
        <f t="shared" ca="1" si="294"/>
        <v>4280000.0000000028</v>
      </c>
      <c r="BQ676">
        <f t="shared" ca="1" si="295"/>
        <v>0</v>
      </c>
      <c r="BR676">
        <f ca="1">IF(ROW()&lt;($C$7+1),"",IFERROR((分析データ!F676-AVERAGE(OFFSET(分析データ!F$1,MAX(1,ROW()-$C$7),0,MIN($C$7,ROW()-1),1)))/STDEV(OFFSET(分析データ!F$1,MAX(1,ROW()-$C$7),0,MIN($C$7,ROW()-1),1)),0))</f>
        <v>-0.72470204788236103</v>
      </c>
      <c r="BS676">
        <f t="shared" ca="1" si="296"/>
        <v>0</v>
      </c>
      <c r="BT676" t="str">
        <f ca="1">IF(BS676=1,IF(INDEX(分析データ!$A:$A,ROW()+$C$5)&lt;&gt;"",40000*SIGN(BR676)*(分析データ!F676-INDEX(分析データ!F:F,ROW()+$C$5)),""),"")</f>
        <v/>
      </c>
      <c r="BU676">
        <f t="shared" ca="1" si="297"/>
        <v>14917200.000000004</v>
      </c>
      <c r="BV676">
        <f t="shared" ca="1" si="298"/>
        <v>14917200.000000004</v>
      </c>
      <c r="BW676">
        <f t="shared" ca="1" si="299"/>
        <v>0</v>
      </c>
      <c r="BX676">
        <f ca="1">IF(ROW()&lt;($C$7+1),"",IFERROR((分析データ!G676-AVERAGE(OFFSET(分析データ!G$1,MAX(1,ROW()-$C$7),0,MIN($C$7,ROW()-1),1)))/STDEV(OFFSET(分析データ!G$1,MAX(1,ROW()-$C$7),0,MIN($C$7,ROW()-1),1)),0))</f>
        <v>1.819695341391705</v>
      </c>
      <c r="BY676">
        <f t="shared" ca="1" si="300"/>
        <v>0</v>
      </c>
      <c r="BZ676" t="str">
        <f ca="1">IF(BY676=1,IF(INDEX(分析データ!$A:$A,ROW()+$C$5)&lt;&gt;"",40000*SIGN(BX676)*(分析データ!G676-INDEX(分析データ!G:G,ROW()+$C$5)),""),"")</f>
        <v/>
      </c>
      <c r="CA676">
        <f t="shared" ca="1" si="301"/>
        <v>-3515452.8662109179</v>
      </c>
      <c r="CB676">
        <f t="shared" ca="1" si="302"/>
        <v>11327520.000000004</v>
      </c>
      <c r="CC676">
        <f t="shared" ca="1" si="303"/>
        <v>-14842972.866210923</v>
      </c>
      <c r="CD676">
        <f t="shared" ca="1" si="304"/>
        <v>420000.00000000314</v>
      </c>
      <c r="CE676">
        <f t="shared" ca="1" si="305"/>
        <v>14861747.133789141</v>
      </c>
      <c r="CF676">
        <f t="shared" ca="1" si="306"/>
        <v>19067197.138671909</v>
      </c>
      <c r="CG676">
        <f t="shared" ca="1" si="307"/>
        <v>-4205450.0048827678</v>
      </c>
      <c r="CH676" s="10">
        <f>分析データ!A676</f>
        <v>45912</v>
      </c>
    </row>
    <row r="677" spans="46:86">
      <c r="AT677">
        <f ca="1">IF(ROW()&lt;($C$7+1),"",IFERROR((分析データ!B677-AVERAGE(OFFSET(分析データ!B$1,MAX(1,ROW()-$C$7),0,MIN($C$7,ROW()-1),1)))/STDEV(OFFSET(分析データ!B$1,MAX(1,ROW()-$C$7),0,MIN($C$7,ROW()-1),1)),0))</f>
        <v>-0.79051213735409787</v>
      </c>
      <c r="AU677">
        <f t="shared" ca="1" si="280"/>
        <v>0</v>
      </c>
      <c r="AV677" t="str">
        <f ca="1">IF(AU677=1,IF(INDEX(分析データ!$A:$A,ROW()+$C$5)&lt;&gt;"",80000*SIGN(AT677)*(分析データ!B677-INDEX(分析データ!B:B,ROW()+$C$5)),""),"")</f>
        <v/>
      </c>
      <c r="AW677">
        <f t="shared" ca="1" si="281"/>
        <v>-4999999.9999999925</v>
      </c>
      <c r="AX677">
        <f t="shared" ca="1" si="282"/>
        <v>0</v>
      </c>
      <c r="AY677">
        <f t="shared" ca="1" si="283"/>
        <v>-4999999.9999999925</v>
      </c>
      <c r="AZ677">
        <f ca="1">IF(ROW()&lt;($C$7+1),"",IFERROR((分析データ!C677-AVERAGE(OFFSET(分析データ!C$1,MAX(1,ROW()-$C$7),0,MIN($C$7,ROW()-1),1)))/STDEV(OFFSET(分析データ!C$1,MAX(1,ROW()-$C$7),0,MIN($C$7,ROW()-1),1)),0))</f>
        <v>-0.98353627465346738</v>
      </c>
      <c r="BA677">
        <f t="shared" ca="1" si="284"/>
        <v>0</v>
      </c>
      <c r="BB677" t="str">
        <f ca="1">IF(BA677=1,IF(INDEX(分析データ!$A:$A,ROW()+$C$5)&lt;&gt;"",60000*SIGN(AZ677)*(分析データ!C677-INDEX(分析データ!C:C,ROW()+$C$5)),""),"")</f>
        <v/>
      </c>
      <c r="BC677">
        <f t="shared" ca="1" si="285"/>
        <v>3075000.0000000102</v>
      </c>
      <c r="BD677">
        <f t="shared" ca="1" si="286"/>
        <v>3075000.0000000102</v>
      </c>
      <c r="BE677">
        <f t="shared" ca="1" si="287"/>
        <v>0</v>
      </c>
      <c r="BF677">
        <f ca="1">IF(ROW()&lt;($C$7+1),"",IFERROR((分析データ!D677-AVERAGE(OFFSET(分析データ!D$1,MAX(1,ROW()-$C$7),0,MIN($C$7,ROW()-1),1)))/STDEV(OFFSET(分析データ!D$1,MAX(1,ROW()-$C$7),0,MIN($C$7,ROW()-1),1)),0))</f>
        <v>-2.1713489659759193</v>
      </c>
      <c r="BG677">
        <f t="shared" ca="1" si="288"/>
        <v>1</v>
      </c>
      <c r="BH677">
        <f ca="1">IF(BG677=1,IF(INDEX(分析データ!$A:$A,ROW()+$C$5)&lt;&gt;"",50000*SIGN(BF677)*(分析データ!D677-INDEX(分析データ!D:D,ROW()+$C$5)),""),"")</f>
        <v>280000.00000000256</v>
      </c>
      <c r="BI677">
        <f t="shared" ca="1" si="289"/>
        <v>1385000.0000000163</v>
      </c>
      <c r="BJ677">
        <f t="shared" ca="1" si="290"/>
        <v>1695000.0000000016</v>
      </c>
      <c r="BK677">
        <f t="shared" ca="1" si="291"/>
        <v>-309999.99999998533</v>
      </c>
      <c r="BL677">
        <f ca="1">IF(ROW()&lt;($C$7+1),"",IFERROR((分析データ!E677-AVERAGE(OFFSET(分析データ!E$1,MAX(1,ROW()-$C$7),0,MIN($C$7,ROW()-1),1)))/STDEV(OFFSET(分析データ!E$1,MAX(1,ROW()-$C$7),0,MIN($C$7,ROW()-1),1)),0))</f>
        <v>1.1092446628060741</v>
      </c>
      <c r="BM677">
        <f t="shared" ca="1" si="292"/>
        <v>0</v>
      </c>
      <c r="BN677" t="str">
        <f ca="1">IF(BM677=1,IF(INDEX(分析データ!$A:$A,ROW()+$C$5)&lt;&gt;"",40000*SIGN(BL677)*(分析データ!E677-INDEX(分析データ!E:E,ROW()+$C$5)),""),"")</f>
        <v/>
      </c>
      <c r="BO677">
        <f t="shared" ca="1" si="293"/>
        <v>4280000.0000000028</v>
      </c>
      <c r="BP677">
        <f t="shared" ca="1" si="294"/>
        <v>4280000.0000000028</v>
      </c>
      <c r="BQ677">
        <f t="shared" ca="1" si="295"/>
        <v>0</v>
      </c>
      <c r="BR677">
        <f ca="1">IF(ROW()&lt;($C$7+1),"",IFERROR((分析データ!F677-AVERAGE(OFFSET(分析データ!F$1,MAX(1,ROW()-$C$7),0,MIN($C$7,ROW()-1),1)))/STDEV(OFFSET(分析データ!F$1,MAX(1,ROW()-$C$7),0,MIN($C$7,ROW()-1),1)),0))</f>
        <v>-0.5165901242938209</v>
      </c>
      <c r="BS677">
        <f t="shared" ca="1" si="296"/>
        <v>0</v>
      </c>
      <c r="BT677" t="str">
        <f ca="1">IF(BS677=1,IF(INDEX(分析データ!$A:$A,ROW()+$C$5)&lt;&gt;"",40000*SIGN(BR677)*(分析データ!F677-INDEX(分析データ!F:F,ROW()+$C$5)),""),"")</f>
        <v/>
      </c>
      <c r="BU677">
        <f t="shared" ca="1" si="297"/>
        <v>14917200.000000004</v>
      </c>
      <c r="BV677">
        <f t="shared" ca="1" si="298"/>
        <v>14917200.000000004</v>
      </c>
      <c r="BW677">
        <f t="shared" ca="1" si="299"/>
        <v>0</v>
      </c>
      <c r="BX677">
        <f ca="1">IF(ROW()&lt;($C$7+1),"",IFERROR((分析データ!G677-AVERAGE(OFFSET(分析データ!G$1,MAX(1,ROW()-$C$7),0,MIN($C$7,ROW()-1),1)))/STDEV(OFFSET(分析データ!G$1,MAX(1,ROW()-$C$7),0,MIN($C$7,ROW()-1),1)),0))</f>
        <v>1.6904357889751471</v>
      </c>
      <c r="BY677">
        <f t="shared" ca="1" si="300"/>
        <v>0</v>
      </c>
      <c r="BZ677" t="str">
        <f ca="1">IF(BY677=1,IF(INDEX(分析データ!$A:$A,ROW()+$C$5)&lt;&gt;"",40000*SIGN(BX677)*(分析データ!G677-INDEX(分析データ!G:G,ROW()+$C$5)),""),"")</f>
        <v/>
      </c>
      <c r="CA677">
        <f t="shared" ca="1" si="301"/>
        <v>-3515452.8662109179</v>
      </c>
      <c r="CB677">
        <f t="shared" ca="1" si="302"/>
        <v>11327520.000000004</v>
      </c>
      <c r="CC677">
        <f t="shared" ca="1" si="303"/>
        <v>-14842972.866210923</v>
      </c>
      <c r="CD677">
        <f t="shared" ca="1" si="304"/>
        <v>280000.00000000256</v>
      </c>
      <c r="CE677">
        <f t="shared" ca="1" si="305"/>
        <v>15141747.133789143</v>
      </c>
      <c r="CF677">
        <f t="shared" ca="1" si="306"/>
        <v>19067197.138671909</v>
      </c>
      <c r="CG677">
        <f t="shared" ca="1" si="307"/>
        <v>-3925450.0048827659</v>
      </c>
      <c r="CH677" s="10">
        <f>分析データ!A677</f>
        <v>45915</v>
      </c>
    </row>
    <row r="678" spans="46:86">
      <c r="AT678">
        <f ca="1">IF(ROW()&lt;($C$7+1),"",IFERROR((分析データ!B678-AVERAGE(OFFSET(分析データ!B$1,MAX(1,ROW()-$C$7),0,MIN($C$7,ROW()-1),1)))/STDEV(OFFSET(分析データ!B$1,MAX(1,ROW()-$C$7),0,MIN($C$7,ROW()-1),1)),0))</f>
        <v>-0.59874814363531004</v>
      </c>
      <c r="AU678">
        <f t="shared" ca="1" si="280"/>
        <v>0</v>
      </c>
      <c r="AV678" t="str">
        <f ca="1">IF(AU678=1,IF(INDEX(分析データ!$A:$A,ROW()+$C$5)&lt;&gt;"",80000*SIGN(AT678)*(分析データ!B678-INDEX(分析データ!B:B,ROW()+$C$5)),""),"")</f>
        <v/>
      </c>
      <c r="AW678">
        <f t="shared" ca="1" si="281"/>
        <v>-4999999.9999999925</v>
      </c>
      <c r="AX678">
        <f t="shared" ca="1" si="282"/>
        <v>0</v>
      </c>
      <c r="AY678">
        <f t="shared" ca="1" si="283"/>
        <v>-4999999.9999999925</v>
      </c>
      <c r="AZ678">
        <f ca="1">IF(ROW()&lt;($C$7+1),"",IFERROR((分析データ!C678-AVERAGE(OFFSET(分析データ!C$1,MAX(1,ROW()-$C$7),0,MIN($C$7,ROW()-1),1)))/STDEV(OFFSET(分析データ!C$1,MAX(1,ROW()-$C$7),0,MIN($C$7,ROW()-1),1)),0))</f>
        <v>-1.1237439494855324</v>
      </c>
      <c r="BA678">
        <f t="shared" ca="1" si="284"/>
        <v>0</v>
      </c>
      <c r="BB678" t="str">
        <f ca="1">IF(BA678=1,IF(INDEX(分析データ!$A:$A,ROW()+$C$5)&lt;&gt;"",60000*SIGN(AZ678)*(分析データ!C678-INDEX(分析データ!C:C,ROW()+$C$5)),""),"")</f>
        <v/>
      </c>
      <c r="BC678">
        <f t="shared" ca="1" si="285"/>
        <v>3075000.0000000102</v>
      </c>
      <c r="BD678">
        <f t="shared" ca="1" si="286"/>
        <v>3075000.0000000102</v>
      </c>
      <c r="BE678">
        <f t="shared" ca="1" si="287"/>
        <v>0</v>
      </c>
      <c r="BF678">
        <f ca="1">IF(ROW()&lt;($C$7+1),"",IFERROR((分析データ!D678-AVERAGE(OFFSET(分析データ!D$1,MAX(1,ROW()-$C$7),0,MIN($C$7,ROW()-1),1)))/STDEV(OFFSET(分析データ!D$1,MAX(1,ROW()-$C$7),0,MIN($C$7,ROW()-1),1)),0))</f>
        <v>-2.2238438540504242</v>
      </c>
      <c r="BG678">
        <f t="shared" ca="1" si="288"/>
        <v>1</v>
      </c>
      <c r="BH678">
        <f ca="1">IF(BG678=1,IF(INDEX(分析データ!$A:$A,ROW()+$C$5)&lt;&gt;"",50000*SIGN(BF678)*(分析データ!D678-INDEX(分析データ!D:D,ROW()+$C$5)),""),"")</f>
        <v>405000.00000000116</v>
      </c>
      <c r="BI678">
        <f t="shared" ca="1" si="289"/>
        <v>1790000.0000000175</v>
      </c>
      <c r="BJ678">
        <f t="shared" ca="1" si="290"/>
        <v>1790000.0000000175</v>
      </c>
      <c r="BK678">
        <f t="shared" ca="1" si="291"/>
        <v>0</v>
      </c>
      <c r="BL678">
        <f ca="1">IF(ROW()&lt;($C$7+1),"",IFERROR((分析データ!E678-AVERAGE(OFFSET(分析データ!E$1,MAX(1,ROW()-$C$7),0,MIN($C$7,ROW()-1),1)))/STDEV(OFFSET(分析データ!E$1,MAX(1,ROW()-$C$7),0,MIN($C$7,ROW()-1),1)),0))</f>
        <v>1.1759100957927946</v>
      </c>
      <c r="BM678">
        <f t="shared" ca="1" si="292"/>
        <v>0</v>
      </c>
      <c r="BN678" t="str">
        <f ca="1">IF(BM678=1,IF(INDEX(分析データ!$A:$A,ROW()+$C$5)&lt;&gt;"",40000*SIGN(BL678)*(分析データ!E678-INDEX(分析データ!E:E,ROW()+$C$5)),""),"")</f>
        <v/>
      </c>
      <c r="BO678">
        <f t="shared" ca="1" si="293"/>
        <v>4280000.0000000028</v>
      </c>
      <c r="BP678">
        <f t="shared" ca="1" si="294"/>
        <v>4280000.0000000028</v>
      </c>
      <c r="BQ678">
        <f t="shared" ca="1" si="295"/>
        <v>0</v>
      </c>
      <c r="BR678">
        <f ca="1">IF(ROW()&lt;($C$7+1),"",IFERROR((分析データ!F678-AVERAGE(OFFSET(分析データ!F$1,MAX(1,ROW()-$C$7),0,MIN($C$7,ROW()-1),1)))/STDEV(OFFSET(分析データ!F$1,MAX(1,ROW()-$C$7),0,MIN($C$7,ROW()-1),1)),0))</f>
        <v>-0.57829000748781512</v>
      </c>
      <c r="BS678">
        <f t="shared" ca="1" si="296"/>
        <v>0</v>
      </c>
      <c r="BT678" t="str">
        <f ca="1">IF(BS678=1,IF(INDEX(分析データ!$A:$A,ROW()+$C$5)&lt;&gt;"",40000*SIGN(BR678)*(分析データ!F678-INDEX(分析データ!F:F,ROW()+$C$5)),""),"")</f>
        <v/>
      </c>
      <c r="BU678">
        <f t="shared" ca="1" si="297"/>
        <v>14917200.000000004</v>
      </c>
      <c r="BV678">
        <f t="shared" ca="1" si="298"/>
        <v>14917200.000000004</v>
      </c>
      <c r="BW678">
        <f t="shared" ca="1" si="299"/>
        <v>0</v>
      </c>
      <c r="BX678">
        <f ca="1">IF(ROW()&lt;($C$7+1),"",IFERROR((分析データ!G678-AVERAGE(OFFSET(分析データ!G$1,MAX(1,ROW()-$C$7),0,MIN($C$7,ROW()-1),1)))/STDEV(OFFSET(分析データ!G$1,MAX(1,ROW()-$C$7),0,MIN($C$7,ROW()-1),1)),0))</f>
        <v>1.7498972245598823</v>
      </c>
      <c r="BY678">
        <f t="shared" ca="1" si="300"/>
        <v>0</v>
      </c>
      <c r="BZ678" t="str">
        <f ca="1">IF(BY678=1,IF(INDEX(分析データ!$A:$A,ROW()+$C$5)&lt;&gt;"",40000*SIGN(BX678)*(分析データ!G678-INDEX(分析データ!G:G,ROW()+$C$5)),""),"")</f>
        <v/>
      </c>
      <c r="CA678">
        <f t="shared" ca="1" si="301"/>
        <v>-3515452.8662109179</v>
      </c>
      <c r="CB678">
        <f t="shared" ca="1" si="302"/>
        <v>11327520.000000004</v>
      </c>
      <c r="CC678">
        <f t="shared" ca="1" si="303"/>
        <v>-14842972.866210923</v>
      </c>
      <c r="CD678">
        <f t="shared" ca="1" si="304"/>
        <v>405000.00000000116</v>
      </c>
      <c r="CE678">
        <f t="shared" ca="1" si="305"/>
        <v>15546747.133789144</v>
      </c>
      <c r="CF678">
        <f t="shared" ca="1" si="306"/>
        <v>19067197.138671909</v>
      </c>
      <c r="CG678">
        <f t="shared" ca="1" si="307"/>
        <v>-3520450.0048827641</v>
      </c>
      <c r="CH678" s="10">
        <f>分析データ!A678</f>
        <v>45916</v>
      </c>
    </row>
    <row r="679" spans="46:86">
      <c r="AT679">
        <f ca="1">IF(ROW()&lt;($C$7+1),"",IFERROR((分析データ!B679-AVERAGE(OFFSET(分析データ!B$1,MAX(1,ROW()-$C$7),0,MIN($C$7,ROW()-1),1)))/STDEV(OFFSET(分析データ!B$1,MAX(1,ROW()-$C$7),0,MIN($C$7,ROW()-1),1)),0))</f>
        <v>-0.40275901014726284</v>
      </c>
      <c r="AU679">
        <f t="shared" ca="1" si="280"/>
        <v>0</v>
      </c>
      <c r="AV679" t="str">
        <f ca="1">IF(AU679=1,IF(INDEX(分析データ!$A:$A,ROW()+$C$5)&lt;&gt;"",80000*SIGN(AT679)*(分析データ!B679-INDEX(分析データ!B:B,ROW()+$C$5)),""),"")</f>
        <v/>
      </c>
      <c r="AW679">
        <f t="shared" ca="1" si="281"/>
        <v>-4999999.9999999925</v>
      </c>
      <c r="AX679">
        <f t="shared" ca="1" si="282"/>
        <v>0</v>
      </c>
      <c r="AY679">
        <f t="shared" ca="1" si="283"/>
        <v>-4999999.9999999925</v>
      </c>
      <c r="AZ679">
        <f ca="1">IF(ROW()&lt;($C$7+1),"",IFERROR((分析データ!C679-AVERAGE(OFFSET(分析データ!C$1,MAX(1,ROW()-$C$7),0,MIN($C$7,ROW()-1),1)))/STDEV(OFFSET(分析データ!C$1,MAX(1,ROW()-$C$7),0,MIN($C$7,ROW()-1),1)),0))</f>
        <v>-1.1114001764306116</v>
      </c>
      <c r="BA679">
        <f t="shared" ca="1" si="284"/>
        <v>0</v>
      </c>
      <c r="BB679" t="str">
        <f ca="1">IF(BA679=1,IF(INDEX(分析データ!$A:$A,ROW()+$C$5)&lt;&gt;"",60000*SIGN(AZ679)*(分析データ!C679-INDEX(分析データ!C:C,ROW()+$C$5)),""),"")</f>
        <v/>
      </c>
      <c r="BC679">
        <f t="shared" ca="1" si="285"/>
        <v>3075000.0000000102</v>
      </c>
      <c r="BD679">
        <f t="shared" ca="1" si="286"/>
        <v>3075000.0000000102</v>
      </c>
      <c r="BE679">
        <f t="shared" ca="1" si="287"/>
        <v>0</v>
      </c>
      <c r="BF679">
        <f ca="1">IF(ROW()&lt;($C$7+1),"",IFERROR((分析データ!D679-AVERAGE(OFFSET(分析データ!D$1,MAX(1,ROW()-$C$7),0,MIN($C$7,ROW()-1),1)))/STDEV(OFFSET(分析データ!D$1,MAX(1,ROW()-$C$7),0,MIN($C$7,ROW()-1),1)),0))</f>
        <v>-2.0825109718868866</v>
      </c>
      <c r="BG679">
        <f t="shared" ca="1" si="288"/>
        <v>1</v>
      </c>
      <c r="BH679">
        <f ca="1">IF(BG679=1,IF(INDEX(分析データ!$A:$A,ROW()+$C$5)&lt;&gt;"",50000*SIGN(BF679)*(分析データ!D679-INDEX(分析データ!D:D,ROW()+$C$5)),""),"")</f>
        <v>40000.000000000568</v>
      </c>
      <c r="BI679">
        <f t="shared" ca="1" si="289"/>
        <v>1830000.0000000179</v>
      </c>
      <c r="BJ679">
        <f t="shared" ca="1" si="290"/>
        <v>1830000.0000000179</v>
      </c>
      <c r="BK679">
        <f t="shared" ca="1" si="291"/>
        <v>0</v>
      </c>
      <c r="BL679">
        <f ca="1">IF(ROW()&lt;($C$7+1),"",IFERROR((分析データ!E679-AVERAGE(OFFSET(分析データ!E$1,MAX(1,ROW()-$C$7),0,MIN($C$7,ROW()-1),1)))/STDEV(OFFSET(分析データ!E$1,MAX(1,ROW()-$C$7),0,MIN($C$7,ROW()-1),1)),0))</f>
        <v>1.0911440202965759</v>
      </c>
      <c r="BM679">
        <f t="shared" ca="1" si="292"/>
        <v>0</v>
      </c>
      <c r="BN679" t="str">
        <f ca="1">IF(BM679=1,IF(INDEX(分析データ!$A:$A,ROW()+$C$5)&lt;&gt;"",40000*SIGN(BL679)*(分析データ!E679-INDEX(分析データ!E:E,ROW()+$C$5)),""),"")</f>
        <v/>
      </c>
      <c r="BO679">
        <f t="shared" ca="1" si="293"/>
        <v>4280000.0000000028</v>
      </c>
      <c r="BP679">
        <f t="shared" ca="1" si="294"/>
        <v>4280000.0000000028</v>
      </c>
      <c r="BQ679">
        <f t="shared" ca="1" si="295"/>
        <v>0</v>
      </c>
      <c r="BR679">
        <f ca="1">IF(ROW()&lt;($C$7+1),"",IFERROR((分析データ!F679-AVERAGE(OFFSET(分析データ!F$1,MAX(1,ROW()-$C$7),0,MIN($C$7,ROW()-1),1)))/STDEV(OFFSET(分析データ!F$1,MAX(1,ROW()-$C$7),0,MIN($C$7,ROW()-1),1)),0))</f>
        <v>-0.73739240472604117</v>
      </c>
      <c r="BS679">
        <f t="shared" ca="1" si="296"/>
        <v>0</v>
      </c>
      <c r="BT679" t="str">
        <f ca="1">IF(BS679=1,IF(INDEX(分析データ!$A:$A,ROW()+$C$5)&lt;&gt;"",40000*SIGN(BR679)*(分析データ!F679-INDEX(分析データ!F:F,ROW()+$C$5)),""),"")</f>
        <v/>
      </c>
      <c r="BU679">
        <f t="shared" ca="1" si="297"/>
        <v>14917200.000000004</v>
      </c>
      <c r="BV679">
        <f t="shared" ca="1" si="298"/>
        <v>14917200.000000004</v>
      </c>
      <c r="BW679">
        <f t="shared" ca="1" si="299"/>
        <v>0</v>
      </c>
      <c r="BX679">
        <f ca="1">IF(ROW()&lt;($C$7+1),"",IFERROR((分析データ!G679-AVERAGE(OFFSET(分析データ!G$1,MAX(1,ROW()-$C$7),0,MIN($C$7,ROW()-1),1)))/STDEV(OFFSET(分析データ!G$1,MAX(1,ROW()-$C$7),0,MIN($C$7,ROW()-1),1)),0))</f>
        <v>1.8005076293129105</v>
      </c>
      <c r="BY679">
        <f t="shared" ca="1" si="300"/>
        <v>0</v>
      </c>
      <c r="BZ679" t="str">
        <f ca="1">IF(BY679=1,IF(INDEX(分析データ!$A:$A,ROW()+$C$5)&lt;&gt;"",40000*SIGN(BX679)*(分析データ!G679-INDEX(分析データ!G:G,ROW()+$C$5)),""),"")</f>
        <v/>
      </c>
      <c r="CA679">
        <f t="shared" ca="1" si="301"/>
        <v>-3515452.8662109179</v>
      </c>
      <c r="CB679">
        <f t="shared" ca="1" si="302"/>
        <v>11327520.000000004</v>
      </c>
      <c r="CC679">
        <f t="shared" ca="1" si="303"/>
        <v>-14842972.866210923</v>
      </c>
      <c r="CD679">
        <f t="shared" ca="1" si="304"/>
        <v>40000.000000000568</v>
      </c>
      <c r="CE679">
        <f t="shared" ca="1" si="305"/>
        <v>15586747.133789144</v>
      </c>
      <c r="CF679">
        <f t="shared" ca="1" si="306"/>
        <v>19067197.138671909</v>
      </c>
      <c r="CG679">
        <f t="shared" ca="1" si="307"/>
        <v>-3480450.0048827641</v>
      </c>
      <c r="CH679" s="10">
        <f>分析データ!A679</f>
        <v>45917</v>
      </c>
    </row>
    <row r="680" spans="46:86">
      <c r="AT680">
        <f ca="1">IF(ROW()&lt;($C$7+1),"",IFERROR((分析データ!B680-AVERAGE(OFFSET(分析データ!B$1,MAX(1,ROW()-$C$7),0,MIN($C$7,ROW()-1),1)))/STDEV(OFFSET(分析データ!B$1,MAX(1,ROW()-$C$7),0,MIN($C$7,ROW()-1),1)),0))</f>
        <v>-0.52151726343447413</v>
      </c>
      <c r="AU680">
        <f t="shared" ca="1" si="280"/>
        <v>0</v>
      </c>
      <c r="AV680" t="str">
        <f ca="1">IF(AU680=1,IF(INDEX(分析データ!$A:$A,ROW()+$C$5)&lt;&gt;"",80000*SIGN(AT680)*(分析データ!B680-INDEX(分析データ!B:B,ROW()+$C$5)),""),"")</f>
        <v/>
      </c>
      <c r="AW680">
        <f t="shared" ca="1" si="281"/>
        <v>-4999999.9999999925</v>
      </c>
      <c r="AX680">
        <f t="shared" ca="1" si="282"/>
        <v>0</v>
      </c>
      <c r="AY680">
        <f t="shared" ca="1" si="283"/>
        <v>-4999999.9999999925</v>
      </c>
      <c r="AZ680">
        <f ca="1">IF(ROW()&lt;($C$7+1),"",IFERROR((分析データ!C680-AVERAGE(OFFSET(分析データ!C$1,MAX(1,ROW()-$C$7),0,MIN($C$7,ROW()-1),1)))/STDEV(OFFSET(分析データ!C$1,MAX(1,ROW()-$C$7),0,MIN($C$7,ROW()-1),1)),0))</f>
        <v>-0.97808360338295086</v>
      </c>
      <c r="BA680">
        <f t="shared" ca="1" si="284"/>
        <v>0</v>
      </c>
      <c r="BB680" t="str">
        <f ca="1">IF(BA680=1,IF(INDEX(分析データ!$A:$A,ROW()+$C$5)&lt;&gt;"",60000*SIGN(AZ680)*(分析データ!C680-INDEX(分析データ!C:C,ROW()+$C$5)),""),"")</f>
        <v/>
      </c>
      <c r="BC680">
        <f t="shared" ca="1" si="285"/>
        <v>3075000.0000000102</v>
      </c>
      <c r="BD680">
        <f t="shared" ca="1" si="286"/>
        <v>3075000.0000000102</v>
      </c>
      <c r="BE680">
        <f t="shared" ca="1" si="287"/>
        <v>0</v>
      </c>
      <c r="BF680">
        <f ca="1">IF(ROW()&lt;($C$7+1),"",IFERROR((分析データ!D680-AVERAGE(OFFSET(分析データ!D$1,MAX(1,ROW()-$C$7),0,MIN($C$7,ROW()-1),1)))/STDEV(OFFSET(分析データ!D$1,MAX(1,ROW()-$C$7),0,MIN($C$7,ROW()-1),1)),0))</f>
        <v>-1.894546824348968</v>
      </c>
      <c r="BG680">
        <f t="shared" ca="1" si="288"/>
        <v>0</v>
      </c>
      <c r="BH680" t="str">
        <f ca="1">IF(BG680=1,IF(INDEX(分析データ!$A:$A,ROW()+$C$5)&lt;&gt;"",50000*SIGN(BF680)*(分析データ!D680-INDEX(分析データ!D:D,ROW()+$C$5)),""),"")</f>
        <v/>
      </c>
      <c r="BI680">
        <f t="shared" ca="1" si="289"/>
        <v>1830000.0000000179</v>
      </c>
      <c r="BJ680">
        <f t="shared" ca="1" si="290"/>
        <v>1830000.0000000179</v>
      </c>
      <c r="BK680">
        <f t="shared" ca="1" si="291"/>
        <v>0</v>
      </c>
      <c r="BL680">
        <f ca="1">IF(ROW()&lt;($C$7+1),"",IFERROR((分析データ!E680-AVERAGE(OFFSET(分析データ!E$1,MAX(1,ROW()-$C$7),0,MIN($C$7,ROW()-1),1)))/STDEV(OFFSET(分析データ!E$1,MAX(1,ROW()-$C$7),0,MIN($C$7,ROW()-1),1)),0))</f>
        <v>1.0828152038828573</v>
      </c>
      <c r="BM680">
        <f t="shared" ca="1" si="292"/>
        <v>0</v>
      </c>
      <c r="BN680" t="str">
        <f ca="1">IF(BM680=1,IF(INDEX(分析データ!$A:$A,ROW()+$C$5)&lt;&gt;"",40000*SIGN(BL680)*(分析データ!E680-INDEX(分析データ!E:E,ROW()+$C$5)),""),"")</f>
        <v/>
      </c>
      <c r="BO680">
        <f t="shared" ca="1" si="293"/>
        <v>4280000.0000000028</v>
      </c>
      <c r="BP680">
        <f t="shared" ca="1" si="294"/>
        <v>4280000.0000000028</v>
      </c>
      <c r="BQ680">
        <f t="shared" ca="1" si="295"/>
        <v>0</v>
      </c>
      <c r="BR680">
        <f ca="1">IF(ROW()&lt;($C$7+1),"",IFERROR((分析データ!F680-AVERAGE(OFFSET(分析データ!F$1,MAX(1,ROW()-$C$7),0,MIN($C$7,ROW()-1),1)))/STDEV(OFFSET(分析データ!F$1,MAX(1,ROW()-$C$7),0,MIN($C$7,ROW()-1),1)),0))</f>
        <v>-0.90548420172873323</v>
      </c>
      <c r="BS680">
        <f t="shared" ca="1" si="296"/>
        <v>0</v>
      </c>
      <c r="BT680" t="str">
        <f ca="1">IF(BS680=1,IF(INDEX(分析データ!$A:$A,ROW()+$C$5)&lt;&gt;"",40000*SIGN(BR680)*(分析データ!F680-INDEX(分析データ!F:F,ROW()+$C$5)),""),"")</f>
        <v/>
      </c>
      <c r="BU680">
        <f t="shared" ca="1" si="297"/>
        <v>14917200.000000004</v>
      </c>
      <c r="BV680">
        <f t="shared" ca="1" si="298"/>
        <v>14917200.000000004</v>
      </c>
      <c r="BW680">
        <f t="shared" ca="1" si="299"/>
        <v>0</v>
      </c>
      <c r="BX680">
        <f ca="1">IF(ROW()&lt;($C$7+1),"",IFERROR((分析データ!G680-AVERAGE(OFFSET(分析データ!G$1,MAX(1,ROW()-$C$7),0,MIN($C$7,ROW()-1),1)))/STDEV(OFFSET(分析データ!G$1,MAX(1,ROW()-$C$7),0,MIN($C$7,ROW()-1),1)),0))</f>
        <v>1.7664921240995668</v>
      </c>
      <c r="BY680">
        <f t="shared" ca="1" si="300"/>
        <v>0</v>
      </c>
      <c r="BZ680" t="str">
        <f ca="1">IF(BY680=1,IF(INDEX(分析データ!$A:$A,ROW()+$C$5)&lt;&gt;"",40000*SIGN(BX680)*(分析データ!G680-INDEX(分析データ!G:G,ROW()+$C$5)),""),"")</f>
        <v/>
      </c>
      <c r="CA680">
        <f t="shared" ca="1" si="301"/>
        <v>-3515452.8662109179</v>
      </c>
      <c r="CB680">
        <f t="shared" ca="1" si="302"/>
        <v>11327520.000000004</v>
      </c>
      <c r="CC680">
        <f t="shared" ca="1" si="303"/>
        <v>-14842972.866210923</v>
      </c>
      <c r="CD680">
        <f t="shared" ca="1" si="304"/>
        <v>0</v>
      </c>
      <c r="CE680">
        <f t="shared" ca="1" si="305"/>
        <v>15586747.133789144</v>
      </c>
      <c r="CF680">
        <f t="shared" ca="1" si="306"/>
        <v>19067197.138671909</v>
      </c>
      <c r="CG680">
        <f t="shared" ca="1" si="307"/>
        <v>-3480450.0048827641</v>
      </c>
      <c r="CH680" s="10">
        <f>分析データ!A680</f>
        <v>45918</v>
      </c>
    </row>
    <row r="681" spans="46:86">
      <c r="AT681">
        <f ca="1">IF(ROW()&lt;($C$7+1),"",IFERROR((分析データ!B681-AVERAGE(OFFSET(分析データ!B$1,MAX(1,ROW()-$C$7),0,MIN($C$7,ROW()-1),1)))/STDEV(OFFSET(分析データ!B$1,MAX(1,ROW()-$C$7),0,MIN($C$7,ROW()-1),1)),0))</f>
        <v>-0.20817383639400269</v>
      </c>
      <c r="AU681">
        <f t="shared" ca="1" si="280"/>
        <v>0</v>
      </c>
      <c r="AV681" t="str">
        <f ca="1">IF(AU681=1,IF(INDEX(分析データ!$A:$A,ROW()+$C$5)&lt;&gt;"",80000*SIGN(AT681)*(分析データ!B681-INDEX(分析データ!B:B,ROW()+$C$5)),""),"")</f>
        <v/>
      </c>
      <c r="AW681">
        <f t="shared" ca="1" si="281"/>
        <v>-4999999.9999999925</v>
      </c>
      <c r="AX681">
        <f t="shared" ca="1" si="282"/>
        <v>0</v>
      </c>
      <c r="AY681">
        <f t="shared" ca="1" si="283"/>
        <v>-4999999.9999999925</v>
      </c>
      <c r="AZ681">
        <f ca="1">IF(ROW()&lt;($C$7+1),"",IFERROR((分析データ!C681-AVERAGE(OFFSET(分析データ!C$1,MAX(1,ROW()-$C$7),0,MIN($C$7,ROW()-1),1)))/STDEV(OFFSET(分析データ!C$1,MAX(1,ROW()-$C$7),0,MIN($C$7,ROW()-1),1)),0))</f>
        <v>-0.46656095294075622</v>
      </c>
      <c r="BA681">
        <f t="shared" ca="1" si="284"/>
        <v>0</v>
      </c>
      <c r="BB681" t="str">
        <f ca="1">IF(BA681=1,IF(INDEX(分析データ!$A:$A,ROW()+$C$5)&lt;&gt;"",60000*SIGN(AZ681)*(分析データ!C681-INDEX(分析データ!C:C,ROW()+$C$5)),""),"")</f>
        <v/>
      </c>
      <c r="BC681">
        <f t="shared" ca="1" si="285"/>
        <v>3075000.0000000102</v>
      </c>
      <c r="BD681">
        <f t="shared" ca="1" si="286"/>
        <v>3075000.0000000102</v>
      </c>
      <c r="BE681">
        <f t="shared" ca="1" si="287"/>
        <v>0</v>
      </c>
      <c r="BF681">
        <f ca="1">IF(ROW()&lt;($C$7+1),"",IFERROR((分析データ!D681-AVERAGE(OFFSET(分析データ!D$1,MAX(1,ROW()-$C$7),0,MIN($C$7,ROW()-1),1)))/STDEV(OFFSET(分析データ!D$1,MAX(1,ROW()-$C$7),0,MIN($C$7,ROW()-1),1)),0))</f>
        <v>-1.9170351688663918</v>
      </c>
      <c r="BG681">
        <f t="shared" ca="1" si="288"/>
        <v>0</v>
      </c>
      <c r="BH681" t="str">
        <f ca="1">IF(BG681=1,IF(INDEX(分析データ!$A:$A,ROW()+$C$5)&lt;&gt;"",50000*SIGN(BF681)*(分析データ!D681-INDEX(分析データ!D:D,ROW()+$C$5)),""),"")</f>
        <v/>
      </c>
      <c r="BI681">
        <f t="shared" ca="1" si="289"/>
        <v>1830000.0000000179</v>
      </c>
      <c r="BJ681">
        <f t="shared" ca="1" si="290"/>
        <v>1830000.0000000179</v>
      </c>
      <c r="BK681">
        <f t="shared" ca="1" si="291"/>
        <v>0</v>
      </c>
      <c r="BL681">
        <f ca="1">IF(ROW()&lt;($C$7+1),"",IFERROR((分析データ!E681-AVERAGE(OFFSET(分析データ!E$1,MAX(1,ROW()-$C$7),0,MIN($C$7,ROW()-1),1)))/STDEV(OFFSET(分析データ!E$1,MAX(1,ROW()-$C$7),0,MIN($C$7,ROW()-1),1)),0))</f>
        <v>1.2245079644035668</v>
      </c>
      <c r="BM681">
        <f t="shared" ca="1" si="292"/>
        <v>0</v>
      </c>
      <c r="BN681" t="str">
        <f ca="1">IF(BM681=1,IF(INDEX(分析データ!$A:$A,ROW()+$C$5)&lt;&gt;"",40000*SIGN(BL681)*(分析データ!E681-INDEX(分析データ!E:E,ROW()+$C$5)),""),"")</f>
        <v/>
      </c>
      <c r="BO681">
        <f t="shared" ca="1" si="293"/>
        <v>4280000.0000000028</v>
      </c>
      <c r="BP681">
        <f t="shared" ca="1" si="294"/>
        <v>4280000.0000000028</v>
      </c>
      <c r="BQ681">
        <f t="shared" ca="1" si="295"/>
        <v>0</v>
      </c>
      <c r="BR681">
        <f ca="1">IF(ROW()&lt;($C$7+1),"",IFERROR((分析データ!F681-AVERAGE(OFFSET(分析データ!F$1,MAX(1,ROW()-$C$7),0,MIN($C$7,ROW()-1),1)))/STDEV(OFFSET(分析データ!F$1,MAX(1,ROW()-$C$7),0,MIN($C$7,ROW()-1),1)),0))</f>
        <v>-1.0093301537370676</v>
      </c>
      <c r="BS681">
        <f t="shared" ca="1" si="296"/>
        <v>0</v>
      </c>
      <c r="BT681" t="str">
        <f ca="1">IF(BS681=1,IF(INDEX(分析データ!$A:$A,ROW()+$C$5)&lt;&gt;"",40000*SIGN(BR681)*(分析データ!F681-INDEX(分析データ!F:F,ROW()+$C$5)),""),"")</f>
        <v/>
      </c>
      <c r="BU681">
        <f t="shared" ca="1" si="297"/>
        <v>14917200.000000004</v>
      </c>
      <c r="BV681">
        <f t="shared" ca="1" si="298"/>
        <v>14917200.000000004</v>
      </c>
      <c r="BW681">
        <f t="shared" ca="1" si="299"/>
        <v>0</v>
      </c>
      <c r="BX681">
        <f ca="1">IF(ROW()&lt;($C$7+1),"",IFERROR((分析データ!G681-AVERAGE(OFFSET(分析データ!G$1,MAX(1,ROW()-$C$7),0,MIN($C$7,ROW()-1),1)))/STDEV(OFFSET(分析データ!G$1,MAX(1,ROW()-$C$7),0,MIN($C$7,ROW()-1),1)),0))</f>
        <v>1.8235984989781984</v>
      </c>
      <c r="BY681">
        <f t="shared" ca="1" si="300"/>
        <v>0</v>
      </c>
      <c r="BZ681" t="str">
        <f ca="1">IF(BY681=1,IF(INDEX(分析データ!$A:$A,ROW()+$C$5)&lt;&gt;"",40000*SIGN(BX681)*(分析データ!G681-INDEX(分析データ!G:G,ROW()+$C$5)),""),"")</f>
        <v/>
      </c>
      <c r="CA681">
        <f t="shared" ca="1" si="301"/>
        <v>-3515452.8662109179</v>
      </c>
      <c r="CB681">
        <f t="shared" ca="1" si="302"/>
        <v>11327520.000000004</v>
      </c>
      <c r="CC681">
        <f t="shared" ca="1" si="303"/>
        <v>-14842972.866210923</v>
      </c>
      <c r="CD681">
        <f t="shared" ca="1" si="304"/>
        <v>0</v>
      </c>
      <c r="CE681">
        <f t="shared" ca="1" si="305"/>
        <v>15586747.133789144</v>
      </c>
      <c r="CF681">
        <f t="shared" ca="1" si="306"/>
        <v>19067197.138671909</v>
      </c>
      <c r="CG681">
        <f t="shared" ca="1" si="307"/>
        <v>-3480450.0048827641</v>
      </c>
      <c r="CH681" s="10">
        <f>分析データ!A681</f>
        <v>45919</v>
      </c>
    </row>
    <row r="682" spans="46:86">
      <c r="AT682">
        <f ca="1">IF(ROW()&lt;($C$7+1),"",IFERROR((分析データ!B682-AVERAGE(OFFSET(分析データ!B$1,MAX(1,ROW()-$C$7),0,MIN($C$7,ROW()-1),1)))/STDEV(OFFSET(分析データ!B$1,MAX(1,ROW()-$C$7),0,MIN($C$7,ROW()-1),1)),0))</f>
        <v>-0.66047206659096425</v>
      </c>
      <c r="AU682">
        <f t="shared" ca="1" si="280"/>
        <v>0</v>
      </c>
      <c r="AV682" t="str">
        <f ca="1">IF(AU682=1,IF(INDEX(分析データ!$A:$A,ROW()+$C$5)&lt;&gt;"",80000*SIGN(AT682)*(分析データ!B682-INDEX(分析データ!B:B,ROW()+$C$5)),""),"")</f>
        <v/>
      </c>
      <c r="AW682">
        <f t="shared" ca="1" si="281"/>
        <v>-4999999.9999999925</v>
      </c>
      <c r="AX682">
        <f t="shared" ca="1" si="282"/>
        <v>0</v>
      </c>
      <c r="AY682">
        <f t="shared" ca="1" si="283"/>
        <v>-4999999.9999999925</v>
      </c>
      <c r="AZ682">
        <f ca="1">IF(ROW()&lt;($C$7+1),"",IFERROR((分析データ!C682-AVERAGE(OFFSET(分析データ!C$1,MAX(1,ROW()-$C$7),0,MIN($C$7,ROW()-1),1)))/STDEV(OFFSET(分析データ!C$1,MAX(1,ROW()-$C$7),0,MIN($C$7,ROW()-1),1)),0))</f>
        <v>-0.54541576319041774</v>
      </c>
      <c r="BA682">
        <f t="shared" ca="1" si="284"/>
        <v>0</v>
      </c>
      <c r="BB682" t="str">
        <f ca="1">IF(BA682=1,IF(INDEX(分析データ!$A:$A,ROW()+$C$5)&lt;&gt;"",60000*SIGN(AZ682)*(分析データ!C682-INDEX(分析データ!C:C,ROW()+$C$5)),""),"")</f>
        <v/>
      </c>
      <c r="BC682">
        <f t="shared" ca="1" si="285"/>
        <v>3075000.0000000102</v>
      </c>
      <c r="BD682">
        <f t="shared" ca="1" si="286"/>
        <v>3075000.0000000102</v>
      </c>
      <c r="BE682">
        <f t="shared" ca="1" si="287"/>
        <v>0</v>
      </c>
      <c r="BF682">
        <f ca="1">IF(ROW()&lt;($C$7+1),"",IFERROR((分析データ!D682-AVERAGE(OFFSET(分析データ!D$1,MAX(1,ROW()-$C$7),0,MIN($C$7,ROW()-1),1)))/STDEV(OFFSET(分析データ!D$1,MAX(1,ROW()-$C$7),0,MIN($C$7,ROW()-1),1)),0))</f>
        <v>-1.9156049799063675</v>
      </c>
      <c r="BG682">
        <f t="shared" ca="1" si="288"/>
        <v>0</v>
      </c>
      <c r="BH682" t="str">
        <f ca="1">IF(BG682=1,IF(INDEX(分析データ!$A:$A,ROW()+$C$5)&lt;&gt;"",50000*SIGN(BF682)*(分析データ!D682-INDEX(分析データ!D:D,ROW()+$C$5)),""),"")</f>
        <v/>
      </c>
      <c r="BI682">
        <f t="shared" ca="1" si="289"/>
        <v>1830000.0000000179</v>
      </c>
      <c r="BJ682">
        <f t="shared" ca="1" si="290"/>
        <v>1830000.0000000179</v>
      </c>
      <c r="BK682">
        <f t="shared" ca="1" si="291"/>
        <v>0</v>
      </c>
      <c r="BL682">
        <f ca="1">IF(ROW()&lt;($C$7+1),"",IFERROR((分析データ!E682-AVERAGE(OFFSET(分析データ!E$1,MAX(1,ROW()-$C$7),0,MIN($C$7,ROW()-1),1)))/STDEV(OFFSET(分析データ!E$1,MAX(1,ROW()-$C$7),0,MIN($C$7,ROW()-1),1)),0))</f>
        <v>1.0647181062155913</v>
      </c>
      <c r="BM682">
        <f t="shared" ca="1" si="292"/>
        <v>0</v>
      </c>
      <c r="BN682" t="str">
        <f ca="1">IF(BM682=1,IF(INDEX(分析データ!$A:$A,ROW()+$C$5)&lt;&gt;"",40000*SIGN(BL682)*(分析データ!E682-INDEX(分析データ!E:E,ROW()+$C$5)),""),"")</f>
        <v/>
      </c>
      <c r="BO682">
        <f t="shared" ca="1" si="293"/>
        <v>4280000.0000000028</v>
      </c>
      <c r="BP682">
        <f t="shared" ca="1" si="294"/>
        <v>4280000.0000000028</v>
      </c>
      <c r="BQ682">
        <f t="shared" ca="1" si="295"/>
        <v>0</v>
      </c>
      <c r="BR682">
        <f ca="1">IF(ROW()&lt;($C$7+1),"",IFERROR((分析データ!F682-AVERAGE(OFFSET(分析データ!F$1,MAX(1,ROW()-$C$7),0,MIN($C$7,ROW()-1),1)))/STDEV(OFFSET(分析データ!F$1,MAX(1,ROW()-$C$7),0,MIN($C$7,ROW()-1),1)),0))</f>
        <v>-1.0082509558538533</v>
      </c>
      <c r="BS682">
        <f t="shared" ca="1" si="296"/>
        <v>0</v>
      </c>
      <c r="BT682" t="str">
        <f ca="1">IF(BS682=1,IF(INDEX(分析データ!$A:$A,ROW()+$C$5)&lt;&gt;"",40000*SIGN(BR682)*(分析データ!F682-INDEX(分析データ!F:F,ROW()+$C$5)),""),"")</f>
        <v/>
      </c>
      <c r="BU682">
        <f t="shared" ca="1" si="297"/>
        <v>14917200.000000004</v>
      </c>
      <c r="BV682">
        <f t="shared" ca="1" si="298"/>
        <v>14917200.000000004</v>
      </c>
      <c r="BW682">
        <f t="shared" ca="1" si="299"/>
        <v>0</v>
      </c>
      <c r="BX682">
        <f ca="1">IF(ROW()&lt;($C$7+1),"",IFERROR((分析データ!G682-AVERAGE(OFFSET(分析データ!G$1,MAX(1,ROW()-$C$7),0,MIN($C$7,ROW()-1),1)))/STDEV(OFFSET(分析データ!G$1,MAX(1,ROW()-$C$7),0,MIN($C$7,ROW()-1),1)),0))</f>
        <v>1.8420238269752942</v>
      </c>
      <c r="BY682">
        <f t="shared" ca="1" si="300"/>
        <v>0</v>
      </c>
      <c r="BZ682" t="str">
        <f ca="1">IF(BY682=1,IF(INDEX(分析データ!$A:$A,ROW()+$C$5)&lt;&gt;"",40000*SIGN(BX682)*(分析データ!G682-INDEX(分析データ!G:G,ROW()+$C$5)),""),"")</f>
        <v/>
      </c>
      <c r="CA682">
        <f t="shared" ca="1" si="301"/>
        <v>-3515452.8662109179</v>
      </c>
      <c r="CB682">
        <f t="shared" ca="1" si="302"/>
        <v>11327520.000000004</v>
      </c>
      <c r="CC682">
        <f t="shared" ca="1" si="303"/>
        <v>-14842972.866210923</v>
      </c>
      <c r="CD682">
        <f t="shared" ca="1" si="304"/>
        <v>0</v>
      </c>
      <c r="CE682">
        <f t="shared" ca="1" si="305"/>
        <v>15586747.133789144</v>
      </c>
      <c r="CF682">
        <f t="shared" ca="1" si="306"/>
        <v>19067197.138671909</v>
      </c>
      <c r="CG682">
        <f t="shared" ca="1" si="307"/>
        <v>-3480450.0048827641</v>
      </c>
      <c r="CH682" s="10">
        <f>分析データ!A682</f>
        <v>45922</v>
      </c>
    </row>
    <row r="683" spans="46:86">
      <c r="AT683">
        <f ca="1">IF(ROW()&lt;($C$7+1),"",IFERROR((分析データ!B683-AVERAGE(OFFSET(分析データ!B$1,MAX(1,ROW()-$C$7),0,MIN($C$7,ROW()-1),1)))/STDEV(OFFSET(分析データ!B$1,MAX(1,ROW()-$C$7),0,MIN($C$7,ROW()-1),1)),0))</f>
        <v>-6.6619172183187665E-3</v>
      </c>
      <c r="AU683">
        <f t="shared" ca="1" si="280"/>
        <v>0</v>
      </c>
      <c r="AV683" t="str">
        <f ca="1">IF(AU683=1,IF(INDEX(分析データ!$A:$A,ROW()+$C$5)&lt;&gt;"",80000*SIGN(AT683)*(分析データ!B683-INDEX(分析データ!B:B,ROW()+$C$5)),""),"")</f>
        <v/>
      </c>
      <c r="AW683">
        <f t="shared" ca="1" si="281"/>
        <v>-4999999.9999999925</v>
      </c>
      <c r="AX683">
        <f t="shared" ca="1" si="282"/>
        <v>0</v>
      </c>
      <c r="AY683">
        <f t="shared" ca="1" si="283"/>
        <v>-4999999.9999999925</v>
      </c>
      <c r="AZ683">
        <f ca="1">IF(ROW()&lt;($C$7+1),"",IFERROR((分析データ!C683-AVERAGE(OFFSET(分析データ!C$1,MAX(1,ROW()-$C$7),0,MIN($C$7,ROW()-1),1)))/STDEV(OFFSET(分析データ!C$1,MAX(1,ROW()-$C$7),0,MIN($C$7,ROW()-1),1)),0))</f>
        <v>-0.54512242327239446</v>
      </c>
      <c r="BA683">
        <f t="shared" ca="1" si="284"/>
        <v>0</v>
      </c>
      <c r="BB683" t="str">
        <f ca="1">IF(BA683=1,IF(INDEX(分析データ!$A:$A,ROW()+$C$5)&lt;&gt;"",60000*SIGN(AZ683)*(分析データ!C683-INDEX(分析データ!C:C,ROW()+$C$5)),""),"")</f>
        <v/>
      </c>
      <c r="BC683">
        <f t="shared" ca="1" si="285"/>
        <v>3075000.0000000102</v>
      </c>
      <c r="BD683">
        <f t="shared" ca="1" si="286"/>
        <v>3075000.0000000102</v>
      </c>
      <c r="BE683">
        <f t="shared" ca="1" si="287"/>
        <v>0</v>
      </c>
      <c r="BF683">
        <f ca="1">IF(ROW()&lt;($C$7+1),"",IFERROR((分析データ!D683-AVERAGE(OFFSET(分析データ!D$1,MAX(1,ROW()-$C$7),0,MIN($C$7,ROW()-1),1)))/STDEV(OFFSET(分析データ!D$1,MAX(1,ROW()-$C$7),0,MIN($C$7,ROW()-1),1)),0))</f>
        <v>-2.0055967116729829</v>
      </c>
      <c r="BG683">
        <f t="shared" ca="1" si="288"/>
        <v>1</v>
      </c>
      <c r="BH683">
        <f ca="1">IF(BG683=1,IF(INDEX(分析データ!$A:$A,ROW()+$C$5)&lt;&gt;"",50000*SIGN(BF683)*(分析データ!D683-INDEX(分析データ!D:D,ROW()+$C$5)),""),"")</f>
        <v>34999.999999999432</v>
      </c>
      <c r="BI683">
        <f t="shared" ca="1" si="289"/>
        <v>1865000.0000000175</v>
      </c>
      <c r="BJ683">
        <f t="shared" ca="1" si="290"/>
        <v>1865000.0000000175</v>
      </c>
      <c r="BK683">
        <f t="shared" ca="1" si="291"/>
        <v>0</v>
      </c>
      <c r="BL683">
        <f ca="1">IF(ROW()&lt;($C$7+1),"",IFERROR((分析データ!E683-AVERAGE(OFFSET(分析データ!E$1,MAX(1,ROW()-$C$7),0,MIN($C$7,ROW()-1),1)))/STDEV(OFFSET(分析データ!E$1,MAX(1,ROW()-$C$7),0,MIN($C$7,ROW()-1),1)),0))</f>
        <v>1.0566300001198294</v>
      </c>
      <c r="BM683">
        <f t="shared" ca="1" si="292"/>
        <v>0</v>
      </c>
      <c r="BN683" t="str">
        <f ca="1">IF(BM683=1,IF(INDEX(分析データ!$A:$A,ROW()+$C$5)&lt;&gt;"",40000*SIGN(BL683)*(分析データ!E683-INDEX(分析データ!E:E,ROW()+$C$5)),""),"")</f>
        <v/>
      </c>
      <c r="BO683">
        <f t="shared" ca="1" si="293"/>
        <v>4280000.0000000028</v>
      </c>
      <c r="BP683">
        <f t="shared" ca="1" si="294"/>
        <v>4280000.0000000028</v>
      </c>
      <c r="BQ683">
        <f t="shared" ca="1" si="295"/>
        <v>0</v>
      </c>
      <c r="BR683">
        <f ca="1">IF(ROW()&lt;($C$7+1),"",IFERROR((分析データ!F683-AVERAGE(OFFSET(分析データ!F$1,MAX(1,ROW()-$C$7),0,MIN($C$7,ROW()-1),1)))/STDEV(OFFSET(分析データ!F$1,MAX(1,ROW()-$C$7),0,MIN($C$7,ROW()-1),1)),0))</f>
        <v>-0.94947047643573868</v>
      </c>
      <c r="BS683">
        <f t="shared" ca="1" si="296"/>
        <v>0</v>
      </c>
      <c r="BT683" t="str">
        <f ca="1">IF(BS683=1,IF(INDEX(分析データ!$A:$A,ROW()+$C$5)&lt;&gt;"",40000*SIGN(BR683)*(分析データ!F683-INDEX(分析データ!F:F,ROW()+$C$5)),""),"")</f>
        <v/>
      </c>
      <c r="BU683">
        <f t="shared" ca="1" si="297"/>
        <v>14917200.000000004</v>
      </c>
      <c r="BV683">
        <f t="shared" ca="1" si="298"/>
        <v>14917200.000000004</v>
      </c>
      <c r="BW683">
        <f t="shared" ca="1" si="299"/>
        <v>0</v>
      </c>
      <c r="BX683">
        <f ca="1">IF(ROW()&lt;($C$7+1),"",IFERROR((分析データ!G683-AVERAGE(OFFSET(分析データ!G$1,MAX(1,ROW()-$C$7),0,MIN($C$7,ROW()-1),1)))/STDEV(OFFSET(分析データ!G$1,MAX(1,ROW()-$C$7),0,MIN($C$7,ROW()-1),1)),0))</f>
        <v>1.8441963664865217</v>
      </c>
      <c r="BY683">
        <f t="shared" ca="1" si="300"/>
        <v>0</v>
      </c>
      <c r="BZ683" t="str">
        <f ca="1">IF(BY683=1,IF(INDEX(分析データ!$A:$A,ROW()+$C$5)&lt;&gt;"",40000*SIGN(BX683)*(分析データ!G683-INDEX(分析データ!G:G,ROW()+$C$5)),""),"")</f>
        <v/>
      </c>
      <c r="CA683">
        <f t="shared" ca="1" si="301"/>
        <v>-3515452.8662109179</v>
      </c>
      <c r="CB683">
        <f t="shared" ca="1" si="302"/>
        <v>11327520.000000004</v>
      </c>
      <c r="CC683">
        <f t="shared" ca="1" si="303"/>
        <v>-14842972.866210923</v>
      </c>
      <c r="CD683">
        <f t="shared" ca="1" si="304"/>
        <v>34999.999999999432</v>
      </c>
      <c r="CE683">
        <f t="shared" ca="1" si="305"/>
        <v>15621747.133789144</v>
      </c>
      <c r="CF683">
        <f t="shared" ca="1" si="306"/>
        <v>19067197.138671909</v>
      </c>
      <c r="CG683">
        <f t="shared" ca="1" si="307"/>
        <v>-3445450.0048827641</v>
      </c>
      <c r="CH683" s="10">
        <f>分析データ!A683</f>
        <v>45923</v>
      </c>
    </row>
    <row r="684" spans="46:86">
      <c r="AT684">
        <f ca="1">IF(ROW()&lt;($C$7+1),"",IFERROR((分析データ!B684-AVERAGE(OFFSET(分析データ!B$1,MAX(1,ROW()-$C$7),0,MIN($C$7,ROW()-1),1)))/STDEV(OFFSET(分析データ!B$1,MAX(1,ROW()-$C$7),0,MIN($C$7,ROW()-1),1)),0))</f>
        <v>9.79790910779237E-2</v>
      </c>
      <c r="AU684">
        <f t="shared" ca="1" si="280"/>
        <v>0</v>
      </c>
      <c r="AV684" t="str">
        <f ca="1">IF(AU684=1,IF(INDEX(分析データ!$A:$A,ROW()+$C$5)&lt;&gt;"",80000*SIGN(AT684)*(分析データ!B684-INDEX(分析データ!B:B,ROW()+$C$5)),""),"")</f>
        <v/>
      </c>
      <c r="AW684">
        <f t="shared" ca="1" si="281"/>
        <v>-4999999.9999999925</v>
      </c>
      <c r="AX684">
        <f t="shared" ca="1" si="282"/>
        <v>0</v>
      </c>
      <c r="AY684">
        <f t="shared" ca="1" si="283"/>
        <v>-4999999.9999999925</v>
      </c>
      <c r="AZ684">
        <f ca="1">IF(ROW()&lt;($C$7+1),"",IFERROR((分析データ!C684-AVERAGE(OFFSET(分析データ!C$1,MAX(1,ROW()-$C$7),0,MIN($C$7,ROW()-1),1)))/STDEV(OFFSET(分析データ!C$1,MAX(1,ROW()-$C$7),0,MIN($C$7,ROW()-1),1)),0))</f>
        <v>-0.58102378438292179</v>
      </c>
      <c r="BA684">
        <f t="shared" ca="1" si="284"/>
        <v>0</v>
      </c>
      <c r="BB684" t="str">
        <f ca="1">IF(BA684=1,IF(INDEX(分析データ!$A:$A,ROW()+$C$5)&lt;&gt;"",60000*SIGN(AZ684)*(分析データ!C684-INDEX(分析データ!C:C,ROW()+$C$5)),""),"")</f>
        <v/>
      </c>
      <c r="BC684">
        <f t="shared" ca="1" si="285"/>
        <v>3075000.0000000102</v>
      </c>
      <c r="BD684">
        <f t="shared" ca="1" si="286"/>
        <v>3075000.0000000102</v>
      </c>
      <c r="BE684">
        <f t="shared" ca="1" si="287"/>
        <v>0</v>
      </c>
      <c r="BF684">
        <f ca="1">IF(ROW()&lt;($C$7+1),"",IFERROR((分析データ!D684-AVERAGE(OFFSET(分析データ!D$1,MAX(1,ROW()-$C$7),0,MIN($C$7,ROW()-1),1)))/STDEV(OFFSET(分析データ!D$1,MAX(1,ROW()-$C$7),0,MIN($C$7,ROW()-1),1)),0))</f>
        <v>-1.7926878180211856</v>
      </c>
      <c r="BG684">
        <f t="shared" ca="1" si="288"/>
        <v>0</v>
      </c>
      <c r="BH684" t="str">
        <f ca="1">IF(BG684=1,IF(INDEX(分析データ!$A:$A,ROW()+$C$5)&lt;&gt;"",50000*SIGN(BF684)*(分析データ!D684-INDEX(分析データ!D:D,ROW()+$C$5)),""),"")</f>
        <v/>
      </c>
      <c r="BI684">
        <f t="shared" ca="1" si="289"/>
        <v>1865000.0000000175</v>
      </c>
      <c r="BJ684">
        <f t="shared" ca="1" si="290"/>
        <v>1865000.0000000175</v>
      </c>
      <c r="BK684">
        <f t="shared" ca="1" si="291"/>
        <v>0</v>
      </c>
      <c r="BL684">
        <f ca="1">IF(ROW()&lt;($C$7+1),"",IFERROR((分析データ!E684-AVERAGE(OFFSET(分析データ!E$1,MAX(1,ROW()-$C$7),0,MIN($C$7,ROW()-1),1)))/STDEV(OFFSET(分析データ!E$1,MAX(1,ROW()-$C$7),0,MIN($C$7,ROW()-1),1)),0))</f>
        <v>1.1980272309329414</v>
      </c>
      <c r="BM684">
        <f t="shared" ca="1" si="292"/>
        <v>0</v>
      </c>
      <c r="BN684" t="str">
        <f ca="1">IF(BM684=1,IF(INDEX(分析データ!$A:$A,ROW()+$C$5)&lt;&gt;"",40000*SIGN(BL684)*(分析データ!E684-INDEX(分析データ!E:E,ROW()+$C$5)),""),"")</f>
        <v/>
      </c>
      <c r="BO684">
        <f t="shared" ca="1" si="293"/>
        <v>4280000.0000000028</v>
      </c>
      <c r="BP684">
        <f t="shared" ca="1" si="294"/>
        <v>4280000.0000000028</v>
      </c>
      <c r="BQ684">
        <f t="shared" ca="1" si="295"/>
        <v>0</v>
      </c>
      <c r="BR684">
        <f ca="1">IF(ROW()&lt;($C$7+1),"",IFERROR((分析データ!F684-AVERAGE(OFFSET(分析データ!F$1,MAX(1,ROW()-$C$7),0,MIN($C$7,ROW()-1),1)))/STDEV(OFFSET(分析データ!F$1,MAX(1,ROW()-$C$7),0,MIN($C$7,ROW()-1),1)),0))</f>
        <v>-1.0715990392971384</v>
      </c>
      <c r="BS684">
        <f t="shared" ca="1" si="296"/>
        <v>0</v>
      </c>
      <c r="BT684" t="str">
        <f ca="1">IF(BS684=1,IF(INDEX(分析データ!$A:$A,ROW()+$C$5)&lt;&gt;"",40000*SIGN(BR684)*(分析データ!F684-INDEX(分析データ!F:F,ROW()+$C$5)),""),"")</f>
        <v/>
      </c>
      <c r="BU684">
        <f t="shared" ca="1" si="297"/>
        <v>14917200.000000004</v>
      </c>
      <c r="BV684">
        <f t="shared" ca="1" si="298"/>
        <v>14917200.000000004</v>
      </c>
      <c r="BW684">
        <f t="shared" ca="1" si="299"/>
        <v>0</v>
      </c>
      <c r="BX684">
        <f ca="1">IF(ROW()&lt;($C$7+1),"",IFERROR((分析データ!G684-AVERAGE(OFFSET(分析データ!G$1,MAX(1,ROW()-$C$7),0,MIN($C$7,ROW()-1),1)))/STDEV(OFFSET(分析データ!G$1,MAX(1,ROW()-$C$7),0,MIN($C$7,ROW()-1),1)),0))</f>
        <v>1.8721665644168555</v>
      </c>
      <c r="BY684">
        <f t="shared" ca="1" si="300"/>
        <v>0</v>
      </c>
      <c r="BZ684" t="str">
        <f ca="1">IF(BY684=1,IF(INDEX(分析データ!$A:$A,ROW()+$C$5)&lt;&gt;"",40000*SIGN(BX684)*(分析データ!G684-INDEX(分析データ!G:G,ROW()+$C$5)),""),"")</f>
        <v/>
      </c>
      <c r="CA684">
        <f t="shared" ca="1" si="301"/>
        <v>-3515452.8662109179</v>
      </c>
      <c r="CB684">
        <f t="shared" ca="1" si="302"/>
        <v>11327520.000000004</v>
      </c>
      <c r="CC684">
        <f t="shared" ca="1" si="303"/>
        <v>-14842972.866210923</v>
      </c>
      <c r="CD684">
        <f t="shared" ca="1" si="304"/>
        <v>0</v>
      </c>
      <c r="CE684">
        <f t="shared" ca="1" si="305"/>
        <v>15621747.133789144</v>
      </c>
      <c r="CF684">
        <f t="shared" ca="1" si="306"/>
        <v>19067197.138671909</v>
      </c>
      <c r="CG684">
        <f t="shared" ca="1" si="307"/>
        <v>-3445450.0048827641</v>
      </c>
      <c r="CH684" s="10">
        <f>分析データ!A684</f>
        <v>45924</v>
      </c>
    </row>
    <row r="685" spans="46:86">
      <c r="AT685">
        <f ca="1">IF(ROW()&lt;($C$7+1),"",IFERROR((分析データ!B685-AVERAGE(OFFSET(分析データ!B$1,MAX(1,ROW()-$C$7),0,MIN($C$7,ROW()-1),1)))/STDEV(OFFSET(分析データ!B$1,MAX(1,ROW()-$C$7),0,MIN($C$7,ROW()-1),1)),0))</f>
        <v>-0.13400031738268511</v>
      </c>
      <c r="AU685">
        <f t="shared" ca="1" si="280"/>
        <v>0</v>
      </c>
      <c r="AV685" t="str">
        <f ca="1">IF(AU685=1,IF(INDEX(分析データ!$A:$A,ROW()+$C$5)&lt;&gt;"",80000*SIGN(AT685)*(分析データ!B685-INDEX(分析データ!B:B,ROW()+$C$5)),""),"")</f>
        <v/>
      </c>
      <c r="AW685">
        <f t="shared" ca="1" si="281"/>
        <v>-4999999.9999999925</v>
      </c>
      <c r="AX685">
        <f t="shared" ca="1" si="282"/>
        <v>0</v>
      </c>
      <c r="AY685">
        <f t="shared" ca="1" si="283"/>
        <v>-4999999.9999999925</v>
      </c>
      <c r="AZ685">
        <f ca="1">IF(ROW()&lt;($C$7+1),"",IFERROR((分析データ!C685-AVERAGE(OFFSET(分析データ!C$1,MAX(1,ROW()-$C$7),0,MIN($C$7,ROW()-1),1)))/STDEV(OFFSET(分析データ!C$1,MAX(1,ROW()-$C$7),0,MIN($C$7,ROW()-1),1)),0))</f>
        <v>-0.40919671149657649</v>
      </c>
      <c r="BA685">
        <f t="shared" ca="1" si="284"/>
        <v>0</v>
      </c>
      <c r="BB685" t="str">
        <f ca="1">IF(BA685=1,IF(INDEX(分析データ!$A:$A,ROW()+$C$5)&lt;&gt;"",60000*SIGN(AZ685)*(分析データ!C685-INDEX(分析データ!C:C,ROW()+$C$5)),""),"")</f>
        <v/>
      </c>
      <c r="BC685">
        <f t="shared" ca="1" si="285"/>
        <v>3075000.0000000102</v>
      </c>
      <c r="BD685">
        <f t="shared" ca="1" si="286"/>
        <v>3075000.0000000102</v>
      </c>
      <c r="BE685">
        <f t="shared" ca="1" si="287"/>
        <v>0</v>
      </c>
      <c r="BF685">
        <f ca="1">IF(ROW()&lt;($C$7+1),"",IFERROR((分析データ!D685-AVERAGE(OFFSET(分析データ!D$1,MAX(1,ROW()-$C$7),0,MIN($C$7,ROW()-1),1)))/STDEV(OFFSET(分析データ!D$1,MAX(1,ROW()-$C$7),0,MIN($C$7,ROW()-1),1)),0))</f>
        <v>-1.7209615325060306</v>
      </c>
      <c r="BG685">
        <f t="shared" ca="1" si="288"/>
        <v>0</v>
      </c>
      <c r="BH685" t="str">
        <f ca="1">IF(BG685=1,IF(INDEX(分析データ!$A:$A,ROW()+$C$5)&lt;&gt;"",50000*SIGN(BF685)*(分析データ!D685-INDEX(分析データ!D:D,ROW()+$C$5)),""),"")</f>
        <v/>
      </c>
      <c r="BI685">
        <f t="shared" ca="1" si="289"/>
        <v>1865000.0000000175</v>
      </c>
      <c r="BJ685">
        <f t="shared" ca="1" si="290"/>
        <v>1865000.0000000175</v>
      </c>
      <c r="BK685">
        <f t="shared" ca="1" si="291"/>
        <v>0</v>
      </c>
      <c r="BL685">
        <f ca="1">IF(ROW()&lt;($C$7+1),"",IFERROR((分析データ!E685-AVERAGE(OFFSET(分析データ!E$1,MAX(1,ROW()-$C$7),0,MIN($C$7,ROW()-1),1)))/STDEV(OFFSET(分析データ!E$1,MAX(1,ROW()-$C$7),0,MIN($C$7,ROW()-1),1)),0))</f>
        <v>0.96526706002097917</v>
      </c>
      <c r="BM685">
        <f t="shared" ca="1" si="292"/>
        <v>0</v>
      </c>
      <c r="BN685" t="str">
        <f ca="1">IF(BM685=1,IF(INDEX(分析データ!$A:$A,ROW()+$C$5)&lt;&gt;"",40000*SIGN(BL685)*(分析データ!E685-INDEX(分析データ!E:E,ROW()+$C$5)),""),"")</f>
        <v/>
      </c>
      <c r="BO685">
        <f t="shared" ca="1" si="293"/>
        <v>4280000.0000000028</v>
      </c>
      <c r="BP685">
        <f t="shared" ca="1" si="294"/>
        <v>4280000.0000000028</v>
      </c>
      <c r="BQ685">
        <f t="shared" ca="1" si="295"/>
        <v>0</v>
      </c>
      <c r="BR685">
        <f ca="1">IF(ROW()&lt;($C$7+1),"",IFERROR((分析データ!F685-AVERAGE(OFFSET(分析データ!F$1,MAX(1,ROW()-$C$7),0,MIN($C$7,ROW()-1),1)))/STDEV(OFFSET(分析データ!F$1,MAX(1,ROW()-$C$7),0,MIN($C$7,ROW()-1),1)),0))</f>
        <v>-1.1390426853777196</v>
      </c>
      <c r="BS685">
        <f t="shared" ca="1" si="296"/>
        <v>0</v>
      </c>
      <c r="BT685" t="str">
        <f ca="1">IF(BS685=1,IF(INDEX(分析データ!$A:$A,ROW()+$C$5)&lt;&gt;"",40000*SIGN(BR685)*(分析データ!F685-INDEX(分析データ!F:F,ROW()+$C$5)),""),"")</f>
        <v/>
      </c>
      <c r="BU685">
        <f t="shared" ca="1" si="297"/>
        <v>14917200.000000004</v>
      </c>
      <c r="BV685">
        <f t="shared" ca="1" si="298"/>
        <v>14917200.000000004</v>
      </c>
      <c r="BW685">
        <f t="shared" ca="1" si="299"/>
        <v>0</v>
      </c>
      <c r="BX685">
        <f ca="1">IF(ROW()&lt;($C$7+1),"",IFERROR((分析データ!G685-AVERAGE(OFFSET(分析データ!G$1,MAX(1,ROW()-$C$7),0,MIN($C$7,ROW()-1),1)))/STDEV(OFFSET(分析データ!G$1,MAX(1,ROW()-$C$7),0,MIN($C$7,ROW()-1),1)),0))</f>
        <v>1.7176461154484861</v>
      </c>
      <c r="BY685">
        <f t="shared" ca="1" si="300"/>
        <v>0</v>
      </c>
      <c r="BZ685" t="str">
        <f ca="1">IF(BY685=1,IF(INDEX(分析データ!$A:$A,ROW()+$C$5)&lt;&gt;"",40000*SIGN(BX685)*(分析データ!G685-INDEX(分析データ!G:G,ROW()+$C$5)),""),"")</f>
        <v/>
      </c>
      <c r="CA685">
        <f t="shared" ca="1" si="301"/>
        <v>-3515452.8662109179</v>
      </c>
      <c r="CB685">
        <f t="shared" ca="1" si="302"/>
        <v>11327520.000000004</v>
      </c>
      <c r="CC685">
        <f t="shared" ca="1" si="303"/>
        <v>-14842972.866210923</v>
      </c>
      <c r="CD685">
        <f t="shared" ca="1" si="304"/>
        <v>0</v>
      </c>
      <c r="CE685">
        <f t="shared" ca="1" si="305"/>
        <v>15621747.133789144</v>
      </c>
      <c r="CF685">
        <f t="shared" ca="1" si="306"/>
        <v>19067197.138671909</v>
      </c>
      <c r="CG685">
        <f t="shared" ca="1" si="307"/>
        <v>-3445450.0048827641</v>
      </c>
      <c r="CH685" s="10">
        <f>分析データ!A685</f>
        <v>45925</v>
      </c>
    </row>
    <row r="686" spans="46:86">
      <c r="AT686">
        <f ca="1">IF(ROW()&lt;($C$7+1),"",IFERROR((分析データ!B686-AVERAGE(OFFSET(分析データ!B$1,MAX(1,ROW()-$C$7),0,MIN($C$7,ROW()-1),1)))/STDEV(OFFSET(分析データ!B$1,MAX(1,ROW()-$C$7),0,MIN($C$7,ROW()-1),1)),0))</f>
        <v>0.19977087747671252</v>
      </c>
      <c r="AU686">
        <f t="shared" ca="1" si="280"/>
        <v>0</v>
      </c>
      <c r="AV686" t="str">
        <f ca="1">IF(AU686=1,IF(INDEX(分析データ!$A:$A,ROW()+$C$5)&lt;&gt;"",80000*SIGN(AT686)*(分析データ!B686-INDEX(分析データ!B:B,ROW()+$C$5)),""),"")</f>
        <v/>
      </c>
      <c r="AW686">
        <f t="shared" ca="1" si="281"/>
        <v>-4999999.9999999925</v>
      </c>
      <c r="AX686">
        <f t="shared" ca="1" si="282"/>
        <v>0</v>
      </c>
      <c r="AY686">
        <f t="shared" ca="1" si="283"/>
        <v>-4999999.9999999925</v>
      </c>
      <c r="AZ686">
        <f ca="1">IF(ROW()&lt;($C$7+1),"",IFERROR((分析データ!C686-AVERAGE(OFFSET(分析データ!C$1,MAX(1,ROW()-$C$7),0,MIN($C$7,ROW()-1),1)))/STDEV(OFFSET(分析データ!C$1,MAX(1,ROW()-$C$7),0,MIN($C$7,ROW()-1),1)),0))</f>
        <v>-0.44611303375409733</v>
      </c>
      <c r="BA686">
        <f t="shared" ca="1" si="284"/>
        <v>0</v>
      </c>
      <c r="BB686" t="str">
        <f ca="1">IF(BA686=1,IF(INDEX(分析データ!$A:$A,ROW()+$C$5)&lt;&gt;"",60000*SIGN(AZ686)*(分析データ!C686-INDEX(分析データ!C:C,ROW()+$C$5)),""),"")</f>
        <v/>
      </c>
      <c r="BC686">
        <f t="shared" ca="1" si="285"/>
        <v>3075000.0000000102</v>
      </c>
      <c r="BD686">
        <f t="shared" ca="1" si="286"/>
        <v>3075000.0000000102</v>
      </c>
      <c r="BE686">
        <f t="shared" ca="1" si="287"/>
        <v>0</v>
      </c>
      <c r="BF686">
        <f ca="1">IF(ROW()&lt;($C$7+1),"",IFERROR((分析データ!D686-AVERAGE(OFFSET(分析データ!D$1,MAX(1,ROW()-$C$7),0,MIN($C$7,ROW()-1),1)))/STDEV(OFFSET(分析データ!D$1,MAX(1,ROW()-$C$7),0,MIN($C$7,ROW()-1),1)),0))</f>
        <v>-1.671657954662032</v>
      </c>
      <c r="BG686">
        <f t="shared" ca="1" si="288"/>
        <v>0</v>
      </c>
      <c r="BH686" t="str">
        <f ca="1">IF(BG686=1,IF(INDEX(分析データ!$A:$A,ROW()+$C$5)&lt;&gt;"",50000*SIGN(BF686)*(分析データ!D686-INDEX(分析データ!D:D,ROW()+$C$5)),""),"")</f>
        <v/>
      </c>
      <c r="BI686">
        <f t="shared" ca="1" si="289"/>
        <v>1865000.0000000175</v>
      </c>
      <c r="BJ686">
        <f t="shared" ca="1" si="290"/>
        <v>1865000.0000000175</v>
      </c>
      <c r="BK686">
        <f t="shared" ca="1" si="291"/>
        <v>0</v>
      </c>
      <c r="BL686">
        <f ca="1">IF(ROW()&lt;($C$7+1),"",IFERROR((分析データ!E686-AVERAGE(OFFSET(分析データ!E$1,MAX(1,ROW()-$C$7),0,MIN($C$7,ROW()-1),1)))/STDEV(OFFSET(分析データ!E$1,MAX(1,ROW()-$C$7),0,MIN($C$7,ROW()-1),1)),0))</f>
        <v>1.0327043260134523</v>
      </c>
      <c r="BM686">
        <f t="shared" ca="1" si="292"/>
        <v>0</v>
      </c>
      <c r="BN686" t="str">
        <f ca="1">IF(BM686=1,IF(INDEX(分析データ!$A:$A,ROW()+$C$5)&lt;&gt;"",40000*SIGN(BL686)*(分析データ!E686-INDEX(分析データ!E:E,ROW()+$C$5)),""),"")</f>
        <v/>
      </c>
      <c r="BO686">
        <f t="shared" ca="1" si="293"/>
        <v>4280000.0000000028</v>
      </c>
      <c r="BP686">
        <f t="shared" ca="1" si="294"/>
        <v>4280000.0000000028</v>
      </c>
      <c r="BQ686">
        <f t="shared" ca="1" si="295"/>
        <v>0</v>
      </c>
      <c r="BR686">
        <f ca="1">IF(ROW()&lt;($C$7+1),"",IFERROR((分析データ!F686-AVERAGE(OFFSET(分析データ!F$1,MAX(1,ROW()-$C$7),0,MIN($C$7,ROW()-1),1)))/STDEV(OFFSET(分析データ!F$1,MAX(1,ROW()-$C$7),0,MIN($C$7,ROW()-1),1)),0))</f>
        <v>-1.1947455733491892</v>
      </c>
      <c r="BS686">
        <f t="shared" ca="1" si="296"/>
        <v>0</v>
      </c>
      <c r="BT686" t="str">
        <f ca="1">IF(BS686=1,IF(INDEX(分析データ!$A:$A,ROW()+$C$5)&lt;&gt;"",40000*SIGN(BR686)*(分析データ!F686-INDEX(分析データ!F:F,ROW()+$C$5)),""),"")</f>
        <v/>
      </c>
      <c r="BU686">
        <f t="shared" ca="1" si="297"/>
        <v>14917200.000000004</v>
      </c>
      <c r="BV686">
        <f t="shared" ca="1" si="298"/>
        <v>14917200.000000004</v>
      </c>
      <c r="BW686">
        <f t="shared" ca="1" si="299"/>
        <v>0</v>
      </c>
      <c r="BX686">
        <f ca="1">IF(ROW()&lt;($C$7+1),"",IFERROR((分析データ!G686-AVERAGE(OFFSET(分析データ!G$1,MAX(1,ROW()-$C$7),0,MIN($C$7,ROW()-1),1)))/STDEV(OFFSET(分析データ!G$1,MAX(1,ROW()-$C$7),0,MIN($C$7,ROW()-1),1)),0))</f>
        <v>1.7346900331957131</v>
      </c>
      <c r="BY686">
        <f t="shared" ca="1" si="300"/>
        <v>0</v>
      </c>
      <c r="BZ686" t="str">
        <f ca="1">IF(BY686=1,IF(INDEX(分析データ!$A:$A,ROW()+$C$5)&lt;&gt;"",40000*SIGN(BX686)*(分析データ!G686-INDEX(分析データ!G:G,ROW()+$C$5)),""),"")</f>
        <v/>
      </c>
      <c r="CA686">
        <f t="shared" ca="1" si="301"/>
        <v>-3515452.8662109179</v>
      </c>
      <c r="CB686">
        <f t="shared" ca="1" si="302"/>
        <v>11327520.000000004</v>
      </c>
      <c r="CC686">
        <f t="shared" ca="1" si="303"/>
        <v>-14842972.866210923</v>
      </c>
      <c r="CD686">
        <f t="shared" ca="1" si="304"/>
        <v>0</v>
      </c>
      <c r="CE686">
        <f t="shared" ca="1" si="305"/>
        <v>15621747.133789144</v>
      </c>
      <c r="CF686">
        <f t="shared" ca="1" si="306"/>
        <v>19067197.138671909</v>
      </c>
      <c r="CG686">
        <f t="shared" ca="1" si="307"/>
        <v>-3445450.0048827641</v>
      </c>
      <c r="CH686" s="10">
        <f>分析データ!A686</f>
        <v>45926</v>
      </c>
    </row>
    <row r="687" spans="46:86">
      <c r="AT687">
        <f ca="1">IF(ROW()&lt;($C$7+1),"",IFERROR((分析データ!B687-AVERAGE(OFFSET(分析データ!B$1,MAX(1,ROW()-$C$7),0,MIN($C$7,ROW()-1),1)))/STDEV(OFFSET(分析データ!B$1,MAX(1,ROW()-$C$7),0,MIN($C$7,ROW()-1),1)),0))</f>
        <v>-0.2589495731101642</v>
      </c>
      <c r="AU687">
        <f t="shared" ca="1" si="280"/>
        <v>0</v>
      </c>
      <c r="AV687" t="str">
        <f ca="1">IF(AU687=1,IF(INDEX(分析データ!$A:$A,ROW()+$C$5)&lt;&gt;"",80000*SIGN(AT687)*(分析データ!B687-INDEX(分析データ!B:B,ROW()+$C$5)),""),"")</f>
        <v/>
      </c>
      <c r="AW687">
        <f t="shared" ca="1" si="281"/>
        <v>-4999999.9999999925</v>
      </c>
      <c r="AX687">
        <f t="shared" ca="1" si="282"/>
        <v>0</v>
      </c>
      <c r="AY687">
        <f t="shared" ca="1" si="283"/>
        <v>-4999999.9999999925</v>
      </c>
      <c r="AZ687">
        <f ca="1">IF(ROW()&lt;($C$7+1),"",IFERROR((分析データ!C687-AVERAGE(OFFSET(分析データ!C$1,MAX(1,ROW()-$C$7),0,MIN($C$7,ROW()-1),1)))/STDEV(OFFSET(分析データ!C$1,MAX(1,ROW()-$C$7),0,MIN($C$7,ROW()-1),1)),0))</f>
        <v>-0.3765030906695227</v>
      </c>
      <c r="BA687">
        <f t="shared" ca="1" si="284"/>
        <v>0</v>
      </c>
      <c r="BB687" t="str">
        <f ca="1">IF(BA687=1,IF(INDEX(分析データ!$A:$A,ROW()+$C$5)&lt;&gt;"",60000*SIGN(AZ687)*(分析データ!C687-INDEX(分析データ!C:C,ROW()+$C$5)),""),"")</f>
        <v/>
      </c>
      <c r="BC687">
        <f t="shared" ca="1" si="285"/>
        <v>3075000.0000000102</v>
      </c>
      <c r="BD687">
        <f t="shared" ca="1" si="286"/>
        <v>3075000.0000000102</v>
      </c>
      <c r="BE687">
        <f t="shared" ca="1" si="287"/>
        <v>0</v>
      </c>
      <c r="BF687">
        <f ca="1">IF(ROW()&lt;($C$7+1),"",IFERROR((分析データ!D687-AVERAGE(OFFSET(分析データ!D$1,MAX(1,ROW()-$C$7),0,MIN($C$7,ROW()-1),1)))/STDEV(OFFSET(分析データ!D$1,MAX(1,ROW()-$C$7),0,MIN($C$7,ROW()-1),1)),0))</f>
        <v>-1.7916732053741014</v>
      </c>
      <c r="BG687">
        <f t="shared" ca="1" si="288"/>
        <v>0</v>
      </c>
      <c r="BH687" t="str">
        <f ca="1">IF(BG687=1,IF(INDEX(分析データ!$A:$A,ROW()+$C$5)&lt;&gt;"",50000*SIGN(BF687)*(分析データ!D687-INDEX(分析データ!D:D,ROW()+$C$5)),""),"")</f>
        <v/>
      </c>
      <c r="BI687">
        <f t="shared" ca="1" si="289"/>
        <v>1865000.0000000175</v>
      </c>
      <c r="BJ687">
        <f t="shared" ca="1" si="290"/>
        <v>1865000.0000000175</v>
      </c>
      <c r="BK687">
        <f t="shared" ca="1" si="291"/>
        <v>0</v>
      </c>
      <c r="BL687">
        <f ca="1">IF(ROW()&lt;($C$7+1),"",IFERROR((分析データ!E687-AVERAGE(OFFSET(分析データ!E$1,MAX(1,ROW()-$C$7),0,MIN($C$7,ROW()-1),1)))/STDEV(OFFSET(分析データ!E$1,MAX(1,ROW()-$C$7),0,MIN($C$7,ROW()-1),1)),0))</f>
        <v>0.80247237702290652</v>
      </c>
      <c r="BM687">
        <f t="shared" ca="1" si="292"/>
        <v>0</v>
      </c>
      <c r="BN687" t="str">
        <f ca="1">IF(BM687=1,IF(INDEX(分析データ!$A:$A,ROW()+$C$5)&lt;&gt;"",40000*SIGN(BL687)*(分析データ!E687-INDEX(分析データ!E:E,ROW()+$C$5)),""),"")</f>
        <v/>
      </c>
      <c r="BO687">
        <f t="shared" ca="1" si="293"/>
        <v>4280000.0000000028</v>
      </c>
      <c r="BP687">
        <f t="shared" ca="1" si="294"/>
        <v>4280000.0000000028</v>
      </c>
      <c r="BQ687">
        <f t="shared" ca="1" si="295"/>
        <v>0</v>
      </c>
      <c r="BR687">
        <f ca="1">IF(ROW()&lt;($C$7+1),"",IFERROR((分析データ!F687-AVERAGE(OFFSET(分析データ!F$1,MAX(1,ROW()-$C$7),0,MIN($C$7,ROW()-1),1)))/STDEV(OFFSET(分析データ!F$1,MAX(1,ROW()-$C$7),0,MIN($C$7,ROW()-1),1)),0))</f>
        <v>-1.0121137478464253</v>
      </c>
      <c r="BS687">
        <f t="shared" ca="1" si="296"/>
        <v>0</v>
      </c>
      <c r="BT687" t="str">
        <f ca="1">IF(BS687=1,IF(INDEX(分析データ!$A:$A,ROW()+$C$5)&lt;&gt;"",40000*SIGN(BR687)*(分析データ!F687-INDEX(分析データ!F:F,ROW()+$C$5)),""),"")</f>
        <v/>
      </c>
      <c r="BU687">
        <f t="shared" ca="1" si="297"/>
        <v>14917200.000000004</v>
      </c>
      <c r="BV687">
        <f t="shared" ca="1" si="298"/>
        <v>14917200.000000004</v>
      </c>
      <c r="BW687">
        <f t="shared" ca="1" si="299"/>
        <v>0</v>
      </c>
      <c r="BX687">
        <f ca="1">IF(ROW()&lt;($C$7+1),"",IFERROR((分析データ!G687-AVERAGE(OFFSET(分析データ!G$1,MAX(1,ROW()-$C$7),0,MIN($C$7,ROW()-1),1)))/STDEV(OFFSET(分析データ!G$1,MAX(1,ROW()-$C$7),0,MIN($C$7,ROW()-1),1)),0))</f>
        <v>1.7069063879149322</v>
      </c>
      <c r="BY687">
        <f t="shared" ca="1" si="300"/>
        <v>0</v>
      </c>
      <c r="BZ687" t="str">
        <f ca="1">IF(BY687=1,IF(INDEX(分析データ!$A:$A,ROW()+$C$5)&lt;&gt;"",40000*SIGN(BX687)*(分析データ!G687-INDEX(分析データ!G:G,ROW()+$C$5)),""),"")</f>
        <v/>
      </c>
      <c r="CA687">
        <f t="shared" ca="1" si="301"/>
        <v>-3515452.8662109179</v>
      </c>
      <c r="CB687">
        <f t="shared" ca="1" si="302"/>
        <v>11327520.000000004</v>
      </c>
      <c r="CC687">
        <f t="shared" ca="1" si="303"/>
        <v>-14842972.866210923</v>
      </c>
      <c r="CD687">
        <f t="shared" ca="1" si="304"/>
        <v>0</v>
      </c>
      <c r="CE687">
        <f t="shared" ca="1" si="305"/>
        <v>15621747.133789144</v>
      </c>
      <c r="CF687">
        <f t="shared" ca="1" si="306"/>
        <v>19067197.138671909</v>
      </c>
      <c r="CG687">
        <f t="shared" ca="1" si="307"/>
        <v>-3445450.0048827641</v>
      </c>
      <c r="CH687" s="10">
        <f>分析データ!A687</f>
        <v>45929</v>
      </c>
    </row>
    <row r="688" spans="46:86">
      <c r="AT688">
        <f ca="1">IF(ROW()&lt;($C$7+1),"",IFERROR((分析データ!B688-AVERAGE(OFFSET(分析データ!B$1,MAX(1,ROW()-$C$7),0,MIN($C$7,ROW()-1),1)))/STDEV(OFFSET(分析データ!B$1,MAX(1,ROW()-$C$7),0,MIN($C$7,ROW()-1),1)),0))</f>
        <v>7.9785611126417841E-2</v>
      </c>
      <c r="AU688">
        <f t="shared" ca="1" si="280"/>
        <v>0</v>
      </c>
      <c r="AV688" t="str">
        <f ca="1">IF(AU688=1,IF(INDEX(分析データ!$A:$A,ROW()+$C$5)&lt;&gt;"",80000*SIGN(AT688)*(分析データ!B688-INDEX(分析データ!B:B,ROW()+$C$5)),""),"")</f>
        <v/>
      </c>
      <c r="AW688">
        <f t="shared" ca="1" si="281"/>
        <v>-4999999.9999999925</v>
      </c>
      <c r="AX688">
        <f t="shared" ca="1" si="282"/>
        <v>0</v>
      </c>
      <c r="AY688">
        <f t="shared" ca="1" si="283"/>
        <v>-4999999.9999999925</v>
      </c>
      <c r="AZ688">
        <f ca="1">IF(ROW()&lt;($C$7+1),"",IFERROR((分析データ!C688-AVERAGE(OFFSET(分析データ!C$1,MAX(1,ROW()-$C$7),0,MIN($C$7,ROW()-1),1)))/STDEV(OFFSET(分析データ!C$1,MAX(1,ROW()-$C$7),0,MIN($C$7,ROW()-1),1)),0))</f>
        <v>-0.62235571119502398</v>
      </c>
      <c r="BA688">
        <f t="shared" ca="1" si="284"/>
        <v>0</v>
      </c>
      <c r="BB688" t="str">
        <f ca="1">IF(BA688=1,IF(INDEX(分析データ!$A:$A,ROW()+$C$5)&lt;&gt;"",60000*SIGN(AZ688)*(分析データ!C688-INDEX(分析データ!C:C,ROW()+$C$5)),""),"")</f>
        <v/>
      </c>
      <c r="BC688">
        <f t="shared" ca="1" si="285"/>
        <v>3075000.0000000102</v>
      </c>
      <c r="BD688">
        <f t="shared" ca="1" si="286"/>
        <v>3075000.0000000102</v>
      </c>
      <c r="BE688">
        <f t="shared" ca="1" si="287"/>
        <v>0</v>
      </c>
      <c r="BF688">
        <f ca="1">IF(ROW()&lt;($C$7+1),"",IFERROR((分析データ!D688-AVERAGE(OFFSET(分析データ!D$1,MAX(1,ROW()-$C$7),0,MIN($C$7,ROW()-1),1)))/STDEV(OFFSET(分析データ!D$1,MAX(1,ROW()-$C$7),0,MIN($C$7,ROW()-1),1)),0))</f>
        <v>-1.7567275958912099</v>
      </c>
      <c r="BG688">
        <f t="shared" ca="1" si="288"/>
        <v>0</v>
      </c>
      <c r="BH688" t="str">
        <f ca="1">IF(BG688=1,IF(INDEX(分析データ!$A:$A,ROW()+$C$5)&lt;&gt;"",50000*SIGN(BF688)*(分析データ!D688-INDEX(分析データ!D:D,ROW()+$C$5)),""),"")</f>
        <v/>
      </c>
      <c r="BI688">
        <f t="shared" ca="1" si="289"/>
        <v>1865000.0000000175</v>
      </c>
      <c r="BJ688">
        <f t="shared" ca="1" si="290"/>
        <v>1865000.0000000175</v>
      </c>
      <c r="BK688">
        <f t="shared" ca="1" si="291"/>
        <v>0</v>
      </c>
      <c r="BL688">
        <f ca="1">IF(ROW()&lt;($C$7+1),"",IFERROR((分析データ!E688-AVERAGE(OFFSET(分析データ!E$1,MAX(1,ROW()-$C$7),0,MIN($C$7,ROW()-1),1)))/STDEV(OFFSET(分析データ!E$1,MAX(1,ROW()-$C$7),0,MIN($C$7,ROW()-1),1)),0))</f>
        <v>0.87174231531471402</v>
      </c>
      <c r="BM688">
        <f t="shared" ca="1" si="292"/>
        <v>0</v>
      </c>
      <c r="BN688" t="str">
        <f ca="1">IF(BM688=1,IF(INDEX(分析データ!$A:$A,ROW()+$C$5)&lt;&gt;"",40000*SIGN(BL688)*(分析データ!E688-INDEX(分析データ!E:E,ROW()+$C$5)),""),"")</f>
        <v/>
      </c>
      <c r="BO688">
        <f t="shared" ca="1" si="293"/>
        <v>4280000.0000000028</v>
      </c>
      <c r="BP688">
        <f t="shared" ca="1" si="294"/>
        <v>4280000.0000000028</v>
      </c>
      <c r="BQ688">
        <f t="shared" ca="1" si="295"/>
        <v>0</v>
      </c>
      <c r="BR688">
        <f ca="1">IF(ROW()&lt;($C$7+1),"",IFERROR((分析データ!F688-AVERAGE(OFFSET(分析データ!F$1,MAX(1,ROW()-$C$7),0,MIN($C$7,ROW()-1),1)))/STDEV(OFFSET(分析データ!F$1,MAX(1,ROW()-$C$7),0,MIN($C$7,ROW()-1),1)),0))</f>
        <v>-1.2043635282231877</v>
      </c>
      <c r="BS688">
        <f t="shared" ca="1" si="296"/>
        <v>0</v>
      </c>
      <c r="BT688" t="str">
        <f ca="1">IF(BS688=1,IF(INDEX(分析データ!$A:$A,ROW()+$C$5)&lt;&gt;"",40000*SIGN(BR688)*(分析データ!F688-INDEX(分析データ!F:F,ROW()+$C$5)),""),"")</f>
        <v/>
      </c>
      <c r="BU688">
        <f t="shared" ca="1" si="297"/>
        <v>14917200.000000004</v>
      </c>
      <c r="BV688">
        <f t="shared" ca="1" si="298"/>
        <v>14917200.000000004</v>
      </c>
      <c r="BW688">
        <f t="shared" ca="1" si="299"/>
        <v>0</v>
      </c>
      <c r="BX688">
        <f ca="1">IF(ROW()&lt;($C$7+1),"",IFERROR((分析データ!G688-AVERAGE(OFFSET(分析データ!G$1,MAX(1,ROW()-$C$7),0,MIN($C$7,ROW()-1),1)))/STDEV(OFFSET(分析データ!G$1,MAX(1,ROW()-$C$7),0,MIN($C$7,ROW()-1),1)),0))</f>
        <v>1.7509694892094525</v>
      </c>
      <c r="BY688">
        <f t="shared" ca="1" si="300"/>
        <v>0</v>
      </c>
      <c r="BZ688" t="str">
        <f ca="1">IF(BY688=1,IF(INDEX(分析データ!$A:$A,ROW()+$C$5)&lt;&gt;"",40000*SIGN(BX688)*(分析データ!G688-INDEX(分析データ!G:G,ROW()+$C$5)),""),"")</f>
        <v/>
      </c>
      <c r="CA688">
        <f t="shared" ca="1" si="301"/>
        <v>-3515452.8662109179</v>
      </c>
      <c r="CB688">
        <f t="shared" ca="1" si="302"/>
        <v>11327520.000000004</v>
      </c>
      <c r="CC688">
        <f t="shared" ca="1" si="303"/>
        <v>-14842972.866210923</v>
      </c>
      <c r="CD688">
        <f t="shared" ca="1" si="304"/>
        <v>0</v>
      </c>
      <c r="CE688">
        <f t="shared" ca="1" si="305"/>
        <v>15621747.133789144</v>
      </c>
      <c r="CF688">
        <f t="shared" ca="1" si="306"/>
        <v>19067197.138671909</v>
      </c>
      <c r="CG688">
        <f t="shared" ca="1" si="307"/>
        <v>-3445450.0048827641</v>
      </c>
      <c r="CH688" s="10">
        <f>分析データ!A688</f>
        <v>45930</v>
      </c>
    </row>
    <row r="689" spans="46:86">
      <c r="AT689">
        <f ca="1">IF(ROW()&lt;($C$7+1),"",IFERROR((分析データ!B689-AVERAGE(OFFSET(分析データ!B$1,MAX(1,ROW()-$C$7),0,MIN($C$7,ROW()-1),1)))/STDEV(OFFSET(分析データ!B$1,MAX(1,ROW()-$C$7),0,MIN($C$7,ROW()-1),1)),0))</f>
        <v>-0.15428123241920777</v>
      </c>
      <c r="AU689">
        <f t="shared" ca="1" si="280"/>
        <v>0</v>
      </c>
      <c r="AV689" t="str">
        <f ca="1">IF(AU689=1,IF(INDEX(分析データ!$A:$A,ROW()+$C$5)&lt;&gt;"",80000*SIGN(AT689)*(分析データ!B689-INDEX(分析データ!B:B,ROW()+$C$5)),""),"")</f>
        <v/>
      </c>
      <c r="AW689">
        <f t="shared" ca="1" si="281"/>
        <v>-4999999.9999999925</v>
      </c>
      <c r="AX689">
        <f t="shared" ca="1" si="282"/>
        <v>0</v>
      </c>
      <c r="AY689">
        <f t="shared" ca="1" si="283"/>
        <v>-4999999.9999999925</v>
      </c>
      <c r="AZ689">
        <f ca="1">IF(ROW()&lt;($C$7+1),"",IFERROR((分析データ!C689-AVERAGE(OFFSET(分析データ!C$1,MAX(1,ROW()-$C$7),0,MIN($C$7,ROW()-1),1)))/STDEV(OFFSET(分析データ!C$1,MAX(1,ROW()-$C$7),0,MIN($C$7,ROW()-1),1)),0))</f>
        <v>-0.62973634182329596</v>
      </c>
      <c r="BA689">
        <f t="shared" ca="1" si="284"/>
        <v>0</v>
      </c>
      <c r="BB689" t="str">
        <f ca="1">IF(BA689=1,IF(INDEX(分析データ!$A:$A,ROW()+$C$5)&lt;&gt;"",60000*SIGN(AZ689)*(分析データ!C689-INDEX(分析データ!C:C,ROW()+$C$5)),""),"")</f>
        <v/>
      </c>
      <c r="BC689">
        <f t="shared" ca="1" si="285"/>
        <v>3075000.0000000102</v>
      </c>
      <c r="BD689">
        <f t="shared" ca="1" si="286"/>
        <v>3075000.0000000102</v>
      </c>
      <c r="BE689">
        <f t="shared" ca="1" si="287"/>
        <v>0</v>
      </c>
      <c r="BF689">
        <f ca="1">IF(ROW()&lt;($C$7+1),"",IFERROR((分析データ!D689-AVERAGE(OFFSET(分析データ!D$1,MAX(1,ROW()-$C$7),0,MIN($C$7,ROW()-1),1)))/STDEV(OFFSET(分析データ!D$1,MAX(1,ROW()-$C$7),0,MIN($C$7,ROW()-1),1)),0))</f>
        <v>-1.8828186012620189</v>
      </c>
      <c r="BG689">
        <f t="shared" ca="1" si="288"/>
        <v>0</v>
      </c>
      <c r="BH689" t="str">
        <f ca="1">IF(BG689=1,IF(INDEX(分析データ!$A:$A,ROW()+$C$5)&lt;&gt;"",50000*SIGN(BF689)*(分析データ!D689-INDEX(分析データ!D:D,ROW()+$C$5)),""),"")</f>
        <v/>
      </c>
      <c r="BI689">
        <f t="shared" ca="1" si="289"/>
        <v>1865000.0000000175</v>
      </c>
      <c r="BJ689">
        <f t="shared" ca="1" si="290"/>
        <v>1865000.0000000175</v>
      </c>
      <c r="BK689">
        <f t="shared" ca="1" si="291"/>
        <v>0</v>
      </c>
      <c r="BL689">
        <f ca="1">IF(ROW()&lt;($C$7+1),"",IFERROR((分析データ!E689-AVERAGE(OFFSET(分析データ!E$1,MAX(1,ROW()-$C$7),0,MIN($C$7,ROW()-1),1)))/STDEV(OFFSET(分析データ!E$1,MAX(1,ROW()-$C$7),0,MIN($C$7,ROW()-1),1)),0))</f>
        <v>1.0138668982128194</v>
      </c>
      <c r="BM689">
        <f t="shared" ca="1" si="292"/>
        <v>0</v>
      </c>
      <c r="BN689" t="str">
        <f ca="1">IF(BM689=1,IF(INDEX(分析データ!$A:$A,ROW()+$C$5)&lt;&gt;"",40000*SIGN(BL689)*(分析データ!E689-INDEX(分析データ!E:E,ROW()+$C$5)),""),"")</f>
        <v/>
      </c>
      <c r="BO689">
        <f t="shared" ca="1" si="293"/>
        <v>4280000.0000000028</v>
      </c>
      <c r="BP689">
        <f t="shared" ca="1" si="294"/>
        <v>4280000.0000000028</v>
      </c>
      <c r="BQ689">
        <f t="shared" ca="1" si="295"/>
        <v>0</v>
      </c>
      <c r="BR689">
        <f ca="1">IF(ROW()&lt;($C$7+1),"",IFERROR((分析データ!F689-AVERAGE(OFFSET(分析データ!F$1,MAX(1,ROW()-$C$7),0,MIN($C$7,ROW()-1),1)))/STDEV(OFFSET(分析データ!F$1,MAX(1,ROW()-$C$7),0,MIN($C$7,ROW()-1),1)),0))</f>
        <v>-1.0428143368550029</v>
      </c>
      <c r="BS689">
        <f t="shared" ca="1" si="296"/>
        <v>0</v>
      </c>
      <c r="BT689" t="str">
        <f ca="1">IF(BS689=1,IF(INDEX(分析データ!$A:$A,ROW()+$C$5)&lt;&gt;"",40000*SIGN(BR689)*(分析データ!F689-INDEX(分析データ!F:F,ROW()+$C$5)),""),"")</f>
        <v/>
      </c>
      <c r="BU689">
        <f t="shared" ca="1" si="297"/>
        <v>14917200.000000004</v>
      </c>
      <c r="BV689">
        <f t="shared" ca="1" si="298"/>
        <v>14917200.000000004</v>
      </c>
      <c r="BW689">
        <f t="shared" ca="1" si="299"/>
        <v>0</v>
      </c>
      <c r="BX689">
        <f ca="1">IF(ROW()&lt;($C$7+1),"",IFERROR((分析データ!G689-AVERAGE(OFFSET(分析データ!G$1,MAX(1,ROW()-$C$7),0,MIN($C$7,ROW()-1),1)))/STDEV(OFFSET(分析データ!G$1,MAX(1,ROW()-$C$7),0,MIN($C$7,ROW()-1),1)),0))</f>
        <v>1.8078846989794599</v>
      </c>
      <c r="BY689">
        <f t="shared" ca="1" si="300"/>
        <v>0</v>
      </c>
      <c r="BZ689" t="str">
        <f ca="1">IF(BY689=1,IF(INDEX(分析データ!$A:$A,ROW()+$C$5)&lt;&gt;"",40000*SIGN(BX689)*(分析データ!G689-INDEX(分析データ!G:G,ROW()+$C$5)),""),"")</f>
        <v/>
      </c>
      <c r="CA689">
        <f t="shared" ca="1" si="301"/>
        <v>-3515452.8662109179</v>
      </c>
      <c r="CB689">
        <f t="shared" ca="1" si="302"/>
        <v>11327520.000000004</v>
      </c>
      <c r="CC689">
        <f t="shared" ca="1" si="303"/>
        <v>-14842972.866210923</v>
      </c>
      <c r="CD689">
        <f t="shared" ca="1" si="304"/>
        <v>0</v>
      </c>
      <c r="CE689">
        <f t="shared" ca="1" si="305"/>
        <v>15621747.133789144</v>
      </c>
      <c r="CF689">
        <f t="shared" ca="1" si="306"/>
        <v>19067197.138671909</v>
      </c>
      <c r="CG689">
        <f t="shared" ca="1" si="307"/>
        <v>-3445450.0048827641</v>
      </c>
      <c r="CH689" s="10">
        <f>分析データ!A689</f>
        <v>45931</v>
      </c>
    </row>
    <row r="690" spans="46:86">
      <c r="AT690">
        <f ca="1">IF(ROW()&lt;($C$7+1),"",IFERROR((分析データ!B690-AVERAGE(OFFSET(分析データ!B$1,MAX(1,ROW()-$C$7),0,MIN($C$7,ROW()-1),1)))/STDEV(OFFSET(分析データ!B$1,MAX(1,ROW()-$C$7),0,MIN($C$7,ROW()-1),1)),0))</f>
        <v>-0.27522528030698612</v>
      </c>
      <c r="AU690">
        <f t="shared" ca="1" si="280"/>
        <v>0</v>
      </c>
      <c r="AV690" t="str">
        <f ca="1">IF(AU690=1,IF(INDEX(分析データ!$A:$A,ROW()+$C$5)&lt;&gt;"",80000*SIGN(AT690)*(分析データ!B690-INDEX(分析データ!B:B,ROW()+$C$5)),""),"")</f>
        <v/>
      </c>
      <c r="AW690">
        <f t="shared" ca="1" si="281"/>
        <v>-4999999.9999999925</v>
      </c>
      <c r="AX690">
        <f t="shared" ca="1" si="282"/>
        <v>0</v>
      </c>
      <c r="AY690">
        <f t="shared" ca="1" si="283"/>
        <v>-4999999.9999999925</v>
      </c>
      <c r="AZ690">
        <f ca="1">IF(ROW()&lt;($C$7+1),"",IFERROR((分析データ!C690-AVERAGE(OFFSET(分析データ!C$1,MAX(1,ROW()-$C$7),0,MIN($C$7,ROW()-1),1)))/STDEV(OFFSET(分析データ!C$1,MAX(1,ROW()-$C$7),0,MIN($C$7,ROW()-1),1)),0))</f>
        <v>-0.55978373733923714</v>
      </c>
      <c r="BA690">
        <f t="shared" ca="1" si="284"/>
        <v>0</v>
      </c>
      <c r="BB690" t="str">
        <f ca="1">IF(BA690=1,IF(INDEX(分析データ!$A:$A,ROW()+$C$5)&lt;&gt;"",60000*SIGN(AZ690)*(分析データ!C690-INDEX(分析データ!C:C,ROW()+$C$5)),""),"")</f>
        <v/>
      </c>
      <c r="BC690">
        <f t="shared" ca="1" si="285"/>
        <v>3075000.0000000102</v>
      </c>
      <c r="BD690">
        <f t="shared" ca="1" si="286"/>
        <v>3075000.0000000102</v>
      </c>
      <c r="BE690">
        <f t="shared" ca="1" si="287"/>
        <v>0</v>
      </c>
      <c r="BF690">
        <f ca="1">IF(ROW()&lt;($C$7+1),"",IFERROR((分析データ!D690-AVERAGE(OFFSET(分析データ!D$1,MAX(1,ROW()-$C$7),0,MIN($C$7,ROW()-1),1)))/STDEV(OFFSET(分析データ!D$1,MAX(1,ROW()-$C$7),0,MIN($C$7,ROW()-1),1)),0))</f>
        <v>-1.9739979808755928</v>
      </c>
      <c r="BG690">
        <f t="shared" ca="1" si="288"/>
        <v>0</v>
      </c>
      <c r="BH690" t="str">
        <f ca="1">IF(BG690=1,IF(INDEX(分析データ!$A:$A,ROW()+$C$5)&lt;&gt;"",50000*SIGN(BF690)*(分析データ!D690-INDEX(分析データ!D:D,ROW()+$C$5)),""),"")</f>
        <v/>
      </c>
      <c r="BI690">
        <f t="shared" ca="1" si="289"/>
        <v>1865000.0000000175</v>
      </c>
      <c r="BJ690">
        <f t="shared" ca="1" si="290"/>
        <v>1865000.0000000175</v>
      </c>
      <c r="BK690">
        <f t="shared" ca="1" si="291"/>
        <v>0</v>
      </c>
      <c r="BL690">
        <f ca="1">IF(ROW()&lt;($C$7+1),"",IFERROR((分析データ!E690-AVERAGE(OFFSET(分析データ!E$1,MAX(1,ROW()-$C$7),0,MIN($C$7,ROW()-1),1)))/STDEV(OFFSET(分析データ!E$1,MAX(1,ROW()-$C$7),0,MIN($C$7,ROW()-1),1)),0))</f>
        <v>0.93248344883348266</v>
      </c>
      <c r="BM690">
        <f t="shared" ca="1" si="292"/>
        <v>0</v>
      </c>
      <c r="BN690" t="str">
        <f ca="1">IF(BM690=1,IF(INDEX(分析データ!$A:$A,ROW()+$C$5)&lt;&gt;"",40000*SIGN(BL690)*(分析データ!E690-INDEX(分析データ!E:E,ROW()+$C$5)),""),"")</f>
        <v/>
      </c>
      <c r="BO690">
        <f t="shared" ca="1" si="293"/>
        <v>4280000.0000000028</v>
      </c>
      <c r="BP690">
        <f t="shared" ca="1" si="294"/>
        <v>4280000.0000000028</v>
      </c>
      <c r="BQ690">
        <f t="shared" ca="1" si="295"/>
        <v>0</v>
      </c>
      <c r="BR690">
        <f ca="1">IF(ROW()&lt;($C$7+1),"",IFERROR((分析データ!F690-AVERAGE(OFFSET(分析データ!F$1,MAX(1,ROW()-$C$7),0,MIN($C$7,ROW()-1),1)))/STDEV(OFFSET(分析データ!F$1,MAX(1,ROW()-$C$7),0,MIN($C$7,ROW()-1),1)),0))</f>
        <v>-0.88841621512408953</v>
      </c>
      <c r="BS690">
        <f t="shared" ca="1" si="296"/>
        <v>0</v>
      </c>
      <c r="BT690" t="str">
        <f ca="1">IF(BS690=1,IF(INDEX(分析データ!$A:$A,ROW()+$C$5)&lt;&gt;"",40000*SIGN(BR690)*(分析データ!F690-INDEX(分析データ!F:F,ROW()+$C$5)),""),"")</f>
        <v/>
      </c>
      <c r="BU690">
        <f t="shared" ca="1" si="297"/>
        <v>14917200.000000004</v>
      </c>
      <c r="BV690">
        <f t="shared" ca="1" si="298"/>
        <v>14917200.000000004</v>
      </c>
      <c r="BW690">
        <f t="shared" ca="1" si="299"/>
        <v>0</v>
      </c>
      <c r="BX690">
        <f ca="1">IF(ROW()&lt;($C$7+1),"",IFERROR((分析データ!G690-AVERAGE(OFFSET(分析データ!G$1,MAX(1,ROW()-$C$7),0,MIN($C$7,ROW()-1),1)))/STDEV(OFFSET(分析データ!G$1,MAX(1,ROW()-$C$7),0,MIN($C$7,ROW()-1),1)),0))</f>
        <v>1.6905236633039276</v>
      </c>
      <c r="BY690">
        <f t="shared" ca="1" si="300"/>
        <v>0</v>
      </c>
      <c r="BZ690" t="str">
        <f ca="1">IF(BY690=1,IF(INDEX(分析データ!$A:$A,ROW()+$C$5)&lt;&gt;"",40000*SIGN(BX690)*(分析データ!G690-INDEX(分析データ!G:G,ROW()+$C$5)),""),"")</f>
        <v/>
      </c>
      <c r="CA690">
        <f t="shared" ca="1" si="301"/>
        <v>-3515452.8662109179</v>
      </c>
      <c r="CB690">
        <f t="shared" ca="1" si="302"/>
        <v>11327520.000000004</v>
      </c>
      <c r="CC690">
        <f t="shared" ca="1" si="303"/>
        <v>-14842972.866210923</v>
      </c>
      <c r="CD690">
        <f t="shared" ca="1" si="304"/>
        <v>0</v>
      </c>
      <c r="CE690">
        <f t="shared" ca="1" si="305"/>
        <v>15621747.133789144</v>
      </c>
      <c r="CF690">
        <f t="shared" ca="1" si="306"/>
        <v>19067197.138671909</v>
      </c>
      <c r="CG690">
        <f t="shared" ca="1" si="307"/>
        <v>-3445450.0048827641</v>
      </c>
      <c r="CH690" s="10">
        <f>分析データ!A690</f>
        <v>45932</v>
      </c>
    </row>
    <row r="691" spans="46:86">
      <c r="AT691">
        <f ca="1">IF(ROW()&lt;($C$7+1),"",IFERROR((分析データ!B691-AVERAGE(OFFSET(分析データ!B$1,MAX(1,ROW()-$C$7),0,MIN($C$7,ROW()-1),1)))/STDEV(OFFSET(分析データ!B$1,MAX(1,ROW()-$C$7),0,MIN($C$7,ROW()-1),1)),0))</f>
        <v>-0.16806570286566541</v>
      </c>
      <c r="AU691">
        <f t="shared" ca="1" si="280"/>
        <v>0</v>
      </c>
      <c r="AV691" t="str">
        <f ca="1">IF(AU691=1,IF(INDEX(分析データ!$A:$A,ROW()+$C$5)&lt;&gt;"",80000*SIGN(AT691)*(分析データ!B691-INDEX(分析データ!B:B,ROW()+$C$5)),""),"")</f>
        <v/>
      </c>
      <c r="AW691">
        <f t="shared" ca="1" si="281"/>
        <v>-4999999.9999999925</v>
      </c>
      <c r="AX691">
        <f t="shared" ca="1" si="282"/>
        <v>0</v>
      </c>
      <c r="AY691">
        <f t="shared" ca="1" si="283"/>
        <v>-4999999.9999999925</v>
      </c>
      <c r="AZ691">
        <f ca="1">IF(ROW()&lt;($C$7+1),"",IFERROR((分析データ!C691-AVERAGE(OFFSET(分析データ!C$1,MAX(1,ROW()-$C$7),0,MIN($C$7,ROW()-1),1)))/STDEV(OFFSET(分析データ!C$1,MAX(1,ROW()-$C$7),0,MIN($C$7,ROW()-1),1)),0))</f>
        <v>-0.4952744052744758</v>
      </c>
      <c r="BA691">
        <f t="shared" ca="1" si="284"/>
        <v>0</v>
      </c>
      <c r="BB691" t="str">
        <f ca="1">IF(BA691=1,IF(INDEX(分析データ!$A:$A,ROW()+$C$5)&lt;&gt;"",60000*SIGN(AZ691)*(分析データ!C691-INDEX(分析データ!C:C,ROW()+$C$5)),""),"")</f>
        <v/>
      </c>
      <c r="BC691">
        <f t="shared" ca="1" si="285"/>
        <v>3075000.0000000102</v>
      </c>
      <c r="BD691">
        <f t="shared" ca="1" si="286"/>
        <v>3075000.0000000102</v>
      </c>
      <c r="BE691">
        <f t="shared" ca="1" si="287"/>
        <v>0</v>
      </c>
      <c r="BF691">
        <f ca="1">IF(ROW()&lt;($C$7+1),"",IFERROR((分析データ!D691-AVERAGE(OFFSET(分析データ!D$1,MAX(1,ROW()-$C$7),0,MIN($C$7,ROW()-1),1)))/STDEV(OFFSET(分析データ!D$1,MAX(1,ROW()-$C$7),0,MIN($C$7,ROW()-1),1)),0))</f>
        <v>-1.8225122534631422</v>
      </c>
      <c r="BG691">
        <f t="shared" ca="1" si="288"/>
        <v>0</v>
      </c>
      <c r="BH691" t="str">
        <f ca="1">IF(BG691=1,IF(INDEX(分析データ!$A:$A,ROW()+$C$5)&lt;&gt;"",50000*SIGN(BF691)*(分析データ!D691-INDEX(分析データ!D:D,ROW()+$C$5)),""),"")</f>
        <v/>
      </c>
      <c r="BI691">
        <f t="shared" ca="1" si="289"/>
        <v>1865000.0000000175</v>
      </c>
      <c r="BJ691">
        <f t="shared" ca="1" si="290"/>
        <v>1865000.0000000175</v>
      </c>
      <c r="BK691">
        <f t="shared" ca="1" si="291"/>
        <v>0</v>
      </c>
      <c r="BL691">
        <f ca="1">IF(ROW()&lt;($C$7+1),"",IFERROR((分析データ!E691-AVERAGE(OFFSET(分析データ!E$1,MAX(1,ROW()-$C$7),0,MIN($C$7,ROW()-1),1)))/STDEV(OFFSET(分析データ!E$1,MAX(1,ROW()-$C$7),0,MIN($C$7,ROW()-1),1)),0))</f>
        <v>0.77745530385681005</v>
      </c>
      <c r="BM691">
        <f t="shared" ca="1" si="292"/>
        <v>0</v>
      </c>
      <c r="BN691" t="str">
        <f ca="1">IF(BM691=1,IF(INDEX(分析データ!$A:$A,ROW()+$C$5)&lt;&gt;"",40000*SIGN(BL691)*(分析データ!E691-INDEX(分析データ!E:E,ROW()+$C$5)),""),"")</f>
        <v/>
      </c>
      <c r="BO691">
        <f t="shared" ca="1" si="293"/>
        <v>4280000.0000000028</v>
      </c>
      <c r="BP691">
        <f t="shared" ca="1" si="294"/>
        <v>4280000.0000000028</v>
      </c>
      <c r="BQ691">
        <f t="shared" ca="1" si="295"/>
        <v>0</v>
      </c>
      <c r="BR691">
        <f ca="1">IF(ROW()&lt;($C$7+1),"",IFERROR((分析データ!F691-AVERAGE(OFFSET(分析データ!F$1,MAX(1,ROW()-$C$7),0,MIN($C$7,ROW()-1),1)))/STDEV(OFFSET(分析データ!F$1,MAX(1,ROW()-$C$7),0,MIN($C$7,ROW()-1),1)),0))</f>
        <v>-1.1018514076392236</v>
      </c>
      <c r="BS691">
        <f t="shared" ca="1" si="296"/>
        <v>0</v>
      </c>
      <c r="BT691" t="str">
        <f ca="1">IF(BS691=1,IF(INDEX(分析データ!$A:$A,ROW()+$C$5)&lt;&gt;"",40000*SIGN(BR691)*(分析データ!F691-INDEX(分析データ!F:F,ROW()+$C$5)),""),"")</f>
        <v/>
      </c>
      <c r="BU691">
        <f t="shared" ca="1" si="297"/>
        <v>14917200.000000004</v>
      </c>
      <c r="BV691">
        <f t="shared" ca="1" si="298"/>
        <v>14917200.000000004</v>
      </c>
      <c r="BW691">
        <f t="shared" ca="1" si="299"/>
        <v>0</v>
      </c>
      <c r="BX691">
        <f ca="1">IF(ROW()&lt;($C$7+1),"",IFERROR((分析データ!G691-AVERAGE(OFFSET(分析データ!G$1,MAX(1,ROW()-$C$7),0,MIN($C$7,ROW()-1),1)))/STDEV(OFFSET(分析データ!G$1,MAX(1,ROW()-$C$7),0,MIN($C$7,ROW()-1),1)),0))</f>
        <v>1.7505803063213954</v>
      </c>
      <c r="BY691">
        <f t="shared" ca="1" si="300"/>
        <v>0</v>
      </c>
      <c r="BZ691" t="str">
        <f ca="1">IF(BY691=1,IF(INDEX(分析データ!$A:$A,ROW()+$C$5)&lt;&gt;"",40000*SIGN(BX691)*(分析データ!G691-INDEX(分析データ!G:G,ROW()+$C$5)),""),"")</f>
        <v/>
      </c>
      <c r="CA691">
        <f t="shared" ca="1" si="301"/>
        <v>-3515452.8662109179</v>
      </c>
      <c r="CB691">
        <f t="shared" ca="1" si="302"/>
        <v>11327520.000000004</v>
      </c>
      <c r="CC691">
        <f t="shared" ca="1" si="303"/>
        <v>-14842972.866210923</v>
      </c>
      <c r="CD691">
        <f t="shared" ca="1" si="304"/>
        <v>0</v>
      </c>
      <c r="CE691">
        <f t="shared" ca="1" si="305"/>
        <v>15621747.133789144</v>
      </c>
      <c r="CF691">
        <f t="shared" ca="1" si="306"/>
        <v>19067197.138671909</v>
      </c>
      <c r="CG691">
        <f t="shared" ca="1" si="307"/>
        <v>-3445450.0048827641</v>
      </c>
      <c r="CH691" s="10">
        <f>分析データ!A691</f>
        <v>45933</v>
      </c>
    </row>
    <row r="692" spans="46:86">
      <c r="AT692">
        <f ca="1">IF(ROW()&lt;($C$7+1),"",IFERROR((分析データ!B692-AVERAGE(OFFSET(分析データ!B$1,MAX(1,ROW()-$C$7),0,MIN($C$7,ROW()-1),1)))/STDEV(OFFSET(分析データ!B$1,MAX(1,ROW()-$C$7),0,MIN($C$7,ROW()-1),1)),0))</f>
        <v>0.17211995549979786</v>
      </c>
      <c r="AU692">
        <f t="shared" ca="1" si="280"/>
        <v>0</v>
      </c>
      <c r="AV692" t="str">
        <f ca="1">IF(AU692=1,IF(INDEX(分析データ!$A:$A,ROW()+$C$5)&lt;&gt;"",80000*SIGN(AT692)*(分析データ!B692-INDEX(分析データ!B:B,ROW()+$C$5)),""),"")</f>
        <v/>
      </c>
      <c r="AW692">
        <f t="shared" ca="1" si="281"/>
        <v>-4999999.9999999925</v>
      </c>
      <c r="AX692">
        <f t="shared" ca="1" si="282"/>
        <v>0</v>
      </c>
      <c r="AY692">
        <f t="shared" ca="1" si="283"/>
        <v>-4999999.9999999925</v>
      </c>
      <c r="AZ692">
        <f ca="1">IF(ROW()&lt;($C$7+1),"",IFERROR((分析データ!C692-AVERAGE(OFFSET(分析データ!C$1,MAX(1,ROW()-$C$7),0,MIN($C$7,ROW()-1),1)))/STDEV(OFFSET(分析データ!C$1,MAX(1,ROW()-$C$7),0,MIN($C$7,ROW()-1),1)),0))</f>
        <v>-0.76175053447068808</v>
      </c>
      <c r="BA692">
        <f t="shared" ca="1" si="284"/>
        <v>0</v>
      </c>
      <c r="BB692" t="str">
        <f ca="1">IF(BA692=1,IF(INDEX(分析データ!$A:$A,ROW()+$C$5)&lt;&gt;"",60000*SIGN(AZ692)*(分析データ!C692-INDEX(分析データ!C:C,ROW()+$C$5)),""),"")</f>
        <v/>
      </c>
      <c r="BC692">
        <f t="shared" ca="1" si="285"/>
        <v>3075000.0000000102</v>
      </c>
      <c r="BD692">
        <f t="shared" ca="1" si="286"/>
        <v>3075000.0000000102</v>
      </c>
      <c r="BE692">
        <f t="shared" ca="1" si="287"/>
        <v>0</v>
      </c>
      <c r="BF692">
        <f ca="1">IF(ROW()&lt;($C$7+1),"",IFERROR((分析データ!D692-AVERAGE(OFFSET(分析データ!D$1,MAX(1,ROW()-$C$7),0,MIN($C$7,ROW()-1),1)))/STDEV(OFFSET(分析データ!D$1,MAX(1,ROW()-$C$7),0,MIN($C$7,ROW()-1),1)),0))</f>
        <v>-1.6698993593335729</v>
      </c>
      <c r="BG692">
        <f t="shared" ca="1" si="288"/>
        <v>0</v>
      </c>
      <c r="BH692" t="str">
        <f ca="1">IF(BG692=1,IF(INDEX(分析データ!$A:$A,ROW()+$C$5)&lt;&gt;"",50000*SIGN(BF692)*(分析データ!D692-INDEX(分析データ!D:D,ROW()+$C$5)),""),"")</f>
        <v/>
      </c>
      <c r="BI692">
        <f t="shared" ca="1" si="289"/>
        <v>1865000.0000000175</v>
      </c>
      <c r="BJ692">
        <f t="shared" ca="1" si="290"/>
        <v>1865000.0000000175</v>
      </c>
      <c r="BK692">
        <f t="shared" ca="1" si="291"/>
        <v>0</v>
      </c>
      <c r="BL692">
        <f ca="1">IF(ROW()&lt;($C$7+1),"",IFERROR((分析データ!E692-AVERAGE(OFFSET(分析データ!E$1,MAX(1,ROW()-$C$7),0,MIN($C$7,ROW()-1),1)))/STDEV(OFFSET(分析データ!E$1,MAX(1,ROW()-$C$7),0,MIN($C$7,ROW()-1),1)),0))</f>
        <v>0.91972251445380748</v>
      </c>
      <c r="BM692">
        <f t="shared" ca="1" si="292"/>
        <v>0</v>
      </c>
      <c r="BN692" t="str">
        <f ca="1">IF(BM692=1,IF(INDEX(分析データ!$A:$A,ROW()+$C$5)&lt;&gt;"",40000*SIGN(BL692)*(分析データ!E692-INDEX(分析データ!E:E,ROW()+$C$5)),""),"")</f>
        <v/>
      </c>
      <c r="BO692">
        <f t="shared" ca="1" si="293"/>
        <v>4280000.0000000028</v>
      </c>
      <c r="BP692">
        <f t="shared" ca="1" si="294"/>
        <v>4280000.0000000028</v>
      </c>
      <c r="BQ692">
        <f t="shared" ca="1" si="295"/>
        <v>0</v>
      </c>
      <c r="BR692">
        <f ca="1">IF(ROW()&lt;($C$7+1),"",IFERROR((分析データ!F692-AVERAGE(OFFSET(分析データ!F$1,MAX(1,ROW()-$C$7),0,MIN($C$7,ROW()-1),1)))/STDEV(OFFSET(分析データ!F$1,MAX(1,ROW()-$C$7),0,MIN($C$7,ROW()-1),1)),0))</f>
        <v>-1.2353254842438071</v>
      </c>
      <c r="BS692">
        <f t="shared" ca="1" si="296"/>
        <v>0</v>
      </c>
      <c r="BT692" t="str">
        <f ca="1">IF(BS692=1,IF(INDEX(分析データ!$A:$A,ROW()+$C$5)&lt;&gt;"",40000*SIGN(BR692)*(分析データ!F692-INDEX(分析データ!F:F,ROW()+$C$5)),""),"")</f>
        <v/>
      </c>
      <c r="BU692">
        <f t="shared" ca="1" si="297"/>
        <v>14917200.000000004</v>
      </c>
      <c r="BV692">
        <f t="shared" ca="1" si="298"/>
        <v>14917200.000000004</v>
      </c>
      <c r="BW692">
        <f t="shared" ca="1" si="299"/>
        <v>0</v>
      </c>
      <c r="BX692">
        <f ca="1">IF(ROW()&lt;($C$7+1),"",IFERROR((分析データ!G692-AVERAGE(OFFSET(分析データ!G$1,MAX(1,ROW()-$C$7),0,MIN($C$7,ROW()-1),1)))/STDEV(OFFSET(分析データ!G$1,MAX(1,ROW()-$C$7),0,MIN($C$7,ROW()-1),1)),0))</f>
        <v>1.7630879541775564</v>
      </c>
      <c r="BY692">
        <f t="shared" ca="1" si="300"/>
        <v>0</v>
      </c>
      <c r="BZ692" t="str">
        <f ca="1">IF(BY692=1,IF(INDEX(分析データ!$A:$A,ROW()+$C$5)&lt;&gt;"",40000*SIGN(BX692)*(分析データ!G692-INDEX(分析データ!G:G,ROW()+$C$5)),""),"")</f>
        <v/>
      </c>
      <c r="CA692">
        <f t="shared" ca="1" si="301"/>
        <v>-3515452.8662109179</v>
      </c>
      <c r="CB692">
        <f t="shared" ca="1" si="302"/>
        <v>11327520.000000004</v>
      </c>
      <c r="CC692">
        <f t="shared" ca="1" si="303"/>
        <v>-14842972.866210923</v>
      </c>
      <c r="CD692">
        <f t="shared" ca="1" si="304"/>
        <v>0</v>
      </c>
      <c r="CE692">
        <f t="shared" ca="1" si="305"/>
        <v>15621747.133789144</v>
      </c>
      <c r="CF692">
        <f t="shared" ca="1" si="306"/>
        <v>19067197.138671909</v>
      </c>
      <c r="CG692">
        <f t="shared" ca="1" si="307"/>
        <v>-3445450.0048827641</v>
      </c>
      <c r="CH692" s="10">
        <f>分析データ!A692</f>
        <v>45936</v>
      </c>
    </row>
    <row r="693" spans="46:86">
      <c r="AT693">
        <f ca="1">IF(ROW()&lt;($C$7+1),"",IFERROR((分析データ!B693-AVERAGE(OFFSET(分析データ!B$1,MAX(1,ROW()-$C$7),0,MIN($C$7,ROW()-1),1)))/STDEV(OFFSET(分析データ!B$1,MAX(1,ROW()-$C$7),0,MIN($C$7,ROW()-1),1)),0))</f>
        <v>-7.0843854493400193E-2</v>
      </c>
      <c r="AU693">
        <f t="shared" ca="1" si="280"/>
        <v>0</v>
      </c>
      <c r="AV693" t="str">
        <f ca="1">IF(AU693=1,IF(INDEX(分析データ!$A:$A,ROW()+$C$5)&lt;&gt;"",80000*SIGN(AT693)*(分析データ!B693-INDEX(分析データ!B:B,ROW()+$C$5)),""),"")</f>
        <v/>
      </c>
      <c r="AW693">
        <f t="shared" ca="1" si="281"/>
        <v>-4999999.9999999925</v>
      </c>
      <c r="AX693">
        <f t="shared" ca="1" si="282"/>
        <v>0</v>
      </c>
      <c r="AY693">
        <f t="shared" ca="1" si="283"/>
        <v>-4999999.9999999925</v>
      </c>
      <c r="AZ693">
        <f ca="1">IF(ROW()&lt;($C$7+1),"",IFERROR((分析データ!C693-AVERAGE(OFFSET(分析データ!C$1,MAX(1,ROW()-$C$7),0,MIN($C$7,ROW()-1),1)))/STDEV(OFFSET(分析データ!C$1,MAX(1,ROW()-$C$7),0,MIN($C$7,ROW()-1),1)),0))</f>
        <v>-0.77676852247385209</v>
      </c>
      <c r="BA693">
        <f t="shared" ca="1" si="284"/>
        <v>0</v>
      </c>
      <c r="BB693" t="str">
        <f ca="1">IF(BA693=1,IF(INDEX(分析データ!$A:$A,ROW()+$C$5)&lt;&gt;"",60000*SIGN(AZ693)*(分析データ!C693-INDEX(分析データ!C:C,ROW()+$C$5)),""),"")</f>
        <v/>
      </c>
      <c r="BC693">
        <f t="shared" ca="1" si="285"/>
        <v>3075000.0000000102</v>
      </c>
      <c r="BD693">
        <f t="shared" ca="1" si="286"/>
        <v>3075000.0000000102</v>
      </c>
      <c r="BE693">
        <f t="shared" ca="1" si="287"/>
        <v>0</v>
      </c>
      <c r="BF693">
        <f ca="1">IF(ROW()&lt;($C$7+1),"",IFERROR((分析データ!D693-AVERAGE(OFFSET(分析データ!D$1,MAX(1,ROW()-$C$7),0,MIN($C$7,ROW()-1),1)))/STDEV(OFFSET(分析データ!D$1,MAX(1,ROW()-$C$7),0,MIN($C$7,ROW()-1),1)),0))</f>
        <v>-1.8074905714755682</v>
      </c>
      <c r="BG693">
        <f t="shared" ca="1" si="288"/>
        <v>0</v>
      </c>
      <c r="BH693" t="str">
        <f ca="1">IF(BG693=1,IF(INDEX(分析データ!$A:$A,ROW()+$C$5)&lt;&gt;"",50000*SIGN(BF693)*(分析データ!D693-INDEX(分析データ!D:D,ROW()+$C$5)),""),"")</f>
        <v/>
      </c>
      <c r="BI693">
        <f t="shared" ca="1" si="289"/>
        <v>1865000.0000000175</v>
      </c>
      <c r="BJ693">
        <f t="shared" ca="1" si="290"/>
        <v>1865000.0000000175</v>
      </c>
      <c r="BK693">
        <f t="shared" ca="1" si="291"/>
        <v>0</v>
      </c>
      <c r="BL693">
        <f ca="1">IF(ROW()&lt;($C$7+1),"",IFERROR((分析データ!E693-AVERAGE(OFFSET(分析データ!E$1,MAX(1,ROW()-$C$7),0,MIN($C$7,ROW()-1),1)))/STDEV(OFFSET(分析データ!E$1,MAX(1,ROW()-$C$7),0,MIN($C$7,ROW()-1),1)),0))</f>
        <v>0.91302909779209096</v>
      </c>
      <c r="BM693">
        <f t="shared" ca="1" si="292"/>
        <v>0</v>
      </c>
      <c r="BN693" t="str">
        <f ca="1">IF(BM693=1,IF(INDEX(分析データ!$A:$A,ROW()+$C$5)&lt;&gt;"",40000*SIGN(BL693)*(分析データ!E693-INDEX(分析データ!E:E,ROW()+$C$5)),""),"")</f>
        <v/>
      </c>
      <c r="BO693">
        <f t="shared" ca="1" si="293"/>
        <v>4280000.0000000028</v>
      </c>
      <c r="BP693">
        <f t="shared" ca="1" si="294"/>
        <v>4280000.0000000028</v>
      </c>
      <c r="BQ693">
        <f t="shared" ca="1" si="295"/>
        <v>0</v>
      </c>
      <c r="BR693">
        <f ca="1">IF(ROW()&lt;($C$7+1),"",IFERROR((分析データ!F693-AVERAGE(OFFSET(分析データ!F$1,MAX(1,ROW()-$C$7),0,MIN($C$7,ROW()-1),1)))/STDEV(OFFSET(分析データ!F$1,MAX(1,ROW()-$C$7),0,MIN($C$7,ROW()-1),1)),0))</f>
        <v>-0.85515813226246273</v>
      </c>
      <c r="BS693">
        <f t="shared" ca="1" si="296"/>
        <v>0</v>
      </c>
      <c r="BT693" t="str">
        <f ca="1">IF(BS693=1,IF(INDEX(分析データ!$A:$A,ROW()+$C$5)&lt;&gt;"",40000*SIGN(BR693)*(分析データ!F693-INDEX(分析データ!F:F,ROW()+$C$5)),""),"")</f>
        <v/>
      </c>
      <c r="BU693">
        <f t="shared" ca="1" si="297"/>
        <v>14917200.000000004</v>
      </c>
      <c r="BV693">
        <f t="shared" ca="1" si="298"/>
        <v>14917200.000000004</v>
      </c>
      <c r="BW693">
        <f t="shared" ca="1" si="299"/>
        <v>0</v>
      </c>
      <c r="BX693">
        <f ca="1">IF(ROW()&lt;($C$7+1),"",IFERROR((分析データ!G693-AVERAGE(OFFSET(分析データ!G$1,MAX(1,ROW()-$C$7),0,MIN($C$7,ROW()-1),1)))/STDEV(OFFSET(分析データ!G$1,MAX(1,ROW()-$C$7),0,MIN($C$7,ROW()-1),1)),0))</f>
        <v>1.5789299827111865</v>
      </c>
      <c r="BY693">
        <f t="shared" ca="1" si="300"/>
        <v>0</v>
      </c>
      <c r="BZ693" t="str">
        <f ca="1">IF(BY693=1,IF(INDEX(分析データ!$A:$A,ROW()+$C$5)&lt;&gt;"",40000*SIGN(BX693)*(分析データ!G693-INDEX(分析データ!G:G,ROW()+$C$5)),""),"")</f>
        <v/>
      </c>
      <c r="CA693">
        <f t="shared" ca="1" si="301"/>
        <v>-3515452.8662109179</v>
      </c>
      <c r="CB693">
        <f t="shared" ca="1" si="302"/>
        <v>11327520.000000004</v>
      </c>
      <c r="CC693">
        <f t="shared" ca="1" si="303"/>
        <v>-14842972.866210923</v>
      </c>
      <c r="CD693">
        <f t="shared" ca="1" si="304"/>
        <v>0</v>
      </c>
      <c r="CE693">
        <f t="shared" ca="1" si="305"/>
        <v>15621747.133789144</v>
      </c>
      <c r="CF693">
        <f t="shared" ca="1" si="306"/>
        <v>19067197.138671909</v>
      </c>
      <c r="CG693">
        <f t="shared" ca="1" si="307"/>
        <v>-3445450.0048827641</v>
      </c>
      <c r="CH693" s="10">
        <f>分析データ!A693</f>
        <v>45937</v>
      </c>
    </row>
    <row r="694" spans="46:86">
      <c r="AT694">
        <f ca="1">IF(ROW()&lt;($C$7+1),"",IFERROR((分析データ!B694-AVERAGE(OFFSET(分析データ!B$1,MAX(1,ROW()-$C$7),0,MIN($C$7,ROW()-1),1)))/STDEV(OFFSET(分析データ!B$1,MAX(1,ROW()-$C$7),0,MIN($C$7,ROW()-1),1)),0))</f>
        <v>-0.31625382602399849</v>
      </c>
      <c r="AU694">
        <f t="shared" ca="1" si="280"/>
        <v>0</v>
      </c>
      <c r="AV694" t="str">
        <f ca="1">IF(AU694=1,IF(INDEX(分析データ!$A:$A,ROW()+$C$5)&lt;&gt;"",80000*SIGN(AT694)*(分析データ!B694-INDEX(分析データ!B:B,ROW()+$C$5)),""),"")</f>
        <v/>
      </c>
      <c r="AW694">
        <f t="shared" ca="1" si="281"/>
        <v>-4999999.9999999925</v>
      </c>
      <c r="AX694">
        <f t="shared" ca="1" si="282"/>
        <v>0</v>
      </c>
      <c r="AY694">
        <f t="shared" ca="1" si="283"/>
        <v>-4999999.9999999925</v>
      </c>
      <c r="AZ694">
        <f ca="1">IF(ROW()&lt;($C$7+1),"",IFERROR((分析データ!C694-AVERAGE(OFFSET(分析データ!C$1,MAX(1,ROW()-$C$7),0,MIN($C$7,ROW()-1),1)))/STDEV(OFFSET(分析データ!C$1,MAX(1,ROW()-$C$7),0,MIN($C$7,ROW()-1),1)),0))</f>
        <v>-0.56146113775038486</v>
      </c>
      <c r="BA694">
        <f t="shared" ca="1" si="284"/>
        <v>0</v>
      </c>
      <c r="BB694" t="str">
        <f ca="1">IF(BA694=1,IF(INDEX(分析データ!$A:$A,ROW()+$C$5)&lt;&gt;"",60000*SIGN(AZ694)*(分析データ!C694-INDEX(分析データ!C:C,ROW()+$C$5)),""),"")</f>
        <v/>
      </c>
      <c r="BC694">
        <f t="shared" ca="1" si="285"/>
        <v>3075000.0000000102</v>
      </c>
      <c r="BD694">
        <f t="shared" ca="1" si="286"/>
        <v>3075000.0000000102</v>
      </c>
      <c r="BE694">
        <f t="shared" ca="1" si="287"/>
        <v>0</v>
      </c>
      <c r="BF694">
        <f ca="1">IF(ROW()&lt;($C$7+1),"",IFERROR((分析データ!D694-AVERAGE(OFFSET(分析データ!D$1,MAX(1,ROW()-$C$7),0,MIN($C$7,ROW()-1),1)))/STDEV(OFFSET(分析データ!D$1,MAX(1,ROW()-$C$7),0,MIN($C$7,ROW()-1),1)),0))</f>
        <v>-1.886171544304573</v>
      </c>
      <c r="BG694">
        <f t="shared" ca="1" si="288"/>
        <v>0</v>
      </c>
      <c r="BH694" t="str">
        <f ca="1">IF(BG694=1,IF(INDEX(分析データ!$A:$A,ROW()+$C$5)&lt;&gt;"",50000*SIGN(BF694)*(分析データ!D694-INDEX(分析データ!D:D,ROW()+$C$5)),""),"")</f>
        <v/>
      </c>
      <c r="BI694">
        <f t="shared" ca="1" si="289"/>
        <v>1865000.0000000175</v>
      </c>
      <c r="BJ694">
        <f t="shared" ca="1" si="290"/>
        <v>1865000.0000000175</v>
      </c>
      <c r="BK694">
        <f t="shared" ca="1" si="291"/>
        <v>0</v>
      </c>
      <c r="BL694">
        <f ca="1">IF(ROW()&lt;($C$7+1),"",IFERROR((分析データ!E694-AVERAGE(OFFSET(分析データ!E$1,MAX(1,ROW()-$C$7),0,MIN($C$7,ROW()-1),1)))/STDEV(OFFSET(分析データ!E$1,MAX(1,ROW()-$C$7),0,MIN($C$7,ROW()-1),1)),0))</f>
        <v>0.75851736923754942</v>
      </c>
      <c r="BM694">
        <f t="shared" ca="1" si="292"/>
        <v>0</v>
      </c>
      <c r="BN694" t="str">
        <f ca="1">IF(BM694=1,IF(INDEX(分析データ!$A:$A,ROW()+$C$5)&lt;&gt;"",40000*SIGN(BL694)*(分析データ!E694-INDEX(分析データ!E:E,ROW()+$C$5)),""),"")</f>
        <v/>
      </c>
      <c r="BO694">
        <f t="shared" ca="1" si="293"/>
        <v>4280000.0000000028</v>
      </c>
      <c r="BP694">
        <f t="shared" ca="1" si="294"/>
        <v>4280000.0000000028</v>
      </c>
      <c r="BQ694">
        <f t="shared" ca="1" si="295"/>
        <v>0</v>
      </c>
      <c r="BR694">
        <f ca="1">IF(ROW()&lt;($C$7+1),"",IFERROR((分析データ!F694-AVERAGE(OFFSET(分析データ!F$1,MAX(1,ROW()-$C$7),0,MIN($C$7,ROW()-1),1)))/STDEV(OFFSET(分析データ!F$1,MAX(1,ROW()-$C$7),0,MIN($C$7,ROW()-1),1)),0))</f>
        <v>-0.83077507817107132</v>
      </c>
      <c r="BS694">
        <f t="shared" ca="1" si="296"/>
        <v>0</v>
      </c>
      <c r="BT694" t="str">
        <f ca="1">IF(BS694=1,IF(INDEX(分析データ!$A:$A,ROW()+$C$5)&lt;&gt;"",40000*SIGN(BR694)*(分析データ!F694-INDEX(分析データ!F:F,ROW()+$C$5)),""),"")</f>
        <v/>
      </c>
      <c r="BU694">
        <f t="shared" ca="1" si="297"/>
        <v>14917200.000000004</v>
      </c>
      <c r="BV694">
        <f t="shared" ca="1" si="298"/>
        <v>14917200.000000004</v>
      </c>
      <c r="BW694">
        <f t="shared" ca="1" si="299"/>
        <v>0</v>
      </c>
      <c r="BX694">
        <f ca="1">IF(ROW()&lt;($C$7+1),"",IFERROR((分析データ!G694-AVERAGE(OFFSET(分析データ!G$1,MAX(1,ROW()-$C$7),0,MIN($C$7,ROW()-1),1)))/STDEV(OFFSET(分析データ!G$1,MAX(1,ROW()-$C$7),0,MIN($C$7,ROW()-1),1)),0))</f>
        <v>1.671511460858718</v>
      </c>
      <c r="BY694">
        <f t="shared" ca="1" si="300"/>
        <v>0</v>
      </c>
      <c r="BZ694" t="str">
        <f ca="1">IF(BY694=1,IF(INDEX(分析データ!$A:$A,ROW()+$C$5)&lt;&gt;"",40000*SIGN(BX694)*(分析データ!G694-INDEX(分析データ!G:G,ROW()+$C$5)),""),"")</f>
        <v/>
      </c>
      <c r="CA694">
        <f t="shared" ca="1" si="301"/>
        <v>-3515452.8662109179</v>
      </c>
      <c r="CB694">
        <f t="shared" ca="1" si="302"/>
        <v>11327520.000000004</v>
      </c>
      <c r="CC694">
        <f t="shared" ca="1" si="303"/>
        <v>-14842972.866210923</v>
      </c>
      <c r="CD694">
        <f t="shared" ca="1" si="304"/>
        <v>0</v>
      </c>
      <c r="CE694">
        <f t="shared" ca="1" si="305"/>
        <v>15621747.133789144</v>
      </c>
      <c r="CF694">
        <f t="shared" ca="1" si="306"/>
        <v>19067197.138671909</v>
      </c>
      <c r="CG694">
        <f t="shared" ca="1" si="307"/>
        <v>-3445450.0048827641</v>
      </c>
      <c r="CH694" s="10">
        <f>分析データ!A694</f>
        <v>45938</v>
      </c>
    </row>
    <row r="695" spans="46:86">
      <c r="AT695">
        <f ca="1">IF(ROW()&lt;($C$7+1),"",IFERROR((分析データ!B695-AVERAGE(OFFSET(分析データ!B$1,MAX(1,ROW()-$C$7),0,MIN($C$7,ROW()-1),1)))/STDEV(OFFSET(分析データ!B$1,MAX(1,ROW()-$C$7),0,MIN($C$7,ROW()-1),1)),0))</f>
        <v>-0.32958098879767389</v>
      </c>
      <c r="AU695">
        <f t="shared" ca="1" si="280"/>
        <v>0</v>
      </c>
      <c r="AV695" t="str">
        <f ca="1">IF(AU695=1,IF(INDEX(分析データ!$A:$A,ROW()+$C$5)&lt;&gt;"",80000*SIGN(AT695)*(分析データ!B695-INDEX(分析データ!B:B,ROW()+$C$5)),""),"")</f>
        <v/>
      </c>
      <c r="AW695">
        <f t="shared" ca="1" si="281"/>
        <v>-4999999.9999999925</v>
      </c>
      <c r="AX695">
        <f t="shared" ca="1" si="282"/>
        <v>0</v>
      </c>
      <c r="AY695">
        <f t="shared" ca="1" si="283"/>
        <v>-4999999.9999999925</v>
      </c>
      <c r="AZ695">
        <f ca="1">IF(ROW()&lt;($C$7+1),"",IFERROR((分析データ!C695-AVERAGE(OFFSET(分析データ!C$1,MAX(1,ROW()-$C$7),0,MIN($C$7,ROW()-1),1)))/STDEV(OFFSET(分析データ!C$1,MAX(1,ROW()-$C$7),0,MIN($C$7,ROW()-1),1)),0))</f>
        <v>-0.73432106175331224</v>
      </c>
      <c r="BA695">
        <f t="shared" ca="1" si="284"/>
        <v>0</v>
      </c>
      <c r="BB695" t="str">
        <f ca="1">IF(BA695=1,IF(INDEX(分析データ!$A:$A,ROW()+$C$5)&lt;&gt;"",60000*SIGN(AZ695)*(分析データ!C695-INDEX(分析データ!C:C,ROW()+$C$5)),""),"")</f>
        <v/>
      </c>
      <c r="BC695">
        <f t="shared" ca="1" si="285"/>
        <v>3075000.0000000102</v>
      </c>
      <c r="BD695">
        <f t="shared" ca="1" si="286"/>
        <v>3075000.0000000102</v>
      </c>
      <c r="BE695">
        <f t="shared" ca="1" si="287"/>
        <v>0</v>
      </c>
      <c r="BF695">
        <f ca="1">IF(ROW()&lt;($C$7+1),"",IFERROR((分析データ!D695-AVERAGE(OFFSET(分析データ!D$1,MAX(1,ROW()-$C$7),0,MIN($C$7,ROW()-1),1)))/STDEV(OFFSET(分析データ!D$1,MAX(1,ROW()-$C$7),0,MIN($C$7,ROW()-1),1)),0))</f>
        <v>-1.817912485455413</v>
      </c>
      <c r="BG695">
        <f t="shared" ca="1" si="288"/>
        <v>0</v>
      </c>
      <c r="BH695" t="str">
        <f ca="1">IF(BG695=1,IF(INDEX(分析データ!$A:$A,ROW()+$C$5)&lt;&gt;"",50000*SIGN(BF695)*(分析データ!D695-INDEX(分析データ!D:D,ROW()+$C$5)),""),"")</f>
        <v/>
      </c>
      <c r="BI695">
        <f t="shared" ca="1" si="289"/>
        <v>1865000.0000000175</v>
      </c>
      <c r="BJ695">
        <f t="shared" ca="1" si="290"/>
        <v>1865000.0000000175</v>
      </c>
      <c r="BK695">
        <f t="shared" ca="1" si="291"/>
        <v>0</v>
      </c>
      <c r="BL695">
        <f ca="1">IF(ROW()&lt;($C$7+1),"",IFERROR((分析データ!E695-AVERAGE(OFFSET(分析データ!E$1,MAX(1,ROW()-$C$7),0,MIN($C$7,ROW()-1),1)))/STDEV(OFFSET(分析データ!E$1,MAX(1,ROW()-$C$7),0,MIN($C$7,ROW()-1),1)),0))</f>
        <v>0.67816041561533524</v>
      </c>
      <c r="BM695">
        <f t="shared" ca="1" si="292"/>
        <v>0</v>
      </c>
      <c r="BN695" t="str">
        <f ca="1">IF(BM695=1,IF(INDEX(分析データ!$A:$A,ROW()+$C$5)&lt;&gt;"",40000*SIGN(BL695)*(分析データ!E695-INDEX(分析データ!E:E,ROW()+$C$5)),""),"")</f>
        <v/>
      </c>
      <c r="BO695">
        <f t="shared" ca="1" si="293"/>
        <v>4280000.0000000028</v>
      </c>
      <c r="BP695">
        <f t="shared" ca="1" si="294"/>
        <v>4280000.0000000028</v>
      </c>
      <c r="BQ695">
        <f t="shared" ca="1" si="295"/>
        <v>0</v>
      </c>
      <c r="BR695">
        <f ca="1">IF(ROW()&lt;($C$7+1),"",IFERROR((分析データ!F695-AVERAGE(OFFSET(分析データ!F$1,MAX(1,ROW()-$C$7),0,MIN($C$7,ROW()-1),1)))/STDEV(OFFSET(分析データ!F$1,MAX(1,ROW()-$C$7),0,MIN($C$7,ROW()-1),1)),0))</f>
        <v>-0.9247866690213602</v>
      </c>
      <c r="BS695">
        <f t="shared" ca="1" si="296"/>
        <v>0</v>
      </c>
      <c r="BT695" t="str">
        <f ca="1">IF(BS695=1,IF(INDEX(分析データ!$A:$A,ROW()+$C$5)&lt;&gt;"",40000*SIGN(BR695)*(分析データ!F695-INDEX(分析データ!F:F,ROW()+$C$5)),""),"")</f>
        <v/>
      </c>
      <c r="BU695">
        <f t="shared" ca="1" si="297"/>
        <v>14917200.000000004</v>
      </c>
      <c r="BV695">
        <f t="shared" ca="1" si="298"/>
        <v>14917200.000000004</v>
      </c>
      <c r="BW695">
        <f t="shared" ca="1" si="299"/>
        <v>0</v>
      </c>
      <c r="BX695">
        <f ca="1">IF(ROW()&lt;($C$7+1),"",IFERROR((分析データ!G695-AVERAGE(OFFSET(分析データ!G$1,MAX(1,ROW()-$C$7),0,MIN($C$7,ROW()-1),1)))/STDEV(OFFSET(分析データ!G$1,MAX(1,ROW()-$C$7),0,MIN($C$7,ROW()-1),1)),0))</f>
        <v>1.6281752111548322</v>
      </c>
      <c r="BY695">
        <f t="shared" ca="1" si="300"/>
        <v>0</v>
      </c>
      <c r="BZ695" t="str">
        <f ca="1">IF(BY695=1,IF(INDEX(分析データ!$A:$A,ROW()+$C$5)&lt;&gt;"",40000*SIGN(BX695)*(分析データ!G695-INDEX(分析データ!G:G,ROW()+$C$5)),""),"")</f>
        <v/>
      </c>
      <c r="CA695">
        <f t="shared" ca="1" si="301"/>
        <v>-3515452.8662109179</v>
      </c>
      <c r="CB695">
        <f t="shared" ca="1" si="302"/>
        <v>11327520.000000004</v>
      </c>
      <c r="CC695">
        <f t="shared" ca="1" si="303"/>
        <v>-14842972.866210923</v>
      </c>
      <c r="CD695">
        <f t="shared" ca="1" si="304"/>
        <v>0</v>
      </c>
      <c r="CE695">
        <f t="shared" ca="1" si="305"/>
        <v>15621747.133789144</v>
      </c>
      <c r="CF695">
        <f t="shared" ca="1" si="306"/>
        <v>19067197.138671909</v>
      </c>
      <c r="CG695">
        <f t="shared" ca="1" si="307"/>
        <v>-3445450.0048827641</v>
      </c>
      <c r="CH695" s="10">
        <f>分析データ!A695</f>
        <v>45939</v>
      </c>
    </row>
    <row r="696" spans="46:86">
      <c r="AT696">
        <f ca="1">IF(ROW()&lt;($C$7+1),"",IFERROR((分析データ!B696-AVERAGE(OFFSET(分析データ!B$1,MAX(1,ROW()-$C$7),0,MIN($C$7,ROW()-1),1)))/STDEV(OFFSET(分析データ!B$1,MAX(1,ROW()-$C$7),0,MIN($C$7,ROW()-1),1)),0))</f>
        <v>-0.46517029640144203</v>
      </c>
      <c r="AU696">
        <f t="shared" ca="1" si="280"/>
        <v>0</v>
      </c>
      <c r="AV696" t="str">
        <f ca="1">IF(AU696=1,IF(INDEX(分析データ!$A:$A,ROW()+$C$5)&lt;&gt;"",80000*SIGN(AT696)*(分析データ!B696-INDEX(分析データ!B:B,ROW()+$C$5)),""),"")</f>
        <v/>
      </c>
      <c r="AW696">
        <f t="shared" ca="1" si="281"/>
        <v>-4999999.9999999925</v>
      </c>
      <c r="AX696">
        <f t="shared" ca="1" si="282"/>
        <v>0</v>
      </c>
      <c r="AY696">
        <f t="shared" ca="1" si="283"/>
        <v>-4999999.9999999925</v>
      </c>
      <c r="AZ696">
        <f ca="1">IF(ROW()&lt;($C$7+1),"",IFERROR((分析データ!C696-AVERAGE(OFFSET(分析データ!C$1,MAX(1,ROW()-$C$7),0,MIN($C$7,ROW()-1),1)))/STDEV(OFFSET(分析データ!C$1,MAX(1,ROW()-$C$7),0,MIN($C$7,ROW()-1),1)),0))</f>
        <v>-0.74743114689273438</v>
      </c>
      <c r="BA696">
        <f t="shared" ca="1" si="284"/>
        <v>0</v>
      </c>
      <c r="BB696" t="str">
        <f ca="1">IF(BA696=1,IF(INDEX(分析データ!$A:$A,ROW()+$C$5)&lt;&gt;"",60000*SIGN(AZ696)*(分析データ!C696-INDEX(分析データ!C:C,ROW()+$C$5)),""),"")</f>
        <v/>
      </c>
      <c r="BC696">
        <f t="shared" ca="1" si="285"/>
        <v>3075000.0000000102</v>
      </c>
      <c r="BD696">
        <f t="shared" ca="1" si="286"/>
        <v>3075000.0000000102</v>
      </c>
      <c r="BE696">
        <f t="shared" ca="1" si="287"/>
        <v>0</v>
      </c>
      <c r="BF696">
        <f ca="1">IF(ROW()&lt;($C$7+1),"",IFERROR((分析データ!D696-AVERAGE(OFFSET(分析データ!D$1,MAX(1,ROW()-$C$7),0,MIN($C$7,ROW()-1),1)))/STDEV(OFFSET(分析データ!D$1,MAX(1,ROW()-$C$7),0,MIN($C$7,ROW()-1),1)),0))</f>
        <v>-2.0955172095024133</v>
      </c>
      <c r="BG696">
        <f t="shared" ca="1" si="288"/>
        <v>1</v>
      </c>
      <c r="BH696">
        <f ca="1">IF(BG696=1,IF(INDEX(分析データ!$A:$A,ROW()+$C$5)&lt;&gt;"",50000*SIGN(BF696)*(分析データ!D696-INDEX(分析データ!D:D,ROW()+$C$5)),""),"")</f>
        <v>-129999.99999999971</v>
      </c>
      <c r="BI696">
        <f t="shared" ca="1" si="289"/>
        <v>1735000.0000000177</v>
      </c>
      <c r="BJ696">
        <f t="shared" ca="1" si="290"/>
        <v>1865000.0000000175</v>
      </c>
      <c r="BK696">
        <f t="shared" ca="1" si="291"/>
        <v>-129999.99999999977</v>
      </c>
      <c r="BL696">
        <f ca="1">IF(ROW()&lt;($C$7+1),"",IFERROR((分析データ!E696-AVERAGE(OFFSET(分析データ!E$1,MAX(1,ROW()-$C$7),0,MIN($C$7,ROW()-1),1)))/STDEV(OFFSET(分析データ!E$1,MAX(1,ROW()-$C$7),0,MIN($C$7,ROW()-1),1)),0))</f>
        <v>0.67219741499232555</v>
      </c>
      <c r="BM696">
        <f t="shared" ca="1" si="292"/>
        <v>0</v>
      </c>
      <c r="BN696" t="str">
        <f ca="1">IF(BM696=1,IF(INDEX(分析データ!$A:$A,ROW()+$C$5)&lt;&gt;"",40000*SIGN(BL696)*(分析データ!E696-INDEX(分析データ!E:E,ROW()+$C$5)),""),"")</f>
        <v/>
      </c>
      <c r="BO696">
        <f t="shared" ca="1" si="293"/>
        <v>4280000.0000000028</v>
      </c>
      <c r="BP696">
        <f t="shared" ca="1" si="294"/>
        <v>4280000.0000000028</v>
      </c>
      <c r="BQ696">
        <f t="shared" ca="1" si="295"/>
        <v>0</v>
      </c>
      <c r="BR696">
        <f ca="1">IF(ROW()&lt;($C$7+1),"",IFERROR((分析データ!F696-AVERAGE(OFFSET(分析データ!F$1,MAX(1,ROW()-$C$7),0,MIN($C$7,ROW()-1),1)))/STDEV(OFFSET(分析データ!F$1,MAX(1,ROW()-$C$7),0,MIN($C$7,ROW()-1),1)),0))</f>
        <v>-0.67399331470873114</v>
      </c>
      <c r="BS696">
        <f t="shared" ca="1" si="296"/>
        <v>0</v>
      </c>
      <c r="BT696" t="str">
        <f ca="1">IF(BS696=1,IF(INDEX(分析データ!$A:$A,ROW()+$C$5)&lt;&gt;"",40000*SIGN(BR696)*(分析データ!F696-INDEX(分析データ!F:F,ROW()+$C$5)),""),"")</f>
        <v/>
      </c>
      <c r="BU696">
        <f t="shared" ca="1" si="297"/>
        <v>14917200.000000004</v>
      </c>
      <c r="BV696">
        <f t="shared" ca="1" si="298"/>
        <v>14917200.000000004</v>
      </c>
      <c r="BW696">
        <f t="shared" ca="1" si="299"/>
        <v>0</v>
      </c>
      <c r="BX696">
        <f ca="1">IF(ROW()&lt;($C$7+1),"",IFERROR((分析データ!G696-AVERAGE(OFFSET(分析データ!G$1,MAX(1,ROW()-$C$7),0,MIN($C$7,ROW()-1),1)))/STDEV(OFFSET(分析データ!G$1,MAX(1,ROW()-$C$7),0,MIN($C$7,ROW()-1),1)),0))</f>
        <v>1.6427455000029569</v>
      </c>
      <c r="BY696">
        <f t="shared" ca="1" si="300"/>
        <v>0</v>
      </c>
      <c r="BZ696" t="str">
        <f ca="1">IF(BY696=1,IF(INDEX(分析データ!$A:$A,ROW()+$C$5)&lt;&gt;"",40000*SIGN(BX696)*(分析データ!G696-INDEX(分析データ!G:G,ROW()+$C$5)),""),"")</f>
        <v/>
      </c>
      <c r="CA696">
        <f t="shared" ca="1" si="301"/>
        <v>-3515452.8662109179</v>
      </c>
      <c r="CB696">
        <f t="shared" ca="1" si="302"/>
        <v>11327520.000000004</v>
      </c>
      <c r="CC696">
        <f t="shared" ca="1" si="303"/>
        <v>-14842972.866210923</v>
      </c>
      <c r="CD696">
        <f t="shared" ca="1" si="304"/>
        <v>-129999.99999999971</v>
      </c>
      <c r="CE696">
        <f t="shared" ca="1" si="305"/>
        <v>15491747.133789144</v>
      </c>
      <c r="CF696">
        <f t="shared" ca="1" si="306"/>
        <v>19067197.138671909</v>
      </c>
      <c r="CG696">
        <f t="shared" ca="1" si="307"/>
        <v>-3575450.0048827641</v>
      </c>
      <c r="CH696" s="10">
        <f>分析データ!A696</f>
        <v>45940</v>
      </c>
    </row>
    <row r="697" spans="46:86">
      <c r="AT697">
        <f ca="1">IF(ROW()&lt;($C$7+1),"",IFERROR((分析データ!B697-AVERAGE(OFFSET(分析データ!B$1,MAX(1,ROW()-$C$7),0,MIN($C$7,ROW()-1),1)))/STDEV(OFFSET(分析データ!B$1,MAX(1,ROW()-$C$7),0,MIN($C$7,ROW()-1),1)),0))</f>
        <v>-0.35610353440649334</v>
      </c>
      <c r="AU697">
        <f t="shared" ca="1" si="280"/>
        <v>0</v>
      </c>
      <c r="AV697" t="str">
        <f ca="1">IF(AU697=1,IF(INDEX(分析データ!$A:$A,ROW()+$C$5)&lt;&gt;"",80000*SIGN(AT697)*(分析データ!B697-INDEX(分析データ!B:B,ROW()+$C$5)),""),"")</f>
        <v/>
      </c>
      <c r="AW697">
        <f t="shared" ca="1" si="281"/>
        <v>-4999999.9999999925</v>
      </c>
      <c r="AX697">
        <f t="shared" ca="1" si="282"/>
        <v>0</v>
      </c>
      <c r="AY697">
        <f t="shared" ca="1" si="283"/>
        <v>-4999999.9999999925</v>
      </c>
      <c r="AZ697">
        <f ca="1">IF(ROW()&lt;($C$7+1),"",IFERROR((分析データ!C697-AVERAGE(OFFSET(分析データ!C$1,MAX(1,ROW()-$C$7),0,MIN($C$7,ROW()-1),1)))/STDEV(OFFSET(分析データ!C$1,MAX(1,ROW()-$C$7),0,MIN($C$7,ROW()-1),1)),0))</f>
        <v>-1.1396634617117949</v>
      </c>
      <c r="BA697">
        <f t="shared" ca="1" si="284"/>
        <v>0</v>
      </c>
      <c r="BB697" t="str">
        <f ca="1">IF(BA697=1,IF(INDEX(分析データ!$A:$A,ROW()+$C$5)&lt;&gt;"",60000*SIGN(AZ697)*(分析データ!C697-INDEX(分析データ!C:C,ROW()+$C$5)),""),"")</f>
        <v/>
      </c>
      <c r="BC697">
        <f t="shared" ca="1" si="285"/>
        <v>3075000.0000000102</v>
      </c>
      <c r="BD697">
        <f t="shared" ca="1" si="286"/>
        <v>3075000.0000000102</v>
      </c>
      <c r="BE697">
        <f t="shared" ca="1" si="287"/>
        <v>0</v>
      </c>
      <c r="BF697">
        <f ca="1">IF(ROW()&lt;($C$7+1),"",IFERROR((分析データ!D697-AVERAGE(OFFSET(分析データ!D$1,MAX(1,ROW()-$C$7),0,MIN($C$7,ROW()-1),1)))/STDEV(OFFSET(分析データ!D$1,MAX(1,ROW()-$C$7),0,MIN($C$7,ROW()-1),1)),0))</f>
        <v>-2.0454407344463297</v>
      </c>
      <c r="BG697">
        <f t="shared" ca="1" si="288"/>
        <v>1</v>
      </c>
      <c r="BH697">
        <f ca="1">IF(BG697=1,IF(INDEX(分析データ!$A:$A,ROW()+$C$5)&lt;&gt;"",50000*SIGN(BF697)*(分析データ!D697-INDEX(分析データ!D:D,ROW()+$C$5)),""),"")</f>
        <v>-120000.00000000029</v>
      </c>
      <c r="BI697">
        <f t="shared" ca="1" si="289"/>
        <v>1615000.0000000175</v>
      </c>
      <c r="BJ697">
        <f t="shared" ca="1" si="290"/>
        <v>1865000.0000000175</v>
      </c>
      <c r="BK697">
        <f t="shared" ca="1" si="291"/>
        <v>-250000</v>
      </c>
      <c r="BL697">
        <f ca="1">IF(ROW()&lt;($C$7+1),"",IFERROR((分析データ!E697-AVERAGE(OFFSET(分析データ!E$1,MAX(1,ROW()-$C$7),0,MIN($C$7,ROW()-1),1)))/STDEV(OFFSET(分析データ!E$1,MAX(1,ROW()-$C$7),0,MIN($C$7,ROW()-1),1)),0))</f>
        <v>0.88873486467949003</v>
      </c>
      <c r="BM697">
        <f t="shared" ca="1" si="292"/>
        <v>0</v>
      </c>
      <c r="BN697" t="str">
        <f ca="1">IF(BM697=1,IF(INDEX(分析データ!$A:$A,ROW()+$C$5)&lt;&gt;"",40000*SIGN(BL697)*(分析データ!E697-INDEX(分析データ!E:E,ROW()+$C$5)),""),"")</f>
        <v/>
      </c>
      <c r="BO697">
        <f t="shared" ca="1" si="293"/>
        <v>4280000.0000000028</v>
      </c>
      <c r="BP697">
        <f t="shared" ca="1" si="294"/>
        <v>4280000.0000000028</v>
      </c>
      <c r="BQ697">
        <f t="shared" ca="1" si="295"/>
        <v>0</v>
      </c>
      <c r="BR697">
        <f ca="1">IF(ROW()&lt;($C$7+1),"",IFERROR((分析データ!F697-AVERAGE(OFFSET(分析データ!F$1,MAX(1,ROW()-$C$7),0,MIN($C$7,ROW()-1),1)))/STDEV(OFFSET(分析データ!F$1,MAX(1,ROW()-$C$7),0,MIN($C$7,ROW()-1),1)),0))</f>
        <v>-0.88794745210511838</v>
      </c>
      <c r="BS697">
        <f t="shared" ca="1" si="296"/>
        <v>0</v>
      </c>
      <c r="BT697" t="str">
        <f ca="1">IF(BS697=1,IF(INDEX(分析データ!$A:$A,ROW()+$C$5)&lt;&gt;"",40000*SIGN(BR697)*(分析データ!F697-INDEX(分析データ!F:F,ROW()+$C$5)),""),"")</f>
        <v/>
      </c>
      <c r="BU697">
        <f t="shared" ca="1" si="297"/>
        <v>14917200.000000004</v>
      </c>
      <c r="BV697">
        <f t="shared" ca="1" si="298"/>
        <v>14917200.000000004</v>
      </c>
      <c r="BW697">
        <f t="shared" ca="1" si="299"/>
        <v>0</v>
      </c>
      <c r="BX697">
        <f ca="1">IF(ROW()&lt;($C$7+1),"",IFERROR((分析データ!G697-AVERAGE(OFFSET(分析データ!G$1,MAX(1,ROW()-$C$7),0,MIN($C$7,ROW()-1),1)))/STDEV(OFFSET(分析データ!G$1,MAX(1,ROW()-$C$7),0,MIN($C$7,ROW()-1),1)),0))</f>
        <v>1.8172497457693539</v>
      </c>
      <c r="BY697">
        <f t="shared" ca="1" si="300"/>
        <v>0</v>
      </c>
      <c r="BZ697" t="str">
        <f ca="1">IF(BY697=1,IF(INDEX(分析データ!$A:$A,ROW()+$C$5)&lt;&gt;"",40000*SIGN(BX697)*(分析データ!G697-INDEX(分析データ!G:G,ROW()+$C$5)),""),"")</f>
        <v/>
      </c>
      <c r="CA697">
        <f t="shared" ca="1" si="301"/>
        <v>-3515452.8662109179</v>
      </c>
      <c r="CB697">
        <f t="shared" ca="1" si="302"/>
        <v>11327520.000000004</v>
      </c>
      <c r="CC697">
        <f t="shared" ca="1" si="303"/>
        <v>-14842972.866210923</v>
      </c>
      <c r="CD697">
        <f t="shared" ca="1" si="304"/>
        <v>-120000.00000000029</v>
      </c>
      <c r="CE697">
        <f t="shared" ca="1" si="305"/>
        <v>15371747.133789144</v>
      </c>
      <c r="CF697">
        <f t="shared" ca="1" si="306"/>
        <v>19067197.138671909</v>
      </c>
      <c r="CG697">
        <f t="shared" ca="1" si="307"/>
        <v>-3695450.0048827641</v>
      </c>
      <c r="CH697" s="10">
        <f>分析データ!A697</f>
        <v>45944</v>
      </c>
    </row>
    <row r="698" spans="46:86">
      <c r="AT698">
        <f ca="1">IF(ROW()&lt;($C$7+1),"",IFERROR((分析データ!B698-AVERAGE(OFFSET(分析データ!B$1,MAX(1,ROW()-$C$7),0,MIN($C$7,ROW()-1),1)))/STDEV(OFFSET(分析データ!B$1,MAX(1,ROW()-$C$7),0,MIN($C$7,ROW()-1),1)),0))</f>
        <v>-0.36886948176871454</v>
      </c>
      <c r="AU698">
        <f t="shared" ca="1" si="280"/>
        <v>0</v>
      </c>
      <c r="AV698" t="str">
        <f ca="1">IF(AU698=1,IF(INDEX(分析データ!$A:$A,ROW()+$C$5)&lt;&gt;"",80000*SIGN(AT698)*(分析データ!B698-INDEX(分析データ!B:B,ROW()+$C$5)),""),"")</f>
        <v/>
      </c>
      <c r="AW698">
        <f t="shared" ca="1" si="281"/>
        <v>-4999999.9999999925</v>
      </c>
      <c r="AX698">
        <f t="shared" ca="1" si="282"/>
        <v>0</v>
      </c>
      <c r="AY698">
        <f t="shared" ca="1" si="283"/>
        <v>-4999999.9999999925</v>
      </c>
      <c r="AZ698">
        <f ca="1">IF(ROW()&lt;($C$7+1),"",IFERROR((分析データ!C698-AVERAGE(OFFSET(分析データ!C$1,MAX(1,ROW()-$C$7),0,MIN($C$7,ROW()-1),1)))/STDEV(OFFSET(分析データ!C$1,MAX(1,ROW()-$C$7),0,MIN($C$7,ROW()-1),1)),0))</f>
        <v>-0.97723888983767193</v>
      </c>
      <c r="BA698">
        <f t="shared" ca="1" si="284"/>
        <v>0</v>
      </c>
      <c r="BB698" t="str">
        <f ca="1">IF(BA698=1,IF(INDEX(分析データ!$A:$A,ROW()+$C$5)&lt;&gt;"",60000*SIGN(AZ698)*(分析データ!C698-INDEX(分析データ!C:C,ROW()+$C$5)),""),"")</f>
        <v/>
      </c>
      <c r="BC698">
        <f t="shared" ca="1" si="285"/>
        <v>3075000.0000000102</v>
      </c>
      <c r="BD698">
        <f t="shared" ca="1" si="286"/>
        <v>3075000.0000000102</v>
      </c>
      <c r="BE698">
        <f t="shared" ca="1" si="287"/>
        <v>0</v>
      </c>
      <c r="BF698">
        <f ca="1">IF(ROW()&lt;($C$7+1),"",IFERROR((分析データ!D698-AVERAGE(OFFSET(分析データ!D$1,MAX(1,ROW()-$C$7),0,MIN($C$7,ROW()-1),1)))/STDEV(OFFSET(分析データ!D$1,MAX(1,ROW()-$C$7),0,MIN($C$7,ROW()-1),1)),0))</f>
        <v>-1.9286514565861983</v>
      </c>
      <c r="BG698">
        <f t="shared" ca="1" si="288"/>
        <v>0</v>
      </c>
      <c r="BH698" t="str">
        <f ca="1">IF(BG698=1,IF(INDEX(分析データ!$A:$A,ROW()+$C$5)&lt;&gt;"",50000*SIGN(BF698)*(分析データ!D698-INDEX(分析データ!D:D,ROW()+$C$5)),""),"")</f>
        <v/>
      </c>
      <c r="BI698">
        <f t="shared" ca="1" si="289"/>
        <v>1615000.0000000175</v>
      </c>
      <c r="BJ698">
        <f t="shared" ca="1" si="290"/>
        <v>1865000.0000000175</v>
      </c>
      <c r="BK698">
        <f t="shared" ca="1" si="291"/>
        <v>-250000</v>
      </c>
      <c r="BL698">
        <f ca="1">IF(ROW()&lt;($C$7+1),"",IFERROR((分析データ!E698-AVERAGE(OFFSET(分析データ!E$1,MAX(1,ROW()-$C$7),0,MIN($C$7,ROW()-1),1)))/STDEV(OFFSET(分析データ!E$1,MAX(1,ROW()-$C$7),0,MIN($C$7,ROW()-1),1)),0))</f>
        <v>0.80743998165753084</v>
      </c>
      <c r="BM698">
        <f t="shared" ca="1" si="292"/>
        <v>0</v>
      </c>
      <c r="BN698" t="str">
        <f ca="1">IF(BM698=1,IF(INDEX(分析データ!$A:$A,ROW()+$C$5)&lt;&gt;"",40000*SIGN(BL698)*(分析データ!E698-INDEX(分析データ!E:E,ROW()+$C$5)),""),"")</f>
        <v/>
      </c>
      <c r="BO698">
        <f t="shared" ca="1" si="293"/>
        <v>4280000.0000000028</v>
      </c>
      <c r="BP698">
        <f t="shared" ca="1" si="294"/>
        <v>4280000.0000000028</v>
      </c>
      <c r="BQ698">
        <f t="shared" ca="1" si="295"/>
        <v>0</v>
      </c>
      <c r="BR698">
        <f ca="1">IF(ROW()&lt;($C$7+1),"",IFERROR((分析データ!F698-AVERAGE(OFFSET(分析データ!F$1,MAX(1,ROW()-$C$7),0,MIN($C$7,ROW()-1),1)))/STDEV(OFFSET(分析データ!F$1,MAX(1,ROW()-$C$7),0,MIN($C$7,ROW()-1),1)),0))</f>
        <v>-1.1624935836770312</v>
      </c>
      <c r="BS698">
        <f t="shared" ca="1" si="296"/>
        <v>0</v>
      </c>
      <c r="BT698" t="str">
        <f ca="1">IF(BS698=1,IF(INDEX(分析データ!$A:$A,ROW()+$C$5)&lt;&gt;"",40000*SIGN(BR698)*(分析データ!F698-INDEX(分析データ!F:F,ROW()+$C$5)),""),"")</f>
        <v/>
      </c>
      <c r="BU698">
        <f t="shared" ca="1" si="297"/>
        <v>14917200.000000004</v>
      </c>
      <c r="BV698">
        <f t="shared" ca="1" si="298"/>
        <v>14917200.000000004</v>
      </c>
      <c r="BW698">
        <f t="shared" ca="1" si="299"/>
        <v>0</v>
      </c>
      <c r="BX698">
        <f ca="1">IF(ROW()&lt;($C$7+1),"",IFERROR((分析データ!G698-AVERAGE(OFFSET(分析データ!G$1,MAX(1,ROW()-$C$7),0,MIN($C$7,ROW()-1),1)))/STDEV(OFFSET(分析データ!G$1,MAX(1,ROW()-$C$7),0,MIN($C$7,ROW()-1),1)),0))</f>
        <v>1.8709500889991546</v>
      </c>
      <c r="BY698">
        <f t="shared" ca="1" si="300"/>
        <v>0</v>
      </c>
      <c r="BZ698" t="str">
        <f ca="1">IF(BY698=1,IF(INDEX(分析データ!$A:$A,ROW()+$C$5)&lt;&gt;"",40000*SIGN(BX698)*(分析データ!G698-INDEX(分析データ!G:G,ROW()+$C$5)),""),"")</f>
        <v/>
      </c>
      <c r="CA698">
        <f t="shared" ca="1" si="301"/>
        <v>-3515452.8662109179</v>
      </c>
      <c r="CB698">
        <f t="shared" ca="1" si="302"/>
        <v>11327520.000000004</v>
      </c>
      <c r="CC698">
        <f t="shared" ca="1" si="303"/>
        <v>-14842972.866210923</v>
      </c>
      <c r="CD698">
        <f t="shared" ca="1" si="304"/>
        <v>0</v>
      </c>
      <c r="CE698">
        <f t="shared" ca="1" si="305"/>
        <v>15371747.133789144</v>
      </c>
      <c r="CF698">
        <f t="shared" ca="1" si="306"/>
        <v>19067197.138671909</v>
      </c>
      <c r="CG698">
        <f t="shared" ca="1" si="307"/>
        <v>-3695450.0048827641</v>
      </c>
      <c r="CH698" s="10">
        <f>分析データ!A698</f>
        <v>45945</v>
      </c>
    </row>
    <row r="699" spans="46:86">
      <c r="AT699">
        <f ca="1">IF(ROW()&lt;($C$7+1),"",IFERROR((分析データ!B699-AVERAGE(OFFSET(分析データ!B$1,MAX(1,ROW()-$C$7),0,MIN($C$7,ROW()-1),1)))/STDEV(OFFSET(分析データ!B$1,MAX(1,ROW()-$C$7),0,MIN($C$7,ROW()-1),1)),0))</f>
        <v>-1.0047150919020812E-3</v>
      </c>
      <c r="AU699">
        <f t="shared" ca="1" si="280"/>
        <v>0</v>
      </c>
      <c r="AV699" t="str">
        <f ca="1">IF(AU699=1,IF(INDEX(分析データ!$A:$A,ROW()+$C$5)&lt;&gt;"",80000*SIGN(AT699)*(分析データ!B699-INDEX(分析データ!B:B,ROW()+$C$5)),""),"")</f>
        <v/>
      </c>
      <c r="AW699">
        <f t="shared" ca="1" si="281"/>
        <v>-4999999.9999999925</v>
      </c>
      <c r="AX699">
        <f t="shared" ca="1" si="282"/>
        <v>0</v>
      </c>
      <c r="AY699">
        <f t="shared" ca="1" si="283"/>
        <v>-4999999.9999999925</v>
      </c>
      <c r="AZ699">
        <f ca="1">IF(ROW()&lt;($C$7+1),"",IFERROR((分析データ!C699-AVERAGE(OFFSET(分析データ!C$1,MAX(1,ROW()-$C$7),0,MIN($C$7,ROW()-1),1)))/STDEV(OFFSET(分析データ!C$1,MAX(1,ROW()-$C$7),0,MIN($C$7,ROW()-1),1)),0))</f>
        <v>-0.80889592431285939</v>
      </c>
      <c r="BA699">
        <f t="shared" ca="1" si="284"/>
        <v>0</v>
      </c>
      <c r="BB699" t="str">
        <f ca="1">IF(BA699=1,IF(INDEX(分析データ!$A:$A,ROW()+$C$5)&lt;&gt;"",60000*SIGN(AZ699)*(分析データ!C699-INDEX(分析データ!C:C,ROW()+$C$5)),""),"")</f>
        <v/>
      </c>
      <c r="BC699">
        <f t="shared" ca="1" si="285"/>
        <v>3075000.0000000102</v>
      </c>
      <c r="BD699">
        <f t="shared" ca="1" si="286"/>
        <v>3075000.0000000102</v>
      </c>
      <c r="BE699">
        <f t="shared" ca="1" si="287"/>
        <v>0</v>
      </c>
      <c r="BF699">
        <f ca="1">IF(ROW()&lt;($C$7+1),"",IFERROR((分析データ!D699-AVERAGE(OFFSET(分析データ!D$1,MAX(1,ROW()-$C$7),0,MIN($C$7,ROW()-1),1)))/STDEV(OFFSET(分析データ!D$1,MAX(1,ROW()-$C$7),0,MIN($C$7,ROW()-1),1)),0))</f>
        <v>-2.1027648617911723</v>
      </c>
      <c r="BG699">
        <f t="shared" ca="1" si="288"/>
        <v>1</v>
      </c>
      <c r="BH699">
        <f ca="1">IF(BG699=1,IF(INDEX(分析データ!$A:$A,ROW()+$C$5)&lt;&gt;"",50000*SIGN(BF699)*(分析データ!D699-INDEX(分析データ!D:D,ROW()+$C$5)),""),"")</f>
        <v>615000.00000000198</v>
      </c>
      <c r="BI699">
        <f t="shared" ca="1" si="289"/>
        <v>2230000.0000000196</v>
      </c>
      <c r="BJ699">
        <f t="shared" ca="1" si="290"/>
        <v>2230000.0000000196</v>
      </c>
      <c r="BK699">
        <f t="shared" ca="1" si="291"/>
        <v>0</v>
      </c>
      <c r="BL699">
        <f ca="1">IF(ROW()&lt;($C$7+1),"",IFERROR((分析データ!E699-AVERAGE(OFFSET(分析データ!E$1,MAX(1,ROW()-$C$7),0,MIN($C$7,ROW()-1),1)))/STDEV(OFFSET(分析データ!E$1,MAX(1,ROW()-$C$7),0,MIN($C$7,ROW()-1),1)),0))</f>
        <v>0.94926013704975887</v>
      </c>
      <c r="BM699">
        <f t="shared" ca="1" si="292"/>
        <v>0</v>
      </c>
      <c r="BN699" t="str">
        <f ca="1">IF(BM699=1,IF(INDEX(分析データ!$A:$A,ROW()+$C$5)&lt;&gt;"",40000*SIGN(BL699)*(分析データ!E699-INDEX(分析データ!E:E,ROW()+$C$5)),""),"")</f>
        <v/>
      </c>
      <c r="BO699">
        <f t="shared" ca="1" si="293"/>
        <v>4280000.0000000028</v>
      </c>
      <c r="BP699">
        <f t="shared" ca="1" si="294"/>
        <v>4280000.0000000028</v>
      </c>
      <c r="BQ699">
        <f t="shared" ca="1" si="295"/>
        <v>0</v>
      </c>
      <c r="BR699">
        <f ca="1">IF(ROW()&lt;($C$7+1),"",IFERROR((分析データ!F699-AVERAGE(OFFSET(分析データ!F$1,MAX(1,ROW()-$C$7),0,MIN($C$7,ROW()-1),1)))/STDEV(OFFSET(分析データ!F$1,MAX(1,ROW()-$C$7),0,MIN($C$7,ROW()-1),1)),0))</f>
        <v>-0.97290053508854524</v>
      </c>
      <c r="BS699">
        <f t="shared" ca="1" si="296"/>
        <v>0</v>
      </c>
      <c r="BT699" t="str">
        <f ca="1">IF(BS699=1,IF(INDEX(分析データ!$A:$A,ROW()+$C$5)&lt;&gt;"",40000*SIGN(BR699)*(分析データ!F699-INDEX(分析データ!F:F,ROW()+$C$5)),""),"")</f>
        <v/>
      </c>
      <c r="BU699">
        <f t="shared" ca="1" si="297"/>
        <v>14917200.000000004</v>
      </c>
      <c r="BV699">
        <f t="shared" ca="1" si="298"/>
        <v>14917200.000000004</v>
      </c>
      <c r="BW699">
        <f t="shared" ca="1" si="299"/>
        <v>0</v>
      </c>
      <c r="BX699">
        <f ca="1">IF(ROW()&lt;($C$7+1),"",IFERROR((分析データ!G699-AVERAGE(OFFSET(分析データ!G$1,MAX(1,ROW()-$C$7),0,MIN($C$7,ROW()-1),1)))/STDEV(OFFSET(分析データ!G$1,MAX(1,ROW()-$C$7),0,MIN($C$7,ROW()-1),1)),0))</f>
        <v>1.7505303432177313</v>
      </c>
      <c r="BY699">
        <f t="shared" ca="1" si="300"/>
        <v>0</v>
      </c>
      <c r="BZ699" t="str">
        <f ca="1">IF(BY699=1,IF(INDEX(分析データ!$A:$A,ROW()+$C$5)&lt;&gt;"",40000*SIGN(BX699)*(分析データ!G699-INDEX(分析データ!G:G,ROW()+$C$5)),""),"")</f>
        <v/>
      </c>
      <c r="CA699">
        <f t="shared" ca="1" si="301"/>
        <v>-3515452.8662109179</v>
      </c>
      <c r="CB699">
        <f t="shared" ca="1" si="302"/>
        <v>11327520.000000004</v>
      </c>
      <c r="CC699">
        <f t="shared" ca="1" si="303"/>
        <v>-14842972.866210923</v>
      </c>
      <c r="CD699">
        <f t="shared" ca="1" si="304"/>
        <v>615000.00000000198</v>
      </c>
      <c r="CE699">
        <f t="shared" ca="1" si="305"/>
        <v>15986747.133789146</v>
      </c>
      <c r="CF699">
        <f t="shared" ca="1" si="306"/>
        <v>19067197.138671909</v>
      </c>
      <c r="CG699">
        <f t="shared" ca="1" si="307"/>
        <v>-3080450.0048827622</v>
      </c>
      <c r="CH699" s="10">
        <f>分析データ!A699</f>
        <v>45946</v>
      </c>
    </row>
    <row r="700" spans="46:86">
      <c r="AT700">
        <f ca="1">IF(ROW()&lt;($C$7+1),"",IFERROR((分析データ!B700-AVERAGE(OFFSET(分析データ!B$1,MAX(1,ROW()-$C$7),0,MIN($C$7,ROW()-1),1)))/STDEV(OFFSET(分析データ!B$1,MAX(1,ROW()-$C$7),0,MIN($C$7,ROW()-1),1)),0))</f>
        <v>-0.13690673278446683</v>
      </c>
      <c r="AU700">
        <f t="shared" ca="1" si="280"/>
        <v>0</v>
      </c>
      <c r="AV700" t="str">
        <f ca="1">IF(AU700=1,IF(INDEX(分析データ!$A:$A,ROW()+$C$5)&lt;&gt;"",80000*SIGN(AT700)*(分析データ!B700-INDEX(分析データ!B:B,ROW()+$C$5)),""),"")</f>
        <v/>
      </c>
      <c r="AW700">
        <f t="shared" ca="1" si="281"/>
        <v>-4999999.9999999925</v>
      </c>
      <c r="AX700">
        <f t="shared" ca="1" si="282"/>
        <v>0</v>
      </c>
      <c r="AY700">
        <f t="shared" ca="1" si="283"/>
        <v>-4999999.9999999925</v>
      </c>
      <c r="AZ700">
        <f ca="1">IF(ROW()&lt;($C$7+1),"",IFERROR((分析データ!C700-AVERAGE(OFFSET(分析データ!C$1,MAX(1,ROW()-$C$7),0,MIN($C$7,ROW()-1),1)))/STDEV(OFFSET(分析データ!C$1,MAX(1,ROW()-$C$7),0,MIN($C$7,ROW()-1),1)),0))</f>
        <v>-1.0842670783703174</v>
      </c>
      <c r="BA700">
        <f t="shared" ca="1" si="284"/>
        <v>0</v>
      </c>
      <c r="BB700" t="str">
        <f ca="1">IF(BA700=1,IF(INDEX(分析データ!$A:$A,ROW()+$C$5)&lt;&gt;"",60000*SIGN(AZ700)*(分析データ!C700-INDEX(分析データ!C:C,ROW()+$C$5)),""),"")</f>
        <v/>
      </c>
      <c r="BC700">
        <f t="shared" ca="1" si="285"/>
        <v>3075000.0000000102</v>
      </c>
      <c r="BD700">
        <f t="shared" ca="1" si="286"/>
        <v>3075000.0000000102</v>
      </c>
      <c r="BE700">
        <f t="shared" ca="1" si="287"/>
        <v>0</v>
      </c>
      <c r="BF700">
        <f ca="1">IF(ROW()&lt;($C$7+1),"",IFERROR((分析データ!D700-AVERAGE(OFFSET(分析データ!D$1,MAX(1,ROW()-$C$7),0,MIN($C$7,ROW()-1),1)))/STDEV(OFFSET(分析データ!D$1,MAX(1,ROW()-$C$7),0,MIN($C$7,ROW()-1),1)),0))</f>
        <v>-1.8993515509178656</v>
      </c>
      <c r="BG700">
        <f t="shared" ca="1" si="288"/>
        <v>0</v>
      </c>
      <c r="BH700" t="str">
        <f ca="1">IF(BG700=1,IF(INDEX(分析データ!$A:$A,ROW()+$C$5)&lt;&gt;"",50000*SIGN(BF700)*(分析データ!D700-INDEX(分析データ!D:D,ROW()+$C$5)),""),"")</f>
        <v/>
      </c>
      <c r="BI700">
        <f t="shared" ca="1" si="289"/>
        <v>2230000.0000000196</v>
      </c>
      <c r="BJ700">
        <f t="shared" ca="1" si="290"/>
        <v>2230000.0000000196</v>
      </c>
      <c r="BK700">
        <f t="shared" ca="1" si="291"/>
        <v>0</v>
      </c>
      <c r="BL700">
        <f ca="1">IF(ROW()&lt;($C$7+1),"",IFERROR((分析データ!E700-AVERAGE(OFFSET(分析データ!E$1,MAX(1,ROW()-$C$7),0,MIN($C$7,ROW()-1),1)))/STDEV(OFFSET(分析データ!E$1,MAX(1,ROW()-$C$7),0,MIN($C$7,ROW()-1),1)),0))</f>
        <v>0.86766273451547438</v>
      </c>
      <c r="BM700">
        <f t="shared" ca="1" si="292"/>
        <v>0</v>
      </c>
      <c r="BN700" t="str">
        <f ca="1">IF(BM700=1,IF(INDEX(分析データ!$A:$A,ROW()+$C$5)&lt;&gt;"",40000*SIGN(BL700)*(分析データ!E700-INDEX(分析データ!E:E,ROW()+$C$5)),""),"")</f>
        <v/>
      </c>
      <c r="BO700">
        <f t="shared" ca="1" si="293"/>
        <v>4280000.0000000028</v>
      </c>
      <c r="BP700">
        <f t="shared" ca="1" si="294"/>
        <v>4280000.0000000028</v>
      </c>
      <c r="BQ700">
        <f t="shared" ca="1" si="295"/>
        <v>0</v>
      </c>
      <c r="BR700">
        <f ca="1">IF(ROW()&lt;($C$7+1),"",IFERROR((分析データ!F700-AVERAGE(OFFSET(分析データ!F$1,MAX(1,ROW()-$C$7),0,MIN($C$7,ROW()-1),1)))/STDEV(OFFSET(分析データ!F$1,MAX(1,ROW()-$C$7),0,MIN($C$7,ROW()-1),1)),0))</f>
        <v>-1.0871635675806064</v>
      </c>
      <c r="BS700">
        <f t="shared" ca="1" si="296"/>
        <v>0</v>
      </c>
      <c r="BT700" t="str">
        <f ca="1">IF(BS700=1,IF(INDEX(分析データ!$A:$A,ROW()+$C$5)&lt;&gt;"",40000*SIGN(BR700)*(分析データ!F700-INDEX(分析データ!F:F,ROW()+$C$5)),""),"")</f>
        <v/>
      </c>
      <c r="BU700">
        <f t="shared" ca="1" si="297"/>
        <v>14917200.000000004</v>
      </c>
      <c r="BV700">
        <f t="shared" ca="1" si="298"/>
        <v>14917200.000000004</v>
      </c>
      <c r="BW700">
        <f t="shared" ca="1" si="299"/>
        <v>0</v>
      </c>
      <c r="BX700">
        <f ca="1">IF(ROW()&lt;($C$7+1),"",IFERROR((分析データ!G700-AVERAGE(OFFSET(分析データ!G$1,MAX(1,ROW()-$C$7),0,MIN($C$7,ROW()-1),1)))/STDEV(OFFSET(分析データ!G$1,MAX(1,ROW()-$C$7),0,MIN($C$7,ROW()-1),1)),0))</f>
        <v>1.782816000068002</v>
      </c>
      <c r="BY700">
        <f t="shared" ca="1" si="300"/>
        <v>0</v>
      </c>
      <c r="BZ700" t="str">
        <f ca="1">IF(BY700=1,IF(INDEX(分析データ!$A:$A,ROW()+$C$5)&lt;&gt;"",40000*SIGN(BX700)*(分析データ!G700-INDEX(分析データ!G:G,ROW()+$C$5)),""),"")</f>
        <v/>
      </c>
      <c r="CA700">
        <f t="shared" ca="1" si="301"/>
        <v>-3515452.8662109179</v>
      </c>
      <c r="CB700">
        <f t="shared" ca="1" si="302"/>
        <v>11327520.000000004</v>
      </c>
      <c r="CC700">
        <f t="shared" ca="1" si="303"/>
        <v>-14842972.866210923</v>
      </c>
      <c r="CD700">
        <f t="shared" ca="1" si="304"/>
        <v>0</v>
      </c>
      <c r="CE700">
        <f t="shared" ca="1" si="305"/>
        <v>15986747.133789146</v>
      </c>
      <c r="CF700">
        <f t="shared" ca="1" si="306"/>
        <v>19067197.138671909</v>
      </c>
      <c r="CG700">
        <f t="shared" ca="1" si="307"/>
        <v>-3080450.0048827622</v>
      </c>
      <c r="CH700" s="10">
        <f>分析データ!A700</f>
        <v>45947</v>
      </c>
    </row>
    <row r="701" spans="46:86">
      <c r="AT701">
        <f ca="1">IF(ROW()&lt;($C$7+1),"",IFERROR((分析データ!B701-AVERAGE(OFFSET(分析データ!B$1,MAX(1,ROW()-$C$7),0,MIN($C$7,ROW()-1),1)))/STDEV(OFFSET(分析データ!B$1,MAX(1,ROW()-$C$7),0,MIN($C$7,ROW()-1),1)),0))</f>
        <v>-0.40633466740025892</v>
      </c>
      <c r="AU701">
        <f t="shared" ca="1" si="280"/>
        <v>0</v>
      </c>
      <c r="AV701" t="str">
        <f ca="1">IF(AU701=1,IF(INDEX(分析データ!$A:$A,ROW()+$C$5)&lt;&gt;"",80000*SIGN(AT701)*(分析データ!B701-INDEX(分析データ!B:B,ROW()+$C$5)),""),"")</f>
        <v/>
      </c>
      <c r="AW701">
        <f t="shared" ca="1" si="281"/>
        <v>-4999999.9999999925</v>
      </c>
      <c r="AX701">
        <f t="shared" ca="1" si="282"/>
        <v>0</v>
      </c>
      <c r="AY701">
        <f t="shared" ca="1" si="283"/>
        <v>-4999999.9999999925</v>
      </c>
      <c r="AZ701">
        <f ca="1">IF(ROW()&lt;($C$7+1),"",IFERROR((分析データ!C701-AVERAGE(OFFSET(分析データ!C$1,MAX(1,ROW()-$C$7),0,MIN($C$7,ROW()-1),1)))/STDEV(OFFSET(分析データ!C$1,MAX(1,ROW()-$C$7),0,MIN($C$7,ROW()-1),1)),0))</f>
        <v>-0.79328076434734418</v>
      </c>
      <c r="BA701">
        <f t="shared" ca="1" si="284"/>
        <v>0</v>
      </c>
      <c r="BB701" t="str">
        <f ca="1">IF(BA701=1,IF(INDEX(分析データ!$A:$A,ROW()+$C$5)&lt;&gt;"",60000*SIGN(AZ701)*(分析データ!C701-INDEX(分析データ!C:C,ROW()+$C$5)),""),"")</f>
        <v/>
      </c>
      <c r="BC701">
        <f t="shared" ca="1" si="285"/>
        <v>3075000.0000000102</v>
      </c>
      <c r="BD701">
        <f t="shared" ca="1" si="286"/>
        <v>3075000.0000000102</v>
      </c>
      <c r="BE701">
        <f t="shared" ca="1" si="287"/>
        <v>0</v>
      </c>
      <c r="BF701">
        <f ca="1">IF(ROW()&lt;($C$7+1),"",IFERROR((分析データ!D701-AVERAGE(OFFSET(分析データ!D$1,MAX(1,ROW()-$C$7),0,MIN($C$7,ROW()-1),1)))/STDEV(OFFSET(分析データ!D$1,MAX(1,ROW()-$C$7),0,MIN($C$7,ROW()-1),1)),0))</f>
        <v>-2.0619930147773449</v>
      </c>
      <c r="BG701">
        <f t="shared" ca="1" si="288"/>
        <v>1</v>
      </c>
      <c r="BH701">
        <f ca="1">IF(BG701=1,IF(INDEX(分析データ!$A:$A,ROW()+$C$5)&lt;&gt;"",50000*SIGN(BF701)*(分析データ!D701-INDEX(分析データ!D:D,ROW()+$C$5)),""),"")</f>
        <v>680000.00000000116</v>
      </c>
      <c r="BI701">
        <f t="shared" ca="1" si="289"/>
        <v>2910000.0000000205</v>
      </c>
      <c r="BJ701">
        <f t="shared" ca="1" si="290"/>
        <v>2910000.0000000205</v>
      </c>
      <c r="BK701">
        <f t="shared" ca="1" si="291"/>
        <v>0</v>
      </c>
      <c r="BL701">
        <f ca="1">IF(ROW()&lt;($C$7+1),"",IFERROR((分析データ!E701-AVERAGE(OFFSET(分析データ!E$1,MAX(1,ROW()-$C$7),0,MIN($C$7,ROW()-1),1)))/STDEV(OFFSET(分析データ!E$1,MAX(1,ROW()-$C$7),0,MIN($C$7,ROW()-1),1)),0))</f>
        <v>0.78639648247968319</v>
      </c>
      <c r="BM701">
        <f t="shared" ca="1" si="292"/>
        <v>0</v>
      </c>
      <c r="BN701" t="str">
        <f ca="1">IF(BM701=1,IF(INDEX(分析データ!$A:$A,ROW()+$C$5)&lt;&gt;"",40000*SIGN(BL701)*(分析データ!E701-INDEX(分析データ!E:E,ROW()+$C$5)),""),"")</f>
        <v/>
      </c>
      <c r="BO701">
        <f t="shared" ca="1" si="293"/>
        <v>4280000.0000000028</v>
      </c>
      <c r="BP701">
        <f t="shared" ca="1" si="294"/>
        <v>4280000.0000000028</v>
      </c>
      <c r="BQ701">
        <f t="shared" ca="1" si="295"/>
        <v>0</v>
      </c>
      <c r="BR701">
        <f ca="1">IF(ROW()&lt;($C$7+1),"",IFERROR((分析データ!F701-AVERAGE(OFFSET(分析データ!F$1,MAX(1,ROW()-$C$7),0,MIN($C$7,ROW()-1),1)))/STDEV(OFFSET(分析データ!F$1,MAX(1,ROW()-$C$7),0,MIN($C$7,ROW()-1),1)),0))</f>
        <v>-1.0698954787072228</v>
      </c>
      <c r="BS701">
        <f t="shared" ca="1" si="296"/>
        <v>0</v>
      </c>
      <c r="BT701" t="str">
        <f ca="1">IF(BS701=1,IF(INDEX(分析データ!$A:$A,ROW()+$C$5)&lt;&gt;"",40000*SIGN(BR701)*(分析データ!F701-INDEX(分析データ!F:F,ROW()+$C$5)),""),"")</f>
        <v/>
      </c>
      <c r="BU701">
        <f t="shared" ca="1" si="297"/>
        <v>14917200.000000004</v>
      </c>
      <c r="BV701">
        <f t="shared" ca="1" si="298"/>
        <v>14917200.000000004</v>
      </c>
      <c r="BW701">
        <f t="shared" ca="1" si="299"/>
        <v>0</v>
      </c>
      <c r="BX701">
        <f ca="1">IF(ROW()&lt;($C$7+1),"",IFERROR((分析データ!G701-AVERAGE(OFFSET(分析データ!G$1,MAX(1,ROW()-$C$7),0,MIN($C$7,ROW()-1),1)))/STDEV(OFFSET(分析データ!G$1,MAX(1,ROW()-$C$7),0,MIN($C$7,ROW()-1),1)),0))</f>
        <v>1.9134212312994363</v>
      </c>
      <c r="BY701">
        <f t="shared" ca="1" si="300"/>
        <v>0</v>
      </c>
      <c r="BZ701" t="str">
        <f ca="1">IF(BY701=1,IF(INDEX(分析データ!$A:$A,ROW()+$C$5)&lt;&gt;"",40000*SIGN(BX701)*(分析データ!G701-INDEX(分析データ!G:G,ROW()+$C$5)),""),"")</f>
        <v/>
      </c>
      <c r="CA701">
        <f t="shared" ca="1" si="301"/>
        <v>-3515452.8662109179</v>
      </c>
      <c r="CB701">
        <f t="shared" ca="1" si="302"/>
        <v>11327520.000000004</v>
      </c>
      <c r="CC701">
        <f t="shared" ca="1" si="303"/>
        <v>-14842972.866210923</v>
      </c>
      <c r="CD701">
        <f t="shared" ca="1" si="304"/>
        <v>680000.00000000116</v>
      </c>
      <c r="CE701">
        <f t="shared" ca="1" si="305"/>
        <v>16666747.133789148</v>
      </c>
      <c r="CF701">
        <f t="shared" ca="1" si="306"/>
        <v>19067197.138671909</v>
      </c>
      <c r="CG701">
        <f t="shared" ca="1" si="307"/>
        <v>-2400450.0048827603</v>
      </c>
      <c r="CH701" s="10">
        <f>分析データ!A701</f>
        <v>45950</v>
      </c>
    </row>
    <row r="702" spans="46:86">
      <c r="AT702">
        <f ca="1">IF(ROW()&lt;($C$7+1),"",IFERROR((分析データ!B702-AVERAGE(OFFSET(分析データ!B$1,MAX(1,ROW()-$C$7),0,MIN($C$7,ROW()-1),1)))/STDEV(OFFSET(分析データ!B$1,MAX(1,ROW()-$C$7),0,MIN($C$7,ROW()-1),1)),0))</f>
        <v>-0.41853600767802918</v>
      </c>
      <c r="AU702">
        <f t="shared" ca="1" si="280"/>
        <v>0</v>
      </c>
      <c r="AV702" t="str">
        <f ca="1">IF(AU702=1,IF(INDEX(分析データ!$A:$A,ROW()+$C$5)&lt;&gt;"",80000*SIGN(AT702)*(分析データ!B702-INDEX(分析データ!B:B,ROW()+$C$5)),""),"")</f>
        <v/>
      </c>
      <c r="AW702">
        <f t="shared" ca="1" si="281"/>
        <v>-4999999.9999999925</v>
      </c>
      <c r="AX702">
        <f t="shared" ca="1" si="282"/>
        <v>0</v>
      </c>
      <c r="AY702">
        <f t="shared" ca="1" si="283"/>
        <v>-4999999.9999999925</v>
      </c>
      <c r="AZ702">
        <f ca="1">IF(ROW()&lt;($C$7+1),"",IFERROR((分析データ!C702-AVERAGE(OFFSET(分析データ!C$1,MAX(1,ROW()-$C$7),0,MIN($C$7,ROW()-1),1)))/STDEV(OFFSET(分析データ!C$1,MAX(1,ROW()-$C$7),0,MIN($C$7,ROW()-1),1)),0))</f>
        <v>-0.91128009997050652</v>
      </c>
      <c r="BA702">
        <f t="shared" ca="1" si="284"/>
        <v>0</v>
      </c>
      <c r="BB702" t="str">
        <f ca="1">IF(BA702=1,IF(INDEX(分析データ!$A:$A,ROW()+$C$5)&lt;&gt;"",60000*SIGN(AZ702)*(分析データ!C702-INDEX(分析データ!C:C,ROW()+$C$5)),""),"")</f>
        <v/>
      </c>
      <c r="BC702">
        <f t="shared" ca="1" si="285"/>
        <v>3075000.0000000102</v>
      </c>
      <c r="BD702">
        <f t="shared" ca="1" si="286"/>
        <v>3075000.0000000102</v>
      </c>
      <c r="BE702">
        <f t="shared" ca="1" si="287"/>
        <v>0</v>
      </c>
      <c r="BF702">
        <f ca="1">IF(ROW()&lt;($C$7+1),"",IFERROR((分析データ!D702-AVERAGE(OFFSET(分析データ!D$1,MAX(1,ROW()-$C$7),0,MIN($C$7,ROW()-1),1)))/STDEV(OFFSET(分析データ!D$1,MAX(1,ROW()-$C$7),0,MIN($C$7,ROW()-1),1)),0))</f>
        <v>-2.0704682089834177</v>
      </c>
      <c r="BG702">
        <f t="shared" ca="1" si="288"/>
        <v>1</v>
      </c>
      <c r="BH702">
        <f ca="1">IF(BG702=1,IF(INDEX(分析データ!$A:$A,ROW()+$C$5)&lt;&gt;"",50000*SIGN(BF702)*(分析データ!D702-INDEX(分析データ!D:D,ROW()+$C$5)),""),"")</f>
        <v>514999.99999999773</v>
      </c>
      <c r="BI702">
        <f t="shared" ca="1" si="289"/>
        <v>3425000.0000000182</v>
      </c>
      <c r="BJ702">
        <f t="shared" ca="1" si="290"/>
        <v>3425000.0000000182</v>
      </c>
      <c r="BK702">
        <f t="shared" ca="1" si="291"/>
        <v>0</v>
      </c>
      <c r="BL702">
        <f ca="1">IF(ROW()&lt;($C$7+1),"",IFERROR((分析データ!E702-AVERAGE(OFFSET(分析データ!E$1,MAX(1,ROW()-$C$7),0,MIN($C$7,ROW()-1),1)))/STDEV(OFFSET(分析データ!E$1,MAX(1,ROW()-$C$7),0,MIN($C$7,ROW()-1),1)),0))</f>
        <v>0.77991346037764286</v>
      </c>
      <c r="BM702">
        <f t="shared" ca="1" si="292"/>
        <v>0</v>
      </c>
      <c r="BN702" t="str">
        <f ca="1">IF(BM702=1,IF(INDEX(分析データ!$A:$A,ROW()+$C$5)&lt;&gt;"",40000*SIGN(BL702)*(分析データ!E702-INDEX(分析データ!E:E,ROW()+$C$5)),""),"")</f>
        <v/>
      </c>
      <c r="BO702">
        <f t="shared" ca="1" si="293"/>
        <v>4280000.0000000028</v>
      </c>
      <c r="BP702">
        <f t="shared" ca="1" si="294"/>
        <v>4280000.0000000028</v>
      </c>
      <c r="BQ702">
        <f t="shared" ca="1" si="295"/>
        <v>0</v>
      </c>
      <c r="BR702">
        <f ca="1">IF(ROW()&lt;($C$7+1),"",IFERROR((分析データ!F702-AVERAGE(OFFSET(分析データ!F$1,MAX(1,ROW()-$C$7),0,MIN($C$7,ROW()-1),1)))/STDEV(OFFSET(分析データ!F$1,MAX(1,ROW()-$C$7),0,MIN($C$7,ROW()-1),1)),0))</f>
        <v>-0.89170607918012812</v>
      </c>
      <c r="BS702">
        <f t="shared" ca="1" si="296"/>
        <v>0</v>
      </c>
      <c r="BT702" t="str">
        <f ca="1">IF(BS702=1,IF(INDEX(分析データ!$A:$A,ROW()+$C$5)&lt;&gt;"",40000*SIGN(BR702)*(分析データ!F702-INDEX(分析データ!F:F,ROW()+$C$5)),""),"")</f>
        <v/>
      </c>
      <c r="BU702">
        <f t="shared" ca="1" si="297"/>
        <v>14917200.000000004</v>
      </c>
      <c r="BV702">
        <f t="shared" ca="1" si="298"/>
        <v>14917200.000000004</v>
      </c>
      <c r="BW702">
        <f t="shared" ca="1" si="299"/>
        <v>0</v>
      </c>
      <c r="BX702">
        <f ca="1">IF(ROW()&lt;($C$7+1),"",IFERROR((分析データ!G702-AVERAGE(OFFSET(分析データ!G$1,MAX(1,ROW()-$C$7),0,MIN($C$7,ROW()-1),1)))/STDEV(OFFSET(分析データ!G$1,MAX(1,ROW()-$C$7),0,MIN($C$7,ROW()-1),1)),0))</f>
        <v>1.7943931267077864</v>
      </c>
      <c r="BY702">
        <f t="shared" ca="1" si="300"/>
        <v>0</v>
      </c>
      <c r="BZ702" t="str">
        <f ca="1">IF(BY702=1,IF(INDEX(分析データ!$A:$A,ROW()+$C$5)&lt;&gt;"",40000*SIGN(BX702)*(分析データ!G702-INDEX(分析データ!G:G,ROW()+$C$5)),""),"")</f>
        <v/>
      </c>
      <c r="CA702">
        <f t="shared" ca="1" si="301"/>
        <v>-3515452.8662109179</v>
      </c>
      <c r="CB702">
        <f t="shared" ca="1" si="302"/>
        <v>11327520.000000004</v>
      </c>
      <c r="CC702">
        <f t="shared" ca="1" si="303"/>
        <v>-14842972.866210923</v>
      </c>
      <c r="CD702">
        <f t="shared" ca="1" si="304"/>
        <v>514999.99999999773</v>
      </c>
      <c r="CE702">
        <f t="shared" ca="1" si="305"/>
        <v>17181747.133789144</v>
      </c>
      <c r="CF702">
        <f t="shared" ca="1" si="306"/>
        <v>19067197.138671909</v>
      </c>
      <c r="CG702">
        <f t="shared" ca="1" si="307"/>
        <v>-1885450.0048827641</v>
      </c>
      <c r="CH702" s="10">
        <f>分析データ!A702</f>
        <v>45951</v>
      </c>
    </row>
    <row r="703" spans="46:86">
      <c r="AT703">
        <f ca="1">IF(ROW()&lt;($C$7+1),"",IFERROR((分析データ!B703-AVERAGE(OFFSET(分析データ!B$1,MAX(1,ROW()-$C$7),0,MIN($C$7,ROW()-1),1)))/STDEV(OFFSET(分析データ!B$1,MAX(1,ROW()-$C$7),0,MIN($C$7,ROW()-1),1)),0))</f>
        <v>-0.56033368420098029</v>
      </c>
      <c r="AU703">
        <f t="shared" ca="1" si="280"/>
        <v>0</v>
      </c>
      <c r="AV703" t="str">
        <f ca="1">IF(AU703=1,IF(INDEX(分析データ!$A:$A,ROW()+$C$5)&lt;&gt;"",80000*SIGN(AT703)*(分析データ!B703-INDEX(分析データ!B:B,ROW()+$C$5)),""),"")</f>
        <v/>
      </c>
      <c r="AW703">
        <f t="shared" ca="1" si="281"/>
        <v>-4999999.9999999925</v>
      </c>
      <c r="AX703">
        <f t="shared" ca="1" si="282"/>
        <v>0</v>
      </c>
      <c r="AY703">
        <f t="shared" ca="1" si="283"/>
        <v>-4999999.9999999925</v>
      </c>
      <c r="AZ703">
        <f ca="1">IF(ROW()&lt;($C$7+1),"",IFERROR((分析データ!C703-AVERAGE(OFFSET(分析データ!C$1,MAX(1,ROW()-$C$7),0,MIN($C$7,ROW()-1),1)))/STDEV(OFFSET(分析データ!C$1,MAX(1,ROW()-$C$7),0,MIN($C$7,ROW()-1),1)),0))</f>
        <v>-0.82848937694597213</v>
      </c>
      <c r="BA703">
        <f t="shared" ca="1" si="284"/>
        <v>0</v>
      </c>
      <c r="BB703" t="str">
        <f ca="1">IF(BA703=1,IF(INDEX(分析データ!$A:$A,ROW()+$C$5)&lt;&gt;"",60000*SIGN(AZ703)*(分析データ!C703-INDEX(分析データ!C:C,ROW()+$C$5)),""),"")</f>
        <v/>
      </c>
      <c r="BC703">
        <f t="shared" ca="1" si="285"/>
        <v>3075000.0000000102</v>
      </c>
      <c r="BD703">
        <f t="shared" ca="1" si="286"/>
        <v>3075000.0000000102</v>
      </c>
      <c r="BE703">
        <f t="shared" ca="1" si="287"/>
        <v>0</v>
      </c>
      <c r="BF703">
        <f ca="1">IF(ROW()&lt;($C$7+1),"",IFERROR((分析データ!D703-AVERAGE(OFFSET(分析データ!D$1,MAX(1,ROW()-$C$7),0,MIN($C$7,ROW()-1),1)))/STDEV(OFFSET(分析データ!D$1,MAX(1,ROW()-$C$7),0,MIN($C$7,ROW()-1),1)),0))</f>
        <v>-2.0627384667606838</v>
      </c>
      <c r="BG703">
        <f t="shared" ca="1" si="288"/>
        <v>1</v>
      </c>
      <c r="BH703">
        <f ca="1">IF(BG703=1,IF(INDEX(分析データ!$A:$A,ROW()+$C$5)&lt;&gt;"",50000*SIGN(BF703)*(分析データ!D703-INDEX(分析データ!D:D,ROW()+$C$5)),""),"")</f>
        <v>934999.99999999662</v>
      </c>
      <c r="BI703">
        <f t="shared" ca="1" si="289"/>
        <v>4360000.0000000149</v>
      </c>
      <c r="BJ703">
        <f t="shared" ca="1" si="290"/>
        <v>4360000.0000000149</v>
      </c>
      <c r="BK703">
        <f t="shared" ca="1" si="291"/>
        <v>0</v>
      </c>
      <c r="BL703">
        <f ca="1">IF(ROW()&lt;($C$7+1),"",IFERROR((分析データ!E703-AVERAGE(OFFSET(分析データ!E$1,MAX(1,ROW()-$C$7),0,MIN($C$7,ROW()-1),1)))/STDEV(OFFSET(分析データ!E$1,MAX(1,ROW()-$C$7),0,MIN($C$7,ROW()-1),1)),0))</f>
        <v>0.69909364582379607</v>
      </c>
      <c r="BM703">
        <f t="shared" ca="1" si="292"/>
        <v>0</v>
      </c>
      <c r="BN703" t="str">
        <f ca="1">IF(BM703=1,IF(INDEX(分析データ!$A:$A,ROW()+$C$5)&lt;&gt;"",40000*SIGN(BL703)*(分析データ!E703-INDEX(分析データ!E:E,ROW()+$C$5)),""),"")</f>
        <v/>
      </c>
      <c r="BO703">
        <f t="shared" ca="1" si="293"/>
        <v>4280000.0000000028</v>
      </c>
      <c r="BP703">
        <f t="shared" ca="1" si="294"/>
        <v>4280000.0000000028</v>
      </c>
      <c r="BQ703">
        <f t="shared" ca="1" si="295"/>
        <v>0</v>
      </c>
      <c r="BR703">
        <f ca="1">IF(ROW()&lt;($C$7+1),"",IFERROR((分析データ!F703-AVERAGE(OFFSET(分析データ!F$1,MAX(1,ROW()-$C$7),0,MIN($C$7,ROW()-1),1)))/STDEV(OFFSET(分析データ!F$1,MAX(1,ROW()-$C$7),0,MIN($C$7,ROW()-1),1)),0))</f>
        <v>-0.84806257622230363</v>
      </c>
      <c r="BS703">
        <f t="shared" ca="1" si="296"/>
        <v>0</v>
      </c>
      <c r="BT703" t="str">
        <f ca="1">IF(BS703=1,IF(INDEX(分析データ!$A:$A,ROW()+$C$5)&lt;&gt;"",40000*SIGN(BR703)*(分析データ!F703-INDEX(分析データ!F:F,ROW()+$C$5)),""),"")</f>
        <v/>
      </c>
      <c r="BU703">
        <f t="shared" ca="1" si="297"/>
        <v>14917200.000000004</v>
      </c>
      <c r="BV703">
        <f t="shared" ca="1" si="298"/>
        <v>14917200.000000004</v>
      </c>
      <c r="BW703">
        <f t="shared" ca="1" si="299"/>
        <v>0</v>
      </c>
      <c r="BX703">
        <f ca="1">IF(ROW()&lt;($C$7+1),"",IFERROR((分析データ!G703-AVERAGE(OFFSET(分析データ!G$1,MAX(1,ROW()-$C$7),0,MIN($C$7,ROW()-1),1)))/STDEV(OFFSET(分析データ!G$1,MAX(1,ROW()-$C$7),0,MIN($C$7,ROW()-1),1)),0))</f>
        <v>1.7101610292718743</v>
      </c>
      <c r="BY703">
        <f t="shared" ca="1" si="300"/>
        <v>0</v>
      </c>
      <c r="BZ703" t="str">
        <f ca="1">IF(BY703=1,IF(INDEX(分析データ!$A:$A,ROW()+$C$5)&lt;&gt;"",40000*SIGN(BX703)*(分析データ!G703-INDEX(分析データ!G:G,ROW()+$C$5)),""),"")</f>
        <v/>
      </c>
      <c r="CA703">
        <f t="shared" ca="1" si="301"/>
        <v>-3515452.8662109179</v>
      </c>
      <c r="CB703">
        <f t="shared" ca="1" si="302"/>
        <v>11327520.000000004</v>
      </c>
      <c r="CC703">
        <f t="shared" ca="1" si="303"/>
        <v>-14842972.866210923</v>
      </c>
      <c r="CD703">
        <f t="shared" ca="1" si="304"/>
        <v>934999.99999999662</v>
      </c>
      <c r="CE703">
        <f t="shared" ca="1" si="305"/>
        <v>18116747.133789141</v>
      </c>
      <c r="CF703">
        <f t="shared" ca="1" si="306"/>
        <v>19067197.138671909</v>
      </c>
      <c r="CG703">
        <f t="shared" ca="1" si="307"/>
        <v>-950450.0048827678</v>
      </c>
      <c r="CH703" s="10">
        <f>分析データ!A703</f>
        <v>45952</v>
      </c>
    </row>
    <row r="704" spans="46:86">
      <c r="AT704">
        <f ca="1">IF(ROW()&lt;($C$7+1),"",IFERROR((分析データ!B704-AVERAGE(OFFSET(分析データ!B$1,MAX(1,ROW()-$C$7),0,MIN($C$7,ROW()-1),1)))/STDEV(OFFSET(分析データ!B$1,MAX(1,ROW()-$C$7),0,MIN($C$7,ROW()-1),1)),0))</f>
        <v>-0.43906213254734594</v>
      </c>
      <c r="AU704">
        <f t="shared" ca="1" si="280"/>
        <v>0</v>
      </c>
      <c r="AV704" t="str">
        <f ca="1">IF(AU704=1,IF(INDEX(分析データ!$A:$A,ROW()+$C$5)&lt;&gt;"",80000*SIGN(AT704)*(分析データ!B704-INDEX(分析データ!B:B,ROW()+$C$5)),""),"")</f>
        <v/>
      </c>
      <c r="AW704">
        <f t="shared" ca="1" si="281"/>
        <v>-4999999.9999999925</v>
      </c>
      <c r="AX704">
        <f t="shared" ca="1" si="282"/>
        <v>0</v>
      </c>
      <c r="AY704">
        <f t="shared" ca="1" si="283"/>
        <v>-4999999.9999999925</v>
      </c>
      <c r="AZ704">
        <f ca="1">IF(ROW()&lt;($C$7+1),"",IFERROR((分析データ!C704-AVERAGE(OFFSET(分析データ!C$1,MAX(1,ROW()-$C$7),0,MIN($C$7,ROW()-1),1)))/STDEV(OFFSET(分析データ!C$1,MAX(1,ROW()-$C$7),0,MIN($C$7,ROW()-1),1)),0))</f>
        <v>-0.59029148470227466</v>
      </c>
      <c r="BA704">
        <f t="shared" ca="1" si="284"/>
        <v>0</v>
      </c>
      <c r="BB704" t="str">
        <f ca="1">IF(BA704=1,IF(INDEX(分析データ!$A:$A,ROW()+$C$5)&lt;&gt;"",60000*SIGN(AZ704)*(分析データ!C704-INDEX(分析データ!C:C,ROW()+$C$5)),""),"")</f>
        <v/>
      </c>
      <c r="BC704">
        <f t="shared" ca="1" si="285"/>
        <v>3075000.0000000102</v>
      </c>
      <c r="BD704">
        <f t="shared" ca="1" si="286"/>
        <v>3075000.0000000102</v>
      </c>
      <c r="BE704">
        <f t="shared" ca="1" si="287"/>
        <v>0</v>
      </c>
      <c r="BF704">
        <f ca="1">IF(ROW()&lt;($C$7+1),"",IFERROR((分析データ!D704-AVERAGE(OFFSET(分析データ!D$1,MAX(1,ROW()-$C$7),0,MIN($C$7,ROW()-1),1)))/STDEV(OFFSET(分析データ!D$1,MAX(1,ROW()-$C$7),0,MIN($C$7,ROW()-1),1)),0))</f>
        <v>-1.92483626979848</v>
      </c>
      <c r="BG704">
        <f t="shared" ca="1" si="288"/>
        <v>0</v>
      </c>
      <c r="BH704" t="str">
        <f ca="1">IF(BG704=1,IF(INDEX(分析データ!$A:$A,ROW()+$C$5)&lt;&gt;"",50000*SIGN(BF704)*(分析データ!D704-INDEX(分析データ!D:D,ROW()+$C$5)),""),"")</f>
        <v/>
      </c>
      <c r="BI704">
        <f t="shared" ca="1" si="289"/>
        <v>4360000.0000000149</v>
      </c>
      <c r="BJ704">
        <f t="shared" ca="1" si="290"/>
        <v>4360000.0000000149</v>
      </c>
      <c r="BK704">
        <f t="shared" ca="1" si="291"/>
        <v>0</v>
      </c>
      <c r="BL704">
        <f ca="1">IF(ROW()&lt;($C$7+1),"",IFERROR((分析データ!E704-AVERAGE(OFFSET(分析データ!E$1,MAX(1,ROW()-$C$7),0,MIN($C$7,ROW()-1),1)))/STDEV(OFFSET(分析データ!E$1,MAX(1,ROW()-$C$7),0,MIN($C$7,ROW()-1),1)),0))</f>
        <v>0.61871823134441828</v>
      </c>
      <c r="BM704">
        <f t="shared" ca="1" si="292"/>
        <v>0</v>
      </c>
      <c r="BN704" t="str">
        <f ca="1">IF(BM704=1,IF(INDEX(分析データ!$A:$A,ROW()+$C$5)&lt;&gt;"",40000*SIGN(BL704)*(分析データ!E704-INDEX(分析データ!E:E,ROW()+$C$5)),""),"")</f>
        <v/>
      </c>
      <c r="BO704">
        <f t="shared" ca="1" si="293"/>
        <v>4280000.0000000028</v>
      </c>
      <c r="BP704">
        <f t="shared" ca="1" si="294"/>
        <v>4280000.0000000028</v>
      </c>
      <c r="BQ704">
        <f t="shared" ca="1" si="295"/>
        <v>0</v>
      </c>
      <c r="BR704">
        <f ca="1">IF(ROW()&lt;($C$7+1),"",IFERROR((分析データ!F704-AVERAGE(OFFSET(分析データ!F$1,MAX(1,ROW()-$C$7),0,MIN($C$7,ROW()-1),1)))/STDEV(OFFSET(分析データ!F$1,MAX(1,ROW()-$C$7),0,MIN($C$7,ROW()-1),1)),0))</f>
        <v>-1.0469143255078837</v>
      </c>
      <c r="BS704">
        <f t="shared" ca="1" si="296"/>
        <v>0</v>
      </c>
      <c r="BT704" t="str">
        <f ca="1">IF(BS704=1,IF(INDEX(分析データ!$A:$A,ROW()+$C$5)&lt;&gt;"",40000*SIGN(BR704)*(分析データ!F704-INDEX(分析データ!F:F,ROW()+$C$5)),""),"")</f>
        <v/>
      </c>
      <c r="BU704">
        <f t="shared" ca="1" si="297"/>
        <v>14917200.000000004</v>
      </c>
      <c r="BV704">
        <f t="shared" ca="1" si="298"/>
        <v>14917200.000000004</v>
      </c>
      <c r="BW704">
        <f t="shared" ca="1" si="299"/>
        <v>0</v>
      </c>
      <c r="BX704">
        <f ca="1">IF(ROW()&lt;($C$7+1),"",IFERROR((分析データ!G704-AVERAGE(OFFSET(分析データ!G$1,MAX(1,ROW()-$C$7),0,MIN($C$7,ROW()-1),1)))/STDEV(OFFSET(分析データ!G$1,MAX(1,ROW()-$C$7),0,MIN($C$7,ROW()-1),1)),0))</f>
        <v>1.6907622627706549</v>
      </c>
      <c r="BY704">
        <f t="shared" ca="1" si="300"/>
        <v>0</v>
      </c>
      <c r="BZ704" t="str">
        <f ca="1">IF(BY704=1,IF(INDEX(分析データ!$A:$A,ROW()+$C$5)&lt;&gt;"",40000*SIGN(BX704)*(分析データ!G704-INDEX(分析データ!G:G,ROW()+$C$5)),""),"")</f>
        <v/>
      </c>
      <c r="CA704">
        <f t="shared" ca="1" si="301"/>
        <v>-3515452.8662109179</v>
      </c>
      <c r="CB704">
        <f t="shared" ca="1" si="302"/>
        <v>11327520.000000004</v>
      </c>
      <c r="CC704">
        <f t="shared" ca="1" si="303"/>
        <v>-14842972.866210923</v>
      </c>
      <c r="CD704">
        <f t="shared" ca="1" si="304"/>
        <v>0</v>
      </c>
      <c r="CE704">
        <f t="shared" ca="1" si="305"/>
        <v>18116747.133789141</v>
      </c>
      <c r="CF704">
        <f t="shared" ca="1" si="306"/>
        <v>19067197.138671909</v>
      </c>
      <c r="CG704">
        <f t="shared" ca="1" si="307"/>
        <v>-950450.0048827678</v>
      </c>
      <c r="CH704" s="10">
        <f>分析データ!A704</f>
        <v>45953</v>
      </c>
    </row>
    <row r="705" spans="46:86">
      <c r="AT705">
        <f ca="1">IF(ROW()&lt;($C$7+1),"",IFERROR((分析データ!B705-AVERAGE(OFFSET(分析データ!B$1,MAX(1,ROW()-$C$7),0,MIN($C$7,ROW()-1),1)))/STDEV(OFFSET(分析データ!B$1,MAX(1,ROW()-$C$7),0,MIN($C$7,ROW()-1),1)),0))</f>
        <v>-0.31282139344634469</v>
      </c>
      <c r="AU705">
        <f t="shared" ca="1" si="280"/>
        <v>0</v>
      </c>
      <c r="AV705" t="str">
        <f ca="1">IF(AU705=1,IF(INDEX(分析データ!$A:$A,ROW()+$C$5)&lt;&gt;"",80000*SIGN(AT705)*(分析データ!B705-INDEX(分析データ!B:B,ROW()+$C$5)),""),"")</f>
        <v/>
      </c>
      <c r="AW705">
        <f t="shared" ca="1" si="281"/>
        <v>-4999999.9999999925</v>
      </c>
      <c r="AX705">
        <f t="shared" ca="1" si="282"/>
        <v>0</v>
      </c>
      <c r="AY705">
        <f t="shared" ca="1" si="283"/>
        <v>-4999999.9999999925</v>
      </c>
      <c r="AZ705">
        <f ca="1">IF(ROW()&lt;($C$7+1),"",IFERROR((分析データ!C705-AVERAGE(OFFSET(分析データ!C$1,MAX(1,ROW()-$C$7),0,MIN($C$7,ROW()-1),1)))/STDEV(OFFSET(分析データ!C$1,MAX(1,ROW()-$C$7),0,MIN($C$7,ROW()-1),1)),0))</f>
        <v>-0.43974335731945818</v>
      </c>
      <c r="BA705">
        <f t="shared" ca="1" si="284"/>
        <v>0</v>
      </c>
      <c r="BB705" t="str">
        <f ca="1">IF(BA705=1,IF(INDEX(分析データ!$A:$A,ROW()+$C$5)&lt;&gt;"",60000*SIGN(AZ705)*(分析データ!C705-INDEX(分析データ!C:C,ROW()+$C$5)),""),"")</f>
        <v/>
      </c>
      <c r="BC705">
        <f t="shared" ca="1" si="285"/>
        <v>3075000.0000000102</v>
      </c>
      <c r="BD705">
        <f t="shared" ca="1" si="286"/>
        <v>3075000.0000000102</v>
      </c>
      <c r="BE705">
        <f t="shared" ca="1" si="287"/>
        <v>0</v>
      </c>
      <c r="BF705">
        <f ca="1">IF(ROW()&lt;($C$7+1),"",IFERROR((分析データ!D705-AVERAGE(OFFSET(分析データ!D$1,MAX(1,ROW()-$C$7),0,MIN($C$7,ROW()-1),1)))/STDEV(OFFSET(分析データ!D$1,MAX(1,ROW()-$C$7),0,MIN($C$7,ROW()-1),1)),0))</f>
        <v>-1.8718294024418198</v>
      </c>
      <c r="BG705">
        <f t="shared" ca="1" si="288"/>
        <v>0</v>
      </c>
      <c r="BH705" t="str">
        <f ca="1">IF(BG705=1,IF(INDEX(分析データ!$A:$A,ROW()+$C$5)&lt;&gt;"",50000*SIGN(BF705)*(分析データ!D705-INDEX(分析データ!D:D,ROW()+$C$5)),""),"")</f>
        <v/>
      </c>
      <c r="BI705">
        <f t="shared" ca="1" si="289"/>
        <v>4360000.0000000149</v>
      </c>
      <c r="BJ705">
        <f t="shared" ca="1" si="290"/>
        <v>4360000.0000000149</v>
      </c>
      <c r="BK705">
        <f t="shared" ca="1" si="291"/>
        <v>0</v>
      </c>
      <c r="BL705">
        <f ca="1">IF(ROW()&lt;($C$7+1),"",IFERROR((分析データ!E705-AVERAGE(OFFSET(分析データ!E$1,MAX(1,ROW()-$C$7),0,MIN($C$7,ROW()-1),1)))/STDEV(OFFSET(分析データ!E$1,MAX(1,ROW()-$C$7),0,MIN($C$7,ROW()-1),1)),0))</f>
        <v>0.6879711736609917</v>
      </c>
      <c r="BM705">
        <f t="shared" ca="1" si="292"/>
        <v>0</v>
      </c>
      <c r="BN705" t="str">
        <f ca="1">IF(BM705=1,IF(INDEX(分析データ!$A:$A,ROW()+$C$5)&lt;&gt;"",40000*SIGN(BL705)*(分析データ!E705-INDEX(分析データ!E:E,ROW()+$C$5)),""),"")</f>
        <v/>
      </c>
      <c r="BO705">
        <f t="shared" ca="1" si="293"/>
        <v>4280000.0000000028</v>
      </c>
      <c r="BP705">
        <f t="shared" ca="1" si="294"/>
        <v>4280000.0000000028</v>
      </c>
      <c r="BQ705">
        <f t="shared" ca="1" si="295"/>
        <v>0</v>
      </c>
      <c r="BR705">
        <f ca="1">IF(ROW()&lt;($C$7+1),"",IFERROR((分析データ!F705-AVERAGE(OFFSET(分析データ!F$1,MAX(1,ROW()-$C$7),0,MIN($C$7,ROW()-1),1)))/STDEV(OFFSET(分析データ!F$1,MAX(1,ROW()-$C$7),0,MIN($C$7,ROW()-1),1)),0))</f>
        <v>-1.1471365233262438</v>
      </c>
      <c r="BS705">
        <f t="shared" ca="1" si="296"/>
        <v>0</v>
      </c>
      <c r="BT705" t="str">
        <f ca="1">IF(BS705=1,IF(INDEX(分析データ!$A:$A,ROW()+$C$5)&lt;&gt;"",40000*SIGN(BR705)*(分析データ!F705-INDEX(分析データ!F:F,ROW()+$C$5)),""),"")</f>
        <v/>
      </c>
      <c r="BU705">
        <f t="shared" ca="1" si="297"/>
        <v>14917200.000000004</v>
      </c>
      <c r="BV705">
        <f t="shared" ca="1" si="298"/>
        <v>14917200.000000004</v>
      </c>
      <c r="BW705">
        <f t="shared" ca="1" si="299"/>
        <v>0</v>
      </c>
      <c r="BX705">
        <f ca="1">IF(ROW()&lt;($C$7+1),"",IFERROR((分析データ!G705-AVERAGE(OFFSET(分析データ!G$1,MAX(1,ROW()-$C$7),0,MIN($C$7,ROW()-1),1)))/STDEV(OFFSET(分析データ!G$1,MAX(1,ROW()-$C$7),0,MIN($C$7,ROW()-1),1)),0))</f>
        <v>1.7113778748251613</v>
      </c>
      <c r="BY705">
        <f t="shared" ca="1" si="300"/>
        <v>0</v>
      </c>
      <c r="BZ705" t="str">
        <f ca="1">IF(BY705=1,IF(INDEX(分析データ!$A:$A,ROW()+$C$5)&lt;&gt;"",40000*SIGN(BX705)*(分析データ!G705-INDEX(分析データ!G:G,ROW()+$C$5)),""),"")</f>
        <v/>
      </c>
      <c r="CA705">
        <f t="shared" ca="1" si="301"/>
        <v>-3515452.8662109179</v>
      </c>
      <c r="CB705">
        <f t="shared" ca="1" si="302"/>
        <v>11327520.000000004</v>
      </c>
      <c r="CC705">
        <f t="shared" ca="1" si="303"/>
        <v>-14842972.866210923</v>
      </c>
      <c r="CD705">
        <f t="shared" ca="1" si="304"/>
        <v>0</v>
      </c>
      <c r="CE705">
        <f t="shared" ca="1" si="305"/>
        <v>18116747.133789141</v>
      </c>
      <c r="CF705">
        <f t="shared" ca="1" si="306"/>
        <v>19067197.138671909</v>
      </c>
      <c r="CG705">
        <f t="shared" ca="1" si="307"/>
        <v>-950450.0048827678</v>
      </c>
      <c r="CH705" s="10">
        <f>分析データ!A705</f>
        <v>45954</v>
      </c>
    </row>
    <row r="706" spans="46:86">
      <c r="AT706">
        <f ca="1">IF(ROW()&lt;($C$7+1),"",IFERROR((分析データ!B706-AVERAGE(OFFSET(分析データ!B$1,MAX(1,ROW()-$C$7),0,MIN($C$7,ROW()-1),1)))/STDEV(OFFSET(分析データ!B$1,MAX(1,ROW()-$C$7),0,MIN($C$7,ROW()-1),1)),0))</f>
        <v>-0.31900905285258446</v>
      </c>
      <c r="AU706">
        <f t="shared" ref="AU706:AU769" ca="1" si="308">IF(ISNUMBER(AT706),IF(ABS(AT706)&gt;=$C$6,1,0),0)</f>
        <v>0</v>
      </c>
      <c r="AV706" t="str">
        <f ca="1">IF(AU706=1,IF(INDEX(分析データ!$A:$A,ROW()+$C$5)&lt;&gt;"",80000*SIGN(AT706)*(分析データ!B706-INDEX(分析データ!B:B,ROW()+$C$5)),""),"")</f>
        <v/>
      </c>
      <c r="AW706">
        <f t="shared" ref="AW706:AW769" ca="1" si="309">AW705+IF(AND(AU706=1,ISNUMBER(AV706)),AV706,0)</f>
        <v>-4999999.9999999925</v>
      </c>
      <c r="AX706">
        <f t="shared" ref="AX706:AX769" ca="1" si="310">MAX(AX705,AW706)</f>
        <v>0</v>
      </c>
      <c r="AY706">
        <f t="shared" ref="AY706:AY769" ca="1" si="311">AW706-AX706</f>
        <v>-4999999.9999999925</v>
      </c>
      <c r="AZ706">
        <f ca="1">IF(ROW()&lt;($C$7+1),"",IFERROR((分析データ!C706-AVERAGE(OFFSET(分析データ!C$1,MAX(1,ROW()-$C$7),0,MIN($C$7,ROW()-1),1)))/STDEV(OFFSET(分析データ!C$1,MAX(1,ROW()-$C$7),0,MIN($C$7,ROW()-1),1)),0))</f>
        <v>-0.40409718141207818</v>
      </c>
      <c r="BA706">
        <f t="shared" ref="BA706:BA769" ca="1" si="312">IF(ISNUMBER(AZ706),IF(ABS(AZ706)&gt;=$C$6,1,0),0)</f>
        <v>0</v>
      </c>
      <c r="BB706" t="str">
        <f ca="1">IF(BA706=1,IF(INDEX(分析データ!$A:$A,ROW()+$C$5)&lt;&gt;"",60000*SIGN(AZ706)*(分析データ!C706-INDEX(分析データ!C:C,ROW()+$C$5)),""),"")</f>
        <v/>
      </c>
      <c r="BC706">
        <f t="shared" ref="BC706:BC769" ca="1" si="313">BC705+IF(AND(BA706=1,ISNUMBER(BB706)),BB706,0)</f>
        <v>3075000.0000000102</v>
      </c>
      <c r="BD706">
        <f t="shared" ref="BD706:BD769" ca="1" si="314">MAX(BD705,BC706)</f>
        <v>3075000.0000000102</v>
      </c>
      <c r="BE706">
        <f t="shared" ref="BE706:BE769" ca="1" si="315">BC706-BD706</f>
        <v>0</v>
      </c>
      <c r="BF706">
        <f ca="1">IF(ROW()&lt;($C$7+1),"",IFERROR((分析データ!D706-AVERAGE(OFFSET(分析データ!D$1,MAX(1,ROW()-$C$7),0,MIN($C$7,ROW()-1),1)))/STDEV(OFFSET(分析データ!D$1,MAX(1,ROW()-$C$7),0,MIN($C$7,ROW()-1),1)),0))</f>
        <v>-1.930785950751513</v>
      </c>
      <c r="BG706">
        <f t="shared" ref="BG706:BG769" ca="1" si="316">IF(ISNUMBER(BF706),IF(ABS(BF706)&gt;=$C$6,1,0),0)</f>
        <v>0</v>
      </c>
      <c r="BH706" t="str">
        <f ca="1">IF(BG706=1,IF(INDEX(分析データ!$A:$A,ROW()+$C$5)&lt;&gt;"",50000*SIGN(BF706)*(分析データ!D706-INDEX(分析データ!D:D,ROW()+$C$5)),""),"")</f>
        <v/>
      </c>
      <c r="BI706">
        <f t="shared" ref="BI706:BI769" ca="1" si="317">BI705+IF(AND(BG706=1,ISNUMBER(BH706)),BH706,0)</f>
        <v>4360000.0000000149</v>
      </c>
      <c r="BJ706">
        <f t="shared" ref="BJ706:BJ769" ca="1" si="318">MAX(BJ705,BI706)</f>
        <v>4360000.0000000149</v>
      </c>
      <c r="BK706">
        <f t="shared" ref="BK706:BK769" ca="1" si="319">BI706-BJ706</f>
        <v>0</v>
      </c>
      <c r="BL706">
        <f ca="1">IF(ROW()&lt;($C$7+1),"",IFERROR((分析データ!E706-AVERAGE(OFFSET(分析データ!E$1,MAX(1,ROW()-$C$7),0,MIN($C$7,ROW()-1),1)))/STDEV(OFFSET(分析データ!E$1,MAX(1,ROW()-$C$7),0,MIN($C$7,ROW()-1),1)),0))</f>
        <v>0.60754128694697507</v>
      </c>
      <c r="BM706">
        <f t="shared" ref="BM706:BM769" ca="1" si="320">IF(ISNUMBER(BL706),IF(ABS(BL706)&gt;=$C$6,1,0),0)</f>
        <v>0</v>
      </c>
      <c r="BN706" t="str">
        <f ca="1">IF(BM706=1,IF(INDEX(分析データ!$A:$A,ROW()+$C$5)&lt;&gt;"",40000*SIGN(BL706)*(分析データ!E706-INDEX(分析データ!E:E,ROW()+$C$5)),""),"")</f>
        <v/>
      </c>
      <c r="BO706">
        <f t="shared" ref="BO706:BO769" ca="1" si="321">BO705+IF(AND(BM706=1,ISNUMBER(BN706)),BN706,0)</f>
        <v>4280000.0000000028</v>
      </c>
      <c r="BP706">
        <f t="shared" ref="BP706:BP769" ca="1" si="322">MAX(BP705,BO706)</f>
        <v>4280000.0000000028</v>
      </c>
      <c r="BQ706">
        <f t="shared" ref="BQ706:BQ769" ca="1" si="323">BO706-BP706</f>
        <v>0</v>
      </c>
      <c r="BR706">
        <f ca="1">IF(ROW()&lt;($C$7+1),"",IFERROR((分析データ!F706-AVERAGE(OFFSET(分析データ!F$1,MAX(1,ROW()-$C$7),0,MIN($C$7,ROW()-1),1)))/STDEV(OFFSET(分析データ!F$1,MAX(1,ROW()-$C$7),0,MIN($C$7,ROW()-1),1)),0))</f>
        <v>-1.1049206508399678</v>
      </c>
      <c r="BS706">
        <f t="shared" ref="BS706:BS769" ca="1" si="324">IF(ISNUMBER(BR706),IF(ABS(BR706)&gt;=$C$6,1,0),0)</f>
        <v>0</v>
      </c>
      <c r="BT706" t="str">
        <f ca="1">IF(BS706=1,IF(INDEX(分析データ!$A:$A,ROW()+$C$5)&lt;&gt;"",40000*SIGN(BR706)*(分析データ!F706-INDEX(分析データ!F:F,ROW()+$C$5)),""),"")</f>
        <v/>
      </c>
      <c r="BU706">
        <f t="shared" ref="BU706:BU769" ca="1" si="325">BU705+IF(AND(BS706=1,ISNUMBER(BT706)),BT706,0)</f>
        <v>14917200.000000004</v>
      </c>
      <c r="BV706">
        <f t="shared" ref="BV706:BV769" ca="1" si="326">MAX(BV705,BU706)</f>
        <v>14917200.000000004</v>
      </c>
      <c r="BW706">
        <f t="shared" ref="BW706:BW769" ca="1" si="327">BU706-BV706</f>
        <v>0</v>
      </c>
      <c r="BX706">
        <f ca="1">IF(ROW()&lt;($C$7+1),"",IFERROR((分析データ!G706-AVERAGE(OFFSET(分析データ!G$1,MAX(1,ROW()-$C$7),0,MIN($C$7,ROW()-1),1)))/STDEV(OFFSET(分析データ!G$1,MAX(1,ROW()-$C$7),0,MIN($C$7,ROW()-1),1)),0))</f>
        <v>1.7125210411932759</v>
      </c>
      <c r="BY706">
        <f t="shared" ref="BY706:BY769" ca="1" si="328">IF(ISNUMBER(BX706),IF(ABS(BX706)&gt;=$C$6,1,0),0)</f>
        <v>0</v>
      </c>
      <c r="BZ706" t="str">
        <f ca="1">IF(BY706=1,IF(INDEX(分析データ!$A:$A,ROW()+$C$5)&lt;&gt;"",40000*SIGN(BX706)*(分析データ!G706-INDEX(分析データ!G:G,ROW()+$C$5)),""),"")</f>
        <v/>
      </c>
      <c r="CA706">
        <f t="shared" ref="CA706:CA769" ca="1" si="329">CA705+IF(AND(BY706=1,ISNUMBER(BZ706)),BZ706,0)</f>
        <v>-3515452.8662109179</v>
      </c>
      <c r="CB706">
        <f t="shared" ref="CB706:CB769" ca="1" si="330">MAX(CB705,CA706)</f>
        <v>11327520.000000004</v>
      </c>
      <c r="CC706">
        <f t="shared" ref="CC706:CC769" ca="1" si="331">CA706-CB706</f>
        <v>-14842972.866210923</v>
      </c>
      <c r="CD706">
        <f t="shared" ref="CD706:CD769" ca="1" si="332">N(AV706)+N(BB706)+N(BH706)+N(BN706)+N(BT706)+N(BZ706)</f>
        <v>0</v>
      </c>
      <c r="CE706">
        <f t="shared" ref="CE706:CE769" ca="1" si="333">CE705+CD706</f>
        <v>18116747.133789141</v>
      </c>
      <c r="CF706">
        <f t="shared" ref="CF706:CF769" ca="1" si="334">MAX(CF705,CE706)</f>
        <v>19067197.138671909</v>
      </c>
      <c r="CG706">
        <f t="shared" ref="CG706:CG769" ca="1" si="335">CE706-CF706</f>
        <v>-950450.0048827678</v>
      </c>
      <c r="CH706" s="10">
        <f>分析データ!A706</f>
        <v>45957</v>
      </c>
    </row>
    <row r="707" spans="46:86">
      <c r="AT707">
        <f ca="1">IF(ROW()&lt;($C$7+1),"",IFERROR((分析データ!B707-AVERAGE(OFFSET(分析データ!B$1,MAX(1,ROW()-$C$7),0,MIN($C$7,ROW()-1),1)))/STDEV(OFFSET(分析データ!B$1,MAX(1,ROW()-$C$7),0,MIN($C$7,ROW()-1),1)),0))</f>
        <v>-0.4579065004862104</v>
      </c>
      <c r="AU707">
        <f t="shared" ca="1" si="308"/>
        <v>0</v>
      </c>
      <c r="AV707" t="str">
        <f ca="1">IF(AU707=1,IF(INDEX(分析データ!$A:$A,ROW()+$C$5)&lt;&gt;"",80000*SIGN(AT707)*(分析データ!B707-INDEX(分析データ!B:B,ROW()+$C$5)),""),"")</f>
        <v/>
      </c>
      <c r="AW707">
        <f t="shared" ca="1" si="309"/>
        <v>-4999999.9999999925</v>
      </c>
      <c r="AX707">
        <f t="shared" ca="1" si="310"/>
        <v>0</v>
      </c>
      <c r="AY707">
        <f t="shared" ca="1" si="311"/>
        <v>-4999999.9999999925</v>
      </c>
      <c r="AZ707">
        <f ca="1">IF(ROW()&lt;($C$7+1),"",IFERROR((分析データ!C707-AVERAGE(OFFSET(分析データ!C$1,MAX(1,ROW()-$C$7),0,MIN($C$7,ROW()-1),1)))/STDEV(OFFSET(分析データ!C$1,MAX(1,ROW()-$C$7),0,MIN($C$7,ROW()-1),1)),0))</f>
        <v>-0.69522872828189863</v>
      </c>
      <c r="BA707">
        <f t="shared" ca="1" si="312"/>
        <v>0</v>
      </c>
      <c r="BB707" t="str">
        <f ca="1">IF(BA707=1,IF(INDEX(分析データ!$A:$A,ROW()+$C$5)&lt;&gt;"",60000*SIGN(AZ707)*(分析データ!C707-INDEX(分析データ!C:C,ROW()+$C$5)),""),"")</f>
        <v/>
      </c>
      <c r="BC707">
        <f t="shared" ca="1" si="313"/>
        <v>3075000.0000000102</v>
      </c>
      <c r="BD707">
        <f t="shared" ca="1" si="314"/>
        <v>3075000.0000000102</v>
      </c>
      <c r="BE707">
        <f t="shared" ca="1" si="315"/>
        <v>0</v>
      </c>
      <c r="BF707">
        <f ca="1">IF(ROW()&lt;($C$7+1),"",IFERROR((分析データ!D707-AVERAGE(OFFSET(分析データ!D$1,MAX(1,ROW()-$C$7),0,MIN($C$7,ROW()-1),1)))/STDEV(OFFSET(分析データ!D$1,MAX(1,ROW()-$C$7),0,MIN($C$7,ROW()-1),1)),0))</f>
        <v>-1.881368288713827</v>
      </c>
      <c r="BG707">
        <f t="shared" ca="1" si="316"/>
        <v>0</v>
      </c>
      <c r="BH707" t="str">
        <f ca="1">IF(BG707=1,IF(INDEX(分析データ!$A:$A,ROW()+$C$5)&lt;&gt;"",50000*SIGN(BF707)*(分析データ!D707-INDEX(分析データ!D:D,ROW()+$C$5)),""),"")</f>
        <v/>
      </c>
      <c r="BI707">
        <f t="shared" ca="1" si="317"/>
        <v>4360000.0000000149</v>
      </c>
      <c r="BJ707">
        <f t="shared" ca="1" si="318"/>
        <v>4360000.0000000149</v>
      </c>
      <c r="BK707">
        <f t="shared" ca="1" si="319"/>
        <v>0</v>
      </c>
      <c r="BL707">
        <f ca="1">IF(ROW()&lt;($C$7+1),"",IFERROR((分析データ!E707-AVERAGE(OFFSET(分析データ!E$1,MAX(1,ROW()-$C$7),0,MIN($C$7,ROW()-1),1)))/STDEV(OFFSET(分析データ!E$1,MAX(1,ROW()-$C$7),0,MIN($C$7,ROW()-1),1)),0))</f>
        <v>0.52723295695391836</v>
      </c>
      <c r="BM707">
        <f t="shared" ca="1" si="320"/>
        <v>0</v>
      </c>
      <c r="BN707" t="str">
        <f ca="1">IF(BM707=1,IF(INDEX(分析データ!$A:$A,ROW()+$C$5)&lt;&gt;"",40000*SIGN(BL707)*(分析データ!E707-INDEX(分析データ!E:E,ROW()+$C$5)),""),"")</f>
        <v/>
      </c>
      <c r="BO707">
        <f t="shared" ca="1" si="321"/>
        <v>4280000.0000000028</v>
      </c>
      <c r="BP707">
        <f t="shared" ca="1" si="322"/>
        <v>4280000.0000000028</v>
      </c>
      <c r="BQ707">
        <f t="shared" ca="1" si="323"/>
        <v>0</v>
      </c>
      <c r="BR707">
        <f ca="1">IF(ROW()&lt;($C$7+1),"",IFERROR((分析データ!F707-AVERAGE(OFFSET(分析データ!F$1,MAX(1,ROW()-$C$7),0,MIN($C$7,ROW()-1),1)))/STDEV(OFFSET(分析データ!F$1,MAX(1,ROW()-$C$7),0,MIN($C$7,ROW()-1),1)),0))</f>
        <v>-0.98760497351857679</v>
      </c>
      <c r="BS707">
        <f t="shared" ca="1" si="324"/>
        <v>0</v>
      </c>
      <c r="BT707" t="str">
        <f ca="1">IF(BS707=1,IF(INDEX(分析データ!$A:$A,ROW()+$C$5)&lt;&gt;"",40000*SIGN(BR707)*(分析データ!F707-INDEX(分析データ!F:F,ROW()+$C$5)),""),"")</f>
        <v/>
      </c>
      <c r="BU707">
        <f t="shared" ca="1" si="325"/>
        <v>14917200.000000004</v>
      </c>
      <c r="BV707">
        <f t="shared" ca="1" si="326"/>
        <v>14917200.000000004</v>
      </c>
      <c r="BW707">
        <f t="shared" ca="1" si="327"/>
        <v>0</v>
      </c>
      <c r="BX707">
        <f ca="1">IF(ROW()&lt;($C$7+1),"",IFERROR((分析データ!G707-AVERAGE(OFFSET(分析データ!G$1,MAX(1,ROW()-$C$7),0,MIN($C$7,ROW()-1),1)))/STDEV(OFFSET(分析データ!G$1,MAX(1,ROW()-$C$7),0,MIN($C$7,ROW()-1),1)),0))</f>
        <v>1.6446092326281132</v>
      </c>
      <c r="BY707">
        <f t="shared" ca="1" si="328"/>
        <v>0</v>
      </c>
      <c r="BZ707" t="str">
        <f ca="1">IF(BY707=1,IF(INDEX(分析データ!$A:$A,ROW()+$C$5)&lt;&gt;"",40000*SIGN(BX707)*(分析データ!G707-INDEX(分析データ!G:G,ROW()+$C$5)),""),"")</f>
        <v/>
      </c>
      <c r="CA707">
        <f t="shared" ca="1" si="329"/>
        <v>-3515452.8662109179</v>
      </c>
      <c r="CB707">
        <f t="shared" ca="1" si="330"/>
        <v>11327520.000000004</v>
      </c>
      <c r="CC707">
        <f t="shared" ca="1" si="331"/>
        <v>-14842972.866210923</v>
      </c>
      <c r="CD707">
        <f t="shared" ca="1" si="332"/>
        <v>0</v>
      </c>
      <c r="CE707">
        <f t="shared" ca="1" si="333"/>
        <v>18116747.133789141</v>
      </c>
      <c r="CF707">
        <f t="shared" ca="1" si="334"/>
        <v>19067197.138671909</v>
      </c>
      <c r="CG707">
        <f t="shared" ca="1" si="335"/>
        <v>-950450.0048827678</v>
      </c>
      <c r="CH707" s="10">
        <f>分析データ!A707</f>
        <v>45958</v>
      </c>
    </row>
    <row r="708" spans="46:86">
      <c r="AT708">
        <f ca="1">IF(ROW()&lt;($C$7+1),"",IFERROR((分析データ!B708-AVERAGE(OFFSET(分析データ!B$1,MAX(1,ROW()-$C$7),0,MIN($C$7,ROW()-1),1)))/STDEV(OFFSET(分析データ!B$1,MAX(1,ROW()-$C$7),0,MIN($C$7,ROW()-1),1)),0))</f>
        <v>-0.46418321407305019</v>
      </c>
      <c r="AU708">
        <f t="shared" ca="1" si="308"/>
        <v>0</v>
      </c>
      <c r="AV708" t="str">
        <f ca="1">IF(AU708=1,IF(INDEX(分析データ!$A:$A,ROW()+$C$5)&lt;&gt;"",80000*SIGN(AT708)*(分析データ!B708-INDEX(分析データ!B:B,ROW()+$C$5)),""),"")</f>
        <v/>
      </c>
      <c r="AW708">
        <f t="shared" ca="1" si="309"/>
        <v>-4999999.9999999925</v>
      </c>
      <c r="AX708">
        <f t="shared" ca="1" si="310"/>
        <v>0</v>
      </c>
      <c r="AY708">
        <f t="shared" ca="1" si="311"/>
        <v>-4999999.9999999925</v>
      </c>
      <c r="AZ708">
        <f ca="1">IF(ROW()&lt;($C$7+1),"",IFERROR((分析データ!C708-AVERAGE(OFFSET(分析データ!C$1,MAX(1,ROW()-$C$7),0,MIN($C$7,ROW()-1),1)))/STDEV(OFFSET(分析データ!C$1,MAX(1,ROW()-$C$7),0,MIN($C$7,ROW()-1),1)),0))</f>
        <v>-0.49602195681086958</v>
      </c>
      <c r="BA708">
        <f t="shared" ca="1" si="312"/>
        <v>0</v>
      </c>
      <c r="BB708" t="str">
        <f ca="1">IF(BA708=1,IF(INDEX(分析データ!$A:$A,ROW()+$C$5)&lt;&gt;"",60000*SIGN(AZ708)*(分析データ!C708-INDEX(分析データ!C:C,ROW()+$C$5)),""),"")</f>
        <v/>
      </c>
      <c r="BC708">
        <f t="shared" ca="1" si="313"/>
        <v>3075000.0000000102</v>
      </c>
      <c r="BD708">
        <f t="shared" ca="1" si="314"/>
        <v>3075000.0000000102</v>
      </c>
      <c r="BE708">
        <f t="shared" ca="1" si="315"/>
        <v>0</v>
      </c>
      <c r="BF708">
        <f ca="1">IF(ROW()&lt;($C$7+1),"",IFERROR((分析データ!D708-AVERAGE(OFFSET(分析データ!D$1,MAX(1,ROW()-$C$7),0,MIN($C$7,ROW()-1),1)))/STDEV(OFFSET(分析データ!D$1,MAX(1,ROW()-$C$7),0,MIN($C$7,ROW()-1),1)),0))</f>
        <v>-1.6165703090940682</v>
      </c>
      <c r="BG708">
        <f t="shared" ca="1" si="316"/>
        <v>0</v>
      </c>
      <c r="BH708" t="str">
        <f ca="1">IF(BG708=1,IF(INDEX(分析データ!$A:$A,ROW()+$C$5)&lt;&gt;"",50000*SIGN(BF708)*(分析データ!D708-INDEX(分析データ!D:D,ROW()+$C$5)),""),"")</f>
        <v/>
      </c>
      <c r="BI708">
        <f t="shared" ca="1" si="317"/>
        <v>4360000.0000000149</v>
      </c>
      <c r="BJ708">
        <f t="shared" ca="1" si="318"/>
        <v>4360000.0000000149</v>
      </c>
      <c r="BK708">
        <f t="shared" ca="1" si="319"/>
        <v>0</v>
      </c>
      <c r="BL708">
        <f ca="1">IF(ROW()&lt;($C$7+1),"",IFERROR((分析データ!E708-AVERAGE(OFFSET(分析データ!E$1,MAX(1,ROW()-$C$7),0,MIN($C$7,ROW()-1),1)))/STDEV(OFFSET(分析データ!E$1,MAX(1,ROW()-$C$7),0,MIN($C$7,ROW()-1),1)),0))</f>
        <v>0.44693016396325952</v>
      </c>
      <c r="BM708">
        <f t="shared" ca="1" si="320"/>
        <v>0</v>
      </c>
      <c r="BN708" t="str">
        <f ca="1">IF(BM708=1,IF(INDEX(分析データ!$A:$A,ROW()+$C$5)&lt;&gt;"",40000*SIGN(BL708)*(分析データ!E708-INDEX(分析データ!E:E,ROW()+$C$5)),""),"")</f>
        <v/>
      </c>
      <c r="BO708">
        <f t="shared" ca="1" si="321"/>
        <v>4280000.0000000028</v>
      </c>
      <c r="BP708">
        <f t="shared" ca="1" si="322"/>
        <v>4280000.0000000028</v>
      </c>
      <c r="BQ708">
        <f t="shared" ca="1" si="323"/>
        <v>0</v>
      </c>
      <c r="BR708">
        <f ca="1">IF(ROW()&lt;($C$7+1),"",IFERROR((分析データ!F708-AVERAGE(OFFSET(分析データ!F$1,MAX(1,ROW()-$C$7),0,MIN($C$7,ROW()-1),1)))/STDEV(OFFSET(分析データ!F$1,MAX(1,ROW()-$C$7),0,MIN($C$7,ROW()-1),1)),0))</f>
        <v>-1.547639697441628</v>
      </c>
      <c r="BS708">
        <f t="shared" ca="1" si="324"/>
        <v>0</v>
      </c>
      <c r="BT708" t="str">
        <f ca="1">IF(BS708=1,IF(INDEX(分析データ!$A:$A,ROW()+$C$5)&lt;&gt;"",40000*SIGN(BR708)*(分析データ!F708-INDEX(分析データ!F:F,ROW()+$C$5)),""),"")</f>
        <v/>
      </c>
      <c r="BU708">
        <f t="shared" ca="1" si="325"/>
        <v>14917200.000000004</v>
      </c>
      <c r="BV708">
        <f t="shared" ca="1" si="326"/>
        <v>14917200.000000004</v>
      </c>
      <c r="BW708">
        <f t="shared" ca="1" si="327"/>
        <v>0</v>
      </c>
      <c r="BX708">
        <f ca="1">IF(ROW()&lt;($C$7+1),"",IFERROR((分析データ!G708-AVERAGE(OFFSET(分析データ!G$1,MAX(1,ROW()-$C$7),0,MIN($C$7,ROW()-1),1)))/STDEV(OFFSET(分析データ!G$1,MAX(1,ROW()-$C$7),0,MIN($C$7,ROW()-1),1)),0))</f>
        <v>1.8077770578976358</v>
      </c>
      <c r="BY708">
        <f t="shared" ca="1" si="328"/>
        <v>0</v>
      </c>
      <c r="BZ708" t="str">
        <f ca="1">IF(BY708=1,IF(INDEX(分析データ!$A:$A,ROW()+$C$5)&lt;&gt;"",40000*SIGN(BX708)*(分析データ!G708-INDEX(分析データ!G:G,ROW()+$C$5)),""),"")</f>
        <v/>
      </c>
      <c r="CA708">
        <f t="shared" ca="1" si="329"/>
        <v>-3515452.8662109179</v>
      </c>
      <c r="CB708">
        <f t="shared" ca="1" si="330"/>
        <v>11327520.000000004</v>
      </c>
      <c r="CC708">
        <f t="shared" ca="1" si="331"/>
        <v>-14842972.866210923</v>
      </c>
      <c r="CD708">
        <f t="shared" ca="1" si="332"/>
        <v>0</v>
      </c>
      <c r="CE708">
        <f t="shared" ca="1" si="333"/>
        <v>18116747.133789141</v>
      </c>
      <c r="CF708">
        <f t="shared" ca="1" si="334"/>
        <v>19067197.138671909</v>
      </c>
      <c r="CG708">
        <f t="shared" ca="1" si="335"/>
        <v>-950450.0048827678</v>
      </c>
      <c r="CH708" s="10">
        <f>分析データ!A708</f>
        <v>45959</v>
      </c>
    </row>
    <row r="709" spans="46:86">
      <c r="AT709">
        <f ca="1">IF(ROW()&lt;($C$7+1),"",IFERROR((分析データ!B709-AVERAGE(OFFSET(分析データ!B$1,MAX(1,ROW()-$C$7),0,MIN($C$7,ROW()-1),1)))/STDEV(OFFSET(分析データ!B$1,MAX(1,ROW()-$C$7),0,MIN($C$7,ROW()-1),1)),0))</f>
        <v>-0.4705320749697649</v>
      </c>
      <c r="AU709">
        <f t="shared" ca="1" si="308"/>
        <v>0</v>
      </c>
      <c r="AV709" t="str">
        <f ca="1">IF(AU709=1,IF(INDEX(分析データ!$A:$A,ROW()+$C$5)&lt;&gt;"",80000*SIGN(AT709)*(分析データ!B709-INDEX(分析データ!B:B,ROW()+$C$5)),""),"")</f>
        <v/>
      </c>
      <c r="AW709">
        <f t="shared" ca="1" si="309"/>
        <v>-4999999.9999999925</v>
      </c>
      <c r="AX709">
        <f t="shared" ca="1" si="310"/>
        <v>0</v>
      </c>
      <c r="AY709">
        <f t="shared" ca="1" si="311"/>
        <v>-4999999.9999999925</v>
      </c>
      <c r="AZ709">
        <f ca="1">IF(ROW()&lt;($C$7+1),"",IFERROR((分析データ!C709-AVERAGE(OFFSET(分析データ!C$1,MAX(1,ROW()-$C$7),0,MIN($C$7,ROW()-1),1)))/STDEV(OFFSET(分析データ!C$1,MAX(1,ROW()-$C$7),0,MIN($C$7,ROW()-1),1)),0))</f>
        <v>-0.38979971839891886</v>
      </c>
      <c r="BA709">
        <f t="shared" ca="1" si="312"/>
        <v>0</v>
      </c>
      <c r="BB709" t="str">
        <f ca="1">IF(BA709=1,IF(INDEX(分析データ!$A:$A,ROW()+$C$5)&lt;&gt;"",60000*SIGN(AZ709)*(分析データ!C709-INDEX(分析データ!C:C,ROW()+$C$5)),""),"")</f>
        <v/>
      </c>
      <c r="BC709">
        <f t="shared" ca="1" si="313"/>
        <v>3075000.0000000102</v>
      </c>
      <c r="BD709">
        <f t="shared" ca="1" si="314"/>
        <v>3075000.0000000102</v>
      </c>
      <c r="BE709">
        <f t="shared" ca="1" si="315"/>
        <v>0</v>
      </c>
      <c r="BF709">
        <f ca="1">IF(ROW()&lt;($C$7+1),"",IFERROR((分析データ!D709-AVERAGE(OFFSET(分析データ!D$1,MAX(1,ROW()-$C$7),0,MIN($C$7,ROW()-1),1)))/STDEV(OFFSET(分析データ!D$1,MAX(1,ROW()-$C$7),0,MIN($C$7,ROW()-1),1)),0))</f>
        <v>-1.4976663445452345</v>
      </c>
      <c r="BG709">
        <f t="shared" ca="1" si="316"/>
        <v>0</v>
      </c>
      <c r="BH709" t="str">
        <f ca="1">IF(BG709=1,IF(INDEX(分析データ!$A:$A,ROW()+$C$5)&lt;&gt;"",50000*SIGN(BF709)*(分析データ!D709-INDEX(分析データ!D:D,ROW()+$C$5)),""),"")</f>
        <v/>
      </c>
      <c r="BI709">
        <f t="shared" ca="1" si="317"/>
        <v>4360000.0000000149</v>
      </c>
      <c r="BJ709">
        <f t="shared" ca="1" si="318"/>
        <v>4360000.0000000149</v>
      </c>
      <c r="BK709">
        <f t="shared" ca="1" si="319"/>
        <v>0</v>
      </c>
      <c r="BL709">
        <f ca="1">IF(ROW()&lt;($C$7+1),"",IFERROR((分析データ!E709-AVERAGE(OFFSET(分析データ!E$1,MAX(1,ROW()-$C$7),0,MIN($C$7,ROW()-1),1)))/STDEV(OFFSET(分析データ!E$1,MAX(1,ROW()-$C$7),0,MIN($C$7,ROW()-1),1)),0))</f>
        <v>0.51682574623094057</v>
      </c>
      <c r="BM709">
        <f t="shared" ca="1" si="320"/>
        <v>0</v>
      </c>
      <c r="BN709" t="str">
        <f ca="1">IF(BM709=1,IF(INDEX(分析データ!$A:$A,ROW()+$C$5)&lt;&gt;"",40000*SIGN(BL709)*(分析データ!E709-INDEX(分析データ!E:E,ROW()+$C$5)),""),"")</f>
        <v/>
      </c>
      <c r="BO709">
        <f t="shared" ca="1" si="321"/>
        <v>4280000.0000000028</v>
      </c>
      <c r="BP709">
        <f t="shared" ca="1" si="322"/>
        <v>4280000.0000000028</v>
      </c>
      <c r="BQ709">
        <f t="shared" ca="1" si="323"/>
        <v>0</v>
      </c>
      <c r="BR709">
        <f ca="1">IF(ROW()&lt;($C$7+1),"",IFERROR((分析データ!F709-AVERAGE(OFFSET(分析データ!F$1,MAX(1,ROW()-$C$7),0,MIN($C$7,ROW()-1),1)))/STDEV(OFFSET(分析データ!F$1,MAX(1,ROW()-$C$7),0,MIN($C$7,ROW()-1),1)),0))</f>
        <v>-1.8418174113697781</v>
      </c>
      <c r="BS709">
        <f t="shared" ca="1" si="324"/>
        <v>0</v>
      </c>
      <c r="BT709" t="str">
        <f ca="1">IF(BS709=1,IF(INDEX(分析データ!$A:$A,ROW()+$C$5)&lt;&gt;"",40000*SIGN(BR709)*(分析データ!F709-INDEX(分析データ!F:F,ROW()+$C$5)),""),"")</f>
        <v/>
      </c>
      <c r="BU709">
        <f t="shared" ca="1" si="325"/>
        <v>14917200.000000004</v>
      </c>
      <c r="BV709">
        <f t="shared" ca="1" si="326"/>
        <v>14917200.000000004</v>
      </c>
      <c r="BW709">
        <f t="shared" ca="1" si="327"/>
        <v>0</v>
      </c>
      <c r="BX709">
        <f ca="1">IF(ROW()&lt;($C$7+1),"",IFERROR((分析データ!G709-AVERAGE(OFFSET(分析データ!G$1,MAX(1,ROW()-$C$7),0,MIN($C$7,ROW()-1),1)))/STDEV(OFFSET(分析データ!G$1,MAX(1,ROW()-$C$7),0,MIN($C$7,ROW()-1),1)),0))</f>
        <v>1.8627833960623574</v>
      </c>
      <c r="BY709">
        <f t="shared" ca="1" si="328"/>
        <v>0</v>
      </c>
      <c r="BZ709" t="str">
        <f ca="1">IF(BY709=1,IF(INDEX(分析データ!$A:$A,ROW()+$C$5)&lt;&gt;"",40000*SIGN(BX709)*(分析データ!G709-INDEX(分析データ!G:G,ROW()+$C$5)),""),"")</f>
        <v/>
      </c>
      <c r="CA709">
        <f t="shared" ca="1" si="329"/>
        <v>-3515452.8662109179</v>
      </c>
      <c r="CB709">
        <f t="shared" ca="1" si="330"/>
        <v>11327520.000000004</v>
      </c>
      <c r="CC709">
        <f t="shared" ca="1" si="331"/>
        <v>-14842972.866210923</v>
      </c>
      <c r="CD709">
        <f t="shared" ca="1" si="332"/>
        <v>0</v>
      </c>
      <c r="CE709">
        <f t="shared" ca="1" si="333"/>
        <v>18116747.133789141</v>
      </c>
      <c r="CF709">
        <f t="shared" ca="1" si="334"/>
        <v>19067197.138671909</v>
      </c>
      <c r="CG709">
        <f t="shared" ca="1" si="335"/>
        <v>-950450.0048827678</v>
      </c>
      <c r="CH709" s="10">
        <f>分析データ!A709</f>
        <v>45960</v>
      </c>
    </row>
    <row r="710" spans="46:86">
      <c r="AT710">
        <f ca="1">IF(ROW()&lt;($C$7+1),"",IFERROR((分析データ!B710-AVERAGE(OFFSET(分析データ!B$1,MAX(1,ROW()-$C$7),0,MIN($C$7,ROW()-1),1)))/STDEV(OFFSET(分析データ!B$1,MAX(1,ROW()-$C$7),0,MIN($C$7,ROW()-1),1)),0))</f>
        <v>-0.60983337608324384</v>
      </c>
      <c r="AU710">
        <f t="shared" ca="1" si="308"/>
        <v>0</v>
      </c>
      <c r="AV710" t="str">
        <f ca="1">IF(AU710=1,IF(INDEX(分析データ!$A:$A,ROW()+$C$5)&lt;&gt;"",80000*SIGN(AT710)*(分析データ!B710-INDEX(分析データ!B:B,ROW()+$C$5)),""),"")</f>
        <v/>
      </c>
      <c r="AW710">
        <f t="shared" ca="1" si="309"/>
        <v>-4999999.9999999925</v>
      </c>
      <c r="AX710">
        <f t="shared" ca="1" si="310"/>
        <v>0</v>
      </c>
      <c r="AY710">
        <f t="shared" ca="1" si="311"/>
        <v>-4999999.9999999925</v>
      </c>
      <c r="AZ710">
        <f ca="1">IF(ROW()&lt;($C$7+1),"",IFERROR((分析データ!C710-AVERAGE(OFFSET(分析データ!C$1,MAX(1,ROW()-$C$7),0,MIN($C$7,ROW()-1),1)))/STDEV(OFFSET(分析データ!C$1,MAX(1,ROW()-$C$7),0,MIN($C$7,ROW()-1),1)),0))</f>
        <v>-0.27675417079916104</v>
      </c>
      <c r="BA710">
        <f t="shared" ca="1" si="312"/>
        <v>0</v>
      </c>
      <c r="BB710" t="str">
        <f ca="1">IF(BA710=1,IF(INDEX(分析データ!$A:$A,ROW()+$C$5)&lt;&gt;"",60000*SIGN(AZ710)*(分析データ!C710-INDEX(分析データ!C:C,ROW()+$C$5)),""),"")</f>
        <v/>
      </c>
      <c r="BC710">
        <f t="shared" ca="1" si="313"/>
        <v>3075000.0000000102</v>
      </c>
      <c r="BD710">
        <f t="shared" ca="1" si="314"/>
        <v>3075000.0000000102</v>
      </c>
      <c r="BE710">
        <f t="shared" ca="1" si="315"/>
        <v>0</v>
      </c>
      <c r="BF710">
        <f ca="1">IF(ROW()&lt;($C$7+1),"",IFERROR((分析データ!D710-AVERAGE(OFFSET(分析データ!D$1,MAX(1,ROW()-$C$7),0,MIN($C$7,ROW()-1),1)))/STDEV(OFFSET(分析データ!D$1,MAX(1,ROW()-$C$7),0,MIN($C$7,ROW()-1),1)),0))</f>
        <v>-1.5149575815373526</v>
      </c>
      <c r="BG710">
        <f t="shared" ca="1" si="316"/>
        <v>0</v>
      </c>
      <c r="BH710" t="str">
        <f ca="1">IF(BG710=1,IF(INDEX(分析データ!$A:$A,ROW()+$C$5)&lt;&gt;"",50000*SIGN(BF710)*(分析データ!D710-INDEX(分析データ!D:D,ROW()+$C$5)),""),"")</f>
        <v/>
      </c>
      <c r="BI710">
        <f t="shared" ca="1" si="317"/>
        <v>4360000.0000000149</v>
      </c>
      <c r="BJ710">
        <f t="shared" ca="1" si="318"/>
        <v>4360000.0000000149</v>
      </c>
      <c r="BK710">
        <f t="shared" ca="1" si="319"/>
        <v>0</v>
      </c>
      <c r="BL710">
        <f ca="1">IF(ROW()&lt;($C$7+1),"",IFERROR((分析データ!E710-AVERAGE(OFFSET(分析データ!E$1,MAX(1,ROW()-$C$7),0,MIN($C$7,ROW()-1),1)))/STDEV(OFFSET(分析データ!E$1,MAX(1,ROW()-$C$7),0,MIN($C$7,ROW()-1),1)),0))</f>
        <v>0.58648644899537761</v>
      </c>
      <c r="BM710">
        <f t="shared" ca="1" si="320"/>
        <v>0</v>
      </c>
      <c r="BN710" t="str">
        <f ca="1">IF(BM710=1,IF(INDEX(分析データ!$A:$A,ROW()+$C$5)&lt;&gt;"",40000*SIGN(BL710)*(分析データ!E710-INDEX(分析データ!E:E,ROW()+$C$5)),""),"")</f>
        <v/>
      </c>
      <c r="BO710">
        <f t="shared" ca="1" si="321"/>
        <v>4280000.0000000028</v>
      </c>
      <c r="BP710">
        <f t="shared" ca="1" si="322"/>
        <v>4280000.0000000028</v>
      </c>
      <c r="BQ710">
        <f t="shared" ca="1" si="323"/>
        <v>0</v>
      </c>
      <c r="BR710">
        <f ca="1">IF(ROW()&lt;($C$7+1),"",IFERROR((分析データ!F710-AVERAGE(OFFSET(分析データ!F$1,MAX(1,ROW()-$C$7),0,MIN($C$7,ROW()-1),1)))/STDEV(OFFSET(分析データ!F$1,MAX(1,ROW()-$C$7),0,MIN($C$7,ROW()-1),1)),0))</f>
        <v>-1.70508229030675</v>
      </c>
      <c r="BS710">
        <f t="shared" ca="1" si="324"/>
        <v>0</v>
      </c>
      <c r="BT710" t="str">
        <f ca="1">IF(BS710=1,IF(INDEX(分析データ!$A:$A,ROW()+$C$5)&lt;&gt;"",40000*SIGN(BR710)*(分析データ!F710-INDEX(分析データ!F:F,ROW()+$C$5)),""),"")</f>
        <v/>
      </c>
      <c r="BU710">
        <f t="shared" ca="1" si="325"/>
        <v>14917200.000000004</v>
      </c>
      <c r="BV710">
        <f t="shared" ca="1" si="326"/>
        <v>14917200.000000004</v>
      </c>
      <c r="BW710">
        <f t="shared" ca="1" si="327"/>
        <v>0</v>
      </c>
      <c r="BX710">
        <f ca="1">IF(ROW()&lt;($C$7+1),"",IFERROR((分析データ!G710-AVERAGE(OFFSET(分析データ!G$1,MAX(1,ROW()-$C$7),0,MIN($C$7,ROW()-1),1)))/STDEV(OFFSET(分析データ!G$1,MAX(1,ROW()-$C$7),0,MIN($C$7,ROW()-1),1)),0))</f>
        <v>1.7863480467700561</v>
      </c>
      <c r="BY710">
        <f t="shared" ca="1" si="328"/>
        <v>0</v>
      </c>
      <c r="BZ710" t="str">
        <f ca="1">IF(BY710=1,IF(INDEX(分析データ!$A:$A,ROW()+$C$5)&lt;&gt;"",40000*SIGN(BX710)*(分析データ!G710-INDEX(分析データ!G:G,ROW()+$C$5)),""),"")</f>
        <v/>
      </c>
      <c r="CA710">
        <f t="shared" ca="1" si="329"/>
        <v>-3515452.8662109179</v>
      </c>
      <c r="CB710">
        <f t="shared" ca="1" si="330"/>
        <v>11327520.000000004</v>
      </c>
      <c r="CC710">
        <f t="shared" ca="1" si="331"/>
        <v>-14842972.866210923</v>
      </c>
      <c r="CD710">
        <f t="shared" ca="1" si="332"/>
        <v>0</v>
      </c>
      <c r="CE710">
        <f t="shared" ca="1" si="333"/>
        <v>18116747.133789141</v>
      </c>
      <c r="CF710">
        <f t="shared" ca="1" si="334"/>
        <v>19067197.138671909</v>
      </c>
      <c r="CG710">
        <f t="shared" ca="1" si="335"/>
        <v>-950450.0048827678</v>
      </c>
      <c r="CH710" s="10">
        <f>分析データ!A710</f>
        <v>45961</v>
      </c>
    </row>
    <row r="711" spans="46:86">
      <c r="AT711">
        <f ca="1">IF(ROW()&lt;($C$7+1),"",IFERROR((分析データ!B711-AVERAGE(OFFSET(分析データ!B$1,MAX(1,ROW()-$C$7),0,MIN($C$7,ROW()-1),1)))/STDEV(OFFSET(分析データ!B$1,MAX(1,ROW()-$C$7),0,MIN($C$7,ROW()-1),1)),0))</f>
        <v>-0.33996839153086639</v>
      </c>
      <c r="AU711">
        <f t="shared" ca="1" si="308"/>
        <v>0</v>
      </c>
      <c r="AV711" t="str">
        <f ca="1">IF(AU711=1,IF(INDEX(分析データ!$A:$A,ROW()+$C$5)&lt;&gt;"",80000*SIGN(AT711)*(分析データ!B711-INDEX(分析データ!B:B,ROW()+$C$5)),""),"")</f>
        <v/>
      </c>
      <c r="AW711">
        <f t="shared" ca="1" si="309"/>
        <v>-4999999.9999999925</v>
      </c>
      <c r="AX711">
        <f t="shared" ca="1" si="310"/>
        <v>0</v>
      </c>
      <c r="AY711">
        <f t="shared" ca="1" si="311"/>
        <v>-4999999.9999999925</v>
      </c>
      <c r="AZ711">
        <f ca="1">IF(ROW()&lt;($C$7+1),"",IFERROR((分析データ!C711-AVERAGE(OFFSET(分析データ!C$1,MAX(1,ROW()-$C$7),0,MIN($C$7,ROW()-1),1)))/STDEV(OFFSET(分析データ!C$1,MAX(1,ROW()-$C$7),0,MIN($C$7,ROW()-1),1)),0))</f>
        <v>-0.27747163673736608</v>
      </c>
      <c r="BA711">
        <f t="shared" ca="1" si="312"/>
        <v>0</v>
      </c>
      <c r="BB711" t="str">
        <f ca="1">IF(BA711=1,IF(INDEX(分析データ!$A:$A,ROW()+$C$5)&lt;&gt;"",60000*SIGN(AZ711)*(分析データ!C711-INDEX(分析データ!C:C,ROW()+$C$5)),""),"")</f>
        <v/>
      </c>
      <c r="BC711">
        <f t="shared" ca="1" si="313"/>
        <v>3075000.0000000102</v>
      </c>
      <c r="BD711">
        <f t="shared" ca="1" si="314"/>
        <v>3075000.0000000102</v>
      </c>
      <c r="BE711">
        <f t="shared" ca="1" si="315"/>
        <v>0</v>
      </c>
      <c r="BF711">
        <f ca="1">IF(ROW()&lt;($C$7+1),"",IFERROR((分析データ!D711-AVERAGE(OFFSET(分析データ!D$1,MAX(1,ROW()-$C$7),0,MIN($C$7,ROW()-1),1)))/STDEV(OFFSET(分析データ!D$1,MAX(1,ROW()-$C$7),0,MIN($C$7,ROW()-1),1)),0))</f>
        <v>-1.4406344893337883</v>
      </c>
      <c r="BG711">
        <f t="shared" ca="1" si="316"/>
        <v>0</v>
      </c>
      <c r="BH711" t="str">
        <f ca="1">IF(BG711=1,IF(INDEX(分析データ!$A:$A,ROW()+$C$5)&lt;&gt;"",50000*SIGN(BF711)*(分析データ!D711-INDEX(分析データ!D:D,ROW()+$C$5)),""),"")</f>
        <v/>
      </c>
      <c r="BI711">
        <f t="shared" ca="1" si="317"/>
        <v>4360000.0000000149</v>
      </c>
      <c r="BJ711">
        <f t="shared" ca="1" si="318"/>
        <v>4360000.0000000149</v>
      </c>
      <c r="BK711">
        <f t="shared" ca="1" si="319"/>
        <v>0</v>
      </c>
      <c r="BL711">
        <f ca="1">IF(ROW()&lt;($C$7+1),"",IFERROR((分析データ!E711-AVERAGE(OFFSET(分析データ!E$1,MAX(1,ROW()-$C$7),0,MIN($C$7,ROW()-1),1)))/STDEV(OFFSET(分析データ!E$1,MAX(1,ROW()-$C$7),0,MIN($C$7,ROW()-1),1)),0))</f>
        <v>0.65602766562215398</v>
      </c>
      <c r="BM711">
        <f t="shared" ca="1" si="320"/>
        <v>0</v>
      </c>
      <c r="BN711" t="str">
        <f ca="1">IF(BM711=1,IF(INDEX(分析データ!$A:$A,ROW()+$C$5)&lt;&gt;"",40000*SIGN(BL711)*(分析データ!E711-INDEX(分析データ!E:E,ROW()+$C$5)),""),"")</f>
        <v/>
      </c>
      <c r="BO711">
        <f t="shared" ca="1" si="321"/>
        <v>4280000.0000000028</v>
      </c>
      <c r="BP711">
        <f t="shared" ca="1" si="322"/>
        <v>4280000.0000000028</v>
      </c>
      <c r="BQ711">
        <f t="shared" ca="1" si="323"/>
        <v>0</v>
      </c>
      <c r="BR711">
        <f ca="1">IF(ROW()&lt;($C$7+1),"",IFERROR((分析データ!F711-AVERAGE(OFFSET(分析データ!F$1,MAX(1,ROW()-$C$7),0,MIN($C$7,ROW()-1),1)))/STDEV(OFFSET(分析データ!F$1,MAX(1,ROW()-$C$7),0,MIN($C$7,ROW()-1),1)),0))</f>
        <v>-1.6966331091308933</v>
      </c>
      <c r="BS711">
        <f t="shared" ca="1" si="324"/>
        <v>0</v>
      </c>
      <c r="BT711" t="str">
        <f ca="1">IF(BS711=1,IF(INDEX(分析データ!$A:$A,ROW()+$C$5)&lt;&gt;"",40000*SIGN(BR711)*(分析データ!F711-INDEX(分析データ!F:F,ROW()+$C$5)),""),"")</f>
        <v/>
      </c>
      <c r="BU711">
        <f t="shared" ca="1" si="325"/>
        <v>14917200.000000004</v>
      </c>
      <c r="BV711">
        <f t="shared" ca="1" si="326"/>
        <v>14917200.000000004</v>
      </c>
      <c r="BW711">
        <f t="shared" ca="1" si="327"/>
        <v>0</v>
      </c>
      <c r="BX711">
        <f ca="1">IF(ROW()&lt;($C$7+1),"",IFERROR((分析データ!G711-AVERAGE(OFFSET(分析データ!G$1,MAX(1,ROW()-$C$7),0,MIN($C$7,ROW()-1),1)))/STDEV(OFFSET(分析データ!G$1,MAX(1,ROW()-$C$7),0,MIN($C$7,ROW()-1),1)),0))</f>
        <v>1.7404789943724719</v>
      </c>
      <c r="BY711">
        <f t="shared" ca="1" si="328"/>
        <v>0</v>
      </c>
      <c r="BZ711" t="str">
        <f ca="1">IF(BY711=1,IF(INDEX(分析データ!$A:$A,ROW()+$C$5)&lt;&gt;"",40000*SIGN(BX711)*(分析データ!G711-INDEX(分析データ!G:G,ROW()+$C$5)),""),"")</f>
        <v/>
      </c>
      <c r="CA711">
        <f t="shared" ca="1" si="329"/>
        <v>-3515452.8662109179</v>
      </c>
      <c r="CB711">
        <f t="shared" ca="1" si="330"/>
        <v>11327520.000000004</v>
      </c>
      <c r="CC711">
        <f t="shared" ca="1" si="331"/>
        <v>-14842972.866210923</v>
      </c>
      <c r="CD711">
        <f t="shared" ca="1" si="332"/>
        <v>0</v>
      </c>
      <c r="CE711">
        <f t="shared" ca="1" si="333"/>
        <v>18116747.133789141</v>
      </c>
      <c r="CF711">
        <f t="shared" ca="1" si="334"/>
        <v>19067197.138671909</v>
      </c>
      <c r="CG711">
        <f t="shared" ca="1" si="335"/>
        <v>-950450.0048827678</v>
      </c>
      <c r="CH711" s="10">
        <f>分析データ!A711</f>
        <v>45964</v>
      </c>
    </row>
    <row r="712" spans="46:86">
      <c r="AT712">
        <f ca="1">IF(ROW()&lt;($C$7+1),"",IFERROR((分析データ!B712-AVERAGE(OFFSET(分析データ!B$1,MAX(1,ROW()-$C$7),0,MIN($C$7,ROW()-1),1)))/STDEV(OFFSET(分析データ!B$1,MAX(1,ROW()-$C$7),0,MIN($C$7,ROW()-1),1)),0))</f>
        <v>-0.61357785885837335</v>
      </c>
      <c r="AU712">
        <f t="shared" ca="1" si="308"/>
        <v>0</v>
      </c>
      <c r="AV712" t="str">
        <f ca="1">IF(AU712=1,IF(INDEX(分析データ!$A:$A,ROW()+$C$5)&lt;&gt;"",80000*SIGN(AT712)*(分析データ!B712-INDEX(分析データ!B:B,ROW()+$C$5)),""),"")</f>
        <v/>
      </c>
      <c r="AW712">
        <f t="shared" ca="1" si="309"/>
        <v>-4999999.9999999925</v>
      </c>
      <c r="AX712">
        <f t="shared" ca="1" si="310"/>
        <v>0</v>
      </c>
      <c r="AY712">
        <f t="shared" ca="1" si="311"/>
        <v>-4999999.9999999925</v>
      </c>
      <c r="AZ712">
        <f ca="1">IF(ROW()&lt;($C$7+1),"",IFERROR((分析データ!C712-AVERAGE(OFFSET(分析データ!C$1,MAX(1,ROW()-$C$7),0,MIN($C$7,ROW()-1),1)))/STDEV(OFFSET(分析データ!C$1,MAX(1,ROW()-$C$7),0,MIN($C$7,ROW()-1),1)),0))</f>
        <v>-0.46475945648217909</v>
      </c>
      <c r="BA712">
        <f t="shared" ca="1" si="312"/>
        <v>0</v>
      </c>
      <c r="BB712" t="str">
        <f ca="1">IF(BA712=1,IF(INDEX(分析データ!$A:$A,ROW()+$C$5)&lt;&gt;"",60000*SIGN(AZ712)*(分析データ!C712-INDEX(分析データ!C:C,ROW()+$C$5)),""),"")</f>
        <v/>
      </c>
      <c r="BC712">
        <f t="shared" ca="1" si="313"/>
        <v>3075000.0000000102</v>
      </c>
      <c r="BD712">
        <f t="shared" ca="1" si="314"/>
        <v>3075000.0000000102</v>
      </c>
      <c r="BE712">
        <f t="shared" ca="1" si="315"/>
        <v>0</v>
      </c>
      <c r="BF712">
        <f ca="1">IF(ROW()&lt;($C$7+1),"",IFERROR((分析データ!D712-AVERAGE(OFFSET(分析データ!D$1,MAX(1,ROW()-$C$7),0,MIN($C$7,ROW()-1),1)))/STDEV(OFFSET(分析データ!D$1,MAX(1,ROW()-$C$7),0,MIN($C$7,ROW()-1),1)),0))</f>
        <v>-1.5623026223933654</v>
      </c>
      <c r="BG712">
        <f t="shared" ca="1" si="316"/>
        <v>0</v>
      </c>
      <c r="BH712" t="str">
        <f ca="1">IF(BG712=1,IF(INDEX(分析データ!$A:$A,ROW()+$C$5)&lt;&gt;"",50000*SIGN(BF712)*(分析データ!D712-INDEX(分析データ!D:D,ROW()+$C$5)),""),"")</f>
        <v/>
      </c>
      <c r="BI712">
        <f t="shared" ca="1" si="317"/>
        <v>4360000.0000000149</v>
      </c>
      <c r="BJ712">
        <f t="shared" ca="1" si="318"/>
        <v>4360000.0000000149</v>
      </c>
      <c r="BK712">
        <f t="shared" ca="1" si="319"/>
        <v>0</v>
      </c>
      <c r="BL712">
        <f ca="1">IF(ROW()&lt;($C$7+1),"",IFERROR((分析データ!E712-AVERAGE(OFFSET(分析データ!E$1,MAX(1,ROW()-$C$7),0,MIN($C$7,ROW()-1),1)))/STDEV(OFFSET(分析データ!E$1,MAX(1,ROW()-$C$7),0,MIN($C$7,ROW()-1),1)),0))</f>
        <v>0.64991145566677333</v>
      </c>
      <c r="BM712">
        <f t="shared" ca="1" si="320"/>
        <v>0</v>
      </c>
      <c r="BN712" t="str">
        <f ca="1">IF(BM712=1,IF(INDEX(分析データ!$A:$A,ROW()+$C$5)&lt;&gt;"",40000*SIGN(BL712)*(分析データ!E712-INDEX(分析データ!E:E,ROW()+$C$5)),""),"")</f>
        <v/>
      </c>
      <c r="BO712">
        <f t="shared" ca="1" si="321"/>
        <v>4280000.0000000028</v>
      </c>
      <c r="BP712">
        <f t="shared" ca="1" si="322"/>
        <v>4280000.0000000028</v>
      </c>
      <c r="BQ712">
        <f t="shared" ca="1" si="323"/>
        <v>0</v>
      </c>
      <c r="BR712">
        <f ca="1">IF(ROW()&lt;($C$7+1),"",IFERROR((分析データ!F712-AVERAGE(OFFSET(分析データ!F$1,MAX(1,ROW()-$C$7),0,MIN($C$7,ROW()-1),1)))/STDEV(OFFSET(分析データ!F$1,MAX(1,ROW()-$C$7),0,MIN($C$7,ROW()-1),1)),0))</f>
        <v>-1.4507416017147527</v>
      </c>
      <c r="BS712">
        <f t="shared" ca="1" si="324"/>
        <v>0</v>
      </c>
      <c r="BT712" t="str">
        <f ca="1">IF(BS712=1,IF(INDEX(分析データ!$A:$A,ROW()+$C$5)&lt;&gt;"",40000*SIGN(BR712)*(分析データ!F712-INDEX(分析データ!F:F,ROW()+$C$5)),""),"")</f>
        <v/>
      </c>
      <c r="BU712">
        <f t="shared" ca="1" si="325"/>
        <v>14917200.000000004</v>
      </c>
      <c r="BV712">
        <f t="shared" ca="1" si="326"/>
        <v>14917200.000000004</v>
      </c>
      <c r="BW712">
        <f t="shared" ca="1" si="327"/>
        <v>0</v>
      </c>
      <c r="BX712">
        <f ca="1">IF(ROW()&lt;($C$7+1),"",IFERROR((分析データ!G712-AVERAGE(OFFSET(分析データ!G$1,MAX(1,ROW()-$C$7),0,MIN($C$7,ROW()-1),1)))/STDEV(OFFSET(分析データ!G$1,MAX(1,ROW()-$C$7),0,MIN($C$7,ROW()-1),1)),0))</f>
        <v>1.7774154501185955</v>
      </c>
      <c r="BY712">
        <f t="shared" ca="1" si="328"/>
        <v>0</v>
      </c>
      <c r="BZ712" t="str">
        <f ca="1">IF(BY712=1,IF(INDEX(分析データ!$A:$A,ROW()+$C$5)&lt;&gt;"",40000*SIGN(BX712)*(分析データ!G712-INDEX(分析データ!G:G,ROW()+$C$5)),""),"")</f>
        <v/>
      </c>
      <c r="CA712">
        <f t="shared" ca="1" si="329"/>
        <v>-3515452.8662109179</v>
      </c>
      <c r="CB712">
        <f t="shared" ca="1" si="330"/>
        <v>11327520.000000004</v>
      </c>
      <c r="CC712">
        <f t="shared" ca="1" si="331"/>
        <v>-14842972.866210923</v>
      </c>
      <c r="CD712">
        <f t="shared" ca="1" si="332"/>
        <v>0</v>
      </c>
      <c r="CE712">
        <f t="shared" ca="1" si="333"/>
        <v>18116747.133789141</v>
      </c>
      <c r="CF712">
        <f t="shared" ca="1" si="334"/>
        <v>19067197.138671909</v>
      </c>
      <c r="CG712">
        <f t="shared" ca="1" si="335"/>
        <v>-950450.0048827678</v>
      </c>
      <c r="CH712" s="10">
        <f>分析データ!A712</f>
        <v>45965</v>
      </c>
    </row>
    <row r="713" spans="46:86">
      <c r="AT713">
        <f ca="1">IF(ROW()&lt;($C$7+1),"",IFERROR((分析データ!B713-AVERAGE(OFFSET(分析データ!B$1,MAX(1,ROW()-$C$7),0,MIN($C$7,ROW()-1),1)))/STDEV(OFFSET(分析データ!B$1,MAX(1,ROW()-$C$7),0,MIN($C$7,ROW()-1),1)),0))</f>
        <v>-0.3432612790564688</v>
      </c>
      <c r="AU713">
        <f t="shared" ca="1" si="308"/>
        <v>0</v>
      </c>
      <c r="AV713" t="str">
        <f ca="1">IF(AU713=1,IF(INDEX(分析データ!$A:$A,ROW()+$C$5)&lt;&gt;"",80000*SIGN(AT713)*(分析データ!B713-INDEX(分析データ!B:B,ROW()+$C$5)),""),"")</f>
        <v/>
      </c>
      <c r="AW713">
        <f t="shared" ca="1" si="309"/>
        <v>-4999999.9999999925</v>
      </c>
      <c r="AX713">
        <f t="shared" ca="1" si="310"/>
        <v>0</v>
      </c>
      <c r="AY713">
        <f t="shared" ca="1" si="311"/>
        <v>-4999999.9999999925</v>
      </c>
      <c r="AZ713">
        <f ca="1">IF(ROW()&lt;($C$7+1),"",IFERROR((分析データ!C713-AVERAGE(OFFSET(分析データ!C$1,MAX(1,ROW()-$C$7),0,MIN($C$7,ROW()-1),1)))/STDEV(OFFSET(分析データ!C$1,MAX(1,ROW()-$C$7),0,MIN($C$7,ROW()-1),1)),0))</f>
        <v>-0.44511674334412993</v>
      </c>
      <c r="BA713">
        <f t="shared" ca="1" si="312"/>
        <v>0</v>
      </c>
      <c r="BB713" t="str">
        <f ca="1">IF(BA713=1,IF(INDEX(分析データ!$A:$A,ROW()+$C$5)&lt;&gt;"",60000*SIGN(AZ713)*(分析データ!C713-INDEX(分析データ!C:C,ROW()+$C$5)),""),"")</f>
        <v/>
      </c>
      <c r="BC713">
        <f t="shared" ca="1" si="313"/>
        <v>3075000.0000000102</v>
      </c>
      <c r="BD713">
        <f t="shared" ca="1" si="314"/>
        <v>3075000.0000000102</v>
      </c>
      <c r="BE713">
        <f t="shared" ca="1" si="315"/>
        <v>0</v>
      </c>
      <c r="BF713">
        <f ca="1">IF(ROW()&lt;($C$7+1),"",IFERROR((分析データ!D713-AVERAGE(OFFSET(分析データ!D$1,MAX(1,ROW()-$C$7),0,MIN($C$7,ROW()-1),1)))/STDEV(OFFSET(分析データ!D$1,MAX(1,ROW()-$C$7),0,MIN($C$7,ROW()-1),1)),0))</f>
        <v>-1.3115968870009491</v>
      </c>
      <c r="BG713">
        <f t="shared" ca="1" si="316"/>
        <v>0</v>
      </c>
      <c r="BH713" t="str">
        <f ca="1">IF(BG713=1,IF(INDEX(分析データ!$A:$A,ROW()+$C$5)&lt;&gt;"",50000*SIGN(BF713)*(分析データ!D713-INDEX(分析データ!D:D,ROW()+$C$5)),""),"")</f>
        <v/>
      </c>
      <c r="BI713">
        <f t="shared" ca="1" si="317"/>
        <v>4360000.0000000149</v>
      </c>
      <c r="BJ713">
        <f t="shared" ca="1" si="318"/>
        <v>4360000.0000000149</v>
      </c>
      <c r="BK713">
        <f t="shared" ca="1" si="319"/>
        <v>0</v>
      </c>
      <c r="BL713">
        <f ca="1">IF(ROW()&lt;($C$7+1),"",IFERROR((分析データ!E713-AVERAGE(OFFSET(分析データ!E$1,MAX(1,ROW()-$C$7),0,MIN($C$7,ROW()-1),1)))/STDEV(OFFSET(分析データ!E$1,MAX(1,ROW()-$C$7),0,MIN($C$7,ROW()-1),1)),0))</f>
        <v>0.64375456992297597</v>
      </c>
      <c r="BM713">
        <f t="shared" ca="1" si="320"/>
        <v>0</v>
      </c>
      <c r="BN713" t="str">
        <f ca="1">IF(BM713=1,IF(INDEX(分析データ!$A:$A,ROW()+$C$5)&lt;&gt;"",40000*SIGN(BL713)*(分析データ!E713-INDEX(分析データ!E:E,ROW()+$C$5)),""),"")</f>
        <v/>
      </c>
      <c r="BO713">
        <f t="shared" ca="1" si="321"/>
        <v>4280000.0000000028</v>
      </c>
      <c r="BP713">
        <f t="shared" ca="1" si="322"/>
        <v>4280000.0000000028</v>
      </c>
      <c r="BQ713">
        <f t="shared" ca="1" si="323"/>
        <v>0</v>
      </c>
      <c r="BR713">
        <f ca="1">IF(ROW()&lt;($C$7+1),"",IFERROR((分析データ!F713-AVERAGE(OFFSET(分析データ!F$1,MAX(1,ROW()-$C$7),0,MIN($C$7,ROW()-1),1)))/STDEV(OFFSET(分析データ!F$1,MAX(1,ROW()-$C$7),0,MIN($C$7,ROW()-1),1)),0))</f>
        <v>-1.9133507335774538</v>
      </c>
      <c r="BS713">
        <f t="shared" ca="1" si="324"/>
        <v>0</v>
      </c>
      <c r="BT713" t="str">
        <f ca="1">IF(BS713=1,IF(INDEX(分析データ!$A:$A,ROW()+$C$5)&lt;&gt;"",40000*SIGN(BR713)*(分析データ!F713-INDEX(分析データ!F:F,ROW()+$C$5)),""),"")</f>
        <v/>
      </c>
      <c r="BU713">
        <f t="shared" ca="1" si="325"/>
        <v>14917200.000000004</v>
      </c>
      <c r="BV713">
        <f t="shared" ca="1" si="326"/>
        <v>14917200.000000004</v>
      </c>
      <c r="BW713">
        <f t="shared" ca="1" si="327"/>
        <v>0</v>
      </c>
      <c r="BX713">
        <f ca="1">IF(ROW()&lt;($C$7+1),"",IFERROR((分析データ!G713-AVERAGE(OFFSET(分析データ!G$1,MAX(1,ROW()-$C$7),0,MIN($C$7,ROW()-1),1)))/STDEV(OFFSET(分析データ!G$1,MAX(1,ROW()-$C$7),0,MIN($C$7,ROW()-1),1)),0))</f>
        <v>1.8283910997420099</v>
      </c>
      <c r="BY713">
        <f t="shared" ca="1" si="328"/>
        <v>0</v>
      </c>
      <c r="BZ713" t="str">
        <f ca="1">IF(BY713=1,IF(INDEX(分析データ!$A:$A,ROW()+$C$5)&lt;&gt;"",40000*SIGN(BX713)*(分析データ!G713-INDEX(分析データ!G:G,ROW()+$C$5)),""),"")</f>
        <v/>
      </c>
      <c r="CA713">
        <f t="shared" ca="1" si="329"/>
        <v>-3515452.8662109179</v>
      </c>
      <c r="CB713">
        <f t="shared" ca="1" si="330"/>
        <v>11327520.000000004</v>
      </c>
      <c r="CC713">
        <f t="shared" ca="1" si="331"/>
        <v>-14842972.866210923</v>
      </c>
      <c r="CD713">
        <f t="shared" ca="1" si="332"/>
        <v>0</v>
      </c>
      <c r="CE713">
        <f t="shared" ca="1" si="333"/>
        <v>18116747.133789141</v>
      </c>
      <c r="CF713">
        <f t="shared" ca="1" si="334"/>
        <v>19067197.138671909</v>
      </c>
      <c r="CG713">
        <f t="shared" ca="1" si="335"/>
        <v>-950450.0048827678</v>
      </c>
      <c r="CH713" s="10">
        <f>分析データ!A713</f>
        <v>45966</v>
      </c>
    </row>
    <row r="714" spans="46:86">
      <c r="AT714">
        <f ca="1">IF(ROW()&lt;($C$7+1),"",IFERROR((分析データ!B714-AVERAGE(OFFSET(分析データ!B$1,MAX(1,ROW()-$C$7),0,MIN($C$7,ROW()-1),1)))/STDEV(OFFSET(分析データ!B$1,MAX(1,ROW()-$C$7),0,MIN($C$7,ROW()-1),1)),0))</f>
        <v>-0.4799150583964516</v>
      </c>
      <c r="AU714">
        <f t="shared" ca="1" si="308"/>
        <v>0</v>
      </c>
      <c r="AV714" t="str">
        <f ca="1">IF(AU714=1,IF(INDEX(分析データ!$A:$A,ROW()+$C$5)&lt;&gt;"",80000*SIGN(AT714)*(分析データ!B714-INDEX(分析データ!B:B,ROW()+$C$5)),""),"")</f>
        <v/>
      </c>
      <c r="AW714">
        <f t="shared" ca="1" si="309"/>
        <v>-4999999.9999999925</v>
      </c>
      <c r="AX714">
        <f t="shared" ca="1" si="310"/>
        <v>0</v>
      </c>
      <c r="AY714">
        <f t="shared" ca="1" si="311"/>
        <v>-4999999.9999999925</v>
      </c>
      <c r="AZ714">
        <f ca="1">IF(ROW()&lt;($C$7+1),"",IFERROR((分析データ!C714-AVERAGE(OFFSET(分析データ!C$1,MAX(1,ROW()-$C$7),0,MIN($C$7,ROW()-1),1)))/STDEV(OFFSET(分析データ!C$1,MAX(1,ROW()-$C$7),0,MIN($C$7,ROW()-1),1)),0))</f>
        <v>-0.29788709076519787</v>
      </c>
      <c r="BA714">
        <f t="shared" ca="1" si="312"/>
        <v>0</v>
      </c>
      <c r="BB714" t="str">
        <f ca="1">IF(BA714=1,IF(INDEX(分析データ!$A:$A,ROW()+$C$5)&lt;&gt;"",60000*SIGN(AZ714)*(分析データ!C714-INDEX(分析データ!C:C,ROW()+$C$5)),""),"")</f>
        <v/>
      </c>
      <c r="BC714">
        <f t="shared" ca="1" si="313"/>
        <v>3075000.0000000102</v>
      </c>
      <c r="BD714">
        <f t="shared" ca="1" si="314"/>
        <v>3075000.0000000102</v>
      </c>
      <c r="BE714">
        <f t="shared" ca="1" si="315"/>
        <v>0</v>
      </c>
      <c r="BF714">
        <f ca="1">IF(ROW()&lt;($C$7+1),"",IFERROR((分析データ!D714-AVERAGE(OFFSET(分析データ!D$1,MAX(1,ROW()-$C$7),0,MIN($C$7,ROW()-1),1)))/STDEV(OFFSET(分析データ!D$1,MAX(1,ROW()-$C$7),0,MIN($C$7,ROW()-1),1)),0))</f>
        <v>-1.5393367874782682</v>
      </c>
      <c r="BG714">
        <f t="shared" ca="1" si="316"/>
        <v>0</v>
      </c>
      <c r="BH714" t="str">
        <f ca="1">IF(BG714=1,IF(INDEX(分析データ!$A:$A,ROW()+$C$5)&lt;&gt;"",50000*SIGN(BF714)*(分析データ!D714-INDEX(分析データ!D:D,ROW()+$C$5)),""),"")</f>
        <v/>
      </c>
      <c r="BI714">
        <f t="shared" ca="1" si="317"/>
        <v>4360000.0000000149</v>
      </c>
      <c r="BJ714">
        <f t="shared" ca="1" si="318"/>
        <v>4360000.0000000149</v>
      </c>
      <c r="BK714">
        <f t="shared" ca="1" si="319"/>
        <v>0</v>
      </c>
      <c r="BL714">
        <f ca="1">IF(ROW()&lt;($C$7+1),"",IFERROR((分析データ!E714-AVERAGE(OFFSET(分析データ!E$1,MAX(1,ROW()-$C$7),0,MIN($C$7,ROW()-1),1)))/STDEV(OFFSET(分析データ!E$1,MAX(1,ROW()-$C$7),0,MIN($C$7,ROW()-1),1)),0))</f>
        <v>0.713585271904707</v>
      </c>
      <c r="BM714">
        <f t="shared" ca="1" si="320"/>
        <v>0</v>
      </c>
      <c r="BN714" t="str">
        <f ca="1">IF(BM714=1,IF(INDEX(分析データ!$A:$A,ROW()+$C$5)&lt;&gt;"",40000*SIGN(BL714)*(分析データ!E714-INDEX(分析データ!E:E,ROW()+$C$5)),""),"")</f>
        <v/>
      </c>
      <c r="BO714">
        <f t="shared" ca="1" si="321"/>
        <v>4280000.0000000028</v>
      </c>
      <c r="BP714">
        <f t="shared" ca="1" si="322"/>
        <v>4280000.0000000028</v>
      </c>
      <c r="BQ714">
        <f t="shared" ca="1" si="323"/>
        <v>0</v>
      </c>
      <c r="BR714">
        <f ca="1">IF(ROW()&lt;($C$7+1),"",IFERROR((分析データ!F714-AVERAGE(OFFSET(分析データ!F$1,MAX(1,ROW()-$C$7),0,MIN($C$7,ROW()-1),1)))/STDEV(OFFSET(分析データ!F$1,MAX(1,ROW()-$C$7),0,MIN($C$7,ROW()-1),1)),0))</f>
        <v>-1.5922588053033286</v>
      </c>
      <c r="BS714">
        <f t="shared" ca="1" si="324"/>
        <v>0</v>
      </c>
      <c r="BT714" t="str">
        <f ca="1">IF(BS714=1,IF(INDEX(分析データ!$A:$A,ROW()+$C$5)&lt;&gt;"",40000*SIGN(BR714)*(分析データ!F714-INDEX(分析データ!F:F,ROW()+$C$5)),""),"")</f>
        <v/>
      </c>
      <c r="BU714">
        <f t="shared" ca="1" si="325"/>
        <v>14917200.000000004</v>
      </c>
      <c r="BV714">
        <f t="shared" ca="1" si="326"/>
        <v>14917200.000000004</v>
      </c>
      <c r="BW714">
        <f t="shared" ca="1" si="327"/>
        <v>0</v>
      </c>
      <c r="BX714">
        <f ca="1">IF(ROW()&lt;($C$7+1),"",IFERROR((分析データ!G714-AVERAGE(OFFSET(分析データ!G$1,MAX(1,ROW()-$C$7),0,MIN($C$7,ROW()-1),1)))/STDEV(OFFSET(分析データ!G$1,MAX(1,ROW()-$C$7),0,MIN($C$7,ROW()-1),1)),0))</f>
        <v>1.7492512108154792</v>
      </c>
      <c r="BY714">
        <f t="shared" ca="1" si="328"/>
        <v>0</v>
      </c>
      <c r="BZ714" t="str">
        <f ca="1">IF(BY714=1,IF(INDEX(分析データ!$A:$A,ROW()+$C$5)&lt;&gt;"",40000*SIGN(BX714)*(分析データ!G714-INDEX(分析データ!G:G,ROW()+$C$5)),""),"")</f>
        <v/>
      </c>
      <c r="CA714">
        <f t="shared" ca="1" si="329"/>
        <v>-3515452.8662109179</v>
      </c>
      <c r="CB714">
        <f t="shared" ca="1" si="330"/>
        <v>11327520.000000004</v>
      </c>
      <c r="CC714">
        <f t="shared" ca="1" si="331"/>
        <v>-14842972.866210923</v>
      </c>
      <c r="CD714">
        <f t="shared" ca="1" si="332"/>
        <v>0</v>
      </c>
      <c r="CE714">
        <f t="shared" ca="1" si="333"/>
        <v>18116747.133789141</v>
      </c>
      <c r="CF714">
        <f t="shared" ca="1" si="334"/>
        <v>19067197.138671909</v>
      </c>
      <c r="CG714">
        <f t="shared" ca="1" si="335"/>
        <v>-950450.0048827678</v>
      </c>
      <c r="CH714" s="10">
        <f>分析データ!A714</f>
        <v>45967</v>
      </c>
    </row>
    <row r="715" spans="46:86">
      <c r="AT715">
        <f ca="1">IF(ROW()&lt;($C$7+1),"",IFERROR((分析データ!B715-AVERAGE(OFFSET(分析データ!B$1,MAX(1,ROW()-$C$7),0,MIN($C$7,ROW()-1),1)))/STDEV(OFFSET(分析データ!B$1,MAX(1,ROW()-$C$7),0,MIN($C$7,ROW()-1),1)),0))</f>
        <v>-0.34452612157922358</v>
      </c>
      <c r="AU715">
        <f t="shared" ca="1" si="308"/>
        <v>0</v>
      </c>
      <c r="AV715" t="str">
        <f ca="1">IF(AU715=1,IF(INDEX(分析データ!$A:$A,ROW()+$C$5)&lt;&gt;"",80000*SIGN(AT715)*(分析データ!B715-INDEX(分析データ!B:B,ROW()+$C$5)),""),"")</f>
        <v/>
      </c>
      <c r="AW715">
        <f t="shared" ca="1" si="309"/>
        <v>-4999999.9999999925</v>
      </c>
      <c r="AX715">
        <f t="shared" ca="1" si="310"/>
        <v>0</v>
      </c>
      <c r="AY715">
        <f t="shared" ca="1" si="311"/>
        <v>-4999999.9999999925</v>
      </c>
      <c r="AZ715">
        <f ca="1">IF(ROW()&lt;($C$7+1),"",IFERROR((分析データ!C715-AVERAGE(OFFSET(分析データ!C$1,MAX(1,ROW()-$C$7),0,MIN($C$7,ROW()-1),1)))/STDEV(OFFSET(分析データ!C$1,MAX(1,ROW()-$C$7),0,MIN($C$7,ROW()-1),1)),0))</f>
        <v>-0.47256961605808501</v>
      </c>
      <c r="BA715">
        <f t="shared" ca="1" si="312"/>
        <v>0</v>
      </c>
      <c r="BB715" t="str">
        <f ca="1">IF(BA715=1,IF(INDEX(分析データ!$A:$A,ROW()+$C$5)&lt;&gt;"",60000*SIGN(AZ715)*(分析データ!C715-INDEX(分析データ!C:C,ROW()+$C$5)),""),"")</f>
        <v/>
      </c>
      <c r="BC715">
        <f t="shared" ca="1" si="313"/>
        <v>3075000.0000000102</v>
      </c>
      <c r="BD715">
        <f t="shared" ca="1" si="314"/>
        <v>3075000.0000000102</v>
      </c>
      <c r="BE715">
        <f t="shared" ca="1" si="315"/>
        <v>0</v>
      </c>
      <c r="BF715">
        <f ca="1">IF(ROW()&lt;($C$7+1),"",IFERROR((分析データ!D715-AVERAGE(OFFSET(分析データ!D$1,MAX(1,ROW()-$C$7),0,MIN($C$7,ROW()-1),1)))/STDEV(OFFSET(分析データ!D$1,MAX(1,ROW()-$C$7),0,MIN($C$7,ROW()-1),1)),0))</f>
        <v>-1.5081457358849717</v>
      </c>
      <c r="BG715">
        <f t="shared" ca="1" si="316"/>
        <v>0</v>
      </c>
      <c r="BH715" t="str">
        <f ca="1">IF(BG715=1,IF(INDEX(分析データ!$A:$A,ROW()+$C$5)&lt;&gt;"",50000*SIGN(BF715)*(分析データ!D715-INDEX(分析データ!D:D,ROW()+$C$5)),""),"")</f>
        <v/>
      </c>
      <c r="BI715">
        <f t="shared" ca="1" si="317"/>
        <v>4360000.0000000149</v>
      </c>
      <c r="BJ715">
        <f t="shared" ca="1" si="318"/>
        <v>4360000.0000000149</v>
      </c>
      <c r="BK715">
        <f t="shared" ca="1" si="319"/>
        <v>0</v>
      </c>
      <c r="BL715">
        <f ca="1">IF(ROW()&lt;($C$7+1),"",IFERROR((分析データ!E715-AVERAGE(OFFSET(分析データ!E$1,MAX(1,ROW()-$C$7),0,MIN($C$7,ROW()-1),1)))/STDEV(OFFSET(分析データ!E$1,MAX(1,ROW()-$C$7),0,MIN($C$7,ROW()-1),1)),0))</f>
        <v>0.85943882273076644</v>
      </c>
      <c r="BM715">
        <f t="shared" ca="1" si="320"/>
        <v>0</v>
      </c>
      <c r="BN715" t="str">
        <f ca="1">IF(BM715=1,IF(INDEX(分析データ!$A:$A,ROW()+$C$5)&lt;&gt;"",40000*SIGN(BL715)*(分析データ!E715-INDEX(分析データ!E:E,ROW()+$C$5)),""),"")</f>
        <v/>
      </c>
      <c r="BO715">
        <f t="shared" ca="1" si="321"/>
        <v>4280000.0000000028</v>
      </c>
      <c r="BP715">
        <f t="shared" ca="1" si="322"/>
        <v>4280000.0000000028</v>
      </c>
      <c r="BQ715">
        <f t="shared" ca="1" si="323"/>
        <v>0</v>
      </c>
      <c r="BR715">
        <f ca="1">IF(ROW()&lt;($C$7+1),"",IFERROR((分析データ!F715-AVERAGE(OFFSET(分析データ!F$1,MAX(1,ROW()-$C$7),0,MIN($C$7,ROW()-1),1)))/STDEV(OFFSET(分析データ!F$1,MAX(1,ROW()-$C$7),0,MIN($C$7,ROW()-1),1)),0))</f>
        <v>-1.6242567407115867</v>
      </c>
      <c r="BS715">
        <f t="shared" ca="1" si="324"/>
        <v>0</v>
      </c>
      <c r="BT715" t="str">
        <f ca="1">IF(BS715=1,IF(INDEX(分析データ!$A:$A,ROW()+$C$5)&lt;&gt;"",40000*SIGN(BR715)*(分析データ!F715-INDEX(分析データ!F:F,ROW()+$C$5)),""),"")</f>
        <v/>
      </c>
      <c r="BU715">
        <f t="shared" ca="1" si="325"/>
        <v>14917200.000000004</v>
      </c>
      <c r="BV715">
        <f t="shared" ca="1" si="326"/>
        <v>14917200.000000004</v>
      </c>
      <c r="BW715">
        <f t="shared" ca="1" si="327"/>
        <v>0</v>
      </c>
      <c r="BX715">
        <f ca="1">IF(ROW()&lt;($C$7+1),"",IFERROR((分析データ!G715-AVERAGE(OFFSET(分析データ!G$1,MAX(1,ROW()-$C$7),0,MIN($C$7,ROW()-1),1)))/STDEV(OFFSET(分析データ!G$1,MAX(1,ROW()-$C$7),0,MIN($C$7,ROW()-1),1)),0))</f>
        <v>1.7563749842968788</v>
      </c>
      <c r="BY715">
        <f t="shared" ca="1" si="328"/>
        <v>0</v>
      </c>
      <c r="BZ715" t="str">
        <f ca="1">IF(BY715=1,IF(INDEX(分析データ!$A:$A,ROW()+$C$5)&lt;&gt;"",40000*SIGN(BX715)*(分析データ!G715-INDEX(分析データ!G:G,ROW()+$C$5)),""),"")</f>
        <v/>
      </c>
      <c r="CA715">
        <f t="shared" ca="1" si="329"/>
        <v>-3515452.8662109179</v>
      </c>
      <c r="CB715">
        <f t="shared" ca="1" si="330"/>
        <v>11327520.000000004</v>
      </c>
      <c r="CC715">
        <f t="shared" ca="1" si="331"/>
        <v>-14842972.866210923</v>
      </c>
      <c r="CD715">
        <f t="shared" ca="1" si="332"/>
        <v>0</v>
      </c>
      <c r="CE715">
        <f t="shared" ca="1" si="333"/>
        <v>18116747.133789141</v>
      </c>
      <c r="CF715">
        <f t="shared" ca="1" si="334"/>
        <v>19067197.138671909</v>
      </c>
      <c r="CG715">
        <f t="shared" ca="1" si="335"/>
        <v>-950450.0048827678</v>
      </c>
      <c r="CH715" s="10">
        <f>分析データ!A715</f>
        <v>45968</v>
      </c>
    </row>
    <row r="716" spans="46:86">
      <c r="AT716">
        <f ca="1">IF(ROW()&lt;($C$7+1),"",IFERROR((分析データ!B716-AVERAGE(OFFSET(分析データ!B$1,MAX(1,ROW()-$C$7),0,MIN($C$7,ROW()-1),1)))/STDEV(OFFSET(分析データ!B$1,MAX(1,ROW()-$C$7),0,MIN($C$7,ROW()-1),1)),0))</f>
        <v>-0.35023311731505113</v>
      </c>
      <c r="AU716">
        <f t="shared" ca="1" si="308"/>
        <v>0</v>
      </c>
      <c r="AV716" t="str">
        <f ca="1">IF(AU716=1,IF(INDEX(分析データ!$A:$A,ROW()+$C$5)&lt;&gt;"",80000*SIGN(AT716)*(分析データ!B716-INDEX(分析データ!B:B,ROW()+$C$5)),""),"")</f>
        <v/>
      </c>
      <c r="AW716">
        <f t="shared" ca="1" si="309"/>
        <v>-4999999.9999999925</v>
      </c>
      <c r="AX716">
        <f t="shared" ca="1" si="310"/>
        <v>0</v>
      </c>
      <c r="AY716">
        <f t="shared" ca="1" si="311"/>
        <v>-4999999.9999999925</v>
      </c>
      <c r="AZ716">
        <f ca="1">IF(ROW()&lt;($C$7+1),"",IFERROR((分析データ!C716-AVERAGE(OFFSET(分析データ!C$1,MAX(1,ROW()-$C$7),0,MIN($C$7,ROW()-1),1)))/STDEV(OFFSET(分析データ!C$1,MAX(1,ROW()-$C$7),0,MIN($C$7,ROW()-1),1)),0))</f>
        <v>-0.3538761372476284</v>
      </c>
      <c r="BA716">
        <f t="shared" ca="1" si="312"/>
        <v>0</v>
      </c>
      <c r="BB716" t="str">
        <f ca="1">IF(BA716=1,IF(INDEX(分析データ!$A:$A,ROW()+$C$5)&lt;&gt;"",60000*SIGN(AZ716)*(分析データ!C716-INDEX(分析データ!C:C,ROW()+$C$5)),""),"")</f>
        <v/>
      </c>
      <c r="BC716">
        <f t="shared" ca="1" si="313"/>
        <v>3075000.0000000102</v>
      </c>
      <c r="BD716">
        <f t="shared" ca="1" si="314"/>
        <v>3075000.0000000102</v>
      </c>
      <c r="BE716">
        <f t="shared" ca="1" si="315"/>
        <v>0</v>
      </c>
      <c r="BF716">
        <f ca="1">IF(ROW()&lt;($C$7+1),"",IFERROR((分析データ!D716-AVERAGE(OFFSET(分析データ!D$1,MAX(1,ROW()-$C$7),0,MIN($C$7,ROW()-1),1)))/STDEV(OFFSET(分析データ!D$1,MAX(1,ROW()-$C$7),0,MIN($C$7,ROW()-1),1)),0))</f>
        <v>-1.5072609381672355</v>
      </c>
      <c r="BG716">
        <f t="shared" ca="1" si="316"/>
        <v>0</v>
      </c>
      <c r="BH716" t="str">
        <f ca="1">IF(BG716=1,IF(INDEX(分析データ!$A:$A,ROW()+$C$5)&lt;&gt;"",50000*SIGN(BF716)*(分析データ!D716-INDEX(分析データ!D:D,ROW()+$C$5)),""),"")</f>
        <v/>
      </c>
      <c r="BI716">
        <f t="shared" ca="1" si="317"/>
        <v>4360000.0000000149</v>
      </c>
      <c r="BJ716">
        <f t="shared" ca="1" si="318"/>
        <v>4360000.0000000149</v>
      </c>
      <c r="BK716">
        <f t="shared" ca="1" si="319"/>
        <v>0</v>
      </c>
      <c r="BL716">
        <f ca="1">IF(ROW()&lt;($C$7+1),"",IFERROR((分析データ!E716-AVERAGE(OFFSET(分析データ!E$1,MAX(1,ROW()-$C$7),0,MIN($C$7,ROW()-1),1)))/STDEV(OFFSET(分析データ!E$1,MAX(1,ROW()-$C$7),0,MIN($C$7,ROW()-1),1)),0))</f>
        <v>0.62367175175212286</v>
      </c>
      <c r="BM716">
        <f t="shared" ca="1" si="320"/>
        <v>0</v>
      </c>
      <c r="BN716" t="str">
        <f ca="1">IF(BM716=1,IF(INDEX(分析データ!$A:$A,ROW()+$C$5)&lt;&gt;"",40000*SIGN(BL716)*(分析データ!E716-INDEX(分析データ!E:E,ROW()+$C$5)),""),"")</f>
        <v/>
      </c>
      <c r="BO716">
        <f t="shared" ca="1" si="321"/>
        <v>4280000.0000000028</v>
      </c>
      <c r="BP716">
        <f t="shared" ca="1" si="322"/>
        <v>4280000.0000000028</v>
      </c>
      <c r="BQ716">
        <f t="shared" ca="1" si="323"/>
        <v>0</v>
      </c>
      <c r="BR716">
        <f ca="1">IF(ROW()&lt;($C$7+1),"",IFERROR((分析データ!F716-AVERAGE(OFFSET(分析データ!F$1,MAX(1,ROW()-$C$7),0,MIN($C$7,ROW()-1),1)))/STDEV(OFFSET(分析データ!F$1,MAX(1,ROW()-$C$7),0,MIN($C$7,ROW()-1),1)),0))</f>
        <v>-1.6069989775031264</v>
      </c>
      <c r="BS716">
        <f t="shared" ca="1" si="324"/>
        <v>0</v>
      </c>
      <c r="BT716" t="str">
        <f ca="1">IF(BS716=1,IF(INDEX(分析データ!$A:$A,ROW()+$C$5)&lt;&gt;"",40000*SIGN(BR716)*(分析データ!F716-INDEX(分析データ!F:F,ROW()+$C$5)),""),"")</f>
        <v/>
      </c>
      <c r="BU716">
        <f t="shared" ca="1" si="325"/>
        <v>14917200.000000004</v>
      </c>
      <c r="BV716">
        <f t="shared" ca="1" si="326"/>
        <v>14917200.000000004</v>
      </c>
      <c r="BW716">
        <f t="shared" ca="1" si="327"/>
        <v>0</v>
      </c>
      <c r="BX716">
        <f ca="1">IF(ROW()&lt;($C$7+1),"",IFERROR((分析データ!G716-AVERAGE(OFFSET(分析データ!G$1,MAX(1,ROW()-$C$7),0,MIN($C$7,ROW()-1),1)))/STDEV(OFFSET(分析データ!G$1,MAX(1,ROW()-$C$7),0,MIN($C$7,ROW()-1),1)),0))</f>
        <v>1.7640365300930376</v>
      </c>
      <c r="BY716">
        <f t="shared" ca="1" si="328"/>
        <v>0</v>
      </c>
      <c r="BZ716" t="str">
        <f ca="1">IF(BY716=1,IF(INDEX(分析データ!$A:$A,ROW()+$C$5)&lt;&gt;"",40000*SIGN(BX716)*(分析データ!G716-INDEX(分析データ!G:G,ROW()+$C$5)),""),"")</f>
        <v/>
      </c>
      <c r="CA716">
        <f t="shared" ca="1" si="329"/>
        <v>-3515452.8662109179</v>
      </c>
      <c r="CB716">
        <f t="shared" ca="1" si="330"/>
        <v>11327520.000000004</v>
      </c>
      <c r="CC716">
        <f t="shared" ca="1" si="331"/>
        <v>-14842972.866210923</v>
      </c>
      <c r="CD716">
        <f t="shared" ca="1" si="332"/>
        <v>0</v>
      </c>
      <c r="CE716">
        <f t="shared" ca="1" si="333"/>
        <v>18116747.133789141</v>
      </c>
      <c r="CF716">
        <f t="shared" ca="1" si="334"/>
        <v>19067197.138671909</v>
      </c>
      <c r="CG716">
        <f t="shared" ca="1" si="335"/>
        <v>-950450.0048827678</v>
      </c>
      <c r="CH716" s="10">
        <f>分析データ!A716</f>
        <v>45971</v>
      </c>
    </row>
    <row r="717" spans="46:86">
      <c r="AT717">
        <f ca="1">IF(ROW()&lt;($C$7+1),"",IFERROR((分析データ!B717-AVERAGE(OFFSET(分析データ!B$1,MAX(1,ROW()-$C$7),0,MIN($C$7,ROW()-1),1)))/STDEV(OFFSET(分析データ!B$1,MAX(1,ROW()-$C$7),0,MIN($C$7,ROW()-1),1)),0))</f>
        <v>-0.89587655027977187</v>
      </c>
      <c r="AU717">
        <f t="shared" ca="1" si="308"/>
        <v>0</v>
      </c>
      <c r="AV717" t="str">
        <f ca="1">IF(AU717=1,IF(INDEX(分析データ!$A:$A,ROW()+$C$5)&lt;&gt;"",80000*SIGN(AT717)*(分析データ!B717-INDEX(分析データ!B:B,ROW()+$C$5)),""),"")</f>
        <v/>
      </c>
      <c r="AW717">
        <f t="shared" ca="1" si="309"/>
        <v>-4999999.9999999925</v>
      </c>
      <c r="AX717">
        <f t="shared" ca="1" si="310"/>
        <v>0</v>
      </c>
      <c r="AY717">
        <f t="shared" ca="1" si="311"/>
        <v>-4999999.9999999925</v>
      </c>
      <c r="AZ717">
        <f ca="1">IF(ROW()&lt;($C$7+1),"",IFERROR((分析データ!C717-AVERAGE(OFFSET(分析データ!C$1,MAX(1,ROW()-$C$7),0,MIN($C$7,ROW()-1),1)))/STDEV(OFFSET(分析データ!C$1,MAX(1,ROW()-$C$7),0,MIN($C$7,ROW()-1),1)),0))</f>
        <v>-0.82726831199493889</v>
      </c>
      <c r="BA717">
        <f t="shared" ca="1" si="312"/>
        <v>0</v>
      </c>
      <c r="BB717" t="str">
        <f ca="1">IF(BA717=1,IF(INDEX(分析データ!$A:$A,ROW()+$C$5)&lt;&gt;"",60000*SIGN(AZ717)*(分析データ!C717-INDEX(分析データ!C:C,ROW()+$C$5)),""),"")</f>
        <v/>
      </c>
      <c r="BC717">
        <f t="shared" ca="1" si="313"/>
        <v>3075000.0000000102</v>
      </c>
      <c r="BD717">
        <f t="shared" ca="1" si="314"/>
        <v>3075000.0000000102</v>
      </c>
      <c r="BE717">
        <f t="shared" ca="1" si="315"/>
        <v>0</v>
      </c>
      <c r="BF717">
        <f ca="1">IF(ROW()&lt;($C$7+1),"",IFERROR((分析データ!D717-AVERAGE(OFFSET(分析データ!D$1,MAX(1,ROW()-$C$7),0,MIN($C$7,ROW()-1),1)))/STDEV(OFFSET(分析データ!D$1,MAX(1,ROW()-$C$7),0,MIN($C$7,ROW()-1),1)),0))</f>
        <v>-1.6109600700954609</v>
      </c>
      <c r="BG717">
        <f t="shared" ca="1" si="316"/>
        <v>0</v>
      </c>
      <c r="BH717" t="str">
        <f ca="1">IF(BG717=1,IF(INDEX(分析データ!$A:$A,ROW()+$C$5)&lt;&gt;"",50000*SIGN(BF717)*(分析データ!D717-INDEX(分析データ!D:D,ROW()+$C$5)),""),"")</f>
        <v/>
      </c>
      <c r="BI717">
        <f t="shared" ca="1" si="317"/>
        <v>4360000.0000000149</v>
      </c>
      <c r="BJ717">
        <f t="shared" ca="1" si="318"/>
        <v>4360000.0000000149</v>
      </c>
      <c r="BK717">
        <f t="shared" ca="1" si="319"/>
        <v>0</v>
      </c>
      <c r="BL717">
        <f ca="1">IF(ROW()&lt;($C$7+1),"",IFERROR((分析データ!E717-AVERAGE(OFFSET(分析データ!E$1,MAX(1,ROW()-$C$7),0,MIN($C$7,ROW()-1),1)))/STDEV(OFFSET(分析データ!E$1,MAX(1,ROW()-$C$7),0,MIN($C$7,ROW()-1),1)),0))</f>
        <v>0.54081055630035635</v>
      </c>
      <c r="BM717">
        <f t="shared" ca="1" si="320"/>
        <v>0</v>
      </c>
      <c r="BN717" t="str">
        <f ca="1">IF(BM717=1,IF(INDEX(分析データ!$A:$A,ROW()+$C$5)&lt;&gt;"",40000*SIGN(BL717)*(分析データ!E717-INDEX(分析データ!E:E,ROW()+$C$5)),""),"")</f>
        <v/>
      </c>
      <c r="BO717">
        <f t="shared" ca="1" si="321"/>
        <v>4280000.0000000028</v>
      </c>
      <c r="BP717">
        <f t="shared" ca="1" si="322"/>
        <v>4280000.0000000028</v>
      </c>
      <c r="BQ717">
        <f t="shared" ca="1" si="323"/>
        <v>0</v>
      </c>
      <c r="BR717">
        <f ca="1">IF(ROW()&lt;($C$7+1),"",IFERROR((分析データ!F717-AVERAGE(OFFSET(分析データ!F$1,MAX(1,ROW()-$C$7),0,MIN($C$7,ROW()-1),1)))/STDEV(OFFSET(分析データ!F$1,MAX(1,ROW()-$C$7),0,MIN($C$7,ROW()-1),1)),0))</f>
        <v>-1.3898303138612411</v>
      </c>
      <c r="BS717">
        <f t="shared" ca="1" si="324"/>
        <v>0</v>
      </c>
      <c r="BT717" t="str">
        <f ca="1">IF(BS717=1,IF(INDEX(分析データ!$A:$A,ROW()+$C$5)&lt;&gt;"",40000*SIGN(BR717)*(分析データ!F717-INDEX(分析データ!F:F,ROW()+$C$5)),""),"")</f>
        <v/>
      </c>
      <c r="BU717">
        <f t="shared" ca="1" si="325"/>
        <v>14917200.000000004</v>
      </c>
      <c r="BV717">
        <f t="shared" ca="1" si="326"/>
        <v>14917200.000000004</v>
      </c>
      <c r="BW717">
        <f t="shared" ca="1" si="327"/>
        <v>0</v>
      </c>
      <c r="BX717">
        <f ca="1">IF(ROW()&lt;($C$7+1),"",IFERROR((分析データ!G717-AVERAGE(OFFSET(分析データ!G$1,MAX(1,ROW()-$C$7),0,MIN($C$7,ROW()-1),1)))/STDEV(OFFSET(分析データ!G$1,MAX(1,ROW()-$C$7),0,MIN($C$7,ROW()-1),1)),0))</f>
        <v>1.7042339931097896</v>
      </c>
      <c r="BY717">
        <f t="shared" ca="1" si="328"/>
        <v>0</v>
      </c>
      <c r="BZ717" t="str">
        <f ca="1">IF(BY717=1,IF(INDEX(分析データ!$A:$A,ROW()+$C$5)&lt;&gt;"",40000*SIGN(BX717)*(分析データ!G717-INDEX(分析データ!G:G,ROW()+$C$5)),""),"")</f>
        <v/>
      </c>
      <c r="CA717">
        <f t="shared" ca="1" si="329"/>
        <v>-3515452.8662109179</v>
      </c>
      <c r="CB717">
        <f t="shared" ca="1" si="330"/>
        <v>11327520.000000004</v>
      </c>
      <c r="CC717">
        <f t="shared" ca="1" si="331"/>
        <v>-14842972.866210923</v>
      </c>
      <c r="CD717">
        <f t="shared" ca="1" si="332"/>
        <v>0</v>
      </c>
      <c r="CE717">
        <f t="shared" ca="1" si="333"/>
        <v>18116747.133789141</v>
      </c>
      <c r="CF717">
        <f t="shared" ca="1" si="334"/>
        <v>19067197.138671909</v>
      </c>
      <c r="CG717">
        <f t="shared" ca="1" si="335"/>
        <v>-950450.0048827678</v>
      </c>
      <c r="CH717" s="10">
        <f>分析データ!A717</f>
        <v>45973</v>
      </c>
    </row>
    <row r="718" spans="46:86">
      <c r="AT718">
        <f ca="1">IF(ROW()&lt;($C$7+1),"",IFERROR((分析データ!B718-AVERAGE(OFFSET(分析データ!B$1,MAX(1,ROW()-$C$7),0,MIN($C$7,ROW()-1),1)))/STDEV(OFFSET(分析データ!B$1,MAX(1,ROW()-$C$7),0,MIN($C$7,ROW()-1),1)),0))</f>
        <v>-0.76382591557653245</v>
      </c>
      <c r="AU718">
        <f t="shared" ca="1" si="308"/>
        <v>0</v>
      </c>
      <c r="AV718" t="str">
        <f ca="1">IF(AU718=1,IF(INDEX(分析データ!$A:$A,ROW()+$C$5)&lt;&gt;"",80000*SIGN(AT718)*(分析データ!B718-INDEX(分析データ!B:B,ROW()+$C$5)),""),"")</f>
        <v/>
      </c>
      <c r="AW718">
        <f t="shared" ca="1" si="309"/>
        <v>-4999999.9999999925</v>
      </c>
      <c r="AX718">
        <f t="shared" ca="1" si="310"/>
        <v>0</v>
      </c>
      <c r="AY718">
        <f t="shared" ca="1" si="311"/>
        <v>-4999999.9999999925</v>
      </c>
      <c r="AZ718">
        <f ca="1">IF(ROW()&lt;($C$7+1),"",IFERROR((分析データ!C718-AVERAGE(OFFSET(分析データ!C$1,MAX(1,ROW()-$C$7),0,MIN($C$7,ROW()-1),1)))/STDEV(OFFSET(分析データ!C$1,MAX(1,ROW()-$C$7),0,MIN($C$7,ROW()-1),1)),0))</f>
        <v>-0.67568195773900364</v>
      </c>
      <c r="BA718">
        <f t="shared" ca="1" si="312"/>
        <v>0</v>
      </c>
      <c r="BB718" t="str">
        <f ca="1">IF(BA718=1,IF(INDEX(分析データ!$A:$A,ROW()+$C$5)&lt;&gt;"",60000*SIGN(AZ718)*(分析データ!C718-INDEX(分析データ!C:C,ROW()+$C$5)),""),"")</f>
        <v/>
      </c>
      <c r="BC718">
        <f t="shared" ca="1" si="313"/>
        <v>3075000.0000000102</v>
      </c>
      <c r="BD718">
        <f t="shared" ca="1" si="314"/>
        <v>3075000.0000000102</v>
      </c>
      <c r="BE718">
        <f t="shared" ca="1" si="315"/>
        <v>0</v>
      </c>
      <c r="BF718">
        <f ca="1">IF(ROW()&lt;($C$7+1),"",IFERROR((分析データ!D718-AVERAGE(OFFSET(分析データ!D$1,MAX(1,ROW()-$C$7),0,MIN($C$7,ROW()-1),1)))/STDEV(OFFSET(分析データ!D$1,MAX(1,ROW()-$C$7),0,MIN($C$7,ROW()-1),1)),0))</f>
        <v>-1.5206719499992742</v>
      </c>
      <c r="BG718">
        <f t="shared" ca="1" si="316"/>
        <v>0</v>
      </c>
      <c r="BH718" t="str">
        <f ca="1">IF(BG718=1,IF(INDEX(分析データ!$A:$A,ROW()+$C$5)&lt;&gt;"",50000*SIGN(BF718)*(分析データ!D718-INDEX(分析データ!D:D,ROW()+$C$5)),""),"")</f>
        <v/>
      </c>
      <c r="BI718">
        <f t="shared" ca="1" si="317"/>
        <v>4360000.0000000149</v>
      </c>
      <c r="BJ718">
        <f t="shared" ca="1" si="318"/>
        <v>4360000.0000000149</v>
      </c>
      <c r="BK718">
        <f t="shared" ca="1" si="319"/>
        <v>0</v>
      </c>
      <c r="BL718">
        <f ca="1">IF(ROW()&lt;($C$7+1),"",IFERROR((分析データ!E718-AVERAGE(OFFSET(分析データ!E$1,MAX(1,ROW()-$C$7),0,MIN($C$7,ROW()-1),1)))/STDEV(OFFSET(分析データ!E$1,MAX(1,ROW()-$C$7),0,MIN($C$7,ROW()-1),1)),0))</f>
        <v>0.53484531261722512</v>
      </c>
      <c r="BM718">
        <f t="shared" ca="1" si="320"/>
        <v>0</v>
      </c>
      <c r="BN718" t="str">
        <f ca="1">IF(BM718=1,IF(INDEX(分析データ!$A:$A,ROW()+$C$5)&lt;&gt;"",40000*SIGN(BL718)*(分析データ!E718-INDEX(分析データ!E:E,ROW()+$C$5)),""),"")</f>
        <v/>
      </c>
      <c r="BO718">
        <f t="shared" ca="1" si="321"/>
        <v>4280000.0000000028</v>
      </c>
      <c r="BP718">
        <f t="shared" ca="1" si="322"/>
        <v>4280000.0000000028</v>
      </c>
      <c r="BQ718">
        <f t="shared" ca="1" si="323"/>
        <v>0</v>
      </c>
      <c r="BR718">
        <f ca="1">IF(ROW()&lt;($C$7+1),"",IFERROR((分析データ!F718-AVERAGE(OFFSET(分析データ!F$1,MAX(1,ROW()-$C$7),0,MIN($C$7,ROW()-1),1)))/STDEV(OFFSET(分析データ!F$1,MAX(1,ROW()-$C$7),0,MIN($C$7,ROW()-1),1)),0))</f>
        <v>-1.8439825010429078</v>
      </c>
      <c r="BS718">
        <f t="shared" ca="1" si="324"/>
        <v>0</v>
      </c>
      <c r="BT718" t="str">
        <f ca="1">IF(BS718=1,IF(INDEX(分析データ!$A:$A,ROW()+$C$5)&lt;&gt;"",40000*SIGN(BR718)*(分析データ!F718-INDEX(分析データ!F:F,ROW()+$C$5)),""),"")</f>
        <v/>
      </c>
      <c r="BU718">
        <f t="shared" ca="1" si="325"/>
        <v>14917200.000000004</v>
      </c>
      <c r="BV718">
        <f t="shared" ca="1" si="326"/>
        <v>14917200.000000004</v>
      </c>
      <c r="BW718">
        <f t="shared" ca="1" si="327"/>
        <v>0</v>
      </c>
      <c r="BX718">
        <f ca="1">IF(ROW()&lt;($C$7+1),"",IFERROR((分析データ!G718-AVERAGE(OFFSET(分析データ!G$1,MAX(1,ROW()-$C$7),0,MIN($C$7,ROW()-1),1)))/STDEV(OFFSET(分析データ!G$1,MAX(1,ROW()-$C$7),0,MIN($C$7,ROW()-1),1)),0))</f>
        <v>1.8995910677829639</v>
      </c>
      <c r="BY718">
        <f t="shared" ca="1" si="328"/>
        <v>0</v>
      </c>
      <c r="BZ718" t="str">
        <f ca="1">IF(BY718=1,IF(INDEX(分析データ!$A:$A,ROW()+$C$5)&lt;&gt;"",40000*SIGN(BX718)*(分析データ!G718-INDEX(分析データ!G:G,ROW()+$C$5)),""),"")</f>
        <v/>
      </c>
      <c r="CA718">
        <f t="shared" ca="1" si="329"/>
        <v>-3515452.8662109179</v>
      </c>
      <c r="CB718">
        <f t="shared" ca="1" si="330"/>
        <v>11327520.000000004</v>
      </c>
      <c r="CC718">
        <f t="shared" ca="1" si="331"/>
        <v>-14842972.866210923</v>
      </c>
      <c r="CD718">
        <f t="shared" ca="1" si="332"/>
        <v>0</v>
      </c>
      <c r="CE718">
        <f t="shared" ca="1" si="333"/>
        <v>18116747.133789141</v>
      </c>
      <c r="CF718">
        <f t="shared" ca="1" si="334"/>
        <v>19067197.138671909</v>
      </c>
      <c r="CG718">
        <f t="shared" ca="1" si="335"/>
        <v>-950450.0048827678</v>
      </c>
      <c r="CH718" s="10">
        <f>分析データ!A718</f>
        <v>45974</v>
      </c>
    </row>
    <row r="719" spans="46:86">
      <c r="AT719">
        <f ca="1">IF(ROW()&lt;($C$7+1),"",IFERROR((分析データ!B719-AVERAGE(OFFSET(分析データ!B$1,MAX(1,ROW()-$C$7),0,MIN($C$7,ROW()-1),1)))/STDEV(OFFSET(分析データ!B$1,MAX(1,ROW()-$C$7),0,MIN($C$7,ROW()-1),1)),0))</f>
        <v>-1.0455014133678604</v>
      </c>
      <c r="AU719">
        <f t="shared" ca="1" si="308"/>
        <v>0</v>
      </c>
      <c r="AV719" t="str">
        <f ca="1">IF(AU719=1,IF(INDEX(分析データ!$A:$A,ROW()+$C$5)&lt;&gt;"",80000*SIGN(AT719)*(分析データ!B719-INDEX(分析データ!B:B,ROW()+$C$5)),""),"")</f>
        <v/>
      </c>
      <c r="AW719">
        <f t="shared" ca="1" si="309"/>
        <v>-4999999.9999999925</v>
      </c>
      <c r="AX719">
        <f t="shared" ca="1" si="310"/>
        <v>0</v>
      </c>
      <c r="AY719">
        <f t="shared" ca="1" si="311"/>
        <v>-4999999.9999999925</v>
      </c>
      <c r="AZ719">
        <f ca="1">IF(ROW()&lt;($C$7+1),"",IFERROR((分析データ!C719-AVERAGE(OFFSET(分析データ!C$1,MAX(1,ROW()-$C$7),0,MIN($C$7,ROW()-1),1)))/STDEV(OFFSET(分析データ!C$1,MAX(1,ROW()-$C$7),0,MIN($C$7,ROW()-1),1)),0))</f>
        <v>-0.66800870118160915</v>
      </c>
      <c r="BA719">
        <f t="shared" ca="1" si="312"/>
        <v>0</v>
      </c>
      <c r="BB719" t="str">
        <f ca="1">IF(BA719=1,IF(INDEX(分析データ!$A:$A,ROW()+$C$5)&lt;&gt;"",60000*SIGN(AZ719)*(分析データ!C719-INDEX(分析データ!C:C,ROW()+$C$5)),""),"")</f>
        <v/>
      </c>
      <c r="BC719">
        <f t="shared" ca="1" si="313"/>
        <v>3075000.0000000102</v>
      </c>
      <c r="BD719">
        <f t="shared" ca="1" si="314"/>
        <v>3075000.0000000102</v>
      </c>
      <c r="BE719">
        <f t="shared" ca="1" si="315"/>
        <v>0</v>
      </c>
      <c r="BF719">
        <f ca="1">IF(ROW()&lt;($C$7+1),"",IFERROR((分析データ!D719-AVERAGE(OFFSET(分析データ!D$1,MAX(1,ROW()-$C$7),0,MIN($C$7,ROW()-1),1)))/STDEV(OFFSET(分析データ!D$1,MAX(1,ROW()-$C$7),0,MIN($C$7,ROW()-1),1)),0))</f>
        <v>-1.4438686945230637</v>
      </c>
      <c r="BG719">
        <f t="shared" ca="1" si="316"/>
        <v>0</v>
      </c>
      <c r="BH719" t="str">
        <f ca="1">IF(BG719=1,IF(INDEX(分析データ!$A:$A,ROW()+$C$5)&lt;&gt;"",50000*SIGN(BF719)*(分析データ!D719-INDEX(分析データ!D:D,ROW()+$C$5)),""),"")</f>
        <v/>
      </c>
      <c r="BI719">
        <f t="shared" ca="1" si="317"/>
        <v>4360000.0000000149</v>
      </c>
      <c r="BJ719">
        <f t="shared" ca="1" si="318"/>
        <v>4360000.0000000149</v>
      </c>
      <c r="BK719">
        <f t="shared" ca="1" si="319"/>
        <v>0</v>
      </c>
      <c r="BL719">
        <f ca="1">IF(ROW()&lt;($C$7+1),"",IFERROR((分析データ!E719-AVERAGE(OFFSET(分析データ!E$1,MAX(1,ROW()-$C$7),0,MIN($C$7,ROW()-1),1)))/STDEV(OFFSET(分析データ!E$1,MAX(1,ROW()-$C$7),0,MIN($C$7,ROW()-1),1)),0))</f>
        <v>0.52872478383537536</v>
      </c>
      <c r="BM719">
        <f t="shared" ca="1" si="320"/>
        <v>0</v>
      </c>
      <c r="BN719" t="str">
        <f ca="1">IF(BM719=1,IF(INDEX(分析データ!$A:$A,ROW()+$C$5)&lt;&gt;"",40000*SIGN(BL719)*(分析データ!E719-INDEX(分析データ!E:E,ROW()+$C$5)),""),"")</f>
        <v/>
      </c>
      <c r="BO719">
        <f t="shared" ca="1" si="321"/>
        <v>4280000.0000000028</v>
      </c>
      <c r="BP719">
        <f t="shared" ca="1" si="322"/>
        <v>4280000.0000000028</v>
      </c>
      <c r="BQ719">
        <f t="shared" ca="1" si="323"/>
        <v>0</v>
      </c>
      <c r="BR719">
        <f ca="1">IF(ROW()&lt;($C$7+1),"",IFERROR((分析データ!F719-AVERAGE(OFFSET(分析データ!F$1,MAX(1,ROW()-$C$7),0,MIN($C$7,ROW()-1),1)))/STDEV(OFFSET(分析データ!F$1,MAX(1,ROW()-$C$7),0,MIN($C$7,ROW()-1),1)),0))</f>
        <v>-1.7731269705604475</v>
      </c>
      <c r="BS719">
        <f t="shared" ca="1" si="324"/>
        <v>0</v>
      </c>
      <c r="BT719" t="str">
        <f ca="1">IF(BS719=1,IF(INDEX(分析データ!$A:$A,ROW()+$C$5)&lt;&gt;"",40000*SIGN(BR719)*(分析データ!F719-INDEX(分析データ!F:F,ROW()+$C$5)),""),"")</f>
        <v/>
      </c>
      <c r="BU719">
        <f t="shared" ca="1" si="325"/>
        <v>14917200.000000004</v>
      </c>
      <c r="BV719">
        <f t="shared" ca="1" si="326"/>
        <v>14917200.000000004</v>
      </c>
      <c r="BW719">
        <f t="shared" ca="1" si="327"/>
        <v>0</v>
      </c>
      <c r="BX719">
        <f ca="1">IF(ROW()&lt;($C$7+1),"",IFERROR((分析データ!G719-AVERAGE(OFFSET(分析データ!G$1,MAX(1,ROW()-$C$7),0,MIN($C$7,ROW()-1),1)))/STDEV(OFFSET(分析データ!G$1,MAX(1,ROW()-$C$7),0,MIN($C$7,ROW()-1),1)),0))</f>
        <v>1.8070724499177733</v>
      </c>
      <c r="BY719">
        <f t="shared" ca="1" si="328"/>
        <v>0</v>
      </c>
      <c r="BZ719" t="str">
        <f ca="1">IF(BY719=1,IF(INDEX(分析データ!$A:$A,ROW()+$C$5)&lt;&gt;"",40000*SIGN(BX719)*(分析データ!G719-INDEX(分析データ!G:G,ROW()+$C$5)),""),"")</f>
        <v/>
      </c>
      <c r="CA719">
        <f t="shared" ca="1" si="329"/>
        <v>-3515452.8662109179</v>
      </c>
      <c r="CB719">
        <f t="shared" ca="1" si="330"/>
        <v>11327520.000000004</v>
      </c>
      <c r="CC719">
        <f t="shared" ca="1" si="331"/>
        <v>-14842972.866210923</v>
      </c>
      <c r="CD719">
        <f t="shared" ca="1" si="332"/>
        <v>0</v>
      </c>
      <c r="CE719">
        <f t="shared" ca="1" si="333"/>
        <v>18116747.133789141</v>
      </c>
      <c r="CF719">
        <f t="shared" ca="1" si="334"/>
        <v>19067197.138671909</v>
      </c>
      <c r="CG719">
        <f t="shared" ca="1" si="335"/>
        <v>-950450.0048827678</v>
      </c>
      <c r="CH719" s="10">
        <f>分析データ!A719</f>
        <v>45975</v>
      </c>
    </row>
    <row r="720" spans="46:86">
      <c r="AT720">
        <f ca="1">IF(ROW()&lt;($C$7+1),"",IFERROR((分析データ!B720-AVERAGE(OFFSET(分析データ!B$1,MAX(1,ROW()-$C$7),0,MIN($C$7,ROW()-1),1)))/STDEV(OFFSET(分析データ!B$1,MAX(1,ROW()-$C$7),0,MIN($C$7,ROW()-1),1)),0))</f>
        <v>-0.90652327356622853</v>
      </c>
      <c r="AU720">
        <f t="shared" ca="1" si="308"/>
        <v>0</v>
      </c>
      <c r="AV720" t="str">
        <f ca="1">IF(AU720=1,IF(INDEX(分析データ!$A:$A,ROW()+$C$5)&lt;&gt;"",80000*SIGN(AT720)*(分析データ!B720-INDEX(分析データ!B:B,ROW()+$C$5)),""),"")</f>
        <v/>
      </c>
      <c r="AW720">
        <f t="shared" ca="1" si="309"/>
        <v>-4999999.9999999925</v>
      </c>
      <c r="AX720">
        <f t="shared" ca="1" si="310"/>
        <v>0</v>
      </c>
      <c r="AY720">
        <f t="shared" ca="1" si="311"/>
        <v>-4999999.9999999925</v>
      </c>
      <c r="AZ720">
        <f ca="1">IF(ROW()&lt;($C$7+1),"",IFERROR((分析データ!C720-AVERAGE(OFFSET(分析データ!C$1,MAX(1,ROW()-$C$7),0,MIN($C$7,ROW()-1),1)))/STDEV(OFFSET(分析データ!C$1,MAX(1,ROW()-$C$7),0,MIN($C$7,ROW()-1),1)),0))</f>
        <v>-0.52458418115988259</v>
      </c>
      <c r="BA720">
        <f t="shared" ca="1" si="312"/>
        <v>0</v>
      </c>
      <c r="BB720" t="str">
        <f ca="1">IF(BA720=1,IF(INDEX(分析データ!$A:$A,ROW()+$C$5)&lt;&gt;"",60000*SIGN(AZ720)*(分析データ!C720-INDEX(分析データ!C:C,ROW()+$C$5)),""),"")</f>
        <v/>
      </c>
      <c r="BC720">
        <f t="shared" ca="1" si="313"/>
        <v>3075000.0000000102</v>
      </c>
      <c r="BD720">
        <f t="shared" ca="1" si="314"/>
        <v>3075000.0000000102</v>
      </c>
      <c r="BE720">
        <f t="shared" ca="1" si="315"/>
        <v>0</v>
      </c>
      <c r="BF720">
        <f ca="1">IF(ROW()&lt;($C$7+1),"",IFERROR((分析データ!D720-AVERAGE(OFFSET(分析データ!D$1,MAX(1,ROW()-$C$7),0,MIN($C$7,ROW()-1),1)))/STDEV(OFFSET(分析データ!D$1,MAX(1,ROW()-$C$7),0,MIN($C$7,ROW()-1),1)),0))</f>
        <v>-1.5570083616066797</v>
      </c>
      <c r="BG720">
        <f t="shared" ca="1" si="316"/>
        <v>0</v>
      </c>
      <c r="BH720" t="str">
        <f ca="1">IF(BG720=1,IF(INDEX(分析データ!$A:$A,ROW()+$C$5)&lt;&gt;"",50000*SIGN(BF720)*(分析データ!D720-INDEX(分析データ!D:D,ROW()+$C$5)),""),"")</f>
        <v/>
      </c>
      <c r="BI720">
        <f t="shared" ca="1" si="317"/>
        <v>4360000.0000000149</v>
      </c>
      <c r="BJ720">
        <f t="shared" ca="1" si="318"/>
        <v>4360000.0000000149</v>
      </c>
      <c r="BK720">
        <f t="shared" ca="1" si="319"/>
        <v>0</v>
      </c>
      <c r="BL720">
        <f ca="1">IF(ROW()&lt;($C$7+1),"",IFERROR((分析データ!E720-AVERAGE(OFFSET(分析データ!E$1,MAX(1,ROW()-$C$7),0,MIN($C$7,ROW()-1),1)))/STDEV(OFFSET(分析データ!E$1,MAX(1,ROW()-$C$7),0,MIN($C$7,ROW()-1),1)),0))</f>
        <v>0.60059026888818112</v>
      </c>
      <c r="BM720">
        <f t="shared" ca="1" si="320"/>
        <v>0</v>
      </c>
      <c r="BN720" t="str">
        <f ca="1">IF(BM720=1,IF(INDEX(分析データ!$A:$A,ROW()+$C$5)&lt;&gt;"",40000*SIGN(BL720)*(分析データ!E720-INDEX(分析データ!E:E,ROW()+$C$5)),""),"")</f>
        <v/>
      </c>
      <c r="BO720">
        <f t="shared" ca="1" si="321"/>
        <v>4280000.0000000028</v>
      </c>
      <c r="BP720">
        <f t="shared" ca="1" si="322"/>
        <v>4280000.0000000028</v>
      </c>
      <c r="BQ720">
        <f t="shared" ca="1" si="323"/>
        <v>0</v>
      </c>
      <c r="BR720">
        <f ca="1">IF(ROW()&lt;($C$7+1),"",IFERROR((分析データ!F720-AVERAGE(OFFSET(分析データ!F$1,MAX(1,ROW()-$C$7),0,MIN($C$7,ROW()-1),1)))/STDEV(OFFSET(分析データ!F$1,MAX(1,ROW()-$C$7),0,MIN($C$7,ROW()-1),1)),0))</f>
        <v>-1.6514163390407917</v>
      </c>
      <c r="BS720">
        <f t="shared" ca="1" si="324"/>
        <v>0</v>
      </c>
      <c r="BT720" t="str">
        <f ca="1">IF(BS720=1,IF(INDEX(分析データ!$A:$A,ROW()+$C$5)&lt;&gt;"",40000*SIGN(BR720)*(分析データ!F720-INDEX(分析データ!F:F,ROW()+$C$5)),""),"")</f>
        <v/>
      </c>
      <c r="BU720">
        <f t="shared" ca="1" si="325"/>
        <v>14917200.000000004</v>
      </c>
      <c r="BV720">
        <f t="shared" ca="1" si="326"/>
        <v>14917200.000000004</v>
      </c>
      <c r="BW720">
        <f t="shared" ca="1" si="327"/>
        <v>0</v>
      </c>
      <c r="BX720">
        <f ca="1">IF(ROW()&lt;($C$7+1),"",IFERROR((分析データ!G720-AVERAGE(OFFSET(分析データ!G$1,MAX(1,ROW()-$C$7),0,MIN($C$7,ROW()-1),1)))/STDEV(OFFSET(分析データ!G$1,MAX(1,ROW()-$C$7),0,MIN($C$7,ROW()-1),1)),0))</f>
        <v>1.7927320451152655</v>
      </c>
      <c r="BY720">
        <f t="shared" ca="1" si="328"/>
        <v>0</v>
      </c>
      <c r="BZ720" t="str">
        <f ca="1">IF(BY720=1,IF(INDEX(分析データ!$A:$A,ROW()+$C$5)&lt;&gt;"",40000*SIGN(BX720)*(分析データ!G720-INDEX(分析データ!G:G,ROW()+$C$5)),""),"")</f>
        <v/>
      </c>
      <c r="CA720">
        <f t="shared" ca="1" si="329"/>
        <v>-3515452.8662109179</v>
      </c>
      <c r="CB720">
        <f t="shared" ca="1" si="330"/>
        <v>11327520.000000004</v>
      </c>
      <c r="CC720">
        <f t="shared" ca="1" si="331"/>
        <v>-14842972.866210923</v>
      </c>
      <c r="CD720">
        <f t="shared" ca="1" si="332"/>
        <v>0</v>
      </c>
      <c r="CE720">
        <f t="shared" ca="1" si="333"/>
        <v>18116747.133789141</v>
      </c>
      <c r="CF720">
        <f t="shared" ca="1" si="334"/>
        <v>19067197.138671909</v>
      </c>
      <c r="CG720">
        <f t="shared" ca="1" si="335"/>
        <v>-950450.0048827678</v>
      </c>
      <c r="CH720" s="10">
        <f>分析データ!A720</f>
        <v>45978</v>
      </c>
    </row>
    <row r="721" spans="46:86">
      <c r="AT721">
        <f ca="1">IF(ROW()&lt;($C$7+1),"",IFERROR((分析データ!B721-AVERAGE(OFFSET(分析データ!B$1,MAX(1,ROW()-$C$7),0,MIN($C$7,ROW()-1),1)))/STDEV(OFFSET(分析データ!B$1,MAX(1,ROW()-$C$7),0,MIN($C$7,ROW()-1),1)),0))</f>
        <v>-1.0390351023117808</v>
      </c>
      <c r="AU721">
        <f t="shared" ca="1" si="308"/>
        <v>0</v>
      </c>
      <c r="AV721" t="str">
        <f ca="1">IF(AU721=1,IF(INDEX(分析データ!$A:$A,ROW()+$C$5)&lt;&gt;"",80000*SIGN(AT721)*(分析データ!B721-INDEX(分析データ!B:B,ROW()+$C$5)),""),"")</f>
        <v/>
      </c>
      <c r="AW721">
        <f t="shared" ca="1" si="309"/>
        <v>-4999999.9999999925</v>
      </c>
      <c r="AX721">
        <f t="shared" ca="1" si="310"/>
        <v>0</v>
      </c>
      <c r="AY721">
        <f t="shared" ca="1" si="311"/>
        <v>-4999999.9999999925</v>
      </c>
      <c r="AZ721">
        <f ca="1">IF(ROW()&lt;($C$7+1),"",IFERROR((分析データ!C721-AVERAGE(OFFSET(分析データ!C$1,MAX(1,ROW()-$C$7),0,MIN($C$7,ROW()-1),1)))/STDEV(OFFSET(分析データ!C$1,MAX(1,ROW()-$C$7),0,MIN($C$7,ROW()-1),1)),0))</f>
        <v>-0.56669484419597127</v>
      </c>
      <c r="BA721">
        <f t="shared" ca="1" si="312"/>
        <v>0</v>
      </c>
      <c r="BB721" t="str">
        <f ca="1">IF(BA721=1,IF(INDEX(分析データ!$A:$A,ROW()+$C$5)&lt;&gt;"",60000*SIGN(AZ721)*(分析データ!C721-INDEX(分析データ!C:C,ROW()+$C$5)),""),"")</f>
        <v/>
      </c>
      <c r="BC721">
        <f t="shared" ca="1" si="313"/>
        <v>3075000.0000000102</v>
      </c>
      <c r="BD721">
        <f t="shared" ca="1" si="314"/>
        <v>3075000.0000000102</v>
      </c>
      <c r="BE721">
        <f t="shared" ca="1" si="315"/>
        <v>0</v>
      </c>
      <c r="BF721">
        <f ca="1">IF(ROW()&lt;($C$7+1),"",IFERROR((分析データ!D721-AVERAGE(OFFSET(分析データ!D$1,MAX(1,ROW()-$C$7),0,MIN($C$7,ROW()-1),1)))/STDEV(OFFSET(分析データ!D$1,MAX(1,ROW()-$C$7),0,MIN($C$7,ROW()-1),1)),0))</f>
        <v>-1.6169019842405001</v>
      </c>
      <c r="BG721">
        <f t="shared" ca="1" si="316"/>
        <v>0</v>
      </c>
      <c r="BH721" t="str">
        <f ca="1">IF(BG721=1,IF(INDEX(分析データ!$A:$A,ROW()+$C$5)&lt;&gt;"",50000*SIGN(BF721)*(分析データ!D721-INDEX(分析データ!D:D,ROW()+$C$5)),""),"")</f>
        <v/>
      </c>
      <c r="BI721">
        <f t="shared" ca="1" si="317"/>
        <v>4360000.0000000149</v>
      </c>
      <c r="BJ721">
        <f t="shared" ca="1" si="318"/>
        <v>4360000.0000000149</v>
      </c>
      <c r="BK721">
        <f t="shared" ca="1" si="319"/>
        <v>0</v>
      </c>
      <c r="BL721">
        <f ca="1">IF(ROW()&lt;($C$7+1),"",IFERROR((分析データ!E721-AVERAGE(OFFSET(分析データ!E$1,MAX(1,ROW()-$C$7),0,MIN($C$7,ROW()-1),1)))/STDEV(OFFSET(分析データ!E$1,MAX(1,ROW()-$C$7),0,MIN($C$7,ROW()-1),1)),0))</f>
        <v>0.67275087883194862</v>
      </c>
      <c r="BM721">
        <f t="shared" ca="1" si="320"/>
        <v>0</v>
      </c>
      <c r="BN721" t="str">
        <f ca="1">IF(BM721=1,IF(INDEX(分析データ!$A:$A,ROW()+$C$5)&lt;&gt;"",40000*SIGN(BL721)*(分析データ!E721-INDEX(分析データ!E:E,ROW()+$C$5)),""),"")</f>
        <v/>
      </c>
      <c r="BO721">
        <f t="shared" ca="1" si="321"/>
        <v>4280000.0000000028</v>
      </c>
      <c r="BP721">
        <f t="shared" ca="1" si="322"/>
        <v>4280000.0000000028</v>
      </c>
      <c r="BQ721">
        <f t="shared" ca="1" si="323"/>
        <v>0</v>
      </c>
      <c r="BR721">
        <f ca="1">IF(ROW()&lt;($C$7+1),"",IFERROR((分析データ!F721-AVERAGE(OFFSET(分析データ!F$1,MAX(1,ROW()-$C$7),0,MIN($C$7,ROW()-1),1)))/STDEV(OFFSET(分析データ!F$1,MAX(1,ROW()-$C$7),0,MIN($C$7,ROW()-1),1)),0))</f>
        <v>-1.4932815124442798</v>
      </c>
      <c r="BS721">
        <f t="shared" ca="1" si="324"/>
        <v>0</v>
      </c>
      <c r="BT721" t="str">
        <f ca="1">IF(BS721=1,IF(INDEX(分析データ!$A:$A,ROW()+$C$5)&lt;&gt;"",40000*SIGN(BR721)*(分析データ!F721-INDEX(分析データ!F:F,ROW()+$C$5)),""),"")</f>
        <v/>
      </c>
      <c r="BU721">
        <f t="shared" ca="1" si="325"/>
        <v>14917200.000000004</v>
      </c>
      <c r="BV721">
        <f t="shared" ca="1" si="326"/>
        <v>14917200.000000004</v>
      </c>
      <c r="BW721">
        <f t="shared" ca="1" si="327"/>
        <v>0</v>
      </c>
      <c r="BX721">
        <f ca="1">IF(ROW()&lt;($C$7+1),"",IFERROR((分析データ!G721-AVERAGE(OFFSET(分析データ!G$1,MAX(1,ROW()-$C$7),0,MIN($C$7,ROW()-1),1)))/STDEV(OFFSET(分析データ!G$1,MAX(1,ROW()-$C$7),0,MIN($C$7,ROW()-1),1)),0))</f>
        <v>1.7056320897269825</v>
      </c>
      <c r="BY721">
        <f t="shared" ca="1" si="328"/>
        <v>0</v>
      </c>
      <c r="BZ721" t="str">
        <f ca="1">IF(BY721=1,IF(INDEX(分析データ!$A:$A,ROW()+$C$5)&lt;&gt;"",40000*SIGN(BX721)*(分析データ!G721-INDEX(分析データ!G:G,ROW()+$C$5)),""),"")</f>
        <v/>
      </c>
      <c r="CA721">
        <f t="shared" ca="1" si="329"/>
        <v>-3515452.8662109179</v>
      </c>
      <c r="CB721">
        <f t="shared" ca="1" si="330"/>
        <v>11327520.000000004</v>
      </c>
      <c r="CC721">
        <f t="shared" ca="1" si="331"/>
        <v>-14842972.866210923</v>
      </c>
      <c r="CD721">
        <f t="shared" ca="1" si="332"/>
        <v>0</v>
      </c>
      <c r="CE721">
        <f t="shared" ca="1" si="333"/>
        <v>18116747.133789141</v>
      </c>
      <c r="CF721">
        <f t="shared" ca="1" si="334"/>
        <v>19067197.138671909</v>
      </c>
      <c r="CG721">
        <f t="shared" ca="1" si="335"/>
        <v>-950450.0048827678</v>
      </c>
      <c r="CH721" s="10">
        <f>分析データ!A721</f>
        <v>45979</v>
      </c>
    </row>
    <row r="722" spans="46:86">
      <c r="AT722">
        <f ca="1">IF(ROW()&lt;($C$7+1),"",IFERROR((分析データ!B722-AVERAGE(OFFSET(分析データ!B$1,MAX(1,ROW()-$C$7),0,MIN($C$7,ROW()-1),1)))/STDEV(OFFSET(分析データ!B$1,MAX(1,ROW()-$C$7),0,MIN($C$7,ROW()-1),1)),0))</f>
        <v>-0.90041394516300477</v>
      </c>
      <c r="AU722">
        <f t="shared" ca="1" si="308"/>
        <v>0</v>
      </c>
      <c r="AV722" t="str">
        <f ca="1">IF(AU722=1,IF(INDEX(分析データ!$A:$A,ROW()+$C$5)&lt;&gt;"",80000*SIGN(AT722)*(分析データ!B722-INDEX(分析データ!B:B,ROW()+$C$5)),""),"")</f>
        <v/>
      </c>
      <c r="AW722">
        <f t="shared" ca="1" si="309"/>
        <v>-4999999.9999999925</v>
      </c>
      <c r="AX722">
        <f t="shared" ca="1" si="310"/>
        <v>0</v>
      </c>
      <c r="AY722">
        <f t="shared" ca="1" si="311"/>
        <v>-4999999.9999999925</v>
      </c>
      <c r="AZ722">
        <f ca="1">IF(ROW()&lt;($C$7+1),"",IFERROR((分析データ!C722-AVERAGE(OFFSET(分析データ!C$1,MAX(1,ROW()-$C$7),0,MIN($C$7,ROW()-1),1)))/STDEV(OFFSET(分析データ!C$1,MAX(1,ROW()-$C$7),0,MIN($C$7,ROW()-1),1)),0))</f>
        <v>-0.48688347670697796</v>
      </c>
      <c r="BA722">
        <f t="shared" ca="1" si="312"/>
        <v>0</v>
      </c>
      <c r="BB722" t="str">
        <f ca="1">IF(BA722=1,IF(INDEX(分析データ!$A:$A,ROW()+$C$5)&lt;&gt;"",60000*SIGN(AZ722)*(分析データ!C722-INDEX(分析データ!C:C,ROW()+$C$5)),""),"")</f>
        <v/>
      </c>
      <c r="BC722">
        <f t="shared" ca="1" si="313"/>
        <v>3075000.0000000102</v>
      </c>
      <c r="BD722">
        <f t="shared" ca="1" si="314"/>
        <v>3075000.0000000102</v>
      </c>
      <c r="BE722">
        <f t="shared" ca="1" si="315"/>
        <v>0</v>
      </c>
      <c r="BF722">
        <f ca="1">IF(ROW()&lt;($C$7+1),"",IFERROR((分析データ!D722-AVERAGE(OFFSET(分析データ!D$1,MAX(1,ROW()-$C$7),0,MIN($C$7,ROW()-1),1)))/STDEV(OFFSET(分析データ!D$1,MAX(1,ROW()-$C$7),0,MIN($C$7,ROW()-1),1)),0))</f>
        <v>-1.633281651428111</v>
      </c>
      <c r="BG722">
        <f t="shared" ca="1" si="316"/>
        <v>0</v>
      </c>
      <c r="BH722" t="str">
        <f ca="1">IF(BG722=1,IF(INDEX(分析データ!$A:$A,ROW()+$C$5)&lt;&gt;"",50000*SIGN(BF722)*(分析データ!D722-INDEX(分析データ!D:D,ROW()+$C$5)),""),"")</f>
        <v/>
      </c>
      <c r="BI722">
        <f t="shared" ca="1" si="317"/>
        <v>4360000.0000000149</v>
      </c>
      <c r="BJ722">
        <f t="shared" ca="1" si="318"/>
        <v>4360000.0000000149</v>
      </c>
      <c r="BK722">
        <f t="shared" ca="1" si="319"/>
        <v>0</v>
      </c>
      <c r="BL722">
        <f ca="1">IF(ROW()&lt;($C$7+1),"",IFERROR((分析データ!E722-AVERAGE(OFFSET(分析データ!E$1,MAX(1,ROW()-$C$7),0,MIN($C$7,ROW()-1),1)))/STDEV(OFFSET(分析データ!E$1,MAX(1,ROW()-$C$7),0,MIN($C$7,ROW()-1),1)),0))</f>
        <v>0.66665492508003965</v>
      </c>
      <c r="BM722">
        <f t="shared" ca="1" si="320"/>
        <v>0</v>
      </c>
      <c r="BN722" t="str">
        <f ca="1">IF(BM722=1,IF(INDEX(分析データ!$A:$A,ROW()+$C$5)&lt;&gt;"",40000*SIGN(BL722)*(分析データ!E722-INDEX(分析データ!E:E,ROW()+$C$5)),""),"")</f>
        <v/>
      </c>
      <c r="BO722">
        <f t="shared" ca="1" si="321"/>
        <v>4280000.0000000028</v>
      </c>
      <c r="BP722">
        <f t="shared" ca="1" si="322"/>
        <v>4280000.0000000028</v>
      </c>
      <c r="BQ722">
        <f t="shared" ca="1" si="323"/>
        <v>0</v>
      </c>
      <c r="BR722">
        <f ca="1">IF(ROW()&lt;($C$7+1),"",IFERROR((分析データ!F722-AVERAGE(OFFSET(分析データ!F$1,MAX(1,ROW()-$C$7),0,MIN($C$7,ROW()-1),1)))/STDEV(OFFSET(分析データ!F$1,MAX(1,ROW()-$C$7),0,MIN($C$7,ROW()-1),1)),0))</f>
        <v>-1.5391685352374287</v>
      </c>
      <c r="BS722">
        <f t="shared" ca="1" si="324"/>
        <v>0</v>
      </c>
      <c r="BT722" t="str">
        <f ca="1">IF(BS722=1,IF(INDEX(分析データ!$A:$A,ROW()+$C$5)&lt;&gt;"",40000*SIGN(BR722)*(分析データ!F722-INDEX(分析データ!F:F,ROW()+$C$5)),""),"")</f>
        <v/>
      </c>
      <c r="BU722">
        <f t="shared" ca="1" si="325"/>
        <v>14917200.000000004</v>
      </c>
      <c r="BV722">
        <f t="shared" ca="1" si="326"/>
        <v>14917200.000000004</v>
      </c>
      <c r="BW722">
        <f t="shared" ca="1" si="327"/>
        <v>0</v>
      </c>
      <c r="BX722">
        <f ca="1">IF(ROW()&lt;($C$7+1),"",IFERROR((分析データ!G722-AVERAGE(OFFSET(分析データ!G$1,MAX(1,ROW()-$C$7),0,MIN($C$7,ROW()-1),1)))/STDEV(OFFSET(分析データ!G$1,MAX(1,ROW()-$C$7),0,MIN($C$7,ROW()-1),1)),0))</f>
        <v>1.7764307268042567</v>
      </c>
      <c r="BY722">
        <f t="shared" ca="1" si="328"/>
        <v>0</v>
      </c>
      <c r="BZ722" t="str">
        <f ca="1">IF(BY722=1,IF(INDEX(分析データ!$A:$A,ROW()+$C$5)&lt;&gt;"",40000*SIGN(BX722)*(分析データ!G722-INDEX(分析データ!G:G,ROW()+$C$5)),""),"")</f>
        <v/>
      </c>
      <c r="CA722">
        <f t="shared" ca="1" si="329"/>
        <v>-3515452.8662109179</v>
      </c>
      <c r="CB722">
        <f t="shared" ca="1" si="330"/>
        <v>11327520.000000004</v>
      </c>
      <c r="CC722">
        <f t="shared" ca="1" si="331"/>
        <v>-14842972.866210923</v>
      </c>
      <c r="CD722">
        <f t="shared" ca="1" si="332"/>
        <v>0</v>
      </c>
      <c r="CE722">
        <f t="shared" ca="1" si="333"/>
        <v>18116747.133789141</v>
      </c>
      <c r="CF722">
        <f t="shared" ca="1" si="334"/>
        <v>19067197.138671909</v>
      </c>
      <c r="CG722">
        <f t="shared" ca="1" si="335"/>
        <v>-950450.0048827678</v>
      </c>
      <c r="CH722" s="10">
        <f>分析データ!A722</f>
        <v>45980</v>
      </c>
    </row>
    <row r="723" spans="46:86">
      <c r="AT723">
        <f ca="1">IF(ROW()&lt;($C$7+1),"",IFERROR((分析データ!B723-AVERAGE(OFFSET(分析データ!B$1,MAX(1,ROW()-$C$7),0,MIN($C$7,ROW()-1),1)))/STDEV(OFFSET(分析データ!B$1,MAX(1,ROW()-$C$7),0,MIN($C$7,ROW()-1),1)),0))</f>
        <v>-1.0349638350107873</v>
      </c>
      <c r="AU723">
        <f t="shared" ca="1" si="308"/>
        <v>0</v>
      </c>
      <c r="AV723" t="str">
        <f ca="1">IF(AU723=1,IF(INDEX(分析データ!$A:$A,ROW()+$C$5)&lt;&gt;"",80000*SIGN(AT723)*(分析データ!B723-INDEX(分析データ!B:B,ROW()+$C$5)),""),"")</f>
        <v/>
      </c>
      <c r="AW723">
        <f t="shared" ca="1" si="309"/>
        <v>-4999999.9999999925</v>
      </c>
      <c r="AX723">
        <f t="shared" ca="1" si="310"/>
        <v>0</v>
      </c>
      <c r="AY723">
        <f t="shared" ca="1" si="311"/>
        <v>-4999999.9999999925</v>
      </c>
      <c r="AZ723">
        <f ca="1">IF(ROW()&lt;($C$7+1),"",IFERROR((分析データ!C723-AVERAGE(OFFSET(分析データ!C$1,MAX(1,ROW()-$C$7),0,MIN($C$7,ROW()-1),1)))/STDEV(OFFSET(分析データ!C$1,MAX(1,ROW()-$C$7),0,MIN($C$7,ROW()-1),1)),0))</f>
        <v>-0.24989903924247087</v>
      </c>
      <c r="BA723">
        <f t="shared" ca="1" si="312"/>
        <v>0</v>
      </c>
      <c r="BB723" t="str">
        <f ca="1">IF(BA723=1,IF(INDEX(分析データ!$A:$A,ROW()+$C$5)&lt;&gt;"",60000*SIGN(AZ723)*(分析データ!C723-INDEX(分析データ!C:C,ROW()+$C$5)),""),"")</f>
        <v/>
      </c>
      <c r="BC723">
        <f t="shared" ca="1" si="313"/>
        <v>3075000.0000000102</v>
      </c>
      <c r="BD723">
        <f t="shared" ca="1" si="314"/>
        <v>3075000.0000000102</v>
      </c>
      <c r="BE723">
        <f t="shared" ca="1" si="315"/>
        <v>0</v>
      </c>
      <c r="BF723">
        <f ca="1">IF(ROW()&lt;($C$7+1),"",IFERROR((分析データ!D723-AVERAGE(OFFSET(分析データ!D$1,MAX(1,ROW()-$C$7),0,MIN($C$7,ROW()-1),1)))/STDEV(OFFSET(分析データ!D$1,MAX(1,ROW()-$C$7),0,MIN($C$7,ROW()-1),1)),0))</f>
        <v>-1.8441401092195604</v>
      </c>
      <c r="BG723">
        <f t="shared" ca="1" si="316"/>
        <v>0</v>
      </c>
      <c r="BH723" t="str">
        <f ca="1">IF(BG723=1,IF(INDEX(分析データ!$A:$A,ROW()+$C$5)&lt;&gt;"",50000*SIGN(BF723)*(分析データ!D723-INDEX(分析データ!D:D,ROW()+$C$5)),""),"")</f>
        <v/>
      </c>
      <c r="BI723">
        <f t="shared" ca="1" si="317"/>
        <v>4360000.0000000149</v>
      </c>
      <c r="BJ723">
        <f t="shared" ca="1" si="318"/>
        <v>4360000.0000000149</v>
      </c>
      <c r="BK723">
        <f t="shared" ca="1" si="319"/>
        <v>0</v>
      </c>
      <c r="BL723">
        <f ca="1">IF(ROW()&lt;($C$7+1),"",IFERROR((分析データ!E723-AVERAGE(OFFSET(分析データ!E$1,MAX(1,ROW()-$C$7),0,MIN($C$7,ROW()-1),1)))/STDEV(OFFSET(分析データ!E$1,MAX(1,ROW()-$C$7),0,MIN($C$7,ROW()-1),1)),0))</f>
        <v>0.6604852368153119</v>
      </c>
      <c r="BM723">
        <f t="shared" ca="1" si="320"/>
        <v>0</v>
      </c>
      <c r="BN723" t="str">
        <f ca="1">IF(BM723=1,IF(INDEX(分析データ!$A:$A,ROW()+$C$5)&lt;&gt;"",40000*SIGN(BL723)*(分析データ!E723-INDEX(分析データ!E:E,ROW()+$C$5)),""),"")</f>
        <v/>
      </c>
      <c r="BO723">
        <f t="shared" ca="1" si="321"/>
        <v>4280000.0000000028</v>
      </c>
      <c r="BP723">
        <f t="shared" ca="1" si="322"/>
        <v>4280000.0000000028</v>
      </c>
      <c r="BQ723">
        <f t="shared" ca="1" si="323"/>
        <v>0</v>
      </c>
      <c r="BR723">
        <f ca="1">IF(ROW()&lt;($C$7+1),"",IFERROR((分析データ!F723-AVERAGE(OFFSET(分析データ!F$1,MAX(1,ROW()-$C$7),0,MIN($C$7,ROW()-1),1)))/STDEV(OFFSET(分析データ!F$1,MAX(1,ROW()-$C$7),0,MIN($C$7,ROW()-1),1)),0))</f>
        <v>-1.4977734901598492</v>
      </c>
      <c r="BS723">
        <f t="shared" ca="1" si="324"/>
        <v>0</v>
      </c>
      <c r="BT723" t="str">
        <f ca="1">IF(BS723=1,IF(INDEX(分析データ!$A:$A,ROW()+$C$5)&lt;&gt;"",40000*SIGN(BR723)*(分析データ!F723-INDEX(分析データ!F:F,ROW()+$C$5)),""),"")</f>
        <v/>
      </c>
      <c r="BU723">
        <f t="shared" ca="1" si="325"/>
        <v>14917200.000000004</v>
      </c>
      <c r="BV723">
        <f t="shared" ca="1" si="326"/>
        <v>14917200.000000004</v>
      </c>
      <c r="BW723">
        <f t="shared" ca="1" si="327"/>
        <v>0</v>
      </c>
      <c r="BX723">
        <f ca="1">IF(ROW()&lt;($C$7+1),"",IFERROR((分析データ!G723-AVERAGE(OFFSET(分析データ!G$1,MAX(1,ROW()-$C$7),0,MIN($C$7,ROW()-1),1)))/STDEV(OFFSET(分析データ!G$1,MAX(1,ROW()-$C$7),0,MIN($C$7,ROW()-1),1)),0))</f>
        <v>1.9390735614535133</v>
      </c>
      <c r="BY723">
        <f t="shared" ca="1" si="328"/>
        <v>0</v>
      </c>
      <c r="BZ723" t="str">
        <f ca="1">IF(BY723=1,IF(INDEX(分析データ!$A:$A,ROW()+$C$5)&lt;&gt;"",40000*SIGN(BX723)*(分析データ!G723-INDEX(分析データ!G:G,ROW()+$C$5)),""),"")</f>
        <v/>
      </c>
      <c r="CA723">
        <f t="shared" ca="1" si="329"/>
        <v>-3515452.8662109179</v>
      </c>
      <c r="CB723">
        <f t="shared" ca="1" si="330"/>
        <v>11327520.000000004</v>
      </c>
      <c r="CC723">
        <f t="shared" ca="1" si="331"/>
        <v>-14842972.866210923</v>
      </c>
      <c r="CD723">
        <f t="shared" ca="1" si="332"/>
        <v>0</v>
      </c>
      <c r="CE723">
        <f t="shared" ca="1" si="333"/>
        <v>18116747.133789141</v>
      </c>
      <c r="CF723">
        <f t="shared" ca="1" si="334"/>
        <v>19067197.138671909</v>
      </c>
      <c r="CG723">
        <f t="shared" ca="1" si="335"/>
        <v>-950450.0048827678</v>
      </c>
      <c r="CH723" s="10">
        <f>分析データ!A723</f>
        <v>45981</v>
      </c>
    </row>
    <row r="724" spans="46:86">
      <c r="AT724">
        <f ca="1">IF(ROW()&lt;($C$7+1),"",IFERROR((分析データ!B724-AVERAGE(OFFSET(分析データ!B$1,MAX(1,ROW()-$C$7),0,MIN($C$7,ROW()-1),1)))/STDEV(OFFSET(分析データ!B$1,MAX(1,ROW()-$C$7),0,MIN($C$7,ROW()-1),1)),0))</f>
        <v>-1.3046592769844489</v>
      </c>
      <c r="AU724">
        <f t="shared" ca="1" si="308"/>
        <v>0</v>
      </c>
      <c r="AV724" t="str">
        <f ca="1">IF(AU724=1,IF(INDEX(分析データ!$A:$A,ROW()+$C$5)&lt;&gt;"",80000*SIGN(AT724)*(分析データ!B724-INDEX(分析データ!B:B,ROW()+$C$5)),""),"")</f>
        <v/>
      </c>
      <c r="AW724">
        <f t="shared" ca="1" si="309"/>
        <v>-4999999.9999999925</v>
      </c>
      <c r="AX724">
        <f t="shared" ca="1" si="310"/>
        <v>0</v>
      </c>
      <c r="AY724">
        <f t="shared" ca="1" si="311"/>
        <v>-4999999.9999999925</v>
      </c>
      <c r="AZ724">
        <f ca="1">IF(ROW()&lt;($C$7+1),"",IFERROR((分析データ!C724-AVERAGE(OFFSET(分析データ!C$1,MAX(1,ROW()-$C$7),0,MIN($C$7,ROW()-1),1)))/STDEV(OFFSET(分析データ!C$1,MAX(1,ROW()-$C$7),0,MIN($C$7,ROW()-1),1)),0))</f>
        <v>-0.3572532208673988</v>
      </c>
      <c r="BA724">
        <f t="shared" ca="1" si="312"/>
        <v>0</v>
      </c>
      <c r="BB724" t="str">
        <f ca="1">IF(BA724=1,IF(INDEX(分析データ!$A:$A,ROW()+$C$5)&lt;&gt;"",60000*SIGN(AZ724)*(分析データ!C724-INDEX(分析データ!C:C,ROW()+$C$5)),""),"")</f>
        <v/>
      </c>
      <c r="BC724">
        <f t="shared" ca="1" si="313"/>
        <v>3075000.0000000102</v>
      </c>
      <c r="BD724">
        <f t="shared" ca="1" si="314"/>
        <v>3075000.0000000102</v>
      </c>
      <c r="BE724">
        <f t="shared" ca="1" si="315"/>
        <v>0</v>
      </c>
      <c r="BF724">
        <f ca="1">IF(ROW()&lt;($C$7+1),"",IFERROR((分析データ!D724-AVERAGE(OFFSET(分析データ!D$1,MAX(1,ROW()-$C$7),0,MIN($C$7,ROW()-1),1)))/STDEV(OFFSET(分析データ!D$1,MAX(1,ROW()-$C$7),0,MIN($C$7,ROW()-1),1)),0))</f>
        <v>-1.8499810529955214</v>
      </c>
      <c r="BG724">
        <f t="shared" ca="1" si="316"/>
        <v>0</v>
      </c>
      <c r="BH724" t="str">
        <f ca="1">IF(BG724=1,IF(INDEX(分析データ!$A:$A,ROW()+$C$5)&lt;&gt;"",50000*SIGN(BF724)*(分析データ!D724-INDEX(分析データ!D:D,ROW()+$C$5)),""),"")</f>
        <v/>
      </c>
      <c r="BI724">
        <f t="shared" ca="1" si="317"/>
        <v>4360000.0000000149</v>
      </c>
      <c r="BJ724">
        <f t="shared" ca="1" si="318"/>
        <v>4360000.0000000149</v>
      </c>
      <c r="BK724">
        <f t="shared" ca="1" si="319"/>
        <v>0</v>
      </c>
      <c r="BL724">
        <f ca="1">IF(ROW()&lt;($C$7+1),"",IFERROR((分析データ!E724-AVERAGE(OFFSET(分析データ!E$1,MAX(1,ROW()-$C$7),0,MIN($C$7,ROW()-1),1)))/STDEV(OFFSET(分析データ!E$1,MAX(1,ROW()-$C$7),0,MIN($C$7,ROW()-1),1)),0))</f>
        <v>0.81283754388063989</v>
      </c>
      <c r="BM724">
        <f t="shared" ca="1" si="320"/>
        <v>0</v>
      </c>
      <c r="BN724" t="str">
        <f ca="1">IF(BM724=1,IF(INDEX(分析データ!$A:$A,ROW()+$C$5)&lt;&gt;"",40000*SIGN(BL724)*(分析データ!E724-INDEX(分析データ!E:E,ROW()+$C$5)),""),"")</f>
        <v/>
      </c>
      <c r="BO724">
        <f t="shared" ca="1" si="321"/>
        <v>4280000.0000000028</v>
      </c>
      <c r="BP724">
        <f t="shared" ca="1" si="322"/>
        <v>4280000.0000000028</v>
      </c>
      <c r="BQ724">
        <f t="shared" ca="1" si="323"/>
        <v>0</v>
      </c>
      <c r="BR724">
        <f ca="1">IF(ROW()&lt;($C$7+1),"",IFERROR((分析データ!F724-AVERAGE(OFFSET(分析データ!F$1,MAX(1,ROW()-$C$7),0,MIN($C$7,ROW()-1),1)))/STDEV(OFFSET(分析データ!F$1,MAX(1,ROW()-$C$7),0,MIN($C$7,ROW()-1),1)),0))</f>
        <v>-1.2592504492793781</v>
      </c>
      <c r="BS724">
        <f t="shared" ca="1" si="324"/>
        <v>0</v>
      </c>
      <c r="BT724" t="str">
        <f ca="1">IF(BS724=1,IF(INDEX(分析データ!$A:$A,ROW()+$C$5)&lt;&gt;"",40000*SIGN(BR724)*(分析データ!F724-INDEX(分析データ!F:F,ROW()+$C$5)),""),"")</f>
        <v/>
      </c>
      <c r="BU724">
        <f t="shared" ca="1" si="325"/>
        <v>14917200.000000004</v>
      </c>
      <c r="BV724">
        <f t="shared" ca="1" si="326"/>
        <v>14917200.000000004</v>
      </c>
      <c r="BW724">
        <f t="shared" ca="1" si="327"/>
        <v>0</v>
      </c>
      <c r="BX724">
        <f ca="1">IF(ROW()&lt;($C$7+1),"",IFERROR((分析データ!G724-AVERAGE(OFFSET(分析データ!G$1,MAX(1,ROW()-$C$7),0,MIN($C$7,ROW()-1),1)))/STDEV(OFFSET(分析データ!G$1,MAX(1,ROW()-$C$7),0,MIN($C$7,ROW()-1),1)),0))</f>
        <v>1.7171271494025941</v>
      </c>
      <c r="BY724">
        <f t="shared" ca="1" si="328"/>
        <v>0</v>
      </c>
      <c r="BZ724" t="str">
        <f ca="1">IF(BY724=1,IF(INDEX(分析データ!$A:$A,ROW()+$C$5)&lt;&gt;"",40000*SIGN(BX724)*(分析データ!G724-INDEX(分析データ!G:G,ROW()+$C$5)),""),"")</f>
        <v/>
      </c>
      <c r="CA724">
        <f t="shared" ca="1" si="329"/>
        <v>-3515452.8662109179</v>
      </c>
      <c r="CB724">
        <f t="shared" ca="1" si="330"/>
        <v>11327520.000000004</v>
      </c>
      <c r="CC724">
        <f t="shared" ca="1" si="331"/>
        <v>-14842972.866210923</v>
      </c>
      <c r="CD724">
        <f t="shared" ca="1" si="332"/>
        <v>0</v>
      </c>
      <c r="CE724">
        <f t="shared" ca="1" si="333"/>
        <v>18116747.133789141</v>
      </c>
      <c r="CF724">
        <f t="shared" ca="1" si="334"/>
        <v>19067197.138671909</v>
      </c>
      <c r="CG724">
        <f t="shared" ca="1" si="335"/>
        <v>-950450.0048827678</v>
      </c>
      <c r="CH724" s="10">
        <f>分析データ!A724</f>
        <v>45982</v>
      </c>
    </row>
    <row r="725" spans="46:86">
      <c r="AT725">
        <f ca="1">IF(ROW()&lt;($C$7+1),"",IFERROR((分析データ!B725-AVERAGE(OFFSET(分析データ!B$1,MAX(1,ROW()-$C$7),0,MIN($C$7,ROW()-1),1)))/STDEV(OFFSET(分析データ!B$1,MAX(1,ROW()-$C$7),0,MIN($C$7,ROW()-1),1)),0))</f>
        <v>-0.75624536906105377</v>
      </c>
      <c r="AU725">
        <f t="shared" ca="1" si="308"/>
        <v>0</v>
      </c>
      <c r="AV725" t="str">
        <f ca="1">IF(AU725=1,IF(INDEX(分析データ!$A:$A,ROW()+$C$5)&lt;&gt;"",80000*SIGN(AT725)*(分析データ!B725-INDEX(分析データ!B:B,ROW()+$C$5)),""),"")</f>
        <v/>
      </c>
      <c r="AW725">
        <f t="shared" ca="1" si="309"/>
        <v>-4999999.9999999925</v>
      </c>
      <c r="AX725">
        <f t="shared" ca="1" si="310"/>
        <v>0</v>
      </c>
      <c r="AY725">
        <f t="shared" ca="1" si="311"/>
        <v>-4999999.9999999925</v>
      </c>
      <c r="AZ725">
        <f ca="1">IF(ROW()&lt;($C$7+1),"",IFERROR((分析データ!C725-AVERAGE(OFFSET(分析データ!C$1,MAX(1,ROW()-$C$7),0,MIN($C$7,ROW()-1),1)))/STDEV(OFFSET(分析データ!C$1,MAX(1,ROW()-$C$7),0,MIN($C$7,ROW()-1),1)),0))</f>
        <v>-0.35681040191468294</v>
      </c>
      <c r="BA725">
        <f t="shared" ca="1" si="312"/>
        <v>0</v>
      </c>
      <c r="BB725" t="str">
        <f ca="1">IF(BA725=1,IF(INDEX(分析データ!$A:$A,ROW()+$C$5)&lt;&gt;"",60000*SIGN(AZ725)*(分析データ!C725-INDEX(分析データ!C:C,ROW()+$C$5)),""),"")</f>
        <v/>
      </c>
      <c r="BC725">
        <f t="shared" ca="1" si="313"/>
        <v>3075000.0000000102</v>
      </c>
      <c r="BD725">
        <f t="shared" ca="1" si="314"/>
        <v>3075000.0000000102</v>
      </c>
      <c r="BE725">
        <f t="shared" ca="1" si="315"/>
        <v>0</v>
      </c>
      <c r="BF725">
        <f ca="1">IF(ROW()&lt;($C$7+1),"",IFERROR((分析データ!D725-AVERAGE(OFFSET(分析データ!D$1,MAX(1,ROW()-$C$7),0,MIN($C$7,ROW()-1),1)))/STDEV(OFFSET(分析データ!D$1,MAX(1,ROW()-$C$7),0,MIN($C$7,ROW()-1),1)),0))</f>
        <v>-1.8908810963033167</v>
      </c>
      <c r="BG725">
        <f t="shared" ca="1" si="316"/>
        <v>0</v>
      </c>
      <c r="BH725" t="str">
        <f ca="1">IF(BG725=1,IF(INDEX(分析データ!$A:$A,ROW()+$C$5)&lt;&gt;"",50000*SIGN(BF725)*(分析データ!D725-INDEX(分析データ!D:D,ROW()+$C$5)),""),"")</f>
        <v/>
      </c>
      <c r="BI725">
        <f t="shared" ca="1" si="317"/>
        <v>4360000.0000000149</v>
      </c>
      <c r="BJ725">
        <f t="shared" ca="1" si="318"/>
        <v>4360000.0000000149</v>
      </c>
      <c r="BK725">
        <f t="shared" ca="1" si="319"/>
        <v>0</v>
      </c>
      <c r="BL725">
        <f ca="1">IF(ROW()&lt;($C$7+1),"",IFERROR((分析データ!E725-AVERAGE(OFFSET(分析データ!E$1,MAX(1,ROW()-$C$7),0,MIN($C$7,ROW()-1),1)))/STDEV(OFFSET(分析データ!E$1,MAX(1,ROW()-$C$7),0,MIN($C$7,ROW()-1),1)),0))</f>
        <v>0.72679723501826077</v>
      </c>
      <c r="BM725">
        <f t="shared" ca="1" si="320"/>
        <v>0</v>
      </c>
      <c r="BN725" t="str">
        <f ca="1">IF(BM725=1,IF(INDEX(分析データ!$A:$A,ROW()+$C$5)&lt;&gt;"",40000*SIGN(BL725)*(分析データ!E725-INDEX(分析データ!E:E,ROW()+$C$5)),""),"")</f>
        <v/>
      </c>
      <c r="BO725">
        <f t="shared" ca="1" si="321"/>
        <v>4280000.0000000028</v>
      </c>
      <c r="BP725">
        <f t="shared" ca="1" si="322"/>
        <v>4280000.0000000028</v>
      </c>
      <c r="BQ725">
        <f t="shared" ca="1" si="323"/>
        <v>0</v>
      </c>
      <c r="BR725">
        <f ca="1">IF(ROW()&lt;($C$7+1),"",IFERROR((分析データ!F725-AVERAGE(OFFSET(分析データ!F$1,MAX(1,ROW()-$C$7),0,MIN($C$7,ROW()-1),1)))/STDEV(OFFSET(分析データ!F$1,MAX(1,ROW()-$C$7),0,MIN($C$7,ROW()-1),1)),0))</f>
        <v>-1.1238970336738694</v>
      </c>
      <c r="BS725">
        <f t="shared" ca="1" si="324"/>
        <v>0</v>
      </c>
      <c r="BT725" t="str">
        <f ca="1">IF(BS725=1,IF(INDEX(分析データ!$A:$A,ROW()+$C$5)&lt;&gt;"",40000*SIGN(BR725)*(分析データ!F725-INDEX(分析データ!F:F,ROW()+$C$5)),""),"")</f>
        <v/>
      </c>
      <c r="BU725">
        <f t="shared" ca="1" si="325"/>
        <v>14917200.000000004</v>
      </c>
      <c r="BV725">
        <f t="shared" ca="1" si="326"/>
        <v>14917200.000000004</v>
      </c>
      <c r="BW725">
        <f t="shared" ca="1" si="327"/>
        <v>0</v>
      </c>
      <c r="BX725">
        <f ca="1">IF(ROW()&lt;($C$7+1),"",IFERROR((分析データ!G725-AVERAGE(OFFSET(分析データ!G$1,MAX(1,ROW()-$C$7),0,MIN($C$7,ROW()-1),1)))/STDEV(OFFSET(分析データ!G$1,MAX(1,ROW()-$C$7),0,MIN($C$7,ROW()-1),1)),0))</f>
        <v>1.6719890204390055</v>
      </c>
      <c r="BY725">
        <f t="shared" ca="1" si="328"/>
        <v>0</v>
      </c>
      <c r="BZ725" t="str">
        <f ca="1">IF(BY725=1,IF(INDEX(分析データ!$A:$A,ROW()+$C$5)&lt;&gt;"",40000*SIGN(BX725)*(分析データ!G725-INDEX(分析データ!G:G,ROW()+$C$5)),""),"")</f>
        <v/>
      </c>
      <c r="CA725">
        <f t="shared" ca="1" si="329"/>
        <v>-3515452.8662109179</v>
      </c>
      <c r="CB725">
        <f t="shared" ca="1" si="330"/>
        <v>11327520.000000004</v>
      </c>
      <c r="CC725">
        <f t="shared" ca="1" si="331"/>
        <v>-14842972.866210923</v>
      </c>
      <c r="CD725">
        <f t="shared" ca="1" si="332"/>
        <v>0</v>
      </c>
      <c r="CE725">
        <f t="shared" ca="1" si="333"/>
        <v>18116747.133789141</v>
      </c>
      <c r="CF725">
        <f t="shared" ca="1" si="334"/>
        <v>19067197.138671909</v>
      </c>
      <c r="CG725">
        <f t="shared" ca="1" si="335"/>
        <v>-950450.0048827678</v>
      </c>
      <c r="CH725" s="10">
        <f>分析データ!A725</f>
        <v>45985</v>
      </c>
    </row>
    <row r="726" spans="46:86">
      <c r="AT726">
        <f ca="1">IF(ROW()&lt;($C$7+1),"",IFERROR((分析データ!B726-AVERAGE(OFFSET(分析データ!B$1,MAX(1,ROW()-$C$7),0,MIN($C$7,ROW()-1),1)))/STDEV(OFFSET(分析データ!B$1,MAX(1,ROW()-$C$7),0,MIN($C$7,ROW()-1),1)),0))</f>
        <v>-1.0304523230227511</v>
      </c>
      <c r="AU726">
        <f t="shared" ca="1" si="308"/>
        <v>0</v>
      </c>
      <c r="AV726" t="str">
        <f ca="1">IF(AU726=1,IF(INDEX(分析データ!$A:$A,ROW()+$C$5)&lt;&gt;"",80000*SIGN(AT726)*(分析データ!B726-INDEX(分析データ!B:B,ROW()+$C$5)),""),"")</f>
        <v/>
      </c>
      <c r="AW726">
        <f t="shared" ca="1" si="309"/>
        <v>-4999999.9999999925</v>
      </c>
      <c r="AX726">
        <f t="shared" ca="1" si="310"/>
        <v>0</v>
      </c>
      <c r="AY726">
        <f t="shared" ca="1" si="311"/>
        <v>-4999999.9999999925</v>
      </c>
      <c r="AZ726">
        <f ca="1">IF(ROW()&lt;($C$7+1),"",IFERROR((分析データ!C726-AVERAGE(OFFSET(分析データ!C$1,MAX(1,ROW()-$C$7),0,MIN($C$7,ROW()-1),1)))/STDEV(OFFSET(分析データ!C$1,MAX(1,ROW()-$C$7),0,MIN($C$7,ROW()-1),1)),0))</f>
        <v>-0.27782314475867886</v>
      </c>
      <c r="BA726">
        <f t="shared" ca="1" si="312"/>
        <v>0</v>
      </c>
      <c r="BB726" t="str">
        <f ca="1">IF(BA726=1,IF(INDEX(分析データ!$A:$A,ROW()+$C$5)&lt;&gt;"",60000*SIGN(AZ726)*(分析データ!C726-INDEX(分析データ!C:C,ROW()+$C$5)),""),"")</f>
        <v/>
      </c>
      <c r="BC726">
        <f t="shared" ca="1" si="313"/>
        <v>3075000.0000000102</v>
      </c>
      <c r="BD726">
        <f t="shared" ca="1" si="314"/>
        <v>3075000.0000000102</v>
      </c>
      <c r="BE726">
        <f t="shared" ca="1" si="315"/>
        <v>0</v>
      </c>
      <c r="BF726">
        <f ca="1">IF(ROW()&lt;($C$7+1),"",IFERROR((分析データ!D726-AVERAGE(OFFSET(分析データ!D$1,MAX(1,ROW()-$C$7),0,MIN($C$7,ROW()-1),1)))/STDEV(OFFSET(分析データ!D$1,MAX(1,ROW()-$C$7),0,MIN($C$7,ROW()-1),1)),0))</f>
        <v>-2.0168062161927867</v>
      </c>
      <c r="BG726">
        <f t="shared" ca="1" si="316"/>
        <v>1</v>
      </c>
      <c r="BH726">
        <f ca="1">IF(BG726=1,IF(INDEX(分析データ!$A:$A,ROW()+$C$5)&lt;&gt;"",50000*SIGN(BF726)*(分析データ!D726-INDEX(分析データ!D:D,ROW()+$C$5)),""),"")</f>
        <v>-135000.00000000084</v>
      </c>
      <c r="BI726">
        <f t="shared" ca="1" si="317"/>
        <v>4225000.000000014</v>
      </c>
      <c r="BJ726">
        <f t="shared" ca="1" si="318"/>
        <v>4360000.0000000149</v>
      </c>
      <c r="BK726">
        <f t="shared" ca="1" si="319"/>
        <v>-135000.00000000093</v>
      </c>
      <c r="BL726">
        <f ca="1">IF(ROW()&lt;($C$7+1),"",IFERROR((分析データ!E726-AVERAGE(OFFSET(分析データ!E$1,MAX(1,ROW()-$C$7),0,MIN($C$7,ROW()-1),1)))/STDEV(OFFSET(分析データ!E$1,MAX(1,ROW()-$C$7),0,MIN($C$7,ROW()-1),1)),0))</f>
        <v>0.96009812269710659</v>
      </c>
      <c r="BM726">
        <f t="shared" ca="1" si="320"/>
        <v>0</v>
      </c>
      <c r="BN726" t="str">
        <f ca="1">IF(BM726=1,IF(INDEX(分析データ!$A:$A,ROW()+$C$5)&lt;&gt;"",40000*SIGN(BL726)*(分析データ!E726-INDEX(分析データ!E:E,ROW()+$C$5)),""),"")</f>
        <v/>
      </c>
      <c r="BO726">
        <f t="shared" ca="1" si="321"/>
        <v>4280000.0000000028</v>
      </c>
      <c r="BP726">
        <f t="shared" ca="1" si="322"/>
        <v>4280000.0000000028</v>
      </c>
      <c r="BQ726">
        <f t="shared" ca="1" si="323"/>
        <v>0</v>
      </c>
      <c r="BR726">
        <f ca="1">IF(ROW()&lt;($C$7+1),"",IFERROR((分析データ!F726-AVERAGE(OFFSET(分析データ!F$1,MAX(1,ROW()-$C$7),0,MIN($C$7,ROW()-1),1)))/STDEV(OFFSET(分析データ!F$1,MAX(1,ROW()-$C$7),0,MIN($C$7,ROW()-1),1)),0))</f>
        <v>-1.079290669114511</v>
      </c>
      <c r="BS726">
        <f t="shared" ca="1" si="324"/>
        <v>0</v>
      </c>
      <c r="BT726" t="str">
        <f ca="1">IF(BS726=1,IF(INDEX(分析データ!$A:$A,ROW()+$C$5)&lt;&gt;"",40000*SIGN(BR726)*(分析データ!F726-INDEX(分析データ!F:F,ROW()+$C$5)),""),"")</f>
        <v/>
      </c>
      <c r="BU726">
        <f t="shared" ca="1" si="325"/>
        <v>14917200.000000004</v>
      </c>
      <c r="BV726">
        <f t="shared" ca="1" si="326"/>
        <v>14917200.000000004</v>
      </c>
      <c r="BW726">
        <f t="shared" ca="1" si="327"/>
        <v>0</v>
      </c>
      <c r="BX726">
        <f ca="1">IF(ROW()&lt;($C$7+1),"",IFERROR((分析データ!G726-AVERAGE(OFFSET(分析データ!G$1,MAX(1,ROW()-$C$7),0,MIN($C$7,ROW()-1),1)))/STDEV(OFFSET(分析データ!G$1,MAX(1,ROW()-$C$7),0,MIN($C$7,ROW()-1),1)),0))</f>
        <v>1.7646972044619054</v>
      </c>
      <c r="BY726">
        <f t="shared" ca="1" si="328"/>
        <v>0</v>
      </c>
      <c r="BZ726" t="str">
        <f ca="1">IF(BY726=1,IF(INDEX(分析データ!$A:$A,ROW()+$C$5)&lt;&gt;"",40000*SIGN(BX726)*(分析データ!G726-INDEX(分析データ!G:G,ROW()+$C$5)),""),"")</f>
        <v/>
      </c>
      <c r="CA726">
        <f t="shared" ca="1" si="329"/>
        <v>-3515452.8662109179</v>
      </c>
      <c r="CB726">
        <f t="shared" ca="1" si="330"/>
        <v>11327520.000000004</v>
      </c>
      <c r="CC726">
        <f t="shared" ca="1" si="331"/>
        <v>-14842972.866210923</v>
      </c>
      <c r="CD726">
        <f t="shared" ca="1" si="332"/>
        <v>-135000.00000000084</v>
      </c>
      <c r="CE726">
        <f t="shared" ca="1" si="333"/>
        <v>17981747.133789141</v>
      </c>
      <c r="CF726">
        <f t="shared" ca="1" si="334"/>
        <v>19067197.138671909</v>
      </c>
      <c r="CG726">
        <f t="shared" ca="1" si="335"/>
        <v>-1085450.0048827678</v>
      </c>
      <c r="CH726" s="10">
        <f>分析データ!A726</f>
        <v>45986</v>
      </c>
    </row>
    <row r="727" spans="46:86">
      <c r="AT727">
        <f ca="1">IF(ROW()&lt;($C$7+1),"",IFERROR((分析データ!B727-AVERAGE(OFFSET(分析データ!B$1,MAX(1,ROW()-$C$7),0,MIN($C$7,ROW()-1),1)))/STDEV(OFFSET(分析データ!B$1,MAX(1,ROW()-$C$7),0,MIN($C$7,ROW()-1),1)),0))</f>
        <v>-1.1675558000035999</v>
      </c>
      <c r="AU727">
        <f t="shared" ca="1" si="308"/>
        <v>0</v>
      </c>
      <c r="AV727" t="str">
        <f ca="1">IF(AU727=1,IF(INDEX(分析データ!$A:$A,ROW()+$C$5)&lt;&gt;"",80000*SIGN(AT727)*(分析データ!B727-INDEX(分析データ!B:B,ROW()+$C$5)),""),"")</f>
        <v/>
      </c>
      <c r="AW727">
        <f t="shared" ca="1" si="309"/>
        <v>-4999999.9999999925</v>
      </c>
      <c r="AX727">
        <f t="shared" ca="1" si="310"/>
        <v>0</v>
      </c>
      <c r="AY727">
        <f t="shared" ca="1" si="311"/>
        <v>-4999999.9999999925</v>
      </c>
      <c r="AZ727">
        <f ca="1">IF(ROW()&lt;($C$7+1),"",IFERROR((分析データ!C727-AVERAGE(OFFSET(分析データ!C$1,MAX(1,ROW()-$C$7),0,MIN($C$7,ROW()-1),1)))/STDEV(OFFSET(分析データ!C$1,MAX(1,ROW()-$C$7),0,MIN($C$7,ROW()-1),1)),0))</f>
        <v>-9.0811078958009994E-2</v>
      </c>
      <c r="BA727">
        <f t="shared" ca="1" si="312"/>
        <v>0</v>
      </c>
      <c r="BB727" t="str">
        <f ca="1">IF(BA727=1,IF(INDEX(分析データ!$A:$A,ROW()+$C$5)&lt;&gt;"",60000*SIGN(AZ727)*(分析データ!C727-INDEX(分析データ!C:C,ROW()+$C$5)),""),"")</f>
        <v/>
      </c>
      <c r="BC727">
        <f t="shared" ca="1" si="313"/>
        <v>3075000.0000000102</v>
      </c>
      <c r="BD727">
        <f t="shared" ca="1" si="314"/>
        <v>3075000.0000000102</v>
      </c>
      <c r="BE727">
        <f t="shared" ca="1" si="315"/>
        <v>0</v>
      </c>
      <c r="BF727">
        <f ca="1">IF(ROW()&lt;($C$7+1),"",IFERROR((分析データ!D727-AVERAGE(OFFSET(分析データ!D$1,MAX(1,ROW()-$C$7),0,MIN($C$7,ROW()-1),1)))/STDEV(OFFSET(分析データ!D$1,MAX(1,ROW()-$C$7),0,MIN($C$7,ROW()-1),1)),0))</f>
        <v>-2.0653849407364739</v>
      </c>
      <c r="BG727">
        <f t="shared" ca="1" si="316"/>
        <v>1</v>
      </c>
      <c r="BH727">
        <f ca="1">IF(BG727=1,IF(INDEX(分析データ!$A:$A,ROW()+$C$5)&lt;&gt;"",50000*SIGN(BF727)*(分析データ!D727-INDEX(分析データ!D:D,ROW()+$C$5)),""),"")</f>
        <v>160000.00000000084</v>
      </c>
      <c r="BI727">
        <f t="shared" ca="1" si="317"/>
        <v>4385000.0000000149</v>
      </c>
      <c r="BJ727">
        <f t="shared" ca="1" si="318"/>
        <v>4385000.0000000149</v>
      </c>
      <c r="BK727">
        <f t="shared" ca="1" si="319"/>
        <v>0</v>
      </c>
      <c r="BL727">
        <f ca="1">IF(ROW()&lt;($C$7+1),"",IFERROR((分析データ!E727-AVERAGE(OFFSET(分析データ!E$1,MAX(1,ROW()-$C$7),0,MIN($C$7,ROW()-1),1)))/STDEV(OFFSET(分析データ!E$1,MAX(1,ROW()-$C$7),0,MIN($C$7,ROW()-1),1)),0))</f>
        <v>0.79306395377293015</v>
      </c>
      <c r="BM727">
        <f t="shared" ca="1" si="320"/>
        <v>0</v>
      </c>
      <c r="BN727" t="str">
        <f ca="1">IF(BM727=1,IF(INDEX(分析データ!$A:$A,ROW()+$C$5)&lt;&gt;"",40000*SIGN(BL727)*(分析データ!E727-INDEX(分析データ!E:E,ROW()+$C$5)),""),"")</f>
        <v/>
      </c>
      <c r="BO727">
        <f t="shared" ca="1" si="321"/>
        <v>4280000.0000000028</v>
      </c>
      <c r="BP727">
        <f t="shared" ca="1" si="322"/>
        <v>4280000.0000000028</v>
      </c>
      <c r="BQ727">
        <f t="shared" ca="1" si="323"/>
        <v>0</v>
      </c>
      <c r="BR727">
        <f ca="1">IF(ROW()&lt;($C$7+1),"",IFERROR((分析データ!F727-AVERAGE(OFFSET(分析データ!F$1,MAX(1,ROW()-$C$7),0,MIN($C$7,ROW()-1),1)))/STDEV(OFFSET(分析データ!F$1,MAX(1,ROW()-$C$7),0,MIN($C$7,ROW()-1),1)),0))</f>
        <v>-1.0573884132497793</v>
      </c>
      <c r="BS727">
        <f t="shared" ca="1" si="324"/>
        <v>0</v>
      </c>
      <c r="BT727" t="str">
        <f ca="1">IF(BS727=1,IF(INDEX(分析データ!$A:$A,ROW()+$C$5)&lt;&gt;"",40000*SIGN(BR727)*(分析データ!F727-INDEX(分析データ!F:F,ROW()+$C$5)),""),"")</f>
        <v/>
      </c>
      <c r="BU727">
        <f t="shared" ca="1" si="325"/>
        <v>14917200.000000004</v>
      </c>
      <c r="BV727">
        <f t="shared" ca="1" si="326"/>
        <v>14917200.000000004</v>
      </c>
      <c r="BW727">
        <f t="shared" ca="1" si="327"/>
        <v>0</v>
      </c>
      <c r="BX727">
        <f ca="1">IF(ROW()&lt;($C$7+1),"",IFERROR((分析データ!G727-AVERAGE(OFFSET(分析データ!G$1,MAX(1,ROW()-$C$7),0,MIN($C$7,ROW()-1),1)))/STDEV(OFFSET(分析データ!G$1,MAX(1,ROW()-$C$7),0,MIN($C$7,ROW()-1),1)),0))</f>
        <v>1.776981482470386</v>
      </c>
      <c r="BY727">
        <f t="shared" ca="1" si="328"/>
        <v>0</v>
      </c>
      <c r="BZ727" t="str">
        <f ca="1">IF(BY727=1,IF(INDEX(分析データ!$A:$A,ROW()+$C$5)&lt;&gt;"",40000*SIGN(BX727)*(分析データ!G727-INDEX(分析データ!G:G,ROW()+$C$5)),""),"")</f>
        <v/>
      </c>
      <c r="CA727">
        <f t="shared" ca="1" si="329"/>
        <v>-3515452.8662109179</v>
      </c>
      <c r="CB727">
        <f t="shared" ca="1" si="330"/>
        <v>11327520.000000004</v>
      </c>
      <c r="CC727">
        <f t="shared" ca="1" si="331"/>
        <v>-14842972.866210923</v>
      </c>
      <c r="CD727">
        <f t="shared" ca="1" si="332"/>
        <v>160000.00000000084</v>
      </c>
      <c r="CE727">
        <f t="shared" ca="1" si="333"/>
        <v>18141747.133789141</v>
      </c>
      <c r="CF727">
        <f t="shared" ca="1" si="334"/>
        <v>19067197.138671909</v>
      </c>
      <c r="CG727">
        <f t="shared" ca="1" si="335"/>
        <v>-925450.0048827678</v>
      </c>
      <c r="CH727" s="10">
        <f>分析データ!A727</f>
        <v>45987</v>
      </c>
    </row>
    <row r="728" spans="46:86">
      <c r="AT728">
        <f ca="1">IF(ROW()&lt;($C$7+1),"",IFERROR((分析データ!B728-AVERAGE(OFFSET(分析データ!B$1,MAX(1,ROW()-$C$7),0,MIN($C$7,ROW()-1),1)))/STDEV(OFFSET(分析データ!B$1,MAX(1,ROW()-$C$7),0,MIN($C$7,ROW()-1),1)),0))</f>
        <v>-1.3133068487528858</v>
      </c>
      <c r="AU728">
        <f t="shared" ca="1" si="308"/>
        <v>0</v>
      </c>
      <c r="AV728" t="str">
        <f ca="1">IF(AU728=1,IF(INDEX(分析データ!$A:$A,ROW()+$C$5)&lt;&gt;"",80000*SIGN(AT728)*(分析データ!B728-INDEX(分析データ!B:B,ROW()+$C$5)),""),"")</f>
        <v/>
      </c>
      <c r="AW728">
        <f t="shared" ca="1" si="309"/>
        <v>-4999999.9999999925</v>
      </c>
      <c r="AX728">
        <f t="shared" ca="1" si="310"/>
        <v>0</v>
      </c>
      <c r="AY728">
        <f t="shared" ca="1" si="311"/>
        <v>-4999999.9999999925</v>
      </c>
      <c r="AZ728">
        <f ca="1">IF(ROW()&lt;($C$7+1),"",IFERROR((分析データ!C728-AVERAGE(OFFSET(分析データ!C$1,MAX(1,ROW()-$C$7),0,MIN($C$7,ROW()-1),1)))/STDEV(OFFSET(分析データ!C$1,MAX(1,ROW()-$C$7),0,MIN($C$7,ROW()-1),1)),0))</f>
        <v>-0.37062716206340157</v>
      </c>
      <c r="BA728">
        <f t="shared" ca="1" si="312"/>
        <v>0</v>
      </c>
      <c r="BB728" t="str">
        <f ca="1">IF(BA728=1,IF(INDEX(分析データ!$A:$A,ROW()+$C$5)&lt;&gt;"",60000*SIGN(AZ728)*(分析データ!C728-INDEX(分析データ!C:C,ROW()+$C$5)),""),"")</f>
        <v/>
      </c>
      <c r="BC728">
        <f t="shared" ca="1" si="313"/>
        <v>3075000.0000000102</v>
      </c>
      <c r="BD728">
        <f t="shared" ca="1" si="314"/>
        <v>3075000.0000000102</v>
      </c>
      <c r="BE728">
        <f t="shared" ca="1" si="315"/>
        <v>0</v>
      </c>
      <c r="BF728">
        <f ca="1">IF(ROW()&lt;($C$7+1),"",IFERROR((分析データ!D728-AVERAGE(OFFSET(分析データ!D$1,MAX(1,ROW()-$C$7),0,MIN($C$7,ROW()-1),1)))/STDEV(OFFSET(分析データ!D$1,MAX(1,ROW()-$C$7),0,MIN($C$7,ROW()-1),1)),0))</f>
        <v>-1.9456234704637354</v>
      </c>
      <c r="BG728">
        <f t="shared" ca="1" si="316"/>
        <v>0</v>
      </c>
      <c r="BH728" t="str">
        <f ca="1">IF(BG728=1,IF(INDEX(分析データ!$A:$A,ROW()+$C$5)&lt;&gt;"",50000*SIGN(BF728)*(分析データ!D728-INDEX(分析データ!D:D,ROW()+$C$5)),""),"")</f>
        <v/>
      </c>
      <c r="BI728">
        <f t="shared" ca="1" si="317"/>
        <v>4385000.0000000149</v>
      </c>
      <c r="BJ728">
        <f t="shared" ca="1" si="318"/>
        <v>4385000.0000000149</v>
      </c>
      <c r="BK728">
        <f t="shared" ca="1" si="319"/>
        <v>0</v>
      </c>
      <c r="BL728">
        <f ca="1">IF(ROW()&lt;($C$7+1),"",IFERROR((分析データ!E728-AVERAGE(OFFSET(分析データ!E$1,MAX(1,ROW()-$C$7),0,MIN($C$7,ROW()-1),1)))/STDEV(OFFSET(分析データ!E$1,MAX(1,ROW()-$C$7),0,MIN($C$7,ROW()-1),1)),0))</f>
        <v>0.70635806717866023</v>
      </c>
      <c r="BM728">
        <f t="shared" ca="1" si="320"/>
        <v>0</v>
      </c>
      <c r="BN728" t="str">
        <f ca="1">IF(BM728=1,IF(INDEX(分析データ!$A:$A,ROW()+$C$5)&lt;&gt;"",40000*SIGN(BL728)*(分析データ!E728-INDEX(分析データ!E:E,ROW()+$C$5)),""),"")</f>
        <v/>
      </c>
      <c r="BO728">
        <f t="shared" ca="1" si="321"/>
        <v>4280000.0000000028</v>
      </c>
      <c r="BP728">
        <f t="shared" ca="1" si="322"/>
        <v>4280000.0000000028</v>
      </c>
      <c r="BQ728">
        <f t="shared" ca="1" si="323"/>
        <v>0</v>
      </c>
      <c r="BR728">
        <f ca="1">IF(ROW()&lt;($C$7+1),"",IFERROR((分析データ!F728-AVERAGE(OFFSET(分析データ!F$1,MAX(1,ROW()-$C$7),0,MIN($C$7,ROW()-1),1)))/STDEV(OFFSET(分析データ!F$1,MAX(1,ROW()-$C$7),0,MIN($C$7,ROW()-1),1)),0))</f>
        <v>-1.0817736051406721</v>
      </c>
      <c r="BS728">
        <f t="shared" ca="1" si="324"/>
        <v>0</v>
      </c>
      <c r="BT728" t="str">
        <f ca="1">IF(BS728=1,IF(INDEX(分析データ!$A:$A,ROW()+$C$5)&lt;&gt;"",40000*SIGN(BR728)*(分析データ!F728-INDEX(分析データ!F:F,ROW()+$C$5)),""),"")</f>
        <v/>
      </c>
      <c r="BU728">
        <f t="shared" ca="1" si="325"/>
        <v>14917200.000000004</v>
      </c>
      <c r="BV728">
        <f t="shared" ca="1" si="326"/>
        <v>14917200.000000004</v>
      </c>
      <c r="BW728">
        <f t="shared" ca="1" si="327"/>
        <v>0</v>
      </c>
      <c r="BX728">
        <f ca="1">IF(ROW()&lt;($C$7+1),"",IFERROR((分析データ!G728-AVERAGE(OFFSET(分析データ!G$1,MAX(1,ROW()-$C$7),0,MIN($C$7,ROW()-1),1)))/STDEV(OFFSET(分析データ!G$1,MAX(1,ROW()-$C$7),0,MIN($C$7,ROW()-1),1)),0))</f>
        <v>1.7776719239649452</v>
      </c>
      <c r="BY728">
        <f t="shared" ca="1" si="328"/>
        <v>0</v>
      </c>
      <c r="BZ728" t="str">
        <f ca="1">IF(BY728=1,IF(INDEX(分析データ!$A:$A,ROW()+$C$5)&lt;&gt;"",40000*SIGN(BX728)*(分析データ!G728-INDEX(分析データ!G:G,ROW()+$C$5)),""),"")</f>
        <v/>
      </c>
      <c r="CA728">
        <f t="shared" ca="1" si="329"/>
        <v>-3515452.8662109179</v>
      </c>
      <c r="CB728">
        <f t="shared" ca="1" si="330"/>
        <v>11327520.000000004</v>
      </c>
      <c r="CC728">
        <f t="shared" ca="1" si="331"/>
        <v>-14842972.866210923</v>
      </c>
      <c r="CD728">
        <f t="shared" ca="1" si="332"/>
        <v>0</v>
      </c>
      <c r="CE728">
        <f t="shared" ca="1" si="333"/>
        <v>18141747.133789141</v>
      </c>
      <c r="CF728">
        <f t="shared" ca="1" si="334"/>
        <v>19067197.138671909</v>
      </c>
      <c r="CG728">
        <f t="shared" ca="1" si="335"/>
        <v>-925450.0048827678</v>
      </c>
      <c r="CH728" s="10">
        <f>分析データ!A728</f>
        <v>45989</v>
      </c>
    </row>
    <row r="729" spans="46:86">
      <c r="AT729">
        <f ca="1">IF(ROW()&lt;($C$7+1),"",IFERROR((分析データ!B729-AVERAGE(OFFSET(分析データ!B$1,MAX(1,ROW()-$C$7),0,MIN($C$7,ROW()-1),1)))/STDEV(OFFSET(分析データ!B$1,MAX(1,ROW()-$C$7),0,MIN($C$7,ROW()-1),1)),0))</f>
        <v>-1.3164987312722578</v>
      </c>
      <c r="AU729">
        <f t="shared" ca="1" si="308"/>
        <v>0</v>
      </c>
      <c r="AV729" t="str">
        <f ca="1">IF(AU729=1,IF(INDEX(分析データ!$A:$A,ROW()+$C$5)&lt;&gt;"",80000*SIGN(AT729)*(分析データ!B729-INDEX(分析データ!B:B,ROW()+$C$5)),""),"")</f>
        <v/>
      </c>
      <c r="AW729">
        <f t="shared" ca="1" si="309"/>
        <v>-4999999.9999999925</v>
      </c>
      <c r="AX729">
        <f t="shared" ca="1" si="310"/>
        <v>0</v>
      </c>
      <c r="AY729">
        <f t="shared" ca="1" si="311"/>
        <v>-4999999.9999999925</v>
      </c>
      <c r="AZ729">
        <f ca="1">IF(ROW()&lt;($C$7+1),"",IFERROR((分析データ!C729-AVERAGE(OFFSET(分析データ!C$1,MAX(1,ROW()-$C$7),0,MIN($C$7,ROW()-1),1)))/STDEV(OFFSET(分析データ!C$1,MAX(1,ROW()-$C$7),0,MIN($C$7,ROW()-1),1)),0))</f>
        <v>0.10830904557819046</v>
      </c>
      <c r="BA729">
        <f t="shared" ca="1" si="312"/>
        <v>0</v>
      </c>
      <c r="BB729" t="str">
        <f ca="1">IF(BA729=1,IF(INDEX(分析データ!$A:$A,ROW()+$C$5)&lt;&gt;"",60000*SIGN(AZ729)*(分析データ!C729-INDEX(分析データ!C:C,ROW()+$C$5)),""),"")</f>
        <v/>
      </c>
      <c r="BC729">
        <f t="shared" ca="1" si="313"/>
        <v>3075000.0000000102</v>
      </c>
      <c r="BD729">
        <f t="shared" ca="1" si="314"/>
        <v>3075000.0000000102</v>
      </c>
      <c r="BE729">
        <f t="shared" ca="1" si="315"/>
        <v>0</v>
      </c>
      <c r="BF729">
        <f ca="1">IF(ROW()&lt;($C$7+1),"",IFERROR((分析データ!D729-AVERAGE(OFFSET(分析データ!D$1,MAX(1,ROW()-$C$7),0,MIN($C$7,ROW()-1),1)))/STDEV(OFFSET(分析データ!D$1,MAX(1,ROW()-$C$7),0,MIN($C$7,ROW()-1),1)),0))</f>
        <v>-1.9204178545377617</v>
      </c>
      <c r="BG729">
        <f t="shared" ca="1" si="316"/>
        <v>0</v>
      </c>
      <c r="BH729" t="str">
        <f ca="1">IF(BG729=1,IF(INDEX(分析データ!$A:$A,ROW()+$C$5)&lt;&gt;"",50000*SIGN(BF729)*(分析データ!D729-INDEX(分析データ!D:D,ROW()+$C$5)),""),"")</f>
        <v/>
      </c>
      <c r="BI729">
        <f t="shared" ca="1" si="317"/>
        <v>4385000.0000000149</v>
      </c>
      <c r="BJ729">
        <f t="shared" ca="1" si="318"/>
        <v>4385000.0000000149</v>
      </c>
      <c r="BK729">
        <f t="shared" ca="1" si="319"/>
        <v>0</v>
      </c>
      <c r="BL729">
        <f ca="1">IF(ROW()&lt;($C$7+1),"",IFERROR((分析データ!E729-AVERAGE(OFFSET(分析データ!E$1,MAX(1,ROW()-$C$7),0,MIN($C$7,ROW()-1),1)))/STDEV(OFFSET(分析データ!E$1,MAX(1,ROW()-$C$7),0,MIN($C$7,ROW()-1),1)),0))</f>
        <v>0.61921095836491169</v>
      </c>
      <c r="BM729">
        <f t="shared" ca="1" si="320"/>
        <v>0</v>
      </c>
      <c r="BN729" t="str">
        <f ca="1">IF(BM729=1,IF(INDEX(分析データ!$A:$A,ROW()+$C$5)&lt;&gt;"",40000*SIGN(BL729)*(分析データ!E729-INDEX(分析データ!E:E,ROW()+$C$5)),""),"")</f>
        <v/>
      </c>
      <c r="BO729">
        <f t="shared" ca="1" si="321"/>
        <v>4280000.0000000028</v>
      </c>
      <c r="BP729">
        <f t="shared" ca="1" si="322"/>
        <v>4280000.0000000028</v>
      </c>
      <c r="BQ729">
        <f t="shared" ca="1" si="323"/>
        <v>0</v>
      </c>
      <c r="BR729">
        <f ca="1">IF(ROW()&lt;($C$7+1),"",IFERROR((分析データ!F729-AVERAGE(OFFSET(分析データ!F$1,MAX(1,ROW()-$C$7),0,MIN($C$7,ROW()-1),1)))/STDEV(OFFSET(分析データ!F$1,MAX(1,ROW()-$C$7),0,MIN($C$7,ROW()-1),1)),0))</f>
        <v>-1.2512683730912901</v>
      </c>
      <c r="BS729">
        <f t="shared" ca="1" si="324"/>
        <v>0</v>
      </c>
      <c r="BT729" t="str">
        <f ca="1">IF(BS729=1,IF(INDEX(分析データ!$A:$A,ROW()+$C$5)&lt;&gt;"",40000*SIGN(BR729)*(分析データ!F729-INDEX(分析データ!F:F,ROW()+$C$5)),""),"")</f>
        <v/>
      </c>
      <c r="BU729">
        <f t="shared" ca="1" si="325"/>
        <v>14917200.000000004</v>
      </c>
      <c r="BV729">
        <f t="shared" ca="1" si="326"/>
        <v>14917200.000000004</v>
      </c>
      <c r="BW729">
        <f t="shared" ca="1" si="327"/>
        <v>0</v>
      </c>
      <c r="BX729">
        <f ca="1">IF(ROW()&lt;($C$7+1),"",IFERROR((分析データ!G729-AVERAGE(OFFSET(分析データ!G$1,MAX(1,ROW()-$C$7),0,MIN($C$7,ROW()-1),1)))/STDEV(OFFSET(分析データ!G$1,MAX(1,ROW()-$C$7),0,MIN($C$7,ROW()-1),1)),0))</f>
        <v>1.7165453091938625</v>
      </c>
      <c r="BY729">
        <f t="shared" ca="1" si="328"/>
        <v>0</v>
      </c>
      <c r="BZ729" t="str">
        <f ca="1">IF(BY729=1,IF(INDEX(分析データ!$A:$A,ROW()+$C$5)&lt;&gt;"",40000*SIGN(BX729)*(分析データ!G729-INDEX(分析データ!G:G,ROW()+$C$5)),""),"")</f>
        <v/>
      </c>
      <c r="CA729">
        <f t="shared" ca="1" si="329"/>
        <v>-3515452.8662109179</v>
      </c>
      <c r="CB729">
        <f t="shared" ca="1" si="330"/>
        <v>11327520.000000004</v>
      </c>
      <c r="CC729">
        <f t="shared" ca="1" si="331"/>
        <v>-14842972.866210923</v>
      </c>
      <c r="CD729">
        <f t="shared" ca="1" si="332"/>
        <v>0</v>
      </c>
      <c r="CE729">
        <f t="shared" ca="1" si="333"/>
        <v>18141747.133789141</v>
      </c>
      <c r="CF729">
        <f t="shared" ca="1" si="334"/>
        <v>19067197.138671909</v>
      </c>
      <c r="CG729">
        <f t="shared" ca="1" si="335"/>
        <v>-925450.0048827678</v>
      </c>
      <c r="CH729" s="10">
        <f>分析データ!A729</f>
        <v>45992</v>
      </c>
    </row>
    <row r="730" spans="46:86">
      <c r="AT730">
        <f ca="1">IF(ROW()&lt;($C$7+1),"",IFERROR((分析データ!B730-AVERAGE(OFFSET(分析データ!B$1,MAX(1,ROW()-$C$7),0,MIN($C$7,ROW()-1),1)))/STDEV(OFFSET(分析データ!B$1,MAX(1,ROW()-$C$7),0,MIN($C$7,ROW()-1),1)),0))</f>
        <v>-0.90479462912401876</v>
      </c>
      <c r="AU730">
        <f t="shared" ca="1" si="308"/>
        <v>0</v>
      </c>
      <c r="AV730" t="str">
        <f ca="1">IF(AU730=1,IF(INDEX(分析データ!$A:$A,ROW()+$C$5)&lt;&gt;"",80000*SIGN(AT730)*(分析データ!B730-INDEX(分析データ!B:B,ROW()+$C$5)),""),"")</f>
        <v/>
      </c>
      <c r="AW730">
        <f t="shared" ca="1" si="309"/>
        <v>-4999999.9999999925</v>
      </c>
      <c r="AX730">
        <f t="shared" ca="1" si="310"/>
        <v>0</v>
      </c>
      <c r="AY730">
        <f t="shared" ca="1" si="311"/>
        <v>-4999999.9999999925</v>
      </c>
      <c r="AZ730">
        <f ca="1">IF(ROW()&lt;($C$7+1),"",IFERROR((分析データ!C730-AVERAGE(OFFSET(分析データ!C$1,MAX(1,ROW()-$C$7),0,MIN($C$7,ROW()-1),1)))/STDEV(OFFSET(分析データ!C$1,MAX(1,ROW()-$C$7),0,MIN($C$7,ROW()-1),1)),0))</f>
        <v>5.5586529742619809E-2</v>
      </c>
      <c r="BA730">
        <f t="shared" ca="1" si="312"/>
        <v>0</v>
      </c>
      <c r="BB730" t="str">
        <f ca="1">IF(BA730=1,IF(INDEX(分析データ!$A:$A,ROW()+$C$5)&lt;&gt;"",60000*SIGN(AZ730)*(分析データ!C730-INDEX(分析データ!C:C,ROW()+$C$5)),""),"")</f>
        <v/>
      </c>
      <c r="BC730">
        <f t="shared" ca="1" si="313"/>
        <v>3075000.0000000102</v>
      </c>
      <c r="BD730">
        <f t="shared" ca="1" si="314"/>
        <v>3075000.0000000102</v>
      </c>
      <c r="BE730">
        <f t="shared" ca="1" si="315"/>
        <v>0</v>
      </c>
      <c r="BF730">
        <f ca="1">IF(ROW()&lt;($C$7+1),"",IFERROR((分析データ!D730-AVERAGE(OFFSET(分析データ!D$1,MAX(1,ROW()-$C$7),0,MIN($C$7,ROW()-1),1)))/STDEV(OFFSET(分析データ!D$1,MAX(1,ROW()-$C$7),0,MIN($C$7,ROW()-1),1)),0))</f>
        <v>-1.8498645841960133</v>
      </c>
      <c r="BG730">
        <f t="shared" ca="1" si="316"/>
        <v>0</v>
      </c>
      <c r="BH730" t="str">
        <f ca="1">IF(BG730=1,IF(INDEX(分析データ!$A:$A,ROW()+$C$5)&lt;&gt;"",50000*SIGN(BF730)*(分析データ!D730-INDEX(分析データ!D:D,ROW()+$C$5)),""),"")</f>
        <v/>
      </c>
      <c r="BI730">
        <f t="shared" ca="1" si="317"/>
        <v>4385000.0000000149</v>
      </c>
      <c r="BJ730">
        <f t="shared" ca="1" si="318"/>
        <v>4385000.0000000149</v>
      </c>
      <c r="BK730">
        <f t="shared" ca="1" si="319"/>
        <v>0</v>
      </c>
      <c r="BL730">
        <f ca="1">IF(ROW()&lt;($C$7+1),"",IFERROR((分析データ!E730-AVERAGE(OFFSET(分析データ!E$1,MAX(1,ROW()-$C$7),0,MIN($C$7,ROW()-1),1)))/STDEV(OFFSET(分析データ!E$1,MAX(1,ROW()-$C$7),0,MIN($C$7,ROW()-1),1)),0))</f>
        <v>0.69487095926786968</v>
      </c>
      <c r="BM730">
        <f t="shared" ca="1" si="320"/>
        <v>0</v>
      </c>
      <c r="BN730" t="str">
        <f ca="1">IF(BM730=1,IF(INDEX(分析データ!$A:$A,ROW()+$C$5)&lt;&gt;"",40000*SIGN(BL730)*(分析データ!E730-INDEX(分析データ!E:E,ROW()+$C$5)),""),"")</f>
        <v/>
      </c>
      <c r="BO730">
        <f t="shared" ca="1" si="321"/>
        <v>4280000.0000000028</v>
      </c>
      <c r="BP730">
        <f t="shared" ca="1" si="322"/>
        <v>4280000.0000000028</v>
      </c>
      <c r="BQ730">
        <f t="shared" ca="1" si="323"/>
        <v>0</v>
      </c>
      <c r="BR730">
        <f ca="1">IF(ROW()&lt;($C$7+1),"",IFERROR((分析データ!F730-AVERAGE(OFFSET(分析データ!F$1,MAX(1,ROW()-$C$7),0,MIN($C$7,ROW()-1),1)))/STDEV(OFFSET(分析データ!F$1,MAX(1,ROW()-$C$7),0,MIN($C$7,ROW()-1),1)),0))</f>
        <v>-1.191967667090327</v>
      </c>
      <c r="BS730">
        <f t="shared" ca="1" si="324"/>
        <v>0</v>
      </c>
      <c r="BT730" t="str">
        <f ca="1">IF(BS730=1,IF(INDEX(分析データ!$A:$A,ROW()+$C$5)&lt;&gt;"",40000*SIGN(BR730)*(分析データ!F730-INDEX(分析データ!F:F,ROW()+$C$5)),""),"")</f>
        <v/>
      </c>
      <c r="BU730">
        <f t="shared" ca="1" si="325"/>
        <v>14917200.000000004</v>
      </c>
      <c r="BV730">
        <f t="shared" ca="1" si="326"/>
        <v>14917200.000000004</v>
      </c>
      <c r="BW730">
        <f t="shared" ca="1" si="327"/>
        <v>0</v>
      </c>
      <c r="BX730">
        <f ca="1">IF(ROW()&lt;($C$7+1),"",IFERROR((分析データ!G730-AVERAGE(OFFSET(分析データ!G$1,MAX(1,ROW()-$C$7),0,MIN($C$7,ROW()-1),1)))/STDEV(OFFSET(分析データ!G$1,MAX(1,ROW()-$C$7),0,MIN($C$7,ROW()-1),1)),0))</f>
        <v>1.758581276441467</v>
      </c>
      <c r="BY730">
        <f t="shared" ca="1" si="328"/>
        <v>0</v>
      </c>
      <c r="BZ730" t="str">
        <f ca="1">IF(BY730=1,IF(INDEX(分析データ!$A:$A,ROW()+$C$5)&lt;&gt;"",40000*SIGN(BX730)*(分析データ!G730-INDEX(分析データ!G:G,ROW()+$C$5)),""),"")</f>
        <v/>
      </c>
      <c r="CA730">
        <f t="shared" ca="1" si="329"/>
        <v>-3515452.8662109179</v>
      </c>
      <c r="CB730">
        <f t="shared" ca="1" si="330"/>
        <v>11327520.000000004</v>
      </c>
      <c r="CC730">
        <f t="shared" ca="1" si="331"/>
        <v>-14842972.866210923</v>
      </c>
      <c r="CD730">
        <f t="shared" ca="1" si="332"/>
        <v>0</v>
      </c>
      <c r="CE730">
        <f t="shared" ca="1" si="333"/>
        <v>18141747.133789141</v>
      </c>
      <c r="CF730">
        <f t="shared" ca="1" si="334"/>
        <v>19067197.138671909</v>
      </c>
      <c r="CG730">
        <f t="shared" ca="1" si="335"/>
        <v>-925450.0048827678</v>
      </c>
      <c r="CH730" s="10">
        <f>分析データ!A730</f>
        <v>45993</v>
      </c>
    </row>
    <row r="731" spans="46:86">
      <c r="AT731">
        <f ca="1">IF(ROW()&lt;($C$7+1),"",IFERROR((分析データ!B731-AVERAGE(OFFSET(分析データ!B$1,MAX(1,ROW()-$C$7),0,MIN($C$7,ROW()-1),1)))/STDEV(OFFSET(分析データ!B$1,MAX(1,ROW()-$C$7),0,MIN($C$7,ROW()-1),1)),0))</f>
        <v>-1.3240898531869796</v>
      </c>
      <c r="AU731">
        <f t="shared" ca="1" si="308"/>
        <v>0</v>
      </c>
      <c r="AV731" t="str">
        <f ca="1">IF(AU731=1,IF(INDEX(分析データ!$A:$A,ROW()+$C$5)&lt;&gt;"",80000*SIGN(AT731)*(分析データ!B731-INDEX(分析データ!B:B,ROW()+$C$5)),""),"")</f>
        <v/>
      </c>
      <c r="AW731">
        <f t="shared" ca="1" si="309"/>
        <v>-4999999.9999999925</v>
      </c>
      <c r="AX731">
        <f t="shared" ca="1" si="310"/>
        <v>0</v>
      </c>
      <c r="AY731">
        <f t="shared" ca="1" si="311"/>
        <v>-4999999.9999999925</v>
      </c>
      <c r="AZ731">
        <f ca="1">IF(ROW()&lt;($C$7+1),"",IFERROR((分析データ!C731-AVERAGE(OFFSET(分析データ!C$1,MAX(1,ROW()-$C$7),0,MIN($C$7,ROW()-1),1)))/STDEV(OFFSET(分析データ!C$1,MAX(1,ROW()-$C$7),0,MIN($C$7,ROW()-1),1)),0))</f>
        <v>0.18905194369715556</v>
      </c>
      <c r="BA731">
        <f t="shared" ca="1" si="312"/>
        <v>0</v>
      </c>
      <c r="BB731" t="str">
        <f ca="1">IF(BA731=1,IF(INDEX(分析データ!$A:$A,ROW()+$C$5)&lt;&gt;"",60000*SIGN(AZ731)*(分析データ!C731-INDEX(分析データ!C:C,ROW()+$C$5)),""),"")</f>
        <v/>
      </c>
      <c r="BC731">
        <f t="shared" ca="1" si="313"/>
        <v>3075000.0000000102</v>
      </c>
      <c r="BD731">
        <f t="shared" ca="1" si="314"/>
        <v>3075000.0000000102</v>
      </c>
      <c r="BE731">
        <f t="shared" ca="1" si="315"/>
        <v>0</v>
      </c>
      <c r="BF731">
        <f ca="1">IF(ROW()&lt;($C$7+1),"",IFERROR((分析データ!D731-AVERAGE(OFFSET(分析データ!D$1,MAX(1,ROW()-$C$7),0,MIN($C$7,ROW()-1),1)))/STDEV(OFFSET(分析データ!D$1,MAX(1,ROW()-$C$7),0,MIN($C$7,ROW()-1),1)),0))</f>
        <v>-2.0114118406155379</v>
      </c>
      <c r="BG731">
        <f t="shared" ca="1" si="316"/>
        <v>1</v>
      </c>
      <c r="BH731">
        <f ca="1">IF(BG731=1,IF(INDEX(分析データ!$A:$A,ROW()+$C$5)&lt;&gt;"",50000*SIGN(BF731)*(分析データ!D731-INDEX(分析データ!D:D,ROW()+$C$5)),""),"")</f>
        <v>85000.000000005122</v>
      </c>
      <c r="BI731">
        <f t="shared" ca="1" si="317"/>
        <v>4470000.0000000205</v>
      </c>
      <c r="BJ731">
        <f t="shared" ca="1" si="318"/>
        <v>4470000.0000000205</v>
      </c>
      <c r="BK731">
        <f t="shared" ca="1" si="319"/>
        <v>0</v>
      </c>
      <c r="BL731">
        <f ca="1">IF(ROW()&lt;($C$7+1),"",IFERROR((分析データ!E731-AVERAGE(OFFSET(分析データ!E$1,MAX(1,ROW()-$C$7),0,MIN($C$7,ROW()-1),1)))/STDEV(OFFSET(分析データ!E$1,MAX(1,ROW()-$C$7),0,MIN($C$7,ROW()-1),1)),0))</f>
        <v>0.77079329272933705</v>
      </c>
      <c r="BM731">
        <f t="shared" ca="1" si="320"/>
        <v>0</v>
      </c>
      <c r="BN731" t="str">
        <f ca="1">IF(BM731=1,IF(INDEX(分析データ!$A:$A,ROW()+$C$5)&lt;&gt;"",40000*SIGN(BL731)*(分析データ!E731-INDEX(分析データ!E:E,ROW()+$C$5)),""),"")</f>
        <v/>
      </c>
      <c r="BO731">
        <f t="shared" ca="1" si="321"/>
        <v>4280000.0000000028</v>
      </c>
      <c r="BP731">
        <f t="shared" ca="1" si="322"/>
        <v>4280000.0000000028</v>
      </c>
      <c r="BQ731">
        <f t="shared" ca="1" si="323"/>
        <v>0</v>
      </c>
      <c r="BR731">
        <f ca="1">IF(ROW()&lt;($C$7+1),"",IFERROR((分析データ!F731-AVERAGE(OFFSET(分析データ!F$1,MAX(1,ROW()-$C$7),0,MIN($C$7,ROW()-1),1)))/STDEV(OFFSET(分析データ!F$1,MAX(1,ROW()-$C$7),0,MIN($C$7,ROW()-1),1)),0))</f>
        <v>-1.1116210773530142</v>
      </c>
      <c r="BS731">
        <f t="shared" ca="1" si="324"/>
        <v>0</v>
      </c>
      <c r="BT731" t="str">
        <f ca="1">IF(BS731=1,IF(INDEX(分析データ!$A:$A,ROW()+$C$5)&lt;&gt;"",40000*SIGN(BR731)*(分析データ!F731-INDEX(分析データ!F:F,ROW()+$C$5)),""),"")</f>
        <v/>
      </c>
      <c r="BU731">
        <f t="shared" ca="1" si="325"/>
        <v>14917200.000000004</v>
      </c>
      <c r="BV731">
        <f t="shared" ca="1" si="326"/>
        <v>14917200.000000004</v>
      </c>
      <c r="BW731">
        <f t="shared" ca="1" si="327"/>
        <v>0</v>
      </c>
      <c r="BX731">
        <f ca="1">IF(ROW()&lt;($C$7+1),"",IFERROR((分析データ!G731-AVERAGE(OFFSET(分析データ!G$1,MAX(1,ROW()-$C$7),0,MIN($C$7,ROW()-1),1)))/STDEV(OFFSET(分析データ!G$1,MAX(1,ROW()-$C$7),0,MIN($C$7,ROW()-1),1)),0))</f>
        <v>1.7351276503342075</v>
      </c>
      <c r="BY731">
        <f t="shared" ca="1" si="328"/>
        <v>0</v>
      </c>
      <c r="BZ731" t="str">
        <f ca="1">IF(BY731=1,IF(INDEX(分析データ!$A:$A,ROW()+$C$5)&lt;&gt;"",40000*SIGN(BX731)*(分析データ!G731-INDEX(分析データ!G:G,ROW()+$C$5)),""),"")</f>
        <v/>
      </c>
      <c r="CA731">
        <f t="shared" ca="1" si="329"/>
        <v>-3515452.8662109179</v>
      </c>
      <c r="CB731">
        <f t="shared" ca="1" si="330"/>
        <v>11327520.000000004</v>
      </c>
      <c r="CC731">
        <f t="shared" ca="1" si="331"/>
        <v>-14842972.866210923</v>
      </c>
      <c r="CD731">
        <f t="shared" ca="1" si="332"/>
        <v>85000.000000005122</v>
      </c>
      <c r="CE731">
        <f t="shared" ca="1" si="333"/>
        <v>18226747.133789144</v>
      </c>
      <c r="CF731">
        <f t="shared" ca="1" si="334"/>
        <v>19067197.138671909</v>
      </c>
      <c r="CG731">
        <f t="shared" ca="1" si="335"/>
        <v>-840450.00488276407</v>
      </c>
      <c r="CH731" s="10">
        <f>分析データ!A731</f>
        <v>45994</v>
      </c>
    </row>
    <row r="732" spans="46:86">
      <c r="AT732">
        <f ca="1">IF(ROW()&lt;($C$7+1),"",IFERROR((分析データ!B732-AVERAGE(OFFSET(分析データ!B$1,MAX(1,ROW()-$C$7),0,MIN($C$7,ROW()-1),1)))/STDEV(OFFSET(分析データ!B$1,MAX(1,ROW()-$C$7),0,MIN($C$7,ROW()-1),1)),0))</f>
        <v>-0.77790975749583491</v>
      </c>
      <c r="AU732">
        <f t="shared" ca="1" si="308"/>
        <v>0</v>
      </c>
      <c r="AV732" t="str">
        <f ca="1">IF(AU732=1,IF(INDEX(分析データ!$A:$A,ROW()+$C$5)&lt;&gt;"",80000*SIGN(AT732)*(分析データ!B732-INDEX(分析データ!B:B,ROW()+$C$5)),""),"")</f>
        <v/>
      </c>
      <c r="AW732">
        <f t="shared" ca="1" si="309"/>
        <v>-4999999.9999999925</v>
      </c>
      <c r="AX732">
        <f t="shared" ca="1" si="310"/>
        <v>0</v>
      </c>
      <c r="AY732">
        <f t="shared" ca="1" si="311"/>
        <v>-4999999.9999999925</v>
      </c>
      <c r="AZ732">
        <f ca="1">IF(ROW()&lt;($C$7+1),"",IFERROR((分析データ!C732-AVERAGE(OFFSET(分析データ!C$1,MAX(1,ROW()-$C$7),0,MIN($C$7,ROW()-1),1)))/STDEV(OFFSET(分析データ!C$1,MAX(1,ROW()-$C$7),0,MIN($C$7,ROW()-1),1)),0))</f>
        <v>0.92261905958530932</v>
      </c>
      <c r="BA732">
        <f t="shared" ca="1" si="312"/>
        <v>0</v>
      </c>
      <c r="BB732" t="str">
        <f ca="1">IF(BA732=1,IF(INDEX(分析データ!$A:$A,ROW()+$C$5)&lt;&gt;"",60000*SIGN(AZ732)*(分析データ!C732-INDEX(分析データ!C:C,ROW()+$C$5)),""),"")</f>
        <v/>
      </c>
      <c r="BC732">
        <f t="shared" ca="1" si="313"/>
        <v>3075000.0000000102</v>
      </c>
      <c r="BD732">
        <f t="shared" ca="1" si="314"/>
        <v>3075000.0000000102</v>
      </c>
      <c r="BE732">
        <f t="shared" ca="1" si="315"/>
        <v>0</v>
      </c>
      <c r="BF732">
        <f ca="1">IF(ROW()&lt;($C$7+1),"",IFERROR((分析データ!D732-AVERAGE(OFFSET(分析データ!D$1,MAX(1,ROW()-$C$7),0,MIN($C$7,ROW()-1),1)))/STDEV(OFFSET(分析データ!D$1,MAX(1,ROW()-$C$7),0,MIN($C$7,ROW()-1),1)),0))</f>
        <v>-1.9640247667773298</v>
      </c>
      <c r="BG732">
        <f t="shared" ca="1" si="316"/>
        <v>0</v>
      </c>
      <c r="BH732" t="str">
        <f ca="1">IF(BG732=1,IF(INDEX(分析データ!$A:$A,ROW()+$C$5)&lt;&gt;"",50000*SIGN(BF732)*(分析データ!D732-INDEX(分析データ!D:D,ROW()+$C$5)),""),"")</f>
        <v/>
      </c>
      <c r="BI732">
        <f t="shared" ca="1" si="317"/>
        <v>4470000.0000000205</v>
      </c>
      <c r="BJ732">
        <f t="shared" ca="1" si="318"/>
        <v>4470000.0000000205</v>
      </c>
      <c r="BK732">
        <f t="shared" ca="1" si="319"/>
        <v>0</v>
      </c>
      <c r="BL732">
        <f ca="1">IF(ROW()&lt;($C$7+1),"",IFERROR((分析データ!E732-AVERAGE(OFFSET(分析データ!E$1,MAX(1,ROW()-$C$7),0,MIN($C$7,ROW()-1),1)))/STDEV(OFFSET(分析データ!E$1,MAX(1,ROW()-$C$7),0,MIN($C$7,ROW()-1),1)),0))</f>
        <v>0.68212716984338961</v>
      </c>
      <c r="BM732">
        <f t="shared" ca="1" si="320"/>
        <v>0</v>
      </c>
      <c r="BN732" t="str">
        <f ca="1">IF(BM732=1,IF(INDEX(分析データ!$A:$A,ROW()+$C$5)&lt;&gt;"",40000*SIGN(BL732)*(分析データ!E732-INDEX(分析データ!E:E,ROW()+$C$5)),""),"")</f>
        <v/>
      </c>
      <c r="BO732">
        <f t="shared" ca="1" si="321"/>
        <v>4280000.0000000028</v>
      </c>
      <c r="BP732">
        <f t="shared" ca="1" si="322"/>
        <v>4280000.0000000028</v>
      </c>
      <c r="BQ732">
        <f t="shared" ca="1" si="323"/>
        <v>0</v>
      </c>
      <c r="BR732">
        <f ca="1">IF(ROW()&lt;($C$7+1),"",IFERROR((分析データ!F732-AVERAGE(OFFSET(分析データ!F$1,MAX(1,ROW()-$C$7),0,MIN($C$7,ROW()-1),1)))/STDEV(OFFSET(分析データ!F$1,MAX(1,ROW()-$C$7),0,MIN($C$7,ROW()-1),1)),0))</f>
        <v>-1.0147815350695213</v>
      </c>
      <c r="BS732">
        <f t="shared" ca="1" si="324"/>
        <v>0</v>
      </c>
      <c r="BT732" t="str">
        <f ca="1">IF(BS732=1,IF(INDEX(分析データ!$A:$A,ROW()+$C$5)&lt;&gt;"",40000*SIGN(BR732)*(分析データ!F732-INDEX(分析データ!F:F,ROW()+$C$5)),""),"")</f>
        <v/>
      </c>
      <c r="BU732">
        <f t="shared" ca="1" si="325"/>
        <v>14917200.000000004</v>
      </c>
      <c r="BV732">
        <f t="shared" ca="1" si="326"/>
        <v>14917200.000000004</v>
      </c>
      <c r="BW732">
        <f t="shared" ca="1" si="327"/>
        <v>0</v>
      </c>
      <c r="BX732">
        <f ca="1">IF(ROW()&lt;($C$7+1),"",IFERROR((分析データ!G732-AVERAGE(OFFSET(分析データ!G$1,MAX(1,ROW()-$C$7),0,MIN($C$7,ROW()-1),1)))/STDEV(OFFSET(分析データ!G$1,MAX(1,ROW()-$C$7),0,MIN($C$7,ROW()-1),1)),0))</f>
        <v>1.6450944813832353</v>
      </c>
      <c r="BY732">
        <f t="shared" ca="1" si="328"/>
        <v>0</v>
      </c>
      <c r="BZ732" t="str">
        <f ca="1">IF(BY732=1,IF(INDEX(分析データ!$A:$A,ROW()+$C$5)&lt;&gt;"",40000*SIGN(BX732)*(分析データ!G732-INDEX(分析データ!G:G,ROW()+$C$5)),""),"")</f>
        <v/>
      </c>
      <c r="CA732">
        <f t="shared" ca="1" si="329"/>
        <v>-3515452.8662109179</v>
      </c>
      <c r="CB732">
        <f t="shared" ca="1" si="330"/>
        <v>11327520.000000004</v>
      </c>
      <c r="CC732">
        <f t="shared" ca="1" si="331"/>
        <v>-14842972.866210923</v>
      </c>
      <c r="CD732">
        <f t="shared" ca="1" si="332"/>
        <v>0</v>
      </c>
      <c r="CE732">
        <f t="shared" ca="1" si="333"/>
        <v>18226747.133789144</v>
      </c>
      <c r="CF732">
        <f t="shared" ca="1" si="334"/>
        <v>19067197.138671909</v>
      </c>
      <c r="CG732">
        <f t="shared" ca="1" si="335"/>
        <v>-840450.00488276407</v>
      </c>
      <c r="CH732" s="10">
        <f>分析データ!A732</f>
        <v>45995</v>
      </c>
    </row>
    <row r="733" spans="46:86">
      <c r="AT733">
        <f ca="1">IF(ROW()&lt;($C$7+1),"",IFERROR((分析データ!B733-AVERAGE(OFFSET(分析データ!B$1,MAX(1,ROW()-$C$7),0,MIN($C$7,ROW()-1),1)))/STDEV(OFFSET(分析データ!B$1,MAX(1,ROW()-$C$7),0,MIN($C$7,ROW()-1),1)),0))</f>
        <v>-0.92754589325750347</v>
      </c>
      <c r="AU733">
        <f t="shared" ca="1" si="308"/>
        <v>0</v>
      </c>
      <c r="AV733" t="str">
        <f ca="1">IF(AU733=1,IF(INDEX(分析データ!$A:$A,ROW()+$C$5)&lt;&gt;"",80000*SIGN(AT733)*(分析データ!B733-INDEX(分析データ!B:B,ROW()+$C$5)),""),"")</f>
        <v/>
      </c>
      <c r="AW733">
        <f t="shared" ca="1" si="309"/>
        <v>-4999999.9999999925</v>
      </c>
      <c r="AX733">
        <f t="shared" ca="1" si="310"/>
        <v>0</v>
      </c>
      <c r="AY733">
        <f t="shared" ca="1" si="311"/>
        <v>-4999999.9999999925</v>
      </c>
      <c r="AZ733">
        <f ca="1">IF(ROW()&lt;($C$7+1),"",IFERROR((分析データ!C733-AVERAGE(OFFSET(分析データ!C$1,MAX(1,ROW()-$C$7),0,MIN($C$7,ROW()-1),1)))/STDEV(OFFSET(分析データ!C$1,MAX(1,ROW()-$C$7),0,MIN($C$7,ROW()-1),1)),0))</f>
        <v>1.065320697722693</v>
      </c>
      <c r="BA733">
        <f t="shared" ca="1" si="312"/>
        <v>0</v>
      </c>
      <c r="BB733" t="str">
        <f ca="1">IF(BA733=1,IF(INDEX(分析データ!$A:$A,ROW()+$C$5)&lt;&gt;"",60000*SIGN(AZ733)*(分析データ!C733-INDEX(分析データ!C:C,ROW()+$C$5)),""),"")</f>
        <v/>
      </c>
      <c r="BC733">
        <f t="shared" ca="1" si="313"/>
        <v>3075000.0000000102</v>
      </c>
      <c r="BD733">
        <f t="shared" ca="1" si="314"/>
        <v>3075000.0000000102</v>
      </c>
      <c r="BE733">
        <f t="shared" ca="1" si="315"/>
        <v>0</v>
      </c>
      <c r="BF733">
        <f ca="1">IF(ROW()&lt;($C$7+1),"",IFERROR((分析データ!D733-AVERAGE(OFFSET(分析データ!D$1,MAX(1,ROW()-$C$7),0,MIN($C$7,ROW()-1),1)))/STDEV(OFFSET(分析データ!D$1,MAX(1,ROW()-$C$7),0,MIN($C$7,ROW()-1),1)),0))</f>
        <v>-1.8894233273093142</v>
      </c>
      <c r="BG733">
        <f t="shared" ca="1" si="316"/>
        <v>0</v>
      </c>
      <c r="BH733" t="str">
        <f ca="1">IF(BG733=1,IF(INDEX(分析データ!$A:$A,ROW()+$C$5)&lt;&gt;"",50000*SIGN(BF733)*(分析データ!D733-INDEX(分析データ!D:D,ROW()+$C$5)),""),"")</f>
        <v/>
      </c>
      <c r="BI733">
        <f t="shared" ca="1" si="317"/>
        <v>4470000.0000000205</v>
      </c>
      <c r="BJ733">
        <f t="shared" ca="1" si="318"/>
        <v>4470000.0000000205</v>
      </c>
      <c r="BK733">
        <f t="shared" ca="1" si="319"/>
        <v>0</v>
      </c>
      <c r="BL733">
        <f ca="1">IF(ROW()&lt;($C$7+1),"",IFERROR((分析データ!E733-AVERAGE(OFFSET(分析データ!E$1,MAX(1,ROW()-$C$7),0,MIN($C$7,ROW()-1),1)))/STDEV(OFFSET(分析データ!E$1,MAX(1,ROW()-$C$7),0,MIN($C$7,ROW()-1),1)),0))</f>
        <v>0.59310174760537615</v>
      </c>
      <c r="BM733">
        <f t="shared" ca="1" si="320"/>
        <v>0</v>
      </c>
      <c r="BN733" t="str">
        <f ca="1">IF(BM733=1,IF(INDEX(分析データ!$A:$A,ROW()+$C$5)&lt;&gt;"",40000*SIGN(BL733)*(分析データ!E733-INDEX(分析データ!E:E,ROW()+$C$5)),""),"")</f>
        <v/>
      </c>
      <c r="BO733">
        <f t="shared" ca="1" si="321"/>
        <v>4280000.0000000028</v>
      </c>
      <c r="BP733">
        <f t="shared" ca="1" si="322"/>
        <v>4280000.0000000028</v>
      </c>
      <c r="BQ733">
        <f t="shared" ca="1" si="323"/>
        <v>0</v>
      </c>
      <c r="BR733">
        <f ca="1">IF(ROW()&lt;($C$7+1),"",IFERROR((分析データ!F733-AVERAGE(OFFSET(分析データ!F$1,MAX(1,ROW()-$C$7),0,MIN($C$7,ROW()-1),1)))/STDEV(OFFSET(分析データ!F$1,MAX(1,ROW()-$C$7),0,MIN($C$7,ROW()-1),1)),0))</f>
        <v>-0.97431357218395986</v>
      </c>
      <c r="BS733">
        <f t="shared" ca="1" si="324"/>
        <v>0</v>
      </c>
      <c r="BT733" t="str">
        <f ca="1">IF(BS733=1,IF(INDEX(分析データ!$A:$A,ROW()+$C$5)&lt;&gt;"",40000*SIGN(BR733)*(分析データ!F733-INDEX(分析データ!F:F,ROW()+$C$5)),""),"")</f>
        <v/>
      </c>
      <c r="BU733">
        <f t="shared" ca="1" si="325"/>
        <v>14917200.000000004</v>
      </c>
      <c r="BV733">
        <f t="shared" ca="1" si="326"/>
        <v>14917200.000000004</v>
      </c>
      <c r="BW733">
        <f t="shared" ca="1" si="327"/>
        <v>0</v>
      </c>
      <c r="BX733">
        <f ca="1">IF(ROW()&lt;($C$7+1),"",IFERROR((分析データ!G733-AVERAGE(OFFSET(分析データ!G$1,MAX(1,ROW()-$C$7),0,MIN($C$7,ROW()-1),1)))/STDEV(OFFSET(分析データ!G$1,MAX(1,ROW()-$C$7),0,MIN($C$7,ROW()-1),1)),0))</f>
        <v>1.6162995523157055</v>
      </c>
      <c r="BY733">
        <f t="shared" ca="1" si="328"/>
        <v>0</v>
      </c>
      <c r="BZ733" t="str">
        <f ca="1">IF(BY733=1,IF(INDEX(分析データ!$A:$A,ROW()+$C$5)&lt;&gt;"",40000*SIGN(BX733)*(分析データ!G733-INDEX(分析データ!G:G,ROW()+$C$5)),""),"")</f>
        <v/>
      </c>
      <c r="CA733">
        <f t="shared" ca="1" si="329"/>
        <v>-3515452.8662109179</v>
      </c>
      <c r="CB733">
        <f t="shared" ca="1" si="330"/>
        <v>11327520.000000004</v>
      </c>
      <c r="CC733">
        <f t="shared" ca="1" si="331"/>
        <v>-14842972.866210923</v>
      </c>
      <c r="CD733">
        <f t="shared" ca="1" si="332"/>
        <v>0</v>
      </c>
      <c r="CE733">
        <f t="shared" ca="1" si="333"/>
        <v>18226747.133789144</v>
      </c>
      <c r="CF733">
        <f t="shared" ca="1" si="334"/>
        <v>19067197.138671909</v>
      </c>
      <c r="CG733">
        <f t="shared" ca="1" si="335"/>
        <v>-840450.00488276407</v>
      </c>
      <c r="CH733" s="10">
        <f>分析データ!A733</f>
        <v>45996</v>
      </c>
    </row>
    <row r="734" spans="46:86">
      <c r="AT734">
        <f ca="1">IF(ROW()&lt;($C$7+1),"",IFERROR((分析データ!B734-AVERAGE(OFFSET(分析データ!B$1,MAX(1,ROW()-$C$7),0,MIN($C$7,ROW()-1),1)))/STDEV(OFFSET(分析データ!B$1,MAX(1,ROW()-$C$7),0,MIN($C$7,ROW()-1),1)),0))</f>
        <v>-0.51329729153312209</v>
      </c>
      <c r="AU734">
        <f t="shared" ca="1" si="308"/>
        <v>0</v>
      </c>
      <c r="AV734" t="str">
        <f ca="1">IF(AU734=1,IF(INDEX(分析データ!$A:$A,ROW()+$C$5)&lt;&gt;"",80000*SIGN(AT734)*(分析データ!B734-INDEX(分析データ!B:B,ROW()+$C$5)),""),"")</f>
        <v/>
      </c>
      <c r="AW734">
        <f t="shared" ca="1" si="309"/>
        <v>-4999999.9999999925</v>
      </c>
      <c r="AX734">
        <f t="shared" ca="1" si="310"/>
        <v>0</v>
      </c>
      <c r="AY734">
        <f t="shared" ca="1" si="311"/>
        <v>-4999999.9999999925</v>
      </c>
      <c r="AZ734">
        <f ca="1">IF(ROW()&lt;($C$7+1),"",IFERROR((分析データ!C734-AVERAGE(OFFSET(分析データ!C$1,MAX(1,ROW()-$C$7),0,MIN($C$7,ROW()-1),1)))/STDEV(OFFSET(分析データ!C$1,MAX(1,ROW()-$C$7),0,MIN($C$7,ROW()-1),1)),0))</f>
        <v>1.028781837218991</v>
      </c>
      <c r="BA734">
        <f t="shared" ca="1" si="312"/>
        <v>0</v>
      </c>
      <c r="BB734" t="str">
        <f ca="1">IF(BA734=1,IF(INDEX(分析データ!$A:$A,ROW()+$C$5)&lt;&gt;"",60000*SIGN(AZ734)*(分析データ!C734-INDEX(分析データ!C:C,ROW()+$C$5)),""),"")</f>
        <v/>
      </c>
      <c r="BC734">
        <f t="shared" ca="1" si="313"/>
        <v>3075000.0000000102</v>
      </c>
      <c r="BD734">
        <f t="shared" ca="1" si="314"/>
        <v>3075000.0000000102</v>
      </c>
      <c r="BE734">
        <f t="shared" ca="1" si="315"/>
        <v>0</v>
      </c>
      <c r="BF734">
        <f ca="1">IF(ROW()&lt;($C$7+1),"",IFERROR((分析データ!D734-AVERAGE(OFFSET(分析データ!D$1,MAX(1,ROW()-$C$7),0,MIN($C$7,ROW()-1),1)))/STDEV(OFFSET(分析データ!D$1,MAX(1,ROW()-$C$7),0,MIN($C$7,ROW()-1),1)),0))</f>
        <v>-1.8256149126077366</v>
      </c>
      <c r="BG734">
        <f t="shared" ca="1" si="316"/>
        <v>0</v>
      </c>
      <c r="BH734" t="str">
        <f ca="1">IF(BG734=1,IF(INDEX(分析データ!$A:$A,ROW()+$C$5)&lt;&gt;"",50000*SIGN(BF734)*(分析データ!D734-INDEX(分析データ!D:D,ROW()+$C$5)),""),"")</f>
        <v/>
      </c>
      <c r="BI734">
        <f t="shared" ca="1" si="317"/>
        <v>4470000.0000000205</v>
      </c>
      <c r="BJ734">
        <f t="shared" ca="1" si="318"/>
        <v>4470000.0000000205</v>
      </c>
      <c r="BK734">
        <f t="shared" ca="1" si="319"/>
        <v>0</v>
      </c>
      <c r="BL734">
        <f ca="1">IF(ROW()&lt;($C$7+1),"",IFERROR((分析データ!E734-AVERAGE(OFFSET(分析データ!E$1,MAX(1,ROW()-$C$7),0,MIN($C$7,ROW()-1),1)))/STDEV(OFFSET(分析データ!E$1,MAX(1,ROW()-$C$7),0,MIN($C$7,ROW()-1),1)),0))</f>
        <v>0.58706912620438423</v>
      </c>
      <c r="BM734">
        <f t="shared" ca="1" si="320"/>
        <v>0</v>
      </c>
      <c r="BN734" t="str">
        <f ca="1">IF(BM734=1,IF(INDEX(分析データ!$A:$A,ROW()+$C$5)&lt;&gt;"",40000*SIGN(BL734)*(分析データ!E734-INDEX(分析データ!E:E,ROW()+$C$5)),""),"")</f>
        <v/>
      </c>
      <c r="BO734">
        <f t="shared" ca="1" si="321"/>
        <v>4280000.0000000028</v>
      </c>
      <c r="BP734">
        <f t="shared" ca="1" si="322"/>
        <v>4280000.0000000028</v>
      </c>
      <c r="BQ734">
        <f t="shared" ca="1" si="323"/>
        <v>0</v>
      </c>
      <c r="BR734">
        <f ca="1">IF(ROW()&lt;($C$7+1),"",IFERROR((分析データ!F734-AVERAGE(OFFSET(分析データ!F$1,MAX(1,ROW()-$C$7),0,MIN($C$7,ROW()-1),1)))/STDEV(OFFSET(分析データ!F$1,MAX(1,ROW()-$C$7),0,MIN($C$7,ROW()-1),1)),0))</f>
        <v>-1.0017487287172404</v>
      </c>
      <c r="BS734">
        <f t="shared" ca="1" si="324"/>
        <v>0</v>
      </c>
      <c r="BT734" t="str">
        <f ca="1">IF(BS734=1,IF(INDEX(分析データ!$A:$A,ROW()+$C$5)&lt;&gt;"",40000*SIGN(BR734)*(分析データ!F734-INDEX(分析データ!F:F,ROW()+$C$5)),""),"")</f>
        <v/>
      </c>
      <c r="BU734">
        <f t="shared" ca="1" si="325"/>
        <v>14917200.000000004</v>
      </c>
      <c r="BV734">
        <f t="shared" ca="1" si="326"/>
        <v>14917200.000000004</v>
      </c>
      <c r="BW734">
        <f t="shared" ca="1" si="327"/>
        <v>0</v>
      </c>
      <c r="BX734">
        <f ca="1">IF(ROW()&lt;($C$7+1),"",IFERROR((分析データ!G734-AVERAGE(OFFSET(分析データ!G$1,MAX(1,ROW()-$C$7),0,MIN($C$7,ROW()-1),1)))/STDEV(OFFSET(分析データ!G$1,MAX(1,ROW()-$C$7),0,MIN($C$7,ROW()-1),1)),0))</f>
        <v>1.571129044583659</v>
      </c>
      <c r="BY734">
        <f t="shared" ca="1" si="328"/>
        <v>0</v>
      </c>
      <c r="BZ734" t="str">
        <f ca="1">IF(BY734=1,IF(INDEX(分析データ!$A:$A,ROW()+$C$5)&lt;&gt;"",40000*SIGN(BX734)*(分析データ!G734-INDEX(分析データ!G:G,ROW()+$C$5)),""),"")</f>
        <v/>
      </c>
      <c r="CA734">
        <f t="shared" ca="1" si="329"/>
        <v>-3515452.8662109179</v>
      </c>
      <c r="CB734">
        <f t="shared" ca="1" si="330"/>
        <v>11327520.000000004</v>
      </c>
      <c r="CC734">
        <f t="shared" ca="1" si="331"/>
        <v>-14842972.866210923</v>
      </c>
      <c r="CD734">
        <f t="shared" ca="1" si="332"/>
        <v>0</v>
      </c>
      <c r="CE734">
        <f t="shared" ca="1" si="333"/>
        <v>18226747.133789144</v>
      </c>
      <c r="CF734">
        <f t="shared" ca="1" si="334"/>
        <v>19067197.138671909</v>
      </c>
      <c r="CG734">
        <f t="shared" ca="1" si="335"/>
        <v>-840450.00488276407</v>
      </c>
      <c r="CH734" s="10">
        <f>分析データ!A734</f>
        <v>45999</v>
      </c>
    </row>
    <row r="735" spans="46:86">
      <c r="AT735">
        <f ca="1">IF(ROW()&lt;($C$7+1),"",IFERROR((分析データ!B735-AVERAGE(OFFSET(分析データ!B$1,MAX(1,ROW()-$C$7),0,MIN($C$7,ROW()-1),1)))/STDEV(OFFSET(分析データ!B$1,MAX(1,ROW()-$C$7),0,MIN($C$7,ROW()-1),1)),0))</f>
        <v>-0.65854535591332686</v>
      </c>
      <c r="AU735">
        <f t="shared" ca="1" si="308"/>
        <v>0</v>
      </c>
      <c r="AV735" t="str">
        <f ca="1">IF(AU735=1,IF(INDEX(分析データ!$A:$A,ROW()+$C$5)&lt;&gt;"",80000*SIGN(AT735)*(分析データ!B735-INDEX(分析データ!B:B,ROW()+$C$5)),""),"")</f>
        <v/>
      </c>
      <c r="AW735">
        <f t="shared" ca="1" si="309"/>
        <v>-4999999.9999999925</v>
      </c>
      <c r="AX735">
        <f t="shared" ca="1" si="310"/>
        <v>0</v>
      </c>
      <c r="AY735">
        <f t="shared" ca="1" si="311"/>
        <v>-4999999.9999999925</v>
      </c>
      <c r="AZ735">
        <f ca="1">IF(ROW()&lt;($C$7+1),"",IFERROR((分析データ!C735-AVERAGE(OFFSET(分析データ!C$1,MAX(1,ROW()-$C$7),0,MIN($C$7,ROW()-1),1)))/STDEV(OFFSET(分析データ!C$1,MAX(1,ROW()-$C$7),0,MIN($C$7,ROW()-1),1)),0))</f>
        <v>0.94989071918285495</v>
      </c>
      <c r="BA735">
        <f t="shared" ca="1" si="312"/>
        <v>0</v>
      </c>
      <c r="BB735" t="str">
        <f ca="1">IF(BA735=1,IF(INDEX(分析データ!$A:$A,ROW()+$C$5)&lt;&gt;"",60000*SIGN(AZ735)*(分析データ!C735-INDEX(分析データ!C:C,ROW()+$C$5)),""),"")</f>
        <v/>
      </c>
      <c r="BC735">
        <f t="shared" ca="1" si="313"/>
        <v>3075000.0000000102</v>
      </c>
      <c r="BD735">
        <f t="shared" ca="1" si="314"/>
        <v>3075000.0000000102</v>
      </c>
      <c r="BE735">
        <f t="shared" ca="1" si="315"/>
        <v>0</v>
      </c>
      <c r="BF735">
        <f ca="1">IF(ROW()&lt;($C$7+1),"",IFERROR((分析データ!D735-AVERAGE(OFFSET(分析データ!D$1,MAX(1,ROW()-$C$7),0,MIN($C$7,ROW()-1),1)))/STDEV(OFFSET(分析データ!D$1,MAX(1,ROW()-$C$7),0,MIN($C$7,ROW()-1),1)),0))</f>
        <v>-1.7661500202887732</v>
      </c>
      <c r="BG735">
        <f t="shared" ca="1" si="316"/>
        <v>0</v>
      </c>
      <c r="BH735" t="str">
        <f ca="1">IF(BG735=1,IF(INDEX(分析データ!$A:$A,ROW()+$C$5)&lt;&gt;"",50000*SIGN(BF735)*(分析データ!D735-INDEX(分析データ!D:D,ROW()+$C$5)),""),"")</f>
        <v/>
      </c>
      <c r="BI735">
        <f t="shared" ca="1" si="317"/>
        <v>4470000.0000000205</v>
      </c>
      <c r="BJ735">
        <f t="shared" ca="1" si="318"/>
        <v>4470000.0000000205</v>
      </c>
      <c r="BK735">
        <f t="shared" ca="1" si="319"/>
        <v>0</v>
      </c>
      <c r="BL735">
        <f ca="1">IF(ROW()&lt;($C$7+1),"",IFERROR((分析データ!E735-AVERAGE(OFFSET(分析データ!E$1,MAX(1,ROW()-$C$7),0,MIN($C$7,ROW()-1),1)))/STDEV(OFFSET(分析データ!E$1,MAX(1,ROW()-$C$7),0,MIN($C$7,ROW()-1),1)),0))</f>
        <v>0.4122837010032836</v>
      </c>
      <c r="BM735">
        <f t="shared" ca="1" si="320"/>
        <v>0</v>
      </c>
      <c r="BN735" t="str">
        <f ca="1">IF(BM735=1,IF(INDEX(分析データ!$A:$A,ROW()+$C$5)&lt;&gt;"",40000*SIGN(BL735)*(分析データ!E735-INDEX(分析データ!E:E,ROW()+$C$5)),""),"")</f>
        <v/>
      </c>
      <c r="BO735">
        <f t="shared" ca="1" si="321"/>
        <v>4280000.0000000028</v>
      </c>
      <c r="BP735">
        <f t="shared" ca="1" si="322"/>
        <v>4280000.0000000028</v>
      </c>
      <c r="BQ735">
        <f t="shared" ca="1" si="323"/>
        <v>0</v>
      </c>
      <c r="BR735">
        <f ca="1">IF(ROW()&lt;($C$7+1),"",IFERROR((分析データ!F735-AVERAGE(OFFSET(分析データ!F$1,MAX(1,ROW()-$C$7),0,MIN($C$7,ROW()-1),1)))/STDEV(OFFSET(分析データ!F$1,MAX(1,ROW()-$C$7),0,MIN($C$7,ROW()-1),1)),0))</f>
        <v>-0.78859277461915434</v>
      </c>
      <c r="BS735">
        <f t="shared" ca="1" si="324"/>
        <v>0</v>
      </c>
      <c r="BT735" t="str">
        <f ca="1">IF(BS735=1,IF(INDEX(分析データ!$A:$A,ROW()+$C$5)&lt;&gt;"",40000*SIGN(BR735)*(分析データ!F735-INDEX(分析データ!F:F,ROW()+$C$5)),""),"")</f>
        <v/>
      </c>
      <c r="BU735">
        <f t="shared" ca="1" si="325"/>
        <v>14917200.000000004</v>
      </c>
      <c r="BV735">
        <f t="shared" ca="1" si="326"/>
        <v>14917200.000000004</v>
      </c>
      <c r="BW735">
        <f t="shared" ca="1" si="327"/>
        <v>0</v>
      </c>
      <c r="BX735">
        <f ca="1">IF(ROW()&lt;($C$7+1),"",IFERROR((分析データ!G735-AVERAGE(OFFSET(分析データ!G$1,MAX(1,ROW()-$C$7),0,MIN($C$7,ROW()-1),1)))/STDEV(OFFSET(分析データ!G$1,MAX(1,ROW()-$C$7),0,MIN($C$7,ROW()-1),1)),0))</f>
        <v>1.4203762805903379</v>
      </c>
      <c r="BY735">
        <f t="shared" ca="1" si="328"/>
        <v>0</v>
      </c>
      <c r="BZ735" t="str">
        <f ca="1">IF(BY735=1,IF(INDEX(分析データ!$A:$A,ROW()+$C$5)&lt;&gt;"",40000*SIGN(BX735)*(分析データ!G735-INDEX(分析データ!G:G,ROW()+$C$5)),""),"")</f>
        <v/>
      </c>
      <c r="CA735">
        <f t="shared" ca="1" si="329"/>
        <v>-3515452.8662109179</v>
      </c>
      <c r="CB735">
        <f t="shared" ca="1" si="330"/>
        <v>11327520.000000004</v>
      </c>
      <c r="CC735">
        <f t="shared" ca="1" si="331"/>
        <v>-14842972.866210923</v>
      </c>
      <c r="CD735">
        <f t="shared" ca="1" si="332"/>
        <v>0</v>
      </c>
      <c r="CE735">
        <f t="shared" ca="1" si="333"/>
        <v>18226747.133789144</v>
      </c>
      <c r="CF735">
        <f t="shared" ca="1" si="334"/>
        <v>19067197.138671909</v>
      </c>
      <c r="CG735">
        <f t="shared" ca="1" si="335"/>
        <v>-840450.00488276407</v>
      </c>
      <c r="CH735" s="10">
        <f>分析データ!A735</f>
        <v>46000</v>
      </c>
    </row>
    <row r="736" spans="46:86">
      <c r="AT736">
        <f ca="1">IF(ROW()&lt;($C$7+1),"",IFERROR((分析データ!B736-AVERAGE(OFFSET(分析データ!B$1,MAX(1,ROW()-$C$7),0,MIN($C$7,ROW()-1),1)))/STDEV(OFFSET(分析データ!B$1,MAX(1,ROW()-$C$7),0,MIN($C$7,ROW()-1),1)),0))</f>
        <v>-0.80899911277313452</v>
      </c>
      <c r="AU736">
        <f t="shared" ca="1" si="308"/>
        <v>0</v>
      </c>
      <c r="AV736" t="str">
        <f ca="1">IF(AU736=1,IF(INDEX(分析データ!$A:$A,ROW()+$C$5)&lt;&gt;"",80000*SIGN(AT736)*(分析データ!B736-INDEX(分析データ!B:B,ROW()+$C$5)),""),"")</f>
        <v/>
      </c>
      <c r="AW736">
        <f t="shared" ca="1" si="309"/>
        <v>-4999999.9999999925</v>
      </c>
      <c r="AX736">
        <f t="shared" ca="1" si="310"/>
        <v>0</v>
      </c>
      <c r="AY736">
        <f t="shared" ca="1" si="311"/>
        <v>-4999999.9999999925</v>
      </c>
      <c r="AZ736">
        <f ca="1">IF(ROW()&lt;($C$7+1),"",IFERROR((分析データ!C736-AVERAGE(OFFSET(分析データ!C$1,MAX(1,ROW()-$C$7),0,MIN($C$7,ROW()-1),1)))/STDEV(OFFSET(分析データ!C$1,MAX(1,ROW()-$C$7),0,MIN($C$7,ROW()-1),1)),0))</f>
        <v>0.7651868325951241</v>
      </c>
      <c r="BA736">
        <f t="shared" ca="1" si="312"/>
        <v>0</v>
      </c>
      <c r="BB736" t="str">
        <f ca="1">IF(BA736=1,IF(INDEX(分析データ!$A:$A,ROW()+$C$5)&lt;&gt;"",60000*SIGN(AZ736)*(分析データ!C736-INDEX(分析データ!C:C,ROW()+$C$5)),""),"")</f>
        <v/>
      </c>
      <c r="BC736">
        <f t="shared" ca="1" si="313"/>
        <v>3075000.0000000102</v>
      </c>
      <c r="BD736">
        <f t="shared" ca="1" si="314"/>
        <v>3075000.0000000102</v>
      </c>
      <c r="BE736">
        <f t="shared" ca="1" si="315"/>
        <v>0</v>
      </c>
      <c r="BF736">
        <f ca="1">IF(ROW()&lt;($C$7+1),"",IFERROR((分析データ!D736-AVERAGE(OFFSET(分析データ!D$1,MAX(1,ROW()-$C$7),0,MIN($C$7,ROW()-1),1)))/STDEV(OFFSET(分析データ!D$1,MAX(1,ROW()-$C$7),0,MIN($C$7,ROW()-1),1)),0))</f>
        <v>-1.8764847156139974</v>
      </c>
      <c r="BG736">
        <f t="shared" ca="1" si="316"/>
        <v>0</v>
      </c>
      <c r="BH736" t="str">
        <f ca="1">IF(BG736=1,IF(INDEX(分析データ!$A:$A,ROW()+$C$5)&lt;&gt;"",50000*SIGN(BF736)*(分析データ!D736-INDEX(分析データ!D:D,ROW()+$C$5)),""),"")</f>
        <v/>
      </c>
      <c r="BI736">
        <f t="shared" ca="1" si="317"/>
        <v>4470000.0000000205</v>
      </c>
      <c r="BJ736">
        <f t="shared" ca="1" si="318"/>
        <v>4470000.0000000205</v>
      </c>
      <c r="BK736">
        <f t="shared" ca="1" si="319"/>
        <v>0</v>
      </c>
      <c r="BL736">
        <f ca="1">IF(ROW()&lt;($C$7+1),"",IFERROR((分析データ!E736-AVERAGE(OFFSET(分析データ!E$1,MAX(1,ROW()-$C$7),0,MIN($C$7,ROW()-1),1)))/STDEV(OFFSET(分析データ!E$1,MAX(1,ROW()-$C$7),0,MIN($C$7,ROW()-1),1)),0))</f>
        <v>0.49091203855858473</v>
      </c>
      <c r="BM736">
        <f t="shared" ca="1" si="320"/>
        <v>0</v>
      </c>
      <c r="BN736" t="str">
        <f ca="1">IF(BM736=1,IF(INDEX(分析データ!$A:$A,ROW()+$C$5)&lt;&gt;"",40000*SIGN(BL736)*(分析データ!E736-INDEX(分析データ!E:E,ROW()+$C$5)),""),"")</f>
        <v/>
      </c>
      <c r="BO736">
        <f t="shared" ca="1" si="321"/>
        <v>4280000.0000000028</v>
      </c>
      <c r="BP736">
        <f t="shared" ca="1" si="322"/>
        <v>4280000.0000000028</v>
      </c>
      <c r="BQ736">
        <f t="shared" ca="1" si="323"/>
        <v>0</v>
      </c>
      <c r="BR736">
        <f ca="1">IF(ROW()&lt;($C$7+1),"",IFERROR((分析データ!F736-AVERAGE(OFFSET(分析データ!F$1,MAX(1,ROW()-$C$7),0,MIN($C$7,ROW()-1),1)))/STDEV(OFFSET(分析データ!F$1,MAX(1,ROW()-$C$7),0,MIN($C$7,ROW()-1),1)),0))</f>
        <v>-0.74832741986418216</v>
      </c>
      <c r="BS736">
        <f t="shared" ca="1" si="324"/>
        <v>0</v>
      </c>
      <c r="BT736" t="str">
        <f ca="1">IF(BS736=1,IF(INDEX(分析データ!$A:$A,ROW()+$C$5)&lt;&gt;"",40000*SIGN(BR736)*(分析データ!F736-INDEX(分析データ!F:F,ROW()+$C$5)),""),"")</f>
        <v/>
      </c>
      <c r="BU736">
        <f t="shared" ca="1" si="325"/>
        <v>14917200.000000004</v>
      </c>
      <c r="BV736">
        <f t="shared" ca="1" si="326"/>
        <v>14917200.000000004</v>
      </c>
      <c r="BW736">
        <f t="shared" ca="1" si="327"/>
        <v>0</v>
      </c>
      <c r="BX736">
        <f ca="1">IF(ROW()&lt;($C$7+1),"",IFERROR((分析データ!G736-AVERAGE(OFFSET(分析データ!G$1,MAX(1,ROW()-$C$7),0,MIN($C$7,ROW()-1),1)))/STDEV(OFFSET(分析データ!G$1,MAX(1,ROW()-$C$7),0,MIN($C$7,ROW()-1),1)),0))</f>
        <v>1.4914312894855983</v>
      </c>
      <c r="BY736">
        <f t="shared" ca="1" si="328"/>
        <v>0</v>
      </c>
      <c r="BZ736" t="str">
        <f ca="1">IF(BY736=1,IF(INDEX(分析データ!$A:$A,ROW()+$C$5)&lt;&gt;"",40000*SIGN(BX736)*(分析データ!G736-INDEX(分析データ!G:G,ROW()+$C$5)),""),"")</f>
        <v/>
      </c>
      <c r="CA736">
        <f t="shared" ca="1" si="329"/>
        <v>-3515452.8662109179</v>
      </c>
      <c r="CB736">
        <f t="shared" ca="1" si="330"/>
        <v>11327520.000000004</v>
      </c>
      <c r="CC736">
        <f t="shared" ca="1" si="331"/>
        <v>-14842972.866210923</v>
      </c>
      <c r="CD736">
        <f t="shared" ca="1" si="332"/>
        <v>0</v>
      </c>
      <c r="CE736">
        <f t="shared" ca="1" si="333"/>
        <v>18226747.133789144</v>
      </c>
      <c r="CF736">
        <f t="shared" ca="1" si="334"/>
        <v>19067197.138671909</v>
      </c>
      <c r="CG736">
        <f t="shared" ca="1" si="335"/>
        <v>-840450.00488276407</v>
      </c>
      <c r="CH736" s="10">
        <f>分析データ!A736</f>
        <v>46001</v>
      </c>
    </row>
    <row r="737" spans="46:86">
      <c r="AT737">
        <f ca="1">IF(ROW()&lt;($C$7+1),"",IFERROR((分析データ!B737-AVERAGE(OFFSET(分析データ!B$1,MAX(1,ROW()-$C$7),0,MIN($C$7,ROW()-1),1)))/STDEV(OFFSET(分析データ!B$1,MAX(1,ROW()-$C$7),0,MIN($C$7,ROW()-1),1)),0))</f>
        <v>-0.39243791556002877</v>
      </c>
      <c r="AU737">
        <f t="shared" ca="1" si="308"/>
        <v>0</v>
      </c>
      <c r="AV737" t="str">
        <f ca="1">IF(AU737=1,IF(INDEX(分析データ!$A:$A,ROW()+$C$5)&lt;&gt;"",80000*SIGN(AT737)*(分析データ!B737-INDEX(分析データ!B:B,ROW()+$C$5)),""),"")</f>
        <v/>
      </c>
      <c r="AW737">
        <f t="shared" ca="1" si="309"/>
        <v>-4999999.9999999925</v>
      </c>
      <c r="AX737">
        <f t="shared" ca="1" si="310"/>
        <v>0</v>
      </c>
      <c r="AY737">
        <f t="shared" ca="1" si="311"/>
        <v>-4999999.9999999925</v>
      </c>
      <c r="AZ737">
        <f ca="1">IF(ROW()&lt;($C$7+1),"",IFERROR((分析データ!C737-AVERAGE(OFFSET(分析データ!C$1,MAX(1,ROW()-$C$7),0,MIN($C$7,ROW()-1),1)))/STDEV(OFFSET(分析データ!C$1,MAX(1,ROW()-$C$7),0,MIN($C$7,ROW()-1),1)),0))</f>
        <v>0.63153205152037761</v>
      </c>
      <c r="BA737">
        <f t="shared" ca="1" si="312"/>
        <v>0</v>
      </c>
      <c r="BB737" t="str">
        <f ca="1">IF(BA737=1,IF(INDEX(分析データ!$A:$A,ROW()+$C$5)&lt;&gt;"",60000*SIGN(AZ737)*(分析データ!C737-INDEX(分析データ!C:C,ROW()+$C$5)),""),"")</f>
        <v/>
      </c>
      <c r="BC737">
        <f t="shared" ca="1" si="313"/>
        <v>3075000.0000000102</v>
      </c>
      <c r="BD737">
        <f t="shared" ca="1" si="314"/>
        <v>3075000.0000000102</v>
      </c>
      <c r="BE737">
        <f t="shared" ca="1" si="315"/>
        <v>0</v>
      </c>
      <c r="BF737">
        <f ca="1">IF(ROW()&lt;($C$7+1),"",IFERROR((分析データ!D737-AVERAGE(OFFSET(分析データ!D$1,MAX(1,ROW()-$C$7),0,MIN($C$7,ROW()-1),1)))/STDEV(OFFSET(分析データ!D$1,MAX(1,ROW()-$C$7),0,MIN($C$7,ROW()-1),1)),0))</f>
        <v>-1.757545173122971</v>
      </c>
      <c r="BG737">
        <f t="shared" ca="1" si="316"/>
        <v>0</v>
      </c>
      <c r="BH737" t="str">
        <f ca="1">IF(BG737=1,IF(INDEX(分析データ!$A:$A,ROW()+$C$5)&lt;&gt;"",50000*SIGN(BF737)*(分析データ!D737-INDEX(分析データ!D:D,ROW()+$C$5)),""),"")</f>
        <v/>
      </c>
      <c r="BI737">
        <f t="shared" ca="1" si="317"/>
        <v>4470000.0000000205</v>
      </c>
      <c r="BJ737">
        <f t="shared" ca="1" si="318"/>
        <v>4470000.0000000205</v>
      </c>
      <c r="BK737">
        <f t="shared" ca="1" si="319"/>
        <v>0</v>
      </c>
      <c r="BL737">
        <f ca="1">IF(ROW()&lt;($C$7+1),"",IFERROR((分析データ!E737-AVERAGE(OFFSET(分析データ!E$1,MAX(1,ROW()-$C$7),0,MIN($C$7,ROW()-1),1)))/STDEV(OFFSET(分析データ!E$1,MAX(1,ROW()-$C$7),0,MIN($C$7,ROW()-1),1)),0))</f>
        <v>0.57044823167065373</v>
      </c>
      <c r="BM737">
        <f t="shared" ca="1" si="320"/>
        <v>0</v>
      </c>
      <c r="BN737" t="str">
        <f ca="1">IF(BM737=1,IF(INDEX(分析データ!$A:$A,ROW()+$C$5)&lt;&gt;"",40000*SIGN(BL737)*(分析データ!E737-INDEX(分析データ!E:E,ROW()+$C$5)),""),"")</f>
        <v/>
      </c>
      <c r="BO737">
        <f t="shared" ca="1" si="321"/>
        <v>4280000.0000000028</v>
      </c>
      <c r="BP737">
        <f t="shared" ca="1" si="322"/>
        <v>4280000.0000000028</v>
      </c>
      <c r="BQ737">
        <f t="shared" ca="1" si="323"/>
        <v>0</v>
      </c>
      <c r="BR737">
        <f ca="1">IF(ROW()&lt;($C$7+1),"",IFERROR((分析データ!F737-AVERAGE(OFFSET(分析データ!F$1,MAX(1,ROW()-$C$7),0,MIN($C$7,ROW()-1),1)))/STDEV(OFFSET(分析データ!F$1,MAX(1,ROW()-$C$7),0,MIN($C$7,ROW()-1),1)),0))</f>
        <v>-0.74719278807314149</v>
      </c>
      <c r="BS737">
        <f t="shared" ca="1" si="324"/>
        <v>0</v>
      </c>
      <c r="BT737" t="str">
        <f ca="1">IF(BS737=1,IF(INDEX(分析データ!$A:$A,ROW()+$C$5)&lt;&gt;"",40000*SIGN(BR737)*(分析データ!F737-INDEX(分析データ!F:F,ROW()+$C$5)),""),"")</f>
        <v/>
      </c>
      <c r="BU737">
        <f t="shared" ca="1" si="325"/>
        <v>14917200.000000004</v>
      </c>
      <c r="BV737">
        <f t="shared" ca="1" si="326"/>
        <v>14917200.000000004</v>
      </c>
      <c r="BW737">
        <f t="shared" ca="1" si="327"/>
        <v>0</v>
      </c>
      <c r="BX737">
        <f ca="1">IF(ROW()&lt;($C$7+1),"",IFERROR((分析データ!G737-AVERAGE(OFFSET(分析データ!G$1,MAX(1,ROW()-$C$7),0,MIN($C$7,ROW()-1),1)))/STDEV(OFFSET(分析データ!G$1,MAX(1,ROW()-$C$7),0,MIN($C$7,ROW()-1),1)),0))</f>
        <v>1.3518251342248981</v>
      </c>
      <c r="BY737">
        <f t="shared" ca="1" si="328"/>
        <v>0</v>
      </c>
      <c r="BZ737" t="str">
        <f ca="1">IF(BY737=1,IF(INDEX(分析データ!$A:$A,ROW()+$C$5)&lt;&gt;"",40000*SIGN(BX737)*(分析データ!G737-INDEX(分析データ!G:G,ROW()+$C$5)),""),"")</f>
        <v/>
      </c>
      <c r="CA737">
        <f t="shared" ca="1" si="329"/>
        <v>-3515452.8662109179</v>
      </c>
      <c r="CB737">
        <f t="shared" ca="1" si="330"/>
        <v>11327520.000000004</v>
      </c>
      <c r="CC737">
        <f t="shared" ca="1" si="331"/>
        <v>-14842972.866210923</v>
      </c>
      <c r="CD737">
        <f t="shared" ca="1" si="332"/>
        <v>0</v>
      </c>
      <c r="CE737">
        <f t="shared" ca="1" si="333"/>
        <v>18226747.133789144</v>
      </c>
      <c r="CF737">
        <f t="shared" ca="1" si="334"/>
        <v>19067197.138671909</v>
      </c>
      <c r="CG737">
        <f t="shared" ca="1" si="335"/>
        <v>-840450.00488276407</v>
      </c>
      <c r="CH737" s="10">
        <f>分析データ!A737</f>
        <v>46002</v>
      </c>
    </row>
    <row r="738" spans="46:86">
      <c r="AT738">
        <f ca="1">IF(ROW()&lt;($C$7+1),"",IFERROR((分析データ!B738-AVERAGE(OFFSET(分析データ!B$1,MAX(1,ROW()-$C$7),0,MIN($C$7,ROW()-1),1)))/STDEV(OFFSET(分析データ!B$1,MAX(1,ROW()-$C$7),0,MIN($C$7,ROW()-1),1)),0))</f>
        <v>0.17279968354536235</v>
      </c>
      <c r="AU738">
        <f t="shared" ca="1" si="308"/>
        <v>0</v>
      </c>
      <c r="AV738" t="str">
        <f ca="1">IF(AU738=1,IF(INDEX(分析データ!$A:$A,ROW()+$C$5)&lt;&gt;"",80000*SIGN(AT738)*(分析データ!B738-INDEX(分析データ!B:B,ROW()+$C$5)),""),"")</f>
        <v/>
      </c>
      <c r="AW738">
        <f t="shared" ca="1" si="309"/>
        <v>-4999999.9999999925</v>
      </c>
      <c r="AX738">
        <f t="shared" ca="1" si="310"/>
        <v>0</v>
      </c>
      <c r="AY738">
        <f t="shared" ca="1" si="311"/>
        <v>-4999999.9999999925</v>
      </c>
      <c r="AZ738">
        <f ca="1">IF(ROW()&lt;($C$7+1),"",IFERROR((分析データ!C738-AVERAGE(OFFSET(分析データ!C$1,MAX(1,ROW()-$C$7),0,MIN($C$7,ROW()-1),1)))/STDEV(OFFSET(分析データ!C$1,MAX(1,ROW()-$C$7),0,MIN($C$7,ROW()-1),1)),0))</f>
        <v>1.0171454060671212</v>
      </c>
      <c r="BA738">
        <f t="shared" ca="1" si="312"/>
        <v>0</v>
      </c>
      <c r="BB738" t="str">
        <f ca="1">IF(BA738=1,IF(INDEX(分析データ!$A:$A,ROW()+$C$5)&lt;&gt;"",60000*SIGN(AZ738)*(分析データ!C738-INDEX(分析データ!C:C,ROW()+$C$5)),""),"")</f>
        <v/>
      </c>
      <c r="BC738">
        <f t="shared" ca="1" si="313"/>
        <v>3075000.0000000102</v>
      </c>
      <c r="BD738">
        <f t="shared" ca="1" si="314"/>
        <v>3075000.0000000102</v>
      </c>
      <c r="BE738">
        <f t="shared" ca="1" si="315"/>
        <v>0</v>
      </c>
      <c r="BF738">
        <f ca="1">IF(ROW()&lt;($C$7+1),"",IFERROR((分析データ!D738-AVERAGE(OFFSET(分析データ!D$1,MAX(1,ROW()-$C$7),0,MIN($C$7,ROW()-1),1)))/STDEV(OFFSET(分析データ!D$1,MAX(1,ROW()-$C$7),0,MIN($C$7,ROW()-1),1)),0))</f>
        <v>-1.6640677278234202</v>
      </c>
      <c r="BG738">
        <f t="shared" ca="1" si="316"/>
        <v>0</v>
      </c>
      <c r="BH738" t="str">
        <f ca="1">IF(BG738=1,IF(INDEX(分析データ!$A:$A,ROW()+$C$5)&lt;&gt;"",50000*SIGN(BF738)*(分析データ!D738-INDEX(分析データ!D:D,ROW()+$C$5)),""),"")</f>
        <v/>
      </c>
      <c r="BI738">
        <f t="shared" ca="1" si="317"/>
        <v>4470000.0000000205</v>
      </c>
      <c r="BJ738">
        <f t="shared" ca="1" si="318"/>
        <v>4470000.0000000205</v>
      </c>
      <c r="BK738">
        <f t="shared" ca="1" si="319"/>
        <v>0</v>
      </c>
      <c r="BL738">
        <f ca="1">IF(ROW()&lt;($C$7+1),"",IFERROR((分析データ!E738-AVERAGE(OFFSET(分析データ!E$1,MAX(1,ROW()-$C$7),0,MIN($C$7,ROW()-1),1)))/STDEV(OFFSET(分析データ!E$1,MAX(1,ROW()-$C$7),0,MIN($C$7,ROW()-1),1)),0))</f>
        <v>0.73692020687144977</v>
      </c>
      <c r="BM738">
        <f t="shared" ca="1" si="320"/>
        <v>0</v>
      </c>
      <c r="BN738" t="str">
        <f ca="1">IF(BM738=1,IF(INDEX(分析データ!$A:$A,ROW()+$C$5)&lt;&gt;"",40000*SIGN(BL738)*(分析データ!E738-INDEX(分析データ!E:E,ROW()+$C$5)),""),"")</f>
        <v/>
      </c>
      <c r="BO738">
        <f t="shared" ca="1" si="321"/>
        <v>4280000.0000000028</v>
      </c>
      <c r="BP738">
        <f t="shared" ca="1" si="322"/>
        <v>4280000.0000000028</v>
      </c>
      <c r="BQ738">
        <f t="shared" ca="1" si="323"/>
        <v>0</v>
      </c>
      <c r="BR738">
        <f ca="1">IF(ROW()&lt;($C$7+1),"",IFERROR((分析データ!F738-AVERAGE(OFFSET(分析データ!F$1,MAX(1,ROW()-$C$7),0,MIN($C$7,ROW()-1),1)))/STDEV(OFFSET(分析データ!F$1,MAX(1,ROW()-$C$7),0,MIN($C$7,ROW()-1),1)),0))</f>
        <v>-1.0374718719162344</v>
      </c>
      <c r="BS738">
        <f t="shared" ca="1" si="324"/>
        <v>0</v>
      </c>
      <c r="BT738" t="str">
        <f ca="1">IF(BS738=1,IF(INDEX(分析データ!$A:$A,ROW()+$C$5)&lt;&gt;"",40000*SIGN(BR738)*(分析データ!F738-INDEX(分析データ!F:F,ROW()+$C$5)),""),"")</f>
        <v/>
      </c>
      <c r="BU738">
        <f t="shared" ca="1" si="325"/>
        <v>14917200.000000004</v>
      </c>
      <c r="BV738">
        <f t="shared" ca="1" si="326"/>
        <v>14917200.000000004</v>
      </c>
      <c r="BW738">
        <f t="shared" ca="1" si="327"/>
        <v>0</v>
      </c>
      <c r="BX738">
        <f ca="1">IF(ROW()&lt;($C$7+1),"",IFERROR((分析データ!G738-AVERAGE(OFFSET(分析データ!G$1,MAX(1,ROW()-$C$7),0,MIN($C$7,ROW()-1),1)))/STDEV(OFFSET(分析データ!G$1,MAX(1,ROW()-$C$7),0,MIN($C$7,ROW()-1),1)),0))</f>
        <v>1.4804436219683828</v>
      </c>
      <c r="BY738">
        <f t="shared" ca="1" si="328"/>
        <v>0</v>
      </c>
      <c r="BZ738" t="str">
        <f ca="1">IF(BY738=1,IF(INDEX(分析データ!$A:$A,ROW()+$C$5)&lt;&gt;"",40000*SIGN(BX738)*(分析データ!G738-INDEX(分析データ!G:G,ROW()+$C$5)),""),"")</f>
        <v/>
      </c>
      <c r="CA738">
        <f t="shared" ca="1" si="329"/>
        <v>-3515452.8662109179</v>
      </c>
      <c r="CB738">
        <f t="shared" ca="1" si="330"/>
        <v>11327520.000000004</v>
      </c>
      <c r="CC738">
        <f t="shared" ca="1" si="331"/>
        <v>-14842972.866210923</v>
      </c>
      <c r="CD738">
        <f t="shared" ca="1" si="332"/>
        <v>0</v>
      </c>
      <c r="CE738">
        <f t="shared" ca="1" si="333"/>
        <v>18226747.133789144</v>
      </c>
      <c r="CF738">
        <f t="shared" ca="1" si="334"/>
        <v>19067197.138671909</v>
      </c>
      <c r="CG738">
        <f t="shared" ca="1" si="335"/>
        <v>-840450.00488276407</v>
      </c>
      <c r="CH738" s="10">
        <f>分析データ!A738</f>
        <v>46003</v>
      </c>
    </row>
    <row r="739" spans="46:86">
      <c r="AT739">
        <f ca="1">IF(ROW()&lt;($C$7+1),"",IFERROR((分析データ!B739-AVERAGE(OFFSET(分析データ!B$1,MAX(1,ROW()-$C$7),0,MIN($C$7,ROW()-1),1)))/STDEV(OFFSET(分析データ!B$1,MAX(1,ROW()-$C$7),0,MIN($C$7,ROW()-1),1)),0))</f>
        <v>0.16633575999976394</v>
      </c>
      <c r="AU739">
        <f t="shared" ca="1" si="308"/>
        <v>0</v>
      </c>
      <c r="AV739" t="str">
        <f ca="1">IF(AU739=1,IF(INDEX(分析データ!$A:$A,ROW()+$C$5)&lt;&gt;"",80000*SIGN(AT739)*(分析データ!B739-INDEX(分析データ!B:B,ROW()+$C$5)),""),"")</f>
        <v/>
      </c>
      <c r="AW739">
        <f t="shared" ca="1" si="309"/>
        <v>-4999999.9999999925</v>
      </c>
      <c r="AX739">
        <f t="shared" ca="1" si="310"/>
        <v>0</v>
      </c>
      <c r="AY739">
        <f t="shared" ca="1" si="311"/>
        <v>-4999999.9999999925</v>
      </c>
      <c r="AZ739">
        <f ca="1">IF(ROW()&lt;($C$7+1),"",IFERROR((分析データ!C739-AVERAGE(OFFSET(分析データ!C$1,MAX(1,ROW()-$C$7),0,MIN($C$7,ROW()-1),1)))/STDEV(OFFSET(分析データ!C$1,MAX(1,ROW()-$C$7),0,MIN($C$7,ROW()-1),1)),0))</f>
        <v>0.99570549725110913</v>
      </c>
      <c r="BA739">
        <f t="shared" ca="1" si="312"/>
        <v>0</v>
      </c>
      <c r="BB739" t="str">
        <f ca="1">IF(BA739=1,IF(INDEX(分析データ!$A:$A,ROW()+$C$5)&lt;&gt;"",60000*SIGN(AZ739)*(分析データ!C739-INDEX(分析データ!C:C,ROW()+$C$5)),""),"")</f>
        <v/>
      </c>
      <c r="BC739">
        <f t="shared" ca="1" si="313"/>
        <v>3075000.0000000102</v>
      </c>
      <c r="BD739">
        <f t="shared" ca="1" si="314"/>
        <v>3075000.0000000102</v>
      </c>
      <c r="BE739">
        <f t="shared" ca="1" si="315"/>
        <v>0</v>
      </c>
      <c r="BF739">
        <f ca="1">IF(ROW()&lt;($C$7+1),"",IFERROR((分析データ!D739-AVERAGE(OFFSET(分析データ!D$1,MAX(1,ROW()-$C$7),0,MIN($C$7,ROW()-1),1)))/STDEV(OFFSET(分析データ!D$1,MAX(1,ROW()-$C$7),0,MIN($C$7,ROW()-1),1)),0))</f>
        <v>-1.6891961399625783</v>
      </c>
      <c r="BG739">
        <f t="shared" ca="1" si="316"/>
        <v>0</v>
      </c>
      <c r="BH739" t="str">
        <f ca="1">IF(BG739=1,IF(INDEX(分析データ!$A:$A,ROW()+$C$5)&lt;&gt;"",50000*SIGN(BF739)*(分析データ!D739-INDEX(分析データ!D:D,ROW()+$C$5)),""),"")</f>
        <v/>
      </c>
      <c r="BI739">
        <f t="shared" ca="1" si="317"/>
        <v>4470000.0000000205</v>
      </c>
      <c r="BJ739">
        <f t="shared" ca="1" si="318"/>
        <v>4470000.0000000205</v>
      </c>
      <c r="BK739">
        <f t="shared" ca="1" si="319"/>
        <v>0</v>
      </c>
      <c r="BL739">
        <f ca="1">IF(ROW()&lt;($C$7+1),"",IFERROR((分析データ!E739-AVERAGE(OFFSET(分析データ!E$1,MAX(1,ROW()-$C$7),0,MIN($C$7,ROW()-1),1)))/STDEV(OFFSET(分析データ!E$1,MAX(1,ROW()-$C$7),0,MIN($C$7,ROW()-1),1)),0))</f>
        <v>0.81781082090590684</v>
      </c>
      <c r="BM739">
        <f t="shared" ca="1" si="320"/>
        <v>0</v>
      </c>
      <c r="BN739" t="str">
        <f ca="1">IF(BM739=1,IF(INDEX(分析データ!$A:$A,ROW()+$C$5)&lt;&gt;"",40000*SIGN(BL739)*(分析データ!E739-INDEX(分析データ!E:E,ROW()+$C$5)),""),"")</f>
        <v/>
      </c>
      <c r="BO739">
        <f t="shared" ca="1" si="321"/>
        <v>4280000.0000000028</v>
      </c>
      <c r="BP739">
        <f t="shared" ca="1" si="322"/>
        <v>4280000.0000000028</v>
      </c>
      <c r="BQ739">
        <f t="shared" ca="1" si="323"/>
        <v>0</v>
      </c>
      <c r="BR739">
        <f ca="1">IF(ROW()&lt;($C$7+1),"",IFERROR((分析データ!F739-AVERAGE(OFFSET(分析データ!F$1,MAX(1,ROW()-$C$7),0,MIN($C$7,ROW()-1),1)))/STDEV(OFFSET(分析データ!F$1,MAX(1,ROW()-$C$7),0,MIN($C$7,ROW()-1),1)),0))</f>
        <v>-1.1160433947022352</v>
      </c>
      <c r="BS739">
        <f t="shared" ca="1" si="324"/>
        <v>0</v>
      </c>
      <c r="BT739" t="str">
        <f ca="1">IF(BS739=1,IF(INDEX(分析データ!$A:$A,ROW()+$C$5)&lt;&gt;"",40000*SIGN(BR739)*(分析データ!F739-INDEX(分析データ!F:F,ROW()+$C$5)),""),"")</f>
        <v/>
      </c>
      <c r="BU739">
        <f t="shared" ca="1" si="325"/>
        <v>14917200.000000004</v>
      </c>
      <c r="BV739">
        <f t="shared" ca="1" si="326"/>
        <v>14917200.000000004</v>
      </c>
      <c r="BW739">
        <f t="shared" ca="1" si="327"/>
        <v>0</v>
      </c>
      <c r="BX739">
        <f ca="1">IF(ROW()&lt;($C$7+1),"",IFERROR((分析データ!G739-AVERAGE(OFFSET(分析データ!G$1,MAX(1,ROW()-$C$7),0,MIN($C$7,ROW()-1),1)))/STDEV(OFFSET(分析データ!G$1,MAX(1,ROW()-$C$7),0,MIN($C$7,ROW()-1),1)),0))</f>
        <v>1.4937246164077029</v>
      </c>
      <c r="BY739">
        <f t="shared" ca="1" si="328"/>
        <v>0</v>
      </c>
      <c r="BZ739" t="str">
        <f ca="1">IF(BY739=1,IF(INDEX(分析データ!$A:$A,ROW()+$C$5)&lt;&gt;"",40000*SIGN(BX739)*(分析データ!G739-INDEX(分析データ!G:G,ROW()+$C$5)),""),"")</f>
        <v/>
      </c>
      <c r="CA739">
        <f t="shared" ca="1" si="329"/>
        <v>-3515452.8662109179</v>
      </c>
      <c r="CB739">
        <f t="shared" ca="1" si="330"/>
        <v>11327520.000000004</v>
      </c>
      <c r="CC739">
        <f t="shared" ca="1" si="331"/>
        <v>-14842972.866210923</v>
      </c>
      <c r="CD739">
        <f t="shared" ca="1" si="332"/>
        <v>0</v>
      </c>
      <c r="CE739">
        <f t="shared" ca="1" si="333"/>
        <v>18226747.133789144</v>
      </c>
      <c r="CF739">
        <f t="shared" ca="1" si="334"/>
        <v>19067197.138671909</v>
      </c>
      <c r="CG739">
        <f t="shared" ca="1" si="335"/>
        <v>-840450.00488276407</v>
      </c>
      <c r="CH739" s="10">
        <f>分析データ!A739</f>
        <v>46006</v>
      </c>
    </row>
    <row r="740" spans="46:86">
      <c r="AT740">
        <f ca="1">IF(ROW()&lt;($C$7+1),"",IFERROR((分析データ!B740-AVERAGE(OFFSET(分析データ!B$1,MAX(1,ROW()-$C$7),0,MIN($C$7,ROW()-1),1)))/STDEV(OFFSET(分析データ!B$1,MAX(1,ROW()-$C$7),0,MIN($C$7,ROW()-1),1)),0))</f>
        <v>1.5563155279889778E-2</v>
      </c>
      <c r="AU740">
        <f t="shared" ca="1" si="308"/>
        <v>0</v>
      </c>
      <c r="AV740" t="str">
        <f ca="1">IF(AU740=1,IF(INDEX(分析データ!$A:$A,ROW()+$C$5)&lt;&gt;"",80000*SIGN(AT740)*(分析データ!B740-INDEX(分析データ!B:B,ROW()+$C$5)),""),"")</f>
        <v/>
      </c>
      <c r="AW740">
        <f t="shared" ca="1" si="309"/>
        <v>-4999999.9999999925</v>
      </c>
      <c r="AX740">
        <f t="shared" ca="1" si="310"/>
        <v>0</v>
      </c>
      <c r="AY740">
        <f t="shared" ca="1" si="311"/>
        <v>-4999999.9999999925</v>
      </c>
      <c r="AZ740">
        <f ca="1">IF(ROW()&lt;($C$7+1),"",IFERROR((分析データ!C740-AVERAGE(OFFSET(分析データ!C$1,MAX(1,ROW()-$C$7),0,MIN($C$7,ROW()-1),1)))/STDEV(OFFSET(分析データ!C$1,MAX(1,ROW()-$C$7),0,MIN($C$7,ROW()-1),1)),0))</f>
        <v>1.0522476792583506</v>
      </c>
      <c r="BA740">
        <f t="shared" ca="1" si="312"/>
        <v>0</v>
      </c>
      <c r="BB740" t="str">
        <f ca="1">IF(BA740=1,IF(INDEX(分析データ!$A:$A,ROW()+$C$5)&lt;&gt;"",60000*SIGN(AZ740)*(分析データ!C740-INDEX(分析データ!C:C,ROW()+$C$5)),""),"")</f>
        <v/>
      </c>
      <c r="BC740">
        <f t="shared" ca="1" si="313"/>
        <v>3075000.0000000102</v>
      </c>
      <c r="BD740">
        <f t="shared" ca="1" si="314"/>
        <v>3075000.0000000102</v>
      </c>
      <c r="BE740">
        <f t="shared" ca="1" si="315"/>
        <v>0</v>
      </c>
      <c r="BF740">
        <f ca="1">IF(ROW()&lt;($C$7+1),"",IFERROR((分析データ!D740-AVERAGE(OFFSET(分析データ!D$1,MAX(1,ROW()-$C$7),0,MIN($C$7,ROW()-1),1)))/STDEV(OFFSET(分析データ!D$1,MAX(1,ROW()-$C$7),0,MIN($C$7,ROW()-1),1)),0))</f>
        <v>-1.7443106238980823</v>
      </c>
      <c r="BG740">
        <f t="shared" ca="1" si="316"/>
        <v>0</v>
      </c>
      <c r="BH740" t="str">
        <f ca="1">IF(BG740=1,IF(INDEX(分析データ!$A:$A,ROW()+$C$5)&lt;&gt;"",50000*SIGN(BF740)*(分析データ!D740-INDEX(分析データ!D:D,ROW()+$C$5)),""),"")</f>
        <v/>
      </c>
      <c r="BI740">
        <f t="shared" ca="1" si="317"/>
        <v>4470000.0000000205</v>
      </c>
      <c r="BJ740">
        <f t="shared" ca="1" si="318"/>
        <v>4470000.0000000205</v>
      </c>
      <c r="BK740">
        <f t="shared" ca="1" si="319"/>
        <v>0</v>
      </c>
      <c r="BL740">
        <f ca="1">IF(ROW()&lt;($C$7+1),"",IFERROR((分析データ!E740-AVERAGE(OFFSET(分析データ!E$1,MAX(1,ROW()-$C$7),0,MIN($C$7,ROW()-1),1)))/STDEV(OFFSET(分析データ!E$1,MAX(1,ROW()-$C$7),0,MIN($C$7,ROW()-1),1)),0))</f>
        <v>0.89926812883193852</v>
      </c>
      <c r="BM740">
        <f t="shared" ca="1" si="320"/>
        <v>0</v>
      </c>
      <c r="BN740" t="str">
        <f ca="1">IF(BM740=1,IF(INDEX(分析データ!$A:$A,ROW()+$C$5)&lt;&gt;"",40000*SIGN(BL740)*(分析データ!E740-INDEX(分析データ!E:E,ROW()+$C$5)),""),"")</f>
        <v/>
      </c>
      <c r="BO740">
        <f t="shared" ca="1" si="321"/>
        <v>4280000.0000000028</v>
      </c>
      <c r="BP740">
        <f t="shared" ca="1" si="322"/>
        <v>4280000.0000000028</v>
      </c>
      <c r="BQ740">
        <f t="shared" ca="1" si="323"/>
        <v>0</v>
      </c>
      <c r="BR740">
        <f ca="1">IF(ROW()&lt;($C$7+1),"",IFERROR((分析データ!F740-AVERAGE(OFFSET(分析データ!F$1,MAX(1,ROW()-$C$7),0,MIN($C$7,ROW()-1),1)))/STDEV(OFFSET(分析データ!F$1,MAX(1,ROW()-$C$7),0,MIN($C$7,ROW()-1),1)),0))</f>
        <v>-1.0693925401657249</v>
      </c>
      <c r="BS740">
        <f t="shared" ca="1" si="324"/>
        <v>0</v>
      </c>
      <c r="BT740" t="str">
        <f ca="1">IF(BS740=1,IF(INDEX(分析データ!$A:$A,ROW()+$C$5)&lt;&gt;"",40000*SIGN(BR740)*(分析データ!F740-INDEX(分析データ!F:F,ROW()+$C$5)),""),"")</f>
        <v/>
      </c>
      <c r="BU740">
        <f t="shared" ca="1" si="325"/>
        <v>14917200.000000004</v>
      </c>
      <c r="BV740">
        <f t="shared" ca="1" si="326"/>
        <v>14917200.000000004</v>
      </c>
      <c r="BW740">
        <f t="shared" ca="1" si="327"/>
        <v>0</v>
      </c>
      <c r="BX740">
        <f ca="1">IF(ROW()&lt;($C$7+1),"",IFERROR((分析データ!G740-AVERAGE(OFFSET(分析データ!G$1,MAX(1,ROW()-$C$7),0,MIN($C$7,ROW()-1),1)))/STDEV(OFFSET(分析データ!G$1,MAX(1,ROW()-$C$7),0,MIN($C$7,ROW()-1),1)),0))</f>
        <v>1.5959712426047765</v>
      </c>
      <c r="BY740">
        <f t="shared" ca="1" si="328"/>
        <v>0</v>
      </c>
      <c r="BZ740" t="str">
        <f ca="1">IF(BY740=1,IF(INDEX(分析データ!$A:$A,ROW()+$C$5)&lt;&gt;"",40000*SIGN(BX740)*(分析データ!G740-INDEX(分析データ!G:G,ROW()+$C$5)),""),"")</f>
        <v/>
      </c>
      <c r="CA740">
        <f t="shared" ca="1" si="329"/>
        <v>-3515452.8662109179</v>
      </c>
      <c r="CB740">
        <f t="shared" ca="1" si="330"/>
        <v>11327520.000000004</v>
      </c>
      <c r="CC740">
        <f t="shared" ca="1" si="331"/>
        <v>-14842972.866210923</v>
      </c>
      <c r="CD740">
        <f t="shared" ca="1" si="332"/>
        <v>0</v>
      </c>
      <c r="CE740">
        <f t="shared" ca="1" si="333"/>
        <v>18226747.133789144</v>
      </c>
      <c r="CF740">
        <f t="shared" ca="1" si="334"/>
        <v>19067197.138671909</v>
      </c>
      <c r="CG740">
        <f t="shared" ca="1" si="335"/>
        <v>-840450.00488276407</v>
      </c>
      <c r="CH740" s="10">
        <f>分析データ!A740</f>
        <v>46007</v>
      </c>
    </row>
    <row r="741" spans="46:86">
      <c r="AT741">
        <f ca="1">IF(ROW()&lt;($C$7+1),"",IFERROR((分析データ!B741-AVERAGE(OFFSET(分析データ!B$1,MAX(1,ROW()-$C$7),0,MIN($C$7,ROW()-1),1)))/STDEV(OFFSET(分析データ!B$1,MAX(1,ROW()-$C$7),0,MIN($C$7,ROW()-1),1)),0))</f>
        <v>1.0410233184045903E-2</v>
      </c>
      <c r="AU741">
        <f t="shared" ca="1" si="308"/>
        <v>0</v>
      </c>
      <c r="AV741" t="str">
        <f ca="1">IF(AU741=1,IF(INDEX(分析データ!$A:$A,ROW()+$C$5)&lt;&gt;"",80000*SIGN(AT741)*(分析データ!B741-INDEX(分析データ!B:B,ROW()+$C$5)),""),"")</f>
        <v/>
      </c>
      <c r="AW741">
        <f t="shared" ca="1" si="309"/>
        <v>-4999999.9999999925</v>
      </c>
      <c r="AX741">
        <f t="shared" ca="1" si="310"/>
        <v>0</v>
      </c>
      <c r="AY741">
        <f t="shared" ca="1" si="311"/>
        <v>-4999999.9999999925</v>
      </c>
      <c r="AZ741">
        <f ca="1">IF(ROW()&lt;($C$7+1),"",IFERROR((分析データ!C741-AVERAGE(OFFSET(分析データ!C$1,MAX(1,ROW()-$C$7),0,MIN($C$7,ROW()-1),1)))/STDEV(OFFSET(分析データ!C$1,MAX(1,ROW()-$C$7),0,MIN($C$7,ROW()-1),1)),0))</f>
        <v>1.2696126846677211</v>
      </c>
      <c r="BA741">
        <f t="shared" ca="1" si="312"/>
        <v>0</v>
      </c>
      <c r="BB741" t="str">
        <f ca="1">IF(BA741=1,IF(INDEX(分析データ!$A:$A,ROW()+$C$5)&lt;&gt;"",60000*SIGN(AZ741)*(分析データ!C741-INDEX(分析データ!C:C,ROW()+$C$5)),""),"")</f>
        <v/>
      </c>
      <c r="BC741">
        <f t="shared" ca="1" si="313"/>
        <v>3075000.0000000102</v>
      </c>
      <c r="BD741">
        <f t="shared" ca="1" si="314"/>
        <v>3075000.0000000102</v>
      </c>
      <c r="BE741">
        <f t="shared" ca="1" si="315"/>
        <v>0</v>
      </c>
      <c r="BF741">
        <f ca="1">IF(ROW()&lt;($C$7+1),"",IFERROR((分析データ!D741-AVERAGE(OFFSET(分析データ!D$1,MAX(1,ROW()-$C$7),0,MIN($C$7,ROW()-1),1)))/STDEV(OFFSET(分析データ!D$1,MAX(1,ROW()-$C$7),0,MIN($C$7,ROW()-1),1)),0))</f>
        <v>-1.7631729931642404</v>
      </c>
      <c r="BG741">
        <f t="shared" ca="1" si="316"/>
        <v>0</v>
      </c>
      <c r="BH741" t="str">
        <f ca="1">IF(BG741=1,IF(INDEX(分析データ!$A:$A,ROW()+$C$5)&lt;&gt;"",50000*SIGN(BF741)*(分析データ!D741-INDEX(分析データ!D:D,ROW()+$C$5)),""),"")</f>
        <v/>
      </c>
      <c r="BI741">
        <f t="shared" ca="1" si="317"/>
        <v>4470000.0000000205</v>
      </c>
      <c r="BJ741">
        <f t="shared" ca="1" si="318"/>
        <v>4470000.0000000205</v>
      </c>
      <c r="BK741">
        <f t="shared" ca="1" si="319"/>
        <v>0</v>
      </c>
      <c r="BL741">
        <f ca="1">IF(ROW()&lt;($C$7+1),"",IFERROR((分析データ!E741-AVERAGE(OFFSET(分析データ!E$1,MAX(1,ROW()-$C$7),0,MIN($C$7,ROW()-1),1)))/STDEV(OFFSET(分析データ!E$1,MAX(1,ROW()-$C$7),0,MIN($C$7,ROW()-1),1)),0))</f>
        <v>0.89324731987861772</v>
      </c>
      <c r="BM741">
        <f t="shared" ca="1" si="320"/>
        <v>0</v>
      </c>
      <c r="BN741" t="str">
        <f ca="1">IF(BM741=1,IF(INDEX(分析データ!$A:$A,ROW()+$C$5)&lt;&gt;"",40000*SIGN(BL741)*(分析データ!E741-INDEX(分析データ!E:E,ROW()+$C$5)),""),"")</f>
        <v/>
      </c>
      <c r="BO741">
        <f t="shared" ca="1" si="321"/>
        <v>4280000.0000000028</v>
      </c>
      <c r="BP741">
        <f t="shared" ca="1" si="322"/>
        <v>4280000.0000000028</v>
      </c>
      <c r="BQ741">
        <f t="shared" ca="1" si="323"/>
        <v>0</v>
      </c>
      <c r="BR741">
        <f ca="1">IF(ROW()&lt;($C$7+1),"",IFERROR((分析データ!F741-AVERAGE(OFFSET(分析データ!F$1,MAX(1,ROW()-$C$7),0,MIN($C$7,ROW()-1),1)))/STDEV(OFFSET(分析データ!F$1,MAX(1,ROW()-$C$7),0,MIN($C$7,ROW()-1),1)),0))</f>
        <v>-1.0332337613927114</v>
      </c>
      <c r="BS741">
        <f t="shared" ca="1" si="324"/>
        <v>0</v>
      </c>
      <c r="BT741" t="str">
        <f ca="1">IF(BS741=1,IF(INDEX(分析データ!$A:$A,ROW()+$C$5)&lt;&gt;"",40000*SIGN(BR741)*(分析データ!F741-INDEX(分析データ!F:F,ROW()+$C$5)),""),"")</f>
        <v/>
      </c>
      <c r="BU741">
        <f t="shared" ca="1" si="325"/>
        <v>14917200.000000004</v>
      </c>
      <c r="BV741">
        <f t="shared" ca="1" si="326"/>
        <v>14917200.000000004</v>
      </c>
      <c r="BW741">
        <f t="shared" ca="1" si="327"/>
        <v>0</v>
      </c>
      <c r="BX741">
        <f ca="1">IF(ROW()&lt;($C$7+1),"",IFERROR((分析データ!G741-AVERAGE(OFFSET(分析データ!G$1,MAX(1,ROW()-$C$7),0,MIN($C$7,ROW()-1),1)))/STDEV(OFFSET(分析データ!G$1,MAX(1,ROW()-$C$7),0,MIN($C$7,ROW()-1),1)),0))</f>
        <v>1.5675318146556629</v>
      </c>
      <c r="BY741">
        <f t="shared" ca="1" si="328"/>
        <v>0</v>
      </c>
      <c r="BZ741" t="str">
        <f ca="1">IF(BY741=1,IF(INDEX(分析データ!$A:$A,ROW()+$C$5)&lt;&gt;"",40000*SIGN(BX741)*(分析データ!G741-INDEX(分析データ!G:G,ROW()+$C$5)),""),"")</f>
        <v/>
      </c>
      <c r="CA741">
        <f t="shared" ca="1" si="329"/>
        <v>-3515452.8662109179</v>
      </c>
      <c r="CB741">
        <f t="shared" ca="1" si="330"/>
        <v>11327520.000000004</v>
      </c>
      <c r="CC741">
        <f t="shared" ca="1" si="331"/>
        <v>-14842972.866210923</v>
      </c>
      <c r="CD741">
        <f t="shared" ca="1" si="332"/>
        <v>0</v>
      </c>
      <c r="CE741">
        <f t="shared" ca="1" si="333"/>
        <v>18226747.133789144</v>
      </c>
      <c r="CF741">
        <f t="shared" ca="1" si="334"/>
        <v>19067197.138671909</v>
      </c>
      <c r="CG741">
        <f t="shared" ca="1" si="335"/>
        <v>-840450.00488276407</v>
      </c>
      <c r="CH741" s="10">
        <f>分析データ!A741</f>
        <v>46008</v>
      </c>
    </row>
    <row r="742" spans="46:86">
      <c r="AT742">
        <f ca="1">IF(ROW()&lt;($C$7+1),"",IFERROR((分析データ!B742-AVERAGE(OFFSET(分析データ!B$1,MAX(1,ROW()-$C$7),0,MIN($C$7,ROW()-1),1)))/STDEV(OFFSET(分析データ!B$1,MAX(1,ROW()-$C$7),0,MIN($C$7,ROW()-1),1)),0))</f>
        <v>-0.28376806057233528</v>
      </c>
      <c r="AU742">
        <f t="shared" ca="1" si="308"/>
        <v>0</v>
      </c>
      <c r="AV742" t="str">
        <f ca="1">IF(AU742=1,IF(INDEX(分析データ!$A:$A,ROW()+$C$5)&lt;&gt;"",80000*SIGN(AT742)*(分析データ!B742-INDEX(分析データ!B:B,ROW()+$C$5)),""),"")</f>
        <v/>
      </c>
      <c r="AW742">
        <f t="shared" ca="1" si="309"/>
        <v>-4999999.9999999925</v>
      </c>
      <c r="AX742">
        <f t="shared" ca="1" si="310"/>
        <v>0</v>
      </c>
      <c r="AY742">
        <f t="shared" ca="1" si="311"/>
        <v>-4999999.9999999925</v>
      </c>
      <c r="AZ742">
        <f ca="1">IF(ROW()&lt;($C$7+1),"",IFERROR((分析データ!C742-AVERAGE(OFFSET(分析データ!C$1,MAX(1,ROW()-$C$7),0,MIN($C$7,ROW()-1),1)))/STDEV(OFFSET(分析データ!C$1,MAX(1,ROW()-$C$7),0,MIN($C$7,ROW()-1),1)),0))</f>
        <v>1.0417541510744639</v>
      </c>
      <c r="BA742">
        <f t="shared" ca="1" si="312"/>
        <v>0</v>
      </c>
      <c r="BB742" t="str">
        <f ca="1">IF(BA742=1,IF(INDEX(分析データ!$A:$A,ROW()+$C$5)&lt;&gt;"",60000*SIGN(AZ742)*(分析データ!C742-INDEX(分析データ!C:C,ROW()+$C$5)),""),"")</f>
        <v/>
      </c>
      <c r="BC742">
        <f t="shared" ca="1" si="313"/>
        <v>3075000.0000000102</v>
      </c>
      <c r="BD742">
        <f t="shared" ca="1" si="314"/>
        <v>3075000.0000000102</v>
      </c>
      <c r="BE742">
        <f t="shared" ca="1" si="315"/>
        <v>0</v>
      </c>
      <c r="BF742">
        <f ca="1">IF(ROW()&lt;($C$7+1),"",IFERROR((分析データ!D742-AVERAGE(OFFSET(分析データ!D$1,MAX(1,ROW()-$C$7),0,MIN($C$7,ROW()-1),1)))/STDEV(OFFSET(分析データ!D$1,MAX(1,ROW()-$C$7),0,MIN($C$7,ROW()-1),1)),0))</f>
        <v>-1.8351736604203852</v>
      </c>
      <c r="BG742">
        <f t="shared" ca="1" si="316"/>
        <v>0</v>
      </c>
      <c r="BH742" t="str">
        <f ca="1">IF(BG742=1,IF(INDEX(分析データ!$A:$A,ROW()+$C$5)&lt;&gt;"",50000*SIGN(BF742)*(分析データ!D742-INDEX(分析データ!D:D,ROW()+$C$5)),""),"")</f>
        <v/>
      </c>
      <c r="BI742">
        <f t="shared" ca="1" si="317"/>
        <v>4470000.0000000205</v>
      </c>
      <c r="BJ742">
        <f t="shared" ca="1" si="318"/>
        <v>4470000.0000000205</v>
      </c>
      <c r="BK742">
        <f t="shared" ca="1" si="319"/>
        <v>0</v>
      </c>
      <c r="BL742">
        <f ca="1">IF(ROW()&lt;($C$7+1),"",IFERROR((分析データ!E742-AVERAGE(OFFSET(分析データ!E$1,MAX(1,ROW()-$C$7),0,MIN($C$7,ROW()-1),1)))/STDEV(OFFSET(分析データ!E$1,MAX(1,ROW()-$C$7),0,MIN($C$7,ROW()-1),1)),0))</f>
        <v>0.88705228674497172</v>
      </c>
      <c r="BM742">
        <f t="shared" ca="1" si="320"/>
        <v>0</v>
      </c>
      <c r="BN742" t="str">
        <f ca="1">IF(BM742=1,IF(INDEX(分析データ!$A:$A,ROW()+$C$5)&lt;&gt;"",40000*SIGN(BL742)*(分析データ!E742-INDEX(分析データ!E:E,ROW()+$C$5)),""),"")</f>
        <v/>
      </c>
      <c r="BO742">
        <f t="shared" ca="1" si="321"/>
        <v>4280000.0000000028</v>
      </c>
      <c r="BP742">
        <f t="shared" ca="1" si="322"/>
        <v>4280000.0000000028</v>
      </c>
      <c r="BQ742">
        <f t="shared" ca="1" si="323"/>
        <v>0</v>
      </c>
      <c r="BR742">
        <f ca="1">IF(ROW()&lt;($C$7+1),"",IFERROR((分析データ!F742-AVERAGE(OFFSET(分析データ!F$1,MAX(1,ROW()-$C$7),0,MIN($C$7,ROW()-1),1)))/STDEV(OFFSET(分析データ!F$1,MAX(1,ROW()-$C$7),0,MIN($C$7,ROW()-1),1)),0))</f>
        <v>-0.84931747354032439</v>
      </c>
      <c r="BS742">
        <f t="shared" ca="1" si="324"/>
        <v>0</v>
      </c>
      <c r="BT742" t="str">
        <f ca="1">IF(BS742=1,IF(INDEX(分析データ!$A:$A,ROW()+$C$5)&lt;&gt;"",40000*SIGN(BR742)*(分析データ!F742-INDEX(分析データ!F:F,ROW()+$C$5)),""),"")</f>
        <v/>
      </c>
      <c r="BU742">
        <f t="shared" ca="1" si="325"/>
        <v>14917200.000000004</v>
      </c>
      <c r="BV742">
        <f t="shared" ca="1" si="326"/>
        <v>14917200.000000004</v>
      </c>
      <c r="BW742">
        <f t="shared" ca="1" si="327"/>
        <v>0</v>
      </c>
      <c r="BX742">
        <f ca="1">IF(ROW()&lt;($C$7+1),"",IFERROR((分析データ!G742-AVERAGE(OFFSET(分析データ!G$1,MAX(1,ROW()-$C$7),0,MIN($C$7,ROW()-1),1)))/STDEV(OFFSET(分析データ!G$1,MAX(1,ROW()-$C$7),0,MIN($C$7,ROW()-1),1)),0))</f>
        <v>1.4782222719842821</v>
      </c>
      <c r="BY742">
        <f t="shared" ca="1" si="328"/>
        <v>0</v>
      </c>
      <c r="BZ742" t="str">
        <f ca="1">IF(BY742=1,IF(INDEX(分析データ!$A:$A,ROW()+$C$5)&lt;&gt;"",40000*SIGN(BX742)*(分析データ!G742-INDEX(分析データ!G:G,ROW()+$C$5)),""),"")</f>
        <v/>
      </c>
      <c r="CA742">
        <f t="shared" ca="1" si="329"/>
        <v>-3515452.8662109179</v>
      </c>
      <c r="CB742">
        <f t="shared" ca="1" si="330"/>
        <v>11327520.000000004</v>
      </c>
      <c r="CC742">
        <f t="shared" ca="1" si="331"/>
        <v>-14842972.866210923</v>
      </c>
      <c r="CD742">
        <f t="shared" ca="1" si="332"/>
        <v>0</v>
      </c>
      <c r="CE742">
        <f t="shared" ca="1" si="333"/>
        <v>18226747.133789144</v>
      </c>
      <c r="CF742">
        <f t="shared" ca="1" si="334"/>
        <v>19067197.138671909</v>
      </c>
      <c r="CG742">
        <f t="shared" ca="1" si="335"/>
        <v>-840450.00488276407</v>
      </c>
      <c r="CH742" s="10">
        <f>分析データ!A742</f>
        <v>46009</v>
      </c>
    </row>
    <row r="743" spans="46:86">
      <c r="AT743">
        <f ca="1">IF(ROW()&lt;($C$7+1),"",IFERROR((分析データ!B743-AVERAGE(OFFSET(分析データ!B$1,MAX(1,ROW()-$C$7),0,MIN($C$7,ROW()-1),1)))/STDEV(OFFSET(分析データ!B$1,MAX(1,ROW()-$C$7),0,MIN($C$7,ROW()-1),1)),0))</f>
        <v>0.29532716274319454</v>
      </c>
      <c r="AU743">
        <f t="shared" ca="1" si="308"/>
        <v>0</v>
      </c>
      <c r="AV743" t="str">
        <f ca="1">IF(AU743=1,IF(INDEX(分析データ!$A:$A,ROW()+$C$5)&lt;&gt;"",80000*SIGN(AT743)*(分析データ!B743-INDEX(分析データ!B:B,ROW()+$C$5)),""),"")</f>
        <v/>
      </c>
      <c r="AW743">
        <f t="shared" ca="1" si="309"/>
        <v>-4999999.9999999925</v>
      </c>
      <c r="AX743">
        <f t="shared" ca="1" si="310"/>
        <v>0</v>
      </c>
      <c r="AY743">
        <f t="shared" ca="1" si="311"/>
        <v>-4999999.9999999925</v>
      </c>
      <c r="AZ743">
        <f ca="1">IF(ROW()&lt;($C$7+1),"",IFERROR((分析データ!C743-AVERAGE(OFFSET(分析データ!C$1,MAX(1,ROW()-$C$7),0,MIN($C$7,ROW()-1),1)))/STDEV(OFFSET(分析データ!C$1,MAX(1,ROW()-$C$7),0,MIN($C$7,ROW()-1),1)),0))</f>
        <v>1.3000964889481486</v>
      </c>
      <c r="BA743">
        <f t="shared" ca="1" si="312"/>
        <v>0</v>
      </c>
      <c r="BB743" t="str">
        <f ca="1">IF(BA743=1,IF(INDEX(分析データ!$A:$A,ROW()+$C$5)&lt;&gt;"",60000*SIGN(AZ743)*(分析データ!C743-INDEX(分析データ!C:C,ROW()+$C$5)),""),"")</f>
        <v/>
      </c>
      <c r="BC743">
        <f t="shared" ca="1" si="313"/>
        <v>3075000.0000000102</v>
      </c>
      <c r="BD743">
        <f t="shared" ca="1" si="314"/>
        <v>3075000.0000000102</v>
      </c>
      <c r="BE743">
        <f t="shared" ca="1" si="315"/>
        <v>0</v>
      </c>
      <c r="BF743">
        <f ca="1">IF(ROW()&lt;($C$7+1),"",IFERROR((分析データ!D743-AVERAGE(OFFSET(分析データ!D$1,MAX(1,ROW()-$C$7),0,MIN($C$7,ROW()-1),1)))/STDEV(OFFSET(分析データ!D$1,MAX(1,ROW()-$C$7),0,MIN($C$7,ROW()-1),1)),0))</f>
        <v>-1.8419796297437661</v>
      </c>
      <c r="BG743">
        <f t="shared" ca="1" si="316"/>
        <v>0</v>
      </c>
      <c r="BH743" t="str">
        <f ca="1">IF(BG743=1,IF(INDEX(分析データ!$A:$A,ROW()+$C$5)&lt;&gt;"",50000*SIGN(BF743)*(分析データ!D743-INDEX(分析データ!D:D,ROW()+$C$5)),""),"")</f>
        <v/>
      </c>
      <c r="BI743">
        <f t="shared" ca="1" si="317"/>
        <v>4470000.0000000205</v>
      </c>
      <c r="BJ743">
        <f t="shared" ca="1" si="318"/>
        <v>4470000.0000000205</v>
      </c>
      <c r="BK743">
        <f t="shared" ca="1" si="319"/>
        <v>0</v>
      </c>
      <c r="BL743">
        <f ca="1">IF(ROW()&lt;($C$7+1),"",IFERROR((分析データ!E743-AVERAGE(OFFSET(分析データ!E$1,MAX(1,ROW()-$C$7),0,MIN($C$7,ROW()-1),1)))/STDEV(OFFSET(分析データ!E$1,MAX(1,ROW()-$C$7),0,MIN($C$7,ROW()-1),1)),0))</f>
        <v>0.88117451704394567</v>
      </c>
      <c r="BM743">
        <f t="shared" ca="1" si="320"/>
        <v>0</v>
      </c>
      <c r="BN743" t="str">
        <f ca="1">IF(BM743=1,IF(INDEX(分析データ!$A:$A,ROW()+$C$5)&lt;&gt;"",40000*SIGN(BL743)*(分析データ!E743-INDEX(分析データ!E:E,ROW()+$C$5)),""),"")</f>
        <v/>
      </c>
      <c r="BO743">
        <f t="shared" ca="1" si="321"/>
        <v>4280000.0000000028</v>
      </c>
      <c r="BP743">
        <f t="shared" ca="1" si="322"/>
        <v>4280000.0000000028</v>
      </c>
      <c r="BQ743">
        <f t="shared" ca="1" si="323"/>
        <v>0</v>
      </c>
      <c r="BR743">
        <f ca="1">IF(ROW()&lt;($C$7+1),"",IFERROR((分析データ!F743-AVERAGE(OFFSET(分析データ!F$1,MAX(1,ROW()-$C$7),0,MIN($C$7,ROW()-1),1)))/STDEV(OFFSET(分析データ!F$1,MAX(1,ROW()-$C$7),0,MIN($C$7,ROW()-1),1)),0))</f>
        <v>-1.0044003563541795</v>
      </c>
      <c r="BS743">
        <f t="shared" ca="1" si="324"/>
        <v>0</v>
      </c>
      <c r="BT743" t="str">
        <f ca="1">IF(BS743=1,IF(INDEX(分析データ!$A:$A,ROW()+$C$5)&lt;&gt;"",40000*SIGN(BR743)*(分析データ!F743-INDEX(分析データ!F:F,ROW()+$C$5)),""),"")</f>
        <v/>
      </c>
      <c r="BU743">
        <f t="shared" ca="1" si="325"/>
        <v>14917200.000000004</v>
      </c>
      <c r="BV743">
        <f t="shared" ca="1" si="326"/>
        <v>14917200.000000004</v>
      </c>
      <c r="BW743">
        <f t="shared" ca="1" si="327"/>
        <v>0</v>
      </c>
      <c r="BX743">
        <f ca="1">IF(ROW()&lt;($C$7+1),"",IFERROR((分析データ!G743-AVERAGE(OFFSET(分析データ!G$1,MAX(1,ROW()-$C$7),0,MIN($C$7,ROW()-1),1)))/STDEV(OFFSET(分析データ!G$1,MAX(1,ROW()-$C$7),0,MIN($C$7,ROW()-1),1)),0))</f>
        <v>1.5632084727905369</v>
      </c>
      <c r="BY743">
        <f t="shared" ca="1" si="328"/>
        <v>0</v>
      </c>
      <c r="BZ743" t="str">
        <f ca="1">IF(BY743=1,IF(INDEX(分析データ!$A:$A,ROW()+$C$5)&lt;&gt;"",40000*SIGN(BX743)*(分析データ!G743-INDEX(分析データ!G:G,ROW()+$C$5)),""),"")</f>
        <v/>
      </c>
      <c r="CA743">
        <f t="shared" ca="1" si="329"/>
        <v>-3515452.8662109179</v>
      </c>
      <c r="CB743">
        <f t="shared" ca="1" si="330"/>
        <v>11327520.000000004</v>
      </c>
      <c r="CC743">
        <f t="shared" ca="1" si="331"/>
        <v>-14842972.866210923</v>
      </c>
      <c r="CD743">
        <f t="shared" ca="1" si="332"/>
        <v>0</v>
      </c>
      <c r="CE743">
        <f t="shared" ca="1" si="333"/>
        <v>18226747.133789144</v>
      </c>
      <c r="CF743">
        <f t="shared" ca="1" si="334"/>
        <v>19067197.138671909</v>
      </c>
      <c r="CG743">
        <f t="shared" ca="1" si="335"/>
        <v>-840450.00488276407</v>
      </c>
      <c r="CH743" s="10">
        <f>分析データ!A743</f>
        <v>46010</v>
      </c>
    </row>
    <row r="744" spans="46:86">
      <c r="AT744">
        <f ca="1">IF(ROW()&lt;($C$7+1),"",IFERROR((分析データ!B744-AVERAGE(OFFSET(分析データ!B$1,MAX(1,ROW()-$C$7),0,MIN($C$7,ROW()-1),1)))/STDEV(OFFSET(分析データ!B$1,MAX(1,ROW()-$C$7),0,MIN($C$7,ROW()-1),1)),0))</f>
        <v>0.87363350002512208</v>
      </c>
      <c r="AU744">
        <f t="shared" ca="1" si="308"/>
        <v>0</v>
      </c>
      <c r="AV744" t="str">
        <f ca="1">IF(AU744=1,IF(INDEX(分析データ!$A:$A,ROW()+$C$5)&lt;&gt;"",80000*SIGN(AT744)*(分析データ!B744-INDEX(分析データ!B:B,ROW()+$C$5)),""),"")</f>
        <v/>
      </c>
      <c r="AW744">
        <f t="shared" ca="1" si="309"/>
        <v>-4999999.9999999925</v>
      </c>
      <c r="AX744">
        <f t="shared" ca="1" si="310"/>
        <v>0</v>
      </c>
      <c r="AY744">
        <f t="shared" ca="1" si="311"/>
        <v>-4999999.9999999925</v>
      </c>
      <c r="AZ744">
        <f ca="1">IF(ROW()&lt;($C$7+1),"",IFERROR((分析データ!C744-AVERAGE(OFFSET(分析データ!C$1,MAX(1,ROW()-$C$7),0,MIN($C$7,ROW()-1),1)))/STDEV(OFFSET(分析データ!C$1,MAX(1,ROW()-$C$7),0,MIN($C$7,ROW()-1),1)),0))</f>
        <v>1.733617420316087</v>
      </c>
      <c r="BA744">
        <f t="shared" ca="1" si="312"/>
        <v>0</v>
      </c>
      <c r="BB744" t="str">
        <f ca="1">IF(BA744=1,IF(INDEX(分析データ!$A:$A,ROW()+$C$5)&lt;&gt;"",60000*SIGN(AZ744)*(分析データ!C744-INDEX(分析データ!C:C,ROW()+$C$5)),""),"")</f>
        <v/>
      </c>
      <c r="BC744">
        <f t="shared" ca="1" si="313"/>
        <v>3075000.0000000102</v>
      </c>
      <c r="BD744">
        <f t="shared" ca="1" si="314"/>
        <v>3075000.0000000102</v>
      </c>
      <c r="BE744">
        <f t="shared" ca="1" si="315"/>
        <v>0</v>
      </c>
      <c r="BF744">
        <f ca="1">IF(ROW()&lt;($C$7+1),"",IFERROR((分析データ!D744-AVERAGE(OFFSET(分析データ!D$1,MAX(1,ROW()-$C$7),0,MIN($C$7,ROW()-1),1)))/STDEV(OFFSET(分析データ!D$1,MAX(1,ROW()-$C$7),0,MIN($C$7,ROW()-1),1)),0))</f>
        <v>-1.9384735223299883</v>
      </c>
      <c r="BG744">
        <f t="shared" ca="1" si="316"/>
        <v>0</v>
      </c>
      <c r="BH744" t="str">
        <f ca="1">IF(BG744=1,IF(INDEX(分析データ!$A:$A,ROW()+$C$5)&lt;&gt;"",50000*SIGN(BF744)*(分析データ!D744-INDEX(分析データ!D:D,ROW()+$C$5)),""),"")</f>
        <v/>
      </c>
      <c r="BI744">
        <f t="shared" ca="1" si="317"/>
        <v>4470000.0000000205</v>
      </c>
      <c r="BJ744">
        <f t="shared" ca="1" si="318"/>
        <v>4470000.0000000205</v>
      </c>
      <c r="BK744">
        <f t="shared" ca="1" si="319"/>
        <v>0</v>
      </c>
      <c r="BL744">
        <f ca="1">IF(ROW()&lt;($C$7+1),"",IFERROR((分析データ!E744-AVERAGE(OFFSET(分析データ!E$1,MAX(1,ROW()-$C$7),0,MIN($C$7,ROW()-1),1)))/STDEV(OFFSET(分析データ!E$1,MAX(1,ROW()-$C$7),0,MIN($C$7,ROW()-1),1)),0))</f>
        <v>0.87537208907761832</v>
      </c>
      <c r="BM744">
        <f t="shared" ca="1" si="320"/>
        <v>0</v>
      </c>
      <c r="BN744" t="str">
        <f ca="1">IF(BM744=1,IF(INDEX(分析データ!$A:$A,ROW()+$C$5)&lt;&gt;"",40000*SIGN(BL744)*(分析データ!E744-INDEX(分析データ!E:E,ROW()+$C$5)),""),"")</f>
        <v/>
      </c>
      <c r="BO744">
        <f t="shared" ca="1" si="321"/>
        <v>4280000.0000000028</v>
      </c>
      <c r="BP744">
        <f t="shared" ca="1" si="322"/>
        <v>4280000.0000000028</v>
      </c>
      <c r="BQ744">
        <f t="shared" ca="1" si="323"/>
        <v>0</v>
      </c>
      <c r="BR744">
        <f ca="1">IF(ROW()&lt;($C$7+1),"",IFERROR((分析データ!F744-AVERAGE(OFFSET(分析データ!F$1,MAX(1,ROW()-$C$7),0,MIN($C$7,ROW()-1),1)))/STDEV(OFFSET(分析データ!F$1,MAX(1,ROW()-$C$7),0,MIN($C$7,ROW()-1),1)),0))</f>
        <v>-0.88731396898584458</v>
      </c>
      <c r="BS744">
        <f t="shared" ca="1" si="324"/>
        <v>0</v>
      </c>
      <c r="BT744" t="str">
        <f ca="1">IF(BS744=1,IF(INDEX(分析データ!$A:$A,ROW()+$C$5)&lt;&gt;"",40000*SIGN(BR744)*(分析データ!F744-INDEX(分析データ!F:F,ROW()+$C$5)),""),"")</f>
        <v/>
      </c>
      <c r="BU744">
        <f t="shared" ca="1" si="325"/>
        <v>14917200.000000004</v>
      </c>
      <c r="BV744">
        <f t="shared" ca="1" si="326"/>
        <v>14917200.000000004</v>
      </c>
      <c r="BW744">
        <f t="shared" ca="1" si="327"/>
        <v>0</v>
      </c>
      <c r="BX744">
        <f ca="1">IF(ROW()&lt;($C$7+1),"",IFERROR((分析データ!G744-AVERAGE(OFFSET(分析データ!G$1,MAX(1,ROW()-$C$7),0,MIN($C$7,ROW()-1),1)))/STDEV(OFFSET(分析データ!G$1,MAX(1,ROW()-$C$7),0,MIN($C$7,ROW()-1),1)),0))</f>
        <v>1.5654314980880866</v>
      </c>
      <c r="BY744">
        <f t="shared" ca="1" si="328"/>
        <v>0</v>
      </c>
      <c r="BZ744" t="str">
        <f ca="1">IF(BY744=1,IF(INDEX(分析データ!$A:$A,ROW()+$C$5)&lt;&gt;"",40000*SIGN(BX744)*(分析データ!G744-INDEX(分析データ!G:G,ROW()+$C$5)),""),"")</f>
        <v/>
      </c>
      <c r="CA744">
        <f t="shared" ca="1" si="329"/>
        <v>-3515452.8662109179</v>
      </c>
      <c r="CB744">
        <f t="shared" ca="1" si="330"/>
        <v>11327520.000000004</v>
      </c>
      <c r="CC744">
        <f t="shared" ca="1" si="331"/>
        <v>-14842972.866210923</v>
      </c>
      <c r="CD744">
        <f t="shared" ca="1" si="332"/>
        <v>0</v>
      </c>
      <c r="CE744">
        <f t="shared" ca="1" si="333"/>
        <v>18226747.133789144</v>
      </c>
      <c r="CF744">
        <f t="shared" ca="1" si="334"/>
        <v>19067197.138671909</v>
      </c>
      <c r="CG744">
        <f t="shared" ca="1" si="335"/>
        <v>-840450.00488276407</v>
      </c>
      <c r="CH744" s="10">
        <f>分析データ!A744</f>
        <v>46013</v>
      </c>
    </row>
    <row r="745" spans="46:86">
      <c r="AT745">
        <f ca="1">IF(ROW()&lt;($C$7+1),"",IFERROR((分析データ!B745-AVERAGE(OFFSET(分析データ!B$1,MAX(1,ROW()-$C$7),0,MIN($C$7,ROW()-1),1)))/STDEV(OFFSET(分析データ!B$1,MAX(1,ROW()-$C$7),0,MIN($C$7,ROW()-1),1)),0))</f>
        <v>0.72388641413664212</v>
      </c>
      <c r="AU745">
        <f t="shared" ca="1" si="308"/>
        <v>0</v>
      </c>
      <c r="AV745" t="str">
        <f ca="1">IF(AU745=1,IF(INDEX(分析データ!$A:$A,ROW()+$C$5)&lt;&gt;"",80000*SIGN(AT745)*(分析データ!B745-INDEX(分析データ!B:B,ROW()+$C$5)),""),"")</f>
        <v/>
      </c>
      <c r="AW745">
        <f t="shared" ca="1" si="309"/>
        <v>-4999999.9999999925</v>
      </c>
      <c r="AX745">
        <f t="shared" ca="1" si="310"/>
        <v>0</v>
      </c>
      <c r="AY745">
        <f t="shared" ca="1" si="311"/>
        <v>-4999999.9999999925</v>
      </c>
      <c r="AZ745">
        <f ca="1">IF(ROW()&lt;($C$7+1),"",IFERROR((分析データ!C745-AVERAGE(OFFSET(分析データ!C$1,MAX(1,ROW()-$C$7),0,MIN($C$7,ROW()-1),1)))/STDEV(OFFSET(分析データ!C$1,MAX(1,ROW()-$C$7),0,MIN($C$7,ROW()-1),1)),0))</f>
        <v>1.391241944864041</v>
      </c>
      <c r="BA745">
        <f t="shared" ca="1" si="312"/>
        <v>0</v>
      </c>
      <c r="BB745" t="str">
        <f ca="1">IF(BA745=1,IF(INDEX(分析データ!$A:$A,ROW()+$C$5)&lt;&gt;"",60000*SIGN(AZ745)*(分析データ!C745-INDEX(分析データ!C:C,ROW()+$C$5)),""),"")</f>
        <v/>
      </c>
      <c r="BC745">
        <f t="shared" ca="1" si="313"/>
        <v>3075000.0000000102</v>
      </c>
      <c r="BD745">
        <f t="shared" ca="1" si="314"/>
        <v>3075000.0000000102</v>
      </c>
      <c r="BE745">
        <f t="shared" ca="1" si="315"/>
        <v>0</v>
      </c>
      <c r="BF745">
        <f ca="1">IF(ROW()&lt;($C$7+1),"",IFERROR((分析データ!D745-AVERAGE(OFFSET(分析データ!D$1,MAX(1,ROW()-$C$7),0,MIN($C$7,ROW()-1),1)))/STDEV(OFFSET(分析データ!D$1,MAX(1,ROW()-$C$7),0,MIN($C$7,ROW()-1),1)),0))</f>
        <v>-1.8015196487193605</v>
      </c>
      <c r="BG745">
        <f t="shared" ca="1" si="316"/>
        <v>0</v>
      </c>
      <c r="BH745" t="str">
        <f ca="1">IF(BG745=1,IF(INDEX(分析データ!$A:$A,ROW()+$C$5)&lt;&gt;"",50000*SIGN(BF745)*(分析データ!D745-INDEX(分析データ!D:D,ROW()+$C$5)),""),"")</f>
        <v/>
      </c>
      <c r="BI745">
        <f t="shared" ca="1" si="317"/>
        <v>4470000.0000000205</v>
      </c>
      <c r="BJ745">
        <f t="shared" ca="1" si="318"/>
        <v>4470000.0000000205</v>
      </c>
      <c r="BK745">
        <f t="shared" ca="1" si="319"/>
        <v>0</v>
      </c>
      <c r="BL745">
        <f ca="1">IF(ROW()&lt;($C$7+1),"",IFERROR((分析データ!E745-AVERAGE(OFFSET(分析データ!E$1,MAX(1,ROW()-$C$7),0,MIN($C$7,ROW()-1),1)))/STDEV(OFFSET(分析データ!E$1,MAX(1,ROW()-$C$7),0,MIN($C$7,ROW()-1),1)),0))</f>
        <v>0.87098917205438198</v>
      </c>
      <c r="BM745">
        <f t="shared" ca="1" si="320"/>
        <v>0</v>
      </c>
      <c r="BN745" t="str">
        <f ca="1">IF(BM745=1,IF(INDEX(分析データ!$A:$A,ROW()+$C$5)&lt;&gt;"",40000*SIGN(BL745)*(分析データ!E745-INDEX(分析データ!E:E,ROW()+$C$5)),""),"")</f>
        <v/>
      </c>
      <c r="BO745">
        <f t="shared" ca="1" si="321"/>
        <v>4280000.0000000028</v>
      </c>
      <c r="BP745">
        <f t="shared" ca="1" si="322"/>
        <v>4280000.0000000028</v>
      </c>
      <c r="BQ745">
        <f t="shared" ca="1" si="323"/>
        <v>0</v>
      </c>
      <c r="BR745">
        <f ca="1">IF(ROW()&lt;($C$7+1),"",IFERROR((分析データ!F745-AVERAGE(OFFSET(分析データ!F$1,MAX(1,ROW()-$C$7),0,MIN($C$7,ROW()-1),1)))/STDEV(OFFSET(分析データ!F$1,MAX(1,ROW()-$C$7),0,MIN($C$7,ROW()-1),1)),0))</f>
        <v>-0.78192543711814411</v>
      </c>
      <c r="BS745">
        <f t="shared" ca="1" si="324"/>
        <v>0</v>
      </c>
      <c r="BT745" t="str">
        <f ca="1">IF(BS745=1,IF(INDEX(分析データ!$A:$A,ROW()+$C$5)&lt;&gt;"",40000*SIGN(BR745)*(分析データ!F745-INDEX(分析データ!F:F,ROW()+$C$5)),""),"")</f>
        <v/>
      </c>
      <c r="BU745">
        <f t="shared" ca="1" si="325"/>
        <v>14917200.000000004</v>
      </c>
      <c r="BV745">
        <f t="shared" ca="1" si="326"/>
        <v>14917200.000000004</v>
      </c>
      <c r="BW745">
        <f t="shared" ca="1" si="327"/>
        <v>0</v>
      </c>
      <c r="BX745">
        <f ca="1">IF(ROW()&lt;($C$7+1),"",IFERROR((分析データ!G745-AVERAGE(OFFSET(分析データ!G$1,MAX(1,ROW()-$C$7),0,MIN($C$7,ROW()-1),1)))/STDEV(OFFSET(分析データ!G$1,MAX(1,ROW()-$C$7),0,MIN($C$7,ROW()-1),1)),0))</f>
        <v>1.346843436192616</v>
      </c>
      <c r="BY745">
        <f t="shared" ca="1" si="328"/>
        <v>0</v>
      </c>
      <c r="BZ745" t="str">
        <f ca="1">IF(BY745=1,IF(INDEX(分析データ!$A:$A,ROW()+$C$5)&lt;&gt;"",40000*SIGN(BX745)*(分析データ!G745-INDEX(分析データ!G:G,ROW()+$C$5)),""),"")</f>
        <v/>
      </c>
      <c r="CA745">
        <f t="shared" ca="1" si="329"/>
        <v>-3515452.8662109179</v>
      </c>
      <c r="CB745">
        <f t="shared" ca="1" si="330"/>
        <v>11327520.000000004</v>
      </c>
      <c r="CC745">
        <f t="shared" ca="1" si="331"/>
        <v>-14842972.866210923</v>
      </c>
      <c r="CD745">
        <f t="shared" ca="1" si="332"/>
        <v>0</v>
      </c>
      <c r="CE745">
        <f t="shared" ca="1" si="333"/>
        <v>18226747.133789144</v>
      </c>
      <c r="CF745">
        <f t="shared" ca="1" si="334"/>
        <v>19067197.138671909</v>
      </c>
      <c r="CG745">
        <f t="shared" ca="1" si="335"/>
        <v>-840450.00488276407</v>
      </c>
      <c r="CH745" s="10">
        <f>分析データ!A745</f>
        <v>46014</v>
      </c>
    </row>
    <row r="746" spans="46:86">
      <c r="AT746">
        <f ca="1">IF(ROW()&lt;($C$7+1),"",IFERROR((分析データ!B746-AVERAGE(OFFSET(分析データ!B$1,MAX(1,ROW()-$C$7),0,MIN($C$7,ROW()-1),1)))/STDEV(OFFSET(分析データ!B$1,MAX(1,ROW()-$C$7),0,MIN($C$7,ROW()-1),1)),0))</f>
        <v>0.5814463273770708</v>
      </c>
      <c r="AU746">
        <f t="shared" ca="1" si="308"/>
        <v>0</v>
      </c>
      <c r="AV746" t="str">
        <f ca="1">IF(AU746=1,IF(INDEX(分析データ!$A:$A,ROW()+$C$5)&lt;&gt;"",80000*SIGN(AT746)*(分析データ!B746-INDEX(分析データ!B:B,ROW()+$C$5)),""),"")</f>
        <v/>
      </c>
      <c r="AW746">
        <f t="shared" ca="1" si="309"/>
        <v>-4999999.9999999925</v>
      </c>
      <c r="AX746">
        <f t="shared" ca="1" si="310"/>
        <v>0</v>
      </c>
      <c r="AY746">
        <f t="shared" ca="1" si="311"/>
        <v>-4999999.9999999925</v>
      </c>
      <c r="AZ746">
        <f ca="1">IF(ROW()&lt;($C$7+1),"",IFERROR((分析データ!C746-AVERAGE(OFFSET(分析データ!C$1,MAX(1,ROW()-$C$7),0,MIN($C$7,ROW()-1),1)))/STDEV(OFFSET(分析データ!C$1,MAX(1,ROW()-$C$7),0,MIN($C$7,ROW()-1),1)),0))</f>
        <v>1.4482433566536821</v>
      </c>
      <c r="BA746">
        <f t="shared" ca="1" si="312"/>
        <v>0</v>
      </c>
      <c r="BB746" t="str">
        <f ca="1">IF(BA746=1,IF(INDEX(分析データ!$A:$A,ROW()+$C$5)&lt;&gt;"",60000*SIGN(AZ746)*(分析データ!C746-INDEX(分析データ!C:C,ROW()+$C$5)),""),"")</f>
        <v/>
      </c>
      <c r="BC746">
        <f t="shared" ca="1" si="313"/>
        <v>3075000.0000000102</v>
      </c>
      <c r="BD746">
        <f t="shared" ca="1" si="314"/>
        <v>3075000.0000000102</v>
      </c>
      <c r="BE746">
        <f t="shared" ca="1" si="315"/>
        <v>0</v>
      </c>
      <c r="BF746">
        <f ca="1">IF(ROW()&lt;($C$7+1),"",IFERROR((分析データ!D746-AVERAGE(OFFSET(分析データ!D$1,MAX(1,ROW()-$C$7),0,MIN($C$7,ROW()-1),1)))/STDEV(OFFSET(分析データ!D$1,MAX(1,ROW()-$C$7),0,MIN($C$7,ROW()-1),1)),0))</f>
        <v>-1.8835471663856207</v>
      </c>
      <c r="BG746">
        <f t="shared" ca="1" si="316"/>
        <v>0</v>
      </c>
      <c r="BH746" t="str">
        <f ca="1">IF(BG746=1,IF(INDEX(分析データ!$A:$A,ROW()+$C$5)&lt;&gt;"",50000*SIGN(BF746)*(分析データ!D746-INDEX(分析データ!D:D,ROW()+$C$5)),""),"")</f>
        <v/>
      </c>
      <c r="BI746">
        <f t="shared" ca="1" si="317"/>
        <v>4470000.0000000205</v>
      </c>
      <c r="BJ746">
        <f t="shared" ca="1" si="318"/>
        <v>4470000.0000000205</v>
      </c>
      <c r="BK746">
        <f t="shared" ca="1" si="319"/>
        <v>0</v>
      </c>
      <c r="BL746">
        <f ca="1">IF(ROW()&lt;($C$7+1),"",IFERROR((分析データ!E746-AVERAGE(OFFSET(分析データ!E$1,MAX(1,ROW()-$C$7),0,MIN($C$7,ROW()-1),1)))/STDEV(OFFSET(分析データ!E$1,MAX(1,ROW()-$C$7),0,MIN($C$7,ROW()-1),1)),0))</f>
        <v>0.77452556546364926</v>
      </c>
      <c r="BM746">
        <f t="shared" ca="1" si="320"/>
        <v>0</v>
      </c>
      <c r="BN746" t="str">
        <f ca="1">IF(BM746=1,IF(INDEX(分析データ!$A:$A,ROW()+$C$5)&lt;&gt;"",40000*SIGN(BL746)*(分析データ!E746-INDEX(分析データ!E:E,ROW()+$C$5)),""),"")</f>
        <v/>
      </c>
      <c r="BO746">
        <f t="shared" ca="1" si="321"/>
        <v>4280000.0000000028</v>
      </c>
      <c r="BP746">
        <f t="shared" ca="1" si="322"/>
        <v>4280000.0000000028</v>
      </c>
      <c r="BQ746">
        <f t="shared" ca="1" si="323"/>
        <v>0</v>
      </c>
      <c r="BR746">
        <f ca="1">IF(ROW()&lt;($C$7+1),"",IFERROR((分析データ!F746-AVERAGE(OFFSET(分析データ!F$1,MAX(1,ROW()-$C$7),0,MIN($C$7,ROW()-1),1)))/STDEV(OFFSET(分析データ!F$1,MAX(1,ROW()-$C$7),0,MIN($C$7,ROW()-1),1)),0))</f>
        <v>-0.80851280737410525</v>
      </c>
      <c r="BS746">
        <f t="shared" ca="1" si="324"/>
        <v>0</v>
      </c>
      <c r="BT746" t="str">
        <f ca="1">IF(BS746=1,IF(INDEX(分析データ!$A:$A,ROW()+$C$5)&lt;&gt;"",40000*SIGN(BR746)*(分析データ!F746-INDEX(分析データ!F:F,ROW()+$C$5)),""),"")</f>
        <v/>
      </c>
      <c r="BU746">
        <f t="shared" ca="1" si="325"/>
        <v>14917200.000000004</v>
      </c>
      <c r="BV746">
        <f t="shared" ca="1" si="326"/>
        <v>14917200.000000004</v>
      </c>
      <c r="BW746">
        <f t="shared" ca="1" si="327"/>
        <v>0</v>
      </c>
      <c r="BX746">
        <f ca="1">IF(ROW()&lt;($C$7+1),"",IFERROR((分析データ!G746-AVERAGE(OFFSET(分析データ!G$1,MAX(1,ROW()-$C$7),0,MIN($C$7,ROW()-1),1)))/STDEV(OFFSET(分析データ!G$1,MAX(1,ROW()-$C$7),0,MIN($C$7,ROW()-1),1)),0))</f>
        <v>1.384742790076033</v>
      </c>
      <c r="BY746">
        <f t="shared" ca="1" si="328"/>
        <v>0</v>
      </c>
      <c r="BZ746" t="str">
        <f ca="1">IF(BY746=1,IF(INDEX(分析データ!$A:$A,ROW()+$C$5)&lt;&gt;"",40000*SIGN(BX746)*(分析データ!G746-INDEX(分析データ!G:G,ROW()+$C$5)),""),"")</f>
        <v/>
      </c>
      <c r="CA746">
        <f t="shared" ca="1" si="329"/>
        <v>-3515452.8662109179</v>
      </c>
      <c r="CB746">
        <f t="shared" ca="1" si="330"/>
        <v>11327520.000000004</v>
      </c>
      <c r="CC746">
        <f t="shared" ca="1" si="331"/>
        <v>-14842972.866210923</v>
      </c>
      <c r="CD746">
        <f t="shared" ca="1" si="332"/>
        <v>0</v>
      </c>
      <c r="CE746">
        <f t="shared" ca="1" si="333"/>
        <v>18226747.133789144</v>
      </c>
      <c r="CF746">
        <f t="shared" ca="1" si="334"/>
        <v>19067197.138671909</v>
      </c>
      <c r="CG746">
        <f t="shared" ca="1" si="335"/>
        <v>-840450.00488276407</v>
      </c>
      <c r="CH746" s="10">
        <f>分析データ!A746</f>
        <v>46015</v>
      </c>
    </row>
    <row r="747" spans="46:86">
      <c r="AT747">
        <f ca="1">IF(ROW()&lt;($C$7+1),"",IFERROR((分析データ!B747-AVERAGE(OFFSET(分析データ!B$1,MAX(1,ROW()-$C$7),0,MIN($C$7,ROW()-1),1)))/STDEV(OFFSET(分析データ!B$1,MAX(1,ROW()-$C$7),0,MIN($C$7,ROW()-1),1)),0))</f>
        <v>0.14334863504978249</v>
      </c>
      <c r="AU747">
        <f t="shared" ca="1" si="308"/>
        <v>0</v>
      </c>
      <c r="AV747" t="str">
        <f ca="1">IF(AU747=1,IF(INDEX(分析データ!$A:$A,ROW()+$C$5)&lt;&gt;"",80000*SIGN(AT747)*(分析データ!B747-INDEX(分析データ!B:B,ROW()+$C$5)),""),"")</f>
        <v/>
      </c>
      <c r="AW747">
        <f t="shared" ca="1" si="309"/>
        <v>-4999999.9999999925</v>
      </c>
      <c r="AX747">
        <f t="shared" ca="1" si="310"/>
        <v>0</v>
      </c>
      <c r="AY747">
        <f t="shared" ca="1" si="311"/>
        <v>-4999999.9999999925</v>
      </c>
      <c r="AZ747">
        <f ca="1">IF(ROW()&lt;($C$7+1),"",IFERROR((分析データ!C747-AVERAGE(OFFSET(分析データ!C$1,MAX(1,ROW()-$C$7),0,MIN($C$7,ROW()-1),1)))/STDEV(OFFSET(分析データ!C$1,MAX(1,ROW()-$C$7),0,MIN($C$7,ROW()-1),1)),0))</f>
        <v>1.4079009137489893</v>
      </c>
      <c r="BA747">
        <f t="shared" ca="1" si="312"/>
        <v>0</v>
      </c>
      <c r="BB747" t="str">
        <f ca="1">IF(BA747=1,IF(INDEX(分析データ!$A:$A,ROW()+$C$5)&lt;&gt;"",60000*SIGN(AZ747)*(分析データ!C747-INDEX(分析データ!C:C,ROW()+$C$5)),""),"")</f>
        <v/>
      </c>
      <c r="BC747">
        <f t="shared" ca="1" si="313"/>
        <v>3075000.0000000102</v>
      </c>
      <c r="BD747">
        <f t="shared" ca="1" si="314"/>
        <v>3075000.0000000102</v>
      </c>
      <c r="BE747">
        <f t="shared" ca="1" si="315"/>
        <v>0</v>
      </c>
      <c r="BF747">
        <f ca="1">IF(ROW()&lt;($C$7+1),"",IFERROR((分析データ!D747-AVERAGE(OFFSET(分析データ!D$1,MAX(1,ROW()-$C$7),0,MIN($C$7,ROW()-1),1)))/STDEV(OFFSET(分析データ!D$1,MAX(1,ROW()-$C$7),0,MIN($C$7,ROW()-1),1)),0))</f>
        <v>-1.8819795805732256</v>
      </c>
      <c r="BG747">
        <f t="shared" ca="1" si="316"/>
        <v>0</v>
      </c>
      <c r="BH747" t="str">
        <f ca="1">IF(BG747=1,IF(INDEX(分析データ!$A:$A,ROW()+$C$5)&lt;&gt;"",50000*SIGN(BF747)*(分析データ!D747-INDEX(分析データ!D:D,ROW()+$C$5)),""),"")</f>
        <v/>
      </c>
      <c r="BI747">
        <f t="shared" ca="1" si="317"/>
        <v>4470000.0000000205</v>
      </c>
      <c r="BJ747">
        <f t="shared" ca="1" si="318"/>
        <v>4470000.0000000205</v>
      </c>
      <c r="BK747">
        <f t="shared" ca="1" si="319"/>
        <v>0</v>
      </c>
      <c r="BL747">
        <f ca="1">IF(ROW()&lt;($C$7+1),"",IFERROR((分析データ!E747-AVERAGE(OFFSET(分析データ!E$1,MAX(1,ROW()-$C$7),0,MIN($C$7,ROW()-1),1)))/STDEV(OFFSET(分析データ!E$1,MAX(1,ROW()-$C$7),0,MIN($C$7,ROW()-1),1)),0))</f>
        <v>0.86016873790341108</v>
      </c>
      <c r="BM747">
        <f t="shared" ca="1" si="320"/>
        <v>0</v>
      </c>
      <c r="BN747" t="str">
        <f ca="1">IF(BM747=1,IF(INDEX(分析データ!$A:$A,ROW()+$C$5)&lt;&gt;"",40000*SIGN(BL747)*(分析データ!E747-INDEX(分析データ!E:E,ROW()+$C$5)),""),"")</f>
        <v/>
      </c>
      <c r="BO747">
        <f t="shared" ca="1" si="321"/>
        <v>4280000.0000000028</v>
      </c>
      <c r="BP747">
        <f t="shared" ca="1" si="322"/>
        <v>4280000.0000000028</v>
      </c>
      <c r="BQ747">
        <f t="shared" ca="1" si="323"/>
        <v>0</v>
      </c>
      <c r="BR747">
        <f ca="1">IF(ROW()&lt;($C$7+1),"",IFERROR((分析データ!F747-AVERAGE(OFFSET(分析データ!F$1,MAX(1,ROW()-$C$7),0,MIN($C$7,ROW()-1),1)))/STDEV(OFFSET(分析データ!F$1,MAX(1,ROW()-$C$7),0,MIN($C$7,ROW()-1),1)),0))</f>
        <v>-0.71102505589664033</v>
      </c>
      <c r="BS747">
        <f t="shared" ca="1" si="324"/>
        <v>0</v>
      </c>
      <c r="BT747" t="str">
        <f ca="1">IF(BS747=1,IF(INDEX(分析データ!$A:$A,ROW()+$C$5)&lt;&gt;"",40000*SIGN(BR747)*(分析データ!F747-INDEX(分析データ!F:F,ROW()+$C$5)),""),"")</f>
        <v/>
      </c>
      <c r="BU747">
        <f t="shared" ca="1" si="325"/>
        <v>14917200.000000004</v>
      </c>
      <c r="BV747">
        <f t="shared" ca="1" si="326"/>
        <v>14917200.000000004</v>
      </c>
      <c r="BW747">
        <f t="shared" ca="1" si="327"/>
        <v>0</v>
      </c>
      <c r="BX747">
        <f ca="1">IF(ROW()&lt;($C$7+1),"",IFERROR((分析データ!G747-AVERAGE(OFFSET(分析データ!G$1,MAX(1,ROW()-$C$7),0,MIN($C$7,ROW()-1),1)))/STDEV(OFFSET(分析データ!G$1,MAX(1,ROW()-$C$7),0,MIN($C$7,ROW()-1),1)),0))</f>
        <v>1.3568909053020928</v>
      </c>
      <c r="BY747">
        <f t="shared" ca="1" si="328"/>
        <v>0</v>
      </c>
      <c r="BZ747" t="str">
        <f ca="1">IF(BY747=1,IF(INDEX(分析データ!$A:$A,ROW()+$C$5)&lt;&gt;"",40000*SIGN(BX747)*(分析データ!G747-INDEX(分析データ!G:G,ROW()+$C$5)),""),"")</f>
        <v/>
      </c>
      <c r="CA747">
        <f t="shared" ca="1" si="329"/>
        <v>-3515452.8662109179</v>
      </c>
      <c r="CB747">
        <f t="shared" ca="1" si="330"/>
        <v>11327520.000000004</v>
      </c>
      <c r="CC747">
        <f t="shared" ca="1" si="331"/>
        <v>-14842972.866210923</v>
      </c>
      <c r="CD747">
        <f t="shared" ca="1" si="332"/>
        <v>0</v>
      </c>
      <c r="CE747">
        <f t="shared" ca="1" si="333"/>
        <v>18226747.133789144</v>
      </c>
      <c r="CF747">
        <f t="shared" ca="1" si="334"/>
        <v>19067197.138671909</v>
      </c>
      <c r="CG747">
        <f t="shared" ca="1" si="335"/>
        <v>-840450.00488276407</v>
      </c>
      <c r="CH747" s="10">
        <f>分析データ!A747</f>
        <v>46017</v>
      </c>
    </row>
    <row r="748" spans="46:86">
      <c r="AT748">
        <f ca="1">IF(ROW()&lt;($C$7+1),"",IFERROR((分析データ!B748-AVERAGE(OFFSET(分析データ!B$1,MAX(1,ROW()-$C$7),0,MIN($C$7,ROW()-1),1)))/STDEV(OFFSET(分析データ!B$1,MAX(1,ROW()-$C$7),0,MIN($C$7,ROW()-1),1)),0))</f>
        <v>-0.14337460576721292</v>
      </c>
      <c r="AU748">
        <f t="shared" ca="1" si="308"/>
        <v>0</v>
      </c>
      <c r="AV748" t="str">
        <f ca="1">IF(AU748=1,IF(INDEX(分析データ!$A:$A,ROW()+$C$5)&lt;&gt;"",80000*SIGN(AT748)*(分析データ!B748-INDEX(分析データ!B:B,ROW()+$C$5)),""),"")</f>
        <v/>
      </c>
      <c r="AW748">
        <f t="shared" ca="1" si="309"/>
        <v>-4999999.9999999925</v>
      </c>
      <c r="AX748">
        <f t="shared" ca="1" si="310"/>
        <v>0</v>
      </c>
      <c r="AY748">
        <f t="shared" ca="1" si="311"/>
        <v>-4999999.9999999925</v>
      </c>
      <c r="AZ748">
        <f ca="1">IF(ROW()&lt;($C$7+1),"",IFERROR((分析データ!C748-AVERAGE(OFFSET(分析データ!C$1,MAX(1,ROW()-$C$7),0,MIN($C$7,ROW()-1),1)))/STDEV(OFFSET(分析データ!C$1,MAX(1,ROW()-$C$7),0,MIN($C$7,ROW()-1),1)),0))</f>
        <v>1.2655283406209816</v>
      </c>
      <c r="BA748">
        <f t="shared" ca="1" si="312"/>
        <v>0</v>
      </c>
      <c r="BB748" t="str">
        <f ca="1">IF(BA748=1,IF(INDEX(分析データ!$A:$A,ROW()+$C$5)&lt;&gt;"",60000*SIGN(AZ748)*(分析データ!C748-INDEX(分析データ!C:C,ROW()+$C$5)),""),"")</f>
        <v/>
      </c>
      <c r="BC748">
        <f t="shared" ca="1" si="313"/>
        <v>3075000.0000000102</v>
      </c>
      <c r="BD748">
        <f t="shared" ca="1" si="314"/>
        <v>3075000.0000000102</v>
      </c>
      <c r="BE748">
        <f t="shared" ca="1" si="315"/>
        <v>0</v>
      </c>
      <c r="BF748">
        <f ca="1">IF(ROW()&lt;($C$7+1),"",IFERROR((分析データ!D748-AVERAGE(OFFSET(分析データ!D$1,MAX(1,ROW()-$C$7),0,MIN($C$7,ROW()-1),1)))/STDEV(OFFSET(分析データ!D$1,MAX(1,ROW()-$C$7),0,MIN($C$7,ROW()-1),1)),0))</f>
        <v>-1.9584956793184494</v>
      </c>
      <c r="BG748">
        <f t="shared" ca="1" si="316"/>
        <v>0</v>
      </c>
      <c r="BH748" t="str">
        <f ca="1">IF(BG748=1,IF(INDEX(分析データ!$A:$A,ROW()+$C$5)&lt;&gt;"",50000*SIGN(BF748)*(分析データ!D748-INDEX(分析データ!D:D,ROW()+$C$5)),""),"")</f>
        <v/>
      </c>
      <c r="BI748">
        <f t="shared" ca="1" si="317"/>
        <v>4470000.0000000205</v>
      </c>
      <c r="BJ748">
        <f t="shared" ca="1" si="318"/>
        <v>4470000.0000000205</v>
      </c>
      <c r="BK748">
        <f t="shared" ca="1" si="319"/>
        <v>0</v>
      </c>
      <c r="BL748">
        <f ca="1">IF(ROW()&lt;($C$7+1),"",IFERROR((分析データ!E748-AVERAGE(OFFSET(分析データ!E$1,MAX(1,ROW()-$C$7),0,MIN($C$7,ROW()-1),1)))/STDEV(OFFSET(分析データ!E$1,MAX(1,ROW()-$C$7),0,MIN($C$7,ROW()-1),1)),0))</f>
        <v>0.76236859263883194</v>
      </c>
      <c r="BM748">
        <f t="shared" ca="1" si="320"/>
        <v>0</v>
      </c>
      <c r="BN748" t="str">
        <f ca="1">IF(BM748=1,IF(INDEX(分析データ!$A:$A,ROW()+$C$5)&lt;&gt;"",40000*SIGN(BL748)*(分析データ!E748-INDEX(分析データ!E:E,ROW()+$C$5)),""),"")</f>
        <v/>
      </c>
      <c r="BO748">
        <f t="shared" ca="1" si="321"/>
        <v>4280000.0000000028</v>
      </c>
      <c r="BP748">
        <f t="shared" ca="1" si="322"/>
        <v>4280000.0000000028</v>
      </c>
      <c r="BQ748">
        <f t="shared" ca="1" si="323"/>
        <v>0</v>
      </c>
      <c r="BR748">
        <f ca="1">IF(ROW()&lt;($C$7+1),"",IFERROR((分析データ!F748-AVERAGE(OFFSET(分析データ!F$1,MAX(1,ROW()-$C$7),0,MIN($C$7,ROW()-1),1)))/STDEV(OFFSET(分析データ!F$1,MAX(1,ROW()-$C$7),0,MIN($C$7,ROW()-1),1)),0))</f>
        <v>-0.63891177994558768</v>
      </c>
      <c r="BS748">
        <f t="shared" ca="1" si="324"/>
        <v>0</v>
      </c>
      <c r="BT748" t="str">
        <f ca="1">IF(BS748=1,IF(INDEX(分析データ!$A:$A,ROW()+$C$5)&lt;&gt;"",40000*SIGN(BR748)*(分析データ!F748-INDEX(分析データ!F:F,ROW()+$C$5)),""),"")</f>
        <v/>
      </c>
      <c r="BU748">
        <f t="shared" ca="1" si="325"/>
        <v>14917200.000000004</v>
      </c>
      <c r="BV748">
        <f t="shared" ca="1" si="326"/>
        <v>14917200.000000004</v>
      </c>
      <c r="BW748">
        <f t="shared" ca="1" si="327"/>
        <v>0</v>
      </c>
      <c r="BX748">
        <f ca="1">IF(ROW()&lt;($C$7+1),"",IFERROR((分析データ!G748-AVERAGE(OFFSET(分析データ!G$1,MAX(1,ROW()-$C$7),0,MIN($C$7,ROW()-1),1)))/STDEV(OFFSET(分析データ!G$1,MAX(1,ROW()-$C$7),0,MIN($C$7,ROW()-1),1)),0))</f>
        <v>1.3717613522526464</v>
      </c>
      <c r="BY748">
        <f t="shared" ca="1" si="328"/>
        <v>0</v>
      </c>
      <c r="BZ748" t="str">
        <f ca="1">IF(BY748=1,IF(INDEX(分析データ!$A:$A,ROW()+$C$5)&lt;&gt;"",40000*SIGN(BX748)*(分析データ!G748-INDEX(分析データ!G:G,ROW()+$C$5)),""),"")</f>
        <v/>
      </c>
      <c r="CA748">
        <f t="shared" ca="1" si="329"/>
        <v>-3515452.8662109179</v>
      </c>
      <c r="CB748">
        <f t="shared" ca="1" si="330"/>
        <v>11327520.000000004</v>
      </c>
      <c r="CC748">
        <f t="shared" ca="1" si="331"/>
        <v>-14842972.866210923</v>
      </c>
      <c r="CD748">
        <f t="shared" ca="1" si="332"/>
        <v>0</v>
      </c>
      <c r="CE748">
        <f t="shared" ca="1" si="333"/>
        <v>18226747.133789144</v>
      </c>
      <c r="CF748">
        <f t="shared" ca="1" si="334"/>
        <v>19067197.138671909</v>
      </c>
      <c r="CG748">
        <f t="shared" ca="1" si="335"/>
        <v>-840450.00488276407</v>
      </c>
      <c r="CH748" s="10">
        <f>分析データ!A748</f>
        <v>46020</v>
      </c>
    </row>
    <row r="749" spans="46:86">
      <c r="AT749">
        <f ca="1">IF(ROW()&lt;($C$7+1),"",IFERROR((分析データ!B749-AVERAGE(OFFSET(分析データ!B$1,MAX(1,ROW()-$C$7),0,MIN($C$7,ROW()-1),1)))/STDEV(OFFSET(分析データ!B$1,MAX(1,ROW()-$C$7),0,MIN($C$7,ROW()-1),1)),0))</f>
        <v>0.30584058378509787</v>
      </c>
      <c r="AU749">
        <f t="shared" ca="1" si="308"/>
        <v>0</v>
      </c>
      <c r="AV749" t="str">
        <f ca="1">IF(AU749=1,IF(INDEX(分析データ!$A:$A,ROW()+$C$5)&lt;&gt;"",80000*SIGN(AT749)*(分析データ!B749-INDEX(分析データ!B:B,ROW()+$C$5)),""),"")</f>
        <v/>
      </c>
      <c r="AW749">
        <f t="shared" ca="1" si="309"/>
        <v>-4999999.9999999925</v>
      </c>
      <c r="AX749">
        <f t="shared" ca="1" si="310"/>
        <v>0</v>
      </c>
      <c r="AY749">
        <f t="shared" ca="1" si="311"/>
        <v>-4999999.9999999925</v>
      </c>
      <c r="AZ749">
        <f ca="1">IF(ROW()&lt;($C$7+1),"",IFERROR((分析データ!C749-AVERAGE(OFFSET(分析データ!C$1,MAX(1,ROW()-$C$7),0,MIN($C$7,ROW()-1),1)))/STDEV(OFFSET(分析データ!C$1,MAX(1,ROW()-$C$7),0,MIN($C$7,ROW()-1),1)),0))</f>
        <v>1.4466802296086225</v>
      </c>
      <c r="BA749">
        <f t="shared" ca="1" si="312"/>
        <v>0</v>
      </c>
      <c r="BB749" t="str">
        <f ca="1">IF(BA749=1,IF(INDEX(分析データ!$A:$A,ROW()+$C$5)&lt;&gt;"",60000*SIGN(AZ749)*(分析データ!C749-INDEX(分析データ!C:C,ROW()+$C$5)),""),"")</f>
        <v/>
      </c>
      <c r="BC749">
        <f t="shared" ca="1" si="313"/>
        <v>3075000.0000000102</v>
      </c>
      <c r="BD749">
        <f t="shared" ca="1" si="314"/>
        <v>3075000.0000000102</v>
      </c>
      <c r="BE749">
        <f t="shared" ca="1" si="315"/>
        <v>0</v>
      </c>
      <c r="BF749">
        <f ca="1">IF(ROW()&lt;($C$7+1),"",IFERROR((分析データ!D749-AVERAGE(OFFSET(分析データ!D$1,MAX(1,ROW()-$C$7),0,MIN($C$7,ROW()-1),1)))/STDEV(OFFSET(分析データ!D$1,MAX(1,ROW()-$C$7),0,MIN($C$7,ROW()-1),1)),0))</f>
        <v>-1.9275879237060971</v>
      </c>
      <c r="BG749">
        <f t="shared" ca="1" si="316"/>
        <v>0</v>
      </c>
      <c r="BH749" t="str">
        <f ca="1">IF(BG749=1,IF(INDEX(分析データ!$A:$A,ROW()+$C$5)&lt;&gt;"",50000*SIGN(BF749)*(分析データ!D749-INDEX(分析データ!D:D,ROW()+$C$5)),""),"")</f>
        <v/>
      </c>
      <c r="BI749">
        <f t="shared" ca="1" si="317"/>
        <v>4470000.0000000205</v>
      </c>
      <c r="BJ749">
        <f t="shared" ca="1" si="318"/>
        <v>4470000.0000000205</v>
      </c>
      <c r="BK749">
        <f t="shared" ca="1" si="319"/>
        <v>0</v>
      </c>
      <c r="BL749">
        <f ca="1">IF(ROW()&lt;($C$7+1),"",IFERROR((分析データ!E749-AVERAGE(OFFSET(分析データ!E$1,MAX(1,ROW()-$C$7),0,MIN($C$7,ROW()-1),1)))/STDEV(OFFSET(分析データ!E$1,MAX(1,ROW()-$C$7),0,MIN($C$7,ROW()-1),1)),0))</f>
        <v>0.84911151012325448</v>
      </c>
      <c r="BM749">
        <f t="shared" ca="1" si="320"/>
        <v>0</v>
      </c>
      <c r="BN749" t="str">
        <f ca="1">IF(BM749=1,IF(INDEX(分析データ!$A:$A,ROW()+$C$5)&lt;&gt;"",40000*SIGN(BL749)*(分析データ!E749-INDEX(分析データ!E:E,ROW()+$C$5)),""),"")</f>
        <v/>
      </c>
      <c r="BO749">
        <f t="shared" ca="1" si="321"/>
        <v>4280000.0000000028</v>
      </c>
      <c r="BP749">
        <f t="shared" ca="1" si="322"/>
        <v>4280000.0000000028</v>
      </c>
      <c r="BQ749">
        <f t="shared" ca="1" si="323"/>
        <v>0</v>
      </c>
      <c r="BR749">
        <f ca="1">IF(ROW()&lt;($C$7+1),"",IFERROR((分析データ!F749-AVERAGE(OFFSET(分析データ!F$1,MAX(1,ROW()-$C$7),0,MIN($C$7,ROW()-1),1)))/STDEV(OFFSET(分析データ!F$1,MAX(1,ROW()-$C$7),0,MIN($C$7,ROW()-1),1)),0))</f>
        <v>-0.80683411409051242</v>
      </c>
      <c r="BS749">
        <f t="shared" ca="1" si="324"/>
        <v>0</v>
      </c>
      <c r="BT749" t="str">
        <f ca="1">IF(BS749=1,IF(INDEX(分析データ!$A:$A,ROW()+$C$5)&lt;&gt;"",40000*SIGN(BR749)*(分析データ!F749-INDEX(分析データ!F:F,ROW()+$C$5)),""),"")</f>
        <v/>
      </c>
      <c r="BU749">
        <f t="shared" ca="1" si="325"/>
        <v>14917200.000000004</v>
      </c>
      <c r="BV749">
        <f t="shared" ca="1" si="326"/>
        <v>14917200.000000004</v>
      </c>
      <c r="BW749">
        <f t="shared" ca="1" si="327"/>
        <v>0</v>
      </c>
      <c r="BX749">
        <f ca="1">IF(ROW()&lt;($C$7+1),"",IFERROR((分析データ!G749-AVERAGE(OFFSET(分析データ!G$1,MAX(1,ROW()-$C$7),0,MIN($C$7,ROW()-1),1)))/STDEV(OFFSET(分析データ!G$1,MAX(1,ROW()-$C$7),0,MIN($C$7,ROW()-1),1)),0))</f>
        <v>1.5336152984717106</v>
      </c>
      <c r="BY749">
        <f t="shared" ca="1" si="328"/>
        <v>0</v>
      </c>
      <c r="BZ749" t="str">
        <f ca="1">IF(BY749=1,IF(INDEX(分析データ!$A:$A,ROW()+$C$5)&lt;&gt;"",40000*SIGN(BX749)*(分析データ!G749-INDEX(分析データ!G:G,ROW()+$C$5)),""),"")</f>
        <v/>
      </c>
      <c r="CA749">
        <f t="shared" ca="1" si="329"/>
        <v>-3515452.8662109179</v>
      </c>
      <c r="CB749">
        <f t="shared" ca="1" si="330"/>
        <v>11327520.000000004</v>
      </c>
      <c r="CC749">
        <f t="shared" ca="1" si="331"/>
        <v>-14842972.866210923</v>
      </c>
      <c r="CD749">
        <f t="shared" ca="1" si="332"/>
        <v>0</v>
      </c>
      <c r="CE749">
        <f t="shared" ca="1" si="333"/>
        <v>18226747.133789144</v>
      </c>
      <c r="CF749">
        <f t="shared" ca="1" si="334"/>
        <v>19067197.138671909</v>
      </c>
      <c r="CG749">
        <f t="shared" ca="1" si="335"/>
        <v>-840450.00488276407</v>
      </c>
      <c r="CH749" s="10">
        <f>分析データ!A749</f>
        <v>46021</v>
      </c>
    </row>
    <row r="750" spans="46:86">
      <c r="AT750">
        <f ca="1">IF(ROW()&lt;($C$7+1),"",IFERROR((分析データ!B750-AVERAGE(OFFSET(分析データ!B$1,MAX(1,ROW()-$C$7),0,MIN($C$7,ROW()-1),1)))/STDEV(OFFSET(分析データ!B$1,MAX(1,ROW()-$C$7),0,MIN($C$7,ROW()-1),1)),0))</f>
        <v>0.75506567011527703</v>
      </c>
      <c r="AU750">
        <f t="shared" ca="1" si="308"/>
        <v>0</v>
      </c>
      <c r="AV750" t="str">
        <f ca="1">IF(AU750=1,IF(INDEX(分析データ!$A:$A,ROW()+$C$5)&lt;&gt;"",80000*SIGN(AT750)*(分析データ!B750-INDEX(分析データ!B:B,ROW()+$C$5)),""),"")</f>
        <v/>
      </c>
      <c r="AW750">
        <f t="shared" ca="1" si="309"/>
        <v>-4999999.9999999925</v>
      </c>
      <c r="AX750">
        <f t="shared" ca="1" si="310"/>
        <v>0</v>
      </c>
      <c r="AY750">
        <f t="shared" ca="1" si="311"/>
        <v>-4999999.9999999925</v>
      </c>
      <c r="AZ750">
        <f ca="1">IF(ROW()&lt;($C$7+1),"",IFERROR((分析データ!C750-AVERAGE(OFFSET(分析データ!C$1,MAX(1,ROW()-$C$7),0,MIN($C$7,ROW()-1),1)))/STDEV(OFFSET(分析データ!C$1,MAX(1,ROW()-$C$7),0,MIN($C$7,ROW()-1),1)),0))</f>
        <v>1.4343352218590371</v>
      </c>
      <c r="BA750">
        <f t="shared" ca="1" si="312"/>
        <v>0</v>
      </c>
      <c r="BB750" t="str">
        <f ca="1">IF(BA750=1,IF(INDEX(分析データ!$A:$A,ROW()+$C$5)&lt;&gt;"",60000*SIGN(AZ750)*(分析データ!C750-INDEX(分析データ!C:C,ROW()+$C$5)),""),"")</f>
        <v/>
      </c>
      <c r="BC750">
        <f t="shared" ca="1" si="313"/>
        <v>3075000.0000000102</v>
      </c>
      <c r="BD750">
        <f t="shared" ca="1" si="314"/>
        <v>3075000.0000000102</v>
      </c>
      <c r="BE750">
        <f t="shared" ca="1" si="315"/>
        <v>0</v>
      </c>
      <c r="BF750">
        <f ca="1">IF(ROW()&lt;($C$7+1),"",IFERROR((分析データ!D750-AVERAGE(OFFSET(分析データ!D$1,MAX(1,ROW()-$C$7),0,MIN($C$7,ROW()-1),1)))/STDEV(OFFSET(分析データ!D$1,MAX(1,ROW()-$C$7),0,MIN($C$7,ROW()-1),1)),0))</f>
        <v>-1.8038499174396683</v>
      </c>
      <c r="BG750">
        <f t="shared" ca="1" si="316"/>
        <v>0</v>
      </c>
      <c r="BH750" t="str">
        <f ca="1">IF(BG750=1,IF(INDEX(分析データ!$A:$A,ROW()+$C$5)&lt;&gt;"",50000*SIGN(BF750)*(分析データ!D750-INDEX(分析データ!D:D,ROW()+$C$5)),""),"")</f>
        <v/>
      </c>
      <c r="BI750">
        <f t="shared" ca="1" si="317"/>
        <v>4470000.0000000205</v>
      </c>
      <c r="BJ750">
        <f t="shared" ca="1" si="318"/>
        <v>4470000.0000000205</v>
      </c>
      <c r="BK750">
        <f t="shared" ca="1" si="319"/>
        <v>0</v>
      </c>
      <c r="BL750">
        <f ca="1">IF(ROW()&lt;($C$7+1),"",IFERROR((分析データ!E750-AVERAGE(OFFSET(分析データ!E$1,MAX(1,ROW()-$C$7),0,MIN($C$7,ROW()-1),1)))/STDEV(OFFSET(分析データ!E$1,MAX(1,ROW()-$C$7),0,MIN($C$7,ROW()-1),1)),0))</f>
        <v>0.75002109264441141</v>
      </c>
      <c r="BM750">
        <f t="shared" ca="1" si="320"/>
        <v>0</v>
      </c>
      <c r="BN750" t="str">
        <f ca="1">IF(BM750=1,IF(INDEX(分析データ!$A:$A,ROW()+$C$5)&lt;&gt;"",40000*SIGN(BL750)*(分析データ!E750-INDEX(分析データ!E:E,ROW()+$C$5)),""),"")</f>
        <v/>
      </c>
      <c r="BO750">
        <f t="shared" ca="1" si="321"/>
        <v>4280000.0000000028</v>
      </c>
      <c r="BP750">
        <f t="shared" ca="1" si="322"/>
        <v>4280000.0000000028</v>
      </c>
      <c r="BQ750">
        <f t="shared" ca="1" si="323"/>
        <v>0</v>
      </c>
      <c r="BR750">
        <f ca="1">IF(ROW()&lt;($C$7+1),"",IFERROR((分析データ!F750-AVERAGE(OFFSET(分析データ!F$1,MAX(1,ROW()-$C$7),0,MIN($C$7,ROW()-1),1)))/STDEV(OFFSET(分析データ!F$1,MAX(1,ROW()-$C$7),0,MIN($C$7,ROW()-1),1)),0))</f>
        <v>-0.86933352125133434</v>
      </c>
      <c r="BS750">
        <f t="shared" ca="1" si="324"/>
        <v>0</v>
      </c>
      <c r="BT750" t="str">
        <f ca="1">IF(BS750=1,IF(INDEX(分析データ!$A:$A,ROW()+$C$5)&lt;&gt;"",40000*SIGN(BR750)*(分析データ!F750-INDEX(分析データ!F:F,ROW()+$C$5)),""),"")</f>
        <v/>
      </c>
      <c r="BU750">
        <f t="shared" ca="1" si="325"/>
        <v>14917200.000000004</v>
      </c>
      <c r="BV750">
        <f t="shared" ca="1" si="326"/>
        <v>14917200.000000004</v>
      </c>
      <c r="BW750">
        <f t="shared" ca="1" si="327"/>
        <v>0</v>
      </c>
      <c r="BX750">
        <f ca="1">IF(ROW()&lt;($C$7+1),"",IFERROR((分析データ!G750-AVERAGE(OFFSET(分析データ!G$1,MAX(1,ROW()-$C$7),0,MIN($C$7,ROW()-1),1)))/STDEV(OFFSET(分析データ!G$1,MAX(1,ROW()-$C$7),0,MIN($C$7,ROW()-1),1)),0))</f>
        <v>1.4925465015895174</v>
      </c>
      <c r="BY750">
        <f t="shared" ca="1" si="328"/>
        <v>0</v>
      </c>
      <c r="BZ750" t="str">
        <f ca="1">IF(BY750=1,IF(INDEX(分析データ!$A:$A,ROW()+$C$5)&lt;&gt;"",40000*SIGN(BX750)*(分析データ!G750-INDEX(分析データ!G:G,ROW()+$C$5)),""),"")</f>
        <v/>
      </c>
      <c r="CA750">
        <f t="shared" ca="1" si="329"/>
        <v>-3515452.8662109179</v>
      </c>
      <c r="CB750">
        <f t="shared" ca="1" si="330"/>
        <v>11327520.000000004</v>
      </c>
      <c r="CC750">
        <f t="shared" ca="1" si="331"/>
        <v>-14842972.866210923</v>
      </c>
      <c r="CD750">
        <f t="shared" ca="1" si="332"/>
        <v>0</v>
      </c>
      <c r="CE750">
        <f t="shared" ca="1" si="333"/>
        <v>18226747.133789144</v>
      </c>
      <c r="CF750">
        <f t="shared" ca="1" si="334"/>
        <v>19067197.138671909</v>
      </c>
      <c r="CG750">
        <f t="shared" ca="1" si="335"/>
        <v>-840450.00488276407</v>
      </c>
      <c r="CH750" s="10">
        <f>分析データ!A750</f>
        <v>46022</v>
      </c>
    </row>
    <row r="751" spans="46:86">
      <c r="AT751">
        <f ca="1">IF(ROW()&lt;($C$7+1),"",IFERROR((分析データ!B751-AVERAGE(OFFSET(分析データ!B$1,MAX(1,ROW()-$C$7),0,MIN($C$7,ROW()-1),1)))/STDEV(OFFSET(分析データ!B$1,MAX(1,ROW()-$C$7),0,MIN($C$7,ROW()-1),1)),0))</f>
        <v>0.76185575821564011</v>
      </c>
      <c r="AU751">
        <f t="shared" ca="1" si="308"/>
        <v>0</v>
      </c>
      <c r="AV751" t="str">
        <f ca="1">IF(AU751=1,IF(INDEX(分析データ!$A:$A,ROW()+$C$5)&lt;&gt;"",80000*SIGN(AT751)*(分析データ!B751-INDEX(分析データ!B:B,ROW()+$C$5)),""),"")</f>
        <v/>
      </c>
      <c r="AW751">
        <f t="shared" ca="1" si="309"/>
        <v>-4999999.9999999925</v>
      </c>
      <c r="AX751">
        <f t="shared" ca="1" si="310"/>
        <v>0</v>
      </c>
      <c r="AY751">
        <f t="shared" ca="1" si="311"/>
        <v>-4999999.9999999925</v>
      </c>
      <c r="AZ751">
        <f ca="1">IF(ROW()&lt;($C$7+1),"",IFERROR((分析データ!C751-AVERAGE(OFFSET(分析データ!C$1,MAX(1,ROW()-$C$7),0,MIN($C$7,ROW()-1),1)))/STDEV(OFFSET(分析データ!C$1,MAX(1,ROW()-$C$7),0,MIN($C$7,ROW()-1),1)),0))</f>
        <v>1.4222511804862819</v>
      </c>
      <c r="BA751">
        <f t="shared" ca="1" si="312"/>
        <v>0</v>
      </c>
      <c r="BB751" t="str">
        <f ca="1">IF(BA751=1,IF(INDEX(分析データ!$A:$A,ROW()+$C$5)&lt;&gt;"",60000*SIGN(AZ751)*(分析データ!C751-INDEX(分析データ!C:C,ROW()+$C$5)),""),"")</f>
        <v/>
      </c>
      <c r="BC751">
        <f t="shared" ca="1" si="313"/>
        <v>3075000.0000000102</v>
      </c>
      <c r="BD751">
        <f t="shared" ca="1" si="314"/>
        <v>3075000.0000000102</v>
      </c>
      <c r="BE751">
        <f t="shared" ca="1" si="315"/>
        <v>0</v>
      </c>
      <c r="BF751">
        <f ca="1">IF(ROW()&lt;($C$7+1),"",IFERROR((分析データ!D751-AVERAGE(OFFSET(分析データ!D$1,MAX(1,ROW()-$C$7),0,MIN($C$7,ROW()-1),1)))/STDEV(OFFSET(分析データ!D$1,MAX(1,ROW()-$C$7),0,MIN($C$7,ROW()-1),1)),0))</f>
        <v>-1.7647663667681861</v>
      </c>
      <c r="BG751">
        <f t="shared" ca="1" si="316"/>
        <v>0</v>
      </c>
      <c r="BH751" t="str">
        <f ca="1">IF(BG751=1,IF(INDEX(分析データ!$A:$A,ROW()+$C$5)&lt;&gt;"",50000*SIGN(BF751)*(分析データ!D751-INDEX(分析データ!D:D,ROW()+$C$5)),""),"")</f>
        <v/>
      </c>
      <c r="BI751">
        <f t="shared" ca="1" si="317"/>
        <v>4470000.0000000205</v>
      </c>
      <c r="BJ751">
        <f t="shared" ca="1" si="318"/>
        <v>4470000.0000000205</v>
      </c>
      <c r="BK751">
        <f t="shared" ca="1" si="319"/>
        <v>0</v>
      </c>
      <c r="BL751">
        <f ca="1">IF(ROW()&lt;($C$7+1),"",IFERROR((分析データ!E751-AVERAGE(OFFSET(分析データ!E$1,MAX(1,ROW()-$C$7),0,MIN($C$7,ROW()-1),1)))/STDEV(OFFSET(分析データ!E$1,MAX(1,ROW()-$C$7),0,MIN($C$7,ROW()-1),1)),0))</f>
        <v>0.74403940042079253</v>
      </c>
      <c r="BM751">
        <f t="shared" ca="1" si="320"/>
        <v>0</v>
      </c>
      <c r="BN751" t="str">
        <f ca="1">IF(BM751=1,IF(INDEX(分析データ!$A:$A,ROW()+$C$5)&lt;&gt;"",40000*SIGN(BL751)*(分析データ!E751-INDEX(分析データ!E:E,ROW()+$C$5)),""),"")</f>
        <v/>
      </c>
      <c r="BO751">
        <f t="shared" ca="1" si="321"/>
        <v>4280000.0000000028</v>
      </c>
      <c r="BP751">
        <f t="shared" ca="1" si="322"/>
        <v>4280000.0000000028</v>
      </c>
      <c r="BQ751">
        <f t="shared" ca="1" si="323"/>
        <v>0</v>
      </c>
      <c r="BR751">
        <f ca="1">IF(ROW()&lt;($C$7+1),"",IFERROR((分析データ!F751-AVERAGE(OFFSET(分析データ!F$1,MAX(1,ROW()-$C$7),0,MIN($C$7,ROW()-1),1)))/STDEV(OFFSET(分析データ!F$1,MAX(1,ROW()-$C$7),0,MIN($C$7,ROW()-1),1)),0))</f>
        <v>-0.98127058035521553</v>
      </c>
      <c r="BS751">
        <f t="shared" ca="1" si="324"/>
        <v>0</v>
      </c>
      <c r="BT751" t="str">
        <f ca="1">IF(BS751=1,IF(INDEX(分析データ!$A:$A,ROW()+$C$5)&lt;&gt;"",40000*SIGN(BR751)*(分析データ!F751-INDEX(分析データ!F:F,ROW()+$C$5)),""),"")</f>
        <v/>
      </c>
      <c r="BU751">
        <f t="shared" ca="1" si="325"/>
        <v>14917200.000000004</v>
      </c>
      <c r="BV751">
        <f t="shared" ca="1" si="326"/>
        <v>14917200.000000004</v>
      </c>
      <c r="BW751">
        <f t="shared" ca="1" si="327"/>
        <v>0</v>
      </c>
      <c r="BX751">
        <f ca="1">IF(ROW()&lt;($C$7+1),"",IFERROR((分析データ!G751-AVERAGE(OFFSET(分析データ!G$1,MAX(1,ROW()-$C$7),0,MIN($C$7,ROW()-1),1)))/STDEV(OFFSET(分析データ!G$1,MAX(1,ROW()-$C$7),0,MIN($C$7,ROW()-1),1)),0))</f>
        <v>1.5215599880472528</v>
      </c>
      <c r="BY751">
        <f t="shared" ca="1" si="328"/>
        <v>0</v>
      </c>
      <c r="BZ751" t="str">
        <f ca="1">IF(BY751=1,IF(INDEX(分析データ!$A:$A,ROW()+$C$5)&lt;&gt;"",40000*SIGN(BX751)*(分析データ!G751-INDEX(分析データ!G:G,ROW()+$C$5)),""),"")</f>
        <v/>
      </c>
      <c r="CA751">
        <f t="shared" ca="1" si="329"/>
        <v>-3515452.8662109179</v>
      </c>
      <c r="CB751">
        <f t="shared" ca="1" si="330"/>
        <v>11327520.000000004</v>
      </c>
      <c r="CC751">
        <f t="shared" ca="1" si="331"/>
        <v>-14842972.866210923</v>
      </c>
      <c r="CD751">
        <f t="shared" ca="1" si="332"/>
        <v>0</v>
      </c>
      <c r="CE751">
        <f t="shared" ca="1" si="333"/>
        <v>18226747.133789144</v>
      </c>
      <c r="CF751">
        <f t="shared" ca="1" si="334"/>
        <v>19067197.138671909</v>
      </c>
      <c r="CG751">
        <f t="shared" ca="1" si="335"/>
        <v>-840450.00488276407</v>
      </c>
      <c r="CH751" s="10">
        <f>分析データ!A751</f>
        <v>46024</v>
      </c>
    </row>
    <row r="752" spans="46:86">
      <c r="AT752">
        <f ca="1">IF(ROW()&lt;($C$7+1),"",IFERROR((分析データ!B752-AVERAGE(OFFSET(分析データ!B$1,MAX(1,ROW()-$C$7),0,MIN($C$7,ROW()-1),1)))/STDEV(OFFSET(分析データ!B$1,MAX(1,ROW()-$C$7),0,MIN($C$7,ROW()-1),1)),0))</f>
        <v>0.46881440212573533</v>
      </c>
      <c r="AU752">
        <f t="shared" ca="1" si="308"/>
        <v>0</v>
      </c>
      <c r="AV752" t="str">
        <f ca="1">IF(AU752=1,IF(INDEX(分析データ!$A:$A,ROW()+$C$5)&lt;&gt;"",80000*SIGN(AT752)*(分析データ!B752-INDEX(分析データ!B:B,ROW()+$C$5)),""),"")</f>
        <v/>
      </c>
      <c r="AW752">
        <f t="shared" ca="1" si="309"/>
        <v>-4999999.9999999925</v>
      </c>
      <c r="AX752">
        <f t="shared" ca="1" si="310"/>
        <v>0</v>
      </c>
      <c r="AY752">
        <f t="shared" ca="1" si="311"/>
        <v>-4999999.9999999925</v>
      </c>
      <c r="AZ752">
        <f ca="1">IF(ROW()&lt;($C$7+1),"",IFERROR((分析データ!C752-AVERAGE(OFFSET(分析データ!C$1,MAX(1,ROW()-$C$7),0,MIN($C$7,ROW()-1),1)))/STDEV(OFFSET(分析データ!C$1,MAX(1,ROW()-$C$7),0,MIN($C$7,ROW()-1),1)),0))</f>
        <v>1.5716865327375249</v>
      </c>
      <c r="BA752">
        <f t="shared" ca="1" si="312"/>
        <v>0</v>
      </c>
      <c r="BB752" t="str">
        <f ca="1">IF(BA752=1,IF(INDEX(分析データ!$A:$A,ROW()+$C$5)&lt;&gt;"",60000*SIGN(AZ752)*(分析データ!C752-INDEX(分析データ!C:C,ROW()+$C$5)),""),"")</f>
        <v/>
      </c>
      <c r="BC752">
        <f t="shared" ca="1" si="313"/>
        <v>3075000.0000000102</v>
      </c>
      <c r="BD752">
        <f t="shared" ca="1" si="314"/>
        <v>3075000.0000000102</v>
      </c>
      <c r="BE752">
        <f t="shared" ca="1" si="315"/>
        <v>0</v>
      </c>
      <c r="BF752">
        <f ca="1">IF(ROW()&lt;($C$7+1),"",IFERROR((分析データ!D752-AVERAGE(OFFSET(分析データ!D$1,MAX(1,ROW()-$C$7),0,MIN($C$7,ROW()-1),1)))/STDEV(OFFSET(分析データ!D$1,MAX(1,ROW()-$C$7),0,MIN($C$7,ROW()-1),1)),0))</f>
        <v>-1.9298898969806453</v>
      </c>
      <c r="BG752">
        <f t="shared" ca="1" si="316"/>
        <v>0</v>
      </c>
      <c r="BH752" t="str">
        <f ca="1">IF(BG752=1,IF(INDEX(分析データ!$A:$A,ROW()+$C$5)&lt;&gt;"",50000*SIGN(BF752)*(分析データ!D752-INDEX(分析データ!D:D,ROW()+$C$5)),""),"")</f>
        <v/>
      </c>
      <c r="BI752">
        <f t="shared" ca="1" si="317"/>
        <v>4470000.0000000205</v>
      </c>
      <c r="BJ752">
        <f t="shared" ca="1" si="318"/>
        <v>4470000.0000000205</v>
      </c>
      <c r="BK752">
        <f t="shared" ca="1" si="319"/>
        <v>0</v>
      </c>
      <c r="BL752">
        <f ca="1">IF(ROW()&lt;($C$7+1),"",IFERROR((分析データ!E752-AVERAGE(OFFSET(分析データ!E$1,MAX(1,ROW()-$C$7),0,MIN($C$7,ROW()-1),1)))/STDEV(OFFSET(分析データ!E$1,MAX(1,ROW()-$C$7),0,MIN($C$7,ROW()-1),1)),0))</f>
        <v>0.83225236648011625</v>
      </c>
      <c r="BM752">
        <f t="shared" ca="1" si="320"/>
        <v>0</v>
      </c>
      <c r="BN752" t="str">
        <f ca="1">IF(BM752=1,IF(INDEX(分析データ!$A:$A,ROW()+$C$5)&lt;&gt;"",40000*SIGN(BL752)*(分析データ!E752-INDEX(分析データ!E:E,ROW()+$C$5)),""),"")</f>
        <v/>
      </c>
      <c r="BO752">
        <f t="shared" ca="1" si="321"/>
        <v>4280000.0000000028</v>
      </c>
      <c r="BP752">
        <f t="shared" ca="1" si="322"/>
        <v>4280000.0000000028</v>
      </c>
      <c r="BQ752">
        <f t="shared" ca="1" si="323"/>
        <v>0</v>
      </c>
      <c r="BR752">
        <f ca="1">IF(ROW()&lt;($C$7+1),"",IFERROR((分析データ!F752-AVERAGE(OFFSET(分析データ!F$1,MAX(1,ROW()-$C$7),0,MIN($C$7,ROW()-1),1)))/STDEV(OFFSET(分析データ!F$1,MAX(1,ROW()-$C$7),0,MIN($C$7,ROW()-1),1)),0))</f>
        <v>-0.5684274421422606</v>
      </c>
      <c r="BS752">
        <f t="shared" ca="1" si="324"/>
        <v>0</v>
      </c>
      <c r="BT752" t="str">
        <f ca="1">IF(BS752=1,IF(INDEX(分析データ!$A:$A,ROW()+$C$5)&lt;&gt;"",40000*SIGN(BR752)*(分析データ!F752-INDEX(分析データ!F:F,ROW()+$C$5)),""),"")</f>
        <v/>
      </c>
      <c r="BU752">
        <f t="shared" ca="1" si="325"/>
        <v>14917200.000000004</v>
      </c>
      <c r="BV752">
        <f t="shared" ca="1" si="326"/>
        <v>14917200.000000004</v>
      </c>
      <c r="BW752">
        <f t="shared" ca="1" si="327"/>
        <v>0</v>
      </c>
      <c r="BX752">
        <f ca="1">IF(ROW()&lt;($C$7+1),"",IFERROR((分析データ!G752-AVERAGE(OFFSET(分析データ!G$1,MAX(1,ROW()-$C$7),0,MIN($C$7,ROW()-1),1)))/STDEV(OFFSET(分析データ!G$1,MAX(1,ROW()-$C$7),0,MIN($C$7,ROW()-1),1)),0))</f>
        <v>1.3043705691066343</v>
      </c>
      <c r="BY752">
        <f t="shared" ca="1" si="328"/>
        <v>0</v>
      </c>
      <c r="BZ752" t="str">
        <f ca="1">IF(BY752=1,IF(INDEX(分析データ!$A:$A,ROW()+$C$5)&lt;&gt;"",40000*SIGN(BX752)*(分析データ!G752-INDEX(分析データ!G:G,ROW()+$C$5)),""),"")</f>
        <v/>
      </c>
      <c r="CA752">
        <f t="shared" ca="1" si="329"/>
        <v>-3515452.8662109179</v>
      </c>
      <c r="CB752">
        <f t="shared" ca="1" si="330"/>
        <v>11327520.000000004</v>
      </c>
      <c r="CC752">
        <f t="shared" ca="1" si="331"/>
        <v>-14842972.866210923</v>
      </c>
      <c r="CD752">
        <f t="shared" ca="1" si="332"/>
        <v>0</v>
      </c>
      <c r="CE752">
        <f t="shared" ca="1" si="333"/>
        <v>18226747.133789144</v>
      </c>
      <c r="CF752">
        <f t="shared" ca="1" si="334"/>
        <v>19067197.138671909</v>
      </c>
      <c r="CG752">
        <f t="shared" ca="1" si="335"/>
        <v>-840450.00488276407</v>
      </c>
      <c r="CH752" s="10">
        <f>分析データ!A752</f>
        <v>46027</v>
      </c>
    </row>
    <row r="753" spans="46:86">
      <c r="AT753">
        <f ca="1">IF(ROW()&lt;($C$7+1),"",IFERROR((分析データ!B753-AVERAGE(OFFSET(分析データ!B$1,MAX(1,ROW()-$C$7),0,MIN($C$7,ROW()-1),1)))/STDEV(OFFSET(分析データ!B$1,MAX(1,ROW()-$C$7),0,MIN($C$7,ROW()-1),1)),0))</f>
        <v>0.47823627027072901</v>
      </c>
      <c r="AU753">
        <f t="shared" ca="1" si="308"/>
        <v>0</v>
      </c>
      <c r="AV753" t="str">
        <f ca="1">IF(AU753=1,IF(INDEX(分析データ!$A:$A,ROW()+$C$5)&lt;&gt;"",80000*SIGN(AT753)*(分析データ!B753-INDEX(分析データ!B:B,ROW()+$C$5)),""),"")</f>
        <v/>
      </c>
      <c r="AW753">
        <f t="shared" ca="1" si="309"/>
        <v>-4999999.9999999925</v>
      </c>
      <c r="AX753">
        <f t="shared" ca="1" si="310"/>
        <v>0</v>
      </c>
      <c r="AY753">
        <f t="shared" ca="1" si="311"/>
        <v>-4999999.9999999925</v>
      </c>
      <c r="AZ753">
        <f ca="1">IF(ROW()&lt;($C$7+1),"",IFERROR((分析データ!C753-AVERAGE(OFFSET(分析データ!C$1,MAX(1,ROW()-$C$7),0,MIN($C$7,ROW()-1),1)))/STDEV(OFFSET(分析データ!C$1,MAX(1,ROW()-$C$7),0,MIN($C$7,ROW()-1),1)),0))</f>
        <v>1.5972106190976323</v>
      </c>
      <c r="BA753">
        <f t="shared" ca="1" si="312"/>
        <v>0</v>
      </c>
      <c r="BB753" t="str">
        <f ca="1">IF(BA753=1,IF(INDEX(分析データ!$A:$A,ROW()+$C$5)&lt;&gt;"",60000*SIGN(AZ753)*(分析データ!C753-INDEX(分析データ!C:C,ROW()+$C$5)),""),"")</f>
        <v/>
      </c>
      <c r="BC753">
        <f t="shared" ca="1" si="313"/>
        <v>3075000.0000000102</v>
      </c>
      <c r="BD753">
        <f t="shared" ca="1" si="314"/>
        <v>3075000.0000000102</v>
      </c>
      <c r="BE753">
        <f t="shared" ca="1" si="315"/>
        <v>0</v>
      </c>
      <c r="BF753">
        <f ca="1">IF(ROW()&lt;($C$7+1),"",IFERROR((分析データ!D753-AVERAGE(OFFSET(分析データ!D$1,MAX(1,ROW()-$C$7),0,MIN($C$7,ROW()-1),1)))/STDEV(OFFSET(分析データ!D$1,MAX(1,ROW()-$C$7),0,MIN($C$7,ROW()-1),1)),0))</f>
        <v>-1.9209642920066217</v>
      </c>
      <c r="BG753">
        <f t="shared" ca="1" si="316"/>
        <v>0</v>
      </c>
      <c r="BH753" t="str">
        <f ca="1">IF(BG753=1,IF(INDEX(分析データ!$A:$A,ROW()+$C$5)&lt;&gt;"",50000*SIGN(BF753)*(分析データ!D753-INDEX(分析データ!D:D,ROW()+$C$5)),""),"")</f>
        <v/>
      </c>
      <c r="BI753">
        <f t="shared" ca="1" si="317"/>
        <v>4470000.0000000205</v>
      </c>
      <c r="BJ753">
        <f t="shared" ca="1" si="318"/>
        <v>4470000.0000000205</v>
      </c>
      <c r="BK753">
        <f t="shared" ca="1" si="319"/>
        <v>0</v>
      </c>
      <c r="BL753">
        <f ca="1">IF(ROW()&lt;($C$7+1),"",IFERROR((分析データ!E753-AVERAGE(OFFSET(分析データ!E$1,MAX(1,ROW()-$C$7),0,MIN($C$7,ROW()-1),1)))/STDEV(OFFSET(分析データ!E$1,MAX(1,ROW()-$C$7),0,MIN($C$7,ROW()-1),1)),0))</f>
        <v>0.82576618306554661</v>
      </c>
      <c r="BM753">
        <f t="shared" ca="1" si="320"/>
        <v>0</v>
      </c>
      <c r="BN753" t="str">
        <f ca="1">IF(BM753=1,IF(INDEX(分析データ!$A:$A,ROW()+$C$5)&lt;&gt;"",40000*SIGN(BL753)*(分析データ!E753-INDEX(分析データ!E:E,ROW()+$C$5)),""),"")</f>
        <v/>
      </c>
      <c r="BO753">
        <f t="shared" ca="1" si="321"/>
        <v>4280000.0000000028</v>
      </c>
      <c r="BP753">
        <f t="shared" ca="1" si="322"/>
        <v>4280000.0000000028</v>
      </c>
      <c r="BQ753">
        <f t="shared" ca="1" si="323"/>
        <v>0</v>
      </c>
      <c r="BR753">
        <f ca="1">IF(ROW()&lt;($C$7+1),"",IFERROR((分析データ!F753-AVERAGE(OFFSET(分析データ!F$1,MAX(1,ROW()-$C$7),0,MIN($C$7,ROW()-1),1)))/STDEV(OFFSET(分析データ!F$1,MAX(1,ROW()-$C$7),0,MIN($C$7,ROW()-1),1)),0))</f>
        <v>-0.48644336146076134</v>
      </c>
      <c r="BS753">
        <f t="shared" ca="1" si="324"/>
        <v>0</v>
      </c>
      <c r="BT753" t="str">
        <f ca="1">IF(BS753=1,IF(INDEX(分析データ!$A:$A,ROW()+$C$5)&lt;&gt;"",40000*SIGN(BR753)*(分析データ!F753-INDEX(分析データ!F:F,ROW()+$C$5)),""),"")</f>
        <v/>
      </c>
      <c r="BU753">
        <f t="shared" ca="1" si="325"/>
        <v>14917200.000000004</v>
      </c>
      <c r="BV753">
        <f t="shared" ca="1" si="326"/>
        <v>14917200.000000004</v>
      </c>
      <c r="BW753">
        <f t="shared" ca="1" si="327"/>
        <v>0</v>
      </c>
      <c r="BX753">
        <f ca="1">IF(ROW()&lt;($C$7+1),"",IFERROR((分析データ!G753-AVERAGE(OFFSET(分析データ!G$1,MAX(1,ROW()-$C$7),0,MIN($C$7,ROW()-1),1)))/STDEV(OFFSET(分析データ!G$1,MAX(1,ROW()-$C$7),0,MIN($C$7,ROW()-1),1)),0))</f>
        <v>1.3511207792026905</v>
      </c>
      <c r="BY753">
        <f t="shared" ca="1" si="328"/>
        <v>0</v>
      </c>
      <c r="BZ753" t="str">
        <f ca="1">IF(BY753=1,IF(INDEX(分析データ!$A:$A,ROW()+$C$5)&lt;&gt;"",40000*SIGN(BX753)*(分析データ!G753-INDEX(分析データ!G:G,ROW()+$C$5)),""),"")</f>
        <v/>
      </c>
      <c r="CA753">
        <f t="shared" ca="1" si="329"/>
        <v>-3515452.8662109179</v>
      </c>
      <c r="CB753">
        <f t="shared" ca="1" si="330"/>
        <v>11327520.000000004</v>
      </c>
      <c r="CC753">
        <f t="shared" ca="1" si="331"/>
        <v>-14842972.866210923</v>
      </c>
      <c r="CD753">
        <f t="shared" ca="1" si="332"/>
        <v>0</v>
      </c>
      <c r="CE753">
        <f t="shared" ca="1" si="333"/>
        <v>18226747.133789144</v>
      </c>
      <c r="CF753">
        <f t="shared" ca="1" si="334"/>
        <v>19067197.138671909</v>
      </c>
      <c r="CG753">
        <f t="shared" ca="1" si="335"/>
        <v>-840450.00488276407</v>
      </c>
      <c r="CH753" s="10">
        <f>分析データ!A753</f>
        <v>46028</v>
      </c>
    </row>
    <row r="754" spans="46:86">
      <c r="AT754">
        <f ca="1">IF(ROW()&lt;($C$7+1),"",IFERROR((分析データ!B754-AVERAGE(OFFSET(分析データ!B$1,MAX(1,ROW()-$C$7),0,MIN($C$7,ROW()-1),1)))/STDEV(OFFSET(分析データ!B$1,MAX(1,ROW()-$C$7),0,MIN($C$7,ROW()-1),1)),0))</f>
        <v>0.18317804550296196</v>
      </c>
      <c r="AU754">
        <f t="shared" ca="1" si="308"/>
        <v>0</v>
      </c>
      <c r="AV754" t="str">
        <f ca="1">IF(AU754=1,IF(INDEX(分析データ!$A:$A,ROW()+$C$5)&lt;&gt;"",80000*SIGN(AT754)*(分析データ!B754-INDEX(分析データ!B:B,ROW()+$C$5)),""),"")</f>
        <v/>
      </c>
      <c r="AW754">
        <f t="shared" ca="1" si="309"/>
        <v>-4999999.9999999925</v>
      </c>
      <c r="AX754">
        <f t="shared" ca="1" si="310"/>
        <v>0</v>
      </c>
      <c r="AY754">
        <f t="shared" ca="1" si="311"/>
        <v>-4999999.9999999925</v>
      </c>
      <c r="AZ754">
        <f ca="1">IF(ROW()&lt;($C$7+1),"",IFERROR((分析データ!C754-AVERAGE(OFFSET(分析データ!C$1,MAX(1,ROW()-$C$7),0,MIN($C$7,ROW()-1),1)))/STDEV(OFFSET(分析データ!C$1,MAX(1,ROW()-$C$7),0,MIN($C$7,ROW()-1),1)),0))</f>
        <v>1.6419569423405302</v>
      </c>
      <c r="BA754">
        <f t="shared" ca="1" si="312"/>
        <v>0</v>
      </c>
      <c r="BB754" t="str">
        <f ca="1">IF(BA754=1,IF(INDEX(分析データ!$A:$A,ROW()+$C$5)&lt;&gt;"",60000*SIGN(AZ754)*(分析データ!C754-INDEX(分析データ!C:C,ROW()+$C$5)),""),"")</f>
        <v/>
      </c>
      <c r="BC754">
        <f t="shared" ca="1" si="313"/>
        <v>3075000.0000000102</v>
      </c>
      <c r="BD754">
        <f t="shared" ca="1" si="314"/>
        <v>3075000.0000000102</v>
      </c>
      <c r="BE754">
        <f t="shared" ca="1" si="315"/>
        <v>0</v>
      </c>
      <c r="BF754">
        <f ca="1">IF(ROW()&lt;($C$7+1),"",IFERROR((分析データ!D754-AVERAGE(OFFSET(分析データ!D$1,MAX(1,ROW()-$C$7),0,MIN($C$7,ROW()-1),1)))/STDEV(OFFSET(分析データ!D$1,MAX(1,ROW()-$C$7),0,MIN($C$7,ROW()-1),1)),0))</f>
        <v>-1.9912791837856116</v>
      </c>
      <c r="BG754">
        <f t="shared" ca="1" si="316"/>
        <v>0</v>
      </c>
      <c r="BH754" t="str">
        <f ca="1">IF(BG754=1,IF(INDEX(分析データ!$A:$A,ROW()+$C$5)&lt;&gt;"",50000*SIGN(BF754)*(分析データ!D754-INDEX(分析データ!D:D,ROW()+$C$5)),""),"")</f>
        <v/>
      </c>
      <c r="BI754">
        <f t="shared" ca="1" si="317"/>
        <v>4470000.0000000205</v>
      </c>
      <c r="BJ754">
        <f t="shared" ca="1" si="318"/>
        <v>4470000.0000000205</v>
      </c>
      <c r="BK754">
        <f t="shared" ca="1" si="319"/>
        <v>0</v>
      </c>
      <c r="BL754">
        <f ca="1">IF(ROW()&lt;($C$7+1),"",IFERROR((分析データ!E754-AVERAGE(OFFSET(分析データ!E$1,MAX(1,ROW()-$C$7),0,MIN($C$7,ROW()-1),1)))/STDEV(OFFSET(分析データ!E$1,MAX(1,ROW()-$C$7),0,MIN($C$7,ROW()-1),1)),0))</f>
        <v>0.72433223258367196</v>
      </c>
      <c r="BM754">
        <f t="shared" ca="1" si="320"/>
        <v>0</v>
      </c>
      <c r="BN754" t="str">
        <f ca="1">IF(BM754=1,IF(INDEX(分析データ!$A:$A,ROW()+$C$5)&lt;&gt;"",40000*SIGN(BL754)*(分析データ!E754-INDEX(分析データ!E:E,ROW()+$C$5)),""),"")</f>
        <v/>
      </c>
      <c r="BO754">
        <f t="shared" ca="1" si="321"/>
        <v>4280000.0000000028</v>
      </c>
      <c r="BP754">
        <f t="shared" ca="1" si="322"/>
        <v>4280000.0000000028</v>
      </c>
      <c r="BQ754">
        <f t="shared" ca="1" si="323"/>
        <v>0</v>
      </c>
      <c r="BR754">
        <f ca="1">IF(ROW()&lt;($C$7+1),"",IFERROR((分析データ!F754-AVERAGE(OFFSET(分析データ!F$1,MAX(1,ROW()-$C$7),0,MIN($C$7,ROW()-1),1)))/STDEV(OFFSET(分析データ!F$1,MAX(1,ROW()-$C$7),0,MIN($C$7,ROW()-1),1)),0))</f>
        <v>-0.46215222679414608</v>
      </c>
      <c r="BS754">
        <f t="shared" ca="1" si="324"/>
        <v>0</v>
      </c>
      <c r="BT754" t="str">
        <f ca="1">IF(BS754=1,IF(INDEX(分析データ!$A:$A,ROW()+$C$5)&lt;&gt;"",40000*SIGN(BR754)*(分析データ!F754-INDEX(分析データ!F:F,ROW()+$C$5)),""),"")</f>
        <v/>
      </c>
      <c r="BU754">
        <f t="shared" ca="1" si="325"/>
        <v>14917200.000000004</v>
      </c>
      <c r="BV754">
        <f t="shared" ca="1" si="326"/>
        <v>14917200.000000004</v>
      </c>
      <c r="BW754">
        <f t="shared" ca="1" si="327"/>
        <v>0</v>
      </c>
      <c r="BX754">
        <f ca="1">IF(ROW()&lt;($C$7+1),"",IFERROR((分析データ!G754-AVERAGE(OFFSET(分析データ!G$1,MAX(1,ROW()-$C$7),0,MIN($C$7,ROW()-1),1)))/STDEV(OFFSET(分析データ!G$1,MAX(1,ROW()-$C$7),0,MIN($C$7,ROW()-1),1)),0))</f>
        <v>1.3554152092173943</v>
      </c>
      <c r="BY754">
        <f t="shared" ca="1" si="328"/>
        <v>0</v>
      </c>
      <c r="BZ754" t="str">
        <f ca="1">IF(BY754=1,IF(INDEX(分析データ!$A:$A,ROW()+$C$5)&lt;&gt;"",40000*SIGN(BX754)*(分析データ!G754-INDEX(分析データ!G:G,ROW()+$C$5)),""),"")</f>
        <v/>
      </c>
      <c r="CA754">
        <f t="shared" ca="1" si="329"/>
        <v>-3515452.8662109179</v>
      </c>
      <c r="CB754">
        <f t="shared" ca="1" si="330"/>
        <v>11327520.000000004</v>
      </c>
      <c r="CC754">
        <f t="shared" ca="1" si="331"/>
        <v>-14842972.866210923</v>
      </c>
      <c r="CD754">
        <f t="shared" ca="1" si="332"/>
        <v>0</v>
      </c>
      <c r="CE754">
        <f t="shared" ca="1" si="333"/>
        <v>18226747.133789144</v>
      </c>
      <c r="CF754">
        <f t="shared" ca="1" si="334"/>
        <v>19067197.138671909</v>
      </c>
      <c r="CG754">
        <f t="shared" ca="1" si="335"/>
        <v>-840450.00488276407</v>
      </c>
      <c r="CH754" s="10">
        <f>分析データ!A754</f>
        <v>46029</v>
      </c>
    </row>
    <row r="755" spans="46:86">
      <c r="AT755">
        <f ca="1">IF(ROW()&lt;($C$7+1),"",IFERROR((分析データ!B755-AVERAGE(OFFSET(分析データ!B$1,MAX(1,ROW()-$C$7),0,MIN($C$7,ROW()-1),1)))/STDEV(OFFSET(分析データ!B$1,MAX(1,ROW()-$C$7),0,MIN($C$7,ROW()-1),1)),0))</f>
        <v>0.64337216278960541</v>
      </c>
      <c r="AU755">
        <f t="shared" ca="1" si="308"/>
        <v>0</v>
      </c>
      <c r="AV755" t="str">
        <f ca="1">IF(AU755=1,IF(INDEX(分析データ!$A:$A,ROW()+$C$5)&lt;&gt;"",80000*SIGN(AT755)*(分析データ!B755-INDEX(分析データ!B:B,ROW()+$C$5)),""),"")</f>
        <v/>
      </c>
      <c r="AW755">
        <f t="shared" ca="1" si="309"/>
        <v>-4999999.9999999925</v>
      </c>
      <c r="AX755">
        <f t="shared" ca="1" si="310"/>
        <v>0</v>
      </c>
      <c r="AY755">
        <f t="shared" ca="1" si="311"/>
        <v>-4999999.9999999925</v>
      </c>
      <c r="AZ755">
        <f ca="1">IF(ROW()&lt;($C$7+1),"",IFERROR((分析データ!C755-AVERAGE(OFFSET(分析データ!C$1,MAX(1,ROW()-$C$7),0,MIN($C$7,ROW()-1),1)))/STDEV(OFFSET(分析データ!C$1,MAX(1,ROW()-$C$7),0,MIN($C$7,ROW()-1),1)),0))</f>
        <v>1.3078380084904209</v>
      </c>
      <c r="BA755">
        <f t="shared" ca="1" si="312"/>
        <v>0</v>
      </c>
      <c r="BB755" t="str">
        <f ca="1">IF(BA755=1,IF(INDEX(分析データ!$A:$A,ROW()+$C$5)&lt;&gt;"",60000*SIGN(AZ755)*(分析データ!C755-INDEX(分析データ!C:C,ROW()+$C$5)),""),"")</f>
        <v/>
      </c>
      <c r="BC755">
        <f t="shared" ca="1" si="313"/>
        <v>3075000.0000000102</v>
      </c>
      <c r="BD755">
        <f t="shared" ca="1" si="314"/>
        <v>3075000.0000000102</v>
      </c>
      <c r="BE755">
        <f t="shared" ca="1" si="315"/>
        <v>0</v>
      </c>
      <c r="BF755">
        <f ca="1">IF(ROW()&lt;($C$7+1),"",IFERROR((分析データ!D755-AVERAGE(OFFSET(分析データ!D$1,MAX(1,ROW()-$C$7),0,MIN($C$7,ROW()-1),1)))/STDEV(OFFSET(分析データ!D$1,MAX(1,ROW()-$C$7),0,MIN($C$7,ROW()-1),1)),0))</f>
        <v>-1.754997589353783</v>
      </c>
      <c r="BG755">
        <f t="shared" ca="1" si="316"/>
        <v>0</v>
      </c>
      <c r="BH755" t="str">
        <f ca="1">IF(BG755=1,IF(INDEX(分析データ!$A:$A,ROW()+$C$5)&lt;&gt;"",50000*SIGN(BF755)*(分析データ!D755-INDEX(分析データ!D:D,ROW()+$C$5)),""),"")</f>
        <v/>
      </c>
      <c r="BI755">
        <f t="shared" ca="1" si="317"/>
        <v>4470000.0000000205</v>
      </c>
      <c r="BJ755">
        <f t="shared" ca="1" si="318"/>
        <v>4470000.0000000205</v>
      </c>
      <c r="BK755">
        <f t="shared" ca="1" si="319"/>
        <v>0</v>
      </c>
      <c r="BL755">
        <f ca="1">IF(ROW()&lt;($C$7+1),"",IFERROR((分析データ!E755-AVERAGE(OFFSET(分析データ!E$1,MAX(1,ROW()-$C$7),0,MIN($C$7,ROW()-1),1)))/STDEV(OFFSET(分析データ!E$1,MAX(1,ROW()-$C$7),0,MIN($C$7,ROW()-1),1)),0))</f>
        <v>0.71820589597353368</v>
      </c>
      <c r="BM755">
        <f t="shared" ca="1" si="320"/>
        <v>0</v>
      </c>
      <c r="BN755" t="str">
        <f ca="1">IF(BM755=1,IF(INDEX(分析データ!$A:$A,ROW()+$C$5)&lt;&gt;"",40000*SIGN(BL755)*(分析データ!E755-INDEX(分析データ!E:E,ROW()+$C$5)),""),"")</f>
        <v/>
      </c>
      <c r="BO755">
        <f t="shared" ca="1" si="321"/>
        <v>4280000.0000000028</v>
      </c>
      <c r="BP755">
        <f t="shared" ca="1" si="322"/>
        <v>4280000.0000000028</v>
      </c>
      <c r="BQ755">
        <f t="shared" ca="1" si="323"/>
        <v>0</v>
      </c>
      <c r="BR755">
        <f ca="1">IF(ROW()&lt;($C$7+1),"",IFERROR((分析データ!F755-AVERAGE(OFFSET(分析データ!F$1,MAX(1,ROW()-$C$7),0,MIN($C$7,ROW()-1),1)))/STDEV(OFFSET(分析データ!F$1,MAX(1,ROW()-$C$7),0,MIN($C$7,ROW()-1),1)),0))</f>
        <v>-0.78772099843477095</v>
      </c>
      <c r="BS755">
        <f t="shared" ca="1" si="324"/>
        <v>0</v>
      </c>
      <c r="BT755" t="str">
        <f ca="1">IF(BS755=1,IF(INDEX(分析データ!$A:$A,ROW()+$C$5)&lt;&gt;"",40000*SIGN(BR755)*(分析データ!F755-INDEX(分析データ!F:F,ROW()+$C$5)),""),"")</f>
        <v/>
      </c>
      <c r="BU755">
        <f t="shared" ca="1" si="325"/>
        <v>14917200.000000004</v>
      </c>
      <c r="BV755">
        <f t="shared" ca="1" si="326"/>
        <v>14917200.000000004</v>
      </c>
      <c r="BW755">
        <f t="shared" ca="1" si="327"/>
        <v>0</v>
      </c>
      <c r="BX755">
        <f ca="1">IF(ROW()&lt;($C$7+1),"",IFERROR((分析データ!G755-AVERAGE(OFFSET(分析データ!G$1,MAX(1,ROW()-$C$7),0,MIN($C$7,ROW()-1),1)))/STDEV(OFFSET(分析データ!G$1,MAX(1,ROW()-$C$7),0,MIN($C$7,ROW()-1),1)),0))</f>
        <v>1.4638534774460601</v>
      </c>
      <c r="BY755">
        <f t="shared" ca="1" si="328"/>
        <v>0</v>
      </c>
      <c r="BZ755" t="str">
        <f ca="1">IF(BY755=1,IF(INDEX(分析データ!$A:$A,ROW()+$C$5)&lt;&gt;"",40000*SIGN(BX755)*(分析データ!G755-INDEX(分析データ!G:G,ROW()+$C$5)),""),"")</f>
        <v/>
      </c>
      <c r="CA755">
        <f t="shared" ca="1" si="329"/>
        <v>-3515452.8662109179</v>
      </c>
      <c r="CB755">
        <f t="shared" ca="1" si="330"/>
        <v>11327520.000000004</v>
      </c>
      <c r="CC755">
        <f t="shared" ca="1" si="331"/>
        <v>-14842972.866210923</v>
      </c>
      <c r="CD755">
        <f t="shared" ca="1" si="332"/>
        <v>0</v>
      </c>
      <c r="CE755">
        <f t="shared" ca="1" si="333"/>
        <v>18226747.133789144</v>
      </c>
      <c r="CF755">
        <f t="shared" ca="1" si="334"/>
        <v>19067197.138671909</v>
      </c>
      <c r="CG755">
        <f t="shared" ca="1" si="335"/>
        <v>-840450.00488276407</v>
      </c>
      <c r="CH755" s="10">
        <f>分析データ!A755</f>
        <v>46030</v>
      </c>
    </row>
    <row r="756" spans="46:86">
      <c r="AT756">
        <f ca="1">IF(ROW()&lt;($C$7+1),"",IFERROR((分析データ!B756-AVERAGE(OFFSET(分析データ!B$1,MAX(1,ROW()-$C$7),0,MIN($C$7,ROW()-1),1)))/STDEV(OFFSET(分析データ!B$1,MAX(1,ROW()-$C$7),0,MIN($C$7,ROW()-1),1)),0))</f>
        <v>4.2456103376397575E-2</v>
      </c>
      <c r="AU756">
        <f t="shared" ca="1" si="308"/>
        <v>0</v>
      </c>
      <c r="AV756" t="str">
        <f ca="1">IF(AU756=1,IF(INDEX(分析データ!$A:$A,ROW()+$C$5)&lt;&gt;"",80000*SIGN(AT756)*(分析データ!B756-INDEX(分析データ!B:B,ROW()+$C$5)),""),"")</f>
        <v/>
      </c>
      <c r="AW756">
        <f t="shared" ca="1" si="309"/>
        <v>-4999999.9999999925</v>
      </c>
      <c r="AX756">
        <f t="shared" ca="1" si="310"/>
        <v>0</v>
      </c>
      <c r="AY756">
        <f t="shared" ca="1" si="311"/>
        <v>-4999999.9999999925</v>
      </c>
      <c r="AZ756">
        <f ca="1">IF(ROW()&lt;($C$7+1),"",IFERROR((分析データ!C756-AVERAGE(OFFSET(分析データ!C$1,MAX(1,ROW()-$C$7),0,MIN($C$7,ROW()-1),1)))/STDEV(OFFSET(分析データ!C$1,MAX(1,ROW()-$C$7),0,MIN($C$7,ROW()-1),1)),0))</f>
        <v>1.5622464077287137</v>
      </c>
      <c r="BA756">
        <f t="shared" ca="1" si="312"/>
        <v>0</v>
      </c>
      <c r="BB756" t="str">
        <f ca="1">IF(BA756=1,IF(INDEX(分析データ!$A:$A,ROW()+$C$5)&lt;&gt;"",60000*SIGN(AZ756)*(分析データ!C756-INDEX(分析データ!C:C,ROW()+$C$5)),""),"")</f>
        <v/>
      </c>
      <c r="BC756">
        <f t="shared" ca="1" si="313"/>
        <v>3075000.0000000102</v>
      </c>
      <c r="BD756">
        <f t="shared" ca="1" si="314"/>
        <v>3075000.0000000102</v>
      </c>
      <c r="BE756">
        <f t="shared" ca="1" si="315"/>
        <v>0</v>
      </c>
      <c r="BF756">
        <f ca="1">IF(ROW()&lt;($C$7+1),"",IFERROR((分析データ!D756-AVERAGE(OFFSET(分析データ!D$1,MAX(1,ROW()-$C$7),0,MIN($C$7,ROW()-1),1)))/STDEV(OFFSET(分析データ!D$1,MAX(1,ROW()-$C$7),0,MIN($C$7,ROW()-1),1)),0))</f>
        <v>-1.8073983357432595</v>
      </c>
      <c r="BG756">
        <f t="shared" ca="1" si="316"/>
        <v>0</v>
      </c>
      <c r="BH756" t="str">
        <f ca="1">IF(BG756=1,IF(INDEX(分析データ!$A:$A,ROW()+$C$5)&lt;&gt;"",50000*SIGN(BF756)*(分析データ!D756-INDEX(分析データ!D:D,ROW()+$C$5)),""),"")</f>
        <v/>
      </c>
      <c r="BI756">
        <f t="shared" ca="1" si="317"/>
        <v>4470000.0000000205</v>
      </c>
      <c r="BJ756">
        <f t="shared" ca="1" si="318"/>
        <v>4470000.0000000205</v>
      </c>
      <c r="BK756">
        <f t="shared" ca="1" si="319"/>
        <v>0</v>
      </c>
      <c r="BL756">
        <f ca="1">IF(ROW()&lt;($C$7+1),"",IFERROR((分析データ!E756-AVERAGE(OFFSET(分析データ!E$1,MAX(1,ROW()-$C$7),0,MIN($C$7,ROW()-1),1)))/STDEV(OFFSET(分析データ!E$1,MAX(1,ROW()-$C$7),0,MIN($C$7,ROW()-1),1)),0))</f>
        <v>0.51957113718331061</v>
      </c>
      <c r="BM756">
        <f t="shared" ca="1" si="320"/>
        <v>0</v>
      </c>
      <c r="BN756" t="str">
        <f ca="1">IF(BM756=1,IF(INDEX(分析データ!$A:$A,ROW()+$C$5)&lt;&gt;"",40000*SIGN(BL756)*(分析データ!E756-INDEX(分析データ!E:E,ROW()+$C$5)),""),"")</f>
        <v/>
      </c>
      <c r="BO756">
        <f t="shared" ca="1" si="321"/>
        <v>4280000.0000000028</v>
      </c>
      <c r="BP756">
        <f t="shared" ca="1" si="322"/>
        <v>4280000.0000000028</v>
      </c>
      <c r="BQ756">
        <f t="shared" ca="1" si="323"/>
        <v>0</v>
      </c>
      <c r="BR756">
        <f ca="1">IF(ROW()&lt;($C$7+1),"",IFERROR((分析データ!F756-AVERAGE(OFFSET(分析データ!F$1,MAX(1,ROW()-$C$7),0,MIN($C$7,ROW()-1),1)))/STDEV(OFFSET(分析データ!F$1,MAX(1,ROW()-$C$7),0,MIN($C$7,ROW()-1),1)),0))</f>
        <v>-0.73247433822237729</v>
      </c>
      <c r="BS756">
        <f t="shared" ca="1" si="324"/>
        <v>0</v>
      </c>
      <c r="BT756" t="str">
        <f ca="1">IF(BS756=1,IF(INDEX(分析データ!$A:$A,ROW()+$C$5)&lt;&gt;"",40000*SIGN(BR756)*(分析データ!F756-INDEX(分析データ!F:F,ROW()+$C$5)),""),"")</f>
        <v/>
      </c>
      <c r="BU756">
        <f t="shared" ca="1" si="325"/>
        <v>14917200.000000004</v>
      </c>
      <c r="BV756">
        <f t="shared" ca="1" si="326"/>
        <v>14917200.000000004</v>
      </c>
      <c r="BW756">
        <f t="shared" ca="1" si="327"/>
        <v>0</v>
      </c>
      <c r="BX756">
        <f ca="1">IF(ROW()&lt;($C$7+1),"",IFERROR((分析データ!G756-AVERAGE(OFFSET(分析データ!G$1,MAX(1,ROW()-$C$7),0,MIN($C$7,ROW()-1),1)))/STDEV(OFFSET(分析データ!G$1,MAX(1,ROW()-$C$7),0,MIN($C$7,ROW()-1),1)),0))</f>
        <v>1.370393847884902</v>
      </c>
      <c r="BY756">
        <f t="shared" ca="1" si="328"/>
        <v>0</v>
      </c>
      <c r="BZ756" t="str">
        <f ca="1">IF(BY756=1,IF(INDEX(分析データ!$A:$A,ROW()+$C$5)&lt;&gt;"",40000*SIGN(BX756)*(分析データ!G756-INDEX(分析データ!G:G,ROW()+$C$5)),""),"")</f>
        <v/>
      </c>
      <c r="CA756">
        <f t="shared" ca="1" si="329"/>
        <v>-3515452.8662109179</v>
      </c>
      <c r="CB756">
        <f t="shared" ca="1" si="330"/>
        <v>11327520.000000004</v>
      </c>
      <c r="CC756">
        <f t="shared" ca="1" si="331"/>
        <v>-14842972.866210923</v>
      </c>
      <c r="CD756">
        <f t="shared" ca="1" si="332"/>
        <v>0</v>
      </c>
      <c r="CE756">
        <f t="shared" ca="1" si="333"/>
        <v>18226747.133789144</v>
      </c>
      <c r="CF756">
        <f t="shared" ca="1" si="334"/>
        <v>19067197.138671909</v>
      </c>
      <c r="CG756">
        <f t="shared" ca="1" si="335"/>
        <v>-840450.00488276407</v>
      </c>
      <c r="CH756" s="10">
        <f>分析データ!A756</f>
        <v>46031</v>
      </c>
    </row>
    <row r="757" spans="46:86">
      <c r="AT757">
        <f ca="1">IF(ROW()&lt;($C$7+1),"",IFERROR((分析データ!B757-AVERAGE(OFFSET(分析データ!B$1,MAX(1,ROW()-$C$7),0,MIN($C$7,ROW()-1),1)))/STDEV(OFFSET(分析データ!B$1,MAX(1,ROW()-$C$7),0,MIN($C$7,ROW()-1),1)),0))</f>
        <v>0.20424870680111148</v>
      </c>
      <c r="AU757">
        <f t="shared" ca="1" si="308"/>
        <v>0</v>
      </c>
      <c r="AV757" t="str">
        <f ca="1">IF(AU757=1,IF(INDEX(分析データ!$A:$A,ROW()+$C$5)&lt;&gt;"",80000*SIGN(AT757)*(分析データ!B757-INDEX(分析データ!B:B,ROW()+$C$5)),""),"")</f>
        <v/>
      </c>
      <c r="AW757">
        <f t="shared" ca="1" si="309"/>
        <v>-4999999.9999999925</v>
      </c>
      <c r="AX757">
        <f t="shared" ca="1" si="310"/>
        <v>0</v>
      </c>
      <c r="AY757">
        <f t="shared" ca="1" si="311"/>
        <v>-4999999.9999999925</v>
      </c>
      <c r="AZ757">
        <f ca="1">IF(ROW()&lt;($C$7+1),"",IFERROR((分析データ!C757-AVERAGE(OFFSET(分析データ!C$1,MAX(1,ROW()-$C$7),0,MIN($C$7,ROW()-1),1)))/STDEV(OFFSET(分析データ!C$1,MAX(1,ROW()-$C$7),0,MIN($C$7,ROW()-1),1)),0))</f>
        <v>1.5480499963906758</v>
      </c>
      <c r="BA757">
        <f t="shared" ca="1" si="312"/>
        <v>0</v>
      </c>
      <c r="BB757" t="str">
        <f ca="1">IF(BA757=1,IF(INDEX(分析データ!$A:$A,ROW()+$C$5)&lt;&gt;"",60000*SIGN(AZ757)*(分析データ!C757-INDEX(分析データ!C:C,ROW()+$C$5)),""),"")</f>
        <v/>
      </c>
      <c r="BC757">
        <f t="shared" ca="1" si="313"/>
        <v>3075000.0000000102</v>
      </c>
      <c r="BD757">
        <f t="shared" ca="1" si="314"/>
        <v>3075000.0000000102</v>
      </c>
      <c r="BE757">
        <f t="shared" ca="1" si="315"/>
        <v>0</v>
      </c>
      <c r="BF757">
        <f ca="1">IF(ROW()&lt;($C$7+1),"",IFERROR((分析データ!D757-AVERAGE(OFFSET(分析データ!D$1,MAX(1,ROW()-$C$7),0,MIN($C$7,ROW()-1),1)))/STDEV(OFFSET(分析データ!D$1,MAX(1,ROW()-$C$7),0,MIN($C$7,ROW()-1),1)),0))</f>
        <v>-1.7699371710854903</v>
      </c>
      <c r="BG757">
        <f t="shared" ca="1" si="316"/>
        <v>0</v>
      </c>
      <c r="BH757" t="str">
        <f ca="1">IF(BG757=1,IF(INDEX(分析データ!$A:$A,ROW()+$C$5)&lt;&gt;"",50000*SIGN(BF757)*(分析データ!D757-INDEX(分析データ!D:D,ROW()+$C$5)),""),"")</f>
        <v/>
      </c>
      <c r="BI757">
        <f t="shared" ca="1" si="317"/>
        <v>4470000.0000000205</v>
      </c>
      <c r="BJ757">
        <f t="shared" ca="1" si="318"/>
        <v>4470000.0000000205</v>
      </c>
      <c r="BK757">
        <f t="shared" ca="1" si="319"/>
        <v>0</v>
      </c>
      <c r="BL757">
        <f ca="1">IF(ROW()&lt;($C$7+1),"",IFERROR((分析データ!E757-AVERAGE(OFFSET(分析データ!E$1,MAX(1,ROW()-$C$7),0,MIN($C$7,ROW()-1),1)))/STDEV(OFFSET(分析データ!E$1,MAX(1,ROW()-$C$7),0,MIN($C$7,ROW()-1),1)),0))</f>
        <v>0.41675571669227474</v>
      </c>
      <c r="BM757">
        <f t="shared" ca="1" si="320"/>
        <v>0</v>
      </c>
      <c r="BN757" t="str">
        <f ca="1">IF(BM757=1,IF(INDEX(分析データ!$A:$A,ROW()+$C$5)&lt;&gt;"",40000*SIGN(BL757)*(分析データ!E757-INDEX(分析データ!E:E,ROW()+$C$5)),""),"")</f>
        <v/>
      </c>
      <c r="BO757">
        <f t="shared" ca="1" si="321"/>
        <v>4280000.0000000028</v>
      </c>
      <c r="BP757">
        <f t="shared" ca="1" si="322"/>
        <v>4280000.0000000028</v>
      </c>
      <c r="BQ757">
        <f t="shared" ca="1" si="323"/>
        <v>0</v>
      </c>
      <c r="BR757">
        <f ca="1">IF(ROW()&lt;($C$7+1),"",IFERROR((分析データ!F757-AVERAGE(OFFSET(分析データ!F$1,MAX(1,ROW()-$C$7),0,MIN($C$7,ROW()-1),1)))/STDEV(OFFSET(分析データ!F$1,MAX(1,ROW()-$C$7),0,MIN($C$7,ROW()-1),1)),0))</f>
        <v>-0.78363965594138241</v>
      </c>
      <c r="BS757">
        <f t="shared" ca="1" si="324"/>
        <v>0</v>
      </c>
      <c r="BT757" t="str">
        <f ca="1">IF(BS757=1,IF(INDEX(分析データ!$A:$A,ROW()+$C$5)&lt;&gt;"",40000*SIGN(BR757)*(分析データ!F757-INDEX(分析データ!F:F,ROW()+$C$5)),""),"")</f>
        <v/>
      </c>
      <c r="BU757">
        <f t="shared" ca="1" si="325"/>
        <v>14917200.000000004</v>
      </c>
      <c r="BV757">
        <f t="shared" ca="1" si="326"/>
        <v>14917200.000000004</v>
      </c>
      <c r="BW757">
        <f t="shared" ca="1" si="327"/>
        <v>0</v>
      </c>
      <c r="BX757">
        <f ca="1">IF(ROW()&lt;($C$7+1),"",IFERROR((分析データ!G757-AVERAGE(OFFSET(分析データ!G$1,MAX(1,ROW()-$C$7),0,MIN($C$7,ROW()-1),1)))/STDEV(OFFSET(分析データ!G$1,MAX(1,ROW()-$C$7),0,MIN($C$7,ROW()-1),1)),0))</f>
        <v>1.3733276430958454</v>
      </c>
      <c r="BY757">
        <f t="shared" ca="1" si="328"/>
        <v>0</v>
      </c>
      <c r="BZ757" t="str">
        <f ca="1">IF(BY757=1,IF(INDEX(分析データ!$A:$A,ROW()+$C$5)&lt;&gt;"",40000*SIGN(BX757)*(分析データ!G757-INDEX(分析データ!G:G,ROW()+$C$5)),""),"")</f>
        <v/>
      </c>
      <c r="CA757">
        <f t="shared" ca="1" si="329"/>
        <v>-3515452.8662109179</v>
      </c>
      <c r="CB757">
        <f t="shared" ca="1" si="330"/>
        <v>11327520.000000004</v>
      </c>
      <c r="CC757">
        <f t="shared" ca="1" si="331"/>
        <v>-14842972.866210923</v>
      </c>
      <c r="CD757">
        <f t="shared" ca="1" si="332"/>
        <v>0</v>
      </c>
      <c r="CE757">
        <f t="shared" ca="1" si="333"/>
        <v>18226747.133789144</v>
      </c>
      <c r="CF757">
        <f t="shared" ca="1" si="334"/>
        <v>19067197.138671909</v>
      </c>
      <c r="CG757">
        <f t="shared" ca="1" si="335"/>
        <v>-840450.00488276407</v>
      </c>
      <c r="CH757" s="10">
        <f>分析データ!A757</f>
        <v>46034</v>
      </c>
    </row>
    <row r="758" spans="46:86">
      <c r="AT758">
        <f ca="1">IF(ROW()&lt;($C$7+1),"",IFERROR((分析データ!B758-AVERAGE(OFFSET(分析データ!B$1,MAX(1,ROW()-$C$7),0,MIN($C$7,ROW()-1),1)))/STDEV(OFFSET(分析データ!B$1,MAX(1,ROW()-$C$7),0,MIN($C$7,ROW()-1),1)),0))</f>
        <v>5.9990283375997065E-2</v>
      </c>
      <c r="AU758">
        <f t="shared" ca="1" si="308"/>
        <v>0</v>
      </c>
      <c r="AV758" t="str">
        <f ca="1">IF(AU758=1,IF(INDEX(分析データ!$A:$A,ROW()+$C$5)&lt;&gt;"",80000*SIGN(AT758)*(分析データ!B758-INDEX(分析データ!B:B,ROW()+$C$5)),""),"")</f>
        <v/>
      </c>
      <c r="AW758">
        <f t="shared" ca="1" si="309"/>
        <v>-4999999.9999999925</v>
      </c>
      <c r="AX758">
        <f t="shared" ca="1" si="310"/>
        <v>0</v>
      </c>
      <c r="AY758">
        <f t="shared" ca="1" si="311"/>
        <v>-4999999.9999999925</v>
      </c>
      <c r="AZ758">
        <f ca="1">IF(ROW()&lt;($C$7+1),"",IFERROR((分析データ!C758-AVERAGE(OFFSET(分析データ!C$1,MAX(1,ROW()-$C$7),0,MIN($C$7,ROW()-1),1)))/STDEV(OFFSET(分析データ!C$1,MAX(1,ROW()-$C$7),0,MIN($C$7,ROW()-1),1)),0))</f>
        <v>1.9125583522876266</v>
      </c>
      <c r="BA758">
        <f t="shared" ca="1" si="312"/>
        <v>0</v>
      </c>
      <c r="BB758" t="str">
        <f ca="1">IF(BA758=1,IF(INDEX(分析データ!$A:$A,ROW()+$C$5)&lt;&gt;"",60000*SIGN(AZ758)*(分析データ!C758-INDEX(分析データ!C:C,ROW()+$C$5)),""),"")</f>
        <v/>
      </c>
      <c r="BC758">
        <f t="shared" ca="1" si="313"/>
        <v>3075000.0000000102</v>
      </c>
      <c r="BD758">
        <f t="shared" ca="1" si="314"/>
        <v>3075000.0000000102</v>
      </c>
      <c r="BE758">
        <f t="shared" ca="1" si="315"/>
        <v>0</v>
      </c>
      <c r="BF758">
        <f ca="1">IF(ROW()&lt;($C$7+1),"",IFERROR((分析データ!D758-AVERAGE(OFFSET(分析データ!D$1,MAX(1,ROW()-$C$7),0,MIN($C$7,ROW()-1),1)))/STDEV(OFFSET(分析データ!D$1,MAX(1,ROW()-$C$7),0,MIN($C$7,ROW()-1),1)),0))</f>
        <v>-1.9724373125184604</v>
      </c>
      <c r="BG758">
        <f t="shared" ca="1" si="316"/>
        <v>0</v>
      </c>
      <c r="BH758" t="str">
        <f ca="1">IF(BG758=1,IF(INDEX(分析データ!$A:$A,ROW()+$C$5)&lt;&gt;"",50000*SIGN(BF758)*(分析データ!D758-INDEX(分析データ!D:D,ROW()+$C$5)),""),"")</f>
        <v/>
      </c>
      <c r="BI758">
        <f t="shared" ca="1" si="317"/>
        <v>4470000.0000000205</v>
      </c>
      <c r="BJ758">
        <f t="shared" ca="1" si="318"/>
        <v>4470000.0000000205</v>
      </c>
      <c r="BK758">
        <f t="shared" ca="1" si="319"/>
        <v>0</v>
      </c>
      <c r="BL758">
        <f ca="1">IF(ROW()&lt;($C$7+1),"",IFERROR((分析データ!E758-AVERAGE(OFFSET(分析データ!E$1,MAX(1,ROW()-$C$7),0,MIN($C$7,ROW()-1),1)))/STDEV(OFFSET(分析データ!E$1,MAX(1,ROW()-$C$7),0,MIN($C$7,ROW()-1),1)),0))</f>
        <v>0.50801200030858318</v>
      </c>
      <c r="BM758">
        <f t="shared" ca="1" si="320"/>
        <v>0</v>
      </c>
      <c r="BN758" t="str">
        <f ca="1">IF(BM758=1,IF(INDEX(分析データ!$A:$A,ROW()+$C$5)&lt;&gt;"",40000*SIGN(BL758)*(分析データ!E758-INDEX(分析データ!E:E,ROW()+$C$5)),""),"")</f>
        <v/>
      </c>
      <c r="BO758">
        <f t="shared" ca="1" si="321"/>
        <v>4280000.0000000028</v>
      </c>
      <c r="BP758">
        <f t="shared" ca="1" si="322"/>
        <v>4280000.0000000028</v>
      </c>
      <c r="BQ758">
        <f t="shared" ca="1" si="323"/>
        <v>0</v>
      </c>
      <c r="BR758">
        <f ca="1">IF(ROW()&lt;($C$7+1),"",IFERROR((分析データ!F758-AVERAGE(OFFSET(分析データ!F$1,MAX(1,ROW()-$C$7),0,MIN($C$7,ROW()-1),1)))/STDEV(OFFSET(分析データ!F$1,MAX(1,ROW()-$C$7),0,MIN($C$7,ROW()-1),1)),0))</f>
        <v>-0.76784013582842614</v>
      </c>
      <c r="BS758">
        <f t="shared" ca="1" si="324"/>
        <v>0</v>
      </c>
      <c r="BT758" t="str">
        <f ca="1">IF(BS758=1,IF(INDEX(分析データ!$A:$A,ROW()+$C$5)&lt;&gt;"",40000*SIGN(BR758)*(分析データ!F758-INDEX(分析データ!F:F,ROW()+$C$5)),""),"")</f>
        <v/>
      </c>
      <c r="BU758">
        <f t="shared" ca="1" si="325"/>
        <v>14917200.000000004</v>
      </c>
      <c r="BV758">
        <f t="shared" ca="1" si="326"/>
        <v>14917200.000000004</v>
      </c>
      <c r="BW758">
        <f t="shared" ca="1" si="327"/>
        <v>0</v>
      </c>
      <c r="BX758">
        <f ca="1">IF(ROW()&lt;($C$7+1),"",IFERROR((分析データ!G758-AVERAGE(OFFSET(分析データ!G$1,MAX(1,ROW()-$C$7),0,MIN($C$7,ROW()-1),1)))/STDEV(OFFSET(分析データ!G$1,MAX(1,ROW()-$C$7),0,MIN($C$7,ROW()-1),1)),0))</f>
        <v>1.4977283995923936</v>
      </c>
      <c r="BY758">
        <f t="shared" ca="1" si="328"/>
        <v>0</v>
      </c>
      <c r="BZ758" t="str">
        <f ca="1">IF(BY758=1,IF(INDEX(分析データ!$A:$A,ROW()+$C$5)&lt;&gt;"",40000*SIGN(BX758)*(分析データ!G758-INDEX(分析データ!G:G,ROW()+$C$5)),""),"")</f>
        <v/>
      </c>
      <c r="CA758">
        <f t="shared" ca="1" si="329"/>
        <v>-3515452.8662109179</v>
      </c>
      <c r="CB758">
        <f t="shared" ca="1" si="330"/>
        <v>11327520.000000004</v>
      </c>
      <c r="CC758">
        <f t="shared" ca="1" si="331"/>
        <v>-14842972.866210923</v>
      </c>
      <c r="CD758">
        <f t="shared" ca="1" si="332"/>
        <v>0</v>
      </c>
      <c r="CE758">
        <f t="shared" ca="1" si="333"/>
        <v>18226747.133789144</v>
      </c>
      <c r="CF758">
        <f t="shared" ca="1" si="334"/>
        <v>19067197.138671909</v>
      </c>
      <c r="CG758">
        <f t="shared" ca="1" si="335"/>
        <v>-840450.00488276407</v>
      </c>
      <c r="CH758" s="10">
        <f>分析データ!A758</f>
        <v>46035</v>
      </c>
    </row>
    <row r="759" spans="46:86">
      <c r="AT759">
        <f ca="1">IF(ROW()&lt;($C$7+1),"",IFERROR((分析データ!B759-AVERAGE(OFFSET(分析データ!B$1,MAX(1,ROW()-$C$7),0,MIN($C$7,ROW()-1),1)))/STDEV(OFFSET(分析データ!B$1,MAX(1,ROW()-$C$7),0,MIN($C$7,ROW()-1),1)),0))</f>
        <v>7.1561828115936449E-2</v>
      </c>
      <c r="AU759">
        <f t="shared" ca="1" si="308"/>
        <v>0</v>
      </c>
      <c r="AV759" t="str">
        <f ca="1">IF(AU759=1,IF(INDEX(分析データ!$A:$A,ROW()+$C$5)&lt;&gt;"",80000*SIGN(AT759)*(分析データ!B759-INDEX(分析データ!B:B,ROW()+$C$5)),""),"")</f>
        <v/>
      </c>
      <c r="AW759">
        <f t="shared" ca="1" si="309"/>
        <v>-4999999.9999999925</v>
      </c>
      <c r="AX759">
        <f t="shared" ca="1" si="310"/>
        <v>0</v>
      </c>
      <c r="AY759">
        <f t="shared" ca="1" si="311"/>
        <v>-4999999.9999999925</v>
      </c>
      <c r="AZ759">
        <f ca="1">IF(ROW()&lt;($C$7+1),"",IFERROR((分析データ!C759-AVERAGE(OFFSET(分析データ!C$1,MAX(1,ROW()-$C$7),0,MIN($C$7,ROW()-1),1)))/STDEV(OFFSET(分析データ!C$1,MAX(1,ROW()-$C$7),0,MIN($C$7,ROW()-1),1)),0))</f>
        <v>1.8402486282268549</v>
      </c>
      <c r="BA759">
        <f t="shared" ca="1" si="312"/>
        <v>0</v>
      </c>
      <c r="BB759" t="str">
        <f ca="1">IF(BA759=1,IF(INDEX(分析データ!$A:$A,ROW()+$C$5)&lt;&gt;"",60000*SIGN(AZ759)*(分析データ!C759-INDEX(分析データ!C:C,ROW()+$C$5)),""),"")</f>
        <v/>
      </c>
      <c r="BC759">
        <f t="shared" ca="1" si="313"/>
        <v>3075000.0000000102</v>
      </c>
      <c r="BD759">
        <f t="shared" ca="1" si="314"/>
        <v>3075000.0000000102</v>
      </c>
      <c r="BE759">
        <f t="shared" ca="1" si="315"/>
        <v>0</v>
      </c>
      <c r="BF759">
        <f ca="1">IF(ROW()&lt;($C$7+1),"",IFERROR((分析データ!D759-AVERAGE(OFFSET(分析データ!D$1,MAX(1,ROW()-$C$7),0,MIN($C$7,ROW()-1),1)))/STDEV(OFFSET(分析データ!D$1,MAX(1,ROW()-$C$7),0,MIN($C$7,ROW()-1),1)),0))</f>
        <v>-2.0949731007840215</v>
      </c>
      <c r="BG759">
        <f t="shared" ca="1" si="316"/>
        <v>1</v>
      </c>
      <c r="BH759">
        <f ca="1">IF(BG759=1,IF(INDEX(分析データ!$A:$A,ROW()+$C$5)&lt;&gt;"",50000*SIGN(BF759)*(分析データ!D759-INDEX(分析データ!D:D,ROW()+$C$5)),""),"")</f>
        <v>100000</v>
      </c>
      <c r="BI759">
        <f t="shared" ca="1" si="317"/>
        <v>4570000.0000000205</v>
      </c>
      <c r="BJ759">
        <f t="shared" ca="1" si="318"/>
        <v>4570000.0000000205</v>
      </c>
      <c r="BK759">
        <f t="shared" ca="1" si="319"/>
        <v>0</v>
      </c>
      <c r="BL759">
        <f ca="1">IF(ROW()&lt;($C$7+1),"",IFERROR((分析データ!E759-AVERAGE(OFFSET(分析データ!E$1,MAX(1,ROW()-$C$7),0,MIN($C$7,ROW()-1),1)))/STDEV(OFFSET(分析データ!E$1,MAX(1,ROW()-$C$7),0,MIN($C$7,ROW()-1),1)),0))</f>
        <v>0.502017493472246</v>
      </c>
      <c r="BM759">
        <f t="shared" ca="1" si="320"/>
        <v>0</v>
      </c>
      <c r="BN759" t="str">
        <f ca="1">IF(BM759=1,IF(INDEX(分析データ!$A:$A,ROW()+$C$5)&lt;&gt;"",40000*SIGN(BL759)*(分析データ!E759-INDEX(分析データ!E:E,ROW()+$C$5)),""),"")</f>
        <v/>
      </c>
      <c r="BO759">
        <f t="shared" ca="1" si="321"/>
        <v>4280000.0000000028</v>
      </c>
      <c r="BP759">
        <f t="shared" ca="1" si="322"/>
        <v>4280000.0000000028</v>
      </c>
      <c r="BQ759">
        <f t="shared" ca="1" si="323"/>
        <v>0</v>
      </c>
      <c r="BR759">
        <f ca="1">IF(ROW()&lt;($C$7+1),"",IFERROR((分析データ!F759-AVERAGE(OFFSET(分析データ!F$1,MAX(1,ROW()-$C$7),0,MIN($C$7,ROW()-1),1)))/STDEV(OFFSET(分析データ!F$1,MAX(1,ROW()-$C$7),0,MIN($C$7,ROW()-1),1)),0))</f>
        <v>-0.60333487691921484</v>
      </c>
      <c r="BS759">
        <f t="shared" ca="1" si="324"/>
        <v>0</v>
      </c>
      <c r="BT759" t="str">
        <f ca="1">IF(BS759=1,IF(INDEX(分析データ!$A:$A,ROW()+$C$5)&lt;&gt;"",40000*SIGN(BR759)*(分析データ!F759-INDEX(分析データ!F:F,ROW()+$C$5)),""),"")</f>
        <v/>
      </c>
      <c r="BU759">
        <f t="shared" ca="1" si="325"/>
        <v>14917200.000000004</v>
      </c>
      <c r="BV759">
        <f t="shared" ca="1" si="326"/>
        <v>14917200.000000004</v>
      </c>
      <c r="BW759">
        <f t="shared" ca="1" si="327"/>
        <v>0</v>
      </c>
      <c r="BX759">
        <f ca="1">IF(ROW()&lt;($C$7+1),"",IFERROR((分析データ!G759-AVERAGE(OFFSET(分析データ!G$1,MAX(1,ROW()-$C$7),0,MIN($C$7,ROW()-1),1)))/STDEV(OFFSET(分析データ!G$1,MAX(1,ROW()-$C$7),0,MIN($C$7,ROW()-1),1)),0))</f>
        <v>1.4161485503118219</v>
      </c>
      <c r="BY759">
        <f t="shared" ca="1" si="328"/>
        <v>0</v>
      </c>
      <c r="BZ759" t="str">
        <f ca="1">IF(BY759=1,IF(INDEX(分析データ!$A:$A,ROW()+$C$5)&lt;&gt;"",40000*SIGN(BX759)*(分析データ!G759-INDEX(分析データ!G:G,ROW()+$C$5)),""),"")</f>
        <v/>
      </c>
      <c r="CA759">
        <f t="shared" ca="1" si="329"/>
        <v>-3515452.8662109179</v>
      </c>
      <c r="CB759">
        <f t="shared" ca="1" si="330"/>
        <v>11327520.000000004</v>
      </c>
      <c r="CC759">
        <f t="shared" ca="1" si="331"/>
        <v>-14842972.866210923</v>
      </c>
      <c r="CD759">
        <f t="shared" ca="1" si="332"/>
        <v>100000</v>
      </c>
      <c r="CE759">
        <f t="shared" ca="1" si="333"/>
        <v>18326747.133789144</v>
      </c>
      <c r="CF759">
        <f t="shared" ca="1" si="334"/>
        <v>19067197.138671909</v>
      </c>
      <c r="CG759">
        <f t="shared" ca="1" si="335"/>
        <v>-740450.00488276407</v>
      </c>
      <c r="CH759" s="10">
        <f>分析データ!A759</f>
        <v>46036</v>
      </c>
    </row>
    <row r="760" spans="46:86">
      <c r="AT760">
        <f ca="1">IF(ROW()&lt;($C$7+1),"",IFERROR((分析データ!B760-AVERAGE(OFFSET(分析データ!B$1,MAX(1,ROW()-$C$7),0,MIN($C$7,ROW()-1),1)))/STDEV(OFFSET(分析データ!B$1,MAX(1,ROW()-$C$7),0,MIN($C$7,ROW()-1),1)),0))</f>
        <v>-7.6006049693217809E-2</v>
      </c>
      <c r="AU760">
        <f t="shared" ca="1" si="308"/>
        <v>0</v>
      </c>
      <c r="AV760" t="str">
        <f ca="1">IF(AU760=1,IF(INDEX(分析データ!$A:$A,ROW()+$C$5)&lt;&gt;"",80000*SIGN(AT760)*(分析データ!B760-INDEX(分析データ!B:B,ROW()+$C$5)),""),"")</f>
        <v/>
      </c>
      <c r="AW760">
        <f t="shared" ca="1" si="309"/>
        <v>-4999999.9999999925</v>
      </c>
      <c r="AX760">
        <f t="shared" ca="1" si="310"/>
        <v>0</v>
      </c>
      <c r="AY760">
        <f t="shared" ca="1" si="311"/>
        <v>-4999999.9999999925</v>
      </c>
      <c r="AZ760">
        <f ca="1">IF(ROW()&lt;($C$7+1),"",IFERROR((分析データ!C760-AVERAGE(OFFSET(分析データ!C$1,MAX(1,ROW()-$C$7),0,MIN($C$7,ROW()-1),1)))/STDEV(OFFSET(分析データ!C$1,MAX(1,ROW()-$C$7),0,MIN($C$7,ROW()-1),1)),0))</f>
        <v>1.7708362448417909</v>
      </c>
      <c r="BA760">
        <f t="shared" ca="1" si="312"/>
        <v>0</v>
      </c>
      <c r="BB760" t="str">
        <f ca="1">IF(BA760=1,IF(INDEX(分析データ!$A:$A,ROW()+$C$5)&lt;&gt;"",60000*SIGN(AZ760)*(分析データ!C760-INDEX(分析データ!C:C,ROW()+$C$5)),""),"")</f>
        <v/>
      </c>
      <c r="BC760">
        <f t="shared" ca="1" si="313"/>
        <v>3075000.0000000102</v>
      </c>
      <c r="BD760">
        <f t="shared" ca="1" si="314"/>
        <v>3075000.0000000102</v>
      </c>
      <c r="BE760">
        <f t="shared" ca="1" si="315"/>
        <v>0</v>
      </c>
      <c r="BF760">
        <f ca="1">IF(ROW()&lt;($C$7+1),"",IFERROR((分析データ!D760-AVERAGE(OFFSET(分析データ!D$1,MAX(1,ROW()-$C$7),0,MIN($C$7,ROW()-1),1)))/STDEV(OFFSET(分析データ!D$1,MAX(1,ROW()-$C$7),0,MIN($C$7,ROW()-1),1)),0))</f>
        <v>-1.9781941690021325</v>
      </c>
      <c r="BG760">
        <f t="shared" ca="1" si="316"/>
        <v>0</v>
      </c>
      <c r="BH760" t="str">
        <f ca="1">IF(BG760=1,IF(INDEX(分析データ!$A:$A,ROW()+$C$5)&lt;&gt;"",50000*SIGN(BF760)*(分析データ!D760-INDEX(分析データ!D:D,ROW()+$C$5)),""),"")</f>
        <v/>
      </c>
      <c r="BI760">
        <f t="shared" ca="1" si="317"/>
        <v>4570000.0000000205</v>
      </c>
      <c r="BJ760">
        <f t="shared" ca="1" si="318"/>
        <v>4570000.0000000205</v>
      </c>
      <c r="BK760">
        <f t="shared" ca="1" si="319"/>
        <v>0</v>
      </c>
      <c r="BL760">
        <f ca="1">IF(ROW()&lt;($C$7+1),"",IFERROR((分析データ!E760-AVERAGE(OFFSET(分析データ!E$1,MAX(1,ROW()-$C$7),0,MIN($C$7,ROW()-1),1)))/STDEV(OFFSET(分析データ!E$1,MAX(1,ROW()-$C$7),0,MIN($C$7,ROW()-1),1)),0))</f>
        <v>0.2007664661505057</v>
      </c>
      <c r="BM760">
        <f t="shared" ca="1" si="320"/>
        <v>0</v>
      </c>
      <c r="BN760" t="str">
        <f ca="1">IF(BM760=1,IF(INDEX(分析データ!$A:$A,ROW()+$C$5)&lt;&gt;"",40000*SIGN(BL760)*(分析データ!E760-INDEX(分析データ!E:E,ROW()+$C$5)),""),"")</f>
        <v/>
      </c>
      <c r="BO760">
        <f t="shared" ca="1" si="321"/>
        <v>4280000.0000000028</v>
      </c>
      <c r="BP760">
        <f t="shared" ca="1" si="322"/>
        <v>4280000.0000000028</v>
      </c>
      <c r="BQ760">
        <f t="shared" ca="1" si="323"/>
        <v>0</v>
      </c>
      <c r="BR760">
        <f ca="1">IF(ROW()&lt;($C$7+1),"",IFERROR((分析データ!F760-AVERAGE(OFFSET(分析データ!F$1,MAX(1,ROW()-$C$7),0,MIN($C$7,ROW()-1),1)))/STDEV(OFFSET(分析データ!F$1,MAX(1,ROW()-$C$7),0,MIN($C$7,ROW()-1),1)),0))</f>
        <v>-0.7763009088506938</v>
      </c>
      <c r="BS760">
        <f t="shared" ca="1" si="324"/>
        <v>0</v>
      </c>
      <c r="BT760" t="str">
        <f ca="1">IF(BS760=1,IF(INDEX(分析データ!$A:$A,ROW()+$C$5)&lt;&gt;"",40000*SIGN(BR760)*(分析データ!F760-INDEX(分析データ!F:F,ROW()+$C$5)),""),"")</f>
        <v/>
      </c>
      <c r="BU760">
        <f t="shared" ca="1" si="325"/>
        <v>14917200.000000004</v>
      </c>
      <c r="BV760">
        <f t="shared" ca="1" si="326"/>
        <v>14917200.000000004</v>
      </c>
      <c r="BW760">
        <f t="shared" ca="1" si="327"/>
        <v>0</v>
      </c>
      <c r="BX760">
        <f ca="1">IF(ROW()&lt;($C$7+1),"",IFERROR((分析データ!G760-AVERAGE(OFFSET(分析データ!G$1,MAX(1,ROW()-$C$7),0,MIN($C$7,ROW()-1),1)))/STDEV(OFFSET(分析データ!G$1,MAX(1,ROW()-$C$7),0,MIN($C$7,ROW()-1),1)),0))</f>
        <v>1.4538152833120683</v>
      </c>
      <c r="BY760">
        <f t="shared" ca="1" si="328"/>
        <v>0</v>
      </c>
      <c r="BZ760" t="str">
        <f ca="1">IF(BY760=1,IF(INDEX(分析データ!$A:$A,ROW()+$C$5)&lt;&gt;"",40000*SIGN(BX760)*(分析データ!G760-INDEX(分析データ!G:G,ROW()+$C$5)),""),"")</f>
        <v/>
      </c>
      <c r="CA760">
        <f t="shared" ca="1" si="329"/>
        <v>-3515452.8662109179</v>
      </c>
      <c r="CB760">
        <f t="shared" ca="1" si="330"/>
        <v>11327520.000000004</v>
      </c>
      <c r="CC760">
        <f t="shared" ca="1" si="331"/>
        <v>-14842972.866210923</v>
      </c>
      <c r="CD760">
        <f t="shared" ca="1" si="332"/>
        <v>0</v>
      </c>
      <c r="CE760">
        <f t="shared" ca="1" si="333"/>
        <v>18326747.133789144</v>
      </c>
      <c r="CF760">
        <f t="shared" ca="1" si="334"/>
        <v>19067197.138671909</v>
      </c>
      <c r="CG760">
        <f t="shared" ca="1" si="335"/>
        <v>-740450.00488276407</v>
      </c>
      <c r="CH760" s="10">
        <f>分析データ!A760</f>
        <v>46037</v>
      </c>
    </row>
    <row r="761" spans="46:86">
      <c r="AT761">
        <f ca="1">IF(ROW()&lt;($C$7+1),"",IFERROR((分析データ!B761-AVERAGE(OFFSET(分析データ!B$1,MAX(1,ROW()-$C$7),0,MIN($C$7,ROW()-1),1)))/STDEV(OFFSET(分析データ!B$1,MAX(1,ROW()-$C$7),0,MIN($C$7,ROW()-1),1)),0))</f>
        <v>1.0841090423103978</v>
      </c>
      <c r="AU761">
        <f t="shared" ca="1" si="308"/>
        <v>0</v>
      </c>
      <c r="AV761" t="str">
        <f ca="1">IF(AU761=1,IF(INDEX(分析データ!$A:$A,ROW()+$C$5)&lt;&gt;"",80000*SIGN(AT761)*(分析データ!B761-INDEX(分析データ!B:B,ROW()+$C$5)),""),"")</f>
        <v/>
      </c>
      <c r="AW761">
        <f t="shared" ca="1" si="309"/>
        <v>-4999999.9999999925</v>
      </c>
      <c r="AX761">
        <f t="shared" ca="1" si="310"/>
        <v>0</v>
      </c>
      <c r="AY761">
        <f t="shared" ca="1" si="311"/>
        <v>-4999999.9999999925</v>
      </c>
      <c r="AZ761">
        <f ca="1">IF(ROW()&lt;($C$7+1),"",IFERROR((分析データ!C761-AVERAGE(OFFSET(分析データ!C$1,MAX(1,ROW()-$C$7),0,MIN($C$7,ROW()-1),1)))/STDEV(OFFSET(分析データ!C$1,MAX(1,ROW()-$C$7),0,MIN($C$7,ROW()-1),1)),0))</f>
        <v>1.8370653339577814</v>
      </c>
      <c r="BA761">
        <f t="shared" ca="1" si="312"/>
        <v>0</v>
      </c>
      <c r="BB761" t="str">
        <f ca="1">IF(BA761=1,IF(INDEX(分析データ!$A:$A,ROW()+$C$5)&lt;&gt;"",60000*SIGN(AZ761)*(分析データ!C761-INDEX(分析データ!C:C,ROW()+$C$5)),""),"")</f>
        <v/>
      </c>
      <c r="BC761">
        <f t="shared" ca="1" si="313"/>
        <v>3075000.0000000102</v>
      </c>
      <c r="BD761">
        <f t="shared" ca="1" si="314"/>
        <v>3075000.0000000102</v>
      </c>
      <c r="BE761">
        <f t="shared" ca="1" si="315"/>
        <v>0</v>
      </c>
      <c r="BF761">
        <f ca="1">IF(ROW()&lt;($C$7+1),"",IFERROR((分析データ!D761-AVERAGE(OFFSET(分析データ!D$1,MAX(1,ROW()-$C$7),0,MIN($C$7,ROW()-1),1)))/STDEV(OFFSET(分析データ!D$1,MAX(1,ROW()-$C$7),0,MIN($C$7,ROW()-1),1)),0))</f>
        <v>-1.8248462988958412</v>
      </c>
      <c r="BG761">
        <f t="shared" ca="1" si="316"/>
        <v>0</v>
      </c>
      <c r="BH761" t="str">
        <f ca="1">IF(BG761=1,IF(INDEX(分析データ!$A:$A,ROW()+$C$5)&lt;&gt;"",50000*SIGN(BF761)*(分析データ!D761-INDEX(分析データ!D:D,ROW()+$C$5)),""),"")</f>
        <v/>
      </c>
      <c r="BI761">
        <f t="shared" ca="1" si="317"/>
        <v>4570000.0000000205</v>
      </c>
      <c r="BJ761">
        <f t="shared" ca="1" si="318"/>
        <v>4570000.0000000205</v>
      </c>
      <c r="BK761">
        <f t="shared" ca="1" si="319"/>
        <v>0</v>
      </c>
      <c r="BL761">
        <f ca="1">IF(ROW()&lt;($C$7+1),"",IFERROR((分析データ!E761-AVERAGE(OFFSET(分析データ!E$1,MAX(1,ROW()-$C$7),0,MIN($C$7,ROW()-1),1)))/STDEV(OFFSET(分析データ!E$1,MAX(1,ROW()-$C$7),0,MIN($C$7,ROW()-1),1)),0))</f>
        <v>0.39192927272234362</v>
      </c>
      <c r="BM761">
        <f t="shared" ca="1" si="320"/>
        <v>0</v>
      </c>
      <c r="BN761" t="str">
        <f ca="1">IF(BM761=1,IF(INDEX(分析データ!$A:$A,ROW()+$C$5)&lt;&gt;"",40000*SIGN(BL761)*(分析データ!E761-INDEX(分析データ!E:E,ROW()+$C$5)),""),"")</f>
        <v/>
      </c>
      <c r="BO761">
        <f t="shared" ca="1" si="321"/>
        <v>4280000.0000000028</v>
      </c>
      <c r="BP761">
        <f t="shared" ca="1" si="322"/>
        <v>4280000.0000000028</v>
      </c>
      <c r="BQ761">
        <f t="shared" ca="1" si="323"/>
        <v>0</v>
      </c>
      <c r="BR761">
        <f ca="1">IF(ROW()&lt;($C$7+1),"",IFERROR((分析データ!F761-AVERAGE(OFFSET(分析データ!F$1,MAX(1,ROW()-$C$7),0,MIN($C$7,ROW()-1),1)))/STDEV(OFFSET(分析データ!F$1,MAX(1,ROW()-$C$7),0,MIN($C$7,ROW()-1),1)),0))</f>
        <v>-1.0463367591168202</v>
      </c>
      <c r="BS761">
        <f t="shared" ca="1" si="324"/>
        <v>0</v>
      </c>
      <c r="BT761" t="str">
        <f ca="1">IF(BS761=1,IF(INDEX(分析データ!$A:$A,ROW()+$C$5)&lt;&gt;"",40000*SIGN(BR761)*(分析データ!F761-INDEX(分析データ!F:F,ROW()+$C$5)),""),"")</f>
        <v/>
      </c>
      <c r="BU761">
        <f t="shared" ca="1" si="325"/>
        <v>14917200.000000004</v>
      </c>
      <c r="BV761">
        <f t="shared" ca="1" si="326"/>
        <v>14917200.000000004</v>
      </c>
      <c r="BW761">
        <f t="shared" ca="1" si="327"/>
        <v>0</v>
      </c>
      <c r="BX761">
        <f ca="1">IF(ROW()&lt;($C$7+1),"",IFERROR((分析データ!G761-AVERAGE(OFFSET(分析データ!G$1,MAX(1,ROW()-$C$7),0,MIN($C$7,ROW()-1),1)))/STDEV(OFFSET(分析データ!G$1,MAX(1,ROW()-$C$7),0,MIN($C$7,ROW()-1),1)),0))</f>
        <v>1.4981768438243936</v>
      </c>
      <c r="BY761">
        <f t="shared" ca="1" si="328"/>
        <v>0</v>
      </c>
      <c r="BZ761" t="str">
        <f ca="1">IF(BY761=1,IF(INDEX(分析データ!$A:$A,ROW()+$C$5)&lt;&gt;"",40000*SIGN(BX761)*(分析データ!G761-INDEX(分析データ!G:G,ROW()+$C$5)),""),"")</f>
        <v/>
      </c>
      <c r="CA761">
        <f t="shared" ca="1" si="329"/>
        <v>-3515452.8662109179</v>
      </c>
      <c r="CB761">
        <f t="shared" ca="1" si="330"/>
        <v>11327520.000000004</v>
      </c>
      <c r="CC761">
        <f t="shared" ca="1" si="331"/>
        <v>-14842972.866210923</v>
      </c>
      <c r="CD761">
        <f t="shared" ca="1" si="332"/>
        <v>0</v>
      </c>
      <c r="CE761">
        <f t="shared" ca="1" si="333"/>
        <v>18326747.133789144</v>
      </c>
      <c r="CF761">
        <f t="shared" ca="1" si="334"/>
        <v>19067197.138671909</v>
      </c>
      <c r="CG761">
        <f t="shared" ca="1" si="335"/>
        <v>-740450.00488276407</v>
      </c>
      <c r="CH761" s="10">
        <f>分析データ!A761</f>
        <v>46038</v>
      </c>
    </row>
    <row r="762" spans="46:86">
      <c r="AT762">
        <f ca="1">IF(ROW()&lt;($C$7+1),"",IFERROR((分析データ!B762-AVERAGE(OFFSET(分析データ!B$1,MAX(1,ROW()-$C$7),0,MIN($C$7,ROW()-1),1)))/STDEV(OFFSET(分析データ!B$1,MAX(1,ROW()-$C$7),0,MIN($C$7,ROW()-1),1)),0))</f>
        <v>1.618732913538129</v>
      </c>
      <c r="AU762">
        <f t="shared" ca="1" si="308"/>
        <v>0</v>
      </c>
      <c r="AV762" t="str">
        <f ca="1">IF(AU762=1,IF(INDEX(分析データ!$A:$A,ROW()+$C$5)&lt;&gt;"",80000*SIGN(AT762)*(分析データ!B762-INDEX(分析データ!B:B,ROW()+$C$5)),""),"")</f>
        <v/>
      </c>
      <c r="AW762">
        <f t="shared" ca="1" si="309"/>
        <v>-4999999.9999999925</v>
      </c>
      <c r="AX762">
        <f t="shared" ca="1" si="310"/>
        <v>0</v>
      </c>
      <c r="AY762">
        <f t="shared" ca="1" si="311"/>
        <v>-4999999.9999999925</v>
      </c>
      <c r="AZ762">
        <f ca="1">IF(ROW()&lt;($C$7+1),"",IFERROR((分析データ!C762-AVERAGE(OFFSET(分析データ!C$1,MAX(1,ROW()-$C$7),0,MIN($C$7,ROW()-1),1)))/STDEV(OFFSET(分析データ!C$1,MAX(1,ROW()-$C$7),0,MIN($C$7,ROW()-1),1)),0))</f>
        <v>1.6803827925425834</v>
      </c>
      <c r="BA762">
        <f t="shared" ca="1" si="312"/>
        <v>0</v>
      </c>
      <c r="BB762" t="str">
        <f ca="1">IF(BA762=1,IF(INDEX(分析データ!$A:$A,ROW()+$C$5)&lt;&gt;"",60000*SIGN(AZ762)*(分析データ!C762-INDEX(分析データ!C:C,ROW()+$C$5)),""),"")</f>
        <v/>
      </c>
      <c r="BC762">
        <f t="shared" ca="1" si="313"/>
        <v>3075000.0000000102</v>
      </c>
      <c r="BD762">
        <f t="shared" ca="1" si="314"/>
        <v>3075000.0000000102</v>
      </c>
      <c r="BE762">
        <f t="shared" ca="1" si="315"/>
        <v>0</v>
      </c>
      <c r="BF762">
        <f ca="1">IF(ROW()&lt;($C$7+1),"",IFERROR((分析データ!D762-AVERAGE(OFFSET(分析データ!D$1,MAX(1,ROW()-$C$7),0,MIN($C$7,ROW()-1),1)))/STDEV(OFFSET(分析データ!D$1,MAX(1,ROW()-$C$7),0,MIN($C$7,ROW()-1),1)),0))</f>
        <v>-2.0628226600912822</v>
      </c>
      <c r="BG762">
        <f t="shared" ca="1" si="316"/>
        <v>1</v>
      </c>
      <c r="BH762">
        <f ca="1">IF(BG762=1,IF(INDEX(分析データ!$A:$A,ROW()+$C$5)&lt;&gt;"",50000*SIGN(BF762)*(分析データ!D762-INDEX(分析データ!D:D,ROW()+$C$5)),""),"")</f>
        <v>260000.00000000227</v>
      </c>
      <c r="BI762">
        <f t="shared" ca="1" si="317"/>
        <v>4830000.0000000224</v>
      </c>
      <c r="BJ762">
        <f t="shared" ca="1" si="318"/>
        <v>4830000.0000000224</v>
      </c>
      <c r="BK762">
        <f t="shared" ca="1" si="319"/>
        <v>0</v>
      </c>
      <c r="BL762">
        <f ca="1">IF(ROW()&lt;($C$7+1),"",IFERROR((分析データ!E762-AVERAGE(OFFSET(分析データ!E$1,MAX(1,ROW()-$C$7),0,MIN($C$7,ROW()-1),1)))/STDEV(OFFSET(分析データ!E$1,MAX(1,ROW()-$C$7),0,MIN($C$7,ROW()-1),1)),0))</f>
        <v>0.58500961314855138</v>
      </c>
      <c r="BM762">
        <f t="shared" ca="1" si="320"/>
        <v>0</v>
      </c>
      <c r="BN762" t="str">
        <f ca="1">IF(BM762=1,IF(INDEX(分析データ!$A:$A,ROW()+$C$5)&lt;&gt;"",40000*SIGN(BL762)*(分析データ!E762-INDEX(分析データ!E:E,ROW()+$C$5)),""),"")</f>
        <v/>
      </c>
      <c r="BO762">
        <f t="shared" ca="1" si="321"/>
        <v>4280000.0000000028</v>
      </c>
      <c r="BP762">
        <f t="shared" ca="1" si="322"/>
        <v>4280000.0000000028</v>
      </c>
      <c r="BQ762">
        <f t="shared" ca="1" si="323"/>
        <v>0</v>
      </c>
      <c r="BR762">
        <f ca="1">IF(ROW()&lt;($C$7+1),"",IFERROR((分析データ!F762-AVERAGE(OFFSET(分析データ!F$1,MAX(1,ROW()-$C$7),0,MIN($C$7,ROW()-1),1)))/STDEV(OFFSET(分析データ!F$1,MAX(1,ROW()-$C$7),0,MIN($C$7,ROW()-1),1)),0))</f>
        <v>-1.117450533852183</v>
      </c>
      <c r="BS762">
        <f t="shared" ca="1" si="324"/>
        <v>0</v>
      </c>
      <c r="BT762" t="str">
        <f ca="1">IF(BS762=1,IF(INDEX(分析データ!$A:$A,ROW()+$C$5)&lt;&gt;"",40000*SIGN(BR762)*(分析データ!F762-INDEX(分析データ!F:F,ROW()+$C$5)),""),"")</f>
        <v/>
      </c>
      <c r="BU762">
        <f t="shared" ca="1" si="325"/>
        <v>14917200.000000004</v>
      </c>
      <c r="BV762">
        <f t="shared" ca="1" si="326"/>
        <v>14917200.000000004</v>
      </c>
      <c r="BW762">
        <f t="shared" ca="1" si="327"/>
        <v>0</v>
      </c>
      <c r="BX762">
        <f ca="1">IF(ROW()&lt;($C$7+1),"",IFERROR((分析データ!G762-AVERAGE(OFFSET(分析データ!G$1,MAX(1,ROW()-$C$7),0,MIN($C$7,ROW()-1),1)))/STDEV(OFFSET(分析データ!G$1,MAX(1,ROW()-$C$7),0,MIN($C$7,ROW()-1),1)),0))</f>
        <v>1.7645606969498526</v>
      </c>
      <c r="BY762">
        <f t="shared" ca="1" si="328"/>
        <v>0</v>
      </c>
      <c r="BZ762" t="str">
        <f ca="1">IF(BY762=1,IF(INDEX(分析データ!$A:$A,ROW()+$C$5)&lt;&gt;"",40000*SIGN(BX762)*(分析データ!G762-INDEX(分析データ!G:G,ROW()+$C$5)),""),"")</f>
        <v/>
      </c>
      <c r="CA762">
        <f t="shared" ca="1" si="329"/>
        <v>-3515452.8662109179</v>
      </c>
      <c r="CB762">
        <f t="shared" ca="1" si="330"/>
        <v>11327520.000000004</v>
      </c>
      <c r="CC762">
        <f t="shared" ca="1" si="331"/>
        <v>-14842972.866210923</v>
      </c>
      <c r="CD762">
        <f t="shared" ca="1" si="332"/>
        <v>260000.00000000227</v>
      </c>
      <c r="CE762">
        <f t="shared" ca="1" si="333"/>
        <v>18586747.133789148</v>
      </c>
      <c r="CF762">
        <f t="shared" ca="1" si="334"/>
        <v>19067197.138671909</v>
      </c>
      <c r="CG762">
        <f t="shared" ca="1" si="335"/>
        <v>-480450.00488276035</v>
      </c>
      <c r="CH762" s="10">
        <f>分析データ!A762</f>
        <v>46042</v>
      </c>
    </row>
    <row r="763" spans="46:86">
      <c r="AT763">
        <f ca="1">IF(ROW()&lt;($C$7+1),"",IFERROR((分析データ!B763-AVERAGE(OFFSET(分析データ!B$1,MAX(1,ROW()-$C$7),0,MIN($C$7,ROW()-1),1)))/STDEV(OFFSET(分析データ!B$1,MAX(1,ROW()-$C$7),0,MIN($C$7,ROW()-1),1)),0))</f>
        <v>0.97009020412279512</v>
      </c>
      <c r="AU763">
        <f t="shared" ca="1" si="308"/>
        <v>0</v>
      </c>
      <c r="AV763" t="str">
        <f ca="1">IF(AU763=1,IF(INDEX(分析データ!$A:$A,ROW()+$C$5)&lt;&gt;"",80000*SIGN(AT763)*(分析データ!B763-INDEX(分析データ!B:B,ROW()+$C$5)),""),"")</f>
        <v/>
      </c>
      <c r="AW763">
        <f t="shared" ca="1" si="309"/>
        <v>-4999999.9999999925</v>
      </c>
      <c r="AX763">
        <f t="shared" ca="1" si="310"/>
        <v>0</v>
      </c>
      <c r="AY763">
        <f t="shared" ca="1" si="311"/>
        <v>-4999999.9999999925</v>
      </c>
      <c r="AZ763">
        <f ca="1">IF(ROW()&lt;($C$7+1),"",IFERROR((分析データ!C763-AVERAGE(OFFSET(分析データ!C$1,MAX(1,ROW()-$C$7),0,MIN($C$7,ROW()-1),1)))/STDEV(OFFSET(分析データ!C$1,MAX(1,ROW()-$C$7),0,MIN($C$7,ROW()-1),1)),0))</f>
        <v>1.6846377277262472</v>
      </c>
      <c r="BA763">
        <f t="shared" ca="1" si="312"/>
        <v>0</v>
      </c>
      <c r="BB763" t="str">
        <f ca="1">IF(BA763=1,IF(INDEX(分析データ!$A:$A,ROW()+$C$5)&lt;&gt;"",60000*SIGN(AZ763)*(分析データ!C763-INDEX(分析データ!C:C,ROW()+$C$5)),""),"")</f>
        <v/>
      </c>
      <c r="BC763">
        <f t="shared" ca="1" si="313"/>
        <v>3075000.0000000102</v>
      </c>
      <c r="BD763">
        <f t="shared" ca="1" si="314"/>
        <v>3075000.0000000102</v>
      </c>
      <c r="BE763">
        <f t="shared" ca="1" si="315"/>
        <v>0</v>
      </c>
      <c r="BF763">
        <f ca="1">IF(ROW()&lt;($C$7+1),"",IFERROR((分析データ!D763-AVERAGE(OFFSET(分析データ!D$1,MAX(1,ROW()-$C$7),0,MIN($C$7,ROW()-1),1)))/STDEV(OFFSET(分析データ!D$1,MAX(1,ROW()-$C$7),0,MIN($C$7,ROW()-1),1)),0))</f>
        <v>-2.018332861906889</v>
      </c>
      <c r="BG763">
        <f t="shared" ca="1" si="316"/>
        <v>1</v>
      </c>
      <c r="BH763">
        <f ca="1">IF(BG763=1,IF(INDEX(分析データ!$A:$A,ROW()+$C$5)&lt;&gt;"",50000*SIGN(BF763)*(分析データ!D763-INDEX(分析データ!D:D,ROW()+$C$5)),""),"")</f>
        <v>304999.99999999971</v>
      </c>
      <c r="BI763">
        <f t="shared" ca="1" si="317"/>
        <v>5135000.0000000224</v>
      </c>
      <c r="BJ763">
        <f t="shared" ca="1" si="318"/>
        <v>5135000.0000000224</v>
      </c>
      <c r="BK763">
        <f t="shared" ca="1" si="319"/>
        <v>0</v>
      </c>
      <c r="BL763">
        <f ca="1">IF(ROW()&lt;($C$7+1),"",IFERROR((分析データ!E763-AVERAGE(OFFSET(分析データ!E$1,MAX(1,ROW()-$C$7),0,MIN($C$7,ROW()-1),1)))/STDEV(OFFSET(分析データ!E$1,MAX(1,ROW()-$C$7),0,MIN($C$7,ROW()-1),1)),0))</f>
        <v>0.47866359169324829</v>
      </c>
      <c r="BM763">
        <f t="shared" ca="1" si="320"/>
        <v>0</v>
      </c>
      <c r="BN763" t="str">
        <f ca="1">IF(BM763=1,IF(INDEX(分析データ!$A:$A,ROW()+$C$5)&lt;&gt;"",40000*SIGN(BL763)*(分析データ!E763-INDEX(分析データ!E:E,ROW()+$C$5)),""),"")</f>
        <v/>
      </c>
      <c r="BO763">
        <f t="shared" ca="1" si="321"/>
        <v>4280000.0000000028</v>
      </c>
      <c r="BP763">
        <f t="shared" ca="1" si="322"/>
        <v>4280000.0000000028</v>
      </c>
      <c r="BQ763">
        <f t="shared" ca="1" si="323"/>
        <v>0</v>
      </c>
      <c r="BR763">
        <f ca="1">IF(ROW()&lt;($C$7+1),"",IFERROR((分析データ!F763-AVERAGE(OFFSET(分析データ!F$1,MAX(1,ROW()-$C$7),0,MIN($C$7,ROW()-1),1)))/STDEV(OFFSET(分析データ!F$1,MAX(1,ROW()-$C$7),0,MIN($C$7,ROW()-1),1)),0))</f>
        <v>-1.1884551299542154</v>
      </c>
      <c r="BS763">
        <f t="shared" ca="1" si="324"/>
        <v>0</v>
      </c>
      <c r="BT763" t="str">
        <f ca="1">IF(BS763=1,IF(INDEX(分析データ!$A:$A,ROW()+$C$5)&lt;&gt;"",40000*SIGN(BR763)*(分析データ!F763-INDEX(分析データ!F:F,ROW()+$C$5)),""),"")</f>
        <v/>
      </c>
      <c r="BU763">
        <f t="shared" ca="1" si="325"/>
        <v>14917200.000000004</v>
      </c>
      <c r="BV763">
        <f t="shared" ca="1" si="326"/>
        <v>14917200.000000004</v>
      </c>
      <c r="BW763">
        <f t="shared" ca="1" si="327"/>
        <v>0</v>
      </c>
      <c r="BX763">
        <f ca="1">IF(ROW()&lt;($C$7+1),"",IFERROR((分析データ!G763-AVERAGE(OFFSET(分析データ!G$1,MAX(1,ROW()-$C$7),0,MIN($C$7,ROW()-1),1)))/STDEV(OFFSET(分析データ!G$1,MAX(1,ROW()-$C$7),0,MIN($C$7,ROW()-1),1)),0))</f>
        <v>1.7992707988564709</v>
      </c>
      <c r="BY763">
        <f t="shared" ca="1" si="328"/>
        <v>0</v>
      </c>
      <c r="BZ763" t="str">
        <f ca="1">IF(BY763=1,IF(INDEX(分析データ!$A:$A,ROW()+$C$5)&lt;&gt;"",40000*SIGN(BX763)*(分析データ!G763-INDEX(分析データ!G:G,ROW()+$C$5)),""),"")</f>
        <v/>
      </c>
      <c r="CA763">
        <f t="shared" ca="1" si="329"/>
        <v>-3515452.8662109179</v>
      </c>
      <c r="CB763">
        <f t="shared" ca="1" si="330"/>
        <v>11327520.000000004</v>
      </c>
      <c r="CC763">
        <f t="shared" ca="1" si="331"/>
        <v>-14842972.866210923</v>
      </c>
      <c r="CD763">
        <f t="shared" ca="1" si="332"/>
        <v>304999.99999999971</v>
      </c>
      <c r="CE763">
        <f t="shared" ca="1" si="333"/>
        <v>18891747.133789148</v>
      </c>
      <c r="CF763">
        <f t="shared" ca="1" si="334"/>
        <v>19067197.138671909</v>
      </c>
      <c r="CG763">
        <f t="shared" ca="1" si="335"/>
        <v>-175450.00488276035</v>
      </c>
      <c r="CH763" s="10">
        <f>分析データ!A763</f>
        <v>46043</v>
      </c>
    </row>
    <row r="764" spans="46:86">
      <c r="AT764">
        <f ca="1">IF(ROW()&lt;($C$7+1),"",IFERROR((分析データ!B764-AVERAGE(OFFSET(分析データ!B$1,MAX(1,ROW()-$C$7),0,MIN($C$7,ROW()-1),1)))/STDEV(OFFSET(分析データ!B$1,MAX(1,ROW()-$C$7),0,MIN($C$7,ROW()-1),1)),0))</f>
        <v>1.3314859252319038</v>
      </c>
      <c r="AU764">
        <f t="shared" ca="1" si="308"/>
        <v>0</v>
      </c>
      <c r="AV764" t="str">
        <f ca="1">IF(AU764=1,IF(INDEX(分析データ!$A:$A,ROW()+$C$5)&lt;&gt;"",80000*SIGN(AT764)*(分析データ!B764-INDEX(分析データ!B:B,ROW()+$C$5)),""),"")</f>
        <v/>
      </c>
      <c r="AW764">
        <f t="shared" ca="1" si="309"/>
        <v>-4999999.9999999925</v>
      </c>
      <c r="AX764">
        <f t="shared" ca="1" si="310"/>
        <v>0</v>
      </c>
      <c r="AY764">
        <f t="shared" ca="1" si="311"/>
        <v>-4999999.9999999925</v>
      </c>
      <c r="AZ764">
        <f ca="1">IF(ROW()&lt;($C$7+1),"",IFERROR((分析データ!C764-AVERAGE(OFFSET(分析データ!C$1,MAX(1,ROW()-$C$7),0,MIN($C$7,ROW()-1),1)))/STDEV(OFFSET(分析データ!C$1,MAX(1,ROW()-$C$7),0,MIN($C$7,ROW()-1),1)),0))</f>
        <v>1.4921723209832105</v>
      </c>
      <c r="BA764">
        <f t="shared" ca="1" si="312"/>
        <v>0</v>
      </c>
      <c r="BB764" t="str">
        <f ca="1">IF(BA764=1,IF(INDEX(分析データ!$A:$A,ROW()+$C$5)&lt;&gt;"",60000*SIGN(AZ764)*(分析データ!C764-INDEX(分析データ!C:C,ROW()+$C$5)),""),"")</f>
        <v/>
      </c>
      <c r="BC764">
        <f t="shared" ca="1" si="313"/>
        <v>3075000.0000000102</v>
      </c>
      <c r="BD764">
        <f t="shared" ca="1" si="314"/>
        <v>3075000.0000000102</v>
      </c>
      <c r="BE764">
        <f t="shared" ca="1" si="315"/>
        <v>0</v>
      </c>
      <c r="BF764">
        <f ca="1">IF(ROW()&lt;($C$7+1),"",IFERROR((分析データ!D764-AVERAGE(OFFSET(分析データ!D$1,MAX(1,ROW()-$C$7),0,MIN($C$7,ROW()-1),1)))/STDEV(OFFSET(分析データ!D$1,MAX(1,ROW()-$C$7),0,MIN($C$7,ROW()-1),1)),0))</f>
        <v>-1.8881414100407465</v>
      </c>
      <c r="BG764">
        <f t="shared" ca="1" si="316"/>
        <v>0</v>
      </c>
      <c r="BH764" t="str">
        <f ca="1">IF(BG764=1,IF(INDEX(分析データ!$A:$A,ROW()+$C$5)&lt;&gt;"",50000*SIGN(BF764)*(分析データ!D764-INDEX(分析データ!D:D,ROW()+$C$5)),""),"")</f>
        <v/>
      </c>
      <c r="BI764">
        <f t="shared" ca="1" si="317"/>
        <v>5135000.0000000224</v>
      </c>
      <c r="BJ764">
        <f t="shared" ca="1" si="318"/>
        <v>5135000.0000000224</v>
      </c>
      <c r="BK764">
        <f t="shared" ca="1" si="319"/>
        <v>0</v>
      </c>
      <c r="BL764">
        <f ca="1">IF(ROW()&lt;($C$7+1),"",IFERROR((分析データ!E764-AVERAGE(OFFSET(分析データ!E$1,MAX(1,ROW()-$C$7),0,MIN($C$7,ROW()-1),1)))/STDEV(OFFSET(分析データ!E$1,MAX(1,ROW()-$C$7),0,MIN($C$7,ROW()-1),1)),0))</f>
        <v>0.27094057589190335</v>
      </c>
      <c r="BM764">
        <f t="shared" ca="1" si="320"/>
        <v>0</v>
      </c>
      <c r="BN764" t="str">
        <f ca="1">IF(BM764=1,IF(INDEX(分析データ!$A:$A,ROW()+$C$5)&lt;&gt;"",40000*SIGN(BL764)*(分析データ!E764-INDEX(分析データ!E:E,ROW()+$C$5)),""),"")</f>
        <v/>
      </c>
      <c r="BO764">
        <f t="shared" ca="1" si="321"/>
        <v>4280000.0000000028</v>
      </c>
      <c r="BP764">
        <f t="shared" ca="1" si="322"/>
        <v>4280000.0000000028</v>
      </c>
      <c r="BQ764">
        <f t="shared" ca="1" si="323"/>
        <v>0</v>
      </c>
      <c r="BR764">
        <f ca="1">IF(ROW()&lt;($C$7+1),"",IFERROR((分析データ!F764-AVERAGE(OFFSET(分析データ!F$1,MAX(1,ROW()-$C$7),0,MIN($C$7,ROW()-1),1)))/STDEV(OFFSET(分析データ!F$1,MAX(1,ROW()-$C$7),0,MIN($C$7,ROW()-1),1)),0))</f>
        <v>-1.1314632143377634</v>
      </c>
      <c r="BS764">
        <f t="shared" ca="1" si="324"/>
        <v>0</v>
      </c>
      <c r="BT764" t="str">
        <f ca="1">IF(BS764=1,IF(INDEX(分析データ!$A:$A,ROW()+$C$5)&lt;&gt;"",40000*SIGN(BR764)*(分析データ!F764-INDEX(分析データ!F:F,ROW()+$C$5)),""),"")</f>
        <v/>
      </c>
      <c r="BU764">
        <f t="shared" ca="1" si="325"/>
        <v>14917200.000000004</v>
      </c>
      <c r="BV764">
        <f t="shared" ca="1" si="326"/>
        <v>14917200.000000004</v>
      </c>
      <c r="BW764">
        <f t="shared" ca="1" si="327"/>
        <v>0</v>
      </c>
      <c r="BX764">
        <f ca="1">IF(ROW()&lt;($C$7+1),"",IFERROR((分析データ!G764-AVERAGE(OFFSET(分析データ!G$1,MAX(1,ROW()-$C$7),0,MIN($C$7,ROW()-1),1)))/STDEV(OFFSET(分析データ!G$1,MAX(1,ROW()-$C$7),0,MIN($C$7,ROW()-1),1)),0))</f>
        <v>1.7006207121342558</v>
      </c>
      <c r="BY764">
        <f t="shared" ca="1" si="328"/>
        <v>0</v>
      </c>
      <c r="BZ764" t="str">
        <f ca="1">IF(BY764=1,IF(INDEX(分析データ!$A:$A,ROW()+$C$5)&lt;&gt;"",40000*SIGN(BX764)*(分析データ!G764-INDEX(分析データ!G:G,ROW()+$C$5)),""),"")</f>
        <v/>
      </c>
      <c r="CA764">
        <f t="shared" ca="1" si="329"/>
        <v>-3515452.8662109179</v>
      </c>
      <c r="CB764">
        <f t="shared" ca="1" si="330"/>
        <v>11327520.000000004</v>
      </c>
      <c r="CC764">
        <f t="shared" ca="1" si="331"/>
        <v>-14842972.866210923</v>
      </c>
      <c r="CD764">
        <f t="shared" ca="1" si="332"/>
        <v>0</v>
      </c>
      <c r="CE764">
        <f t="shared" ca="1" si="333"/>
        <v>18891747.133789148</v>
      </c>
      <c r="CF764">
        <f t="shared" ca="1" si="334"/>
        <v>19067197.138671909</v>
      </c>
      <c r="CG764">
        <f t="shared" ca="1" si="335"/>
        <v>-175450.00488276035</v>
      </c>
      <c r="CH764" s="10">
        <f>分析データ!A764</f>
        <v>46044</v>
      </c>
    </row>
    <row r="765" spans="46:86">
      <c r="AT765">
        <f ca="1">IF(ROW()&lt;($C$7+1),"",IFERROR((分析データ!B765-AVERAGE(OFFSET(分析データ!B$1,MAX(1,ROW()-$C$7),0,MIN($C$7,ROW()-1),1)))/STDEV(OFFSET(分析データ!B$1,MAX(1,ROW()-$C$7),0,MIN($C$7,ROW()-1),1)),0))</f>
        <v>1.1687257459756129</v>
      </c>
      <c r="AU765">
        <f t="shared" ca="1" si="308"/>
        <v>0</v>
      </c>
      <c r="AV765" t="str">
        <f ca="1">IF(AU765=1,IF(INDEX(分析データ!$A:$A,ROW()+$C$5)&lt;&gt;"",80000*SIGN(AT765)*(分析データ!B765-INDEX(分析データ!B:B,ROW()+$C$5)),""),"")</f>
        <v/>
      </c>
      <c r="AW765">
        <f t="shared" ca="1" si="309"/>
        <v>-4999999.9999999925</v>
      </c>
      <c r="AX765">
        <f t="shared" ca="1" si="310"/>
        <v>0</v>
      </c>
      <c r="AY765">
        <f t="shared" ca="1" si="311"/>
        <v>-4999999.9999999925</v>
      </c>
      <c r="AZ765">
        <f ca="1">IF(ROW()&lt;($C$7+1),"",IFERROR((分析データ!C765-AVERAGE(OFFSET(分析データ!C$1,MAX(1,ROW()-$C$7),0,MIN($C$7,ROW()-1),1)))/STDEV(OFFSET(分析データ!C$1,MAX(1,ROW()-$C$7),0,MIN($C$7,ROW()-1),1)),0))</f>
        <v>1.5365317314635807</v>
      </c>
      <c r="BA765">
        <f t="shared" ca="1" si="312"/>
        <v>0</v>
      </c>
      <c r="BB765" t="str">
        <f ca="1">IF(BA765=1,IF(INDEX(分析データ!$A:$A,ROW()+$C$5)&lt;&gt;"",60000*SIGN(AZ765)*(分析データ!C765-INDEX(分析データ!C:C,ROW()+$C$5)),""),"")</f>
        <v/>
      </c>
      <c r="BC765">
        <f t="shared" ca="1" si="313"/>
        <v>3075000.0000000102</v>
      </c>
      <c r="BD765">
        <f t="shared" ca="1" si="314"/>
        <v>3075000.0000000102</v>
      </c>
      <c r="BE765">
        <f t="shared" ca="1" si="315"/>
        <v>0</v>
      </c>
      <c r="BF765">
        <f ca="1">IF(ROW()&lt;($C$7+1),"",IFERROR((分析データ!D765-AVERAGE(OFFSET(分析データ!D$1,MAX(1,ROW()-$C$7),0,MIN($C$7,ROW()-1),1)))/STDEV(OFFSET(分析データ!D$1,MAX(1,ROW()-$C$7),0,MIN($C$7,ROW()-1),1)),0))</f>
        <v>-1.9703924247429074</v>
      </c>
      <c r="BG765">
        <f t="shared" ca="1" si="316"/>
        <v>0</v>
      </c>
      <c r="BH765" t="str">
        <f ca="1">IF(BG765=1,IF(INDEX(分析データ!$A:$A,ROW()+$C$5)&lt;&gt;"",50000*SIGN(BF765)*(分析データ!D765-INDEX(分析データ!D:D,ROW()+$C$5)),""),"")</f>
        <v/>
      </c>
      <c r="BI765">
        <f t="shared" ca="1" si="317"/>
        <v>5135000.0000000224</v>
      </c>
      <c r="BJ765">
        <f t="shared" ca="1" si="318"/>
        <v>5135000.0000000224</v>
      </c>
      <c r="BK765">
        <f t="shared" ca="1" si="319"/>
        <v>0</v>
      </c>
      <c r="BL765">
        <f ca="1">IF(ROW()&lt;($C$7+1),"",IFERROR((分析データ!E765-AVERAGE(OFFSET(分析データ!E$1,MAX(1,ROW()-$C$7),0,MIN($C$7,ROW()-1),1)))/STDEV(OFFSET(分析データ!E$1,MAX(1,ROW()-$C$7),0,MIN($C$7,ROW()-1),1)),0))</f>
        <v>0.16243897134169127</v>
      </c>
      <c r="BM765">
        <f t="shared" ca="1" si="320"/>
        <v>0</v>
      </c>
      <c r="BN765" t="str">
        <f ca="1">IF(BM765=1,IF(INDEX(分析データ!$A:$A,ROW()+$C$5)&lt;&gt;"",40000*SIGN(BL765)*(分析データ!E765-INDEX(分析データ!E:E,ROW()+$C$5)),""),"")</f>
        <v/>
      </c>
      <c r="BO765">
        <f t="shared" ca="1" si="321"/>
        <v>4280000.0000000028</v>
      </c>
      <c r="BP765">
        <f t="shared" ca="1" si="322"/>
        <v>4280000.0000000028</v>
      </c>
      <c r="BQ765">
        <f t="shared" ca="1" si="323"/>
        <v>0</v>
      </c>
      <c r="BR765">
        <f ca="1">IF(ROW()&lt;($C$7+1),"",IFERROR((分析データ!F765-AVERAGE(OFFSET(分析データ!F$1,MAX(1,ROW()-$C$7),0,MIN($C$7,ROW()-1),1)))/STDEV(OFFSET(分析データ!F$1,MAX(1,ROW()-$C$7),0,MIN($C$7,ROW()-1),1)),0))</f>
        <v>-1.0481035120014668</v>
      </c>
      <c r="BS765">
        <f t="shared" ca="1" si="324"/>
        <v>0</v>
      </c>
      <c r="BT765" t="str">
        <f ca="1">IF(BS765=1,IF(INDEX(分析データ!$A:$A,ROW()+$C$5)&lt;&gt;"",40000*SIGN(BR765)*(分析データ!F765-INDEX(分析データ!F:F,ROW()+$C$5)),""),"")</f>
        <v/>
      </c>
      <c r="BU765">
        <f t="shared" ca="1" si="325"/>
        <v>14917200.000000004</v>
      </c>
      <c r="BV765">
        <f t="shared" ca="1" si="326"/>
        <v>14917200.000000004</v>
      </c>
      <c r="BW765">
        <f t="shared" ca="1" si="327"/>
        <v>0</v>
      </c>
      <c r="BX765">
        <f ca="1">IF(ROW()&lt;($C$7+1),"",IFERROR((分析データ!G765-AVERAGE(OFFSET(分析データ!G$1,MAX(1,ROW()-$C$7),0,MIN($C$7,ROW()-1),1)))/STDEV(OFFSET(分析データ!G$1,MAX(1,ROW()-$C$7),0,MIN($C$7,ROW()-1),1)),0))</f>
        <v>1.6548074793909147</v>
      </c>
      <c r="BY765">
        <f t="shared" ca="1" si="328"/>
        <v>0</v>
      </c>
      <c r="BZ765" t="str">
        <f ca="1">IF(BY765=1,IF(INDEX(分析データ!$A:$A,ROW()+$C$5)&lt;&gt;"",40000*SIGN(BX765)*(分析データ!G765-INDEX(分析データ!G:G,ROW()+$C$5)),""),"")</f>
        <v/>
      </c>
      <c r="CA765">
        <f t="shared" ca="1" si="329"/>
        <v>-3515452.8662109179</v>
      </c>
      <c r="CB765">
        <f t="shared" ca="1" si="330"/>
        <v>11327520.000000004</v>
      </c>
      <c r="CC765">
        <f t="shared" ca="1" si="331"/>
        <v>-14842972.866210923</v>
      </c>
      <c r="CD765">
        <f t="shared" ca="1" si="332"/>
        <v>0</v>
      </c>
      <c r="CE765">
        <f t="shared" ca="1" si="333"/>
        <v>18891747.133789148</v>
      </c>
      <c r="CF765">
        <f t="shared" ca="1" si="334"/>
        <v>19067197.138671909</v>
      </c>
      <c r="CG765">
        <f t="shared" ca="1" si="335"/>
        <v>-175450.00488276035</v>
      </c>
      <c r="CH765" s="10">
        <f>分析データ!A765</f>
        <v>46045</v>
      </c>
    </row>
    <row r="766" spans="46:86">
      <c r="AT766">
        <f ca="1">IF(ROW()&lt;($C$7+1),"",IFERROR((分析データ!B766-AVERAGE(OFFSET(分析データ!B$1,MAX(1,ROW()-$C$7),0,MIN($C$7,ROW()-1),1)))/STDEV(OFFSET(分析データ!B$1,MAX(1,ROW()-$C$7),0,MIN($C$7,ROW()-1),1)),0))</f>
        <v>1.5098411978453914</v>
      </c>
      <c r="AU766">
        <f t="shared" ca="1" si="308"/>
        <v>0</v>
      </c>
      <c r="AV766" t="str">
        <f ca="1">IF(AU766=1,IF(INDEX(分析データ!$A:$A,ROW()+$C$5)&lt;&gt;"",80000*SIGN(AT766)*(分析データ!B766-INDEX(分析データ!B:B,ROW()+$C$5)),""),"")</f>
        <v/>
      </c>
      <c r="AW766">
        <f t="shared" ca="1" si="309"/>
        <v>-4999999.9999999925</v>
      </c>
      <c r="AX766">
        <f t="shared" ca="1" si="310"/>
        <v>0</v>
      </c>
      <c r="AY766">
        <f t="shared" ca="1" si="311"/>
        <v>-4999999.9999999925</v>
      </c>
      <c r="AZ766">
        <f ca="1">IF(ROW()&lt;($C$7+1),"",IFERROR((分析データ!C766-AVERAGE(OFFSET(分析データ!C$1,MAX(1,ROW()-$C$7),0,MIN($C$7,ROW()-1),1)))/STDEV(OFFSET(分析データ!C$1,MAX(1,ROW()-$C$7),0,MIN($C$7,ROW()-1),1)),0))</f>
        <v>1.3242319962194782</v>
      </c>
      <c r="BA766">
        <f t="shared" ca="1" si="312"/>
        <v>0</v>
      </c>
      <c r="BB766" t="str">
        <f ca="1">IF(BA766=1,IF(INDEX(分析データ!$A:$A,ROW()+$C$5)&lt;&gt;"",60000*SIGN(AZ766)*(分析データ!C766-INDEX(分析データ!C:C,ROW()+$C$5)),""),"")</f>
        <v/>
      </c>
      <c r="BC766">
        <f t="shared" ca="1" si="313"/>
        <v>3075000.0000000102</v>
      </c>
      <c r="BD766">
        <f t="shared" ca="1" si="314"/>
        <v>3075000.0000000102</v>
      </c>
      <c r="BE766">
        <f t="shared" ca="1" si="315"/>
        <v>0</v>
      </c>
      <c r="BF766">
        <f ca="1">IF(ROW()&lt;($C$7+1),"",IFERROR((分析データ!D766-AVERAGE(OFFSET(分析データ!D$1,MAX(1,ROW()-$C$7),0,MIN($C$7,ROW()-1),1)))/STDEV(OFFSET(分析データ!D$1,MAX(1,ROW()-$C$7),0,MIN($C$7,ROW()-1),1)),0))</f>
        <v>-1.9636534208486203</v>
      </c>
      <c r="BG766">
        <f t="shared" ca="1" si="316"/>
        <v>0</v>
      </c>
      <c r="BH766" t="str">
        <f ca="1">IF(BG766=1,IF(INDEX(分析データ!$A:$A,ROW()+$C$5)&lt;&gt;"",50000*SIGN(BF766)*(分析データ!D766-INDEX(分析データ!D:D,ROW()+$C$5)),""),"")</f>
        <v/>
      </c>
      <c r="BI766">
        <f t="shared" ca="1" si="317"/>
        <v>5135000.0000000224</v>
      </c>
      <c r="BJ766">
        <f t="shared" ca="1" si="318"/>
        <v>5135000.0000000224</v>
      </c>
      <c r="BK766">
        <f t="shared" ca="1" si="319"/>
        <v>0</v>
      </c>
      <c r="BL766">
        <f ca="1">IF(ROW()&lt;($C$7+1),"",IFERROR((分析データ!E766-AVERAGE(OFFSET(分析データ!E$1,MAX(1,ROW()-$C$7),0,MIN($C$7,ROW()-1),1)))/STDEV(OFFSET(分析データ!E$1,MAX(1,ROW()-$C$7),0,MIN($C$7,ROW()-1),1)),0))</f>
        <v>0.15459856151600912</v>
      </c>
      <c r="BM766">
        <f t="shared" ca="1" si="320"/>
        <v>0</v>
      </c>
      <c r="BN766" t="str">
        <f ca="1">IF(BM766=1,IF(INDEX(分析データ!$A:$A,ROW()+$C$5)&lt;&gt;"",40000*SIGN(BL766)*(分析データ!E766-INDEX(分析データ!E:E,ROW()+$C$5)),""),"")</f>
        <v/>
      </c>
      <c r="BO766">
        <f t="shared" ca="1" si="321"/>
        <v>4280000.0000000028</v>
      </c>
      <c r="BP766">
        <f t="shared" ca="1" si="322"/>
        <v>4280000.0000000028</v>
      </c>
      <c r="BQ766">
        <f t="shared" ca="1" si="323"/>
        <v>0</v>
      </c>
      <c r="BR766">
        <f ca="1">IF(ROW()&lt;($C$7+1),"",IFERROR((分析データ!F766-AVERAGE(OFFSET(分析データ!F$1,MAX(1,ROW()-$C$7),0,MIN($C$7,ROW()-1),1)))/STDEV(OFFSET(分析データ!F$1,MAX(1,ROW()-$C$7),0,MIN($C$7,ROW()-1),1)),0))</f>
        <v>-0.77332324752832182</v>
      </c>
      <c r="BS766">
        <f t="shared" ca="1" si="324"/>
        <v>0</v>
      </c>
      <c r="BT766" t="str">
        <f ca="1">IF(BS766=1,IF(INDEX(分析データ!$A:$A,ROW()+$C$5)&lt;&gt;"",40000*SIGN(BR766)*(分析データ!F766-INDEX(分析データ!F:F,ROW()+$C$5)),""),"")</f>
        <v/>
      </c>
      <c r="BU766">
        <f t="shared" ca="1" si="325"/>
        <v>14917200.000000004</v>
      </c>
      <c r="BV766">
        <f t="shared" ca="1" si="326"/>
        <v>14917200.000000004</v>
      </c>
      <c r="BW766">
        <f t="shared" ca="1" si="327"/>
        <v>0</v>
      </c>
      <c r="BX766">
        <f ca="1">IF(ROW()&lt;($C$7+1),"",IFERROR((分析データ!G766-AVERAGE(OFFSET(分析データ!G$1,MAX(1,ROW()-$C$7),0,MIN($C$7,ROW()-1),1)))/STDEV(OFFSET(分析データ!G$1,MAX(1,ROW()-$C$7),0,MIN($C$7,ROW()-1),1)),0))</f>
        <v>1.5121205773744406</v>
      </c>
      <c r="BY766">
        <f t="shared" ca="1" si="328"/>
        <v>0</v>
      </c>
      <c r="BZ766" t="str">
        <f ca="1">IF(BY766=1,IF(INDEX(分析データ!$A:$A,ROW()+$C$5)&lt;&gt;"",40000*SIGN(BX766)*(分析データ!G766-INDEX(分析データ!G:G,ROW()+$C$5)),""),"")</f>
        <v/>
      </c>
      <c r="CA766">
        <f t="shared" ca="1" si="329"/>
        <v>-3515452.8662109179</v>
      </c>
      <c r="CB766">
        <f t="shared" ca="1" si="330"/>
        <v>11327520.000000004</v>
      </c>
      <c r="CC766">
        <f t="shared" ca="1" si="331"/>
        <v>-14842972.866210923</v>
      </c>
      <c r="CD766">
        <f t="shared" ca="1" si="332"/>
        <v>0</v>
      </c>
      <c r="CE766">
        <f t="shared" ca="1" si="333"/>
        <v>18891747.133789148</v>
      </c>
      <c r="CF766">
        <f t="shared" ca="1" si="334"/>
        <v>19067197.138671909</v>
      </c>
      <c r="CG766">
        <f t="shared" ca="1" si="335"/>
        <v>-175450.00488276035</v>
      </c>
      <c r="CH766" s="10">
        <f>分析データ!A766</f>
        <v>46048</v>
      </c>
    </row>
    <row r="767" spans="46:86">
      <c r="AT767">
        <f ca="1">IF(ROW()&lt;($C$7+1),"",IFERROR((分析データ!B767-AVERAGE(OFFSET(分析データ!B$1,MAX(1,ROW()-$C$7),0,MIN($C$7,ROW()-1),1)))/STDEV(OFFSET(分析データ!B$1,MAX(1,ROW()-$C$7),0,MIN($C$7,ROW()-1),1)),0))</f>
        <v>2.1914063820948728</v>
      </c>
      <c r="AU767">
        <f t="shared" ca="1" si="308"/>
        <v>1</v>
      </c>
      <c r="AV767">
        <f ca="1">IF(AU767=1,IF(INDEX(分析データ!$A:$A,ROW()+$C$5)&lt;&gt;"",80000*SIGN(AT767)*(分析データ!B767-INDEX(分析データ!B:B,ROW()+$C$5)),""),"")</f>
        <v>120000.00000000454</v>
      </c>
      <c r="AW767">
        <f t="shared" ca="1" si="309"/>
        <v>-4879999.9999999879</v>
      </c>
      <c r="AX767">
        <f t="shared" ca="1" si="310"/>
        <v>0</v>
      </c>
      <c r="AY767">
        <f t="shared" ca="1" si="311"/>
        <v>-4879999.9999999879</v>
      </c>
      <c r="AZ767">
        <f ca="1">IF(ROW()&lt;($C$7+1),"",IFERROR((分析データ!C767-AVERAGE(OFFSET(分析データ!C$1,MAX(1,ROW()-$C$7),0,MIN($C$7,ROW()-1),1)))/STDEV(OFFSET(分析データ!C$1,MAX(1,ROW()-$C$7),0,MIN($C$7,ROW()-1),1)),0))</f>
        <v>1.6387795615461427</v>
      </c>
      <c r="BA767">
        <f t="shared" ca="1" si="312"/>
        <v>0</v>
      </c>
      <c r="BB767" t="str">
        <f ca="1">IF(BA767=1,IF(INDEX(分析データ!$A:$A,ROW()+$C$5)&lt;&gt;"",60000*SIGN(AZ767)*(分析データ!C767-INDEX(分析データ!C:C,ROW()+$C$5)),""),"")</f>
        <v/>
      </c>
      <c r="BC767">
        <f t="shared" ca="1" si="313"/>
        <v>3075000.0000000102</v>
      </c>
      <c r="BD767">
        <f t="shared" ca="1" si="314"/>
        <v>3075000.0000000102</v>
      </c>
      <c r="BE767">
        <f t="shared" ca="1" si="315"/>
        <v>0</v>
      </c>
      <c r="BF767">
        <f ca="1">IF(ROW()&lt;($C$7+1),"",IFERROR((分析データ!D767-AVERAGE(OFFSET(分析データ!D$1,MAX(1,ROW()-$C$7),0,MIN($C$7,ROW()-1),1)))/STDEV(OFFSET(分析データ!D$1,MAX(1,ROW()-$C$7),0,MIN($C$7,ROW()-1),1)),0))</f>
        <v>-2.0194776837882986</v>
      </c>
      <c r="BG767">
        <f t="shared" ca="1" si="316"/>
        <v>1</v>
      </c>
      <c r="BH767">
        <f ca="1">IF(BG767=1,IF(INDEX(分析データ!$A:$A,ROW()+$C$5)&lt;&gt;"",50000*SIGN(BF767)*(分析データ!D767-INDEX(分析データ!D:D,ROW()+$C$5)),""),"")</f>
        <v>-200000</v>
      </c>
      <c r="BI767">
        <f t="shared" ca="1" si="317"/>
        <v>4935000.0000000224</v>
      </c>
      <c r="BJ767">
        <f t="shared" ca="1" si="318"/>
        <v>5135000.0000000224</v>
      </c>
      <c r="BK767">
        <f t="shared" ca="1" si="319"/>
        <v>-200000</v>
      </c>
      <c r="BL767">
        <f ca="1">IF(ROW()&lt;($C$7+1),"",IFERROR((分析データ!E767-AVERAGE(OFFSET(分析データ!E$1,MAX(1,ROW()-$C$7),0,MIN($C$7,ROW()-1),1)))/STDEV(OFFSET(分析データ!E$1,MAX(1,ROW()-$C$7),0,MIN($C$7,ROW()-1),1)),0))</f>
        <v>0.45748717410139472</v>
      </c>
      <c r="BM767">
        <f t="shared" ca="1" si="320"/>
        <v>0</v>
      </c>
      <c r="BN767" t="str">
        <f ca="1">IF(BM767=1,IF(INDEX(分析データ!$A:$A,ROW()+$C$5)&lt;&gt;"",40000*SIGN(BL767)*(分析データ!E767-INDEX(分析データ!E:E,ROW()+$C$5)),""),"")</f>
        <v/>
      </c>
      <c r="BO767">
        <f t="shared" ca="1" si="321"/>
        <v>4280000.0000000028</v>
      </c>
      <c r="BP767">
        <f t="shared" ca="1" si="322"/>
        <v>4280000.0000000028</v>
      </c>
      <c r="BQ767">
        <f t="shared" ca="1" si="323"/>
        <v>0</v>
      </c>
      <c r="BR767">
        <f ca="1">IF(ROW()&lt;($C$7+1),"",IFERROR((分析データ!F767-AVERAGE(OFFSET(分析データ!F$1,MAX(1,ROW()-$C$7),0,MIN($C$7,ROW()-1),1)))/STDEV(OFFSET(分析データ!F$1,MAX(1,ROW()-$C$7),0,MIN($C$7,ROW()-1),1)),0))</f>
        <v>-1.0119423883249563</v>
      </c>
      <c r="BS767">
        <f t="shared" ca="1" si="324"/>
        <v>0</v>
      </c>
      <c r="BT767" t="str">
        <f ca="1">IF(BS767=1,IF(INDEX(分析データ!$A:$A,ROW()+$C$5)&lt;&gt;"",40000*SIGN(BR767)*(分析データ!F767-INDEX(分析データ!F:F,ROW()+$C$5)),""),"")</f>
        <v/>
      </c>
      <c r="BU767">
        <f t="shared" ca="1" si="325"/>
        <v>14917200.000000004</v>
      </c>
      <c r="BV767">
        <f t="shared" ca="1" si="326"/>
        <v>14917200.000000004</v>
      </c>
      <c r="BW767">
        <f t="shared" ca="1" si="327"/>
        <v>0</v>
      </c>
      <c r="BX767">
        <f ca="1">IF(ROW()&lt;($C$7+1),"",IFERROR((分析データ!G767-AVERAGE(OFFSET(分析データ!G$1,MAX(1,ROW()-$C$7),0,MIN($C$7,ROW()-1),1)))/STDEV(OFFSET(分析データ!G$1,MAX(1,ROW()-$C$7),0,MIN($C$7,ROW()-1),1)),0))</f>
        <v>1.6332696453860638</v>
      </c>
      <c r="BY767">
        <f t="shared" ca="1" si="328"/>
        <v>0</v>
      </c>
      <c r="BZ767" t="str">
        <f ca="1">IF(BY767=1,IF(INDEX(分析データ!$A:$A,ROW()+$C$5)&lt;&gt;"",40000*SIGN(BX767)*(分析データ!G767-INDEX(分析データ!G:G,ROW()+$C$5)),""),"")</f>
        <v/>
      </c>
      <c r="CA767">
        <f t="shared" ca="1" si="329"/>
        <v>-3515452.8662109179</v>
      </c>
      <c r="CB767">
        <f t="shared" ca="1" si="330"/>
        <v>11327520.000000004</v>
      </c>
      <c r="CC767">
        <f t="shared" ca="1" si="331"/>
        <v>-14842972.866210923</v>
      </c>
      <c r="CD767">
        <f t="shared" ca="1" si="332"/>
        <v>-79999.99999999546</v>
      </c>
      <c r="CE767">
        <f t="shared" ca="1" si="333"/>
        <v>18811747.133789152</v>
      </c>
      <c r="CF767">
        <f t="shared" ca="1" si="334"/>
        <v>19067197.138671909</v>
      </c>
      <c r="CG767">
        <f t="shared" ca="1" si="335"/>
        <v>-255450.00488275662</v>
      </c>
      <c r="CH767" s="10">
        <f>分析データ!A767</f>
        <v>46049</v>
      </c>
    </row>
    <row r="768" spans="46:86">
      <c r="AT768">
        <f ca="1">IF(ROW()&lt;($C$7+1),"",IFERROR((分析データ!B768-AVERAGE(OFFSET(分析データ!B$1,MAX(1,ROW()-$C$7),0,MIN($C$7,ROW()-1),1)))/STDEV(OFFSET(分析データ!B$1,MAX(1,ROW()-$C$7),0,MIN($C$7,ROW()-1),1)),0))</f>
        <v>2.0306046479939823</v>
      </c>
      <c r="AU768">
        <f t="shared" ca="1" si="308"/>
        <v>1</v>
      </c>
      <c r="AV768">
        <f ca="1">IF(AU768=1,IF(INDEX(分析データ!$A:$A,ROW()+$C$5)&lt;&gt;"",80000*SIGN(AT768)*(分析データ!B768-INDEX(分析データ!B:B,ROW()+$C$5)),""),"")</f>
        <v>359999.99999999942</v>
      </c>
      <c r="AW768">
        <f t="shared" ca="1" si="309"/>
        <v>-4519999.9999999888</v>
      </c>
      <c r="AX768">
        <f t="shared" ca="1" si="310"/>
        <v>0</v>
      </c>
      <c r="AY768">
        <f t="shared" ca="1" si="311"/>
        <v>-4519999.9999999888</v>
      </c>
      <c r="AZ768">
        <f ca="1">IF(ROW()&lt;($C$7+1),"",IFERROR((分析データ!C768-AVERAGE(OFFSET(分析データ!C$1,MAX(1,ROW()-$C$7),0,MIN($C$7,ROW()-1),1)))/STDEV(OFFSET(分析データ!C$1,MAX(1,ROW()-$C$7),0,MIN($C$7,ROW()-1),1)),0))</f>
        <v>1.3712054648338168</v>
      </c>
      <c r="BA768">
        <f t="shared" ca="1" si="312"/>
        <v>0</v>
      </c>
      <c r="BB768" t="str">
        <f ca="1">IF(BA768=1,IF(INDEX(分析データ!$A:$A,ROW()+$C$5)&lt;&gt;"",60000*SIGN(AZ768)*(分析データ!C768-INDEX(分析データ!C:C,ROW()+$C$5)),""),"")</f>
        <v/>
      </c>
      <c r="BC768">
        <f t="shared" ca="1" si="313"/>
        <v>3075000.0000000102</v>
      </c>
      <c r="BD768">
        <f t="shared" ca="1" si="314"/>
        <v>3075000.0000000102</v>
      </c>
      <c r="BE768">
        <f t="shared" ca="1" si="315"/>
        <v>0</v>
      </c>
      <c r="BF768">
        <f ca="1">IF(ROW()&lt;($C$7+1),"",IFERROR((分析データ!D768-AVERAGE(OFFSET(分析データ!D$1,MAX(1,ROW()-$C$7),0,MIN($C$7,ROW()-1),1)))/STDEV(OFFSET(分析データ!D$1,MAX(1,ROW()-$C$7),0,MIN($C$7,ROW()-1),1)),0))</f>
        <v>-1.8262459267478663</v>
      </c>
      <c r="BG768">
        <f t="shared" ca="1" si="316"/>
        <v>0</v>
      </c>
      <c r="BH768" t="str">
        <f ca="1">IF(BG768=1,IF(INDEX(分析データ!$A:$A,ROW()+$C$5)&lt;&gt;"",50000*SIGN(BF768)*(分析データ!D768-INDEX(分析データ!D:D,ROW()+$C$5)),""),"")</f>
        <v/>
      </c>
      <c r="BI768">
        <f t="shared" ca="1" si="317"/>
        <v>4935000.0000000224</v>
      </c>
      <c r="BJ768">
        <f t="shared" ca="1" si="318"/>
        <v>5135000.0000000224</v>
      </c>
      <c r="BK768">
        <f t="shared" ca="1" si="319"/>
        <v>-200000</v>
      </c>
      <c r="BL768">
        <f ca="1">IF(ROW()&lt;($C$7+1),"",IFERROR((分析データ!E768-AVERAGE(OFFSET(分析データ!E$1,MAX(1,ROW()-$C$7),0,MIN($C$7,ROW()-1),1)))/STDEV(OFFSET(分析データ!E$1,MAX(1,ROW()-$C$7),0,MIN($C$7,ROW()-1),1)),0))</f>
        <v>0.45120194048970758</v>
      </c>
      <c r="BM768">
        <f t="shared" ca="1" si="320"/>
        <v>0</v>
      </c>
      <c r="BN768" t="str">
        <f ca="1">IF(BM768=1,IF(INDEX(分析データ!$A:$A,ROW()+$C$5)&lt;&gt;"",40000*SIGN(BL768)*(分析データ!E768-INDEX(分析データ!E:E,ROW()+$C$5)),""),"")</f>
        <v/>
      </c>
      <c r="BO768">
        <f t="shared" ca="1" si="321"/>
        <v>4280000.0000000028</v>
      </c>
      <c r="BP768">
        <f t="shared" ca="1" si="322"/>
        <v>4280000.0000000028</v>
      </c>
      <c r="BQ768">
        <f t="shared" ca="1" si="323"/>
        <v>0</v>
      </c>
      <c r="BR768">
        <f ca="1">IF(ROW()&lt;($C$7+1),"",IFERROR((分析データ!F768-AVERAGE(OFFSET(分析データ!F$1,MAX(1,ROW()-$C$7),0,MIN($C$7,ROW()-1),1)))/STDEV(OFFSET(分析データ!F$1,MAX(1,ROW()-$C$7),0,MIN($C$7,ROW()-1),1)),0))</f>
        <v>-1.1999196548628281</v>
      </c>
      <c r="BS768">
        <f t="shared" ca="1" si="324"/>
        <v>0</v>
      </c>
      <c r="BT768" t="str">
        <f ca="1">IF(BS768=1,IF(INDEX(分析データ!$A:$A,ROW()+$C$5)&lt;&gt;"",40000*SIGN(BR768)*(分析データ!F768-INDEX(分析データ!F:F,ROW()+$C$5)),""),"")</f>
        <v/>
      </c>
      <c r="BU768">
        <f t="shared" ca="1" si="325"/>
        <v>14917200.000000004</v>
      </c>
      <c r="BV768">
        <f t="shared" ca="1" si="326"/>
        <v>14917200.000000004</v>
      </c>
      <c r="BW768">
        <f t="shared" ca="1" si="327"/>
        <v>0</v>
      </c>
      <c r="BX768">
        <f ca="1">IF(ROW()&lt;($C$7+1),"",IFERROR((分析データ!G768-AVERAGE(OFFSET(分析データ!G$1,MAX(1,ROW()-$C$7),0,MIN($C$7,ROW()-1),1)))/STDEV(OFFSET(分析データ!G$1,MAX(1,ROW()-$C$7),0,MIN($C$7,ROW()-1),1)),0))</f>
        <v>1.5486374244458267</v>
      </c>
      <c r="BY768">
        <f t="shared" ca="1" si="328"/>
        <v>0</v>
      </c>
      <c r="BZ768" t="str">
        <f ca="1">IF(BY768=1,IF(INDEX(分析データ!$A:$A,ROW()+$C$5)&lt;&gt;"",40000*SIGN(BX768)*(分析データ!G768-INDEX(分析データ!G:G,ROW()+$C$5)),""),"")</f>
        <v/>
      </c>
      <c r="CA768">
        <f t="shared" ca="1" si="329"/>
        <v>-3515452.8662109179</v>
      </c>
      <c r="CB768">
        <f t="shared" ca="1" si="330"/>
        <v>11327520.000000004</v>
      </c>
      <c r="CC768">
        <f t="shared" ca="1" si="331"/>
        <v>-14842972.866210923</v>
      </c>
      <c r="CD768">
        <f t="shared" ca="1" si="332"/>
        <v>359999.99999999942</v>
      </c>
      <c r="CE768">
        <f t="shared" ca="1" si="333"/>
        <v>19171747.133789152</v>
      </c>
      <c r="CF768">
        <f t="shared" ca="1" si="334"/>
        <v>19171747.133789152</v>
      </c>
      <c r="CG768">
        <f t="shared" ca="1" si="335"/>
        <v>0</v>
      </c>
      <c r="CH768" s="10">
        <f>分析データ!A768</f>
        <v>46050</v>
      </c>
    </row>
    <row r="769" spans="46:86">
      <c r="AT769">
        <f ca="1">IF(ROW()&lt;($C$7+1),"",IFERROR((分析データ!B769-AVERAGE(OFFSET(分析データ!B$1,MAX(1,ROW()-$C$7),0,MIN($C$7,ROW()-1),1)))/STDEV(OFFSET(分析データ!B$1,MAX(1,ROW()-$C$7),0,MIN($C$7,ROW()-1),1)),0))</f>
        <v>1.8715556464092231</v>
      </c>
      <c r="AU769">
        <f t="shared" ca="1" si="308"/>
        <v>0</v>
      </c>
      <c r="AV769" t="str">
        <f ca="1">IF(AU769=1,IF(INDEX(分析データ!$A:$A,ROW()+$C$5)&lt;&gt;"",80000*SIGN(AT769)*(分析データ!B769-INDEX(分析データ!B:B,ROW()+$C$5)),""),"")</f>
        <v/>
      </c>
      <c r="AW769">
        <f t="shared" ca="1" si="309"/>
        <v>-4519999.9999999888</v>
      </c>
      <c r="AX769">
        <f t="shared" ca="1" si="310"/>
        <v>0</v>
      </c>
      <c r="AY769">
        <f t="shared" ca="1" si="311"/>
        <v>-4519999.9999999888</v>
      </c>
      <c r="AZ769">
        <f ca="1">IF(ROW()&lt;($C$7+1),"",IFERROR((分析データ!C769-AVERAGE(OFFSET(分析データ!C$1,MAX(1,ROW()-$C$7),0,MIN($C$7,ROW()-1),1)))/STDEV(OFFSET(分析データ!C$1,MAX(1,ROW()-$C$7),0,MIN($C$7,ROW()-1),1)),0))</f>
        <v>1.5845965756758542</v>
      </c>
      <c r="BA769">
        <f t="shared" ca="1" si="312"/>
        <v>0</v>
      </c>
      <c r="BB769" t="str">
        <f ca="1">IF(BA769=1,IF(INDEX(分析データ!$A:$A,ROW()+$C$5)&lt;&gt;"",60000*SIGN(AZ769)*(分析データ!C769-INDEX(分析データ!C:C,ROW()+$C$5)),""),"")</f>
        <v/>
      </c>
      <c r="BC769">
        <f t="shared" ca="1" si="313"/>
        <v>3075000.0000000102</v>
      </c>
      <c r="BD769">
        <f t="shared" ca="1" si="314"/>
        <v>3075000.0000000102</v>
      </c>
      <c r="BE769">
        <f t="shared" ca="1" si="315"/>
        <v>0</v>
      </c>
      <c r="BF769">
        <f ca="1">IF(ROW()&lt;($C$7+1),"",IFERROR((分析データ!D769-AVERAGE(OFFSET(分析データ!D$1,MAX(1,ROW()-$C$7),0,MIN($C$7,ROW()-1),1)))/STDEV(OFFSET(分析データ!D$1,MAX(1,ROW()-$C$7),0,MIN($C$7,ROW()-1),1)),0))</f>
        <v>-1.9133368109269824</v>
      </c>
      <c r="BG769">
        <f t="shared" ca="1" si="316"/>
        <v>0</v>
      </c>
      <c r="BH769" t="str">
        <f ca="1">IF(BG769=1,IF(INDEX(分析データ!$A:$A,ROW()+$C$5)&lt;&gt;"",50000*SIGN(BF769)*(分析データ!D769-INDEX(分析データ!D:D,ROW()+$C$5)),""),"")</f>
        <v/>
      </c>
      <c r="BI769">
        <f t="shared" ca="1" si="317"/>
        <v>4935000.0000000224</v>
      </c>
      <c r="BJ769">
        <f t="shared" ca="1" si="318"/>
        <v>5135000.0000000224</v>
      </c>
      <c r="BK769">
        <f t="shared" ca="1" si="319"/>
        <v>-200000</v>
      </c>
      <c r="BL769">
        <f ca="1">IF(ROW()&lt;($C$7+1),"",IFERROR((分析データ!E769-AVERAGE(OFFSET(分析データ!E$1,MAX(1,ROW()-$C$7),0,MIN($C$7,ROW()-1),1)))/STDEV(OFFSET(分析データ!E$1,MAX(1,ROW()-$C$7),0,MIN($C$7,ROW()-1),1)),0))</f>
        <v>0.54992389366404093</v>
      </c>
      <c r="BM769">
        <f t="shared" ca="1" si="320"/>
        <v>0</v>
      </c>
      <c r="BN769" t="str">
        <f ca="1">IF(BM769=1,IF(INDEX(分析データ!$A:$A,ROW()+$C$5)&lt;&gt;"",40000*SIGN(BL769)*(分析データ!E769-INDEX(分析データ!E:E,ROW()+$C$5)),""),"")</f>
        <v/>
      </c>
      <c r="BO769">
        <f t="shared" ca="1" si="321"/>
        <v>4280000.0000000028</v>
      </c>
      <c r="BP769">
        <f t="shared" ca="1" si="322"/>
        <v>4280000.0000000028</v>
      </c>
      <c r="BQ769">
        <f t="shared" ca="1" si="323"/>
        <v>0</v>
      </c>
      <c r="BR769">
        <f ca="1">IF(ROW()&lt;($C$7+1),"",IFERROR((分析データ!F769-AVERAGE(OFFSET(分析データ!F$1,MAX(1,ROW()-$C$7),0,MIN($C$7,ROW()-1),1)))/STDEV(OFFSET(分析データ!F$1,MAX(1,ROW()-$C$7),0,MIN($C$7,ROW()-1),1)),0))</f>
        <v>-1.0175175436193851</v>
      </c>
      <c r="BS769">
        <f t="shared" ca="1" si="324"/>
        <v>0</v>
      </c>
      <c r="BT769" t="str">
        <f ca="1">IF(BS769=1,IF(INDEX(分析データ!$A:$A,ROW()+$C$5)&lt;&gt;"",40000*SIGN(BR769)*(分析データ!F769-INDEX(分析データ!F:F,ROW()+$C$5)),""),"")</f>
        <v/>
      </c>
      <c r="BU769">
        <f t="shared" ca="1" si="325"/>
        <v>14917200.000000004</v>
      </c>
      <c r="BV769">
        <f t="shared" ca="1" si="326"/>
        <v>14917200.000000004</v>
      </c>
      <c r="BW769">
        <f t="shared" ca="1" si="327"/>
        <v>0</v>
      </c>
      <c r="BX769">
        <f ca="1">IF(ROW()&lt;($C$7+1),"",IFERROR((分析データ!G769-AVERAGE(OFFSET(分析データ!G$1,MAX(1,ROW()-$C$7),0,MIN($C$7,ROW()-1),1)))/STDEV(OFFSET(分析データ!G$1,MAX(1,ROW()-$C$7),0,MIN($C$7,ROW()-1),1)),0))</f>
        <v>1.5603712595904029</v>
      </c>
      <c r="BY769">
        <f t="shared" ca="1" si="328"/>
        <v>0</v>
      </c>
      <c r="BZ769" t="str">
        <f ca="1">IF(BY769=1,IF(INDEX(分析データ!$A:$A,ROW()+$C$5)&lt;&gt;"",40000*SIGN(BX769)*(分析データ!G769-INDEX(分析データ!G:G,ROW()+$C$5)),""),"")</f>
        <v/>
      </c>
      <c r="CA769">
        <f t="shared" ca="1" si="329"/>
        <v>-3515452.8662109179</v>
      </c>
      <c r="CB769">
        <f t="shared" ca="1" si="330"/>
        <v>11327520.000000004</v>
      </c>
      <c r="CC769">
        <f t="shared" ca="1" si="331"/>
        <v>-14842972.866210923</v>
      </c>
      <c r="CD769">
        <f t="shared" ca="1" si="332"/>
        <v>0</v>
      </c>
      <c r="CE769">
        <f t="shared" ca="1" si="333"/>
        <v>19171747.133789152</v>
      </c>
      <c r="CF769">
        <f t="shared" ca="1" si="334"/>
        <v>19171747.133789152</v>
      </c>
      <c r="CG769">
        <f t="shared" ca="1" si="335"/>
        <v>0</v>
      </c>
      <c r="CH769" s="10">
        <f>分析データ!A769</f>
        <v>46051</v>
      </c>
    </row>
    <row r="770" spans="46:86">
      <c r="AT770">
        <f ca="1">IF(ROW()&lt;($C$7+1),"",IFERROR((分析データ!B770-AVERAGE(OFFSET(分析データ!B$1,MAX(1,ROW()-$C$7),0,MIN($C$7,ROW()-1),1)))/STDEV(OFFSET(分析データ!B$1,MAX(1,ROW()-$C$7),0,MIN($C$7,ROW()-1),1)),0))</f>
        <v>2.3944292859824832</v>
      </c>
      <c r="AU770">
        <f t="shared" ref="AU770:AU833" ca="1" si="336">IF(ISNUMBER(AT770),IF(ABS(AT770)&gt;=$C$6,1,0),0)</f>
        <v>1</v>
      </c>
      <c r="AV770">
        <f ca="1">IF(AU770=1,IF(INDEX(分析データ!$A:$A,ROW()+$C$5)&lt;&gt;"",80000*SIGN(AT770)*(分析データ!B770-INDEX(分析データ!B:B,ROW()+$C$5)),""),"")</f>
        <v>559999.99999999511</v>
      </c>
      <c r="AW770">
        <f t="shared" ref="AW770:AW833" ca="1" si="337">AW769+IF(AND(AU770=1,ISNUMBER(AV770)),AV770,0)</f>
        <v>-3959999.9999999935</v>
      </c>
      <c r="AX770">
        <f t="shared" ref="AX770:AX833" ca="1" si="338">MAX(AX769,AW770)</f>
        <v>0</v>
      </c>
      <c r="AY770">
        <f t="shared" ref="AY770:AY833" ca="1" si="339">AW770-AX770</f>
        <v>-3959999.9999999935</v>
      </c>
      <c r="AZ770">
        <f ca="1">IF(ROW()&lt;($C$7+1),"",IFERROR((分析データ!C770-AVERAGE(OFFSET(分析データ!C$1,MAX(1,ROW()-$C$7),0,MIN($C$7,ROW()-1),1)))/STDEV(OFFSET(分析データ!C$1,MAX(1,ROW()-$C$7),0,MIN($C$7,ROW()-1),1)),0))</f>
        <v>1.5232204329348549</v>
      </c>
      <c r="BA770">
        <f t="shared" ref="BA770:BA833" ca="1" si="340">IF(ISNUMBER(AZ770),IF(ABS(AZ770)&gt;=$C$6,1,0),0)</f>
        <v>0</v>
      </c>
      <c r="BB770" t="str">
        <f ca="1">IF(BA770=1,IF(INDEX(分析データ!$A:$A,ROW()+$C$5)&lt;&gt;"",60000*SIGN(AZ770)*(分析データ!C770-INDEX(分析データ!C:C,ROW()+$C$5)),""),"")</f>
        <v/>
      </c>
      <c r="BC770">
        <f t="shared" ref="BC770:BC833" ca="1" si="341">BC769+IF(AND(BA770=1,ISNUMBER(BB770)),BB770,0)</f>
        <v>3075000.0000000102</v>
      </c>
      <c r="BD770">
        <f t="shared" ref="BD770:BD833" ca="1" si="342">MAX(BD769,BC770)</f>
        <v>3075000.0000000102</v>
      </c>
      <c r="BE770">
        <f t="shared" ref="BE770:BE833" ca="1" si="343">BC770-BD770</f>
        <v>0</v>
      </c>
      <c r="BF770">
        <f ca="1">IF(ROW()&lt;($C$7+1),"",IFERROR((分析データ!D770-AVERAGE(OFFSET(分析データ!D$1,MAX(1,ROW()-$C$7),0,MIN($C$7,ROW()-1),1)))/STDEV(OFFSET(分析データ!D$1,MAX(1,ROW()-$C$7),0,MIN($C$7,ROW()-1),1)),0))</f>
        <v>-1.8274311623105279</v>
      </c>
      <c r="BG770">
        <f t="shared" ref="BG770:BG833" ca="1" si="344">IF(ISNUMBER(BF770),IF(ABS(BF770)&gt;=$C$6,1,0),0)</f>
        <v>0</v>
      </c>
      <c r="BH770" t="str">
        <f ca="1">IF(BG770=1,IF(INDEX(分析データ!$A:$A,ROW()+$C$5)&lt;&gt;"",50000*SIGN(BF770)*(分析データ!D770-INDEX(分析データ!D:D,ROW()+$C$5)),""),"")</f>
        <v/>
      </c>
      <c r="BI770">
        <f t="shared" ref="BI770:BI833" ca="1" si="345">BI769+IF(AND(BG770=1,ISNUMBER(BH770)),BH770,0)</f>
        <v>4935000.0000000224</v>
      </c>
      <c r="BJ770">
        <f t="shared" ref="BJ770:BJ833" ca="1" si="346">MAX(BJ769,BI770)</f>
        <v>5135000.0000000224</v>
      </c>
      <c r="BK770">
        <f t="shared" ref="BK770:BK833" ca="1" si="347">BI770-BJ770</f>
        <v>-200000</v>
      </c>
      <c r="BL770">
        <f ca="1">IF(ROW()&lt;($C$7+1),"",IFERROR((分析データ!E770-AVERAGE(OFFSET(分析データ!E$1,MAX(1,ROW()-$C$7),0,MIN($C$7,ROW()-1),1)))/STDEV(OFFSET(分析データ!E$1,MAX(1,ROW()-$C$7),0,MIN($C$7,ROW()-1),1)),0))</f>
        <v>0.86049043880108367</v>
      </c>
      <c r="BM770">
        <f t="shared" ref="BM770:BM833" ca="1" si="348">IF(ISNUMBER(BL770),IF(ABS(BL770)&gt;=$C$6,1,0),0)</f>
        <v>0</v>
      </c>
      <c r="BN770" t="str">
        <f ca="1">IF(BM770=1,IF(INDEX(分析データ!$A:$A,ROW()+$C$5)&lt;&gt;"",40000*SIGN(BL770)*(分析データ!E770-INDEX(分析データ!E:E,ROW()+$C$5)),""),"")</f>
        <v/>
      </c>
      <c r="BO770">
        <f t="shared" ref="BO770:BO833" ca="1" si="349">BO769+IF(AND(BM770=1,ISNUMBER(BN770)),BN770,0)</f>
        <v>4280000.0000000028</v>
      </c>
      <c r="BP770">
        <f t="shared" ref="BP770:BP833" ca="1" si="350">MAX(BP769,BO770)</f>
        <v>4280000.0000000028</v>
      </c>
      <c r="BQ770">
        <f t="shared" ref="BQ770:BQ833" ca="1" si="351">BO770-BP770</f>
        <v>0</v>
      </c>
      <c r="BR770">
        <f ca="1">IF(ROW()&lt;($C$7+1),"",IFERROR((分析データ!F770-AVERAGE(OFFSET(分析データ!F$1,MAX(1,ROW()-$C$7),0,MIN($C$7,ROW()-1),1)))/STDEV(OFFSET(分析データ!F$1,MAX(1,ROW()-$C$7),0,MIN($C$7,ROW()-1),1)),0))</f>
        <v>-1.1247454791968059</v>
      </c>
      <c r="BS770">
        <f t="shared" ref="BS770:BS833" ca="1" si="352">IF(ISNUMBER(BR770),IF(ABS(BR770)&gt;=$C$6,1,0),0)</f>
        <v>0</v>
      </c>
      <c r="BT770" t="str">
        <f ca="1">IF(BS770=1,IF(INDEX(分析データ!$A:$A,ROW()+$C$5)&lt;&gt;"",40000*SIGN(BR770)*(分析データ!F770-INDEX(分析データ!F:F,ROW()+$C$5)),""),"")</f>
        <v/>
      </c>
      <c r="BU770">
        <f t="shared" ref="BU770:BU833" ca="1" si="353">BU769+IF(AND(BS770=1,ISNUMBER(BT770)),BT770,0)</f>
        <v>14917200.000000004</v>
      </c>
      <c r="BV770">
        <f t="shared" ref="BV770:BV833" ca="1" si="354">MAX(BV769,BU770)</f>
        <v>14917200.000000004</v>
      </c>
      <c r="BW770">
        <f t="shared" ref="BW770:BW833" ca="1" si="355">BU770-BV770</f>
        <v>0</v>
      </c>
      <c r="BX770">
        <f ca="1">IF(ROW()&lt;($C$7+1),"",IFERROR((分析データ!G770-AVERAGE(OFFSET(分析データ!G$1,MAX(1,ROW()-$C$7),0,MIN($C$7,ROW()-1),1)))/STDEV(OFFSET(分析データ!G$1,MAX(1,ROW()-$C$7),0,MIN($C$7,ROW()-1),1)),0))</f>
        <v>1.56794490647528</v>
      </c>
      <c r="BY770">
        <f t="shared" ref="BY770:BY833" ca="1" si="356">IF(ISNUMBER(BX770),IF(ABS(BX770)&gt;=$C$6,1,0),0)</f>
        <v>0</v>
      </c>
      <c r="BZ770" t="str">
        <f ca="1">IF(BY770=1,IF(INDEX(分析データ!$A:$A,ROW()+$C$5)&lt;&gt;"",40000*SIGN(BX770)*(分析データ!G770-INDEX(分析データ!G:G,ROW()+$C$5)),""),"")</f>
        <v/>
      </c>
      <c r="CA770">
        <f t="shared" ref="CA770:CA833" ca="1" si="357">CA769+IF(AND(BY770=1,ISNUMBER(BZ770)),BZ770,0)</f>
        <v>-3515452.8662109179</v>
      </c>
      <c r="CB770">
        <f t="shared" ref="CB770:CB833" ca="1" si="358">MAX(CB769,CA770)</f>
        <v>11327520.000000004</v>
      </c>
      <c r="CC770">
        <f t="shared" ref="CC770:CC833" ca="1" si="359">CA770-CB770</f>
        <v>-14842972.866210923</v>
      </c>
      <c r="CD770">
        <f t="shared" ref="CD770:CD833" ca="1" si="360">N(AV770)+N(BB770)+N(BH770)+N(BN770)+N(BT770)+N(BZ770)</f>
        <v>559999.99999999511</v>
      </c>
      <c r="CE770">
        <f t="shared" ref="CE770:CE833" ca="1" si="361">CE769+CD770</f>
        <v>19731747.133789148</v>
      </c>
      <c r="CF770">
        <f t="shared" ref="CF770:CF833" ca="1" si="362">MAX(CF769,CE770)</f>
        <v>19731747.133789148</v>
      </c>
      <c r="CG770">
        <f t="shared" ref="CG770:CG833" ca="1" si="363">CE770-CF770</f>
        <v>0</v>
      </c>
      <c r="CH770" s="10">
        <f>分析データ!A770</f>
        <v>46052</v>
      </c>
    </row>
    <row r="771" spans="46:86">
      <c r="AT771">
        <f ca="1">IF(ROW()&lt;($C$7+1),"",IFERROR((分析データ!B771-AVERAGE(OFFSET(分析データ!B$1,MAX(1,ROW()-$C$7),0,MIN($C$7,ROW()-1),1)))/STDEV(OFFSET(分析データ!B$1,MAX(1,ROW()-$C$7),0,MIN($C$7,ROW()-1),1)),0))</f>
        <v>2.0535736179963671</v>
      </c>
      <c r="AU771">
        <f t="shared" ca="1" si="336"/>
        <v>1</v>
      </c>
      <c r="AV771">
        <f ca="1">IF(AU771=1,IF(INDEX(分析データ!$A:$A,ROW()+$C$5)&lt;&gt;"",80000*SIGN(AT771)*(分析データ!B771-INDEX(分析データ!B:B,ROW()+$C$5)),""),"")</f>
        <v>479999.99999999686</v>
      </c>
      <c r="AW771">
        <f t="shared" ca="1" si="337"/>
        <v>-3479999.9999999967</v>
      </c>
      <c r="AX771">
        <f t="shared" ca="1" si="338"/>
        <v>0</v>
      </c>
      <c r="AY771">
        <f t="shared" ca="1" si="339"/>
        <v>-3479999.9999999967</v>
      </c>
      <c r="AZ771">
        <f ca="1">IF(ROW()&lt;($C$7+1),"",IFERROR((分析データ!C771-AVERAGE(OFFSET(分析データ!C$1,MAX(1,ROW()-$C$7),0,MIN($C$7,ROW()-1),1)))/STDEV(OFFSET(分析データ!C$1,MAX(1,ROW()-$C$7),0,MIN($C$7,ROW()-1),1)),0))</f>
        <v>1.2420160397090454</v>
      </c>
      <c r="BA771">
        <f t="shared" ca="1" si="340"/>
        <v>0</v>
      </c>
      <c r="BB771" t="str">
        <f ca="1">IF(BA771=1,IF(INDEX(分析データ!$A:$A,ROW()+$C$5)&lt;&gt;"",60000*SIGN(AZ771)*(分析データ!C771-INDEX(分析データ!C:C,ROW()+$C$5)),""),"")</f>
        <v/>
      </c>
      <c r="BC771">
        <f t="shared" ca="1" si="341"/>
        <v>3075000.0000000102</v>
      </c>
      <c r="BD771">
        <f t="shared" ca="1" si="342"/>
        <v>3075000.0000000102</v>
      </c>
      <c r="BE771">
        <f t="shared" ca="1" si="343"/>
        <v>0</v>
      </c>
      <c r="BF771">
        <f ca="1">IF(ROW()&lt;($C$7+1),"",IFERROR((分析データ!D771-AVERAGE(OFFSET(分析データ!D$1,MAX(1,ROW()-$C$7),0,MIN($C$7,ROW()-1),1)))/STDEV(OFFSET(分析データ!D$1,MAX(1,ROW()-$C$7),0,MIN($C$7,ROW()-1),1)),0))</f>
        <v>-1.6961446847310646</v>
      </c>
      <c r="BG771">
        <f t="shared" ca="1" si="344"/>
        <v>0</v>
      </c>
      <c r="BH771" t="str">
        <f ca="1">IF(BG771=1,IF(INDEX(分析データ!$A:$A,ROW()+$C$5)&lt;&gt;"",50000*SIGN(BF771)*(分析データ!D771-INDEX(分析データ!D:D,ROW()+$C$5)),""),"")</f>
        <v/>
      </c>
      <c r="BI771">
        <f t="shared" ca="1" si="345"/>
        <v>4935000.0000000224</v>
      </c>
      <c r="BJ771">
        <f t="shared" ca="1" si="346"/>
        <v>5135000.0000000224</v>
      </c>
      <c r="BK771">
        <f t="shared" ca="1" si="347"/>
        <v>-200000</v>
      </c>
      <c r="BL771">
        <f ca="1">IF(ROW()&lt;($C$7+1),"",IFERROR((分析データ!E771-AVERAGE(OFFSET(分析データ!E$1,MAX(1,ROW()-$C$7),0,MIN($C$7,ROW()-1),1)))/STDEV(OFFSET(分析データ!E$1,MAX(1,ROW()-$C$7),0,MIN($C$7,ROW()-1),1)),0))</f>
        <v>0.74823474457330841</v>
      </c>
      <c r="BM771">
        <f t="shared" ca="1" si="348"/>
        <v>0</v>
      </c>
      <c r="BN771" t="str">
        <f ca="1">IF(BM771=1,IF(INDEX(分析データ!$A:$A,ROW()+$C$5)&lt;&gt;"",40000*SIGN(BL771)*(分析データ!E771-INDEX(分析データ!E:E,ROW()+$C$5)),""),"")</f>
        <v/>
      </c>
      <c r="BO771">
        <f t="shared" ca="1" si="349"/>
        <v>4280000.0000000028</v>
      </c>
      <c r="BP771">
        <f t="shared" ca="1" si="350"/>
        <v>4280000.0000000028</v>
      </c>
      <c r="BQ771">
        <f t="shared" ca="1" si="351"/>
        <v>0</v>
      </c>
      <c r="BR771">
        <f ca="1">IF(ROW()&lt;($C$7+1),"",IFERROR((分析データ!F771-AVERAGE(OFFSET(分析データ!F$1,MAX(1,ROW()-$C$7),0,MIN($C$7,ROW()-1),1)))/STDEV(OFFSET(分析データ!F$1,MAX(1,ROW()-$C$7),0,MIN($C$7,ROW()-1),1)),0))</f>
        <v>-1.1534754420684652</v>
      </c>
      <c r="BS771">
        <f t="shared" ca="1" si="352"/>
        <v>0</v>
      </c>
      <c r="BT771" t="str">
        <f ca="1">IF(BS771=1,IF(INDEX(分析データ!$A:$A,ROW()+$C$5)&lt;&gt;"",40000*SIGN(BR771)*(分析データ!F771-INDEX(分析データ!F:F,ROW()+$C$5)),""),"")</f>
        <v/>
      </c>
      <c r="BU771">
        <f t="shared" ca="1" si="353"/>
        <v>14917200.000000004</v>
      </c>
      <c r="BV771">
        <f t="shared" ca="1" si="354"/>
        <v>14917200.000000004</v>
      </c>
      <c r="BW771">
        <f t="shared" ca="1" si="355"/>
        <v>0</v>
      </c>
      <c r="BX771">
        <f ca="1">IF(ROW()&lt;($C$7+1),"",IFERROR((分析データ!G771-AVERAGE(OFFSET(分析データ!G$1,MAX(1,ROW()-$C$7),0,MIN($C$7,ROW()-1),1)))/STDEV(OFFSET(分析データ!G$1,MAX(1,ROW()-$C$7),0,MIN($C$7,ROW()-1),1)),0))</f>
        <v>1.5580760523859634</v>
      </c>
      <c r="BY771">
        <f t="shared" ca="1" si="356"/>
        <v>0</v>
      </c>
      <c r="BZ771" t="str">
        <f ca="1">IF(BY771=1,IF(INDEX(分析データ!$A:$A,ROW()+$C$5)&lt;&gt;"",40000*SIGN(BX771)*(分析データ!G771-INDEX(分析データ!G:G,ROW()+$C$5)),""),"")</f>
        <v/>
      </c>
      <c r="CA771">
        <f t="shared" ca="1" si="357"/>
        <v>-3515452.8662109179</v>
      </c>
      <c r="CB771">
        <f t="shared" ca="1" si="358"/>
        <v>11327520.000000004</v>
      </c>
      <c r="CC771">
        <f t="shared" ca="1" si="359"/>
        <v>-14842972.866210923</v>
      </c>
      <c r="CD771">
        <f t="shared" ca="1" si="360"/>
        <v>479999.99999999686</v>
      </c>
      <c r="CE771">
        <f t="shared" ca="1" si="361"/>
        <v>20211747.133789144</v>
      </c>
      <c r="CF771">
        <f t="shared" ca="1" si="362"/>
        <v>20211747.133789144</v>
      </c>
      <c r="CG771">
        <f t="shared" ca="1" si="363"/>
        <v>0</v>
      </c>
      <c r="CH771" s="10">
        <f>分析データ!A771</f>
        <v>46055</v>
      </c>
    </row>
    <row r="772" spans="46:86">
      <c r="AT772">
        <f ca="1">IF(ROW()&lt;($C$7+1),"",IFERROR((分析データ!B772-AVERAGE(OFFSET(分析データ!B$1,MAX(1,ROW()-$C$7),0,MIN($C$7,ROW()-1),1)))/STDEV(OFFSET(分析データ!B$1,MAX(1,ROW()-$C$7),0,MIN($C$7,ROW()-1),1)),0))</f>
        <v>1.7067361448006098</v>
      </c>
      <c r="AU772">
        <f t="shared" ca="1" si="336"/>
        <v>0</v>
      </c>
      <c r="AV772" t="str">
        <f ca="1">IF(AU772=1,IF(INDEX(分析データ!$A:$A,ROW()+$C$5)&lt;&gt;"",80000*SIGN(AT772)*(分析データ!B772-INDEX(分析データ!B:B,ROW()+$C$5)),""),"")</f>
        <v/>
      </c>
      <c r="AW772">
        <f t="shared" ca="1" si="337"/>
        <v>-3479999.9999999967</v>
      </c>
      <c r="AX772">
        <f t="shared" ca="1" si="338"/>
        <v>0</v>
      </c>
      <c r="AY772">
        <f t="shared" ca="1" si="339"/>
        <v>-3479999.9999999967</v>
      </c>
      <c r="AZ772">
        <f ca="1">IF(ROW()&lt;($C$7+1),"",IFERROR((分析データ!C772-AVERAGE(OFFSET(分析データ!C$1,MAX(1,ROW()-$C$7),0,MIN($C$7,ROW()-1),1)))/STDEV(OFFSET(分析データ!C$1,MAX(1,ROW()-$C$7),0,MIN($C$7,ROW()-1),1)),0))</f>
        <v>1.405147739722679</v>
      </c>
      <c r="BA772">
        <f t="shared" ca="1" si="340"/>
        <v>0</v>
      </c>
      <c r="BB772" t="str">
        <f ca="1">IF(BA772=1,IF(INDEX(分析データ!$A:$A,ROW()+$C$5)&lt;&gt;"",60000*SIGN(AZ772)*(分析データ!C772-INDEX(分析データ!C:C,ROW()+$C$5)),""),"")</f>
        <v/>
      </c>
      <c r="BC772">
        <f t="shared" ca="1" si="341"/>
        <v>3075000.0000000102</v>
      </c>
      <c r="BD772">
        <f t="shared" ca="1" si="342"/>
        <v>3075000.0000000102</v>
      </c>
      <c r="BE772">
        <f t="shared" ca="1" si="343"/>
        <v>0</v>
      </c>
      <c r="BF772">
        <f ca="1">IF(ROW()&lt;($C$7+1),"",IFERROR((分析データ!D772-AVERAGE(OFFSET(分析データ!D$1,MAX(1,ROW()-$C$7),0,MIN($C$7,ROW()-1),1)))/STDEV(OFFSET(分析データ!D$1,MAX(1,ROW()-$C$7),0,MIN($C$7,ROW()-1),1)),0))</f>
        <v>-1.7792567116863398</v>
      </c>
      <c r="BG772">
        <f t="shared" ca="1" si="344"/>
        <v>0</v>
      </c>
      <c r="BH772" t="str">
        <f ca="1">IF(BG772=1,IF(INDEX(分析データ!$A:$A,ROW()+$C$5)&lt;&gt;"",50000*SIGN(BF772)*(分析データ!D772-INDEX(分析データ!D:D,ROW()+$C$5)),""),"")</f>
        <v/>
      </c>
      <c r="BI772">
        <f t="shared" ca="1" si="345"/>
        <v>4935000.0000000224</v>
      </c>
      <c r="BJ772">
        <f t="shared" ca="1" si="346"/>
        <v>5135000.0000000224</v>
      </c>
      <c r="BK772">
        <f t="shared" ca="1" si="347"/>
        <v>-200000</v>
      </c>
      <c r="BL772">
        <f ca="1">IF(ROW()&lt;($C$7+1),"",IFERROR((分析データ!E772-AVERAGE(OFFSET(分析データ!E$1,MAX(1,ROW()-$C$7),0,MIN($C$7,ROW()-1),1)))/STDEV(OFFSET(分析データ!E$1,MAX(1,ROW()-$C$7),0,MIN($C$7,ROW()-1),1)),0))</f>
        <v>0.63567023797494271</v>
      </c>
      <c r="BM772">
        <f t="shared" ca="1" si="348"/>
        <v>0</v>
      </c>
      <c r="BN772" t="str">
        <f ca="1">IF(BM772=1,IF(INDEX(分析データ!$A:$A,ROW()+$C$5)&lt;&gt;"",40000*SIGN(BL772)*(分析データ!E772-INDEX(分析データ!E:E,ROW()+$C$5)),""),"")</f>
        <v/>
      </c>
      <c r="BO772">
        <f t="shared" ca="1" si="349"/>
        <v>4280000.0000000028</v>
      </c>
      <c r="BP772">
        <f t="shared" ca="1" si="350"/>
        <v>4280000.0000000028</v>
      </c>
      <c r="BQ772">
        <f t="shared" ca="1" si="351"/>
        <v>0</v>
      </c>
      <c r="BR772">
        <f ca="1">IF(ROW()&lt;($C$7+1),"",IFERROR((分析データ!F772-AVERAGE(OFFSET(分析データ!F$1,MAX(1,ROW()-$C$7),0,MIN($C$7,ROW()-1),1)))/STDEV(OFFSET(分析データ!F$1,MAX(1,ROW()-$C$7),0,MIN($C$7,ROW()-1),1)),0))</f>
        <v>-0.97218923697641502</v>
      </c>
      <c r="BS772">
        <f t="shared" ca="1" si="352"/>
        <v>0</v>
      </c>
      <c r="BT772" t="str">
        <f ca="1">IF(BS772=1,IF(INDEX(分析データ!$A:$A,ROW()+$C$5)&lt;&gt;"",40000*SIGN(BR772)*(分析データ!F772-INDEX(分析データ!F:F,ROW()+$C$5)),""),"")</f>
        <v/>
      </c>
      <c r="BU772">
        <f t="shared" ca="1" si="353"/>
        <v>14917200.000000004</v>
      </c>
      <c r="BV772">
        <f t="shared" ca="1" si="354"/>
        <v>14917200.000000004</v>
      </c>
      <c r="BW772">
        <f t="shared" ca="1" si="355"/>
        <v>0</v>
      </c>
      <c r="BX772">
        <f ca="1">IF(ROW()&lt;($C$7+1),"",IFERROR((分析データ!G772-AVERAGE(OFFSET(分析データ!G$1,MAX(1,ROW()-$C$7),0,MIN($C$7,ROW()-1),1)))/STDEV(OFFSET(分析データ!G$1,MAX(1,ROW()-$C$7),0,MIN($C$7,ROW()-1),1)),0))</f>
        <v>1.5056540706909776</v>
      </c>
      <c r="BY772">
        <f t="shared" ca="1" si="356"/>
        <v>0</v>
      </c>
      <c r="BZ772" t="str">
        <f ca="1">IF(BY772=1,IF(INDEX(分析データ!$A:$A,ROW()+$C$5)&lt;&gt;"",40000*SIGN(BX772)*(分析データ!G772-INDEX(分析データ!G:G,ROW()+$C$5)),""),"")</f>
        <v/>
      </c>
      <c r="CA772">
        <f t="shared" ca="1" si="357"/>
        <v>-3515452.8662109179</v>
      </c>
      <c r="CB772">
        <f t="shared" ca="1" si="358"/>
        <v>11327520.000000004</v>
      </c>
      <c r="CC772">
        <f t="shared" ca="1" si="359"/>
        <v>-14842972.866210923</v>
      </c>
      <c r="CD772">
        <f t="shared" ca="1" si="360"/>
        <v>0</v>
      </c>
      <c r="CE772">
        <f t="shared" ca="1" si="361"/>
        <v>20211747.133789144</v>
      </c>
      <c r="CF772">
        <f t="shared" ca="1" si="362"/>
        <v>20211747.133789144</v>
      </c>
      <c r="CG772">
        <f t="shared" ca="1" si="363"/>
        <v>0</v>
      </c>
      <c r="CH772" s="10">
        <f>分析データ!A772</f>
        <v>46056</v>
      </c>
    </row>
    <row r="773" spans="46:86">
      <c r="AT773">
        <f ca="1">IF(ROW()&lt;($C$7+1),"",IFERROR((分析データ!B773-AVERAGE(OFFSET(分析データ!B$1,MAX(1,ROW()-$C$7),0,MIN($C$7,ROW()-1),1)))/STDEV(OFFSET(分析データ!B$1,MAX(1,ROW()-$C$7),0,MIN($C$7,ROW()-1),1)),0))</f>
        <v>1.8817860058057969</v>
      </c>
      <c r="AU773">
        <f t="shared" ca="1" si="336"/>
        <v>0</v>
      </c>
      <c r="AV773" t="str">
        <f ca="1">IF(AU773=1,IF(INDEX(分析データ!$A:$A,ROW()+$C$5)&lt;&gt;"",80000*SIGN(AT773)*(分析データ!B773-INDEX(分析データ!B:B,ROW()+$C$5)),""),"")</f>
        <v/>
      </c>
      <c r="AW773">
        <f t="shared" ca="1" si="337"/>
        <v>-3479999.9999999967</v>
      </c>
      <c r="AX773">
        <f t="shared" ca="1" si="338"/>
        <v>0</v>
      </c>
      <c r="AY773">
        <f t="shared" ca="1" si="339"/>
        <v>-3479999.9999999967</v>
      </c>
      <c r="AZ773">
        <f ca="1">IF(ROW()&lt;($C$7+1),"",IFERROR((分析データ!C773-AVERAGE(OFFSET(分析データ!C$1,MAX(1,ROW()-$C$7),0,MIN($C$7,ROW()-1),1)))/STDEV(OFFSET(分析データ!C$1,MAX(1,ROW()-$C$7),0,MIN($C$7,ROW()-1),1)),0))</f>
        <v>1.3523338760795909</v>
      </c>
      <c r="BA773">
        <f t="shared" ca="1" si="340"/>
        <v>0</v>
      </c>
      <c r="BB773" t="str">
        <f ca="1">IF(BA773=1,IF(INDEX(分析データ!$A:$A,ROW()+$C$5)&lt;&gt;"",60000*SIGN(AZ773)*(分析データ!C773-INDEX(分析データ!C:C,ROW()+$C$5)),""),"")</f>
        <v/>
      </c>
      <c r="BC773">
        <f t="shared" ca="1" si="341"/>
        <v>3075000.0000000102</v>
      </c>
      <c r="BD773">
        <f t="shared" ca="1" si="342"/>
        <v>3075000.0000000102</v>
      </c>
      <c r="BE773">
        <f t="shared" ca="1" si="343"/>
        <v>0</v>
      </c>
      <c r="BF773">
        <f ca="1">IF(ROW()&lt;($C$7+1),"",IFERROR((分析データ!D773-AVERAGE(OFFSET(分析データ!D$1,MAX(1,ROW()-$C$7),0,MIN($C$7,ROW()-1),1)))/STDEV(OFFSET(分析データ!D$1,MAX(1,ROW()-$C$7),0,MIN($C$7,ROW()-1),1)),0))</f>
        <v>-1.7124832027624006</v>
      </c>
      <c r="BG773">
        <f t="shared" ca="1" si="344"/>
        <v>0</v>
      </c>
      <c r="BH773" t="str">
        <f ca="1">IF(BG773=1,IF(INDEX(分析データ!$A:$A,ROW()+$C$5)&lt;&gt;"",50000*SIGN(BF773)*(分析データ!D773-INDEX(分析データ!D:D,ROW()+$C$5)),""),"")</f>
        <v/>
      </c>
      <c r="BI773">
        <f t="shared" ca="1" si="345"/>
        <v>4935000.0000000224</v>
      </c>
      <c r="BJ773">
        <f t="shared" ca="1" si="346"/>
        <v>5135000.0000000224</v>
      </c>
      <c r="BK773">
        <f t="shared" ca="1" si="347"/>
        <v>-200000</v>
      </c>
      <c r="BL773">
        <f ca="1">IF(ROW()&lt;($C$7+1),"",IFERROR((分析データ!E773-AVERAGE(OFFSET(分析データ!E$1,MAX(1,ROW()-$C$7),0,MIN($C$7,ROW()-1),1)))/STDEV(OFFSET(分析データ!E$1,MAX(1,ROW()-$C$7),0,MIN($C$7,ROW()-1),1)),0))</f>
        <v>0.73731425417618335</v>
      </c>
      <c r="BM773">
        <f t="shared" ca="1" si="348"/>
        <v>0</v>
      </c>
      <c r="BN773" t="str">
        <f ca="1">IF(BM773=1,IF(INDEX(分析データ!$A:$A,ROW()+$C$5)&lt;&gt;"",40000*SIGN(BL773)*(分析データ!E773-INDEX(分析データ!E:E,ROW()+$C$5)),""),"")</f>
        <v/>
      </c>
      <c r="BO773">
        <f t="shared" ca="1" si="349"/>
        <v>4280000.0000000028</v>
      </c>
      <c r="BP773">
        <f t="shared" ca="1" si="350"/>
        <v>4280000.0000000028</v>
      </c>
      <c r="BQ773">
        <f t="shared" ca="1" si="351"/>
        <v>0</v>
      </c>
      <c r="BR773">
        <f ca="1">IF(ROW()&lt;($C$7+1),"",IFERROR((分析データ!F773-AVERAGE(OFFSET(分析データ!F$1,MAX(1,ROW()-$C$7),0,MIN($C$7,ROW()-1),1)))/STDEV(OFFSET(分析データ!F$1,MAX(1,ROW()-$C$7),0,MIN($C$7,ROW()-1),1)),0))</f>
        <v>-0.8281926046050867</v>
      </c>
      <c r="BS773">
        <f t="shared" ca="1" si="352"/>
        <v>0</v>
      </c>
      <c r="BT773" t="str">
        <f ca="1">IF(BS773=1,IF(INDEX(分析データ!$A:$A,ROW()+$C$5)&lt;&gt;"",40000*SIGN(BR773)*(分析データ!F773-INDEX(分析データ!F:F,ROW()+$C$5)),""),"")</f>
        <v/>
      </c>
      <c r="BU773">
        <f t="shared" ca="1" si="353"/>
        <v>14917200.000000004</v>
      </c>
      <c r="BV773">
        <f t="shared" ca="1" si="354"/>
        <v>14917200.000000004</v>
      </c>
      <c r="BW773">
        <f t="shared" ca="1" si="355"/>
        <v>0</v>
      </c>
      <c r="BX773">
        <f ca="1">IF(ROW()&lt;($C$7+1),"",IFERROR((分析データ!G773-AVERAGE(OFFSET(分析データ!G$1,MAX(1,ROW()-$C$7),0,MIN($C$7,ROW()-1),1)))/STDEV(OFFSET(分析データ!G$1,MAX(1,ROW()-$C$7),0,MIN($C$7,ROW()-1),1)),0))</f>
        <v>1.3800925375053039</v>
      </c>
      <c r="BY773">
        <f t="shared" ca="1" si="356"/>
        <v>0</v>
      </c>
      <c r="BZ773" t="str">
        <f ca="1">IF(BY773=1,IF(INDEX(分析データ!$A:$A,ROW()+$C$5)&lt;&gt;"",40000*SIGN(BX773)*(分析データ!G773-INDEX(分析データ!G:G,ROW()+$C$5)),""),"")</f>
        <v/>
      </c>
      <c r="CA773">
        <f t="shared" ca="1" si="357"/>
        <v>-3515452.8662109179</v>
      </c>
      <c r="CB773">
        <f t="shared" ca="1" si="358"/>
        <v>11327520.000000004</v>
      </c>
      <c r="CC773">
        <f t="shared" ca="1" si="359"/>
        <v>-14842972.866210923</v>
      </c>
      <c r="CD773">
        <f t="shared" ca="1" si="360"/>
        <v>0</v>
      </c>
      <c r="CE773">
        <f t="shared" ca="1" si="361"/>
        <v>20211747.133789144</v>
      </c>
      <c r="CF773">
        <f t="shared" ca="1" si="362"/>
        <v>20211747.133789144</v>
      </c>
      <c r="CG773">
        <f t="shared" ca="1" si="363"/>
        <v>0</v>
      </c>
      <c r="CH773" s="10">
        <f>分析データ!A773</f>
        <v>46057</v>
      </c>
    </row>
    <row r="774" spans="46:86">
      <c r="AT774">
        <f ca="1">IF(ROW()&lt;($C$7+1),"",IFERROR((分析データ!B774-AVERAGE(OFFSET(分析データ!B$1,MAX(1,ROW()-$C$7),0,MIN($C$7,ROW()-1),1)))/STDEV(OFFSET(分析データ!B$1,MAX(1,ROW()-$C$7),0,MIN($C$7,ROW()-1),1)),0))</f>
        <v>1.8850718749770869</v>
      </c>
      <c r="AU774">
        <f t="shared" ca="1" si="336"/>
        <v>0</v>
      </c>
      <c r="AV774" t="str">
        <f ca="1">IF(AU774=1,IF(INDEX(分析データ!$A:$A,ROW()+$C$5)&lt;&gt;"",80000*SIGN(AT774)*(分析データ!B774-INDEX(分析データ!B:B,ROW()+$C$5)),""),"")</f>
        <v/>
      </c>
      <c r="AW774">
        <f t="shared" ca="1" si="337"/>
        <v>-3479999.9999999967</v>
      </c>
      <c r="AX774">
        <f t="shared" ca="1" si="338"/>
        <v>0</v>
      </c>
      <c r="AY774">
        <f t="shared" ca="1" si="339"/>
        <v>-3479999.9999999967</v>
      </c>
      <c r="AZ774">
        <f ca="1">IF(ROW()&lt;($C$7+1),"",IFERROR((分析データ!C774-AVERAGE(OFFSET(分析データ!C$1,MAX(1,ROW()-$C$7),0,MIN($C$7,ROW()-1),1)))/STDEV(OFFSET(分析データ!C$1,MAX(1,ROW()-$C$7),0,MIN($C$7,ROW()-1),1)),0))</f>
        <v>1.4528103974762472</v>
      </c>
      <c r="BA774">
        <f t="shared" ca="1" si="340"/>
        <v>0</v>
      </c>
      <c r="BB774" t="str">
        <f ca="1">IF(BA774=1,IF(INDEX(分析データ!$A:$A,ROW()+$C$5)&lt;&gt;"",60000*SIGN(AZ774)*(分析データ!C774-INDEX(分析データ!C:C,ROW()+$C$5)),""),"")</f>
        <v/>
      </c>
      <c r="BC774">
        <f t="shared" ca="1" si="341"/>
        <v>3075000.0000000102</v>
      </c>
      <c r="BD774">
        <f t="shared" ca="1" si="342"/>
        <v>3075000.0000000102</v>
      </c>
      <c r="BE774">
        <f t="shared" ca="1" si="343"/>
        <v>0</v>
      </c>
      <c r="BF774">
        <f ca="1">IF(ROW()&lt;($C$7+1),"",IFERROR((分析データ!D774-AVERAGE(OFFSET(分析データ!D$1,MAX(1,ROW()-$C$7),0,MIN($C$7,ROW()-1),1)))/STDEV(OFFSET(分析データ!D$1,MAX(1,ROW()-$C$7),0,MIN($C$7,ROW()-1),1)),0))</f>
        <v>-1.8777704285095833</v>
      </c>
      <c r="BG774">
        <f t="shared" ca="1" si="344"/>
        <v>0</v>
      </c>
      <c r="BH774" t="str">
        <f ca="1">IF(BG774=1,IF(INDEX(分析データ!$A:$A,ROW()+$C$5)&lt;&gt;"",50000*SIGN(BF774)*(分析データ!D774-INDEX(分析データ!D:D,ROW()+$C$5)),""),"")</f>
        <v/>
      </c>
      <c r="BI774">
        <f t="shared" ca="1" si="345"/>
        <v>4935000.0000000224</v>
      </c>
      <c r="BJ774">
        <f t="shared" ca="1" si="346"/>
        <v>5135000.0000000224</v>
      </c>
      <c r="BK774">
        <f t="shared" ca="1" si="347"/>
        <v>-200000</v>
      </c>
      <c r="BL774">
        <f ca="1">IF(ROW()&lt;($C$7+1),"",IFERROR((分析データ!E774-AVERAGE(OFFSET(分析データ!E$1,MAX(1,ROW()-$C$7),0,MIN($C$7,ROW()-1),1)))/STDEV(OFFSET(分析データ!E$1,MAX(1,ROW()-$C$7),0,MIN($C$7,ROW()-1),1)),0))</f>
        <v>0.83944257159135449</v>
      </c>
      <c r="BM774">
        <f t="shared" ca="1" si="348"/>
        <v>0</v>
      </c>
      <c r="BN774" t="str">
        <f ca="1">IF(BM774=1,IF(INDEX(分析データ!$A:$A,ROW()+$C$5)&lt;&gt;"",40000*SIGN(BL774)*(分析データ!E774-INDEX(分析データ!E:E,ROW()+$C$5)),""),"")</f>
        <v/>
      </c>
      <c r="BO774">
        <f t="shared" ca="1" si="349"/>
        <v>4280000.0000000028</v>
      </c>
      <c r="BP774">
        <f t="shared" ca="1" si="350"/>
        <v>4280000.0000000028</v>
      </c>
      <c r="BQ774">
        <f t="shared" ca="1" si="351"/>
        <v>0</v>
      </c>
      <c r="BR774">
        <f ca="1">IF(ROW()&lt;($C$7+1),"",IFERROR((分析データ!F774-AVERAGE(OFFSET(分析データ!F$1,MAX(1,ROW()-$C$7),0,MIN($C$7,ROW()-1),1)))/STDEV(OFFSET(分析データ!F$1,MAX(1,ROW()-$C$7),0,MIN($C$7,ROW()-1),1)),0))</f>
        <v>-0.72590516723659215</v>
      </c>
      <c r="BS774">
        <f t="shared" ca="1" si="352"/>
        <v>0</v>
      </c>
      <c r="BT774" t="str">
        <f ca="1">IF(BS774=1,IF(INDEX(分析データ!$A:$A,ROW()+$C$5)&lt;&gt;"",40000*SIGN(BR774)*(分析データ!F774-INDEX(分析データ!F:F,ROW()+$C$5)),""),"")</f>
        <v/>
      </c>
      <c r="BU774">
        <f t="shared" ca="1" si="353"/>
        <v>14917200.000000004</v>
      </c>
      <c r="BV774">
        <f t="shared" ca="1" si="354"/>
        <v>14917200.000000004</v>
      </c>
      <c r="BW774">
        <f t="shared" ca="1" si="355"/>
        <v>0</v>
      </c>
      <c r="BX774">
        <f ca="1">IF(ROW()&lt;($C$7+1),"",IFERROR((分析データ!G774-AVERAGE(OFFSET(分析データ!G$1,MAX(1,ROW()-$C$7),0,MIN($C$7,ROW()-1),1)))/STDEV(OFFSET(分析データ!G$1,MAX(1,ROW()-$C$7),0,MIN($C$7,ROW()-1),1)),0))</f>
        <v>1.4547446833745539</v>
      </c>
      <c r="BY774">
        <f t="shared" ca="1" si="356"/>
        <v>0</v>
      </c>
      <c r="BZ774" t="str">
        <f ca="1">IF(BY774=1,IF(INDEX(分析データ!$A:$A,ROW()+$C$5)&lt;&gt;"",40000*SIGN(BX774)*(分析データ!G774-INDEX(分析データ!G:G,ROW()+$C$5)),""),"")</f>
        <v/>
      </c>
      <c r="CA774">
        <f t="shared" ca="1" si="357"/>
        <v>-3515452.8662109179</v>
      </c>
      <c r="CB774">
        <f t="shared" ca="1" si="358"/>
        <v>11327520.000000004</v>
      </c>
      <c r="CC774">
        <f t="shared" ca="1" si="359"/>
        <v>-14842972.866210923</v>
      </c>
      <c r="CD774">
        <f t="shared" ca="1" si="360"/>
        <v>0</v>
      </c>
      <c r="CE774">
        <f t="shared" ca="1" si="361"/>
        <v>20211747.133789144</v>
      </c>
      <c r="CF774">
        <f t="shared" ca="1" si="362"/>
        <v>20211747.133789144</v>
      </c>
      <c r="CG774">
        <f t="shared" ca="1" si="363"/>
        <v>0</v>
      </c>
      <c r="CH774" s="10">
        <f>分析データ!A774</f>
        <v>46058</v>
      </c>
    </row>
    <row r="775" spans="46:86">
      <c r="AT775">
        <f ca="1">IF(ROW()&lt;($C$7+1),"",IFERROR((分析データ!B775-AVERAGE(OFFSET(分析データ!B$1,MAX(1,ROW()-$C$7),0,MIN($C$7,ROW()-1),1)))/STDEV(OFFSET(分析データ!B$1,MAX(1,ROW()-$C$7),0,MIN($C$7,ROW()-1),1)),0))</f>
        <v>1.7005606097294146</v>
      </c>
      <c r="AU775">
        <f t="shared" ca="1" si="336"/>
        <v>0</v>
      </c>
      <c r="AV775" t="str">
        <f ca="1">IF(AU775=1,IF(INDEX(分析データ!$A:$A,ROW()+$C$5)&lt;&gt;"",80000*SIGN(AT775)*(分析データ!B775-INDEX(分析データ!B:B,ROW()+$C$5)),""),"")</f>
        <v/>
      </c>
      <c r="AW775">
        <f t="shared" ca="1" si="337"/>
        <v>-3479999.9999999967</v>
      </c>
      <c r="AX775">
        <f t="shared" ca="1" si="338"/>
        <v>0</v>
      </c>
      <c r="AY775">
        <f t="shared" ca="1" si="339"/>
        <v>-3479999.9999999967</v>
      </c>
      <c r="AZ775">
        <f ca="1">IF(ROW()&lt;($C$7+1),"",IFERROR((分析データ!C775-AVERAGE(OFFSET(分析データ!C$1,MAX(1,ROW()-$C$7),0,MIN($C$7,ROW()-1),1)))/STDEV(OFFSET(分析データ!C$1,MAX(1,ROW()-$C$7),0,MIN($C$7,ROW()-1),1)),0))</f>
        <v>1.5452682933930886</v>
      </c>
      <c r="BA775">
        <f t="shared" ca="1" si="340"/>
        <v>0</v>
      </c>
      <c r="BB775" t="str">
        <f ca="1">IF(BA775=1,IF(INDEX(分析データ!$A:$A,ROW()+$C$5)&lt;&gt;"",60000*SIGN(AZ775)*(分析データ!C775-INDEX(分析データ!C:C,ROW()+$C$5)),""),"")</f>
        <v/>
      </c>
      <c r="BC775">
        <f t="shared" ca="1" si="341"/>
        <v>3075000.0000000102</v>
      </c>
      <c r="BD775">
        <f t="shared" ca="1" si="342"/>
        <v>3075000.0000000102</v>
      </c>
      <c r="BE775">
        <f t="shared" ca="1" si="343"/>
        <v>0</v>
      </c>
      <c r="BF775">
        <f ca="1">IF(ROW()&lt;($C$7+1),"",IFERROR((分析データ!D775-AVERAGE(OFFSET(分析データ!D$1,MAX(1,ROW()-$C$7),0,MIN($C$7,ROW()-1),1)))/STDEV(OFFSET(分析データ!D$1,MAX(1,ROW()-$C$7),0,MIN($C$7,ROW()-1),1)),0))</f>
        <v>-1.849077406853731</v>
      </c>
      <c r="BG775">
        <f t="shared" ca="1" si="344"/>
        <v>0</v>
      </c>
      <c r="BH775" t="str">
        <f ca="1">IF(BG775=1,IF(INDEX(分析データ!$A:$A,ROW()+$C$5)&lt;&gt;"",50000*SIGN(BF775)*(分析データ!D775-INDEX(分析データ!D:D,ROW()+$C$5)),""),"")</f>
        <v/>
      </c>
      <c r="BI775">
        <f t="shared" ca="1" si="345"/>
        <v>4935000.0000000224</v>
      </c>
      <c r="BJ775">
        <f t="shared" ca="1" si="346"/>
        <v>5135000.0000000224</v>
      </c>
      <c r="BK775">
        <f t="shared" ca="1" si="347"/>
        <v>-200000</v>
      </c>
      <c r="BL775">
        <f ca="1">IF(ROW()&lt;($C$7+1),"",IFERROR((分析データ!E775-AVERAGE(OFFSET(分析データ!E$1,MAX(1,ROW()-$C$7),0,MIN($C$7,ROW()-1),1)))/STDEV(OFFSET(分析データ!E$1,MAX(1,ROW()-$C$7),0,MIN($C$7,ROW()-1),1)),0))</f>
        <v>0.72531332523244685</v>
      </c>
      <c r="BM775">
        <f t="shared" ca="1" si="348"/>
        <v>0</v>
      </c>
      <c r="BN775" t="str">
        <f ca="1">IF(BM775=1,IF(INDEX(分析データ!$A:$A,ROW()+$C$5)&lt;&gt;"",40000*SIGN(BL775)*(分析データ!E775-INDEX(分析データ!E:E,ROW()+$C$5)),""),"")</f>
        <v/>
      </c>
      <c r="BO775">
        <f t="shared" ca="1" si="349"/>
        <v>4280000.0000000028</v>
      </c>
      <c r="BP775">
        <f t="shared" ca="1" si="350"/>
        <v>4280000.0000000028</v>
      </c>
      <c r="BQ775">
        <f t="shared" ca="1" si="351"/>
        <v>0</v>
      </c>
      <c r="BR775">
        <f ca="1">IF(ROW()&lt;($C$7+1),"",IFERROR((分析データ!F775-AVERAGE(OFFSET(分析データ!F$1,MAX(1,ROW()-$C$7),0,MIN($C$7,ROW()-1),1)))/STDEV(OFFSET(分析データ!F$1,MAX(1,ROW()-$C$7),0,MIN($C$7,ROW()-1),1)),0))</f>
        <v>-1.1174976163586599</v>
      </c>
      <c r="BS775">
        <f t="shared" ca="1" si="352"/>
        <v>0</v>
      </c>
      <c r="BT775" t="str">
        <f ca="1">IF(BS775=1,IF(INDEX(分析データ!$A:$A,ROW()+$C$5)&lt;&gt;"",40000*SIGN(BR775)*(分析データ!F775-INDEX(分析データ!F:F,ROW()+$C$5)),""),"")</f>
        <v/>
      </c>
      <c r="BU775">
        <f t="shared" ca="1" si="353"/>
        <v>14917200.000000004</v>
      </c>
      <c r="BV775">
        <f t="shared" ca="1" si="354"/>
        <v>14917200.000000004</v>
      </c>
      <c r="BW775">
        <f t="shared" ca="1" si="355"/>
        <v>0</v>
      </c>
      <c r="BX775">
        <f ca="1">IF(ROW()&lt;($C$7+1),"",IFERROR((分析データ!G775-AVERAGE(OFFSET(分析データ!G$1,MAX(1,ROW()-$C$7),0,MIN($C$7,ROW()-1),1)))/STDEV(OFFSET(分析データ!G$1,MAX(1,ROW()-$C$7),0,MIN($C$7,ROW()-1),1)),0))</f>
        <v>1.5158728224751448</v>
      </c>
      <c r="BY775">
        <f t="shared" ca="1" si="356"/>
        <v>0</v>
      </c>
      <c r="BZ775" t="str">
        <f ca="1">IF(BY775=1,IF(INDEX(分析データ!$A:$A,ROW()+$C$5)&lt;&gt;"",40000*SIGN(BX775)*(分析データ!G775-INDEX(分析データ!G:G,ROW()+$C$5)),""),"")</f>
        <v/>
      </c>
      <c r="CA775">
        <f t="shared" ca="1" si="357"/>
        <v>-3515452.8662109179</v>
      </c>
      <c r="CB775">
        <f t="shared" ca="1" si="358"/>
        <v>11327520.000000004</v>
      </c>
      <c r="CC775">
        <f t="shared" ca="1" si="359"/>
        <v>-14842972.866210923</v>
      </c>
      <c r="CD775">
        <f t="shared" ca="1" si="360"/>
        <v>0</v>
      </c>
      <c r="CE775">
        <f t="shared" ca="1" si="361"/>
        <v>20211747.133789144</v>
      </c>
      <c r="CF775">
        <f t="shared" ca="1" si="362"/>
        <v>20211747.133789144</v>
      </c>
      <c r="CG775">
        <f t="shared" ca="1" si="363"/>
        <v>0</v>
      </c>
      <c r="CH775" s="10">
        <f>分析データ!A775</f>
        <v>46059</v>
      </c>
    </row>
    <row r="776" spans="46:86">
      <c r="AT776">
        <f ca="1">IF(ROW()&lt;($C$7+1),"",IFERROR((分析データ!B776-AVERAGE(OFFSET(分析データ!B$1,MAX(1,ROW()-$C$7),0,MIN($C$7,ROW()-1),1)))/STDEV(OFFSET(分析データ!B$1,MAX(1,ROW()-$C$7),0,MIN($C$7,ROW()-1),1)),0))</f>
        <v>2.0401464908996139</v>
      </c>
      <c r="AU776">
        <f t="shared" ca="1" si="336"/>
        <v>1</v>
      </c>
      <c r="AV776">
        <f ca="1">IF(AU776=1,IF(INDEX(分析データ!$A:$A,ROW()+$C$5)&lt;&gt;"",80000*SIGN(AT776)*(分析データ!B776-INDEX(分析データ!B:B,ROW()+$C$5)),""),"")</f>
        <v>640000.00000000058</v>
      </c>
      <c r="AW776">
        <f t="shared" ca="1" si="337"/>
        <v>-2839999.9999999963</v>
      </c>
      <c r="AX776">
        <f t="shared" ca="1" si="338"/>
        <v>0</v>
      </c>
      <c r="AY776">
        <f t="shared" ca="1" si="339"/>
        <v>-2839999.9999999963</v>
      </c>
      <c r="AZ776">
        <f ca="1">IF(ROW()&lt;($C$7+1),"",IFERROR((分析データ!C776-AVERAGE(OFFSET(分析データ!C$1,MAX(1,ROW()-$C$7),0,MIN($C$7,ROW()-1),1)))/STDEV(OFFSET(分析データ!C$1,MAX(1,ROW()-$C$7),0,MIN($C$7,ROW()-1),1)),0))</f>
        <v>1.9339874966785628</v>
      </c>
      <c r="BA776">
        <f t="shared" ca="1" si="340"/>
        <v>0</v>
      </c>
      <c r="BB776" t="str">
        <f ca="1">IF(BA776=1,IF(INDEX(分析データ!$A:$A,ROW()+$C$5)&lt;&gt;"",60000*SIGN(AZ776)*(分析データ!C776-INDEX(分析データ!C:C,ROW()+$C$5)),""),"")</f>
        <v/>
      </c>
      <c r="BC776">
        <f t="shared" ca="1" si="341"/>
        <v>3075000.0000000102</v>
      </c>
      <c r="BD776">
        <f t="shared" ca="1" si="342"/>
        <v>3075000.0000000102</v>
      </c>
      <c r="BE776">
        <f t="shared" ca="1" si="343"/>
        <v>0</v>
      </c>
      <c r="BF776">
        <f ca="1">IF(ROW()&lt;($C$7+1),"",IFERROR((分析データ!D776-AVERAGE(OFFSET(分析データ!D$1,MAX(1,ROW()-$C$7),0,MIN($C$7,ROW()-1),1)))/STDEV(OFFSET(分析データ!D$1,MAX(1,ROW()-$C$7),0,MIN($C$7,ROW()-1),1)),0))</f>
        <v>-1.9840090405764153</v>
      </c>
      <c r="BG776">
        <f t="shared" ca="1" si="344"/>
        <v>0</v>
      </c>
      <c r="BH776" t="str">
        <f ca="1">IF(BG776=1,IF(INDEX(分析データ!$A:$A,ROW()+$C$5)&lt;&gt;"",50000*SIGN(BF776)*(分析データ!D776-INDEX(分析データ!D:D,ROW()+$C$5)),""),"")</f>
        <v/>
      </c>
      <c r="BI776">
        <f t="shared" ca="1" si="345"/>
        <v>4935000.0000000224</v>
      </c>
      <c r="BJ776">
        <f t="shared" ca="1" si="346"/>
        <v>5135000.0000000224</v>
      </c>
      <c r="BK776">
        <f t="shared" ca="1" si="347"/>
        <v>-200000</v>
      </c>
      <c r="BL776">
        <f ca="1">IF(ROW()&lt;($C$7+1),"",IFERROR((分析データ!E776-AVERAGE(OFFSET(分析データ!E$1,MAX(1,ROW()-$C$7),0,MIN($C$7,ROW()-1),1)))/STDEV(OFFSET(分析データ!E$1,MAX(1,ROW()-$C$7),0,MIN($C$7,ROW()-1),1)),0))</f>
        <v>0.82942060072609791</v>
      </c>
      <c r="BM776">
        <f t="shared" ca="1" si="348"/>
        <v>0</v>
      </c>
      <c r="BN776" t="str">
        <f ca="1">IF(BM776=1,IF(INDEX(分析データ!$A:$A,ROW()+$C$5)&lt;&gt;"",40000*SIGN(BL776)*(分析データ!E776-INDEX(分析データ!E:E,ROW()+$C$5)),""),"")</f>
        <v/>
      </c>
      <c r="BO776">
        <f t="shared" ca="1" si="349"/>
        <v>4280000.0000000028</v>
      </c>
      <c r="BP776">
        <f t="shared" ca="1" si="350"/>
        <v>4280000.0000000028</v>
      </c>
      <c r="BQ776">
        <f t="shared" ca="1" si="351"/>
        <v>0</v>
      </c>
      <c r="BR776">
        <f ca="1">IF(ROW()&lt;($C$7+1),"",IFERROR((分析データ!F776-AVERAGE(OFFSET(分析データ!F$1,MAX(1,ROW()-$C$7),0,MIN($C$7,ROW()-1),1)))/STDEV(OFFSET(分析データ!F$1,MAX(1,ROW()-$C$7),0,MIN($C$7,ROW()-1),1)),0))</f>
        <v>-0.99450265794214865</v>
      </c>
      <c r="BS776">
        <f t="shared" ca="1" si="352"/>
        <v>0</v>
      </c>
      <c r="BT776" t="str">
        <f ca="1">IF(BS776=1,IF(INDEX(分析データ!$A:$A,ROW()+$C$5)&lt;&gt;"",40000*SIGN(BR776)*(分析データ!F776-INDEX(分析データ!F:F,ROW()+$C$5)),""),"")</f>
        <v/>
      </c>
      <c r="BU776">
        <f t="shared" ca="1" si="353"/>
        <v>14917200.000000004</v>
      </c>
      <c r="BV776">
        <f t="shared" ca="1" si="354"/>
        <v>14917200.000000004</v>
      </c>
      <c r="BW776">
        <f t="shared" ca="1" si="355"/>
        <v>0</v>
      </c>
      <c r="BX776">
        <f ca="1">IF(ROW()&lt;($C$7+1),"",IFERROR((分析データ!G776-AVERAGE(OFFSET(分析データ!G$1,MAX(1,ROW()-$C$7),0,MIN($C$7,ROW()-1),1)))/STDEV(OFFSET(分析データ!G$1,MAX(1,ROW()-$C$7),0,MIN($C$7,ROW()-1),1)),0))</f>
        <v>1.5702775502379021</v>
      </c>
      <c r="BY776">
        <f t="shared" ca="1" si="356"/>
        <v>0</v>
      </c>
      <c r="BZ776" t="str">
        <f ca="1">IF(BY776=1,IF(INDEX(分析データ!$A:$A,ROW()+$C$5)&lt;&gt;"",40000*SIGN(BX776)*(分析データ!G776-INDEX(分析データ!G:G,ROW()+$C$5)),""),"")</f>
        <v/>
      </c>
      <c r="CA776">
        <f t="shared" ca="1" si="357"/>
        <v>-3515452.8662109179</v>
      </c>
      <c r="CB776">
        <f t="shared" ca="1" si="358"/>
        <v>11327520.000000004</v>
      </c>
      <c r="CC776">
        <f t="shared" ca="1" si="359"/>
        <v>-14842972.866210923</v>
      </c>
      <c r="CD776">
        <f t="shared" ca="1" si="360"/>
        <v>640000.00000000058</v>
      </c>
      <c r="CE776">
        <f t="shared" ca="1" si="361"/>
        <v>20851747.133789144</v>
      </c>
      <c r="CF776">
        <f t="shared" ca="1" si="362"/>
        <v>20851747.133789144</v>
      </c>
      <c r="CG776">
        <f t="shared" ca="1" si="363"/>
        <v>0</v>
      </c>
      <c r="CH776" s="10">
        <f>分析データ!A776</f>
        <v>46062</v>
      </c>
    </row>
    <row r="777" spans="46:86">
      <c r="AT777">
        <f ca="1">IF(ROW()&lt;($C$7+1),"",IFERROR((分析データ!B777-AVERAGE(OFFSET(分析データ!B$1,MAX(1,ROW()-$C$7),0,MIN($C$7,ROW()-1),1)))/STDEV(OFFSET(分析データ!B$1,MAX(1,ROW()-$C$7),0,MIN($C$7,ROW()-1),1)),0))</f>
        <v>1.6831656920455755</v>
      </c>
      <c r="AU777">
        <f t="shared" ca="1" si="336"/>
        <v>0</v>
      </c>
      <c r="AV777" t="str">
        <f ca="1">IF(AU777=1,IF(INDEX(分析データ!$A:$A,ROW()+$C$5)&lt;&gt;"",80000*SIGN(AT777)*(分析データ!B777-INDEX(分析データ!B:B,ROW()+$C$5)),""),"")</f>
        <v/>
      </c>
      <c r="AW777">
        <f t="shared" ca="1" si="337"/>
        <v>-2839999.9999999963</v>
      </c>
      <c r="AX777">
        <f t="shared" ca="1" si="338"/>
        <v>0</v>
      </c>
      <c r="AY777">
        <f t="shared" ca="1" si="339"/>
        <v>-2839999.9999999963</v>
      </c>
      <c r="AZ777">
        <f ca="1">IF(ROW()&lt;($C$7+1),"",IFERROR((分析データ!C777-AVERAGE(OFFSET(分析データ!C$1,MAX(1,ROW()-$C$7),0,MIN($C$7,ROW()-1),1)))/STDEV(OFFSET(分析データ!C$1,MAX(1,ROW()-$C$7),0,MIN($C$7,ROW()-1),1)),0))</f>
        <v>1.7136191931020475</v>
      </c>
      <c r="BA777">
        <f t="shared" ca="1" si="340"/>
        <v>0</v>
      </c>
      <c r="BB777" t="str">
        <f ca="1">IF(BA777=1,IF(INDEX(分析データ!$A:$A,ROW()+$C$5)&lt;&gt;"",60000*SIGN(AZ777)*(分析データ!C777-INDEX(分析データ!C:C,ROW()+$C$5)),""),"")</f>
        <v/>
      </c>
      <c r="BC777">
        <f t="shared" ca="1" si="341"/>
        <v>3075000.0000000102</v>
      </c>
      <c r="BD777">
        <f t="shared" ca="1" si="342"/>
        <v>3075000.0000000102</v>
      </c>
      <c r="BE777">
        <f t="shared" ca="1" si="343"/>
        <v>0</v>
      </c>
      <c r="BF777">
        <f ca="1">IF(ROW()&lt;($C$7+1),"",IFERROR((分析データ!D777-AVERAGE(OFFSET(分析データ!D$1,MAX(1,ROW()-$C$7),0,MIN($C$7,ROW()-1),1)))/STDEV(OFFSET(分析データ!D$1,MAX(1,ROW()-$C$7),0,MIN($C$7,ROW()-1),1)),0))</f>
        <v>-1.9976477945229565</v>
      </c>
      <c r="BG777">
        <f t="shared" ca="1" si="344"/>
        <v>0</v>
      </c>
      <c r="BH777" t="str">
        <f ca="1">IF(BG777=1,IF(INDEX(分析データ!$A:$A,ROW()+$C$5)&lt;&gt;"",50000*SIGN(BF777)*(分析データ!D777-INDEX(分析データ!D:D,ROW()+$C$5)),""),"")</f>
        <v/>
      </c>
      <c r="BI777">
        <f t="shared" ca="1" si="345"/>
        <v>4935000.0000000224</v>
      </c>
      <c r="BJ777">
        <f t="shared" ca="1" si="346"/>
        <v>5135000.0000000224</v>
      </c>
      <c r="BK777">
        <f t="shared" ca="1" si="347"/>
        <v>-200000</v>
      </c>
      <c r="BL777">
        <f ca="1">IF(ROW()&lt;($C$7+1),"",IFERROR((分析データ!E777-AVERAGE(OFFSET(分析データ!E$1,MAX(1,ROW()-$C$7),0,MIN($C$7,ROW()-1),1)))/STDEV(OFFSET(分析データ!E$1,MAX(1,ROW()-$C$7),0,MIN($C$7,ROW()-1),1)),0))</f>
        <v>0.71368997160696235</v>
      </c>
      <c r="BM777">
        <f t="shared" ca="1" si="348"/>
        <v>0</v>
      </c>
      <c r="BN777" t="str">
        <f ca="1">IF(BM777=1,IF(INDEX(分析データ!$A:$A,ROW()+$C$5)&lt;&gt;"",40000*SIGN(BL777)*(分析データ!E777-INDEX(分析データ!E:E,ROW()+$C$5)),""),"")</f>
        <v/>
      </c>
      <c r="BO777">
        <f t="shared" ca="1" si="349"/>
        <v>4280000.0000000028</v>
      </c>
      <c r="BP777">
        <f t="shared" ca="1" si="350"/>
        <v>4280000.0000000028</v>
      </c>
      <c r="BQ777">
        <f t="shared" ca="1" si="351"/>
        <v>0</v>
      </c>
      <c r="BR777">
        <f ca="1">IF(ROW()&lt;($C$7+1),"",IFERROR((分析データ!F777-AVERAGE(OFFSET(分析データ!F$1,MAX(1,ROW()-$C$7),0,MIN($C$7,ROW()-1),1)))/STDEV(OFFSET(分析データ!F$1,MAX(1,ROW()-$C$7),0,MIN($C$7,ROW()-1),1)),0))</f>
        <v>-0.94959852747441376</v>
      </c>
      <c r="BS777">
        <f t="shared" ca="1" si="352"/>
        <v>0</v>
      </c>
      <c r="BT777" t="str">
        <f ca="1">IF(BS777=1,IF(INDEX(分析データ!$A:$A,ROW()+$C$5)&lt;&gt;"",40000*SIGN(BR777)*(分析データ!F777-INDEX(分析データ!F:F,ROW()+$C$5)),""),"")</f>
        <v/>
      </c>
      <c r="BU777">
        <f t="shared" ca="1" si="353"/>
        <v>14917200.000000004</v>
      </c>
      <c r="BV777">
        <f t="shared" ca="1" si="354"/>
        <v>14917200.000000004</v>
      </c>
      <c r="BW777">
        <f t="shared" ca="1" si="355"/>
        <v>0</v>
      </c>
      <c r="BX777">
        <f ca="1">IF(ROW()&lt;($C$7+1),"",IFERROR((分析データ!G777-AVERAGE(OFFSET(分析データ!G$1,MAX(1,ROW()-$C$7),0,MIN($C$7,ROW()-1),1)))/STDEV(OFFSET(分析データ!G$1,MAX(1,ROW()-$C$7),0,MIN($C$7,ROW()-1),1)),0))</f>
        <v>1.5802748340618522</v>
      </c>
      <c r="BY777">
        <f t="shared" ca="1" si="356"/>
        <v>0</v>
      </c>
      <c r="BZ777" t="str">
        <f ca="1">IF(BY777=1,IF(INDEX(分析データ!$A:$A,ROW()+$C$5)&lt;&gt;"",40000*SIGN(BX777)*(分析データ!G777-INDEX(分析データ!G:G,ROW()+$C$5)),""),"")</f>
        <v/>
      </c>
      <c r="CA777">
        <f t="shared" ca="1" si="357"/>
        <v>-3515452.8662109179</v>
      </c>
      <c r="CB777">
        <f t="shared" ca="1" si="358"/>
        <v>11327520.000000004</v>
      </c>
      <c r="CC777">
        <f t="shared" ca="1" si="359"/>
        <v>-14842972.866210923</v>
      </c>
      <c r="CD777">
        <f t="shared" ca="1" si="360"/>
        <v>0</v>
      </c>
      <c r="CE777">
        <f t="shared" ca="1" si="361"/>
        <v>20851747.133789144</v>
      </c>
      <c r="CF777">
        <f t="shared" ca="1" si="362"/>
        <v>20851747.133789144</v>
      </c>
      <c r="CG777">
        <f t="shared" ca="1" si="363"/>
        <v>0</v>
      </c>
      <c r="CH777" s="10">
        <f>分析データ!A777</f>
        <v>46063</v>
      </c>
    </row>
    <row r="778" spans="46:86">
      <c r="AT778">
        <f ca="1">IF(ROW()&lt;($C$7+1),"",IFERROR((分析データ!B778-AVERAGE(OFFSET(分析データ!B$1,MAX(1,ROW()-$C$7),0,MIN($C$7,ROW()-1),1)))/STDEV(OFFSET(分析データ!B$1,MAX(1,ROW()-$C$7),0,MIN($C$7,ROW()-1),1)),0))</f>
        <v>0.47159588602741948</v>
      </c>
      <c r="AU778">
        <f t="shared" ca="1" si="336"/>
        <v>0</v>
      </c>
      <c r="AV778" t="str">
        <f ca="1">IF(AU778=1,IF(INDEX(分析データ!$A:$A,ROW()+$C$5)&lt;&gt;"",80000*SIGN(AT778)*(分析データ!B778-INDEX(分析データ!B:B,ROW()+$C$5)),""),"")</f>
        <v/>
      </c>
      <c r="AW778">
        <f t="shared" ca="1" si="337"/>
        <v>-2839999.9999999963</v>
      </c>
      <c r="AX778">
        <f t="shared" ca="1" si="338"/>
        <v>0</v>
      </c>
      <c r="AY778">
        <f t="shared" ca="1" si="339"/>
        <v>-2839999.9999999963</v>
      </c>
      <c r="AZ778">
        <f ca="1">IF(ROW()&lt;($C$7+1),"",IFERROR((分析データ!C778-AVERAGE(OFFSET(分析データ!C$1,MAX(1,ROW()-$C$7),0,MIN($C$7,ROW()-1),1)))/STDEV(OFFSET(分析データ!C$1,MAX(1,ROW()-$C$7),0,MIN($C$7,ROW()-1),1)),0))</f>
        <v>1.6997334860994457</v>
      </c>
      <c r="BA778">
        <f t="shared" ca="1" si="340"/>
        <v>0</v>
      </c>
      <c r="BB778" t="str">
        <f ca="1">IF(BA778=1,IF(INDEX(分析データ!$A:$A,ROW()+$C$5)&lt;&gt;"",60000*SIGN(AZ778)*(分析データ!C778-INDEX(分析データ!C:C,ROW()+$C$5)),""),"")</f>
        <v/>
      </c>
      <c r="BC778">
        <f t="shared" ca="1" si="341"/>
        <v>3075000.0000000102</v>
      </c>
      <c r="BD778">
        <f t="shared" ca="1" si="342"/>
        <v>3075000.0000000102</v>
      </c>
      <c r="BE778">
        <f t="shared" ca="1" si="343"/>
        <v>0</v>
      </c>
      <c r="BF778">
        <f ca="1">IF(ROW()&lt;($C$7+1),"",IFERROR((分析データ!D778-AVERAGE(OFFSET(分析データ!D$1,MAX(1,ROW()-$C$7),0,MIN($C$7,ROW()-1),1)))/STDEV(OFFSET(分析データ!D$1,MAX(1,ROW()-$C$7),0,MIN($C$7,ROW()-1),1)),0))</f>
        <v>-1.9219281904411341</v>
      </c>
      <c r="BG778">
        <f t="shared" ca="1" si="344"/>
        <v>0</v>
      </c>
      <c r="BH778" t="str">
        <f ca="1">IF(BG778=1,IF(INDEX(分析データ!$A:$A,ROW()+$C$5)&lt;&gt;"",50000*SIGN(BF778)*(分析データ!D778-INDEX(分析データ!D:D,ROW()+$C$5)),""),"")</f>
        <v/>
      </c>
      <c r="BI778">
        <f t="shared" ca="1" si="345"/>
        <v>4935000.0000000224</v>
      </c>
      <c r="BJ778">
        <f t="shared" ca="1" si="346"/>
        <v>5135000.0000000224</v>
      </c>
      <c r="BK778">
        <f t="shared" ca="1" si="347"/>
        <v>-200000</v>
      </c>
      <c r="BL778">
        <f ca="1">IF(ROW()&lt;($C$7+1),"",IFERROR((分析データ!E778-AVERAGE(OFFSET(分析データ!E$1,MAX(1,ROW()-$C$7),0,MIN($C$7,ROW()-1),1)))/STDEV(OFFSET(分析データ!E$1,MAX(1,ROW()-$C$7),0,MIN($C$7,ROW()-1),1)),0))</f>
        <v>0.37213248781658376</v>
      </c>
      <c r="BM778">
        <f t="shared" ca="1" si="348"/>
        <v>0</v>
      </c>
      <c r="BN778" t="str">
        <f ca="1">IF(BM778=1,IF(INDEX(分析データ!$A:$A,ROW()+$C$5)&lt;&gt;"",40000*SIGN(BL778)*(分析データ!E778-INDEX(分析データ!E:E,ROW()+$C$5)),""),"")</f>
        <v/>
      </c>
      <c r="BO778">
        <f t="shared" ca="1" si="349"/>
        <v>4280000.0000000028</v>
      </c>
      <c r="BP778">
        <f t="shared" ca="1" si="350"/>
        <v>4280000.0000000028</v>
      </c>
      <c r="BQ778">
        <f t="shared" ca="1" si="351"/>
        <v>0</v>
      </c>
      <c r="BR778">
        <f ca="1">IF(ROW()&lt;($C$7+1),"",IFERROR((分析データ!F778-AVERAGE(OFFSET(分析データ!F$1,MAX(1,ROW()-$C$7),0,MIN($C$7,ROW()-1),1)))/STDEV(OFFSET(分析データ!F$1,MAX(1,ROW()-$C$7),0,MIN($C$7,ROW()-1),1)),0))</f>
        <v>-1.1615574476573549</v>
      </c>
      <c r="BS778">
        <f t="shared" ca="1" si="352"/>
        <v>0</v>
      </c>
      <c r="BT778" t="str">
        <f ca="1">IF(BS778=1,IF(INDEX(分析データ!$A:$A,ROW()+$C$5)&lt;&gt;"",40000*SIGN(BR778)*(分析データ!F778-INDEX(分析データ!F:F,ROW()+$C$5)),""),"")</f>
        <v/>
      </c>
      <c r="BU778">
        <f t="shared" ca="1" si="353"/>
        <v>14917200.000000004</v>
      </c>
      <c r="BV778">
        <f t="shared" ca="1" si="354"/>
        <v>14917200.000000004</v>
      </c>
      <c r="BW778">
        <f t="shared" ca="1" si="355"/>
        <v>0</v>
      </c>
      <c r="BX778">
        <f ca="1">IF(ROW()&lt;($C$7+1),"",IFERROR((分析データ!G778-AVERAGE(OFFSET(分析データ!G$1,MAX(1,ROW()-$C$7),0,MIN($C$7,ROW()-1),1)))/STDEV(OFFSET(分析データ!G$1,MAX(1,ROW()-$C$7),0,MIN($C$7,ROW()-1),1)),0))</f>
        <v>1.6452819672287382</v>
      </c>
      <c r="BY778">
        <f t="shared" ca="1" si="356"/>
        <v>0</v>
      </c>
      <c r="BZ778" t="str">
        <f ca="1">IF(BY778=1,IF(INDEX(分析データ!$A:$A,ROW()+$C$5)&lt;&gt;"",40000*SIGN(BX778)*(分析データ!G778-INDEX(分析データ!G:G,ROW()+$C$5)),""),"")</f>
        <v/>
      </c>
      <c r="CA778">
        <f t="shared" ca="1" si="357"/>
        <v>-3515452.8662109179</v>
      </c>
      <c r="CB778">
        <f t="shared" ca="1" si="358"/>
        <v>11327520.000000004</v>
      </c>
      <c r="CC778">
        <f t="shared" ca="1" si="359"/>
        <v>-14842972.866210923</v>
      </c>
      <c r="CD778">
        <f t="shared" ca="1" si="360"/>
        <v>0</v>
      </c>
      <c r="CE778">
        <f t="shared" ca="1" si="361"/>
        <v>20851747.133789144</v>
      </c>
      <c r="CF778">
        <f t="shared" ca="1" si="362"/>
        <v>20851747.133789144</v>
      </c>
      <c r="CG778">
        <f t="shared" ca="1" si="363"/>
        <v>0</v>
      </c>
      <c r="CH778" s="10">
        <f>分析データ!A778</f>
        <v>46064</v>
      </c>
    </row>
    <row r="779" spans="46:86">
      <c r="AT779">
        <f ca="1">IF(ROW()&lt;($C$7+1),"",IFERROR((分析データ!B779-AVERAGE(OFFSET(分析データ!B$1,MAX(1,ROW()-$C$7),0,MIN($C$7,ROW()-1),1)))/STDEV(OFFSET(分析データ!B$1,MAX(1,ROW()-$C$7),0,MIN($C$7,ROW()-1),1)),0))</f>
        <v>-4.819355316262456E-2</v>
      </c>
      <c r="AU779">
        <f t="shared" ca="1" si="336"/>
        <v>0</v>
      </c>
      <c r="AV779" t="str">
        <f ca="1">IF(AU779=1,IF(INDEX(分析データ!$A:$A,ROW()+$C$5)&lt;&gt;"",80000*SIGN(AT779)*(分析データ!B779-INDEX(分析データ!B:B,ROW()+$C$5)),""),"")</f>
        <v/>
      </c>
      <c r="AW779">
        <f t="shared" ca="1" si="337"/>
        <v>-2839999.9999999963</v>
      </c>
      <c r="AX779">
        <f t="shared" ca="1" si="338"/>
        <v>0</v>
      </c>
      <c r="AY779">
        <f t="shared" ca="1" si="339"/>
        <v>-2839999.9999999963</v>
      </c>
      <c r="AZ779">
        <f ca="1">IF(ROW()&lt;($C$7+1),"",IFERROR((分析データ!C779-AVERAGE(OFFSET(分析データ!C$1,MAX(1,ROW()-$C$7),0,MIN($C$7,ROW()-1),1)))/STDEV(OFFSET(分析データ!C$1,MAX(1,ROW()-$C$7),0,MIN($C$7,ROW()-1),1)),0))</f>
        <v>1.9617623691671502</v>
      </c>
      <c r="BA779">
        <f t="shared" ca="1" si="340"/>
        <v>0</v>
      </c>
      <c r="BB779" t="str">
        <f ca="1">IF(BA779=1,IF(INDEX(分析データ!$A:$A,ROW()+$C$5)&lt;&gt;"",60000*SIGN(AZ779)*(分析データ!C779-INDEX(分析データ!C:C,ROW()+$C$5)),""),"")</f>
        <v/>
      </c>
      <c r="BC779">
        <f t="shared" ca="1" si="341"/>
        <v>3075000.0000000102</v>
      </c>
      <c r="BD779">
        <f t="shared" ca="1" si="342"/>
        <v>3075000.0000000102</v>
      </c>
      <c r="BE779">
        <f t="shared" ca="1" si="343"/>
        <v>0</v>
      </c>
      <c r="BF779">
        <f ca="1">IF(ROW()&lt;($C$7+1),"",IFERROR((分析データ!D779-AVERAGE(OFFSET(分析データ!D$1,MAX(1,ROW()-$C$7),0,MIN($C$7,ROW()-1),1)))/STDEV(OFFSET(分析データ!D$1,MAX(1,ROW()-$C$7),0,MIN($C$7,ROW()-1),1)),0))</f>
        <v>-2.1479690150956556</v>
      </c>
      <c r="BG779">
        <f t="shared" ca="1" si="344"/>
        <v>1</v>
      </c>
      <c r="BH779">
        <f ca="1">IF(BG779=1,IF(INDEX(分析データ!$A:$A,ROW()+$C$5)&lt;&gt;"",50000*SIGN(BF779)*(分析データ!D779-INDEX(分析データ!D:D,ROW()+$C$5)),""),"")</f>
        <v>-69999.999999998865</v>
      </c>
      <c r="BI779">
        <f t="shared" ca="1" si="345"/>
        <v>4865000.0000000233</v>
      </c>
      <c r="BJ779">
        <f t="shared" ca="1" si="346"/>
        <v>5135000.0000000224</v>
      </c>
      <c r="BK779">
        <f t="shared" ca="1" si="347"/>
        <v>-269999.99999999907</v>
      </c>
      <c r="BL779">
        <f ca="1">IF(ROW()&lt;($C$7+1),"",IFERROR((分析データ!E779-AVERAGE(OFFSET(分析データ!E$1,MAX(1,ROW()-$C$7),0,MIN($C$7,ROW()-1),1)))/STDEV(OFFSET(分析データ!E$1,MAX(1,ROW()-$C$7),0,MIN($C$7,ROW()-1),1)),0))</f>
        <v>0.25095287194288757</v>
      </c>
      <c r="BM779">
        <f t="shared" ca="1" si="348"/>
        <v>0</v>
      </c>
      <c r="BN779" t="str">
        <f ca="1">IF(BM779=1,IF(INDEX(分析データ!$A:$A,ROW()+$C$5)&lt;&gt;"",40000*SIGN(BL779)*(分析データ!E779-INDEX(分析データ!E:E,ROW()+$C$5)),""),"")</f>
        <v/>
      </c>
      <c r="BO779">
        <f t="shared" ca="1" si="349"/>
        <v>4280000.0000000028</v>
      </c>
      <c r="BP779">
        <f t="shared" ca="1" si="350"/>
        <v>4280000.0000000028</v>
      </c>
      <c r="BQ779">
        <f t="shared" ca="1" si="351"/>
        <v>0</v>
      </c>
      <c r="BR779">
        <f ca="1">IF(ROW()&lt;($C$7+1),"",IFERROR((分析データ!F779-AVERAGE(OFFSET(分析データ!F$1,MAX(1,ROW()-$C$7),0,MIN($C$7,ROW()-1),1)))/STDEV(OFFSET(分析データ!F$1,MAX(1,ROW()-$C$7),0,MIN($C$7,ROW()-1),1)),0))</f>
        <v>-0.83815970794353745</v>
      </c>
      <c r="BS779">
        <f t="shared" ca="1" si="352"/>
        <v>0</v>
      </c>
      <c r="BT779" t="str">
        <f ca="1">IF(BS779=1,IF(INDEX(分析データ!$A:$A,ROW()+$C$5)&lt;&gt;"",40000*SIGN(BR779)*(分析データ!F779-INDEX(分析データ!F:F,ROW()+$C$5)),""),"")</f>
        <v/>
      </c>
      <c r="BU779">
        <f t="shared" ca="1" si="353"/>
        <v>14917200.000000004</v>
      </c>
      <c r="BV779">
        <f t="shared" ca="1" si="354"/>
        <v>14917200.000000004</v>
      </c>
      <c r="BW779">
        <f t="shared" ca="1" si="355"/>
        <v>0</v>
      </c>
      <c r="BX779">
        <f ca="1">IF(ROW()&lt;($C$7+1),"",IFERROR((分析データ!G779-AVERAGE(OFFSET(分析データ!G$1,MAX(1,ROW()-$C$7),0,MIN($C$7,ROW()-1),1)))/STDEV(OFFSET(分析データ!G$1,MAX(1,ROW()-$C$7),0,MIN($C$7,ROW()-1),1)),0))</f>
        <v>1.5513672396315257</v>
      </c>
      <c r="BY779">
        <f t="shared" ca="1" si="356"/>
        <v>0</v>
      </c>
      <c r="BZ779" t="str">
        <f ca="1">IF(BY779=1,IF(INDEX(分析データ!$A:$A,ROW()+$C$5)&lt;&gt;"",40000*SIGN(BX779)*(分析データ!G779-INDEX(分析データ!G:G,ROW()+$C$5)),""),"")</f>
        <v/>
      </c>
      <c r="CA779">
        <f t="shared" ca="1" si="357"/>
        <v>-3515452.8662109179</v>
      </c>
      <c r="CB779">
        <f t="shared" ca="1" si="358"/>
        <v>11327520.000000004</v>
      </c>
      <c r="CC779">
        <f t="shared" ca="1" si="359"/>
        <v>-14842972.866210923</v>
      </c>
      <c r="CD779">
        <f t="shared" ca="1" si="360"/>
        <v>-69999.999999998865</v>
      </c>
      <c r="CE779">
        <f t="shared" ca="1" si="361"/>
        <v>20781747.133789144</v>
      </c>
      <c r="CF779">
        <f t="shared" ca="1" si="362"/>
        <v>20851747.133789144</v>
      </c>
      <c r="CG779">
        <f t="shared" ca="1" si="363"/>
        <v>-70000</v>
      </c>
      <c r="CH779" s="10">
        <f>分析データ!A779</f>
        <v>46065</v>
      </c>
    </row>
    <row r="780" spans="46:86">
      <c r="AT780">
        <f ca="1">IF(ROW()&lt;($C$7+1),"",IFERROR((分析データ!B780-AVERAGE(OFFSET(分析データ!B$1,MAX(1,ROW()-$C$7),0,MIN($C$7,ROW()-1),1)))/STDEV(OFFSET(分析データ!B$1,MAX(1,ROW()-$C$7),0,MIN($C$7,ROW()-1),1)),0))</f>
        <v>-4.547739575641304E-2</v>
      </c>
      <c r="AU780">
        <f t="shared" ca="1" si="336"/>
        <v>0</v>
      </c>
      <c r="AV780" t="str">
        <f ca="1">IF(AU780=1,IF(INDEX(分析データ!$A:$A,ROW()+$C$5)&lt;&gt;"",80000*SIGN(AT780)*(分析データ!B780-INDEX(分析データ!B:B,ROW()+$C$5)),""),"")</f>
        <v/>
      </c>
      <c r="AW780">
        <f t="shared" ca="1" si="337"/>
        <v>-2839999.9999999963</v>
      </c>
      <c r="AX780">
        <f t="shared" ca="1" si="338"/>
        <v>0</v>
      </c>
      <c r="AY780">
        <f t="shared" ca="1" si="339"/>
        <v>-2839999.9999999963</v>
      </c>
      <c r="AZ780">
        <f ca="1">IF(ROW()&lt;($C$7+1),"",IFERROR((分析データ!C780-AVERAGE(OFFSET(分析データ!C$1,MAX(1,ROW()-$C$7),0,MIN($C$7,ROW()-1),1)))/STDEV(OFFSET(分析データ!C$1,MAX(1,ROW()-$C$7),0,MIN($C$7,ROW()-1),1)),0))</f>
        <v>1.7520991941148143</v>
      </c>
      <c r="BA780">
        <f t="shared" ca="1" si="340"/>
        <v>0</v>
      </c>
      <c r="BB780" t="str">
        <f ca="1">IF(BA780=1,IF(INDEX(分析データ!$A:$A,ROW()+$C$5)&lt;&gt;"",60000*SIGN(AZ780)*(分析データ!C780-INDEX(分析データ!C:C,ROW()+$C$5)),""),"")</f>
        <v/>
      </c>
      <c r="BC780">
        <f t="shared" ca="1" si="341"/>
        <v>3075000.0000000102</v>
      </c>
      <c r="BD780">
        <f t="shared" ca="1" si="342"/>
        <v>3075000.0000000102</v>
      </c>
      <c r="BE780">
        <f t="shared" ca="1" si="343"/>
        <v>0</v>
      </c>
      <c r="BF780">
        <f ca="1">IF(ROW()&lt;($C$7+1),"",IFERROR((分析データ!D780-AVERAGE(OFFSET(分析データ!D$1,MAX(1,ROW()-$C$7),0,MIN($C$7,ROW()-1),1)))/STDEV(OFFSET(分析データ!D$1,MAX(1,ROW()-$C$7),0,MIN($C$7,ROW()-1),1)),0))</f>
        <v>-2.2088992120868913</v>
      </c>
      <c r="BG780">
        <f t="shared" ca="1" si="344"/>
        <v>1</v>
      </c>
      <c r="BH780">
        <f ca="1">IF(BG780=1,IF(INDEX(分析データ!$A:$A,ROW()+$C$5)&lt;&gt;"",50000*SIGN(BF780)*(分析データ!D780-INDEX(分析データ!D:D,ROW()+$C$5)),""),"")</f>
        <v>704999.99999999686</v>
      </c>
      <c r="BI780">
        <f t="shared" ca="1" si="345"/>
        <v>5570000.0000000205</v>
      </c>
      <c r="BJ780">
        <f t="shared" ca="1" si="346"/>
        <v>5570000.0000000205</v>
      </c>
      <c r="BK780">
        <f t="shared" ca="1" si="347"/>
        <v>0</v>
      </c>
      <c r="BL780">
        <f ca="1">IF(ROW()&lt;($C$7+1),"",IFERROR((分析データ!E780-AVERAGE(OFFSET(分析データ!E$1,MAX(1,ROW()-$C$7),0,MIN($C$7,ROW()-1),1)))/STDEV(OFFSET(分析データ!E$1,MAX(1,ROW()-$C$7),0,MIN($C$7,ROW()-1),1)),0))</f>
        <v>0.35874663315118049</v>
      </c>
      <c r="BM780">
        <f t="shared" ca="1" si="348"/>
        <v>0</v>
      </c>
      <c r="BN780" t="str">
        <f ca="1">IF(BM780=1,IF(INDEX(分析データ!$A:$A,ROW()+$C$5)&lt;&gt;"",40000*SIGN(BL780)*(分析データ!E780-INDEX(分析データ!E:E,ROW()+$C$5)),""),"")</f>
        <v/>
      </c>
      <c r="BO780">
        <f t="shared" ca="1" si="349"/>
        <v>4280000.0000000028</v>
      </c>
      <c r="BP780">
        <f t="shared" ca="1" si="350"/>
        <v>4280000.0000000028</v>
      </c>
      <c r="BQ780">
        <f t="shared" ca="1" si="351"/>
        <v>0</v>
      </c>
      <c r="BR780">
        <f ca="1">IF(ROW()&lt;($C$7+1),"",IFERROR((分析データ!F780-AVERAGE(OFFSET(分析データ!F$1,MAX(1,ROW()-$C$7),0,MIN($C$7,ROW()-1),1)))/STDEV(OFFSET(分析データ!F$1,MAX(1,ROW()-$C$7),0,MIN($C$7,ROW()-1),1)),0))</f>
        <v>-0.78791727334924155</v>
      </c>
      <c r="BS780">
        <f t="shared" ca="1" si="352"/>
        <v>0</v>
      </c>
      <c r="BT780" t="str">
        <f ca="1">IF(BS780=1,IF(INDEX(分析データ!$A:$A,ROW()+$C$5)&lt;&gt;"",40000*SIGN(BR780)*(分析データ!F780-INDEX(分析データ!F:F,ROW()+$C$5)),""),"")</f>
        <v/>
      </c>
      <c r="BU780">
        <f t="shared" ca="1" si="353"/>
        <v>14917200.000000004</v>
      </c>
      <c r="BV780">
        <f t="shared" ca="1" si="354"/>
        <v>14917200.000000004</v>
      </c>
      <c r="BW780">
        <f t="shared" ca="1" si="355"/>
        <v>0</v>
      </c>
      <c r="BX780">
        <f ca="1">IF(ROW()&lt;($C$7+1),"",IFERROR((分析データ!G780-AVERAGE(OFFSET(分析データ!G$1,MAX(1,ROW()-$C$7),0,MIN($C$7,ROW()-1),1)))/STDEV(OFFSET(分析データ!G$1,MAX(1,ROW()-$C$7),0,MIN($C$7,ROW()-1),1)),0))</f>
        <v>1.5645754349971435</v>
      </c>
      <c r="BY780">
        <f t="shared" ca="1" si="356"/>
        <v>0</v>
      </c>
      <c r="BZ780" t="str">
        <f ca="1">IF(BY780=1,IF(INDEX(分析データ!$A:$A,ROW()+$C$5)&lt;&gt;"",40000*SIGN(BX780)*(分析データ!G780-INDEX(分析データ!G:G,ROW()+$C$5)),""),"")</f>
        <v/>
      </c>
      <c r="CA780">
        <f t="shared" ca="1" si="357"/>
        <v>-3515452.8662109179</v>
      </c>
      <c r="CB780">
        <f t="shared" ca="1" si="358"/>
        <v>11327520.000000004</v>
      </c>
      <c r="CC780">
        <f t="shared" ca="1" si="359"/>
        <v>-14842972.866210923</v>
      </c>
      <c r="CD780">
        <f t="shared" ca="1" si="360"/>
        <v>704999.99999999686</v>
      </c>
      <c r="CE780">
        <f t="shared" ca="1" si="361"/>
        <v>21486747.133789141</v>
      </c>
      <c r="CF780">
        <f t="shared" ca="1" si="362"/>
        <v>21486747.133789141</v>
      </c>
      <c r="CG780">
        <f t="shared" ca="1" si="363"/>
        <v>0</v>
      </c>
      <c r="CH780" s="10">
        <f>分析データ!A780</f>
        <v>46066</v>
      </c>
    </row>
    <row r="781" spans="46:86">
      <c r="AT781">
        <f ca="1">IF(ROW()&lt;($C$7+1),"",IFERROR((分析データ!B781-AVERAGE(OFFSET(分析データ!B$1,MAX(1,ROW()-$C$7),0,MIN($C$7,ROW()-1),1)))/STDEV(OFFSET(分析データ!B$1,MAX(1,ROW()-$C$7),0,MIN($C$7,ROW()-1),1)),0))</f>
        <v>-4.2089005748388503E-2</v>
      </c>
      <c r="AU781">
        <f t="shared" ca="1" si="336"/>
        <v>0</v>
      </c>
      <c r="AV781" t="str">
        <f ca="1">IF(AU781=1,IF(INDEX(分析データ!$A:$A,ROW()+$C$5)&lt;&gt;"",80000*SIGN(AT781)*(分析データ!B781-INDEX(分析データ!B:B,ROW()+$C$5)),""),"")</f>
        <v/>
      </c>
      <c r="AW781">
        <f t="shared" ca="1" si="337"/>
        <v>-2839999.9999999963</v>
      </c>
      <c r="AX781">
        <f t="shared" ca="1" si="338"/>
        <v>0</v>
      </c>
      <c r="AY781">
        <f t="shared" ca="1" si="339"/>
        <v>-2839999.9999999963</v>
      </c>
      <c r="AZ781">
        <f ca="1">IF(ROW()&lt;($C$7+1),"",IFERROR((分析データ!C781-AVERAGE(OFFSET(分析データ!C$1,MAX(1,ROW()-$C$7),0,MIN($C$7,ROW()-1),1)))/STDEV(OFFSET(分析データ!C$1,MAX(1,ROW()-$C$7),0,MIN($C$7,ROW()-1),1)),0))</f>
        <v>1.4252229052818433</v>
      </c>
      <c r="BA781">
        <f t="shared" ca="1" si="340"/>
        <v>0</v>
      </c>
      <c r="BB781" t="str">
        <f ca="1">IF(BA781=1,IF(INDEX(分析データ!$A:$A,ROW()+$C$5)&lt;&gt;"",60000*SIGN(AZ781)*(分析データ!C781-INDEX(分析データ!C:C,ROW()+$C$5)),""),"")</f>
        <v/>
      </c>
      <c r="BC781">
        <f t="shared" ca="1" si="341"/>
        <v>3075000.0000000102</v>
      </c>
      <c r="BD781">
        <f t="shared" ca="1" si="342"/>
        <v>3075000.0000000102</v>
      </c>
      <c r="BE781">
        <f t="shared" ca="1" si="343"/>
        <v>0</v>
      </c>
      <c r="BF781">
        <f ca="1">IF(ROW()&lt;($C$7+1),"",IFERROR((分析データ!D781-AVERAGE(OFFSET(分析データ!D$1,MAX(1,ROW()-$C$7),0,MIN($C$7,ROW()-1),1)))/STDEV(OFFSET(分析データ!D$1,MAX(1,ROW()-$C$7),0,MIN($C$7,ROW()-1),1)),0))</f>
        <v>-1.9496444145095422</v>
      </c>
      <c r="BG781">
        <f t="shared" ca="1" si="344"/>
        <v>0</v>
      </c>
      <c r="BH781" t="str">
        <f ca="1">IF(BG781=1,IF(INDEX(分析データ!$A:$A,ROW()+$C$5)&lt;&gt;"",50000*SIGN(BF781)*(分析データ!D781-INDEX(分析データ!D:D,ROW()+$C$5)),""),"")</f>
        <v/>
      </c>
      <c r="BI781">
        <f t="shared" ca="1" si="345"/>
        <v>5570000.0000000205</v>
      </c>
      <c r="BJ781">
        <f t="shared" ca="1" si="346"/>
        <v>5570000.0000000205</v>
      </c>
      <c r="BK781">
        <f t="shared" ca="1" si="347"/>
        <v>0</v>
      </c>
      <c r="BL781">
        <f ca="1">IF(ROW()&lt;($C$7+1),"",IFERROR((分析データ!E781-AVERAGE(OFFSET(分析データ!E$1,MAX(1,ROW()-$C$7),0,MIN($C$7,ROW()-1),1)))/STDEV(OFFSET(分析データ!E$1,MAX(1,ROW()-$C$7),0,MIN($C$7,ROW()-1),1)),0))</f>
        <v>0.23418215501440001</v>
      </c>
      <c r="BM781">
        <f t="shared" ca="1" si="348"/>
        <v>0</v>
      </c>
      <c r="BN781" t="str">
        <f ca="1">IF(BM781=1,IF(INDEX(分析データ!$A:$A,ROW()+$C$5)&lt;&gt;"",40000*SIGN(BL781)*(分析データ!E781-INDEX(分析データ!E:E,ROW()+$C$5)),""),"")</f>
        <v/>
      </c>
      <c r="BO781">
        <f t="shared" ca="1" si="349"/>
        <v>4280000.0000000028</v>
      </c>
      <c r="BP781">
        <f t="shared" ca="1" si="350"/>
        <v>4280000.0000000028</v>
      </c>
      <c r="BQ781">
        <f t="shared" ca="1" si="351"/>
        <v>0</v>
      </c>
      <c r="BR781">
        <f ca="1">IF(ROW()&lt;($C$7+1),"",IFERROR((分析データ!F781-AVERAGE(OFFSET(分析データ!F$1,MAX(1,ROW()-$C$7),0,MIN($C$7,ROW()-1),1)))/STDEV(OFFSET(分析データ!F$1,MAX(1,ROW()-$C$7),0,MIN($C$7,ROW()-1),1)),0))</f>
        <v>-0.85835243738084022</v>
      </c>
      <c r="BS781">
        <f t="shared" ca="1" si="352"/>
        <v>0</v>
      </c>
      <c r="BT781" t="str">
        <f ca="1">IF(BS781=1,IF(INDEX(分析データ!$A:$A,ROW()+$C$5)&lt;&gt;"",40000*SIGN(BR781)*(分析データ!F781-INDEX(分析データ!F:F,ROW()+$C$5)),""),"")</f>
        <v/>
      </c>
      <c r="BU781">
        <f t="shared" ca="1" si="353"/>
        <v>14917200.000000004</v>
      </c>
      <c r="BV781">
        <f t="shared" ca="1" si="354"/>
        <v>14917200.000000004</v>
      </c>
      <c r="BW781">
        <f t="shared" ca="1" si="355"/>
        <v>0</v>
      </c>
      <c r="BX781">
        <f ca="1">IF(ROW()&lt;($C$7+1),"",IFERROR((分析データ!G781-AVERAGE(OFFSET(分析データ!G$1,MAX(1,ROW()-$C$7),0,MIN($C$7,ROW()-1),1)))/STDEV(OFFSET(分析データ!G$1,MAX(1,ROW()-$C$7),0,MIN($C$7,ROW()-1),1)),0))</f>
        <v>1.4207465942575692</v>
      </c>
      <c r="BY781">
        <f t="shared" ca="1" si="356"/>
        <v>0</v>
      </c>
      <c r="BZ781" t="str">
        <f ca="1">IF(BY781=1,IF(INDEX(分析データ!$A:$A,ROW()+$C$5)&lt;&gt;"",40000*SIGN(BX781)*(分析データ!G781-INDEX(分析データ!G:G,ROW()+$C$5)),""),"")</f>
        <v/>
      </c>
      <c r="CA781">
        <f t="shared" ca="1" si="357"/>
        <v>-3515452.8662109179</v>
      </c>
      <c r="CB781">
        <f t="shared" ca="1" si="358"/>
        <v>11327520.000000004</v>
      </c>
      <c r="CC781">
        <f t="shared" ca="1" si="359"/>
        <v>-14842972.866210923</v>
      </c>
      <c r="CD781">
        <f t="shared" ca="1" si="360"/>
        <v>0</v>
      </c>
      <c r="CE781">
        <f t="shared" ca="1" si="361"/>
        <v>21486747.133789141</v>
      </c>
      <c r="CF781">
        <f t="shared" ca="1" si="362"/>
        <v>21486747.133789141</v>
      </c>
      <c r="CG781">
        <f t="shared" ca="1" si="363"/>
        <v>0</v>
      </c>
      <c r="CH781" s="10">
        <f>分析データ!A781</f>
        <v>46070</v>
      </c>
    </row>
    <row r="782" spans="46:86">
      <c r="AT782">
        <f ca="1">IF(ROW()&lt;($C$7+1),"",IFERROR((分析データ!B782-AVERAGE(OFFSET(分析データ!B$1,MAX(1,ROW()-$C$7),0,MIN($C$7,ROW()-1),1)))/STDEV(OFFSET(分析データ!B$1,MAX(1,ROW()-$C$7),0,MIN($C$7,ROW()-1),1)),0))</f>
        <v>0.1355037476493032</v>
      </c>
      <c r="AU782">
        <f t="shared" ca="1" si="336"/>
        <v>0</v>
      </c>
      <c r="AV782" t="str">
        <f ca="1">IF(AU782=1,IF(INDEX(分析データ!$A:$A,ROW()+$C$5)&lt;&gt;"",80000*SIGN(AT782)*(分析データ!B782-INDEX(分析データ!B:B,ROW()+$C$5)),""),"")</f>
        <v/>
      </c>
      <c r="AW782">
        <f t="shared" ca="1" si="337"/>
        <v>-2839999.9999999963</v>
      </c>
      <c r="AX782">
        <f t="shared" ca="1" si="338"/>
        <v>0</v>
      </c>
      <c r="AY782">
        <f t="shared" ca="1" si="339"/>
        <v>-2839999.9999999963</v>
      </c>
      <c r="AZ782">
        <f ca="1">IF(ROW()&lt;($C$7+1),"",IFERROR((分析データ!C782-AVERAGE(OFFSET(分析データ!C$1,MAX(1,ROW()-$C$7),0,MIN($C$7,ROW()-1),1)))/STDEV(OFFSET(分析データ!C$1,MAX(1,ROW()-$C$7),0,MIN($C$7,ROW()-1),1)),0))</f>
        <v>1.5363130743178335</v>
      </c>
      <c r="BA782">
        <f t="shared" ca="1" si="340"/>
        <v>0</v>
      </c>
      <c r="BB782" t="str">
        <f ca="1">IF(BA782=1,IF(INDEX(分析データ!$A:$A,ROW()+$C$5)&lt;&gt;"",60000*SIGN(AZ782)*(分析データ!C782-INDEX(分析データ!C:C,ROW()+$C$5)),""),"")</f>
        <v/>
      </c>
      <c r="BC782">
        <f t="shared" ca="1" si="341"/>
        <v>3075000.0000000102</v>
      </c>
      <c r="BD782">
        <f t="shared" ca="1" si="342"/>
        <v>3075000.0000000102</v>
      </c>
      <c r="BE782">
        <f t="shared" ca="1" si="343"/>
        <v>0</v>
      </c>
      <c r="BF782">
        <f ca="1">IF(ROW()&lt;($C$7+1),"",IFERROR((分析データ!D782-AVERAGE(OFFSET(分析データ!D$1,MAX(1,ROW()-$C$7),0,MIN($C$7,ROW()-1),1)))/STDEV(OFFSET(分析データ!D$1,MAX(1,ROW()-$C$7),0,MIN($C$7,ROW()-1),1)),0))</f>
        <v>-1.8477311741399398</v>
      </c>
      <c r="BG782">
        <f t="shared" ca="1" si="344"/>
        <v>0</v>
      </c>
      <c r="BH782" t="str">
        <f ca="1">IF(BG782=1,IF(INDEX(分析データ!$A:$A,ROW()+$C$5)&lt;&gt;"",50000*SIGN(BF782)*(分析データ!D782-INDEX(分析データ!D:D,ROW()+$C$5)),""),"")</f>
        <v/>
      </c>
      <c r="BI782">
        <f t="shared" ca="1" si="345"/>
        <v>5570000.0000000205</v>
      </c>
      <c r="BJ782">
        <f t="shared" ca="1" si="346"/>
        <v>5570000.0000000205</v>
      </c>
      <c r="BK782">
        <f t="shared" ca="1" si="347"/>
        <v>0</v>
      </c>
      <c r="BL782">
        <f ca="1">IF(ROW()&lt;($C$7+1),"",IFERROR((分析データ!E782-AVERAGE(OFFSET(分析データ!E$1,MAX(1,ROW()-$C$7),0,MIN($C$7,ROW()-1),1)))/STDEV(OFFSET(分析データ!E$1,MAX(1,ROW()-$C$7),0,MIN($C$7,ROW()-1),1)),0))</f>
        <v>0.34511707872094161</v>
      </c>
      <c r="BM782">
        <f t="shared" ca="1" si="348"/>
        <v>0</v>
      </c>
      <c r="BN782" t="str">
        <f ca="1">IF(BM782=1,IF(INDEX(分析データ!$A:$A,ROW()+$C$5)&lt;&gt;"",40000*SIGN(BL782)*(分析データ!E782-INDEX(分析データ!E:E,ROW()+$C$5)),""),"")</f>
        <v/>
      </c>
      <c r="BO782">
        <f t="shared" ca="1" si="349"/>
        <v>4280000.0000000028</v>
      </c>
      <c r="BP782">
        <f t="shared" ca="1" si="350"/>
        <v>4280000.0000000028</v>
      </c>
      <c r="BQ782">
        <f t="shared" ca="1" si="351"/>
        <v>0</v>
      </c>
      <c r="BR782">
        <f ca="1">IF(ROW()&lt;($C$7+1),"",IFERROR((分析データ!F782-AVERAGE(OFFSET(分析データ!F$1,MAX(1,ROW()-$C$7),0,MIN($C$7,ROW()-1),1)))/STDEV(OFFSET(分析データ!F$1,MAX(1,ROW()-$C$7),0,MIN($C$7,ROW()-1),1)),0))</f>
        <v>-1.2330889972688364</v>
      </c>
      <c r="BS782">
        <f t="shared" ca="1" si="352"/>
        <v>0</v>
      </c>
      <c r="BT782" t="str">
        <f ca="1">IF(BS782=1,IF(INDEX(分析データ!$A:$A,ROW()+$C$5)&lt;&gt;"",40000*SIGN(BR782)*(分析データ!F782-INDEX(分析データ!F:F,ROW()+$C$5)),""),"")</f>
        <v/>
      </c>
      <c r="BU782">
        <f t="shared" ca="1" si="353"/>
        <v>14917200.000000004</v>
      </c>
      <c r="BV782">
        <f t="shared" ca="1" si="354"/>
        <v>14917200.000000004</v>
      </c>
      <c r="BW782">
        <f t="shared" ca="1" si="355"/>
        <v>0</v>
      </c>
      <c r="BX782">
        <f ca="1">IF(ROW()&lt;($C$7+1),"",IFERROR((分析データ!G782-AVERAGE(OFFSET(分析データ!G$1,MAX(1,ROW()-$C$7),0,MIN($C$7,ROW()-1),1)))/STDEV(OFFSET(分析データ!G$1,MAX(1,ROW()-$C$7),0,MIN($C$7,ROW()-1),1)),0))</f>
        <v>1.6030140242068485</v>
      </c>
      <c r="BY782">
        <f t="shared" ca="1" si="356"/>
        <v>0</v>
      </c>
      <c r="BZ782" t="str">
        <f ca="1">IF(BY782=1,IF(INDEX(分析データ!$A:$A,ROW()+$C$5)&lt;&gt;"",40000*SIGN(BX782)*(分析データ!G782-INDEX(分析データ!G:G,ROW()+$C$5)),""),"")</f>
        <v/>
      </c>
      <c r="CA782">
        <f t="shared" ca="1" si="357"/>
        <v>-3515452.8662109179</v>
      </c>
      <c r="CB782">
        <f t="shared" ca="1" si="358"/>
        <v>11327520.000000004</v>
      </c>
      <c r="CC782">
        <f t="shared" ca="1" si="359"/>
        <v>-14842972.866210923</v>
      </c>
      <c r="CD782">
        <f t="shared" ca="1" si="360"/>
        <v>0</v>
      </c>
      <c r="CE782">
        <f t="shared" ca="1" si="361"/>
        <v>21486747.133789141</v>
      </c>
      <c r="CF782">
        <f t="shared" ca="1" si="362"/>
        <v>21486747.133789141</v>
      </c>
      <c r="CG782">
        <f t="shared" ca="1" si="363"/>
        <v>0</v>
      </c>
      <c r="CH782" s="10">
        <f>分析データ!A782</f>
        <v>46071</v>
      </c>
    </row>
    <row r="783" spans="46:86">
      <c r="AT783">
        <f ca="1">IF(ROW()&lt;($C$7+1),"",IFERROR((分析データ!B783-AVERAGE(OFFSET(分析データ!B$1,MAX(1,ROW()-$C$7),0,MIN($C$7,ROW()-1),1)))/STDEV(OFFSET(分析データ!B$1,MAX(1,ROW()-$C$7),0,MIN($C$7,ROW()-1),1)),0))</f>
        <v>-3.7339725509955464E-2</v>
      </c>
      <c r="AU783">
        <f t="shared" ca="1" si="336"/>
        <v>0</v>
      </c>
      <c r="AV783" t="str">
        <f ca="1">IF(AU783=1,IF(INDEX(分析データ!$A:$A,ROW()+$C$5)&lt;&gt;"",80000*SIGN(AT783)*(分析データ!B783-INDEX(分析データ!B:B,ROW()+$C$5)),""),"")</f>
        <v/>
      </c>
      <c r="AW783">
        <f t="shared" ca="1" si="337"/>
        <v>-2839999.9999999963</v>
      </c>
      <c r="AX783">
        <f t="shared" ca="1" si="338"/>
        <v>0</v>
      </c>
      <c r="AY783">
        <f t="shared" ca="1" si="339"/>
        <v>-2839999.9999999963</v>
      </c>
      <c r="AZ783">
        <f ca="1">IF(ROW()&lt;($C$7+1),"",IFERROR((分析データ!C783-AVERAGE(OFFSET(分析データ!C$1,MAX(1,ROW()-$C$7),0,MIN($C$7,ROW()-1),1)))/STDEV(OFFSET(分析データ!C$1,MAX(1,ROW()-$C$7),0,MIN($C$7,ROW()-1),1)),0))</f>
        <v>1.6342158044854969</v>
      </c>
      <c r="BA783">
        <f t="shared" ca="1" si="340"/>
        <v>0</v>
      </c>
      <c r="BB783" t="str">
        <f ca="1">IF(BA783=1,IF(INDEX(分析データ!$A:$A,ROW()+$C$5)&lt;&gt;"",60000*SIGN(AZ783)*(分析データ!C783-INDEX(分析データ!C:C,ROW()+$C$5)),""),"")</f>
        <v/>
      </c>
      <c r="BC783">
        <f t="shared" ca="1" si="341"/>
        <v>3075000.0000000102</v>
      </c>
      <c r="BD783">
        <f t="shared" ca="1" si="342"/>
        <v>3075000.0000000102</v>
      </c>
      <c r="BE783">
        <f t="shared" ca="1" si="343"/>
        <v>0</v>
      </c>
      <c r="BF783">
        <f ca="1">IF(ROW()&lt;($C$7+1),"",IFERROR((分析データ!D783-AVERAGE(OFFSET(分析データ!D$1,MAX(1,ROW()-$C$7),0,MIN($C$7,ROW()-1),1)))/STDEV(OFFSET(分析データ!D$1,MAX(1,ROW()-$C$7),0,MIN($C$7,ROW()-1),1)),0))</f>
        <v>-1.8732153668832603</v>
      </c>
      <c r="BG783">
        <f t="shared" ca="1" si="344"/>
        <v>0</v>
      </c>
      <c r="BH783" t="str">
        <f ca="1">IF(BG783=1,IF(INDEX(分析データ!$A:$A,ROW()+$C$5)&lt;&gt;"",50000*SIGN(BF783)*(分析データ!D783-INDEX(分析データ!D:D,ROW()+$C$5)),""),"")</f>
        <v/>
      </c>
      <c r="BI783">
        <f t="shared" ca="1" si="345"/>
        <v>5570000.0000000205</v>
      </c>
      <c r="BJ783">
        <f t="shared" ca="1" si="346"/>
        <v>5570000.0000000205</v>
      </c>
      <c r="BK783">
        <f t="shared" ca="1" si="347"/>
        <v>0</v>
      </c>
      <c r="BL783">
        <f ca="1">IF(ROW()&lt;($C$7+1),"",IFERROR((分析データ!E783-AVERAGE(OFFSET(分析データ!E$1,MAX(1,ROW()-$C$7),0,MIN($C$7,ROW()-1),1)))/STDEV(OFFSET(分析データ!E$1,MAX(1,ROW()-$C$7),0,MIN($C$7,ROW()-1),1)),0))</f>
        <v>0.33799954406651317</v>
      </c>
      <c r="BM783">
        <f t="shared" ca="1" si="348"/>
        <v>0</v>
      </c>
      <c r="BN783" t="str">
        <f ca="1">IF(BM783=1,IF(INDEX(分析データ!$A:$A,ROW()+$C$5)&lt;&gt;"",40000*SIGN(BL783)*(分析データ!E783-INDEX(分析データ!E:E,ROW()+$C$5)),""),"")</f>
        <v/>
      </c>
      <c r="BO783">
        <f t="shared" ca="1" si="349"/>
        <v>4280000.0000000028</v>
      </c>
      <c r="BP783">
        <f t="shared" ca="1" si="350"/>
        <v>4280000.0000000028</v>
      </c>
      <c r="BQ783">
        <f t="shared" ca="1" si="351"/>
        <v>0</v>
      </c>
      <c r="BR783">
        <f ca="1">IF(ROW()&lt;($C$7+1),"",IFERROR((分析データ!F783-AVERAGE(OFFSET(分析データ!F$1,MAX(1,ROW()-$C$7),0,MIN($C$7,ROW()-1),1)))/STDEV(OFFSET(分析データ!F$1,MAX(1,ROW()-$C$7),0,MIN($C$7,ROW()-1),1)),0))</f>
        <v>-1.0878851691048141</v>
      </c>
      <c r="BS783">
        <f t="shared" ca="1" si="352"/>
        <v>0</v>
      </c>
      <c r="BT783" t="str">
        <f ca="1">IF(BS783=1,IF(INDEX(分析データ!$A:$A,ROW()+$C$5)&lt;&gt;"",40000*SIGN(BR783)*(分析データ!F783-INDEX(分析データ!F:F,ROW()+$C$5)),""),"")</f>
        <v/>
      </c>
      <c r="BU783">
        <f t="shared" ca="1" si="353"/>
        <v>14917200.000000004</v>
      </c>
      <c r="BV783">
        <f t="shared" ca="1" si="354"/>
        <v>14917200.000000004</v>
      </c>
      <c r="BW783">
        <f t="shared" ca="1" si="355"/>
        <v>0</v>
      </c>
      <c r="BX783">
        <f ca="1">IF(ROW()&lt;($C$7+1),"",IFERROR((分析データ!G783-AVERAGE(OFFSET(分析データ!G$1,MAX(1,ROW()-$C$7),0,MIN($C$7,ROW()-1),1)))/STDEV(OFFSET(分析データ!G$1,MAX(1,ROW()-$C$7),0,MIN($C$7,ROW()-1),1)),0))</f>
        <v>1.5266242863419777</v>
      </c>
      <c r="BY783">
        <f t="shared" ca="1" si="356"/>
        <v>0</v>
      </c>
      <c r="BZ783" t="str">
        <f ca="1">IF(BY783=1,IF(INDEX(分析データ!$A:$A,ROW()+$C$5)&lt;&gt;"",40000*SIGN(BX783)*(分析データ!G783-INDEX(分析データ!G:G,ROW()+$C$5)),""),"")</f>
        <v/>
      </c>
      <c r="CA783">
        <f t="shared" ca="1" si="357"/>
        <v>-3515452.8662109179</v>
      </c>
      <c r="CB783">
        <f t="shared" ca="1" si="358"/>
        <v>11327520.000000004</v>
      </c>
      <c r="CC783">
        <f t="shared" ca="1" si="359"/>
        <v>-14842972.866210923</v>
      </c>
      <c r="CD783">
        <f t="shared" ca="1" si="360"/>
        <v>0</v>
      </c>
      <c r="CE783">
        <f t="shared" ca="1" si="361"/>
        <v>21486747.133789141</v>
      </c>
      <c r="CF783">
        <f t="shared" ca="1" si="362"/>
        <v>21486747.133789141</v>
      </c>
      <c r="CG783">
        <f t="shared" ca="1" si="363"/>
        <v>0</v>
      </c>
      <c r="CH783" s="10">
        <f>分析データ!A783</f>
        <v>46072</v>
      </c>
    </row>
    <row r="784" spans="46:86">
      <c r="AT784">
        <f ca="1">IF(ROW()&lt;($C$7+1),"",IFERROR((分析データ!B784-AVERAGE(OFFSET(分析データ!B$1,MAX(1,ROW()-$C$7),0,MIN($C$7,ROW()-1),1)))/STDEV(OFFSET(分析データ!B$1,MAX(1,ROW()-$C$7),0,MIN($C$7,ROW()-1),1)),0))</f>
        <v>-0.55767581408955913</v>
      </c>
      <c r="AU784">
        <f t="shared" ca="1" si="336"/>
        <v>0</v>
      </c>
      <c r="AV784" t="str">
        <f ca="1">IF(AU784=1,IF(INDEX(分析データ!$A:$A,ROW()+$C$5)&lt;&gt;"",80000*SIGN(AT784)*(分析データ!B784-INDEX(分析データ!B:B,ROW()+$C$5)),""),"")</f>
        <v/>
      </c>
      <c r="AW784">
        <f t="shared" ca="1" si="337"/>
        <v>-2839999.9999999963</v>
      </c>
      <c r="AX784">
        <f t="shared" ca="1" si="338"/>
        <v>0</v>
      </c>
      <c r="AY784">
        <f t="shared" ca="1" si="339"/>
        <v>-2839999.9999999963</v>
      </c>
      <c r="AZ784">
        <f ca="1">IF(ROW()&lt;($C$7+1),"",IFERROR((分析データ!C784-AVERAGE(OFFSET(分析データ!C$1,MAX(1,ROW()-$C$7),0,MIN($C$7,ROW()-1),1)))/STDEV(OFFSET(分析データ!C$1,MAX(1,ROW()-$C$7),0,MIN($C$7,ROW()-1),1)),0))</f>
        <v>1.3845417511161955</v>
      </c>
      <c r="BA784">
        <f t="shared" ca="1" si="340"/>
        <v>0</v>
      </c>
      <c r="BB784" t="str">
        <f ca="1">IF(BA784=1,IF(INDEX(分析データ!$A:$A,ROW()+$C$5)&lt;&gt;"",60000*SIGN(AZ784)*(分析データ!C784-INDEX(分析データ!C:C,ROW()+$C$5)),""),"")</f>
        <v/>
      </c>
      <c r="BC784">
        <f t="shared" ca="1" si="341"/>
        <v>3075000.0000000102</v>
      </c>
      <c r="BD784">
        <f t="shared" ca="1" si="342"/>
        <v>3075000.0000000102</v>
      </c>
      <c r="BE784">
        <f t="shared" ca="1" si="343"/>
        <v>0</v>
      </c>
      <c r="BF784">
        <f ca="1">IF(ROW()&lt;($C$7+1),"",IFERROR((分析データ!D784-AVERAGE(OFFSET(分析データ!D$1,MAX(1,ROW()-$C$7),0,MIN($C$7,ROW()-1),1)))/STDEV(OFFSET(分析データ!D$1,MAX(1,ROW()-$C$7),0,MIN($C$7,ROW()-1),1)),0))</f>
        <v>-1.7662859772071346</v>
      </c>
      <c r="BG784">
        <f t="shared" ca="1" si="344"/>
        <v>0</v>
      </c>
      <c r="BH784" t="str">
        <f ca="1">IF(BG784=1,IF(INDEX(分析データ!$A:$A,ROW()+$C$5)&lt;&gt;"",50000*SIGN(BF784)*(分析データ!D784-INDEX(分析データ!D:D,ROW()+$C$5)),""),"")</f>
        <v/>
      </c>
      <c r="BI784">
        <f t="shared" ca="1" si="345"/>
        <v>5570000.0000000205</v>
      </c>
      <c r="BJ784">
        <f t="shared" ca="1" si="346"/>
        <v>5570000.0000000205</v>
      </c>
      <c r="BK784">
        <f t="shared" ca="1" si="347"/>
        <v>0</v>
      </c>
      <c r="BL784">
        <f ca="1">IF(ROW()&lt;($C$7+1),"",IFERROR((分析データ!E784-AVERAGE(OFFSET(分析データ!E$1,MAX(1,ROW()-$C$7),0,MIN($C$7,ROW()-1),1)))/STDEV(OFFSET(分析データ!E$1,MAX(1,ROW()-$C$7),0,MIN($C$7,ROW()-1),1)),0))</f>
        <v>0.33074317098818889</v>
      </c>
      <c r="BM784">
        <f t="shared" ca="1" si="348"/>
        <v>0</v>
      </c>
      <c r="BN784" t="str">
        <f ca="1">IF(BM784=1,IF(INDEX(分析データ!$A:$A,ROW()+$C$5)&lt;&gt;"",40000*SIGN(BL784)*(分析データ!E784-INDEX(分析データ!E:E,ROW()+$C$5)),""),"")</f>
        <v/>
      </c>
      <c r="BO784">
        <f t="shared" ca="1" si="349"/>
        <v>4280000.0000000028</v>
      </c>
      <c r="BP784">
        <f t="shared" ca="1" si="350"/>
        <v>4280000.0000000028</v>
      </c>
      <c r="BQ784">
        <f t="shared" ca="1" si="351"/>
        <v>0</v>
      </c>
      <c r="BR784">
        <f ca="1">IF(ROW()&lt;($C$7+1),"",IFERROR((分析データ!F784-AVERAGE(OFFSET(分析データ!F$1,MAX(1,ROW()-$C$7),0,MIN($C$7,ROW()-1),1)))/STDEV(OFFSET(分析データ!F$1,MAX(1,ROW()-$C$7),0,MIN($C$7,ROW()-1),1)),0))</f>
        <v>-1.2173078712961423</v>
      </c>
      <c r="BS784">
        <f t="shared" ca="1" si="352"/>
        <v>0</v>
      </c>
      <c r="BT784" t="str">
        <f ca="1">IF(BS784=1,IF(INDEX(分析データ!$A:$A,ROW()+$C$5)&lt;&gt;"",40000*SIGN(BR784)*(分析データ!F784-INDEX(分析データ!F:F,ROW()+$C$5)),""),"")</f>
        <v/>
      </c>
      <c r="BU784">
        <f t="shared" ca="1" si="353"/>
        <v>14917200.000000004</v>
      </c>
      <c r="BV784">
        <f t="shared" ca="1" si="354"/>
        <v>14917200.000000004</v>
      </c>
      <c r="BW784">
        <f t="shared" ca="1" si="355"/>
        <v>0</v>
      </c>
      <c r="BX784">
        <f ca="1">IF(ROW()&lt;($C$7+1),"",IFERROR((分析データ!G784-AVERAGE(OFFSET(分析データ!G$1,MAX(1,ROW()-$C$7),0,MIN($C$7,ROW()-1),1)))/STDEV(OFFSET(分析データ!G$1,MAX(1,ROW()-$C$7),0,MIN($C$7,ROW()-1),1)),0))</f>
        <v>1.5041114775754487</v>
      </c>
      <c r="BY784">
        <f t="shared" ca="1" si="356"/>
        <v>0</v>
      </c>
      <c r="BZ784" t="str">
        <f ca="1">IF(BY784=1,IF(INDEX(分析データ!$A:$A,ROW()+$C$5)&lt;&gt;"",40000*SIGN(BX784)*(分析データ!G784-INDEX(分析データ!G:G,ROW()+$C$5)),""),"")</f>
        <v/>
      </c>
      <c r="CA784">
        <f t="shared" ca="1" si="357"/>
        <v>-3515452.8662109179</v>
      </c>
      <c r="CB784">
        <f t="shared" ca="1" si="358"/>
        <v>11327520.000000004</v>
      </c>
      <c r="CC784">
        <f t="shared" ca="1" si="359"/>
        <v>-14842972.866210923</v>
      </c>
      <c r="CD784">
        <f t="shared" ca="1" si="360"/>
        <v>0</v>
      </c>
      <c r="CE784">
        <f t="shared" ca="1" si="361"/>
        <v>21486747.133789141</v>
      </c>
      <c r="CF784">
        <f t="shared" ca="1" si="362"/>
        <v>21486747.133789141</v>
      </c>
      <c r="CG784">
        <f t="shared" ca="1" si="363"/>
        <v>0</v>
      </c>
      <c r="CH784" s="10">
        <f>分析データ!A784</f>
        <v>46073</v>
      </c>
    </row>
    <row r="785" spans="46:86">
      <c r="AT785">
        <f ca="1">IF(ROW()&lt;($C$7+1),"",IFERROR((分析データ!B785-AVERAGE(OFFSET(分析データ!B$1,MAX(1,ROW()-$C$7),0,MIN($C$7,ROW()-1),1)))/STDEV(OFFSET(分析データ!B$1,MAX(1,ROW()-$C$7),0,MIN($C$7,ROW()-1),1)),0))</f>
        <v>-1.0715378967904987</v>
      </c>
      <c r="AU785">
        <f t="shared" ca="1" si="336"/>
        <v>0</v>
      </c>
      <c r="AV785" t="str">
        <f ca="1">IF(AU785=1,IF(INDEX(分析データ!$A:$A,ROW()+$C$5)&lt;&gt;"",80000*SIGN(AT785)*(分析データ!B785-INDEX(分析データ!B:B,ROW()+$C$5)),""),"")</f>
        <v/>
      </c>
      <c r="AW785">
        <f t="shared" ca="1" si="337"/>
        <v>-2839999.9999999963</v>
      </c>
      <c r="AX785">
        <f t="shared" ca="1" si="338"/>
        <v>0</v>
      </c>
      <c r="AY785">
        <f t="shared" ca="1" si="339"/>
        <v>-2839999.9999999963</v>
      </c>
      <c r="AZ785">
        <f ca="1">IF(ROW()&lt;($C$7+1),"",IFERROR((分析データ!C785-AVERAGE(OFFSET(分析データ!C$1,MAX(1,ROW()-$C$7),0,MIN($C$7,ROW()-1),1)))/STDEV(OFFSET(分析データ!C$1,MAX(1,ROW()-$C$7),0,MIN($C$7,ROW()-1),1)),0))</f>
        <v>1.3870381523422586</v>
      </c>
      <c r="BA785">
        <f t="shared" ca="1" si="340"/>
        <v>0</v>
      </c>
      <c r="BB785" t="str">
        <f ca="1">IF(BA785=1,IF(INDEX(分析データ!$A:$A,ROW()+$C$5)&lt;&gt;"",60000*SIGN(AZ785)*(分析データ!C785-INDEX(分析データ!C:C,ROW()+$C$5)),""),"")</f>
        <v/>
      </c>
      <c r="BC785">
        <f t="shared" ca="1" si="341"/>
        <v>3075000.0000000102</v>
      </c>
      <c r="BD785">
        <f t="shared" ca="1" si="342"/>
        <v>3075000.0000000102</v>
      </c>
      <c r="BE785">
        <f t="shared" ca="1" si="343"/>
        <v>0</v>
      </c>
      <c r="BF785">
        <f ca="1">IF(ROW()&lt;($C$7+1),"",IFERROR((分析データ!D785-AVERAGE(OFFSET(分析データ!D$1,MAX(1,ROW()-$C$7),0,MIN($C$7,ROW()-1),1)))/STDEV(OFFSET(分析データ!D$1,MAX(1,ROW()-$C$7),0,MIN($C$7,ROW()-1),1)),0))</f>
        <v>-1.8895944334183972</v>
      </c>
      <c r="BG785">
        <f t="shared" ca="1" si="344"/>
        <v>0</v>
      </c>
      <c r="BH785" t="str">
        <f ca="1">IF(BG785=1,IF(INDEX(分析データ!$A:$A,ROW()+$C$5)&lt;&gt;"",50000*SIGN(BF785)*(分析データ!D785-INDEX(分析データ!D:D,ROW()+$C$5)),""),"")</f>
        <v/>
      </c>
      <c r="BI785">
        <f t="shared" ca="1" si="345"/>
        <v>5570000.0000000205</v>
      </c>
      <c r="BJ785">
        <f t="shared" ca="1" si="346"/>
        <v>5570000.0000000205</v>
      </c>
      <c r="BK785">
        <f t="shared" ca="1" si="347"/>
        <v>0</v>
      </c>
      <c r="BL785">
        <f ca="1">IF(ROW()&lt;($C$7+1),"",IFERROR((分析データ!E785-AVERAGE(OFFSET(分析データ!E$1,MAX(1,ROW()-$C$7),0,MIN($C$7,ROW()-1),1)))/STDEV(OFFSET(分析データ!E$1,MAX(1,ROW()-$C$7),0,MIN($C$7,ROW()-1),1)),0))</f>
        <v>0.45087713802940932</v>
      </c>
      <c r="BM785">
        <f t="shared" ca="1" si="348"/>
        <v>0</v>
      </c>
      <c r="BN785" t="str">
        <f ca="1">IF(BM785=1,IF(INDEX(分析データ!$A:$A,ROW()+$C$5)&lt;&gt;"",40000*SIGN(BL785)*(分析データ!E785-INDEX(分析データ!E:E,ROW()+$C$5)),""),"")</f>
        <v/>
      </c>
      <c r="BO785">
        <f t="shared" ca="1" si="349"/>
        <v>4280000.0000000028</v>
      </c>
      <c r="BP785">
        <f t="shared" ca="1" si="350"/>
        <v>4280000.0000000028</v>
      </c>
      <c r="BQ785">
        <f t="shared" ca="1" si="351"/>
        <v>0</v>
      </c>
      <c r="BR785">
        <f ca="1">IF(ROW()&lt;($C$7+1),"",IFERROR((分析データ!F785-AVERAGE(OFFSET(分析データ!F$1,MAX(1,ROW()-$C$7),0,MIN($C$7,ROW()-1),1)))/STDEV(OFFSET(分析データ!F$1,MAX(1,ROW()-$C$7),0,MIN($C$7,ROW()-1),1)),0))</f>
        <v>-0.99572584630725391</v>
      </c>
      <c r="BS785">
        <f t="shared" ca="1" si="352"/>
        <v>0</v>
      </c>
      <c r="BT785" t="str">
        <f ca="1">IF(BS785=1,IF(INDEX(分析データ!$A:$A,ROW()+$C$5)&lt;&gt;"",40000*SIGN(BR785)*(分析データ!F785-INDEX(分析データ!F:F,ROW()+$C$5)),""),"")</f>
        <v/>
      </c>
      <c r="BU785">
        <f t="shared" ca="1" si="353"/>
        <v>14917200.000000004</v>
      </c>
      <c r="BV785">
        <f t="shared" ca="1" si="354"/>
        <v>14917200.000000004</v>
      </c>
      <c r="BW785">
        <f t="shared" ca="1" si="355"/>
        <v>0</v>
      </c>
      <c r="BX785">
        <f ca="1">IF(ROW()&lt;($C$7+1),"",IFERROR((分析データ!G785-AVERAGE(OFFSET(分析データ!G$1,MAX(1,ROW()-$C$7),0,MIN($C$7,ROW()-1),1)))/STDEV(OFFSET(分析データ!G$1,MAX(1,ROW()-$C$7),0,MIN($C$7,ROW()-1),1)),0))</f>
        <v>1.4686935165706418</v>
      </c>
      <c r="BY785">
        <f t="shared" ca="1" si="356"/>
        <v>0</v>
      </c>
      <c r="BZ785" t="str">
        <f ca="1">IF(BY785=1,IF(INDEX(分析データ!$A:$A,ROW()+$C$5)&lt;&gt;"",40000*SIGN(BX785)*(分析データ!G785-INDEX(分析データ!G:G,ROW()+$C$5)),""),"")</f>
        <v/>
      </c>
      <c r="CA785">
        <f t="shared" ca="1" si="357"/>
        <v>-3515452.8662109179</v>
      </c>
      <c r="CB785">
        <f t="shared" ca="1" si="358"/>
        <v>11327520.000000004</v>
      </c>
      <c r="CC785">
        <f t="shared" ca="1" si="359"/>
        <v>-14842972.866210923</v>
      </c>
      <c r="CD785">
        <f t="shared" ca="1" si="360"/>
        <v>0</v>
      </c>
      <c r="CE785">
        <f t="shared" ca="1" si="361"/>
        <v>21486747.133789141</v>
      </c>
      <c r="CF785">
        <f t="shared" ca="1" si="362"/>
        <v>21486747.133789141</v>
      </c>
      <c r="CG785">
        <f t="shared" ca="1" si="363"/>
        <v>0</v>
      </c>
      <c r="CH785" s="10">
        <f>分析データ!A785</f>
        <v>46076</v>
      </c>
    </row>
    <row r="786" spans="46:86">
      <c r="AT786">
        <f ca="1">IF(ROW()&lt;($C$7+1),"",IFERROR((分析データ!B786-AVERAGE(OFFSET(分析データ!B$1,MAX(1,ROW()-$C$7),0,MIN($C$7,ROW()-1),1)))/STDEV(OFFSET(分析データ!B$1,MAX(1,ROW()-$C$7),0,MIN($C$7,ROW()-1),1)),0))</f>
        <v>-0.71834033191921243</v>
      </c>
      <c r="AU786">
        <f t="shared" ca="1" si="336"/>
        <v>0</v>
      </c>
      <c r="AV786" t="str">
        <f ca="1">IF(AU786=1,IF(INDEX(分析データ!$A:$A,ROW()+$C$5)&lt;&gt;"",80000*SIGN(AT786)*(分析データ!B786-INDEX(分析データ!B:B,ROW()+$C$5)),""),"")</f>
        <v/>
      </c>
      <c r="AW786">
        <f t="shared" ca="1" si="337"/>
        <v>-2839999.9999999963</v>
      </c>
      <c r="AX786">
        <f t="shared" ca="1" si="338"/>
        <v>0</v>
      </c>
      <c r="AY786">
        <f t="shared" ca="1" si="339"/>
        <v>-2839999.9999999963</v>
      </c>
      <c r="AZ786">
        <f ca="1">IF(ROW()&lt;($C$7+1),"",IFERROR((分析データ!C786-AVERAGE(OFFSET(分析データ!C$1,MAX(1,ROW()-$C$7),0,MIN($C$7,ROW()-1),1)))/STDEV(OFFSET(分析データ!C$1,MAX(1,ROW()-$C$7),0,MIN($C$7,ROW()-1),1)),0))</f>
        <v>1.5354891221371709</v>
      </c>
      <c r="BA786">
        <f t="shared" ca="1" si="340"/>
        <v>0</v>
      </c>
      <c r="BB786" t="str">
        <f ca="1">IF(BA786=1,IF(INDEX(分析データ!$A:$A,ROW()+$C$5)&lt;&gt;"",60000*SIGN(AZ786)*(分析データ!C786-INDEX(分析データ!C:C,ROW()+$C$5)),""),"")</f>
        <v/>
      </c>
      <c r="BC786">
        <f t="shared" ca="1" si="341"/>
        <v>3075000.0000000102</v>
      </c>
      <c r="BD786">
        <f t="shared" ca="1" si="342"/>
        <v>3075000.0000000102</v>
      </c>
      <c r="BE786">
        <f t="shared" ca="1" si="343"/>
        <v>0</v>
      </c>
      <c r="BF786">
        <f ca="1">IF(ROW()&lt;($C$7+1),"",IFERROR((分析データ!D786-AVERAGE(OFFSET(分析データ!D$1,MAX(1,ROW()-$C$7),0,MIN($C$7,ROW()-1),1)))/STDEV(OFFSET(分析データ!D$1,MAX(1,ROW()-$C$7),0,MIN($C$7,ROW()-1),1)),0))</f>
        <v>-1.8269528309272882</v>
      </c>
      <c r="BG786">
        <f t="shared" ca="1" si="344"/>
        <v>0</v>
      </c>
      <c r="BH786" t="str">
        <f ca="1">IF(BG786=1,IF(INDEX(分析データ!$A:$A,ROW()+$C$5)&lt;&gt;"",50000*SIGN(BF786)*(分析データ!D786-INDEX(分析データ!D:D,ROW()+$C$5)),""),"")</f>
        <v/>
      </c>
      <c r="BI786">
        <f t="shared" ca="1" si="345"/>
        <v>5570000.0000000205</v>
      </c>
      <c r="BJ786">
        <f t="shared" ca="1" si="346"/>
        <v>5570000.0000000205</v>
      </c>
      <c r="BK786">
        <f t="shared" ca="1" si="347"/>
        <v>0</v>
      </c>
      <c r="BL786">
        <f ca="1">IF(ROW()&lt;($C$7+1),"",IFERROR((分析データ!E786-AVERAGE(OFFSET(分析データ!E$1,MAX(1,ROW()-$C$7),0,MIN($C$7,ROW()-1),1)))/STDEV(OFFSET(分析データ!E$1,MAX(1,ROW()-$C$7),0,MIN($C$7,ROW()-1),1)),0))</f>
        <v>0.31525739901195171</v>
      </c>
      <c r="BM786">
        <f t="shared" ca="1" si="348"/>
        <v>0</v>
      </c>
      <c r="BN786" t="str">
        <f ca="1">IF(BM786=1,IF(INDEX(分析データ!$A:$A,ROW()+$C$5)&lt;&gt;"",40000*SIGN(BL786)*(分析データ!E786-INDEX(分析データ!E:E,ROW()+$C$5)),""),"")</f>
        <v/>
      </c>
      <c r="BO786">
        <f t="shared" ca="1" si="349"/>
        <v>4280000.0000000028</v>
      </c>
      <c r="BP786">
        <f t="shared" ca="1" si="350"/>
        <v>4280000.0000000028</v>
      </c>
      <c r="BQ786">
        <f t="shared" ca="1" si="351"/>
        <v>0</v>
      </c>
      <c r="BR786">
        <f ca="1">IF(ROW()&lt;($C$7+1),"",IFERROR((分析データ!F786-AVERAGE(OFFSET(分析データ!F$1,MAX(1,ROW()-$C$7),0,MIN($C$7,ROW()-1),1)))/STDEV(OFFSET(分析データ!F$1,MAX(1,ROW()-$C$7),0,MIN($C$7,ROW()-1),1)),0))</f>
        <v>-1.1368555251302181</v>
      </c>
      <c r="BS786">
        <f t="shared" ca="1" si="352"/>
        <v>0</v>
      </c>
      <c r="BT786" t="str">
        <f ca="1">IF(BS786=1,IF(INDEX(分析データ!$A:$A,ROW()+$C$5)&lt;&gt;"",40000*SIGN(BR786)*(分析データ!F786-INDEX(分析データ!F:F,ROW()+$C$5)),""),"")</f>
        <v/>
      </c>
      <c r="BU786">
        <f t="shared" ca="1" si="353"/>
        <v>14917200.000000004</v>
      </c>
      <c r="BV786">
        <f t="shared" ca="1" si="354"/>
        <v>14917200.000000004</v>
      </c>
      <c r="BW786">
        <f t="shared" ca="1" si="355"/>
        <v>0</v>
      </c>
      <c r="BX786">
        <f ca="1">IF(ROW()&lt;($C$7+1),"",IFERROR((分析データ!G786-AVERAGE(OFFSET(分析データ!G$1,MAX(1,ROW()-$C$7),0,MIN($C$7,ROW()-1),1)))/STDEV(OFFSET(分析データ!G$1,MAX(1,ROW()-$C$7),0,MIN($C$7,ROW()-1),1)),0))</f>
        <v>1.4866825683240976</v>
      </c>
      <c r="BY786">
        <f t="shared" ca="1" si="356"/>
        <v>0</v>
      </c>
      <c r="BZ786" t="str">
        <f ca="1">IF(BY786=1,IF(INDEX(分析データ!$A:$A,ROW()+$C$5)&lt;&gt;"",40000*SIGN(BX786)*(分析データ!G786-INDEX(分析データ!G:G,ROW()+$C$5)),""),"")</f>
        <v/>
      </c>
      <c r="CA786">
        <f t="shared" ca="1" si="357"/>
        <v>-3515452.8662109179</v>
      </c>
      <c r="CB786">
        <f t="shared" ca="1" si="358"/>
        <v>11327520.000000004</v>
      </c>
      <c r="CC786">
        <f t="shared" ca="1" si="359"/>
        <v>-14842972.866210923</v>
      </c>
      <c r="CD786">
        <f t="shared" ca="1" si="360"/>
        <v>0</v>
      </c>
      <c r="CE786">
        <f t="shared" ca="1" si="361"/>
        <v>21486747.133789141</v>
      </c>
      <c r="CF786">
        <f t="shared" ca="1" si="362"/>
        <v>21486747.133789141</v>
      </c>
      <c r="CG786">
        <f t="shared" ca="1" si="363"/>
        <v>0</v>
      </c>
      <c r="CH786" s="10">
        <f>分析データ!A786</f>
        <v>46077</v>
      </c>
    </row>
    <row r="787" spans="46:86">
      <c r="AT787">
        <f ca="1">IF(ROW()&lt;($C$7+1),"",IFERROR((分析データ!B787-AVERAGE(OFFSET(分析データ!B$1,MAX(1,ROW()-$C$7),0,MIN($C$7,ROW()-1),1)))/STDEV(OFFSET(分析データ!B$1,MAX(1,ROW()-$C$7),0,MIN($C$7,ROW()-1),1)),0))</f>
        <v>-0.71559161423327888</v>
      </c>
      <c r="AU787">
        <f t="shared" ca="1" si="336"/>
        <v>0</v>
      </c>
      <c r="AV787" t="str">
        <f ca="1">IF(AU787=1,IF(INDEX(分析データ!$A:$A,ROW()+$C$5)&lt;&gt;"",80000*SIGN(AT787)*(分析データ!B787-INDEX(分析データ!B:B,ROW()+$C$5)),""),"")</f>
        <v/>
      </c>
      <c r="AW787">
        <f t="shared" ca="1" si="337"/>
        <v>-2839999.9999999963</v>
      </c>
      <c r="AX787">
        <f t="shared" ca="1" si="338"/>
        <v>0</v>
      </c>
      <c r="AY787">
        <f t="shared" ca="1" si="339"/>
        <v>-2839999.9999999963</v>
      </c>
      <c r="AZ787">
        <f ca="1">IF(ROW()&lt;($C$7+1),"",IFERROR((分析データ!C787-AVERAGE(OFFSET(分析データ!C$1,MAX(1,ROW()-$C$7),0,MIN($C$7,ROW()-1),1)))/STDEV(OFFSET(分析データ!C$1,MAX(1,ROW()-$C$7),0,MIN($C$7,ROW()-1),1)),0))</f>
        <v>1.6089048374243491</v>
      </c>
      <c r="BA787">
        <f t="shared" ca="1" si="340"/>
        <v>0</v>
      </c>
      <c r="BB787" t="str">
        <f ca="1">IF(BA787=1,IF(INDEX(分析データ!$A:$A,ROW()+$C$5)&lt;&gt;"",60000*SIGN(AZ787)*(分析データ!C787-INDEX(分析データ!C:C,ROW()+$C$5)),""),"")</f>
        <v/>
      </c>
      <c r="BC787">
        <f t="shared" ca="1" si="341"/>
        <v>3075000.0000000102</v>
      </c>
      <c r="BD787">
        <f t="shared" ca="1" si="342"/>
        <v>3075000.0000000102</v>
      </c>
      <c r="BE787">
        <f t="shared" ca="1" si="343"/>
        <v>0</v>
      </c>
      <c r="BF787">
        <f ca="1">IF(ROW()&lt;($C$7+1),"",IFERROR((分析データ!D787-AVERAGE(OFFSET(分析データ!D$1,MAX(1,ROW()-$C$7),0,MIN($C$7,ROW()-1),1)))/STDEV(OFFSET(分析データ!D$1,MAX(1,ROW()-$C$7),0,MIN($C$7,ROW()-1),1)),0))</f>
        <v>-1.8782786147148873</v>
      </c>
      <c r="BG787">
        <f t="shared" ca="1" si="344"/>
        <v>0</v>
      </c>
      <c r="BH787" t="str">
        <f ca="1">IF(BG787=1,IF(INDEX(分析データ!$A:$A,ROW()+$C$5)&lt;&gt;"",50000*SIGN(BF787)*(分析データ!D787-INDEX(分析データ!D:D,ROW()+$C$5)),""),"")</f>
        <v/>
      </c>
      <c r="BI787">
        <f t="shared" ca="1" si="345"/>
        <v>5570000.0000000205</v>
      </c>
      <c r="BJ787">
        <f t="shared" ca="1" si="346"/>
        <v>5570000.0000000205</v>
      </c>
      <c r="BK787">
        <f t="shared" ca="1" si="347"/>
        <v>0</v>
      </c>
      <c r="BL787">
        <f ca="1">IF(ROW()&lt;($C$7+1),"",IFERROR((分析データ!E787-AVERAGE(OFFSET(分析データ!E$1,MAX(1,ROW()-$C$7),0,MIN($C$7,ROW()-1),1)))/STDEV(OFFSET(分析データ!E$1,MAX(1,ROW()-$C$7),0,MIN($C$7,ROW()-1),1)),0))</f>
        <v>0.44042491498371766</v>
      </c>
      <c r="BM787">
        <f t="shared" ca="1" si="348"/>
        <v>0</v>
      </c>
      <c r="BN787" t="str">
        <f ca="1">IF(BM787=1,IF(INDEX(分析データ!$A:$A,ROW()+$C$5)&lt;&gt;"",40000*SIGN(BL787)*(分析データ!E787-INDEX(分析データ!E:E,ROW()+$C$5)),""),"")</f>
        <v/>
      </c>
      <c r="BO787">
        <f t="shared" ca="1" si="349"/>
        <v>4280000.0000000028</v>
      </c>
      <c r="BP787">
        <f t="shared" ca="1" si="350"/>
        <v>4280000.0000000028</v>
      </c>
      <c r="BQ787">
        <f t="shared" ca="1" si="351"/>
        <v>0</v>
      </c>
      <c r="BR787">
        <f ca="1">IF(ROW()&lt;($C$7+1),"",IFERROR((分析データ!F787-AVERAGE(OFFSET(分析データ!F$1,MAX(1,ROW()-$C$7),0,MIN($C$7,ROW()-1),1)))/STDEV(OFFSET(分析データ!F$1,MAX(1,ROW()-$C$7),0,MIN($C$7,ROW()-1),1)),0))</f>
        <v>-1.0577322507647056</v>
      </c>
      <c r="BS787">
        <f t="shared" ca="1" si="352"/>
        <v>0</v>
      </c>
      <c r="BT787" t="str">
        <f ca="1">IF(BS787=1,IF(INDEX(分析データ!$A:$A,ROW()+$C$5)&lt;&gt;"",40000*SIGN(BR787)*(分析データ!F787-INDEX(分析データ!F:F,ROW()+$C$5)),""),"")</f>
        <v/>
      </c>
      <c r="BU787">
        <f t="shared" ca="1" si="353"/>
        <v>14917200.000000004</v>
      </c>
      <c r="BV787">
        <f t="shared" ca="1" si="354"/>
        <v>14917200.000000004</v>
      </c>
      <c r="BW787">
        <f t="shared" ca="1" si="355"/>
        <v>0</v>
      </c>
      <c r="BX787">
        <f ca="1">IF(ROW()&lt;($C$7+1),"",IFERROR((分析データ!G787-AVERAGE(OFFSET(分析データ!G$1,MAX(1,ROW()-$C$7),0,MIN($C$7,ROW()-1),1)))/STDEV(OFFSET(分析データ!G$1,MAX(1,ROW()-$C$7),0,MIN($C$7,ROW()-1),1)),0))</f>
        <v>1.4907266629920237</v>
      </c>
      <c r="BY787">
        <f t="shared" ca="1" si="356"/>
        <v>0</v>
      </c>
      <c r="BZ787" t="str">
        <f ca="1">IF(BY787=1,IF(INDEX(分析データ!$A:$A,ROW()+$C$5)&lt;&gt;"",40000*SIGN(BX787)*(分析データ!G787-INDEX(分析データ!G:G,ROW()+$C$5)),""),"")</f>
        <v/>
      </c>
      <c r="CA787">
        <f t="shared" ca="1" si="357"/>
        <v>-3515452.8662109179</v>
      </c>
      <c r="CB787">
        <f t="shared" ca="1" si="358"/>
        <v>11327520.000000004</v>
      </c>
      <c r="CC787">
        <f t="shared" ca="1" si="359"/>
        <v>-14842972.866210923</v>
      </c>
      <c r="CD787">
        <f t="shared" ca="1" si="360"/>
        <v>0</v>
      </c>
      <c r="CE787">
        <f t="shared" ca="1" si="361"/>
        <v>21486747.133789141</v>
      </c>
      <c r="CF787">
        <f t="shared" ca="1" si="362"/>
        <v>21486747.133789141</v>
      </c>
      <c r="CG787">
        <f t="shared" ca="1" si="363"/>
        <v>0</v>
      </c>
      <c r="CH787" s="10">
        <f>分析データ!A787</f>
        <v>46078</v>
      </c>
    </row>
    <row r="788" spans="46:86">
      <c r="AT788">
        <f ca="1">IF(ROW()&lt;($C$7+1),"",IFERROR((分析データ!B788-AVERAGE(OFFSET(分析データ!B$1,MAX(1,ROW()-$C$7),0,MIN($C$7,ROW()-1),1)))/STDEV(OFFSET(分析データ!B$1,MAX(1,ROW()-$C$7),0,MIN($C$7,ROW()-1),1)),0))</f>
        <v>-0.71285179380863262</v>
      </c>
      <c r="AU788">
        <f t="shared" ca="1" si="336"/>
        <v>0</v>
      </c>
      <c r="AV788" t="str">
        <f ca="1">IF(AU788=1,IF(INDEX(分析データ!$A:$A,ROW()+$C$5)&lt;&gt;"",80000*SIGN(AT788)*(分析データ!B788-INDEX(分析データ!B:B,ROW()+$C$5)),""),"")</f>
        <v/>
      </c>
      <c r="AW788">
        <f t="shared" ca="1" si="337"/>
        <v>-2839999.9999999963</v>
      </c>
      <c r="AX788">
        <f t="shared" ca="1" si="338"/>
        <v>0</v>
      </c>
      <c r="AY788">
        <f t="shared" ca="1" si="339"/>
        <v>-2839999.9999999963</v>
      </c>
      <c r="AZ788">
        <f ca="1">IF(ROW()&lt;($C$7+1),"",IFERROR((分析データ!C788-AVERAGE(OFFSET(分析データ!C$1,MAX(1,ROW()-$C$7),0,MIN($C$7,ROW()-1),1)))/STDEV(OFFSET(分析データ!C$1,MAX(1,ROW()-$C$7),0,MIN($C$7,ROW()-1),1)),0))</f>
        <v>1.7242491372987223</v>
      </c>
      <c r="BA788">
        <f t="shared" ca="1" si="340"/>
        <v>0</v>
      </c>
      <c r="BB788" t="str">
        <f ca="1">IF(BA788=1,IF(INDEX(分析データ!$A:$A,ROW()+$C$5)&lt;&gt;"",60000*SIGN(AZ788)*(分析データ!C788-INDEX(分析データ!C:C,ROW()+$C$5)),""),"")</f>
        <v/>
      </c>
      <c r="BC788">
        <f t="shared" ca="1" si="341"/>
        <v>3075000.0000000102</v>
      </c>
      <c r="BD788">
        <f t="shared" ca="1" si="342"/>
        <v>3075000.0000000102</v>
      </c>
      <c r="BE788">
        <f t="shared" ca="1" si="343"/>
        <v>0</v>
      </c>
      <c r="BF788">
        <f ca="1">IF(ROW()&lt;($C$7+1),"",IFERROR((分析データ!D788-AVERAGE(OFFSET(分析データ!D$1,MAX(1,ROW()-$C$7),0,MIN($C$7,ROW()-1),1)))/STDEV(OFFSET(分析データ!D$1,MAX(1,ROW()-$C$7),0,MIN($C$7,ROW()-1),1)),0))</f>
        <v>-1.9793261322795794</v>
      </c>
      <c r="BG788">
        <f t="shared" ca="1" si="344"/>
        <v>0</v>
      </c>
      <c r="BH788" t="str">
        <f ca="1">IF(BG788=1,IF(INDEX(分析データ!$A:$A,ROW()+$C$5)&lt;&gt;"",50000*SIGN(BF788)*(分析データ!D788-INDEX(分析データ!D:D,ROW()+$C$5)),""),"")</f>
        <v/>
      </c>
      <c r="BI788">
        <f t="shared" ca="1" si="345"/>
        <v>5570000.0000000205</v>
      </c>
      <c r="BJ788">
        <f t="shared" ca="1" si="346"/>
        <v>5570000.0000000205</v>
      </c>
      <c r="BK788">
        <f t="shared" ca="1" si="347"/>
        <v>0</v>
      </c>
      <c r="BL788">
        <f ca="1">IF(ROW()&lt;($C$7+1),"",IFERROR((分析データ!E788-AVERAGE(OFFSET(分析データ!E$1,MAX(1,ROW()-$C$7),0,MIN($C$7,ROW()-1),1)))/STDEV(OFFSET(分析データ!E$1,MAX(1,ROW()-$C$7),0,MIN($C$7,ROW()-1),1)),0))</f>
        <v>0.57063360237605754</v>
      </c>
      <c r="BM788">
        <f t="shared" ca="1" si="348"/>
        <v>0</v>
      </c>
      <c r="BN788" t="str">
        <f ca="1">IF(BM788=1,IF(INDEX(分析データ!$A:$A,ROW()+$C$5)&lt;&gt;"",40000*SIGN(BL788)*(分析データ!E788-INDEX(分析データ!E:E,ROW()+$C$5)),""),"")</f>
        <v/>
      </c>
      <c r="BO788">
        <f t="shared" ca="1" si="349"/>
        <v>4280000.0000000028</v>
      </c>
      <c r="BP788">
        <f t="shared" ca="1" si="350"/>
        <v>4280000.0000000028</v>
      </c>
      <c r="BQ788">
        <f t="shared" ca="1" si="351"/>
        <v>0</v>
      </c>
      <c r="BR788">
        <f ca="1">IF(ROW()&lt;($C$7+1),"",IFERROR((分析データ!F788-AVERAGE(OFFSET(分析データ!F$1,MAX(1,ROW()-$C$7),0,MIN($C$7,ROW()-1),1)))/STDEV(OFFSET(分析データ!F$1,MAX(1,ROW()-$C$7),0,MIN($C$7,ROW()-1),1)),0))</f>
        <v>-1.005259418356097</v>
      </c>
      <c r="BS788">
        <f t="shared" ca="1" si="352"/>
        <v>0</v>
      </c>
      <c r="BT788" t="str">
        <f ca="1">IF(BS788=1,IF(INDEX(分析データ!$A:$A,ROW()+$C$5)&lt;&gt;"",40000*SIGN(BR788)*(分析データ!F788-INDEX(分析データ!F:F,ROW()+$C$5)),""),"")</f>
        <v/>
      </c>
      <c r="BU788">
        <f t="shared" ca="1" si="353"/>
        <v>14917200.000000004</v>
      </c>
      <c r="BV788">
        <f t="shared" ca="1" si="354"/>
        <v>14917200.000000004</v>
      </c>
      <c r="BW788">
        <f t="shared" ca="1" si="355"/>
        <v>0</v>
      </c>
      <c r="BX788">
        <f ca="1">IF(ROW()&lt;($C$7+1),"",IFERROR((分析データ!G788-AVERAGE(OFFSET(分析データ!G$1,MAX(1,ROW()-$C$7),0,MIN($C$7,ROW()-1),1)))/STDEV(OFFSET(分析データ!G$1,MAX(1,ROW()-$C$7),0,MIN($C$7,ROW()-1),1)),0))</f>
        <v>1.4965269387890741</v>
      </c>
      <c r="BY788">
        <f t="shared" ca="1" si="356"/>
        <v>0</v>
      </c>
      <c r="BZ788" t="str">
        <f ca="1">IF(BY788=1,IF(INDEX(分析データ!$A:$A,ROW()+$C$5)&lt;&gt;"",40000*SIGN(BX788)*(分析データ!G788-INDEX(分析データ!G:G,ROW()+$C$5)),""),"")</f>
        <v/>
      </c>
      <c r="CA788">
        <f t="shared" ca="1" si="357"/>
        <v>-3515452.8662109179</v>
      </c>
      <c r="CB788">
        <f t="shared" ca="1" si="358"/>
        <v>11327520.000000004</v>
      </c>
      <c r="CC788">
        <f t="shared" ca="1" si="359"/>
        <v>-14842972.866210923</v>
      </c>
      <c r="CD788">
        <f t="shared" ca="1" si="360"/>
        <v>0</v>
      </c>
      <c r="CE788">
        <f t="shared" ca="1" si="361"/>
        <v>21486747.133789141</v>
      </c>
      <c r="CF788">
        <f t="shared" ca="1" si="362"/>
        <v>21486747.133789141</v>
      </c>
      <c r="CG788">
        <f t="shared" ca="1" si="363"/>
        <v>0</v>
      </c>
      <c r="CH788" s="10">
        <f>分析データ!A788</f>
        <v>46079</v>
      </c>
    </row>
    <row r="789" spans="46:86">
      <c r="AT789">
        <f ca="1">IF(ROW()&lt;($C$7+1),"",IFERROR((分析データ!B789-AVERAGE(OFFSET(分析データ!B$1,MAX(1,ROW()-$C$7),0,MIN($C$7,ROW()-1),1)))/STDEV(OFFSET(分析データ!B$1,MAX(1,ROW()-$C$7),0,MIN($C$7,ROW()-1),1)),0))</f>
        <v>-1.2239264745766365</v>
      </c>
      <c r="AU789">
        <f t="shared" ca="1" si="336"/>
        <v>0</v>
      </c>
      <c r="AV789" t="str">
        <f ca="1">IF(AU789=1,IF(INDEX(分析データ!$A:$A,ROW()+$C$5)&lt;&gt;"",80000*SIGN(AT789)*(分析データ!B789-INDEX(分析データ!B:B,ROW()+$C$5)),""),"")</f>
        <v/>
      </c>
      <c r="AW789">
        <f t="shared" ca="1" si="337"/>
        <v>-2839999.9999999963</v>
      </c>
      <c r="AX789">
        <f t="shared" ca="1" si="338"/>
        <v>0</v>
      </c>
      <c r="AY789">
        <f t="shared" ca="1" si="339"/>
        <v>-2839999.9999999963</v>
      </c>
      <c r="AZ789">
        <f ca="1">IF(ROW()&lt;($C$7+1),"",IFERROR((分析データ!C789-AVERAGE(OFFSET(分析データ!C$1,MAX(1,ROW()-$C$7),0,MIN($C$7,ROW()-1),1)))/STDEV(OFFSET(分析データ!C$1,MAX(1,ROW()-$C$7),0,MIN($C$7,ROW()-1),1)),0))</f>
        <v>1.4213597233500996</v>
      </c>
      <c r="BA789">
        <f t="shared" ca="1" si="340"/>
        <v>0</v>
      </c>
      <c r="BB789" t="str">
        <f ca="1">IF(BA789=1,IF(INDEX(分析データ!$A:$A,ROW()+$C$5)&lt;&gt;"",60000*SIGN(AZ789)*(分析データ!C789-INDEX(分析データ!C:C,ROW()+$C$5)),""),"")</f>
        <v/>
      </c>
      <c r="BC789">
        <f t="shared" ca="1" si="341"/>
        <v>3075000.0000000102</v>
      </c>
      <c r="BD789">
        <f t="shared" ca="1" si="342"/>
        <v>3075000.0000000102</v>
      </c>
      <c r="BE789">
        <f t="shared" ca="1" si="343"/>
        <v>0</v>
      </c>
      <c r="BF789">
        <f ca="1">IF(ROW()&lt;($C$7+1),"",IFERROR((分析データ!D789-AVERAGE(OFFSET(分析データ!D$1,MAX(1,ROW()-$C$7),0,MIN($C$7,ROW()-1),1)))/STDEV(OFFSET(分析データ!D$1,MAX(1,ROW()-$C$7),0,MIN($C$7,ROW()-1),1)),0))</f>
        <v>-1.9951854037112537</v>
      </c>
      <c r="BG789">
        <f t="shared" ca="1" si="344"/>
        <v>0</v>
      </c>
      <c r="BH789" t="str">
        <f ca="1">IF(BG789=1,IF(INDEX(分析データ!$A:$A,ROW()+$C$5)&lt;&gt;"",50000*SIGN(BF789)*(分析データ!D789-INDEX(分析データ!D:D,ROW()+$C$5)),""),"")</f>
        <v/>
      </c>
      <c r="BI789">
        <f t="shared" ca="1" si="345"/>
        <v>5570000.0000000205</v>
      </c>
      <c r="BJ789">
        <f t="shared" ca="1" si="346"/>
        <v>5570000.0000000205</v>
      </c>
      <c r="BK789">
        <f t="shared" ca="1" si="347"/>
        <v>0</v>
      </c>
      <c r="BL789">
        <f ca="1">IF(ROW()&lt;($C$7+1),"",IFERROR((分析データ!E789-AVERAGE(OFFSET(分析データ!E$1,MAX(1,ROW()-$C$7),0,MIN($C$7,ROW()-1),1)))/STDEV(OFFSET(分析データ!E$1,MAX(1,ROW()-$C$7),0,MIN($C$7,ROW()-1),1)),0))</f>
        <v>0.70558965217359493</v>
      </c>
      <c r="BM789">
        <f t="shared" ca="1" si="348"/>
        <v>0</v>
      </c>
      <c r="BN789" t="str">
        <f ca="1">IF(BM789=1,IF(INDEX(分析データ!$A:$A,ROW()+$C$5)&lt;&gt;"",40000*SIGN(BL789)*(分析データ!E789-INDEX(分析データ!E:E,ROW()+$C$5)),""),"")</f>
        <v/>
      </c>
      <c r="BO789">
        <f t="shared" ca="1" si="349"/>
        <v>4280000.0000000028</v>
      </c>
      <c r="BP789">
        <f t="shared" ca="1" si="350"/>
        <v>4280000.0000000028</v>
      </c>
      <c r="BQ789">
        <f t="shared" ca="1" si="351"/>
        <v>0</v>
      </c>
      <c r="BR789">
        <f ca="1">IF(ROW()&lt;($C$7+1),"",IFERROR((分析データ!F789-AVERAGE(OFFSET(分析データ!F$1,MAX(1,ROW()-$C$7),0,MIN($C$7,ROW()-1),1)))/STDEV(OFFSET(分析データ!F$1,MAX(1,ROW()-$C$7),0,MIN($C$7,ROW()-1),1)),0))</f>
        <v>-0.92080154821315463</v>
      </c>
      <c r="BS789">
        <f t="shared" ca="1" si="352"/>
        <v>0</v>
      </c>
      <c r="BT789" t="str">
        <f ca="1">IF(BS789=1,IF(INDEX(分析データ!$A:$A,ROW()+$C$5)&lt;&gt;"",40000*SIGN(BR789)*(分析データ!F789-INDEX(分析データ!F:F,ROW()+$C$5)),""),"")</f>
        <v/>
      </c>
      <c r="BU789">
        <f t="shared" ca="1" si="353"/>
        <v>14917200.000000004</v>
      </c>
      <c r="BV789">
        <f t="shared" ca="1" si="354"/>
        <v>14917200.000000004</v>
      </c>
      <c r="BW789">
        <f t="shared" ca="1" si="355"/>
        <v>0</v>
      </c>
      <c r="BX789">
        <f ca="1">IF(ROW()&lt;($C$7+1),"",IFERROR((分析データ!G789-AVERAGE(OFFSET(分析データ!G$1,MAX(1,ROW()-$C$7),0,MIN($C$7,ROW()-1),1)))/STDEV(OFFSET(分析データ!G$1,MAX(1,ROW()-$C$7),0,MIN($C$7,ROW()-1),1)),0))</f>
        <v>1.481563827230201</v>
      </c>
      <c r="BY789">
        <f t="shared" ca="1" si="356"/>
        <v>0</v>
      </c>
      <c r="BZ789" t="str">
        <f ca="1">IF(BY789=1,IF(INDEX(分析データ!$A:$A,ROW()+$C$5)&lt;&gt;"",40000*SIGN(BX789)*(分析データ!G789-INDEX(分析データ!G:G,ROW()+$C$5)),""),"")</f>
        <v/>
      </c>
      <c r="CA789">
        <f t="shared" ca="1" si="357"/>
        <v>-3515452.8662109179</v>
      </c>
      <c r="CB789">
        <f t="shared" ca="1" si="358"/>
        <v>11327520.000000004</v>
      </c>
      <c r="CC789">
        <f t="shared" ca="1" si="359"/>
        <v>-14842972.866210923</v>
      </c>
      <c r="CD789">
        <f t="shared" ca="1" si="360"/>
        <v>0</v>
      </c>
      <c r="CE789">
        <f t="shared" ca="1" si="361"/>
        <v>21486747.133789141</v>
      </c>
      <c r="CF789">
        <f t="shared" ca="1" si="362"/>
        <v>21486747.133789141</v>
      </c>
      <c r="CG789">
        <f t="shared" ca="1" si="363"/>
        <v>0</v>
      </c>
      <c r="CH789" s="10">
        <f>分析データ!A789</f>
        <v>46080</v>
      </c>
    </row>
    <row r="790" spans="46:86">
      <c r="AT790">
        <f ca="1">IF(ROW()&lt;($C$7+1),"",IFERROR((分析データ!B790-AVERAGE(OFFSET(分析データ!B$1,MAX(1,ROW()-$C$7),0,MIN($C$7,ROW()-1),1)))/STDEV(OFFSET(分析データ!B$1,MAX(1,ROW()-$C$7),0,MIN($C$7,ROW()-1),1)),0))</f>
        <v>-1.0451928009965628</v>
      </c>
      <c r="AU790">
        <f t="shared" ca="1" si="336"/>
        <v>0</v>
      </c>
      <c r="AV790" t="str">
        <f ca="1">IF(AU790=1,IF(INDEX(分析データ!$A:$A,ROW()+$C$5)&lt;&gt;"",80000*SIGN(AT790)*(分析データ!B790-INDEX(分析データ!B:B,ROW()+$C$5)),""),"")</f>
        <v/>
      </c>
      <c r="AW790">
        <f t="shared" ca="1" si="337"/>
        <v>-2839999.9999999963</v>
      </c>
      <c r="AX790">
        <f t="shared" ca="1" si="338"/>
        <v>0</v>
      </c>
      <c r="AY790">
        <f t="shared" ca="1" si="339"/>
        <v>-2839999.9999999963</v>
      </c>
      <c r="AZ790">
        <f ca="1">IF(ROW()&lt;($C$7+1),"",IFERROR((分析データ!C790-AVERAGE(OFFSET(分析データ!C$1,MAX(1,ROW()-$C$7),0,MIN($C$7,ROW()-1),1)))/STDEV(OFFSET(分析データ!C$1,MAX(1,ROW()-$C$7),0,MIN($C$7,ROW()-1),1)),0))</f>
        <v>1.3619854846684234</v>
      </c>
      <c r="BA790">
        <f t="shared" ca="1" si="340"/>
        <v>0</v>
      </c>
      <c r="BB790" t="str">
        <f ca="1">IF(BA790=1,IF(INDEX(分析データ!$A:$A,ROW()+$C$5)&lt;&gt;"",60000*SIGN(AZ790)*(分析データ!C790-INDEX(分析データ!C:C,ROW()+$C$5)),""),"")</f>
        <v/>
      </c>
      <c r="BC790">
        <f t="shared" ca="1" si="341"/>
        <v>3075000.0000000102</v>
      </c>
      <c r="BD790">
        <f t="shared" ca="1" si="342"/>
        <v>3075000.0000000102</v>
      </c>
      <c r="BE790">
        <f t="shared" ca="1" si="343"/>
        <v>0</v>
      </c>
      <c r="BF790">
        <f ca="1">IF(ROW()&lt;($C$7+1),"",IFERROR((分析データ!D790-AVERAGE(OFFSET(分析データ!D$1,MAX(1,ROW()-$C$7),0,MIN($C$7,ROW()-1),1)))/STDEV(OFFSET(分析データ!D$1,MAX(1,ROW()-$C$7),0,MIN($C$7,ROW()-1),1)),0))</f>
        <v>-1.6314850364805931</v>
      </c>
      <c r="BG790">
        <f t="shared" ca="1" si="344"/>
        <v>0</v>
      </c>
      <c r="BH790" t="str">
        <f ca="1">IF(BG790=1,IF(INDEX(分析データ!$A:$A,ROW()+$C$5)&lt;&gt;"",50000*SIGN(BF790)*(分析データ!D790-INDEX(分析データ!D:D,ROW()+$C$5)),""),"")</f>
        <v/>
      </c>
      <c r="BI790">
        <f t="shared" ca="1" si="345"/>
        <v>5570000.0000000205</v>
      </c>
      <c r="BJ790">
        <f t="shared" ca="1" si="346"/>
        <v>5570000.0000000205</v>
      </c>
      <c r="BK790">
        <f t="shared" ca="1" si="347"/>
        <v>0</v>
      </c>
      <c r="BL790">
        <f ca="1">IF(ROW()&lt;($C$7+1),"",IFERROR((分析データ!E790-AVERAGE(OFFSET(分析データ!E$1,MAX(1,ROW()-$C$7),0,MIN($C$7,ROW()-1),1)))/STDEV(OFFSET(分析データ!E$1,MAX(1,ROW()-$C$7),0,MIN($C$7,ROW()-1),1)),0))</f>
        <v>0.28011318488264997</v>
      </c>
      <c r="BM790">
        <f t="shared" ca="1" si="348"/>
        <v>0</v>
      </c>
      <c r="BN790" t="str">
        <f ca="1">IF(BM790=1,IF(INDEX(分析データ!$A:$A,ROW()+$C$5)&lt;&gt;"",40000*SIGN(BL790)*(分析データ!E790-INDEX(分析データ!E:E,ROW()+$C$5)),""),"")</f>
        <v/>
      </c>
      <c r="BO790">
        <f t="shared" ca="1" si="349"/>
        <v>4280000.0000000028</v>
      </c>
      <c r="BP790">
        <f t="shared" ca="1" si="350"/>
        <v>4280000.0000000028</v>
      </c>
      <c r="BQ790">
        <f t="shared" ca="1" si="351"/>
        <v>0</v>
      </c>
      <c r="BR790">
        <f ca="1">IF(ROW()&lt;($C$7+1),"",IFERROR((分析データ!F790-AVERAGE(OFFSET(分析データ!F$1,MAX(1,ROW()-$C$7),0,MIN($C$7,ROW()-1),1)))/STDEV(OFFSET(分析データ!F$1,MAX(1,ROW()-$C$7),0,MIN($C$7,ROW()-1),1)),0))</f>
        <v>-1.568709439175535</v>
      </c>
      <c r="BS790">
        <f t="shared" ca="1" si="352"/>
        <v>0</v>
      </c>
      <c r="BT790" t="str">
        <f ca="1">IF(BS790=1,IF(INDEX(分析データ!$A:$A,ROW()+$C$5)&lt;&gt;"",40000*SIGN(BR790)*(分析データ!F790-INDEX(分析データ!F:F,ROW()+$C$5)),""),"")</f>
        <v/>
      </c>
      <c r="BU790">
        <f t="shared" ca="1" si="353"/>
        <v>14917200.000000004</v>
      </c>
      <c r="BV790">
        <f t="shared" ca="1" si="354"/>
        <v>14917200.000000004</v>
      </c>
      <c r="BW790">
        <f t="shared" ca="1" si="355"/>
        <v>0</v>
      </c>
      <c r="BX790">
        <f ca="1">IF(ROW()&lt;($C$7+1),"",IFERROR((分析データ!G790-AVERAGE(OFFSET(分析データ!G$1,MAX(1,ROW()-$C$7),0,MIN($C$7,ROW()-1),1)))/STDEV(OFFSET(分析データ!G$1,MAX(1,ROW()-$C$7),0,MIN($C$7,ROW()-1),1)),0))</f>
        <v>1.6378389732799947</v>
      </c>
      <c r="BY790">
        <f t="shared" ca="1" si="356"/>
        <v>0</v>
      </c>
      <c r="BZ790" t="str">
        <f ca="1">IF(BY790=1,IF(INDEX(分析データ!$A:$A,ROW()+$C$5)&lt;&gt;"",40000*SIGN(BX790)*(分析データ!G790-INDEX(分析データ!G:G,ROW()+$C$5)),""),"")</f>
        <v/>
      </c>
      <c r="CA790">
        <f t="shared" ca="1" si="357"/>
        <v>-3515452.8662109179</v>
      </c>
      <c r="CB790">
        <f t="shared" ca="1" si="358"/>
        <v>11327520.000000004</v>
      </c>
      <c r="CC790">
        <f t="shared" ca="1" si="359"/>
        <v>-14842972.866210923</v>
      </c>
      <c r="CD790">
        <f t="shared" ca="1" si="360"/>
        <v>0</v>
      </c>
      <c r="CE790">
        <f t="shared" ca="1" si="361"/>
        <v>21486747.133789141</v>
      </c>
      <c r="CF790">
        <f t="shared" ca="1" si="362"/>
        <v>21486747.133789141</v>
      </c>
      <c r="CG790">
        <f t="shared" ca="1" si="363"/>
        <v>0</v>
      </c>
      <c r="CH790" s="10">
        <f>分析データ!A790</f>
        <v>46083</v>
      </c>
    </row>
    <row r="791" spans="46:86">
      <c r="AT791">
        <f ca="1">IF(ROW()&lt;($C$7+1),"",IFERROR((分析データ!B791-AVERAGE(OFFSET(分析データ!B$1,MAX(1,ROW()-$C$7),0,MIN($C$7,ROW()-1),1)))/STDEV(OFFSET(分析データ!B$1,MAX(1,ROW()-$C$7),0,MIN($C$7,ROW()-1),1)),0))</f>
        <v>-1.3853350815759546</v>
      </c>
      <c r="AU791">
        <f t="shared" ca="1" si="336"/>
        <v>0</v>
      </c>
      <c r="AV791" t="str">
        <f ca="1">IF(AU791=1,IF(INDEX(分析データ!$A:$A,ROW()+$C$5)&lt;&gt;"",80000*SIGN(AT791)*(分析データ!B791-INDEX(分析データ!B:B,ROW()+$C$5)),""),"")</f>
        <v/>
      </c>
      <c r="AW791">
        <f t="shared" ca="1" si="337"/>
        <v>-2839999.9999999963</v>
      </c>
      <c r="AX791">
        <f t="shared" ca="1" si="338"/>
        <v>0</v>
      </c>
      <c r="AY791">
        <f t="shared" ca="1" si="339"/>
        <v>-2839999.9999999963</v>
      </c>
      <c r="AZ791">
        <f ca="1">IF(ROW()&lt;($C$7+1),"",IFERROR((分析データ!C791-AVERAGE(OFFSET(分析データ!C$1,MAX(1,ROW()-$C$7),0,MIN($C$7,ROW()-1),1)))/STDEV(OFFSET(分析データ!C$1,MAX(1,ROW()-$C$7),0,MIN($C$7,ROW()-1),1)),0))</f>
        <v>1.6315274985052146</v>
      </c>
      <c r="BA791">
        <f t="shared" ca="1" si="340"/>
        <v>0</v>
      </c>
      <c r="BB791" t="str">
        <f ca="1">IF(BA791=1,IF(INDEX(分析データ!$A:$A,ROW()+$C$5)&lt;&gt;"",60000*SIGN(AZ791)*(分析データ!C791-INDEX(分析データ!C:C,ROW()+$C$5)),""),"")</f>
        <v/>
      </c>
      <c r="BC791">
        <f t="shared" ca="1" si="341"/>
        <v>3075000.0000000102</v>
      </c>
      <c r="BD791">
        <f t="shared" ca="1" si="342"/>
        <v>3075000.0000000102</v>
      </c>
      <c r="BE791">
        <f t="shared" ca="1" si="343"/>
        <v>0</v>
      </c>
      <c r="BF791">
        <f ca="1">IF(ROW()&lt;($C$7+1),"",IFERROR((分析データ!D791-AVERAGE(OFFSET(分析データ!D$1,MAX(1,ROW()-$C$7),0,MIN($C$7,ROW()-1),1)))/STDEV(OFFSET(分析データ!D$1,MAX(1,ROW()-$C$7),0,MIN($C$7,ROW()-1),1)),0))</f>
        <v>-1.7542376723436435</v>
      </c>
      <c r="BG791">
        <f t="shared" ca="1" si="344"/>
        <v>0</v>
      </c>
      <c r="BH791" t="str">
        <f ca="1">IF(BG791=1,IF(INDEX(分析データ!$A:$A,ROW()+$C$5)&lt;&gt;"",50000*SIGN(BF791)*(分析データ!D791-INDEX(分析データ!D:D,ROW()+$C$5)),""),"")</f>
        <v/>
      </c>
      <c r="BI791">
        <f t="shared" ca="1" si="345"/>
        <v>5570000.0000000205</v>
      </c>
      <c r="BJ791">
        <f t="shared" ca="1" si="346"/>
        <v>5570000.0000000205</v>
      </c>
      <c r="BK791">
        <f t="shared" ca="1" si="347"/>
        <v>0</v>
      </c>
      <c r="BL791">
        <f ca="1">IF(ROW()&lt;($C$7+1),"",IFERROR((分析データ!E791-AVERAGE(OFFSET(分析データ!E$1,MAX(1,ROW()-$C$7),0,MIN($C$7,ROW()-1),1)))/STDEV(OFFSET(分析データ!E$1,MAX(1,ROW()-$C$7),0,MIN($C$7,ROW()-1),1)),0))</f>
        <v>0.27192343720215706</v>
      </c>
      <c r="BM791">
        <f t="shared" ca="1" si="348"/>
        <v>0</v>
      </c>
      <c r="BN791" t="str">
        <f ca="1">IF(BM791=1,IF(INDEX(分析データ!$A:$A,ROW()+$C$5)&lt;&gt;"",40000*SIGN(BL791)*(分析データ!E791-INDEX(分析データ!E:E,ROW()+$C$5)),""),"")</f>
        <v/>
      </c>
      <c r="BO791">
        <f t="shared" ca="1" si="349"/>
        <v>4280000.0000000028</v>
      </c>
      <c r="BP791">
        <f t="shared" ca="1" si="350"/>
        <v>4280000.0000000028</v>
      </c>
      <c r="BQ791">
        <f t="shared" ca="1" si="351"/>
        <v>0</v>
      </c>
      <c r="BR791">
        <f ca="1">IF(ROW()&lt;($C$7+1),"",IFERROR((分析データ!F791-AVERAGE(OFFSET(分析データ!F$1,MAX(1,ROW()-$C$7),0,MIN($C$7,ROW()-1),1)))/STDEV(OFFSET(分析データ!F$1,MAX(1,ROW()-$C$7),0,MIN($C$7,ROW()-1),1)),0))</f>
        <v>-1.1562782087427432</v>
      </c>
      <c r="BS791">
        <f t="shared" ca="1" si="352"/>
        <v>0</v>
      </c>
      <c r="BT791" t="str">
        <f ca="1">IF(BS791=1,IF(INDEX(分析データ!$A:$A,ROW()+$C$5)&lt;&gt;"",40000*SIGN(BR791)*(分析データ!F791-INDEX(分析データ!F:F,ROW()+$C$5)),""),"")</f>
        <v/>
      </c>
      <c r="BU791">
        <f t="shared" ca="1" si="353"/>
        <v>14917200.000000004</v>
      </c>
      <c r="BV791">
        <f t="shared" ca="1" si="354"/>
        <v>14917200.000000004</v>
      </c>
      <c r="BW791">
        <f t="shared" ca="1" si="355"/>
        <v>0</v>
      </c>
      <c r="BX791">
        <f ca="1">IF(ROW()&lt;($C$7+1),"",IFERROR((分析データ!G791-AVERAGE(OFFSET(分析データ!G$1,MAX(1,ROW()-$C$7),0,MIN($C$7,ROW()-1),1)))/STDEV(OFFSET(分析データ!G$1,MAX(1,ROW()-$C$7),0,MIN($C$7,ROW()-1),1)),0))</f>
        <v>1.4567788112462321</v>
      </c>
      <c r="BY791">
        <f t="shared" ca="1" si="356"/>
        <v>0</v>
      </c>
      <c r="BZ791" t="str">
        <f ca="1">IF(BY791=1,IF(INDEX(分析データ!$A:$A,ROW()+$C$5)&lt;&gt;"",40000*SIGN(BX791)*(分析データ!G791-INDEX(分析データ!G:G,ROW()+$C$5)),""),"")</f>
        <v/>
      </c>
      <c r="CA791">
        <f t="shared" ca="1" si="357"/>
        <v>-3515452.8662109179</v>
      </c>
      <c r="CB791">
        <f t="shared" ca="1" si="358"/>
        <v>11327520.000000004</v>
      </c>
      <c r="CC791">
        <f t="shared" ca="1" si="359"/>
        <v>-14842972.866210923</v>
      </c>
      <c r="CD791">
        <f t="shared" ca="1" si="360"/>
        <v>0</v>
      </c>
      <c r="CE791">
        <f t="shared" ca="1" si="361"/>
        <v>21486747.133789141</v>
      </c>
      <c r="CF791">
        <f t="shared" ca="1" si="362"/>
        <v>21486747.133789141</v>
      </c>
      <c r="CG791">
        <f t="shared" ca="1" si="363"/>
        <v>0</v>
      </c>
      <c r="CH791" s="10">
        <f>分析データ!A791</f>
        <v>46084</v>
      </c>
    </row>
    <row r="792" spans="46:86">
      <c r="AT792">
        <f ca="1">IF(ROW()&lt;($C$7+1),"",IFERROR((分析データ!B792-AVERAGE(OFFSET(分析データ!B$1,MAX(1,ROW()-$C$7),0,MIN($C$7,ROW()-1),1)))/STDEV(OFFSET(分析データ!B$1,MAX(1,ROW()-$C$7),0,MIN($C$7,ROW()-1),1)),0))</f>
        <v>-1.2086004598324238</v>
      </c>
      <c r="AU792">
        <f t="shared" ca="1" si="336"/>
        <v>0</v>
      </c>
      <c r="AV792" t="str">
        <f ca="1">IF(AU792=1,IF(INDEX(分析データ!$A:$A,ROW()+$C$5)&lt;&gt;"",80000*SIGN(AT792)*(分析データ!B792-INDEX(分析データ!B:B,ROW()+$C$5)),""),"")</f>
        <v/>
      </c>
      <c r="AW792">
        <f t="shared" ca="1" si="337"/>
        <v>-2839999.9999999963</v>
      </c>
      <c r="AX792">
        <f t="shared" ca="1" si="338"/>
        <v>0</v>
      </c>
      <c r="AY792">
        <f t="shared" ca="1" si="339"/>
        <v>-2839999.9999999963</v>
      </c>
      <c r="AZ792">
        <f ca="1">IF(ROW()&lt;($C$7+1),"",IFERROR((分析データ!C792-AVERAGE(OFFSET(分析データ!C$1,MAX(1,ROW()-$C$7),0,MIN($C$7,ROW()-1),1)))/STDEV(OFFSET(分析データ!C$1,MAX(1,ROW()-$C$7),0,MIN($C$7,ROW()-1),1)),0))</f>
        <v>1.4584912374064511</v>
      </c>
      <c r="BA792">
        <f t="shared" ca="1" si="340"/>
        <v>0</v>
      </c>
      <c r="BB792" t="str">
        <f ca="1">IF(BA792=1,IF(INDEX(分析データ!$A:$A,ROW()+$C$5)&lt;&gt;"",60000*SIGN(AZ792)*(分析データ!C792-INDEX(分析データ!C:C,ROW()+$C$5)),""),"")</f>
        <v/>
      </c>
      <c r="BC792">
        <f t="shared" ca="1" si="341"/>
        <v>3075000.0000000102</v>
      </c>
      <c r="BD792">
        <f t="shared" ca="1" si="342"/>
        <v>3075000.0000000102</v>
      </c>
      <c r="BE792">
        <f t="shared" ca="1" si="343"/>
        <v>0</v>
      </c>
      <c r="BF792">
        <f ca="1">IF(ROW()&lt;($C$7+1),"",IFERROR((分析データ!D792-AVERAGE(OFFSET(分析データ!D$1,MAX(1,ROW()-$C$7),0,MIN($C$7,ROW()-1),1)))/STDEV(OFFSET(分析データ!D$1,MAX(1,ROW()-$C$7),0,MIN($C$7,ROW()-1),1)),0))</f>
        <v>-1.6169758792142905</v>
      </c>
      <c r="BG792">
        <f t="shared" ca="1" si="344"/>
        <v>0</v>
      </c>
      <c r="BH792" t="str">
        <f ca="1">IF(BG792=1,IF(INDEX(分析データ!$A:$A,ROW()+$C$5)&lt;&gt;"",50000*SIGN(BF792)*(分析データ!D792-INDEX(分析データ!D:D,ROW()+$C$5)),""),"")</f>
        <v/>
      </c>
      <c r="BI792">
        <f t="shared" ca="1" si="345"/>
        <v>5570000.0000000205</v>
      </c>
      <c r="BJ792">
        <f t="shared" ca="1" si="346"/>
        <v>5570000.0000000205</v>
      </c>
      <c r="BK792">
        <f t="shared" ca="1" si="347"/>
        <v>0</v>
      </c>
      <c r="BL792">
        <f ca="1">IF(ROW()&lt;($C$7+1),"",IFERROR((分析データ!E792-AVERAGE(OFFSET(分析データ!E$1,MAX(1,ROW()-$C$7),0,MIN($C$7,ROW()-1),1)))/STDEV(OFFSET(分析データ!E$1,MAX(1,ROW()-$C$7),0,MIN($C$7,ROW()-1),1)),0))</f>
        <v>0.11660489318206559</v>
      </c>
      <c r="BM792">
        <f t="shared" ca="1" si="348"/>
        <v>0</v>
      </c>
      <c r="BN792" t="str">
        <f ca="1">IF(BM792=1,IF(INDEX(分析データ!$A:$A,ROW()+$C$5)&lt;&gt;"",40000*SIGN(BL792)*(分析データ!E792-INDEX(分析データ!E:E,ROW()+$C$5)),""),"")</f>
        <v/>
      </c>
      <c r="BO792">
        <f t="shared" ca="1" si="349"/>
        <v>4280000.0000000028</v>
      </c>
      <c r="BP792">
        <f t="shared" ca="1" si="350"/>
        <v>4280000.0000000028</v>
      </c>
      <c r="BQ792">
        <f t="shared" ca="1" si="351"/>
        <v>0</v>
      </c>
      <c r="BR792">
        <f ca="1">IF(ROW()&lt;($C$7+1),"",IFERROR((分析データ!F792-AVERAGE(OFFSET(分析データ!F$1,MAX(1,ROW()-$C$7),0,MIN($C$7,ROW()-1),1)))/STDEV(OFFSET(分析データ!F$1,MAX(1,ROW()-$C$7),0,MIN($C$7,ROW()-1),1)),0))</f>
        <v>-0.72389524592508558</v>
      </c>
      <c r="BS792">
        <f t="shared" ca="1" si="352"/>
        <v>0</v>
      </c>
      <c r="BT792" t="str">
        <f ca="1">IF(BS792=1,IF(INDEX(分析データ!$A:$A,ROW()+$C$5)&lt;&gt;"",40000*SIGN(BR792)*(分析データ!F792-INDEX(分析データ!F:F,ROW()+$C$5)),""),"")</f>
        <v/>
      </c>
      <c r="BU792">
        <f t="shared" ca="1" si="353"/>
        <v>14917200.000000004</v>
      </c>
      <c r="BV792">
        <f t="shared" ca="1" si="354"/>
        <v>14917200.000000004</v>
      </c>
      <c r="BW792">
        <f t="shared" ca="1" si="355"/>
        <v>0</v>
      </c>
      <c r="BX792">
        <f ca="1">IF(ROW()&lt;($C$7+1),"",IFERROR((分析データ!G792-AVERAGE(OFFSET(分析データ!G$1,MAX(1,ROW()-$C$7),0,MIN($C$7,ROW()-1),1)))/STDEV(OFFSET(分析データ!G$1,MAX(1,ROW()-$C$7),0,MIN($C$7,ROW()-1),1)),0))</f>
        <v>1.2140736997269885</v>
      </c>
      <c r="BY792">
        <f t="shared" ca="1" si="356"/>
        <v>0</v>
      </c>
      <c r="BZ792" t="str">
        <f ca="1">IF(BY792=1,IF(INDEX(分析データ!$A:$A,ROW()+$C$5)&lt;&gt;"",40000*SIGN(BX792)*(分析データ!G792-INDEX(分析データ!G:G,ROW()+$C$5)),""),"")</f>
        <v/>
      </c>
      <c r="CA792">
        <f t="shared" ca="1" si="357"/>
        <v>-3515452.8662109179</v>
      </c>
      <c r="CB792">
        <f t="shared" ca="1" si="358"/>
        <v>11327520.000000004</v>
      </c>
      <c r="CC792">
        <f t="shared" ca="1" si="359"/>
        <v>-14842972.866210923</v>
      </c>
      <c r="CD792">
        <f t="shared" ca="1" si="360"/>
        <v>0</v>
      </c>
      <c r="CE792">
        <f t="shared" ca="1" si="361"/>
        <v>21486747.133789141</v>
      </c>
      <c r="CF792">
        <f t="shared" ca="1" si="362"/>
        <v>21486747.133789141</v>
      </c>
      <c r="CG792">
        <f t="shared" ca="1" si="363"/>
        <v>0</v>
      </c>
      <c r="CH792" s="10">
        <f>分析データ!A792</f>
        <v>46085</v>
      </c>
    </row>
    <row r="793" spans="46:86">
      <c r="AT793">
        <f ca="1">IF(ROW()&lt;($C$7+1),"",IFERROR((分析データ!B793-AVERAGE(OFFSET(分析データ!B$1,MAX(1,ROW()-$C$7),0,MIN($C$7,ROW()-1),1)))/STDEV(OFFSET(分析データ!B$1,MAX(1,ROW()-$C$7),0,MIN($C$7,ROW()-1),1)),0))</f>
        <v>-0.69001400217130338</v>
      </c>
      <c r="AU793">
        <f t="shared" ca="1" si="336"/>
        <v>0</v>
      </c>
      <c r="AV793" t="str">
        <f ca="1">IF(AU793=1,IF(INDEX(分析データ!$A:$A,ROW()+$C$5)&lt;&gt;"",80000*SIGN(AT793)*(分析データ!B793-INDEX(分析データ!B:B,ROW()+$C$5)),""),"")</f>
        <v/>
      </c>
      <c r="AW793">
        <f t="shared" ca="1" si="337"/>
        <v>-2839999.9999999963</v>
      </c>
      <c r="AX793">
        <f t="shared" ca="1" si="338"/>
        <v>0</v>
      </c>
      <c r="AY793">
        <f t="shared" ca="1" si="339"/>
        <v>-2839999.9999999963</v>
      </c>
      <c r="AZ793">
        <f ca="1">IF(ROW()&lt;($C$7+1),"",IFERROR((分析データ!C793-AVERAGE(OFFSET(分析データ!C$1,MAX(1,ROW()-$C$7),0,MIN($C$7,ROW()-1),1)))/STDEV(OFFSET(分析データ!C$1,MAX(1,ROW()-$C$7),0,MIN($C$7,ROW()-1),1)),0))</f>
        <v>1.683230370606825</v>
      </c>
      <c r="BA793">
        <f t="shared" ca="1" si="340"/>
        <v>0</v>
      </c>
      <c r="BB793" t="str">
        <f ca="1">IF(BA793=1,IF(INDEX(分析データ!$A:$A,ROW()+$C$5)&lt;&gt;"",60000*SIGN(AZ793)*(分析データ!C793-INDEX(分析データ!C:C,ROW()+$C$5)),""),"")</f>
        <v/>
      </c>
      <c r="BC793">
        <f t="shared" ca="1" si="341"/>
        <v>3075000.0000000102</v>
      </c>
      <c r="BD793">
        <f t="shared" ca="1" si="342"/>
        <v>3075000.0000000102</v>
      </c>
      <c r="BE793">
        <f t="shared" ca="1" si="343"/>
        <v>0</v>
      </c>
      <c r="BF793">
        <f ca="1">IF(ROW()&lt;($C$7+1),"",IFERROR((分析データ!D793-AVERAGE(OFFSET(分析データ!D$1,MAX(1,ROW()-$C$7),0,MIN($C$7,ROW()-1),1)))/STDEV(OFFSET(分析データ!D$1,MAX(1,ROW()-$C$7),0,MIN($C$7,ROW()-1),1)),0))</f>
        <v>-1.6039792153513193</v>
      </c>
      <c r="BG793">
        <f t="shared" ca="1" si="344"/>
        <v>0</v>
      </c>
      <c r="BH793" t="str">
        <f ca="1">IF(BG793=1,IF(INDEX(分析データ!$A:$A,ROW()+$C$5)&lt;&gt;"",50000*SIGN(BF793)*(分析データ!D793-INDEX(分析データ!D:D,ROW()+$C$5)),""),"")</f>
        <v/>
      </c>
      <c r="BI793">
        <f t="shared" ca="1" si="345"/>
        <v>5570000.0000000205</v>
      </c>
      <c r="BJ793">
        <f t="shared" ca="1" si="346"/>
        <v>5570000.0000000205</v>
      </c>
      <c r="BK793">
        <f t="shared" ca="1" si="347"/>
        <v>0</v>
      </c>
      <c r="BL793">
        <f ca="1">IF(ROW()&lt;($C$7+1),"",IFERROR((分析データ!E793-AVERAGE(OFFSET(分析データ!E$1,MAX(1,ROW()-$C$7),0,MIN($C$7,ROW()-1),1)))/STDEV(OFFSET(分析データ!E$1,MAX(1,ROW()-$C$7),0,MIN($C$7,ROW()-1),1)),0))</f>
        <v>-4.3557349067164512E-2</v>
      </c>
      <c r="BM793">
        <f t="shared" ca="1" si="348"/>
        <v>0</v>
      </c>
      <c r="BN793" t="str">
        <f ca="1">IF(BM793=1,IF(INDEX(分析データ!$A:$A,ROW()+$C$5)&lt;&gt;"",40000*SIGN(BL793)*(分析データ!E793-INDEX(分析データ!E:E,ROW()+$C$5)),""),"")</f>
        <v/>
      </c>
      <c r="BO793">
        <f t="shared" ca="1" si="349"/>
        <v>4280000.0000000028</v>
      </c>
      <c r="BP793">
        <f t="shared" ca="1" si="350"/>
        <v>4280000.0000000028</v>
      </c>
      <c r="BQ793">
        <f t="shared" ca="1" si="351"/>
        <v>0</v>
      </c>
      <c r="BR793">
        <f ca="1">IF(ROW()&lt;($C$7+1),"",IFERROR((分析データ!F793-AVERAGE(OFFSET(分析データ!F$1,MAX(1,ROW()-$C$7),0,MIN($C$7,ROW()-1),1)))/STDEV(OFFSET(分析データ!F$1,MAX(1,ROW()-$C$7),0,MIN($C$7,ROW()-1),1)),0))</f>
        <v>-1.0349777669505265</v>
      </c>
      <c r="BS793">
        <f t="shared" ca="1" si="352"/>
        <v>0</v>
      </c>
      <c r="BT793" t="str">
        <f ca="1">IF(BS793=1,IF(INDEX(分析データ!$A:$A,ROW()+$C$5)&lt;&gt;"",40000*SIGN(BR793)*(分析データ!F793-INDEX(分析データ!F:F,ROW()+$C$5)),""),"")</f>
        <v/>
      </c>
      <c r="BU793">
        <f t="shared" ca="1" si="353"/>
        <v>14917200.000000004</v>
      </c>
      <c r="BV793">
        <f t="shared" ca="1" si="354"/>
        <v>14917200.000000004</v>
      </c>
      <c r="BW793">
        <f t="shared" ca="1" si="355"/>
        <v>0</v>
      </c>
      <c r="BX793">
        <f ca="1">IF(ROW()&lt;($C$7+1),"",IFERROR((分析データ!G793-AVERAGE(OFFSET(分析データ!G$1,MAX(1,ROW()-$C$7),0,MIN($C$7,ROW()-1),1)))/STDEV(OFFSET(分析データ!G$1,MAX(1,ROW()-$C$7),0,MIN($C$7,ROW()-1),1)),0))</f>
        <v>1.5448761860117275</v>
      </c>
      <c r="BY793">
        <f t="shared" ca="1" si="356"/>
        <v>0</v>
      </c>
      <c r="BZ793" t="str">
        <f ca="1">IF(BY793=1,IF(INDEX(分析データ!$A:$A,ROW()+$C$5)&lt;&gt;"",40000*SIGN(BX793)*(分析データ!G793-INDEX(分析データ!G:G,ROW()+$C$5)),""),"")</f>
        <v/>
      </c>
      <c r="CA793">
        <f t="shared" ca="1" si="357"/>
        <v>-3515452.8662109179</v>
      </c>
      <c r="CB793">
        <f t="shared" ca="1" si="358"/>
        <v>11327520.000000004</v>
      </c>
      <c r="CC793">
        <f t="shared" ca="1" si="359"/>
        <v>-14842972.866210923</v>
      </c>
      <c r="CD793">
        <f t="shared" ca="1" si="360"/>
        <v>0</v>
      </c>
      <c r="CE793">
        <f t="shared" ca="1" si="361"/>
        <v>21486747.133789141</v>
      </c>
      <c r="CF793">
        <f t="shared" ca="1" si="362"/>
        <v>21486747.133789141</v>
      </c>
      <c r="CG793">
        <f t="shared" ca="1" si="363"/>
        <v>0</v>
      </c>
      <c r="CH793" s="10">
        <f>分析データ!A793</f>
        <v>46086</v>
      </c>
    </row>
    <row r="794" spans="46:86">
      <c r="AT794">
        <f ca="1">IF(ROW()&lt;($C$7+1),"",IFERROR((分析データ!B794-AVERAGE(OFFSET(分析データ!B$1,MAX(1,ROW()-$C$7),0,MIN($C$7,ROW()-1),1)))/STDEV(OFFSET(分析データ!B$1,MAX(1,ROW()-$C$7),0,MIN($C$7,ROW()-1),1)),0))</f>
        <v>-0.35171182696848274</v>
      </c>
      <c r="AU794">
        <f t="shared" ca="1" si="336"/>
        <v>0</v>
      </c>
      <c r="AV794" t="str">
        <f ca="1">IF(AU794=1,IF(INDEX(分析データ!$A:$A,ROW()+$C$5)&lt;&gt;"",80000*SIGN(AT794)*(分析データ!B794-INDEX(分析データ!B:B,ROW()+$C$5)),""),"")</f>
        <v/>
      </c>
      <c r="AW794">
        <f t="shared" ca="1" si="337"/>
        <v>-2839999.9999999963</v>
      </c>
      <c r="AX794">
        <f t="shared" ca="1" si="338"/>
        <v>0</v>
      </c>
      <c r="AY794">
        <f t="shared" ca="1" si="339"/>
        <v>-2839999.9999999963</v>
      </c>
      <c r="AZ794">
        <f ca="1">IF(ROW()&lt;($C$7+1),"",IFERROR((分析データ!C794-AVERAGE(OFFSET(分析データ!C$1,MAX(1,ROW()-$C$7),0,MIN($C$7,ROW()-1),1)))/STDEV(OFFSET(分析データ!C$1,MAX(1,ROW()-$C$7),0,MIN($C$7,ROW()-1),1)),0))</f>
        <v>1.7344758576103458</v>
      </c>
      <c r="BA794">
        <f t="shared" ca="1" si="340"/>
        <v>0</v>
      </c>
      <c r="BB794" t="str">
        <f ca="1">IF(BA794=1,IF(INDEX(分析データ!$A:$A,ROW()+$C$5)&lt;&gt;"",60000*SIGN(AZ794)*(分析データ!C794-INDEX(分析データ!C:C,ROW()+$C$5)),""),"")</f>
        <v/>
      </c>
      <c r="BC794">
        <f t="shared" ca="1" si="341"/>
        <v>3075000.0000000102</v>
      </c>
      <c r="BD794">
        <f t="shared" ca="1" si="342"/>
        <v>3075000.0000000102</v>
      </c>
      <c r="BE794">
        <f t="shared" ca="1" si="343"/>
        <v>0</v>
      </c>
      <c r="BF794">
        <f ca="1">IF(ROW()&lt;($C$7+1),"",IFERROR((分析データ!D794-AVERAGE(OFFSET(分析データ!D$1,MAX(1,ROW()-$C$7),0,MIN($C$7,ROW()-1),1)))/STDEV(OFFSET(分析データ!D$1,MAX(1,ROW()-$C$7),0,MIN($C$7,ROW()-1),1)),0))</f>
        <v>-1.5479515513133064</v>
      </c>
      <c r="BG794">
        <f t="shared" ca="1" si="344"/>
        <v>0</v>
      </c>
      <c r="BH794" t="str">
        <f ca="1">IF(BG794=1,IF(INDEX(分析データ!$A:$A,ROW()+$C$5)&lt;&gt;"",50000*SIGN(BF794)*(分析データ!D794-INDEX(分析データ!D:D,ROW()+$C$5)),""),"")</f>
        <v/>
      </c>
      <c r="BI794">
        <f t="shared" ca="1" si="345"/>
        <v>5570000.0000000205</v>
      </c>
      <c r="BJ794">
        <f t="shared" ca="1" si="346"/>
        <v>5570000.0000000205</v>
      </c>
      <c r="BK794">
        <f t="shared" ca="1" si="347"/>
        <v>0</v>
      </c>
      <c r="BL794">
        <f ca="1">IF(ROW()&lt;($C$7+1),"",IFERROR((分析データ!E794-AVERAGE(OFFSET(分析データ!E$1,MAX(1,ROW()-$C$7),0,MIN($C$7,ROW()-1),1)))/STDEV(OFFSET(分析データ!E$1,MAX(1,ROW()-$C$7),0,MIN($C$7,ROW()-1),1)),0))</f>
        <v>0.24846305671022964</v>
      </c>
      <c r="BM794">
        <f t="shared" ca="1" si="348"/>
        <v>0</v>
      </c>
      <c r="BN794" t="str">
        <f ca="1">IF(BM794=1,IF(INDEX(分析データ!$A:$A,ROW()+$C$5)&lt;&gt;"",40000*SIGN(BL794)*(分析データ!E794-INDEX(分析データ!E:E,ROW()+$C$5)),""),"")</f>
        <v/>
      </c>
      <c r="BO794">
        <f t="shared" ca="1" si="349"/>
        <v>4280000.0000000028</v>
      </c>
      <c r="BP794">
        <f t="shared" ca="1" si="350"/>
        <v>4280000.0000000028</v>
      </c>
      <c r="BQ794">
        <f t="shared" ca="1" si="351"/>
        <v>0</v>
      </c>
      <c r="BR794">
        <f ca="1">IF(ROW()&lt;($C$7+1),"",IFERROR((分析データ!F794-AVERAGE(OFFSET(分析データ!F$1,MAX(1,ROW()-$C$7),0,MIN($C$7,ROW()-1),1)))/STDEV(OFFSET(分析データ!F$1,MAX(1,ROW()-$C$7),0,MIN($C$7,ROW()-1),1)),0))</f>
        <v>-0.62337629590310106</v>
      </c>
      <c r="BS794">
        <f t="shared" ca="1" si="352"/>
        <v>0</v>
      </c>
      <c r="BT794" t="str">
        <f ca="1">IF(BS794=1,IF(INDEX(分析データ!$A:$A,ROW()+$C$5)&lt;&gt;"",40000*SIGN(BR794)*(分析データ!F794-INDEX(分析データ!F:F,ROW()+$C$5)),""),"")</f>
        <v/>
      </c>
      <c r="BU794">
        <f t="shared" ca="1" si="353"/>
        <v>14917200.000000004</v>
      </c>
      <c r="BV794">
        <f t="shared" ca="1" si="354"/>
        <v>14917200.000000004</v>
      </c>
      <c r="BW794">
        <f t="shared" ca="1" si="355"/>
        <v>0</v>
      </c>
      <c r="BX794">
        <f ca="1">IF(ROW()&lt;($C$7+1),"",IFERROR((分析データ!G794-AVERAGE(OFFSET(分析データ!G$1,MAX(1,ROW()-$C$7),0,MIN($C$7,ROW()-1),1)))/STDEV(OFFSET(分析データ!G$1,MAX(1,ROW()-$C$7),0,MIN($C$7,ROW()-1),1)),0))</f>
        <v>1.2192860555023857</v>
      </c>
      <c r="BY794">
        <f t="shared" ca="1" si="356"/>
        <v>0</v>
      </c>
      <c r="BZ794" t="str">
        <f ca="1">IF(BY794=1,IF(INDEX(分析データ!$A:$A,ROW()+$C$5)&lt;&gt;"",40000*SIGN(BX794)*(分析データ!G794-INDEX(分析データ!G:G,ROW()+$C$5)),""),"")</f>
        <v/>
      </c>
      <c r="CA794">
        <f t="shared" ca="1" si="357"/>
        <v>-3515452.8662109179</v>
      </c>
      <c r="CB794">
        <f t="shared" ca="1" si="358"/>
        <v>11327520.000000004</v>
      </c>
      <c r="CC794">
        <f t="shared" ca="1" si="359"/>
        <v>-14842972.866210923</v>
      </c>
      <c r="CD794">
        <f t="shared" ca="1" si="360"/>
        <v>0</v>
      </c>
      <c r="CE794">
        <f t="shared" ca="1" si="361"/>
        <v>21486747.133789141</v>
      </c>
      <c r="CF794">
        <f t="shared" ca="1" si="362"/>
        <v>21486747.133789141</v>
      </c>
      <c r="CG794">
        <f t="shared" ca="1" si="363"/>
        <v>0</v>
      </c>
      <c r="CH794" s="10">
        <f>分析データ!A794</f>
        <v>46087</v>
      </c>
    </row>
    <row r="795" spans="46:86">
      <c r="AT795">
        <f ca="1">IF(ROW()&lt;($C$7+1),"",IFERROR((分析データ!B795-AVERAGE(OFFSET(分析データ!B$1,MAX(1,ROW()-$C$7),0,MIN($C$7,ROW()-1),1)))/STDEV(OFFSET(分析データ!B$1,MAX(1,ROW()-$C$7),0,MIN($C$7,ROW()-1),1)),0))</f>
        <v>-0.52505101432190526</v>
      </c>
      <c r="AU795">
        <f t="shared" ca="1" si="336"/>
        <v>0</v>
      </c>
      <c r="AV795" t="str">
        <f ca="1">IF(AU795=1,IF(INDEX(分析データ!$A:$A,ROW()+$C$5)&lt;&gt;"",80000*SIGN(AT795)*(分析データ!B795-INDEX(分析データ!B:B,ROW()+$C$5)),""),"")</f>
        <v/>
      </c>
      <c r="AW795">
        <f t="shared" ca="1" si="337"/>
        <v>-2839999.9999999963</v>
      </c>
      <c r="AX795">
        <f t="shared" ca="1" si="338"/>
        <v>0</v>
      </c>
      <c r="AY795">
        <f t="shared" ca="1" si="339"/>
        <v>-2839999.9999999963</v>
      </c>
      <c r="AZ795">
        <f ca="1">IF(ROW()&lt;($C$7+1),"",IFERROR((分析データ!C795-AVERAGE(OFFSET(分析データ!C$1,MAX(1,ROW()-$C$7),0,MIN($C$7,ROW()-1),1)))/STDEV(OFFSET(分析データ!C$1,MAX(1,ROW()-$C$7),0,MIN($C$7,ROW()-1),1)),0))</f>
        <v>1.7175619823212891</v>
      </c>
      <c r="BA795">
        <f t="shared" ca="1" si="340"/>
        <v>0</v>
      </c>
      <c r="BB795" t="str">
        <f ca="1">IF(BA795=1,IF(INDEX(分析データ!$A:$A,ROW()+$C$5)&lt;&gt;"",60000*SIGN(AZ795)*(分析データ!C795-INDEX(分析データ!C:C,ROW()+$C$5)),""),"")</f>
        <v/>
      </c>
      <c r="BC795">
        <f t="shared" ca="1" si="341"/>
        <v>3075000.0000000102</v>
      </c>
      <c r="BD795">
        <f t="shared" ca="1" si="342"/>
        <v>3075000.0000000102</v>
      </c>
      <c r="BE795">
        <f t="shared" ca="1" si="343"/>
        <v>0</v>
      </c>
      <c r="BF795">
        <f ca="1">IF(ROW()&lt;($C$7+1),"",IFERROR((分析データ!D795-AVERAGE(OFFSET(分析データ!D$1,MAX(1,ROW()-$C$7),0,MIN($C$7,ROW()-1),1)))/STDEV(OFFSET(分析データ!D$1,MAX(1,ROW()-$C$7),0,MIN($C$7,ROW()-1),1)),0))</f>
        <v>-1.6806003064656183</v>
      </c>
      <c r="BG795">
        <f t="shared" ca="1" si="344"/>
        <v>0</v>
      </c>
      <c r="BH795" t="str">
        <f ca="1">IF(BG795=1,IF(INDEX(分析データ!$A:$A,ROW()+$C$5)&lt;&gt;"",50000*SIGN(BF795)*(分析データ!D795-INDEX(分析データ!D:D,ROW()+$C$5)),""),"")</f>
        <v/>
      </c>
      <c r="BI795">
        <f t="shared" ca="1" si="345"/>
        <v>5570000.0000000205</v>
      </c>
      <c r="BJ795">
        <f t="shared" ca="1" si="346"/>
        <v>5570000.0000000205</v>
      </c>
      <c r="BK795">
        <f t="shared" ca="1" si="347"/>
        <v>0</v>
      </c>
      <c r="BL795">
        <f ca="1">IF(ROW()&lt;($C$7+1),"",IFERROR((分析データ!E795-AVERAGE(OFFSET(分析データ!E$1,MAX(1,ROW()-$C$7),0,MIN($C$7,ROW()-1),1)))/STDEV(OFFSET(分析データ!E$1,MAX(1,ROW()-$C$7),0,MIN($C$7,ROW()-1),1)),0))</f>
        <v>-7.2872429870750363E-2</v>
      </c>
      <c r="BM795">
        <f t="shared" ca="1" si="348"/>
        <v>0</v>
      </c>
      <c r="BN795" t="str">
        <f ca="1">IF(BM795=1,IF(INDEX(分析データ!$A:$A,ROW()+$C$5)&lt;&gt;"",40000*SIGN(BL795)*(分析データ!E795-INDEX(分析データ!E:E,ROW()+$C$5)),""),"")</f>
        <v/>
      </c>
      <c r="BO795">
        <f t="shared" ca="1" si="349"/>
        <v>4280000.0000000028</v>
      </c>
      <c r="BP795">
        <f t="shared" ca="1" si="350"/>
        <v>4280000.0000000028</v>
      </c>
      <c r="BQ795">
        <f t="shared" ca="1" si="351"/>
        <v>0</v>
      </c>
      <c r="BR795">
        <f ca="1">IF(ROW()&lt;($C$7+1),"",IFERROR((分析データ!F795-AVERAGE(OFFSET(分析データ!F$1,MAX(1,ROW()-$C$7),0,MIN($C$7,ROW()-1),1)))/STDEV(OFFSET(分析データ!F$1,MAX(1,ROW()-$C$7),0,MIN($C$7,ROW()-1),1)),0))</f>
        <v>-0.51391019875364097</v>
      </c>
      <c r="BS795">
        <f t="shared" ca="1" si="352"/>
        <v>0</v>
      </c>
      <c r="BT795" t="str">
        <f ca="1">IF(BS795=1,IF(INDEX(分析データ!$A:$A,ROW()+$C$5)&lt;&gt;"",40000*SIGN(BR795)*(分析データ!F795-INDEX(分析データ!F:F,ROW()+$C$5)),""),"")</f>
        <v/>
      </c>
      <c r="BU795">
        <f t="shared" ca="1" si="353"/>
        <v>14917200.000000004</v>
      </c>
      <c r="BV795">
        <f t="shared" ca="1" si="354"/>
        <v>14917200.000000004</v>
      </c>
      <c r="BW795">
        <f t="shared" ca="1" si="355"/>
        <v>0</v>
      </c>
      <c r="BX795">
        <f ca="1">IF(ROW()&lt;($C$7+1),"",IFERROR((分析データ!G795-AVERAGE(OFFSET(分析データ!G$1,MAX(1,ROW()-$C$7),0,MIN($C$7,ROW()-1),1)))/STDEV(OFFSET(分析データ!G$1,MAX(1,ROW()-$C$7),0,MIN($C$7,ROW()-1),1)),0))</f>
        <v>1.2844641066750599</v>
      </c>
      <c r="BY795">
        <f t="shared" ca="1" si="356"/>
        <v>0</v>
      </c>
      <c r="BZ795" t="str">
        <f ca="1">IF(BY795=1,IF(INDEX(分析データ!$A:$A,ROW()+$C$5)&lt;&gt;"",40000*SIGN(BX795)*(分析データ!G795-INDEX(分析データ!G:G,ROW()+$C$5)),""),"")</f>
        <v/>
      </c>
      <c r="CA795">
        <f t="shared" ca="1" si="357"/>
        <v>-3515452.8662109179</v>
      </c>
      <c r="CB795">
        <f t="shared" ca="1" si="358"/>
        <v>11327520.000000004</v>
      </c>
      <c r="CC795">
        <f t="shared" ca="1" si="359"/>
        <v>-14842972.866210923</v>
      </c>
      <c r="CD795">
        <f t="shared" ca="1" si="360"/>
        <v>0</v>
      </c>
      <c r="CE795">
        <f t="shared" ca="1" si="361"/>
        <v>21486747.133789141</v>
      </c>
      <c r="CF795">
        <f t="shared" ca="1" si="362"/>
        <v>21486747.133789141</v>
      </c>
      <c r="CG795">
        <f t="shared" ca="1" si="363"/>
        <v>0</v>
      </c>
      <c r="CH795" s="10">
        <f>分析データ!A795</f>
        <v>46090</v>
      </c>
    </row>
    <row r="796" spans="46:86">
      <c r="AT796">
        <f ca="1">IF(ROW()&lt;($C$7+1),"",IFERROR((分析データ!B796-AVERAGE(OFFSET(分析データ!B$1,MAX(1,ROW()-$C$7),0,MIN($C$7,ROW()-1),1)))/STDEV(OFFSET(分析データ!B$1,MAX(1,ROW()-$C$7),0,MIN($C$7,ROW()-1),1)),0))</f>
        <v>-0.6935049921181049</v>
      </c>
      <c r="AU796">
        <f t="shared" ca="1" si="336"/>
        <v>0</v>
      </c>
      <c r="AV796" t="str">
        <f ca="1">IF(AU796=1,IF(INDEX(分析データ!$A:$A,ROW()+$C$5)&lt;&gt;"",80000*SIGN(AT796)*(分析データ!B796-INDEX(分析データ!B:B,ROW()+$C$5)),""),"")</f>
        <v/>
      </c>
      <c r="AW796">
        <f t="shared" ca="1" si="337"/>
        <v>-2839999.9999999963</v>
      </c>
      <c r="AX796">
        <f t="shared" ca="1" si="338"/>
        <v>0</v>
      </c>
      <c r="AY796">
        <f t="shared" ca="1" si="339"/>
        <v>-2839999.9999999963</v>
      </c>
      <c r="AZ796">
        <f ca="1">IF(ROW()&lt;($C$7+1),"",IFERROR((分析データ!C796-AVERAGE(OFFSET(分析データ!C$1,MAX(1,ROW()-$C$7),0,MIN($C$7,ROW()-1),1)))/STDEV(OFFSET(分析データ!C$1,MAX(1,ROW()-$C$7),0,MIN($C$7,ROW()-1),1)),0))</f>
        <v>1.7131486676542151</v>
      </c>
      <c r="BA796">
        <f t="shared" ca="1" si="340"/>
        <v>0</v>
      </c>
      <c r="BB796" t="str">
        <f ca="1">IF(BA796=1,IF(INDEX(分析データ!$A:$A,ROW()+$C$5)&lt;&gt;"",60000*SIGN(AZ796)*(分析データ!C796-INDEX(分析データ!C:C,ROW()+$C$5)),""),"")</f>
        <v/>
      </c>
      <c r="BC796">
        <f t="shared" ca="1" si="341"/>
        <v>3075000.0000000102</v>
      </c>
      <c r="BD796">
        <f t="shared" ca="1" si="342"/>
        <v>3075000.0000000102</v>
      </c>
      <c r="BE796">
        <f t="shared" ca="1" si="343"/>
        <v>0</v>
      </c>
      <c r="BF796">
        <f ca="1">IF(ROW()&lt;($C$7+1),"",IFERROR((分析データ!D796-AVERAGE(OFFSET(分析データ!D$1,MAX(1,ROW()-$C$7),0,MIN($C$7,ROW()-1),1)))/STDEV(OFFSET(分析データ!D$1,MAX(1,ROW()-$C$7),0,MIN($C$7,ROW()-1),1)),0))</f>
        <v>-1.56763549127736</v>
      </c>
      <c r="BG796">
        <f t="shared" ca="1" si="344"/>
        <v>0</v>
      </c>
      <c r="BH796" t="str">
        <f ca="1">IF(BG796=1,IF(INDEX(分析データ!$A:$A,ROW()+$C$5)&lt;&gt;"",50000*SIGN(BF796)*(分析データ!D796-INDEX(分析データ!D:D,ROW()+$C$5)),""),"")</f>
        <v/>
      </c>
      <c r="BI796">
        <f t="shared" ca="1" si="345"/>
        <v>5570000.0000000205</v>
      </c>
      <c r="BJ796">
        <f t="shared" ca="1" si="346"/>
        <v>5570000.0000000205</v>
      </c>
      <c r="BK796">
        <f t="shared" ca="1" si="347"/>
        <v>0</v>
      </c>
      <c r="BL796">
        <f ca="1">IF(ROW()&lt;($C$7+1),"",IFERROR((分析データ!E796-AVERAGE(OFFSET(分析データ!E$1,MAX(1,ROW()-$C$7),0,MIN($C$7,ROW()-1),1)))/STDEV(OFFSET(分析データ!E$1,MAX(1,ROW()-$C$7),0,MIN($C$7,ROW()-1),1)),0))</f>
        <v>7.2034455442257769E-2</v>
      </c>
      <c r="BM796">
        <f t="shared" ca="1" si="348"/>
        <v>0</v>
      </c>
      <c r="BN796" t="str">
        <f ca="1">IF(BM796=1,IF(INDEX(分析データ!$A:$A,ROW()+$C$5)&lt;&gt;"",40000*SIGN(BL796)*(分析データ!E796-INDEX(分析データ!E:E,ROW()+$C$5)),""),"")</f>
        <v/>
      </c>
      <c r="BO796">
        <f t="shared" ca="1" si="349"/>
        <v>4280000.0000000028</v>
      </c>
      <c r="BP796">
        <f t="shared" ca="1" si="350"/>
        <v>4280000.0000000028</v>
      </c>
      <c r="BQ796">
        <f t="shared" ca="1" si="351"/>
        <v>0</v>
      </c>
      <c r="BR796">
        <f ca="1">IF(ROW()&lt;($C$7+1),"",IFERROR((分析データ!F796-AVERAGE(OFFSET(分析データ!F$1,MAX(1,ROW()-$C$7),0,MIN($C$7,ROW()-1),1)))/STDEV(OFFSET(分析データ!F$1,MAX(1,ROW()-$C$7),0,MIN($C$7,ROW()-1),1)),0))</f>
        <v>-0.25079794830700519</v>
      </c>
      <c r="BS796">
        <f t="shared" ca="1" si="352"/>
        <v>0</v>
      </c>
      <c r="BT796" t="str">
        <f ca="1">IF(BS796=1,IF(INDEX(分析データ!$A:$A,ROW()+$C$5)&lt;&gt;"",40000*SIGN(BR796)*(分析データ!F796-INDEX(分析データ!F:F,ROW()+$C$5)),""),"")</f>
        <v/>
      </c>
      <c r="BU796">
        <f t="shared" ca="1" si="353"/>
        <v>14917200.000000004</v>
      </c>
      <c r="BV796">
        <f t="shared" ca="1" si="354"/>
        <v>14917200.000000004</v>
      </c>
      <c r="BW796">
        <f t="shared" ca="1" si="355"/>
        <v>0</v>
      </c>
      <c r="BX796">
        <f ca="1">IF(ROW()&lt;($C$7+1),"",IFERROR((分析データ!G796-AVERAGE(OFFSET(分析データ!G$1,MAX(1,ROW()-$C$7),0,MIN($C$7,ROW()-1),1)))/STDEV(OFFSET(分析データ!G$1,MAX(1,ROW()-$C$7),0,MIN($C$7,ROW()-1),1)),0))</f>
        <v>1.0877768664315546</v>
      </c>
      <c r="BY796">
        <f t="shared" ca="1" si="356"/>
        <v>0</v>
      </c>
      <c r="BZ796" t="str">
        <f ca="1">IF(BY796=1,IF(INDEX(分析データ!$A:$A,ROW()+$C$5)&lt;&gt;"",40000*SIGN(BX796)*(分析データ!G796-INDEX(分析データ!G:G,ROW()+$C$5)),""),"")</f>
        <v/>
      </c>
      <c r="CA796">
        <f t="shared" ca="1" si="357"/>
        <v>-3515452.8662109179</v>
      </c>
      <c r="CB796">
        <f t="shared" ca="1" si="358"/>
        <v>11327520.000000004</v>
      </c>
      <c r="CC796">
        <f t="shared" ca="1" si="359"/>
        <v>-14842972.866210923</v>
      </c>
      <c r="CD796">
        <f t="shared" ca="1" si="360"/>
        <v>0</v>
      </c>
      <c r="CE796">
        <f t="shared" ca="1" si="361"/>
        <v>21486747.133789141</v>
      </c>
      <c r="CF796">
        <f t="shared" ca="1" si="362"/>
        <v>21486747.133789141</v>
      </c>
      <c r="CG796">
        <f t="shared" ca="1" si="363"/>
        <v>0</v>
      </c>
      <c r="CH796" s="10">
        <f>分析データ!A796</f>
        <v>46091</v>
      </c>
    </row>
    <row r="797" spans="46:86">
      <c r="AT797">
        <f ca="1">IF(ROW()&lt;($C$7+1),"",IFERROR((分析データ!B797-AVERAGE(OFFSET(分析データ!B$1,MAX(1,ROW()-$C$7),0,MIN($C$7,ROW()-1),1)))/STDEV(OFFSET(分析データ!B$1,MAX(1,ROW()-$C$7),0,MIN($C$7,ROW()-1),1)),0))</f>
        <v>-1.20064501384275</v>
      </c>
      <c r="AU797">
        <f t="shared" ca="1" si="336"/>
        <v>0</v>
      </c>
      <c r="AV797" t="str">
        <f ca="1">IF(AU797=1,IF(INDEX(分析データ!$A:$A,ROW()+$C$5)&lt;&gt;"",80000*SIGN(AT797)*(分析データ!B797-INDEX(分析データ!B:B,ROW()+$C$5)),""),"")</f>
        <v/>
      </c>
      <c r="AW797">
        <f t="shared" ca="1" si="337"/>
        <v>-2839999.9999999963</v>
      </c>
      <c r="AX797">
        <f t="shared" ca="1" si="338"/>
        <v>0</v>
      </c>
      <c r="AY797">
        <f t="shared" ca="1" si="339"/>
        <v>-2839999.9999999963</v>
      </c>
      <c r="AZ797">
        <f ca="1">IF(ROW()&lt;($C$7+1),"",IFERROR((分析データ!C797-AVERAGE(OFFSET(分析データ!C$1,MAX(1,ROW()-$C$7),0,MIN($C$7,ROW()-1),1)))/STDEV(OFFSET(分析データ!C$1,MAX(1,ROW()-$C$7),0,MIN($C$7,ROW()-1),1)),0))</f>
        <v>1.4499876848179547</v>
      </c>
      <c r="BA797">
        <f t="shared" ca="1" si="340"/>
        <v>0</v>
      </c>
      <c r="BB797" t="str">
        <f ca="1">IF(BA797=1,IF(INDEX(分析データ!$A:$A,ROW()+$C$5)&lt;&gt;"",60000*SIGN(AZ797)*(分析データ!C797-INDEX(分析データ!C:C,ROW()+$C$5)),""),"")</f>
        <v/>
      </c>
      <c r="BC797">
        <f t="shared" ca="1" si="341"/>
        <v>3075000.0000000102</v>
      </c>
      <c r="BD797">
        <f t="shared" ca="1" si="342"/>
        <v>3075000.0000000102</v>
      </c>
      <c r="BE797">
        <f t="shared" ca="1" si="343"/>
        <v>0</v>
      </c>
      <c r="BF797">
        <f ca="1">IF(ROW()&lt;($C$7+1),"",IFERROR((分析データ!D797-AVERAGE(OFFSET(分析データ!D$1,MAX(1,ROW()-$C$7),0,MIN($C$7,ROW()-1),1)))/STDEV(OFFSET(分析データ!D$1,MAX(1,ROW()-$C$7),0,MIN($C$7,ROW()-1),1)),0))</f>
        <v>-1.3368324864096726</v>
      </c>
      <c r="BG797">
        <f t="shared" ca="1" si="344"/>
        <v>0</v>
      </c>
      <c r="BH797" t="str">
        <f ca="1">IF(BG797=1,IF(INDEX(分析データ!$A:$A,ROW()+$C$5)&lt;&gt;"",50000*SIGN(BF797)*(分析データ!D797-INDEX(分析データ!D:D,ROW()+$C$5)),""),"")</f>
        <v/>
      </c>
      <c r="BI797">
        <f t="shared" ca="1" si="345"/>
        <v>5570000.0000000205</v>
      </c>
      <c r="BJ797">
        <f t="shared" ca="1" si="346"/>
        <v>5570000.0000000205</v>
      </c>
      <c r="BK797">
        <f t="shared" ca="1" si="347"/>
        <v>0</v>
      </c>
      <c r="BL797">
        <f ca="1">IF(ROW()&lt;($C$7+1),"",IFERROR((分析データ!E797-AVERAGE(OFFSET(分析データ!E$1,MAX(1,ROW()-$C$7),0,MIN($C$7,ROW()-1),1)))/STDEV(OFFSET(分析データ!E$1,MAX(1,ROW()-$C$7),0,MIN($C$7,ROW()-1),1)),0))</f>
        <v>6.1015626550927536E-2</v>
      </c>
      <c r="BM797">
        <f t="shared" ca="1" si="348"/>
        <v>0</v>
      </c>
      <c r="BN797" t="str">
        <f ca="1">IF(BM797=1,IF(INDEX(分析データ!$A:$A,ROW()+$C$5)&lt;&gt;"",40000*SIGN(BL797)*(分析データ!E797-INDEX(分析データ!E:E,ROW()+$C$5)),""),"")</f>
        <v/>
      </c>
      <c r="BO797">
        <f t="shared" ca="1" si="349"/>
        <v>4280000.0000000028</v>
      </c>
      <c r="BP797">
        <f t="shared" ca="1" si="350"/>
        <v>4280000.0000000028</v>
      </c>
      <c r="BQ797">
        <f t="shared" ca="1" si="351"/>
        <v>0</v>
      </c>
      <c r="BR797">
        <f ca="1">IF(ROW()&lt;($C$7+1),"",IFERROR((分析データ!F797-AVERAGE(OFFSET(分析データ!F$1,MAX(1,ROW()-$C$7),0,MIN($C$7,ROW()-1),1)))/STDEV(OFFSET(分析データ!F$1,MAX(1,ROW()-$C$7),0,MIN($C$7,ROW()-1),1)),0))</f>
        <v>-0.70580811120611153</v>
      </c>
      <c r="BS797">
        <f t="shared" ca="1" si="352"/>
        <v>0</v>
      </c>
      <c r="BT797" t="str">
        <f ca="1">IF(BS797=1,IF(INDEX(分析データ!$A:$A,ROW()+$C$5)&lt;&gt;"",40000*SIGN(BR797)*(分析データ!F797-INDEX(分析データ!F:F,ROW()+$C$5)),""),"")</f>
        <v/>
      </c>
      <c r="BU797">
        <f t="shared" ca="1" si="353"/>
        <v>14917200.000000004</v>
      </c>
      <c r="BV797">
        <f t="shared" ca="1" si="354"/>
        <v>14917200.000000004</v>
      </c>
      <c r="BW797">
        <f t="shared" ca="1" si="355"/>
        <v>0</v>
      </c>
      <c r="BX797">
        <f ca="1">IF(ROW()&lt;($C$7+1),"",IFERROR((分析データ!G797-AVERAGE(OFFSET(分析データ!G$1,MAX(1,ROW()-$C$7),0,MIN($C$7,ROW()-1),1)))/STDEV(OFFSET(分析データ!G$1,MAX(1,ROW()-$C$7),0,MIN($C$7,ROW()-1),1)),0))</f>
        <v>1.1649465448914587</v>
      </c>
      <c r="BY797">
        <f t="shared" ca="1" si="356"/>
        <v>0</v>
      </c>
      <c r="BZ797" t="str">
        <f ca="1">IF(BY797=1,IF(INDEX(分析データ!$A:$A,ROW()+$C$5)&lt;&gt;"",40000*SIGN(BX797)*(分析データ!G797-INDEX(分析データ!G:G,ROW()+$C$5)),""),"")</f>
        <v/>
      </c>
      <c r="CA797">
        <f t="shared" ca="1" si="357"/>
        <v>-3515452.8662109179</v>
      </c>
      <c r="CB797">
        <f t="shared" ca="1" si="358"/>
        <v>11327520.000000004</v>
      </c>
      <c r="CC797">
        <f t="shared" ca="1" si="359"/>
        <v>-14842972.866210923</v>
      </c>
      <c r="CD797">
        <f t="shared" ca="1" si="360"/>
        <v>0</v>
      </c>
      <c r="CE797">
        <f t="shared" ca="1" si="361"/>
        <v>21486747.133789141</v>
      </c>
      <c r="CF797">
        <f t="shared" ca="1" si="362"/>
        <v>21486747.133789141</v>
      </c>
      <c r="CG797">
        <f t="shared" ca="1" si="363"/>
        <v>0</v>
      </c>
      <c r="CH797" s="10">
        <f>分析データ!A797</f>
        <v>46092</v>
      </c>
    </row>
    <row r="798" spans="46:86">
      <c r="AT798">
        <f ca="1">IF(ROW()&lt;($C$7+1),"",IFERROR((分析データ!B798-AVERAGE(OFFSET(分析データ!B$1,MAX(1,ROW()-$C$7),0,MIN($C$7,ROW()-1),1)))/STDEV(OFFSET(分析データ!B$1,MAX(1,ROW()-$C$7),0,MIN($C$7,ROW()-1),1)),0))</f>
        <v>-1.5302370090237503</v>
      </c>
      <c r="AU798">
        <f t="shared" ca="1" si="336"/>
        <v>0</v>
      </c>
      <c r="AV798" t="str">
        <f ca="1">IF(AU798=1,IF(INDEX(分析データ!$A:$A,ROW()+$C$5)&lt;&gt;"",80000*SIGN(AT798)*(分析データ!B798-INDEX(分析データ!B:B,ROW()+$C$5)),""),"")</f>
        <v/>
      </c>
      <c r="AW798">
        <f t="shared" ca="1" si="337"/>
        <v>-2839999.9999999963</v>
      </c>
      <c r="AX798">
        <f t="shared" ca="1" si="338"/>
        <v>0</v>
      </c>
      <c r="AY798">
        <f t="shared" ca="1" si="339"/>
        <v>-2839999.9999999963</v>
      </c>
      <c r="AZ798">
        <f ca="1">IF(ROW()&lt;($C$7+1),"",IFERROR((分析データ!C798-AVERAGE(OFFSET(分析データ!C$1,MAX(1,ROW()-$C$7),0,MIN($C$7,ROW()-1),1)))/STDEV(OFFSET(分析データ!C$1,MAX(1,ROW()-$C$7),0,MIN($C$7,ROW()-1),1)),0))</f>
        <v>1.4857861737234244</v>
      </c>
      <c r="BA798">
        <f t="shared" ca="1" si="340"/>
        <v>0</v>
      </c>
      <c r="BB798" t="str">
        <f ca="1">IF(BA798=1,IF(INDEX(分析データ!$A:$A,ROW()+$C$5)&lt;&gt;"",60000*SIGN(AZ798)*(分析データ!C798-INDEX(分析データ!C:C,ROW()+$C$5)),""),"")</f>
        <v/>
      </c>
      <c r="BC798">
        <f t="shared" ca="1" si="341"/>
        <v>3075000.0000000102</v>
      </c>
      <c r="BD798">
        <f t="shared" ca="1" si="342"/>
        <v>3075000.0000000102</v>
      </c>
      <c r="BE798">
        <f t="shared" ca="1" si="343"/>
        <v>0</v>
      </c>
      <c r="BF798">
        <f ca="1">IF(ROW()&lt;($C$7+1),"",IFERROR((分析データ!D798-AVERAGE(OFFSET(分析データ!D$1,MAX(1,ROW()-$C$7),0,MIN($C$7,ROW()-1),1)))/STDEV(OFFSET(分析データ!D$1,MAX(1,ROW()-$C$7),0,MIN($C$7,ROW()-1),1)),0))</f>
        <v>-1.2267747593025136</v>
      </c>
      <c r="BG798">
        <f t="shared" ca="1" si="344"/>
        <v>0</v>
      </c>
      <c r="BH798" t="str">
        <f ca="1">IF(BG798=1,IF(INDEX(分析データ!$A:$A,ROW()+$C$5)&lt;&gt;"",50000*SIGN(BF798)*(分析データ!D798-INDEX(分析データ!D:D,ROW()+$C$5)),""),"")</f>
        <v/>
      </c>
      <c r="BI798">
        <f t="shared" ca="1" si="345"/>
        <v>5570000.0000000205</v>
      </c>
      <c r="BJ798">
        <f t="shared" ca="1" si="346"/>
        <v>5570000.0000000205</v>
      </c>
      <c r="BK798">
        <f t="shared" ca="1" si="347"/>
        <v>0</v>
      </c>
      <c r="BL798">
        <f ca="1">IF(ROW()&lt;($C$7+1),"",IFERROR((分析データ!E798-AVERAGE(OFFSET(分析データ!E$1,MAX(1,ROW()-$C$7),0,MIN($C$7,ROW()-1),1)))/STDEV(OFFSET(分析データ!E$1,MAX(1,ROW()-$C$7),0,MIN($C$7,ROW()-1),1)),0))</f>
        <v>-0.44831702342883806</v>
      </c>
      <c r="BM798">
        <f t="shared" ca="1" si="348"/>
        <v>0</v>
      </c>
      <c r="BN798" t="str">
        <f ca="1">IF(BM798=1,IF(INDEX(分析データ!$A:$A,ROW()+$C$5)&lt;&gt;"",40000*SIGN(BL798)*(分析データ!E798-INDEX(分析データ!E:E,ROW()+$C$5)),""),"")</f>
        <v/>
      </c>
      <c r="BO798">
        <f t="shared" ca="1" si="349"/>
        <v>4280000.0000000028</v>
      </c>
      <c r="BP798">
        <f t="shared" ca="1" si="350"/>
        <v>4280000.0000000028</v>
      </c>
      <c r="BQ798">
        <f t="shared" ca="1" si="351"/>
        <v>0</v>
      </c>
      <c r="BR798">
        <f ca="1">IF(ROW()&lt;($C$7+1),"",IFERROR((分析データ!F798-AVERAGE(OFFSET(分析データ!F$1,MAX(1,ROW()-$C$7),0,MIN($C$7,ROW()-1),1)))/STDEV(OFFSET(分析データ!F$1,MAX(1,ROW()-$C$7),0,MIN($C$7,ROW()-1),1)),0))</f>
        <v>-0.36809304045086833</v>
      </c>
      <c r="BS798">
        <f t="shared" ca="1" si="352"/>
        <v>0</v>
      </c>
      <c r="BT798" t="str">
        <f ca="1">IF(BS798=1,IF(INDEX(分析データ!$A:$A,ROW()+$C$5)&lt;&gt;"",40000*SIGN(BR798)*(分析データ!F798-INDEX(分析データ!F:F,ROW()+$C$5)),""),"")</f>
        <v/>
      </c>
      <c r="BU798">
        <f t="shared" ca="1" si="353"/>
        <v>14917200.000000004</v>
      </c>
      <c r="BV798">
        <f t="shared" ca="1" si="354"/>
        <v>14917200.000000004</v>
      </c>
      <c r="BW798">
        <f t="shared" ca="1" si="355"/>
        <v>0</v>
      </c>
      <c r="BX798">
        <f ca="1">IF(ROW()&lt;($C$7+1),"",IFERROR((分析データ!G798-AVERAGE(OFFSET(分析データ!G$1,MAX(1,ROW()-$C$7),0,MIN($C$7,ROW()-1),1)))/STDEV(OFFSET(分析データ!G$1,MAX(1,ROW()-$C$7),0,MIN($C$7,ROW()-1),1)),0))</f>
        <v>0.93720224116762763</v>
      </c>
      <c r="BY798">
        <f t="shared" ca="1" si="356"/>
        <v>0</v>
      </c>
      <c r="BZ798" t="str">
        <f ca="1">IF(BY798=1,IF(INDEX(分析データ!$A:$A,ROW()+$C$5)&lt;&gt;"",40000*SIGN(BX798)*(分析データ!G798-INDEX(分析データ!G:G,ROW()+$C$5)),""),"")</f>
        <v/>
      </c>
      <c r="CA798">
        <f t="shared" ca="1" si="357"/>
        <v>-3515452.8662109179</v>
      </c>
      <c r="CB798">
        <f t="shared" ca="1" si="358"/>
        <v>11327520.000000004</v>
      </c>
      <c r="CC798">
        <f t="shared" ca="1" si="359"/>
        <v>-14842972.866210923</v>
      </c>
      <c r="CD798">
        <f t="shared" ca="1" si="360"/>
        <v>0</v>
      </c>
      <c r="CE798">
        <f t="shared" ca="1" si="361"/>
        <v>21486747.133789141</v>
      </c>
      <c r="CF798">
        <f t="shared" ca="1" si="362"/>
        <v>21486747.133789141</v>
      </c>
      <c r="CG798">
        <f t="shared" ca="1" si="363"/>
        <v>0</v>
      </c>
      <c r="CH798" s="10">
        <f>分析データ!A798</f>
        <v>46093</v>
      </c>
    </row>
    <row r="799" spans="46:86">
      <c r="AT799">
        <f ca="1">IF(ROW()&lt;($C$7+1),"",IFERROR((分析データ!B799-AVERAGE(OFFSET(分析データ!B$1,MAX(1,ROW()-$C$7),0,MIN($C$7,ROW()-1),1)))/STDEV(OFFSET(分析データ!B$1,MAX(1,ROW()-$C$7),0,MIN($C$7,ROW()-1),1)),0))</f>
        <v>-1.0086031711493726</v>
      </c>
      <c r="AU799">
        <f t="shared" ca="1" si="336"/>
        <v>0</v>
      </c>
      <c r="AV799" t="str">
        <f ca="1">IF(AU799=1,IF(INDEX(分析データ!$A:$A,ROW()+$C$5)&lt;&gt;"",80000*SIGN(AT799)*(分析データ!B799-INDEX(分析データ!B:B,ROW()+$C$5)),""),"")</f>
        <v/>
      </c>
      <c r="AW799">
        <f t="shared" ca="1" si="337"/>
        <v>-2839999.9999999963</v>
      </c>
      <c r="AX799">
        <f t="shared" ca="1" si="338"/>
        <v>0</v>
      </c>
      <c r="AY799">
        <f t="shared" ca="1" si="339"/>
        <v>-2839999.9999999963</v>
      </c>
      <c r="AZ799">
        <f ca="1">IF(ROW()&lt;($C$7+1),"",IFERROR((分析データ!C799-AVERAGE(OFFSET(分析データ!C$1,MAX(1,ROW()-$C$7),0,MIN($C$7,ROW()-1),1)))/STDEV(OFFSET(分析データ!C$1,MAX(1,ROW()-$C$7),0,MIN($C$7,ROW()-1),1)),0))</f>
        <v>1.7975823084012186</v>
      </c>
      <c r="BA799">
        <f t="shared" ca="1" si="340"/>
        <v>0</v>
      </c>
      <c r="BB799" t="str">
        <f ca="1">IF(BA799=1,IF(INDEX(分析データ!$A:$A,ROW()+$C$5)&lt;&gt;"",60000*SIGN(AZ799)*(分析データ!C799-INDEX(分析データ!C:C,ROW()+$C$5)),""),"")</f>
        <v/>
      </c>
      <c r="BC799">
        <f t="shared" ca="1" si="341"/>
        <v>3075000.0000000102</v>
      </c>
      <c r="BD799">
        <f t="shared" ca="1" si="342"/>
        <v>3075000.0000000102</v>
      </c>
      <c r="BE799">
        <f t="shared" ca="1" si="343"/>
        <v>0</v>
      </c>
      <c r="BF799">
        <f ca="1">IF(ROW()&lt;($C$7+1),"",IFERROR((分析データ!D799-AVERAGE(OFFSET(分析データ!D$1,MAX(1,ROW()-$C$7),0,MIN($C$7,ROW()-1),1)))/STDEV(OFFSET(分析データ!D$1,MAX(1,ROW()-$C$7),0,MIN($C$7,ROW()-1),1)),0))</f>
        <v>-1.3341703898769777</v>
      </c>
      <c r="BG799">
        <f t="shared" ca="1" si="344"/>
        <v>0</v>
      </c>
      <c r="BH799" t="str">
        <f ca="1">IF(BG799=1,IF(INDEX(分析データ!$A:$A,ROW()+$C$5)&lt;&gt;"",50000*SIGN(BF799)*(分析データ!D799-INDEX(分析データ!D:D,ROW()+$C$5)),""),"")</f>
        <v/>
      </c>
      <c r="BI799">
        <f t="shared" ca="1" si="345"/>
        <v>5570000.0000000205</v>
      </c>
      <c r="BJ799">
        <f t="shared" ca="1" si="346"/>
        <v>5570000.0000000205</v>
      </c>
      <c r="BK799">
        <f t="shared" ca="1" si="347"/>
        <v>0</v>
      </c>
      <c r="BL799">
        <f ca="1">IF(ROW()&lt;($C$7+1),"",IFERROR((分析データ!E799-AVERAGE(OFFSET(分析データ!E$1,MAX(1,ROW()-$C$7),0,MIN($C$7,ROW()-1),1)))/STDEV(OFFSET(分析データ!E$1,MAX(1,ROW()-$C$7),0,MIN($C$7,ROW()-1),1)),0))</f>
        <v>-0.12854531613828626</v>
      </c>
      <c r="BM799">
        <f t="shared" ca="1" si="348"/>
        <v>0</v>
      </c>
      <c r="BN799" t="str">
        <f ca="1">IF(BM799=1,IF(INDEX(分析データ!$A:$A,ROW()+$C$5)&lt;&gt;"",40000*SIGN(BL799)*(分析データ!E799-INDEX(分析データ!E:E,ROW()+$C$5)),""),"")</f>
        <v/>
      </c>
      <c r="BO799">
        <f t="shared" ca="1" si="349"/>
        <v>4280000.0000000028</v>
      </c>
      <c r="BP799">
        <f t="shared" ca="1" si="350"/>
        <v>4280000.0000000028</v>
      </c>
      <c r="BQ799">
        <f t="shared" ca="1" si="351"/>
        <v>0</v>
      </c>
      <c r="BR799">
        <f ca="1">IF(ROW()&lt;($C$7+1),"",IFERROR((分析データ!F799-AVERAGE(OFFSET(分析データ!F$1,MAX(1,ROW()-$C$7),0,MIN($C$7,ROW()-1),1)))/STDEV(OFFSET(分析データ!F$1,MAX(1,ROW()-$C$7),0,MIN($C$7,ROW()-1),1)),0))</f>
        <v>-0.17398358057162375</v>
      </c>
      <c r="BS799">
        <f t="shared" ca="1" si="352"/>
        <v>0</v>
      </c>
      <c r="BT799" t="str">
        <f ca="1">IF(BS799=1,IF(INDEX(分析データ!$A:$A,ROW()+$C$5)&lt;&gt;"",40000*SIGN(BR799)*(分析データ!F799-INDEX(分析データ!F:F,ROW()+$C$5)),""),"")</f>
        <v/>
      </c>
      <c r="BU799">
        <f t="shared" ca="1" si="353"/>
        <v>14917200.000000004</v>
      </c>
      <c r="BV799">
        <f t="shared" ca="1" si="354"/>
        <v>14917200.000000004</v>
      </c>
      <c r="BW799">
        <f t="shared" ca="1" si="355"/>
        <v>0</v>
      </c>
      <c r="BX799">
        <f ca="1">IF(ROW()&lt;($C$7+1),"",IFERROR((分析データ!G799-AVERAGE(OFFSET(分析データ!G$1,MAX(1,ROW()-$C$7),0,MIN($C$7,ROW()-1),1)))/STDEV(OFFSET(分析データ!G$1,MAX(1,ROW()-$C$7),0,MIN($C$7,ROW()-1),1)),0))</f>
        <v>0.91770506287605824</v>
      </c>
      <c r="BY799">
        <f t="shared" ca="1" si="356"/>
        <v>0</v>
      </c>
      <c r="BZ799" t="str">
        <f ca="1">IF(BY799=1,IF(INDEX(分析データ!$A:$A,ROW()+$C$5)&lt;&gt;"",40000*SIGN(BX799)*(分析データ!G799-INDEX(分析データ!G:G,ROW()+$C$5)),""),"")</f>
        <v/>
      </c>
      <c r="CA799">
        <f t="shared" ca="1" si="357"/>
        <v>-3515452.8662109179</v>
      </c>
      <c r="CB799">
        <f t="shared" ca="1" si="358"/>
        <v>11327520.000000004</v>
      </c>
      <c r="CC799">
        <f t="shared" ca="1" si="359"/>
        <v>-14842972.866210923</v>
      </c>
      <c r="CD799">
        <f t="shared" ca="1" si="360"/>
        <v>0</v>
      </c>
      <c r="CE799">
        <f t="shared" ca="1" si="361"/>
        <v>21486747.133789141</v>
      </c>
      <c r="CF799">
        <f t="shared" ca="1" si="362"/>
        <v>21486747.133789141</v>
      </c>
      <c r="CG799">
        <f t="shared" ca="1" si="363"/>
        <v>0</v>
      </c>
      <c r="CH799" s="10">
        <f>分析データ!A799</f>
        <v>46094</v>
      </c>
    </row>
    <row r="800" spans="46:86">
      <c r="AT800">
        <f ca="1">IF(ROW()&lt;($C$7+1),"",IFERROR((分析データ!B800-AVERAGE(OFFSET(分析データ!B$1,MAX(1,ROW()-$C$7),0,MIN($C$7,ROW()-1),1)))/STDEV(OFFSET(分析データ!B$1,MAX(1,ROW()-$C$7),0,MIN($C$7,ROW()-1),1)),0))</f>
        <v>-1.1702309392667904</v>
      </c>
      <c r="AU800">
        <f t="shared" ca="1" si="336"/>
        <v>0</v>
      </c>
      <c r="AV800" t="str">
        <f ca="1">IF(AU800=1,IF(INDEX(分析データ!$A:$A,ROW()+$C$5)&lt;&gt;"",80000*SIGN(AT800)*(分析データ!B800-INDEX(分析データ!B:B,ROW()+$C$5)),""),"")</f>
        <v/>
      </c>
      <c r="AW800">
        <f t="shared" ca="1" si="337"/>
        <v>-2839999.9999999963</v>
      </c>
      <c r="AX800">
        <f t="shared" ca="1" si="338"/>
        <v>0</v>
      </c>
      <c r="AY800">
        <f t="shared" ca="1" si="339"/>
        <v>-2839999.9999999963</v>
      </c>
      <c r="AZ800">
        <f ca="1">IF(ROW()&lt;($C$7+1),"",IFERROR((分析データ!C800-AVERAGE(OFFSET(分析データ!C$1,MAX(1,ROW()-$C$7),0,MIN($C$7,ROW()-1),1)))/STDEV(OFFSET(分析データ!C$1,MAX(1,ROW()-$C$7),0,MIN($C$7,ROW()-1),1)),0))</f>
        <v>1.9715646623022973</v>
      </c>
      <c r="BA800">
        <f t="shared" ca="1" si="340"/>
        <v>0</v>
      </c>
      <c r="BB800" t="str">
        <f ca="1">IF(BA800=1,IF(INDEX(分析データ!$A:$A,ROW()+$C$5)&lt;&gt;"",60000*SIGN(AZ800)*(分析データ!C800-INDEX(分析データ!C:C,ROW()+$C$5)),""),"")</f>
        <v/>
      </c>
      <c r="BC800">
        <f t="shared" ca="1" si="341"/>
        <v>3075000.0000000102</v>
      </c>
      <c r="BD800">
        <f t="shared" ca="1" si="342"/>
        <v>3075000.0000000102</v>
      </c>
      <c r="BE800">
        <f t="shared" ca="1" si="343"/>
        <v>0</v>
      </c>
      <c r="BF800">
        <f ca="1">IF(ROW()&lt;($C$7+1),"",IFERROR((分析データ!D800-AVERAGE(OFFSET(分析データ!D$1,MAX(1,ROW()-$C$7),0,MIN($C$7,ROW()-1),1)))/STDEV(OFFSET(分析データ!D$1,MAX(1,ROW()-$C$7),0,MIN($C$7,ROW()-1),1)),0))</f>
        <v>-1.5421486981244854</v>
      </c>
      <c r="BG800">
        <f t="shared" ca="1" si="344"/>
        <v>0</v>
      </c>
      <c r="BH800" t="str">
        <f ca="1">IF(BG800=1,IF(INDEX(分析データ!$A:$A,ROW()+$C$5)&lt;&gt;"",50000*SIGN(BF800)*(分析データ!D800-INDEX(分析データ!D:D,ROW()+$C$5)),""),"")</f>
        <v/>
      </c>
      <c r="BI800">
        <f t="shared" ca="1" si="345"/>
        <v>5570000.0000000205</v>
      </c>
      <c r="BJ800">
        <f t="shared" ca="1" si="346"/>
        <v>5570000.0000000205</v>
      </c>
      <c r="BK800">
        <f t="shared" ca="1" si="347"/>
        <v>0</v>
      </c>
      <c r="BL800">
        <f ca="1">IF(ROW()&lt;($C$7+1),"",IFERROR((分析データ!E800-AVERAGE(OFFSET(分析データ!E$1,MAX(1,ROW()-$C$7),0,MIN($C$7,ROW()-1),1)))/STDEV(OFFSET(分析データ!E$1,MAX(1,ROW()-$C$7),0,MIN($C$7,ROW()-1),1)),0))</f>
        <v>0.20180943643603128</v>
      </c>
      <c r="BM800">
        <f t="shared" ca="1" si="348"/>
        <v>0</v>
      </c>
      <c r="BN800" t="str">
        <f ca="1">IF(BM800=1,IF(INDEX(分析データ!$A:$A,ROW()+$C$5)&lt;&gt;"",40000*SIGN(BL800)*(分析データ!E800-INDEX(分析データ!E:E,ROW()+$C$5)),""),"")</f>
        <v/>
      </c>
      <c r="BO800">
        <f t="shared" ca="1" si="349"/>
        <v>4280000.0000000028</v>
      </c>
      <c r="BP800">
        <f t="shared" ca="1" si="350"/>
        <v>4280000.0000000028</v>
      </c>
      <c r="BQ800">
        <f t="shared" ca="1" si="351"/>
        <v>0</v>
      </c>
      <c r="BR800">
        <f ca="1">IF(ROW()&lt;($C$7+1),"",IFERROR((分析データ!F800-AVERAGE(OFFSET(分析データ!F$1,MAX(1,ROW()-$C$7),0,MIN($C$7,ROW()-1),1)))/STDEV(OFFSET(分析データ!F$1,MAX(1,ROW()-$C$7),0,MIN($C$7,ROW()-1),1)),0))</f>
        <v>1.1803427620667575E-2</v>
      </c>
      <c r="BS800">
        <f t="shared" ca="1" si="352"/>
        <v>0</v>
      </c>
      <c r="BT800" t="str">
        <f ca="1">IF(BS800=1,IF(INDEX(分析データ!$A:$A,ROW()+$C$5)&lt;&gt;"",40000*SIGN(BR800)*(分析データ!F800-INDEX(分析データ!F:F,ROW()+$C$5)),""),"")</f>
        <v/>
      </c>
      <c r="BU800">
        <f t="shared" ca="1" si="353"/>
        <v>14917200.000000004</v>
      </c>
      <c r="BV800">
        <f t="shared" ca="1" si="354"/>
        <v>14917200.000000004</v>
      </c>
      <c r="BW800">
        <f t="shared" ca="1" si="355"/>
        <v>0</v>
      </c>
      <c r="BX800">
        <f ca="1">IF(ROW()&lt;($C$7+1),"",IFERROR((分析データ!G800-AVERAGE(OFFSET(分析データ!G$1,MAX(1,ROW()-$C$7),0,MIN($C$7,ROW()-1),1)))/STDEV(OFFSET(分析データ!G$1,MAX(1,ROW()-$C$7),0,MIN($C$7,ROW()-1),1)),0))</f>
        <v>0.97013818669211827</v>
      </c>
      <c r="BY800">
        <f t="shared" ca="1" si="356"/>
        <v>0</v>
      </c>
      <c r="BZ800" t="str">
        <f ca="1">IF(BY800=1,IF(INDEX(分析データ!$A:$A,ROW()+$C$5)&lt;&gt;"",40000*SIGN(BX800)*(分析データ!G800-INDEX(分析データ!G:G,ROW()+$C$5)),""),"")</f>
        <v/>
      </c>
      <c r="CA800">
        <f t="shared" ca="1" si="357"/>
        <v>-3515452.8662109179</v>
      </c>
      <c r="CB800">
        <f t="shared" ca="1" si="358"/>
        <v>11327520.000000004</v>
      </c>
      <c r="CC800">
        <f t="shared" ca="1" si="359"/>
        <v>-14842972.866210923</v>
      </c>
      <c r="CD800">
        <f t="shared" ca="1" si="360"/>
        <v>0</v>
      </c>
      <c r="CE800">
        <f t="shared" ca="1" si="361"/>
        <v>21486747.133789141</v>
      </c>
      <c r="CF800">
        <f t="shared" ca="1" si="362"/>
        <v>21486747.133789141</v>
      </c>
      <c r="CG800">
        <f t="shared" ca="1" si="363"/>
        <v>0</v>
      </c>
      <c r="CH800" s="10">
        <f>分析データ!A800</f>
        <v>46097</v>
      </c>
    </row>
    <row r="801" spans="46:86">
      <c r="AT801">
        <f ca="1">IF(ROW()&lt;($C$7+1),"",IFERROR((分析データ!B801-AVERAGE(OFFSET(分析データ!B$1,MAX(1,ROW()-$C$7),0,MIN($C$7,ROW()-1),1)))/STDEV(OFFSET(分析データ!B$1,MAX(1,ROW()-$C$7),0,MIN($C$7,ROW()-1),1)),0))</f>
        <v>-1.9996687061581477</v>
      </c>
      <c r="AU801">
        <f t="shared" ca="1" si="336"/>
        <v>0</v>
      </c>
      <c r="AV801" t="str">
        <f ca="1">IF(AU801=1,IF(INDEX(分析データ!$A:$A,ROW()+$C$5)&lt;&gt;"",80000*SIGN(AT801)*(分析データ!B801-INDEX(分析データ!B:B,ROW()+$C$5)),""),"")</f>
        <v/>
      </c>
      <c r="AW801">
        <f t="shared" ca="1" si="337"/>
        <v>-2839999.9999999963</v>
      </c>
      <c r="AX801">
        <f t="shared" ca="1" si="338"/>
        <v>0</v>
      </c>
      <c r="AY801">
        <f t="shared" ca="1" si="339"/>
        <v>-2839999.9999999963</v>
      </c>
      <c r="AZ801">
        <f ca="1">IF(ROW()&lt;($C$7+1),"",IFERROR((分析データ!C801-AVERAGE(OFFSET(分析データ!C$1,MAX(1,ROW()-$C$7),0,MIN($C$7,ROW()-1),1)))/STDEV(OFFSET(分析データ!C$1,MAX(1,ROW()-$C$7),0,MIN($C$7,ROW()-1),1)),0))</f>
        <v>1.9049333249736566</v>
      </c>
      <c r="BA801">
        <f t="shared" ca="1" si="340"/>
        <v>0</v>
      </c>
      <c r="BB801" t="str">
        <f ca="1">IF(BA801=1,IF(INDEX(分析データ!$A:$A,ROW()+$C$5)&lt;&gt;"",60000*SIGN(AZ801)*(分析データ!C801-INDEX(分析データ!C:C,ROW()+$C$5)),""),"")</f>
        <v/>
      </c>
      <c r="BC801">
        <f t="shared" ca="1" si="341"/>
        <v>3075000.0000000102</v>
      </c>
      <c r="BD801">
        <f t="shared" ca="1" si="342"/>
        <v>3075000.0000000102</v>
      </c>
      <c r="BE801">
        <f t="shared" ca="1" si="343"/>
        <v>0</v>
      </c>
      <c r="BF801">
        <f ca="1">IF(ROW()&lt;($C$7+1),"",IFERROR((分析データ!D801-AVERAGE(OFFSET(分析データ!D$1,MAX(1,ROW()-$C$7),0,MIN($C$7,ROW()-1),1)))/STDEV(OFFSET(分析データ!D$1,MAX(1,ROW()-$C$7),0,MIN($C$7,ROW()-1),1)),0))</f>
        <v>-1.5827728275463826</v>
      </c>
      <c r="BG801">
        <f t="shared" ca="1" si="344"/>
        <v>0</v>
      </c>
      <c r="BH801" t="str">
        <f ca="1">IF(BG801=1,IF(INDEX(分析データ!$A:$A,ROW()+$C$5)&lt;&gt;"",50000*SIGN(BF801)*(分析データ!D801-INDEX(分析データ!D:D,ROW()+$C$5)),""),"")</f>
        <v/>
      </c>
      <c r="BI801">
        <f t="shared" ca="1" si="345"/>
        <v>5570000.0000000205</v>
      </c>
      <c r="BJ801">
        <f t="shared" ca="1" si="346"/>
        <v>5570000.0000000205</v>
      </c>
      <c r="BK801">
        <f t="shared" ca="1" si="347"/>
        <v>0</v>
      </c>
      <c r="BL801">
        <f ca="1">IF(ROW()&lt;($C$7+1),"",IFERROR((分析データ!E801-AVERAGE(OFFSET(分析データ!E$1,MAX(1,ROW()-$C$7),0,MIN($C$7,ROW()-1),1)))/STDEV(OFFSET(分析データ!E$1,MAX(1,ROW()-$C$7),0,MIN($C$7,ROW()-1),1)),0))</f>
        <v>-0.1586623796033523</v>
      </c>
      <c r="BM801">
        <f t="shared" ca="1" si="348"/>
        <v>0</v>
      </c>
      <c r="BN801" t="str">
        <f ca="1">IF(BM801=1,IF(INDEX(分析データ!$A:$A,ROW()+$C$5)&lt;&gt;"",40000*SIGN(BL801)*(分析データ!E801-INDEX(分析データ!E:E,ROW()+$C$5)),""),"")</f>
        <v/>
      </c>
      <c r="BO801">
        <f t="shared" ca="1" si="349"/>
        <v>4280000.0000000028</v>
      </c>
      <c r="BP801">
        <f t="shared" ca="1" si="350"/>
        <v>4280000.0000000028</v>
      </c>
      <c r="BQ801">
        <f t="shared" ca="1" si="351"/>
        <v>0</v>
      </c>
      <c r="BR801">
        <f ca="1">IF(ROW()&lt;($C$7+1),"",IFERROR((分析データ!F801-AVERAGE(OFFSET(分析データ!F$1,MAX(1,ROW()-$C$7),0,MIN($C$7,ROW()-1),1)))/STDEV(OFFSET(分析データ!F$1,MAX(1,ROW()-$C$7),0,MIN($C$7,ROW()-1),1)),0))</f>
        <v>7.1636117916290517E-3</v>
      </c>
      <c r="BS801">
        <f t="shared" ca="1" si="352"/>
        <v>0</v>
      </c>
      <c r="BT801" t="str">
        <f ca="1">IF(BS801=1,IF(INDEX(分析データ!$A:$A,ROW()+$C$5)&lt;&gt;"",40000*SIGN(BR801)*(分析データ!F801-INDEX(分析データ!F:F,ROW()+$C$5)),""),"")</f>
        <v/>
      </c>
      <c r="BU801">
        <f t="shared" ca="1" si="353"/>
        <v>14917200.000000004</v>
      </c>
      <c r="BV801">
        <f t="shared" ca="1" si="354"/>
        <v>14917200.000000004</v>
      </c>
      <c r="BW801">
        <f t="shared" ca="1" si="355"/>
        <v>0</v>
      </c>
      <c r="BX801">
        <f ca="1">IF(ROW()&lt;($C$7+1),"",IFERROR((分析データ!G801-AVERAGE(OFFSET(分析データ!G$1,MAX(1,ROW()-$C$7),0,MIN($C$7,ROW()-1),1)))/STDEV(OFFSET(分析データ!G$1,MAX(1,ROW()-$C$7),0,MIN($C$7,ROW()-1),1)),0))</f>
        <v>0.99020179968322375</v>
      </c>
      <c r="BY801">
        <f t="shared" ca="1" si="356"/>
        <v>0</v>
      </c>
      <c r="BZ801" t="str">
        <f ca="1">IF(BY801=1,IF(INDEX(分析データ!$A:$A,ROW()+$C$5)&lt;&gt;"",40000*SIGN(BX801)*(分析データ!G801-INDEX(分析データ!G:G,ROW()+$C$5)),""),"")</f>
        <v/>
      </c>
      <c r="CA801">
        <f t="shared" ca="1" si="357"/>
        <v>-3515452.8662109179</v>
      </c>
      <c r="CB801">
        <f t="shared" ca="1" si="358"/>
        <v>11327520.000000004</v>
      </c>
      <c r="CC801">
        <f t="shared" ca="1" si="359"/>
        <v>-14842972.866210923</v>
      </c>
      <c r="CD801">
        <f t="shared" ca="1" si="360"/>
        <v>0</v>
      </c>
      <c r="CE801">
        <f t="shared" ca="1" si="361"/>
        <v>21486747.133789141</v>
      </c>
      <c r="CF801">
        <f t="shared" ca="1" si="362"/>
        <v>21486747.133789141</v>
      </c>
      <c r="CG801">
        <f t="shared" ca="1" si="363"/>
        <v>0</v>
      </c>
      <c r="CH801" s="10">
        <f>分析データ!A801</f>
        <v>46098</v>
      </c>
    </row>
    <row r="802" spans="46:86">
      <c r="AT802">
        <f ca="1">IF(ROW()&lt;($C$7+1),"",IFERROR((分析データ!B802-AVERAGE(OFFSET(分析データ!B$1,MAX(1,ROW()-$C$7),0,MIN($C$7,ROW()-1),1)))/STDEV(OFFSET(分析データ!B$1,MAX(1,ROW()-$C$7),0,MIN($C$7,ROW()-1),1)),0))</f>
        <v>-1.809958661639671</v>
      </c>
      <c r="AU802">
        <f t="shared" ca="1" si="336"/>
        <v>0</v>
      </c>
      <c r="AV802" t="str">
        <f ca="1">IF(AU802=1,IF(INDEX(分析データ!$A:$A,ROW()+$C$5)&lt;&gt;"",80000*SIGN(AT802)*(分析データ!B802-INDEX(分析データ!B:B,ROW()+$C$5)),""),"")</f>
        <v/>
      </c>
      <c r="AW802">
        <f t="shared" ca="1" si="337"/>
        <v>-2839999.9999999963</v>
      </c>
      <c r="AX802">
        <f t="shared" ca="1" si="338"/>
        <v>0</v>
      </c>
      <c r="AY802">
        <f t="shared" ca="1" si="339"/>
        <v>-2839999.9999999963</v>
      </c>
      <c r="AZ802">
        <f ca="1">IF(ROW()&lt;($C$7+1),"",IFERROR((分析データ!C802-AVERAGE(OFFSET(分析データ!C$1,MAX(1,ROW()-$C$7),0,MIN($C$7,ROW()-1),1)))/STDEV(OFFSET(分析データ!C$1,MAX(1,ROW()-$C$7),0,MIN($C$7,ROW()-1),1)),0))</f>
        <v>1.756997588208064</v>
      </c>
      <c r="BA802">
        <f t="shared" ca="1" si="340"/>
        <v>0</v>
      </c>
      <c r="BB802" t="str">
        <f ca="1">IF(BA802=1,IF(INDEX(分析データ!$A:$A,ROW()+$C$5)&lt;&gt;"",60000*SIGN(AZ802)*(分析データ!C802-INDEX(分析データ!C:C,ROW()+$C$5)),""),"")</f>
        <v/>
      </c>
      <c r="BC802">
        <f t="shared" ca="1" si="341"/>
        <v>3075000.0000000102</v>
      </c>
      <c r="BD802">
        <f t="shared" ca="1" si="342"/>
        <v>3075000.0000000102</v>
      </c>
      <c r="BE802">
        <f t="shared" ca="1" si="343"/>
        <v>0</v>
      </c>
      <c r="BF802">
        <f ca="1">IF(ROW()&lt;($C$7+1),"",IFERROR((分析データ!D802-AVERAGE(OFFSET(分析データ!D$1,MAX(1,ROW()-$C$7),0,MIN($C$7,ROW()-1),1)))/STDEV(OFFSET(分析データ!D$1,MAX(1,ROW()-$C$7),0,MIN($C$7,ROW()-1),1)),0))</f>
        <v>-1.2843192764688536</v>
      </c>
      <c r="BG802">
        <f t="shared" ca="1" si="344"/>
        <v>0</v>
      </c>
      <c r="BH802" t="str">
        <f ca="1">IF(BG802=1,IF(INDEX(分析データ!$A:$A,ROW()+$C$5)&lt;&gt;"",50000*SIGN(BF802)*(分析データ!D802-INDEX(分析データ!D:D,ROW()+$C$5)),""),"")</f>
        <v/>
      </c>
      <c r="BI802">
        <f t="shared" ca="1" si="345"/>
        <v>5570000.0000000205</v>
      </c>
      <c r="BJ802">
        <f t="shared" ca="1" si="346"/>
        <v>5570000.0000000205</v>
      </c>
      <c r="BK802">
        <f t="shared" ca="1" si="347"/>
        <v>0</v>
      </c>
      <c r="BL802">
        <f ca="1">IF(ROW()&lt;($C$7+1),"",IFERROR((分析データ!E802-AVERAGE(OFFSET(分析データ!E$1,MAX(1,ROW()-$C$7),0,MIN($C$7,ROW()-1),1)))/STDEV(OFFSET(分析データ!E$1,MAX(1,ROW()-$C$7),0,MIN($C$7,ROW()-1),1)),0))</f>
        <v>-0.52990379041765456</v>
      </c>
      <c r="BM802">
        <f t="shared" ca="1" si="348"/>
        <v>0</v>
      </c>
      <c r="BN802" t="str">
        <f ca="1">IF(BM802=1,IF(INDEX(分析データ!$A:$A,ROW()+$C$5)&lt;&gt;"",40000*SIGN(BL802)*(分析データ!E802-INDEX(分析データ!E:E,ROW()+$C$5)),""),"")</f>
        <v/>
      </c>
      <c r="BO802">
        <f t="shared" ca="1" si="349"/>
        <v>4280000.0000000028</v>
      </c>
      <c r="BP802">
        <f t="shared" ca="1" si="350"/>
        <v>4280000.0000000028</v>
      </c>
      <c r="BQ802">
        <f t="shared" ca="1" si="351"/>
        <v>0</v>
      </c>
      <c r="BR802">
        <f ca="1">IF(ROW()&lt;($C$7+1),"",IFERROR((分析データ!F802-AVERAGE(OFFSET(分析データ!F$1,MAX(1,ROW()-$C$7),0,MIN($C$7,ROW()-1),1)))/STDEV(OFFSET(分析データ!F$1,MAX(1,ROW()-$C$7),0,MIN($C$7,ROW()-1),1)),0))</f>
        <v>-0.43620131669031681</v>
      </c>
      <c r="BS802">
        <f t="shared" ca="1" si="352"/>
        <v>0</v>
      </c>
      <c r="BT802" t="str">
        <f ca="1">IF(BS802=1,IF(INDEX(分析データ!$A:$A,ROW()+$C$5)&lt;&gt;"",40000*SIGN(BR802)*(分析データ!F802-INDEX(分析データ!F:F,ROW()+$C$5)),""),"")</f>
        <v/>
      </c>
      <c r="BU802">
        <f t="shared" ca="1" si="353"/>
        <v>14917200.000000004</v>
      </c>
      <c r="BV802">
        <f t="shared" ca="1" si="354"/>
        <v>14917200.000000004</v>
      </c>
      <c r="BW802">
        <f t="shared" ca="1" si="355"/>
        <v>0</v>
      </c>
      <c r="BX802">
        <f ca="1">IF(ROW()&lt;($C$7+1),"",IFERROR((分析データ!G802-AVERAGE(OFFSET(分析データ!G$1,MAX(1,ROW()-$C$7),0,MIN($C$7,ROW()-1),1)))/STDEV(OFFSET(分析データ!G$1,MAX(1,ROW()-$C$7),0,MIN($C$7,ROW()-1),1)),0))</f>
        <v>0.91904245796773842</v>
      </c>
      <c r="BY802">
        <f t="shared" ca="1" si="356"/>
        <v>0</v>
      </c>
      <c r="BZ802" t="str">
        <f ca="1">IF(BY802=1,IF(INDEX(分析データ!$A:$A,ROW()+$C$5)&lt;&gt;"",40000*SIGN(BX802)*(分析データ!G802-INDEX(分析データ!G:G,ROW()+$C$5)),""),"")</f>
        <v/>
      </c>
      <c r="CA802">
        <f t="shared" ca="1" si="357"/>
        <v>-3515452.8662109179</v>
      </c>
      <c r="CB802">
        <f t="shared" ca="1" si="358"/>
        <v>11327520.000000004</v>
      </c>
      <c r="CC802">
        <f t="shared" ca="1" si="359"/>
        <v>-14842972.866210923</v>
      </c>
      <c r="CD802">
        <f t="shared" ca="1" si="360"/>
        <v>0</v>
      </c>
      <c r="CE802">
        <f t="shared" ca="1" si="361"/>
        <v>21486747.133789141</v>
      </c>
      <c r="CF802">
        <f t="shared" ca="1" si="362"/>
        <v>21486747.133789141</v>
      </c>
      <c r="CG802">
        <f t="shared" ca="1" si="363"/>
        <v>0</v>
      </c>
      <c r="CH802" s="10">
        <f>分析データ!A802</f>
        <v>46099</v>
      </c>
    </row>
    <row r="803" spans="46:86">
      <c r="AT803">
        <f ca="1">IF(ROW()&lt;($C$7+1),"",IFERROR((分析データ!B803-AVERAGE(OFFSET(分析データ!B$1,MAX(1,ROW()-$C$7),0,MIN($C$7,ROW()-1),1)))/STDEV(OFFSET(分析データ!B$1,MAX(1,ROW()-$C$7),0,MIN($C$7,ROW()-1),1)),0))</f>
        <v>-1.7917163525727842</v>
      </c>
      <c r="AU803">
        <f t="shared" ca="1" si="336"/>
        <v>0</v>
      </c>
      <c r="AV803" t="str">
        <f ca="1">IF(AU803=1,IF(INDEX(分析データ!$A:$A,ROW()+$C$5)&lt;&gt;"",80000*SIGN(AT803)*(分析データ!B803-INDEX(分析データ!B:B,ROW()+$C$5)),""),"")</f>
        <v/>
      </c>
      <c r="AW803">
        <f t="shared" ca="1" si="337"/>
        <v>-2839999.9999999963</v>
      </c>
      <c r="AX803">
        <f t="shared" ca="1" si="338"/>
        <v>0</v>
      </c>
      <c r="AY803">
        <f t="shared" ca="1" si="339"/>
        <v>-2839999.9999999963</v>
      </c>
      <c r="AZ803">
        <f ca="1">IF(ROW()&lt;($C$7+1),"",IFERROR((分析データ!C803-AVERAGE(OFFSET(分析データ!C$1,MAX(1,ROW()-$C$7),0,MIN($C$7,ROW()-1),1)))/STDEV(OFFSET(分析データ!C$1,MAX(1,ROW()-$C$7),0,MIN($C$7,ROW()-1),1)),0))</f>
        <v>1.9700116811367936</v>
      </c>
      <c r="BA803">
        <f t="shared" ca="1" si="340"/>
        <v>0</v>
      </c>
      <c r="BB803" t="str">
        <f ca="1">IF(BA803=1,IF(INDEX(分析データ!$A:$A,ROW()+$C$5)&lt;&gt;"",60000*SIGN(AZ803)*(分析データ!C803-INDEX(分析データ!C:C,ROW()+$C$5)),""),"")</f>
        <v/>
      </c>
      <c r="BC803">
        <f t="shared" ca="1" si="341"/>
        <v>3075000.0000000102</v>
      </c>
      <c r="BD803">
        <f t="shared" ca="1" si="342"/>
        <v>3075000.0000000102</v>
      </c>
      <c r="BE803">
        <f t="shared" ca="1" si="343"/>
        <v>0</v>
      </c>
      <c r="BF803">
        <f ca="1">IF(ROW()&lt;($C$7+1),"",IFERROR((分析データ!D803-AVERAGE(OFFSET(分析データ!D$1,MAX(1,ROW()-$C$7),0,MIN($C$7,ROW()-1),1)))/STDEV(OFFSET(分析データ!D$1,MAX(1,ROW()-$C$7),0,MIN($C$7,ROW()-1),1)),0))</f>
        <v>-1.4097764222400784</v>
      </c>
      <c r="BG803">
        <f t="shared" ca="1" si="344"/>
        <v>0</v>
      </c>
      <c r="BH803" t="str">
        <f ca="1">IF(BG803=1,IF(INDEX(分析データ!$A:$A,ROW()+$C$5)&lt;&gt;"",50000*SIGN(BF803)*(分析データ!D803-INDEX(分析データ!D:D,ROW()+$C$5)),""),"")</f>
        <v/>
      </c>
      <c r="BI803">
        <f t="shared" ca="1" si="345"/>
        <v>5570000.0000000205</v>
      </c>
      <c r="BJ803">
        <f t="shared" ca="1" si="346"/>
        <v>5570000.0000000205</v>
      </c>
      <c r="BK803">
        <f t="shared" ca="1" si="347"/>
        <v>0</v>
      </c>
      <c r="BL803">
        <f ca="1">IF(ROW()&lt;($C$7+1),"",IFERROR((分析データ!E803-AVERAGE(OFFSET(分析データ!E$1,MAX(1,ROW()-$C$7),0,MIN($C$7,ROW()-1),1)))/STDEV(OFFSET(分析データ!E$1,MAX(1,ROW()-$C$7),0,MIN($C$7,ROW()-1),1)),0))</f>
        <v>-0.92141899403155536</v>
      </c>
      <c r="BM803">
        <f t="shared" ca="1" si="348"/>
        <v>0</v>
      </c>
      <c r="BN803" t="str">
        <f ca="1">IF(BM803=1,IF(INDEX(分析データ!$A:$A,ROW()+$C$5)&lt;&gt;"",40000*SIGN(BL803)*(分析データ!E803-INDEX(分析データ!E:E,ROW()+$C$5)),""),"")</f>
        <v/>
      </c>
      <c r="BO803">
        <f t="shared" ca="1" si="349"/>
        <v>4280000.0000000028</v>
      </c>
      <c r="BP803">
        <f t="shared" ca="1" si="350"/>
        <v>4280000.0000000028</v>
      </c>
      <c r="BQ803">
        <f t="shared" ca="1" si="351"/>
        <v>0</v>
      </c>
      <c r="BR803">
        <f ca="1">IF(ROW()&lt;($C$7+1),"",IFERROR((分析データ!F803-AVERAGE(OFFSET(分析データ!F$1,MAX(1,ROW()-$C$7),0,MIN($C$7,ROW()-1),1)))/STDEV(OFFSET(分析データ!F$1,MAX(1,ROW()-$C$7),0,MIN($C$7,ROW()-1),1)),0))</f>
        <v>-0.20155982615167561</v>
      </c>
      <c r="BS803">
        <f t="shared" ca="1" si="352"/>
        <v>0</v>
      </c>
      <c r="BT803" t="str">
        <f ca="1">IF(BS803=1,IF(INDEX(分析データ!$A:$A,ROW()+$C$5)&lt;&gt;"",40000*SIGN(BR803)*(分析データ!F803-INDEX(分析データ!F:F,ROW()+$C$5)),""),"")</f>
        <v/>
      </c>
      <c r="BU803">
        <f t="shared" ca="1" si="353"/>
        <v>14917200.000000004</v>
      </c>
      <c r="BV803">
        <f t="shared" ca="1" si="354"/>
        <v>14917200.000000004</v>
      </c>
      <c r="BW803">
        <f t="shared" ca="1" si="355"/>
        <v>0</v>
      </c>
      <c r="BX803">
        <f ca="1">IF(ROW()&lt;($C$7+1),"",IFERROR((分析データ!G803-AVERAGE(OFFSET(分析データ!G$1,MAX(1,ROW()-$C$7),0,MIN($C$7,ROW()-1),1)))/STDEV(OFFSET(分析データ!G$1,MAX(1,ROW()-$C$7),0,MIN($C$7,ROW()-1),1)),0))</f>
        <v>0.98882034917382322</v>
      </c>
      <c r="BY803">
        <f t="shared" ca="1" si="356"/>
        <v>0</v>
      </c>
      <c r="BZ803" t="str">
        <f ca="1">IF(BY803=1,IF(INDEX(分析データ!$A:$A,ROW()+$C$5)&lt;&gt;"",40000*SIGN(BX803)*(分析データ!G803-INDEX(分析データ!G:G,ROW()+$C$5)),""),"")</f>
        <v/>
      </c>
      <c r="CA803">
        <f t="shared" ca="1" si="357"/>
        <v>-3515452.8662109179</v>
      </c>
      <c r="CB803">
        <f t="shared" ca="1" si="358"/>
        <v>11327520.000000004</v>
      </c>
      <c r="CC803">
        <f t="shared" ca="1" si="359"/>
        <v>-14842972.866210923</v>
      </c>
      <c r="CD803">
        <f t="shared" ca="1" si="360"/>
        <v>0</v>
      </c>
      <c r="CE803">
        <f t="shared" ca="1" si="361"/>
        <v>21486747.133789141</v>
      </c>
      <c r="CF803">
        <f t="shared" ca="1" si="362"/>
        <v>21486747.133789141</v>
      </c>
      <c r="CG803">
        <f t="shared" ca="1" si="363"/>
        <v>0</v>
      </c>
      <c r="CH803" s="10">
        <f>分析データ!A803</f>
        <v>46100</v>
      </c>
    </row>
    <row r="804" spans="46:86">
      <c r="AT804">
        <f ca="1">IF(ROW()&lt;($C$7+1),"",IFERROR((分析データ!B804-AVERAGE(OFFSET(分析データ!B$1,MAX(1,ROW()-$C$7),0,MIN($C$7,ROW()-1),1)))/STDEV(OFFSET(分析データ!B$1,MAX(1,ROW()-$C$7),0,MIN($C$7,ROW()-1),1)),0))</f>
        <v>-0.78563439755273268</v>
      </c>
      <c r="AU804">
        <f t="shared" ca="1" si="336"/>
        <v>0</v>
      </c>
      <c r="AV804" t="str">
        <f ca="1">IF(AU804=1,IF(INDEX(分析データ!$A:$A,ROW()+$C$5)&lt;&gt;"",80000*SIGN(AT804)*(分析データ!B804-INDEX(分析データ!B:B,ROW()+$C$5)),""),"")</f>
        <v/>
      </c>
      <c r="AW804">
        <f t="shared" ca="1" si="337"/>
        <v>-2839999.9999999963</v>
      </c>
      <c r="AX804">
        <f t="shared" ca="1" si="338"/>
        <v>0</v>
      </c>
      <c r="AY804">
        <f t="shared" ca="1" si="339"/>
        <v>-2839999.9999999963</v>
      </c>
      <c r="AZ804">
        <f ca="1">IF(ROW()&lt;($C$7+1),"",IFERROR((分析データ!C804-AVERAGE(OFFSET(分析データ!C$1,MAX(1,ROW()-$C$7),0,MIN($C$7,ROW()-1),1)))/STDEV(OFFSET(分析データ!C$1,MAX(1,ROW()-$C$7),0,MIN($C$7,ROW()-1),1)),0))</f>
        <v>1.9591765532865617</v>
      </c>
      <c r="BA804">
        <f t="shared" ca="1" si="340"/>
        <v>0</v>
      </c>
      <c r="BB804" t="str">
        <f ca="1">IF(BA804=1,IF(INDEX(分析データ!$A:$A,ROW()+$C$5)&lt;&gt;"",60000*SIGN(AZ804)*(分析データ!C804-INDEX(分析データ!C:C,ROW()+$C$5)),""),"")</f>
        <v/>
      </c>
      <c r="BC804">
        <f t="shared" ca="1" si="341"/>
        <v>3075000.0000000102</v>
      </c>
      <c r="BD804">
        <f t="shared" ca="1" si="342"/>
        <v>3075000.0000000102</v>
      </c>
      <c r="BE804">
        <f t="shared" ca="1" si="343"/>
        <v>0</v>
      </c>
      <c r="BF804">
        <f ca="1">IF(ROW()&lt;($C$7+1),"",IFERROR((分析データ!D804-AVERAGE(OFFSET(分析データ!D$1,MAX(1,ROW()-$C$7),0,MIN($C$7,ROW()-1),1)))/STDEV(OFFSET(分析データ!D$1,MAX(1,ROW()-$C$7),0,MIN($C$7,ROW()-1),1)),0))</f>
        <v>-1.0308375609920659</v>
      </c>
      <c r="BG804">
        <f t="shared" ca="1" si="344"/>
        <v>0</v>
      </c>
      <c r="BH804" t="str">
        <f ca="1">IF(BG804=1,IF(INDEX(分析データ!$A:$A,ROW()+$C$5)&lt;&gt;"",50000*SIGN(BF804)*(分析データ!D804-INDEX(分析データ!D:D,ROW()+$C$5)),""),"")</f>
        <v/>
      </c>
      <c r="BI804">
        <f t="shared" ca="1" si="345"/>
        <v>5570000.0000000205</v>
      </c>
      <c r="BJ804">
        <f t="shared" ca="1" si="346"/>
        <v>5570000.0000000205</v>
      </c>
      <c r="BK804">
        <f t="shared" ca="1" si="347"/>
        <v>0</v>
      </c>
      <c r="BL804">
        <f ca="1">IF(ROW()&lt;($C$7+1),"",IFERROR((分析データ!E804-AVERAGE(OFFSET(分析データ!E$1,MAX(1,ROW()-$C$7),0,MIN($C$7,ROW()-1),1)))/STDEV(OFFSET(分析データ!E$1,MAX(1,ROW()-$C$7),0,MIN($C$7,ROW()-1),1)),0))</f>
        <v>-0.77574145495111879</v>
      </c>
      <c r="BM804">
        <f t="shared" ca="1" si="348"/>
        <v>0</v>
      </c>
      <c r="BN804" t="str">
        <f ca="1">IF(BM804=1,IF(INDEX(分析データ!$A:$A,ROW()+$C$5)&lt;&gt;"",40000*SIGN(BL804)*(分析データ!E804-INDEX(分析データ!E:E,ROW()+$C$5)),""),"")</f>
        <v/>
      </c>
      <c r="BO804">
        <f t="shared" ca="1" si="349"/>
        <v>4280000.0000000028</v>
      </c>
      <c r="BP804">
        <f t="shared" ca="1" si="350"/>
        <v>4280000.0000000028</v>
      </c>
      <c r="BQ804">
        <f t="shared" ca="1" si="351"/>
        <v>0</v>
      </c>
      <c r="BR804">
        <f ca="1">IF(ROW()&lt;($C$7+1),"",IFERROR((分析データ!F804-AVERAGE(OFFSET(分析データ!F$1,MAX(1,ROW()-$C$7),0,MIN($C$7,ROW()-1),1)))/STDEV(OFFSET(分析データ!F$1,MAX(1,ROW()-$C$7),0,MIN($C$7,ROW()-1),1)),0))</f>
        <v>-0.55104055478403324</v>
      </c>
      <c r="BS804">
        <f t="shared" ca="1" si="352"/>
        <v>0</v>
      </c>
      <c r="BT804" t="str">
        <f ca="1">IF(BS804=1,IF(INDEX(分析データ!$A:$A,ROW()+$C$5)&lt;&gt;"",40000*SIGN(BR804)*(分析データ!F804-INDEX(分析データ!F:F,ROW()+$C$5)),""),"")</f>
        <v/>
      </c>
      <c r="BU804">
        <f t="shared" ca="1" si="353"/>
        <v>14917200.000000004</v>
      </c>
      <c r="BV804">
        <f t="shared" ca="1" si="354"/>
        <v>14917200.000000004</v>
      </c>
      <c r="BW804">
        <f t="shared" ca="1" si="355"/>
        <v>0</v>
      </c>
      <c r="BX804">
        <f ca="1">IF(ROW()&lt;($C$7+1),"",IFERROR((分析データ!G804-AVERAGE(OFFSET(分析データ!G$1,MAX(1,ROW()-$C$7),0,MIN($C$7,ROW()-1),1)))/STDEV(OFFSET(分析データ!G$1,MAX(1,ROW()-$C$7),0,MIN($C$7,ROW()-1),1)),0))</f>
        <v>0.89001699241008336</v>
      </c>
      <c r="BY804">
        <f t="shared" ca="1" si="356"/>
        <v>0</v>
      </c>
      <c r="BZ804" t="str">
        <f ca="1">IF(BY804=1,IF(INDEX(分析データ!$A:$A,ROW()+$C$5)&lt;&gt;"",40000*SIGN(BX804)*(分析データ!G804-INDEX(分析データ!G:G,ROW()+$C$5)),""),"")</f>
        <v/>
      </c>
      <c r="CA804">
        <f t="shared" ca="1" si="357"/>
        <v>-3515452.8662109179</v>
      </c>
      <c r="CB804">
        <f t="shared" ca="1" si="358"/>
        <v>11327520.000000004</v>
      </c>
      <c r="CC804">
        <f t="shared" ca="1" si="359"/>
        <v>-14842972.866210923</v>
      </c>
      <c r="CD804">
        <f t="shared" ca="1" si="360"/>
        <v>0</v>
      </c>
      <c r="CE804">
        <f t="shared" ca="1" si="361"/>
        <v>21486747.133789141</v>
      </c>
      <c r="CF804">
        <f t="shared" ca="1" si="362"/>
        <v>21486747.133789141</v>
      </c>
      <c r="CG804">
        <f t="shared" ca="1" si="363"/>
        <v>0</v>
      </c>
      <c r="CH804" s="10">
        <f>分析データ!A804</f>
        <v>46101</v>
      </c>
    </row>
    <row r="805" spans="46:86">
      <c r="AT805">
        <f ca="1">IF(ROW()&lt;($C$7+1),"",IFERROR((分析データ!B805-AVERAGE(OFFSET(分析データ!B$1,MAX(1,ROW()-$C$7),0,MIN($C$7,ROW()-1),1)))/STDEV(OFFSET(分析データ!B$1,MAX(1,ROW()-$C$7),0,MIN($C$7,ROW()-1),1)),0))</f>
        <v>-0.78366255767483084</v>
      </c>
      <c r="AU805">
        <f t="shared" ca="1" si="336"/>
        <v>0</v>
      </c>
      <c r="AV805" t="str">
        <f ca="1">IF(AU805=1,IF(INDEX(分析データ!$A:$A,ROW()+$C$5)&lt;&gt;"",80000*SIGN(AT805)*(分析データ!B805-INDEX(分析データ!B:B,ROW()+$C$5)),""),"")</f>
        <v/>
      </c>
      <c r="AW805">
        <f t="shared" ca="1" si="337"/>
        <v>-2839999.9999999963</v>
      </c>
      <c r="AX805">
        <f t="shared" ca="1" si="338"/>
        <v>0</v>
      </c>
      <c r="AY805">
        <f t="shared" ca="1" si="339"/>
        <v>-2839999.9999999963</v>
      </c>
      <c r="AZ805">
        <f ca="1">IF(ROW()&lt;($C$7+1),"",IFERROR((分析データ!C805-AVERAGE(OFFSET(分析データ!C$1,MAX(1,ROW()-$C$7),0,MIN($C$7,ROW()-1),1)))/STDEV(OFFSET(分析データ!C$1,MAX(1,ROW()-$C$7),0,MIN($C$7,ROW()-1),1)),0))</f>
        <v>2.1307197900628219</v>
      </c>
      <c r="BA805">
        <f t="shared" ca="1" si="340"/>
        <v>1</v>
      </c>
      <c r="BB805">
        <f ca="1">IF(BA805=1,IF(INDEX(分析データ!$A:$A,ROW()+$C$5)&lt;&gt;"",60000*SIGN(AZ805)*(分析データ!C805-INDEX(分析データ!C:C,ROW()+$C$5)),""),"")</f>
        <v>81000.000000000407</v>
      </c>
      <c r="BC805">
        <f t="shared" ca="1" si="341"/>
        <v>3156000.0000000107</v>
      </c>
      <c r="BD805">
        <f t="shared" ca="1" si="342"/>
        <v>3156000.0000000107</v>
      </c>
      <c r="BE805">
        <f t="shared" ca="1" si="343"/>
        <v>0</v>
      </c>
      <c r="BF805">
        <f ca="1">IF(ROW()&lt;($C$7+1),"",IFERROR((分析データ!D805-AVERAGE(OFFSET(分析データ!D$1,MAX(1,ROW()-$C$7),0,MIN($C$7,ROW()-1),1)))/STDEV(OFFSET(分析データ!D$1,MAX(1,ROW()-$C$7),0,MIN($C$7,ROW()-1),1)),0))</f>
        <v>-1.2818993359310988</v>
      </c>
      <c r="BG805">
        <f t="shared" ca="1" si="344"/>
        <v>0</v>
      </c>
      <c r="BH805" t="str">
        <f ca="1">IF(BG805=1,IF(INDEX(分析データ!$A:$A,ROW()+$C$5)&lt;&gt;"",50000*SIGN(BF805)*(分析データ!D805-INDEX(分析データ!D:D,ROW()+$C$5)),""),"")</f>
        <v/>
      </c>
      <c r="BI805">
        <f t="shared" ca="1" si="345"/>
        <v>5570000.0000000205</v>
      </c>
      <c r="BJ805">
        <f t="shared" ca="1" si="346"/>
        <v>5570000.0000000205</v>
      </c>
      <c r="BK805">
        <f t="shared" ca="1" si="347"/>
        <v>0</v>
      </c>
      <c r="BL805">
        <f ca="1">IF(ROW()&lt;($C$7+1),"",IFERROR((分析データ!E805-AVERAGE(OFFSET(分析データ!E$1,MAX(1,ROW()-$C$7),0,MIN($C$7,ROW()-1),1)))/STDEV(OFFSET(分析データ!E$1,MAX(1,ROW()-$C$7),0,MIN($C$7,ROW()-1),1)),0))</f>
        <v>-0.61648542346371382</v>
      </c>
      <c r="BM805">
        <f t="shared" ca="1" si="348"/>
        <v>0</v>
      </c>
      <c r="BN805" t="str">
        <f ca="1">IF(BM805=1,IF(INDEX(分析データ!$A:$A,ROW()+$C$5)&lt;&gt;"",40000*SIGN(BL805)*(分析データ!E805-INDEX(分析データ!E:E,ROW()+$C$5)),""),"")</f>
        <v/>
      </c>
      <c r="BO805">
        <f t="shared" ca="1" si="349"/>
        <v>4280000.0000000028</v>
      </c>
      <c r="BP805">
        <f t="shared" ca="1" si="350"/>
        <v>4280000.0000000028</v>
      </c>
      <c r="BQ805">
        <f t="shared" ca="1" si="351"/>
        <v>0</v>
      </c>
      <c r="BR805">
        <f ca="1">IF(ROW()&lt;($C$7+1),"",IFERROR((分析データ!F805-AVERAGE(OFFSET(分析データ!F$1,MAX(1,ROW()-$C$7),0,MIN($C$7,ROW()-1),1)))/STDEV(OFFSET(分析データ!F$1,MAX(1,ROW()-$C$7),0,MIN($C$7,ROW()-1),1)),0))</f>
        <v>-0.17769149628299002</v>
      </c>
      <c r="BS805">
        <f t="shared" ca="1" si="352"/>
        <v>0</v>
      </c>
      <c r="BT805" t="str">
        <f ca="1">IF(BS805=1,IF(INDEX(分析データ!$A:$A,ROW()+$C$5)&lt;&gt;"",40000*SIGN(BR805)*(分析データ!F805-INDEX(分析データ!F:F,ROW()+$C$5)),""),"")</f>
        <v/>
      </c>
      <c r="BU805">
        <f t="shared" ca="1" si="353"/>
        <v>14917200.000000004</v>
      </c>
      <c r="BV805">
        <f t="shared" ca="1" si="354"/>
        <v>14917200.000000004</v>
      </c>
      <c r="BW805">
        <f t="shared" ca="1" si="355"/>
        <v>0</v>
      </c>
      <c r="BX805">
        <f ca="1">IF(ROW()&lt;($C$7+1),"",IFERROR((分析データ!G805-AVERAGE(OFFSET(分析データ!G$1,MAX(1,ROW()-$C$7),0,MIN($C$7,ROW()-1),1)))/STDEV(OFFSET(分析データ!G$1,MAX(1,ROW()-$C$7),0,MIN($C$7,ROW()-1),1)),0))</f>
        <v>0.9089028288098322</v>
      </c>
      <c r="BY805">
        <f t="shared" ca="1" si="356"/>
        <v>0</v>
      </c>
      <c r="BZ805" t="str">
        <f ca="1">IF(BY805=1,IF(INDEX(分析データ!$A:$A,ROW()+$C$5)&lt;&gt;"",40000*SIGN(BX805)*(分析データ!G805-INDEX(分析データ!G:G,ROW()+$C$5)),""),"")</f>
        <v/>
      </c>
      <c r="CA805">
        <f t="shared" ca="1" si="357"/>
        <v>-3515452.8662109179</v>
      </c>
      <c r="CB805">
        <f t="shared" ca="1" si="358"/>
        <v>11327520.000000004</v>
      </c>
      <c r="CC805">
        <f t="shared" ca="1" si="359"/>
        <v>-14842972.866210923</v>
      </c>
      <c r="CD805">
        <f t="shared" ca="1" si="360"/>
        <v>81000.000000000407</v>
      </c>
      <c r="CE805">
        <f t="shared" ca="1" si="361"/>
        <v>21567747.133789141</v>
      </c>
      <c r="CF805">
        <f t="shared" ca="1" si="362"/>
        <v>21567747.133789141</v>
      </c>
      <c r="CG805">
        <f t="shared" ca="1" si="363"/>
        <v>0</v>
      </c>
      <c r="CH805" s="10">
        <f>分析データ!A805</f>
        <v>46104</v>
      </c>
    </row>
    <row r="806" spans="46:86">
      <c r="AT806">
        <f ca="1">IF(ROW()&lt;($C$7+1),"",IFERROR((分析データ!B806-AVERAGE(OFFSET(分析データ!B$1,MAX(1,ROW()-$C$7),0,MIN($C$7,ROW()-1),1)))/STDEV(OFFSET(分析データ!B$1,MAX(1,ROW()-$C$7),0,MIN($C$7,ROW()-1),1)),0))</f>
        <v>-0.78263508663291126</v>
      </c>
      <c r="AU806">
        <f t="shared" ca="1" si="336"/>
        <v>0</v>
      </c>
      <c r="AV806" t="str">
        <f ca="1">IF(AU806=1,IF(INDEX(分析データ!$A:$A,ROW()+$C$5)&lt;&gt;"",80000*SIGN(AT806)*(分析データ!B806-INDEX(分析データ!B:B,ROW()+$C$5)),""),"")</f>
        <v/>
      </c>
      <c r="AW806">
        <f t="shared" ca="1" si="337"/>
        <v>-2839999.9999999963</v>
      </c>
      <c r="AX806">
        <f t="shared" ca="1" si="338"/>
        <v>0</v>
      </c>
      <c r="AY806">
        <f t="shared" ca="1" si="339"/>
        <v>-2839999.9999999963</v>
      </c>
      <c r="AZ806">
        <f ca="1">IF(ROW()&lt;($C$7+1),"",IFERROR((分析データ!C806-AVERAGE(OFFSET(分析データ!C$1,MAX(1,ROW()-$C$7),0,MIN($C$7,ROW()-1),1)))/STDEV(OFFSET(分析データ!C$1,MAX(1,ROW()-$C$7),0,MIN($C$7,ROW()-1),1)),0))</f>
        <v>1.7447023482974866</v>
      </c>
      <c r="BA806">
        <f t="shared" ca="1" si="340"/>
        <v>0</v>
      </c>
      <c r="BB806" t="str">
        <f ca="1">IF(BA806=1,IF(INDEX(分析データ!$A:$A,ROW()+$C$5)&lt;&gt;"",60000*SIGN(AZ806)*(分析データ!C806-INDEX(分析データ!C:C,ROW()+$C$5)),""),"")</f>
        <v/>
      </c>
      <c r="BC806">
        <f t="shared" ca="1" si="341"/>
        <v>3156000.0000000107</v>
      </c>
      <c r="BD806">
        <f t="shared" ca="1" si="342"/>
        <v>3156000.0000000107</v>
      </c>
      <c r="BE806">
        <f t="shared" ca="1" si="343"/>
        <v>0</v>
      </c>
      <c r="BF806">
        <f ca="1">IF(ROW()&lt;($C$7+1),"",IFERROR((分析データ!D806-AVERAGE(OFFSET(分析データ!D$1,MAX(1,ROW()-$C$7),0,MIN($C$7,ROW()-1),1)))/STDEV(OFFSET(分析データ!D$1,MAX(1,ROW()-$C$7),0,MIN($C$7,ROW()-1),1)),0))</f>
        <v>-1.0362846872015943</v>
      </c>
      <c r="BG806">
        <f t="shared" ca="1" si="344"/>
        <v>0</v>
      </c>
      <c r="BH806" t="str">
        <f ca="1">IF(BG806=1,IF(INDEX(分析データ!$A:$A,ROW()+$C$5)&lt;&gt;"",50000*SIGN(BF806)*(分析データ!D806-INDEX(分析データ!D:D,ROW()+$C$5)),""),"")</f>
        <v/>
      </c>
      <c r="BI806">
        <f t="shared" ca="1" si="345"/>
        <v>5570000.0000000205</v>
      </c>
      <c r="BJ806">
        <f t="shared" ca="1" si="346"/>
        <v>5570000.0000000205</v>
      </c>
      <c r="BK806">
        <f t="shared" ca="1" si="347"/>
        <v>0</v>
      </c>
      <c r="BL806">
        <f ca="1">IF(ROW()&lt;($C$7+1),"",IFERROR((分析データ!E806-AVERAGE(OFFSET(分析データ!E$1,MAX(1,ROW()-$C$7),0,MIN($C$7,ROW()-1),1)))/STDEV(OFFSET(分析データ!E$1,MAX(1,ROW()-$C$7),0,MIN($C$7,ROW()-1),1)),0))</f>
        <v>-1.2491652848612116</v>
      </c>
      <c r="BM806">
        <f t="shared" ca="1" si="348"/>
        <v>0</v>
      </c>
      <c r="BN806" t="str">
        <f ca="1">IF(BM806=1,IF(INDEX(分析データ!$A:$A,ROW()+$C$5)&lt;&gt;"",40000*SIGN(BL806)*(分析データ!E806-INDEX(分析データ!E:E,ROW()+$C$5)),""),"")</f>
        <v/>
      </c>
      <c r="BO806">
        <f t="shared" ca="1" si="349"/>
        <v>4280000.0000000028</v>
      </c>
      <c r="BP806">
        <f t="shared" ca="1" si="350"/>
        <v>4280000.0000000028</v>
      </c>
      <c r="BQ806">
        <f t="shared" ca="1" si="351"/>
        <v>0</v>
      </c>
      <c r="BR806">
        <f ca="1">IF(ROW()&lt;($C$7+1),"",IFERROR((分析データ!F806-AVERAGE(OFFSET(分析データ!F$1,MAX(1,ROW()-$C$7),0,MIN($C$7,ROW()-1),1)))/STDEV(OFFSET(分析データ!F$1,MAX(1,ROW()-$C$7),0,MIN($C$7,ROW()-1),1)),0))</f>
        <v>-0.32876941260731818</v>
      </c>
      <c r="BS806">
        <f t="shared" ca="1" si="352"/>
        <v>0</v>
      </c>
      <c r="BT806" t="str">
        <f ca="1">IF(BS806=1,IF(INDEX(分析データ!$A:$A,ROW()+$C$5)&lt;&gt;"",40000*SIGN(BR806)*(分析データ!F806-INDEX(分析データ!F:F,ROW()+$C$5)),""),"")</f>
        <v/>
      </c>
      <c r="BU806">
        <f t="shared" ca="1" si="353"/>
        <v>14917200.000000004</v>
      </c>
      <c r="BV806">
        <f t="shared" ca="1" si="354"/>
        <v>14917200.000000004</v>
      </c>
      <c r="BW806">
        <f t="shared" ca="1" si="355"/>
        <v>0</v>
      </c>
      <c r="BX806">
        <f ca="1">IF(ROW()&lt;($C$7+1),"",IFERROR((分析データ!G806-AVERAGE(OFFSET(分析データ!G$1,MAX(1,ROW()-$C$7),0,MIN($C$7,ROW()-1),1)))/STDEV(OFFSET(分析データ!G$1,MAX(1,ROW()-$C$7),0,MIN($C$7,ROW()-1),1)),0))</f>
        <v>0.84001715309578207</v>
      </c>
      <c r="BY806">
        <f t="shared" ca="1" si="356"/>
        <v>0</v>
      </c>
      <c r="BZ806" t="str">
        <f ca="1">IF(BY806=1,IF(INDEX(分析データ!$A:$A,ROW()+$C$5)&lt;&gt;"",40000*SIGN(BX806)*(分析データ!G806-INDEX(分析データ!G:G,ROW()+$C$5)),""),"")</f>
        <v/>
      </c>
      <c r="CA806">
        <f t="shared" ca="1" si="357"/>
        <v>-3515452.8662109179</v>
      </c>
      <c r="CB806">
        <f t="shared" ca="1" si="358"/>
        <v>11327520.000000004</v>
      </c>
      <c r="CC806">
        <f t="shared" ca="1" si="359"/>
        <v>-14842972.866210923</v>
      </c>
      <c r="CD806">
        <f t="shared" ca="1" si="360"/>
        <v>0</v>
      </c>
      <c r="CE806">
        <f t="shared" ca="1" si="361"/>
        <v>21567747.133789141</v>
      </c>
      <c r="CF806">
        <f t="shared" ca="1" si="362"/>
        <v>21567747.133789141</v>
      </c>
      <c r="CG806">
        <f t="shared" ca="1" si="363"/>
        <v>0</v>
      </c>
      <c r="CH806" s="10">
        <f>分析データ!A806</f>
        <v>46105</v>
      </c>
    </row>
    <row r="807" spans="46:86">
      <c r="AT807">
        <f ca="1">IF(ROW()&lt;($C$7+1),"",IFERROR((分析データ!B807-AVERAGE(OFFSET(分析データ!B$1,MAX(1,ROW()-$C$7),0,MIN($C$7,ROW()-1),1)))/STDEV(OFFSET(分析データ!B$1,MAX(1,ROW()-$C$7),0,MIN($C$7,ROW()-1),1)),0))</f>
        <v>-0.94465355425425912</v>
      </c>
      <c r="AU807">
        <f t="shared" ca="1" si="336"/>
        <v>0</v>
      </c>
      <c r="AV807" t="str">
        <f ca="1">IF(AU807=1,IF(INDEX(分析データ!$A:$A,ROW()+$C$5)&lt;&gt;"",80000*SIGN(AT807)*(分析データ!B807-INDEX(分析データ!B:B,ROW()+$C$5)),""),"")</f>
        <v/>
      </c>
      <c r="AW807">
        <f t="shared" ca="1" si="337"/>
        <v>-2839999.9999999963</v>
      </c>
      <c r="AX807">
        <f t="shared" ca="1" si="338"/>
        <v>0</v>
      </c>
      <c r="AY807">
        <f t="shared" ca="1" si="339"/>
        <v>-2839999.9999999963</v>
      </c>
      <c r="AZ807">
        <f ca="1">IF(ROW()&lt;($C$7+1),"",IFERROR((分析データ!C807-AVERAGE(OFFSET(分析データ!C$1,MAX(1,ROW()-$C$7),0,MIN($C$7,ROW()-1),1)))/STDEV(OFFSET(分析データ!C$1,MAX(1,ROW()-$C$7),0,MIN($C$7,ROW()-1),1)),0))</f>
        <v>1.7043438283105445</v>
      </c>
      <c r="BA807">
        <f t="shared" ca="1" si="340"/>
        <v>0</v>
      </c>
      <c r="BB807" t="str">
        <f ca="1">IF(BA807=1,IF(INDEX(分析データ!$A:$A,ROW()+$C$5)&lt;&gt;"",60000*SIGN(AZ807)*(分析データ!C807-INDEX(分析データ!C:C,ROW()+$C$5)),""),"")</f>
        <v/>
      </c>
      <c r="BC807">
        <f t="shared" ca="1" si="341"/>
        <v>3156000.0000000107</v>
      </c>
      <c r="BD807">
        <f t="shared" ca="1" si="342"/>
        <v>3156000.0000000107</v>
      </c>
      <c r="BE807">
        <f t="shared" ca="1" si="343"/>
        <v>0</v>
      </c>
      <c r="BF807">
        <f ca="1">IF(ROW()&lt;($C$7+1),"",IFERROR((分析データ!D807-AVERAGE(OFFSET(分析データ!D$1,MAX(1,ROW()-$C$7),0,MIN($C$7,ROW()-1),1)))/STDEV(OFFSET(分析データ!D$1,MAX(1,ROW()-$C$7),0,MIN($C$7,ROW()-1),1)),0))</f>
        <v>-1.1457900905449361</v>
      </c>
      <c r="BG807">
        <f t="shared" ca="1" si="344"/>
        <v>0</v>
      </c>
      <c r="BH807" t="str">
        <f ca="1">IF(BG807=1,IF(INDEX(分析データ!$A:$A,ROW()+$C$5)&lt;&gt;"",50000*SIGN(BF807)*(分析データ!D807-INDEX(分析データ!D:D,ROW()+$C$5)),""),"")</f>
        <v/>
      </c>
      <c r="BI807">
        <f t="shared" ca="1" si="345"/>
        <v>5570000.0000000205</v>
      </c>
      <c r="BJ807">
        <f t="shared" ca="1" si="346"/>
        <v>5570000.0000000205</v>
      </c>
      <c r="BK807">
        <f t="shared" ca="1" si="347"/>
        <v>0</v>
      </c>
      <c r="BL807">
        <f ca="1">IF(ROW()&lt;($C$7+1),"",IFERROR((分析データ!E807-AVERAGE(OFFSET(分析データ!E$1,MAX(1,ROW()-$C$7),0,MIN($C$7,ROW()-1),1)))/STDEV(OFFSET(分析データ!E$1,MAX(1,ROW()-$C$7),0,MIN($C$7,ROW()-1),1)),0))</f>
        <v>-1.0897188720997728</v>
      </c>
      <c r="BM807">
        <f t="shared" ca="1" si="348"/>
        <v>0</v>
      </c>
      <c r="BN807" t="str">
        <f ca="1">IF(BM807=1,IF(INDEX(分析データ!$A:$A,ROW()+$C$5)&lt;&gt;"",40000*SIGN(BL807)*(分析データ!E807-INDEX(分析データ!E:E,ROW()+$C$5)),""),"")</f>
        <v/>
      </c>
      <c r="BO807">
        <f t="shared" ca="1" si="349"/>
        <v>4280000.0000000028</v>
      </c>
      <c r="BP807">
        <f t="shared" ca="1" si="350"/>
        <v>4280000.0000000028</v>
      </c>
      <c r="BQ807">
        <f t="shared" ca="1" si="351"/>
        <v>0</v>
      </c>
      <c r="BR807">
        <f ca="1">IF(ROW()&lt;($C$7+1),"",IFERROR((分析データ!F807-AVERAGE(OFFSET(分析データ!F$1,MAX(1,ROW()-$C$7),0,MIN($C$7,ROW()-1),1)))/STDEV(OFFSET(分析データ!F$1,MAX(1,ROW()-$C$7),0,MIN($C$7,ROW()-1),1)),0))</f>
        <v>-8.1171490902165452E-2</v>
      </c>
      <c r="BS807">
        <f t="shared" ca="1" si="352"/>
        <v>0</v>
      </c>
      <c r="BT807" t="str">
        <f ca="1">IF(BS807=1,IF(INDEX(分析データ!$A:$A,ROW()+$C$5)&lt;&gt;"",40000*SIGN(BR807)*(分析データ!F807-INDEX(分析データ!F:F,ROW()+$C$5)),""),"")</f>
        <v/>
      </c>
      <c r="BU807">
        <f t="shared" ca="1" si="353"/>
        <v>14917200.000000004</v>
      </c>
      <c r="BV807">
        <f t="shared" ca="1" si="354"/>
        <v>14917200.000000004</v>
      </c>
      <c r="BW807">
        <f t="shared" ca="1" si="355"/>
        <v>0</v>
      </c>
      <c r="BX807">
        <f ca="1">IF(ROW()&lt;($C$7+1),"",IFERROR((分析データ!G807-AVERAGE(OFFSET(分析データ!G$1,MAX(1,ROW()-$C$7),0,MIN($C$7,ROW()-1),1)))/STDEV(OFFSET(分析データ!G$1,MAX(1,ROW()-$C$7),0,MIN($C$7,ROW()-1),1)),0))</f>
        <v>0.80768444111556703</v>
      </c>
      <c r="BY807">
        <f t="shared" ca="1" si="356"/>
        <v>0</v>
      </c>
      <c r="BZ807" t="str">
        <f ca="1">IF(BY807=1,IF(INDEX(分析データ!$A:$A,ROW()+$C$5)&lt;&gt;"",40000*SIGN(BX807)*(分析データ!G807-INDEX(分析データ!G:G,ROW()+$C$5)),""),"")</f>
        <v/>
      </c>
      <c r="CA807">
        <f t="shared" ca="1" si="357"/>
        <v>-3515452.8662109179</v>
      </c>
      <c r="CB807">
        <f t="shared" ca="1" si="358"/>
        <v>11327520.000000004</v>
      </c>
      <c r="CC807">
        <f t="shared" ca="1" si="359"/>
        <v>-14842972.866210923</v>
      </c>
      <c r="CD807">
        <f t="shared" ca="1" si="360"/>
        <v>0</v>
      </c>
      <c r="CE807">
        <f t="shared" ca="1" si="361"/>
        <v>21567747.133789141</v>
      </c>
      <c r="CF807">
        <f t="shared" ca="1" si="362"/>
        <v>21567747.133789141</v>
      </c>
      <c r="CG807">
        <f t="shared" ca="1" si="363"/>
        <v>0</v>
      </c>
      <c r="CH807" s="10">
        <f>分析データ!A807</f>
        <v>46106</v>
      </c>
    </row>
    <row r="808" spans="46:86">
      <c r="AT808">
        <f ca="1">IF(ROW()&lt;($C$7+1),"",IFERROR((分析データ!B808-AVERAGE(OFFSET(分析データ!B$1,MAX(1,ROW()-$C$7),0,MIN($C$7,ROW()-1),1)))/STDEV(OFFSET(分析データ!B$1,MAX(1,ROW()-$C$7),0,MIN($C$7,ROW()-1),1)),0))</f>
        <v>-0.60956407143370761</v>
      </c>
      <c r="AU808">
        <f t="shared" ca="1" si="336"/>
        <v>0</v>
      </c>
      <c r="AV808" t="str">
        <f ca="1">IF(AU808=1,IF(INDEX(分析データ!$A:$A,ROW()+$C$5)&lt;&gt;"",80000*SIGN(AT808)*(分析データ!B808-INDEX(分析データ!B:B,ROW()+$C$5)),""),"")</f>
        <v/>
      </c>
      <c r="AW808">
        <f t="shared" ca="1" si="337"/>
        <v>-2839999.9999999963</v>
      </c>
      <c r="AX808">
        <f t="shared" ca="1" si="338"/>
        <v>0</v>
      </c>
      <c r="AY808">
        <f t="shared" ca="1" si="339"/>
        <v>-2839999.9999999963</v>
      </c>
      <c r="AZ808">
        <f ca="1">IF(ROW()&lt;($C$7+1),"",IFERROR((分析データ!C808-AVERAGE(OFFSET(分析データ!C$1,MAX(1,ROW()-$C$7),0,MIN($C$7,ROW()-1),1)))/STDEV(OFFSET(分析データ!C$1,MAX(1,ROW()-$C$7),0,MIN($C$7,ROW()-1),1)),0))</f>
        <v>1.6817137450639408</v>
      </c>
      <c r="BA808">
        <f t="shared" ca="1" si="340"/>
        <v>0</v>
      </c>
      <c r="BB808" t="str">
        <f ca="1">IF(BA808=1,IF(INDEX(分析データ!$A:$A,ROW()+$C$5)&lt;&gt;"",60000*SIGN(AZ808)*(分析データ!C808-INDEX(分析データ!C:C,ROW()+$C$5)),""),"")</f>
        <v/>
      </c>
      <c r="BC808">
        <f t="shared" ca="1" si="341"/>
        <v>3156000.0000000107</v>
      </c>
      <c r="BD808">
        <f t="shared" ca="1" si="342"/>
        <v>3156000.0000000107</v>
      </c>
      <c r="BE808">
        <f t="shared" ca="1" si="343"/>
        <v>0</v>
      </c>
      <c r="BF808">
        <f ca="1">IF(ROW()&lt;($C$7+1),"",IFERROR((分析データ!D808-AVERAGE(OFFSET(分析データ!D$1,MAX(1,ROW()-$C$7),0,MIN($C$7,ROW()-1),1)))/STDEV(OFFSET(分析データ!D$1,MAX(1,ROW()-$C$7),0,MIN($C$7,ROW()-1),1)),0))</f>
        <v>-0.95176757448421412</v>
      </c>
      <c r="BG808">
        <f t="shared" ca="1" si="344"/>
        <v>0</v>
      </c>
      <c r="BH808" t="str">
        <f ca="1">IF(BG808=1,IF(INDEX(分析データ!$A:$A,ROW()+$C$5)&lt;&gt;"",50000*SIGN(BF808)*(分析データ!D808-INDEX(分析データ!D:D,ROW()+$C$5)),""),"")</f>
        <v/>
      </c>
      <c r="BI808">
        <f t="shared" ca="1" si="345"/>
        <v>5570000.0000000205</v>
      </c>
      <c r="BJ808">
        <f t="shared" ca="1" si="346"/>
        <v>5570000.0000000205</v>
      </c>
      <c r="BK808">
        <f t="shared" ca="1" si="347"/>
        <v>0</v>
      </c>
      <c r="BL808">
        <f ca="1">IF(ROW()&lt;($C$7+1),"",IFERROR((分析データ!E808-AVERAGE(OFFSET(分析データ!E$1,MAX(1,ROW()-$C$7),0,MIN($C$7,ROW()-1),1)))/STDEV(OFFSET(分析データ!E$1,MAX(1,ROW()-$C$7),0,MIN($C$7,ROW()-1),1)),0))</f>
        <v>-1.7526781639616338</v>
      </c>
      <c r="BM808">
        <f t="shared" ca="1" si="348"/>
        <v>0</v>
      </c>
      <c r="BN808" t="str">
        <f ca="1">IF(BM808=1,IF(INDEX(分析データ!$A:$A,ROW()+$C$5)&lt;&gt;"",40000*SIGN(BL808)*(分析データ!E808-INDEX(分析データ!E:E,ROW()+$C$5)),""),"")</f>
        <v/>
      </c>
      <c r="BO808">
        <f t="shared" ca="1" si="349"/>
        <v>4280000.0000000028</v>
      </c>
      <c r="BP808">
        <f t="shared" ca="1" si="350"/>
        <v>4280000.0000000028</v>
      </c>
      <c r="BQ808">
        <f t="shared" ca="1" si="351"/>
        <v>0</v>
      </c>
      <c r="BR808">
        <f ca="1">IF(ROW()&lt;($C$7+1),"",IFERROR((分析データ!F808-AVERAGE(OFFSET(分析データ!F$1,MAX(1,ROW()-$C$7),0,MIN($C$7,ROW()-1),1)))/STDEV(OFFSET(分析データ!F$1,MAX(1,ROW()-$C$7),0,MIN($C$7,ROW()-1),1)),0))</f>
        <v>-0.77992537456240318</v>
      </c>
      <c r="BS808">
        <f t="shared" ca="1" si="352"/>
        <v>0</v>
      </c>
      <c r="BT808" t="str">
        <f ca="1">IF(BS808=1,IF(INDEX(分析データ!$A:$A,ROW()+$C$5)&lt;&gt;"",40000*SIGN(BR808)*(分析データ!F808-INDEX(分析データ!F:F,ROW()+$C$5)),""),"")</f>
        <v/>
      </c>
      <c r="BU808">
        <f t="shared" ca="1" si="353"/>
        <v>14917200.000000004</v>
      </c>
      <c r="BV808">
        <f t="shared" ca="1" si="354"/>
        <v>14917200.000000004</v>
      </c>
      <c r="BW808">
        <f t="shared" ca="1" si="355"/>
        <v>0</v>
      </c>
      <c r="BX808">
        <f ca="1">IF(ROW()&lt;($C$7+1),"",IFERROR((分析データ!G808-AVERAGE(OFFSET(分析データ!G$1,MAX(1,ROW()-$C$7),0,MIN($C$7,ROW()-1),1)))/STDEV(OFFSET(分析データ!G$1,MAX(1,ROW()-$C$7),0,MIN($C$7,ROW()-1),1)),0))</f>
        <v>0.86275387189131081</v>
      </c>
      <c r="BY808">
        <f t="shared" ca="1" si="356"/>
        <v>0</v>
      </c>
      <c r="BZ808" t="str">
        <f ca="1">IF(BY808=1,IF(INDEX(分析データ!$A:$A,ROW()+$C$5)&lt;&gt;"",40000*SIGN(BX808)*(分析データ!G808-INDEX(分析データ!G:G,ROW()+$C$5)),""),"")</f>
        <v/>
      </c>
      <c r="CA808">
        <f t="shared" ca="1" si="357"/>
        <v>-3515452.8662109179</v>
      </c>
      <c r="CB808">
        <f t="shared" ca="1" si="358"/>
        <v>11327520.000000004</v>
      </c>
      <c r="CC808">
        <f t="shared" ca="1" si="359"/>
        <v>-14842972.866210923</v>
      </c>
      <c r="CD808">
        <f t="shared" ca="1" si="360"/>
        <v>0</v>
      </c>
      <c r="CE808">
        <f t="shared" ca="1" si="361"/>
        <v>21567747.133789141</v>
      </c>
      <c r="CF808">
        <f t="shared" ca="1" si="362"/>
        <v>21567747.133789141</v>
      </c>
      <c r="CG808">
        <f t="shared" ca="1" si="363"/>
        <v>0</v>
      </c>
      <c r="CH808" s="10">
        <f>分析データ!A808</f>
        <v>46107</v>
      </c>
    </row>
    <row r="809" spans="46:86">
      <c r="AT809">
        <f ca="1">IF(ROW()&lt;($C$7+1),"",IFERROR((分析データ!B809-AVERAGE(OFFSET(分析データ!B$1,MAX(1,ROW()-$C$7),0,MIN($C$7,ROW()-1),1)))/STDEV(OFFSET(分析データ!B$1,MAX(1,ROW()-$C$7),0,MIN($C$7,ROW()-1),1)),0))</f>
        <v>0.55370247384168503</v>
      </c>
      <c r="AU809">
        <f t="shared" ca="1" si="336"/>
        <v>0</v>
      </c>
      <c r="AV809" t="str">
        <f ca="1">IF(AU809=1,IF(INDEX(分析データ!$A:$A,ROW()+$C$5)&lt;&gt;"",80000*SIGN(AT809)*(分析データ!B809-INDEX(分析データ!B:B,ROW()+$C$5)),""),"")</f>
        <v/>
      </c>
      <c r="AW809">
        <f t="shared" ca="1" si="337"/>
        <v>-2839999.9999999963</v>
      </c>
      <c r="AX809">
        <f t="shared" ca="1" si="338"/>
        <v>0</v>
      </c>
      <c r="AY809">
        <f t="shared" ca="1" si="339"/>
        <v>-2839999.9999999963</v>
      </c>
      <c r="AZ809">
        <f ca="1">IF(ROW()&lt;($C$7+1),"",IFERROR((分析データ!C809-AVERAGE(OFFSET(分析データ!C$1,MAX(1,ROW()-$C$7),0,MIN($C$7,ROW()-1),1)))/STDEV(OFFSET(分析データ!C$1,MAX(1,ROW()-$C$7),0,MIN($C$7,ROW()-1),1)),0))</f>
        <v>1.694176521998753</v>
      </c>
      <c r="BA809">
        <f t="shared" ca="1" si="340"/>
        <v>0</v>
      </c>
      <c r="BB809" t="str">
        <f ca="1">IF(BA809=1,IF(INDEX(分析データ!$A:$A,ROW()+$C$5)&lt;&gt;"",60000*SIGN(AZ809)*(分析データ!C809-INDEX(分析データ!C:C,ROW()+$C$5)),""),"")</f>
        <v/>
      </c>
      <c r="BC809">
        <f t="shared" ca="1" si="341"/>
        <v>3156000.0000000107</v>
      </c>
      <c r="BD809">
        <f t="shared" ca="1" si="342"/>
        <v>3156000.0000000107</v>
      </c>
      <c r="BE809">
        <f t="shared" ca="1" si="343"/>
        <v>0</v>
      </c>
      <c r="BF809">
        <f ca="1">IF(ROW()&lt;($C$7+1),"",IFERROR((分析データ!D809-AVERAGE(OFFSET(分析データ!D$1,MAX(1,ROW()-$C$7),0,MIN($C$7,ROW()-1),1)))/STDEV(OFFSET(分析データ!D$1,MAX(1,ROW()-$C$7),0,MIN($C$7,ROW()-1),1)),0))</f>
        <v>-1.1370478716783665</v>
      </c>
      <c r="BG809">
        <f t="shared" ca="1" si="344"/>
        <v>0</v>
      </c>
      <c r="BH809" t="str">
        <f ca="1">IF(BG809=1,IF(INDEX(分析データ!$A:$A,ROW()+$C$5)&lt;&gt;"",50000*SIGN(BF809)*(分析データ!D809-INDEX(分析データ!D:D,ROW()+$C$5)),""),"")</f>
        <v/>
      </c>
      <c r="BI809">
        <f t="shared" ca="1" si="345"/>
        <v>5570000.0000000205</v>
      </c>
      <c r="BJ809">
        <f t="shared" ca="1" si="346"/>
        <v>5570000.0000000205</v>
      </c>
      <c r="BK809">
        <f t="shared" ca="1" si="347"/>
        <v>0</v>
      </c>
      <c r="BL809">
        <f ca="1">IF(ROW()&lt;($C$7+1),"",IFERROR((分析データ!E809-AVERAGE(OFFSET(分析データ!E$1,MAX(1,ROW()-$C$7),0,MIN($C$7,ROW()-1),1)))/STDEV(OFFSET(分析データ!E$1,MAX(1,ROW()-$C$7),0,MIN($C$7,ROW()-1),1)),0))</f>
        <v>-0.94293903196361095</v>
      </c>
      <c r="BM809">
        <f t="shared" ca="1" si="348"/>
        <v>0</v>
      </c>
      <c r="BN809" t="str">
        <f ca="1">IF(BM809=1,IF(INDEX(分析データ!$A:$A,ROW()+$C$5)&lt;&gt;"",40000*SIGN(BL809)*(分析データ!E809-INDEX(分析データ!E:E,ROW()+$C$5)),""),"")</f>
        <v/>
      </c>
      <c r="BO809">
        <f t="shared" ca="1" si="349"/>
        <v>4280000.0000000028</v>
      </c>
      <c r="BP809">
        <f t="shared" ca="1" si="350"/>
        <v>4280000.0000000028</v>
      </c>
      <c r="BQ809">
        <f t="shared" ca="1" si="351"/>
        <v>0</v>
      </c>
      <c r="BR809">
        <f ca="1">IF(ROW()&lt;($C$7+1),"",IFERROR((分析データ!F809-AVERAGE(OFFSET(分析データ!F$1,MAX(1,ROW()-$C$7),0,MIN($C$7,ROW()-1),1)))/STDEV(OFFSET(分析データ!F$1,MAX(1,ROW()-$C$7),0,MIN($C$7,ROW()-1),1)),0))</f>
        <v>-0.27797078069027636</v>
      </c>
      <c r="BS809">
        <f t="shared" ca="1" si="352"/>
        <v>0</v>
      </c>
      <c r="BT809" t="str">
        <f ca="1">IF(BS809=1,IF(INDEX(分析データ!$A:$A,ROW()+$C$5)&lt;&gt;"",40000*SIGN(BR809)*(分析データ!F809-INDEX(分析データ!F:F,ROW()+$C$5)),""),"")</f>
        <v/>
      </c>
      <c r="BU809">
        <f t="shared" ca="1" si="353"/>
        <v>14917200.000000004</v>
      </c>
      <c r="BV809">
        <f t="shared" ca="1" si="354"/>
        <v>14917200.000000004</v>
      </c>
      <c r="BW809">
        <f t="shared" ca="1" si="355"/>
        <v>0</v>
      </c>
      <c r="BX809">
        <f ca="1">IF(ROW()&lt;($C$7+1),"",IFERROR((分析データ!G809-AVERAGE(OFFSET(分析データ!G$1,MAX(1,ROW()-$C$7),0,MIN($C$7,ROW()-1),1)))/STDEV(OFFSET(分析データ!G$1,MAX(1,ROW()-$C$7),0,MIN($C$7,ROW()-1),1)),0))</f>
        <v>0.83716475793547185</v>
      </c>
      <c r="BY809">
        <f t="shared" ca="1" si="356"/>
        <v>0</v>
      </c>
      <c r="BZ809" t="str">
        <f ca="1">IF(BY809=1,IF(INDEX(分析データ!$A:$A,ROW()+$C$5)&lt;&gt;"",40000*SIGN(BX809)*(分析データ!G809-INDEX(分析データ!G:G,ROW()+$C$5)),""),"")</f>
        <v/>
      </c>
      <c r="CA809">
        <f t="shared" ca="1" si="357"/>
        <v>-3515452.8662109179</v>
      </c>
      <c r="CB809">
        <f t="shared" ca="1" si="358"/>
        <v>11327520.000000004</v>
      </c>
      <c r="CC809">
        <f t="shared" ca="1" si="359"/>
        <v>-14842972.866210923</v>
      </c>
      <c r="CD809">
        <f t="shared" ca="1" si="360"/>
        <v>0</v>
      </c>
      <c r="CE809">
        <f t="shared" ca="1" si="361"/>
        <v>21567747.133789141</v>
      </c>
      <c r="CF809">
        <f t="shared" ca="1" si="362"/>
        <v>21567747.133789141</v>
      </c>
      <c r="CG809">
        <f t="shared" ca="1" si="363"/>
        <v>0</v>
      </c>
      <c r="CH809" s="10">
        <f>分析データ!A809</f>
        <v>46108</v>
      </c>
    </row>
    <row r="810" spans="46:86">
      <c r="AT810">
        <f ca="1">IF(ROW()&lt;($C$7+1),"",IFERROR((分析データ!B810-AVERAGE(OFFSET(分析データ!B$1,MAX(1,ROW()-$C$7),0,MIN($C$7,ROW()-1),1)))/STDEV(OFFSET(分析データ!B$1,MAX(1,ROW()-$C$7),0,MIN($C$7,ROW()-1),1)),0))</f>
        <v>-0.276231179238279</v>
      </c>
      <c r="AU810">
        <f t="shared" ca="1" si="336"/>
        <v>0</v>
      </c>
      <c r="AV810" t="str">
        <f ca="1">IF(AU810=1,IF(INDEX(分析データ!$A:$A,ROW()+$C$5)&lt;&gt;"",80000*SIGN(AT810)*(分析データ!B810-INDEX(分析データ!B:B,ROW()+$C$5)),""),"")</f>
        <v/>
      </c>
      <c r="AW810">
        <f t="shared" ca="1" si="337"/>
        <v>-2839999.9999999963</v>
      </c>
      <c r="AX810">
        <f t="shared" ca="1" si="338"/>
        <v>0</v>
      </c>
      <c r="AY810">
        <f t="shared" ca="1" si="339"/>
        <v>-2839999.9999999963</v>
      </c>
      <c r="AZ810">
        <f ca="1">IF(ROW()&lt;($C$7+1),"",IFERROR((分析データ!C810-AVERAGE(OFFSET(分析データ!C$1,MAX(1,ROW()-$C$7),0,MIN($C$7,ROW()-1),1)))/STDEV(OFFSET(分析データ!C$1,MAX(1,ROW()-$C$7),0,MIN($C$7,ROW()-1),1)),0))</f>
        <v>1.3118409094937409</v>
      </c>
      <c r="BA810">
        <f t="shared" ca="1" si="340"/>
        <v>0</v>
      </c>
      <c r="BB810" t="str">
        <f ca="1">IF(BA810=1,IF(INDEX(分析データ!$A:$A,ROW()+$C$5)&lt;&gt;"",60000*SIGN(AZ810)*(分析データ!C810-INDEX(分析データ!C:C,ROW()+$C$5)),""),"")</f>
        <v/>
      </c>
      <c r="BC810">
        <f t="shared" ca="1" si="341"/>
        <v>3156000.0000000107</v>
      </c>
      <c r="BD810">
        <f t="shared" ca="1" si="342"/>
        <v>3156000.0000000107</v>
      </c>
      <c r="BE810">
        <f t="shared" ca="1" si="343"/>
        <v>0</v>
      </c>
      <c r="BF810">
        <f ca="1">IF(ROW()&lt;($C$7+1),"",IFERROR((分析データ!D810-AVERAGE(OFFSET(分析データ!D$1,MAX(1,ROW()-$C$7),0,MIN($C$7,ROW()-1),1)))/STDEV(OFFSET(分析データ!D$1,MAX(1,ROW()-$C$7),0,MIN($C$7,ROW()-1),1)),0))</f>
        <v>-1.3302660431699671</v>
      </c>
      <c r="BG810">
        <f t="shared" ca="1" si="344"/>
        <v>0</v>
      </c>
      <c r="BH810" t="str">
        <f ca="1">IF(BG810=1,IF(INDEX(分析データ!$A:$A,ROW()+$C$5)&lt;&gt;"",50000*SIGN(BF810)*(分析データ!D810-INDEX(分析データ!D:D,ROW()+$C$5)),""),"")</f>
        <v/>
      </c>
      <c r="BI810">
        <f t="shared" ca="1" si="345"/>
        <v>5570000.0000000205</v>
      </c>
      <c r="BJ810">
        <f t="shared" ca="1" si="346"/>
        <v>5570000.0000000205</v>
      </c>
      <c r="BK810">
        <f t="shared" ca="1" si="347"/>
        <v>0</v>
      </c>
      <c r="BL810">
        <f ca="1">IF(ROW()&lt;($C$7+1),"",IFERROR((分析データ!E810-AVERAGE(OFFSET(分析データ!E$1,MAX(1,ROW()-$C$7),0,MIN($C$7,ROW()-1),1)))/STDEV(OFFSET(分析データ!E$1,MAX(1,ROW()-$C$7),0,MIN($C$7,ROW()-1),1)),0))</f>
        <v>-0.98475343007020744</v>
      </c>
      <c r="BM810">
        <f t="shared" ca="1" si="348"/>
        <v>0</v>
      </c>
      <c r="BN810" t="str">
        <f ca="1">IF(BM810=1,IF(INDEX(分析データ!$A:$A,ROW()+$C$5)&lt;&gt;"",40000*SIGN(BL810)*(分析データ!E810-INDEX(分析データ!E:E,ROW()+$C$5)),""),"")</f>
        <v/>
      </c>
      <c r="BO810">
        <f t="shared" ca="1" si="349"/>
        <v>4280000.0000000028</v>
      </c>
      <c r="BP810">
        <f t="shared" ca="1" si="350"/>
        <v>4280000.0000000028</v>
      </c>
      <c r="BQ810">
        <f t="shared" ca="1" si="351"/>
        <v>0</v>
      </c>
      <c r="BR810">
        <f ca="1">IF(ROW()&lt;($C$7+1),"",IFERROR((分析データ!F810-AVERAGE(OFFSET(分析データ!F$1,MAX(1,ROW()-$C$7),0,MIN($C$7,ROW()-1),1)))/STDEV(OFFSET(分析データ!F$1,MAX(1,ROW()-$C$7),0,MIN($C$7,ROW()-1),1)),0))</f>
        <v>0.21876794512047862</v>
      </c>
      <c r="BS810">
        <f t="shared" ca="1" si="352"/>
        <v>0</v>
      </c>
      <c r="BT810" t="str">
        <f ca="1">IF(BS810=1,IF(INDEX(分析データ!$A:$A,ROW()+$C$5)&lt;&gt;"",40000*SIGN(BR810)*(分析データ!F810-INDEX(分析データ!F:F,ROW()+$C$5)),""),"")</f>
        <v/>
      </c>
      <c r="BU810">
        <f t="shared" ca="1" si="353"/>
        <v>14917200.000000004</v>
      </c>
      <c r="BV810">
        <f t="shared" ca="1" si="354"/>
        <v>14917200.000000004</v>
      </c>
      <c r="BW810">
        <f t="shared" ca="1" si="355"/>
        <v>0</v>
      </c>
      <c r="BX810">
        <f ca="1">IF(ROW()&lt;($C$7+1),"",IFERROR((分析データ!G810-AVERAGE(OFFSET(分析データ!G$1,MAX(1,ROW()-$C$7),0,MIN($C$7,ROW()-1),1)))/STDEV(OFFSET(分析データ!G$1,MAX(1,ROW()-$C$7),0,MIN($C$7,ROW()-1),1)),0))</f>
        <v>0.84370257576071062</v>
      </c>
      <c r="BY810">
        <f t="shared" ca="1" si="356"/>
        <v>0</v>
      </c>
      <c r="BZ810" t="str">
        <f ca="1">IF(BY810=1,IF(INDEX(分析データ!$A:$A,ROW()+$C$5)&lt;&gt;"",40000*SIGN(BX810)*(分析データ!G810-INDEX(分析データ!G:G,ROW()+$C$5)),""),"")</f>
        <v/>
      </c>
      <c r="CA810">
        <f t="shared" ca="1" si="357"/>
        <v>-3515452.8662109179</v>
      </c>
      <c r="CB810">
        <f t="shared" ca="1" si="358"/>
        <v>11327520.000000004</v>
      </c>
      <c r="CC810">
        <f t="shared" ca="1" si="359"/>
        <v>-14842972.866210923</v>
      </c>
      <c r="CD810">
        <f t="shared" ca="1" si="360"/>
        <v>0</v>
      </c>
      <c r="CE810">
        <f t="shared" ca="1" si="361"/>
        <v>21567747.133789141</v>
      </c>
      <c r="CF810">
        <f t="shared" ca="1" si="362"/>
        <v>21567747.133789141</v>
      </c>
      <c r="CG810">
        <f t="shared" ca="1" si="363"/>
        <v>0</v>
      </c>
      <c r="CH810" s="10">
        <f>分析データ!A810</f>
        <v>46111</v>
      </c>
    </row>
    <row r="811" spans="46:86">
      <c r="AT811">
        <f ca="1">IF(ROW()&lt;($C$7+1),"",IFERROR((分析データ!B811-AVERAGE(OFFSET(分析データ!B$1,MAX(1,ROW()-$C$7),0,MIN($C$7,ROW()-1),1)))/STDEV(OFFSET(分析データ!B$1,MAX(1,ROW()-$C$7),0,MIN($C$7,ROW()-1),1)),0))</f>
        <v>-0.93508979003996717</v>
      </c>
      <c r="AU811">
        <f t="shared" ca="1" si="336"/>
        <v>0</v>
      </c>
      <c r="AV811" t="str">
        <f ca="1">IF(AU811=1,IF(INDEX(分析データ!$A:$A,ROW()+$C$5)&lt;&gt;"",80000*SIGN(AT811)*(分析データ!B811-INDEX(分析データ!B:B,ROW()+$C$5)),""),"")</f>
        <v/>
      </c>
      <c r="AW811">
        <f t="shared" ca="1" si="337"/>
        <v>-2839999.9999999963</v>
      </c>
      <c r="AX811">
        <f t="shared" ca="1" si="338"/>
        <v>0</v>
      </c>
      <c r="AY811">
        <f t="shared" ca="1" si="339"/>
        <v>-2839999.9999999963</v>
      </c>
      <c r="AZ811">
        <f ca="1">IF(ROW()&lt;($C$7+1),"",IFERROR((分析データ!C811-AVERAGE(OFFSET(分析データ!C$1,MAX(1,ROW()-$C$7),0,MIN($C$7,ROW()-1),1)))/STDEV(OFFSET(分析データ!C$1,MAX(1,ROW()-$C$7),0,MIN($C$7,ROW()-1),1)),0))</f>
        <v>1.5821323080242464</v>
      </c>
      <c r="BA811">
        <f t="shared" ca="1" si="340"/>
        <v>0</v>
      </c>
      <c r="BB811" t="str">
        <f ca="1">IF(BA811=1,IF(INDEX(分析データ!$A:$A,ROW()+$C$5)&lt;&gt;"",60000*SIGN(AZ811)*(分析データ!C811-INDEX(分析データ!C:C,ROW()+$C$5)),""),"")</f>
        <v/>
      </c>
      <c r="BC811">
        <f t="shared" ca="1" si="341"/>
        <v>3156000.0000000107</v>
      </c>
      <c r="BD811">
        <f t="shared" ca="1" si="342"/>
        <v>3156000.0000000107</v>
      </c>
      <c r="BE811">
        <f t="shared" ca="1" si="343"/>
        <v>0</v>
      </c>
      <c r="BF811">
        <f ca="1">IF(ROW()&lt;($C$7+1),"",IFERROR((分析データ!D811-AVERAGE(OFFSET(分析データ!D$1,MAX(1,ROW()-$C$7),0,MIN($C$7,ROW()-1),1)))/STDEV(OFFSET(分析データ!D$1,MAX(1,ROW()-$C$7),0,MIN($C$7,ROW()-1),1)),0))</f>
        <v>-1.4427214225403968</v>
      </c>
      <c r="BG811">
        <f t="shared" ca="1" si="344"/>
        <v>0</v>
      </c>
      <c r="BH811" t="str">
        <f ca="1">IF(BG811=1,IF(INDEX(分析データ!$A:$A,ROW()+$C$5)&lt;&gt;"",50000*SIGN(BF811)*(分析データ!D811-INDEX(分析データ!D:D,ROW()+$C$5)),""),"")</f>
        <v/>
      </c>
      <c r="BI811">
        <f t="shared" ca="1" si="345"/>
        <v>5570000.0000000205</v>
      </c>
      <c r="BJ811">
        <f t="shared" ca="1" si="346"/>
        <v>5570000.0000000205</v>
      </c>
      <c r="BK811">
        <f t="shared" ca="1" si="347"/>
        <v>0</v>
      </c>
      <c r="BL811">
        <f ca="1">IF(ROW()&lt;($C$7+1),"",IFERROR((分析データ!E811-AVERAGE(OFFSET(分析データ!E$1,MAX(1,ROW()-$C$7),0,MIN($C$7,ROW()-1),1)))/STDEV(OFFSET(分析データ!E$1,MAX(1,ROW()-$C$7),0,MIN($C$7,ROW()-1),1)),0))</f>
        <v>-1.0168269040210067</v>
      </c>
      <c r="BM811">
        <f t="shared" ca="1" si="348"/>
        <v>0</v>
      </c>
      <c r="BN811" t="str">
        <f ca="1">IF(BM811=1,IF(INDEX(分析データ!$A:$A,ROW()+$C$5)&lt;&gt;"",40000*SIGN(BL811)*(分析データ!E811-INDEX(分析データ!E:E,ROW()+$C$5)),""),"")</f>
        <v/>
      </c>
      <c r="BO811">
        <f t="shared" ca="1" si="349"/>
        <v>4280000.0000000028</v>
      </c>
      <c r="BP811">
        <f t="shared" ca="1" si="350"/>
        <v>4280000.0000000028</v>
      </c>
      <c r="BQ811">
        <f t="shared" ca="1" si="351"/>
        <v>0</v>
      </c>
      <c r="BR811">
        <f ca="1">IF(ROW()&lt;($C$7+1),"",IFERROR((分析データ!F811-AVERAGE(OFFSET(分析データ!F$1,MAX(1,ROW()-$C$7),0,MIN($C$7,ROW()-1),1)))/STDEV(OFFSET(分析データ!F$1,MAX(1,ROW()-$C$7),0,MIN($C$7,ROW()-1),1)),0))</f>
        <v>3.5641622325367502E-2</v>
      </c>
      <c r="BS811">
        <f t="shared" ca="1" si="352"/>
        <v>0</v>
      </c>
      <c r="BT811" t="str">
        <f ca="1">IF(BS811=1,IF(INDEX(分析データ!$A:$A,ROW()+$C$5)&lt;&gt;"",40000*SIGN(BR811)*(分析データ!F811-INDEX(分析データ!F:F,ROW()+$C$5)),""),"")</f>
        <v/>
      </c>
      <c r="BU811">
        <f t="shared" ca="1" si="353"/>
        <v>14917200.000000004</v>
      </c>
      <c r="BV811">
        <f t="shared" ca="1" si="354"/>
        <v>14917200.000000004</v>
      </c>
      <c r="BW811">
        <f t="shared" ca="1" si="355"/>
        <v>0</v>
      </c>
      <c r="BX811">
        <f ca="1">IF(ROW()&lt;($C$7+1),"",IFERROR((分析データ!G811-AVERAGE(OFFSET(分析データ!G$1,MAX(1,ROW()-$C$7),0,MIN($C$7,ROW()-1),1)))/STDEV(OFFSET(分析データ!G$1,MAX(1,ROW()-$C$7),0,MIN($C$7,ROW()-1),1)),0))</f>
        <v>1.0015971852657606</v>
      </c>
      <c r="BY811">
        <f t="shared" ca="1" si="356"/>
        <v>0</v>
      </c>
      <c r="BZ811" t="str">
        <f ca="1">IF(BY811=1,IF(INDEX(分析データ!$A:$A,ROW()+$C$5)&lt;&gt;"",40000*SIGN(BX811)*(分析データ!G811-INDEX(分析データ!G:G,ROW()+$C$5)),""),"")</f>
        <v/>
      </c>
      <c r="CA811">
        <f t="shared" ca="1" si="357"/>
        <v>-3515452.8662109179</v>
      </c>
      <c r="CB811">
        <f t="shared" ca="1" si="358"/>
        <v>11327520.000000004</v>
      </c>
      <c r="CC811">
        <f t="shared" ca="1" si="359"/>
        <v>-14842972.866210923</v>
      </c>
      <c r="CD811">
        <f t="shared" ca="1" si="360"/>
        <v>0</v>
      </c>
      <c r="CE811">
        <f t="shared" ca="1" si="361"/>
        <v>21567747.133789141</v>
      </c>
      <c r="CF811">
        <f t="shared" ca="1" si="362"/>
        <v>21567747.133789141</v>
      </c>
      <c r="CG811">
        <f t="shared" ca="1" si="363"/>
        <v>0</v>
      </c>
      <c r="CH811" s="10">
        <f>分析データ!A811</f>
        <v>46112</v>
      </c>
    </row>
    <row r="812" spans="46:86">
      <c r="AT812">
        <f ca="1">IF(ROW()&lt;($C$7+1),"",IFERROR((分析データ!B812-AVERAGE(OFFSET(分析データ!B$1,MAX(1,ROW()-$C$7),0,MIN($C$7,ROW()-1),1)))/STDEV(OFFSET(分析データ!B$1,MAX(1,ROW()-$C$7),0,MIN($C$7,ROW()-1),1)),0))</f>
        <v>-0.76216990221494829</v>
      </c>
      <c r="AU812">
        <f t="shared" ca="1" si="336"/>
        <v>0</v>
      </c>
      <c r="AV812" t="str">
        <f ca="1">IF(AU812=1,IF(INDEX(分析データ!$A:$A,ROW()+$C$5)&lt;&gt;"",80000*SIGN(AT812)*(分析データ!B812-INDEX(分析データ!B:B,ROW()+$C$5)),""),"")</f>
        <v/>
      </c>
      <c r="AW812">
        <f t="shared" ca="1" si="337"/>
        <v>-2839999.9999999963</v>
      </c>
      <c r="AX812">
        <f t="shared" ca="1" si="338"/>
        <v>0</v>
      </c>
      <c r="AY812">
        <f t="shared" ca="1" si="339"/>
        <v>-2839999.9999999963</v>
      </c>
      <c r="AZ812">
        <f ca="1">IF(ROW()&lt;($C$7+1),"",IFERROR((分析データ!C812-AVERAGE(OFFSET(分析データ!C$1,MAX(1,ROW()-$C$7),0,MIN($C$7,ROW()-1),1)))/STDEV(OFFSET(分析データ!C$1,MAX(1,ROW()-$C$7),0,MIN($C$7,ROW()-1),1)),0))</f>
        <v>1.5850827234460991</v>
      </c>
      <c r="BA812">
        <f t="shared" ca="1" si="340"/>
        <v>0</v>
      </c>
      <c r="BB812" t="str">
        <f ca="1">IF(BA812=1,IF(INDEX(分析データ!$A:$A,ROW()+$C$5)&lt;&gt;"",60000*SIGN(AZ812)*(分析データ!C812-INDEX(分析データ!C:C,ROW()+$C$5)),""),"")</f>
        <v/>
      </c>
      <c r="BC812">
        <f t="shared" ca="1" si="341"/>
        <v>3156000.0000000107</v>
      </c>
      <c r="BD812">
        <f t="shared" ca="1" si="342"/>
        <v>3156000.0000000107</v>
      </c>
      <c r="BE812">
        <f t="shared" ca="1" si="343"/>
        <v>0</v>
      </c>
      <c r="BF812">
        <f ca="1">IF(ROW()&lt;($C$7+1),"",IFERROR((分析データ!D812-AVERAGE(OFFSET(分析データ!D$1,MAX(1,ROW()-$C$7),0,MIN($C$7,ROW()-1),1)))/STDEV(OFFSET(分析データ!D$1,MAX(1,ROW()-$C$7),0,MIN($C$7,ROW()-1),1)),0))</f>
        <v>-1.2212328579419773</v>
      </c>
      <c r="BG812">
        <f t="shared" ca="1" si="344"/>
        <v>0</v>
      </c>
      <c r="BH812" t="str">
        <f ca="1">IF(BG812=1,IF(INDEX(分析データ!$A:$A,ROW()+$C$5)&lt;&gt;"",50000*SIGN(BF812)*(分析データ!D812-INDEX(分析データ!D:D,ROW()+$C$5)),""),"")</f>
        <v/>
      </c>
      <c r="BI812">
        <f t="shared" ca="1" si="345"/>
        <v>5570000.0000000205</v>
      </c>
      <c r="BJ812">
        <f t="shared" ca="1" si="346"/>
        <v>5570000.0000000205</v>
      </c>
      <c r="BK812">
        <f t="shared" ca="1" si="347"/>
        <v>0</v>
      </c>
      <c r="BL812">
        <f ca="1">IF(ROW()&lt;($C$7+1),"",IFERROR((分析データ!E812-AVERAGE(OFFSET(分析データ!E$1,MAX(1,ROW()-$C$7),0,MIN($C$7,ROW()-1),1)))/STDEV(OFFSET(分析データ!E$1,MAX(1,ROW()-$C$7),0,MIN($C$7,ROW()-1),1)),0))</f>
        <v>-1.5018592170657548</v>
      </c>
      <c r="BM812">
        <f t="shared" ca="1" si="348"/>
        <v>0</v>
      </c>
      <c r="BN812" t="str">
        <f ca="1">IF(BM812=1,IF(INDEX(分析データ!$A:$A,ROW()+$C$5)&lt;&gt;"",40000*SIGN(BL812)*(分析データ!E812-INDEX(分析データ!E:E,ROW()+$C$5)),""),"")</f>
        <v/>
      </c>
      <c r="BO812">
        <f t="shared" ca="1" si="349"/>
        <v>4280000.0000000028</v>
      </c>
      <c r="BP812">
        <f t="shared" ca="1" si="350"/>
        <v>4280000.0000000028</v>
      </c>
      <c r="BQ812">
        <f t="shared" ca="1" si="351"/>
        <v>0</v>
      </c>
      <c r="BR812">
        <f ca="1">IF(ROW()&lt;($C$7+1),"",IFERROR((分析データ!F812-AVERAGE(OFFSET(分析データ!F$1,MAX(1,ROW()-$C$7),0,MIN($C$7,ROW()-1),1)))/STDEV(OFFSET(分析データ!F$1,MAX(1,ROW()-$C$7),0,MIN($C$7,ROW()-1),1)),0))</f>
        <v>-0.70675629401489459</v>
      </c>
      <c r="BS812">
        <f t="shared" ca="1" si="352"/>
        <v>0</v>
      </c>
      <c r="BT812" t="str">
        <f ca="1">IF(BS812=1,IF(INDEX(分析データ!$A:$A,ROW()+$C$5)&lt;&gt;"",40000*SIGN(BR812)*(分析データ!F812-INDEX(分析データ!F:F,ROW()+$C$5)),""),"")</f>
        <v/>
      </c>
      <c r="BU812">
        <f t="shared" ca="1" si="353"/>
        <v>14917200.000000004</v>
      </c>
      <c r="BV812">
        <f t="shared" ca="1" si="354"/>
        <v>14917200.000000004</v>
      </c>
      <c r="BW812">
        <f t="shared" ca="1" si="355"/>
        <v>0</v>
      </c>
      <c r="BX812">
        <f ca="1">IF(ROW()&lt;($C$7+1),"",IFERROR((分析データ!G812-AVERAGE(OFFSET(分析データ!G$1,MAX(1,ROW()-$C$7),0,MIN($C$7,ROW()-1),1)))/STDEV(OFFSET(分析データ!G$1,MAX(1,ROW()-$C$7),0,MIN($C$7,ROW()-1),1)),0))</f>
        <v>1.148012000952388</v>
      </c>
      <c r="BY812">
        <f t="shared" ca="1" si="356"/>
        <v>0</v>
      </c>
      <c r="BZ812" t="str">
        <f ca="1">IF(BY812=1,IF(INDEX(分析データ!$A:$A,ROW()+$C$5)&lt;&gt;"",40000*SIGN(BX812)*(分析データ!G812-INDEX(分析データ!G:G,ROW()+$C$5)),""),"")</f>
        <v/>
      </c>
      <c r="CA812">
        <f t="shared" ca="1" si="357"/>
        <v>-3515452.8662109179</v>
      </c>
      <c r="CB812">
        <f t="shared" ca="1" si="358"/>
        <v>11327520.000000004</v>
      </c>
      <c r="CC812">
        <f t="shared" ca="1" si="359"/>
        <v>-14842972.866210923</v>
      </c>
      <c r="CD812">
        <f t="shared" ca="1" si="360"/>
        <v>0</v>
      </c>
      <c r="CE812">
        <f t="shared" ca="1" si="361"/>
        <v>21567747.133789141</v>
      </c>
      <c r="CF812">
        <f t="shared" ca="1" si="362"/>
        <v>21567747.133789141</v>
      </c>
      <c r="CG812">
        <f t="shared" ca="1" si="363"/>
        <v>0</v>
      </c>
      <c r="CH812" s="10">
        <f>分析データ!A812</f>
        <v>46113</v>
      </c>
    </row>
    <row r="813" spans="46:86">
      <c r="AT813">
        <f ca="1">IF(ROW()&lt;($C$7+1),"",IFERROR((分析データ!B813-AVERAGE(OFFSET(分析データ!B$1,MAX(1,ROW()-$C$7),0,MIN($C$7,ROW()-1),1)))/STDEV(OFFSET(分析データ!B$1,MAX(1,ROW()-$C$7),0,MIN($C$7,ROW()-1),1)),0))</f>
        <v>-0.59125582000231525</v>
      </c>
      <c r="AU813">
        <f t="shared" ca="1" si="336"/>
        <v>0</v>
      </c>
      <c r="AV813" t="str">
        <f ca="1">IF(AU813=1,IF(INDEX(分析データ!$A:$A,ROW()+$C$5)&lt;&gt;"",80000*SIGN(AT813)*(分析データ!B813-INDEX(分析データ!B:B,ROW()+$C$5)),""),"")</f>
        <v/>
      </c>
      <c r="AW813">
        <f t="shared" ca="1" si="337"/>
        <v>-2839999.9999999963</v>
      </c>
      <c r="AX813">
        <f t="shared" ca="1" si="338"/>
        <v>0</v>
      </c>
      <c r="AY813">
        <f t="shared" ca="1" si="339"/>
        <v>-2839999.9999999963</v>
      </c>
      <c r="AZ813">
        <f ca="1">IF(ROW()&lt;($C$7+1),"",IFERROR((分析データ!C813-AVERAGE(OFFSET(分析データ!C$1,MAX(1,ROW()-$C$7),0,MIN($C$7,ROW()-1),1)))/STDEV(OFFSET(分析データ!C$1,MAX(1,ROW()-$C$7),0,MIN($C$7,ROW()-1),1)),0))</f>
        <v>1.9678936164575265</v>
      </c>
      <c r="BA813">
        <f t="shared" ca="1" si="340"/>
        <v>0</v>
      </c>
      <c r="BB813" t="str">
        <f ca="1">IF(BA813=1,IF(INDEX(分析データ!$A:$A,ROW()+$C$5)&lt;&gt;"",60000*SIGN(AZ813)*(分析データ!C813-INDEX(分析データ!C:C,ROW()+$C$5)),""),"")</f>
        <v/>
      </c>
      <c r="BC813">
        <f t="shared" ca="1" si="341"/>
        <v>3156000.0000000107</v>
      </c>
      <c r="BD813">
        <f t="shared" ca="1" si="342"/>
        <v>3156000.0000000107</v>
      </c>
      <c r="BE813">
        <f t="shared" ca="1" si="343"/>
        <v>0</v>
      </c>
      <c r="BF813">
        <f ca="1">IF(ROW()&lt;($C$7+1),"",IFERROR((分析データ!D813-AVERAGE(OFFSET(分析データ!D$1,MAX(1,ROW()-$C$7),0,MIN($C$7,ROW()-1),1)))/STDEV(OFFSET(分析データ!D$1,MAX(1,ROW()-$C$7),0,MIN($C$7,ROW()-1),1)),0))</f>
        <v>-1.46812081317569</v>
      </c>
      <c r="BG813">
        <f t="shared" ca="1" si="344"/>
        <v>0</v>
      </c>
      <c r="BH813" t="str">
        <f ca="1">IF(BG813=1,IF(INDEX(分析データ!$A:$A,ROW()+$C$5)&lt;&gt;"",50000*SIGN(BF813)*(分析データ!D813-INDEX(分析データ!D:D,ROW()+$C$5)),""),"")</f>
        <v/>
      </c>
      <c r="BI813">
        <f t="shared" ca="1" si="345"/>
        <v>5570000.0000000205</v>
      </c>
      <c r="BJ813">
        <f t="shared" ca="1" si="346"/>
        <v>5570000.0000000205</v>
      </c>
      <c r="BK813">
        <f t="shared" ca="1" si="347"/>
        <v>0</v>
      </c>
      <c r="BL813">
        <f ca="1">IF(ROW()&lt;($C$7+1),"",IFERROR((分析データ!E813-AVERAGE(OFFSET(分析データ!E$1,MAX(1,ROW()-$C$7),0,MIN($C$7,ROW()-1),1)))/STDEV(OFFSET(分析データ!E$1,MAX(1,ROW()-$C$7),0,MIN($C$7,ROW()-1),1)),0))</f>
        <v>-1.2987424251501007</v>
      </c>
      <c r="BM813">
        <f t="shared" ca="1" si="348"/>
        <v>0</v>
      </c>
      <c r="BN813" t="str">
        <f ca="1">IF(BM813=1,IF(INDEX(分析データ!$A:$A,ROW()+$C$5)&lt;&gt;"",40000*SIGN(BL813)*(分析データ!E813-INDEX(分析データ!E:E,ROW()+$C$5)),""),"")</f>
        <v/>
      </c>
      <c r="BO813">
        <f t="shared" ca="1" si="349"/>
        <v>4280000.0000000028</v>
      </c>
      <c r="BP813">
        <f t="shared" ca="1" si="350"/>
        <v>4280000.0000000028</v>
      </c>
      <c r="BQ813">
        <f t="shared" ca="1" si="351"/>
        <v>0</v>
      </c>
      <c r="BR813">
        <f ca="1">IF(ROW()&lt;($C$7+1),"",IFERROR((分析データ!F813-AVERAGE(OFFSET(分析データ!F$1,MAX(1,ROW()-$C$7),0,MIN($C$7,ROW()-1),1)))/STDEV(OFFSET(分析データ!F$1,MAX(1,ROW()-$C$7),0,MIN($C$7,ROW()-1),1)),0))</f>
        <v>-0.6900284802007971</v>
      </c>
      <c r="BS813">
        <f t="shared" ca="1" si="352"/>
        <v>0</v>
      </c>
      <c r="BT813" t="str">
        <f ca="1">IF(BS813=1,IF(INDEX(分析データ!$A:$A,ROW()+$C$5)&lt;&gt;"",40000*SIGN(BR813)*(分析データ!F813-INDEX(分析データ!F:F,ROW()+$C$5)),""),"")</f>
        <v/>
      </c>
      <c r="BU813">
        <f t="shared" ca="1" si="353"/>
        <v>14917200.000000004</v>
      </c>
      <c r="BV813">
        <f t="shared" ca="1" si="354"/>
        <v>14917200.000000004</v>
      </c>
      <c r="BW813">
        <f t="shared" ca="1" si="355"/>
        <v>0</v>
      </c>
      <c r="BX813">
        <f ca="1">IF(ROW()&lt;($C$7+1),"",IFERROR((分析データ!G813-AVERAGE(OFFSET(分析データ!G$1,MAX(1,ROW()-$C$7),0,MIN($C$7,ROW()-1),1)))/STDEV(OFFSET(分析データ!G$1,MAX(1,ROW()-$C$7),0,MIN($C$7,ROW()-1),1)),0))</f>
        <v>1.2632420228926187</v>
      </c>
      <c r="BY813">
        <f t="shared" ca="1" si="356"/>
        <v>0</v>
      </c>
      <c r="BZ813" t="str">
        <f ca="1">IF(BY813=1,IF(INDEX(分析データ!$A:$A,ROW()+$C$5)&lt;&gt;"",40000*SIGN(BX813)*(分析データ!G813-INDEX(分析データ!G:G,ROW()+$C$5)),""),"")</f>
        <v/>
      </c>
      <c r="CA813">
        <f t="shared" ca="1" si="357"/>
        <v>-3515452.8662109179</v>
      </c>
      <c r="CB813">
        <f t="shared" ca="1" si="358"/>
        <v>11327520.000000004</v>
      </c>
      <c r="CC813">
        <f t="shared" ca="1" si="359"/>
        <v>-14842972.866210923</v>
      </c>
      <c r="CD813">
        <f t="shared" ca="1" si="360"/>
        <v>0</v>
      </c>
      <c r="CE813">
        <f t="shared" ca="1" si="361"/>
        <v>21567747.133789141</v>
      </c>
      <c r="CF813">
        <f t="shared" ca="1" si="362"/>
        <v>21567747.133789141</v>
      </c>
      <c r="CG813">
        <f t="shared" ca="1" si="363"/>
        <v>0</v>
      </c>
      <c r="CH813" s="10">
        <f>分析データ!A813</f>
        <v>46114</v>
      </c>
    </row>
    <row r="814" spans="46:86">
      <c r="AT814">
        <f ca="1">IF(ROW()&lt;($C$7+1),"",IFERROR((分析データ!B814-AVERAGE(OFFSET(分析データ!B$1,MAX(1,ROW()-$C$7),0,MIN($C$7,ROW()-1),1)))/STDEV(OFFSET(分析データ!B$1,MAX(1,ROW()-$C$7),0,MIN($C$7,ROW()-1),1)),0))</f>
        <v>-0.58887273022937581</v>
      </c>
      <c r="AU814">
        <f t="shared" ca="1" si="336"/>
        <v>0</v>
      </c>
      <c r="AV814" t="str">
        <f ca="1">IF(AU814=1,IF(INDEX(分析データ!$A:$A,ROW()+$C$5)&lt;&gt;"",80000*SIGN(AT814)*(分析データ!B814-INDEX(分析データ!B:B,ROW()+$C$5)),""),"")</f>
        <v/>
      </c>
      <c r="AW814">
        <f t="shared" ca="1" si="337"/>
        <v>-2839999.9999999963</v>
      </c>
      <c r="AX814">
        <f t="shared" ca="1" si="338"/>
        <v>0</v>
      </c>
      <c r="AY814">
        <f t="shared" ca="1" si="339"/>
        <v>-2839999.9999999963</v>
      </c>
      <c r="AZ814">
        <f ca="1">IF(ROW()&lt;($C$7+1),"",IFERROR((分析データ!C814-AVERAGE(OFFSET(分析データ!C$1,MAX(1,ROW()-$C$7),0,MIN($C$7,ROW()-1),1)))/STDEV(OFFSET(分析データ!C$1,MAX(1,ROW()-$C$7),0,MIN($C$7,ROW()-1),1)),0))</f>
        <v>1.8685374524610197</v>
      </c>
      <c r="BA814">
        <f t="shared" ca="1" si="340"/>
        <v>0</v>
      </c>
      <c r="BB814" t="str">
        <f ca="1">IF(BA814=1,IF(INDEX(分析データ!$A:$A,ROW()+$C$5)&lt;&gt;"",60000*SIGN(AZ814)*(分析データ!C814-INDEX(分析データ!C:C,ROW()+$C$5)),""),"")</f>
        <v/>
      </c>
      <c r="BC814">
        <f t="shared" ca="1" si="341"/>
        <v>3156000.0000000107</v>
      </c>
      <c r="BD814">
        <f t="shared" ca="1" si="342"/>
        <v>3156000.0000000107</v>
      </c>
      <c r="BE814">
        <f t="shared" ca="1" si="343"/>
        <v>0</v>
      </c>
      <c r="BF814">
        <f ca="1">IF(ROW()&lt;($C$7+1),"",IFERROR((分析データ!D814-AVERAGE(OFFSET(分析データ!D$1,MAX(1,ROW()-$C$7),0,MIN($C$7,ROW()-1),1)))/STDEV(OFFSET(分析データ!D$1,MAX(1,ROW()-$C$7),0,MIN($C$7,ROW()-1),1)),0))</f>
        <v>-1.3294511436190211</v>
      </c>
      <c r="BG814">
        <f t="shared" ca="1" si="344"/>
        <v>0</v>
      </c>
      <c r="BH814" t="str">
        <f ca="1">IF(BG814=1,IF(INDEX(分析データ!$A:$A,ROW()+$C$5)&lt;&gt;"",50000*SIGN(BF814)*(分析データ!D814-INDEX(分析データ!D:D,ROW()+$C$5)),""),"")</f>
        <v/>
      </c>
      <c r="BI814">
        <f t="shared" ca="1" si="345"/>
        <v>5570000.0000000205</v>
      </c>
      <c r="BJ814">
        <f t="shared" ca="1" si="346"/>
        <v>5570000.0000000205</v>
      </c>
      <c r="BK814">
        <f t="shared" ca="1" si="347"/>
        <v>0</v>
      </c>
      <c r="BL814">
        <f ca="1">IF(ROW()&lt;($C$7+1),"",IFERROR((分析データ!E814-AVERAGE(OFFSET(分析データ!E$1,MAX(1,ROW()-$C$7),0,MIN($C$7,ROW()-1),1)))/STDEV(OFFSET(分析データ!E$1,MAX(1,ROW()-$C$7),0,MIN($C$7,ROW()-1),1)),0))</f>
        <v>-1.5778159847318649</v>
      </c>
      <c r="BM814">
        <f t="shared" ca="1" si="348"/>
        <v>0</v>
      </c>
      <c r="BN814" t="str">
        <f ca="1">IF(BM814=1,IF(INDEX(分析データ!$A:$A,ROW()+$C$5)&lt;&gt;"",40000*SIGN(BL814)*(分析データ!E814-INDEX(分析データ!E:E,ROW()+$C$5)),""),"")</f>
        <v/>
      </c>
      <c r="BO814">
        <f t="shared" ca="1" si="349"/>
        <v>4280000.0000000028</v>
      </c>
      <c r="BP814">
        <f t="shared" ca="1" si="350"/>
        <v>4280000.0000000028</v>
      </c>
      <c r="BQ814">
        <f t="shared" ca="1" si="351"/>
        <v>0</v>
      </c>
      <c r="BR814">
        <f ca="1">IF(ROW()&lt;($C$7+1),"",IFERROR((分析データ!F814-AVERAGE(OFFSET(分析データ!F$1,MAX(1,ROW()-$C$7),0,MIN($C$7,ROW()-1),1)))/STDEV(OFFSET(分析データ!F$1,MAX(1,ROW()-$C$7),0,MIN($C$7,ROW()-1),1)),0))</f>
        <v>-0.98310435333327151</v>
      </c>
      <c r="BS814">
        <f t="shared" ca="1" si="352"/>
        <v>0</v>
      </c>
      <c r="BT814" t="str">
        <f ca="1">IF(BS814=1,IF(INDEX(分析データ!$A:$A,ROW()+$C$5)&lt;&gt;"",40000*SIGN(BR814)*(分析データ!F814-INDEX(分析データ!F:F,ROW()+$C$5)),""),"")</f>
        <v/>
      </c>
      <c r="BU814">
        <f t="shared" ca="1" si="353"/>
        <v>14917200.000000004</v>
      </c>
      <c r="BV814">
        <f t="shared" ca="1" si="354"/>
        <v>14917200.000000004</v>
      </c>
      <c r="BW814">
        <f t="shared" ca="1" si="355"/>
        <v>0</v>
      </c>
      <c r="BX814">
        <f ca="1">IF(ROW()&lt;($C$7+1),"",IFERROR((分析データ!G814-AVERAGE(OFFSET(分析データ!G$1,MAX(1,ROW()-$C$7),0,MIN($C$7,ROW()-1),1)))/STDEV(OFFSET(分析データ!G$1,MAX(1,ROW()-$C$7),0,MIN($C$7,ROW()-1),1)),0))</f>
        <v>1.2671261715452959</v>
      </c>
      <c r="BY814">
        <f t="shared" ca="1" si="356"/>
        <v>0</v>
      </c>
      <c r="BZ814" t="str">
        <f ca="1">IF(BY814=1,IF(INDEX(分析データ!$A:$A,ROW()+$C$5)&lt;&gt;"",40000*SIGN(BX814)*(分析データ!G814-INDEX(分析データ!G:G,ROW()+$C$5)),""),"")</f>
        <v/>
      </c>
      <c r="CA814">
        <f t="shared" ca="1" si="357"/>
        <v>-3515452.8662109179</v>
      </c>
      <c r="CB814">
        <f t="shared" ca="1" si="358"/>
        <v>11327520.000000004</v>
      </c>
      <c r="CC814">
        <f t="shared" ca="1" si="359"/>
        <v>-14842972.866210923</v>
      </c>
      <c r="CD814">
        <f t="shared" ca="1" si="360"/>
        <v>0</v>
      </c>
      <c r="CE814">
        <f t="shared" ca="1" si="361"/>
        <v>21567747.133789141</v>
      </c>
      <c r="CF814">
        <f t="shared" ca="1" si="362"/>
        <v>21567747.133789141</v>
      </c>
      <c r="CG814">
        <f t="shared" ca="1" si="363"/>
        <v>0</v>
      </c>
      <c r="CH814" s="10">
        <f>分析データ!A814</f>
        <v>46115</v>
      </c>
    </row>
    <row r="815" spans="46:86">
      <c r="AT815">
        <f ca="1">IF(ROW()&lt;($C$7+1),"",IFERROR((分析データ!B815-AVERAGE(OFFSET(分析データ!B$1,MAX(1,ROW()-$C$7),0,MIN($C$7,ROW()-1),1)))/STDEV(OFFSET(分析データ!B$1,MAX(1,ROW()-$C$7),0,MIN($C$7,ROW()-1),1)),0))</f>
        <v>-0.5888727302293757</v>
      </c>
      <c r="AU815">
        <f t="shared" ca="1" si="336"/>
        <v>0</v>
      </c>
      <c r="AV815" t="str">
        <f ca="1">IF(AU815=1,IF(INDEX(分析データ!$A:$A,ROW()+$C$5)&lt;&gt;"",80000*SIGN(AT815)*(分析データ!B815-INDEX(分析データ!B:B,ROW()+$C$5)),""),"")</f>
        <v/>
      </c>
      <c r="AW815">
        <f t="shared" ca="1" si="337"/>
        <v>-2839999.9999999963</v>
      </c>
      <c r="AX815">
        <f t="shared" ca="1" si="338"/>
        <v>0</v>
      </c>
      <c r="AY815">
        <f t="shared" ca="1" si="339"/>
        <v>-2839999.9999999963</v>
      </c>
      <c r="AZ815">
        <f ca="1">IF(ROW()&lt;($C$7+1),"",IFERROR((分析データ!C815-AVERAGE(OFFSET(分析データ!C$1,MAX(1,ROW()-$C$7),0,MIN($C$7,ROW()-1),1)))/STDEV(OFFSET(分析データ!C$1,MAX(1,ROW()-$C$7),0,MIN($C$7,ROW()-1),1)),0))</f>
        <v>1.9361601953891716</v>
      </c>
      <c r="BA815">
        <f t="shared" ca="1" si="340"/>
        <v>0</v>
      </c>
      <c r="BB815" t="str">
        <f ca="1">IF(BA815=1,IF(INDEX(分析データ!$A:$A,ROW()+$C$5)&lt;&gt;"",60000*SIGN(AZ815)*(分析データ!C815-INDEX(分析データ!C:C,ROW()+$C$5)),""),"")</f>
        <v/>
      </c>
      <c r="BC815">
        <f t="shared" ca="1" si="341"/>
        <v>3156000.0000000107</v>
      </c>
      <c r="BD815">
        <f t="shared" ca="1" si="342"/>
        <v>3156000.0000000107</v>
      </c>
      <c r="BE815">
        <f t="shared" ca="1" si="343"/>
        <v>0</v>
      </c>
      <c r="BF815">
        <f ca="1">IF(ROW()&lt;($C$7+1),"",IFERROR((分析データ!D815-AVERAGE(OFFSET(分析データ!D$1,MAX(1,ROW()-$C$7),0,MIN($C$7,ROW()-1),1)))/STDEV(OFFSET(分析データ!D$1,MAX(1,ROW()-$C$7),0,MIN($C$7,ROW()-1),1)),0))</f>
        <v>-1.4534142191356636</v>
      </c>
      <c r="BG815">
        <f t="shared" ca="1" si="344"/>
        <v>0</v>
      </c>
      <c r="BH815" t="str">
        <f ca="1">IF(BG815=1,IF(INDEX(分析データ!$A:$A,ROW()+$C$5)&lt;&gt;"",50000*SIGN(BF815)*(分析データ!D815-INDEX(分析データ!D:D,ROW()+$C$5)),""),"")</f>
        <v/>
      </c>
      <c r="BI815">
        <f t="shared" ca="1" si="345"/>
        <v>5570000.0000000205</v>
      </c>
      <c r="BJ815">
        <f t="shared" ca="1" si="346"/>
        <v>5570000.0000000205</v>
      </c>
      <c r="BK815">
        <f t="shared" ca="1" si="347"/>
        <v>0</v>
      </c>
      <c r="BL815">
        <f ca="1">IF(ROW()&lt;($C$7+1),"",IFERROR((分析データ!E815-AVERAGE(OFFSET(分析データ!E$1,MAX(1,ROW()-$C$7),0,MIN($C$7,ROW()-1),1)))/STDEV(OFFSET(分析データ!E$1,MAX(1,ROW()-$C$7),0,MIN($C$7,ROW()-1),1)),0))</f>
        <v>-1.6316441779830237</v>
      </c>
      <c r="BM815">
        <f t="shared" ca="1" si="348"/>
        <v>0</v>
      </c>
      <c r="BN815" t="str">
        <f ca="1">IF(BM815=1,IF(INDEX(分析データ!$A:$A,ROW()+$C$5)&lt;&gt;"",40000*SIGN(BL815)*(分析データ!E815-INDEX(分析データ!E:E,ROW()+$C$5)),""),"")</f>
        <v/>
      </c>
      <c r="BO815">
        <f t="shared" ca="1" si="349"/>
        <v>4280000.0000000028</v>
      </c>
      <c r="BP815">
        <f t="shared" ca="1" si="350"/>
        <v>4280000.0000000028</v>
      </c>
      <c r="BQ815">
        <f t="shared" ca="1" si="351"/>
        <v>0</v>
      </c>
      <c r="BR815">
        <f ca="1">IF(ROW()&lt;($C$7+1),"",IFERROR((分析データ!F815-AVERAGE(OFFSET(分析データ!F$1,MAX(1,ROW()-$C$7),0,MIN($C$7,ROW()-1),1)))/STDEV(OFFSET(分析データ!F$1,MAX(1,ROW()-$C$7),0,MIN($C$7,ROW()-1),1)),0))</f>
        <v>-0.94755573570467411</v>
      </c>
      <c r="BS815">
        <f t="shared" ca="1" si="352"/>
        <v>0</v>
      </c>
      <c r="BT815" t="str">
        <f ca="1">IF(BS815=1,IF(INDEX(分析データ!$A:$A,ROW()+$C$5)&lt;&gt;"",40000*SIGN(BR815)*(分析データ!F815-INDEX(分析データ!F:F,ROW()+$C$5)),""),"")</f>
        <v/>
      </c>
      <c r="BU815">
        <f t="shared" ca="1" si="353"/>
        <v>14917200.000000004</v>
      </c>
      <c r="BV815">
        <f t="shared" ca="1" si="354"/>
        <v>14917200.000000004</v>
      </c>
      <c r="BW815">
        <f t="shared" ca="1" si="355"/>
        <v>0</v>
      </c>
      <c r="BX815">
        <f ca="1">IF(ROW()&lt;($C$7+1),"",IFERROR((分析データ!G815-AVERAGE(OFFSET(分析データ!G$1,MAX(1,ROW()-$C$7),0,MIN($C$7,ROW()-1),1)))/STDEV(OFFSET(分析データ!G$1,MAX(1,ROW()-$C$7),0,MIN($C$7,ROW()-1),1)),0))</f>
        <v>1.3005846902317797</v>
      </c>
      <c r="BY815">
        <f t="shared" ca="1" si="356"/>
        <v>0</v>
      </c>
      <c r="BZ815" t="str">
        <f ca="1">IF(BY815=1,IF(INDEX(分析データ!$A:$A,ROW()+$C$5)&lt;&gt;"",40000*SIGN(BX815)*(分析データ!G815-INDEX(分析データ!G:G,ROW()+$C$5)),""),"")</f>
        <v/>
      </c>
      <c r="CA815">
        <f t="shared" ca="1" si="357"/>
        <v>-3515452.8662109179</v>
      </c>
      <c r="CB815">
        <f t="shared" ca="1" si="358"/>
        <v>11327520.000000004</v>
      </c>
      <c r="CC815">
        <f t="shared" ca="1" si="359"/>
        <v>-14842972.866210923</v>
      </c>
      <c r="CD815">
        <f t="shared" ca="1" si="360"/>
        <v>0</v>
      </c>
      <c r="CE815">
        <f t="shared" ca="1" si="361"/>
        <v>21567747.133789141</v>
      </c>
      <c r="CF815">
        <f t="shared" ca="1" si="362"/>
        <v>21567747.133789141</v>
      </c>
      <c r="CG815">
        <f t="shared" ca="1" si="363"/>
        <v>0</v>
      </c>
      <c r="CH815" s="10">
        <f>分析データ!A815</f>
        <v>46118</v>
      </c>
    </row>
    <row r="816" spans="46:86">
      <c r="AT816">
        <f ca="1">IF(ROW()&lt;($C$7+1),"",IFERROR((分析データ!B816-AVERAGE(OFFSET(分析データ!B$1,MAX(1,ROW()-$C$7),0,MIN($C$7,ROW()-1),1)))/STDEV(OFFSET(分析データ!B$1,MAX(1,ROW()-$C$7),0,MIN($C$7,ROW()-1),1)),0))</f>
        <v>-0.58887273022937558</v>
      </c>
      <c r="AU816">
        <f t="shared" ca="1" si="336"/>
        <v>0</v>
      </c>
      <c r="AV816" t="str">
        <f ca="1">IF(AU816=1,IF(INDEX(分析データ!$A:$A,ROW()+$C$5)&lt;&gt;"",80000*SIGN(AT816)*(分析データ!B816-INDEX(分析データ!B:B,ROW()+$C$5)),""),"")</f>
        <v/>
      </c>
      <c r="AW816">
        <f t="shared" ca="1" si="337"/>
        <v>-2839999.9999999963</v>
      </c>
      <c r="AX816">
        <f t="shared" ca="1" si="338"/>
        <v>0</v>
      </c>
      <c r="AY816">
        <f t="shared" ca="1" si="339"/>
        <v>-2839999.9999999963</v>
      </c>
      <c r="AZ816">
        <f ca="1">IF(ROW()&lt;($C$7+1),"",IFERROR((分析データ!C816-AVERAGE(OFFSET(分析データ!C$1,MAX(1,ROW()-$C$7),0,MIN($C$7,ROW()-1),1)))/STDEV(OFFSET(分析データ!C$1,MAX(1,ROW()-$C$7),0,MIN($C$7,ROW()-1),1)),0))</f>
        <v>1.8397841914637056</v>
      </c>
      <c r="BA816">
        <f t="shared" ca="1" si="340"/>
        <v>0</v>
      </c>
      <c r="BB816" t="str">
        <f ca="1">IF(BA816=1,IF(INDEX(分析データ!$A:$A,ROW()+$C$5)&lt;&gt;"",60000*SIGN(AZ816)*(分析データ!C816-INDEX(分析データ!C:C,ROW()+$C$5)),""),"")</f>
        <v/>
      </c>
      <c r="BC816">
        <f t="shared" ca="1" si="341"/>
        <v>3156000.0000000107</v>
      </c>
      <c r="BD816">
        <f t="shared" ca="1" si="342"/>
        <v>3156000.0000000107</v>
      </c>
      <c r="BE816">
        <f t="shared" ca="1" si="343"/>
        <v>0</v>
      </c>
      <c r="BF816">
        <f ca="1">IF(ROW()&lt;($C$7+1),"",IFERROR((分析データ!D816-AVERAGE(OFFSET(分析データ!D$1,MAX(1,ROW()-$C$7),0,MIN($C$7,ROW()-1),1)))/STDEV(OFFSET(分析データ!D$1,MAX(1,ROW()-$C$7),0,MIN($C$7,ROW()-1),1)),0))</f>
        <v>-1.4199715742149526</v>
      </c>
      <c r="BG816">
        <f t="shared" ca="1" si="344"/>
        <v>0</v>
      </c>
      <c r="BH816" t="str">
        <f ca="1">IF(BG816=1,IF(INDEX(分析データ!$A:$A,ROW()+$C$5)&lt;&gt;"",50000*SIGN(BF816)*(分析データ!D816-INDEX(分析データ!D:D,ROW()+$C$5)),""),"")</f>
        <v/>
      </c>
      <c r="BI816">
        <f t="shared" ca="1" si="345"/>
        <v>5570000.0000000205</v>
      </c>
      <c r="BJ816">
        <f t="shared" ca="1" si="346"/>
        <v>5570000.0000000205</v>
      </c>
      <c r="BK816">
        <f t="shared" ca="1" si="347"/>
        <v>0</v>
      </c>
      <c r="BL816">
        <f ca="1">IF(ROW()&lt;($C$7+1),"",IFERROR((分析データ!E816-AVERAGE(OFFSET(分析データ!E$1,MAX(1,ROW()-$C$7),0,MIN($C$7,ROW()-1),1)))/STDEV(OFFSET(分析データ!E$1,MAX(1,ROW()-$C$7),0,MIN($C$7,ROW()-1),1)),0))</f>
        <v>-1.1918918290635425</v>
      </c>
      <c r="BM816">
        <f t="shared" ca="1" si="348"/>
        <v>0</v>
      </c>
      <c r="BN816" t="str">
        <f ca="1">IF(BM816=1,IF(INDEX(分析データ!$A:$A,ROW()+$C$5)&lt;&gt;"",40000*SIGN(BL816)*(分析データ!E816-INDEX(分析データ!E:E,ROW()+$C$5)),""),"")</f>
        <v/>
      </c>
      <c r="BO816">
        <f t="shared" ca="1" si="349"/>
        <v>4280000.0000000028</v>
      </c>
      <c r="BP816">
        <f t="shared" ca="1" si="350"/>
        <v>4280000.0000000028</v>
      </c>
      <c r="BQ816">
        <f t="shared" ca="1" si="351"/>
        <v>0</v>
      </c>
      <c r="BR816">
        <f ca="1">IF(ROW()&lt;($C$7+1),"",IFERROR((分析データ!F816-AVERAGE(OFFSET(分析データ!F$1,MAX(1,ROW()-$C$7),0,MIN($C$7,ROW()-1),1)))/STDEV(OFFSET(分析データ!F$1,MAX(1,ROW()-$C$7),0,MIN($C$7,ROW()-1),1)),0))</f>
        <v>-0.90618049882995821</v>
      </c>
      <c r="BS816">
        <f t="shared" ca="1" si="352"/>
        <v>0</v>
      </c>
      <c r="BT816" t="str">
        <f ca="1">IF(BS816=1,IF(INDEX(分析データ!$A:$A,ROW()+$C$5)&lt;&gt;"",40000*SIGN(BR816)*(分析データ!F816-INDEX(分析データ!F:F,ROW()+$C$5)),""),"")</f>
        <v/>
      </c>
      <c r="BU816">
        <f t="shared" ca="1" si="353"/>
        <v>14917200.000000004</v>
      </c>
      <c r="BV816">
        <f t="shared" ca="1" si="354"/>
        <v>14917200.000000004</v>
      </c>
      <c r="BW816">
        <f t="shared" ca="1" si="355"/>
        <v>0</v>
      </c>
      <c r="BX816">
        <f ca="1">IF(ROW()&lt;($C$7+1),"",IFERROR((分析データ!G816-AVERAGE(OFFSET(分析データ!G$1,MAX(1,ROW()-$C$7),0,MIN($C$7,ROW()-1),1)))/STDEV(OFFSET(分析データ!G$1,MAX(1,ROW()-$C$7),0,MIN($C$7,ROW()-1),1)),0))</f>
        <v>1.3283551309298152</v>
      </c>
      <c r="BY816">
        <f t="shared" ca="1" si="356"/>
        <v>0</v>
      </c>
      <c r="BZ816" t="str">
        <f ca="1">IF(BY816=1,IF(INDEX(分析データ!$A:$A,ROW()+$C$5)&lt;&gt;"",40000*SIGN(BX816)*(分析データ!G816-INDEX(分析データ!G:G,ROW()+$C$5)),""),"")</f>
        <v/>
      </c>
      <c r="CA816">
        <f t="shared" ca="1" si="357"/>
        <v>-3515452.8662109179</v>
      </c>
      <c r="CB816">
        <f t="shared" ca="1" si="358"/>
        <v>11327520.000000004</v>
      </c>
      <c r="CC816">
        <f t="shared" ca="1" si="359"/>
        <v>-14842972.866210923</v>
      </c>
      <c r="CD816">
        <f t="shared" ca="1" si="360"/>
        <v>0</v>
      </c>
      <c r="CE816">
        <f t="shared" ca="1" si="361"/>
        <v>21567747.133789141</v>
      </c>
      <c r="CF816">
        <f t="shared" ca="1" si="362"/>
        <v>21567747.133789141</v>
      </c>
      <c r="CG816">
        <f t="shared" ca="1" si="363"/>
        <v>0</v>
      </c>
      <c r="CH816" s="10">
        <f>分析データ!A816</f>
        <v>46119</v>
      </c>
    </row>
    <row r="817" spans="46:86">
      <c r="AT817">
        <f ca="1">IF(ROW()&lt;($C$7+1),"",IFERROR((分析データ!B817-AVERAGE(OFFSET(分析データ!B$1,MAX(1,ROW()-$C$7),0,MIN($C$7,ROW()-1),1)))/STDEV(OFFSET(分析データ!B$1,MAX(1,ROW()-$C$7),0,MIN($C$7,ROW()-1),1)),0))</f>
        <v>-1.4179417107465859</v>
      </c>
      <c r="AU817">
        <f t="shared" ca="1" si="336"/>
        <v>0</v>
      </c>
      <c r="AV817" t="str">
        <f ca="1">IF(AU817=1,IF(INDEX(分析データ!$A:$A,ROW()+$C$5)&lt;&gt;"",80000*SIGN(AT817)*(分析データ!B817-INDEX(分析データ!B:B,ROW()+$C$5)),""),"")</f>
        <v/>
      </c>
      <c r="AW817">
        <f t="shared" ca="1" si="337"/>
        <v>-2839999.9999999963</v>
      </c>
      <c r="AX817">
        <f t="shared" ca="1" si="338"/>
        <v>0</v>
      </c>
      <c r="AY817">
        <f t="shared" ca="1" si="339"/>
        <v>-2839999.9999999963</v>
      </c>
      <c r="AZ817">
        <f ca="1">IF(ROW()&lt;($C$7+1),"",IFERROR((分析データ!C817-AVERAGE(OFFSET(分析データ!C$1,MAX(1,ROW()-$C$7),0,MIN($C$7,ROW()-1),1)))/STDEV(OFFSET(分析データ!C$1,MAX(1,ROW()-$C$7),0,MIN($C$7,ROW()-1),1)),0))</f>
        <v>1.7344097335810675</v>
      </c>
      <c r="BA817">
        <f t="shared" ca="1" si="340"/>
        <v>0</v>
      </c>
      <c r="BB817" t="str">
        <f ca="1">IF(BA817=1,IF(INDEX(分析データ!$A:$A,ROW()+$C$5)&lt;&gt;"",60000*SIGN(AZ817)*(分析データ!C817-INDEX(分析データ!C:C,ROW()+$C$5)),""),"")</f>
        <v/>
      </c>
      <c r="BC817">
        <f t="shared" ca="1" si="341"/>
        <v>3156000.0000000107</v>
      </c>
      <c r="BD817">
        <f t="shared" ca="1" si="342"/>
        <v>3156000.0000000107</v>
      </c>
      <c r="BE817">
        <f t="shared" ca="1" si="343"/>
        <v>0</v>
      </c>
      <c r="BF817">
        <f ca="1">IF(ROW()&lt;($C$7+1),"",IFERROR((分析データ!D817-AVERAGE(OFFSET(分析データ!D$1,MAX(1,ROW()-$C$7),0,MIN($C$7,ROW()-1),1)))/STDEV(OFFSET(分析データ!D$1,MAX(1,ROW()-$C$7),0,MIN($C$7,ROW()-1),1)),0))</f>
        <v>-1.4149765775242249</v>
      </c>
      <c r="BG817">
        <f t="shared" ca="1" si="344"/>
        <v>0</v>
      </c>
      <c r="BH817" t="str">
        <f ca="1">IF(BG817=1,IF(INDEX(分析データ!$A:$A,ROW()+$C$5)&lt;&gt;"",50000*SIGN(BF817)*(分析データ!D817-INDEX(分析データ!D:D,ROW()+$C$5)),""),"")</f>
        <v/>
      </c>
      <c r="BI817">
        <f t="shared" ca="1" si="345"/>
        <v>5570000.0000000205</v>
      </c>
      <c r="BJ817">
        <f t="shared" ca="1" si="346"/>
        <v>5570000.0000000205</v>
      </c>
      <c r="BK817">
        <f t="shared" ca="1" si="347"/>
        <v>0</v>
      </c>
      <c r="BL817">
        <f ca="1">IF(ROW()&lt;($C$7+1),"",IFERROR((分析データ!E817-AVERAGE(OFFSET(分析データ!E$1,MAX(1,ROW()-$C$7),0,MIN($C$7,ROW()-1),1)))/STDEV(OFFSET(分析データ!E$1,MAX(1,ROW()-$C$7),0,MIN($C$7,ROW()-1),1)),0))</f>
        <v>-1.4752224067680357</v>
      </c>
      <c r="BM817">
        <f t="shared" ca="1" si="348"/>
        <v>0</v>
      </c>
      <c r="BN817" t="str">
        <f ca="1">IF(BM817=1,IF(INDEX(分析データ!$A:$A,ROW()+$C$5)&lt;&gt;"",40000*SIGN(BL817)*(分析データ!E817-INDEX(分析データ!E:E,ROW()+$C$5)),""),"")</f>
        <v/>
      </c>
      <c r="BO817">
        <f t="shared" ca="1" si="349"/>
        <v>4280000.0000000028</v>
      </c>
      <c r="BP817">
        <f t="shared" ca="1" si="350"/>
        <v>4280000.0000000028</v>
      </c>
      <c r="BQ817">
        <f t="shared" ca="1" si="351"/>
        <v>0</v>
      </c>
      <c r="BR817">
        <f ca="1">IF(ROW()&lt;($C$7+1),"",IFERROR((分析データ!F817-AVERAGE(OFFSET(分析データ!F$1,MAX(1,ROW()-$C$7),0,MIN($C$7,ROW()-1),1)))/STDEV(OFFSET(分析データ!F$1,MAX(1,ROW()-$C$7),0,MIN($C$7,ROW()-1),1)),0))</f>
        <v>-0.19821236438675111</v>
      </c>
      <c r="BS817">
        <f t="shared" ca="1" si="352"/>
        <v>0</v>
      </c>
      <c r="BT817" t="str">
        <f ca="1">IF(BS817=1,IF(INDEX(分析データ!$A:$A,ROW()+$C$5)&lt;&gt;"",40000*SIGN(BR817)*(分析データ!F817-INDEX(分析データ!F:F,ROW()+$C$5)),""),"")</f>
        <v/>
      </c>
      <c r="BU817">
        <f t="shared" ca="1" si="353"/>
        <v>14917200.000000004</v>
      </c>
      <c r="BV817">
        <f t="shared" ca="1" si="354"/>
        <v>14917200.000000004</v>
      </c>
      <c r="BW817">
        <f t="shared" ca="1" si="355"/>
        <v>0</v>
      </c>
      <c r="BX817">
        <f ca="1">IF(ROW()&lt;($C$7+1),"",IFERROR((分析データ!G817-AVERAGE(OFFSET(分析データ!G$1,MAX(1,ROW()-$C$7),0,MIN($C$7,ROW()-1),1)))/STDEV(OFFSET(分析データ!G$1,MAX(1,ROW()-$C$7),0,MIN($C$7,ROW()-1),1)),0))</f>
        <v>1.0726234907897931</v>
      </c>
      <c r="BY817">
        <f t="shared" ca="1" si="356"/>
        <v>0</v>
      </c>
      <c r="BZ817" t="str">
        <f ca="1">IF(BY817=1,IF(INDEX(分析データ!$A:$A,ROW()+$C$5)&lt;&gt;"",40000*SIGN(BX817)*(分析データ!G817-INDEX(分析データ!G:G,ROW()+$C$5)),""),"")</f>
        <v/>
      </c>
      <c r="CA817">
        <f t="shared" ca="1" si="357"/>
        <v>-3515452.8662109179</v>
      </c>
      <c r="CB817">
        <f t="shared" ca="1" si="358"/>
        <v>11327520.000000004</v>
      </c>
      <c r="CC817">
        <f t="shared" ca="1" si="359"/>
        <v>-14842972.866210923</v>
      </c>
      <c r="CD817">
        <f t="shared" ca="1" si="360"/>
        <v>0</v>
      </c>
      <c r="CE817">
        <f t="shared" ca="1" si="361"/>
        <v>21567747.133789141</v>
      </c>
      <c r="CF817">
        <f t="shared" ca="1" si="362"/>
        <v>21567747.133789141</v>
      </c>
      <c r="CG817">
        <f t="shared" ca="1" si="363"/>
        <v>0</v>
      </c>
      <c r="CH817" s="10">
        <f>分析データ!A817</f>
        <v>46120</v>
      </c>
    </row>
    <row r="818" spans="46:86">
      <c r="AT818">
        <f ca="1">IF(ROW()&lt;($C$7+1),"",IFERROR((分析データ!B818-AVERAGE(OFFSET(分析データ!B$1,MAX(1,ROW()-$C$7),0,MIN($C$7,ROW()-1),1)))/STDEV(OFFSET(分析データ!B$1,MAX(1,ROW()-$C$7),0,MIN($C$7,ROW()-1),1)),0))</f>
        <v>-1.4126882121618929</v>
      </c>
      <c r="AU818">
        <f t="shared" ca="1" si="336"/>
        <v>0</v>
      </c>
      <c r="AV818" t="str">
        <f ca="1">IF(AU818=1,IF(INDEX(分析データ!$A:$A,ROW()+$C$5)&lt;&gt;"",80000*SIGN(AT818)*(分析データ!B818-INDEX(分析データ!B:B,ROW()+$C$5)),""),"")</f>
        <v/>
      </c>
      <c r="AW818">
        <f t="shared" ca="1" si="337"/>
        <v>-2839999.9999999963</v>
      </c>
      <c r="AX818">
        <f t="shared" ca="1" si="338"/>
        <v>0</v>
      </c>
      <c r="AY818">
        <f t="shared" ca="1" si="339"/>
        <v>-2839999.9999999963</v>
      </c>
      <c r="AZ818">
        <f ca="1">IF(ROW()&lt;($C$7+1),"",IFERROR((分析データ!C818-AVERAGE(OFFSET(分析データ!C$1,MAX(1,ROW()-$C$7),0,MIN($C$7,ROW()-1),1)))/STDEV(OFFSET(分析データ!C$1,MAX(1,ROW()-$C$7),0,MIN($C$7,ROW()-1),1)),0))</f>
        <v>1.8791110322696949</v>
      </c>
      <c r="BA818">
        <f t="shared" ca="1" si="340"/>
        <v>0</v>
      </c>
      <c r="BB818" t="str">
        <f ca="1">IF(BA818=1,IF(INDEX(分析データ!$A:$A,ROW()+$C$5)&lt;&gt;"",60000*SIGN(AZ818)*(分析データ!C818-INDEX(分析データ!C:C,ROW()+$C$5)),""),"")</f>
        <v/>
      </c>
      <c r="BC818">
        <f t="shared" ca="1" si="341"/>
        <v>3156000.0000000107</v>
      </c>
      <c r="BD818">
        <f t="shared" ca="1" si="342"/>
        <v>3156000.0000000107</v>
      </c>
      <c r="BE818">
        <f t="shared" ca="1" si="343"/>
        <v>0</v>
      </c>
      <c r="BF818">
        <f ca="1">IF(ROW()&lt;($C$7+1),"",IFERROR((分析データ!D818-AVERAGE(OFFSET(分析データ!D$1,MAX(1,ROW()-$C$7),0,MIN($C$7,ROW()-1),1)))/STDEV(OFFSET(分析データ!D$1,MAX(1,ROW()-$C$7),0,MIN($C$7,ROW()-1),1)),0))</f>
        <v>-1.4606289544492388</v>
      </c>
      <c r="BG818">
        <f t="shared" ca="1" si="344"/>
        <v>0</v>
      </c>
      <c r="BH818" t="str">
        <f ca="1">IF(BG818=1,IF(INDEX(分析データ!$A:$A,ROW()+$C$5)&lt;&gt;"",50000*SIGN(BF818)*(分析データ!D818-INDEX(分析データ!D:D,ROW()+$C$5)),""),"")</f>
        <v/>
      </c>
      <c r="BI818">
        <f t="shared" ca="1" si="345"/>
        <v>5570000.0000000205</v>
      </c>
      <c r="BJ818">
        <f t="shared" ca="1" si="346"/>
        <v>5570000.0000000205</v>
      </c>
      <c r="BK818">
        <f t="shared" ca="1" si="347"/>
        <v>0</v>
      </c>
      <c r="BL818">
        <f ca="1">IF(ROW()&lt;($C$7+1),"",IFERROR((分析データ!E818-AVERAGE(OFFSET(分析データ!E$1,MAX(1,ROW()-$C$7),0,MIN($C$7,ROW()-1),1)))/STDEV(OFFSET(分析データ!E$1,MAX(1,ROW()-$C$7),0,MIN($C$7,ROW()-1),1)),0))</f>
        <v>-1.2523084923635897</v>
      </c>
      <c r="BM818">
        <f t="shared" ca="1" si="348"/>
        <v>0</v>
      </c>
      <c r="BN818" t="str">
        <f ca="1">IF(BM818=1,IF(INDEX(分析データ!$A:$A,ROW()+$C$5)&lt;&gt;"",40000*SIGN(BL818)*(分析データ!E818-INDEX(分析データ!E:E,ROW()+$C$5)),""),"")</f>
        <v/>
      </c>
      <c r="BO818">
        <f t="shared" ca="1" si="349"/>
        <v>4280000.0000000028</v>
      </c>
      <c r="BP818">
        <f t="shared" ca="1" si="350"/>
        <v>4280000.0000000028</v>
      </c>
      <c r="BQ818">
        <f t="shared" ca="1" si="351"/>
        <v>0</v>
      </c>
      <c r="BR818">
        <f ca="1">IF(ROW()&lt;($C$7+1),"",IFERROR((分析データ!F818-AVERAGE(OFFSET(分析データ!F$1,MAX(1,ROW()-$C$7),0,MIN($C$7,ROW()-1),1)))/STDEV(OFFSET(分析データ!F$1,MAX(1,ROW()-$C$7),0,MIN($C$7,ROW()-1),1)),0))</f>
        <v>-1.0835117710642457</v>
      </c>
      <c r="BS818">
        <f t="shared" ca="1" si="352"/>
        <v>0</v>
      </c>
      <c r="BT818" t="str">
        <f ca="1">IF(BS818=1,IF(INDEX(分析データ!$A:$A,ROW()+$C$5)&lt;&gt;"",40000*SIGN(BR818)*(分析データ!F818-INDEX(分析データ!F:F,ROW()+$C$5)),""),"")</f>
        <v/>
      </c>
      <c r="BU818">
        <f t="shared" ca="1" si="353"/>
        <v>14917200.000000004</v>
      </c>
      <c r="BV818">
        <f t="shared" ca="1" si="354"/>
        <v>14917200.000000004</v>
      </c>
      <c r="BW818">
        <f t="shared" ca="1" si="355"/>
        <v>0</v>
      </c>
      <c r="BX818">
        <f ca="1">IF(ROW()&lt;($C$7+1),"",IFERROR((分析データ!G818-AVERAGE(OFFSET(分析データ!G$1,MAX(1,ROW()-$C$7),0,MIN($C$7,ROW()-1),1)))/STDEV(OFFSET(分析データ!G$1,MAX(1,ROW()-$C$7),0,MIN($C$7,ROW()-1),1)),0))</f>
        <v>1.3886482350884919</v>
      </c>
      <c r="BY818">
        <f t="shared" ca="1" si="356"/>
        <v>0</v>
      </c>
      <c r="BZ818" t="str">
        <f ca="1">IF(BY818=1,IF(INDEX(分析データ!$A:$A,ROW()+$C$5)&lt;&gt;"",40000*SIGN(BX818)*(分析データ!G818-INDEX(分析データ!G:G,ROW()+$C$5)),""),"")</f>
        <v/>
      </c>
      <c r="CA818">
        <f t="shared" ca="1" si="357"/>
        <v>-3515452.8662109179</v>
      </c>
      <c r="CB818">
        <f t="shared" ca="1" si="358"/>
        <v>11327520.000000004</v>
      </c>
      <c r="CC818">
        <f t="shared" ca="1" si="359"/>
        <v>-14842972.866210923</v>
      </c>
      <c r="CD818">
        <f t="shared" ca="1" si="360"/>
        <v>0</v>
      </c>
      <c r="CE818">
        <f t="shared" ca="1" si="361"/>
        <v>21567747.133789141</v>
      </c>
      <c r="CF818">
        <f t="shared" ca="1" si="362"/>
        <v>21567747.133789141</v>
      </c>
      <c r="CG818">
        <f t="shared" ca="1" si="363"/>
        <v>0</v>
      </c>
      <c r="CH818" s="10">
        <f>分析データ!A818</f>
        <v>46121</v>
      </c>
    </row>
    <row r="819" spans="46:86">
      <c r="AT819">
        <f ca="1">IF(ROW()&lt;($C$7+1),"",IFERROR((分析データ!B819-AVERAGE(OFFSET(分析データ!B$1,MAX(1,ROW()-$C$7),0,MIN($C$7,ROW()-1),1)))/STDEV(OFFSET(分析データ!B$1,MAX(1,ROW()-$C$7),0,MIN($C$7,ROW()-1),1)),0))</f>
        <v>-1.40124654707415</v>
      </c>
      <c r="AU819">
        <f t="shared" ca="1" si="336"/>
        <v>0</v>
      </c>
      <c r="AV819" t="str">
        <f ca="1">IF(AU819=1,IF(INDEX(分析データ!$A:$A,ROW()+$C$5)&lt;&gt;"",80000*SIGN(AT819)*(分析データ!B819-INDEX(分析データ!B:B,ROW()+$C$5)),""),"")</f>
        <v/>
      </c>
      <c r="AW819">
        <f t="shared" ca="1" si="337"/>
        <v>-2839999.9999999963</v>
      </c>
      <c r="AX819">
        <f t="shared" ca="1" si="338"/>
        <v>0</v>
      </c>
      <c r="AY819">
        <f t="shared" ca="1" si="339"/>
        <v>-2839999.9999999963</v>
      </c>
      <c r="AZ819">
        <f ca="1">IF(ROW()&lt;($C$7+1),"",IFERROR((分析データ!C819-AVERAGE(OFFSET(分析データ!C$1,MAX(1,ROW()-$C$7),0,MIN($C$7,ROW()-1),1)))/STDEV(OFFSET(分析データ!C$1,MAX(1,ROW()-$C$7),0,MIN($C$7,ROW()-1),1)),0))</f>
        <v>2.14575594491708</v>
      </c>
      <c r="BA819">
        <f t="shared" ca="1" si="340"/>
        <v>1</v>
      </c>
      <c r="BB819">
        <f ca="1">IF(BA819=1,IF(INDEX(分析データ!$A:$A,ROW()+$C$5)&lt;&gt;"",60000*SIGN(AZ819)*(分析データ!C819-INDEX(分析データ!C:C,ROW()+$C$5)),""),"")</f>
        <v>-84000.000000001412</v>
      </c>
      <c r="BC819">
        <f t="shared" ca="1" si="341"/>
        <v>3072000.0000000093</v>
      </c>
      <c r="BD819">
        <f t="shared" ca="1" si="342"/>
        <v>3156000.0000000107</v>
      </c>
      <c r="BE819">
        <f t="shared" ca="1" si="343"/>
        <v>-84000.000000001397</v>
      </c>
      <c r="BF819">
        <f ca="1">IF(ROW()&lt;($C$7+1),"",IFERROR((分析データ!D819-AVERAGE(OFFSET(分析データ!D$1,MAX(1,ROW()-$C$7),0,MIN($C$7,ROW()-1),1)))/STDEV(OFFSET(分析データ!D$1,MAX(1,ROW()-$C$7),0,MIN($C$7,ROW()-1),1)),0))</f>
        <v>-1.5044427520158004</v>
      </c>
      <c r="BG819">
        <f t="shared" ca="1" si="344"/>
        <v>0</v>
      </c>
      <c r="BH819" t="str">
        <f ca="1">IF(BG819=1,IF(INDEX(分析データ!$A:$A,ROW()+$C$5)&lt;&gt;"",50000*SIGN(BF819)*(分析データ!D819-INDEX(分析データ!D:D,ROW()+$C$5)),""),"")</f>
        <v/>
      </c>
      <c r="BI819">
        <f t="shared" ca="1" si="345"/>
        <v>5570000.0000000205</v>
      </c>
      <c r="BJ819">
        <f t="shared" ca="1" si="346"/>
        <v>5570000.0000000205</v>
      </c>
      <c r="BK819">
        <f t="shared" ca="1" si="347"/>
        <v>0</v>
      </c>
      <c r="BL819">
        <f ca="1">IF(ROW()&lt;($C$7+1),"",IFERROR((分析データ!E819-AVERAGE(OFFSET(分析データ!E$1,MAX(1,ROW()-$C$7),0,MIN($C$7,ROW()-1),1)))/STDEV(OFFSET(分析データ!E$1,MAX(1,ROW()-$C$7),0,MIN($C$7,ROW()-1),1)),0))</f>
        <v>-1.5365429179629</v>
      </c>
      <c r="BM819">
        <f t="shared" ca="1" si="348"/>
        <v>0</v>
      </c>
      <c r="BN819" t="str">
        <f ca="1">IF(BM819=1,IF(INDEX(分析データ!$A:$A,ROW()+$C$5)&lt;&gt;"",40000*SIGN(BL819)*(分析データ!E819-INDEX(分析データ!E:E,ROW()+$C$5)),""),"")</f>
        <v/>
      </c>
      <c r="BO819">
        <f t="shared" ca="1" si="349"/>
        <v>4280000.0000000028</v>
      </c>
      <c r="BP819">
        <f t="shared" ca="1" si="350"/>
        <v>4280000.0000000028</v>
      </c>
      <c r="BQ819">
        <f t="shared" ca="1" si="351"/>
        <v>0</v>
      </c>
      <c r="BR819">
        <f ca="1">IF(ROW()&lt;($C$7+1),"",IFERROR((分析データ!F819-AVERAGE(OFFSET(分析データ!F$1,MAX(1,ROW()-$C$7),0,MIN($C$7,ROW()-1),1)))/STDEV(OFFSET(分析データ!F$1,MAX(1,ROW()-$C$7),0,MIN($C$7,ROW()-1),1)),0))</f>
        <v>-1.0496017529942461</v>
      </c>
      <c r="BS819">
        <f t="shared" ca="1" si="352"/>
        <v>0</v>
      </c>
      <c r="BT819" t="str">
        <f ca="1">IF(BS819=1,IF(INDEX(分析データ!$A:$A,ROW()+$C$5)&lt;&gt;"",40000*SIGN(BR819)*(分析データ!F819-INDEX(分析データ!F:F,ROW()+$C$5)),""),"")</f>
        <v/>
      </c>
      <c r="BU819">
        <f t="shared" ca="1" si="353"/>
        <v>14917200.000000004</v>
      </c>
      <c r="BV819">
        <f t="shared" ca="1" si="354"/>
        <v>14917200.000000004</v>
      </c>
      <c r="BW819">
        <f t="shared" ca="1" si="355"/>
        <v>0</v>
      </c>
      <c r="BX819">
        <f ca="1">IF(ROW()&lt;($C$7+1),"",IFERROR((分析データ!G819-AVERAGE(OFFSET(分析データ!G$1,MAX(1,ROW()-$C$7),0,MIN($C$7,ROW()-1),1)))/STDEV(OFFSET(分析データ!G$1,MAX(1,ROW()-$C$7),0,MIN($C$7,ROW()-1),1)),0))</f>
        <v>1.3805735347918131</v>
      </c>
      <c r="BY819">
        <f t="shared" ca="1" si="356"/>
        <v>0</v>
      </c>
      <c r="BZ819" t="str">
        <f ca="1">IF(BY819=1,IF(INDEX(分析データ!$A:$A,ROW()+$C$5)&lt;&gt;"",40000*SIGN(BX819)*(分析データ!G819-INDEX(分析データ!G:G,ROW()+$C$5)),""),"")</f>
        <v/>
      </c>
      <c r="CA819">
        <f t="shared" ca="1" si="357"/>
        <v>-3515452.8662109179</v>
      </c>
      <c r="CB819">
        <f t="shared" ca="1" si="358"/>
        <v>11327520.000000004</v>
      </c>
      <c r="CC819">
        <f t="shared" ca="1" si="359"/>
        <v>-14842972.866210923</v>
      </c>
      <c r="CD819">
        <f t="shared" ca="1" si="360"/>
        <v>-84000.000000001412</v>
      </c>
      <c r="CE819">
        <f t="shared" ca="1" si="361"/>
        <v>21483747.133789141</v>
      </c>
      <c r="CF819">
        <f t="shared" ca="1" si="362"/>
        <v>21567747.133789141</v>
      </c>
      <c r="CG819">
        <f t="shared" ca="1" si="363"/>
        <v>-84000</v>
      </c>
      <c r="CH819" s="10">
        <f>分析データ!A819</f>
        <v>46122</v>
      </c>
    </row>
    <row r="820" spans="46:86">
      <c r="AT820">
        <f ca="1">IF(ROW()&lt;($C$7+1),"",IFERROR((分析データ!B820-AVERAGE(OFFSET(分析データ!B$1,MAX(1,ROW()-$C$7),0,MIN($C$7,ROW()-1),1)))/STDEV(OFFSET(分析データ!B$1,MAX(1,ROW()-$C$7),0,MIN($C$7,ROW()-1),1)),0))</f>
        <v>-1.0643063578138128</v>
      </c>
      <c r="AU820">
        <f t="shared" ca="1" si="336"/>
        <v>0</v>
      </c>
      <c r="AV820" t="str">
        <f ca="1">IF(AU820=1,IF(INDEX(分析データ!$A:$A,ROW()+$C$5)&lt;&gt;"",80000*SIGN(AT820)*(分析データ!B820-INDEX(分析データ!B:B,ROW()+$C$5)),""),"")</f>
        <v/>
      </c>
      <c r="AW820">
        <f t="shared" ca="1" si="337"/>
        <v>-2839999.9999999963</v>
      </c>
      <c r="AX820">
        <f t="shared" ca="1" si="338"/>
        <v>0</v>
      </c>
      <c r="AY820">
        <f t="shared" ca="1" si="339"/>
        <v>-2839999.9999999963</v>
      </c>
      <c r="AZ820">
        <f ca="1">IF(ROW()&lt;($C$7+1),"",IFERROR((分析データ!C820-AVERAGE(OFFSET(分析データ!C$1,MAX(1,ROW()-$C$7),0,MIN($C$7,ROW()-1),1)))/STDEV(OFFSET(分析データ!C$1,MAX(1,ROW()-$C$7),0,MIN($C$7,ROW()-1),1)),0))</f>
        <v>2.1174606453097762</v>
      </c>
      <c r="BA820">
        <f t="shared" ca="1" si="340"/>
        <v>1</v>
      </c>
      <c r="BB820">
        <f ca="1">IF(BA820=1,IF(INDEX(分析データ!$A:$A,ROW()+$C$5)&lt;&gt;"",60000*SIGN(AZ820)*(分析データ!C820-INDEX(分析データ!C:C,ROW()+$C$5)),""),"")</f>
        <v>-206999.99999999985</v>
      </c>
      <c r="BC820">
        <f t="shared" ca="1" si="341"/>
        <v>2865000.0000000093</v>
      </c>
      <c r="BD820">
        <f t="shared" ca="1" si="342"/>
        <v>3156000.0000000107</v>
      </c>
      <c r="BE820">
        <f t="shared" ca="1" si="343"/>
        <v>-291000.0000000014</v>
      </c>
      <c r="BF820">
        <f ca="1">IF(ROW()&lt;($C$7+1),"",IFERROR((分析データ!D820-AVERAGE(OFFSET(分析データ!D$1,MAX(1,ROW()-$C$7),0,MIN($C$7,ROW()-1),1)))/STDEV(OFFSET(分析データ!D$1,MAX(1,ROW()-$C$7),0,MIN($C$7,ROW()-1),1)),0))</f>
        <v>-1.5875767323794805</v>
      </c>
      <c r="BG820">
        <f t="shared" ca="1" si="344"/>
        <v>0</v>
      </c>
      <c r="BH820" t="str">
        <f ca="1">IF(BG820=1,IF(INDEX(分析データ!$A:$A,ROW()+$C$5)&lt;&gt;"",50000*SIGN(BF820)*(分析データ!D820-INDEX(分析データ!D:D,ROW()+$C$5)),""),"")</f>
        <v/>
      </c>
      <c r="BI820">
        <f t="shared" ca="1" si="345"/>
        <v>5570000.0000000205</v>
      </c>
      <c r="BJ820">
        <f t="shared" ca="1" si="346"/>
        <v>5570000.0000000205</v>
      </c>
      <c r="BK820">
        <f t="shared" ca="1" si="347"/>
        <v>0</v>
      </c>
      <c r="BL820">
        <f ca="1">IF(ROW()&lt;($C$7+1),"",IFERROR((分析データ!E820-AVERAGE(OFFSET(分析データ!E$1,MAX(1,ROW()-$C$7),0,MIN($C$7,ROW()-1),1)))/STDEV(OFFSET(分析データ!E$1,MAX(1,ROW()-$C$7),0,MIN($C$7,ROW()-1),1)),0))</f>
        <v>-1.2676479073193885</v>
      </c>
      <c r="BM820">
        <f t="shared" ca="1" si="348"/>
        <v>0</v>
      </c>
      <c r="BN820" t="str">
        <f ca="1">IF(BM820=1,IF(INDEX(分析データ!$A:$A,ROW()+$C$5)&lt;&gt;"",40000*SIGN(BL820)*(分析データ!E820-INDEX(分析データ!E:E,ROW()+$C$5)),""),"")</f>
        <v/>
      </c>
      <c r="BO820">
        <f t="shared" ca="1" si="349"/>
        <v>4280000.0000000028</v>
      </c>
      <c r="BP820">
        <f t="shared" ca="1" si="350"/>
        <v>4280000.0000000028</v>
      </c>
      <c r="BQ820">
        <f t="shared" ca="1" si="351"/>
        <v>0</v>
      </c>
      <c r="BR820">
        <f ca="1">IF(ROW()&lt;($C$7+1),"",IFERROR((分析データ!F820-AVERAGE(OFFSET(分析データ!F$1,MAX(1,ROW()-$C$7),0,MIN($C$7,ROW()-1),1)))/STDEV(OFFSET(分析データ!F$1,MAX(1,ROW()-$C$7),0,MIN($C$7,ROW()-1),1)),0))</f>
        <v>-0.61481518058475892</v>
      </c>
      <c r="BS820">
        <f t="shared" ca="1" si="352"/>
        <v>0</v>
      </c>
      <c r="BT820" t="str">
        <f ca="1">IF(BS820=1,IF(INDEX(分析データ!$A:$A,ROW()+$C$5)&lt;&gt;"",40000*SIGN(BR820)*(分析データ!F820-INDEX(分析データ!F:F,ROW()+$C$5)),""),"")</f>
        <v/>
      </c>
      <c r="BU820">
        <f t="shared" ca="1" si="353"/>
        <v>14917200.000000004</v>
      </c>
      <c r="BV820">
        <f t="shared" ca="1" si="354"/>
        <v>14917200.000000004</v>
      </c>
      <c r="BW820">
        <f t="shared" ca="1" si="355"/>
        <v>0</v>
      </c>
      <c r="BX820">
        <f ca="1">IF(ROW()&lt;($C$7+1),"",IFERROR((分析データ!G820-AVERAGE(OFFSET(分析データ!G$1,MAX(1,ROW()-$C$7),0,MIN($C$7,ROW()-1),1)))/STDEV(OFFSET(分析データ!G$1,MAX(1,ROW()-$C$7),0,MIN($C$7,ROW()-1),1)),0))</f>
        <v>1.372566168211466</v>
      </c>
      <c r="BY820">
        <f t="shared" ca="1" si="356"/>
        <v>0</v>
      </c>
      <c r="BZ820" t="str">
        <f ca="1">IF(BY820=1,IF(INDEX(分析データ!$A:$A,ROW()+$C$5)&lt;&gt;"",40000*SIGN(BX820)*(分析データ!G820-INDEX(分析データ!G:G,ROW()+$C$5)),""),"")</f>
        <v/>
      </c>
      <c r="CA820">
        <f t="shared" ca="1" si="357"/>
        <v>-3515452.8662109179</v>
      </c>
      <c r="CB820">
        <f t="shared" ca="1" si="358"/>
        <v>11327520.000000004</v>
      </c>
      <c r="CC820">
        <f t="shared" ca="1" si="359"/>
        <v>-14842972.866210923</v>
      </c>
      <c r="CD820">
        <f t="shared" ca="1" si="360"/>
        <v>-206999.99999999985</v>
      </c>
      <c r="CE820">
        <f t="shared" ca="1" si="361"/>
        <v>21276747.133789141</v>
      </c>
      <c r="CF820">
        <f t="shared" ca="1" si="362"/>
        <v>21567747.133789141</v>
      </c>
      <c r="CG820">
        <f t="shared" ca="1" si="363"/>
        <v>-291000</v>
      </c>
      <c r="CH820" s="10">
        <f>分析データ!A820</f>
        <v>46125</v>
      </c>
    </row>
    <row r="821" spans="46:86">
      <c r="AT821">
        <f ca="1">IF(ROW()&lt;($C$7+1),"",IFERROR((分析データ!B821-AVERAGE(OFFSET(分析データ!B$1,MAX(1,ROW()-$C$7),0,MIN($C$7,ROW()-1),1)))/STDEV(OFFSET(分析データ!B$1,MAX(1,ROW()-$C$7),0,MIN($C$7,ROW()-1),1)),0))</f>
        <v>-1.548232659585042</v>
      </c>
      <c r="AU821">
        <f t="shared" ca="1" si="336"/>
        <v>0</v>
      </c>
      <c r="AV821" t="str">
        <f ca="1">IF(AU821=1,IF(INDEX(分析データ!$A:$A,ROW()+$C$5)&lt;&gt;"",80000*SIGN(AT821)*(分析データ!B821-INDEX(分析データ!B:B,ROW()+$C$5)),""),"")</f>
        <v/>
      </c>
      <c r="AW821">
        <f t="shared" ca="1" si="337"/>
        <v>-2839999.9999999963</v>
      </c>
      <c r="AX821">
        <f t="shared" ca="1" si="338"/>
        <v>0</v>
      </c>
      <c r="AY821">
        <f t="shared" ca="1" si="339"/>
        <v>-2839999.9999999963</v>
      </c>
      <c r="AZ821">
        <f ca="1">IF(ROW()&lt;($C$7+1),"",IFERROR((分析データ!C821-AVERAGE(OFFSET(分析データ!C$1,MAX(1,ROW()-$C$7),0,MIN($C$7,ROW()-1),1)))/STDEV(OFFSET(分析データ!C$1,MAX(1,ROW()-$C$7),0,MIN($C$7,ROW()-1),1)),0))</f>
        <v>2.0689112565642347</v>
      </c>
      <c r="BA821">
        <f t="shared" ca="1" si="340"/>
        <v>1</v>
      </c>
      <c r="BB821">
        <f ca="1">IF(BA821=1,IF(INDEX(分析データ!$A:$A,ROW()+$C$5)&lt;&gt;"",60000*SIGN(AZ821)*(分析データ!C821-INDEX(分析データ!C:C,ROW()+$C$5)),""),"")</f>
        <v>-206999.99999999985</v>
      </c>
      <c r="BC821">
        <f t="shared" ca="1" si="341"/>
        <v>2658000.0000000093</v>
      </c>
      <c r="BD821">
        <f t="shared" ca="1" si="342"/>
        <v>3156000.0000000107</v>
      </c>
      <c r="BE821">
        <f t="shared" ca="1" si="343"/>
        <v>-498000.0000000014</v>
      </c>
      <c r="BF821">
        <f ca="1">IF(ROW()&lt;($C$7+1),"",IFERROR((分析データ!D821-AVERAGE(OFFSET(分析データ!D$1,MAX(1,ROW()-$C$7),0,MIN($C$7,ROW()-1),1)))/STDEV(OFFSET(分析データ!D$1,MAX(1,ROW()-$C$7),0,MIN($C$7,ROW()-1),1)),0))</f>
        <v>-1.5647134451564091</v>
      </c>
      <c r="BG821">
        <f t="shared" ca="1" si="344"/>
        <v>0</v>
      </c>
      <c r="BH821" t="str">
        <f ca="1">IF(BG821=1,IF(INDEX(分析データ!$A:$A,ROW()+$C$5)&lt;&gt;"",50000*SIGN(BF821)*(分析データ!D821-INDEX(分析データ!D:D,ROW()+$C$5)),""),"")</f>
        <v/>
      </c>
      <c r="BI821">
        <f t="shared" ca="1" si="345"/>
        <v>5570000.0000000205</v>
      </c>
      <c r="BJ821">
        <f t="shared" ca="1" si="346"/>
        <v>5570000.0000000205</v>
      </c>
      <c r="BK821">
        <f t="shared" ca="1" si="347"/>
        <v>0</v>
      </c>
      <c r="BL821">
        <f ca="1">IF(ROW()&lt;($C$7+1),"",IFERROR((分析データ!E821-AVERAGE(OFFSET(分析データ!E$1,MAX(1,ROW()-$C$7),0,MIN($C$7,ROW()-1),1)))/STDEV(OFFSET(分析データ!E$1,MAX(1,ROW()-$C$7),0,MIN($C$7,ROW()-1),1)),0))</f>
        <v>-1.041429123829972</v>
      </c>
      <c r="BM821">
        <f t="shared" ca="1" si="348"/>
        <v>0</v>
      </c>
      <c r="BN821" t="str">
        <f ca="1">IF(BM821=1,IF(INDEX(分析データ!$A:$A,ROW()+$C$5)&lt;&gt;"",40000*SIGN(BL821)*(分析データ!E821-INDEX(分析データ!E:E,ROW()+$C$5)),""),"")</f>
        <v/>
      </c>
      <c r="BO821">
        <f t="shared" ca="1" si="349"/>
        <v>4280000.0000000028</v>
      </c>
      <c r="BP821">
        <f t="shared" ca="1" si="350"/>
        <v>4280000.0000000028</v>
      </c>
      <c r="BQ821">
        <f t="shared" ca="1" si="351"/>
        <v>0</v>
      </c>
      <c r="BR821">
        <f ca="1">IF(ROW()&lt;($C$7+1),"",IFERROR((分析データ!F821-AVERAGE(OFFSET(分析データ!F$1,MAX(1,ROW()-$C$7),0,MIN($C$7,ROW()-1),1)))/STDEV(OFFSET(分析データ!F$1,MAX(1,ROW()-$C$7),0,MIN($C$7,ROW()-1),1)),0))</f>
        <v>2.6436590006505882E-2</v>
      </c>
      <c r="BS821">
        <f t="shared" ca="1" si="352"/>
        <v>0</v>
      </c>
      <c r="BT821" t="str">
        <f ca="1">IF(BS821=1,IF(INDEX(分析データ!$A:$A,ROW()+$C$5)&lt;&gt;"",40000*SIGN(BR821)*(分析データ!F821-INDEX(分析データ!F:F,ROW()+$C$5)),""),"")</f>
        <v/>
      </c>
      <c r="BU821">
        <f t="shared" ca="1" si="353"/>
        <v>14917200.000000004</v>
      </c>
      <c r="BV821">
        <f t="shared" ca="1" si="354"/>
        <v>14917200.000000004</v>
      </c>
      <c r="BW821">
        <f t="shared" ca="1" si="355"/>
        <v>0</v>
      </c>
      <c r="BX821">
        <f ca="1">IF(ROW()&lt;($C$7+1),"",IFERROR((分析データ!G821-AVERAGE(OFFSET(分析データ!G$1,MAX(1,ROW()-$C$7),0,MIN($C$7,ROW()-1),1)))/STDEV(OFFSET(分析データ!G$1,MAX(1,ROW()-$C$7),0,MIN($C$7,ROW()-1),1)),0))</f>
        <v>0.96928895059806275</v>
      </c>
      <c r="BY821">
        <f t="shared" ca="1" si="356"/>
        <v>0</v>
      </c>
      <c r="BZ821" t="str">
        <f ca="1">IF(BY821=1,IF(INDEX(分析データ!$A:$A,ROW()+$C$5)&lt;&gt;"",40000*SIGN(BX821)*(分析データ!G821-INDEX(分析データ!G:G,ROW()+$C$5)),""),"")</f>
        <v/>
      </c>
      <c r="CA821">
        <f t="shared" ca="1" si="357"/>
        <v>-3515452.8662109179</v>
      </c>
      <c r="CB821">
        <f t="shared" ca="1" si="358"/>
        <v>11327520.000000004</v>
      </c>
      <c r="CC821">
        <f t="shared" ca="1" si="359"/>
        <v>-14842972.866210923</v>
      </c>
      <c r="CD821">
        <f t="shared" ca="1" si="360"/>
        <v>-206999.99999999985</v>
      </c>
      <c r="CE821">
        <f t="shared" ca="1" si="361"/>
        <v>21069747.133789141</v>
      </c>
      <c r="CF821">
        <f t="shared" ca="1" si="362"/>
        <v>21567747.133789141</v>
      </c>
      <c r="CG821">
        <f t="shared" ca="1" si="363"/>
        <v>-498000</v>
      </c>
      <c r="CH821" s="10">
        <f>分析データ!A821</f>
        <v>46126</v>
      </c>
    </row>
    <row r="822" spans="46:86">
      <c r="AT822">
        <f ca="1">IF(ROW()&lt;($C$7+1),"",IFERROR((分析データ!B822-AVERAGE(OFFSET(分析データ!B$1,MAX(1,ROW()-$C$7),0,MIN($C$7,ROW()-1),1)))/STDEV(OFFSET(分析データ!B$1,MAX(1,ROW()-$C$7),0,MIN($C$7,ROW()-1),1)),0))</f>
        <v>-0.87960258997739738</v>
      </c>
      <c r="AU822">
        <f t="shared" ca="1" si="336"/>
        <v>0</v>
      </c>
      <c r="AV822" t="str">
        <f ca="1">IF(AU822=1,IF(INDEX(分析データ!$A:$A,ROW()+$C$5)&lt;&gt;"",80000*SIGN(AT822)*(分析データ!B822-INDEX(分析データ!B:B,ROW()+$C$5)),""),"")</f>
        <v/>
      </c>
      <c r="AW822">
        <f t="shared" ca="1" si="337"/>
        <v>-2839999.9999999963</v>
      </c>
      <c r="AX822">
        <f t="shared" ca="1" si="338"/>
        <v>0</v>
      </c>
      <c r="AY822">
        <f t="shared" ca="1" si="339"/>
        <v>-2839999.9999999963</v>
      </c>
      <c r="AZ822">
        <f ca="1">IF(ROW()&lt;($C$7+1),"",IFERROR((分析データ!C822-AVERAGE(OFFSET(分析データ!C$1,MAX(1,ROW()-$C$7),0,MIN($C$7,ROW()-1),1)))/STDEV(OFFSET(分析データ!C$1,MAX(1,ROW()-$C$7),0,MIN($C$7,ROW()-1),1)),0))</f>
        <v>2.0907409115195206</v>
      </c>
      <c r="BA822">
        <f t="shared" ca="1" si="340"/>
        <v>1</v>
      </c>
      <c r="BB822">
        <f ca="1">IF(BA822=1,IF(INDEX(分析データ!$A:$A,ROW()+$C$5)&lt;&gt;"",60000*SIGN(AZ822)*(分析データ!C822-INDEX(分析データ!C:C,ROW()+$C$5)),""),"")</f>
        <v>-179999.99999999884</v>
      </c>
      <c r="BC822">
        <f t="shared" ca="1" si="341"/>
        <v>2478000.0000000102</v>
      </c>
      <c r="BD822">
        <f t="shared" ca="1" si="342"/>
        <v>3156000.0000000107</v>
      </c>
      <c r="BE822">
        <f t="shared" ca="1" si="343"/>
        <v>-678000.00000000047</v>
      </c>
      <c r="BF822">
        <f ca="1">IF(ROW()&lt;($C$7+1),"",IFERROR((分析データ!D822-AVERAGE(OFFSET(分析データ!D$1,MAX(1,ROW()-$C$7),0,MIN($C$7,ROW()-1),1)))/STDEV(OFFSET(分析データ!D$1,MAX(1,ROW()-$C$7),0,MIN($C$7,ROW()-1),1)),0))</f>
        <v>-1.4536913588074538</v>
      </c>
      <c r="BG822">
        <f t="shared" ca="1" si="344"/>
        <v>0</v>
      </c>
      <c r="BH822" t="str">
        <f ca="1">IF(BG822=1,IF(INDEX(分析データ!$A:$A,ROW()+$C$5)&lt;&gt;"",50000*SIGN(BF822)*(分析データ!D822-INDEX(分析データ!D:D,ROW()+$C$5)),""),"")</f>
        <v/>
      </c>
      <c r="BI822">
        <f t="shared" ca="1" si="345"/>
        <v>5570000.0000000205</v>
      </c>
      <c r="BJ822">
        <f t="shared" ca="1" si="346"/>
        <v>5570000.0000000205</v>
      </c>
      <c r="BK822">
        <f t="shared" ca="1" si="347"/>
        <v>0</v>
      </c>
      <c r="BL822">
        <f ca="1">IF(ROW()&lt;($C$7+1),"",IFERROR((分析データ!E822-AVERAGE(OFFSET(分析データ!E$1,MAX(1,ROW()-$C$7),0,MIN($C$7,ROW()-1),1)))/STDEV(OFFSET(分析データ!E$1,MAX(1,ROW()-$C$7),0,MIN($C$7,ROW()-1),1)),0))</f>
        <v>-1.0498131357808509</v>
      </c>
      <c r="BM822">
        <f t="shared" ca="1" si="348"/>
        <v>0</v>
      </c>
      <c r="BN822" t="str">
        <f ca="1">IF(BM822=1,IF(INDEX(分析データ!$A:$A,ROW()+$C$5)&lt;&gt;"",40000*SIGN(BL822)*(分析データ!E822-INDEX(分析データ!E:E,ROW()+$C$5)),""),"")</f>
        <v/>
      </c>
      <c r="BO822">
        <f t="shared" ca="1" si="349"/>
        <v>4280000.0000000028</v>
      </c>
      <c r="BP822">
        <f t="shared" ca="1" si="350"/>
        <v>4280000.0000000028</v>
      </c>
      <c r="BQ822">
        <f t="shared" ca="1" si="351"/>
        <v>0</v>
      </c>
      <c r="BR822">
        <f ca="1">IF(ROW()&lt;($C$7+1),"",IFERROR((分析データ!F822-AVERAGE(OFFSET(分析データ!F$1,MAX(1,ROW()-$C$7),0,MIN($C$7,ROW()-1),1)))/STDEV(OFFSET(分析データ!F$1,MAX(1,ROW()-$C$7),0,MIN($C$7,ROW()-1),1)),0))</f>
        <v>-0.58444022236264215</v>
      </c>
      <c r="BS822">
        <f t="shared" ca="1" si="352"/>
        <v>0</v>
      </c>
      <c r="BT822" t="str">
        <f ca="1">IF(BS822=1,IF(INDEX(分析データ!$A:$A,ROW()+$C$5)&lt;&gt;"",40000*SIGN(BR822)*(分析データ!F822-INDEX(分析データ!F:F,ROW()+$C$5)),""),"")</f>
        <v/>
      </c>
      <c r="BU822">
        <f t="shared" ca="1" si="353"/>
        <v>14917200.000000004</v>
      </c>
      <c r="BV822">
        <f t="shared" ca="1" si="354"/>
        <v>14917200.000000004</v>
      </c>
      <c r="BW822">
        <f t="shared" ca="1" si="355"/>
        <v>0</v>
      </c>
      <c r="BX822">
        <f ca="1">IF(ROW()&lt;($C$7+1),"",IFERROR((分析データ!G822-AVERAGE(OFFSET(分析データ!G$1,MAX(1,ROW()-$C$7),0,MIN($C$7,ROW()-1),1)))/STDEV(OFFSET(分析データ!G$1,MAX(1,ROW()-$C$7),0,MIN($C$7,ROW()-1),1)),0))</f>
        <v>1.039849717957199</v>
      </c>
      <c r="BY822">
        <f t="shared" ca="1" si="356"/>
        <v>0</v>
      </c>
      <c r="BZ822" t="str">
        <f ca="1">IF(BY822=1,IF(INDEX(分析データ!$A:$A,ROW()+$C$5)&lt;&gt;"",40000*SIGN(BX822)*(分析データ!G822-INDEX(分析データ!G:G,ROW()+$C$5)),""),"")</f>
        <v/>
      </c>
      <c r="CA822">
        <f t="shared" ca="1" si="357"/>
        <v>-3515452.8662109179</v>
      </c>
      <c r="CB822">
        <f t="shared" ca="1" si="358"/>
        <v>11327520.000000004</v>
      </c>
      <c r="CC822">
        <f t="shared" ca="1" si="359"/>
        <v>-14842972.866210923</v>
      </c>
      <c r="CD822">
        <f t="shared" ca="1" si="360"/>
        <v>-179999.99999999884</v>
      </c>
      <c r="CE822">
        <f t="shared" ca="1" si="361"/>
        <v>20889747.133789141</v>
      </c>
      <c r="CF822">
        <f t="shared" ca="1" si="362"/>
        <v>21567747.133789141</v>
      </c>
      <c r="CG822">
        <f t="shared" ca="1" si="363"/>
        <v>-678000</v>
      </c>
      <c r="CH822" s="10">
        <f>分析データ!A822</f>
        <v>46127</v>
      </c>
    </row>
    <row r="823" spans="46:86">
      <c r="AT823">
        <f ca="1">IF(ROW()&lt;($C$7+1),"",IFERROR((分析データ!B823-AVERAGE(OFFSET(分析データ!B$1,MAX(1,ROW()-$C$7),0,MIN($C$7,ROW()-1),1)))/STDEV(OFFSET(分析データ!B$1,MAX(1,ROW()-$C$7),0,MIN($C$7,ROW()-1),1)),0))</f>
        <v>-0.87745762954471052</v>
      </c>
      <c r="AU823">
        <f t="shared" ca="1" si="336"/>
        <v>0</v>
      </c>
      <c r="AV823" t="str">
        <f ca="1">IF(AU823=1,IF(INDEX(分析データ!$A:$A,ROW()+$C$5)&lt;&gt;"",80000*SIGN(AT823)*(分析データ!B823-INDEX(分析データ!B:B,ROW()+$C$5)),""),"")</f>
        <v/>
      </c>
      <c r="AW823">
        <f t="shared" ca="1" si="337"/>
        <v>-2839999.9999999963</v>
      </c>
      <c r="AX823">
        <f t="shared" ca="1" si="338"/>
        <v>0</v>
      </c>
      <c r="AY823">
        <f t="shared" ca="1" si="339"/>
        <v>-2839999.9999999963</v>
      </c>
      <c r="AZ823">
        <f ca="1">IF(ROW()&lt;($C$7+1),"",IFERROR((分析データ!C823-AVERAGE(OFFSET(分析データ!C$1,MAX(1,ROW()-$C$7),0,MIN($C$7,ROW()-1),1)))/STDEV(OFFSET(分析データ!C$1,MAX(1,ROW()-$C$7),0,MIN($C$7,ROW()-1),1)),0))</f>
        <v>2.0079622386335774</v>
      </c>
      <c r="BA823">
        <f t="shared" ca="1" si="340"/>
        <v>1</v>
      </c>
      <c r="BB823">
        <f ca="1">IF(BA823=1,IF(INDEX(分析データ!$A:$A,ROW()+$C$5)&lt;&gt;"",60000*SIGN(AZ823)*(分析データ!C823-INDEX(分析データ!C:C,ROW()+$C$5)),""),"")</f>
        <v>-264000.00000000291</v>
      </c>
      <c r="BC823">
        <f t="shared" ca="1" si="341"/>
        <v>2214000.0000000075</v>
      </c>
      <c r="BD823">
        <f t="shared" ca="1" si="342"/>
        <v>3156000.0000000107</v>
      </c>
      <c r="BE823">
        <f t="shared" ca="1" si="343"/>
        <v>-942000.00000000326</v>
      </c>
      <c r="BF823">
        <f ca="1">IF(ROW()&lt;($C$7+1),"",IFERROR((分析データ!D823-AVERAGE(OFFSET(分析データ!D$1,MAX(1,ROW()-$C$7),0,MIN($C$7,ROW()-1),1)))/STDEV(OFFSET(分析データ!D$1,MAX(1,ROW()-$C$7),0,MIN($C$7,ROW()-1),1)),0))</f>
        <v>-1.355307163881621</v>
      </c>
      <c r="BG823">
        <f t="shared" ca="1" si="344"/>
        <v>0</v>
      </c>
      <c r="BH823" t="str">
        <f ca="1">IF(BG823=1,IF(INDEX(分析データ!$A:$A,ROW()+$C$5)&lt;&gt;"",50000*SIGN(BF823)*(分析データ!D823-INDEX(分析データ!D:D,ROW()+$C$5)),""),"")</f>
        <v/>
      </c>
      <c r="BI823">
        <f t="shared" ca="1" si="345"/>
        <v>5570000.0000000205</v>
      </c>
      <c r="BJ823">
        <f t="shared" ca="1" si="346"/>
        <v>5570000.0000000205</v>
      </c>
      <c r="BK823">
        <f t="shared" ca="1" si="347"/>
        <v>0</v>
      </c>
      <c r="BL823">
        <f ca="1">IF(ROW()&lt;($C$7+1),"",IFERROR((分析データ!E823-AVERAGE(OFFSET(分析データ!E$1,MAX(1,ROW()-$C$7),0,MIN($C$7,ROW()-1),1)))/STDEV(OFFSET(分析データ!E$1,MAX(1,ROW()-$C$7),0,MIN($C$7,ROW()-1),1)),0))</f>
        <v>-0.50903239594867644</v>
      </c>
      <c r="BM823">
        <f t="shared" ca="1" si="348"/>
        <v>0</v>
      </c>
      <c r="BN823" t="str">
        <f ca="1">IF(BM823=1,IF(INDEX(分析データ!$A:$A,ROW()+$C$5)&lt;&gt;"",40000*SIGN(BL823)*(分析データ!E823-INDEX(分析データ!E:E,ROW()+$C$5)),""),"")</f>
        <v/>
      </c>
      <c r="BO823">
        <f t="shared" ca="1" si="349"/>
        <v>4280000.0000000028</v>
      </c>
      <c r="BP823">
        <f t="shared" ca="1" si="350"/>
        <v>4280000.0000000028</v>
      </c>
      <c r="BQ823">
        <f t="shared" ca="1" si="351"/>
        <v>0</v>
      </c>
      <c r="BR823">
        <f ca="1">IF(ROW()&lt;($C$7+1),"",IFERROR((分析データ!F823-AVERAGE(OFFSET(分析データ!F$1,MAX(1,ROW()-$C$7),0,MIN($C$7,ROW()-1),1)))/STDEV(OFFSET(分析データ!F$1,MAX(1,ROW()-$C$7),0,MIN($C$7,ROW()-1),1)),0))</f>
        <v>-0.70484467200610457</v>
      </c>
      <c r="BS823">
        <f t="shared" ca="1" si="352"/>
        <v>0</v>
      </c>
      <c r="BT823" t="str">
        <f ca="1">IF(BS823=1,IF(INDEX(分析データ!$A:$A,ROW()+$C$5)&lt;&gt;"",40000*SIGN(BR823)*(分析データ!F823-INDEX(分析データ!F:F,ROW()+$C$5)),""),"")</f>
        <v/>
      </c>
      <c r="BU823">
        <f t="shared" ca="1" si="353"/>
        <v>14917200.000000004</v>
      </c>
      <c r="BV823">
        <f t="shared" ca="1" si="354"/>
        <v>14917200.000000004</v>
      </c>
      <c r="BW823">
        <f t="shared" ca="1" si="355"/>
        <v>0</v>
      </c>
      <c r="BX823">
        <f ca="1">IF(ROW()&lt;($C$7+1),"",IFERROR((分析データ!G823-AVERAGE(OFFSET(分析データ!G$1,MAX(1,ROW()-$C$7),0,MIN($C$7,ROW()-1),1)))/STDEV(OFFSET(分析データ!G$1,MAX(1,ROW()-$C$7),0,MIN($C$7,ROW()-1),1)),0))</f>
        <v>1.1496664215669643</v>
      </c>
      <c r="BY823">
        <f t="shared" ca="1" si="356"/>
        <v>0</v>
      </c>
      <c r="BZ823" t="str">
        <f ca="1">IF(BY823=1,IF(INDEX(分析データ!$A:$A,ROW()+$C$5)&lt;&gt;"",40000*SIGN(BX823)*(分析データ!G823-INDEX(分析データ!G:G,ROW()+$C$5)),""),"")</f>
        <v/>
      </c>
      <c r="CA823">
        <f t="shared" ca="1" si="357"/>
        <v>-3515452.8662109179</v>
      </c>
      <c r="CB823">
        <f t="shared" ca="1" si="358"/>
        <v>11327520.000000004</v>
      </c>
      <c r="CC823">
        <f t="shared" ca="1" si="359"/>
        <v>-14842972.866210923</v>
      </c>
      <c r="CD823">
        <f t="shared" ca="1" si="360"/>
        <v>-264000.00000000291</v>
      </c>
      <c r="CE823">
        <f t="shared" ca="1" si="361"/>
        <v>20625747.133789137</v>
      </c>
      <c r="CF823">
        <f t="shared" ca="1" si="362"/>
        <v>21567747.133789141</v>
      </c>
      <c r="CG823">
        <f t="shared" ca="1" si="363"/>
        <v>-942000.00000000373</v>
      </c>
      <c r="CH823" s="10">
        <f>分析データ!A823</f>
        <v>46128</v>
      </c>
    </row>
    <row r="824" spans="46:86">
      <c r="AT824">
        <f ca="1">IF(ROW()&lt;($C$7+1),"",IFERROR((分析データ!B824-AVERAGE(OFFSET(分析データ!B$1,MAX(1,ROW()-$C$7),0,MIN($C$7,ROW()-1),1)))/STDEV(OFFSET(分析データ!B$1,MAX(1,ROW()-$C$7),0,MIN($C$7,ROW()-1),1)),0))</f>
        <v>-0.87296029601526381</v>
      </c>
      <c r="AU824">
        <f t="shared" ca="1" si="336"/>
        <v>0</v>
      </c>
      <c r="AV824" t="str">
        <f ca="1">IF(AU824=1,IF(INDEX(分析データ!$A:$A,ROW()+$C$5)&lt;&gt;"",80000*SIGN(AT824)*(分析データ!B824-INDEX(分析データ!B:B,ROW()+$C$5)),""),"")</f>
        <v/>
      </c>
      <c r="AW824">
        <f t="shared" ca="1" si="337"/>
        <v>-2839999.9999999963</v>
      </c>
      <c r="AX824">
        <f t="shared" ca="1" si="338"/>
        <v>0</v>
      </c>
      <c r="AY824">
        <f t="shared" ca="1" si="339"/>
        <v>-2839999.9999999963</v>
      </c>
      <c r="AZ824">
        <f ca="1">IF(ROW()&lt;($C$7+1),"",IFERROR((分析データ!C824-AVERAGE(OFFSET(分析データ!C$1,MAX(1,ROW()-$C$7),0,MIN($C$7,ROW()-1),1)))/STDEV(OFFSET(分析データ!C$1,MAX(1,ROW()-$C$7),0,MIN($C$7,ROW()-1),1)),0))</f>
        <v>2.1515568922477848</v>
      </c>
      <c r="BA824">
        <f t="shared" ca="1" si="340"/>
        <v>1</v>
      </c>
      <c r="BB824">
        <f ca="1">IF(BA824=1,IF(INDEX(分析データ!$A:$A,ROW()+$C$5)&lt;&gt;"",60000*SIGN(AZ824)*(分析データ!C824-INDEX(分析データ!C:C,ROW()+$C$5)),""),"")</f>
        <v>-182999.99999999983</v>
      </c>
      <c r="BC824">
        <f t="shared" ca="1" si="341"/>
        <v>2031000.0000000077</v>
      </c>
      <c r="BD824">
        <f t="shared" ca="1" si="342"/>
        <v>3156000.0000000107</v>
      </c>
      <c r="BE824">
        <f t="shared" ca="1" si="343"/>
        <v>-1125000.000000003</v>
      </c>
      <c r="BF824">
        <f ca="1">IF(ROW()&lt;($C$7+1),"",IFERROR((分析データ!D824-AVERAGE(OFFSET(分析データ!D$1,MAX(1,ROW()-$C$7),0,MIN($C$7,ROW()-1),1)))/STDEV(OFFSET(分析データ!D$1,MAX(1,ROW()-$C$7),0,MIN($C$7,ROW()-1),1)),0))</f>
        <v>-1.544673518087772</v>
      </c>
      <c r="BG824">
        <f t="shared" ca="1" si="344"/>
        <v>0</v>
      </c>
      <c r="BH824" t="str">
        <f ca="1">IF(BG824=1,IF(INDEX(分析データ!$A:$A,ROW()+$C$5)&lt;&gt;"",50000*SIGN(BF824)*(分析データ!D824-INDEX(分析データ!D:D,ROW()+$C$5)),""),"")</f>
        <v/>
      </c>
      <c r="BI824">
        <f t="shared" ca="1" si="345"/>
        <v>5570000.0000000205</v>
      </c>
      <c r="BJ824">
        <f t="shared" ca="1" si="346"/>
        <v>5570000.0000000205</v>
      </c>
      <c r="BK824">
        <f t="shared" ca="1" si="347"/>
        <v>0</v>
      </c>
      <c r="BL824">
        <f ca="1">IF(ROW()&lt;($C$7+1),"",IFERROR((分析データ!E824-AVERAGE(OFFSET(分析データ!E$1,MAX(1,ROW()-$C$7),0,MIN($C$7,ROW()-1),1)))/STDEV(OFFSET(分析データ!E$1,MAX(1,ROW()-$C$7),0,MIN($C$7,ROW()-1),1)),0))</f>
        <v>-0.23492903658008485</v>
      </c>
      <c r="BM824">
        <f t="shared" ca="1" si="348"/>
        <v>0</v>
      </c>
      <c r="BN824" t="str">
        <f ca="1">IF(BM824=1,IF(INDEX(分析データ!$A:$A,ROW()+$C$5)&lt;&gt;"",40000*SIGN(BL824)*(分析データ!E824-INDEX(分析データ!E:E,ROW()+$C$5)),""),"")</f>
        <v/>
      </c>
      <c r="BO824">
        <f t="shared" ca="1" si="349"/>
        <v>4280000.0000000028</v>
      </c>
      <c r="BP824">
        <f t="shared" ca="1" si="350"/>
        <v>4280000.0000000028</v>
      </c>
      <c r="BQ824">
        <f t="shared" ca="1" si="351"/>
        <v>0</v>
      </c>
      <c r="BR824">
        <f ca="1">IF(ROW()&lt;($C$7+1),"",IFERROR((分析データ!F824-AVERAGE(OFFSET(分析データ!F$1,MAX(1,ROW()-$C$7),0,MIN($C$7,ROW()-1),1)))/STDEV(OFFSET(分析データ!F$1,MAX(1,ROW()-$C$7),0,MIN($C$7,ROW()-1),1)),0))</f>
        <v>-0.43324375307425078</v>
      </c>
      <c r="BS824">
        <f t="shared" ca="1" si="352"/>
        <v>0</v>
      </c>
      <c r="BT824" t="str">
        <f ca="1">IF(BS824=1,IF(INDEX(分析データ!$A:$A,ROW()+$C$5)&lt;&gt;"",40000*SIGN(BR824)*(分析データ!F824-INDEX(分析データ!F:F,ROW()+$C$5)),""),"")</f>
        <v/>
      </c>
      <c r="BU824">
        <f t="shared" ca="1" si="353"/>
        <v>14917200.000000004</v>
      </c>
      <c r="BV824">
        <f t="shared" ca="1" si="354"/>
        <v>14917200.000000004</v>
      </c>
      <c r="BW824">
        <f t="shared" ca="1" si="355"/>
        <v>0</v>
      </c>
      <c r="BX824">
        <f ca="1">IF(ROW()&lt;($C$7+1),"",IFERROR((分析データ!G824-AVERAGE(OFFSET(分析データ!G$1,MAX(1,ROW()-$C$7),0,MIN($C$7,ROW()-1),1)))/STDEV(OFFSET(分析データ!G$1,MAX(1,ROW()-$C$7),0,MIN($C$7,ROW()-1),1)),0))</f>
        <v>1.205211653572599</v>
      </c>
      <c r="BY824">
        <f t="shared" ca="1" si="356"/>
        <v>0</v>
      </c>
      <c r="BZ824" t="str">
        <f ca="1">IF(BY824=1,IF(INDEX(分析データ!$A:$A,ROW()+$C$5)&lt;&gt;"",40000*SIGN(BX824)*(分析データ!G824-INDEX(分析データ!G:G,ROW()+$C$5)),""),"")</f>
        <v/>
      </c>
      <c r="CA824">
        <f t="shared" ca="1" si="357"/>
        <v>-3515452.8662109179</v>
      </c>
      <c r="CB824">
        <f t="shared" ca="1" si="358"/>
        <v>11327520.000000004</v>
      </c>
      <c r="CC824">
        <f t="shared" ca="1" si="359"/>
        <v>-14842972.866210923</v>
      </c>
      <c r="CD824">
        <f t="shared" ca="1" si="360"/>
        <v>-182999.99999999983</v>
      </c>
      <c r="CE824">
        <f t="shared" ca="1" si="361"/>
        <v>20442747.133789137</v>
      </c>
      <c r="CF824">
        <f t="shared" ca="1" si="362"/>
        <v>21567747.133789141</v>
      </c>
      <c r="CG824">
        <f t="shared" ca="1" si="363"/>
        <v>-1125000.0000000037</v>
      </c>
      <c r="CH824" s="10">
        <f>分析データ!A824</f>
        <v>46129</v>
      </c>
    </row>
    <row r="825" spans="46:86">
      <c r="AT825">
        <f ca="1">IF(ROW()&lt;($C$7+1),"",IFERROR((分析データ!B825-AVERAGE(OFFSET(分析データ!B$1,MAX(1,ROW()-$C$7),0,MIN($C$7,ROW()-1),1)))/STDEV(OFFSET(分析データ!B$1,MAX(1,ROW()-$C$7),0,MIN($C$7,ROW()-1),1)),0))</f>
        <v>-1.0360200536818547</v>
      </c>
      <c r="AU825">
        <f t="shared" ca="1" si="336"/>
        <v>0</v>
      </c>
      <c r="AV825" t="str">
        <f ca="1">IF(AU825=1,IF(INDEX(分析データ!$A:$A,ROW()+$C$5)&lt;&gt;"",80000*SIGN(AT825)*(分析データ!B825-INDEX(分析データ!B:B,ROW()+$C$5)),""),"")</f>
        <v/>
      </c>
      <c r="AW825">
        <f t="shared" ca="1" si="337"/>
        <v>-2839999.9999999963</v>
      </c>
      <c r="AX825">
        <f t="shared" ca="1" si="338"/>
        <v>0</v>
      </c>
      <c r="AY825">
        <f t="shared" ca="1" si="339"/>
        <v>-2839999.9999999963</v>
      </c>
      <c r="AZ825">
        <f ca="1">IF(ROW()&lt;($C$7+1),"",IFERROR((分析データ!C825-AVERAGE(OFFSET(分析データ!C$1,MAX(1,ROW()-$C$7),0,MIN($C$7,ROW()-1),1)))/STDEV(OFFSET(分析データ!C$1,MAX(1,ROW()-$C$7),0,MIN($C$7,ROW()-1),1)),0))</f>
        <v>2.087382580722402</v>
      </c>
      <c r="BA825">
        <f t="shared" ca="1" si="340"/>
        <v>1</v>
      </c>
      <c r="BB825">
        <f ca="1">IF(BA825=1,IF(INDEX(分析データ!$A:$A,ROW()+$C$5)&lt;&gt;"",60000*SIGN(AZ825)*(分析データ!C825-INDEX(分析データ!C:C,ROW()+$C$5)),""),"")</f>
        <v>-204000.00000000151</v>
      </c>
      <c r="BC825">
        <f t="shared" ca="1" si="341"/>
        <v>1827000.0000000061</v>
      </c>
      <c r="BD825">
        <f t="shared" ca="1" si="342"/>
        <v>3156000.0000000107</v>
      </c>
      <c r="BE825">
        <f t="shared" ca="1" si="343"/>
        <v>-1329000.0000000047</v>
      </c>
      <c r="BF825">
        <f ca="1">IF(ROW()&lt;($C$7+1),"",IFERROR((分析データ!D825-AVERAGE(OFFSET(分析データ!D$1,MAX(1,ROW()-$C$7),0,MIN($C$7,ROW()-1),1)))/STDEV(OFFSET(分析データ!D$1,MAX(1,ROW()-$C$7),0,MIN($C$7,ROW()-1),1)),0))</f>
        <v>-1.4737007445034538</v>
      </c>
      <c r="BG825">
        <f t="shared" ca="1" si="344"/>
        <v>0</v>
      </c>
      <c r="BH825" t="str">
        <f ca="1">IF(BG825=1,IF(INDEX(分析データ!$A:$A,ROW()+$C$5)&lt;&gt;"",50000*SIGN(BF825)*(分析データ!D825-INDEX(分析データ!D:D,ROW()+$C$5)),""),"")</f>
        <v/>
      </c>
      <c r="BI825">
        <f t="shared" ca="1" si="345"/>
        <v>5570000.0000000205</v>
      </c>
      <c r="BJ825">
        <f t="shared" ca="1" si="346"/>
        <v>5570000.0000000205</v>
      </c>
      <c r="BK825">
        <f t="shared" ca="1" si="347"/>
        <v>0</v>
      </c>
      <c r="BL825">
        <f ca="1">IF(ROW()&lt;($C$7+1),"",IFERROR((分析データ!E825-AVERAGE(OFFSET(分析データ!E$1,MAX(1,ROW()-$C$7),0,MIN($C$7,ROW()-1),1)))/STDEV(OFFSET(分析データ!E$1,MAX(1,ROW()-$C$7),0,MIN($C$7,ROW()-1),1)),0))</f>
        <v>-0.81097688501069831</v>
      </c>
      <c r="BM825">
        <f t="shared" ca="1" si="348"/>
        <v>0</v>
      </c>
      <c r="BN825" t="str">
        <f ca="1">IF(BM825=1,IF(INDEX(分析データ!$A:$A,ROW()+$C$5)&lt;&gt;"",40000*SIGN(BL825)*(分析データ!E825-INDEX(分析データ!E:E,ROW()+$C$5)),""),"")</f>
        <v/>
      </c>
      <c r="BO825">
        <f t="shared" ca="1" si="349"/>
        <v>4280000.0000000028</v>
      </c>
      <c r="BP825">
        <f t="shared" ca="1" si="350"/>
        <v>4280000.0000000028</v>
      </c>
      <c r="BQ825">
        <f t="shared" ca="1" si="351"/>
        <v>0</v>
      </c>
      <c r="BR825">
        <f ca="1">IF(ROW()&lt;($C$7+1),"",IFERROR((分析データ!F825-AVERAGE(OFFSET(分析データ!F$1,MAX(1,ROW()-$C$7),0,MIN($C$7,ROW()-1),1)))/STDEV(OFFSET(分析データ!F$1,MAX(1,ROW()-$C$7),0,MIN($C$7,ROW()-1),1)),0))</f>
        <v>-1.1692955926329787</v>
      </c>
      <c r="BS825">
        <f t="shared" ca="1" si="352"/>
        <v>0</v>
      </c>
      <c r="BT825" t="str">
        <f ca="1">IF(BS825=1,IF(INDEX(分析データ!$A:$A,ROW()+$C$5)&lt;&gt;"",40000*SIGN(BR825)*(分析データ!F825-INDEX(分析データ!F:F,ROW()+$C$5)),""),"")</f>
        <v/>
      </c>
      <c r="BU825">
        <f t="shared" ca="1" si="353"/>
        <v>14917200.000000004</v>
      </c>
      <c r="BV825">
        <f t="shared" ca="1" si="354"/>
        <v>14917200.000000004</v>
      </c>
      <c r="BW825">
        <f t="shared" ca="1" si="355"/>
        <v>0</v>
      </c>
      <c r="BX825">
        <f ca="1">IF(ROW()&lt;($C$7+1),"",IFERROR((分析データ!G825-AVERAGE(OFFSET(分析データ!G$1,MAX(1,ROW()-$C$7),0,MIN($C$7,ROW()-1),1)))/STDEV(OFFSET(分析データ!G$1,MAX(1,ROW()-$C$7),0,MIN($C$7,ROW()-1),1)),0))</f>
        <v>1.4128767235269735</v>
      </c>
      <c r="BY825">
        <f t="shared" ca="1" si="356"/>
        <v>0</v>
      </c>
      <c r="BZ825" t="str">
        <f ca="1">IF(BY825=1,IF(INDEX(分析データ!$A:$A,ROW()+$C$5)&lt;&gt;"",40000*SIGN(BX825)*(分析データ!G825-INDEX(分析データ!G:G,ROW()+$C$5)),""),"")</f>
        <v/>
      </c>
      <c r="CA825">
        <f t="shared" ca="1" si="357"/>
        <v>-3515452.8662109179</v>
      </c>
      <c r="CB825">
        <f t="shared" ca="1" si="358"/>
        <v>11327520.000000004</v>
      </c>
      <c r="CC825">
        <f t="shared" ca="1" si="359"/>
        <v>-14842972.866210923</v>
      </c>
      <c r="CD825">
        <f t="shared" ca="1" si="360"/>
        <v>-204000.00000000151</v>
      </c>
      <c r="CE825">
        <f t="shared" ca="1" si="361"/>
        <v>20238747.133789137</v>
      </c>
      <c r="CF825">
        <f t="shared" ca="1" si="362"/>
        <v>21567747.133789141</v>
      </c>
      <c r="CG825">
        <f t="shared" ca="1" si="363"/>
        <v>-1329000.0000000037</v>
      </c>
      <c r="CH825" s="10">
        <f>分析データ!A825</f>
        <v>46132</v>
      </c>
    </row>
    <row r="826" spans="46:86">
      <c r="AT826">
        <f ca="1">IF(ROW()&lt;($C$7+1),"",IFERROR((分析データ!B826-AVERAGE(OFFSET(分析データ!B$1,MAX(1,ROW()-$C$7),0,MIN($C$7,ROW()-1),1)))/STDEV(OFFSET(分析データ!B$1,MAX(1,ROW()-$C$7),0,MIN($C$7,ROW()-1),1)),0))</f>
        <v>-0.85819714950461434</v>
      </c>
      <c r="AU826">
        <f t="shared" ca="1" si="336"/>
        <v>0</v>
      </c>
      <c r="AV826" t="str">
        <f ca="1">IF(AU826=1,IF(INDEX(分析データ!$A:$A,ROW()+$C$5)&lt;&gt;"",80000*SIGN(AT826)*(分析データ!B826-INDEX(分析データ!B:B,ROW()+$C$5)),""),"")</f>
        <v/>
      </c>
      <c r="AW826">
        <f t="shared" ca="1" si="337"/>
        <v>-2839999.9999999963</v>
      </c>
      <c r="AX826">
        <f t="shared" ca="1" si="338"/>
        <v>0</v>
      </c>
      <c r="AY826">
        <f t="shared" ca="1" si="339"/>
        <v>-2839999.9999999963</v>
      </c>
      <c r="AZ826">
        <f ca="1">IF(ROW()&lt;($C$7+1),"",IFERROR((分析データ!C826-AVERAGE(OFFSET(分析データ!C$1,MAX(1,ROW()-$C$7),0,MIN($C$7,ROW()-1),1)))/STDEV(OFFSET(分析データ!C$1,MAX(1,ROW()-$C$7),0,MIN($C$7,ROW()-1),1)),0))</f>
        <v>2.0052434216973087</v>
      </c>
      <c r="BA826">
        <f t="shared" ca="1" si="340"/>
        <v>1</v>
      </c>
      <c r="BB826">
        <f ca="1">IF(BA826=1,IF(INDEX(分析データ!$A:$A,ROW()+$C$5)&lt;&gt;"",60000*SIGN(AZ826)*(分析データ!C826-INDEX(分析データ!C:C,ROW()+$C$5)),""),"")</f>
        <v>-236999.99999999921</v>
      </c>
      <c r="BC826">
        <f t="shared" ca="1" si="341"/>
        <v>1590000.0000000068</v>
      </c>
      <c r="BD826">
        <f t="shared" ca="1" si="342"/>
        <v>3156000.0000000107</v>
      </c>
      <c r="BE826">
        <f t="shared" ca="1" si="343"/>
        <v>-1566000.000000004</v>
      </c>
      <c r="BF826">
        <f ca="1">IF(ROW()&lt;($C$7+1),"",IFERROR((分析データ!D826-AVERAGE(OFFSET(分析データ!D$1,MAX(1,ROW()-$C$7),0,MIN($C$7,ROW()-1),1)))/STDEV(OFFSET(分析データ!D$1,MAX(1,ROW()-$C$7),0,MIN($C$7,ROW()-1),1)),0))</f>
        <v>-1.3280641240465056</v>
      </c>
      <c r="BG826">
        <f t="shared" ca="1" si="344"/>
        <v>0</v>
      </c>
      <c r="BH826" t="str">
        <f ca="1">IF(BG826=1,IF(INDEX(分析データ!$A:$A,ROW()+$C$5)&lt;&gt;"",50000*SIGN(BF826)*(分析データ!D826-INDEX(分析データ!D:D,ROW()+$C$5)),""),"")</f>
        <v/>
      </c>
      <c r="BI826">
        <f t="shared" ca="1" si="345"/>
        <v>5570000.0000000205</v>
      </c>
      <c r="BJ826">
        <f t="shared" ca="1" si="346"/>
        <v>5570000.0000000205</v>
      </c>
      <c r="BK826">
        <f t="shared" ca="1" si="347"/>
        <v>0</v>
      </c>
      <c r="BL826">
        <f ca="1">IF(ROW()&lt;($C$7+1),"",IFERROR((分析データ!E826-AVERAGE(OFFSET(分析データ!E$1,MAX(1,ROW()-$C$7),0,MIN($C$7,ROW()-1),1)))/STDEV(OFFSET(分析データ!E$1,MAX(1,ROW()-$C$7),0,MIN($C$7,ROW()-1),1)),0))</f>
        <v>-1.0994919313554676</v>
      </c>
      <c r="BM826">
        <f t="shared" ca="1" si="348"/>
        <v>0</v>
      </c>
      <c r="BN826" t="str">
        <f ca="1">IF(BM826=1,IF(INDEX(分析データ!$A:$A,ROW()+$C$5)&lt;&gt;"",40000*SIGN(BL826)*(分析データ!E826-INDEX(分析データ!E:E,ROW()+$C$5)),""),"")</f>
        <v/>
      </c>
      <c r="BO826">
        <f t="shared" ca="1" si="349"/>
        <v>4280000.0000000028</v>
      </c>
      <c r="BP826">
        <f t="shared" ca="1" si="350"/>
        <v>4280000.0000000028</v>
      </c>
      <c r="BQ826">
        <f t="shared" ca="1" si="351"/>
        <v>0</v>
      </c>
      <c r="BR826">
        <f ca="1">IF(ROW()&lt;($C$7+1),"",IFERROR((分析データ!F826-AVERAGE(OFFSET(分析データ!F$1,MAX(1,ROW()-$C$7),0,MIN($C$7,ROW()-1),1)))/STDEV(OFFSET(分析データ!F$1,MAX(1,ROW()-$C$7),0,MIN($C$7,ROW()-1),1)),0))</f>
        <v>-1.2278473934199485</v>
      </c>
      <c r="BS826">
        <f t="shared" ca="1" si="352"/>
        <v>0</v>
      </c>
      <c r="BT826" t="str">
        <f ca="1">IF(BS826=1,IF(INDEX(分析データ!$A:$A,ROW()+$C$5)&lt;&gt;"",40000*SIGN(BR826)*(分析データ!F826-INDEX(分析データ!F:F,ROW()+$C$5)),""),"")</f>
        <v/>
      </c>
      <c r="BU826">
        <f t="shared" ca="1" si="353"/>
        <v>14917200.000000004</v>
      </c>
      <c r="BV826">
        <f t="shared" ca="1" si="354"/>
        <v>14917200.000000004</v>
      </c>
      <c r="BW826">
        <f t="shared" ca="1" si="355"/>
        <v>0</v>
      </c>
      <c r="BX826">
        <f ca="1">IF(ROW()&lt;($C$7+1),"",IFERROR((分析データ!G826-AVERAGE(OFFSET(分析データ!G$1,MAX(1,ROW()-$C$7),0,MIN($C$7,ROW()-1),1)))/STDEV(OFFSET(分析データ!G$1,MAX(1,ROW()-$C$7),0,MIN($C$7,ROW()-1),1)),0))</f>
        <v>1.2784527452016596</v>
      </c>
      <c r="BY826">
        <f t="shared" ca="1" si="356"/>
        <v>0</v>
      </c>
      <c r="BZ826" t="str">
        <f ca="1">IF(BY826=1,IF(INDEX(分析データ!$A:$A,ROW()+$C$5)&lt;&gt;"",40000*SIGN(BX826)*(分析データ!G826-INDEX(分析データ!G:G,ROW()+$C$5)),""),"")</f>
        <v/>
      </c>
      <c r="CA826">
        <f t="shared" ca="1" si="357"/>
        <v>-3515452.8662109179</v>
      </c>
      <c r="CB826">
        <f t="shared" ca="1" si="358"/>
        <v>11327520.000000004</v>
      </c>
      <c r="CC826">
        <f t="shared" ca="1" si="359"/>
        <v>-14842972.866210923</v>
      </c>
      <c r="CD826">
        <f t="shared" ca="1" si="360"/>
        <v>-236999.99999999921</v>
      </c>
      <c r="CE826">
        <f t="shared" ca="1" si="361"/>
        <v>20001747.133789137</v>
      </c>
      <c r="CF826">
        <f t="shared" ca="1" si="362"/>
        <v>21567747.133789141</v>
      </c>
      <c r="CG826">
        <f t="shared" ca="1" si="363"/>
        <v>-1566000.0000000037</v>
      </c>
      <c r="CH826" s="10">
        <f>分析データ!A826</f>
        <v>46133</v>
      </c>
    </row>
    <row r="827" spans="46:86">
      <c r="AT827">
        <f ca="1">IF(ROW()&lt;($C$7+1),"",IFERROR((分析データ!B827-AVERAGE(OFFSET(分析データ!B$1,MAX(1,ROW()-$C$7),0,MIN($C$7,ROW()-1),1)))/STDEV(OFFSET(分析データ!B$1,MAX(1,ROW()-$C$7),0,MIN($C$7,ROW()-1),1)),0))</f>
        <v>-1.192891800173473</v>
      </c>
      <c r="AU827">
        <f t="shared" ca="1" si="336"/>
        <v>0</v>
      </c>
      <c r="AV827" t="str">
        <f ca="1">IF(AU827=1,IF(INDEX(分析データ!$A:$A,ROW()+$C$5)&lt;&gt;"",80000*SIGN(AT827)*(分析データ!B827-INDEX(分析データ!B:B,ROW()+$C$5)),""),"")</f>
        <v/>
      </c>
      <c r="AW827">
        <f t="shared" ca="1" si="337"/>
        <v>-2839999.9999999963</v>
      </c>
      <c r="AX827">
        <f t="shared" ca="1" si="338"/>
        <v>0</v>
      </c>
      <c r="AY827">
        <f t="shared" ca="1" si="339"/>
        <v>-2839999.9999999963</v>
      </c>
      <c r="AZ827">
        <f ca="1">IF(ROW()&lt;($C$7+1),"",IFERROR((分析データ!C827-AVERAGE(OFFSET(分析データ!C$1,MAX(1,ROW()-$C$7),0,MIN($C$7,ROW()-1),1)))/STDEV(OFFSET(分析データ!C$1,MAX(1,ROW()-$C$7),0,MIN($C$7,ROW()-1),1)),0))</f>
        <v>2.025494806482079</v>
      </c>
      <c r="BA827">
        <f t="shared" ca="1" si="340"/>
        <v>1</v>
      </c>
      <c r="BB827">
        <f ca="1">IF(BA827=1,IF(INDEX(分析データ!$A:$A,ROW()+$C$5)&lt;&gt;"",60000*SIGN(AZ827)*(分析データ!C827-INDEX(分析データ!C:C,ROW()+$C$5)),""),"")</f>
        <v>-209999.9999999982</v>
      </c>
      <c r="BC827">
        <f t="shared" ca="1" si="341"/>
        <v>1380000.0000000086</v>
      </c>
      <c r="BD827">
        <f t="shared" ca="1" si="342"/>
        <v>3156000.0000000107</v>
      </c>
      <c r="BE827">
        <f t="shared" ca="1" si="343"/>
        <v>-1776000.0000000021</v>
      </c>
      <c r="BF827">
        <f ca="1">IF(ROW()&lt;($C$7+1),"",IFERROR((分析データ!D827-AVERAGE(OFFSET(分析データ!D$1,MAX(1,ROW()-$C$7),0,MIN($C$7,ROW()-1),1)))/STDEV(OFFSET(分析データ!D$1,MAX(1,ROW()-$C$7),0,MIN($C$7,ROW()-1),1)),0))</f>
        <v>-1.3536594257337016</v>
      </c>
      <c r="BG827">
        <f t="shared" ca="1" si="344"/>
        <v>0</v>
      </c>
      <c r="BH827" t="str">
        <f ca="1">IF(BG827=1,IF(INDEX(分析データ!$A:$A,ROW()+$C$5)&lt;&gt;"",50000*SIGN(BF827)*(分析データ!D827-INDEX(分析データ!D:D,ROW()+$C$5)),""),"")</f>
        <v/>
      </c>
      <c r="BI827">
        <f t="shared" ca="1" si="345"/>
        <v>5570000.0000000205</v>
      </c>
      <c r="BJ827">
        <f t="shared" ca="1" si="346"/>
        <v>5570000.0000000205</v>
      </c>
      <c r="BK827">
        <f t="shared" ca="1" si="347"/>
        <v>0</v>
      </c>
      <c r="BL827">
        <f ca="1">IF(ROW()&lt;($C$7+1),"",IFERROR((分析データ!E827-AVERAGE(OFFSET(分析データ!E$1,MAX(1,ROW()-$C$7),0,MIN($C$7,ROW()-1),1)))/STDEV(OFFSET(分析データ!E$1,MAX(1,ROW()-$C$7),0,MIN($C$7,ROW()-1),1)),0))</f>
        <v>-1.0994919313554679</v>
      </c>
      <c r="BM827">
        <f t="shared" ca="1" si="348"/>
        <v>0</v>
      </c>
      <c r="BN827" t="str">
        <f ca="1">IF(BM827=1,IF(INDEX(分析データ!$A:$A,ROW()+$C$5)&lt;&gt;"",40000*SIGN(BL827)*(分析データ!E827-INDEX(分析データ!E:E,ROW()+$C$5)),""),"")</f>
        <v/>
      </c>
      <c r="BO827">
        <f t="shared" ca="1" si="349"/>
        <v>4280000.0000000028</v>
      </c>
      <c r="BP827">
        <f t="shared" ca="1" si="350"/>
        <v>4280000.0000000028</v>
      </c>
      <c r="BQ827">
        <f t="shared" ca="1" si="351"/>
        <v>0</v>
      </c>
      <c r="BR827">
        <f ca="1">IF(ROW()&lt;($C$7+1),"",IFERROR((分析データ!F827-AVERAGE(OFFSET(分析データ!F$1,MAX(1,ROW()-$C$7),0,MIN($C$7,ROW()-1),1)))/STDEV(OFFSET(分析データ!F$1,MAX(1,ROW()-$C$7),0,MIN($C$7,ROW()-1),1)),0))</f>
        <v>-0.83838791363462961</v>
      </c>
      <c r="BS827">
        <f t="shared" ca="1" si="352"/>
        <v>0</v>
      </c>
      <c r="BT827" t="str">
        <f ca="1">IF(BS827=1,IF(INDEX(分析データ!$A:$A,ROW()+$C$5)&lt;&gt;"",40000*SIGN(BR827)*(分析データ!F827-INDEX(分析データ!F:F,ROW()+$C$5)),""),"")</f>
        <v/>
      </c>
      <c r="BU827">
        <f t="shared" ca="1" si="353"/>
        <v>14917200.000000004</v>
      </c>
      <c r="BV827">
        <f t="shared" ca="1" si="354"/>
        <v>14917200.000000004</v>
      </c>
      <c r="BW827">
        <f t="shared" ca="1" si="355"/>
        <v>0</v>
      </c>
      <c r="BX827">
        <f ca="1">IF(ROW()&lt;($C$7+1),"",IFERROR((分析データ!G827-AVERAGE(OFFSET(分析データ!G$1,MAX(1,ROW()-$C$7),0,MIN($C$7,ROW()-1),1)))/STDEV(OFFSET(分析データ!G$1,MAX(1,ROW()-$C$7),0,MIN($C$7,ROW()-1),1)),0))</f>
        <v>1.2085259377964674</v>
      </c>
      <c r="BY827">
        <f t="shared" ca="1" si="356"/>
        <v>0</v>
      </c>
      <c r="BZ827" t="str">
        <f ca="1">IF(BY827=1,IF(INDEX(分析データ!$A:$A,ROW()+$C$5)&lt;&gt;"",40000*SIGN(BX827)*(分析データ!G827-INDEX(分析データ!G:G,ROW()+$C$5)),""),"")</f>
        <v/>
      </c>
      <c r="CA827">
        <f t="shared" ca="1" si="357"/>
        <v>-3515452.8662109179</v>
      </c>
      <c r="CB827">
        <f t="shared" ca="1" si="358"/>
        <v>11327520.000000004</v>
      </c>
      <c r="CC827">
        <f t="shared" ca="1" si="359"/>
        <v>-14842972.866210923</v>
      </c>
      <c r="CD827">
        <f t="shared" ca="1" si="360"/>
        <v>-209999.9999999982</v>
      </c>
      <c r="CE827">
        <f t="shared" ca="1" si="361"/>
        <v>19791747.133789137</v>
      </c>
      <c r="CF827">
        <f t="shared" ca="1" si="362"/>
        <v>21567747.133789141</v>
      </c>
      <c r="CG827">
        <f t="shared" ca="1" si="363"/>
        <v>-1776000.0000000037</v>
      </c>
      <c r="CH827" s="10">
        <f>分析データ!A827</f>
        <v>46134</v>
      </c>
    </row>
    <row r="828" spans="46:86">
      <c r="AT828">
        <f ca="1">IF(ROW()&lt;($C$7+1),"",IFERROR((分析データ!B828-AVERAGE(OFFSET(分析データ!B$1,MAX(1,ROW()-$C$7),0,MIN($C$7,ROW()-1),1)))/STDEV(OFFSET(分析データ!B$1,MAX(1,ROW()-$C$7),0,MIN($C$7,ROW()-1),1)),0))</f>
        <v>-0.85119272450153749</v>
      </c>
      <c r="AU828">
        <f t="shared" ca="1" si="336"/>
        <v>0</v>
      </c>
      <c r="AV828" t="str">
        <f ca="1">IF(AU828=1,IF(INDEX(分析データ!$A:$A,ROW()+$C$5)&lt;&gt;"",80000*SIGN(AT828)*(分析データ!B828-INDEX(分析データ!B:B,ROW()+$C$5)),""),"")</f>
        <v/>
      </c>
      <c r="AW828">
        <f t="shared" ca="1" si="337"/>
        <v>-2839999.9999999963</v>
      </c>
      <c r="AX828">
        <f t="shared" ca="1" si="338"/>
        <v>0</v>
      </c>
      <c r="AY828">
        <f t="shared" ca="1" si="339"/>
        <v>-2839999.9999999963</v>
      </c>
      <c r="AZ828">
        <f ca="1">IF(ROW()&lt;($C$7+1),"",IFERROR((分析データ!C828-AVERAGE(OFFSET(分析データ!C$1,MAX(1,ROW()-$C$7),0,MIN($C$7,ROW()-1),1)))/STDEV(OFFSET(分析データ!C$1,MAX(1,ROW()-$C$7),0,MIN($C$7,ROW()-1),1)),0))</f>
        <v>2.0503952744887748</v>
      </c>
      <c r="BA828">
        <f t="shared" ca="1" si="340"/>
        <v>1</v>
      </c>
      <c r="BB828">
        <f ca="1">IF(BA828=1,IF(INDEX(分析データ!$A:$A,ROW()+$C$5)&lt;&gt;"",60000*SIGN(AZ828)*(分析データ!C828-INDEX(分析データ!C:C,ROW()+$C$5)),""),"")</f>
        <v>-62999.999999999724</v>
      </c>
      <c r="BC828">
        <f t="shared" ca="1" si="341"/>
        <v>1317000.0000000088</v>
      </c>
      <c r="BD828">
        <f t="shared" ca="1" si="342"/>
        <v>3156000.0000000107</v>
      </c>
      <c r="BE828">
        <f t="shared" ca="1" si="343"/>
        <v>-1839000.0000000019</v>
      </c>
      <c r="BF828">
        <f ca="1">IF(ROW()&lt;($C$7+1),"",IFERROR((分析データ!D828-AVERAGE(OFFSET(分析データ!D$1,MAX(1,ROW()-$C$7),0,MIN($C$7,ROW()-1),1)))/STDEV(OFFSET(分析データ!D$1,MAX(1,ROW()-$C$7),0,MIN($C$7,ROW()-1),1)),0))</f>
        <v>-1.3017751319033026</v>
      </c>
      <c r="BG828">
        <f t="shared" ca="1" si="344"/>
        <v>0</v>
      </c>
      <c r="BH828" t="str">
        <f ca="1">IF(BG828=1,IF(INDEX(分析データ!$A:$A,ROW()+$C$5)&lt;&gt;"",50000*SIGN(BF828)*(分析データ!D828-INDEX(分析データ!D:D,ROW()+$C$5)),""),"")</f>
        <v/>
      </c>
      <c r="BI828">
        <f t="shared" ca="1" si="345"/>
        <v>5570000.0000000205</v>
      </c>
      <c r="BJ828">
        <f t="shared" ca="1" si="346"/>
        <v>5570000.0000000205</v>
      </c>
      <c r="BK828">
        <f t="shared" ca="1" si="347"/>
        <v>0</v>
      </c>
      <c r="BL828">
        <f ca="1">IF(ROW()&lt;($C$7+1),"",IFERROR((分析データ!E828-AVERAGE(OFFSET(分析データ!E$1,MAX(1,ROW()-$C$7),0,MIN($C$7,ROW()-1),1)))/STDEV(OFFSET(分析データ!E$1,MAX(1,ROW()-$C$7),0,MIN($C$7,ROW()-1),1)),0))</f>
        <v>-1.3736127346180422</v>
      </c>
      <c r="BM828">
        <f t="shared" ca="1" si="348"/>
        <v>0</v>
      </c>
      <c r="BN828" t="str">
        <f ca="1">IF(BM828=1,IF(INDEX(分析データ!$A:$A,ROW()+$C$5)&lt;&gt;"",40000*SIGN(BL828)*(分析データ!E828-INDEX(分析データ!E:E,ROW()+$C$5)),""),"")</f>
        <v/>
      </c>
      <c r="BO828">
        <f t="shared" ca="1" si="349"/>
        <v>4280000.0000000028</v>
      </c>
      <c r="BP828">
        <f t="shared" ca="1" si="350"/>
        <v>4280000.0000000028</v>
      </c>
      <c r="BQ828">
        <f t="shared" ca="1" si="351"/>
        <v>0</v>
      </c>
      <c r="BR828">
        <f ca="1">IF(ROW()&lt;($C$7+1),"",IFERROR((分析データ!F828-AVERAGE(OFFSET(分析データ!F$1,MAX(1,ROW()-$C$7),0,MIN($C$7,ROW()-1),1)))/STDEV(OFFSET(分析データ!F$1,MAX(1,ROW()-$C$7),0,MIN($C$7,ROW()-1),1)),0))</f>
        <v>-0.94107870169622343</v>
      </c>
      <c r="BS828">
        <f t="shared" ca="1" si="352"/>
        <v>0</v>
      </c>
      <c r="BT828" t="str">
        <f ca="1">IF(BS828=1,IF(INDEX(分析データ!$A:$A,ROW()+$C$5)&lt;&gt;"",40000*SIGN(BR828)*(分析データ!F828-INDEX(分析データ!F:F,ROW()+$C$5)),""),"")</f>
        <v/>
      </c>
      <c r="BU828">
        <f t="shared" ca="1" si="353"/>
        <v>14917200.000000004</v>
      </c>
      <c r="BV828">
        <f t="shared" ca="1" si="354"/>
        <v>14917200.000000004</v>
      </c>
      <c r="BW828">
        <f t="shared" ca="1" si="355"/>
        <v>0</v>
      </c>
      <c r="BX828">
        <f ca="1">IF(ROW()&lt;($C$7+1),"",IFERROR((分析データ!G828-AVERAGE(OFFSET(分析データ!G$1,MAX(1,ROW()-$C$7),0,MIN($C$7,ROW()-1),1)))/STDEV(OFFSET(分析データ!G$1,MAX(1,ROW()-$C$7),0,MIN($C$7,ROW()-1),1)),0))</f>
        <v>1.2293108212632478</v>
      </c>
      <c r="BY828">
        <f t="shared" ca="1" si="356"/>
        <v>0</v>
      </c>
      <c r="BZ828" t="str">
        <f ca="1">IF(BY828=1,IF(INDEX(分析データ!$A:$A,ROW()+$C$5)&lt;&gt;"",40000*SIGN(BX828)*(分析データ!G828-INDEX(分析データ!G:G,ROW()+$C$5)),""),"")</f>
        <v/>
      </c>
      <c r="CA828">
        <f t="shared" ca="1" si="357"/>
        <v>-3515452.8662109179</v>
      </c>
      <c r="CB828">
        <f t="shared" ca="1" si="358"/>
        <v>11327520.000000004</v>
      </c>
      <c r="CC828">
        <f t="shared" ca="1" si="359"/>
        <v>-14842972.866210923</v>
      </c>
      <c r="CD828">
        <f t="shared" ca="1" si="360"/>
        <v>-62999.999999999724</v>
      </c>
      <c r="CE828">
        <f t="shared" ca="1" si="361"/>
        <v>19728747.133789137</v>
      </c>
      <c r="CF828">
        <f t="shared" ca="1" si="362"/>
        <v>21567747.133789141</v>
      </c>
      <c r="CG828">
        <f t="shared" ca="1" si="363"/>
        <v>-1839000.0000000037</v>
      </c>
      <c r="CH828" s="10">
        <f>分析データ!A828</f>
        <v>46135</v>
      </c>
    </row>
    <row r="829" spans="46:86">
      <c r="AT829">
        <f ca="1">IF(ROW()&lt;($C$7+1),"",IFERROR((分析データ!B829-AVERAGE(OFFSET(分析データ!B$1,MAX(1,ROW()-$C$7),0,MIN($C$7,ROW()-1),1)))/STDEV(OFFSET(分析データ!B$1,MAX(1,ROW()-$C$7),0,MIN($C$7,ROW()-1),1)),0))</f>
        <v>-0.85430295027383529</v>
      </c>
      <c r="AU829">
        <f t="shared" ca="1" si="336"/>
        <v>0</v>
      </c>
      <c r="AV829" t="str">
        <f ca="1">IF(AU829=1,IF(INDEX(分析データ!$A:$A,ROW()+$C$5)&lt;&gt;"",80000*SIGN(AT829)*(分析データ!B829-INDEX(分析データ!B:B,ROW()+$C$5)),""),"")</f>
        <v/>
      </c>
      <c r="AW829">
        <f t="shared" ca="1" si="337"/>
        <v>-2839999.9999999963</v>
      </c>
      <c r="AX829">
        <f t="shared" ca="1" si="338"/>
        <v>0</v>
      </c>
      <c r="AY829">
        <f t="shared" ca="1" si="339"/>
        <v>-2839999.9999999963</v>
      </c>
      <c r="AZ829">
        <f ca="1">IF(ROW()&lt;($C$7+1),"",IFERROR((分析データ!C829-AVERAGE(OFFSET(分析データ!C$1,MAX(1,ROW()-$C$7),0,MIN($C$7,ROW()-1),1)))/STDEV(OFFSET(分析データ!C$1,MAX(1,ROW()-$C$7),0,MIN($C$7,ROW()-1),1)),0))</f>
        <v>2.0248308713721324</v>
      </c>
      <c r="BA829">
        <f t="shared" ca="1" si="340"/>
        <v>1</v>
      </c>
      <c r="BB829">
        <f ca="1">IF(BA829=1,IF(INDEX(分析データ!$A:$A,ROW()+$C$5)&lt;&gt;"",60000*SIGN(AZ829)*(分析データ!C829-INDEX(分析データ!C:C,ROW()+$C$5)),""),"")</f>
        <v>-68999.999999999069</v>
      </c>
      <c r="BC829">
        <f t="shared" ca="1" si="341"/>
        <v>1248000.0000000098</v>
      </c>
      <c r="BD829">
        <f t="shared" ca="1" si="342"/>
        <v>3156000.0000000107</v>
      </c>
      <c r="BE829">
        <f t="shared" ca="1" si="343"/>
        <v>-1908000.0000000009</v>
      </c>
      <c r="BF829">
        <f ca="1">IF(ROW()&lt;($C$7+1),"",IFERROR((分析データ!D829-AVERAGE(OFFSET(分析データ!D$1,MAX(1,ROW()-$C$7),0,MIN($C$7,ROW()-1),1)))/STDEV(OFFSET(分析データ!D$1,MAX(1,ROW()-$C$7),0,MIN($C$7,ROW()-1),1)),0))</f>
        <v>-1.4049368997406038</v>
      </c>
      <c r="BG829">
        <f t="shared" ca="1" si="344"/>
        <v>0</v>
      </c>
      <c r="BH829" t="str">
        <f ca="1">IF(BG829=1,IF(INDEX(分析データ!$A:$A,ROW()+$C$5)&lt;&gt;"",50000*SIGN(BF829)*(分析データ!D829-INDEX(分析データ!D:D,ROW()+$C$5)),""),"")</f>
        <v/>
      </c>
      <c r="BI829">
        <f t="shared" ca="1" si="345"/>
        <v>5570000.0000000205</v>
      </c>
      <c r="BJ829">
        <f t="shared" ca="1" si="346"/>
        <v>5570000.0000000205</v>
      </c>
      <c r="BK829">
        <f t="shared" ca="1" si="347"/>
        <v>0</v>
      </c>
      <c r="BL829">
        <f ca="1">IF(ROW()&lt;($C$7+1),"",IFERROR((分析データ!E829-AVERAGE(OFFSET(分析データ!E$1,MAX(1,ROW()-$C$7),0,MIN($C$7,ROW()-1),1)))/STDEV(OFFSET(分析データ!E$1,MAX(1,ROW()-$C$7),0,MIN($C$7,ROW()-1),1)),0))</f>
        <v>-1.081185451828905</v>
      </c>
      <c r="BM829">
        <f t="shared" ca="1" si="348"/>
        <v>0</v>
      </c>
      <c r="BN829" t="str">
        <f ca="1">IF(BM829=1,IF(INDEX(分析データ!$A:$A,ROW()+$C$5)&lt;&gt;"",40000*SIGN(BL829)*(分析データ!E829-INDEX(分析データ!E:E,ROW()+$C$5)),""),"")</f>
        <v/>
      </c>
      <c r="BO829">
        <f t="shared" ca="1" si="349"/>
        <v>4280000.0000000028</v>
      </c>
      <c r="BP829">
        <f t="shared" ca="1" si="350"/>
        <v>4280000.0000000028</v>
      </c>
      <c r="BQ829">
        <f t="shared" ca="1" si="351"/>
        <v>0</v>
      </c>
      <c r="BR829">
        <f ca="1">IF(ROW()&lt;($C$7+1),"",IFERROR((分析データ!F829-AVERAGE(OFFSET(分析データ!F$1,MAX(1,ROW()-$C$7),0,MIN($C$7,ROW()-1),1)))/STDEV(OFFSET(分析データ!F$1,MAX(1,ROW()-$C$7),0,MIN($C$7,ROW()-1),1)),0))</f>
        <v>-0.59649810030848882</v>
      </c>
      <c r="BS829">
        <f t="shared" ca="1" si="352"/>
        <v>0</v>
      </c>
      <c r="BT829" t="str">
        <f ca="1">IF(BS829=1,IF(INDEX(分析データ!$A:$A,ROW()+$C$5)&lt;&gt;"",40000*SIGN(BR829)*(分析データ!F829-INDEX(分析データ!F:F,ROW()+$C$5)),""),"")</f>
        <v/>
      </c>
      <c r="BU829">
        <f t="shared" ca="1" si="353"/>
        <v>14917200.000000004</v>
      </c>
      <c r="BV829">
        <f t="shared" ca="1" si="354"/>
        <v>14917200.000000004</v>
      </c>
      <c r="BW829">
        <f t="shared" ca="1" si="355"/>
        <v>0</v>
      </c>
      <c r="BX829">
        <f ca="1">IF(ROW()&lt;($C$7+1),"",IFERROR((分析データ!G829-AVERAGE(OFFSET(分析データ!G$1,MAX(1,ROW()-$C$7),0,MIN($C$7,ROW()-1),1)))/STDEV(OFFSET(分析データ!G$1,MAX(1,ROW()-$C$7),0,MIN($C$7,ROW()-1),1)),0))</f>
        <v>1.1457946856392049</v>
      </c>
      <c r="BY829">
        <f t="shared" ca="1" si="356"/>
        <v>0</v>
      </c>
      <c r="BZ829" t="str">
        <f ca="1">IF(BY829=1,IF(INDEX(分析データ!$A:$A,ROW()+$C$5)&lt;&gt;"",40000*SIGN(BX829)*(分析データ!G829-INDEX(分析データ!G:G,ROW()+$C$5)),""),"")</f>
        <v/>
      </c>
      <c r="CA829">
        <f t="shared" ca="1" si="357"/>
        <v>-3515452.8662109179</v>
      </c>
      <c r="CB829">
        <f t="shared" ca="1" si="358"/>
        <v>11327520.000000004</v>
      </c>
      <c r="CC829">
        <f t="shared" ca="1" si="359"/>
        <v>-14842972.866210923</v>
      </c>
      <c r="CD829">
        <f t="shared" ca="1" si="360"/>
        <v>-68999.999999999069</v>
      </c>
      <c r="CE829">
        <f t="shared" ca="1" si="361"/>
        <v>19659747.133789137</v>
      </c>
      <c r="CF829">
        <f t="shared" ca="1" si="362"/>
        <v>21567747.133789141</v>
      </c>
      <c r="CG829">
        <f t="shared" ca="1" si="363"/>
        <v>-1908000.0000000037</v>
      </c>
      <c r="CH829" s="10">
        <f>分析データ!A829</f>
        <v>46136</v>
      </c>
    </row>
    <row r="830" spans="46:86">
      <c r="AT830">
        <f ca="1">IF(ROW()&lt;($C$7+1),"",IFERROR((分析データ!B830-AVERAGE(OFFSET(分析データ!B$1,MAX(1,ROW()-$C$7),0,MIN($C$7,ROW()-1),1)))/STDEV(OFFSET(分析データ!B$1,MAX(1,ROW()-$C$7),0,MIN($C$7,ROW()-1),1)),0))</f>
        <v>6.1448453087079052E-2</v>
      </c>
      <c r="AU830">
        <f t="shared" ca="1" si="336"/>
        <v>0</v>
      </c>
      <c r="AV830" t="str">
        <f ca="1">IF(AU830=1,IF(INDEX(分析データ!$A:$A,ROW()+$C$5)&lt;&gt;"",80000*SIGN(AT830)*(分析データ!B830-INDEX(分析データ!B:B,ROW()+$C$5)),""),"")</f>
        <v/>
      </c>
      <c r="AW830">
        <f t="shared" ca="1" si="337"/>
        <v>-2839999.9999999963</v>
      </c>
      <c r="AX830">
        <f t="shared" ca="1" si="338"/>
        <v>0</v>
      </c>
      <c r="AY830">
        <f t="shared" ca="1" si="339"/>
        <v>-2839999.9999999963</v>
      </c>
      <c r="AZ830">
        <f ca="1">IF(ROW()&lt;($C$7+1),"",IFERROR((分析データ!C830-AVERAGE(OFFSET(分析データ!C$1,MAX(1,ROW()-$C$7),0,MIN($C$7,ROW()-1),1)))/STDEV(OFFSET(分析データ!C$1,MAX(1,ROW()-$C$7),0,MIN($C$7,ROW()-1),1)),0))</f>
        <v>2.1990294641244787</v>
      </c>
      <c r="BA830">
        <f t="shared" ca="1" si="340"/>
        <v>1</v>
      </c>
      <c r="BB830">
        <f ca="1">IF(BA830=1,IF(INDEX(分析データ!$A:$A,ROW()+$C$5)&lt;&gt;"",60000*SIGN(AZ830)*(分析データ!C830-INDEX(分析データ!C:C,ROW()+$C$5)),""),"")</f>
        <v>-42000.000000000706</v>
      </c>
      <c r="BC830">
        <f t="shared" ca="1" si="341"/>
        <v>1206000.0000000091</v>
      </c>
      <c r="BD830">
        <f t="shared" ca="1" si="342"/>
        <v>3156000.0000000107</v>
      </c>
      <c r="BE830">
        <f t="shared" ca="1" si="343"/>
        <v>-1950000.0000000016</v>
      </c>
      <c r="BF830">
        <f ca="1">IF(ROW()&lt;($C$7+1),"",IFERROR((分析データ!D830-AVERAGE(OFFSET(分析データ!D$1,MAX(1,ROW()-$C$7),0,MIN($C$7,ROW()-1),1)))/STDEV(OFFSET(分析データ!D$1,MAX(1,ROW()-$C$7),0,MIN($C$7,ROW()-1),1)),0))</f>
        <v>-1.3797917640170134</v>
      </c>
      <c r="BG830">
        <f t="shared" ca="1" si="344"/>
        <v>0</v>
      </c>
      <c r="BH830" t="str">
        <f ca="1">IF(BG830=1,IF(INDEX(分析データ!$A:$A,ROW()+$C$5)&lt;&gt;"",50000*SIGN(BF830)*(分析データ!D830-INDEX(分析データ!D:D,ROW()+$C$5)),""),"")</f>
        <v/>
      </c>
      <c r="BI830">
        <f t="shared" ca="1" si="345"/>
        <v>5570000.0000000205</v>
      </c>
      <c r="BJ830">
        <f t="shared" ca="1" si="346"/>
        <v>5570000.0000000205</v>
      </c>
      <c r="BK830">
        <f t="shared" ca="1" si="347"/>
        <v>0</v>
      </c>
      <c r="BL830">
        <f ca="1">IF(ROW()&lt;($C$7+1),"",IFERROR((分析データ!E830-AVERAGE(OFFSET(分析データ!E$1,MAX(1,ROW()-$C$7),0,MIN($C$7,ROW()-1),1)))/STDEV(OFFSET(分析データ!E$1,MAX(1,ROW()-$C$7),0,MIN($C$7,ROW()-1),1)),0))</f>
        <v>-0.51329479048502302</v>
      </c>
      <c r="BM830">
        <f t="shared" ca="1" si="348"/>
        <v>0</v>
      </c>
      <c r="BN830" t="str">
        <f ca="1">IF(BM830=1,IF(INDEX(分析データ!$A:$A,ROW()+$C$5)&lt;&gt;"",40000*SIGN(BL830)*(分析データ!E830-INDEX(分析データ!E:E,ROW()+$C$5)),""),"")</f>
        <v/>
      </c>
      <c r="BO830">
        <f t="shared" ca="1" si="349"/>
        <v>4280000.0000000028</v>
      </c>
      <c r="BP830">
        <f t="shared" ca="1" si="350"/>
        <v>4280000.0000000028</v>
      </c>
      <c r="BQ830">
        <f t="shared" ca="1" si="351"/>
        <v>0</v>
      </c>
      <c r="BR830">
        <f ca="1">IF(ROW()&lt;($C$7+1),"",IFERROR((分析データ!F830-AVERAGE(OFFSET(分析データ!F$1,MAX(1,ROW()-$C$7),0,MIN($C$7,ROW()-1),1)))/STDEV(OFFSET(分析データ!F$1,MAX(1,ROW()-$C$7),0,MIN($C$7,ROW()-1),1)),0))</f>
        <v>-0.8558354755688351</v>
      </c>
      <c r="BS830">
        <f t="shared" ca="1" si="352"/>
        <v>0</v>
      </c>
      <c r="BT830" t="str">
        <f ca="1">IF(BS830=1,IF(INDEX(分析データ!$A:$A,ROW()+$C$5)&lt;&gt;"",40000*SIGN(BR830)*(分析データ!F830-INDEX(分析データ!F:F,ROW()+$C$5)),""),"")</f>
        <v/>
      </c>
      <c r="BU830">
        <f t="shared" ca="1" si="353"/>
        <v>14917200.000000004</v>
      </c>
      <c r="BV830">
        <f t="shared" ca="1" si="354"/>
        <v>14917200.000000004</v>
      </c>
      <c r="BW830">
        <f t="shared" ca="1" si="355"/>
        <v>0</v>
      </c>
      <c r="BX830">
        <f ca="1">IF(ROW()&lt;($C$7+1),"",IFERROR((分析データ!G830-AVERAGE(OFFSET(分析データ!G$1,MAX(1,ROW()-$C$7),0,MIN($C$7,ROW()-1),1)))/STDEV(OFFSET(分析データ!G$1,MAX(1,ROW()-$C$7),0,MIN($C$7,ROW()-1),1)),0))</f>
        <v>1.1395819640263405</v>
      </c>
      <c r="BY830">
        <f t="shared" ca="1" si="356"/>
        <v>0</v>
      </c>
      <c r="BZ830" t="str">
        <f ca="1">IF(BY830=1,IF(INDEX(分析データ!$A:$A,ROW()+$C$5)&lt;&gt;"",40000*SIGN(BX830)*(分析データ!G830-INDEX(分析データ!G:G,ROW()+$C$5)),""),"")</f>
        <v/>
      </c>
      <c r="CA830">
        <f t="shared" ca="1" si="357"/>
        <v>-3515452.8662109179</v>
      </c>
      <c r="CB830">
        <f t="shared" ca="1" si="358"/>
        <v>11327520.000000004</v>
      </c>
      <c r="CC830">
        <f t="shared" ca="1" si="359"/>
        <v>-14842972.866210923</v>
      </c>
      <c r="CD830">
        <f t="shared" ca="1" si="360"/>
        <v>-42000.000000000706</v>
      </c>
      <c r="CE830">
        <f t="shared" ca="1" si="361"/>
        <v>19617747.133789137</v>
      </c>
      <c r="CF830">
        <f t="shared" ca="1" si="362"/>
        <v>21567747.133789141</v>
      </c>
      <c r="CG830">
        <f t="shared" ca="1" si="363"/>
        <v>-1950000.0000000037</v>
      </c>
      <c r="CH830" s="10">
        <f>分析データ!A830</f>
        <v>46139</v>
      </c>
    </row>
    <row r="831" spans="46:86">
      <c r="AT831">
        <f ca="1">IF(ROW()&lt;($C$7+1),"",IFERROR((分析データ!B831-AVERAGE(OFFSET(分析データ!B$1,MAX(1,ROW()-$C$7),0,MIN($C$7,ROW()-1),1)))/STDEV(OFFSET(分析データ!B$1,MAX(1,ROW()-$C$7),0,MIN($C$7,ROW()-1),1)),0))</f>
        <v>-0.6705999091049456</v>
      </c>
      <c r="AU831">
        <f t="shared" ca="1" si="336"/>
        <v>0</v>
      </c>
      <c r="AV831" t="str">
        <f ca="1">IF(AU831=1,IF(INDEX(分析データ!$A:$A,ROW()+$C$5)&lt;&gt;"",80000*SIGN(AT831)*(分析データ!B831-INDEX(分析データ!B:B,ROW()+$C$5)),""),"")</f>
        <v/>
      </c>
      <c r="AW831">
        <f t="shared" ca="1" si="337"/>
        <v>-2839999.9999999963</v>
      </c>
      <c r="AX831">
        <f t="shared" ca="1" si="338"/>
        <v>0</v>
      </c>
      <c r="AY831">
        <f t="shared" ca="1" si="339"/>
        <v>-2839999.9999999963</v>
      </c>
      <c r="AZ831">
        <f ca="1">IF(ROW()&lt;($C$7+1),"",IFERROR((分析データ!C831-AVERAGE(OFFSET(分析データ!C$1,MAX(1,ROW()-$C$7),0,MIN($C$7,ROW()-1),1)))/STDEV(OFFSET(分析データ!C$1,MAX(1,ROW()-$C$7),0,MIN($C$7,ROW()-1),1)),0))</f>
        <v>2.1495413030320187</v>
      </c>
      <c r="BA831">
        <f t="shared" ca="1" si="340"/>
        <v>1</v>
      </c>
      <c r="BB831">
        <f ca="1">IF(BA831=1,IF(INDEX(分析データ!$A:$A,ROW()+$C$5)&lt;&gt;"",60000*SIGN(AZ831)*(分析データ!C831-INDEX(分析データ!C:C,ROW()+$C$5)),""),"")</f>
        <v>-32999.999999997701</v>
      </c>
      <c r="BC831">
        <f t="shared" ca="1" si="341"/>
        <v>1173000.0000000114</v>
      </c>
      <c r="BD831">
        <f t="shared" ca="1" si="342"/>
        <v>3156000.0000000107</v>
      </c>
      <c r="BE831">
        <f t="shared" ca="1" si="343"/>
        <v>-1982999.9999999993</v>
      </c>
      <c r="BF831">
        <f ca="1">IF(ROW()&lt;($C$7+1),"",IFERROR((分析データ!D831-AVERAGE(OFFSET(分析データ!D$1,MAX(1,ROW()-$C$7),0,MIN($C$7,ROW()-1),1)))/STDEV(OFFSET(分析データ!D$1,MAX(1,ROW()-$C$7),0,MIN($C$7,ROW()-1),1)),0))</f>
        <v>-1.3209976257449974</v>
      </c>
      <c r="BG831">
        <f t="shared" ca="1" si="344"/>
        <v>0</v>
      </c>
      <c r="BH831" t="str">
        <f ca="1">IF(BG831=1,IF(INDEX(分析データ!$A:$A,ROW()+$C$5)&lt;&gt;"",50000*SIGN(BF831)*(分析データ!D831-INDEX(分析データ!D:D,ROW()+$C$5)),""),"")</f>
        <v/>
      </c>
      <c r="BI831">
        <f t="shared" ca="1" si="345"/>
        <v>5570000.0000000205</v>
      </c>
      <c r="BJ831">
        <f t="shared" ca="1" si="346"/>
        <v>5570000.0000000205</v>
      </c>
      <c r="BK831">
        <f t="shared" ca="1" si="347"/>
        <v>0</v>
      </c>
      <c r="BL831">
        <f ca="1">IF(ROW()&lt;($C$7+1),"",IFERROR((分析データ!E831-AVERAGE(OFFSET(分析データ!E$1,MAX(1,ROW()-$C$7),0,MIN($C$7,ROW()-1),1)))/STDEV(OFFSET(分析データ!E$1,MAX(1,ROW()-$C$7),0,MIN($C$7,ROW()-1),1)),0))</f>
        <v>-1.0789080707304435</v>
      </c>
      <c r="BM831">
        <f t="shared" ca="1" si="348"/>
        <v>0</v>
      </c>
      <c r="BN831" t="str">
        <f ca="1">IF(BM831=1,IF(INDEX(分析データ!$A:$A,ROW()+$C$5)&lt;&gt;"",40000*SIGN(BL831)*(分析データ!E831-INDEX(分析データ!E:E,ROW()+$C$5)),""),"")</f>
        <v/>
      </c>
      <c r="BO831">
        <f t="shared" ca="1" si="349"/>
        <v>4280000.0000000028</v>
      </c>
      <c r="BP831">
        <f t="shared" ca="1" si="350"/>
        <v>4280000.0000000028</v>
      </c>
      <c r="BQ831">
        <f t="shared" ca="1" si="351"/>
        <v>0</v>
      </c>
      <c r="BR831">
        <f ca="1">IF(ROW()&lt;($C$7+1),"",IFERROR((分析データ!F831-AVERAGE(OFFSET(分析データ!F$1,MAX(1,ROW()-$C$7),0,MIN($C$7,ROW()-1),1)))/STDEV(OFFSET(分析データ!F$1,MAX(1,ROW()-$C$7),0,MIN($C$7,ROW()-1),1)),0))</f>
        <v>-0.61259779834845429</v>
      </c>
      <c r="BS831">
        <f t="shared" ca="1" si="352"/>
        <v>0</v>
      </c>
      <c r="BT831" t="str">
        <f ca="1">IF(BS831=1,IF(INDEX(分析データ!$A:$A,ROW()+$C$5)&lt;&gt;"",40000*SIGN(BR831)*(分析データ!F831-INDEX(分析データ!F:F,ROW()+$C$5)),""),"")</f>
        <v/>
      </c>
      <c r="BU831">
        <f t="shared" ca="1" si="353"/>
        <v>14917200.000000004</v>
      </c>
      <c r="BV831">
        <f t="shared" ca="1" si="354"/>
        <v>14917200.000000004</v>
      </c>
      <c r="BW831">
        <f t="shared" ca="1" si="355"/>
        <v>0</v>
      </c>
      <c r="BX831">
        <f ca="1">IF(ROW()&lt;($C$7+1),"",IFERROR((分析データ!G831-AVERAGE(OFFSET(分析データ!G$1,MAX(1,ROW()-$C$7),0,MIN($C$7,ROW()-1),1)))/STDEV(OFFSET(分析データ!G$1,MAX(1,ROW()-$C$7),0,MIN($C$7,ROW()-1),1)),0))</f>
        <v>1.057422145286036</v>
      </c>
      <c r="BY831">
        <f t="shared" ca="1" si="356"/>
        <v>0</v>
      </c>
      <c r="BZ831" t="str">
        <f ca="1">IF(BY831=1,IF(INDEX(分析データ!$A:$A,ROW()+$C$5)&lt;&gt;"",40000*SIGN(BX831)*(分析データ!G831-INDEX(分析データ!G:G,ROW()+$C$5)),""),"")</f>
        <v/>
      </c>
      <c r="CA831">
        <f t="shared" ca="1" si="357"/>
        <v>-3515452.8662109179</v>
      </c>
      <c r="CB831">
        <f t="shared" ca="1" si="358"/>
        <v>11327520.000000004</v>
      </c>
      <c r="CC831">
        <f t="shared" ca="1" si="359"/>
        <v>-14842972.866210923</v>
      </c>
      <c r="CD831">
        <f t="shared" ca="1" si="360"/>
        <v>-32999.999999997701</v>
      </c>
      <c r="CE831">
        <f t="shared" ca="1" si="361"/>
        <v>19584747.133789141</v>
      </c>
      <c r="CF831">
        <f t="shared" ca="1" si="362"/>
        <v>21567747.133789141</v>
      </c>
      <c r="CG831">
        <f t="shared" ca="1" si="363"/>
        <v>-1983000</v>
      </c>
      <c r="CH831" s="10">
        <f>分析データ!A831</f>
        <v>46140</v>
      </c>
    </row>
    <row r="832" spans="46:86">
      <c r="AT832">
        <f ca="1">IF(ROW()&lt;($C$7+1),"",IFERROR((分析データ!B832-AVERAGE(OFFSET(分析データ!B$1,MAX(1,ROW()-$C$7),0,MIN($C$7,ROW()-1),1)))/STDEV(OFFSET(分析データ!B$1,MAX(1,ROW()-$C$7),0,MIN($C$7,ROW()-1),1)),0))</f>
        <v>-0.66532104587920737</v>
      </c>
      <c r="AU832">
        <f t="shared" ca="1" si="336"/>
        <v>0</v>
      </c>
      <c r="AV832" t="str">
        <f ca="1">IF(AU832=1,IF(INDEX(分析データ!$A:$A,ROW()+$C$5)&lt;&gt;"",80000*SIGN(AT832)*(分析データ!B832-INDEX(分析データ!B:B,ROW()+$C$5)),""),"")</f>
        <v/>
      </c>
      <c r="AW832">
        <f t="shared" ca="1" si="337"/>
        <v>-2839999.9999999963</v>
      </c>
      <c r="AX832">
        <f t="shared" ca="1" si="338"/>
        <v>0</v>
      </c>
      <c r="AY832">
        <f t="shared" ca="1" si="339"/>
        <v>-2839999.9999999963</v>
      </c>
      <c r="AZ832">
        <f ca="1">IF(ROW()&lt;($C$7+1),"",IFERROR((分析データ!C832-AVERAGE(OFFSET(分析データ!C$1,MAX(1,ROW()-$C$7),0,MIN($C$7,ROW()-1),1)))/STDEV(OFFSET(分析データ!C$1,MAX(1,ROW()-$C$7),0,MIN($C$7,ROW()-1),1)),0))</f>
        <v>2.1207552638811933</v>
      </c>
      <c r="BA832">
        <f t="shared" ca="1" si="340"/>
        <v>1</v>
      </c>
      <c r="BB832">
        <f ca="1">IF(BA832=1,IF(INDEX(分析データ!$A:$A,ROW()+$C$5)&lt;&gt;"",60000*SIGN(AZ832)*(分析データ!C832-INDEX(分析データ!C:C,ROW()+$C$5)),""),"")</f>
        <v>-269999.99999999959</v>
      </c>
      <c r="BC832">
        <f t="shared" ca="1" si="341"/>
        <v>903000.00000001187</v>
      </c>
      <c r="BD832">
        <f t="shared" ca="1" si="342"/>
        <v>3156000.0000000107</v>
      </c>
      <c r="BE832">
        <f t="shared" ca="1" si="343"/>
        <v>-2252999.9999999991</v>
      </c>
      <c r="BF832">
        <f ca="1">IF(ROW()&lt;($C$7+1),"",IFERROR((分析データ!D832-AVERAGE(OFFSET(分析データ!D$1,MAX(1,ROW()-$C$7),0,MIN($C$7,ROW()-1),1)))/STDEV(OFFSET(分析データ!D$1,MAX(1,ROW()-$C$7),0,MIN($C$7,ROW()-1),1)),0))</f>
        <v>-1.1576240299955749</v>
      </c>
      <c r="BG832">
        <f t="shared" ca="1" si="344"/>
        <v>0</v>
      </c>
      <c r="BH832" t="str">
        <f ca="1">IF(BG832=1,IF(INDEX(分析データ!$A:$A,ROW()+$C$5)&lt;&gt;"",50000*SIGN(BF832)*(分析データ!D832-INDEX(分析データ!D:D,ROW()+$C$5)),""),"")</f>
        <v/>
      </c>
      <c r="BI832">
        <f t="shared" ca="1" si="345"/>
        <v>5570000.0000000205</v>
      </c>
      <c r="BJ832">
        <f t="shared" ca="1" si="346"/>
        <v>5570000.0000000205</v>
      </c>
      <c r="BK832">
        <f t="shared" ca="1" si="347"/>
        <v>0</v>
      </c>
      <c r="BL832">
        <f ca="1">IF(ROW()&lt;($C$7+1),"",IFERROR((分析データ!E832-AVERAGE(OFFSET(分析データ!E$1,MAX(1,ROW()-$C$7),0,MIN($C$7,ROW()-1),1)))/STDEV(OFFSET(分析データ!E$1,MAX(1,ROW()-$C$7),0,MIN($C$7,ROW()-1),1)),0))</f>
        <v>-1.6352305625879215</v>
      </c>
      <c r="BM832">
        <f t="shared" ca="1" si="348"/>
        <v>0</v>
      </c>
      <c r="BN832" t="str">
        <f ca="1">IF(BM832=1,IF(INDEX(分析データ!$A:$A,ROW()+$C$5)&lt;&gt;"",40000*SIGN(BL832)*(分析データ!E832-INDEX(分析データ!E:E,ROW()+$C$5)),""),"")</f>
        <v/>
      </c>
      <c r="BO832">
        <f t="shared" ca="1" si="349"/>
        <v>4280000.0000000028</v>
      </c>
      <c r="BP832">
        <f t="shared" ca="1" si="350"/>
        <v>4280000.0000000028</v>
      </c>
      <c r="BQ832">
        <f t="shared" ca="1" si="351"/>
        <v>0</v>
      </c>
      <c r="BR832">
        <f ca="1">IF(ROW()&lt;($C$7+1),"",IFERROR((分析データ!F832-AVERAGE(OFFSET(分析データ!F$1,MAX(1,ROW()-$C$7),0,MIN($C$7,ROW()-1),1)))/STDEV(OFFSET(分析データ!F$1,MAX(1,ROW()-$C$7),0,MIN($C$7,ROW()-1),1)),0))</f>
        <v>-0.90497133621356818</v>
      </c>
      <c r="BS832">
        <f t="shared" ca="1" si="352"/>
        <v>0</v>
      </c>
      <c r="BT832" t="str">
        <f ca="1">IF(BS832=1,IF(INDEX(分析データ!$A:$A,ROW()+$C$5)&lt;&gt;"",40000*SIGN(BR832)*(分析データ!F832-INDEX(分析データ!F:F,ROW()+$C$5)),""),"")</f>
        <v/>
      </c>
      <c r="BU832">
        <f t="shared" ca="1" si="353"/>
        <v>14917200.000000004</v>
      </c>
      <c r="BV832">
        <f t="shared" ca="1" si="354"/>
        <v>14917200.000000004</v>
      </c>
      <c r="BW832">
        <f t="shared" ca="1" si="355"/>
        <v>0</v>
      </c>
      <c r="BX832">
        <f ca="1">IF(ROW()&lt;($C$7+1),"",IFERROR((分析データ!G832-AVERAGE(OFFSET(分析データ!G$1,MAX(1,ROW()-$C$7),0,MIN($C$7,ROW()-1),1)))/STDEV(OFFSET(分析データ!G$1,MAX(1,ROW()-$C$7),0,MIN($C$7,ROW()-1),1)),0))</f>
        <v>1.0180884964667236</v>
      </c>
      <c r="BY832">
        <f t="shared" ca="1" si="356"/>
        <v>0</v>
      </c>
      <c r="BZ832" t="str">
        <f ca="1">IF(BY832=1,IF(INDEX(分析データ!$A:$A,ROW()+$C$5)&lt;&gt;"",40000*SIGN(BX832)*(分析データ!G832-INDEX(分析データ!G:G,ROW()+$C$5)),""),"")</f>
        <v/>
      </c>
      <c r="CA832">
        <f t="shared" ca="1" si="357"/>
        <v>-3515452.8662109179</v>
      </c>
      <c r="CB832">
        <f t="shared" ca="1" si="358"/>
        <v>11327520.000000004</v>
      </c>
      <c r="CC832">
        <f t="shared" ca="1" si="359"/>
        <v>-14842972.866210923</v>
      </c>
      <c r="CD832">
        <f t="shared" ca="1" si="360"/>
        <v>-269999.99999999959</v>
      </c>
      <c r="CE832">
        <f t="shared" ca="1" si="361"/>
        <v>19314747.133789141</v>
      </c>
      <c r="CF832">
        <f t="shared" ca="1" si="362"/>
        <v>21567747.133789141</v>
      </c>
      <c r="CG832">
        <f t="shared" ca="1" si="363"/>
        <v>-2253000</v>
      </c>
      <c r="CH832" s="10">
        <f>分析データ!A832</f>
        <v>46141</v>
      </c>
    </row>
    <row r="833" spans="46:86">
      <c r="AT833">
        <f ca="1">IF(ROW()&lt;($C$7+1),"",IFERROR((分析データ!B833-AVERAGE(OFFSET(分析データ!B$1,MAX(1,ROW()-$C$7),0,MIN($C$7,ROW()-1),1)))/STDEV(OFFSET(分析データ!B$1,MAX(1,ROW()-$C$7),0,MIN($C$7,ROW()-1),1)),0))</f>
        <v>-0.6600989861206159</v>
      </c>
      <c r="AU833">
        <f t="shared" ca="1" si="336"/>
        <v>0</v>
      </c>
      <c r="AV833" t="str">
        <f ca="1">IF(AU833=1,IF(INDEX(分析データ!$A:$A,ROW()+$C$5)&lt;&gt;"",80000*SIGN(AT833)*(分析データ!B833-INDEX(分析データ!B:B,ROW()+$C$5)),""),"")</f>
        <v/>
      </c>
      <c r="AW833">
        <f t="shared" ca="1" si="337"/>
        <v>-2839999.9999999963</v>
      </c>
      <c r="AX833">
        <f t="shared" ca="1" si="338"/>
        <v>0</v>
      </c>
      <c r="AY833">
        <f t="shared" ca="1" si="339"/>
        <v>-2839999.9999999963</v>
      </c>
      <c r="AZ833">
        <f ca="1">IF(ROW()&lt;($C$7+1),"",IFERROR((分析データ!C833-AVERAGE(OFFSET(分析データ!C$1,MAX(1,ROW()-$C$7),0,MIN($C$7,ROW()-1),1)))/STDEV(OFFSET(分析データ!C$1,MAX(1,ROW()-$C$7),0,MIN($C$7,ROW()-1),1)),0))</f>
        <v>2.1734267289533351</v>
      </c>
      <c r="BA833">
        <f t="shared" ca="1" si="340"/>
        <v>1</v>
      </c>
      <c r="BB833">
        <f ca="1">IF(BA833=1,IF(INDEX(分析データ!$A:$A,ROW()+$C$5)&lt;&gt;"",60000*SIGN(AZ833)*(分析データ!C833-INDEX(分析データ!C:C,ROW()+$C$5)),""),"")</f>
        <v>-240000.0000000002</v>
      </c>
      <c r="BC833">
        <f t="shared" ca="1" si="341"/>
        <v>663000.00000001164</v>
      </c>
      <c r="BD833">
        <f t="shared" ca="1" si="342"/>
        <v>3156000.0000000107</v>
      </c>
      <c r="BE833">
        <f t="shared" ca="1" si="343"/>
        <v>-2492999.9999999991</v>
      </c>
      <c r="BF833">
        <f ca="1">IF(ROW()&lt;($C$7+1),"",IFERROR((分析データ!D833-AVERAGE(OFFSET(分析データ!D$1,MAX(1,ROW()-$C$7),0,MIN($C$7,ROW()-1),1)))/STDEV(OFFSET(分析データ!D$1,MAX(1,ROW()-$C$7),0,MIN($C$7,ROW()-1),1)),0))</f>
        <v>-1.3326148120174659</v>
      </c>
      <c r="BG833">
        <f t="shared" ca="1" si="344"/>
        <v>0</v>
      </c>
      <c r="BH833" t="str">
        <f ca="1">IF(BG833=1,IF(INDEX(分析データ!$A:$A,ROW()+$C$5)&lt;&gt;"",50000*SIGN(BF833)*(分析データ!D833-INDEX(分析データ!D:D,ROW()+$C$5)),""),"")</f>
        <v/>
      </c>
      <c r="BI833">
        <f t="shared" ca="1" si="345"/>
        <v>5570000.0000000205</v>
      </c>
      <c r="BJ833">
        <f t="shared" ca="1" si="346"/>
        <v>5570000.0000000205</v>
      </c>
      <c r="BK833">
        <f t="shared" ca="1" si="347"/>
        <v>0</v>
      </c>
      <c r="BL833">
        <f ca="1">IF(ROW()&lt;($C$7+1),"",IFERROR((分析データ!E833-AVERAGE(OFFSET(分析データ!E$1,MAX(1,ROW()-$C$7),0,MIN($C$7,ROW()-1),1)))/STDEV(OFFSET(分析データ!E$1,MAX(1,ROW()-$C$7),0,MIN($C$7,ROW()-1),1)),0))</f>
        <v>-1.3429774735261757</v>
      </c>
      <c r="BM833">
        <f t="shared" ca="1" si="348"/>
        <v>0</v>
      </c>
      <c r="BN833" t="str">
        <f ca="1">IF(BM833=1,IF(INDEX(分析データ!$A:$A,ROW()+$C$5)&lt;&gt;"",40000*SIGN(BL833)*(分析データ!E833-INDEX(分析データ!E:E,ROW()+$C$5)),""),"")</f>
        <v/>
      </c>
      <c r="BO833">
        <f t="shared" ca="1" si="349"/>
        <v>4280000.0000000028</v>
      </c>
      <c r="BP833">
        <f t="shared" ca="1" si="350"/>
        <v>4280000.0000000028</v>
      </c>
      <c r="BQ833">
        <f t="shared" ca="1" si="351"/>
        <v>0</v>
      </c>
      <c r="BR833">
        <f ca="1">IF(ROW()&lt;($C$7+1),"",IFERROR((分析データ!F833-AVERAGE(OFFSET(分析データ!F$1,MAX(1,ROW()-$C$7),0,MIN($C$7,ROW()-1),1)))/STDEV(OFFSET(分析データ!F$1,MAX(1,ROW()-$C$7),0,MIN($C$7,ROW()-1),1)),0))</f>
        <v>-0.47185075642965846</v>
      </c>
      <c r="BS833">
        <f t="shared" ca="1" si="352"/>
        <v>0</v>
      </c>
      <c r="BT833" t="str">
        <f ca="1">IF(BS833=1,IF(INDEX(分析データ!$A:$A,ROW()+$C$5)&lt;&gt;"",40000*SIGN(BR833)*(分析データ!F833-INDEX(分析データ!F:F,ROW()+$C$5)),""),"")</f>
        <v/>
      </c>
      <c r="BU833">
        <f t="shared" ca="1" si="353"/>
        <v>14917200.000000004</v>
      </c>
      <c r="BV833">
        <f t="shared" ca="1" si="354"/>
        <v>14917200.000000004</v>
      </c>
      <c r="BW833">
        <f t="shared" ca="1" si="355"/>
        <v>0</v>
      </c>
      <c r="BX833">
        <f ca="1">IF(ROW()&lt;($C$7+1),"",IFERROR((分析データ!G833-AVERAGE(OFFSET(分析データ!G$1,MAX(1,ROW()-$C$7),0,MIN($C$7,ROW()-1),1)))/STDEV(OFFSET(分析データ!G$1,MAX(1,ROW()-$C$7),0,MIN($C$7,ROW()-1),1)),0))</f>
        <v>1.0517221995988815</v>
      </c>
      <c r="BY833">
        <f t="shared" ca="1" si="356"/>
        <v>0</v>
      </c>
      <c r="BZ833" t="str">
        <f ca="1">IF(BY833=1,IF(INDEX(分析データ!$A:$A,ROW()+$C$5)&lt;&gt;"",40000*SIGN(BX833)*(分析データ!G833-INDEX(分析データ!G:G,ROW()+$C$5)),""),"")</f>
        <v/>
      </c>
      <c r="CA833">
        <f t="shared" ca="1" si="357"/>
        <v>-3515452.8662109179</v>
      </c>
      <c r="CB833">
        <f t="shared" ca="1" si="358"/>
        <v>11327520.000000004</v>
      </c>
      <c r="CC833">
        <f t="shared" ca="1" si="359"/>
        <v>-14842972.866210923</v>
      </c>
      <c r="CD833">
        <f t="shared" ca="1" si="360"/>
        <v>-240000.0000000002</v>
      </c>
      <c r="CE833">
        <f t="shared" ca="1" si="361"/>
        <v>19074747.133789141</v>
      </c>
      <c r="CF833">
        <f t="shared" ca="1" si="362"/>
        <v>21567747.133789141</v>
      </c>
      <c r="CG833">
        <f t="shared" ca="1" si="363"/>
        <v>-2493000</v>
      </c>
      <c r="CH833" s="10">
        <f>分析データ!A833</f>
        <v>46142</v>
      </c>
    </row>
    <row r="834" spans="46:86">
      <c r="AT834">
        <f ca="1">IF(ROW()&lt;($C$7+1),"",IFERROR((分析データ!B834-AVERAGE(OFFSET(分析データ!B$1,MAX(1,ROW()-$C$7),0,MIN($C$7,ROW()-1),1)))/STDEV(OFFSET(分析データ!B$1,MAX(1,ROW()-$C$7),0,MIN($C$7,ROW()-1),1)),0))</f>
        <v>-0.84486715392729184</v>
      </c>
      <c r="AU834">
        <f t="shared" ref="AU834:AU897" ca="1" si="364">IF(ISNUMBER(AT834),IF(ABS(AT834)&gt;=$C$6,1,0),0)</f>
        <v>0</v>
      </c>
      <c r="AV834" t="str">
        <f ca="1">IF(AU834=1,IF(INDEX(分析データ!$A:$A,ROW()+$C$5)&lt;&gt;"",80000*SIGN(AT834)*(分析データ!B834-INDEX(分析データ!B:B,ROW()+$C$5)),""),"")</f>
        <v/>
      </c>
      <c r="AW834">
        <f t="shared" ref="AW834:AW897" ca="1" si="365">AW833+IF(AND(AU834=1,ISNUMBER(AV834)),AV834,0)</f>
        <v>-2839999.9999999963</v>
      </c>
      <c r="AX834">
        <f t="shared" ref="AX834:AX897" ca="1" si="366">MAX(AX833,AW834)</f>
        <v>0</v>
      </c>
      <c r="AY834">
        <f t="shared" ref="AY834:AY897" ca="1" si="367">AW834-AX834</f>
        <v>-2839999.9999999963</v>
      </c>
      <c r="AZ834">
        <f ca="1">IF(ROW()&lt;($C$7+1),"",IFERROR((分析データ!C834-AVERAGE(OFFSET(分析データ!C$1,MAX(1,ROW()-$C$7),0,MIN($C$7,ROW()-1),1)))/STDEV(OFFSET(分析データ!C$1,MAX(1,ROW()-$C$7),0,MIN($C$7,ROW()-1),1)),0))</f>
        <v>2.1722036960830238</v>
      </c>
      <c r="BA834">
        <f t="shared" ref="BA834:BA897" ca="1" si="368">IF(ISNUMBER(AZ834),IF(ABS(AZ834)&gt;=$C$6,1,0),0)</f>
        <v>1</v>
      </c>
      <c r="BB834">
        <f ca="1">IF(BA834=1,IF(INDEX(分析データ!$A:$A,ROW()+$C$5)&lt;&gt;"",60000*SIGN(AZ834)*(分析データ!C834-INDEX(分析データ!C:C,ROW()+$C$5)),""),"")</f>
        <v>-371999.99999999901</v>
      </c>
      <c r="BC834">
        <f t="shared" ref="BC834:BC897" ca="1" si="369">BC833+IF(AND(BA834=1,ISNUMBER(BB834)),BB834,0)</f>
        <v>291000.00000001263</v>
      </c>
      <c r="BD834">
        <f t="shared" ref="BD834:BD897" ca="1" si="370">MAX(BD833,BC834)</f>
        <v>3156000.0000000107</v>
      </c>
      <c r="BE834">
        <f t="shared" ref="BE834:BE897" ca="1" si="371">BC834-BD834</f>
        <v>-2864999.9999999981</v>
      </c>
      <c r="BF834">
        <f ca="1">IF(ROW()&lt;($C$7+1),"",IFERROR((分析データ!D834-AVERAGE(OFFSET(分析データ!D$1,MAX(1,ROW()-$C$7),0,MIN($C$7,ROW()-1),1)))/STDEV(OFFSET(分析データ!D$1,MAX(1,ROW()-$C$7),0,MIN($C$7,ROW()-1),1)),0))</f>
        <v>-1.3140932747869163</v>
      </c>
      <c r="BG834">
        <f t="shared" ref="BG834:BG897" ca="1" si="372">IF(ISNUMBER(BF834),IF(ABS(BF834)&gt;=$C$6,1,0),0)</f>
        <v>0</v>
      </c>
      <c r="BH834" t="str">
        <f ca="1">IF(BG834=1,IF(INDEX(分析データ!$A:$A,ROW()+$C$5)&lt;&gt;"",50000*SIGN(BF834)*(分析データ!D834-INDEX(分析データ!D:D,ROW()+$C$5)),""),"")</f>
        <v/>
      </c>
      <c r="BI834">
        <f t="shared" ref="BI834:BI897" ca="1" si="373">BI833+IF(AND(BG834=1,ISNUMBER(BH834)),BH834,0)</f>
        <v>5570000.0000000205</v>
      </c>
      <c r="BJ834">
        <f t="shared" ref="BJ834:BJ897" ca="1" si="374">MAX(BJ833,BI834)</f>
        <v>5570000.0000000205</v>
      </c>
      <c r="BK834">
        <f t="shared" ref="BK834:BK897" ca="1" si="375">BI834-BJ834</f>
        <v>0</v>
      </c>
      <c r="BL834">
        <f ca="1">IF(ROW()&lt;($C$7+1),"",IFERROR((分析データ!E834-AVERAGE(OFFSET(分析データ!E$1,MAX(1,ROW()-$C$7),0,MIN($C$7,ROW()-1),1)))/STDEV(OFFSET(分析データ!E$1,MAX(1,ROW()-$C$7),0,MIN($C$7,ROW()-1),1)),0))</f>
        <v>-1.6111268967704599</v>
      </c>
      <c r="BM834">
        <f t="shared" ref="BM834:BM897" ca="1" si="376">IF(ISNUMBER(BL834),IF(ABS(BL834)&gt;=$C$6,1,0),0)</f>
        <v>0</v>
      </c>
      <c r="BN834" t="str">
        <f ca="1">IF(BM834=1,IF(INDEX(分析データ!$A:$A,ROW()+$C$5)&lt;&gt;"",40000*SIGN(BL834)*(分析データ!E834-INDEX(分析データ!E:E,ROW()+$C$5)),""),"")</f>
        <v/>
      </c>
      <c r="BO834">
        <f t="shared" ref="BO834:BO897" ca="1" si="377">BO833+IF(AND(BM834=1,ISNUMBER(BN834)),BN834,0)</f>
        <v>4280000.0000000028</v>
      </c>
      <c r="BP834">
        <f t="shared" ref="BP834:BP897" ca="1" si="378">MAX(BP833,BO834)</f>
        <v>4280000.0000000028</v>
      </c>
      <c r="BQ834">
        <f t="shared" ref="BQ834:BQ897" ca="1" si="379">BO834-BP834</f>
        <v>0</v>
      </c>
      <c r="BR834">
        <f ca="1">IF(ROW()&lt;($C$7+1),"",IFERROR((分析データ!F834-AVERAGE(OFFSET(分析データ!F$1,MAX(1,ROW()-$C$7),0,MIN($C$7,ROW()-1),1)))/STDEV(OFFSET(分析データ!F$1,MAX(1,ROW()-$C$7),0,MIN($C$7,ROW()-1),1)),0))</f>
        <v>-0.50268830387106112</v>
      </c>
      <c r="BS834">
        <f t="shared" ref="BS834:BS897" ca="1" si="380">IF(ISNUMBER(BR834),IF(ABS(BR834)&gt;=$C$6,1,0),0)</f>
        <v>0</v>
      </c>
      <c r="BT834" t="str">
        <f ca="1">IF(BS834=1,IF(INDEX(分析データ!$A:$A,ROW()+$C$5)&lt;&gt;"",40000*SIGN(BR834)*(分析データ!F834-INDEX(分析データ!F:F,ROW()+$C$5)),""),"")</f>
        <v/>
      </c>
      <c r="BU834">
        <f t="shared" ref="BU834:BU897" ca="1" si="381">BU833+IF(AND(BS834=1,ISNUMBER(BT834)),BT834,0)</f>
        <v>14917200.000000004</v>
      </c>
      <c r="BV834">
        <f t="shared" ref="BV834:BV897" ca="1" si="382">MAX(BV833,BU834)</f>
        <v>14917200.000000004</v>
      </c>
      <c r="BW834">
        <f t="shared" ref="BW834:BW897" ca="1" si="383">BU834-BV834</f>
        <v>0</v>
      </c>
      <c r="BX834">
        <f ca="1">IF(ROW()&lt;($C$7+1),"",IFERROR((分析データ!G834-AVERAGE(OFFSET(分析データ!G$1,MAX(1,ROW()-$C$7),0,MIN($C$7,ROW()-1),1)))/STDEV(OFFSET(分析データ!G$1,MAX(1,ROW()-$C$7),0,MIN($C$7,ROW()-1),1)),0))</f>
        <v>1.0485097312036968</v>
      </c>
      <c r="BY834">
        <f t="shared" ref="BY834:BY897" ca="1" si="384">IF(ISNUMBER(BX834),IF(ABS(BX834)&gt;=$C$6,1,0),0)</f>
        <v>0</v>
      </c>
      <c r="BZ834" t="str">
        <f ca="1">IF(BY834=1,IF(INDEX(分析データ!$A:$A,ROW()+$C$5)&lt;&gt;"",40000*SIGN(BX834)*(分析データ!G834-INDEX(分析データ!G:G,ROW()+$C$5)),""),"")</f>
        <v/>
      </c>
      <c r="CA834">
        <f t="shared" ref="CA834:CA897" ca="1" si="385">CA833+IF(AND(BY834=1,ISNUMBER(BZ834)),BZ834,0)</f>
        <v>-3515452.8662109179</v>
      </c>
      <c r="CB834">
        <f t="shared" ref="CB834:CB897" ca="1" si="386">MAX(CB833,CA834)</f>
        <v>11327520.000000004</v>
      </c>
      <c r="CC834">
        <f t="shared" ref="CC834:CC897" ca="1" si="387">CA834-CB834</f>
        <v>-14842972.866210923</v>
      </c>
      <c r="CD834">
        <f t="shared" ref="CD834:CD897" ca="1" si="388">N(AV834)+N(BB834)+N(BH834)+N(BN834)+N(BT834)+N(BZ834)</f>
        <v>-371999.99999999901</v>
      </c>
      <c r="CE834">
        <f t="shared" ref="CE834:CE897" ca="1" si="389">CE833+CD834</f>
        <v>18702747.133789141</v>
      </c>
      <c r="CF834">
        <f t="shared" ref="CF834:CF897" ca="1" si="390">MAX(CF833,CE834)</f>
        <v>21567747.133789141</v>
      </c>
      <c r="CG834">
        <f t="shared" ref="CG834:CG897" ca="1" si="391">CE834-CF834</f>
        <v>-2865000</v>
      </c>
      <c r="CH834" s="10">
        <f>分析データ!A834</f>
        <v>46143</v>
      </c>
    </row>
    <row r="835" spans="46:86">
      <c r="AT835">
        <f ca="1">IF(ROW()&lt;($C$7+1),"",IFERROR((分析データ!B835-AVERAGE(OFFSET(分析データ!B$1,MAX(1,ROW()-$C$7),0,MIN($C$7,ROW()-1),1)))/STDEV(OFFSET(分析データ!B$1,MAX(1,ROW()-$C$7),0,MIN($C$7,ROW()-1),1)),0))</f>
        <v>-0.83922096833139914</v>
      </c>
      <c r="AU835">
        <f t="shared" ca="1" si="364"/>
        <v>0</v>
      </c>
      <c r="AV835" t="str">
        <f ca="1">IF(AU835=1,IF(INDEX(分析データ!$A:$A,ROW()+$C$5)&lt;&gt;"",80000*SIGN(AT835)*(分析データ!B835-INDEX(分析データ!B:B,ROW()+$C$5)),""),"")</f>
        <v/>
      </c>
      <c r="AW835">
        <f t="shared" ca="1" si="365"/>
        <v>-2839999.9999999963</v>
      </c>
      <c r="AX835">
        <f t="shared" ca="1" si="366"/>
        <v>0</v>
      </c>
      <c r="AY835">
        <f t="shared" ca="1" si="367"/>
        <v>-2839999.9999999963</v>
      </c>
      <c r="AZ835">
        <f ca="1">IF(ROW()&lt;($C$7+1),"",IFERROR((分析データ!C835-AVERAGE(OFFSET(分析データ!C$1,MAX(1,ROW()-$C$7),0,MIN($C$7,ROW()-1),1)))/STDEV(OFFSET(分析データ!C$1,MAX(1,ROW()-$C$7),0,MIN($C$7,ROW()-1),1)),0))</f>
        <v>2.1428460832332332</v>
      </c>
      <c r="BA835">
        <f t="shared" ca="1" si="368"/>
        <v>1</v>
      </c>
      <c r="BB835">
        <f ca="1">IF(BA835=1,IF(INDEX(分析データ!$A:$A,ROW()+$C$5)&lt;&gt;"",60000*SIGN(AZ835)*(分析データ!C835-INDEX(分析データ!C:C,ROW()+$C$5)),""),"")</f>
        <v>-312000.00000000029</v>
      </c>
      <c r="BC835">
        <f t="shared" ca="1" si="369"/>
        <v>-20999.99999998766</v>
      </c>
      <c r="BD835">
        <f t="shared" ca="1" si="370"/>
        <v>3156000.0000000107</v>
      </c>
      <c r="BE835">
        <f t="shared" ca="1" si="371"/>
        <v>-3176999.9999999981</v>
      </c>
      <c r="BF835">
        <f ca="1">IF(ROW()&lt;($C$7+1),"",IFERROR((分析データ!D835-AVERAGE(OFFSET(分析データ!D$1,MAX(1,ROW()-$C$7),0,MIN($C$7,ROW()-1),1)))/STDEV(OFFSET(分析データ!D$1,MAX(1,ROW()-$C$7),0,MIN($C$7,ROW()-1),1)),0))</f>
        <v>-1.1502740614388924</v>
      </c>
      <c r="BG835">
        <f t="shared" ca="1" si="372"/>
        <v>0</v>
      </c>
      <c r="BH835" t="str">
        <f ca="1">IF(BG835=1,IF(INDEX(分析データ!$A:$A,ROW()+$C$5)&lt;&gt;"",50000*SIGN(BF835)*(分析データ!D835-INDEX(分析データ!D:D,ROW()+$C$5)),""),"")</f>
        <v/>
      </c>
      <c r="BI835">
        <f t="shared" ca="1" si="373"/>
        <v>5570000.0000000205</v>
      </c>
      <c r="BJ835">
        <f t="shared" ca="1" si="374"/>
        <v>5570000.0000000205</v>
      </c>
      <c r="BK835">
        <f t="shared" ca="1" si="375"/>
        <v>0</v>
      </c>
      <c r="BL835">
        <f ca="1">IF(ROW()&lt;($C$7+1),"",IFERROR((分析データ!E835-AVERAGE(OFFSET(分析データ!E$1,MAX(1,ROW()-$C$7),0,MIN($C$7,ROW()-1),1)))/STDEV(OFFSET(分析データ!E$1,MAX(1,ROW()-$C$7),0,MIN($C$7,ROW()-1),1)),0))</f>
        <v>-1.5953244008110674</v>
      </c>
      <c r="BM835">
        <f t="shared" ca="1" si="376"/>
        <v>0</v>
      </c>
      <c r="BN835" t="str">
        <f ca="1">IF(BM835=1,IF(INDEX(分析データ!$A:$A,ROW()+$C$5)&lt;&gt;"",40000*SIGN(BL835)*(分析データ!E835-INDEX(分析データ!E:E,ROW()+$C$5)),""),"")</f>
        <v/>
      </c>
      <c r="BO835">
        <f t="shared" ca="1" si="377"/>
        <v>4280000.0000000028</v>
      </c>
      <c r="BP835">
        <f t="shared" ca="1" si="378"/>
        <v>4280000.0000000028</v>
      </c>
      <c r="BQ835">
        <f t="shared" ca="1" si="379"/>
        <v>0</v>
      </c>
      <c r="BR835">
        <f ca="1">IF(ROW()&lt;($C$7+1),"",IFERROR((分析データ!F835-AVERAGE(OFFSET(分析データ!F$1,MAX(1,ROW()-$C$7),0,MIN($C$7,ROW()-1),1)))/STDEV(OFFSET(分析データ!F$1,MAX(1,ROW()-$C$7),0,MIN($C$7,ROW()-1),1)),0))</f>
        <v>-0.99712412628062375</v>
      </c>
      <c r="BS835">
        <f t="shared" ca="1" si="380"/>
        <v>0</v>
      </c>
      <c r="BT835" t="str">
        <f ca="1">IF(BS835=1,IF(INDEX(分析データ!$A:$A,ROW()+$C$5)&lt;&gt;"",40000*SIGN(BR835)*(分析データ!F835-INDEX(分析データ!F:F,ROW()+$C$5)),""),"")</f>
        <v/>
      </c>
      <c r="BU835">
        <f t="shared" ca="1" si="381"/>
        <v>14917200.000000004</v>
      </c>
      <c r="BV835">
        <f t="shared" ca="1" si="382"/>
        <v>14917200.000000004</v>
      </c>
      <c r="BW835">
        <f t="shared" ca="1" si="383"/>
        <v>0</v>
      </c>
      <c r="BX835">
        <f ca="1">IF(ROW()&lt;($C$7+1),"",IFERROR((分析データ!G835-AVERAGE(OFFSET(分析データ!G$1,MAX(1,ROW()-$C$7),0,MIN($C$7,ROW()-1),1)))/STDEV(OFFSET(分析データ!G$1,MAX(1,ROW()-$C$7),0,MIN($C$7,ROW()-1),1)),0))</f>
        <v>1.0678846951736234</v>
      </c>
      <c r="BY835">
        <f t="shared" ca="1" si="384"/>
        <v>0</v>
      </c>
      <c r="BZ835" t="str">
        <f ca="1">IF(BY835=1,IF(INDEX(分析データ!$A:$A,ROW()+$C$5)&lt;&gt;"",40000*SIGN(BX835)*(分析データ!G835-INDEX(分析データ!G:G,ROW()+$C$5)),""),"")</f>
        <v/>
      </c>
      <c r="CA835">
        <f t="shared" ca="1" si="385"/>
        <v>-3515452.8662109179</v>
      </c>
      <c r="CB835">
        <f t="shared" ca="1" si="386"/>
        <v>11327520.000000004</v>
      </c>
      <c r="CC835">
        <f t="shared" ca="1" si="387"/>
        <v>-14842972.866210923</v>
      </c>
      <c r="CD835">
        <f t="shared" ca="1" si="388"/>
        <v>-312000.00000000029</v>
      </c>
      <c r="CE835">
        <f t="shared" ca="1" si="389"/>
        <v>18390747.133789141</v>
      </c>
      <c r="CF835">
        <f t="shared" ca="1" si="390"/>
        <v>21567747.133789141</v>
      </c>
      <c r="CG835">
        <f t="shared" ca="1" si="391"/>
        <v>-3177000</v>
      </c>
      <c r="CH835" s="10">
        <f>分析データ!A835</f>
        <v>46146</v>
      </c>
    </row>
    <row r="836" spans="46:86">
      <c r="AT836">
        <f ca="1">IF(ROW()&lt;($C$7+1),"",IFERROR((分析データ!B836-AVERAGE(OFFSET(分析データ!B$1,MAX(1,ROW()-$C$7),0,MIN($C$7,ROW()-1),1)))/STDEV(OFFSET(分析データ!B$1,MAX(1,ROW()-$C$7),0,MIN($C$7,ROW()-1),1)),0))</f>
        <v>-0.44755429077572961</v>
      </c>
      <c r="AU836">
        <f t="shared" ca="1" si="364"/>
        <v>0</v>
      </c>
      <c r="AV836" t="str">
        <f ca="1">IF(AU836=1,IF(INDEX(分析データ!$A:$A,ROW()+$C$5)&lt;&gt;"",80000*SIGN(AT836)*(分析データ!B836-INDEX(分析データ!B:B,ROW()+$C$5)),""),"")</f>
        <v/>
      </c>
      <c r="AW836">
        <f t="shared" ca="1" si="365"/>
        <v>-2839999.9999999963</v>
      </c>
      <c r="AX836">
        <f t="shared" ca="1" si="366"/>
        <v>0</v>
      </c>
      <c r="AY836">
        <f t="shared" ca="1" si="367"/>
        <v>-2839999.9999999963</v>
      </c>
      <c r="AZ836">
        <f ca="1">IF(ROW()&lt;($C$7+1),"",IFERROR((分析データ!C836-AVERAGE(OFFSET(分析データ!C$1,MAX(1,ROW()-$C$7),0,MIN($C$7,ROW()-1),1)))/STDEV(OFFSET(分析データ!C$1,MAX(1,ROW()-$C$7),0,MIN($C$7,ROW()-1),1)),0))</f>
        <v>2.1147880920535282</v>
      </c>
      <c r="BA836">
        <f t="shared" ca="1" si="368"/>
        <v>1</v>
      </c>
      <c r="BB836">
        <f ca="1">IF(BA836=1,IF(INDEX(分析データ!$A:$A,ROW()+$C$5)&lt;&gt;"",60000*SIGN(AZ836)*(分析データ!C836-INDEX(分析データ!C:C,ROW()+$C$5)),""),"")</f>
        <v>-443999.99999999907</v>
      </c>
      <c r="BC836">
        <f t="shared" ca="1" si="369"/>
        <v>-464999.99999998673</v>
      </c>
      <c r="BD836">
        <f t="shared" ca="1" si="370"/>
        <v>3156000.0000000107</v>
      </c>
      <c r="BE836">
        <f t="shared" ca="1" si="371"/>
        <v>-3620999.9999999972</v>
      </c>
      <c r="BF836">
        <f ca="1">IF(ROW()&lt;($C$7+1),"",IFERROR((分析データ!D836-AVERAGE(OFFSET(分析データ!D$1,MAX(1,ROW()-$C$7),0,MIN($C$7,ROW()-1),1)))/STDEV(OFFSET(分析データ!D$1,MAX(1,ROW()-$C$7),0,MIN($C$7,ROW()-1),1)),0))</f>
        <v>-1.1929916171482131</v>
      </c>
      <c r="BG836">
        <f t="shared" ca="1" si="372"/>
        <v>0</v>
      </c>
      <c r="BH836" t="str">
        <f ca="1">IF(BG836=1,IF(INDEX(分析データ!$A:$A,ROW()+$C$5)&lt;&gt;"",50000*SIGN(BF836)*(分析データ!D836-INDEX(分析データ!D:D,ROW()+$C$5)),""),"")</f>
        <v/>
      </c>
      <c r="BI836">
        <f t="shared" ca="1" si="373"/>
        <v>5570000.0000000205</v>
      </c>
      <c r="BJ836">
        <f t="shared" ca="1" si="374"/>
        <v>5570000.0000000205</v>
      </c>
      <c r="BK836">
        <f t="shared" ca="1" si="375"/>
        <v>0</v>
      </c>
      <c r="BL836">
        <f ca="1">IF(ROW()&lt;($C$7+1),"",IFERROR((分析データ!E836-AVERAGE(OFFSET(分析データ!E$1,MAX(1,ROW()-$C$7),0,MIN($C$7,ROW()-1),1)))/STDEV(OFFSET(分析データ!E$1,MAX(1,ROW()-$C$7),0,MIN($C$7,ROW()-1),1)),0))</f>
        <v>-2.1251947098181261</v>
      </c>
      <c r="BM836">
        <f t="shared" ca="1" si="376"/>
        <v>1</v>
      </c>
      <c r="BN836">
        <f ca="1">IF(BM836=1,IF(INDEX(分析データ!$A:$A,ROW()+$C$5)&lt;&gt;"",40000*SIGN(BL836)*(分析データ!E836-INDEX(分析データ!E:E,ROW()+$C$5)),""),"")</f>
        <v>0</v>
      </c>
      <c r="BO836">
        <f t="shared" ca="1" si="377"/>
        <v>4280000.0000000028</v>
      </c>
      <c r="BP836">
        <f t="shared" ca="1" si="378"/>
        <v>4280000.0000000028</v>
      </c>
      <c r="BQ836">
        <f t="shared" ca="1" si="379"/>
        <v>0</v>
      </c>
      <c r="BR836">
        <f ca="1">IF(ROW()&lt;($C$7+1),"",IFERROR((分析データ!F836-AVERAGE(OFFSET(分析データ!F$1,MAX(1,ROW()-$C$7),0,MIN($C$7,ROW()-1),1)))/STDEV(OFFSET(分析データ!F$1,MAX(1,ROW()-$C$7),0,MIN($C$7,ROW()-1),1)),0))</f>
        <v>-0.85227903885026279</v>
      </c>
      <c r="BS836">
        <f t="shared" ca="1" si="380"/>
        <v>0</v>
      </c>
      <c r="BT836" t="str">
        <f ca="1">IF(BS836=1,IF(INDEX(分析データ!$A:$A,ROW()+$C$5)&lt;&gt;"",40000*SIGN(BR836)*(分析データ!F836-INDEX(分析データ!F:F,ROW()+$C$5)),""),"")</f>
        <v/>
      </c>
      <c r="BU836">
        <f t="shared" ca="1" si="381"/>
        <v>14917200.000000004</v>
      </c>
      <c r="BV836">
        <f t="shared" ca="1" si="382"/>
        <v>14917200.000000004</v>
      </c>
      <c r="BW836">
        <f t="shared" ca="1" si="383"/>
        <v>0</v>
      </c>
      <c r="BX836">
        <f ca="1">IF(ROW()&lt;($C$7+1),"",IFERROR((分析データ!G836-AVERAGE(OFFSET(分析データ!G$1,MAX(1,ROW()-$C$7),0,MIN($C$7,ROW()-1),1)))/STDEV(OFFSET(分析データ!G$1,MAX(1,ROW()-$C$7),0,MIN($C$7,ROW()-1),1)),0))</f>
        <v>1.0615606206360266</v>
      </c>
      <c r="BY836">
        <f t="shared" ca="1" si="384"/>
        <v>0</v>
      </c>
      <c r="BZ836" t="str">
        <f ca="1">IF(BY836=1,IF(INDEX(分析データ!$A:$A,ROW()+$C$5)&lt;&gt;"",40000*SIGN(BX836)*(分析データ!G836-INDEX(分析データ!G:G,ROW()+$C$5)),""),"")</f>
        <v/>
      </c>
      <c r="CA836">
        <f t="shared" ca="1" si="385"/>
        <v>-3515452.8662109179</v>
      </c>
      <c r="CB836">
        <f t="shared" ca="1" si="386"/>
        <v>11327520.000000004</v>
      </c>
      <c r="CC836">
        <f t="shared" ca="1" si="387"/>
        <v>-14842972.866210923</v>
      </c>
      <c r="CD836">
        <f t="shared" ca="1" si="388"/>
        <v>-443999.99999999907</v>
      </c>
      <c r="CE836">
        <f t="shared" ca="1" si="389"/>
        <v>17946747.133789141</v>
      </c>
      <c r="CF836">
        <f t="shared" ca="1" si="390"/>
        <v>21567747.133789141</v>
      </c>
      <c r="CG836">
        <f t="shared" ca="1" si="391"/>
        <v>-3621000</v>
      </c>
      <c r="CH836" s="10">
        <f>分析データ!A836</f>
        <v>46147</v>
      </c>
    </row>
    <row r="837" spans="46:86">
      <c r="AT837">
        <f ca="1">IF(ROW()&lt;($C$7+1),"",IFERROR((分析データ!B837-AVERAGE(OFFSET(分析データ!B$1,MAX(1,ROW()-$C$7),0,MIN($C$7,ROW()-1),1)))/STDEV(OFFSET(分析データ!B$1,MAX(1,ROW()-$C$7),0,MIN($C$7,ROW()-1),1)),0))</f>
        <v>-1.2132133847239637</v>
      </c>
      <c r="AU837">
        <f t="shared" ca="1" si="364"/>
        <v>0</v>
      </c>
      <c r="AV837" t="str">
        <f ca="1">IF(AU837=1,IF(INDEX(分析データ!$A:$A,ROW()+$C$5)&lt;&gt;"",80000*SIGN(AT837)*(分析データ!B837-INDEX(分析データ!B:B,ROW()+$C$5)),""),"")</f>
        <v/>
      </c>
      <c r="AW837">
        <f t="shared" ca="1" si="365"/>
        <v>-2839999.9999999963</v>
      </c>
      <c r="AX837">
        <f t="shared" ca="1" si="366"/>
        <v>0</v>
      </c>
      <c r="AY837">
        <f t="shared" ca="1" si="367"/>
        <v>-2839999.9999999963</v>
      </c>
      <c r="AZ837">
        <f ca="1">IF(ROW()&lt;($C$7+1),"",IFERROR((分析データ!C837-AVERAGE(OFFSET(分析データ!C$1,MAX(1,ROW()-$C$7),0,MIN($C$7,ROW()-1),1)))/STDEV(OFFSET(分析データ!C$1,MAX(1,ROW()-$C$7),0,MIN($C$7,ROW()-1),1)),0))</f>
        <v>2.0881736511696505</v>
      </c>
      <c r="BA837">
        <f t="shared" ca="1" si="368"/>
        <v>1</v>
      </c>
      <c r="BB837">
        <f ca="1">IF(BA837=1,IF(INDEX(分析データ!$A:$A,ROW()+$C$5)&lt;&gt;"",60000*SIGN(AZ837)*(分析データ!C837-INDEX(分析データ!C:C,ROW()+$C$5)),""),"")</f>
        <v>-458999.99999999872</v>
      </c>
      <c r="BC837">
        <f t="shared" ca="1" si="369"/>
        <v>-923999.99999998545</v>
      </c>
      <c r="BD837">
        <f t="shared" ca="1" si="370"/>
        <v>3156000.0000000107</v>
      </c>
      <c r="BE837">
        <f t="shared" ca="1" si="371"/>
        <v>-4079999.9999999963</v>
      </c>
      <c r="BF837">
        <f ca="1">IF(ROW()&lt;($C$7+1),"",IFERROR((分析データ!D837-AVERAGE(OFFSET(分析データ!D$1,MAX(1,ROW()-$C$7),0,MIN($C$7,ROW()-1),1)))/STDEV(OFFSET(分析データ!D$1,MAX(1,ROW()-$C$7),0,MIN($C$7,ROW()-1),1)),0))</f>
        <v>-1.3643732699678108</v>
      </c>
      <c r="BG837">
        <f t="shared" ca="1" si="372"/>
        <v>0</v>
      </c>
      <c r="BH837" t="str">
        <f ca="1">IF(BG837=1,IF(INDEX(分析データ!$A:$A,ROW()+$C$5)&lt;&gt;"",50000*SIGN(BF837)*(分析データ!D837-INDEX(分析データ!D:D,ROW()+$C$5)),""),"")</f>
        <v/>
      </c>
      <c r="BI837">
        <f t="shared" ca="1" si="373"/>
        <v>5570000.0000000205</v>
      </c>
      <c r="BJ837">
        <f t="shared" ca="1" si="374"/>
        <v>5570000.0000000205</v>
      </c>
      <c r="BK837">
        <f t="shared" ca="1" si="375"/>
        <v>0</v>
      </c>
      <c r="BL837">
        <f ca="1">IF(ROW()&lt;($C$7+1),"",IFERROR((分析データ!E837-AVERAGE(OFFSET(分析データ!E$1,MAX(1,ROW()-$C$7),0,MIN($C$7,ROW()-1),1)))/STDEV(OFFSET(分析データ!E$1,MAX(1,ROW()-$C$7),0,MIN($C$7,ROW()-1),1)),0))</f>
        <v>-1.5599997096263121</v>
      </c>
      <c r="BM837">
        <f t="shared" ca="1" si="376"/>
        <v>0</v>
      </c>
      <c r="BN837" t="str">
        <f ca="1">IF(BM837=1,IF(INDEX(分析データ!$A:$A,ROW()+$C$5)&lt;&gt;"",40000*SIGN(BL837)*(分析データ!E837-INDEX(分析データ!E:E,ROW()+$C$5)),""),"")</f>
        <v/>
      </c>
      <c r="BO837">
        <f t="shared" ca="1" si="377"/>
        <v>4280000.0000000028</v>
      </c>
      <c r="BP837">
        <f t="shared" ca="1" si="378"/>
        <v>4280000.0000000028</v>
      </c>
      <c r="BQ837">
        <f t="shared" ca="1" si="379"/>
        <v>0</v>
      </c>
      <c r="BR837">
        <f ca="1">IF(ROW()&lt;($C$7+1),"",IFERROR((分析データ!F837-AVERAGE(OFFSET(分析データ!F$1,MAX(1,ROW()-$C$7),0,MIN($C$7,ROW()-1),1)))/STDEV(OFFSET(分析データ!F$1,MAX(1,ROW()-$C$7),0,MIN($C$7,ROW()-1),1)),0))</f>
        <v>-4.8490826755691871E-2</v>
      </c>
      <c r="BS837">
        <f t="shared" ca="1" si="380"/>
        <v>0</v>
      </c>
      <c r="BT837" t="str">
        <f ca="1">IF(BS837=1,IF(INDEX(分析データ!$A:$A,ROW()+$C$5)&lt;&gt;"",40000*SIGN(BR837)*(分析データ!F837-INDEX(分析データ!F:F,ROW()+$C$5)),""),"")</f>
        <v/>
      </c>
      <c r="BU837">
        <f t="shared" ca="1" si="381"/>
        <v>14917200.000000004</v>
      </c>
      <c r="BV837">
        <f t="shared" ca="1" si="382"/>
        <v>14917200.000000004</v>
      </c>
      <c r="BW837">
        <f t="shared" ca="1" si="383"/>
        <v>0</v>
      </c>
      <c r="BX837">
        <f ca="1">IF(ROW()&lt;($C$7+1),"",IFERROR((分析データ!G837-AVERAGE(OFFSET(分析データ!G$1,MAX(1,ROW()-$C$7),0,MIN($C$7,ROW()-1),1)))/STDEV(OFFSET(分析データ!G$1,MAX(1,ROW()-$C$7),0,MIN($C$7,ROW()-1),1)),0))</f>
        <v>0.96330082624713886</v>
      </c>
      <c r="BY837">
        <f t="shared" ca="1" si="384"/>
        <v>0</v>
      </c>
      <c r="BZ837" t="str">
        <f ca="1">IF(BY837=1,IF(INDEX(分析データ!$A:$A,ROW()+$C$5)&lt;&gt;"",40000*SIGN(BX837)*(分析データ!G837-INDEX(分析データ!G:G,ROW()+$C$5)),""),"")</f>
        <v/>
      </c>
      <c r="CA837">
        <f t="shared" ca="1" si="385"/>
        <v>-3515452.8662109179</v>
      </c>
      <c r="CB837">
        <f t="shared" ca="1" si="386"/>
        <v>11327520.000000004</v>
      </c>
      <c r="CC837">
        <f t="shared" ca="1" si="387"/>
        <v>-14842972.866210923</v>
      </c>
      <c r="CD837">
        <f t="shared" ca="1" si="388"/>
        <v>-458999.99999999872</v>
      </c>
      <c r="CE837">
        <f t="shared" ca="1" si="389"/>
        <v>17487747.133789141</v>
      </c>
      <c r="CF837">
        <f t="shared" ca="1" si="390"/>
        <v>21567747.133789141</v>
      </c>
      <c r="CG837">
        <f t="shared" ca="1" si="391"/>
        <v>-4080000</v>
      </c>
      <c r="CH837" s="10">
        <f>分析データ!A837</f>
        <v>46148</v>
      </c>
    </row>
    <row r="838" spans="46:86">
      <c r="AT838">
        <f ca="1">IF(ROW()&lt;($C$7+1),"",IFERROR((分析データ!B838-AVERAGE(OFFSET(分析データ!B$1,MAX(1,ROW()-$C$7),0,MIN($C$7,ROW()-1),1)))/STDEV(OFFSET(分析データ!B$1,MAX(1,ROW()-$C$7),0,MIN($C$7,ROW()-1),1)),0))</f>
        <v>-0.81910040802452921</v>
      </c>
      <c r="AU838">
        <f t="shared" ca="1" si="364"/>
        <v>0</v>
      </c>
      <c r="AV838" t="str">
        <f ca="1">IF(AU838=1,IF(INDEX(分析データ!$A:$A,ROW()+$C$5)&lt;&gt;"",80000*SIGN(AT838)*(分析データ!B838-INDEX(分析データ!B:B,ROW()+$C$5)),""),"")</f>
        <v/>
      </c>
      <c r="AW838">
        <f t="shared" ca="1" si="365"/>
        <v>-2839999.9999999963</v>
      </c>
      <c r="AX838">
        <f t="shared" ca="1" si="366"/>
        <v>0</v>
      </c>
      <c r="AY838">
        <f t="shared" ca="1" si="367"/>
        <v>-2839999.9999999963</v>
      </c>
      <c r="AZ838">
        <f ca="1">IF(ROW()&lt;($C$7+1),"",IFERROR((分析データ!C838-AVERAGE(OFFSET(分析データ!C$1,MAX(1,ROW()-$C$7),0,MIN($C$7,ROW()-1),1)))/STDEV(OFFSET(分析データ!C$1,MAX(1,ROW()-$C$7),0,MIN($C$7,ROW()-1),1)),0))</f>
        <v>1.8840982254223604</v>
      </c>
      <c r="BA838">
        <f t="shared" ca="1" si="368"/>
        <v>0</v>
      </c>
      <c r="BB838" t="str">
        <f ca="1">IF(BA838=1,IF(INDEX(分析データ!$A:$A,ROW()+$C$5)&lt;&gt;"",60000*SIGN(AZ838)*(分析データ!C838-INDEX(分析データ!C:C,ROW()+$C$5)),""),"")</f>
        <v/>
      </c>
      <c r="BC838">
        <f t="shared" ca="1" si="369"/>
        <v>-923999.99999998545</v>
      </c>
      <c r="BD838">
        <f t="shared" ca="1" si="370"/>
        <v>3156000.0000000107</v>
      </c>
      <c r="BE838">
        <f t="shared" ca="1" si="371"/>
        <v>-4079999.9999999963</v>
      </c>
      <c r="BF838">
        <f ca="1">IF(ROW()&lt;($C$7+1),"",IFERROR((分析データ!D838-AVERAGE(OFFSET(分析データ!D$1,MAX(1,ROW()-$C$7),0,MIN($C$7,ROW()-1),1)))/STDEV(OFFSET(分析データ!D$1,MAX(1,ROW()-$C$7),0,MIN($C$7,ROW()-1),1)),0))</f>
        <v>-1.1707120632235855</v>
      </c>
      <c r="BG838">
        <f t="shared" ca="1" si="372"/>
        <v>0</v>
      </c>
      <c r="BH838" t="str">
        <f ca="1">IF(BG838=1,IF(INDEX(分析データ!$A:$A,ROW()+$C$5)&lt;&gt;"",50000*SIGN(BF838)*(分析データ!D838-INDEX(分析データ!D:D,ROW()+$C$5)),""),"")</f>
        <v/>
      </c>
      <c r="BI838">
        <f t="shared" ca="1" si="373"/>
        <v>5570000.0000000205</v>
      </c>
      <c r="BJ838">
        <f t="shared" ca="1" si="374"/>
        <v>5570000.0000000205</v>
      </c>
      <c r="BK838">
        <f t="shared" ca="1" si="375"/>
        <v>0</v>
      </c>
      <c r="BL838">
        <f ca="1">IF(ROW()&lt;($C$7+1),"",IFERROR((分析データ!E838-AVERAGE(OFFSET(分析データ!E$1,MAX(1,ROW()-$C$7),0,MIN($C$7,ROW()-1),1)))/STDEV(OFFSET(分析データ!E$1,MAX(1,ROW()-$C$7),0,MIN($C$7,ROW()-1),1)),0))</f>
        <v>-1.5487906930408968</v>
      </c>
      <c r="BM838">
        <f t="shared" ca="1" si="376"/>
        <v>0</v>
      </c>
      <c r="BN838" t="str">
        <f ca="1">IF(BM838=1,IF(INDEX(分析データ!$A:$A,ROW()+$C$5)&lt;&gt;"",40000*SIGN(BL838)*(分析データ!E838-INDEX(分析データ!E:E,ROW()+$C$5)),""),"")</f>
        <v/>
      </c>
      <c r="BO838">
        <f t="shared" ca="1" si="377"/>
        <v>4280000.0000000028</v>
      </c>
      <c r="BP838">
        <f t="shared" ca="1" si="378"/>
        <v>4280000.0000000028</v>
      </c>
      <c r="BQ838">
        <f t="shared" ca="1" si="379"/>
        <v>0</v>
      </c>
      <c r="BR838">
        <f ca="1">IF(ROW()&lt;($C$7+1),"",IFERROR((分析データ!F838-AVERAGE(OFFSET(分析データ!F$1,MAX(1,ROW()-$C$7),0,MIN($C$7,ROW()-1),1)))/STDEV(OFFSET(分析データ!F$1,MAX(1,ROW()-$C$7),0,MIN($C$7,ROW()-1),1)),0))</f>
        <v>-1.2379091010540137</v>
      </c>
      <c r="BS838">
        <f t="shared" ca="1" si="380"/>
        <v>0</v>
      </c>
      <c r="BT838" t="str">
        <f ca="1">IF(BS838=1,IF(INDEX(分析データ!$A:$A,ROW()+$C$5)&lt;&gt;"",40000*SIGN(BR838)*(分析データ!F838-INDEX(分析データ!F:F,ROW()+$C$5)),""),"")</f>
        <v/>
      </c>
      <c r="BU838">
        <f t="shared" ca="1" si="381"/>
        <v>14917200.000000004</v>
      </c>
      <c r="BV838">
        <f t="shared" ca="1" si="382"/>
        <v>14917200.000000004</v>
      </c>
      <c r="BW838">
        <f t="shared" ca="1" si="383"/>
        <v>0</v>
      </c>
      <c r="BX838">
        <f ca="1">IF(ROW()&lt;($C$7+1),"",IFERROR((分析データ!G838-AVERAGE(OFFSET(分析データ!G$1,MAX(1,ROW()-$C$7),0,MIN($C$7,ROW()-1),1)))/STDEV(OFFSET(分析データ!G$1,MAX(1,ROW()-$C$7),0,MIN($C$7,ROW()-1),1)),0))</f>
        <v>1.1524082392111799</v>
      </c>
      <c r="BY838">
        <f t="shared" ca="1" si="384"/>
        <v>0</v>
      </c>
      <c r="BZ838" t="str">
        <f ca="1">IF(BY838=1,IF(INDEX(分析データ!$A:$A,ROW()+$C$5)&lt;&gt;"",40000*SIGN(BX838)*(分析データ!G838-INDEX(分析データ!G:G,ROW()+$C$5)),""),"")</f>
        <v/>
      </c>
      <c r="CA838">
        <f t="shared" ca="1" si="385"/>
        <v>-3515452.8662109179</v>
      </c>
      <c r="CB838">
        <f t="shared" ca="1" si="386"/>
        <v>11327520.000000004</v>
      </c>
      <c r="CC838">
        <f t="shared" ca="1" si="387"/>
        <v>-14842972.866210923</v>
      </c>
      <c r="CD838">
        <f t="shared" ca="1" si="388"/>
        <v>0</v>
      </c>
      <c r="CE838">
        <f t="shared" ca="1" si="389"/>
        <v>17487747.133789141</v>
      </c>
      <c r="CF838">
        <f t="shared" ca="1" si="390"/>
        <v>21567747.133789141</v>
      </c>
      <c r="CG838">
        <f t="shared" ca="1" si="391"/>
        <v>-4080000</v>
      </c>
      <c r="CH838" s="10">
        <f>分析データ!A838</f>
        <v>46149</v>
      </c>
    </row>
    <row r="839" spans="46:86">
      <c r="AT839">
        <f ca="1">IF(ROW()&lt;($C$7+1),"",IFERROR((分析データ!B839-AVERAGE(OFFSET(分析データ!B$1,MAX(1,ROW()-$C$7),0,MIN($C$7,ROW()-1),1)))/STDEV(OFFSET(分析データ!B$1,MAX(1,ROW()-$C$7),0,MIN($C$7,ROW()-1),1)),0))</f>
        <v>-1.1986853794475922</v>
      </c>
      <c r="AU839">
        <f t="shared" ca="1" si="364"/>
        <v>0</v>
      </c>
      <c r="AV839" t="str">
        <f ca="1">IF(AU839=1,IF(INDEX(分析データ!$A:$A,ROW()+$C$5)&lt;&gt;"",80000*SIGN(AT839)*(分析データ!B839-INDEX(分析データ!B:B,ROW()+$C$5)),""),"")</f>
        <v/>
      </c>
      <c r="AW839">
        <f t="shared" ca="1" si="365"/>
        <v>-2839999.9999999963</v>
      </c>
      <c r="AX839">
        <f t="shared" ca="1" si="366"/>
        <v>0</v>
      </c>
      <c r="AY839">
        <f t="shared" ca="1" si="367"/>
        <v>-2839999.9999999963</v>
      </c>
      <c r="AZ839">
        <f ca="1">IF(ROW()&lt;($C$7+1),"",IFERROR((分析データ!C839-AVERAGE(OFFSET(分析データ!C$1,MAX(1,ROW()-$C$7),0,MIN($C$7,ROW()-1),1)))/STDEV(OFFSET(分析データ!C$1,MAX(1,ROW()-$C$7),0,MIN($C$7,ROW()-1),1)),0))</f>
        <v>1.872476559786078</v>
      </c>
      <c r="BA839">
        <f t="shared" ca="1" si="368"/>
        <v>0</v>
      </c>
      <c r="BB839" t="str">
        <f ca="1">IF(BA839=1,IF(INDEX(分析データ!$A:$A,ROW()+$C$5)&lt;&gt;"",60000*SIGN(AZ839)*(分析データ!C839-INDEX(分析データ!C:C,ROW()+$C$5)),""),"")</f>
        <v/>
      </c>
      <c r="BC839">
        <f t="shared" ca="1" si="369"/>
        <v>-923999.99999998545</v>
      </c>
      <c r="BD839">
        <f t="shared" ca="1" si="370"/>
        <v>3156000.0000000107</v>
      </c>
      <c r="BE839">
        <f t="shared" ca="1" si="371"/>
        <v>-4079999.9999999963</v>
      </c>
      <c r="BF839">
        <f ca="1">IF(ROW()&lt;($C$7+1),"",IFERROR((分析データ!D839-AVERAGE(OFFSET(分析データ!D$1,MAX(1,ROW()-$C$7),0,MIN($C$7,ROW()-1),1)))/STDEV(OFFSET(分析データ!D$1,MAX(1,ROW()-$C$7),0,MIN($C$7,ROW()-1),1)),0))</f>
        <v>-1.2401380379100855</v>
      </c>
      <c r="BG839">
        <f t="shared" ca="1" si="372"/>
        <v>0</v>
      </c>
      <c r="BH839" t="str">
        <f ca="1">IF(BG839=1,IF(INDEX(分析データ!$A:$A,ROW()+$C$5)&lt;&gt;"",50000*SIGN(BF839)*(分析データ!D839-INDEX(分析データ!D:D,ROW()+$C$5)),""),"")</f>
        <v/>
      </c>
      <c r="BI839">
        <f t="shared" ca="1" si="373"/>
        <v>5570000.0000000205</v>
      </c>
      <c r="BJ839">
        <f t="shared" ca="1" si="374"/>
        <v>5570000.0000000205</v>
      </c>
      <c r="BK839">
        <f t="shared" ca="1" si="375"/>
        <v>0</v>
      </c>
      <c r="BL839">
        <f ca="1">IF(ROW()&lt;($C$7+1),"",IFERROR((分析データ!E839-AVERAGE(OFFSET(分析データ!E$1,MAX(1,ROW()-$C$7),0,MIN($C$7,ROW()-1),1)))/STDEV(OFFSET(分析データ!E$1,MAX(1,ROW()-$C$7),0,MIN($C$7,ROW()-1),1)),0))</f>
        <v>-1.8088659262686646</v>
      </c>
      <c r="BM839">
        <f t="shared" ca="1" si="376"/>
        <v>0</v>
      </c>
      <c r="BN839" t="str">
        <f ca="1">IF(BM839=1,IF(INDEX(分析データ!$A:$A,ROW()+$C$5)&lt;&gt;"",40000*SIGN(BL839)*(分析データ!E839-INDEX(分析データ!E:E,ROW()+$C$5)),""),"")</f>
        <v/>
      </c>
      <c r="BO839">
        <f t="shared" ca="1" si="377"/>
        <v>4280000.0000000028</v>
      </c>
      <c r="BP839">
        <f t="shared" ca="1" si="378"/>
        <v>4280000.0000000028</v>
      </c>
      <c r="BQ839">
        <f t="shared" ca="1" si="379"/>
        <v>0</v>
      </c>
      <c r="BR839">
        <f ca="1">IF(ROW()&lt;($C$7+1),"",IFERROR((分析データ!F839-AVERAGE(OFFSET(分析データ!F$1,MAX(1,ROW()-$C$7),0,MIN($C$7,ROW()-1),1)))/STDEV(OFFSET(分析データ!F$1,MAX(1,ROW()-$C$7),0,MIN($C$7,ROW()-1),1)),0))</f>
        <v>-1.0290971254082502</v>
      </c>
      <c r="BS839">
        <f t="shared" ca="1" si="380"/>
        <v>0</v>
      </c>
      <c r="BT839" t="str">
        <f ca="1">IF(BS839=1,IF(INDEX(分析データ!$A:$A,ROW()+$C$5)&lt;&gt;"",40000*SIGN(BR839)*(分析データ!F839-INDEX(分析データ!F:F,ROW()+$C$5)),""),"")</f>
        <v/>
      </c>
      <c r="BU839">
        <f t="shared" ca="1" si="381"/>
        <v>14917200.000000004</v>
      </c>
      <c r="BV839">
        <f t="shared" ca="1" si="382"/>
        <v>14917200.000000004</v>
      </c>
      <c r="BW839">
        <f t="shared" ca="1" si="383"/>
        <v>0</v>
      </c>
      <c r="BX839">
        <f ca="1">IF(ROW()&lt;($C$7+1),"",IFERROR((分析データ!G839-AVERAGE(OFFSET(分析データ!G$1,MAX(1,ROW()-$C$7),0,MIN($C$7,ROW()-1),1)))/STDEV(OFFSET(分析データ!G$1,MAX(1,ROW()-$C$7),0,MIN($C$7,ROW()-1),1)),0))</f>
        <v>1.2231875944279316</v>
      </c>
      <c r="BY839">
        <f t="shared" ca="1" si="384"/>
        <v>0</v>
      </c>
      <c r="BZ839" t="str">
        <f ca="1">IF(BY839=1,IF(INDEX(分析データ!$A:$A,ROW()+$C$5)&lt;&gt;"",40000*SIGN(BX839)*(分析データ!G839-INDEX(分析データ!G:G,ROW()+$C$5)),""),"")</f>
        <v/>
      </c>
      <c r="CA839">
        <f t="shared" ca="1" si="385"/>
        <v>-3515452.8662109179</v>
      </c>
      <c r="CB839">
        <f t="shared" ca="1" si="386"/>
        <v>11327520.000000004</v>
      </c>
      <c r="CC839">
        <f t="shared" ca="1" si="387"/>
        <v>-14842972.866210923</v>
      </c>
      <c r="CD839">
        <f t="shared" ca="1" si="388"/>
        <v>0</v>
      </c>
      <c r="CE839">
        <f t="shared" ca="1" si="389"/>
        <v>17487747.133789141</v>
      </c>
      <c r="CF839">
        <f t="shared" ca="1" si="390"/>
        <v>21567747.133789141</v>
      </c>
      <c r="CG839">
        <f t="shared" ca="1" si="391"/>
        <v>-4080000</v>
      </c>
      <c r="CH839" s="10">
        <f>分析データ!A839</f>
        <v>46150</v>
      </c>
    </row>
    <row r="840" spans="46:86">
      <c r="AT840">
        <f ca="1">IF(ROW()&lt;($C$7+1),"",IFERROR((分析データ!B840-AVERAGE(OFFSET(分析データ!B$1,MAX(1,ROW()-$C$7),0,MIN($C$7,ROW()-1),1)))/STDEV(OFFSET(分析データ!B$1,MAX(1,ROW()-$C$7),0,MIN($C$7,ROW()-1),1)),0))</f>
        <v>-1.1906693758043081</v>
      </c>
      <c r="AU840">
        <f t="shared" ca="1" si="364"/>
        <v>0</v>
      </c>
      <c r="AV840" t="str">
        <f ca="1">IF(AU840=1,IF(INDEX(分析データ!$A:$A,ROW()+$C$5)&lt;&gt;"",80000*SIGN(AT840)*(分析データ!B840-INDEX(分析データ!B:B,ROW()+$C$5)),""),"")</f>
        <v/>
      </c>
      <c r="AW840">
        <f t="shared" ca="1" si="365"/>
        <v>-2839999.9999999963</v>
      </c>
      <c r="AX840">
        <f t="shared" ca="1" si="366"/>
        <v>0</v>
      </c>
      <c r="AY840">
        <f t="shared" ca="1" si="367"/>
        <v>-2839999.9999999963</v>
      </c>
      <c r="AZ840">
        <f ca="1">IF(ROW()&lt;($C$7+1),"",IFERROR((分析データ!C840-AVERAGE(OFFSET(分析データ!C$1,MAX(1,ROW()-$C$7),0,MIN($C$7,ROW()-1),1)))/STDEV(OFFSET(分析データ!C$1,MAX(1,ROW()-$C$7),0,MIN($C$7,ROW()-1),1)),0))</f>
        <v>1.9975552367236298</v>
      </c>
      <c r="BA840">
        <f t="shared" ca="1" si="368"/>
        <v>0</v>
      </c>
      <c r="BB840" t="str">
        <f ca="1">IF(BA840=1,IF(INDEX(分析データ!$A:$A,ROW()+$C$5)&lt;&gt;"",60000*SIGN(AZ840)*(分析データ!C840-INDEX(分析データ!C:C,ROW()+$C$5)),""),"")</f>
        <v/>
      </c>
      <c r="BC840">
        <f t="shared" ca="1" si="369"/>
        <v>-923999.99999998545</v>
      </c>
      <c r="BD840">
        <f t="shared" ca="1" si="370"/>
        <v>3156000.0000000107</v>
      </c>
      <c r="BE840">
        <f t="shared" ca="1" si="371"/>
        <v>-4079999.9999999963</v>
      </c>
      <c r="BF840">
        <f ca="1">IF(ROW()&lt;($C$7+1),"",IFERROR((分析データ!D840-AVERAGE(OFFSET(分析データ!D$1,MAX(1,ROW()-$C$7),0,MIN($C$7,ROW()-1),1)))/STDEV(OFFSET(分析データ!D$1,MAX(1,ROW()-$C$7),0,MIN($C$7,ROW()-1),1)),0))</f>
        <v>-1.2361968771671814</v>
      </c>
      <c r="BG840">
        <f t="shared" ca="1" si="372"/>
        <v>0</v>
      </c>
      <c r="BH840" t="str">
        <f ca="1">IF(BG840=1,IF(INDEX(分析データ!$A:$A,ROW()+$C$5)&lt;&gt;"",50000*SIGN(BF840)*(分析データ!D840-INDEX(分析データ!D:D,ROW()+$C$5)),""),"")</f>
        <v/>
      </c>
      <c r="BI840">
        <f t="shared" ca="1" si="373"/>
        <v>5570000.0000000205</v>
      </c>
      <c r="BJ840">
        <f t="shared" ca="1" si="374"/>
        <v>5570000.0000000205</v>
      </c>
      <c r="BK840">
        <f t="shared" ca="1" si="375"/>
        <v>0</v>
      </c>
      <c r="BL840">
        <f ca="1">IF(ROW()&lt;($C$7+1),"",IFERROR((分析データ!E840-AVERAGE(OFFSET(分析データ!E$1,MAX(1,ROW()-$C$7),0,MIN($C$7,ROW()-1),1)))/STDEV(OFFSET(分析データ!E$1,MAX(1,ROW()-$C$7),0,MIN($C$7,ROW()-1),1)),0))</f>
        <v>-2.0637649471693376</v>
      </c>
      <c r="BM840">
        <f t="shared" ca="1" si="376"/>
        <v>1</v>
      </c>
      <c r="BN840">
        <f ca="1">IF(BM840=1,IF(INDEX(分析データ!$A:$A,ROW()+$C$5)&lt;&gt;"",40000*SIGN(BL840)*(分析データ!E840-INDEX(分析データ!E:E,ROW()+$C$5)),""),"")</f>
        <v>-160000.00000000015</v>
      </c>
      <c r="BO840">
        <f t="shared" ca="1" si="377"/>
        <v>4120000.0000000028</v>
      </c>
      <c r="BP840">
        <f t="shared" ca="1" si="378"/>
        <v>4280000.0000000028</v>
      </c>
      <c r="BQ840">
        <f t="shared" ca="1" si="379"/>
        <v>-160000</v>
      </c>
      <c r="BR840">
        <f ca="1">IF(ROW()&lt;($C$7+1),"",IFERROR((分析データ!F840-AVERAGE(OFFSET(分析データ!F$1,MAX(1,ROW()-$C$7),0,MIN($C$7,ROW()-1),1)))/STDEV(OFFSET(分析データ!F$1,MAX(1,ROW()-$C$7),0,MIN($C$7,ROW()-1),1)),0))</f>
        <v>-1.2798081848883764</v>
      </c>
      <c r="BS840">
        <f t="shared" ca="1" si="380"/>
        <v>0</v>
      </c>
      <c r="BT840" t="str">
        <f ca="1">IF(BS840=1,IF(INDEX(分析データ!$A:$A,ROW()+$C$5)&lt;&gt;"",40000*SIGN(BR840)*(分析データ!F840-INDEX(分析データ!F:F,ROW()+$C$5)),""),"")</f>
        <v/>
      </c>
      <c r="BU840">
        <f t="shared" ca="1" si="381"/>
        <v>14917200.000000004</v>
      </c>
      <c r="BV840">
        <f t="shared" ca="1" si="382"/>
        <v>14917200.000000004</v>
      </c>
      <c r="BW840">
        <f t="shared" ca="1" si="383"/>
        <v>0</v>
      </c>
      <c r="BX840">
        <f ca="1">IF(ROW()&lt;($C$7+1),"",IFERROR((分析データ!G840-AVERAGE(OFFSET(分析データ!G$1,MAX(1,ROW()-$C$7),0,MIN($C$7,ROW()-1),1)))/STDEV(OFFSET(分析データ!G$1,MAX(1,ROW()-$C$7),0,MIN($C$7,ROW()-1),1)),0))</f>
        <v>1.268296534889336</v>
      </c>
      <c r="BY840">
        <f t="shared" ca="1" si="384"/>
        <v>0</v>
      </c>
      <c r="BZ840" t="str">
        <f ca="1">IF(BY840=1,IF(INDEX(分析データ!$A:$A,ROW()+$C$5)&lt;&gt;"",40000*SIGN(BX840)*(分析データ!G840-INDEX(分析データ!G:G,ROW()+$C$5)),""),"")</f>
        <v/>
      </c>
      <c r="CA840">
        <f t="shared" ca="1" si="385"/>
        <v>-3515452.8662109179</v>
      </c>
      <c r="CB840">
        <f t="shared" ca="1" si="386"/>
        <v>11327520.000000004</v>
      </c>
      <c r="CC840">
        <f t="shared" ca="1" si="387"/>
        <v>-14842972.866210923</v>
      </c>
      <c r="CD840">
        <f t="shared" ca="1" si="388"/>
        <v>-160000.00000000015</v>
      </c>
      <c r="CE840">
        <f t="shared" ca="1" si="389"/>
        <v>17327747.133789141</v>
      </c>
      <c r="CF840">
        <f t="shared" ca="1" si="390"/>
        <v>21567747.133789141</v>
      </c>
      <c r="CG840">
        <f t="shared" ca="1" si="391"/>
        <v>-4240000</v>
      </c>
      <c r="CH840" s="10">
        <f>分析データ!A840</f>
        <v>46153</v>
      </c>
    </row>
    <row r="841" spans="46:86">
      <c r="AT841">
        <f ca="1">IF(ROW()&lt;($C$7+1),"",IFERROR((分析データ!B841-AVERAGE(OFFSET(分析データ!B$1,MAX(1,ROW()-$C$7),0,MIN($C$7,ROW()-1),1)))/STDEV(OFFSET(分析データ!B$1,MAX(1,ROW()-$C$7),0,MIN($C$7,ROW()-1),1)),0))</f>
        <v>-1.5631607797896325</v>
      </c>
      <c r="AU841">
        <f t="shared" ca="1" si="364"/>
        <v>0</v>
      </c>
      <c r="AV841" t="str">
        <f ca="1">IF(AU841=1,IF(INDEX(分析データ!$A:$A,ROW()+$C$5)&lt;&gt;"",80000*SIGN(AT841)*(分析データ!B841-INDEX(分析データ!B:B,ROW()+$C$5)),""),"")</f>
        <v/>
      </c>
      <c r="AW841">
        <f t="shared" ca="1" si="365"/>
        <v>-2839999.9999999963</v>
      </c>
      <c r="AX841">
        <f t="shared" ca="1" si="366"/>
        <v>0</v>
      </c>
      <c r="AY841">
        <f t="shared" ca="1" si="367"/>
        <v>-2839999.9999999963</v>
      </c>
      <c r="AZ841">
        <f ca="1">IF(ROW()&lt;($C$7+1),"",IFERROR((分析データ!C841-AVERAGE(OFFSET(分析データ!C$1,MAX(1,ROW()-$C$7),0,MIN($C$7,ROW()-1),1)))/STDEV(OFFSET(分析データ!C$1,MAX(1,ROW()-$C$7),0,MIN($C$7,ROW()-1),1)),0))</f>
        <v>1.9422605251046909</v>
      </c>
      <c r="BA841">
        <f t="shared" ca="1" si="368"/>
        <v>0</v>
      </c>
      <c r="BB841" t="str">
        <f ca="1">IF(BA841=1,IF(INDEX(分析データ!$A:$A,ROW()+$C$5)&lt;&gt;"",60000*SIGN(AZ841)*(分析データ!C841-INDEX(分析データ!C:C,ROW()+$C$5)),""),"")</f>
        <v/>
      </c>
      <c r="BC841">
        <f t="shared" ca="1" si="369"/>
        <v>-923999.99999998545</v>
      </c>
      <c r="BD841">
        <f t="shared" ca="1" si="370"/>
        <v>3156000.0000000107</v>
      </c>
      <c r="BE841">
        <f t="shared" ca="1" si="371"/>
        <v>-4079999.9999999963</v>
      </c>
      <c r="BF841">
        <f ca="1">IF(ROW()&lt;($C$7+1),"",IFERROR((分析データ!D841-AVERAGE(OFFSET(分析データ!D$1,MAX(1,ROW()-$C$7),0,MIN($C$7,ROW()-1),1)))/STDEV(OFFSET(分析データ!D$1,MAX(1,ROW()-$C$7),0,MIN($C$7,ROW()-1),1)),0))</f>
        <v>-1.1736768403868492</v>
      </c>
      <c r="BG841">
        <f t="shared" ca="1" si="372"/>
        <v>0</v>
      </c>
      <c r="BH841" t="str">
        <f ca="1">IF(BG841=1,IF(INDEX(分析データ!$A:$A,ROW()+$C$5)&lt;&gt;"",50000*SIGN(BF841)*(分析データ!D841-INDEX(分析データ!D:D,ROW()+$C$5)),""),"")</f>
        <v/>
      </c>
      <c r="BI841">
        <f t="shared" ca="1" si="373"/>
        <v>5570000.0000000205</v>
      </c>
      <c r="BJ841">
        <f t="shared" ca="1" si="374"/>
        <v>5570000.0000000205</v>
      </c>
      <c r="BK841">
        <f t="shared" ca="1" si="375"/>
        <v>0</v>
      </c>
      <c r="BL841">
        <f ca="1">IF(ROW()&lt;($C$7+1),"",IFERROR((分析データ!E841-AVERAGE(OFFSET(分析データ!E$1,MAX(1,ROW()-$C$7),0,MIN($C$7,ROW()-1),1)))/STDEV(OFFSET(分析データ!E$1,MAX(1,ROW()-$C$7),0,MIN($C$7,ROW()-1),1)),0))</f>
        <v>-2.3172650111796527</v>
      </c>
      <c r="BM841">
        <f t="shared" ca="1" si="376"/>
        <v>1</v>
      </c>
      <c r="BN841">
        <f ca="1">IF(BM841=1,IF(INDEX(分析データ!$A:$A,ROW()+$C$5)&lt;&gt;"",40000*SIGN(BL841)*(分析データ!E841-INDEX(分析データ!E:E,ROW()+$C$5)),""),"")</f>
        <v>-119999.99999999744</v>
      </c>
      <c r="BO841">
        <f t="shared" ca="1" si="377"/>
        <v>4000000.0000000056</v>
      </c>
      <c r="BP841">
        <f t="shared" ca="1" si="378"/>
        <v>4280000.0000000028</v>
      </c>
      <c r="BQ841">
        <f t="shared" ca="1" si="379"/>
        <v>-279999.99999999721</v>
      </c>
      <c r="BR841">
        <f ca="1">IF(ROW()&lt;($C$7+1),"",IFERROR((分析データ!F841-AVERAGE(OFFSET(分析データ!F$1,MAX(1,ROW()-$C$7),0,MIN($C$7,ROW()-1),1)))/STDEV(OFFSET(分析データ!F$1,MAX(1,ROW()-$C$7),0,MIN($C$7,ROW()-1),1)),0))</f>
        <v>-1.2094822684813464</v>
      </c>
      <c r="BS841">
        <f t="shared" ca="1" si="380"/>
        <v>0</v>
      </c>
      <c r="BT841" t="str">
        <f ca="1">IF(BS841=1,IF(INDEX(分析データ!$A:$A,ROW()+$C$5)&lt;&gt;"",40000*SIGN(BR841)*(分析データ!F841-INDEX(分析データ!F:F,ROW()+$C$5)),""),"")</f>
        <v/>
      </c>
      <c r="BU841">
        <f t="shared" ca="1" si="381"/>
        <v>14917200.000000004</v>
      </c>
      <c r="BV841">
        <f t="shared" ca="1" si="382"/>
        <v>14917200.000000004</v>
      </c>
      <c r="BW841">
        <f t="shared" ca="1" si="383"/>
        <v>0</v>
      </c>
      <c r="BX841">
        <f ca="1">IF(ROW()&lt;($C$7+1),"",IFERROR((分析データ!G841-AVERAGE(OFFSET(分析データ!G$1,MAX(1,ROW()-$C$7),0,MIN($C$7,ROW()-1),1)))/STDEV(OFFSET(分析データ!G$1,MAX(1,ROW()-$C$7),0,MIN($C$7,ROW()-1),1)),0))</f>
        <v>1.1877463156898305</v>
      </c>
      <c r="BY841">
        <f t="shared" ca="1" si="384"/>
        <v>0</v>
      </c>
      <c r="BZ841" t="str">
        <f ca="1">IF(BY841=1,IF(INDEX(分析データ!$A:$A,ROW()+$C$5)&lt;&gt;"",40000*SIGN(BX841)*(分析データ!G841-INDEX(分析データ!G:G,ROW()+$C$5)),""),"")</f>
        <v/>
      </c>
      <c r="CA841">
        <f t="shared" ca="1" si="385"/>
        <v>-3515452.8662109179</v>
      </c>
      <c r="CB841">
        <f t="shared" ca="1" si="386"/>
        <v>11327520.000000004</v>
      </c>
      <c r="CC841">
        <f t="shared" ca="1" si="387"/>
        <v>-14842972.866210923</v>
      </c>
      <c r="CD841">
        <f t="shared" ca="1" si="388"/>
        <v>-119999.99999999744</v>
      </c>
      <c r="CE841">
        <f t="shared" ca="1" si="389"/>
        <v>17207747.133789144</v>
      </c>
      <c r="CF841">
        <f t="shared" ca="1" si="390"/>
        <v>21567747.133789141</v>
      </c>
      <c r="CG841">
        <f t="shared" ca="1" si="391"/>
        <v>-4359999.9999999963</v>
      </c>
      <c r="CH841" s="10">
        <f>分析データ!A841</f>
        <v>46154</v>
      </c>
    </row>
    <row r="842" spans="46:86">
      <c r="AT842">
        <f ca="1">IF(ROW()&lt;($C$7+1),"",IFERROR((分析データ!B842-AVERAGE(OFFSET(分析データ!B$1,MAX(1,ROW()-$C$7),0,MIN($C$7,ROW()-1),1)))/STDEV(OFFSET(分析データ!B$1,MAX(1,ROW()-$C$7),0,MIN($C$7,ROW()-1),1)),0))</f>
        <v>-1.1676243900840193</v>
      </c>
      <c r="AU842">
        <f t="shared" ca="1" si="364"/>
        <v>0</v>
      </c>
      <c r="AV842" t="str">
        <f ca="1">IF(AU842=1,IF(INDEX(分析データ!$A:$A,ROW()+$C$5)&lt;&gt;"",80000*SIGN(AT842)*(分析データ!B842-INDEX(分析データ!B:B,ROW()+$C$5)),""),"")</f>
        <v/>
      </c>
      <c r="AW842">
        <f t="shared" ca="1" si="365"/>
        <v>-2839999.9999999963</v>
      </c>
      <c r="AX842">
        <f t="shared" ca="1" si="366"/>
        <v>0</v>
      </c>
      <c r="AY842">
        <f t="shared" ca="1" si="367"/>
        <v>-2839999.9999999963</v>
      </c>
      <c r="AZ842">
        <f ca="1">IF(ROW()&lt;($C$7+1),"",IFERROR((分析データ!C842-AVERAGE(OFFSET(分析データ!C$1,MAX(1,ROW()-$C$7),0,MIN($C$7,ROW()-1),1)))/STDEV(OFFSET(分析データ!C$1,MAX(1,ROW()-$C$7),0,MIN($C$7,ROW()-1),1)),0))</f>
        <v>2.271675056389967</v>
      </c>
      <c r="BA842">
        <f t="shared" ca="1" si="368"/>
        <v>1</v>
      </c>
      <c r="BB842">
        <f ca="1">IF(BA842=1,IF(INDEX(分析データ!$A:$A,ROW()+$C$5)&lt;&gt;"",60000*SIGN(AZ842)*(分析データ!C842-INDEX(分析データ!C:C,ROW()+$C$5)),""),"")</f>
        <v>-395999.99999999901</v>
      </c>
      <c r="BC842">
        <f t="shared" ca="1" si="369"/>
        <v>-1319999.9999999844</v>
      </c>
      <c r="BD842">
        <f t="shared" ca="1" si="370"/>
        <v>3156000.0000000107</v>
      </c>
      <c r="BE842">
        <f t="shared" ca="1" si="371"/>
        <v>-4475999.9999999953</v>
      </c>
      <c r="BF842">
        <f ca="1">IF(ROW()&lt;($C$7+1),"",IFERROR((分析データ!D842-AVERAGE(OFFSET(分析データ!D$1,MAX(1,ROW()-$C$7),0,MIN($C$7,ROW()-1),1)))/STDEV(OFFSET(分析データ!D$1,MAX(1,ROW()-$C$7),0,MIN($C$7,ROW()-1),1)),0))</f>
        <v>-1.2721727979569102</v>
      </c>
      <c r="BG842">
        <f t="shared" ca="1" si="372"/>
        <v>0</v>
      </c>
      <c r="BH842" t="str">
        <f ca="1">IF(BG842=1,IF(INDEX(分析データ!$A:$A,ROW()+$C$5)&lt;&gt;"",50000*SIGN(BF842)*(分析データ!D842-INDEX(分析データ!D:D,ROW()+$C$5)),""),"")</f>
        <v/>
      </c>
      <c r="BI842">
        <f t="shared" ca="1" si="373"/>
        <v>5570000.0000000205</v>
      </c>
      <c r="BJ842">
        <f t="shared" ca="1" si="374"/>
        <v>5570000.0000000205</v>
      </c>
      <c r="BK842">
        <f t="shared" ca="1" si="375"/>
        <v>0</v>
      </c>
      <c r="BL842">
        <f ca="1">IF(ROW()&lt;($C$7+1),"",IFERROR((分析データ!E842-AVERAGE(OFFSET(分析データ!E$1,MAX(1,ROW()-$C$7),0,MIN($C$7,ROW()-1),1)))/STDEV(OFFSET(分析データ!E$1,MAX(1,ROW()-$C$7),0,MIN($C$7,ROW()-1),1)),0))</f>
        <v>-2.2999409181787973</v>
      </c>
      <c r="BM842">
        <f t="shared" ca="1" si="376"/>
        <v>1</v>
      </c>
      <c r="BN842">
        <f ca="1">IF(BM842=1,IF(INDEX(分析データ!$A:$A,ROW()+$C$5)&lt;&gt;"",40000*SIGN(BL842)*(分析データ!E842-INDEX(分析データ!E:E,ROW()+$C$5)),""),"")</f>
        <v>-160000.00000000015</v>
      </c>
      <c r="BO842">
        <f t="shared" ca="1" si="377"/>
        <v>3840000.0000000056</v>
      </c>
      <c r="BP842">
        <f t="shared" ca="1" si="378"/>
        <v>4280000.0000000028</v>
      </c>
      <c r="BQ842">
        <f t="shared" ca="1" si="379"/>
        <v>-439999.99999999721</v>
      </c>
      <c r="BR842">
        <f ca="1">IF(ROW()&lt;($C$7+1),"",IFERROR((分析データ!F842-AVERAGE(OFFSET(分析データ!F$1,MAX(1,ROW()-$C$7),0,MIN($C$7,ROW()-1),1)))/STDEV(OFFSET(分析データ!F$1,MAX(1,ROW()-$C$7),0,MIN($C$7,ROW()-1),1)),0))</f>
        <v>-1.2683709311183871</v>
      </c>
      <c r="BS842">
        <f t="shared" ca="1" si="380"/>
        <v>0</v>
      </c>
      <c r="BT842" t="str">
        <f ca="1">IF(BS842=1,IF(INDEX(分析データ!$A:$A,ROW()+$C$5)&lt;&gt;"",40000*SIGN(BR842)*(分析データ!F842-INDEX(分析データ!F:F,ROW()+$C$5)),""),"")</f>
        <v/>
      </c>
      <c r="BU842">
        <f t="shared" ca="1" si="381"/>
        <v>14917200.000000004</v>
      </c>
      <c r="BV842">
        <f t="shared" ca="1" si="382"/>
        <v>14917200.000000004</v>
      </c>
      <c r="BW842">
        <f t="shared" ca="1" si="383"/>
        <v>0</v>
      </c>
      <c r="BX842">
        <f ca="1">IF(ROW()&lt;($C$7+1),"",IFERROR((分析データ!G842-AVERAGE(OFFSET(分析データ!G$1,MAX(1,ROW()-$C$7),0,MIN($C$7,ROW()-1),1)))/STDEV(OFFSET(分析データ!G$1,MAX(1,ROW()-$C$7),0,MIN($C$7,ROW()-1),1)),0))</f>
        <v>1.2503396426690021</v>
      </c>
      <c r="BY842">
        <f t="shared" ca="1" si="384"/>
        <v>0</v>
      </c>
      <c r="BZ842" t="str">
        <f ca="1">IF(BY842=1,IF(INDEX(分析データ!$A:$A,ROW()+$C$5)&lt;&gt;"",40000*SIGN(BX842)*(分析データ!G842-INDEX(分析データ!G:G,ROW()+$C$5)),""),"")</f>
        <v/>
      </c>
      <c r="CA842">
        <f t="shared" ca="1" si="385"/>
        <v>-3515452.8662109179</v>
      </c>
      <c r="CB842">
        <f t="shared" ca="1" si="386"/>
        <v>11327520.000000004</v>
      </c>
      <c r="CC842">
        <f t="shared" ca="1" si="387"/>
        <v>-14842972.866210923</v>
      </c>
      <c r="CD842">
        <f t="shared" ca="1" si="388"/>
        <v>-555999.99999999919</v>
      </c>
      <c r="CE842">
        <f t="shared" ca="1" si="389"/>
        <v>16651747.133789144</v>
      </c>
      <c r="CF842">
        <f t="shared" ca="1" si="390"/>
        <v>21567747.133789141</v>
      </c>
      <c r="CG842">
        <f t="shared" ca="1" si="391"/>
        <v>-4915999.9999999963</v>
      </c>
      <c r="CH842" s="10">
        <f>分析データ!A842</f>
        <v>46155</v>
      </c>
    </row>
    <row r="843" spans="46:86">
      <c r="AT843">
        <f ca="1">IF(ROW()&lt;($C$7+1),"",IFERROR((分析データ!B843-AVERAGE(OFFSET(分析データ!B$1,MAX(1,ROW()-$C$7),0,MIN($C$7,ROW()-1),1)))/STDEV(OFFSET(分析データ!B$1,MAX(1,ROW()-$C$7),0,MIN($C$7,ROW()-1),1)),0))</f>
        <v>-0.9668742164109777</v>
      </c>
      <c r="AU843">
        <f t="shared" ca="1" si="364"/>
        <v>0</v>
      </c>
      <c r="AV843" t="str">
        <f ca="1">IF(AU843=1,IF(INDEX(分析データ!$A:$A,ROW()+$C$5)&lt;&gt;"",80000*SIGN(AT843)*(分析データ!B843-INDEX(分析データ!B:B,ROW()+$C$5)),""),"")</f>
        <v/>
      </c>
      <c r="AW843">
        <f t="shared" ca="1" si="365"/>
        <v>-2839999.9999999963</v>
      </c>
      <c r="AX843">
        <f t="shared" ca="1" si="366"/>
        <v>0</v>
      </c>
      <c r="AY843">
        <f t="shared" ca="1" si="367"/>
        <v>-2839999.9999999963</v>
      </c>
      <c r="AZ843">
        <f ca="1">IF(ROW()&lt;($C$7+1),"",IFERROR((分析データ!C843-AVERAGE(OFFSET(分析データ!C$1,MAX(1,ROW()-$C$7),0,MIN($C$7,ROW()-1),1)))/STDEV(OFFSET(分析データ!C$1,MAX(1,ROW()-$C$7),0,MIN($C$7,ROW()-1),1)),0))</f>
        <v>2.270360104532795</v>
      </c>
      <c r="BA843">
        <f t="shared" ca="1" si="368"/>
        <v>1</v>
      </c>
      <c r="BB843">
        <f ca="1">IF(BA843=1,IF(INDEX(分析データ!$A:$A,ROW()+$C$5)&lt;&gt;"",60000*SIGN(AZ843)*(分析データ!C843-INDEX(分析データ!C:C,ROW()+$C$5)),""),"")</f>
        <v>-195000.00000000116</v>
      </c>
      <c r="BC843">
        <f t="shared" ca="1" si="369"/>
        <v>-1514999.9999999856</v>
      </c>
      <c r="BD843">
        <f t="shared" ca="1" si="370"/>
        <v>3156000.0000000107</v>
      </c>
      <c r="BE843">
        <f t="shared" ca="1" si="371"/>
        <v>-4670999.9999999963</v>
      </c>
      <c r="BF843">
        <f ca="1">IF(ROW()&lt;($C$7+1),"",IFERROR((分析データ!D843-AVERAGE(OFFSET(分析データ!D$1,MAX(1,ROW()-$C$7),0,MIN($C$7,ROW()-1),1)))/STDEV(OFFSET(分析データ!D$1,MAX(1,ROW()-$C$7),0,MIN($C$7,ROW()-1),1)),0))</f>
        <v>-1.3448023810092669</v>
      </c>
      <c r="BG843">
        <f t="shared" ca="1" si="372"/>
        <v>0</v>
      </c>
      <c r="BH843" t="str">
        <f ca="1">IF(BG843=1,IF(INDEX(分析データ!$A:$A,ROW()+$C$5)&lt;&gt;"",50000*SIGN(BF843)*(分析データ!D843-INDEX(分析データ!D:D,ROW()+$C$5)),""),"")</f>
        <v/>
      </c>
      <c r="BI843">
        <f t="shared" ca="1" si="373"/>
        <v>5570000.0000000205</v>
      </c>
      <c r="BJ843">
        <f t="shared" ca="1" si="374"/>
        <v>5570000.0000000205</v>
      </c>
      <c r="BK843">
        <f t="shared" ca="1" si="375"/>
        <v>0</v>
      </c>
      <c r="BL843">
        <f ca="1">IF(ROW()&lt;($C$7+1),"",IFERROR((分析データ!E843-AVERAGE(OFFSET(分析データ!E$1,MAX(1,ROW()-$C$7),0,MIN($C$7,ROW()-1),1)))/STDEV(OFFSET(分析データ!E$1,MAX(1,ROW()-$C$7),0,MIN($C$7,ROW()-1),1)),0))</f>
        <v>-2.2879197518366574</v>
      </c>
      <c r="BM843">
        <f t="shared" ca="1" si="376"/>
        <v>1</v>
      </c>
      <c r="BN843">
        <f ca="1">IF(BM843=1,IF(INDEX(分析データ!$A:$A,ROW()+$C$5)&lt;&gt;"",40000*SIGN(BL843)*(分析データ!E843-INDEX(分析データ!E:E,ROW()+$C$5)),""),"")</f>
        <v>-79999.999999998297</v>
      </c>
      <c r="BO843">
        <f t="shared" ca="1" si="377"/>
        <v>3760000.0000000075</v>
      </c>
      <c r="BP843">
        <f t="shared" ca="1" si="378"/>
        <v>4280000.0000000028</v>
      </c>
      <c r="BQ843">
        <f t="shared" ca="1" si="379"/>
        <v>-519999.99999999534</v>
      </c>
      <c r="BR843">
        <f ca="1">IF(ROW()&lt;($C$7+1),"",IFERROR((分析データ!F843-AVERAGE(OFFSET(分析データ!F$1,MAX(1,ROW()-$C$7),0,MIN($C$7,ROW()-1),1)))/STDEV(OFFSET(分析データ!F$1,MAX(1,ROW()-$C$7),0,MIN($C$7,ROW()-1),1)),0))</f>
        <v>-1.0698544576220561</v>
      </c>
      <c r="BS843">
        <f t="shared" ca="1" si="380"/>
        <v>0</v>
      </c>
      <c r="BT843" t="str">
        <f ca="1">IF(BS843=1,IF(INDEX(分析データ!$A:$A,ROW()+$C$5)&lt;&gt;"",40000*SIGN(BR843)*(分析データ!F843-INDEX(分析データ!F:F,ROW()+$C$5)),""),"")</f>
        <v/>
      </c>
      <c r="BU843">
        <f t="shared" ca="1" si="381"/>
        <v>14917200.000000004</v>
      </c>
      <c r="BV843">
        <f t="shared" ca="1" si="382"/>
        <v>14917200.000000004</v>
      </c>
      <c r="BW843">
        <f t="shared" ca="1" si="383"/>
        <v>0</v>
      </c>
      <c r="BX843">
        <f ca="1">IF(ROW()&lt;($C$7+1),"",IFERROR((分析データ!G843-AVERAGE(OFFSET(分析データ!G$1,MAX(1,ROW()-$C$7),0,MIN($C$7,ROW()-1),1)))/STDEV(OFFSET(分析データ!G$1,MAX(1,ROW()-$C$7),0,MIN($C$7,ROW()-1),1)),0))</f>
        <v>1.3239006372427284</v>
      </c>
      <c r="BY843">
        <f t="shared" ca="1" si="384"/>
        <v>0</v>
      </c>
      <c r="BZ843" t="str">
        <f ca="1">IF(BY843=1,IF(INDEX(分析データ!$A:$A,ROW()+$C$5)&lt;&gt;"",40000*SIGN(BX843)*(分析データ!G843-INDEX(分析データ!G:G,ROW()+$C$5)),""),"")</f>
        <v/>
      </c>
      <c r="CA843">
        <f t="shared" ca="1" si="385"/>
        <v>-3515452.8662109179</v>
      </c>
      <c r="CB843">
        <f t="shared" ca="1" si="386"/>
        <v>11327520.000000004</v>
      </c>
      <c r="CC843">
        <f t="shared" ca="1" si="387"/>
        <v>-14842972.866210923</v>
      </c>
      <c r="CD843">
        <f t="shared" ca="1" si="388"/>
        <v>-274999.99999999948</v>
      </c>
      <c r="CE843">
        <f t="shared" ca="1" si="389"/>
        <v>16376747.133789144</v>
      </c>
      <c r="CF843">
        <f t="shared" ca="1" si="390"/>
        <v>21567747.133789141</v>
      </c>
      <c r="CG843">
        <f t="shared" ca="1" si="391"/>
        <v>-5190999.9999999963</v>
      </c>
      <c r="CH843" s="10">
        <f>分析データ!A843</f>
        <v>46156</v>
      </c>
    </row>
    <row r="844" spans="46:86">
      <c r="AT844">
        <f ca="1">IF(ROW()&lt;($C$7+1),"",IFERROR((分析データ!B844-AVERAGE(OFFSET(分析データ!B$1,MAX(1,ROW()-$C$7),0,MIN($C$7,ROW()-1),1)))/STDEV(OFFSET(分析データ!B$1,MAX(1,ROW()-$C$7),0,MIN($C$7,ROW()-1),1)),0))</f>
        <v>3.0727398876301926E-3</v>
      </c>
      <c r="AU844">
        <f t="shared" ca="1" si="364"/>
        <v>0</v>
      </c>
      <c r="AV844" t="str">
        <f ca="1">IF(AU844=1,IF(INDEX(分析データ!$A:$A,ROW()+$C$5)&lt;&gt;"",80000*SIGN(AT844)*(分析データ!B844-INDEX(分析データ!B:B,ROW()+$C$5)),""),"")</f>
        <v/>
      </c>
      <c r="AW844">
        <f t="shared" ca="1" si="365"/>
        <v>-2839999.9999999963</v>
      </c>
      <c r="AX844">
        <f t="shared" ca="1" si="366"/>
        <v>0</v>
      </c>
      <c r="AY844">
        <f t="shared" ca="1" si="367"/>
        <v>-2839999.9999999963</v>
      </c>
      <c r="AZ844">
        <f ca="1">IF(ROW()&lt;($C$7+1),"",IFERROR((分析データ!C844-AVERAGE(OFFSET(分析データ!C$1,MAX(1,ROW()-$C$7),0,MIN($C$7,ROW()-1),1)))/STDEV(OFFSET(分析データ!C$1,MAX(1,ROW()-$C$7),0,MIN($C$7,ROW()-1),1)),0))</f>
        <v>2.4548469476722166</v>
      </c>
      <c r="BA844">
        <f t="shared" ca="1" si="368"/>
        <v>1</v>
      </c>
      <c r="BB844">
        <f ca="1">IF(BA844=1,IF(INDEX(分析データ!$A:$A,ROW()+$C$5)&lt;&gt;"",60000*SIGN(AZ844)*(分析データ!C844-INDEX(分析データ!C:C,ROW()+$C$5)),""),"")</f>
        <v>-162000.00000000081</v>
      </c>
      <c r="BC844">
        <f t="shared" ca="1" si="369"/>
        <v>-1676999.9999999865</v>
      </c>
      <c r="BD844">
        <f t="shared" ca="1" si="370"/>
        <v>3156000.0000000107</v>
      </c>
      <c r="BE844">
        <f t="shared" ca="1" si="371"/>
        <v>-4832999.9999999972</v>
      </c>
      <c r="BF844">
        <f ca="1">IF(ROW()&lt;($C$7+1),"",IFERROR((分析データ!D844-AVERAGE(OFFSET(分析データ!D$1,MAX(1,ROW()-$C$7),0,MIN($C$7,ROW()-1),1)))/STDEV(OFFSET(分析データ!D$1,MAX(1,ROW()-$C$7),0,MIN($C$7,ROW()-1),1)),0))</f>
        <v>-1.1873508737988865</v>
      </c>
      <c r="BG844">
        <f t="shared" ca="1" si="372"/>
        <v>0</v>
      </c>
      <c r="BH844" t="str">
        <f ca="1">IF(BG844=1,IF(INDEX(分析データ!$A:$A,ROW()+$C$5)&lt;&gt;"",50000*SIGN(BF844)*(分析データ!D844-INDEX(分析データ!D:D,ROW()+$C$5)),""),"")</f>
        <v/>
      </c>
      <c r="BI844">
        <f t="shared" ca="1" si="373"/>
        <v>5570000.0000000205</v>
      </c>
      <c r="BJ844">
        <f t="shared" ca="1" si="374"/>
        <v>5570000.0000000205</v>
      </c>
      <c r="BK844">
        <f t="shared" ca="1" si="375"/>
        <v>0</v>
      </c>
      <c r="BL844">
        <f ca="1">IF(ROW()&lt;($C$7+1),"",IFERROR((分析データ!E844-AVERAGE(OFFSET(分析データ!E$1,MAX(1,ROW()-$C$7),0,MIN($C$7,ROW()-1),1)))/STDEV(OFFSET(分析データ!E$1,MAX(1,ROW()-$C$7),0,MIN($C$7,ROW()-1),1)),0))</f>
        <v>-2.5287570021930912</v>
      </c>
      <c r="BM844">
        <f t="shared" ca="1" si="376"/>
        <v>1</v>
      </c>
      <c r="BN844">
        <f ca="1">IF(BM844=1,IF(INDEX(分析データ!$A:$A,ROW()+$C$5)&lt;&gt;"",40000*SIGN(BL844)*(分析データ!E844-INDEX(分析データ!E:E,ROW()+$C$5)),""),"")</f>
        <v>-160000.00000000015</v>
      </c>
      <c r="BO844">
        <f t="shared" ca="1" si="377"/>
        <v>3600000.0000000075</v>
      </c>
      <c r="BP844">
        <f t="shared" ca="1" si="378"/>
        <v>4280000.0000000028</v>
      </c>
      <c r="BQ844">
        <f t="shared" ca="1" si="379"/>
        <v>-679999.99999999534</v>
      </c>
      <c r="BR844">
        <f ca="1">IF(ROW()&lt;($C$7+1),"",IFERROR((分析データ!F844-AVERAGE(OFFSET(分析データ!F$1,MAX(1,ROW()-$C$7),0,MIN($C$7,ROW()-1),1)))/STDEV(OFFSET(分析データ!F$1,MAX(1,ROW()-$C$7),0,MIN($C$7,ROW()-1),1)),0))</f>
        <v>-2.3855971795661866</v>
      </c>
      <c r="BS844">
        <f t="shared" ca="1" si="380"/>
        <v>1</v>
      </c>
      <c r="BT844">
        <f ca="1">IF(BS844=1,IF(INDEX(分析データ!$A:$A,ROW()+$C$5)&lt;&gt;"",40000*SIGN(BR844)*(分析データ!F844-INDEX(分析データ!F:F,ROW()+$C$5)),""),"")</f>
        <v>-131600.00000000081</v>
      </c>
      <c r="BU844">
        <f t="shared" ca="1" si="381"/>
        <v>14785600.000000004</v>
      </c>
      <c r="BV844">
        <f t="shared" ca="1" si="382"/>
        <v>14917200.000000004</v>
      </c>
      <c r="BW844">
        <f t="shared" ca="1" si="383"/>
        <v>-131600</v>
      </c>
      <c r="BX844">
        <f ca="1">IF(ROW()&lt;($C$7+1),"",IFERROR((分析データ!G844-AVERAGE(OFFSET(分析データ!G$1,MAX(1,ROW()-$C$7),0,MIN($C$7,ROW()-1),1)))/STDEV(OFFSET(分析データ!G$1,MAX(1,ROW()-$C$7),0,MIN($C$7,ROW()-1),1)),0))</f>
        <v>1.5304104437341031</v>
      </c>
      <c r="BY844">
        <f t="shared" ca="1" si="384"/>
        <v>0</v>
      </c>
      <c r="BZ844" t="str">
        <f ca="1">IF(BY844=1,IF(INDEX(分析データ!$A:$A,ROW()+$C$5)&lt;&gt;"",40000*SIGN(BX844)*(分析データ!G844-INDEX(分析データ!G:G,ROW()+$C$5)),""),"")</f>
        <v/>
      </c>
      <c r="CA844">
        <f t="shared" ca="1" si="385"/>
        <v>-3515452.8662109179</v>
      </c>
      <c r="CB844">
        <f t="shared" ca="1" si="386"/>
        <v>11327520.000000004</v>
      </c>
      <c r="CC844">
        <f t="shared" ca="1" si="387"/>
        <v>-14842972.866210923</v>
      </c>
      <c r="CD844">
        <f t="shared" ca="1" si="388"/>
        <v>-453600.00000000175</v>
      </c>
      <c r="CE844">
        <f t="shared" ca="1" si="389"/>
        <v>15923147.133789143</v>
      </c>
      <c r="CF844">
        <f t="shared" ca="1" si="390"/>
        <v>21567747.133789141</v>
      </c>
      <c r="CG844">
        <f t="shared" ca="1" si="391"/>
        <v>-5644599.9999999981</v>
      </c>
      <c r="CH844" s="10">
        <f>分析データ!A844</f>
        <v>46157</v>
      </c>
    </row>
    <row r="845" spans="46:86">
      <c r="AT845">
        <f ca="1">IF(ROW()&lt;($C$7+1),"",IFERROR((分析データ!B845-AVERAGE(OFFSET(分析データ!B$1,MAX(1,ROW()-$C$7),0,MIN($C$7,ROW()-1),1)))/STDEV(OFFSET(分析データ!B$1,MAX(1,ROW()-$C$7),0,MIN($C$7,ROW()-1),1)),0))</f>
        <v>0.78164331955959665</v>
      </c>
      <c r="AU845">
        <f t="shared" ca="1" si="364"/>
        <v>0</v>
      </c>
      <c r="AV845" t="str">
        <f ca="1">IF(AU845=1,IF(INDEX(分析データ!$A:$A,ROW()+$C$5)&lt;&gt;"",80000*SIGN(AT845)*(分析データ!B845-INDEX(分析データ!B:B,ROW()+$C$5)),""),"")</f>
        <v/>
      </c>
      <c r="AW845">
        <f t="shared" ca="1" si="365"/>
        <v>-2839999.9999999963</v>
      </c>
      <c r="AX845">
        <f t="shared" ca="1" si="366"/>
        <v>0</v>
      </c>
      <c r="AY845">
        <f t="shared" ca="1" si="367"/>
        <v>-2839999.9999999963</v>
      </c>
      <c r="AZ845">
        <f ca="1">IF(ROW()&lt;($C$7+1),"",IFERROR((分析データ!C845-AVERAGE(OFFSET(分析データ!C$1,MAX(1,ROW()-$C$7),0,MIN($C$7,ROW()-1),1)))/STDEV(OFFSET(分析データ!C$1,MAX(1,ROW()-$C$7),0,MIN($C$7,ROW()-1),1)),0))</f>
        <v>2.3298902261124912</v>
      </c>
      <c r="BA845">
        <f t="shared" ca="1" si="368"/>
        <v>1</v>
      </c>
      <c r="BB845">
        <f ca="1">IF(BA845=1,IF(INDEX(分析データ!$A:$A,ROW()+$C$5)&lt;&gt;"",60000*SIGN(AZ845)*(分析データ!C845-INDEX(分析データ!C:C,ROW()+$C$5)),""),"")</f>
        <v>188999.99999999916</v>
      </c>
      <c r="BC845">
        <f t="shared" ca="1" si="369"/>
        <v>-1487999.9999999874</v>
      </c>
      <c r="BD845">
        <f t="shared" ca="1" si="370"/>
        <v>3156000.0000000107</v>
      </c>
      <c r="BE845">
        <f t="shared" ca="1" si="371"/>
        <v>-4643999.9999999981</v>
      </c>
      <c r="BF845">
        <f ca="1">IF(ROW()&lt;($C$7+1),"",IFERROR((分析データ!D845-AVERAGE(OFFSET(分析データ!D$1,MAX(1,ROW()-$C$7),0,MIN($C$7,ROW()-1),1)))/STDEV(OFFSET(分析データ!D$1,MAX(1,ROW()-$C$7),0,MIN($C$7,ROW()-1),1)),0))</f>
        <v>-1.2275288678543295</v>
      </c>
      <c r="BG845">
        <f t="shared" ca="1" si="372"/>
        <v>0</v>
      </c>
      <c r="BH845" t="str">
        <f ca="1">IF(BG845=1,IF(INDEX(分析データ!$A:$A,ROW()+$C$5)&lt;&gt;"",50000*SIGN(BF845)*(分析データ!D845-INDEX(分析データ!D:D,ROW()+$C$5)),""),"")</f>
        <v/>
      </c>
      <c r="BI845">
        <f t="shared" ca="1" si="373"/>
        <v>5570000.0000000205</v>
      </c>
      <c r="BJ845">
        <f t="shared" ca="1" si="374"/>
        <v>5570000.0000000205</v>
      </c>
      <c r="BK845">
        <f t="shared" ca="1" si="375"/>
        <v>0</v>
      </c>
      <c r="BL845">
        <f ca="1">IF(ROW()&lt;($C$7+1),"",IFERROR((分析データ!E845-AVERAGE(OFFSET(分析データ!E$1,MAX(1,ROW()-$C$7),0,MIN($C$7,ROW()-1),1)))/STDEV(OFFSET(分析データ!E$1,MAX(1,ROW()-$C$7),0,MIN($C$7,ROW()-1),1)),0))</f>
        <v>-2.2527731511923039</v>
      </c>
      <c r="BM845">
        <f t="shared" ca="1" si="376"/>
        <v>1</v>
      </c>
      <c r="BN845">
        <f ca="1">IF(BM845=1,IF(INDEX(分析データ!$A:$A,ROW()+$C$5)&lt;&gt;"",40000*SIGN(BL845)*(分析データ!E845-INDEX(分析データ!E:E,ROW()+$C$5)),""),"")</f>
        <v>-200000.00000000271</v>
      </c>
      <c r="BO845">
        <f t="shared" ca="1" si="377"/>
        <v>3400000.0000000047</v>
      </c>
      <c r="BP845">
        <f t="shared" ca="1" si="378"/>
        <v>4280000.0000000028</v>
      </c>
      <c r="BQ845">
        <f t="shared" ca="1" si="379"/>
        <v>-879999.99999999814</v>
      </c>
      <c r="BR845">
        <f ca="1">IF(ROW()&lt;($C$7+1),"",IFERROR((分析データ!F845-AVERAGE(OFFSET(分析データ!F$1,MAX(1,ROW()-$C$7),0,MIN($C$7,ROW()-1),1)))/STDEV(OFFSET(分析データ!F$1,MAX(1,ROW()-$C$7),0,MIN($C$7,ROW()-1),1)),0))</f>
        <v>-2.4286862164898686</v>
      </c>
      <c r="BS845">
        <f t="shared" ca="1" si="380"/>
        <v>1</v>
      </c>
      <c r="BT845">
        <f ca="1">IF(BS845=1,IF(INDEX(分析データ!$A:$A,ROW()+$C$5)&lt;&gt;"",40000*SIGN(BR845)*(分析データ!F845-INDEX(分析データ!F:F,ROW()+$C$5)),""),"")</f>
        <v>430400.00000000192</v>
      </c>
      <c r="BU845">
        <f t="shared" ca="1" si="381"/>
        <v>15216000.000000006</v>
      </c>
      <c r="BV845">
        <f t="shared" ca="1" si="382"/>
        <v>15216000.000000006</v>
      </c>
      <c r="BW845">
        <f t="shared" ca="1" si="383"/>
        <v>0</v>
      </c>
      <c r="BX845">
        <f ca="1">IF(ROW()&lt;($C$7+1),"",IFERROR((分析データ!G845-AVERAGE(OFFSET(分析データ!G$1,MAX(1,ROW()-$C$7),0,MIN($C$7,ROW()-1),1)))/STDEV(OFFSET(分析データ!G$1,MAX(1,ROW()-$C$7),0,MIN($C$7,ROW()-1),1)),0))</f>
        <v>1.6057992713927121</v>
      </c>
      <c r="BY845">
        <f t="shared" ca="1" si="384"/>
        <v>0</v>
      </c>
      <c r="BZ845" t="str">
        <f ca="1">IF(BY845=1,IF(INDEX(分析データ!$A:$A,ROW()+$C$5)&lt;&gt;"",40000*SIGN(BX845)*(分析データ!G845-INDEX(分析データ!G:G,ROW()+$C$5)),""),"")</f>
        <v/>
      </c>
      <c r="CA845">
        <f t="shared" ca="1" si="385"/>
        <v>-3515452.8662109179</v>
      </c>
      <c r="CB845">
        <f t="shared" ca="1" si="386"/>
        <v>11327520.000000004</v>
      </c>
      <c r="CC845">
        <f t="shared" ca="1" si="387"/>
        <v>-14842972.866210923</v>
      </c>
      <c r="CD845">
        <f t="shared" ca="1" si="388"/>
        <v>419399.99999999837</v>
      </c>
      <c r="CE845">
        <f t="shared" ca="1" si="389"/>
        <v>16342547.133789141</v>
      </c>
      <c r="CF845">
        <f t="shared" ca="1" si="390"/>
        <v>21567747.133789141</v>
      </c>
      <c r="CG845">
        <f t="shared" ca="1" si="391"/>
        <v>-5225200</v>
      </c>
      <c r="CH845" s="10">
        <f>分析データ!A845</f>
        <v>46160</v>
      </c>
    </row>
    <row r="846" spans="46:86">
      <c r="AT846">
        <f ca="1">IF(ROW()&lt;($C$7+1),"",IFERROR((分析データ!B846-AVERAGE(OFFSET(分析データ!B$1,MAX(1,ROW()-$C$7),0,MIN($C$7,ROW()-1),1)))/STDEV(OFFSET(分析データ!B$1,MAX(1,ROW()-$C$7),0,MIN($C$7,ROW()-1),1)),0))</f>
        <v>1.1697696575478371</v>
      </c>
      <c r="AU846">
        <f t="shared" ca="1" si="364"/>
        <v>0</v>
      </c>
      <c r="AV846" t="str">
        <f ca="1">IF(AU846=1,IF(INDEX(分析データ!$A:$A,ROW()+$C$5)&lt;&gt;"",80000*SIGN(AT846)*(分析データ!B846-INDEX(分析データ!B:B,ROW()+$C$5)),""),"")</f>
        <v/>
      </c>
      <c r="AW846">
        <f t="shared" ca="1" si="365"/>
        <v>-2839999.9999999963</v>
      </c>
      <c r="AX846">
        <f t="shared" ca="1" si="366"/>
        <v>0</v>
      </c>
      <c r="AY846">
        <f t="shared" ca="1" si="367"/>
        <v>-2839999.9999999963</v>
      </c>
      <c r="AZ846">
        <f ca="1">IF(ROW()&lt;($C$7+1),"",IFERROR((分析データ!C846-AVERAGE(OFFSET(分析データ!C$1,MAX(1,ROW()-$C$7),0,MIN($C$7,ROW()-1),1)))/STDEV(OFFSET(分析データ!C$1,MAX(1,ROW()-$C$7),0,MIN($C$7,ROW()-1),1)),0))</f>
        <v>2.4817567801725762</v>
      </c>
      <c r="BA846">
        <f t="shared" ca="1" si="368"/>
        <v>1</v>
      </c>
      <c r="BB846">
        <f ca="1">IF(BA846=1,IF(INDEX(分析データ!$A:$A,ROW()+$C$5)&lt;&gt;"",60000*SIGN(AZ846)*(分析データ!C846-INDEX(分析データ!C:C,ROW()+$C$5)),""),"")</f>
        <v>-3000.0000000010018</v>
      </c>
      <c r="BC846">
        <f t="shared" ca="1" si="369"/>
        <v>-1490999.9999999884</v>
      </c>
      <c r="BD846">
        <f t="shared" ca="1" si="370"/>
        <v>3156000.0000000107</v>
      </c>
      <c r="BE846">
        <f t="shared" ca="1" si="371"/>
        <v>-4646999.9999999991</v>
      </c>
      <c r="BF846">
        <f ca="1">IF(ROW()&lt;($C$7+1),"",IFERROR((分析データ!D846-AVERAGE(OFFSET(分析データ!D$1,MAX(1,ROW()-$C$7),0,MIN($C$7,ROW()-1),1)))/STDEV(OFFSET(分析データ!D$1,MAX(1,ROW()-$C$7),0,MIN($C$7,ROW()-1),1)),0))</f>
        <v>-1.2033016687236526</v>
      </c>
      <c r="BG846">
        <f t="shared" ca="1" si="372"/>
        <v>0</v>
      </c>
      <c r="BH846" t="str">
        <f ca="1">IF(BG846=1,IF(INDEX(分析データ!$A:$A,ROW()+$C$5)&lt;&gt;"",50000*SIGN(BF846)*(分析データ!D846-INDEX(分析データ!D:D,ROW()+$C$5)),""),"")</f>
        <v/>
      </c>
      <c r="BI846">
        <f t="shared" ca="1" si="373"/>
        <v>5570000.0000000205</v>
      </c>
      <c r="BJ846">
        <f t="shared" ca="1" si="374"/>
        <v>5570000.0000000205</v>
      </c>
      <c r="BK846">
        <f t="shared" ca="1" si="375"/>
        <v>0</v>
      </c>
      <c r="BL846">
        <f ca="1">IF(ROW()&lt;($C$7+1),"",IFERROR((分析データ!E846-AVERAGE(OFFSET(分析データ!E$1,MAX(1,ROW()-$C$7),0,MIN($C$7,ROW()-1),1)))/STDEV(OFFSET(分析データ!E$1,MAX(1,ROW()-$C$7),0,MIN($C$7,ROW()-1),1)),0))</f>
        <v>-1.976443799593969</v>
      </c>
      <c r="BM846">
        <f t="shared" ca="1" si="376"/>
        <v>0</v>
      </c>
      <c r="BN846" t="str">
        <f ca="1">IF(BM846=1,IF(INDEX(分析データ!$A:$A,ROW()+$C$5)&lt;&gt;"",40000*SIGN(BL846)*(分析データ!E846-INDEX(分析データ!E:E,ROW()+$C$5)),""),"")</f>
        <v/>
      </c>
      <c r="BO846">
        <f t="shared" ca="1" si="377"/>
        <v>3400000.0000000047</v>
      </c>
      <c r="BP846">
        <f t="shared" ca="1" si="378"/>
        <v>4280000.0000000028</v>
      </c>
      <c r="BQ846">
        <f t="shared" ca="1" si="379"/>
        <v>-879999.99999999814</v>
      </c>
      <c r="BR846">
        <f ca="1">IF(ROW()&lt;($C$7+1),"",IFERROR((分析データ!F846-AVERAGE(OFFSET(分析データ!F$1,MAX(1,ROW()-$C$7),0,MIN($C$7,ROW()-1),1)))/STDEV(OFFSET(分析データ!F$1,MAX(1,ROW()-$C$7),0,MIN($C$7,ROW()-1),1)),0))</f>
        <v>-2.4107102371332521</v>
      </c>
      <c r="BS846">
        <f t="shared" ca="1" si="380"/>
        <v>1</v>
      </c>
      <c r="BT846">
        <f ca="1">IF(BS846=1,IF(INDEX(分析データ!$A:$A,ROW()+$C$5)&lt;&gt;"",40000*SIGN(BR846)*(分析データ!F846-INDEX(分析データ!F:F,ROW()+$C$5)),""),"")</f>
        <v>187999.99999999726</v>
      </c>
      <c r="BU846">
        <f t="shared" ca="1" si="381"/>
        <v>15404000.000000004</v>
      </c>
      <c r="BV846">
        <f t="shared" ca="1" si="382"/>
        <v>15404000.000000004</v>
      </c>
      <c r="BW846">
        <f t="shared" ca="1" si="383"/>
        <v>0</v>
      </c>
      <c r="BX846">
        <f ca="1">IF(ROW()&lt;($C$7+1),"",IFERROR((分析データ!G846-AVERAGE(OFFSET(分析データ!G$1,MAX(1,ROW()-$C$7),0,MIN($C$7,ROW()-1),1)))/STDEV(OFFSET(分析データ!G$1,MAX(1,ROW()-$C$7),0,MIN($C$7,ROW()-1),1)),0))</f>
        <v>1.5908310368807077</v>
      </c>
      <c r="BY846">
        <f t="shared" ca="1" si="384"/>
        <v>0</v>
      </c>
      <c r="BZ846" t="str">
        <f ca="1">IF(BY846=1,IF(INDEX(分析データ!$A:$A,ROW()+$C$5)&lt;&gt;"",40000*SIGN(BX846)*(分析データ!G846-INDEX(分析データ!G:G,ROW()+$C$5)),""),"")</f>
        <v/>
      </c>
      <c r="CA846">
        <f t="shared" ca="1" si="385"/>
        <v>-3515452.8662109179</v>
      </c>
      <c r="CB846">
        <f t="shared" ca="1" si="386"/>
        <v>11327520.000000004</v>
      </c>
      <c r="CC846">
        <f t="shared" ca="1" si="387"/>
        <v>-14842972.866210923</v>
      </c>
      <c r="CD846">
        <f t="shared" ca="1" si="388"/>
        <v>184999.99999999627</v>
      </c>
      <c r="CE846">
        <f t="shared" ca="1" si="389"/>
        <v>16527547.133789137</v>
      </c>
      <c r="CF846">
        <f t="shared" ca="1" si="390"/>
        <v>21567747.133789141</v>
      </c>
      <c r="CG846">
        <f t="shared" ca="1" si="391"/>
        <v>-5040200.0000000037</v>
      </c>
      <c r="CH846" s="10">
        <f>分析データ!A846</f>
        <v>46161</v>
      </c>
    </row>
    <row r="847" spans="46:86">
      <c r="AT847">
        <f ca="1">IF(ROW()&lt;($C$7+1),"",IFERROR((分析データ!B847-AVERAGE(OFFSET(分析データ!B$1,MAX(1,ROW()-$C$7),0,MIN($C$7,ROW()-1),1)))/STDEV(OFFSET(分析データ!B$1,MAX(1,ROW()-$C$7),0,MIN($C$7,ROW()-1),1)),0))</f>
        <v>0.39351698157139031</v>
      </c>
      <c r="AU847">
        <f t="shared" ca="1" si="364"/>
        <v>0</v>
      </c>
      <c r="AV847" t="str">
        <f ca="1">IF(AU847=1,IF(INDEX(分析データ!$A:$A,ROW()+$C$5)&lt;&gt;"",80000*SIGN(AT847)*(分析データ!B847-INDEX(分析データ!B:B,ROW()+$C$5)),""),"")</f>
        <v/>
      </c>
      <c r="AW847">
        <f t="shared" ca="1" si="365"/>
        <v>-2839999.9999999963</v>
      </c>
      <c r="AX847">
        <f t="shared" ca="1" si="366"/>
        <v>0</v>
      </c>
      <c r="AY847">
        <f t="shared" ca="1" si="367"/>
        <v>-2839999.9999999963</v>
      </c>
      <c r="AZ847">
        <f ca="1">IF(ROW()&lt;($C$7+1),"",IFERROR((分析データ!C847-AVERAGE(OFFSET(分析データ!C$1,MAX(1,ROW()-$C$7),0,MIN($C$7,ROW()-1),1)))/STDEV(OFFSET(分析データ!C$1,MAX(1,ROW()-$C$7),0,MIN($C$7,ROW()-1),1)),0))</f>
        <v>2.4624257004269694</v>
      </c>
      <c r="BA847">
        <f t="shared" ca="1" si="368"/>
        <v>1</v>
      </c>
      <c r="BB847">
        <f ca="1">IF(BA847=1,IF(INDEX(分析データ!$A:$A,ROW()+$C$5)&lt;&gt;"",60000*SIGN(AZ847)*(分析データ!C847-INDEX(分析データ!C:C,ROW()+$C$5)),""),"")</f>
        <v>-48000.000000000044</v>
      </c>
      <c r="BC847">
        <f t="shared" ca="1" si="369"/>
        <v>-1538999.9999999884</v>
      </c>
      <c r="BD847">
        <f t="shared" ca="1" si="370"/>
        <v>3156000.0000000107</v>
      </c>
      <c r="BE847">
        <f t="shared" ca="1" si="371"/>
        <v>-4694999.9999999991</v>
      </c>
      <c r="BF847">
        <f ca="1">IF(ROW()&lt;($C$7+1),"",IFERROR((分析データ!D847-AVERAGE(OFFSET(分析データ!D$1,MAX(1,ROW()-$C$7),0,MIN($C$7,ROW()-1),1)))/STDEV(OFFSET(分析データ!D$1,MAX(1,ROW()-$C$7),0,MIN($C$7,ROW()-1),1)),0))</f>
        <v>-1.4241383807180821</v>
      </c>
      <c r="BG847">
        <f t="shared" ca="1" si="372"/>
        <v>0</v>
      </c>
      <c r="BH847" t="str">
        <f ca="1">IF(BG847=1,IF(INDEX(分析データ!$A:$A,ROW()+$C$5)&lt;&gt;"",50000*SIGN(BF847)*(分析データ!D847-INDEX(分析データ!D:D,ROW()+$C$5)),""),"")</f>
        <v/>
      </c>
      <c r="BI847">
        <f t="shared" ca="1" si="373"/>
        <v>5570000.0000000205</v>
      </c>
      <c r="BJ847">
        <f t="shared" ca="1" si="374"/>
        <v>5570000.0000000205</v>
      </c>
      <c r="BK847">
        <f t="shared" ca="1" si="375"/>
        <v>0</v>
      </c>
      <c r="BL847">
        <f ca="1">IF(ROW()&lt;($C$7+1),"",IFERROR((分析データ!E847-AVERAGE(OFFSET(分析データ!E$1,MAX(1,ROW()-$C$7),0,MIN($C$7,ROW()-1),1)))/STDEV(OFFSET(分析データ!E$1,MAX(1,ROW()-$C$7),0,MIN($C$7,ROW()-1),1)),0))</f>
        <v>-1.9673397969834583</v>
      </c>
      <c r="BM847">
        <f t="shared" ca="1" si="376"/>
        <v>0</v>
      </c>
      <c r="BN847" t="str">
        <f ca="1">IF(BM847=1,IF(INDEX(分析データ!$A:$A,ROW()+$C$5)&lt;&gt;"",40000*SIGN(BL847)*(分析データ!E847-INDEX(分析データ!E:E,ROW()+$C$5)),""),"")</f>
        <v/>
      </c>
      <c r="BO847">
        <f t="shared" ca="1" si="377"/>
        <v>3400000.0000000047</v>
      </c>
      <c r="BP847">
        <f t="shared" ca="1" si="378"/>
        <v>4280000.0000000028</v>
      </c>
      <c r="BQ847">
        <f t="shared" ca="1" si="379"/>
        <v>-879999.99999999814</v>
      </c>
      <c r="BR847">
        <f ca="1">IF(ROW()&lt;($C$7+1),"",IFERROR((分析データ!F847-AVERAGE(OFFSET(分析データ!F$1,MAX(1,ROW()-$C$7),0,MIN($C$7,ROW()-1),1)))/STDEV(OFFSET(分析データ!F$1,MAX(1,ROW()-$C$7),0,MIN($C$7,ROW()-1),1)),0))</f>
        <v>-1.1354677689756387</v>
      </c>
      <c r="BS847">
        <f t="shared" ca="1" si="380"/>
        <v>0</v>
      </c>
      <c r="BT847" t="str">
        <f ca="1">IF(BS847=1,IF(INDEX(分析データ!$A:$A,ROW()+$C$5)&lt;&gt;"",40000*SIGN(BR847)*(分析データ!F847-INDEX(分析データ!F:F,ROW()+$C$5)),""),"")</f>
        <v/>
      </c>
      <c r="BU847">
        <f t="shared" ca="1" si="381"/>
        <v>15404000.000000004</v>
      </c>
      <c r="BV847">
        <f t="shared" ca="1" si="382"/>
        <v>15404000.000000004</v>
      </c>
      <c r="BW847">
        <f t="shared" ca="1" si="383"/>
        <v>0</v>
      </c>
      <c r="BX847">
        <f ca="1">IF(ROW()&lt;($C$7+1),"",IFERROR((分析データ!G847-AVERAGE(OFFSET(分析データ!G$1,MAX(1,ROW()-$C$7),0,MIN($C$7,ROW()-1),1)))/STDEV(OFFSET(分析データ!G$1,MAX(1,ROW()-$C$7),0,MIN($C$7,ROW()-1),1)),0))</f>
        <v>1.3466219713557768</v>
      </c>
      <c r="BY847">
        <f t="shared" ca="1" si="384"/>
        <v>0</v>
      </c>
      <c r="BZ847" t="str">
        <f ca="1">IF(BY847=1,IF(INDEX(分析データ!$A:$A,ROW()+$C$5)&lt;&gt;"",40000*SIGN(BX847)*(分析データ!G847-INDEX(分析データ!G:G,ROW()+$C$5)),""),"")</f>
        <v/>
      </c>
      <c r="CA847">
        <f t="shared" ca="1" si="385"/>
        <v>-3515452.8662109179</v>
      </c>
      <c r="CB847">
        <f t="shared" ca="1" si="386"/>
        <v>11327520.000000004</v>
      </c>
      <c r="CC847">
        <f t="shared" ca="1" si="387"/>
        <v>-14842972.866210923</v>
      </c>
      <c r="CD847">
        <f t="shared" ca="1" si="388"/>
        <v>-48000.000000000044</v>
      </c>
      <c r="CE847">
        <f t="shared" ca="1" si="389"/>
        <v>16479547.133789137</v>
      </c>
      <c r="CF847">
        <f t="shared" ca="1" si="390"/>
        <v>21567747.133789141</v>
      </c>
      <c r="CG847">
        <f t="shared" ca="1" si="391"/>
        <v>-5088200.0000000037</v>
      </c>
      <c r="CH847" s="10">
        <f>分析データ!A847</f>
        <v>46162</v>
      </c>
    </row>
    <row r="848" spans="46:86">
      <c r="AT848">
        <f ca="1">IF(ROW()&lt;($C$7+1),"",IFERROR((分析データ!B848-AVERAGE(OFFSET(分析データ!B$1,MAX(1,ROW()-$C$7),0,MIN($C$7,ROW()-1),1)))/STDEV(OFFSET(分析データ!B$1,MAX(1,ROW()-$C$7),0,MIN($C$7,ROW()-1),1)),0))</f>
        <v>-0.18377311985163797</v>
      </c>
      <c r="AU848">
        <f t="shared" ca="1" si="364"/>
        <v>0</v>
      </c>
      <c r="AV848" t="str">
        <f ca="1">IF(AU848=1,IF(INDEX(分析データ!$A:$A,ROW()+$C$5)&lt;&gt;"",80000*SIGN(AT848)*(分析データ!B848-INDEX(分析データ!B:B,ROW()+$C$5)),""),"")</f>
        <v/>
      </c>
      <c r="AW848">
        <f t="shared" ca="1" si="365"/>
        <v>-2839999.9999999963</v>
      </c>
      <c r="AX848">
        <f t="shared" ca="1" si="366"/>
        <v>0</v>
      </c>
      <c r="AY848">
        <f t="shared" ca="1" si="367"/>
        <v>-2839999.9999999963</v>
      </c>
      <c r="AZ848">
        <f ca="1">IF(ROW()&lt;($C$7+1),"",IFERROR((分析データ!C848-AVERAGE(OFFSET(分析データ!C$1,MAX(1,ROW()-$C$7),0,MIN($C$7,ROW()-1),1)))/STDEV(OFFSET(分析データ!C$1,MAX(1,ROW()-$C$7),0,MIN($C$7,ROW()-1),1)),0))</f>
        <v>2.5384502679731038</v>
      </c>
      <c r="BA848">
        <f t="shared" ca="1" si="368"/>
        <v>1</v>
      </c>
      <c r="BB848">
        <f ca="1">IF(BA848=1,IF(INDEX(分析データ!$A:$A,ROW()+$C$5)&lt;&gt;"",60000*SIGN(AZ848)*(分析データ!C848-INDEX(分析データ!C:C,ROW()+$C$5)),""),"")</f>
        <v>57000.000000000386</v>
      </c>
      <c r="BC848">
        <f t="shared" ca="1" si="369"/>
        <v>-1481999.9999999879</v>
      </c>
      <c r="BD848">
        <f t="shared" ca="1" si="370"/>
        <v>3156000.0000000107</v>
      </c>
      <c r="BE848">
        <f t="shared" ca="1" si="371"/>
        <v>-4637999.9999999981</v>
      </c>
      <c r="BF848">
        <f ca="1">IF(ROW()&lt;($C$7+1),"",IFERROR((分析データ!D848-AVERAGE(OFFSET(分析データ!D$1,MAX(1,ROW()-$C$7),0,MIN($C$7,ROW()-1),1)))/STDEV(OFFSET(分析データ!D$1,MAX(1,ROW()-$C$7),0,MIN($C$7,ROW()-1),1)),0))</f>
        <v>-1.3562157300912714</v>
      </c>
      <c r="BG848">
        <f t="shared" ca="1" si="372"/>
        <v>0</v>
      </c>
      <c r="BH848" t="str">
        <f ca="1">IF(BG848=1,IF(INDEX(分析データ!$A:$A,ROW()+$C$5)&lt;&gt;"",50000*SIGN(BF848)*(分析データ!D848-INDEX(分析データ!D:D,ROW()+$C$5)),""),"")</f>
        <v/>
      </c>
      <c r="BI848">
        <f t="shared" ca="1" si="373"/>
        <v>5570000.0000000205</v>
      </c>
      <c r="BJ848">
        <f t="shared" ca="1" si="374"/>
        <v>5570000.0000000205</v>
      </c>
      <c r="BK848">
        <f t="shared" ca="1" si="375"/>
        <v>0</v>
      </c>
      <c r="BL848">
        <f ca="1">IF(ROW()&lt;($C$7+1),"",IFERROR((分析データ!E848-AVERAGE(OFFSET(分析データ!E$1,MAX(1,ROW()-$C$7),0,MIN($C$7,ROW()-1),1)))/STDEV(OFFSET(分析データ!E$1,MAX(1,ROW()-$C$7),0,MIN($C$7,ROW()-1),1)),0))</f>
        <v>-2.7073965655318726</v>
      </c>
      <c r="BM848">
        <f t="shared" ca="1" si="376"/>
        <v>1</v>
      </c>
      <c r="BN848">
        <f ca="1">IF(BM848=1,IF(INDEX(分析データ!$A:$A,ROW()+$C$5)&lt;&gt;"",40000*SIGN(BL848)*(分析データ!E848-INDEX(分析データ!E:E,ROW()+$C$5)),""),"")</f>
        <v>-240000.00000000198</v>
      </c>
      <c r="BO848">
        <f t="shared" ca="1" si="377"/>
        <v>3160000.0000000028</v>
      </c>
      <c r="BP848">
        <f t="shared" ca="1" si="378"/>
        <v>4280000.0000000028</v>
      </c>
      <c r="BQ848">
        <f t="shared" ca="1" si="379"/>
        <v>-1120000</v>
      </c>
      <c r="BR848">
        <f ca="1">IF(ROW()&lt;($C$7+1),"",IFERROR((分析データ!F848-AVERAGE(OFFSET(分析データ!F$1,MAX(1,ROW()-$C$7),0,MIN($C$7,ROW()-1),1)))/STDEV(OFFSET(分析データ!F$1,MAX(1,ROW()-$C$7),0,MIN($C$7,ROW()-1),1)),0))</f>
        <v>-1.7909844078893118</v>
      </c>
      <c r="BS848">
        <f t="shared" ca="1" si="380"/>
        <v>0</v>
      </c>
      <c r="BT848" t="str">
        <f ca="1">IF(BS848=1,IF(INDEX(分析データ!$A:$A,ROW()+$C$5)&lt;&gt;"",40000*SIGN(BR848)*(分析データ!F848-INDEX(分析データ!F:F,ROW()+$C$5)),""),"")</f>
        <v/>
      </c>
      <c r="BU848">
        <f t="shared" ca="1" si="381"/>
        <v>15404000.000000004</v>
      </c>
      <c r="BV848">
        <f t="shared" ca="1" si="382"/>
        <v>15404000.000000004</v>
      </c>
      <c r="BW848">
        <f t="shared" ca="1" si="383"/>
        <v>0</v>
      </c>
      <c r="BX848">
        <f ca="1">IF(ROW()&lt;($C$7+1),"",IFERROR((分析データ!G848-AVERAGE(OFFSET(分析データ!G$1,MAX(1,ROW()-$C$7),0,MIN($C$7,ROW()-1),1)))/STDEV(OFFSET(分析データ!G$1,MAX(1,ROW()-$C$7),0,MIN($C$7,ROW()-1),1)),0))</f>
        <v>1.394265422609307</v>
      </c>
      <c r="BY848">
        <f t="shared" ca="1" si="384"/>
        <v>0</v>
      </c>
      <c r="BZ848" t="str">
        <f ca="1">IF(BY848=1,IF(INDEX(分析データ!$A:$A,ROW()+$C$5)&lt;&gt;"",40000*SIGN(BX848)*(分析データ!G848-INDEX(分析データ!G:G,ROW()+$C$5)),""),"")</f>
        <v/>
      </c>
      <c r="CA848">
        <f t="shared" ca="1" si="385"/>
        <v>-3515452.8662109179</v>
      </c>
      <c r="CB848">
        <f t="shared" ca="1" si="386"/>
        <v>11327520.000000004</v>
      </c>
      <c r="CC848">
        <f t="shared" ca="1" si="387"/>
        <v>-14842972.866210923</v>
      </c>
      <c r="CD848">
        <f t="shared" ca="1" si="388"/>
        <v>-183000.0000000016</v>
      </c>
      <c r="CE848">
        <f t="shared" ca="1" si="389"/>
        <v>16296547.133789135</v>
      </c>
      <c r="CF848">
        <f t="shared" ca="1" si="390"/>
        <v>21567747.133789141</v>
      </c>
      <c r="CG848">
        <f t="shared" ca="1" si="391"/>
        <v>-5271200.0000000056</v>
      </c>
      <c r="CH848" s="10">
        <f>分析データ!A848</f>
        <v>46163</v>
      </c>
    </row>
    <row r="849" spans="46:86">
      <c r="AT849">
        <f ca="1">IF(ROW()&lt;($C$7+1),"",IFERROR((分析データ!B849-AVERAGE(OFFSET(分析データ!B$1,MAX(1,ROW()-$C$7),0,MIN($C$7,ROW()-1),1)))/STDEV(OFFSET(分析データ!B$1,MAX(1,ROW()-$C$7),0,MIN($C$7,ROW()-1),1)),0))</f>
        <v>-0.95452755056111882</v>
      </c>
      <c r="AU849">
        <f t="shared" ca="1" si="364"/>
        <v>0</v>
      </c>
      <c r="AV849" t="str">
        <f ca="1">IF(AU849=1,IF(INDEX(分析データ!$A:$A,ROW()+$C$5)&lt;&gt;"",80000*SIGN(AT849)*(分析データ!B849-INDEX(分析データ!B:B,ROW()+$C$5)),""),"")</f>
        <v/>
      </c>
      <c r="AW849">
        <f t="shared" ca="1" si="365"/>
        <v>-2839999.9999999963</v>
      </c>
      <c r="AX849">
        <f t="shared" ca="1" si="366"/>
        <v>0</v>
      </c>
      <c r="AY849">
        <f t="shared" ca="1" si="367"/>
        <v>-2839999.9999999963</v>
      </c>
      <c r="AZ849">
        <f ca="1">IF(ROW()&lt;($C$7+1),"",IFERROR((分析データ!C849-AVERAGE(OFFSET(分析データ!C$1,MAX(1,ROW()-$C$7),0,MIN($C$7,ROW()-1),1)))/STDEV(OFFSET(分析データ!C$1,MAX(1,ROW()-$C$7),0,MIN($C$7,ROW()-1),1)),0))</f>
        <v>2.5775165611557664</v>
      </c>
      <c r="BA849">
        <f t="shared" ca="1" si="368"/>
        <v>1</v>
      </c>
      <c r="BB849">
        <f ca="1">IF(BA849=1,IF(INDEX(分析データ!$A:$A,ROW()+$C$5)&lt;&gt;"",60000*SIGN(AZ849)*(分析データ!C849-INDEX(分析データ!C:C,ROW()+$C$5)),""),"")</f>
        <v>-30000.000000002026</v>
      </c>
      <c r="BC849">
        <f t="shared" ca="1" si="369"/>
        <v>-1511999.99999999</v>
      </c>
      <c r="BD849">
        <f t="shared" ca="1" si="370"/>
        <v>3156000.0000000107</v>
      </c>
      <c r="BE849">
        <f t="shared" ca="1" si="371"/>
        <v>-4668000.0000000009</v>
      </c>
      <c r="BF849">
        <f ca="1">IF(ROW()&lt;($C$7+1),"",IFERROR((分析データ!D849-AVERAGE(OFFSET(分析データ!D$1,MAX(1,ROW()-$C$7),0,MIN($C$7,ROW()-1),1)))/STDEV(OFFSET(分析データ!D$1,MAX(1,ROW()-$C$7),0,MIN($C$7,ROW()-1),1)),0))</f>
        <v>-1.37578246358227</v>
      </c>
      <c r="BG849">
        <f t="shared" ca="1" si="372"/>
        <v>0</v>
      </c>
      <c r="BH849" t="str">
        <f ca="1">IF(BG849=1,IF(INDEX(分析データ!$A:$A,ROW()+$C$5)&lt;&gt;"",50000*SIGN(BF849)*(分析データ!D849-INDEX(分析データ!D:D,ROW()+$C$5)),""),"")</f>
        <v/>
      </c>
      <c r="BI849">
        <f t="shared" ca="1" si="373"/>
        <v>5570000.0000000205</v>
      </c>
      <c r="BJ849">
        <f t="shared" ca="1" si="374"/>
        <v>5570000.0000000205</v>
      </c>
      <c r="BK849">
        <f t="shared" ca="1" si="375"/>
        <v>0</v>
      </c>
      <c r="BL849">
        <f ca="1">IF(ROW()&lt;($C$7+1),"",IFERROR((分析データ!E849-AVERAGE(OFFSET(分析データ!E$1,MAX(1,ROW()-$C$7),0,MIN($C$7,ROW()-1),1)))/STDEV(OFFSET(分析データ!E$1,MAX(1,ROW()-$C$7),0,MIN($C$7,ROW()-1),1)),0))</f>
        <v>-3.388531271384128</v>
      </c>
      <c r="BM849">
        <f t="shared" ca="1" si="376"/>
        <v>1</v>
      </c>
      <c r="BN849">
        <f ca="1">IF(BM849=1,IF(INDEX(分析データ!$A:$A,ROW()+$C$5)&lt;&gt;"",40000*SIGN(BL849)*(分析データ!E849-INDEX(分析データ!E:E,ROW()+$C$5)),""),"")</f>
        <v>-80000.000000001848</v>
      </c>
      <c r="BO849">
        <f t="shared" ca="1" si="377"/>
        <v>3080000.0000000009</v>
      </c>
      <c r="BP849">
        <f t="shared" ca="1" si="378"/>
        <v>4280000.0000000028</v>
      </c>
      <c r="BQ849">
        <f t="shared" ca="1" si="379"/>
        <v>-1200000.0000000019</v>
      </c>
      <c r="BR849">
        <f ca="1">IF(ROW()&lt;($C$7+1),"",IFERROR((分析データ!F849-AVERAGE(OFFSET(分析データ!F$1,MAX(1,ROW()-$C$7),0,MIN($C$7,ROW()-1),1)))/STDEV(OFFSET(分析データ!F$1,MAX(1,ROW()-$C$7),0,MIN($C$7,ROW()-1),1)),0))</f>
        <v>-1.5831709603137931</v>
      </c>
      <c r="BS849">
        <f t="shared" ca="1" si="380"/>
        <v>0</v>
      </c>
      <c r="BT849" t="str">
        <f ca="1">IF(BS849=1,IF(INDEX(分析データ!$A:$A,ROW()+$C$5)&lt;&gt;"",40000*SIGN(BR849)*(分析データ!F849-INDEX(分析データ!F:F,ROW()+$C$5)),""),"")</f>
        <v/>
      </c>
      <c r="BU849">
        <f t="shared" ca="1" si="381"/>
        <v>15404000.000000004</v>
      </c>
      <c r="BV849">
        <f t="shared" ca="1" si="382"/>
        <v>15404000.000000004</v>
      </c>
      <c r="BW849">
        <f t="shared" ca="1" si="383"/>
        <v>0</v>
      </c>
      <c r="BX849">
        <f ca="1">IF(ROW()&lt;($C$7+1),"",IFERROR((分析データ!G849-AVERAGE(OFFSET(分析データ!G$1,MAX(1,ROW()-$C$7),0,MIN($C$7,ROW()-1),1)))/STDEV(OFFSET(分析データ!G$1,MAX(1,ROW()-$C$7),0,MIN($C$7,ROW()-1),1)),0))</f>
        <v>1.3911438924477537</v>
      </c>
      <c r="BY849">
        <f t="shared" ca="1" si="384"/>
        <v>0</v>
      </c>
      <c r="BZ849" t="str">
        <f ca="1">IF(BY849=1,IF(INDEX(分析データ!$A:$A,ROW()+$C$5)&lt;&gt;"",40000*SIGN(BX849)*(分析データ!G849-INDEX(分析データ!G:G,ROW()+$C$5)),""),"")</f>
        <v/>
      </c>
      <c r="CA849">
        <f t="shared" ca="1" si="385"/>
        <v>-3515452.8662109179</v>
      </c>
      <c r="CB849">
        <f t="shared" ca="1" si="386"/>
        <v>11327520.000000004</v>
      </c>
      <c r="CC849">
        <f t="shared" ca="1" si="387"/>
        <v>-14842972.866210923</v>
      </c>
      <c r="CD849">
        <f t="shared" ca="1" si="388"/>
        <v>-110000.00000000387</v>
      </c>
      <c r="CE849">
        <f t="shared" ca="1" si="389"/>
        <v>16186547.133789131</v>
      </c>
      <c r="CF849">
        <f t="shared" ca="1" si="390"/>
        <v>21567747.133789141</v>
      </c>
      <c r="CG849">
        <f t="shared" ca="1" si="391"/>
        <v>-5381200.0000000093</v>
      </c>
      <c r="CH849" s="10">
        <f>分析データ!A849</f>
        <v>46164</v>
      </c>
    </row>
    <row r="850" spans="46:86">
      <c r="AT850">
        <f ca="1">IF(ROW()&lt;($C$7+1),"",IFERROR((分析データ!B850-AVERAGE(OFFSET(分析データ!B$1,MAX(1,ROW()-$C$7),0,MIN($C$7,ROW()-1),1)))/STDEV(OFFSET(分析データ!B$1,MAX(1,ROW()-$C$7),0,MIN($C$7,ROW()-1),1)),0))</f>
        <v>-0.16773863383206375</v>
      </c>
      <c r="AU850">
        <f t="shared" ca="1" si="364"/>
        <v>0</v>
      </c>
      <c r="AV850" t="str">
        <f ca="1">IF(AU850=1,IF(INDEX(分析データ!$A:$A,ROW()+$C$5)&lt;&gt;"",80000*SIGN(AT850)*(分析データ!B850-INDEX(分析データ!B:B,ROW()+$C$5)),""),"")</f>
        <v/>
      </c>
      <c r="AW850">
        <f t="shared" ca="1" si="365"/>
        <v>-2839999.9999999963</v>
      </c>
      <c r="AX850">
        <f t="shared" ca="1" si="366"/>
        <v>0</v>
      </c>
      <c r="AY850">
        <f t="shared" ca="1" si="367"/>
        <v>-2839999.9999999963</v>
      </c>
      <c r="AZ850">
        <f ca="1">IF(ROW()&lt;($C$7+1),"",IFERROR((分析データ!C850-AVERAGE(OFFSET(分析データ!C$1,MAX(1,ROW()-$C$7),0,MIN($C$7,ROW()-1),1)))/STDEV(OFFSET(分析データ!C$1,MAX(1,ROW()-$C$7),0,MIN($C$7,ROW()-1),1)),0))</f>
        <v>2.5938216182347373</v>
      </c>
      <c r="BA850">
        <f t="shared" ca="1" si="368"/>
        <v>1</v>
      </c>
      <c r="BB850">
        <f ca="1">IF(BA850=1,IF(INDEX(分析データ!$A:$A,ROW()+$C$5)&lt;&gt;"",60000*SIGN(AZ850)*(分析データ!C850-INDEX(分析データ!C:C,ROW()+$C$5)),""),"")</f>
        <v>132000.00000000146</v>
      </c>
      <c r="BC850">
        <f t="shared" ca="1" si="369"/>
        <v>-1379999.9999999886</v>
      </c>
      <c r="BD850">
        <f t="shared" ca="1" si="370"/>
        <v>3156000.0000000107</v>
      </c>
      <c r="BE850">
        <f t="shared" ca="1" si="371"/>
        <v>-4535999.9999999991</v>
      </c>
      <c r="BF850">
        <f ca="1">IF(ROW()&lt;($C$7+1),"",IFERROR((分析データ!D850-AVERAGE(OFFSET(分析データ!D$1,MAX(1,ROW()-$C$7),0,MIN($C$7,ROW()-1),1)))/STDEV(OFFSET(分析データ!D$1,MAX(1,ROW()-$C$7),0,MIN($C$7,ROW()-1),1)),0))</f>
        <v>-1.431326851493673</v>
      </c>
      <c r="BG850">
        <f t="shared" ca="1" si="372"/>
        <v>0</v>
      </c>
      <c r="BH850" t="str">
        <f ca="1">IF(BG850=1,IF(INDEX(分析データ!$A:$A,ROW()+$C$5)&lt;&gt;"",50000*SIGN(BF850)*(分析データ!D850-INDEX(分析データ!D:D,ROW()+$C$5)),""),"")</f>
        <v/>
      </c>
      <c r="BI850">
        <f t="shared" ca="1" si="373"/>
        <v>5570000.0000000205</v>
      </c>
      <c r="BJ850">
        <f t="shared" ca="1" si="374"/>
        <v>5570000.0000000205</v>
      </c>
      <c r="BK850">
        <f t="shared" ca="1" si="375"/>
        <v>0</v>
      </c>
      <c r="BL850">
        <f ca="1">IF(ROW()&lt;($C$7+1),"",IFERROR((分析データ!E850-AVERAGE(OFFSET(分析データ!E$1,MAX(1,ROW()-$C$7),0,MIN($C$7,ROW()-1),1)))/STDEV(OFFSET(分析データ!E$1,MAX(1,ROW()-$C$7),0,MIN($C$7,ROW()-1),1)),0))</f>
        <v>-2.8268726842645688</v>
      </c>
      <c r="BM850">
        <f t="shared" ca="1" si="376"/>
        <v>1</v>
      </c>
      <c r="BN850">
        <f ca="1">IF(BM850=1,IF(INDEX(分析データ!$A:$A,ROW()+$C$5)&lt;&gt;"",40000*SIGN(BL850)*(分析データ!E850-INDEX(分析データ!E:E,ROW()+$C$5)),""),"")</f>
        <v>-159999.99999999659</v>
      </c>
      <c r="BO850">
        <f t="shared" ca="1" si="377"/>
        <v>2920000.0000000042</v>
      </c>
      <c r="BP850">
        <f t="shared" ca="1" si="378"/>
        <v>4280000.0000000028</v>
      </c>
      <c r="BQ850">
        <f t="shared" ca="1" si="379"/>
        <v>-1359999.9999999986</v>
      </c>
      <c r="BR850">
        <f ca="1">IF(ROW()&lt;($C$7+1),"",IFERROR((分析データ!F850-AVERAGE(OFFSET(分析データ!F$1,MAX(1,ROW()-$C$7),0,MIN($C$7,ROW()-1),1)))/STDEV(OFFSET(分析データ!F$1,MAX(1,ROW()-$C$7),0,MIN($C$7,ROW()-1),1)),0))</f>
        <v>-1.5404444185753261</v>
      </c>
      <c r="BS850">
        <f t="shared" ca="1" si="380"/>
        <v>0</v>
      </c>
      <c r="BT850" t="str">
        <f ca="1">IF(BS850=1,IF(INDEX(分析データ!$A:$A,ROW()+$C$5)&lt;&gt;"",40000*SIGN(BR850)*(分析データ!F850-INDEX(分析データ!F:F,ROW()+$C$5)),""),"")</f>
        <v/>
      </c>
      <c r="BU850">
        <f t="shared" ca="1" si="381"/>
        <v>15404000.000000004</v>
      </c>
      <c r="BV850">
        <f t="shared" ca="1" si="382"/>
        <v>15404000.000000004</v>
      </c>
      <c r="BW850">
        <f t="shared" ca="1" si="383"/>
        <v>0</v>
      </c>
      <c r="BX850">
        <f ca="1">IF(ROW()&lt;($C$7+1),"",IFERROR((分析データ!G850-AVERAGE(OFFSET(分析データ!G$1,MAX(1,ROW()-$C$7),0,MIN($C$7,ROW()-1),1)))/STDEV(OFFSET(分析データ!G$1,MAX(1,ROW()-$C$7),0,MIN($C$7,ROW()-1),1)),0))</f>
        <v>1.4021965957566429</v>
      </c>
      <c r="BY850">
        <f t="shared" ca="1" si="384"/>
        <v>0</v>
      </c>
      <c r="BZ850" t="str">
        <f ca="1">IF(BY850=1,IF(INDEX(分析データ!$A:$A,ROW()+$C$5)&lt;&gt;"",40000*SIGN(BX850)*(分析データ!G850-INDEX(分析データ!G:G,ROW()+$C$5)),""),"")</f>
        <v/>
      </c>
      <c r="CA850">
        <f t="shared" ca="1" si="385"/>
        <v>-3515452.8662109179</v>
      </c>
      <c r="CB850">
        <f t="shared" ca="1" si="386"/>
        <v>11327520.000000004</v>
      </c>
      <c r="CC850">
        <f t="shared" ca="1" si="387"/>
        <v>-14842972.866210923</v>
      </c>
      <c r="CD850">
        <f t="shared" ca="1" si="388"/>
        <v>-27999.99999999514</v>
      </c>
      <c r="CE850">
        <f t="shared" ca="1" si="389"/>
        <v>16158547.133789137</v>
      </c>
      <c r="CF850">
        <f t="shared" ca="1" si="390"/>
        <v>21567747.133789141</v>
      </c>
      <c r="CG850">
        <f t="shared" ca="1" si="391"/>
        <v>-5409200.0000000037</v>
      </c>
      <c r="CH850" s="10">
        <f>分析データ!A850</f>
        <v>46168</v>
      </c>
    </row>
    <row r="851" spans="46:86">
      <c r="AT851">
        <f ca="1">IF(ROW()&lt;($C$7+1),"",IFERROR((分析データ!B851-AVERAGE(OFFSET(分析データ!B$1,MAX(1,ROW()-$C$7),0,MIN($C$7,ROW()-1),1)))/STDEV(OFFSET(分析データ!B$1,MAX(1,ROW()-$C$7),0,MIN($C$7,ROW()-1),1)),0))</f>
        <v>-0.35906044427863509</v>
      </c>
      <c r="AU851">
        <f t="shared" ca="1" si="364"/>
        <v>0</v>
      </c>
      <c r="AV851" t="str">
        <f ca="1">IF(AU851=1,IF(INDEX(分析データ!$A:$A,ROW()+$C$5)&lt;&gt;"",80000*SIGN(AT851)*(分析データ!B851-INDEX(分析データ!B:B,ROW()+$C$5)),""),"")</f>
        <v/>
      </c>
      <c r="AW851">
        <f t="shared" ca="1" si="365"/>
        <v>-2839999.9999999963</v>
      </c>
      <c r="AX851">
        <f t="shared" ca="1" si="366"/>
        <v>0</v>
      </c>
      <c r="AY851">
        <f t="shared" ca="1" si="367"/>
        <v>-2839999.9999999963</v>
      </c>
      <c r="AZ851">
        <f ca="1">IF(ROW()&lt;($C$7+1),"",IFERROR((分析データ!C851-AVERAGE(OFFSET(分析データ!C$1,MAX(1,ROW()-$C$7),0,MIN($C$7,ROW()-1),1)))/STDEV(OFFSET(分析データ!C$1,MAX(1,ROW()-$C$7),0,MIN($C$7,ROW()-1),1)),0))</f>
        <v>2.4696303701463029</v>
      </c>
      <c r="BA851">
        <f t="shared" ca="1" si="368"/>
        <v>1</v>
      </c>
      <c r="BB851">
        <f ca="1">IF(BA851=1,IF(INDEX(分析データ!$A:$A,ROW()+$C$5)&lt;&gt;"",60000*SIGN(AZ851)*(分析データ!C851-INDEX(分析データ!C:C,ROW()+$C$5)),""),"")</f>
        <v>-18000.000000000684</v>
      </c>
      <c r="BC851">
        <f t="shared" ca="1" si="369"/>
        <v>-1397999.9999999893</v>
      </c>
      <c r="BD851">
        <f t="shared" ca="1" si="370"/>
        <v>3156000.0000000107</v>
      </c>
      <c r="BE851">
        <f t="shared" ca="1" si="371"/>
        <v>-4554000</v>
      </c>
      <c r="BF851">
        <f ca="1">IF(ROW()&lt;($C$7+1),"",IFERROR((分析データ!D851-AVERAGE(OFFSET(分析データ!D$1,MAX(1,ROW()-$C$7),0,MIN($C$7,ROW()-1),1)))/STDEV(OFFSET(分析データ!D$1,MAX(1,ROW()-$C$7),0,MIN($C$7,ROW()-1),1)),0))</f>
        <v>-1.4056552978509722</v>
      </c>
      <c r="BG851">
        <f t="shared" ca="1" si="372"/>
        <v>0</v>
      </c>
      <c r="BH851" t="str">
        <f ca="1">IF(BG851=1,IF(INDEX(分析データ!$A:$A,ROW()+$C$5)&lt;&gt;"",50000*SIGN(BF851)*(分析データ!D851-INDEX(分析データ!D:D,ROW()+$C$5)),""),"")</f>
        <v/>
      </c>
      <c r="BI851">
        <f t="shared" ca="1" si="373"/>
        <v>5570000.0000000205</v>
      </c>
      <c r="BJ851">
        <f t="shared" ca="1" si="374"/>
        <v>5570000.0000000205</v>
      </c>
      <c r="BK851">
        <f t="shared" ca="1" si="375"/>
        <v>0</v>
      </c>
      <c r="BL851">
        <f ca="1">IF(ROW()&lt;($C$7+1),"",IFERROR((分析データ!E851-AVERAGE(OFFSET(分析データ!E$1,MAX(1,ROW()-$C$7),0,MIN($C$7,ROW()-1),1)))/STDEV(OFFSET(分析データ!E$1,MAX(1,ROW()-$C$7),0,MIN($C$7,ROW()-1),1)),0))</f>
        <v>-2.771608426573525</v>
      </c>
      <c r="BM851">
        <f t="shared" ca="1" si="376"/>
        <v>1</v>
      </c>
      <c r="BN851">
        <f ca="1">IF(BM851=1,IF(INDEX(分析データ!$A:$A,ROW()+$C$5)&lt;&gt;"",40000*SIGN(BL851)*(分析データ!E851-INDEX(分析データ!E:E,ROW()+$C$5)),""),"")</f>
        <v>-120000.00000000099</v>
      </c>
      <c r="BO851">
        <f t="shared" ca="1" si="377"/>
        <v>2800000.0000000033</v>
      </c>
      <c r="BP851">
        <f t="shared" ca="1" si="378"/>
        <v>4280000.0000000028</v>
      </c>
      <c r="BQ851">
        <f t="shared" ca="1" si="379"/>
        <v>-1479999.9999999995</v>
      </c>
      <c r="BR851">
        <f ca="1">IF(ROW()&lt;($C$7+1),"",IFERROR((分析データ!F851-AVERAGE(OFFSET(分析データ!F$1,MAX(1,ROW()-$C$7),0,MIN($C$7,ROW()-1),1)))/STDEV(OFFSET(分析データ!F$1,MAX(1,ROW()-$C$7),0,MIN($C$7,ROW()-1),1)),0))</f>
        <v>-1.9294601142383172</v>
      </c>
      <c r="BS851">
        <f t="shared" ca="1" si="380"/>
        <v>0</v>
      </c>
      <c r="BT851" t="str">
        <f ca="1">IF(BS851=1,IF(INDEX(分析データ!$A:$A,ROW()+$C$5)&lt;&gt;"",40000*SIGN(BR851)*(分析データ!F851-INDEX(分析データ!F:F,ROW()+$C$5)),""),"")</f>
        <v/>
      </c>
      <c r="BU851">
        <f t="shared" ca="1" si="381"/>
        <v>15404000.000000004</v>
      </c>
      <c r="BV851">
        <f t="shared" ca="1" si="382"/>
        <v>15404000.000000004</v>
      </c>
      <c r="BW851">
        <f t="shared" ca="1" si="383"/>
        <v>0</v>
      </c>
      <c r="BX851">
        <f ca="1">IF(ROW()&lt;($C$7+1),"",IFERROR((分析データ!G851-AVERAGE(OFFSET(分析データ!G$1,MAX(1,ROW()-$C$7),0,MIN($C$7,ROW()-1),1)))/STDEV(OFFSET(分析データ!G$1,MAX(1,ROW()-$C$7),0,MIN($C$7,ROW()-1),1)),0))</f>
        <v>1.5209616637395744</v>
      </c>
      <c r="BY851">
        <f t="shared" ca="1" si="384"/>
        <v>0</v>
      </c>
      <c r="BZ851" t="str">
        <f ca="1">IF(BY851=1,IF(INDEX(分析データ!$A:$A,ROW()+$C$5)&lt;&gt;"",40000*SIGN(BX851)*(分析データ!G851-INDEX(分析データ!G:G,ROW()+$C$5)),""),"")</f>
        <v/>
      </c>
      <c r="CA851">
        <f t="shared" ca="1" si="385"/>
        <v>-3515452.8662109179</v>
      </c>
      <c r="CB851">
        <f t="shared" ca="1" si="386"/>
        <v>11327520.000000004</v>
      </c>
      <c r="CC851">
        <f t="shared" ca="1" si="387"/>
        <v>-14842972.866210923</v>
      </c>
      <c r="CD851">
        <f t="shared" ca="1" si="388"/>
        <v>-138000.00000000169</v>
      </c>
      <c r="CE851">
        <f t="shared" ca="1" si="389"/>
        <v>16020547.133789135</v>
      </c>
      <c r="CF851">
        <f t="shared" ca="1" si="390"/>
        <v>21567747.133789141</v>
      </c>
      <c r="CG851">
        <f t="shared" ca="1" si="391"/>
        <v>-5547200.0000000056</v>
      </c>
      <c r="CH851" s="10">
        <f>分析データ!A851</f>
        <v>46169</v>
      </c>
    </row>
    <row r="852" spans="46:86">
      <c r="AT852">
        <f ca="1">IF(ROW()&lt;($C$7+1),"",IFERROR((分析データ!B852-AVERAGE(OFFSET(分析データ!B$1,MAX(1,ROW()-$C$7),0,MIN($C$7,ROW()-1),1)))/STDEV(OFFSET(分析データ!B$1,MAX(1,ROW()-$C$7),0,MIN($C$7,ROW()-1),1)),0))</f>
        <v>-0.74865186689122065</v>
      </c>
      <c r="AU852">
        <f t="shared" ca="1" si="364"/>
        <v>0</v>
      </c>
      <c r="AV852" t="str">
        <f ca="1">IF(AU852=1,IF(INDEX(分析データ!$A:$A,ROW()+$C$5)&lt;&gt;"",80000*SIGN(AT852)*(分析データ!B852-INDEX(分析データ!B:B,ROW()+$C$5)),""),"")</f>
        <v/>
      </c>
      <c r="AW852">
        <f t="shared" ca="1" si="365"/>
        <v>-2839999.9999999963</v>
      </c>
      <c r="AX852">
        <f t="shared" ca="1" si="366"/>
        <v>0</v>
      </c>
      <c r="AY852">
        <f t="shared" ca="1" si="367"/>
        <v>-2839999.9999999963</v>
      </c>
      <c r="AZ852">
        <f ca="1">IF(ROW()&lt;($C$7+1),"",IFERROR((分析データ!C852-AVERAGE(OFFSET(分析データ!C$1,MAX(1,ROW()-$C$7),0,MIN($C$7,ROW()-1),1)))/STDEV(OFFSET(分析データ!C$1,MAX(1,ROW()-$C$7),0,MIN($C$7,ROW()-1),1)),0))</f>
        <v>2.4417717563795285</v>
      </c>
      <c r="BA852">
        <f t="shared" ca="1" si="368"/>
        <v>1</v>
      </c>
      <c r="BB852">
        <f ca="1">IF(BA852=1,IF(INDEX(分析データ!$A:$A,ROW()+$C$5)&lt;&gt;"",60000*SIGN(AZ852)*(分析データ!C852-INDEX(分析データ!C:C,ROW()+$C$5)),""),"")</f>
        <v>24000.000000000022</v>
      </c>
      <c r="BC852">
        <f t="shared" ca="1" si="369"/>
        <v>-1373999.9999999893</v>
      </c>
      <c r="BD852">
        <f t="shared" ca="1" si="370"/>
        <v>3156000.0000000107</v>
      </c>
      <c r="BE852">
        <f t="shared" ca="1" si="371"/>
        <v>-4530000</v>
      </c>
      <c r="BF852">
        <f ca="1">IF(ROW()&lt;($C$7+1),"",IFERROR((分析データ!D852-AVERAGE(OFFSET(分析データ!D$1,MAX(1,ROW()-$C$7),0,MIN($C$7,ROW()-1),1)))/STDEV(OFFSET(分析データ!D$1,MAX(1,ROW()-$C$7),0,MIN($C$7,ROW()-1),1)),0))</f>
        <v>-1.4889283594302987</v>
      </c>
      <c r="BG852">
        <f t="shared" ca="1" si="372"/>
        <v>0</v>
      </c>
      <c r="BH852" t="str">
        <f ca="1">IF(BG852=1,IF(INDEX(分析データ!$A:$A,ROW()+$C$5)&lt;&gt;"",50000*SIGN(BF852)*(分析データ!D852-INDEX(分析データ!D:D,ROW()+$C$5)),""),"")</f>
        <v/>
      </c>
      <c r="BI852">
        <f t="shared" ca="1" si="373"/>
        <v>5570000.0000000205</v>
      </c>
      <c r="BJ852">
        <f t="shared" ca="1" si="374"/>
        <v>5570000.0000000205</v>
      </c>
      <c r="BK852">
        <f t="shared" ca="1" si="375"/>
        <v>0</v>
      </c>
      <c r="BL852">
        <f ca="1">IF(ROW()&lt;($C$7+1),"",IFERROR((分析データ!E852-AVERAGE(OFFSET(分析データ!E$1,MAX(1,ROW()-$C$7),0,MIN($C$7,ROW()-1),1)))/STDEV(OFFSET(分析データ!E$1,MAX(1,ROW()-$C$7),0,MIN($C$7,ROW()-1),1)),0))</f>
        <v>-2.950301436044207</v>
      </c>
      <c r="BM852">
        <f t="shared" ca="1" si="376"/>
        <v>1</v>
      </c>
      <c r="BN852">
        <f ca="1">IF(BM852=1,IF(INDEX(分析データ!$A:$A,ROW()+$C$5)&lt;&gt;"",40000*SIGN(BL852)*(分析データ!E852-INDEX(分析データ!E:E,ROW()+$C$5)),""),"")</f>
        <v>-119999.99999999744</v>
      </c>
      <c r="BO852">
        <f t="shared" ca="1" si="377"/>
        <v>2680000.0000000056</v>
      </c>
      <c r="BP852">
        <f t="shared" ca="1" si="378"/>
        <v>4280000.0000000028</v>
      </c>
      <c r="BQ852">
        <f t="shared" ca="1" si="379"/>
        <v>-1599999.9999999972</v>
      </c>
      <c r="BR852">
        <f ca="1">IF(ROW()&lt;($C$7+1),"",IFERROR((分析データ!F852-AVERAGE(OFFSET(分析データ!F$1,MAX(1,ROW()-$C$7),0,MIN($C$7,ROW()-1),1)))/STDEV(OFFSET(分析データ!F$1,MAX(1,ROW()-$C$7),0,MIN($C$7,ROW()-1),1)),0))</f>
        <v>-1.9637750196520898</v>
      </c>
      <c r="BS852">
        <f t="shared" ca="1" si="380"/>
        <v>0</v>
      </c>
      <c r="BT852" t="str">
        <f ca="1">IF(BS852=1,IF(INDEX(分析データ!$A:$A,ROW()+$C$5)&lt;&gt;"",40000*SIGN(BR852)*(分析データ!F852-INDEX(分析データ!F:F,ROW()+$C$5)),""),"")</f>
        <v/>
      </c>
      <c r="BU852">
        <f t="shared" ca="1" si="381"/>
        <v>15404000.000000004</v>
      </c>
      <c r="BV852">
        <f t="shared" ca="1" si="382"/>
        <v>15404000.000000004</v>
      </c>
      <c r="BW852">
        <f t="shared" ca="1" si="383"/>
        <v>0</v>
      </c>
      <c r="BX852">
        <f ca="1">IF(ROW()&lt;($C$7+1),"",IFERROR((分析データ!G852-AVERAGE(OFFSET(分析データ!G$1,MAX(1,ROW()-$C$7),0,MIN($C$7,ROW()-1),1)))/STDEV(OFFSET(分析データ!G$1,MAX(1,ROW()-$C$7),0,MIN($C$7,ROW()-1),1)),0))</f>
        <v>1.622761077588001</v>
      </c>
      <c r="BY852">
        <f t="shared" ca="1" si="384"/>
        <v>0</v>
      </c>
      <c r="BZ852" t="str">
        <f ca="1">IF(BY852=1,IF(INDEX(分析データ!$A:$A,ROW()+$C$5)&lt;&gt;"",40000*SIGN(BX852)*(分析データ!G852-INDEX(分析データ!G:G,ROW()+$C$5)),""),"")</f>
        <v/>
      </c>
      <c r="CA852">
        <f t="shared" ca="1" si="385"/>
        <v>-3515452.8662109179</v>
      </c>
      <c r="CB852">
        <f t="shared" ca="1" si="386"/>
        <v>11327520.000000004</v>
      </c>
      <c r="CC852">
        <f t="shared" ca="1" si="387"/>
        <v>-14842972.866210923</v>
      </c>
      <c r="CD852">
        <f t="shared" ca="1" si="388"/>
        <v>-95999.99999999741</v>
      </c>
      <c r="CE852">
        <f t="shared" ca="1" si="389"/>
        <v>15924547.133789137</v>
      </c>
      <c r="CF852">
        <f t="shared" ca="1" si="390"/>
        <v>21567747.133789141</v>
      </c>
      <c r="CG852">
        <f t="shared" ca="1" si="391"/>
        <v>-5643200.0000000037</v>
      </c>
      <c r="CH852" s="10">
        <f>分析データ!A852</f>
        <v>46170</v>
      </c>
    </row>
    <row r="853" spans="46:86">
      <c r="AT853">
        <f ca="1">IF(ROW()&lt;($C$7+1),"",IFERROR((分析データ!B853-AVERAGE(OFFSET(分析データ!B$1,MAX(1,ROW()-$C$7),0,MIN($C$7,ROW()-1),1)))/STDEV(OFFSET(分析データ!B$1,MAX(1,ROW()-$C$7),0,MIN($C$7,ROW()-1),1)),0))</f>
        <v>-0.74295040583445637</v>
      </c>
      <c r="AU853">
        <f t="shared" ca="1" si="364"/>
        <v>0</v>
      </c>
      <c r="AV853" t="str">
        <f ca="1">IF(AU853=1,IF(INDEX(分析データ!$A:$A,ROW()+$C$5)&lt;&gt;"",80000*SIGN(AT853)*(分析データ!B853-INDEX(分析データ!B:B,ROW()+$C$5)),""),"")</f>
        <v/>
      </c>
      <c r="AW853">
        <f t="shared" ca="1" si="365"/>
        <v>-2839999.9999999963</v>
      </c>
      <c r="AX853">
        <f t="shared" ca="1" si="366"/>
        <v>0</v>
      </c>
      <c r="AY853">
        <f t="shared" ca="1" si="367"/>
        <v>-2839999.9999999963</v>
      </c>
      <c r="AZ853">
        <f ca="1">IF(ROW()&lt;($C$7+1),"",IFERROR((分析データ!C853-AVERAGE(OFFSET(分析データ!C$1,MAX(1,ROW()-$C$7),0,MIN($C$7,ROW()-1),1)))/STDEV(OFFSET(分析データ!C$1,MAX(1,ROW()-$C$7),0,MIN($C$7,ROW()-1),1)),0))</f>
        <v>2.16940076533677</v>
      </c>
      <c r="BA853">
        <f t="shared" ca="1" si="368"/>
        <v>1</v>
      </c>
      <c r="BB853">
        <f ca="1">IF(BA853=1,IF(INDEX(分析データ!$A:$A,ROW()+$C$5)&lt;&gt;"",60000*SIGN(AZ853)*(分析データ!C853-INDEX(分析データ!C:C,ROW()+$C$5)),""),"")</f>
        <v>-119999.99999999744</v>
      </c>
      <c r="BC853">
        <f t="shared" ca="1" si="369"/>
        <v>-1493999.9999999867</v>
      </c>
      <c r="BD853">
        <f t="shared" ca="1" si="370"/>
        <v>3156000.0000000107</v>
      </c>
      <c r="BE853">
        <f t="shared" ca="1" si="371"/>
        <v>-4649999.9999999972</v>
      </c>
      <c r="BF853">
        <f ca="1">IF(ROW()&lt;($C$7+1),"",IFERROR((分析データ!D853-AVERAGE(OFFSET(分析データ!D$1,MAX(1,ROW()-$C$7),0,MIN($C$7,ROW()-1),1)))/STDEV(OFFSET(分析データ!D$1,MAX(1,ROW()-$C$7),0,MIN($C$7,ROW()-1),1)),0))</f>
        <v>-1.3853946850102055</v>
      </c>
      <c r="BG853">
        <f t="shared" ca="1" si="372"/>
        <v>0</v>
      </c>
      <c r="BH853" t="str">
        <f ca="1">IF(BG853=1,IF(INDEX(分析データ!$A:$A,ROW()+$C$5)&lt;&gt;"",50000*SIGN(BF853)*(分析データ!D853-INDEX(分析データ!D:D,ROW()+$C$5)),""),"")</f>
        <v/>
      </c>
      <c r="BI853">
        <f t="shared" ca="1" si="373"/>
        <v>5570000.0000000205</v>
      </c>
      <c r="BJ853">
        <f t="shared" ca="1" si="374"/>
        <v>5570000.0000000205</v>
      </c>
      <c r="BK853">
        <f t="shared" ca="1" si="375"/>
        <v>0</v>
      </c>
      <c r="BL853">
        <f ca="1">IF(ROW()&lt;($C$7+1),"",IFERROR((分析データ!E853-AVERAGE(OFFSET(分析データ!E$1,MAX(1,ROW()-$C$7),0,MIN($C$7,ROW()-1),1)))/STDEV(OFFSET(分析データ!E$1,MAX(1,ROW()-$C$7),0,MIN($C$7,ROW()-1),1)),0))</f>
        <v>-2.438049441334301</v>
      </c>
      <c r="BM853">
        <f t="shared" ca="1" si="376"/>
        <v>1</v>
      </c>
      <c r="BN853">
        <f ca="1">IF(BM853=1,IF(INDEX(分析データ!$A:$A,ROW()+$C$5)&lt;&gt;"",40000*SIGN(BL853)*(分析データ!E853-INDEX(分析データ!E:E,ROW()+$C$5)),""),"")</f>
        <v>-199999.9999999993</v>
      </c>
      <c r="BO853">
        <f t="shared" ca="1" si="377"/>
        <v>2480000.0000000065</v>
      </c>
      <c r="BP853">
        <f t="shared" ca="1" si="378"/>
        <v>4280000.0000000028</v>
      </c>
      <c r="BQ853">
        <f t="shared" ca="1" si="379"/>
        <v>-1799999.9999999963</v>
      </c>
      <c r="BR853">
        <f ca="1">IF(ROW()&lt;($C$7+1),"",IFERROR((分析データ!F853-AVERAGE(OFFSET(分析データ!F$1,MAX(1,ROW()-$C$7),0,MIN($C$7,ROW()-1),1)))/STDEV(OFFSET(分析データ!F$1,MAX(1,ROW()-$C$7),0,MIN($C$7,ROW()-1),1)),0))</f>
        <v>-2.2567957471338849</v>
      </c>
      <c r="BS853">
        <f t="shared" ca="1" si="380"/>
        <v>1</v>
      </c>
      <c r="BT853">
        <f ca="1">IF(BS853=1,IF(INDEX(分析データ!$A:$A,ROW()+$C$5)&lt;&gt;"",40000*SIGN(BR853)*(分析データ!F853-INDEX(分析データ!F:F,ROW()+$C$5)),""),"")</f>
        <v>396399.99999999872</v>
      </c>
      <c r="BU853">
        <f t="shared" ca="1" si="381"/>
        <v>15800400.000000002</v>
      </c>
      <c r="BV853">
        <f t="shared" ca="1" si="382"/>
        <v>15800400.000000002</v>
      </c>
      <c r="BW853">
        <f t="shared" ca="1" si="383"/>
        <v>0</v>
      </c>
      <c r="BX853">
        <f ca="1">IF(ROW()&lt;($C$7+1),"",IFERROR((分析データ!G853-AVERAGE(OFFSET(分析データ!G$1,MAX(1,ROW()-$C$7),0,MIN($C$7,ROW()-1),1)))/STDEV(OFFSET(分析データ!G$1,MAX(1,ROW()-$C$7),0,MIN($C$7,ROW()-1),1)),0))</f>
        <v>1.7094183423383436</v>
      </c>
      <c r="BY853">
        <f t="shared" ca="1" si="384"/>
        <v>0</v>
      </c>
      <c r="BZ853" t="str">
        <f ca="1">IF(BY853=1,IF(INDEX(分析データ!$A:$A,ROW()+$C$5)&lt;&gt;"",40000*SIGN(BX853)*(分析データ!G853-INDEX(分析データ!G:G,ROW()+$C$5)),""),"")</f>
        <v/>
      </c>
      <c r="CA853">
        <f t="shared" ca="1" si="385"/>
        <v>-3515452.8662109179</v>
      </c>
      <c r="CB853">
        <f t="shared" ca="1" si="386"/>
        <v>11327520.000000004</v>
      </c>
      <c r="CC853">
        <f t="shared" ca="1" si="387"/>
        <v>-14842972.866210923</v>
      </c>
      <c r="CD853">
        <f t="shared" ca="1" si="388"/>
        <v>76400.000000001979</v>
      </c>
      <c r="CE853">
        <f t="shared" ca="1" si="389"/>
        <v>16000947.133789139</v>
      </c>
      <c r="CF853">
        <f t="shared" ca="1" si="390"/>
        <v>21567747.133789141</v>
      </c>
      <c r="CG853">
        <f t="shared" ca="1" si="391"/>
        <v>-5566800.0000000019</v>
      </c>
      <c r="CH853" s="10">
        <f>分析データ!A853</f>
        <v>46171</v>
      </c>
    </row>
    <row r="854" spans="46:86">
      <c r="AT854">
        <f ca="1">IF(ROW()&lt;($C$7+1),"",IFERROR((分析データ!B854-AVERAGE(OFFSET(分析データ!B$1,MAX(1,ROW()-$C$7),0,MIN($C$7,ROW()-1),1)))/STDEV(OFFSET(分析データ!B$1,MAX(1,ROW()-$C$7),0,MIN($C$7,ROW()-1),1)),0))</f>
        <v>-1.3221586198895345</v>
      </c>
      <c r="AU854">
        <f t="shared" ca="1" si="364"/>
        <v>0</v>
      </c>
      <c r="AV854" t="str">
        <f ca="1">IF(AU854=1,IF(INDEX(分析データ!$A:$A,ROW()+$C$5)&lt;&gt;"",80000*SIGN(AT854)*(分析データ!B854-INDEX(分析データ!B:B,ROW()+$C$5)),""),"")</f>
        <v/>
      </c>
      <c r="AW854">
        <f t="shared" ca="1" si="365"/>
        <v>-2839999.9999999963</v>
      </c>
      <c r="AX854">
        <f t="shared" ca="1" si="366"/>
        <v>0</v>
      </c>
      <c r="AY854">
        <f t="shared" ca="1" si="367"/>
        <v>-2839999.9999999963</v>
      </c>
      <c r="AZ854">
        <f ca="1">IF(ROW()&lt;($C$7+1),"",IFERROR((分析データ!C854-AVERAGE(OFFSET(分析データ!C$1,MAX(1,ROW()-$C$7),0,MIN($C$7,ROW()-1),1)))/STDEV(OFFSET(分析データ!C$1,MAX(1,ROW()-$C$7),0,MIN($C$7,ROW()-1),1)),0))</f>
        <v>2.2916812581144326</v>
      </c>
      <c r="BA854">
        <f t="shared" ca="1" si="368"/>
        <v>1</v>
      </c>
      <c r="BB854">
        <f ca="1">IF(BA854=1,IF(INDEX(分析データ!$A:$A,ROW()+$C$5)&lt;&gt;"",60000*SIGN(AZ854)*(分析データ!C854-INDEX(分析データ!C:C,ROW()+$C$5)),""),"")</f>
        <v>171000.00000000116</v>
      </c>
      <c r="BC854">
        <f t="shared" ca="1" si="369"/>
        <v>-1322999.9999999856</v>
      </c>
      <c r="BD854">
        <f t="shared" ca="1" si="370"/>
        <v>3156000.0000000107</v>
      </c>
      <c r="BE854">
        <f t="shared" ca="1" si="371"/>
        <v>-4478999.9999999963</v>
      </c>
      <c r="BF854">
        <f ca="1">IF(ROW()&lt;($C$7+1),"",IFERROR((分析データ!D854-AVERAGE(OFFSET(分析データ!D$1,MAX(1,ROW()-$C$7),0,MIN($C$7,ROW()-1),1)))/STDEV(OFFSET(分析データ!D$1,MAX(1,ROW()-$C$7),0,MIN($C$7,ROW()-1),1)),0))</f>
        <v>-1.3892584220772686</v>
      </c>
      <c r="BG854">
        <f t="shared" ca="1" si="372"/>
        <v>0</v>
      </c>
      <c r="BH854" t="str">
        <f ca="1">IF(BG854=1,IF(INDEX(分析データ!$A:$A,ROW()+$C$5)&lt;&gt;"",50000*SIGN(BF854)*(分析データ!D854-INDEX(分析データ!D:D,ROW()+$C$5)),""),"")</f>
        <v/>
      </c>
      <c r="BI854">
        <f t="shared" ca="1" si="373"/>
        <v>5570000.0000000205</v>
      </c>
      <c r="BJ854">
        <f t="shared" ca="1" si="374"/>
        <v>5570000.0000000205</v>
      </c>
      <c r="BK854">
        <f t="shared" ca="1" si="375"/>
        <v>0</v>
      </c>
      <c r="BL854">
        <f ca="1">IF(ROW()&lt;($C$7+1),"",IFERROR((分析データ!E854-AVERAGE(OFFSET(分析データ!E$1,MAX(1,ROW()-$C$7),0,MIN($C$7,ROW()-1),1)))/STDEV(OFFSET(分析データ!E$1,MAX(1,ROW()-$C$7),0,MIN($C$7,ROW()-1),1)),0))</f>
        <v>-3.0769758936629432</v>
      </c>
      <c r="BM854">
        <f t="shared" ca="1" si="376"/>
        <v>1</v>
      </c>
      <c r="BN854">
        <f ca="1">IF(BM854=1,IF(INDEX(分析データ!$A:$A,ROW()+$C$5)&lt;&gt;"",40000*SIGN(BL854)*(分析データ!E854-INDEX(分析データ!E:E,ROW()+$C$5)),""),"")</f>
        <v>0</v>
      </c>
      <c r="BO854">
        <f t="shared" ca="1" si="377"/>
        <v>2480000.0000000065</v>
      </c>
      <c r="BP854">
        <f t="shared" ca="1" si="378"/>
        <v>4280000.0000000028</v>
      </c>
      <c r="BQ854">
        <f t="shared" ca="1" si="379"/>
        <v>-1799999.9999999963</v>
      </c>
      <c r="BR854">
        <f ca="1">IF(ROW()&lt;($C$7+1),"",IFERROR((分析データ!F854-AVERAGE(OFFSET(分析データ!F$1,MAX(1,ROW()-$C$7),0,MIN($C$7,ROW()-1),1)))/STDEV(OFFSET(分析データ!F$1,MAX(1,ROW()-$C$7),0,MIN($C$7,ROW()-1),1)),0))</f>
        <v>-2.5220215728707309</v>
      </c>
      <c r="BS854">
        <f t="shared" ca="1" si="380"/>
        <v>1</v>
      </c>
      <c r="BT854">
        <f ca="1">IF(BS854=1,IF(INDEX(分析データ!$A:$A,ROW()+$C$5)&lt;&gt;"",40000*SIGN(BR854)*(分析データ!F854-INDEX(分析データ!F:F,ROW()+$C$5)),""),"")</f>
        <v>501600.00000000081</v>
      </c>
      <c r="BU854">
        <f t="shared" ca="1" si="381"/>
        <v>16302000.000000002</v>
      </c>
      <c r="BV854">
        <f t="shared" ca="1" si="382"/>
        <v>16302000.000000002</v>
      </c>
      <c r="BW854">
        <f t="shared" ca="1" si="383"/>
        <v>0</v>
      </c>
      <c r="BX854">
        <f ca="1">IF(ROW()&lt;($C$7+1),"",IFERROR((分析データ!G854-AVERAGE(OFFSET(分析データ!G$1,MAX(1,ROW()-$C$7),0,MIN($C$7,ROW()-1),1)))/STDEV(OFFSET(分析データ!G$1,MAX(1,ROW()-$C$7),0,MIN($C$7,ROW()-1),1)),0))</f>
        <v>1.7042669935397823</v>
      </c>
      <c r="BY854">
        <f t="shared" ca="1" si="384"/>
        <v>0</v>
      </c>
      <c r="BZ854" t="str">
        <f ca="1">IF(BY854=1,IF(INDEX(分析データ!$A:$A,ROW()+$C$5)&lt;&gt;"",40000*SIGN(BX854)*(分析データ!G854-INDEX(分析データ!G:G,ROW()+$C$5)),""),"")</f>
        <v/>
      </c>
      <c r="CA854">
        <f t="shared" ca="1" si="385"/>
        <v>-3515452.8662109179</v>
      </c>
      <c r="CB854">
        <f t="shared" ca="1" si="386"/>
        <v>11327520.000000004</v>
      </c>
      <c r="CC854">
        <f t="shared" ca="1" si="387"/>
        <v>-14842972.866210923</v>
      </c>
      <c r="CD854">
        <f t="shared" ca="1" si="388"/>
        <v>672600.00000000198</v>
      </c>
      <c r="CE854">
        <f t="shared" ca="1" si="389"/>
        <v>16673547.133789141</v>
      </c>
      <c r="CF854">
        <f t="shared" ca="1" si="390"/>
        <v>21567747.133789141</v>
      </c>
      <c r="CG854">
        <f t="shared" ca="1" si="391"/>
        <v>-4894200</v>
      </c>
      <c r="CH854" s="10">
        <f>分析データ!A854</f>
        <v>46174</v>
      </c>
    </row>
    <row r="855" spans="46:86">
      <c r="AT855">
        <f ca="1">IF(ROW()&lt;($C$7+1),"",IFERROR((分析データ!B855-AVERAGE(OFFSET(分析データ!B$1,MAX(1,ROW()-$C$7),0,MIN($C$7,ROW()-1),1)))/STDEV(OFFSET(分析データ!B$1,MAX(1,ROW()-$C$7),0,MIN($C$7,ROW()-1),1)),0))</f>
        <v>-1.3110960880656499</v>
      </c>
      <c r="AU855">
        <f t="shared" ca="1" si="364"/>
        <v>0</v>
      </c>
      <c r="AV855" t="str">
        <f ca="1">IF(AU855=1,IF(INDEX(分析データ!$A:$A,ROW()+$C$5)&lt;&gt;"",80000*SIGN(AT855)*(分析データ!B855-INDEX(分析データ!B:B,ROW()+$C$5)),""),"")</f>
        <v/>
      </c>
      <c r="AW855">
        <f t="shared" ca="1" si="365"/>
        <v>-2839999.9999999963</v>
      </c>
      <c r="AX855">
        <f t="shared" ca="1" si="366"/>
        <v>0</v>
      </c>
      <c r="AY855">
        <f t="shared" ca="1" si="367"/>
        <v>-2839999.9999999963</v>
      </c>
      <c r="AZ855">
        <f ca="1">IF(ROW()&lt;($C$7+1),"",IFERROR((分析データ!C855-AVERAGE(OFFSET(分析データ!C$1,MAX(1,ROW()-$C$7),0,MIN($C$7,ROW()-1),1)))/STDEV(OFFSET(分析データ!C$1,MAX(1,ROW()-$C$7),0,MIN($C$7,ROW()-1),1)),0))</f>
        <v>1.7309852431774118</v>
      </c>
      <c r="BA855">
        <f t="shared" ca="1" si="368"/>
        <v>0</v>
      </c>
      <c r="BB855" t="str">
        <f ca="1">IF(BA855=1,IF(INDEX(分析データ!$A:$A,ROW()+$C$5)&lt;&gt;"",60000*SIGN(AZ855)*(分析データ!C855-INDEX(分析データ!C:C,ROW()+$C$5)),""),"")</f>
        <v/>
      </c>
      <c r="BC855">
        <f t="shared" ca="1" si="369"/>
        <v>-1322999.9999999856</v>
      </c>
      <c r="BD855">
        <f t="shared" ca="1" si="370"/>
        <v>3156000.0000000107</v>
      </c>
      <c r="BE855">
        <f t="shared" ca="1" si="371"/>
        <v>-4478999.9999999963</v>
      </c>
      <c r="BF855">
        <f ca="1">IF(ROW()&lt;($C$7+1),"",IFERROR((分析データ!D855-AVERAGE(OFFSET(分析データ!D$1,MAX(1,ROW()-$C$7),0,MIN($C$7,ROW()-1),1)))/STDEV(OFFSET(分析データ!D$1,MAX(1,ROW()-$C$7),0,MIN($C$7,ROW()-1),1)),0))</f>
        <v>-1.1250236671829488</v>
      </c>
      <c r="BG855">
        <f t="shared" ca="1" si="372"/>
        <v>0</v>
      </c>
      <c r="BH855" t="str">
        <f ca="1">IF(BG855=1,IF(INDEX(分析データ!$A:$A,ROW()+$C$5)&lt;&gt;"",50000*SIGN(BF855)*(分析データ!D855-INDEX(分析データ!D:D,ROW()+$C$5)),""),"")</f>
        <v/>
      </c>
      <c r="BI855">
        <f t="shared" ca="1" si="373"/>
        <v>5570000.0000000205</v>
      </c>
      <c r="BJ855">
        <f t="shared" ca="1" si="374"/>
        <v>5570000.0000000205</v>
      </c>
      <c r="BK855">
        <f t="shared" ca="1" si="375"/>
        <v>0</v>
      </c>
      <c r="BL855">
        <f ca="1">IF(ROW()&lt;($C$7+1),"",IFERROR((分析データ!E855-AVERAGE(OFFSET(分析データ!E$1,MAX(1,ROW()-$C$7),0,MIN($C$7,ROW()-1),1)))/STDEV(OFFSET(分析データ!E$1,MAX(1,ROW()-$C$7),0,MIN($C$7,ROW()-1),1)),0))</f>
        <v>-3.0082815654394524</v>
      </c>
      <c r="BM855">
        <f t="shared" ca="1" si="376"/>
        <v>1</v>
      </c>
      <c r="BN855">
        <f ca="1">IF(BM855=1,IF(INDEX(分析データ!$A:$A,ROW()+$C$5)&lt;&gt;"",40000*SIGN(BL855)*(分析データ!E855-INDEX(分析データ!E:E,ROW()+$C$5)),""),"")</f>
        <v>-80000.000000001848</v>
      </c>
      <c r="BO855">
        <f t="shared" ca="1" si="377"/>
        <v>2400000.0000000047</v>
      </c>
      <c r="BP855">
        <f t="shared" ca="1" si="378"/>
        <v>4280000.0000000028</v>
      </c>
      <c r="BQ855">
        <f t="shared" ca="1" si="379"/>
        <v>-1879999.9999999981</v>
      </c>
      <c r="BR855">
        <f ca="1">IF(ROW()&lt;($C$7+1),"",IFERROR((分析データ!F855-AVERAGE(OFFSET(分析データ!F$1,MAX(1,ROW()-$C$7),0,MIN($C$7,ROW()-1),1)))/STDEV(OFFSET(分析データ!F$1,MAX(1,ROW()-$C$7),0,MIN($C$7,ROW()-1),1)),0))</f>
        <v>-1.5473124618289347</v>
      </c>
      <c r="BS855">
        <f t="shared" ca="1" si="380"/>
        <v>0</v>
      </c>
      <c r="BT855" t="str">
        <f ca="1">IF(BS855=1,IF(INDEX(分析データ!$A:$A,ROW()+$C$5)&lt;&gt;"",40000*SIGN(BR855)*(分析データ!F855-INDEX(分析データ!F:F,ROW()+$C$5)),""),"")</f>
        <v/>
      </c>
      <c r="BU855">
        <f t="shared" ca="1" si="381"/>
        <v>16302000.000000002</v>
      </c>
      <c r="BV855">
        <f t="shared" ca="1" si="382"/>
        <v>16302000.000000002</v>
      </c>
      <c r="BW855">
        <f t="shared" ca="1" si="383"/>
        <v>0</v>
      </c>
      <c r="BX855">
        <f ca="1">IF(ROW()&lt;($C$7+1),"",IFERROR((分析データ!G855-AVERAGE(OFFSET(分析データ!G$1,MAX(1,ROW()-$C$7),0,MIN($C$7,ROW()-1),1)))/STDEV(OFFSET(分析データ!G$1,MAX(1,ROW()-$C$7),0,MIN($C$7,ROW()-1),1)),0))</f>
        <v>1.1976782490248101</v>
      </c>
      <c r="BY855">
        <f t="shared" ca="1" si="384"/>
        <v>0</v>
      </c>
      <c r="BZ855" t="str">
        <f ca="1">IF(BY855=1,IF(INDEX(分析データ!$A:$A,ROW()+$C$5)&lt;&gt;"",40000*SIGN(BX855)*(分析データ!G855-INDEX(分析データ!G:G,ROW()+$C$5)),""),"")</f>
        <v/>
      </c>
      <c r="CA855">
        <f t="shared" ca="1" si="385"/>
        <v>-3515452.8662109179</v>
      </c>
      <c r="CB855">
        <f t="shared" ca="1" si="386"/>
        <v>11327520.000000004</v>
      </c>
      <c r="CC855">
        <f t="shared" ca="1" si="387"/>
        <v>-14842972.866210923</v>
      </c>
      <c r="CD855">
        <f t="shared" ca="1" si="388"/>
        <v>-80000.000000001848</v>
      </c>
      <c r="CE855">
        <f t="shared" ca="1" si="389"/>
        <v>16593547.133789139</v>
      </c>
      <c r="CF855">
        <f t="shared" ca="1" si="390"/>
        <v>21567747.133789141</v>
      </c>
      <c r="CG855">
        <f t="shared" ca="1" si="391"/>
        <v>-4974200.0000000019</v>
      </c>
      <c r="CH855" s="10">
        <f>分析データ!A855</f>
        <v>46175</v>
      </c>
    </row>
    <row r="856" spans="46:86">
      <c r="AT856">
        <f ca="1">IF(ROW()&lt;($C$7+1),"",IFERROR((分析データ!B856-AVERAGE(OFFSET(分析データ!B$1,MAX(1,ROW()-$C$7),0,MIN($C$7,ROW()-1),1)))/STDEV(OFFSET(分析データ!B$1,MAX(1,ROW()-$C$7),0,MIN($C$7,ROW()-1),1)),0))</f>
        <v>-1.1059897421028644</v>
      </c>
      <c r="AU856">
        <f t="shared" ca="1" si="364"/>
        <v>0</v>
      </c>
      <c r="AV856" t="str">
        <f ca="1">IF(AU856=1,IF(INDEX(分析データ!$A:$A,ROW()+$C$5)&lt;&gt;"",80000*SIGN(AT856)*(分析データ!B856-INDEX(分析データ!B:B,ROW()+$C$5)),""),"")</f>
        <v/>
      </c>
      <c r="AW856">
        <f t="shared" ca="1" si="365"/>
        <v>-2839999.9999999963</v>
      </c>
      <c r="AX856">
        <f t="shared" ca="1" si="366"/>
        <v>0</v>
      </c>
      <c r="AY856">
        <f t="shared" ca="1" si="367"/>
        <v>-2839999.9999999963</v>
      </c>
      <c r="AZ856">
        <f ca="1">IF(ROW()&lt;($C$7+1),"",IFERROR((分析データ!C856-AVERAGE(OFFSET(分析データ!C$1,MAX(1,ROW()-$C$7),0,MIN($C$7,ROW()-1),1)))/STDEV(OFFSET(分析データ!C$1,MAX(1,ROW()-$C$7),0,MIN($C$7,ROW()-1),1)),0))</f>
        <v>2.1271968367834275</v>
      </c>
      <c r="BA856">
        <f t="shared" ca="1" si="368"/>
        <v>1</v>
      </c>
      <c r="BB856">
        <f ca="1">IF(BA856=1,IF(INDEX(分析データ!$A:$A,ROW()+$C$5)&lt;&gt;"",60000*SIGN(AZ856)*(分析データ!C856-INDEX(分析データ!C:C,ROW()+$C$5)),""),"")</f>
        <v>-140999.99999999913</v>
      </c>
      <c r="BC856">
        <f t="shared" ca="1" si="369"/>
        <v>-1463999.9999999846</v>
      </c>
      <c r="BD856">
        <f t="shared" ca="1" si="370"/>
        <v>3156000.0000000107</v>
      </c>
      <c r="BE856">
        <f t="shared" ca="1" si="371"/>
        <v>-4619999.9999999953</v>
      </c>
      <c r="BF856">
        <f ca="1">IF(ROW()&lt;($C$7+1),"",IFERROR((分析データ!D856-AVERAGE(OFFSET(分析データ!D$1,MAX(1,ROW()-$C$7),0,MIN($C$7,ROW()-1),1)))/STDEV(OFFSET(分析データ!D$1,MAX(1,ROW()-$C$7),0,MIN($C$7,ROW()-1),1)),0))</f>
        <v>-1.21926459943836</v>
      </c>
      <c r="BG856">
        <f t="shared" ca="1" si="372"/>
        <v>0</v>
      </c>
      <c r="BH856" t="str">
        <f ca="1">IF(BG856=1,IF(INDEX(分析データ!$A:$A,ROW()+$C$5)&lt;&gt;"",50000*SIGN(BF856)*(分析データ!D856-INDEX(分析データ!D:D,ROW()+$C$5)),""),"")</f>
        <v/>
      </c>
      <c r="BI856">
        <f t="shared" ca="1" si="373"/>
        <v>5570000.0000000205</v>
      </c>
      <c r="BJ856">
        <f t="shared" ca="1" si="374"/>
        <v>5570000.0000000205</v>
      </c>
      <c r="BK856">
        <f t="shared" ca="1" si="375"/>
        <v>0</v>
      </c>
      <c r="BL856">
        <f ca="1">IF(ROW()&lt;($C$7+1),"",IFERROR((分析データ!E856-AVERAGE(OFFSET(分析データ!E$1,MAX(1,ROW()-$C$7),0,MIN($C$7,ROW()-1),1)))/STDEV(OFFSET(分析データ!E$1,MAX(1,ROW()-$C$7),0,MIN($C$7,ROW()-1),1)),0))</f>
        <v>-3.1588381415975078</v>
      </c>
      <c r="BM856">
        <f t="shared" ca="1" si="376"/>
        <v>1</v>
      </c>
      <c r="BN856">
        <f ca="1">IF(BM856=1,IF(INDEX(分析データ!$A:$A,ROW()+$C$5)&lt;&gt;"",40000*SIGN(BL856)*(分析データ!E856-INDEX(分析データ!E:E,ROW()+$C$5)),""),"")</f>
        <v>-239999.99999999843</v>
      </c>
      <c r="BO856">
        <f t="shared" ca="1" si="377"/>
        <v>2160000.0000000061</v>
      </c>
      <c r="BP856">
        <f t="shared" ca="1" si="378"/>
        <v>4280000.0000000028</v>
      </c>
      <c r="BQ856">
        <f t="shared" ca="1" si="379"/>
        <v>-2119999.9999999967</v>
      </c>
      <c r="BR856">
        <f ca="1">IF(ROW()&lt;($C$7+1),"",IFERROR((分析データ!F856-AVERAGE(OFFSET(分析データ!F$1,MAX(1,ROW()-$C$7),0,MIN($C$7,ROW()-1),1)))/STDEV(OFFSET(分析データ!F$1,MAX(1,ROW()-$C$7),0,MIN($C$7,ROW()-1),1)),0))</f>
        <v>-1.9718076210358515</v>
      </c>
      <c r="BS856">
        <f t="shared" ca="1" si="380"/>
        <v>0</v>
      </c>
      <c r="BT856" t="str">
        <f ca="1">IF(BS856=1,IF(INDEX(分析データ!$A:$A,ROW()+$C$5)&lt;&gt;"",40000*SIGN(BR856)*(分析データ!F856-INDEX(分析データ!F:F,ROW()+$C$5)),""),"")</f>
        <v/>
      </c>
      <c r="BU856">
        <f t="shared" ca="1" si="381"/>
        <v>16302000.000000002</v>
      </c>
      <c r="BV856">
        <f t="shared" ca="1" si="382"/>
        <v>16302000.000000002</v>
      </c>
      <c r="BW856">
        <f t="shared" ca="1" si="383"/>
        <v>0</v>
      </c>
      <c r="BX856">
        <f ca="1">IF(ROW()&lt;($C$7+1),"",IFERROR((分析データ!G856-AVERAGE(OFFSET(分析データ!G$1,MAX(1,ROW()-$C$7),0,MIN($C$7,ROW()-1),1)))/STDEV(OFFSET(分析データ!G$1,MAX(1,ROW()-$C$7),0,MIN($C$7,ROW()-1),1)),0))</f>
        <v>1.3648422978679748</v>
      </c>
      <c r="BY856">
        <f t="shared" ca="1" si="384"/>
        <v>0</v>
      </c>
      <c r="BZ856" t="str">
        <f ca="1">IF(BY856=1,IF(INDEX(分析データ!$A:$A,ROW()+$C$5)&lt;&gt;"",40000*SIGN(BX856)*(分析データ!G856-INDEX(分析データ!G:G,ROW()+$C$5)),""),"")</f>
        <v/>
      </c>
      <c r="CA856">
        <f t="shared" ca="1" si="385"/>
        <v>-3515452.8662109179</v>
      </c>
      <c r="CB856">
        <f t="shared" ca="1" si="386"/>
        <v>11327520.000000004</v>
      </c>
      <c r="CC856">
        <f t="shared" ca="1" si="387"/>
        <v>-14842972.866210923</v>
      </c>
      <c r="CD856">
        <f t="shared" ca="1" si="388"/>
        <v>-380999.99999999756</v>
      </c>
      <c r="CE856">
        <f t="shared" ca="1" si="389"/>
        <v>16212547.133789141</v>
      </c>
      <c r="CF856">
        <f t="shared" ca="1" si="390"/>
        <v>21567747.133789141</v>
      </c>
      <c r="CG856">
        <f t="shared" ca="1" si="391"/>
        <v>-5355200</v>
      </c>
      <c r="CH856" s="10">
        <f>分析データ!A856</f>
        <v>46176</v>
      </c>
    </row>
    <row r="857" spans="46:86">
      <c r="AT857">
        <f ca="1">IF(ROW()&lt;($C$7+1),"",IFERROR((分析データ!B857-AVERAGE(OFFSET(分析データ!B$1,MAX(1,ROW()-$C$7),0,MIN($C$7,ROW()-1),1)))/STDEV(OFFSET(分析データ!B$1,MAX(1,ROW()-$C$7),0,MIN($C$7,ROW()-1),1)),0))</f>
        <v>-0.90345508640036476</v>
      </c>
      <c r="AU857">
        <f t="shared" ca="1" si="364"/>
        <v>0</v>
      </c>
      <c r="AV857" t="str">
        <f ca="1">IF(AU857=1,IF(INDEX(分析データ!$A:$A,ROW()+$C$5)&lt;&gt;"",80000*SIGN(AT857)*(分析データ!B857-INDEX(分析データ!B:B,ROW()+$C$5)),""),"")</f>
        <v/>
      </c>
      <c r="AW857">
        <f t="shared" ca="1" si="365"/>
        <v>-2839999.9999999963</v>
      </c>
      <c r="AX857">
        <f t="shared" ca="1" si="366"/>
        <v>0</v>
      </c>
      <c r="AY857">
        <f t="shared" ca="1" si="367"/>
        <v>-2839999.9999999963</v>
      </c>
      <c r="AZ857">
        <f ca="1">IF(ROW()&lt;($C$7+1),"",IFERROR((分析データ!C857-AVERAGE(OFFSET(分析データ!C$1,MAX(1,ROW()-$C$7),0,MIN($C$7,ROW()-1),1)))/STDEV(OFFSET(分析データ!C$1,MAX(1,ROW()-$C$7),0,MIN($C$7,ROW()-1),1)),0))</f>
        <v>2.1749384366225182</v>
      </c>
      <c r="BA857">
        <f t="shared" ca="1" si="368"/>
        <v>1</v>
      </c>
      <c r="BB857">
        <f ca="1">IF(BA857=1,IF(INDEX(分析データ!$A:$A,ROW()+$C$5)&lt;&gt;"",60000*SIGN(AZ857)*(分析データ!C857-INDEX(分析データ!C:C,ROW()+$C$5)),""),"")</f>
        <v>-81000.000000000407</v>
      </c>
      <c r="BC857">
        <f t="shared" ca="1" si="369"/>
        <v>-1544999.9999999851</v>
      </c>
      <c r="BD857">
        <f t="shared" ca="1" si="370"/>
        <v>3156000.0000000107</v>
      </c>
      <c r="BE857">
        <f t="shared" ca="1" si="371"/>
        <v>-4700999.9999999963</v>
      </c>
      <c r="BF857">
        <f ca="1">IF(ROW()&lt;($C$7+1),"",IFERROR((分析データ!D857-AVERAGE(OFFSET(分析データ!D$1,MAX(1,ROW()-$C$7),0,MIN($C$7,ROW()-1),1)))/STDEV(OFFSET(分析データ!D$1,MAX(1,ROW()-$C$7),0,MIN($C$7,ROW()-1),1)),0))</f>
        <v>-1.3351128949299877</v>
      </c>
      <c r="BG857">
        <f t="shared" ca="1" si="372"/>
        <v>0</v>
      </c>
      <c r="BH857" t="str">
        <f ca="1">IF(BG857=1,IF(INDEX(分析データ!$A:$A,ROW()+$C$5)&lt;&gt;"",50000*SIGN(BF857)*(分析データ!D857-INDEX(分析データ!D:D,ROW()+$C$5)),""),"")</f>
        <v/>
      </c>
      <c r="BI857">
        <f t="shared" ca="1" si="373"/>
        <v>5570000.0000000205</v>
      </c>
      <c r="BJ857">
        <f t="shared" ca="1" si="374"/>
        <v>5570000.0000000205</v>
      </c>
      <c r="BK857">
        <f t="shared" ca="1" si="375"/>
        <v>0</v>
      </c>
      <c r="BL857">
        <f ca="1">IF(ROW()&lt;($C$7+1),"",IFERROR((分析データ!E857-AVERAGE(OFFSET(分析データ!E$1,MAX(1,ROW()-$C$7),0,MIN($C$7,ROW()-1),1)))/STDEV(OFFSET(分析データ!E$1,MAX(1,ROW()-$C$7),0,MIN($C$7,ROW()-1),1)),0))</f>
        <v>-2.8745036442073335</v>
      </c>
      <c r="BM857">
        <f t="shared" ca="1" si="376"/>
        <v>1</v>
      </c>
      <c r="BN857">
        <f ca="1">IF(BM857=1,IF(INDEX(分析データ!$A:$A,ROW()+$C$5)&lt;&gt;"",40000*SIGN(BL857)*(分析データ!E857-INDEX(分析データ!E:E,ROW()+$C$5)),""),"")</f>
        <v>-240000.00000000198</v>
      </c>
      <c r="BO857">
        <f t="shared" ca="1" si="377"/>
        <v>1920000.0000000042</v>
      </c>
      <c r="BP857">
        <f t="shared" ca="1" si="378"/>
        <v>4280000.0000000028</v>
      </c>
      <c r="BQ857">
        <f t="shared" ca="1" si="379"/>
        <v>-2359999.9999999986</v>
      </c>
      <c r="BR857">
        <f ca="1">IF(ROW()&lt;($C$7+1),"",IFERROR((分析データ!F857-AVERAGE(OFFSET(分析データ!F$1,MAX(1,ROW()-$C$7),0,MIN($C$7,ROW()-1),1)))/STDEV(OFFSET(分析データ!F$1,MAX(1,ROW()-$C$7),0,MIN($C$7,ROW()-1),1)),0))</f>
        <v>-1.3563320152693377</v>
      </c>
      <c r="BS857">
        <f t="shared" ca="1" si="380"/>
        <v>0</v>
      </c>
      <c r="BT857" t="str">
        <f ca="1">IF(BS857=1,IF(INDEX(分析データ!$A:$A,ROW()+$C$5)&lt;&gt;"",40000*SIGN(BR857)*(分析データ!F857-INDEX(分析データ!F:F,ROW()+$C$5)),""),"")</f>
        <v/>
      </c>
      <c r="BU857">
        <f t="shared" ca="1" si="381"/>
        <v>16302000.000000002</v>
      </c>
      <c r="BV857">
        <f t="shared" ca="1" si="382"/>
        <v>16302000.000000002</v>
      </c>
      <c r="BW857">
        <f t="shared" ca="1" si="383"/>
        <v>0</v>
      </c>
      <c r="BX857">
        <f ca="1">IF(ROW()&lt;($C$7+1),"",IFERROR((分析データ!G857-AVERAGE(OFFSET(分析データ!G$1,MAX(1,ROW()-$C$7),0,MIN($C$7,ROW()-1),1)))/STDEV(OFFSET(分析データ!G$1,MAX(1,ROW()-$C$7),0,MIN($C$7,ROW()-1),1)),0))</f>
        <v>1.2228599898930339</v>
      </c>
      <c r="BY857">
        <f t="shared" ca="1" si="384"/>
        <v>0</v>
      </c>
      <c r="BZ857" t="str">
        <f ca="1">IF(BY857=1,IF(INDEX(分析データ!$A:$A,ROW()+$C$5)&lt;&gt;"",40000*SIGN(BX857)*(分析データ!G857-INDEX(分析データ!G:G,ROW()+$C$5)),""),"")</f>
        <v/>
      </c>
      <c r="CA857">
        <f t="shared" ca="1" si="385"/>
        <v>-3515452.8662109179</v>
      </c>
      <c r="CB857">
        <f t="shared" ca="1" si="386"/>
        <v>11327520.000000004</v>
      </c>
      <c r="CC857">
        <f t="shared" ca="1" si="387"/>
        <v>-14842972.866210923</v>
      </c>
      <c r="CD857">
        <f t="shared" ca="1" si="388"/>
        <v>-321000.00000000239</v>
      </c>
      <c r="CE857">
        <f t="shared" ca="1" si="389"/>
        <v>15891547.133789139</v>
      </c>
      <c r="CF857">
        <f t="shared" ca="1" si="390"/>
        <v>21567747.133789141</v>
      </c>
      <c r="CG857">
        <f t="shared" ca="1" si="391"/>
        <v>-5676200.0000000019</v>
      </c>
      <c r="CH857" s="10">
        <f>分析データ!A857</f>
        <v>46177</v>
      </c>
    </row>
    <row r="858" spans="46:86">
      <c r="AT858">
        <f ca="1">IF(ROW()&lt;($C$7+1),"",IFERROR((分析データ!B858-AVERAGE(OFFSET(分析データ!B$1,MAX(1,ROW()-$C$7),0,MIN($C$7,ROW()-1),1)))/STDEV(OFFSET(分析データ!B$1,MAX(1,ROW()-$C$7),0,MIN($C$7,ROW()-1),1)),0))</f>
        <v>-0.89747699968386363</v>
      </c>
      <c r="AU858">
        <f t="shared" ca="1" si="364"/>
        <v>0</v>
      </c>
      <c r="AV858" t="str">
        <f ca="1">IF(AU858=1,IF(INDEX(分析データ!$A:$A,ROW()+$C$5)&lt;&gt;"",80000*SIGN(AT858)*(分析データ!B858-INDEX(分析データ!B:B,ROW()+$C$5)),""),"")</f>
        <v/>
      </c>
      <c r="AW858">
        <f t="shared" ca="1" si="365"/>
        <v>-2839999.9999999963</v>
      </c>
      <c r="AX858">
        <f t="shared" ca="1" si="366"/>
        <v>0</v>
      </c>
      <c r="AY858">
        <f t="shared" ca="1" si="367"/>
        <v>-2839999.9999999963</v>
      </c>
      <c r="AZ858">
        <f ca="1">IF(ROW()&lt;($C$7+1),"",IFERROR((分析データ!C858-AVERAGE(OFFSET(分析データ!C$1,MAX(1,ROW()-$C$7),0,MIN($C$7,ROW()-1),1)))/STDEV(OFFSET(分析データ!C$1,MAX(1,ROW()-$C$7),0,MIN($C$7,ROW()-1),1)),0))</f>
        <v>2.1191531382621194</v>
      </c>
      <c r="BA858">
        <f t="shared" ca="1" si="368"/>
        <v>1</v>
      </c>
      <c r="BB858">
        <f ca="1">IF(BA858=1,IF(INDEX(分析データ!$A:$A,ROW()+$C$5)&lt;&gt;"",60000*SIGN(AZ858)*(分析データ!C858-INDEX(分析データ!C:C,ROW()+$C$5)),""),"")</f>
        <v>-171000.00000000116</v>
      </c>
      <c r="BC858">
        <f t="shared" ca="1" si="369"/>
        <v>-1715999.9999999863</v>
      </c>
      <c r="BD858">
        <f t="shared" ca="1" si="370"/>
        <v>3156000.0000000107</v>
      </c>
      <c r="BE858">
        <f t="shared" ca="1" si="371"/>
        <v>-4871999.9999999972</v>
      </c>
      <c r="BF858">
        <f ca="1">IF(ROW()&lt;($C$7+1),"",IFERROR((分析データ!D858-AVERAGE(OFFSET(分析データ!D$1,MAX(1,ROW()-$C$7),0,MIN($C$7,ROW()-1),1)))/STDEV(OFFSET(分析データ!D$1,MAX(1,ROW()-$C$7),0,MIN($C$7,ROW()-1),1)),0))</f>
        <v>-1.1052477838853039</v>
      </c>
      <c r="BG858">
        <f t="shared" ca="1" si="372"/>
        <v>0</v>
      </c>
      <c r="BH858" t="str">
        <f ca="1">IF(BG858=1,IF(INDEX(分析データ!$A:$A,ROW()+$C$5)&lt;&gt;"",50000*SIGN(BF858)*(分析データ!D858-INDEX(分析データ!D:D,ROW()+$C$5)),""),"")</f>
        <v/>
      </c>
      <c r="BI858">
        <f t="shared" ca="1" si="373"/>
        <v>5570000.0000000205</v>
      </c>
      <c r="BJ858">
        <f t="shared" ca="1" si="374"/>
        <v>5570000.0000000205</v>
      </c>
      <c r="BK858">
        <f t="shared" ca="1" si="375"/>
        <v>0</v>
      </c>
      <c r="BL858">
        <f ca="1">IF(ROW()&lt;($C$7+1),"",IFERROR((分析データ!E858-AVERAGE(OFFSET(分析データ!E$1,MAX(1,ROW()-$C$7),0,MIN($C$7,ROW()-1),1)))/STDEV(OFFSET(分析データ!E$1,MAX(1,ROW()-$C$7),0,MIN($C$7,ROW()-1),1)),0))</f>
        <v>-3.4372284861250226</v>
      </c>
      <c r="BM858">
        <f t="shared" ca="1" si="376"/>
        <v>1</v>
      </c>
      <c r="BN858">
        <f ca="1">IF(BM858=1,IF(INDEX(分析データ!$A:$A,ROW()+$C$5)&lt;&gt;"",40000*SIGN(BL858)*(分析データ!E858-INDEX(分析データ!E:E,ROW()+$C$5)),""),"")</f>
        <v>-160000.00000000015</v>
      </c>
      <c r="BO858">
        <f t="shared" ca="1" si="377"/>
        <v>1760000.000000004</v>
      </c>
      <c r="BP858">
        <f t="shared" ca="1" si="378"/>
        <v>4280000.0000000028</v>
      </c>
      <c r="BQ858">
        <f t="shared" ca="1" si="379"/>
        <v>-2519999.9999999991</v>
      </c>
      <c r="BR858">
        <f ca="1">IF(ROW()&lt;($C$7+1),"",IFERROR((分析データ!F858-AVERAGE(OFFSET(分析データ!F$1,MAX(1,ROW()-$C$7),0,MIN($C$7,ROW()-1),1)))/STDEV(OFFSET(分析データ!F$1,MAX(1,ROW()-$C$7),0,MIN($C$7,ROW()-1),1)),0))</f>
        <v>-2.1351244970760996</v>
      </c>
      <c r="BS858">
        <f t="shared" ca="1" si="380"/>
        <v>1</v>
      </c>
      <c r="BT858">
        <f ca="1">IF(BS858=1,IF(INDEX(分析データ!$A:$A,ROW()+$C$5)&lt;&gt;"",40000*SIGN(BR858)*(分析データ!F858-INDEX(分析データ!F:F,ROW()+$C$5)),""),"")</f>
        <v>-463999.99999999866</v>
      </c>
      <c r="BU858">
        <f t="shared" ca="1" si="381"/>
        <v>15838000.000000004</v>
      </c>
      <c r="BV858">
        <f t="shared" ca="1" si="382"/>
        <v>16302000.000000002</v>
      </c>
      <c r="BW858">
        <f t="shared" ca="1" si="383"/>
        <v>-463999.99999999814</v>
      </c>
      <c r="BX858">
        <f ca="1">IF(ROW()&lt;($C$7+1),"",IFERROR((分析データ!G858-AVERAGE(OFFSET(分析データ!G$1,MAX(1,ROW()-$C$7),0,MIN($C$7,ROW()-1),1)))/STDEV(OFFSET(分析データ!G$1,MAX(1,ROW()-$C$7),0,MIN($C$7,ROW()-1),1)),0))</f>
        <v>1.3606599444500642</v>
      </c>
      <c r="BY858">
        <f t="shared" ca="1" si="384"/>
        <v>0</v>
      </c>
      <c r="BZ858" t="str">
        <f ca="1">IF(BY858=1,IF(INDEX(分析データ!$A:$A,ROW()+$C$5)&lt;&gt;"",40000*SIGN(BX858)*(分析データ!G858-INDEX(分析データ!G:G,ROW()+$C$5)),""),"")</f>
        <v/>
      </c>
      <c r="CA858">
        <f t="shared" ca="1" si="385"/>
        <v>-3515452.8662109179</v>
      </c>
      <c r="CB858">
        <f t="shared" ca="1" si="386"/>
        <v>11327520.000000004</v>
      </c>
      <c r="CC858">
        <f t="shared" ca="1" si="387"/>
        <v>-14842972.866210923</v>
      </c>
      <c r="CD858">
        <f t="shared" ca="1" si="388"/>
        <v>-795000</v>
      </c>
      <c r="CE858">
        <f t="shared" ca="1" si="389"/>
        <v>15096547.133789139</v>
      </c>
      <c r="CF858">
        <f t="shared" ca="1" si="390"/>
        <v>21567747.133789141</v>
      </c>
      <c r="CG858">
        <f t="shared" ca="1" si="391"/>
        <v>-6471200.0000000019</v>
      </c>
      <c r="CH858" s="10">
        <f>分析データ!A858</f>
        <v>46178</v>
      </c>
    </row>
    <row r="859" spans="46:86">
      <c r="AT859">
        <f ca="1">IF(ROW()&lt;($C$7+1),"",IFERROR((分析データ!B859-AVERAGE(OFFSET(分析データ!B$1,MAX(1,ROW()-$C$7),0,MIN($C$7,ROW()-1),1)))/STDEV(OFFSET(分析データ!B$1,MAX(1,ROW()-$C$7),0,MIN($C$7,ROW()-1),1)),0))</f>
        <v>-0.50324614257636902</v>
      </c>
      <c r="AU859">
        <f t="shared" ca="1" si="364"/>
        <v>0</v>
      </c>
      <c r="AV859" t="str">
        <f ca="1">IF(AU859=1,IF(INDEX(分析データ!$A:$A,ROW()+$C$5)&lt;&gt;"",80000*SIGN(AT859)*(分析データ!B859-INDEX(分析データ!B:B,ROW()+$C$5)),""),"")</f>
        <v/>
      </c>
      <c r="AW859">
        <f t="shared" ca="1" si="365"/>
        <v>-2839999.9999999963</v>
      </c>
      <c r="AX859">
        <f t="shared" ca="1" si="366"/>
        <v>0</v>
      </c>
      <c r="AY859">
        <f t="shared" ca="1" si="367"/>
        <v>-2839999.9999999963</v>
      </c>
      <c r="AZ859">
        <f ca="1">IF(ROW()&lt;($C$7+1),"",IFERROR((分析データ!C859-AVERAGE(OFFSET(分析データ!C$1,MAX(1,ROW()-$C$7),0,MIN($C$7,ROW()-1),1)))/STDEV(OFFSET(分析データ!C$1,MAX(1,ROW()-$C$7),0,MIN($C$7,ROW()-1),1)),0))</f>
        <v>2.2730401804248226</v>
      </c>
      <c r="BA859">
        <f t="shared" ca="1" si="368"/>
        <v>1</v>
      </c>
      <c r="BB859">
        <f ca="1">IF(BA859=1,IF(INDEX(分析データ!$A:$A,ROW()+$C$5)&lt;&gt;"",60000*SIGN(AZ859)*(分析データ!C859-INDEX(分析データ!C:C,ROW()+$C$5)),""),"")</f>
        <v>-47999.999999997381</v>
      </c>
      <c r="BC859">
        <f t="shared" ca="1" si="369"/>
        <v>-1763999.9999999837</v>
      </c>
      <c r="BD859">
        <f t="shared" ca="1" si="370"/>
        <v>3156000.0000000107</v>
      </c>
      <c r="BE859">
        <f t="shared" ca="1" si="371"/>
        <v>-4919999.9999999944</v>
      </c>
      <c r="BF859">
        <f ca="1">IF(ROW()&lt;($C$7+1),"",IFERROR((分析データ!D859-AVERAGE(OFFSET(分析データ!D$1,MAX(1,ROW()-$C$7),0,MIN($C$7,ROW()-1),1)))/STDEV(OFFSET(分析データ!D$1,MAX(1,ROW()-$C$7),0,MIN($C$7,ROW()-1),1)),0))</f>
        <v>-1.1949241746282442</v>
      </c>
      <c r="BG859">
        <f t="shared" ca="1" si="372"/>
        <v>0</v>
      </c>
      <c r="BH859" t="str">
        <f ca="1">IF(BG859=1,IF(INDEX(分析データ!$A:$A,ROW()+$C$5)&lt;&gt;"",50000*SIGN(BF859)*(分析データ!D859-INDEX(分析データ!D:D,ROW()+$C$5)),""),"")</f>
        <v/>
      </c>
      <c r="BI859">
        <f t="shared" ca="1" si="373"/>
        <v>5570000.0000000205</v>
      </c>
      <c r="BJ859">
        <f t="shared" ca="1" si="374"/>
        <v>5570000.0000000205</v>
      </c>
      <c r="BK859">
        <f t="shared" ca="1" si="375"/>
        <v>0</v>
      </c>
      <c r="BL859">
        <f ca="1">IF(ROW()&lt;($C$7+1),"",IFERROR((分析データ!E859-AVERAGE(OFFSET(分析データ!E$1,MAX(1,ROW()-$C$7),0,MIN($C$7,ROW()-1),1)))/STDEV(OFFSET(分析データ!E$1,MAX(1,ROW()-$C$7),0,MIN($C$7,ROW()-1),1)),0))</f>
        <v>-3.1447790572723844</v>
      </c>
      <c r="BM859">
        <f t="shared" ca="1" si="376"/>
        <v>1</v>
      </c>
      <c r="BN859">
        <f ca="1">IF(BM859=1,IF(INDEX(分析データ!$A:$A,ROW()+$C$5)&lt;&gt;"",40000*SIGN(BL859)*(分析データ!E859-INDEX(分析データ!E:E,ROW()+$C$5)),""),"")</f>
        <v>-159999.99999999659</v>
      </c>
      <c r="BO859">
        <f t="shared" ca="1" si="377"/>
        <v>1600000.0000000075</v>
      </c>
      <c r="BP859">
        <f t="shared" ca="1" si="378"/>
        <v>4280000.0000000028</v>
      </c>
      <c r="BQ859">
        <f t="shared" ca="1" si="379"/>
        <v>-2679999.9999999953</v>
      </c>
      <c r="BR859">
        <f ca="1">IF(ROW()&lt;($C$7+1),"",IFERROR((分析データ!F859-AVERAGE(OFFSET(分析データ!F$1,MAX(1,ROW()-$C$7),0,MIN($C$7,ROW()-1),1)))/STDEV(OFFSET(分析データ!F$1,MAX(1,ROW()-$C$7),0,MIN($C$7,ROW()-1),1)),0))</f>
        <v>-1.8418648464650296</v>
      </c>
      <c r="BS859">
        <f t="shared" ca="1" si="380"/>
        <v>0</v>
      </c>
      <c r="BT859" t="str">
        <f ca="1">IF(BS859=1,IF(INDEX(分析データ!$A:$A,ROW()+$C$5)&lt;&gt;"",40000*SIGN(BR859)*(分析データ!F859-INDEX(分析データ!F:F,ROW()+$C$5)),""),"")</f>
        <v/>
      </c>
      <c r="BU859">
        <f t="shared" ca="1" si="381"/>
        <v>15838000.000000004</v>
      </c>
      <c r="BV859">
        <f t="shared" ca="1" si="382"/>
        <v>16302000.000000002</v>
      </c>
      <c r="BW859">
        <f t="shared" ca="1" si="383"/>
        <v>-463999.99999999814</v>
      </c>
      <c r="BX859">
        <f ca="1">IF(ROW()&lt;($C$7+1),"",IFERROR((分析データ!G859-AVERAGE(OFFSET(分析データ!G$1,MAX(1,ROW()-$C$7),0,MIN($C$7,ROW()-1),1)))/STDEV(OFFSET(分析データ!G$1,MAX(1,ROW()-$C$7),0,MIN($C$7,ROW()-1),1)),0))</f>
        <v>1.2938433812340471</v>
      </c>
      <c r="BY859">
        <f t="shared" ca="1" si="384"/>
        <v>0</v>
      </c>
      <c r="BZ859" t="str">
        <f ca="1">IF(BY859=1,IF(INDEX(分析データ!$A:$A,ROW()+$C$5)&lt;&gt;"",40000*SIGN(BX859)*(分析データ!G859-INDEX(分析データ!G:G,ROW()+$C$5)),""),"")</f>
        <v/>
      </c>
      <c r="CA859">
        <f t="shared" ca="1" si="385"/>
        <v>-3515452.8662109179</v>
      </c>
      <c r="CB859">
        <f t="shared" ca="1" si="386"/>
        <v>11327520.000000004</v>
      </c>
      <c r="CC859">
        <f t="shared" ca="1" si="387"/>
        <v>-14842972.866210923</v>
      </c>
      <c r="CD859">
        <f t="shared" ca="1" si="388"/>
        <v>-207999.99999999398</v>
      </c>
      <c r="CE859">
        <f t="shared" ca="1" si="389"/>
        <v>14888547.133789144</v>
      </c>
      <c r="CF859">
        <f t="shared" ca="1" si="390"/>
        <v>21567747.133789141</v>
      </c>
      <c r="CG859">
        <f t="shared" ca="1" si="391"/>
        <v>-6679199.9999999963</v>
      </c>
      <c r="CH859" s="10">
        <f>分析データ!A859</f>
        <v>46181</v>
      </c>
    </row>
    <row r="860" spans="46:86">
      <c r="AT860">
        <f ca="1">IF(ROW()&lt;($C$7+1),"",IFERROR((分析データ!B860-AVERAGE(OFFSET(分析データ!B$1,MAX(1,ROW()-$C$7),0,MIN($C$7,ROW()-1),1)))/STDEV(OFFSET(分析データ!B$1,MAX(1,ROW()-$C$7),0,MIN($C$7,ROW()-1),1)),0))</f>
        <v>-0.88724940793180962</v>
      </c>
      <c r="AU860">
        <f t="shared" ca="1" si="364"/>
        <v>0</v>
      </c>
      <c r="AV860" t="str">
        <f ca="1">IF(AU860=1,IF(INDEX(分析データ!$A:$A,ROW()+$C$5)&lt;&gt;"",80000*SIGN(AT860)*(分析データ!B860-INDEX(分析データ!B:B,ROW()+$C$5)),""),"")</f>
        <v/>
      </c>
      <c r="AW860">
        <f t="shared" ca="1" si="365"/>
        <v>-2839999.9999999963</v>
      </c>
      <c r="AX860">
        <f t="shared" ca="1" si="366"/>
        <v>0</v>
      </c>
      <c r="AY860">
        <f t="shared" ca="1" si="367"/>
        <v>-2839999.9999999963</v>
      </c>
      <c r="AZ860">
        <f ca="1">IF(ROW()&lt;($C$7+1),"",IFERROR((分析データ!C860-AVERAGE(OFFSET(分析データ!C$1,MAX(1,ROW()-$C$7),0,MIN($C$7,ROW()-1),1)))/STDEV(OFFSET(分析データ!C$1,MAX(1,ROW()-$C$7),0,MIN($C$7,ROW()-1),1)),0))</f>
        <v>2.0970841280537589</v>
      </c>
      <c r="BA860">
        <f t="shared" ca="1" si="368"/>
        <v>1</v>
      </c>
      <c r="BB860">
        <f ca="1">IF(BA860=1,IF(INDEX(分析データ!$A:$A,ROW()+$C$5)&lt;&gt;"",60000*SIGN(AZ860)*(分析データ!C860-INDEX(分析データ!C:C,ROW()+$C$5)),""),"")</f>
        <v>-38999.999999999702</v>
      </c>
      <c r="BC860">
        <f t="shared" ca="1" si="369"/>
        <v>-1802999.9999999835</v>
      </c>
      <c r="BD860">
        <f t="shared" ca="1" si="370"/>
        <v>3156000.0000000107</v>
      </c>
      <c r="BE860">
        <f t="shared" ca="1" si="371"/>
        <v>-4958999.9999999944</v>
      </c>
      <c r="BF860">
        <f ca="1">IF(ROW()&lt;($C$7+1),"",IFERROR((分析データ!D860-AVERAGE(OFFSET(分析データ!D$1,MAX(1,ROW()-$C$7),0,MIN($C$7,ROW()-1),1)))/STDEV(OFFSET(分析データ!D$1,MAX(1,ROW()-$C$7),0,MIN($C$7,ROW()-1),1)),0))</f>
        <v>-1.1436607322736667</v>
      </c>
      <c r="BG860">
        <f t="shared" ca="1" si="372"/>
        <v>0</v>
      </c>
      <c r="BH860" t="str">
        <f ca="1">IF(BG860=1,IF(INDEX(分析データ!$A:$A,ROW()+$C$5)&lt;&gt;"",50000*SIGN(BF860)*(分析データ!D860-INDEX(分析データ!D:D,ROW()+$C$5)),""),"")</f>
        <v/>
      </c>
      <c r="BI860">
        <f t="shared" ca="1" si="373"/>
        <v>5570000.0000000205</v>
      </c>
      <c r="BJ860">
        <f t="shared" ca="1" si="374"/>
        <v>5570000.0000000205</v>
      </c>
      <c r="BK860">
        <f t="shared" ca="1" si="375"/>
        <v>0</v>
      </c>
      <c r="BL860">
        <f ca="1">IF(ROW()&lt;($C$7+1),"",IFERROR((分析データ!E860-AVERAGE(OFFSET(分析データ!E$1,MAX(1,ROW()-$C$7),0,MIN($C$7,ROW()-1),1)))/STDEV(OFFSET(分析データ!E$1,MAX(1,ROW()-$C$7),0,MIN($C$7,ROW()-1),1)),0))</f>
        <v>-3.0735334912449574</v>
      </c>
      <c r="BM860">
        <f t="shared" ca="1" si="376"/>
        <v>1</v>
      </c>
      <c r="BN860">
        <f ca="1">IF(BM860=1,IF(INDEX(分析データ!$A:$A,ROW()+$C$5)&lt;&gt;"",40000*SIGN(BL860)*(分析データ!E860-INDEX(分析データ!E:E,ROW()+$C$5)),""),"")</f>
        <v>-120000.00000000099</v>
      </c>
      <c r="BO860">
        <f t="shared" ca="1" si="377"/>
        <v>1480000.0000000065</v>
      </c>
      <c r="BP860">
        <f t="shared" ca="1" si="378"/>
        <v>4280000.0000000028</v>
      </c>
      <c r="BQ860">
        <f t="shared" ca="1" si="379"/>
        <v>-2799999.9999999963</v>
      </c>
      <c r="BR860">
        <f ca="1">IF(ROW()&lt;($C$7+1),"",IFERROR((分析データ!F860-AVERAGE(OFFSET(分析データ!F$1,MAX(1,ROW()-$C$7),0,MIN($C$7,ROW()-1),1)))/STDEV(OFFSET(分析データ!F$1,MAX(1,ROW()-$C$7),0,MIN($C$7,ROW()-1),1)),0))</f>
        <v>-1.6294279924112358</v>
      </c>
      <c r="BS860">
        <f t="shared" ca="1" si="380"/>
        <v>0</v>
      </c>
      <c r="BT860" t="str">
        <f ca="1">IF(BS860=1,IF(INDEX(分析データ!$A:$A,ROW()+$C$5)&lt;&gt;"",40000*SIGN(BR860)*(分析データ!F860-INDEX(分析データ!F:F,ROW()+$C$5)),""),"")</f>
        <v/>
      </c>
      <c r="BU860">
        <f t="shared" ca="1" si="381"/>
        <v>15838000.000000004</v>
      </c>
      <c r="BV860">
        <f t="shared" ca="1" si="382"/>
        <v>16302000.000000002</v>
      </c>
      <c r="BW860">
        <f t="shared" ca="1" si="383"/>
        <v>-463999.99999999814</v>
      </c>
      <c r="BX860">
        <f ca="1">IF(ROW()&lt;($C$7+1),"",IFERROR((分析データ!G860-AVERAGE(OFFSET(分析データ!G$1,MAX(1,ROW()-$C$7),0,MIN($C$7,ROW()-1),1)))/STDEV(OFFSET(分析データ!G$1,MAX(1,ROW()-$C$7),0,MIN($C$7,ROW()-1),1)),0))</f>
        <v>1.2105114427450265</v>
      </c>
      <c r="BY860">
        <f t="shared" ca="1" si="384"/>
        <v>0</v>
      </c>
      <c r="BZ860" t="str">
        <f ca="1">IF(BY860=1,IF(INDEX(分析データ!$A:$A,ROW()+$C$5)&lt;&gt;"",40000*SIGN(BX860)*(分析データ!G860-INDEX(分析データ!G:G,ROW()+$C$5)),""),"")</f>
        <v/>
      </c>
      <c r="CA860">
        <f t="shared" ca="1" si="385"/>
        <v>-3515452.8662109179</v>
      </c>
      <c r="CB860">
        <f t="shared" ca="1" si="386"/>
        <v>11327520.000000004</v>
      </c>
      <c r="CC860">
        <f t="shared" ca="1" si="387"/>
        <v>-14842972.866210923</v>
      </c>
      <c r="CD860">
        <f t="shared" ca="1" si="388"/>
        <v>-159000.0000000007</v>
      </c>
      <c r="CE860">
        <f t="shared" ca="1" si="389"/>
        <v>14729547.133789144</v>
      </c>
      <c r="CF860">
        <f t="shared" ca="1" si="390"/>
        <v>21567747.133789141</v>
      </c>
      <c r="CG860">
        <f t="shared" ca="1" si="391"/>
        <v>-6838199.9999999963</v>
      </c>
      <c r="CH860" s="10">
        <f>分析データ!A860</f>
        <v>46182</v>
      </c>
    </row>
    <row r="861" spans="46:86">
      <c r="AT861">
        <f ca="1">IF(ROW()&lt;($C$7+1),"",IFERROR((分析データ!B861-AVERAGE(OFFSET(分析データ!B$1,MAX(1,ROW()-$C$7),0,MIN($C$7,ROW()-1),1)))/STDEV(OFFSET(分析データ!B$1,MAX(1,ROW()-$C$7),0,MIN($C$7,ROW()-1),1)),0))</f>
        <v>-0.49178813397934928</v>
      </c>
      <c r="AU861">
        <f t="shared" ca="1" si="364"/>
        <v>0</v>
      </c>
      <c r="AV861" t="str">
        <f ca="1">IF(AU861=1,IF(INDEX(分析データ!$A:$A,ROW()+$C$5)&lt;&gt;"",80000*SIGN(AT861)*(分析データ!B861-INDEX(分析データ!B:B,ROW()+$C$5)),""),"")</f>
        <v/>
      </c>
      <c r="AW861">
        <f t="shared" ca="1" si="365"/>
        <v>-2839999.9999999963</v>
      </c>
      <c r="AX861">
        <f t="shared" ca="1" si="366"/>
        <v>0</v>
      </c>
      <c r="AY861">
        <f t="shared" ca="1" si="367"/>
        <v>-2839999.9999999963</v>
      </c>
      <c r="AZ861">
        <f ca="1">IF(ROW()&lt;($C$7+1),"",IFERROR((分析データ!C861-AVERAGE(OFFSET(分析データ!C$1,MAX(1,ROW()-$C$7),0,MIN($C$7,ROW()-1),1)))/STDEV(OFFSET(分析データ!C$1,MAX(1,ROW()-$C$7),0,MIN($C$7,ROW()-1),1)),0))</f>
        <v>2.1792344842258409</v>
      </c>
      <c r="BA861">
        <f t="shared" ca="1" si="368"/>
        <v>1</v>
      </c>
      <c r="BB861">
        <f ca="1">IF(BA861=1,IF(INDEX(分析データ!$A:$A,ROW()+$C$5)&lt;&gt;"",60000*SIGN(AZ861)*(分析データ!C861-INDEX(分析データ!C:C,ROW()+$C$5)),""),"")</f>
        <v>158999.9999999998</v>
      </c>
      <c r="BC861">
        <f t="shared" ca="1" si="369"/>
        <v>-1643999.9999999837</v>
      </c>
      <c r="BD861">
        <f t="shared" ca="1" si="370"/>
        <v>3156000.0000000107</v>
      </c>
      <c r="BE861">
        <f t="shared" ca="1" si="371"/>
        <v>-4799999.9999999944</v>
      </c>
      <c r="BF861">
        <f ca="1">IF(ROW()&lt;($C$7+1),"",IFERROR((分析データ!D861-AVERAGE(OFFSET(分析データ!D$1,MAX(1,ROW()-$C$7),0,MIN($C$7,ROW()-1),1)))/STDEV(OFFSET(分析データ!D$1,MAX(1,ROW()-$C$7),0,MIN($C$7,ROW()-1),1)),0))</f>
        <v>-1.1158932349928383</v>
      </c>
      <c r="BG861">
        <f t="shared" ca="1" si="372"/>
        <v>0</v>
      </c>
      <c r="BH861" t="str">
        <f ca="1">IF(BG861=1,IF(INDEX(分析データ!$A:$A,ROW()+$C$5)&lt;&gt;"",50000*SIGN(BF861)*(分析データ!D861-INDEX(分析データ!D:D,ROW()+$C$5)),""),"")</f>
        <v/>
      </c>
      <c r="BI861">
        <f t="shared" ca="1" si="373"/>
        <v>5570000.0000000205</v>
      </c>
      <c r="BJ861">
        <f t="shared" ca="1" si="374"/>
        <v>5570000.0000000205</v>
      </c>
      <c r="BK861">
        <f t="shared" ca="1" si="375"/>
        <v>0</v>
      </c>
      <c r="BL861">
        <f ca="1">IF(ROW()&lt;($C$7+1),"",IFERROR((分析データ!E861-AVERAGE(OFFSET(分析データ!E$1,MAX(1,ROW()-$C$7),0,MIN($C$7,ROW()-1),1)))/STDEV(OFFSET(分析データ!E$1,MAX(1,ROW()-$C$7),0,MIN($C$7,ROW()-1),1)),0))</f>
        <v>-2.8163908503117456</v>
      </c>
      <c r="BM861">
        <f t="shared" ca="1" si="376"/>
        <v>1</v>
      </c>
      <c r="BN861">
        <f ca="1">IF(BM861=1,IF(INDEX(分析データ!$A:$A,ROW()+$C$5)&lt;&gt;"",40000*SIGN(BL861)*(分析データ!E861-INDEX(分析データ!E:E,ROW()+$C$5)),""),"")</f>
        <v>-120000.00000000099</v>
      </c>
      <c r="BO861">
        <f t="shared" ca="1" si="377"/>
        <v>1360000.0000000056</v>
      </c>
      <c r="BP861">
        <f t="shared" ca="1" si="378"/>
        <v>4280000.0000000028</v>
      </c>
      <c r="BQ861">
        <f t="shared" ca="1" si="379"/>
        <v>-2919999.9999999972</v>
      </c>
      <c r="BR861">
        <f ca="1">IF(ROW()&lt;($C$7+1),"",IFERROR((分析データ!F861-AVERAGE(OFFSET(分析データ!F$1,MAX(1,ROW()-$C$7),0,MIN($C$7,ROW()-1),1)))/STDEV(OFFSET(分析データ!F$1,MAX(1,ROW()-$C$7),0,MIN($C$7,ROW()-1),1)),0))</f>
        <v>-1.6002240690132814</v>
      </c>
      <c r="BS861">
        <f t="shared" ca="1" si="380"/>
        <v>0</v>
      </c>
      <c r="BT861" t="str">
        <f ca="1">IF(BS861=1,IF(INDEX(分析データ!$A:$A,ROW()+$C$5)&lt;&gt;"",40000*SIGN(BR861)*(分析データ!F861-INDEX(分析データ!F:F,ROW()+$C$5)),""),"")</f>
        <v/>
      </c>
      <c r="BU861">
        <f t="shared" ca="1" si="381"/>
        <v>15838000.000000004</v>
      </c>
      <c r="BV861">
        <f t="shared" ca="1" si="382"/>
        <v>16302000.000000002</v>
      </c>
      <c r="BW861">
        <f t="shared" ca="1" si="383"/>
        <v>-463999.99999999814</v>
      </c>
      <c r="BX861">
        <f ca="1">IF(ROW()&lt;($C$7+1),"",IFERROR((分析データ!G861-AVERAGE(OFFSET(分析データ!G$1,MAX(1,ROW()-$C$7),0,MIN($C$7,ROW()-1),1)))/STDEV(OFFSET(分析データ!G$1,MAX(1,ROW()-$C$7),0,MIN($C$7,ROW()-1),1)),0))</f>
        <v>1.2031925241991981</v>
      </c>
      <c r="BY861">
        <f t="shared" ca="1" si="384"/>
        <v>0</v>
      </c>
      <c r="BZ861" t="str">
        <f ca="1">IF(BY861=1,IF(INDEX(分析データ!$A:$A,ROW()+$C$5)&lt;&gt;"",40000*SIGN(BX861)*(分析データ!G861-INDEX(分析データ!G:G,ROW()+$C$5)),""),"")</f>
        <v/>
      </c>
      <c r="CA861">
        <f t="shared" ca="1" si="385"/>
        <v>-3515452.8662109179</v>
      </c>
      <c r="CB861">
        <f t="shared" ca="1" si="386"/>
        <v>11327520.000000004</v>
      </c>
      <c r="CC861">
        <f t="shared" ca="1" si="387"/>
        <v>-14842972.866210923</v>
      </c>
      <c r="CD861">
        <f t="shared" ca="1" si="388"/>
        <v>38999.999999998807</v>
      </c>
      <c r="CE861">
        <f t="shared" ca="1" si="389"/>
        <v>14768547.133789143</v>
      </c>
      <c r="CF861">
        <f t="shared" ca="1" si="390"/>
        <v>21567747.133789141</v>
      </c>
      <c r="CG861">
        <f t="shared" ca="1" si="391"/>
        <v>-6799199.9999999981</v>
      </c>
      <c r="CH861" s="10">
        <f>分析データ!A861</f>
        <v>46183</v>
      </c>
    </row>
    <row r="862" spans="46:86">
      <c r="AT862">
        <f ca="1">IF(ROW()&lt;($C$7+1),"",IFERROR((分析データ!B862-AVERAGE(OFFSET(分析データ!B$1,MAX(1,ROW()-$C$7),0,MIN($C$7,ROW()-1),1)))/STDEV(OFFSET(分析データ!B$1,MAX(1,ROW()-$C$7),0,MIN($C$7,ROW()-1),1)),0))</f>
        <v>-1.2632414255640183</v>
      </c>
      <c r="AU862">
        <f t="shared" ca="1" si="364"/>
        <v>0</v>
      </c>
      <c r="AV862" t="str">
        <f ca="1">IF(AU862=1,IF(INDEX(分析データ!$A:$A,ROW()+$C$5)&lt;&gt;"",80000*SIGN(AT862)*(分析データ!B862-INDEX(分析データ!B:B,ROW()+$C$5)),""),"")</f>
        <v/>
      </c>
      <c r="AW862">
        <f t="shared" ca="1" si="365"/>
        <v>-2839999.9999999963</v>
      </c>
      <c r="AX862">
        <f t="shared" ca="1" si="366"/>
        <v>0</v>
      </c>
      <c r="AY862">
        <f t="shared" ca="1" si="367"/>
        <v>-2839999.9999999963</v>
      </c>
      <c r="AZ862">
        <f ca="1">IF(ROW()&lt;($C$7+1),"",IFERROR((分析データ!C862-AVERAGE(OFFSET(分析データ!C$1,MAX(1,ROW()-$C$7),0,MIN($C$7,ROW()-1),1)))/STDEV(OFFSET(分析データ!C$1,MAX(1,ROW()-$C$7),0,MIN($C$7,ROW()-1),1)),0))</f>
        <v>2.1098109636778579</v>
      </c>
      <c r="BA862">
        <f t="shared" ca="1" si="368"/>
        <v>1</v>
      </c>
      <c r="BB862">
        <f ca="1">IF(BA862=1,IF(INDEX(分析データ!$A:$A,ROW()+$C$5)&lt;&gt;"",60000*SIGN(AZ862)*(分析データ!C862-INDEX(分析データ!C:C,ROW()+$C$5)),""),"")</f>
        <v>179999.99999999884</v>
      </c>
      <c r="BC862">
        <f t="shared" ca="1" si="369"/>
        <v>-1463999.9999999849</v>
      </c>
      <c r="BD862">
        <f t="shared" ca="1" si="370"/>
        <v>3156000.0000000107</v>
      </c>
      <c r="BE862">
        <f t="shared" ca="1" si="371"/>
        <v>-4619999.9999999953</v>
      </c>
      <c r="BF862">
        <f ca="1">IF(ROW()&lt;($C$7+1),"",IFERROR((分析データ!D862-AVERAGE(OFFSET(分析データ!D$1,MAX(1,ROW()-$C$7),0,MIN($C$7,ROW()-1),1)))/STDEV(OFFSET(分析データ!D$1,MAX(1,ROW()-$C$7),0,MIN($C$7,ROW()-1),1)),0))</f>
        <v>-1.3872016527399493</v>
      </c>
      <c r="BG862">
        <f t="shared" ca="1" si="372"/>
        <v>0</v>
      </c>
      <c r="BH862" t="str">
        <f ca="1">IF(BG862=1,IF(INDEX(分析データ!$A:$A,ROW()+$C$5)&lt;&gt;"",50000*SIGN(BF862)*(分析データ!D862-INDEX(分析データ!D:D,ROW()+$C$5)),""),"")</f>
        <v/>
      </c>
      <c r="BI862">
        <f t="shared" ca="1" si="373"/>
        <v>5570000.0000000205</v>
      </c>
      <c r="BJ862">
        <f t="shared" ca="1" si="374"/>
        <v>5570000.0000000205</v>
      </c>
      <c r="BK862">
        <f t="shared" ca="1" si="375"/>
        <v>0</v>
      </c>
      <c r="BL862">
        <f ca="1">IF(ROW()&lt;($C$7+1),"",IFERROR((分析データ!E862-AVERAGE(OFFSET(分析データ!E$1,MAX(1,ROW()-$C$7),0,MIN($C$7,ROW()-1),1)))/STDEV(OFFSET(分析データ!E$1,MAX(1,ROW()-$C$7),0,MIN($C$7,ROW()-1),1)),0))</f>
        <v>-2.9573515156892616</v>
      </c>
      <c r="BM862">
        <f t="shared" ca="1" si="376"/>
        <v>1</v>
      </c>
      <c r="BN862">
        <f ca="1">IF(BM862=1,IF(INDEX(分析データ!$A:$A,ROW()+$C$5)&lt;&gt;"",40000*SIGN(BL862)*(分析データ!E862-INDEX(分析データ!E:E,ROW()+$C$5)),""),"")</f>
        <v>-40000.000000002699</v>
      </c>
      <c r="BO862">
        <f t="shared" ca="1" si="377"/>
        <v>1320000.0000000028</v>
      </c>
      <c r="BP862">
        <f t="shared" ca="1" si="378"/>
        <v>4280000.0000000028</v>
      </c>
      <c r="BQ862">
        <f t="shared" ca="1" si="379"/>
        <v>-2960000</v>
      </c>
      <c r="BR862">
        <f ca="1">IF(ROW()&lt;($C$7+1),"",IFERROR((分析データ!F862-AVERAGE(OFFSET(分析データ!F$1,MAX(1,ROW()-$C$7),0,MIN($C$7,ROW()-1),1)))/STDEV(OFFSET(分析データ!F$1,MAX(1,ROW()-$C$7),0,MIN($C$7,ROW()-1),1)),0))</f>
        <v>-0.66078769946511018</v>
      </c>
      <c r="BS862">
        <f t="shared" ca="1" si="380"/>
        <v>0</v>
      </c>
      <c r="BT862" t="str">
        <f ca="1">IF(BS862=1,IF(INDEX(分析データ!$A:$A,ROW()+$C$5)&lt;&gt;"",40000*SIGN(BR862)*(分析データ!F862-INDEX(分析データ!F:F,ROW()+$C$5)),""),"")</f>
        <v/>
      </c>
      <c r="BU862">
        <f t="shared" ca="1" si="381"/>
        <v>15838000.000000004</v>
      </c>
      <c r="BV862">
        <f t="shared" ca="1" si="382"/>
        <v>16302000.000000002</v>
      </c>
      <c r="BW862">
        <f t="shared" ca="1" si="383"/>
        <v>-463999.99999999814</v>
      </c>
      <c r="BX862">
        <f ca="1">IF(ROW()&lt;($C$7+1),"",IFERROR((分析データ!G862-AVERAGE(OFFSET(分析データ!G$1,MAX(1,ROW()-$C$7),0,MIN($C$7,ROW()-1),1)))/STDEV(OFFSET(分析データ!G$1,MAX(1,ROW()-$C$7),0,MIN($C$7,ROW()-1),1)),0))</f>
        <v>1.0584852902936746</v>
      </c>
      <c r="BY862">
        <f t="shared" ca="1" si="384"/>
        <v>0</v>
      </c>
      <c r="BZ862" t="str">
        <f ca="1">IF(BY862=1,IF(INDEX(分析データ!$A:$A,ROW()+$C$5)&lt;&gt;"",40000*SIGN(BX862)*(分析データ!G862-INDEX(分析データ!G:G,ROW()+$C$5)),""),"")</f>
        <v/>
      </c>
      <c r="CA862">
        <f t="shared" ca="1" si="385"/>
        <v>-3515452.8662109179</v>
      </c>
      <c r="CB862">
        <f t="shared" ca="1" si="386"/>
        <v>11327520.000000004</v>
      </c>
      <c r="CC862">
        <f t="shared" ca="1" si="387"/>
        <v>-14842972.866210923</v>
      </c>
      <c r="CD862">
        <f t="shared" ca="1" si="388"/>
        <v>139999.99999999613</v>
      </c>
      <c r="CE862">
        <f t="shared" ca="1" si="389"/>
        <v>14908547.133789139</v>
      </c>
      <c r="CF862">
        <f t="shared" ca="1" si="390"/>
        <v>21567747.133789141</v>
      </c>
      <c r="CG862">
        <f t="shared" ca="1" si="391"/>
        <v>-6659200.0000000019</v>
      </c>
      <c r="CH862" s="10">
        <f>分析データ!A862</f>
        <v>46184</v>
      </c>
    </row>
    <row r="863" spans="46:86">
      <c r="AT863">
        <f ca="1">IF(ROW()&lt;($C$7+1),"",IFERROR((分析データ!B863-AVERAGE(OFFSET(分析データ!B$1,MAX(1,ROW()-$C$7),0,MIN($C$7,ROW()-1),1)))/STDEV(OFFSET(分析データ!B$1,MAX(1,ROW()-$C$7),0,MIN($C$7,ROW()-1),1)),0))</f>
        <v>-1.2527372492536546</v>
      </c>
      <c r="AU863">
        <f t="shared" ca="1" si="364"/>
        <v>0</v>
      </c>
      <c r="AV863" t="str">
        <f ca="1">IF(AU863=1,IF(INDEX(分析データ!$A:$A,ROW()+$C$5)&lt;&gt;"",80000*SIGN(AT863)*(分析データ!B863-INDEX(分析データ!B:B,ROW()+$C$5)),""),"")</f>
        <v/>
      </c>
      <c r="AW863">
        <f t="shared" ca="1" si="365"/>
        <v>-2839999.9999999963</v>
      </c>
      <c r="AX863">
        <f t="shared" ca="1" si="366"/>
        <v>0</v>
      </c>
      <c r="AY863">
        <f t="shared" ca="1" si="367"/>
        <v>-2839999.9999999963</v>
      </c>
      <c r="AZ863">
        <f ca="1">IF(ROW()&lt;($C$7+1),"",IFERROR((分析データ!C863-AVERAGE(OFFSET(分析データ!C$1,MAX(1,ROW()-$C$7),0,MIN($C$7,ROW()-1),1)))/STDEV(OFFSET(分析データ!C$1,MAX(1,ROW()-$C$7),0,MIN($C$7,ROW()-1),1)),0))</f>
        <v>2.0391491672263897</v>
      </c>
      <c r="BA863">
        <f t="shared" ca="1" si="368"/>
        <v>1</v>
      </c>
      <c r="BB863">
        <f ca="1">IF(BA863=1,IF(INDEX(分析データ!$A:$A,ROW()+$C$5)&lt;&gt;"",60000*SIGN(AZ863)*(分析データ!C863-INDEX(分析データ!C:C,ROW()+$C$5)),""),"")</f>
        <v>29999.999999996697</v>
      </c>
      <c r="BC863">
        <f t="shared" ca="1" si="369"/>
        <v>-1433999.9999999881</v>
      </c>
      <c r="BD863">
        <f t="shared" ca="1" si="370"/>
        <v>3156000.0000000107</v>
      </c>
      <c r="BE863">
        <f t="shared" ca="1" si="371"/>
        <v>-4589999.9999999991</v>
      </c>
      <c r="BF863">
        <f ca="1">IF(ROW()&lt;($C$7+1),"",IFERROR((分析データ!D863-AVERAGE(OFFSET(分析データ!D$1,MAX(1,ROW()-$C$7),0,MIN($C$7,ROW()-1),1)))/STDEV(OFFSET(分析データ!D$1,MAX(1,ROW()-$C$7),0,MIN($C$7,ROW()-1),1)),0))</f>
        <v>-1.1890898876469902</v>
      </c>
      <c r="BG863">
        <f t="shared" ca="1" si="372"/>
        <v>0</v>
      </c>
      <c r="BH863" t="str">
        <f ca="1">IF(BG863=1,IF(INDEX(分析データ!$A:$A,ROW()+$C$5)&lt;&gt;"",50000*SIGN(BF863)*(分析データ!D863-INDEX(分析データ!D:D,ROW()+$C$5)),""),"")</f>
        <v/>
      </c>
      <c r="BI863">
        <f t="shared" ca="1" si="373"/>
        <v>5570000.0000000205</v>
      </c>
      <c r="BJ863">
        <f t="shared" ca="1" si="374"/>
        <v>5570000.0000000205</v>
      </c>
      <c r="BK863">
        <f t="shared" ca="1" si="375"/>
        <v>0</v>
      </c>
      <c r="BL863">
        <f ca="1">IF(ROW()&lt;($C$7+1),"",IFERROR((分析データ!E863-AVERAGE(OFFSET(分析データ!E$1,MAX(1,ROW()-$C$7),0,MIN($C$7,ROW()-1),1)))/STDEV(OFFSET(分析データ!E$1,MAX(1,ROW()-$C$7),0,MIN($C$7,ROW()-1),1)),0))</f>
        <v>-2.8996090354898052</v>
      </c>
      <c r="BM863">
        <f t="shared" ca="1" si="376"/>
        <v>1</v>
      </c>
      <c r="BN863">
        <f ca="1">IF(BM863=1,IF(INDEX(分析データ!$A:$A,ROW()+$C$5)&lt;&gt;"",40000*SIGN(BL863)*(分析データ!E863-INDEX(分析データ!E:E,ROW()+$C$5)),""),"")</f>
        <v>-120000.00000000099</v>
      </c>
      <c r="BO863">
        <f t="shared" ca="1" si="377"/>
        <v>1200000.0000000019</v>
      </c>
      <c r="BP863">
        <f t="shared" ca="1" si="378"/>
        <v>4280000.0000000028</v>
      </c>
      <c r="BQ863">
        <f t="shared" ca="1" si="379"/>
        <v>-3080000.0000000009</v>
      </c>
      <c r="BR863">
        <f ca="1">IF(ROW()&lt;($C$7+1),"",IFERROR((分析データ!F863-AVERAGE(OFFSET(分析データ!F$1,MAX(1,ROW()-$C$7),0,MIN($C$7,ROW()-1),1)))/STDEV(OFFSET(分析データ!F$1,MAX(1,ROW()-$C$7),0,MIN($C$7,ROW()-1),1)),0))</f>
        <v>-1.4037273079938073</v>
      </c>
      <c r="BS863">
        <f t="shared" ca="1" si="380"/>
        <v>0</v>
      </c>
      <c r="BT863" t="str">
        <f ca="1">IF(BS863=1,IF(INDEX(分析データ!$A:$A,ROW()+$C$5)&lt;&gt;"",40000*SIGN(BR863)*(分析データ!F863-INDEX(分析データ!F:F,ROW()+$C$5)),""),"")</f>
        <v/>
      </c>
      <c r="BU863">
        <f t="shared" ca="1" si="381"/>
        <v>15838000.000000004</v>
      </c>
      <c r="BV863">
        <f t="shared" ca="1" si="382"/>
        <v>16302000.000000002</v>
      </c>
      <c r="BW863">
        <f t="shared" ca="1" si="383"/>
        <v>-463999.99999999814</v>
      </c>
      <c r="BX863">
        <f ca="1">IF(ROW()&lt;($C$7+1),"",IFERROR((分析データ!G863-AVERAGE(OFFSET(分析データ!G$1,MAX(1,ROW()-$C$7),0,MIN($C$7,ROW()-1),1)))/STDEV(OFFSET(分析データ!G$1,MAX(1,ROW()-$C$7),0,MIN($C$7,ROW()-1),1)),0))</f>
        <v>1.1237122932795083</v>
      </c>
      <c r="BY863">
        <f t="shared" ca="1" si="384"/>
        <v>0</v>
      </c>
      <c r="BZ863" t="str">
        <f ca="1">IF(BY863=1,IF(INDEX(分析データ!$A:$A,ROW()+$C$5)&lt;&gt;"",40000*SIGN(BX863)*(分析データ!G863-INDEX(分析データ!G:G,ROW()+$C$5)),""),"")</f>
        <v/>
      </c>
      <c r="CA863">
        <f t="shared" ca="1" si="385"/>
        <v>-3515452.8662109179</v>
      </c>
      <c r="CB863">
        <f t="shared" ca="1" si="386"/>
        <v>11327520.000000004</v>
      </c>
      <c r="CC863">
        <f t="shared" ca="1" si="387"/>
        <v>-14842972.866210923</v>
      </c>
      <c r="CD863">
        <f t="shared" ca="1" si="388"/>
        <v>-90000.000000004293</v>
      </c>
      <c r="CE863">
        <f t="shared" ca="1" si="389"/>
        <v>14818547.133789135</v>
      </c>
      <c r="CF863">
        <f t="shared" ca="1" si="390"/>
        <v>21567747.133789141</v>
      </c>
      <c r="CG863">
        <f t="shared" ca="1" si="391"/>
        <v>-6749200.0000000056</v>
      </c>
      <c r="CH863" s="10">
        <f>分析データ!A863</f>
        <v>46185</v>
      </c>
    </row>
    <row r="864" spans="46:86">
      <c r="AT864">
        <f ca="1">IF(ROW()&lt;($C$7+1),"",IFERROR((分析データ!B864-AVERAGE(OFFSET(分析データ!B$1,MAX(1,ROW()-$C$7),0,MIN($C$7,ROW()-1),1)))/STDEV(OFFSET(分析データ!B$1,MAX(1,ROW()-$C$7),0,MIN($C$7,ROW()-1),1)),0))</f>
        <v>-1.2434916994305003</v>
      </c>
      <c r="AU864">
        <f t="shared" ca="1" si="364"/>
        <v>0</v>
      </c>
      <c r="AV864" t="str">
        <f ca="1">IF(AU864=1,IF(INDEX(分析データ!$A:$A,ROW()+$C$5)&lt;&gt;"",80000*SIGN(AT864)*(分析データ!B864-INDEX(分析データ!B:B,ROW()+$C$5)),""),"")</f>
        <v/>
      </c>
      <c r="AW864">
        <f t="shared" ca="1" si="365"/>
        <v>-2839999.9999999963</v>
      </c>
      <c r="AX864">
        <f t="shared" ca="1" si="366"/>
        <v>0</v>
      </c>
      <c r="AY864">
        <f t="shared" ca="1" si="367"/>
        <v>-2839999.9999999963</v>
      </c>
      <c r="AZ864">
        <f ca="1">IF(ROW()&lt;($C$7+1),"",IFERROR((分析データ!C864-AVERAGE(OFFSET(分析データ!C$1,MAX(1,ROW()-$C$7),0,MIN($C$7,ROW()-1),1)))/STDEV(OFFSET(分析データ!C$1,MAX(1,ROW()-$C$7),0,MIN($C$7,ROW()-1),1)),0))</f>
        <v>1.8063163871774153</v>
      </c>
      <c r="BA864">
        <f t="shared" ca="1" si="368"/>
        <v>0</v>
      </c>
      <c r="BB864" t="str">
        <f ca="1">IF(BA864=1,IF(INDEX(分析データ!$A:$A,ROW()+$C$5)&lt;&gt;"",60000*SIGN(AZ864)*(分析データ!C864-INDEX(分析データ!C:C,ROW()+$C$5)),""),"")</f>
        <v/>
      </c>
      <c r="BC864">
        <f t="shared" ca="1" si="369"/>
        <v>-1433999.9999999881</v>
      </c>
      <c r="BD864">
        <f t="shared" ca="1" si="370"/>
        <v>3156000.0000000107</v>
      </c>
      <c r="BE864">
        <f t="shared" ca="1" si="371"/>
        <v>-4589999.9999999991</v>
      </c>
      <c r="BF864">
        <f ca="1">IF(ROW()&lt;($C$7+1),"",IFERROR((分析データ!D864-AVERAGE(OFFSET(分析データ!D$1,MAX(1,ROW()-$C$7),0,MIN($C$7,ROW()-1),1)))/STDEV(OFFSET(分析データ!D$1,MAX(1,ROW()-$C$7),0,MIN($C$7,ROW()-1),1)),0))</f>
        <v>-1.059828519358232</v>
      </c>
      <c r="BG864">
        <f t="shared" ca="1" si="372"/>
        <v>0</v>
      </c>
      <c r="BH864" t="str">
        <f ca="1">IF(BG864=1,IF(INDEX(分析データ!$A:$A,ROW()+$C$5)&lt;&gt;"",50000*SIGN(BF864)*(分析データ!D864-INDEX(分析データ!D:D,ROW()+$C$5)),""),"")</f>
        <v/>
      </c>
      <c r="BI864">
        <f t="shared" ca="1" si="373"/>
        <v>5570000.0000000205</v>
      </c>
      <c r="BJ864">
        <f t="shared" ca="1" si="374"/>
        <v>5570000.0000000205</v>
      </c>
      <c r="BK864">
        <f t="shared" ca="1" si="375"/>
        <v>0</v>
      </c>
      <c r="BL864">
        <f ca="1">IF(ROW()&lt;($C$7+1),"",IFERROR((分析データ!E864-AVERAGE(OFFSET(分析データ!E$1,MAX(1,ROW()-$C$7),0,MIN($C$7,ROW()-1),1)))/STDEV(OFFSET(分析データ!E$1,MAX(1,ROW()-$C$7),0,MIN($C$7,ROW()-1),1)),0))</f>
        <v>-2.4686706651042454</v>
      </c>
      <c r="BM864">
        <f t="shared" ca="1" si="376"/>
        <v>1</v>
      </c>
      <c r="BN864">
        <f ca="1">IF(BM864=1,IF(INDEX(分析データ!$A:$A,ROW()+$C$5)&lt;&gt;"",40000*SIGN(BL864)*(分析データ!E864-INDEX(分析データ!E:E,ROW()+$C$5)),""),"")</f>
        <v>-160000.00000000015</v>
      </c>
      <c r="BO864">
        <f t="shared" ca="1" si="377"/>
        <v>1040000.0000000017</v>
      </c>
      <c r="BP864">
        <f t="shared" ca="1" si="378"/>
        <v>4280000.0000000028</v>
      </c>
      <c r="BQ864">
        <f t="shared" ca="1" si="379"/>
        <v>-3240000.0000000009</v>
      </c>
      <c r="BR864">
        <f ca="1">IF(ROW()&lt;($C$7+1),"",IFERROR((分析データ!F864-AVERAGE(OFFSET(分析データ!F$1,MAX(1,ROW()-$C$7),0,MIN($C$7,ROW()-1),1)))/STDEV(OFFSET(分析データ!F$1,MAX(1,ROW()-$C$7),0,MIN($C$7,ROW()-1),1)),0))</f>
        <v>-1.4933131924581071</v>
      </c>
      <c r="BS864">
        <f t="shared" ca="1" si="380"/>
        <v>0</v>
      </c>
      <c r="BT864" t="str">
        <f ca="1">IF(BS864=1,IF(INDEX(分析データ!$A:$A,ROW()+$C$5)&lt;&gt;"",40000*SIGN(BR864)*(分析データ!F864-INDEX(分析データ!F:F,ROW()+$C$5)),""),"")</f>
        <v/>
      </c>
      <c r="BU864">
        <f t="shared" ca="1" si="381"/>
        <v>15838000.000000004</v>
      </c>
      <c r="BV864">
        <f t="shared" ca="1" si="382"/>
        <v>16302000.000000002</v>
      </c>
      <c r="BW864">
        <f t="shared" ca="1" si="383"/>
        <v>-463999.99999999814</v>
      </c>
      <c r="BX864">
        <f ca="1">IF(ROW()&lt;($C$7+1),"",IFERROR((分析データ!G864-AVERAGE(OFFSET(分析データ!G$1,MAX(1,ROW()-$C$7),0,MIN($C$7,ROW()-1),1)))/STDEV(OFFSET(分析データ!G$1,MAX(1,ROW()-$C$7),0,MIN($C$7,ROW()-1),1)),0))</f>
        <v>0.98634989262920336</v>
      </c>
      <c r="BY864">
        <f t="shared" ca="1" si="384"/>
        <v>0</v>
      </c>
      <c r="BZ864" t="str">
        <f ca="1">IF(BY864=1,IF(INDEX(分析データ!$A:$A,ROW()+$C$5)&lt;&gt;"",40000*SIGN(BX864)*(分析データ!G864-INDEX(分析データ!G:G,ROW()+$C$5)),""),"")</f>
        <v/>
      </c>
      <c r="CA864">
        <f t="shared" ca="1" si="385"/>
        <v>-3515452.8662109179</v>
      </c>
      <c r="CB864">
        <f t="shared" ca="1" si="386"/>
        <v>11327520.000000004</v>
      </c>
      <c r="CC864">
        <f t="shared" ca="1" si="387"/>
        <v>-14842972.866210923</v>
      </c>
      <c r="CD864">
        <f t="shared" ca="1" si="388"/>
        <v>-160000.00000000015</v>
      </c>
      <c r="CE864">
        <f t="shared" ca="1" si="389"/>
        <v>14658547.133789135</v>
      </c>
      <c r="CF864">
        <f t="shared" ca="1" si="390"/>
        <v>21567747.133789141</v>
      </c>
      <c r="CG864">
        <f t="shared" ca="1" si="391"/>
        <v>-6909200.0000000056</v>
      </c>
      <c r="CH864" s="10">
        <f>分析データ!A864</f>
        <v>46188</v>
      </c>
    </row>
    <row r="865" spans="46:86">
      <c r="AT865">
        <f ca="1">IF(ROW()&lt;($C$7+1),"",IFERROR((分析データ!B865-AVERAGE(OFFSET(分析データ!B$1,MAX(1,ROW()-$C$7),0,MIN($C$7,ROW()-1),1)))/STDEV(OFFSET(分析データ!B$1,MAX(1,ROW()-$C$7),0,MIN($C$7,ROW()-1),1)),0))</f>
        <v>-1.6161302770051822</v>
      </c>
      <c r="AU865">
        <f t="shared" ca="1" si="364"/>
        <v>0</v>
      </c>
      <c r="AV865" t="str">
        <f ca="1">IF(AU865=1,IF(INDEX(分析データ!$A:$A,ROW()+$C$5)&lt;&gt;"",80000*SIGN(AT865)*(分析データ!B865-INDEX(分析データ!B:B,ROW()+$C$5)),""),"")</f>
        <v/>
      </c>
      <c r="AW865">
        <f t="shared" ca="1" si="365"/>
        <v>-2839999.9999999963</v>
      </c>
      <c r="AX865">
        <f t="shared" ca="1" si="366"/>
        <v>0</v>
      </c>
      <c r="AY865">
        <f t="shared" ca="1" si="367"/>
        <v>-2839999.9999999963</v>
      </c>
      <c r="AZ865">
        <f ca="1">IF(ROW()&lt;($C$7+1),"",IFERROR((分析データ!C865-AVERAGE(OFFSET(分析データ!C$1,MAX(1,ROW()-$C$7),0,MIN($C$7,ROW()-1),1)))/STDEV(OFFSET(分析データ!C$1,MAX(1,ROW()-$C$7),0,MIN($C$7,ROW()-1),1)),0))</f>
        <v>2.158935322161124</v>
      </c>
      <c r="BA865">
        <f t="shared" ca="1" si="368"/>
        <v>1</v>
      </c>
      <c r="BB865">
        <f ca="1">IF(BA865=1,IF(INDEX(分析データ!$A:$A,ROW()+$C$5)&lt;&gt;"",60000*SIGN(AZ865)*(分析データ!C865-INDEX(分析データ!C:C,ROW()+$C$5)),""),"")</f>
        <v>29999.99999999936</v>
      </c>
      <c r="BC865">
        <f t="shared" ca="1" si="369"/>
        <v>-1403999.9999999888</v>
      </c>
      <c r="BD865">
        <f t="shared" ca="1" si="370"/>
        <v>3156000.0000000107</v>
      </c>
      <c r="BE865">
        <f t="shared" ca="1" si="371"/>
        <v>-4560000</v>
      </c>
      <c r="BF865">
        <f ca="1">IF(ROW()&lt;($C$7+1),"",IFERROR((分析データ!D865-AVERAGE(OFFSET(分析データ!D$1,MAX(1,ROW()-$C$7),0,MIN($C$7,ROW()-1),1)))/STDEV(OFFSET(分析データ!D$1,MAX(1,ROW()-$C$7),0,MIN($C$7,ROW()-1),1)),0))</f>
        <v>-1.3476176679424599</v>
      </c>
      <c r="BG865">
        <f t="shared" ca="1" si="372"/>
        <v>0</v>
      </c>
      <c r="BH865" t="str">
        <f ca="1">IF(BG865=1,IF(INDEX(分析データ!$A:$A,ROW()+$C$5)&lt;&gt;"",50000*SIGN(BF865)*(分析データ!D865-INDEX(分析データ!D:D,ROW()+$C$5)),""),"")</f>
        <v/>
      </c>
      <c r="BI865">
        <f t="shared" ca="1" si="373"/>
        <v>5570000.0000000205</v>
      </c>
      <c r="BJ865">
        <f t="shared" ca="1" si="374"/>
        <v>5570000.0000000205</v>
      </c>
      <c r="BK865">
        <f t="shared" ca="1" si="375"/>
        <v>0</v>
      </c>
      <c r="BL865">
        <f ca="1">IF(ROW()&lt;($C$7+1),"",IFERROR((分析データ!E865-AVERAGE(OFFSET(分析データ!E$1,MAX(1,ROW()-$C$7),0,MIN($C$7,ROW()-1),1)))/STDEV(OFFSET(分析データ!E$1,MAX(1,ROW()-$C$7),0,MIN($C$7,ROW()-1),1)),0))</f>
        <v>-2.8050472859557209</v>
      </c>
      <c r="BM865">
        <f t="shared" ca="1" si="376"/>
        <v>1</v>
      </c>
      <c r="BN865">
        <f ca="1">IF(BM865=1,IF(INDEX(分析データ!$A:$A,ROW()+$C$5)&lt;&gt;"",40000*SIGN(BL865)*(分析データ!E865-INDEX(分析データ!E:E,ROW()+$C$5)),""),"")</f>
        <v>-119999.99999999744</v>
      </c>
      <c r="BO865">
        <f t="shared" ca="1" si="377"/>
        <v>920000.00000000431</v>
      </c>
      <c r="BP865">
        <f t="shared" ca="1" si="378"/>
        <v>4280000.0000000028</v>
      </c>
      <c r="BQ865">
        <f t="shared" ca="1" si="379"/>
        <v>-3359999.9999999986</v>
      </c>
      <c r="BR865">
        <f ca="1">IF(ROW()&lt;($C$7+1),"",IFERROR((分析データ!F865-AVERAGE(OFFSET(分析データ!F$1,MAX(1,ROW()-$C$7),0,MIN($C$7,ROW()-1),1)))/STDEV(OFFSET(分析データ!F$1,MAX(1,ROW()-$C$7),0,MIN($C$7,ROW()-1),1)),0))</f>
        <v>-1.6705760286101592</v>
      </c>
      <c r="BS865">
        <f t="shared" ca="1" si="380"/>
        <v>0</v>
      </c>
      <c r="BT865" t="str">
        <f ca="1">IF(BS865=1,IF(INDEX(分析データ!$A:$A,ROW()+$C$5)&lt;&gt;"",40000*SIGN(BR865)*(分析データ!F865-INDEX(分析データ!F:F,ROW()+$C$5)),""),"")</f>
        <v/>
      </c>
      <c r="BU865">
        <f t="shared" ca="1" si="381"/>
        <v>15838000.000000004</v>
      </c>
      <c r="BV865">
        <f t="shared" ca="1" si="382"/>
        <v>16302000.000000002</v>
      </c>
      <c r="BW865">
        <f t="shared" ca="1" si="383"/>
        <v>-463999.99999999814</v>
      </c>
      <c r="BX865">
        <f ca="1">IF(ROW()&lt;($C$7+1),"",IFERROR((分析データ!G865-AVERAGE(OFFSET(分析データ!G$1,MAX(1,ROW()-$C$7),0,MIN($C$7,ROW()-1),1)))/STDEV(OFFSET(分析データ!G$1,MAX(1,ROW()-$C$7),0,MIN($C$7,ROW()-1),1)),0))</f>
        <v>1.3238882992257146</v>
      </c>
      <c r="BY865">
        <f t="shared" ca="1" si="384"/>
        <v>0</v>
      </c>
      <c r="BZ865" t="str">
        <f ca="1">IF(BY865=1,IF(INDEX(分析データ!$A:$A,ROW()+$C$5)&lt;&gt;"",40000*SIGN(BX865)*(分析データ!G865-INDEX(分析データ!G:G,ROW()+$C$5)),""),"")</f>
        <v/>
      </c>
      <c r="CA865">
        <f t="shared" ca="1" si="385"/>
        <v>-3515452.8662109179</v>
      </c>
      <c r="CB865">
        <f t="shared" ca="1" si="386"/>
        <v>11327520.000000004</v>
      </c>
      <c r="CC865">
        <f t="shared" ca="1" si="387"/>
        <v>-14842972.866210923</v>
      </c>
      <c r="CD865">
        <f t="shared" ca="1" si="388"/>
        <v>-89999.999999998079</v>
      </c>
      <c r="CE865">
        <f t="shared" ca="1" si="389"/>
        <v>14568547.133789137</v>
      </c>
      <c r="CF865">
        <f t="shared" ca="1" si="390"/>
        <v>21567747.133789141</v>
      </c>
      <c r="CG865">
        <f t="shared" ca="1" si="391"/>
        <v>-6999200.0000000037</v>
      </c>
      <c r="CH865" s="10">
        <f>分析データ!A865</f>
        <v>46189</v>
      </c>
    </row>
    <row r="866" spans="46:86">
      <c r="AT866">
        <f ca="1">IF(ROW()&lt;($C$7+1),"",IFERROR((分析データ!B866-AVERAGE(OFFSET(分析データ!B$1,MAX(1,ROW()-$C$7),0,MIN($C$7,ROW()-1),1)))/STDEV(OFFSET(分析データ!B$1,MAX(1,ROW()-$C$7),0,MIN($C$7,ROW()-1),1)),0))</f>
        <v>-2.166946866596287</v>
      </c>
      <c r="AU866">
        <f t="shared" ca="1" si="364"/>
        <v>1</v>
      </c>
      <c r="AV866">
        <f ca="1">IF(AU866=1,IF(INDEX(分析データ!$A:$A,ROW()+$C$5)&lt;&gt;"",80000*SIGN(AT866)*(分析データ!B866-INDEX(分析データ!B:B,ROW()+$C$5)),""),"")</f>
        <v>39999.99999999204</v>
      </c>
      <c r="AW866">
        <f t="shared" ca="1" si="365"/>
        <v>-2800000.0000000042</v>
      </c>
      <c r="AX866">
        <f t="shared" ca="1" si="366"/>
        <v>0</v>
      </c>
      <c r="AY866">
        <f t="shared" ca="1" si="367"/>
        <v>-2800000.0000000042</v>
      </c>
      <c r="AZ866">
        <f ca="1">IF(ROW()&lt;($C$7+1),"",IFERROR((分析データ!C866-AVERAGE(OFFSET(分析データ!C$1,MAX(1,ROW()-$C$7),0,MIN($C$7,ROW()-1),1)))/STDEV(OFFSET(分析データ!C$1,MAX(1,ROW()-$C$7),0,MIN($C$7,ROW()-1),1)),0))</f>
        <v>2.0249766092279544</v>
      </c>
      <c r="BA866">
        <f t="shared" ca="1" si="368"/>
        <v>1</v>
      </c>
      <c r="BB866">
        <f ca="1">IF(BA866=1,IF(INDEX(分析データ!$A:$A,ROW()+$C$5)&lt;&gt;"",60000*SIGN(AZ866)*(分析データ!C866-INDEX(分析データ!C:C,ROW()+$C$5)),""),"")</f>
        <v>-315000.00000000128</v>
      </c>
      <c r="BC866">
        <f t="shared" ca="1" si="369"/>
        <v>-1718999.9999999902</v>
      </c>
      <c r="BD866">
        <f t="shared" ca="1" si="370"/>
        <v>3156000.0000000107</v>
      </c>
      <c r="BE866">
        <f t="shared" ca="1" si="371"/>
        <v>-4875000.0000000009</v>
      </c>
      <c r="BF866">
        <f ca="1">IF(ROW()&lt;($C$7+1),"",IFERROR((分析データ!D866-AVERAGE(OFFSET(分析データ!D$1,MAX(1,ROW()-$C$7),0,MIN($C$7,ROW()-1),1)))/STDEV(OFFSET(分析データ!D$1,MAX(1,ROW()-$C$7),0,MIN($C$7,ROW()-1),1)),0))</f>
        <v>-1.0554872860891564</v>
      </c>
      <c r="BG866">
        <f t="shared" ca="1" si="372"/>
        <v>0</v>
      </c>
      <c r="BH866" t="str">
        <f ca="1">IF(BG866=1,IF(INDEX(分析データ!$A:$A,ROW()+$C$5)&lt;&gt;"",50000*SIGN(BF866)*(分析データ!D866-INDEX(分析データ!D:D,ROW()+$C$5)),""),"")</f>
        <v/>
      </c>
      <c r="BI866">
        <f t="shared" ca="1" si="373"/>
        <v>5570000.0000000205</v>
      </c>
      <c r="BJ866">
        <f t="shared" ca="1" si="374"/>
        <v>5570000.0000000205</v>
      </c>
      <c r="BK866">
        <f t="shared" ca="1" si="375"/>
        <v>0</v>
      </c>
      <c r="BL866">
        <f ca="1">IF(ROW()&lt;($C$7+1),"",IFERROR((分析データ!E866-AVERAGE(OFFSET(分析データ!E$1,MAX(1,ROW()-$C$7),0,MIN($C$7,ROW()-1),1)))/STDEV(OFFSET(分析データ!E$1,MAX(1,ROW()-$C$7),0,MIN($C$7,ROW()-1),1)),0))</f>
        <v>-3.6509687206866497</v>
      </c>
      <c r="BM866">
        <f t="shared" ca="1" si="376"/>
        <v>1</v>
      </c>
      <c r="BN866">
        <f ca="1">IF(BM866=1,IF(INDEX(分析データ!$A:$A,ROW()+$C$5)&lt;&gt;"",40000*SIGN(BL866)*(分析データ!E866-INDEX(分析データ!E:E,ROW()+$C$5)),""),"")</f>
        <v>159999.99999999659</v>
      </c>
      <c r="BO866">
        <f t="shared" ca="1" si="377"/>
        <v>1080000.0000000009</v>
      </c>
      <c r="BP866">
        <f t="shared" ca="1" si="378"/>
        <v>4280000.0000000028</v>
      </c>
      <c r="BQ866">
        <f t="shared" ca="1" si="379"/>
        <v>-3200000.0000000019</v>
      </c>
      <c r="BR866">
        <f ca="1">IF(ROW()&lt;($C$7+1),"",IFERROR((分析データ!F866-AVERAGE(OFFSET(分析データ!F$1,MAX(1,ROW()-$C$7),0,MIN($C$7,ROW()-1),1)))/STDEV(OFFSET(分析データ!F$1,MAX(1,ROW()-$C$7),0,MIN($C$7,ROW()-1),1)),0))</f>
        <v>-2.3452123635790114</v>
      </c>
      <c r="BS866">
        <f t="shared" ca="1" si="380"/>
        <v>1</v>
      </c>
      <c r="BT866">
        <f ca="1">IF(BS866=1,IF(INDEX(分析データ!$A:$A,ROW()+$C$5)&lt;&gt;"",40000*SIGN(BR866)*(分析データ!F866-INDEX(分析データ!F:F,ROW()+$C$5)),""),"")</f>
        <v>223999.99999999863</v>
      </c>
      <c r="BU866">
        <f t="shared" ca="1" si="381"/>
        <v>16062000.000000002</v>
      </c>
      <c r="BV866">
        <f t="shared" ca="1" si="382"/>
        <v>16302000.000000002</v>
      </c>
      <c r="BW866">
        <f t="shared" ca="1" si="383"/>
        <v>-240000</v>
      </c>
      <c r="BX866">
        <f ca="1">IF(ROW()&lt;($C$7+1),"",IFERROR((分析データ!G866-AVERAGE(OFFSET(分析データ!G$1,MAX(1,ROW()-$C$7),0,MIN($C$7,ROW()-1),1)))/STDEV(OFFSET(分析データ!G$1,MAX(1,ROW()-$C$7),0,MIN($C$7,ROW()-1),1)),0))</f>
        <v>1.3100206980763491</v>
      </c>
      <c r="BY866">
        <f t="shared" ca="1" si="384"/>
        <v>0</v>
      </c>
      <c r="BZ866" t="str">
        <f ca="1">IF(BY866=1,IF(INDEX(分析データ!$A:$A,ROW()+$C$5)&lt;&gt;"",40000*SIGN(BX866)*(分析データ!G866-INDEX(分析データ!G:G,ROW()+$C$5)),""),"")</f>
        <v/>
      </c>
      <c r="CA866">
        <f t="shared" ca="1" si="385"/>
        <v>-3515452.8662109179</v>
      </c>
      <c r="CB866">
        <f t="shared" ca="1" si="386"/>
        <v>11327520.000000004</v>
      </c>
      <c r="CC866">
        <f t="shared" ca="1" si="387"/>
        <v>-14842972.866210923</v>
      </c>
      <c r="CD866">
        <f t="shared" ca="1" si="388"/>
        <v>108999.99999998597</v>
      </c>
      <c r="CE866">
        <f t="shared" ca="1" si="389"/>
        <v>14677547.133789122</v>
      </c>
      <c r="CF866">
        <f t="shared" ca="1" si="390"/>
        <v>21567747.133789141</v>
      </c>
      <c r="CG866">
        <f t="shared" ca="1" si="391"/>
        <v>-6890200.0000000186</v>
      </c>
      <c r="CH866" s="10">
        <f>分析データ!A866</f>
        <v>46190</v>
      </c>
    </row>
    <row r="867" spans="46:86">
      <c r="AT867">
        <f ca="1">IF(ROW()&lt;($C$7+1),"",IFERROR((分析データ!B867-AVERAGE(OFFSET(分析データ!B$1,MAX(1,ROW()-$C$7),0,MIN($C$7,ROW()-1),1)))/STDEV(OFFSET(分析データ!B$1,MAX(1,ROW()-$C$7),0,MIN($C$7,ROW()-1),1)),0))</f>
        <v>-2.5069510672735453</v>
      </c>
      <c r="AU867">
        <f t="shared" ca="1" si="364"/>
        <v>1</v>
      </c>
      <c r="AV867">
        <f ca="1">IF(AU867=1,IF(INDEX(分析データ!$A:$A,ROW()+$C$5)&lt;&gt;"",80000*SIGN(AT867)*(分析データ!B867-INDEX(分析データ!B:B,ROW()+$C$5)),""),"")</f>
        <v>39999.999999999149</v>
      </c>
      <c r="AW867">
        <f t="shared" ca="1" si="365"/>
        <v>-2760000.0000000051</v>
      </c>
      <c r="AX867">
        <f t="shared" ca="1" si="366"/>
        <v>0</v>
      </c>
      <c r="AY867">
        <f t="shared" ca="1" si="367"/>
        <v>-2760000.0000000051</v>
      </c>
      <c r="AZ867">
        <f ca="1">IF(ROW()&lt;($C$7+1),"",IFERROR((分析データ!C867-AVERAGE(OFFSET(分析データ!C$1,MAX(1,ROW()-$C$7),0,MIN($C$7,ROW()-1),1)))/STDEV(OFFSET(分析データ!C$1,MAX(1,ROW()-$C$7),0,MIN($C$7,ROW()-1),1)),0))</f>
        <v>1.999796575991023</v>
      </c>
      <c r="BA867">
        <f t="shared" ca="1" si="368"/>
        <v>0</v>
      </c>
      <c r="BB867" t="str">
        <f ca="1">IF(BA867=1,IF(INDEX(分析データ!$A:$A,ROW()+$C$5)&lt;&gt;"",60000*SIGN(AZ867)*(分析データ!C867-INDEX(分析データ!C:C,ROW()+$C$5)),""),"")</f>
        <v/>
      </c>
      <c r="BC867">
        <f t="shared" ca="1" si="369"/>
        <v>-1718999.9999999902</v>
      </c>
      <c r="BD867">
        <f t="shared" ca="1" si="370"/>
        <v>3156000.0000000107</v>
      </c>
      <c r="BE867">
        <f t="shared" ca="1" si="371"/>
        <v>-4875000.0000000009</v>
      </c>
      <c r="BF867">
        <f ca="1">IF(ROW()&lt;($C$7+1),"",IFERROR((分析データ!D867-AVERAGE(OFFSET(分析データ!D$1,MAX(1,ROW()-$C$7),0,MIN($C$7,ROW()-1),1)))/STDEV(OFFSET(分析データ!D$1,MAX(1,ROW()-$C$7),0,MIN($C$7,ROW()-1),1)),0))</f>
        <v>-1.1765350811294635</v>
      </c>
      <c r="BG867">
        <f t="shared" ca="1" si="372"/>
        <v>0</v>
      </c>
      <c r="BH867" t="str">
        <f ca="1">IF(BG867=1,IF(INDEX(分析データ!$A:$A,ROW()+$C$5)&lt;&gt;"",50000*SIGN(BF867)*(分析データ!D867-INDEX(分析データ!D:D,ROW()+$C$5)),""),"")</f>
        <v/>
      </c>
      <c r="BI867">
        <f t="shared" ca="1" si="373"/>
        <v>5570000.0000000205</v>
      </c>
      <c r="BJ867">
        <f t="shared" ca="1" si="374"/>
        <v>5570000.0000000205</v>
      </c>
      <c r="BK867">
        <f t="shared" ca="1" si="375"/>
        <v>0</v>
      </c>
      <c r="BL867">
        <f ca="1">IF(ROW()&lt;($C$7+1),"",IFERROR((分析データ!E867-AVERAGE(OFFSET(分析データ!E$1,MAX(1,ROW()-$C$7),0,MIN($C$7,ROW()-1),1)))/STDEV(OFFSET(分析データ!E$1,MAX(1,ROW()-$C$7),0,MIN($C$7,ROW()-1),1)),0))</f>
        <v>-3.371032586071252</v>
      </c>
      <c r="BM867">
        <f t="shared" ca="1" si="376"/>
        <v>1</v>
      </c>
      <c r="BN867">
        <f ca="1">IF(BM867=1,IF(INDEX(分析データ!$A:$A,ROW()+$C$5)&lt;&gt;"",40000*SIGN(BL867)*(分析データ!E867-INDEX(分析データ!E:E,ROW()+$C$5)),""),"")</f>
        <v>160000.0000000037</v>
      </c>
      <c r="BO867">
        <f t="shared" ca="1" si="377"/>
        <v>1240000.0000000047</v>
      </c>
      <c r="BP867">
        <f t="shared" ca="1" si="378"/>
        <v>4280000.0000000028</v>
      </c>
      <c r="BQ867">
        <f t="shared" ca="1" si="379"/>
        <v>-3039999.9999999981</v>
      </c>
      <c r="BR867">
        <f ca="1">IF(ROW()&lt;($C$7+1),"",IFERROR((分析データ!F867-AVERAGE(OFFSET(分析データ!F$1,MAX(1,ROW()-$C$7),0,MIN($C$7,ROW()-1),1)))/STDEV(OFFSET(分析データ!F$1,MAX(1,ROW()-$C$7),0,MIN($C$7,ROW()-1),1)),0))</f>
        <v>-2.3234452061383704</v>
      </c>
      <c r="BS867">
        <f t="shared" ca="1" si="380"/>
        <v>1</v>
      </c>
      <c r="BT867">
        <f ca="1">IF(BS867=1,IF(INDEX(分析データ!$A:$A,ROW()+$C$5)&lt;&gt;"",40000*SIGN(BR867)*(分析データ!F867-INDEX(分析データ!F:F,ROW()+$C$5)),""),"")</f>
        <v>443999.99999999639</v>
      </c>
      <c r="BU867">
        <f t="shared" ca="1" si="381"/>
        <v>16505999.999999998</v>
      </c>
      <c r="BV867">
        <f t="shared" ca="1" si="382"/>
        <v>16505999.999999998</v>
      </c>
      <c r="BW867">
        <f t="shared" ca="1" si="383"/>
        <v>0</v>
      </c>
      <c r="BX867">
        <f ca="1">IF(ROW()&lt;($C$7+1),"",IFERROR((分析データ!G867-AVERAGE(OFFSET(分析データ!G$1,MAX(1,ROW()-$C$7),0,MIN($C$7,ROW()-1),1)))/STDEV(OFFSET(分析データ!G$1,MAX(1,ROW()-$C$7),0,MIN($C$7,ROW()-1),1)),0))</f>
        <v>1.4220007983137077</v>
      </c>
      <c r="BY867">
        <f t="shared" ca="1" si="384"/>
        <v>0</v>
      </c>
      <c r="BZ867" t="str">
        <f ca="1">IF(BY867=1,IF(INDEX(分析データ!$A:$A,ROW()+$C$5)&lt;&gt;"",40000*SIGN(BX867)*(分析データ!G867-INDEX(分析データ!G:G,ROW()+$C$5)),""),"")</f>
        <v/>
      </c>
      <c r="CA867">
        <f t="shared" ca="1" si="385"/>
        <v>-3515452.8662109179</v>
      </c>
      <c r="CB867">
        <f t="shared" ca="1" si="386"/>
        <v>11327520.000000004</v>
      </c>
      <c r="CC867">
        <f t="shared" ca="1" si="387"/>
        <v>-14842972.866210923</v>
      </c>
      <c r="CD867">
        <f t="shared" ca="1" si="388"/>
        <v>643999.9999999993</v>
      </c>
      <c r="CE867">
        <f t="shared" ca="1" si="389"/>
        <v>15321547.133789122</v>
      </c>
      <c r="CF867">
        <f t="shared" ca="1" si="390"/>
        <v>21567747.133789141</v>
      </c>
      <c r="CG867">
        <f t="shared" ca="1" si="391"/>
        <v>-6246200.0000000186</v>
      </c>
      <c r="CH867" s="10">
        <f>分析データ!A867</f>
        <v>46191</v>
      </c>
    </row>
    <row r="868" spans="46:86">
      <c r="AT868">
        <f ca="1">IF(ROW()&lt;($C$7+1),"",IFERROR((分析データ!B868-AVERAGE(OFFSET(分析データ!B$1,MAX(1,ROW()-$C$7),0,MIN($C$7,ROW()-1),1)))/STDEV(OFFSET(分析データ!B$1,MAX(1,ROW()-$C$7),0,MIN($C$7,ROW()-1),1)),0))</f>
        <v>-2.4666309862077851</v>
      </c>
      <c r="AU868">
        <f t="shared" ca="1" si="364"/>
        <v>1</v>
      </c>
      <c r="AV868">
        <f ca="1">IF(AU868=1,IF(INDEX(分析データ!$A:$A,ROW()+$C$5)&lt;&gt;"",80000*SIGN(AT868)*(分析データ!B868-INDEX(分析データ!B:B,ROW()+$C$5)),""),"")</f>
        <v>120000.00000000454</v>
      </c>
      <c r="AW868">
        <f t="shared" ca="1" si="365"/>
        <v>-2640000.0000000005</v>
      </c>
      <c r="AX868">
        <f t="shared" ca="1" si="366"/>
        <v>0</v>
      </c>
      <c r="AY868">
        <f t="shared" ca="1" si="367"/>
        <v>-2640000.0000000005</v>
      </c>
      <c r="AZ868">
        <f ca="1">IF(ROW()&lt;($C$7+1),"",IFERROR((分析データ!C868-AVERAGE(OFFSET(分析データ!C$1,MAX(1,ROW()-$C$7),0,MIN($C$7,ROW()-1),1)))/STDEV(OFFSET(分析データ!C$1,MAX(1,ROW()-$C$7),0,MIN($C$7,ROW()-1),1)),0))</f>
        <v>2.0548975935903027</v>
      </c>
      <c r="BA868">
        <f t="shared" ca="1" si="368"/>
        <v>1</v>
      </c>
      <c r="BB868">
        <f ca="1">IF(BA868=1,IF(INDEX(分析データ!$A:$A,ROW()+$C$5)&lt;&gt;"",60000*SIGN(AZ868)*(分析データ!C868-INDEX(分析データ!C:C,ROW()+$C$5)),""),"")</f>
        <v>-519000.00000000012</v>
      </c>
      <c r="BC868">
        <f t="shared" ca="1" si="369"/>
        <v>-2237999.9999999902</v>
      </c>
      <c r="BD868">
        <f t="shared" ca="1" si="370"/>
        <v>3156000.0000000107</v>
      </c>
      <c r="BE868">
        <f t="shared" ca="1" si="371"/>
        <v>-5394000.0000000009</v>
      </c>
      <c r="BF868">
        <f ca="1">IF(ROW()&lt;($C$7+1),"",IFERROR((分析データ!D868-AVERAGE(OFFSET(分析データ!D$1,MAX(1,ROW()-$C$7),0,MIN($C$7,ROW()-1),1)))/STDEV(OFFSET(分析データ!D$1,MAX(1,ROW()-$C$7),0,MIN($C$7,ROW()-1),1)),0))</f>
        <v>-1.1664693617371404</v>
      </c>
      <c r="BG868">
        <f t="shared" ca="1" si="372"/>
        <v>0</v>
      </c>
      <c r="BH868" t="str">
        <f ca="1">IF(BG868=1,IF(INDEX(分析データ!$A:$A,ROW()+$C$5)&lt;&gt;"",50000*SIGN(BF868)*(分析データ!D868-INDEX(分析データ!D:D,ROW()+$C$5)),""),"")</f>
        <v/>
      </c>
      <c r="BI868">
        <f t="shared" ca="1" si="373"/>
        <v>5570000.0000000205</v>
      </c>
      <c r="BJ868">
        <f t="shared" ca="1" si="374"/>
        <v>5570000.0000000205</v>
      </c>
      <c r="BK868">
        <f t="shared" ca="1" si="375"/>
        <v>0</v>
      </c>
      <c r="BL868">
        <f ca="1">IF(ROW()&lt;($C$7+1),"",IFERROR((分析データ!E868-AVERAGE(OFFSET(分析データ!E$1,MAX(1,ROW()-$C$7),0,MIN($C$7,ROW()-1),1)))/STDEV(OFFSET(分析データ!E$1,MAX(1,ROW()-$C$7),0,MIN($C$7,ROW()-1),1)),0))</f>
        <v>-3.4552523736775913</v>
      </c>
      <c r="BM868">
        <f t="shared" ca="1" si="376"/>
        <v>1</v>
      </c>
      <c r="BN868">
        <f ca="1">IF(BM868=1,IF(INDEX(分析データ!$A:$A,ROW()+$C$5)&lt;&gt;"",40000*SIGN(BL868)*(分析データ!E868-INDEX(分析データ!E:E,ROW()+$C$5)),""),"")</f>
        <v>240000.00000000198</v>
      </c>
      <c r="BO868">
        <f t="shared" ca="1" si="377"/>
        <v>1480000.0000000065</v>
      </c>
      <c r="BP868">
        <f t="shared" ca="1" si="378"/>
        <v>4280000.0000000028</v>
      </c>
      <c r="BQ868">
        <f t="shared" ca="1" si="379"/>
        <v>-2799999.9999999963</v>
      </c>
      <c r="BR868">
        <f ca="1">IF(ROW()&lt;($C$7+1),"",IFERROR((分析データ!F868-AVERAGE(OFFSET(分析データ!F$1,MAX(1,ROW()-$C$7),0,MIN($C$7,ROW()-1),1)))/STDEV(OFFSET(分析データ!F$1,MAX(1,ROW()-$C$7),0,MIN($C$7,ROW()-1),1)),0))</f>
        <v>-2.8217333133161699</v>
      </c>
      <c r="BS868">
        <f t="shared" ca="1" si="380"/>
        <v>1</v>
      </c>
      <c r="BT868">
        <f ca="1">IF(BS868=1,IF(INDEX(分析データ!$A:$A,ROW()+$C$5)&lt;&gt;"",40000*SIGN(BR868)*(分析データ!F868-INDEX(分析データ!F:F,ROW()+$C$5)),""),"")</f>
        <v>661199.99999999895</v>
      </c>
      <c r="BU868">
        <f t="shared" ca="1" si="381"/>
        <v>17167199.999999996</v>
      </c>
      <c r="BV868">
        <f t="shared" ca="1" si="382"/>
        <v>17167199.999999996</v>
      </c>
      <c r="BW868">
        <f t="shared" ca="1" si="383"/>
        <v>0</v>
      </c>
      <c r="BX868">
        <f ca="1">IF(ROW()&lt;($C$7+1),"",IFERROR((分析データ!G868-AVERAGE(OFFSET(分析データ!G$1,MAX(1,ROW()-$C$7),0,MIN($C$7,ROW()-1),1)))/STDEV(OFFSET(分析データ!G$1,MAX(1,ROW()-$C$7),0,MIN($C$7,ROW()-1),1)),0))</f>
        <v>1.6454396517859424</v>
      </c>
      <c r="BY868">
        <f t="shared" ca="1" si="384"/>
        <v>0</v>
      </c>
      <c r="BZ868" t="str">
        <f ca="1">IF(BY868=1,IF(INDEX(分析データ!$A:$A,ROW()+$C$5)&lt;&gt;"",40000*SIGN(BX868)*(分析データ!G868-INDEX(分析データ!G:G,ROW()+$C$5)),""),"")</f>
        <v/>
      </c>
      <c r="CA868">
        <f t="shared" ca="1" si="385"/>
        <v>-3515452.8662109179</v>
      </c>
      <c r="CB868">
        <f t="shared" ca="1" si="386"/>
        <v>11327520.000000004</v>
      </c>
      <c r="CC868">
        <f t="shared" ca="1" si="387"/>
        <v>-14842972.866210923</v>
      </c>
      <c r="CD868">
        <f t="shared" ca="1" si="388"/>
        <v>502200.00000000536</v>
      </c>
      <c r="CE868">
        <f t="shared" ca="1" si="389"/>
        <v>15823747.133789128</v>
      </c>
      <c r="CF868">
        <f t="shared" ca="1" si="390"/>
        <v>21567747.133789141</v>
      </c>
      <c r="CG868">
        <f t="shared" ca="1" si="391"/>
        <v>-5744000.000000013</v>
      </c>
      <c r="CH868" s="10">
        <f>分析データ!A868</f>
        <v>46195</v>
      </c>
    </row>
    <row r="869" spans="46:86">
      <c r="AT869">
        <f ca="1">IF(ROW()&lt;($C$7+1),"",IFERROR((分析データ!B869-AVERAGE(OFFSET(分析データ!B$1,MAX(1,ROW()-$C$7),0,MIN($C$7,ROW()-1),1)))/STDEV(OFFSET(分析データ!B$1,MAX(1,ROW()-$C$7),0,MIN($C$7,ROW()-1),1)),0))</f>
        <v>-1.1531519266795158</v>
      </c>
      <c r="AU869">
        <f t="shared" ca="1" si="364"/>
        <v>0</v>
      </c>
      <c r="AV869" t="str">
        <f ca="1">IF(AU869=1,IF(INDEX(分析データ!$A:$A,ROW()+$C$5)&lt;&gt;"",80000*SIGN(AT869)*(分析データ!B869-INDEX(分析データ!B:B,ROW()+$C$5)),""),"")</f>
        <v/>
      </c>
      <c r="AW869">
        <f t="shared" ca="1" si="365"/>
        <v>-2640000.0000000005</v>
      </c>
      <c r="AX869">
        <f t="shared" ca="1" si="366"/>
        <v>0</v>
      </c>
      <c r="AY869">
        <f t="shared" ca="1" si="367"/>
        <v>-2640000.0000000005</v>
      </c>
      <c r="AZ869">
        <f ca="1">IF(ROW()&lt;($C$7+1),"",IFERROR((分析データ!C869-AVERAGE(OFFSET(分析データ!C$1,MAX(1,ROW()-$C$7),0,MIN($C$7,ROW()-1),1)))/STDEV(OFFSET(分析データ!C$1,MAX(1,ROW()-$C$7),0,MIN($C$7,ROW()-1),1)),0))</f>
        <v>2.0564040602499185</v>
      </c>
      <c r="BA869">
        <f t="shared" ca="1" si="368"/>
        <v>1</v>
      </c>
      <c r="BB869">
        <f ca="1">IF(BA869=1,IF(INDEX(分析データ!$A:$A,ROW()+$C$5)&lt;&gt;"",60000*SIGN(AZ869)*(分析データ!C869-INDEX(分析データ!C:C,ROW()+$C$5)),""),"")</f>
        <v>-393000.0000000007</v>
      </c>
      <c r="BC869">
        <f t="shared" ca="1" si="369"/>
        <v>-2630999.9999999907</v>
      </c>
      <c r="BD869">
        <f t="shared" ca="1" si="370"/>
        <v>3156000.0000000107</v>
      </c>
      <c r="BE869">
        <f t="shared" ca="1" si="371"/>
        <v>-5787000.0000000019</v>
      </c>
      <c r="BF869">
        <f ca="1">IF(ROW()&lt;($C$7+1),"",IFERROR((分析データ!D869-AVERAGE(OFFSET(分析データ!D$1,MAX(1,ROW()-$C$7),0,MIN($C$7,ROW()-1),1)))/STDEV(OFFSET(分析データ!D$1,MAX(1,ROW()-$C$7),0,MIN($C$7,ROW()-1),1)),0))</f>
        <v>-1.2048905462922768</v>
      </c>
      <c r="BG869">
        <f t="shared" ca="1" si="372"/>
        <v>0</v>
      </c>
      <c r="BH869" t="str">
        <f ca="1">IF(BG869=1,IF(INDEX(分析データ!$A:$A,ROW()+$C$5)&lt;&gt;"",50000*SIGN(BF869)*(分析データ!D869-INDEX(分析データ!D:D,ROW()+$C$5)),""),"")</f>
        <v/>
      </c>
      <c r="BI869">
        <f t="shared" ca="1" si="373"/>
        <v>5570000.0000000205</v>
      </c>
      <c r="BJ869">
        <f t="shared" ca="1" si="374"/>
        <v>5570000.0000000205</v>
      </c>
      <c r="BK869">
        <f t="shared" ca="1" si="375"/>
        <v>0</v>
      </c>
      <c r="BL869">
        <f ca="1">IF(ROW()&lt;($C$7+1),"",IFERROR((分析データ!E869-AVERAGE(OFFSET(分析データ!E$1,MAX(1,ROW()-$C$7),0,MIN($C$7,ROW()-1),1)))/STDEV(OFFSET(分析データ!E$1,MAX(1,ROW()-$C$7),0,MIN($C$7,ROW()-1),1)),0))</f>
        <v>-3.1982449266809536</v>
      </c>
      <c r="BM869">
        <f t="shared" ca="1" si="376"/>
        <v>1</v>
      </c>
      <c r="BN869">
        <f ca="1">IF(BM869=1,IF(INDEX(分析データ!$A:$A,ROW()+$C$5)&lt;&gt;"",40000*SIGN(BL869)*(分析データ!E869-INDEX(分析データ!E:E,ROW()+$C$5)),""),"")</f>
        <v>79999.999999998297</v>
      </c>
      <c r="BO869">
        <f t="shared" ca="1" si="377"/>
        <v>1560000.0000000049</v>
      </c>
      <c r="BP869">
        <f t="shared" ca="1" si="378"/>
        <v>4280000.0000000028</v>
      </c>
      <c r="BQ869">
        <f t="shared" ca="1" si="379"/>
        <v>-2719999.9999999981</v>
      </c>
      <c r="BR869">
        <f ca="1">IF(ROW()&lt;($C$7+1),"",IFERROR((分析データ!F869-AVERAGE(OFFSET(分析データ!F$1,MAX(1,ROW()-$C$7),0,MIN($C$7,ROW()-1),1)))/STDEV(OFFSET(分析データ!F$1,MAX(1,ROW()-$C$7),0,MIN($C$7,ROW()-1),1)),0))</f>
        <v>-2.0757330819823765</v>
      </c>
      <c r="BS869">
        <f t="shared" ca="1" si="380"/>
        <v>1</v>
      </c>
      <c r="BT869">
        <f ca="1">IF(BS869=1,IF(INDEX(分析データ!$A:$A,ROW()+$C$5)&lt;&gt;"",40000*SIGN(BR869)*(分析データ!F869-INDEX(分析データ!F:F,ROW()+$C$5)),""),"")</f>
        <v>452800.00000000198</v>
      </c>
      <c r="BU869">
        <f t="shared" ca="1" si="381"/>
        <v>17620000</v>
      </c>
      <c r="BV869">
        <f t="shared" ca="1" si="382"/>
        <v>17620000</v>
      </c>
      <c r="BW869">
        <f t="shared" ca="1" si="383"/>
        <v>0</v>
      </c>
      <c r="BX869">
        <f ca="1">IF(ROW()&lt;($C$7+1),"",IFERROR((分析データ!G869-AVERAGE(OFFSET(分析データ!G$1,MAX(1,ROW()-$C$7),0,MIN($C$7,ROW()-1),1)))/STDEV(OFFSET(分析データ!G$1,MAX(1,ROW()-$C$7),0,MIN($C$7,ROW()-1),1)),0))</f>
        <v>1.3831826528734588</v>
      </c>
      <c r="BY869">
        <f t="shared" ca="1" si="384"/>
        <v>0</v>
      </c>
      <c r="BZ869" t="str">
        <f ca="1">IF(BY869=1,IF(INDEX(分析データ!$A:$A,ROW()+$C$5)&lt;&gt;"",40000*SIGN(BX869)*(分析データ!G869-INDEX(分析データ!G:G,ROW()+$C$5)),""),"")</f>
        <v/>
      </c>
      <c r="CA869">
        <f t="shared" ca="1" si="385"/>
        <v>-3515452.8662109179</v>
      </c>
      <c r="CB869">
        <f t="shared" ca="1" si="386"/>
        <v>11327520.000000004</v>
      </c>
      <c r="CC869">
        <f t="shared" ca="1" si="387"/>
        <v>-14842972.866210923</v>
      </c>
      <c r="CD869">
        <f t="shared" ca="1" si="388"/>
        <v>139799.99999999959</v>
      </c>
      <c r="CE869">
        <f t="shared" ca="1" si="389"/>
        <v>15963547.133789128</v>
      </c>
      <c r="CF869">
        <f t="shared" ca="1" si="390"/>
        <v>21567747.133789141</v>
      </c>
      <c r="CG869">
        <f t="shared" ca="1" si="391"/>
        <v>-5604200.000000013</v>
      </c>
      <c r="CH869" s="10">
        <f>分析データ!A869</f>
        <v>46196</v>
      </c>
    </row>
    <row r="870" spans="46:86">
      <c r="AT870">
        <f ca="1">IF(ROW()&lt;($C$7+1),"",IFERROR((分析データ!B870-AVERAGE(OFFSET(分析データ!B$1,MAX(1,ROW()-$C$7),0,MIN($C$7,ROW()-1),1)))/STDEV(OFFSET(分析データ!B$1,MAX(1,ROW()-$C$7),0,MIN($C$7,ROW()-1),1)),0))</f>
        <v>-2.0586857310137581</v>
      </c>
      <c r="AU870">
        <f t="shared" ca="1" si="364"/>
        <v>1</v>
      </c>
      <c r="AV870">
        <f ca="1">IF(AU870=1,IF(INDEX(分析データ!$A:$A,ROW()+$C$5)&lt;&gt;"",80000*SIGN(AT870)*(分析データ!B870-INDEX(分析データ!B:B,ROW()+$C$5)),""),"")</f>
        <v>79999.999999998297</v>
      </c>
      <c r="AW870">
        <f t="shared" ca="1" si="365"/>
        <v>-2560000.0000000023</v>
      </c>
      <c r="AX870">
        <f t="shared" ca="1" si="366"/>
        <v>0</v>
      </c>
      <c r="AY870">
        <f t="shared" ca="1" si="367"/>
        <v>-2560000.0000000023</v>
      </c>
      <c r="AZ870">
        <f ca="1">IF(ROW()&lt;($C$7+1),"",IFERROR((分析データ!C870-AVERAGE(OFFSET(分析データ!C$1,MAX(1,ROW()-$C$7),0,MIN($C$7,ROW()-1),1)))/STDEV(OFFSET(分析データ!C$1,MAX(1,ROW()-$C$7),0,MIN($C$7,ROW()-1),1)),0))</f>
        <v>1.8874236812485903</v>
      </c>
      <c r="BA870">
        <f t="shared" ca="1" si="368"/>
        <v>0</v>
      </c>
      <c r="BB870" t="str">
        <f ca="1">IF(BA870=1,IF(INDEX(分析データ!$A:$A,ROW()+$C$5)&lt;&gt;"",60000*SIGN(AZ870)*(分析データ!C870-INDEX(分析データ!C:C,ROW()+$C$5)),""),"")</f>
        <v/>
      </c>
      <c r="BC870">
        <f t="shared" ca="1" si="369"/>
        <v>-2630999.9999999907</v>
      </c>
      <c r="BD870">
        <f t="shared" ca="1" si="370"/>
        <v>3156000.0000000107</v>
      </c>
      <c r="BE870">
        <f t="shared" ca="1" si="371"/>
        <v>-5787000.0000000019</v>
      </c>
      <c r="BF870">
        <f ca="1">IF(ROW()&lt;($C$7+1),"",IFERROR((分析データ!D870-AVERAGE(OFFSET(分析データ!D$1,MAX(1,ROW()-$C$7),0,MIN($C$7,ROW()-1),1)))/STDEV(OFFSET(分析データ!D$1,MAX(1,ROW()-$C$7),0,MIN($C$7,ROW()-1),1)),0))</f>
        <v>-1.4293491850079398</v>
      </c>
      <c r="BG870">
        <f t="shared" ca="1" si="372"/>
        <v>0</v>
      </c>
      <c r="BH870" t="str">
        <f ca="1">IF(BG870=1,IF(INDEX(分析データ!$A:$A,ROW()+$C$5)&lt;&gt;"",50000*SIGN(BF870)*(分析データ!D870-INDEX(分析データ!D:D,ROW()+$C$5)),""),"")</f>
        <v/>
      </c>
      <c r="BI870">
        <f t="shared" ca="1" si="373"/>
        <v>5570000.0000000205</v>
      </c>
      <c r="BJ870">
        <f t="shared" ca="1" si="374"/>
        <v>5570000.0000000205</v>
      </c>
      <c r="BK870">
        <f t="shared" ca="1" si="375"/>
        <v>0</v>
      </c>
      <c r="BL870">
        <f ca="1">IF(ROW()&lt;($C$7+1),"",IFERROR((分析データ!E870-AVERAGE(OFFSET(分析データ!E$1,MAX(1,ROW()-$C$7),0,MIN($C$7,ROW()-1),1)))/STDEV(OFFSET(分析データ!E$1,MAX(1,ROW()-$C$7),0,MIN($C$7,ROW()-1),1)),0))</f>
        <v>-2.9584272646409682</v>
      </c>
      <c r="BM870">
        <f t="shared" ca="1" si="376"/>
        <v>1</v>
      </c>
      <c r="BN870">
        <f ca="1">IF(BM870=1,IF(INDEX(分析データ!$A:$A,ROW()+$C$5)&lt;&gt;"",40000*SIGN(BL870)*(分析データ!E870-INDEX(分析データ!E:E,ROW()+$C$5)),""),"")</f>
        <v>120000.00000000099</v>
      </c>
      <c r="BO870">
        <f t="shared" ca="1" si="377"/>
        <v>1680000.0000000058</v>
      </c>
      <c r="BP870">
        <f t="shared" ca="1" si="378"/>
        <v>4280000.0000000028</v>
      </c>
      <c r="BQ870">
        <f t="shared" ca="1" si="379"/>
        <v>-2599999.9999999972</v>
      </c>
      <c r="BR870">
        <f ca="1">IF(ROW()&lt;($C$7+1),"",IFERROR((分析データ!F870-AVERAGE(OFFSET(分析データ!F$1,MAX(1,ROW()-$C$7),0,MIN($C$7,ROW()-1),1)))/STDEV(OFFSET(分析データ!F$1,MAX(1,ROW()-$C$7),0,MIN($C$7,ROW()-1),1)),0))</f>
        <v>-1.5448434268762301</v>
      </c>
      <c r="BS870">
        <f t="shared" ca="1" si="380"/>
        <v>0</v>
      </c>
      <c r="BT870" t="str">
        <f ca="1">IF(BS870=1,IF(INDEX(分析データ!$A:$A,ROW()+$C$5)&lt;&gt;"",40000*SIGN(BR870)*(分析データ!F870-INDEX(分析データ!F:F,ROW()+$C$5)),""),"")</f>
        <v/>
      </c>
      <c r="BU870">
        <f t="shared" ca="1" si="381"/>
        <v>17620000</v>
      </c>
      <c r="BV870">
        <f t="shared" ca="1" si="382"/>
        <v>17620000</v>
      </c>
      <c r="BW870">
        <f t="shared" ca="1" si="383"/>
        <v>0</v>
      </c>
      <c r="BX870">
        <f ca="1">IF(ROW()&lt;($C$7+1),"",IFERROR((分析データ!G870-AVERAGE(OFFSET(分析データ!G$1,MAX(1,ROW()-$C$7),0,MIN($C$7,ROW()-1),1)))/STDEV(OFFSET(分析データ!G$1,MAX(1,ROW()-$C$7),0,MIN($C$7,ROW()-1),1)),0))</f>
        <v>1.3964833263026897</v>
      </c>
      <c r="BY870">
        <f t="shared" ca="1" si="384"/>
        <v>0</v>
      </c>
      <c r="BZ870" t="str">
        <f ca="1">IF(BY870=1,IF(INDEX(分析データ!$A:$A,ROW()+$C$5)&lt;&gt;"",40000*SIGN(BX870)*(分析データ!G870-INDEX(分析データ!G:G,ROW()+$C$5)),""),"")</f>
        <v/>
      </c>
      <c r="CA870">
        <f t="shared" ca="1" si="385"/>
        <v>-3515452.8662109179</v>
      </c>
      <c r="CB870">
        <f t="shared" ca="1" si="386"/>
        <v>11327520.000000004</v>
      </c>
      <c r="CC870">
        <f t="shared" ca="1" si="387"/>
        <v>-14842972.866210923</v>
      </c>
      <c r="CD870">
        <f t="shared" ca="1" si="388"/>
        <v>199999.9999999993</v>
      </c>
      <c r="CE870">
        <f t="shared" ca="1" si="389"/>
        <v>16163547.133789128</v>
      </c>
      <c r="CF870">
        <f t="shared" ca="1" si="390"/>
        <v>21567747.133789141</v>
      </c>
      <c r="CG870">
        <f t="shared" ca="1" si="391"/>
        <v>-5404200.000000013</v>
      </c>
      <c r="CH870" s="10">
        <f>分析データ!A870</f>
        <v>46197</v>
      </c>
    </row>
    <row r="871" spans="46:86">
      <c r="AT871">
        <f ca="1">IF(ROW()&lt;($C$7+1),"",IFERROR((分析データ!B871-AVERAGE(OFFSET(分析データ!B$1,MAX(1,ROW()-$C$7),0,MIN($C$7,ROW()-1),1)))/STDEV(OFFSET(分析データ!B$1,MAX(1,ROW()-$C$7),0,MIN($C$7,ROW()-1),1)),0))</f>
        <v>-2.0329731716573467</v>
      </c>
      <c r="AU871">
        <f t="shared" ca="1" si="364"/>
        <v>1</v>
      </c>
      <c r="AV871">
        <f ca="1">IF(AU871=1,IF(INDEX(分析データ!$A:$A,ROW()+$C$5)&lt;&gt;"",80000*SIGN(AT871)*(分析データ!B871-INDEX(分析データ!B:B,ROW()+$C$5)),""),"")</f>
        <v>-7.1054273576010019E-9</v>
      </c>
      <c r="AW871">
        <f t="shared" ca="1" si="365"/>
        <v>-2560000.0000000093</v>
      </c>
      <c r="AX871">
        <f t="shared" ca="1" si="366"/>
        <v>0</v>
      </c>
      <c r="AY871">
        <f t="shared" ca="1" si="367"/>
        <v>-2560000.0000000093</v>
      </c>
      <c r="AZ871">
        <f ca="1">IF(ROW()&lt;($C$7+1),"",IFERROR((分析データ!C871-AVERAGE(OFFSET(分析データ!C$1,MAX(1,ROW()-$C$7),0,MIN($C$7,ROW()-1),1)))/STDEV(OFFSET(分析データ!C$1,MAX(1,ROW()-$C$7),0,MIN($C$7,ROW()-1),1)),0))</f>
        <v>1.7434334590202687</v>
      </c>
      <c r="BA871">
        <f t="shared" ca="1" si="368"/>
        <v>0</v>
      </c>
      <c r="BB871" t="str">
        <f ca="1">IF(BA871=1,IF(INDEX(分析データ!$A:$A,ROW()+$C$5)&lt;&gt;"",60000*SIGN(AZ871)*(分析データ!C871-INDEX(分析データ!C:C,ROW()+$C$5)),""),"")</f>
        <v/>
      </c>
      <c r="BC871">
        <f t="shared" ca="1" si="369"/>
        <v>-2630999.9999999907</v>
      </c>
      <c r="BD871">
        <f t="shared" ca="1" si="370"/>
        <v>3156000.0000000107</v>
      </c>
      <c r="BE871">
        <f t="shared" ca="1" si="371"/>
        <v>-5787000.0000000019</v>
      </c>
      <c r="BF871">
        <f ca="1">IF(ROW()&lt;($C$7+1),"",IFERROR((分析データ!D871-AVERAGE(OFFSET(分析データ!D$1,MAX(1,ROW()-$C$7),0,MIN($C$7,ROW()-1),1)))/STDEV(OFFSET(分析データ!D$1,MAX(1,ROW()-$C$7),0,MIN($C$7,ROW()-1),1)),0))</f>
        <v>-1.3438420921287748</v>
      </c>
      <c r="BG871">
        <f t="shared" ca="1" si="372"/>
        <v>0</v>
      </c>
      <c r="BH871" t="str">
        <f ca="1">IF(BG871=1,IF(INDEX(分析データ!$A:$A,ROW()+$C$5)&lt;&gt;"",50000*SIGN(BF871)*(分析データ!D871-INDEX(分析データ!D:D,ROW()+$C$5)),""),"")</f>
        <v/>
      </c>
      <c r="BI871">
        <f t="shared" ca="1" si="373"/>
        <v>5570000.0000000205</v>
      </c>
      <c r="BJ871">
        <f t="shared" ca="1" si="374"/>
        <v>5570000.0000000205</v>
      </c>
      <c r="BK871">
        <f t="shared" ca="1" si="375"/>
        <v>0</v>
      </c>
      <c r="BL871">
        <f ca="1">IF(ROW()&lt;($C$7+1),"",IFERROR((分析データ!E871-AVERAGE(OFFSET(分析データ!E$1,MAX(1,ROW()-$C$7),0,MIN($C$7,ROW()-1),1)))/STDEV(OFFSET(分析データ!E$1,MAX(1,ROW()-$C$7),0,MIN($C$7,ROW()-1),1)),0))</f>
        <v>-2.7336948314888034</v>
      </c>
      <c r="BM871">
        <f t="shared" ca="1" si="376"/>
        <v>1</v>
      </c>
      <c r="BN871">
        <f ca="1">IF(BM871=1,IF(INDEX(分析データ!$A:$A,ROW()+$C$5)&lt;&gt;"",40000*SIGN(BL871)*(分析データ!E871-INDEX(分析データ!E:E,ROW()+$C$5)),""),"")</f>
        <v>39999.999999999149</v>
      </c>
      <c r="BO871">
        <f t="shared" ca="1" si="377"/>
        <v>1720000.0000000049</v>
      </c>
      <c r="BP871">
        <f t="shared" ca="1" si="378"/>
        <v>4280000.0000000028</v>
      </c>
      <c r="BQ871">
        <f t="shared" ca="1" si="379"/>
        <v>-2559999.9999999981</v>
      </c>
      <c r="BR871">
        <f ca="1">IF(ROW()&lt;($C$7+1),"",IFERROR((分析データ!F871-AVERAGE(OFFSET(分析データ!F$1,MAX(1,ROW()-$C$7),0,MIN($C$7,ROW()-1),1)))/STDEV(OFFSET(分析データ!F$1,MAX(1,ROW()-$C$7),0,MIN($C$7,ROW()-1),1)),0))</f>
        <v>-1.7946403482783555</v>
      </c>
      <c r="BS871">
        <f t="shared" ca="1" si="380"/>
        <v>0</v>
      </c>
      <c r="BT871" t="str">
        <f ca="1">IF(BS871=1,IF(INDEX(分析データ!$A:$A,ROW()+$C$5)&lt;&gt;"",40000*SIGN(BR871)*(分析データ!F871-INDEX(分析データ!F:F,ROW()+$C$5)),""),"")</f>
        <v/>
      </c>
      <c r="BU871">
        <f t="shared" ca="1" si="381"/>
        <v>17620000</v>
      </c>
      <c r="BV871">
        <f t="shared" ca="1" si="382"/>
        <v>17620000</v>
      </c>
      <c r="BW871">
        <f t="shared" ca="1" si="383"/>
        <v>0</v>
      </c>
      <c r="BX871">
        <f ca="1">IF(ROW()&lt;($C$7+1),"",IFERROR((分析データ!G871-AVERAGE(OFFSET(分析データ!G$1,MAX(1,ROW()-$C$7),0,MIN($C$7,ROW()-1),1)))/STDEV(OFFSET(分析データ!G$1,MAX(1,ROW()-$C$7),0,MIN($C$7,ROW()-1),1)),0))</f>
        <v>1.4161690461868979</v>
      </c>
      <c r="BY871">
        <f t="shared" ca="1" si="384"/>
        <v>0</v>
      </c>
      <c r="BZ871" t="str">
        <f ca="1">IF(BY871=1,IF(INDEX(分析データ!$A:$A,ROW()+$C$5)&lt;&gt;"",40000*SIGN(BX871)*(分析データ!G871-INDEX(分析データ!G:G,ROW()+$C$5)),""),"")</f>
        <v/>
      </c>
      <c r="CA871">
        <f t="shared" ca="1" si="385"/>
        <v>-3515452.8662109179</v>
      </c>
      <c r="CB871">
        <f t="shared" ca="1" si="386"/>
        <v>11327520.000000004</v>
      </c>
      <c r="CC871">
        <f t="shared" ca="1" si="387"/>
        <v>-14842972.866210923</v>
      </c>
      <c r="CD871">
        <f t="shared" ca="1" si="388"/>
        <v>39999.99999999204</v>
      </c>
      <c r="CE871">
        <f t="shared" ca="1" si="389"/>
        <v>16203547.13378912</v>
      </c>
      <c r="CF871">
        <f t="shared" ca="1" si="390"/>
        <v>21567747.133789141</v>
      </c>
      <c r="CG871">
        <f t="shared" ca="1" si="391"/>
        <v>-5364200.0000000205</v>
      </c>
      <c r="CH871" s="10">
        <f>分析データ!A871</f>
        <v>46198</v>
      </c>
    </row>
    <row r="872" spans="46:86">
      <c r="AT872">
        <f ca="1">IF(ROW()&lt;($C$7+1),"",IFERROR((分析データ!B872-AVERAGE(OFFSET(分析データ!B$1,MAX(1,ROW()-$C$7),0,MIN($C$7,ROW()-1),1)))/STDEV(OFFSET(分析データ!B$1,MAX(1,ROW()-$C$7),0,MIN($C$7,ROW()-1),1)),0))</f>
        <v>-2.5408991172308895</v>
      </c>
      <c r="AU872">
        <f t="shared" ca="1" si="364"/>
        <v>1</v>
      </c>
      <c r="AV872">
        <f ca="1">IF(AU872=1,IF(INDEX(分析データ!$A:$A,ROW()+$C$5)&lt;&gt;"",80000*SIGN(AT872)*(分析データ!B872-INDEX(分析データ!B:B,ROW()+$C$5)),""),"")</f>
        <v>240000.00000000908</v>
      </c>
      <c r="AW872">
        <f t="shared" ca="1" si="365"/>
        <v>-2320000</v>
      </c>
      <c r="AX872">
        <f t="shared" ca="1" si="366"/>
        <v>0</v>
      </c>
      <c r="AY872">
        <f t="shared" ca="1" si="367"/>
        <v>-2320000</v>
      </c>
      <c r="AZ872">
        <f ca="1">IF(ROW()&lt;($C$7+1),"",IFERROR((分析データ!C872-AVERAGE(OFFSET(分析データ!C$1,MAX(1,ROW()-$C$7),0,MIN($C$7,ROW()-1),1)))/STDEV(OFFSET(分析データ!C$1,MAX(1,ROW()-$C$7),0,MIN($C$7,ROW()-1),1)),0))</f>
        <v>1.6640100927507984</v>
      </c>
      <c r="BA872">
        <f t="shared" ca="1" si="368"/>
        <v>0</v>
      </c>
      <c r="BB872" t="str">
        <f ca="1">IF(BA872=1,IF(INDEX(分析データ!$A:$A,ROW()+$C$5)&lt;&gt;"",60000*SIGN(AZ872)*(分析データ!C872-INDEX(分析データ!C:C,ROW()+$C$5)),""),"")</f>
        <v/>
      </c>
      <c r="BC872">
        <f t="shared" ca="1" si="369"/>
        <v>-2630999.9999999907</v>
      </c>
      <c r="BD872">
        <f t="shared" ca="1" si="370"/>
        <v>3156000.0000000107</v>
      </c>
      <c r="BE872">
        <f t="shared" ca="1" si="371"/>
        <v>-5787000.0000000019</v>
      </c>
      <c r="BF872">
        <f ca="1">IF(ROW()&lt;($C$7+1),"",IFERROR((分析データ!D872-AVERAGE(OFFSET(分析データ!D$1,MAX(1,ROW()-$C$7),0,MIN($C$7,ROW()-1),1)))/STDEV(OFFSET(分析データ!D$1,MAX(1,ROW()-$C$7),0,MIN($C$7,ROW()-1),1)),0))</f>
        <v>-1.3181575932956071</v>
      </c>
      <c r="BG872">
        <f t="shared" ca="1" si="372"/>
        <v>0</v>
      </c>
      <c r="BH872" t="str">
        <f ca="1">IF(BG872=1,IF(INDEX(分析データ!$A:$A,ROW()+$C$5)&lt;&gt;"",50000*SIGN(BF872)*(分析データ!D872-INDEX(分析データ!D:D,ROW()+$C$5)),""),"")</f>
        <v/>
      </c>
      <c r="BI872">
        <f t="shared" ca="1" si="373"/>
        <v>5570000.0000000205</v>
      </c>
      <c r="BJ872">
        <f t="shared" ca="1" si="374"/>
        <v>5570000.0000000205</v>
      </c>
      <c r="BK872">
        <f t="shared" ca="1" si="375"/>
        <v>0</v>
      </c>
      <c r="BL872">
        <f ca="1">IF(ROW()&lt;($C$7+1),"",IFERROR((分析データ!E872-AVERAGE(OFFSET(分析データ!E$1,MAX(1,ROW()-$C$7),0,MIN($C$7,ROW()-1),1)))/STDEV(OFFSET(分析データ!E$1,MAX(1,ROW()-$C$7),0,MIN($C$7,ROW()-1),1)),0))</f>
        <v>-2.521455065464687</v>
      </c>
      <c r="BM872">
        <f t="shared" ca="1" si="376"/>
        <v>1</v>
      </c>
      <c r="BN872">
        <f ca="1">IF(BM872=1,IF(INDEX(分析データ!$A:$A,ROW()+$C$5)&lt;&gt;"",40000*SIGN(BL872)*(分析データ!E872-INDEX(分析データ!E:E,ROW()+$C$5)),""),"")</f>
        <v>-39999.999999999149</v>
      </c>
      <c r="BO872">
        <f t="shared" ca="1" si="377"/>
        <v>1680000.0000000058</v>
      </c>
      <c r="BP872">
        <f t="shared" ca="1" si="378"/>
        <v>4280000.0000000028</v>
      </c>
      <c r="BQ872">
        <f t="shared" ca="1" si="379"/>
        <v>-2599999.9999999972</v>
      </c>
      <c r="BR872">
        <f ca="1">IF(ROW()&lt;($C$7+1),"",IFERROR((分析データ!F872-AVERAGE(OFFSET(分析データ!F$1,MAX(1,ROW()-$C$7),0,MIN($C$7,ROW()-1),1)))/STDEV(OFFSET(分析データ!F$1,MAX(1,ROW()-$C$7),0,MIN($C$7,ROW()-1),1)),0))</f>
        <v>-1.5784344950112021</v>
      </c>
      <c r="BS872">
        <f t="shared" ca="1" si="380"/>
        <v>0</v>
      </c>
      <c r="BT872" t="str">
        <f ca="1">IF(BS872=1,IF(INDEX(分析データ!$A:$A,ROW()+$C$5)&lt;&gt;"",40000*SIGN(BR872)*(分析データ!F872-INDEX(分析データ!F:F,ROW()+$C$5)),""),"")</f>
        <v/>
      </c>
      <c r="BU872">
        <f t="shared" ca="1" si="381"/>
        <v>17620000</v>
      </c>
      <c r="BV872">
        <f t="shared" ca="1" si="382"/>
        <v>17620000</v>
      </c>
      <c r="BW872">
        <f t="shared" ca="1" si="383"/>
        <v>0</v>
      </c>
      <c r="BX872">
        <f ca="1">IF(ROW()&lt;($C$7+1),"",IFERROR((分析データ!G872-AVERAGE(OFFSET(分析データ!G$1,MAX(1,ROW()-$C$7),0,MIN($C$7,ROW()-1),1)))/STDEV(OFFSET(分析データ!G$1,MAX(1,ROW()-$C$7),0,MIN($C$7,ROW()-1),1)),0))</f>
        <v>1.3433162187704029</v>
      </c>
      <c r="BY872">
        <f t="shared" ca="1" si="384"/>
        <v>0</v>
      </c>
      <c r="BZ872" t="str">
        <f ca="1">IF(BY872=1,IF(INDEX(分析データ!$A:$A,ROW()+$C$5)&lt;&gt;"",40000*SIGN(BX872)*(分析データ!G872-INDEX(分析データ!G:G,ROW()+$C$5)),""),"")</f>
        <v/>
      </c>
      <c r="CA872">
        <f t="shared" ca="1" si="385"/>
        <v>-3515452.8662109179</v>
      </c>
      <c r="CB872">
        <f t="shared" ca="1" si="386"/>
        <v>11327520.000000004</v>
      </c>
      <c r="CC872">
        <f t="shared" ca="1" si="387"/>
        <v>-14842972.866210923</v>
      </c>
      <c r="CD872">
        <f t="shared" ca="1" si="388"/>
        <v>200000.00000000992</v>
      </c>
      <c r="CE872">
        <f t="shared" ca="1" si="389"/>
        <v>16403547.13378913</v>
      </c>
      <c r="CF872">
        <f t="shared" ca="1" si="390"/>
        <v>21567747.133789141</v>
      </c>
      <c r="CG872">
        <f t="shared" ca="1" si="391"/>
        <v>-5164200.0000000112</v>
      </c>
      <c r="CH872" s="10">
        <f>分析データ!A872</f>
        <v>46199</v>
      </c>
    </row>
    <row r="873" spans="46:86">
      <c r="AT873">
        <f ca="1">IF(ROW()&lt;($C$7+1),"",IFERROR((分析データ!B873-AVERAGE(OFFSET(分析データ!B$1,MAX(1,ROW()-$C$7),0,MIN($C$7,ROW()-1),1)))/STDEV(OFFSET(分析データ!B$1,MAX(1,ROW()-$C$7),0,MIN($C$7,ROW()-1),1)),0))</f>
        <v>-2.8459511469850645</v>
      </c>
      <c r="AU873">
        <f t="shared" ca="1" si="364"/>
        <v>1</v>
      </c>
      <c r="AV873">
        <f ca="1">IF(AU873=1,IF(INDEX(分析データ!$A:$A,ROW()+$C$5)&lt;&gt;"",80000*SIGN(AT873)*(分析データ!B873-INDEX(分析データ!B:B,ROW()+$C$5)),""),"")</f>
        <v>400000.0000000057</v>
      </c>
      <c r="AW873">
        <f t="shared" ca="1" si="365"/>
        <v>-1919999.9999999944</v>
      </c>
      <c r="AX873">
        <f t="shared" ca="1" si="366"/>
        <v>0</v>
      </c>
      <c r="AY873">
        <f t="shared" ca="1" si="367"/>
        <v>-1919999.9999999944</v>
      </c>
      <c r="AZ873">
        <f ca="1">IF(ROW()&lt;($C$7+1),"",IFERROR((分析データ!C873-AVERAGE(OFFSET(分析データ!C$1,MAX(1,ROW()-$C$7),0,MIN($C$7,ROW()-1),1)))/STDEV(OFFSET(分析データ!C$1,MAX(1,ROW()-$C$7),0,MIN($C$7,ROW()-1),1)),0))</f>
        <v>1.7759474959777359</v>
      </c>
      <c r="BA873">
        <f t="shared" ca="1" si="368"/>
        <v>0</v>
      </c>
      <c r="BB873" t="str">
        <f ca="1">IF(BA873=1,IF(INDEX(分析データ!$A:$A,ROW()+$C$5)&lt;&gt;"",60000*SIGN(AZ873)*(分析データ!C873-INDEX(分析データ!C:C,ROW()+$C$5)),""),"")</f>
        <v/>
      </c>
      <c r="BC873">
        <f t="shared" ca="1" si="369"/>
        <v>-2630999.9999999907</v>
      </c>
      <c r="BD873">
        <f t="shared" ca="1" si="370"/>
        <v>3156000.0000000107</v>
      </c>
      <c r="BE873">
        <f t="shared" ca="1" si="371"/>
        <v>-5787000.0000000019</v>
      </c>
      <c r="BF873">
        <f ca="1">IF(ROW()&lt;($C$7+1),"",IFERROR((分析データ!D873-AVERAGE(OFFSET(分析データ!D$1,MAX(1,ROW()-$C$7),0,MIN($C$7,ROW()-1),1)))/STDEV(OFFSET(分析データ!D$1,MAX(1,ROW()-$C$7),0,MIN($C$7,ROW()-1),1)),0))</f>
        <v>-1.4049445775533567</v>
      </c>
      <c r="BG873">
        <f t="shared" ca="1" si="372"/>
        <v>0</v>
      </c>
      <c r="BH873" t="str">
        <f ca="1">IF(BG873=1,IF(INDEX(分析データ!$A:$A,ROW()+$C$5)&lt;&gt;"",50000*SIGN(BF873)*(分析データ!D873-INDEX(分析データ!D:D,ROW()+$C$5)),""),"")</f>
        <v/>
      </c>
      <c r="BI873">
        <f t="shared" ca="1" si="373"/>
        <v>5570000.0000000205</v>
      </c>
      <c r="BJ873">
        <f t="shared" ca="1" si="374"/>
        <v>5570000.0000000205</v>
      </c>
      <c r="BK873">
        <f t="shared" ca="1" si="375"/>
        <v>0</v>
      </c>
      <c r="BL873">
        <f ca="1">IF(ROW()&lt;($C$7+1),"",IFERROR((分析データ!E873-AVERAGE(OFFSET(分析データ!E$1,MAX(1,ROW()-$C$7),0,MIN($C$7,ROW()-1),1)))/STDEV(OFFSET(分析データ!E$1,MAX(1,ROW()-$C$7),0,MIN($C$7,ROW()-1),1)),0))</f>
        <v>-2.7988476341984283</v>
      </c>
      <c r="BM873">
        <f t="shared" ca="1" si="376"/>
        <v>1</v>
      </c>
      <c r="BN873">
        <f ca="1">IF(BM873=1,IF(INDEX(分析データ!$A:$A,ROW()+$C$5)&lt;&gt;"",40000*SIGN(BL873)*(分析データ!E873-INDEX(分析データ!E:E,ROW()+$C$5)),""),"")</f>
        <v>120000.00000000099</v>
      </c>
      <c r="BO873">
        <f t="shared" ca="1" si="377"/>
        <v>1800000.0000000068</v>
      </c>
      <c r="BP873">
        <f t="shared" ca="1" si="378"/>
        <v>4280000.0000000028</v>
      </c>
      <c r="BQ873">
        <f t="shared" ca="1" si="379"/>
        <v>-2479999.9999999963</v>
      </c>
      <c r="BR873">
        <f ca="1">IF(ROW()&lt;($C$7+1),"",IFERROR((分析データ!F873-AVERAGE(OFFSET(分析データ!F$1,MAX(1,ROW()-$C$7),0,MIN($C$7,ROW()-1),1)))/STDEV(OFFSET(分析データ!F$1,MAX(1,ROW()-$C$7),0,MIN($C$7,ROW()-1),1)),0))</f>
        <v>-1.7939698693046671</v>
      </c>
      <c r="BS873">
        <f t="shared" ca="1" si="380"/>
        <v>0</v>
      </c>
      <c r="BT873" t="str">
        <f ca="1">IF(BS873=1,IF(INDEX(分析データ!$A:$A,ROW()+$C$5)&lt;&gt;"",40000*SIGN(BR873)*(分析データ!F873-INDEX(分析データ!F:F,ROW()+$C$5)),""),"")</f>
        <v/>
      </c>
      <c r="BU873">
        <f t="shared" ca="1" si="381"/>
        <v>17620000</v>
      </c>
      <c r="BV873">
        <f t="shared" ca="1" si="382"/>
        <v>17620000</v>
      </c>
      <c r="BW873">
        <f t="shared" ca="1" si="383"/>
        <v>0</v>
      </c>
      <c r="BX873">
        <f ca="1">IF(ROW()&lt;($C$7+1),"",IFERROR((分析データ!G873-AVERAGE(OFFSET(分析データ!G$1,MAX(1,ROW()-$C$7),0,MIN($C$7,ROW()-1),1)))/STDEV(OFFSET(分析データ!G$1,MAX(1,ROW()-$C$7),0,MIN($C$7,ROW()-1),1)),0))</f>
        <v>1.5063121402419535</v>
      </c>
      <c r="BY873">
        <f t="shared" ca="1" si="384"/>
        <v>0</v>
      </c>
      <c r="BZ873" t="str">
        <f ca="1">IF(BY873=1,IF(INDEX(分析データ!$A:$A,ROW()+$C$5)&lt;&gt;"",40000*SIGN(BX873)*(分析データ!G873-INDEX(分析データ!G:G,ROW()+$C$5)),""),"")</f>
        <v/>
      </c>
      <c r="CA873">
        <f t="shared" ca="1" si="385"/>
        <v>-3515452.8662109179</v>
      </c>
      <c r="CB873">
        <f t="shared" ca="1" si="386"/>
        <v>11327520.000000004</v>
      </c>
      <c r="CC873">
        <f t="shared" ca="1" si="387"/>
        <v>-14842972.866210923</v>
      </c>
      <c r="CD873">
        <f t="shared" ca="1" si="388"/>
        <v>520000.00000000669</v>
      </c>
      <c r="CE873">
        <f t="shared" ca="1" si="389"/>
        <v>16923547.133789137</v>
      </c>
      <c r="CF873">
        <f t="shared" ca="1" si="390"/>
        <v>21567747.133789141</v>
      </c>
      <c r="CG873">
        <f t="shared" ca="1" si="391"/>
        <v>-4644200.0000000037</v>
      </c>
      <c r="CH873" s="10">
        <f>分析データ!A873</f>
        <v>46202</v>
      </c>
    </row>
    <row r="874" spans="46:86">
      <c r="AT874">
        <f ca="1">IF(ROW()&lt;($C$7+1),"",IFERROR((分析データ!B874-AVERAGE(OFFSET(分析データ!B$1,MAX(1,ROW()-$C$7),0,MIN($C$7,ROW()-1),1)))/STDEV(OFFSET(分析データ!B$1,MAX(1,ROW()-$C$7),0,MIN($C$7,ROW()-1),1)),0))</f>
        <v>-2.2769778081925494</v>
      </c>
      <c r="AU874">
        <f t="shared" ca="1" si="364"/>
        <v>1</v>
      </c>
      <c r="AV874">
        <f ca="1">IF(AU874=1,IF(INDEX(分析データ!$A:$A,ROW()+$C$5)&lt;&gt;"",80000*SIGN(AT874)*(分析データ!B874-INDEX(分析データ!B:B,ROW()+$C$5)),""),"")</f>
        <v>239999.99999999488</v>
      </c>
      <c r="AW874">
        <f t="shared" ca="1" si="365"/>
        <v>-1679999.9999999995</v>
      </c>
      <c r="AX874">
        <f t="shared" ca="1" si="366"/>
        <v>0</v>
      </c>
      <c r="AY874">
        <f t="shared" ca="1" si="367"/>
        <v>-1679999.9999999995</v>
      </c>
      <c r="AZ874">
        <f ca="1">IF(ROW()&lt;($C$7+1),"",IFERROR((分析データ!C874-AVERAGE(OFFSET(分析データ!C$1,MAX(1,ROW()-$C$7),0,MIN($C$7,ROW()-1),1)))/STDEV(OFFSET(分析データ!C$1,MAX(1,ROW()-$C$7),0,MIN($C$7,ROW()-1),1)),0))</f>
        <v>1.8677616821468801</v>
      </c>
      <c r="BA874">
        <f t="shared" ca="1" si="368"/>
        <v>0</v>
      </c>
      <c r="BB874" t="str">
        <f ca="1">IF(BA874=1,IF(INDEX(分析データ!$A:$A,ROW()+$C$5)&lt;&gt;"",60000*SIGN(AZ874)*(分析データ!C874-INDEX(分析データ!C:C,ROW()+$C$5)),""),"")</f>
        <v/>
      </c>
      <c r="BC874">
        <f t="shared" ca="1" si="369"/>
        <v>-2630999.9999999907</v>
      </c>
      <c r="BD874">
        <f t="shared" ca="1" si="370"/>
        <v>3156000.0000000107</v>
      </c>
      <c r="BE874">
        <f t="shared" ca="1" si="371"/>
        <v>-5787000.0000000019</v>
      </c>
      <c r="BF874">
        <f ca="1">IF(ROW()&lt;($C$7+1),"",IFERROR((分析データ!D874-AVERAGE(OFFSET(分析データ!D$1,MAX(1,ROW()-$C$7),0,MIN($C$7,ROW()-1),1)))/STDEV(OFFSET(分析データ!D$1,MAX(1,ROW()-$C$7),0,MIN($C$7,ROW()-1),1)),0))</f>
        <v>-1.3551493481513632</v>
      </c>
      <c r="BG874">
        <f t="shared" ca="1" si="372"/>
        <v>0</v>
      </c>
      <c r="BH874" t="str">
        <f ca="1">IF(BG874=1,IF(INDEX(分析データ!$A:$A,ROW()+$C$5)&lt;&gt;"",50000*SIGN(BF874)*(分析データ!D874-INDEX(分析データ!D:D,ROW()+$C$5)),""),"")</f>
        <v/>
      </c>
      <c r="BI874">
        <f t="shared" ca="1" si="373"/>
        <v>5570000.0000000205</v>
      </c>
      <c r="BJ874">
        <f t="shared" ca="1" si="374"/>
        <v>5570000.0000000205</v>
      </c>
      <c r="BK874">
        <f t="shared" ca="1" si="375"/>
        <v>0</v>
      </c>
      <c r="BL874">
        <f ca="1">IF(ROW()&lt;($C$7+1),"",IFERROR((分析データ!E874-AVERAGE(OFFSET(分析データ!E$1,MAX(1,ROW()-$C$7),0,MIN($C$7,ROW()-1),1)))/STDEV(OFFSET(分析データ!E$1,MAX(1,ROW()-$C$7),0,MIN($C$7,ROW()-1),1)),0))</f>
        <v>-2.5899285310958544</v>
      </c>
      <c r="BM874">
        <f t="shared" ca="1" si="376"/>
        <v>1</v>
      </c>
      <c r="BN874">
        <f ca="1">IF(BM874=1,IF(INDEX(分析データ!$A:$A,ROW()+$C$5)&lt;&gt;"",40000*SIGN(BL874)*(分析データ!E874-INDEX(分析データ!E:E,ROW()+$C$5)),""),"")</f>
        <v>160000.00000000015</v>
      </c>
      <c r="BO874">
        <f t="shared" ca="1" si="377"/>
        <v>1960000.000000007</v>
      </c>
      <c r="BP874">
        <f t="shared" ca="1" si="378"/>
        <v>4280000.0000000028</v>
      </c>
      <c r="BQ874">
        <f t="shared" ca="1" si="379"/>
        <v>-2319999.9999999958</v>
      </c>
      <c r="BR874">
        <f ca="1">IF(ROW()&lt;($C$7+1),"",IFERROR((分析データ!F874-AVERAGE(OFFSET(分析データ!F$1,MAX(1,ROW()-$C$7),0,MIN($C$7,ROW()-1),1)))/STDEV(OFFSET(分析データ!F$1,MAX(1,ROW()-$C$7),0,MIN($C$7,ROW()-1),1)),0))</f>
        <v>-2.0498632944297714</v>
      </c>
      <c r="BS874">
        <f t="shared" ca="1" si="380"/>
        <v>1</v>
      </c>
      <c r="BT874">
        <f ca="1">IF(BS874=1,IF(INDEX(分析データ!$A:$A,ROW()+$C$5)&lt;&gt;"",40000*SIGN(BR874)*(分析データ!F874-INDEX(分析データ!F:F,ROW()+$C$5)),""),"")</f>
        <v>858000.00000000186</v>
      </c>
      <c r="BU874">
        <f t="shared" ca="1" si="381"/>
        <v>18478000</v>
      </c>
      <c r="BV874">
        <f t="shared" ca="1" si="382"/>
        <v>18478000</v>
      </c>
      <c r="BW874">
        <f t="shared" ca="1" si="383"/>
        <v>0</v>
      </c>
      <c r="BX874">
        <f ca="1">IF(ROW()&lt;($C$7+1),"",IFERROR((分析データ!G874-AVERAGE(OFFSET(分析データ!G$1,MAX(1,ROW()-$C$7),0,MIN($C$7,ROW()-1),1)))/STDEV(OFFSET(分析データ!G$1,MAX(1,ROW()-$C$7),0,MIN($C$7,ROW()-1),1)),0))</f>
        <v>1.2267116280519521</v>
      </c>
      <c r="BY874">
        <f t="shared" ca="1" si="384"/>
        <v>0</v>
      </c>
      <c r="BZ874" t="str">
        <f ca="1">IF(BY874=1,IF(INDEX(分析データ!$A:$A,ROW()+$C$5)&lt;&gt;"",40000*SIGN(BX874)*(分析データ!G874-INDEX(分析データ!G:G,ROW()+$C$5)),""),"")</f>
        <v/>
      </c>
      <c r="CA874">
        <f t="shared" ca="1" si="385"/>
        <v>-3515452.8662109179</v>
      </c>
      <c r="CB874">
        <f t="shared" ca="1" si="386"/>
        <v>11327520.000000004</v>
      </c>
      <c r="CC874">
        <f t="shared" ca="1" si="387"/>
        <v>-14842972.866210923</v>
      </c>
      <c r="CD874">
        <f t="shared" ca="1" si="388"/>
        <v>1257999.9999999967</v>
      </c>
      <c r="CE874">
        <f t="shared" ca="1" si="389"/>
        <v>18181547.133789133</v>
      </c>
      <c r="CF874">
        <f t="shared" ca="1" si="390"/>
        <v>21567747.133789141</v>
      </c>
      <c r="CG874">
        <f t="shared" ca="1" si="391"/>
        <v>-3386200.0000000075</v>
      </c>
      <c r="CH874" s="10">
        <f>分析データ!A874</f>
        <v>46203</v>
      </c>
    </row>
    <row r="875" spans="46:86">
      <c r="AT875">
        <f ca="1">IF(ROW()&lt;($C$7+1),"",IFERROR((分析データ!B875-AVERAGE(OFFSET(分析データ!B$1,MAX(1,ROW()-$C$7),0,MIN($C$7,ROW()-1),1)))/STDEV(OFFSET(分析データ!B$1,MAX(1,ROW()-$C$7),0,MIN($C$7,ROW()-1),1)),0))</f>
        <v>-2.4153735740931022</v>
      </c>
      <c r="AU875">
        <f t="shared" ca="1" si="364"/>
        <v>1</v>
      </c>
      <c r="AV875">
        <f ca="1">IF(AU875=1,IF(INDEX(分析データ!$A:$A,ROW()+$C$5)&lt;&gt;"",80000*SIGN(AT875)*(分析データ!B875-INDEX(分析データ!B:B,ROW()+$C$5)),""),"")</f>
        <v>280000.00000000116</v>
      </c>
      <c r="AW875">
        <f t="shared" ca="1" si="365"/>
        <v>-1399999.9999999984</v>
      </c>
      <c r="AX875">
        <f t="shared" ca="1" si="366"/>
        <v>0</v>
      </c>
      <c r="AY875">
        <f t="shared" ca="1" si="367"/>
        <v>-1399999.9999999984</v>
      </c>
      <c r="AZ875">
        <f ca="1">IF(ROW()&lt;($C$7+1),"",IFERROR((分析データ!C875-AVERAGE(OFFSET(分析データ!C$1,MAX(1,ROW()-$C$7),0,MIN($C$7,ROW()-1),1)))/STDEV(OFFSET(分析データ!C$1,MAX(1,ROW()-$C$7),0,MIN($C$7,ROW()-1),1)),0))</f>
        <v>1.8933210909079281</v>
      </c>
      <c r="BA875">
        <f t="shared" ca="1" si="368"/>
        <v>0</v>
      </c>
      <c r="BB875" t="str">
        <f ca="1">IF(BA875=1,IF(INDEX(分析データ!$A:$A,ROW()+$C$5)&lt;&gt;"",60000*SIGN(AZ875)*(分析データ!C875-INDEX(分析データ!C:C,ROW()+$C$5)),""),"")</f>
        <v/>
      </c>
      <c r="BC875">
        <f t="shared" ca="1" si="369"/>
        <v>-2630999.9999999907</v>
      </c>
      <c r="BD875">
        <f t="shared" ca="1" si="370"/>
        <v>3156000.0000000107</v>
      </c>
      <c r="BE875">
        <f t="shared" ca="1" si="371"/>
        <v>-5787000.0000000019</v>
      </c>
      <c r="BF875">
        <f ca="1">IF(ROW()&lt;($C$7+1),"",IFERROR((分析データ!D875-AVERAGE(OFFSET(分析データ!D$1,MAX(1,ROW()-$C$7),0,MIN($C$7,ROW()-1),1)))/STDEV(OFFSET(分析データ!D$1,MAX(1,ROW()-$C$7),0,MIN($C$7,ROW()-1),1)),0))</f>
        <v>-1.291569437081227</v>
      </c>
      <c r="BG875">
        <f t="shared" ca="1" si="372"/>
        <v>0</v>
      </c>
      <c r="BH875" t="str">
        <f ca="1">IF(BG875=1,IF(INDEX(分析データ!$A:$A,ROW()+$C$5)&lt;&gt;"",50000*SIGN(BF875)*(分析データ!D875-INDEX(分析データ!D:D,ROW()+$C$5)),""),"")</f>
        <v/>
      </c>
      <c r="BI875">
        <f t="shared" ca="1" si="373"/>
        <v>5570000.0000000205</v>
      </c>
      <c r="BJ875">
        <f t="shared" ca="1" si="374"/>
        <v>5570000.0000000205</v>
      </c>
      <c r="BK875">
        <f t="shared" ca="1" si="375"/>
        <v>0</v>
      </c>
      <c r="BL875">
        <f ca="1">IF(ROW()&lt;($C$7+1),"",IFERROR((分析データ!E875-AVERAGE(OFFSET(分析データ!E$1,MAX(1,ROW()-$C$7),0,MIN($C$7,ROW()-1),1)))/STDEV(OFFSET(分析データ!E$1,MAX(1,ROW()-$C$7),0,MIN($C$7,ROW()-1),1)),0))</f>
        <v>-2.7013509807240452</v>
      </c>
      <c r="BM875">
        <f t="shared" ca="1" si="376"/>
        <v>1</v>
      </c>
      <c r="BN875">
        <f ca="1">IF(BM875=1,IF(INDEX(分析データ!$A:$A,ROW()+$C$5)&lt;&gt;"",40000*SIGN(BL875)*(分析データ!E875-INDEX(分析データ!E:E,ROW()+$C$5)),""),"")</f>
        <v>199999.9999999993</v>
      </c>
      <c r="BO875">
        <f t="shared" ca="1" si="377"/>
        <v>2160000.0000000065</v>
      </c>
      <c r="BP875">
        <f t="shared" ca="1" si="378"/>
        <v>4280000.0000000028</v>
      </c>
      <c r="BQ875">
        <f t="shared" ca="1" si="379"/>
        <v>-2119999.9999999963</v>
      </c>
      <c r="BR875">
        <f ca="1">IF(ROW()&lt;($C$7+1),"",IFERROR((分析データ!F875-AVERAGE(OFFSET(分析データ!F$1,MAX(1,ROW()-$C$7),0,MIN($C$7,ROW()-1),1)))/STDEV(OFFSET(分析データ!F$1,MAX(1,ROW()-$C$7),0,MIN($C$7,ROW()-1),1)),0))</f>
        <v>-2.1525874201542079</v>
      </c>
      <c r="BS875">
        <f t="shared" ca="1" si="380"/>
        <v>1</v>
      </c>
      <c r="BT875">
        <f ca="1">IF(BS875=1,IF(INDEX(分析データ!$A:$A,ROW()+$C$5)&lt;&gt;"",40000*SIGN(BR875)*(分析データ!F875-INDEX(分析データ!F:F,ROW()+$C$5)),""),"")</f>
        <v>1338800.0000000012</v>
      </c>
      <c r="BU875">
        <f t="shared" ca="1" si="381"/>
        <v>19816800</v>
      </c>
      <c r="BV875">
        <f t="shared" ca="1" si="382"/>
        <v>19816800</v>
      </c>
      <c r="BW875">
        <f t="shared" ca="1" si="383"/>
        <v>0</v>
      </c>
      <c r="BX875">
        <f ca="1">IF(ROW()&lt;($C$7+1),"",IFERROR((分析データ!G875-AVERAGE(OFFSET(分析データ!G$1,MAX(1,ROW()-$C$7),0,MIN($C$7,ROW()-1),1)))/STDEV(OFFSET(分析データ!G$1,MAX(1,ROW()-$C$7),0,MIN($C$7,ROW()-1),1)),0))</f>
        <v>1.5443744549103129</v>
      </c>
      <c r="BY875">
        <f t="shared" ca="1" si="384"/>
        <v>0</v>
      </c>
      <c r="BZ875" t="str">
        <f ca="1">IF(BY875=1,IF(INDEX(分析データ!$A:$A,ROW()+$C$5)&lt;&gt;"",40000*SIGN(BX875)*(分析データ!G875-INDEX(分析データ!G:G,ROW()+$C$5)),""),"")</f>
        <v/>
      </c>
      <c r="CA875">
        <f t="shared" ca="1" si="385"/>
        <v>-3515452.8662109179</v>
      </c>
      <c r="CB875">
        <f t="shared" ca="1" si="386"/>
        <v>11327520.000000004</v>
      </c>
      <c r="CC875">
        <f t="shared" ca="1" si="387"/>
        <v>-14842972.866210923</v>
      </c>
      <c r="CD875">
        <f t="shared" ca="1" si="388"/>
        <v>1818800.0000000016</v>
      </c>
      <c r="CE875">
        <f t="shared" ca="1" si="389"/>
        <v>20000347.133789133</v>
      </c>
      <c r="CF875">
        <f t="shared" ca="1" si="390"/>
        <v>21567747.133789141</v>
      </c>
      <c r="CG875">
        <f t="shared" ca="1" si="391"/>
        <v>-1567400.0000000075</v>
      </c>
      <c r="CH875" s="10">
        <f>分析データ!A875</f>
        <v>46204</v>
      </c>
    </row>
    <row r="876" spans="46:86">
      <c r="AT876">
        <f ca="1">IF(ROW()&lt;($C$7+1),"",IFERROR((分析データ!B876-AVERAGE(OFFSET(分析データ!B$1,MAX(1,ROW()-$C$7),0,MIN($C$7,ROW()-1),1)))/STDEV(OFFSET(分析データ!B$1,MAX(1,ROW()-$C$7),0,MIN($C$7,ROW()-1),1)),0))</f>
        <v>-1.6968537574073077</v>
      </c>
      <c r="AU876">
        <f t="shared" ca="1" si="364"/>
        <v>0</v>
      </c>
      <c r="AV876" t="str">
        <f ca="1">IF(AU876=1,IF(INDEX(分析データ!$A:$A,ROW()+$C$5)&lt;&gt;"",80000*SIGN(AT876)*(分析データ!B876-INDEX(分析データ!B:B,ROW()+$C$5)),""),"")</f>
        <v/>
      </c>
      <c r="AW876">
        <f t="shared" ca="1" si="365"/>
        <v>-1399999.9999999984</v>
      </c>
      <c r="AX876">
        <f t="shared" ca="1" si="366"/>
        <v>0</v>
      </c>
      <c r="AY876">
        <f t="shared" ca="1" si="367"/>
        <v>-1399999.9999999984</v>
      </c>
      <c r="AZ876">
        <f ca="1">IF(ROW()&lt;($C$7+1),"",IFERROR((分析データ!C876-AVERAGE(OFFSET(分析データ!C$1,MAX(1,ROW()-$C$7),0,MIN($C$7,ROW()-1),1)))/STDEV(OFFSET(分析データ!C$1,MAX(1,ROW()-$C$7),0,MIN($C$7,ROW()-1),1)),0))</f>
        <v>2.1522623470874409</v>
      </c>
      <c r="BA876">
        <f t="shared" ca="1" si="368"/>
        <v>1</v>
      </c>
      <c r="BB876">
        <f ca="1">IF(BA876=1,IF(INDEX(分析データ!$A:$A,ROW()+$C$5)&lt;&gt;"",60000*SIGN(AZ876)*(分析データ!C876-INDEX(分析データ!C:C,ROW()+$C$5)),""),"")</f>
        <v>372000.00000000169</v>
      </c>
      <c r="BC876">
        <f t="shared" ca="1" si="369"/>
        <v>-2258999.9999999888</v>
      </c>
      <c r="BD876">
        <f t="shared" ca="1" si="370"/>
        <v>3156000.0000000107</v>
      </c>
      <c r="BE876">
        <f t="shared" ca="1" si="371"/>
        <v>-5415000</v>
      </c>
      <c r="BF876">
        <f ca="1">IF(ROW()&lt;($C$7+1),"",IFERROR((分析データ!D876-AVERAGE(OFFSET(分析データ!D$1,MAX(1,ROW()-$C$7),0,MIN($C$7,ROW()-1),1)))/STDEV(OFFSET(分析データ!D$1,MAX(1,ROW()-$C$7),0,MIN($C$7,ROW()-1),1)),0))</f>
        <v>-1.4476313443362232</v>
      </c>
      <c r="BG876">
        <f t="shared" ca="1" si="372"/>
        <v>0</v>
      </c>
      <c r="BH876" t="str">
        <f ca="1">IF(BG876=1,IF(INDEX(分析データ!$A:$A,ROW()+$C$5)&lt;&gt;"",50000*SIGN(BF876)*(分析データ!D876-INDEX(分析データ!D:D,ROW()+$C$5)),""),"")</f>
        <v/>
      </c>
      <c r="BI876">
        <f t="shared" ca="1" si="373"/>
        <v>5570000.0000000205</v>
      </c>
      <c r="BJ876">
        <f t="shared" ca="1" si="374"/>
        <v>5570000.0000000205</v>
      </c>
      <c r="BK876">
        <f t="shared" ca="1" si="375"/>
        <v>0</v>
      </c>
      <c r="BL876">
        <f ca="1">IF(ROW()&lt;($C$7+1),"",IFERROR((分析データ!E876-AVERAGE(OFFSET(分析データ!E$1,MAX(1,ROW()-$C$7),0,MIN($C$7,ROW()-1),1)))/STDEV(OFFSET(分析データ!E$1,MAX(1,ROW()-$C$7),0,MIN($C$7,ROW()-1),1)),0))</f>
        <v>-2.345003138943516</v>
      </c>
      <c r="BM876">
        <f t="shared" ca="1" si="376"/>
        <v>1</v>
      </c>
      <c r="BN876">
        <f ca="1">IF(BM876=1,IF(INDEX(分析データ!$A:$A,ROW()+$C$5)&lt;&gt;"",40000*SIGN(BL876)*(分析データ!E876-INDEX(分析データ!E:E,ROW()+$C$5)),""),"")</f>
        <v>39999.999999999149</v>
      </c>
      <c r="BO876">
        <f t="shared" ca="1" si="377"/>
        <v>2200000.0000000056</v>
      </c>
      <c r="BP876">
        <f t="shared" ca="1" si="378"/>
        <v>4280000.0000000028</v>
      </c>
      <c r="BQ876">
        <f t="shared" ca="1" si="379"/>
        <v>-2079999.9999999972</v>
      </c>
      <c r="BR876">
        <f ca="1">IF(ROW()&lt;($C$7+1),"",IFERROR((分析データ!F876-AVERAGE(OFFSET(分析データ!F$1,MAX(1,ROW()-$C$7),0,MIN($C$7,ROW()-1),1)))/STDEV(OFFSET(分析データ!F$1,MAX(1,ROW()-$C$7),0,MIN($C$7,ROW()-1),1)),0))</f>
        <v>-1.7246519003986227</v>
      </c>
      <c r="BS876">
        <f t="shared" ca="1" si="380"/>
        <v>0</v>
      </c>
      <c r="BT876" t="str">
        <f ca="1">IF(BS876=1,IF(INDEX(分析データ!$A:$A,ROW()+$C$5)&lt;&gt;"",40000*SIGN(BR876)*(分析データ!F876-INDEX(分析データ!F:F,ROW()+$C$5)),""),"")</f>
        <v/>
      </c>
      <c r="BU876">
        <f t="shared" ca="1" si="381"/>
        <v>19816800</v>
      </c>
      <c r="BV876">
        <f t="shared" ca="1" si="382"/>
        <v>19816800</v>
      </c>
      <c r="BW876">
        <f t="shared" ca="1" si="383"/>
        <v>0</v>
      </c>
      <c r="BX876">
        <f ca="1">IF(ROW()&lt;($C$7+1),"",IFERROR((分析データ!G876-AVERAGE(OFFSET(分析データ!G$1,MAX(1,ROW()-$C$7),0,MIN($C$7,ROW()-1),1)))/STDEV(OFFSET(分析データ!G$1,MAX(1,ROW()-$C$7),0,MIN($C$7,ROW()-1),1)),0))</f>
        <v>1.4714564388605875</v>
      </c>
      <c r="BY876">
        <f t="shared" ca="1" si="384"/>
        <v>0</v>
      </c>
      <c r="BZ876" t="str">
        <f ca="1">IF(BY876=1,IF(INDEX(分析データ!$A:$A,ROW()+$C$5)&lt;&gt;"",40000*SIGN(BX876)*(分析データ!G876-INDEX(分析データ!G:G,ROW()+$C$5)),""),"")</f>
        <v/>
      </c>
      <c r="CA876">
        <f t="shared" ca="1" si="385"/>
        <v>-3515452.8662109179</v>
      </c>
      <c r="CB876">
        <f t="shared" ca="1" si="386"/>
        <v>11327520.000000004</v>
      </c>
      <c r="CC876">
        <f t="shared" ca="1" si="387"/>
        <v>-14842972.866210923</v>
      </c>
      <c r="CD876">
        <f t="shared" ca="1" si="388"/>
        <v>412000.00000000081</v>
      </c>
      <c r="CE876">
        <f t="shared" ca="1" si="389"/>
        <v>20412347.133789133</v>
      </c>
      <c r="CF876">
        <f t="shared" ca="1" si="390"/>
        <v>21567747.133789141</v>
      </c>
      <c r="CG876">
        <f t="shared" ca="1" si="391"/>
        <v>-1155400.0000000075</v>
      </c>
      <c r="CH876" s="10">
        <f>分析データ!A876</f>
        <v>46205</v>
      </c>
    </row>
    <row r="877" spans="46:86">
      <c r="AT877">
        <f ca="1">IF(ROW()&lt;($C$7+1),"",IFERROR((分析データ!B877-AVERAGE(OFFSET(分析データ!B$1,MAX(1,ROW()-$C$7),0,MIN($C$7,ROW()-1),1)))/STDEV(OFFSET(分析データ!B$1,MAX(1,ROW()-$C$7),0,MIN($C$7,ROW()-1),1)),0))</f>
        <v>-2.0203645138224409</v>
      </c>
      <c r="AU877">
        <f t="shared" ca="1" si="364"/>
        <v>1</v>
      </c>
      <c r="AV877">
        <f ca="1">IF(AU877=1,IF(INDEX(分析データ!$A:$A,ROW()+$C$5)&lt;&gt;"",80000*SIGN(AT877)*(分析データ!B877-INDEX(分析データ!B:B,ROW()+$C$5)),""),"")</f>
        <v>159999.99999999659</v>
      </c>
      <c r="AW877">
        <f t="shared" ca="1" si="365"/>
        <v>-1240000.0000000019</v>
      </c>
      <c r="AX877">
        <f t="shared" ca="1" si="366"/>
        <v>0</v>
      </c>
      <c r="AY877">
        <f t="shared" ca="1" si="367"/>
        <v>-1240000.0000000019</v>
      </c>
      <c r="AZ877">
        <f ca="1">IF(ROW()&lt;($C$7+1),"",IFERROR((分析データ!C877-AVERAGE(OFFSET(分析データ!C$1,MAX(1,ROW()-$C$7),0,MIN($C$7,ROW()-1),1)))/STDEV(OFFSET(分析データ!C$1,MAX(1,ROW()-$C$7),0,MIN($C$7,ROW()-1),1)),0))</f>
        <v>2.2872354392111647</v>
      </c>
      <c r="BA877">
        <f t="shared" ca="1" si="368"/>
        <v>1</v>
      </c>
      <c r="BB877">
        <f ca="1">IF(BA877=1,IF(INDEX(分析データ!$A:$A,ROW()+$C$5)&lt;&gt;"",60000*SIGN(AZ877)*(分析データ!C877-INDEX(分析データ!C:C,ROW()+$C$5)),""),"")</f>
        <v>522000.00000000111</v>
      </c>
      <c r="BC877">
        <f t="shared" ca="1" si="369"/>
        <v>-1736999.9999999877</v>
      </c>
      <c r="BD877">
        <f t="shared" ca="1" si="370"/>
        <v>3156000.0000000107</v>
      </c>
      <c r="BE877">
        <f t="shared" ca="1" si="371"/>
        <v>-4892999.9999999981</v>
      </c>
      <c r="BF877">
        <f ca="1">IF(ROW()&lt;($C$7+1),"",IFERROR((分析データ!D877-AVERAGE(OFFSET(分析データ!D$1,MAX(1,ROW()-$C$7),0,MIN($C$7,ROW()-1),1)))/STDEV(OFFSET(分析データ!D$1,MAX(1,ROW()-$C$7),0,MIN($C$7,ROW()-1),1)),0))</f>
        <v>-1.5976547155392451</v>
      </c>
      <c r="BG877">
        <f t="shared" ca="1" si="372"/>
        <v>0</v>
      </c>
      <c r="BH877" t="str">
        <f ca="1">IF(BG877=1,IF(INDEX(分析データ!$A:$A,ROW()+$C$5)&lt;&gt;"",50000*SIGN(BF877)*(分析データ!D877-INDEX(分析データ!D:D,ROW()+$C$5)),""),"")</f>
        <v/>
      </c>
      <c r="BI877">
        <f t="shared" ca="1" si="373"/>
        <v>5570000.0000000205</v>
      </c>
      <c r="BJ877">
        <f t="shared" ca="1" si="374"/>
        <v>5570000.0000000205</v>
      </c>
      <c r="BK877">
        <f t="shared" ca="1" si="375"/>
        <v>0</v>
      </c>
      <c r="BL877">
        <f ca="1">IF(ROW()&lt;($C$7+1),"",IFERROR((分析データ!E877-AVERAGE(OFFSET(分析データ!E$1,MAX(1,ROW()-$C$7),0,MIN($C$7,ROW()-1),1)))/STDEV(OFFSET(分析データ!E$1,MAX(1,ROW()-$C$7),0,MIN($C$7,ROW()-1),1)),0))</f>
        <v>-2.1569464009442143</v>
      </c>
      <c r="BM877">
        <f t="shared" ca="1" si="376"/>
        <v>1</v>
      </c>
      <c r="BN877">
        <f ca="1">IF(BM877=1,IF(INDEX(分析データ!$A:$A,ROW()+$C$5)&lt;&gt;"",40000*SIGN(BL877)*(分析データ!E877-INDEX(分析データ!E:E,ROW()+$C$5)),""),"")</f>
        <v>-3.5527136788005009E-9</v>
      </c>
      <c r="BO877">
        <f t="shared" ca="1" si="377"/>
        <v>2200000.0000000019</v>
      </c>
      <c r="BP877">
        <f t="shared" ca="1" si="378"/>
        <v>4280000.0000000028</v>
      </c>
      <c r="BQ877">
        <f t="shared" ca="1" si="379"/>
        <v>-2080000.0000000009</v>
      </c>
      <c r="BR877">
        <f ca="1">IF(ROW()&lt;($C$7+1),"",IFERROR((分析データ!F877-AVERAGE(OFFSET(分析データ!F$1,MAX(1,ROW()-$C$7),0,MIN($C$7,ROW()-1),1)))/STDEV(OFFSET(分析データ!F$1,MAX(1,ROW()-$C$7),0,MIN($C$7,ROW()-1),1)),0))</f>
        <v>-1.3312892820319049</v>
      </c>
      <c r="BS877">
        <f t="shared" ca="1" si="380"/>
        <v>0</v>
      </c>
      <c r="BT877" t="str">
        <f ca="1">IF(BS877=1,IF(INDEX(分析データ!$A:$A,ROW()+$C$5)&lt;&gt;"",40000*SIGN(BR877)*(分析データ!F877-INDEX(分析データ!F:F,ROW()+$C$5)),""),"")</f>
        <v/>
      </c>
      <c r="BU877">
        <f t="shared" ca="1" si="381"/>
        <v>19816800</v>
      </c>
      <c r="BV877">
        <f t="shared" ca="1" si="382"/>
        <v>19816800</v>
      </c>
      <c r="BW877">
        <f t="shared" ca="1" si="383"/>
        <v>0</v>
      </c>
      <c r="BX877">
        <f ca="1">IF(ROW()&lt;($C$7+1),"",IFERROR((分析データ!G877-AVERAGE(OFFSET(分析データ!G$1,MAX(1,ROW()-$C$7),0,MIN($C$7,ROW()-1),1)))/STDEV(OFFSET(分析データ!G$1,MAX(1,ROW()-$C$7),0,MIN($C$7,ROW()-1),1)),0))</f>
        <v>1.4486178476201808</v>
      </c>
      <c r="BY877">
        <f t="shared" ca="1" si="384"/>
        <v>0</v>
      </c>
      <c r="BZ877" t="str">
        <f ca="1">IF(BY877=1,IF(INDEX(分析データ!$A:$A,ROW()+$C$5)&lt;&gt;"",40000*SIGN(BX877)*(分析データ!G877-INDEX(分析データ!G:G,ROW()+$C$5)),""),"")</f>
        <v/>
      </c>
      <c r="CA877">
        <f t="shared" ca="1" si="385"/>
        <v>-3515452.8662109179</v>
      </c>
      <c r="CB877">
        <f t="shared" ca="1" si="386"/>
        <v>11327520.000000004</v>
      </c>
      <c r="CC877">
        <f t="shared" ca="1" si="387"/>
        <v>-14842972.866210923</v>
      </c>
      <c r="CD877">
        <f t="shared" ca="1" si="388"/>
        <v>681999.99999999406</v>
      </c>
      <c r="CE877">
        <f t="shared" ca="1" si="389"/>
        <v>21094347.133789126</v>
      </c>
      <c r="CF877">
        <f t="shared" ca="1" si="390"/>
        <v>21567747.133789141</v>
      </c>
      <c r="CG877">
        <f t="shared" ca="1" si="391"/>
        <v>-473400.0000000149</v>
      </c>
      <c r="CH877" s="10">
        <f>分析データ!A877</f>
        <v>46209</v>
      </c>
    </row>
    <row r="878" spans="46:86">
      <c r="AT878">
        <f ca="1">IF(ROW()&lt;($C$7+1),"",IFERROR((分析データ!B878-AVERAGE(OFFSET(分析データ!B$1,MAX(1,ROW()-$C$7),0,MIN($C$7,ROW()-1),1)))/STDEV(OFFSET(分析データ!B$1,MAX(1,ROW()-$C$7),0,MIN($C$7,ROW()-1),1)),0))</f>
        <v>-1.6577831689748974</v>
      </c>
      <c r="AU878">
        <f t="shared" ca="1" si="364"/>
        <v>0</v>
      </c>
      <c r="AV878" t="str">
        <f ca="1">IF(AU878=1,IF(INDEX(分析データ!$A:$A,ROW()+$C$5)&lt;&gt;"",80000*SIGN(AT878)*(分析データ!B878-INDEX(分析データ!B:B,ROW()+$C$5)),""),"")</f>
        <v/>
      </c>
      <c r="AW878">
        <f t="shared" ca="1" si="365"/>
        <v>-1240000.0000000019</v>
      </c>
      <c r="AX878">
        <f t="shared" ca="1" si="366"/>
        <v>0</v>
      </c>
      <c r="AY878">
        <f t="shared" ca="1" si="367"/>
        <v>-1240000.0000000019</v>
      </c>
      <c r="AZ878">
        <f ca="1">IF(ROW()&lt;($C$7+1),"",IFERROR((分析データ!C878-AVERAGE(OFFSET(分析データ!C$1,MAX(1,ROW()-$C$7),0,MIN($C$7,ROW()-1),1)))/STDEV(OFFSET(分析データ!C$1,MAX(1,ROW()-$C$7),0,MIN($C$7,ROW()-1),1)),0))</f>
        <v>2.386712181566526</v>
      </c>
      <c r="BA878">
        <f t="shared" ca="1" si="368"/>
        <v>1</v>
      </c>
      <c r="BB878">
        <f ca="1">IF(BA878=1,IF(INDEX(分析データ!$A:$A,ROW()+$C$5)&lt;&gt;"",60000*SIGN(AZ878)*(分析データ!C878-INDEX(分析データ!C:C,ROW()+$C$5)),""),"")</f>
        <v>597000.00000000221</v>
      </c>
      <c r="BC878">
        <f t="shared" ca="1" si="369"/>
        <v>-1139999.9999999856</v>
      </c>
      <c r="BD878">
        <f t="shared" ca="1" si="370"/>
        <v>3156000.0000000107</v>
      </c>
      <c r="BE878">
        <f t="shared" ca="1" si="371"/>
        <v>-4295999.9999999963</v>
      </c>
      <c r="BF878">
        <f ca="1">IF(ROW()&lt;($C$7+1),"",IFERROR((分析データ!D878-AVERAGE(OFFSET(分析データ!D$1,MAX(1,ROW()-$C$7),0,MIN($C$7,ROW()-1),1)))/STDEV(OFFSET(分析データ!D$1,MAX(1,ROW()-$C$7),0,MIN($C$7,ROW()-1),1)),0))</f>
        <v>-1.4164611455405156</v>
      </c>
      <c r="BG878">
        <f t="shared" ca="1" si="372"/>
        <v>0</v>
      </c>
      <c r="BH878" t="str">
        <f ca="1">IF(BG878=1,IF(INDEX(分析データ!$A:$A,ROW()+$C$5)&lt;&gt;"",50000*SIGN(BF878)*(分析データ!D878-INDEX(分析データ!D:D,ROW()+$C$5)),""),"")</f>
        <v/>
      </c>
      <c r="BI878">
        <f t="shared" ca="1" si="373"/>
        <v>5570000.0000000205</v>
      </c>
      <c r="BJ878">
        <f t="shared" ca="1" si="374"/>
        <v>5570000.0000000205</v>
      </c>
      <c r="BK878">
        <f t="shared" ca="1" si="375"/>
        <v>0</v>
      </c>
      <c r="BL878">
        <f ca="1">IF(ROW()&lt;($C$7+1),"",IFERROR((分析データ!E878-AVERAGE(OFFSET(分析データ!E$1,MAX(1,ROW()-$C$7),0,MIN($C$7,ROW()-1),1)))/STDEV(OFFSET(分析データ!E$1,MAX(1,ROW()-$C$7),0,MIN($C$7,ROW()-1),1)),0))</f>
        <v>-1.9755415707335218</v>
      </c>
      <c r="BM878">
        <f t="shared" ca="1" si="376"/>
        <v>0</v>
      </c>
      <c r="BN878" t="str">
        <f ca="1">IF(BM878=1,IF(INDEX(分析データ!$A:$A,ROW()+$C$5)&lt;&gt;"",40000*SIGN(BL878)*(分析データ!E878-INDEX(分析データ!E:E,ROW()+$C$5)),""),"")</f>
        <v/>
      </c>
      <c r="BO878">
        <f t="shared" ca="1" si="377"/>
        <v>2200000.0000000019</v>
      </c>
      <c r="BP878">
        <f t="shared" ca="1" si="378"/>
        <v>4280000.0000000028</v>
      </c>
      <c r="BQ878">
        <f t="shared" ca="1" si="379"/>
        <v>-2080000.0000000009</v>
      </c>
      <c r="BR878">
        <f ca="1">IF(ROW()&lt;($C$7+1),"",IFERROR((分析データ!F878-AVERAGE(OFFSET(分析データ!F$1,MAX(1,ROW()-$C$7),0,MIN($C$7,ROW()-1),1)))/STDEV(OFFSET(分析データ!F$1,MAX(1,ROW()-$C$7),0,MIN($C$7,ROW()-1),1)),0))</f>
        <v>-1.4659072633195043</v>
      </c>
      <c r="BS878">
        <f t="shared" ca="1" si="380"/>
        <v>0</v>
      </c>
      <c r="BT878" t="str">
        <f ca="1">IF(BS878=1,IF(INDEX(分析データ!$A:$A,ROW()+$C$5)&lt;&gt;"",40000*SIGN(BR878)*(分析データ!F878-INDEX(分析データ!F:F,ROW()+$C$5)),""),"")</f>
        <v/>
      </c>
      <c r="BU878">
        <f t="shared" ca="1" si="381"/>
        <v>19816800</v>
      </c>
      <c r="BV878">
        <f t="shared" ca="1" si="382"/>
        <v>19816800</v>
      </c>
      <c r="BW878">
        <f t="shared" ca="1" si="383"/>
        <v>0</v>
      </c>
      <c r="BX878">
        <f ca="1">IF(ROW()&lt;($C$7+1),"",IFERROR((分析データ!G878-AVERAGE(OFFSET(分析データ!G$1,MAX(1,ROW()-$C$7),0,MIN($C$7,ROW()-1),1)))/STDEV(OFFSET(分析データ!G$1,MAX(1,ROW()-$C$7),0,MIN($C$7,ROW()-1),1)),0))</f>
        <v>1.3433927853735461</v>
      </c>
      <c r="BY878">
        <f t="shared" ca="1" si="384"/>
        <v>0</v>
      </c>
      <c r="BZ878" t="str">
        <f ca="1">IF(BY878=1,IF(INDEX(分析データ!$A:$A,ROW()+$C$5)&lt;&gt;"",40000*SIGN(BX878)*(分析データ!G878-INDEX(分析データ!G:G,ROW()+$C$5)),""),"")</f>
        <v/>
      </c>
      <c r="CA878">
        <f t="shared" ca="1" si="385"/>
        <v>-3515452.8662109179</v>
      </c>
      <c r="CB878">
        <f t="shared" ca="1" si="386"/>
        <v>11327520.000000004</v>
      </c>
      <c r="CC878">
        <f t="shared" ca="1" si="387"/>
        <v>-14842972.866210923</v>
      </c>
      <c r="CD878">
        <f t="shared" ca="1" si="388"/>
        <v>597000.00000000221</v>
      </c>
      <c r="CE878">
        <f t="shared" ca="1" si="389"/>
        <v>21691347.13378913</v>
      </c>
      <c r="CF878">
        <f t="shared" ca="1" si="390"/>
        <v>21691347.13378913</v>
      </c>
      <c r="CG878">
        <f t="shared" ca="1" si="391"/>
        <v>0</v>
      </c>
      <c r="CH878" s="10">
        <f>分析データ!A878</f>
        <v>46210</v>
      </c>
    </row>
    <row r="879" spans="46:86">
      <c r="AT879">
        <f ca="1">IF(ROW()&lt;($C$7+1),"",IFERROR((分析データ!B879-AVERAGE(OFFSET(分析データ!B$1,MAX(1,ROW()-$C$7),0,MIN($C$7,ROW()-1),1)))/STDEV(OFFSET(分析データ!B$1,MAX(1,ROW()-$C$7),0,MIN($C$7,ROW()-1),1)),0))</f>
        <v>-1.810362486528168</v>
      </c>
      <c r="AU879">
        <f t="shared" ca="1" si="364"/>
        <v>0</v>
      </c>
      <c r="AV879" t="str">
        <f ca="1">IF(AU879=1,IF(INDEX(分析データ!$A:$A,ROW()+$C$5)&lt;&gt;"",80000*SIGN(AT879)*(分析データ!B879-INDEX(分析データ!B:B,ROW()+$C$5)),""),"")</f>
        <v/>
      </c>
      <c r="AW879">
        <f t="shared" ca="1" si="365"/>
        <v>-1240000.0000000019</v>
      </c>
      <c r="AX879">
        <f t="shared" ca="1" si="366"/>
        <v>0</v>
      </c>
      <c r="AY879">
        <f t="shared" ca="1" si="367"/>
        <v>-1240000.0000000019</v>
      </c>
      <c r="AZ879">
        <f ca="1">IF(ROW()&lt;($C$7+1),"",IFERROR((分析データ!C879-AVERAGE(OFFSET(分析データ!C$1,MAX(1,ROW()-$C$7),0,MIN($C$7,ROW()-1),1)))/STDEV(OFFSET(分析データ!C$1,MAX(1,ROW()-$C$7),0,MIN($C$7,ROW()-1),1)),0))</f>
        <v>2.2428142293551097</v>
      </c>
      <c r="BA879">
        <f t="shared" ca="1" si="368"/>
        <v>1</v>
      </c>
      <c r="BB879">
        <f ca="1">IF(BA879=1,IF(INDEX(分析データ!$A:$A,ROW()+$C$5)&lt;&gt;"",60000*SIGN(AZ879)*(分析データ!C879-INDEX(分析データ!C:C,ROW()+$C$5)),""),"")</f>
        <v>425999.99999999837</v>
      </c>
      <c r="BC879">
        <f t="shared" ca="1" si="369"/>
        <v>-713999.99999998719</v>
      </c>
      <c r="BD879">
        <f t="shared" ca="1" si="370"/>
        <v>3156000.0000000107</v>
      </c>
      <c r="BE879">
        <f t="shared" ca="1" si="371"/>
        <v>-3869999.9999999981</v>
      </c>
      <c r="BF879">
        <f ca="1">IF(ROW()&lt;($C$7+1),"",IFERROR((分析データ!D879-AVERAGE(OFFSET(分析データ!D$1,MAX(1,ROW()-$C$7),0,MIN($C$7,ROW()-1),1)))/STDEV(OFFSET(分析データ!D$1,MAX(1,ROW()-$C$7),0,MIN($C$7,ROW()-1),1)),0))</f>
        <v>-1.4442149089921044</v>
      </c>
      <c r="BG879">
        <f t="shared" ca="1" si="372"/>
        <v>0</v>
      </c>
      <c r="BH879" t="str">
        <f ca="1">IF(BG879=1,IF(INDEX(分析データ!$A:$A,ROW()+$C$5)&lt;&gt;"",50000*SIGN(BF879)*(分析データ!D879-INDEX(分析データ!D:D,ROW()+$C$5)),""),"")</f>
        <v/>
      </c>
      <c r="BI879">
        <f t="shared" ca="1" si="373"/>
        <v>5570000.0000000205</v>
      </c>
      <c r="BJ879">
        <f t="shared" ca="1" si="374"/>
        <v>5570000.0000000205</v>
      </c>
      <c r="BK879">
        <f t="shared" ca="1" si="375"/>
        <v>0</v>
      </c>
      <c r="BL879">
        <f ca="1">IF(ROW()&lt;($C$7+1),"",IFERROR((分析データ!E879-AVERAGE(OFFSET(分析データ!E$1,MAX(1,ROW()-$C$7),0,MIN($C$7,ROW()-1),1)))/STDEV(OFFSET(分析データ!E$1,MAX(1,ROW()-$C$7),0,MIN($C$7,ROW()-1),1)),0))</f>
        <v>-2.4046681274394652</v>
      </c>
      <c r="BM879">
        <f t="shared" ca="1" si="376"/>
        <v>1</v>
      </c>
      <c r="BN879">
        <f ca="1">IF(BM879=1,IF(INDEX(分析データ!$A:$A,ROW()+$C$5)&lt;&gt;"",40000*SIGN(BL879)*(分析データ!E879-INDEX(分析データ!E:E,ROW()+$C$5)),""),"")</f>
        <v>39999.999999999149</v>
      </c>
      <c r="BO879">
        <f t="shared" ca="1" si="377"/>
        <v>2240000.0000000009</v>
      </c>
      <c r="BP879">
        <f t="shared" ca="1" si="378"/>
        <v>4280000.0000000028</v>
      </c>
      <c r="BQ879">
        <f t="shared" ca="1" si="379"/>
        <v>-2040000.0000000019</v>
      </c>
      <c r="BR879">
        <f ca="1">IF(ROW()&lt;($C$7+1),"",IFERROR((分析データ!F879-AVERAGE(OFFSET(分析データ!F$1,MAX(1,ROW()-$C$7),0,MIN($C$7,ROW()-1),1)))/STDEV(OFFSET(分析データ!F$1,MAX(1,ROW()-$C$7),0,MIN($C$7,ROW()-1),1)),0))</f>
        <v>-1.1207689220823958</v>
      </c>
      <c r="BS879">
        <f t="shared" ca="1" si="380"/>
        <v>0</v>
      </c>
      <c r="BT879" t="str">
        <f ca="1">IF(BS879=1,IF(INDEX(分析データ!$A:$A,ROW()+$C$5)&lt;&gt;"",40000*SIGN(BR879)*(分析データ!F879-INDEX(分析データ!F:F,ROW()+$C$5)),""),"")</f>
        <v/>
      </c>
      <c r="BU879">
        <f t="shared" ca="1" si="381"/>
        <v>19816800</v>
      </c>
      <c r="BV879">
        <f t="shared" ca="1" si="382"/>
        <v>19816800</v>
      </c>
      <c r="BW879">
        <f t="shared" ca="1" si="383"/>
        <v>0</v>
      </c>
      <c r="BX879">
        <f ca="1">IF(ROW()&lt;($C$7+1),"",IFERROR((分析データ!G879-AVERAGE(OFFSET(分析データ!G$1,MAX(1,ROW()-$C$7),0,MIN($C$7,ROW()-1),1)))/STDEV(OFFSET(分析データ!G$1,MAX(1,ROW()-$C$7),0,MIN($C$7,ROW()-1),1)),0))</f>
        <v>1.3161930299675799</v>
      </c>
      <c r="BY879">
        <f t="shared" ca="1" si="384"/>
        <v>0</v>
      </c>
      <c r="BZ879" t="str">
        <f ca="1">IF(BY879=1,IF(INDEX(分析データ!$A:$A,ROW()+$C$5)&lt;&gt;"",40000*SIGN(BX879)*(分析データ!G879-INDEX(分析データ!G:G,ROW()+$C$5)),""),"")</f>
        <v/>
      </c>
      <c r="CA879">
        <f t="shared" ca="1" si="385"/>
        <v>-3515452.8662109179</v>
      </c>
      <c r="CB879">
        <f t="shared" ca="1" si="386"/>
        <v>11327520.000000004</v>
      </c>
      <c r="CC879">
        <f t="shared" ca="1" si="387"/>
        <v>-14842972.866210923</v>
      </c>
      <c r="CD879">
        <f t="shared" ca="1" si="388"/>
        <v>465999.9999999975</v>
      </c>
      <c r="CE879">
        <f t="shared" ca="1" si="389"/>
        <v>22157347.133789126</v>
      </c>
      <c r="CF879">
        <f t="shared" ca="1" si="390"/>
        <v>22157347.133789126</v>
      </c>
      <c r="CG879">
        <f t="shared" ca="1" si="391"/>
        <v>0</v>
      </c>
      <c r="CH879" s="10">
        <f>分析データ!A879</f>
        <v>46211</v>
      </c>
    </row>
    <row r="880" spans="46:86">
      <c r="AT880">
        <f ca="1">IF(ROW()&lt;($C$7+1),"",IFERROR((分析データ!B880-AVERAGE(OFFSET(分析データ!B$1,MAX(1,ROW()-$C$7),0,MIN($C$7,ROW()-1),1)))/STDEV(OFFSET(分析データ!B$1,MAX(1,ROW()-$C$7),0,MIN($C$7,ROW()-1),1)),0))</f>
        <v>-1.4553333433722182</v>
      </c>
      <c r="AU880">
        <f t="shared" ca="1" si="364"/>
        <v>0</v>
      </c>
      <c r="AV880" t="str">
        <f ca="1">IF(AU880=1,IF(INDEX(分析データ!$A:$A,ROW()+$C$5)&lt;&gt;"",80000*SIGN(AT880)*(分析データ!B880-INDEX(分析データ!B:B,ROW()+$C$5)),""),"")</f>
        <v/>
      </c>
      <c r="AW880">
        <f t="shared" ca="1" si="365"/>
        <v>-1240000.0000000019</v>
      </c>
      <c r="AX880">
        <f t="shared" ca="1" si="366"/>
        <v>0</v>
      </c>
      <c r="AY880">
        <f t="shared" ca="1" si="367"/>
        <v>-1240000.0000000019</v>
      </c>
      <c r="AZ880">
        <f ca="1">IF(ROW()&lt;($C$7+1),"",IFERROR((分析データ!C880-AVERAGE(OFFSET(分析データ!C$1,MAX(1,ROW()-$C$7),0,MIN($C$7,ROW()-1),1)))/STDEV(OFFSET(分析データ!C$1,MAX(1,ROW()-$C$7),0,MIN($C$7,ROW()-1),1)),0))</f>
        <v>2.1938838769490769</v>
      </c>
      <c r="BA880">
        <f t="shared" ca="1" si="368"/>
        <v>1</v>
      </c>
      <c r="BB880">
        <f ca="1">IF(BA880=1,IF(INDEX(分析データ!$A:$A,ROW()+$C$5)&lt;&gt;"",60000*SIGN(AZ880)*(分析データ!C880-INDEX(分析データ!C:C,ROW()+$C$5)),""),"")</f>
        <v>453000.0000000021</v>
      </c>
      <c r="BC880">
        <f t="shared" ca="1" si="369"/>
        <v>-260999.9999999851</v>
      </c>
      <c r="BD880">
        <f t="shared" ca="1" si="370"/>
        <v>3156000.0000000107</v>
      </c>
      <c r="BE880">
        <f t="shared" ca="1" si="371"/>
        <v>-3416999.9999999958</v>
      </c>
      <c r="BF880">
        <f ca="1">IF(ROW()&lt;($C$7+1),"",IFERROR((分析データ!D880-AVERAGE(OFFSET(分析データ!D$1,MAX(1,ROW()-$C$7),0,MIN($C$7,ROW()-1),1)))/STDEV(OFFSET(分析データ!D$1,MAX(1,ROW()-$C$7),0,MIN($C$7,ROW()-1),1)),0))</f>
        <v>-1.5257767838727678</v>
      </c>
      <c r="BG880">
        <f t="shared" ca="1" si="372"/>
        <v>0</v>
      </c>
      <c r="BH880" t="str">
        <f ca="1">IF(BG880=1,IF(INDEX(分析データ!$A:$A,ROW()+$C$5)&lt;&gt;"",50000*SIGN(BF880)*(分析データ!D880-INDEX(分析データ!D:D,ROW()+$C$5)),""),"")</f>
        <v/>
      </c>
      <c r="BI880">
        <f t="shared" ca="1" si="373"/>
        <v>5570000.0000000205</v>
      </c>
      <c r="BJ880">
        <f t="shared" ca="1" si="374"/>
        <v>5570000.0000000205</v>
      </c>
      <c r="BK880">
        <f t="shared" ca="1" si="375"/>
        <v>0</v>
      </c>
      <c r="BL880">
        <f ca="1">IF(ROW()&lt;($C$7+1),"",IFERROR((分析データ!E880-AVERAGE(OFFSET(分析データ!E$1,MAX(1,ROW()-$C$7),0,MIN($C$7,ROW()-1),1)))/STDEV(OFFSET(分析データ!E$1,MAX(1,ROW()-$C$7),0,MIN($C$7,ROW()-1),1)),0))</f>
        <v>-2.0695403035690991</v>
      </c>
      <c r="BM880">
        <f t="shared" ca="1" si="376"/>
        <v>1</v>
      </c>
      <c r="BN880">
        <f ca="1">IF(BM880=1,IF(INDEX(分析データ!$A:$A,ROW()+$C$5)&lt;&gt;"",40000*SIGN(BL880)*(分析データ!E880-INDEX(分析データ!E:E,ROW()+$C$5)),""),"")</f>
        <v>-80000.000000001848</v>
      </c>
      <c r="BO880">
        <f t="shared" ca="1" si="377"/>
        <v>2159999.9999999991</v>
      </c>
      <c r="BP880">
        <f t="shared" ca="1" si="378"/>
        <v>4280000.0000000028</v>
      </c>
      <c r="BQ880">
        <f t="shared" ca="1" si="379"/>
        <v>-2120000.0000000037</v>
      </c>
      <c r="BR880">
        <f ca="1">IF(ROW()&lt;($C$7+1),"",IFERROR((分析データ!F880-AVERAGE(OFFSET(分析データ!F$1,MAX(1,ROW()-$C$7),0,MIN($C$7,ROW()-1),1)))/STDEV(OFFSET(分析データ!F$1,MAX(1,ROW()-$C$7),0,MIN($C$7,ROW()-1),1)),0))</f>
        <v>-2.475137891173923E-2</v>
      </c>
      <c r="BS880">
        <f t="shared" ca="1" si="380"/>
        <v>0</v>
      </c>
      <c r="BT880" t="str">
        <f ca="1">IF(BS880=1,IF(INDEX(分析データ!$A:$A,ROW()+$C$5)&lt;&gt;"",40000*SIGN(BR880)*(分析データ!F880-INDEX(分析データ!F:F,ROW()+$C$5)),""),"")</f>
        <v/>
      </c>
      <c r="BU880">
        <f t="shared" ca="1" si="381"/>
        <v>19816800</v>
      </c>
      <c r="BV880">
        <f t="shared" ca="1" si="382"/>
        <v>19816800</v>
      </c>
      <c r="BW880">
        <f t="shared" ca="1" si="383"/>
        <v>0</v>
      </c>
      <c r="BX880">
        <f ca="1">IF(ROW()&lt;($C$7+1),"",IFERROR((分析データ!G880-AVERAGE(OFFSET(分析データ!G$1,MAX(1,ROW()-$C$7),0,MIN($C$7,ROW()-1),1)))/STDEV(OFFSET(分析データ!G$1,MAX(1,ROW()-$C$7),0,MIN($C$7,ROW()-1),1)),0))</f>
        <v>0.96554445454378479</v>
      </c>
      <c r="BY880">
        <f t="shared" ca="1" si="384"/>
        <v>0</v>
      </c>
      <c r="BZ880" t="str">
        <f ca="1">IF(BY880=1,IF(INDEX(分析データ!$A:$A,ROW()+$C$5)&lt;&gt;"",40000*SIGN(BX880)*(分析データ!G880-INDEX(分析データ!G:G,ROW()+$C$5)),""),"")</f>
        <v/>
      </c>
      <c r="CA880">
        <f t="shared" ca="1" si="385"/>
        <v>-3515452.8662109179</v>
      </c>
      <c r="CB880">
        <f t="shared" ca="1" si="386"/>
        <v>11327520.000000004</v>
      </c>
      <c r="CC880">
        <f t="shared" ca="1" si="387"/>
        <v>-14842972.866210923</v>
      </c>
      <c r="CD880">
        <f t="shared" ca="1" si="388"/>
        <v>373000.00000000023</v>
      </c>
      <c r="CE880">
        <f t="shared" ca="1" si="389"/>
        <v>22530347.133789126</v>
      </c>
      <c r="CF880">
        <f t="shared" ca="1" si="390"/>
        <v>22530347.133789126</v>
      </c>
      <c r="CG880">
        <f t="shared" ca="1" si="391"/>
        <v>0</v>
      </c>
      <c r="CH880" s="10">
        <f>分析データ!A880</f>
        <v>46212</v>
      </c>
    </row>
    <row r="881" spans="46:86">
      <c r="AT881">
        <f ca="1">IF(ROW()&lt;($C$7+1),"",IFERROR((分析データ!B881-AVERAGE(OFFSET(分析データ!B$1,MAX(1,ROW()-$C$7),0,MIN($C$7,ROW()-1),1)))/STDEV(OFFSET(分析データ!B$1,MAX(1,ROW()-$C$7),0,MIN($C$7,ROW()-1),1)),0))</f>
        <v>-1.7764588881450101</v>
      </c>
      <c r="AU881">
        <f t="shared" ca="1" si="364"/>
        <v>0</v>
      </c>
      <c r="AV881" t="str">
        <f ca="1">IF(AU881=1,IF(INDEX(分析データ!$A:$A,ROW()+$C$5)&lt;&gt;"",80000*SIGN(AT881)*(分析データ!B881-INDEX(分析データ!B:B,ROW()+$C$5)),""),"")</f>
        <v/>
      </c>
      <c r="AW881">
        <f t="shared" ca="1" si="365"/>
        <v>-1240000.0000000019</v>
      </c>
      <c r="AX881">
        <f t="shared" ca="1" si="366"/>
        <v>0</v>
      </c>
      <c r="AY881">
        <f t="shared" ca="1" si="367"/>
        <v>-1240000.0000000019</v>
      </c>
      <c r="AZ881">
        <f ca="1">IF(ROW()&lt;($C$7+1),"",IFERROR((分析データ!C881-AVERAGE(OFFSET(分析データ!C$1,MAX(1,ROW()-$C$7),0,MIN($C$7,ROW()-1),1)))/STDEV(OFFSET(分析データ!C$1,MAX(1,ROW()-$C$7),0,MIN($C$7,ROW()-1),1)),0))</f>
        <v>1.7694870759860089</v>
      </c>
      <c r="BA881">
        <f t="shared" ca="1" si="368"/>
        <v>0</v>
      </c>
      <c r="BB881" t="str">
        <f ca="1">IF(BA881=1,IF(INDEX(分析データ!$A:$A,ROW()+$C$5)&lt;&gt;"",60000*SIGN(AZ881)*(分析データ!C881-INDEX(分析データ!C:C,ROW()+$C$5)),""),"")</f>
        <v/>
      </c>
      <c r="BC881">
        <f t="shared" ca="1" si="369"/>
        <v>-260999.9999999851</v>
      </c>
      <c r="BD881">
        <f t="shared" ca="1" si="370"/>
        <v>3156000.0000000107</v>
      </c>
      <c r="BE881">
        <f t="shared" ca="1" si="371"/>
        <v>-3416999.9999999958</v>
      </c>
      <c r="BF881">
        <f ca="1">IF(ROW()&lt;($C$7+1),"",IFERROR((分析データ!D881-AVERAGE(OFFSET(分析データ!D$1,MAX(1,ROW()-$C$7),0,MIN($C$7,ROW()-1),1)))/STDEV(OFFSET(分析データ!D$1,MAX(1,ROW()-$C$7),0,MIN($C$7,ROW()-1),1)),0))</f>
        <v>-1.1494321081437042</v>
      </c>
      <c r="BG881">
        <f t="shared" ca="1" si="372"/>
        <v>0</v>
      </c>
      <c r="BH881" t="str">
        <f ca="1">IF(BG881=1,IF(INDEX(分析データ!$A:$A,ROW()+$C$5)&lt;&gt;"",50000*SIGN(BF881)*(分析データ!D881-INDEX(分析データ!D:D,ROW()+$C$5)),""),"")</f>
        <v/>
      </c>
      <c r="BI881">
        <f t="shared" ca="1" si="373"/>
        <v>5570000.0000000205</v>
      </c>
      <c r="BJ881">
        <f t="shared" ca="1" si="374"/>
        <v>5570000.0000000205</v>
      </c>
      <c r="BK881">
        <f t="shared" ca="1" si="375"/>
        <v>0</v>
      </c>
      <c r="BL881">
        <f ca="1">IF(ROW()&lt;($C$7+1),"",IFERROR((分析データ!E881-AVERAGE(OFFSET(分析データ!E$1,MAX(1,ROW()-$C$7),0,MIN($C$7,ROW()-1),1)))/STDEV(OFFSET(分析データ!E$1,MAX(1,ROW()-$C$7),0,MIN($C$7,ROW()-1),1)),0))</f>
        <v>-2.1912227074783326</v>
      </c>
      <c r="BM881">
        <f t="shared" ca="1" si="376"/>
        <v>1</v>
      </c>
      <c r="BN881">
        <f ca="1">IF(BM881=1,IF(INDEX(分析データ!$A:$A,ROW()+$C$5)&lt;&gt;"",40000*SIGN(BL881)*(分析データ!E881-INDEX(分析データ!E:E,ROW()+$C$5)),""),"")</f>
        <v>3.5527136788005009E-9</v>
      </c>
      <c r="BO881">
        <f t="shared" ca="1" si="377"/>
        <v>2160000.0000000028</v>
      </c>
      <c r="BP881">
        <f t="shared" ca="1" si="378"/>
        <v>4280000.0000000028</v>
      </c>
      <c r="BQ881">
        <f t="shared" ca="1" si="379"/>
        <v>-2120000</v>
      </c>
      <c r="BR881">
        <f ca="1">IF(ROW()&lt;($C$7+1),"",IFERROR((分析データ!F881-AVERAGE(OFFSET(分析データ!F$1,MAX(1,ROW()-$C$7),0,MIN($C$7,ROW()-1),1)))/STDEV(OFFSET(分析データ!F$1,MAX(1,ROW()-$C$7),0,MIN($C$7,ROW()-1),1)),0))</f>
        <v>-0.57213250146029904</v>
      </c>
      <c r="BS881">
        <f t="shared" ca="1" si="380"/>
        <v>0</v>
      </c>
      <c r="BT881" t="str">
        <f ca="1">IF(BS881=1,IF(INDEX(分析データ!$A:$A,ROW()+$C$5)&lt;&gt;"",40000*SIGN(BR881)*(分析データ!F881-INDEX(分析データ!F:F,ROW()+$C$5)),""),"")</f>
        <v/>
      </c>
      <c r="BU881">
        <f t="shared" ca="1" si="381"/>
        <v>19816800</v>
      </c>
      <c r="BV881">
        <f t="shared" ca="1" si="382"/>
        <v>19816800</v>
      </c>
      <c r="BW881">
        <f t="shared" ca="1" si="383"/>
        <v>0</v>
      </c>
      <c r="BX881">
        <f ca="1">IF(ROW()&lt;($C$7+1),"",IFERROR((分析データ!G881-AVERAGE(OFFSET(分析データ!G$1,MAX(1,ROW()-$C$7),0,MIN($C$7,ROW()-1),1)))/STDEV(OFFSET(分析データ!G$1,MAX(1,ROW()-$C$7),0,MIN($C$7,ROW()-1),1)),0))</f>
        <v>0.88007526037190831</v>
      </c>
      <c r="BY881">
        <f t="shared" ca="1" si="384"/>
        <v>0</v>
      </c>
      <c r="BZ881" t="str">
        <f ca="1">IF(BY881=1,IF(INDEX(分析データ!$A:$A,ROW()+$C$5)&lt;&gt;"",40000*SIGN(BX881)*(分析データ!G881-INDEX(分析データ!G:G,ROW()+$C$5)),""),"")</f>
        <v/>
      </c>
      <c r="CA881">
        <f t="shared" ca="1" si="385"/>
        <v>-3515452.8662109179</v>
      </c>
      <c r="CB881">
        <f t="shared" ca="1" si="386"/>
        <v>11327520.000000004</v>
      </c>
      <c r="CC881">
        <f t="shared" ca="1" si="387"/>
        <v>-14842972.866210923</v>
      </c>
      <c r="CD881">
        <f t="shared" ca="1" si="388"/>
        <v>3.5527136788005009E-9</v>
      </c>
      <c r="CE881">
        <f t="shared" ca="1" si="389"/>
        <v>22530347.13378913</v>
      </c>
      <c r="CF881">
        <f t="shared" ca="1" si="390"/>
        <v>22530347.13378913</v>
      </c>
      <c r="CG881">
        <f t="shared" ca="1" si="391"/>
        <v>0</v>
      </c>
      <c r="CH881" s="10">
        <f>分析データ!A881</f>
        <v>46213</v>
      </c>
    </row>
    <row r="882" spans="46:86">
      <c r="AT882">
        <f ca="1">IF(ROW()&lt;($C$7+1),"",IFERROR((分析データ!B882-AVERAGE(OFFSET(分析データ!B$1,MAX(1,ROW()-$C$7),0,MIN($C$7,ROW()-1),1)))/STDEV(OFFSET(分析データ!B$1,MAX(1,ROW()-$C$7),0,MIN($C$7,ROW()-1),1)),0))</f>
        <v>-1.2596192112765607</v>
      </c>
      <c r="AU882">
        <f t="shared" ca="1" si="364"/>
        <v>0</v>
      </c>
      <c r="AV882" t="str">
        <f ca="1">IF(AU882=1,IF(INDEX(分析データ!$A:$A,ROW()+$C$5)&lt;&gt;"",80000*SIGN(AT882)*(分析データ!B882-INDEX(分析データ!B:B,ROW()+$C$5)),""),"")</f>
        <v/>
      </c>
      <c r="AW882">
        <f t="shared" ca="1" si="365"/>
        <v>-1240000.0000000019</v>
      </c>
      <c r="AX882">
        <f t="shared" ca="1" si="366"/>
        <v>0</v>
      </c>
      <c r="AY882">
        <f t="shared" ca="1" si="367"/>
        <v>-1240000.0000000019</v>
      </c>
      <c r="AZ882">
        <f ca="1">IF(ROW()&lt;($C$7+1),"",IFERROR((分析データ!C882-AVERAGE(OFFSET(分析データ!C$1,MAX(1,ROW()-$C$7),0,MIN($C$7,ROW()-1),1)))/STDEV(OFFSET(分析データ!C$1,MAX(1,ROW()-$C$7),0,MIN($C$7,ROW()-1),1)),0))</f>
        <v>1.9069028801959418</v>
      </c>
      <c r="BA882">
        <f t="shared" ca="1" si="368"/>
        <v>0</v>
      </c>
      <c r="BB882" t="str">
        <f ca="1">IF(BA882=1,IF(INDEX(分析データ!$A:$A,ROW()+$C$5)&lt;&gt;"",60000*SIGN(AZ882)*(分析データ!C882-INDEX(分析データ!C:C,ROW()+$C$5)),""),"")</f>
        <v/>
      </c>
      <c r="BC882">
        <f t="shared" ca="1" si="369"/>
        <v>-260999.9999999851</v>
      </c>
      <c r="BD882">
        <f t="shared" ca="1" si="370"/>
        <v>3156000.0000000107</v>
      </c>
      <c r="BE882">
        <f t="shared" ca="1" si="371"/>
        <v>-3416999.9999999958</v>
      </c>
      <c r="BF882">
        <f ca="1">IF(ROW()&lt;($C$7+1),"",IFERROR((分析データ!D882-AVERAGE(OFFSET(分析データ!D$1,MAX(1,ROW()-$C$7),0,MIN($C$7,ROW()-1),1)))/STDEV(OFFSET(分析データ!D$1,MAX(1,ROW()-$C$7),0,MIN($C$7,ROW()-1),1)),0))</f>
        <v>-1.0385442759647052</v>
      </c>
      <c r="BG882">
        <f t="shared" ca="1" si="372"/>
        <v>0</v>
      </c>
      <c r="BH882" t="str">
        <f ca="1">IF(BG882=1,IF(INDEX(分析データ!$A:$A,ROW()+$C$5)&lt;&gt;"",50000*SIGN(BF882)*(分析データ!D882-INDEX(分析データ!D:D,ROW()+$C$5)),""),"")</f>
        <v/>
      </c>
      <c r="BI882">
        <f t="shared" ca="1" si="373"/>
        <v>5570000.0000000205</v>
      </c>
      <c r="BJ882">
        <f t="shared" ca="1" si="374"/>
        <v>5570000.0000000205</v>
      </c>
      <c r="BK882">
        <f t="shared" ca="1" si="375"/>
        <v>0</v>
      </c>
      <c r="BL882">
        <f ca="1">IF(ROW()&lt;($C$7+1),"",IFERROR((分析データ!E882-AVERAGE(OFFSET(分析データ!E$1,MAX(1,ROW()-$C$7),0,MIN($C$7,ROW()-1),1)))/STDEV(OFFSET(分析データ!E$1,MAX(1,ROW()-$C$7),0,MIN($C$7,ROW()-1),1)),0))</f>
        <v>-2.3075723656750622</v>
      </c>
      <c r="BM882">
        <f t="shared" ca="1" si="376"/>
        <v>1</v>
      </c>
      <c r="BN882">
        <f ca="1">IF(BM882=1,IF(INDEX(分析データ!$A:$A,ROW()+$C$5)&lt;&gt;"",40000*SIGN(BL882)*(分析データ!E882-INDEX(分析データ!E:E,ROW()+$C$5)),""),"")</f>
        <v>0</v>
      </c>
      <c r="BO882">
        <f t="shared" ca="1" si="377"/>
        <v>2160000.0000000028</v>
      </c>
      <c r="BP882">
        <f t="shared" ca="1" si="378"/>
        <v>4280000.0000000028</v>
      </c>
      <c r="BQ882">
        <f t="shared" ca="1" si="379"/>
        <v>-2120000</v>
      </c>
      <c r="BR882">
        <f ca="1">IF(ROW()&lt;($C$7+1),"",IFERROR((分析データ!F882-AVERAGE(OFFSET(分析データ!F$1,MAX(1,ROW()-$C$7),0,MIN($C$7,ROW()-1),1)))/STDEV(OFFSET(分析データ!F$1,MAX(1,ROW()-$C$7),0,MIN($C$7,ROW()-1),1)),0))</f>
        <v>-0.99064298728209721</v>
      </c>
      <c r="BS882">
        <f t="shared" ca="1" si="380"/>
        <v>0</v>
      </c>
      <c r="BT882" t="str">
        <f ca="1">IF(BS882=1,IF(INDEX(分析データ!$A:$A,ROW()+$C$5)&lt;&gt;"",40000*SIGN(BR882)*(分析データ!F882-INDEX(分析データ!F:F,ROW()+$C$5)),""),"")</f>
        <v/>
      </c>
      <c r="BU882">
        <f t="shared" ca="1" si="381"/>
        <v>19816800</v>
      </c>
      <c r="BV882">
        <f t="shared" ca="1" si="382"/>
        <v>19816800</v>
      </c>
      <c r="BW882">
        <f t="shared" ca="1" si="383"/>
        <v>0</v>
      </c>
      <c r="BX882">
        <f ca="1">IF(ROW()&lt;($C$7+1),"",IFERROR((分析データ!G882-AVERAGE(OFFSET(分析データ!G$1,MAX(1,ROW()-$C$7),0,MIN($C$7,ROW()-1),1)))/STDEV(OFFSET(分析データ!G$1,MAX(1,ROW()-$C$7),0,MIN($C$7,ROW()-1),1)),0))</f>
        <v>1.1750561309464695</v>
      </c>
      <c r="BY882">
        <f t="shared" ca="1" si="384"/>
        <v>0</v>
      </c>
      <c r="BZ882" t="str">
        <f ca="1">IF(BY882=1,IF(INDEX(分析データ!$A:$A,ROW()+$C$5)&lt;&gt;"",40000*SIGN(BX882)*(分析データ!G882-INDEX(分析データ!G:G,ROW()+$C$5)),""),"")</f>
        <v/>
      </c>
      <c r="CA882">
        <f t="shared" ca="1" si="385"/>
        <v>-3515452.8662109179</v>
      </c>
      <c r="CB882">
        <f t="shared" ca="1" si="386"/>
        <v>11327520.000000004</v>
      </c>
      <c r="CC882">
        <f t="shared" ca="1" si="387"/>
        <v>-14842972.866210923</v>
      </c>
      <c r="CD882">
        <f t="shared" ca="1" si="388"/>
        <v>0</v>
      </c>
      <c r="CE882">
        <f t="shared" ca="1" si="389"/>
        <v>22530347.13378913</v>
      </c>
      <c r="CF882">
        <f t="shared" ca="1" si="390"/>
        <v>22530347.13378913</v>
      </c>
      <c r="CG882">
        <f t="shared" ca="1" si="391"/>
        <v>0</v>
      </c>
      <c r="CH882" s="10">
        <f>分析データ!A882</f>
        <v>46216</v>
      </c>
    </row>
    <row r="883" spans="46:86">
      <c r="AT883">
        <f ca="1">IF(ROW()&lt;($C$7+1),"",IFERROR((分析データ!B883-AVERAGE(OFFSET(分析データ!B$1,MAX(1,ROW()-$C$7),0,MIN($C$7,ROW()-1),1)))/STDEV(OFFSET(分析データ!B$1,MAX(1,ROW()-$C$7),0,MIN($C$7,ROW()-1),1)),0))</f>
        <v>-0.9153733895717312</v>
      </c>
      <c r="AU883">
        <f t="shared" ca="1" si="364"/>
        <v>0</v>
      </c>
      <c r="AV883" t="str">
        <f ca="1">IF(AU883=1,IF(INDEX(分析データ!$A:$A,ROW()+$C$5)&lt;&gt;"",80000*SIGN(AT883)*(分析データ!B883-INDEX(分析データ!B:B,ROW()+$C$5)),""),"")</f>
        <v/>
      </c>
      <c r="AW883">
        <f t="shared" ca="1" si="365"/>
        <v>-1240000.0000000019</v>
      </c>
      <c r="AX883">
        <f t="shared" ca="1" si="366"/>
        <v>0</v>
      </c>
      <c r="AY883">
        <f t="shared" ca="1" si="367"/>
        <v>-1240000.0000000019</v>
      </c>
      <c r="AZ883">
        <f ca="1">IF(ROW()&lt;($C$7+1),"",IFERROR((分析データ!C883-AVERAGE(OFFSET(分析データ!C$1,MAX(1,ROW()-$C$7),0,MIN($C$7,ROW()-1),1)))/STDEV(OFFSET(分析データ!C$1,MAX(1,ROW()-$C$7),0,MIN($C$7,ROW()-1),1)),0))</f>
        <v>1.9023542540283809</v>
      </c>
      <c r="BA883">
        <f t="shared" ca="1" si="368"/>
        <v>0</v>
      </c>
      <c r="BB883" t="str">
        <f ca="1">IF(BA883=1,IF(INDEX(分析データ!$A:$A,ROW()+$C$5)&lt;&gt;"",60000*SIGN(AZ883)*(分析データ!C883-INDEX(分析データ!C:C,ROW()+$C$5)),""),"")</f>
        <v/>
      </c>
      <c r="BC883">
        <f t="shared" ca="1" si="369"/>
        <v>-260999.9999999851</v>
      </c>
      <c r="BD883">
        <f t="shared" ca="1" si="370"/>
        <v>3156000.0000000107</v>
      </c>
      <c r="BE883">
        <f t="shared" ca="1" si="371"/>
        <v>-3416999.9999999958</v>
      </c>
      <c r="BF883">
        <f ca="1">IF(ROW()&lt;($C$7+1),"",IFERROR((分析データ!D883-AVERAGE(OFFSET(分析データ!D$1,MAX(1,ROW()-$C$7),0,MIN($C$7,ROW()-1),1)))/STDEV(OFFSET(分析データ!D$1,MAX(1,ROW()-$C$7),0,MIN($C$7,ROW()-1),1)),0))</f>
        <v>-0.93361262209280904</v>
      </c>
      <c r="BG883">
        <f t="shared" ca="1" si="372"/>
        <v>0</v>
      </c>
      <c r="BH883" t="str">
        <f ca="1">IF(BG883=1,IF(INDEX(分析データ!$A:$A,ROW()+$C$5)&lt;&gt;"",50000*SIGN(BF883)*(分析データ!D883-INDEX(分析データ!D:D,ROW()+$C$5)),""),"")</f>
        <v/>
      </c>
      <c r="BI883">
        <f t="shared" ca="1" si="373"/>
        <v>5570000.0000000205</v>
      </c>
      <c r="BJ883">
        <f t="shared" ca="1" si="374"/>
        <v>5570000.0000000205</v>
      </c>
      <c r="BK883">
        <f t="shared" ca="1" si="375"/>
        <v>0</v>
      </c>
      <c r="BL883">
        <f ca="1">IF(ROW()&lt;($C$7+1),"",IFERROR((分析データ!E883-AVERAGE(OFFSET(分析データ!E$1,MAX(1,ROW()-$C$7),0,MIN($C$7,ROW()-1),1)))/STDEV(OFFSET(分析データ!E$1,MAX(1,ROW()-$C$7),0,MIN($C$7,ROW()-1),1)),0))</f>
        <v>-1.983727557609777</v>
      </c>
      <c r="BM883">
        <f t="shared" ca="1" si="376"/>
        <v>0</v>
      </c>
      <c r="BN883" t="str">
        <f ca="1">IF(BM883=1,IF(INDEX(分析データ!$A:$A,ROW()+$C$5)&lt;&gt;"",40000*SIGN(BL883)*(分析データ!E883-INDEX(分析データ!E:E,ROW()+$C$5)),""),"")</f>
        <v/>
      </c>
      <c r="BO883">
        <f t="shared" ca="1" si="377"/>
        <v>2160000.0000000028</v>
      </c>
      <c r="BP883">
        <f t="shared" ca="1" si="378"/>
        <v>4280000.0000000028</v>
      </c>
      <c r="BQ883">
        <f t="shared" ca="1" si="379"/>
        <v>-2120000</v>
      </c>
      <c r="BR883">
        <f ca="1">IF(ROW()&lt;($C$7+1),"",IFERROR((分析データ!F883-AVERAGE(OFFSET(分析データ!F$1,MAX(1,ROW()-$C$7),0,MIN($C$7,ROW()-1),1)))/STDEV(OFFSET(分析データ!F$1,MAX(1,ROW()-$C$7),0,MIN($C$7,ROW()-1),1)),0))</f>
        <v>-0.401853963194377</v>
      </c>
      <c r="BS883">
        <f t="shared" ca="1" si="380"/>
        <v>0</v>
      </c>
      <c r="BT883" t="str">
        <f ca="1">IF(BS883=1,IF(INDEX(分析データ!$A:$A,ROW()+$C$5)&lt;&gt;"",40000*SIGN(BR883)*(分析データ!F883-INDEX(分析データ!F:F,ROW()+$C$5)),""),"")</f>
        <v/>
      </c>
      <c r="BU883">
        <f t="shared" ca="1" si="381"/>
        <v>19816800</v>
      </c>
      <c r="BV883">
        <f t="shared" ca="1" si="382"/>
        <v>19816800</v>
      </c>
      <c r="BW883">
        <f t="shared" ca="1" si="383"/>
        <v>0</v>
      </c>
      <c r="BX883">
        <f ca="1">IF(ROW()&lt;($C$7+1),"",IFERROR((分析データ!G883-AVERAGE(OFFSET(分析データ!G$1,MAX(1,ROW()-$C$7),0,MIN($C$7,ROW()-1),1)))/STDEV(OFFSET(分析データ!G$1,MAX(1,ROW()-$C$7),0,MIN($C$7,ROW()-1),1)),0))</f>
        <v>0.57076055876919807</v>
      </c>
      <c r="BY883">
        <f t="shared" ca="1" si="384"/>
        <v>0</v>
      </c>
      <c r="BZ883" t="str">
        <f ca="1">IF(BY883=1,IF(INDEX(分析データ!$A:$A,ROW()+$C$5)&lt;&gt;"",40000*SIGN(BX883)*(分析データ!G883-INDEX(分析データ!G:G,ROW()+$C$5)),""),"")</f>
        <v/>
      </c>
      <c r="CA883">
        <f t="shared" ca="1" si="385"/>
        <v>-3515452.8662109179</v>
      </c>
      <c r="CB883">
        <f t="shared" ca="1" si="386"/>
        <v>11327520.000000004</v>
      </c>
      <c r="CC883">
        <f t="shared" ca="1" si="387"/>
        <v>-14842972.866210923</v>
      </c>
      <c r="CD883">
        <f t="shared" ca="1" si="388"/>
        <v>0</v>
      </c>
      <c r="CE883">
        <f t="shared" ca="1" si="389"/>
        <v>22530347.13378913</v>
      </c>
      <c r="CF883">
        <f t="shared" ca="1" si="390"/>
        <v>22530347.13378913</v>
      </c>
      <c r="CG883">
        <f t="shared" ca="1" si="391"/>
        <v>0</v>
      </c>
      <c r="CH883" s="10">
        <f>分析データ!A883</f>
        <v>46217</v>
      </c>
    </row>
    <row r="884" spans="46:86">
      <c r="AT884">
        <f ca="1">IF(ROW()&lt;($C$7+1),"",IFERROR((分析データ!B884-AVERAGE(OFFSET(分析データ!B$1,MAX(1,ROW()-$C$7),0,MIN($C$7,ROW()-1),1)))/STDEV(OFFSET(分析データ!B$1,MAX(1,ROW()-$C$7),0,MIN($C$7,ROW()-1),1)),0))</f>
        <v>-1.075419941359451</v>
      </c>
      <c r="AU884">
        <f t="shared" ca="1" si="364"/>
        <v>0</v>
      </c>
      <c r="AV884" t="str">
        <f ca="1">IF(AU884=1,IF(INDEX(分析データ!$A:$A,ROW()+$C$5)&lt;&gt;"",80000*SIGN(AT884)*(分析データ!B884-INDEX(分析データ!B:B,ROW()+$C$5)),""),"")</f>
        <v/>
      </c>
      <c r="AW884">
        <f t="shared" ca="1" si="365"/>
        <v>-1240000.0000000019</v>
      </c>
      <c r="AX884">
        <f t="shared" ca="1" si="366"/>
        <v>0</v>
      </c>
      <c r="AY884">
        <f t="shared" ca="1" si="367"/>
        <v>-1240000.0000000019</v>
      </c>
      <c r="AZ884">
        <f ca="1">IF(ROW()&lt;($C$7+1),"",IFERROR((分析データ!C884-AVERAGE(OFFSET(分析データ!C$1,MAX(1,ROW()-$C$7),0,MIN($C$7,ROW()-1),1)))/STDEV(OFFSET(分析データ!C$1,MAX(1,ROW()-$C$7),0,MIN($C$7,ROW()-1),1)),0))</f>
        <v>1.7308846024556097</v>
      </c>
      <c r="BA884">
        <f t="shared" ca="1" si="368"/>
        <v>0</v>
      </c>
      <c r="BB884" t="str">
        <f ca="1">IF(BA884=1,IF(INDEX(分析データ!$A:$A,ROW()+$C$5)&lt;&gt;"",60000*SIGN(AZ884)*(分析データ!C884-INDEX(分析データ!C:C,ROW()+$C$5)),""),"")</f>
        <v/>
      </c>
      <c r="BC884">
        <f t="shared" ca="1" si="369"/>
        <v>-260999.9999999851</v>
      </c>
      <c r="BD884">
        <f t="shared" ca="1" si="370"/>
        <v>3156000.0000000107</v>
      </c>
      <c r="BE884">
        <f t="shared" ca="1" si="371"/>
        <v>-3416999.9999999958</v>
      </c>
      <c r="BF884">
        <f ca="1">IF(ROW()&lt;($C$7+1),"",IFERROR((分析データ!D884-AVERAGE(OFFSET(分析データ!D$1,MAX(1,ROW()-$C$7),0,MIN($C$7,ROW()-1),1)))/STDEV(OFFSET(分析データ!D$1,MAX(1,ROW()-$C$7),0,MIN($C$7,ROW()-1),1)),0))</f>
        <v>-0.97130953991423252</v>
      </c>
      <c r="BG884">
        <f t="shared" ca="1" si="372"/>
        <v>0</v>
      </c>
      <c r="BH884" t="str">
        <f ca="1">IF(BG884=1,IF(INDEX(分析データ!$A:$A,ROW()+$C$5)&lt;&gt;"",50000*SIGN(BF884)*(分析データ!D884-INDEX(分析データ!D:D,ROW()+$C$5)),""),"")</f>
        <v/>
      </c>
      <c r="BI884">
        <f t="shared" ca="1" si="373"/>
        <v>5570000.0000000205</v>
      </c>
      <c r="BJ884">
        <f t="shared" ca="1" si="374"/>
        <v>5570000.0000000205</v>
      </c>
      <c r="BK884">
        <f t="shared" ca="1" si="375"/>
        <v>0</v>
      </c>
      <c r="BL884">
        <f ca="1">IF(ROW()&lt;($C$7+1),"",IFERROR((分析データ!E884-AVERAGE(OFFSET(分析データ!E$1,MAX(1,ROW()-$C$7),0,MIN($C$7,ROW()-1),1)))/STDEV(OFFSET(分析データ!E$1,MAX(1,ROW()-$C$7),0,MIN($C$7,ROW()-1),1)),0))</f>
        <v>-1.6694575147069959</v>
      </c>
      <c r="BM884">
        <f t="shared" ca="1" si="376"/>
        <v>0</v>
      </c>
      <c r="BN884" t="str">
        <f ca="1">IF(BM884=1,IF(INDEX(分析データ!$A:$A,ROW()+$C$5)&lt;&gt;"",40000*SIGN(BL884)*(分析データ!E884-INDEX(分析データ!E:E,ROW()+$C$5)),""),"")</f>
        <v/>
      </c>
      <c r="BO884">
        <f t="shared" ca="1" si="377"/>
        <v>2160000.0000000028</v>
      </c>
      <c r="BP884">
        <f t="shared" ca="1" si="378"/>
        <v>4280000.0000000028</v>
      </c>
      <c r="BQ884">
        <f t="shared" ca="1" si="379"/>
        <v>-2120000</v>
      </c>
      <c r="BR884">
        <f ca="1">IF(ROW()&lt;($C$7+1),"",IFERROR((分析データ!F884-AVERAGE(OFFSET(分析データ!F$1,MAX(1,ROW()-$C$7),0,MIN($C$7,ROW()-1),1)))/STDEV(OFFSET(分析データ!F$1,MAX(1,ROW()-$C$7),0,MIN($C$7,ROW()-1),1)),0))</f>
        <v>-0.42523466673962668</v>
      </c>
      <c r="BS884">
        <f t="shared" ca="1" si="380"/>
        <v>0</v>
      </c>
      <c r="BT884" t="str">
        <f ca="1">IF(BS884=1,IF(INDEX(分析データ!$A:$A,ROW()+$C$5)&lt;&gt;"",40000*SIGN(BR884)*(分析データ!F884-INDEX(分析データ!F:F,ROW()+$C$5)),""),"")</f>
        <v/>
      </c>
      <c r="BU884">
        <f t="shared" ca="1" si="381"/>
        <v>19816800</v>
      </c>
      <c r="BV884">
        <f t="shared" ca="1" si="382"/>
        <v>19816800</v>
      </c>
      <c r="BW884">
        <f t="shared" ca="1" si="383"/>
        <v>0</v>
      </c>
      <c r="BX884">
        <f ca="1">IF(ROW()&lt;($C$7+1),"",IFERROR((分析データ!G884-AVERAGE(OFFSET(分析データ!G$1,MAX(1,ROW()-$C$7),0,MIN($C$7,ROW()-1),1)))/STDEV(OFFSET(分析データ!G$1,MAX(1,ROW()-$C$7),0,MIN($C$7,ROW()-1),1)),0))</f>
        <v>0.62000874558141339</v>
      </c>
      <c r="BY884">
        <f t="shared" ca="1" si="384"/>
        <v>0</v>
      </c>
      <c r="BZ884" t="str">
        <f ca="1">IF(BY884=1,IF(INDEX(分析データ!$A:$A,ROW()+$C$5)&lt;&gt;"",40000*SIGN(BX884)*(分析データ!G884-INDEX(分析データ!G:G,ROW()+$C$5)),""),"")</f>
        <v/>
      </c>
      <c r="CA884">
        <f t="shared" ca="1" si="385"/>
        <v>-3515452.8662109179</v>
      </c>
      <c r="CB884">
        <f t="shared" ca="1" si="386"/>
        <v>11327520.000000004</v>
      </c>
      <c r="CC884">
        <f t="shared" ca="1" si="387"/>
        <v>-14842972.866210923</v>
      </c>
      <c r="CD884">
        <f t="shared" ca="1" si="388"/>
        <v>0</v>
      </c>
      <c r="CE884">
        <f t="shared" ca="1" si="389"/>
        <v>22530347.13378913</v>
      </c>
      <c r="CF884">
        <f t="shared" ca="1" si="390"/>
        <v>22530347.13378913</v>
      </c>
      <c r="CG884">
        <f t="shared" ca="1" si="391"/>
        <v>0</v>
      </c>
      <c r="CH884" s="10">
        <f>分析データ!A884</f>
        <v>46218</v>
      </c>
    </row>
    <row r="885" spans="46:86">
      <c r="AT885">
        <f ca="1">IF(ROW()&lt;($C$7+1),"",IFERROR((分析データ!B885-AVERAGE(OFFSET(分析データ!B$1,MAX(1,ROW()-$C$7),0,MIN($C$7,ROW()-1),1)))/STDEV(OFFSET(分析データ!B$1,MAX(1,ROW()-$C$7),0,MIN($C$7,ROW()-1),1)),0))</f>
        <v>-1.0670910482985971</v>
      </c>
      <c r="AU885">
        <f t="shared" ca="1" si="364"/>
        <v>0</v>
      </c>
      <c r="AV885" t="str">
        <f ca="1">IF(AU885=1,IF(INDEX(分析データ!$A:$A,ROW()+$C$5)&lt;&gt;"",80000*SIGN(AT885)*(分析データ!B885-INDEX(分析データ!B:B,ROW()+$C$5)),""),"")</f>
        <v/>
      </c>
      <c r="AW885">
        <f t="shared" ca="1" si="365"/>
        <v>-1240000.0000000019</v>
      </c>
      <c r="AX885">
        <f t="shared" ca="1" si="366"/>
        <v>0</v>
      </c>
      <c r="AY885">
        <f t="shared" ca="1" si="367"/>
        <v>-1240000.0000000019</v>
      </c>
      <c r="AZ885">
        <f ca="1">IF(ROW()&lt;($C$7+1),"",IFERROR((分析データ!C885-AVERAGE(OFFSET(分析データ!C$1,MAX(1,ROW()-$C$7),0,MIN($C$7,ROW()-1),1)))/STDEV(OFFSET(分析データ!C$1,MAX(1,ROW()-$C$7),0,MIN($C$7,ROW()-1),1)),0))</f>
        <v>1.6507546347454494</v>
      </c>
      <c r="BA885">
        <f t="shared" ca="1" si="368"/>
        <v>0</v>
      </c>
      <c r="BB885" t="str">
        <f ca="1">IF(BA885=1,IF(INDEX(分析データ!$A:$A,ROW()+$C$5)&lt;&gt;"",60000*SIGN(AZ885)*(分析データ!C885-INDEX(分析データ!C:C,ROW()+$C$5)),""),"")</f>
        <v/>
      </c>
      <c r="BC885">
        <f t="shared" ca="1" si="369"/>
        <v>-260999.9999999851</v>
      </c>
      <c r="BD885">
        <f t="shared" ca="1" si="370"/>
        <v>3156000.0000000107</v>
      </c>
      <c r="BE885">
        <f t="shared" ca="1" si="371"/>
        <v>-3416999.9999999958</v>
      </c>
      <c r="BF885">
        <f ca="1">IF(ROW()&lt;($C$7+1),"",IFERROR((分析データ!D885-AVERAGE(OFFSET(分析データ!D$1,MAX(1,ROW()-$C$7),0,MIN($C$7,ROW()-1),1)))/STDEV(OFFSET(分析データ!D$1,MAX(1,ROW()-$C$7),0,MIN($C$7,ROW()-1),1)),0))</f>
        <v>-0.97194525359795492</v>
      </c>
      <c r="BG885">
        <f t="shared" ca="1" si="372"/>
        <v>0</v>
      </c>
      <c r="BH885" t="str">
        <f ca="1">IF(BG885=1,IF(INDEX(分析データ!$A:$A,ROW()+$C$5)&lt;&gt;"",50000*SIGN(BF885)*(分析データ!D885-INDEX(分析データ!D:D,ROW()+$C$5)),""),"")</f>
        <v/>
      </c>
      <c r="BI885">
        <f t="shared" ca="1" si="373"/>
        <v>5570000.0000000205</v>
      </c>
      <c r="BJ885">
        <f t="shared" ca="1" si="374"/>
        <v>5570000.0000000205</v>
      </c>
      <c r="BK885">
        <f t="shared" ca="1" si="375"/>
        <v>0</v>
      </c>
      <c r="BL885">
        <f ca="1">IF(ROW()&lt;($C$7+1),"",IFERROR((分析データ!E885-AVERAGE(OFFSET(分析データ!E$1,MAX(1,ROW()-$C$7),0,MIN($C$7,ROW()-1),1)))/STDEV(OFFSET(分析データ!E$1,MAX(1,ROW()-$C$7),0,MIN($C$7,ROW()-1),1)),0))</f>
        <v>-1.6525797373920834</v>
      </c>
      <c r="BM885">
        <f t="shared" ca="1" si="376"/>
        <v>0</v>
      </c>
      <c r="BN885" t="str">
        <f ca="1">IF(BM885=1,IF(INDEX(分析データ!$A:$A,ROW()+$C$5)&lt;&gt;"",40000*SIGN(BL885)*(分析データ!E885-INDEX(分析データ!E:E,ROW()+$C$5)),""),"")</f>
        <v/>
      </c>
      <c r="BO885">
        <f t="shared" ca="1" si="377"/>
        <v>2160000.0000000028</v>
      </c>
      <c r="BP885">
        <f t="shared" ca="1" si="378"/>
        <v>4280000.0000000028</v>
      </c>
      <c r="BQ885">
        <f t="shared" ca="1" si="379"/>
        <v>-2120000</v>
      </c>
      <c r="BR885">
        <f ca="1">IF(ROW()&lt;($C$7+1),"",IFERROR((分析データ!F885-AVERAGE(OFFSET(分析データ!F$1,MAX(1,ROW()-$C$7),0,MIN($C$7,ROW()-1),1)))/STDEV(OFFSET(分析データ!F$1,MAX(1,ROW()-$C$7),0,MIN($C$7,ROW()-1),1)),0))</f>
        <v>0.31901916305226502</v>
      </c>
      <c r="BS885">
        <f t="shared" ca="1" si="380"/>
        <v>0</v>
      </c>
      <c r="BT885" t="str">
        <f ca="1">IF(BS885=1,IF(INDEX(分析データ!$A:$A,ROW()+$C$5)&lt;&gt;"",40000*SIGN(BR885)*(分析データ!F885-INDEX(分析データ!F:F,ROW()+$C$5)),""),"")</f>
        <v/>
      </c>
      <c r="BU885">
        <f t="shared" ca="1" si="381"/>
        <v>19816800</v>
      </c>
      <c r="BV885">
        <f t="shared" ca="1" si="382"/>
        <v>19816800</v>
      </c>
      <c r="BW885">
        <f t="shared" ca="1" si="383"/>
        <v>0</v>
      </c>
      <c r="BX885">
        <f ca="1">IF(ROW()&lt;($C$7+1),"",IFERROR((分析データ!G885-AVERAGE(OFFSET(分析データ!G$1,MAX(1,ROW()-$C$7),0,MIN($C$7,ROW()-1),1)))/STDEV(OFFSET(分析データ!G$1,MAX(1,ROW()-$C$7),0,MIN($C$7,ROW()-1),1)),0))</f>
        <v>0.24782806687118153</v>
      </c>
      <c r="BY885">
        <f t="shared" ca="1" si="384"/>
        <v>0</v>
      </c>
      <c r="BZ885" t="str">
        <f ca="1">IF(BY885=1,IF(INDEX(分析データ!$A:$A,ROW()+$C$5)&lt;&gt;"",40000*SIGN(BX885)*(分析データ!G885-INDEX(分析データ!G:G,ROW()+$C$5)),""),"")</f>
        <v/>
      </c>
      <c r="CA885">
        <f t="shared" ca="1" si="385"/>
        <v>-3515452.8662109179</v>
      </c>
      <c r="CB885">
        <f t="shared" ca="1" si="386"/>
        <v>11327520.000000004</v>
      </c>
      <c r="CC885">
        <f t="shared" ca="1" si="387"/>
        <v>-14842972.866210923</v>
      </c>
      <c r="CD885">
        <f t="shared" ca="1" si="388"/>
        <v>0</v>
      </c>
      <c r="CE885">
        <f t="shared" ca="1" si="389"/>
        <v>22530347.13378913</v>
      </c>
      <c r="CF885">
        <f t="shared" ca="1" si="390"/>
        <v>22530347.13378913</v>
      </c>
      <c r="CG885">
        <f t="shared" ca="1" si="391"/>
        <v>0</v>
      </c>
      <c r="CH885" s="10">
        <f>分析データ!A885</f>
        <v>46219</v>
      </c>
    </row>
    <row r="886" spans="46:86">
      <c r="AT886">
        <f ca="1">IF(ROW()&lt;($C$7+1),"",IFERROR((分析データ!B886-AVERAGE(OFFSET(分析データ!B$1,MAX(1,ROW()-$C$7),0,MIN($C$7,ROW()-1),1)))/STDEV(OFFSET(分析データ!B$1,MAX(1,ROW()-$C$7),0,MIN($C$7,ROW()-1),1)),0))</f>
        <v>-1.5586164646843568</v>
      </c>
      <c r="AU886">
        <f t="shared" ca="1" si="364"/>
        <v>0</v>
      </c>
      <c r="AV886" t="str">
        <f ca="1">IF(AU886=1,IF(INDEX(分析データ!$A:$A,ROW()+$C$5)&lt;&gt;"",80000*SIGN(AT886)*(分析データ!B886-INDEX(分析データ!B:B,ROW()+$C$5)),""),"")</f>
        <v/>
      </c>
      <c r="AW886">
        <f t="shared" ca="1" si="365"/>
        <v>-1240000.0000000019</v>
      </c>
      <c r="AX886">
        <f t="shared" ca="1" si="366"/>
        <v>0</v>
      </c>
      <c r="AY886">
        <f t="shared" ca="1" si="367"/>
        <v>-1240000.0000000019</v>
      </c>
      <c r="AZ886">
        <f ca="1">IF(ROW()&lt;($C$7+1),"",IFERROR((分析データ!C886-AVERAGE(OFFSET(分析データ!C$1,MAX(1,ROW()-$C$7),0,MIN($C$7,ROW()-1),1)))/STDEV(OFFSET(分析データ!C$1,MAX(1,ROW()-$C$7),0,MIN($C$7,ROW()-1),1)),0))</f>
        <v>1.521938684389154</v>
      </c>
      <c r="BA886">
        <f t="shared" ca="1" si="368"/>
        <v>0</v>
      </c>
      <c r="BB886" t="str">
        <f ca="1">IF(BA886=1,IF(INDEX(分析データ!$A:$A,ROW()+$C$5)&lt;&gt;"",60000*SIGN(AZ886)*(分析データ!C886-INDEX(分析データ!C:C,ROW()+$C$5)),""),"")</f>
        <v/>
      </c>
      <c r="BC886">
        <f t="shared" ca="1" si="369"/>
        <v>-260999.9999999851</v>
      </c>
      <c r="BD886">
        <f t="shared" ca="1" si="370"/>
        <v>3156000.0000000107</v>
      </c>
      <c r="BE886">
        <f t="shared" ca="1" si="371"/>
        <v>-3416999.9999999958</v>
      </c>
      <c r="BF886">
        <f ca="1">IF(ROW()&lt;($C$7+1),"",IFERROR((分析データ!D886-AVERAGE(OFFSET(分析データ!D$1,MAX(1,ROW()-$C$7),0,MIN($C$7,ROW()-1),1)))/STDEV(OFFSET(分析データ!D$1,MAX(1,ROW()-$C$7),0,MIN($C$7,ROW()-1),1)),0))</f>
        <v>-1.0166089085798504</v>
      </c>
      <c r="BG886">
        <f t="shared" ca="1" si="372"/>
        <v>0</v>
      </c>
      <c r="BH886" t="str">
        <f ca="1">IF(BG886=1,IF(INDEX(分析データ!$A:$A,ROW()+$C$5)&lt;&gt;"",50000*SIGN(BF886)*(分析データ!D886-INDEX(分析データ!D:D,ROW()+$C$5)),""),"")</f>
        <v/>
      </c>
      <c r="BI886">
        <f t="shared" ca="1" si="373"/>
        <v>5570000.0000000205</v>
      </c>
      <c r="BJ886">
        <f t="shared" ca="1" si="374"/>
        <v>5570000.0000000205</v>
      </c>
      <c r="BK886">
        <f t="shared" ca="1" si="375"/>
        <v>0</v>
      </c>
      <c r="BL886">
        <f ca="1">IF(ROW()&lt;($C$7+1),"",IFERROR((分析データ!E886-AVERAGE(OFFSET(分析データ!E$1,MAX(1,ROW()-$C$7),0,MIN($C$7,ROW()-1),1)))/STDEV(OFFSET(分析データ!E$1,MAX(1,ROW()-$C$7),0,MIN($C$7,ROW()-1),1)),0))</f>
        <v>-1.9237860508463607</v>
      </c>
      <c r="BM886">
        <f t="shared" ca="1" si="376"/>
        <v>0</v>
      </c>
      <c r="BN886" t="str">
        <f ca="1">IF(BM886=1,IF(INDEX(分析データ!$A:$A,ROW()+$C$5)&lt;&gt;"",40000*SIGN(BL886)*(分析データ!E886-INDEX(分析データ!E:E,ROW()+$C$5)),""),"")</f>
        <v/>
      </c>
      <c r="BO886">
        <f t="shared" ca="1" si="377"/>
        <v>2160000.0000000028</v>
      </c>
      <c r="BP886">
        <f t="shared" ca="1" si="378"/>
        <v>4280000.0000000028</v>
      </c>
      <c r="BQ886">
        <f t="shared" ca="1" si="379"/>
        <v>-2120000</v>
      </c>
      <c r="BR886">
        <f ca="1">IF(ROW()&lt;($C$7+1),"",IFERROR((分析データ!F886-AVERAGE(OFFSET(分析データ!F$1,MAX(1,ROW()-$C$7),0,MIN($C$7,ROW()-1),1)))/STDEV(OFFSET(分析データ!F$1,MAX(1,ROW()-$C$7),0,MIN($C$7,ROW()-1),1)),0))</f>
        <v>0.5639977179183383</v>
      </c>
      <c r="BS886">
        <f t="shared" ca="1" si="380"/>
        <v>0</v>
      </c>
      <c r="BT886" t="str">
        <f ca="1">IF(BS886=1,IF(INDEX(分析データ!$A:$A,ROW()+$C$5)&lt;&gt;"",40000*SIGN(BR886)*(分析データ!F886-INDEX(分析データ!F:F,ROW()+$C$5)),""),"")</f>
        <v/>
      </c>
      <c r="BU886">
        <f t="shared" ca="1" si="381"/>
        <v>19816800</v>
      </c>
      <c r="BV886">
        <f t="shared" ca="1" si="382"/>
        <v>19816800</v>
      </c>
      <c r="BW886">
        <f t="shared" ca="1" si="383"/>
        <v>0</v>
      </c>
      <c r="BX886">
        <f ca="1">IF(ROW()&lt;($C$7+1),"",IFERROR((分析データ!G886-AVERAGE(OFFSET(分析データ!G$1,MAX(1,ROW()-$C$7),0,MIN($C$7,ROW()-1),1)))/STDEV(OFFSET(分析データ!G$1,MAX(1,ROW()-$C$7),0,MIN($C$7,ROW()-1),1)),0))</f>
        <v>0.22000121101350781</v>
      </c>
      <c r="BY886">
        <f t="shared" ca="1" si="384"/>
        <v>0</v>
      </c>
      <c r="BZ886" t="str">
        <f ca="1">IF(BY886=1,IF(INDEX(分析データ!$A:$A,ROW()+$C$5)&lt;&gt;"",40000*SIGN(BX886)*(分析データ!G886-INDEX(分析データ!G:G,ROW()+$C$5)),""),"")</f>
        <v/>
      </c>
      <c r="CA886">
        <f t="shared" ca="1" si="385"/>
        <v>-3515452.8662109179</v>
      </c>
      <c r="CB886">
        <f t="shared" ca="1" si="386"/>
        <v>11327520.000000004</v>
      </c>
      <c r="CC886">
        <f t="shared" ca="1" si="387"/>
        <v>-14842972.866210923</v>
      </c>
      <c r="CD886">
        <f t="shared" ca="1" si="388"/>
        <v>0</v>
      </c>
      <c r="CE886">
        <f t="shared" ca="1" si="389"/>
        <v>22530347.13378913</v>
      </c>
      <c r="CF886">
        <f t="shared" ca="1" si="390"/>
        <v>22530347.13378913</v>
      </c>
      <c r="CG886">
        <f t="shared" ca="1" si="391"/>
        <v>0</v>
      </c>
      <c r="CH886" s="10">
        <f>分析データ!A886</f>
        <v>46220</v>
      </c>
    </row>
    <row r="887" spans="46:86">
      <c r="AT887">
        <f ca="1">IF(ROW()&lt;($C$7+1),"",IFERROR((分析データ!B887-AVERAGE(OFFSET(分析データ!B$1,MAX(1,ROW()-$C$7),0,MIN($C$7,ROW()-1),1)))/STDEV(OFFSET(分析データ!B$1,MAX(1,ROW()-$C$7),0,MIN($C$7,ROW()-1),1)),0))</f>
        <v>-1.2130037578861712</v>
      </c>
      <c r="AU887">
        <f t="shared" ca="1" si="364"/>
        <v>0</v>
      </c>
      <c r="AV887" t="str">
        <f ca="1">IF(AU887=1,IF(INDEX(分析データ!$A:$A,ROW()+$C$5)&lt;&gt;"",80000*SIGN(AT887)*(分析データ!B887-INDEX(分析データ!B:B,ROW()+$C$5)),""),"")</f>
        <v/>
      </c>
      <c r="AW887">
        <f t="shared" ca="1" si="365"/>
        <v>-1240000.0000000019</v>
      </c>
      <c r="AX887">
        <f t="shared" ca="1" si="366"/>
        <v>0</v>
      </c>
      <c r="AY887">
        <f t="shared" ca="1" si="367"/>
        <v>-1240000.0000000019</v>
      </c>
      <c r="AZ887">
        <f ca="1">IF(ROW()&lt;($C$7+1),"",IFERROR((分析データ!C887-AVERAGE(OFFSET(分析データ!C$1,MAX(1,ROW()-$C$7),0,MIN($C$7,ROW()-1),1)))/STDEV(OFFSET(分析データ!C$1,MAX(1,ROW()-$C$7),0,MIN($C$7,ROW()-1),1)),0))</f>
        <v>1.5078456413502159</v>
      </c>
      <c r="BA887">
        <f t="shared" ca="1" si="368"/>
        <v>0</v>
      </c>
      <c r="BB887" t="str">
        <f ca="1">IF(BA887=1,IF(INDEX(分析データ!$A:$A,ROW()+$C$5)&lt;&gt;"",60000*SIGN(AZ887)*(分析データ!C887-INDEX(分析データ!C:C,ROW()+$C$5)),""),"")</f>
        <v/>
      </c>
      <c r="BC887">
        <f t="shared" ca="1" si="369"/>
        <v>-260999.9999999851</v>
      </c>
      <c r="BD887">
        <f t="shared" ca="1" si="370"/>
        <v>3156000.0000000107</v>
      </c>
      <c r="BE887">
        <f t="shared" ca="1" si="371"/>
        <v>-3416999.9999999958</v>
      </c>
      <c r="BF887">
        <f ca="1">IF(ROW()&lt;($C$7+1),"",IFERROR((分析データ!D887-AVERAGE(OFFSET(分析データ!D$1,MAX(1,ROW()-$C$7),0,MIN($C$7,ROW()-1),1)))/STDEV(OFFSET(分析データ!D$1,MAX(1,ROW()-$C$7),0,MIN($C$7,ROW()-1),1)),0))</f>
        <v>-0.85669908127401584</v>
      </c>
      <c r="BG887">
        <f t="shared" ca="1" si="372"/>
        <v>0</v>
      </c>
      <c r="BH887" t="str">
        <f ca="1">IF(BG887=1,IF(INDEX(分析データ!$A:$A,ROW()+$C$5)&lt;&gt;"",50000*SIGN(BF887)*(分析データ!D887-INDEX(分析データ!D:D,ROW()+$C$5)),""),"")</f>
        <v/>
      </c>
      <c r="BI887">
        <f t="shared" ca="1" si="373"/>
        <v>5570000.0000000205</v>
      </c>
      <c r="BJ887">
        <f t="shared" ca="1" si="374"/>
        <v>5570000.0000000205</v>
      </c>
      <c r="BK887">
        <f t="shared" ca="1" si="375"/>
        <v>0</v>
      </c>
      <c r="BL887">
        <f ca="1">IF(ROW()&lt;($C$7+1),"",IFERROR((分析データ!E887-AVERAGE(OFFSET(分析データ!E$1,MAX(1,ROW()-$C$7),0,MIN($C$7,ROW()-1),1)))/STDEV(OFFSET(分析データ!E$1,MAX(1,ROW()-$C$7),0,MIN($C$7,ROW()-1),1)),0))</f>
        <v>-1.9021023690539696</v>
      </c>
      <c r="BM887">
        <f t="shared" ca="1" si="376"/>
        <v>0</v>
      </c>
      <c r="BN887" t="str">
        <f ca="1">IF(BM887=1,IF(INDEX(分析データ!$A:$A,ROW()+$C$5)&lt;&gt;"",40000*SIGN(BL887)*(分析データ!E887-INDEX(分析データ!E:E,ROW()+$C$5)),""),"")</f>
        <v/>
      </c>
      <c r="BO887">
        <f t="shared" ca="1" si="377"/>
        <v>2160000.0000000028</v>
      </c>
      <c r="BP887">
        <f t="shared" ca="1" si="378"/>
        <v>4280000.0000000028</v>
      </c>
      <c r="BQ887">
        <f t="shared" ca="1" si="379"/>
        <v>-2120000</v>
      </c>
      <c r="BR887">
        <f ca="1">IF(ROW()&lt;($C$7+1),"",IFERROR((分析データ!F887-AVERAGE(OFFSET(分析データ!F$1,MAX(1,ROW()-$C$7),0,MIN($C$7,ROW()-1),1)))/STDEV(OFFSET(分析データ!F$1,MAX(1,ROW()-$C$7),0,MIN($C$7,ROW()-1),1)),0))</f>
        <v>-5.194977588273348E-2</v>
      </c>
      <c r="BS887">
        <f t="shared" ca="1" si="380"/>
        <v>0</v>
      </c>
      <c r="BT887" t="str">
        <f ca="1">IF(BS887=1,IF(INDEX(分析データ!$A:$A,ROW()+$C$5)&lt;&gt;"",40000*SIGN(BR887)*(分析データ!F887-INDEX(分析データ!F:F,ROW()+$C$5)),""),"")</f>
        <v/>
      </c>
      <c r="BU887">
        <f t="shared" ca="1" si="381"/>
        <v>19816800</v>
      </c>
      <c r="BV887">
        <f t="shared" ca="1" si="382"/>
        <v>19816800</v>
      </c>
      <c r="BW887">
        <f t="shared" ca="1" si="383"/>
        <v>0</v>
      </c>
      <c r="BX887">
        <f ca="1">IF(ROW()&lt;($C$7+1),"",IFERROR((分析データ!G887-AVERAGE(OFFSET(分析データ!G$1,MAX(1,ROW()-$C$7),0,MIN($C$7,ROW()-1),1)))/STDEV(OFFSET(分析データ!G$1,MAX(1,ROW()-$C$7),0,MIN($C$7,ROW()-1),1)),0))</f>
        <v>0.31373231859430162</v>
      </c>
      <c r="BY887">
        <f t="shared" ca="1" si="384"/>
        <v>0</v>
      </c>
      <c r="BZ887" t="str">
        <f ca="1">IF(BY887=1,IF(INDEX(分析データ!$A:$A,ROW()+$C$5)&lt;&gt;"",40000*SIGN(BX887)*(分析データ!G887-INDEX(分析データ!G:G,ROW()+$C$5)),""),"")</f>
        <v/>
      </c>
      <c r="CA887">
        <f t="shared" ca="1" si="385"/>
        <v>-3515452.8662109179</v>
      </c>
      <c r="CB887">
        <f t="shared" ca="1" si="386"/>
        <v>11327520.000000004</v>
      </c>
      <c r="CC887">
        <f t="shared" ca="1" si="387"/>
        <v>-14842972.866210923</v>
      </c>
      <c r="CD887">
        <f t="shared" ca="1" si="388"/>
        <v>0</v>
      </c>
      <c r="CE887">
        <f t="shared" ca="1" si="389"/>
        <v>22530347.13378913</v>
      </c>
      <c r="CF887">
        <f t="shared" ca="1" si="390"/>
        <v>22530347.13378913</v>
      </c>
      <c r="CG887">
        <f t="shared" ca="1" si="391"/>
        <v>0</v>
      </c>
      <c r="CH887" s="10">
        <f>分析データ!A887</f>
        <v>46223</v>
      </c>
    </row>
    <row r="888" spans="46:86">
      <c r="AT888">
        <f ca="1">IF(ROW()&lt;($C$7+1),"",IFERROR((分析データ!B888-AVERAGE(OFFSET(分析データ!B$1,MAX(1,ROW()-$C$7),0,MIN($C$7,ROW()-1),1)))/STDEV(OFFSET(分析データ!B$1,MAX(1,ROW()-$C$7),0,MIN($C$7,ROW()-1),1)),0))</f>
        <v>-1.3695516461683432</v>
      </c>
      <c r="AU888">
        <f t="shared" ca="1" si="364"/>
        <v>0</v>
      </c>
      <c r="AV888" t="str">
        <f ca="1">IF(AU888=1,IF(INDEX(分析データ!$A:$A,ROW()+$C$5)&lt;&gt;"",80000*SIGN(AT888)*(分析データ!B888-INDEX(分析データ!B:B,ROW()+$C$5)),""),"")</f>
        <v/>
      </c>
      <c r="AW888">
        <f t="shared" ca="1" si="365"/>
        <v>-1240000.0000000019</v>
      </c>
      <c r="AX888">
        <f t="shared" ca="1" si="366"/>
        <v>0</v>
      </c>
      <c r="AY888">
        <f t="shared" ca="1" si="367"/>
        <v>-1240000.0000000019</v>
      </c>
      <c r="AZ888">
        <f ca="1">IF(ROW()&lt;($C$7+1),"",IFERROR((分析データ!C888-AVERAGE(OFFSET(分析データ!C$1,MAX(1,ROW()-$C$7),0,MIN($C$7,ROW()-1),1)))/STDEV(OFFSET(分析データ!C$1,MAX(1,ROW()-$C$7),0,MIN($C$7,ROW()-1),1)),0))</f>
        <v>1.5441344755933628</v>
      </c>
      <c r="BA888">
        <f t="shared" ca="1" si="368"/>
        <v>0</v>
      </c>
      <c r="BB888" t="str">
        <f ca="1">IF(BA888=1,IF(INDEX(分析データ!$A:$A,ROW()+$C$5)&lt;&gt;"",60000*SIGN(AZ888)*(分析データ!C888-INDEX(分析データ!C:C,ROW()+$C$5)),""),"")</f>
        <v/>
      </c>
      <c r="BC888">
        <f t="shared" ca="1" si="369"/>
        <v>-260999.9999999851</v>
      </c>
      <c r="BD888">
        <f t="shared" ca="1" si="370"/>
        <v>3156000.0000000107</v>
      </c>
      <c r="BE888">
        <f t="shared" ca="1" si="371"/>
        <v>-3416999.9999999958</v>
      </c>
      <c r="BF888">
        <f ca="1">IF(ROW()&lt;($C$7+1),"",IFERROR((分析データ!D888-AVERAGE(OFFSET(分析データ!D$1,MAX(1,ROW()-$C$7),0,MIN($C$7,ROW()-1),1)))/STDEV(OFFSET(分析データ!D$1,MAX(1,ROW()-$C$7),0,MIN($C$7,ROW()-1),1)),0))</f>
        <v>-0.80828650205476238</v>
      </c>
      <c r="BG888">
        <f t="shared" ca="1" si="372"/>
        <v>0</v>
      </c>
      <c r="BH888" t="str">
        <f ca="1">IF(BG888=1,IF(INDEX(分析データ!$A:$A,ROW()+$C$5)&lt;&gt;"",50000*SIGN(BF888)*(分析データ!D888-INDEX(分析データ!D:D,ROW()+$C$5)),""),"")</f>
        <v/>
      </c>
      <c r="BI888">
        <f t="shared" ca="1" si="373"/>
        <v>5570000.0000000205</v>
      </c>
      <c r="BJ888">
        <f t="shared" ca="1" si="374"/>
        <v>5570000.0000000205</v>
      </c>
      <c r="BK888">
        <f t="shared" ca="1" si="375"/>
        <v>0</v>
      </c>
      <c r="BL888">
        <f ca="1">IF(ROW()&lt;($C$7+1),"",IFERROR((分析データ!E888-AVERAGE(OFFSET(分析データ!E$1,MAX(1,ROW()-$C$7),0,MIN($C$7,ROW()-1),1)))/STDEV(OFFSET(分析データ!E$1,MAX(1,ROW()-$C$7),0,MIN($C$7,ROW()-1),1)),0))</f>
        <v>-2.0222224135831821</v>
      </c>
      <c r="BM888">
        <f t="shared" ca="1" si="376"/>
        <v>1</v>
      </c>
      <c r="BN888">
        <f ca="1">IF(BM888=1,IF(INDEX(分析データ!$A:$A,ROW()+$C$5)&lt;&gt;"",40000*SIGN(BL888)*(分析データ!E888-INDEX(分析データ!E:E,ROW()+$C$5)),""),"")</f>
        <v>160000.00000000015</v>
      </c>
      <c r="BO888">
        <f t="shared" ca="1" si="377"/>
        <v>2320000.0000000028</v>
      </c>
      <c r="BP888">
        <f t="shared" ca="1" si="378"/>
        <v>4280000.0000000028</v>
      </c>
      <c r="BQ888">
        <f t="shared" ca="1" si="379"/>
        <v>-1960000</v>
      </c>
      <c r="BR888">
        <f ca="1">IF(ROW()&lt;($C$7+1),"",IFERROR((分析データ!F888-AVERAGE(OFFSET(分析データ!F$1,MAX(1,ROW()-$C$7),0,MIN($C$7,ROW()-1),1)))/STDEV(OFFSET(分析データ!F$1,MAX(1,ROW()-$C$7),0,MIN($C$7,ROW()-1),1)),0))</f>
        <v>-0.1403819711367652</v>
      </c>
      <c r="BS888">
        <f t="shared" ca="1" si="380"/>
        <v>0</v>
      </c>
      <c r="BT888" t="str">
        <f ca="1">IF(BS888=1,IF(INDEX(分析データ!$A:$A,ROW()+$C$5)&lt;&gt;"",40000*SIGN(BR888)*(分析データ!F888-INDEX(分析データ!F:F,ROW()+$C$5)),""),"")</f>
        <v/>
      </c>
      <c r="BU888">
        <f t="shared" ca="1" si="381"/>
        <v>19816800</v>
      </c>
      <c r="BV888">
        <f t="shared" ca="1" si="382"/>
        <v>19816800</v>
      </c>
      <c r="BW888">
        <f t="shared" ca="1" si="383"/>
        <v>0</v>
      </c>
      <c r="BX888">
        <f ca="1">IF(ROW()&lt;($C$7+1),"",IFERROR((分析データ!G888-AVERAGE(OFFSET(分析データ!G$1,MAX(1,ROW()-$C$7),0,MIN($C$7,ROW()-1),1)))/STDEV(OFFSET(分析データ!G$1,MAX(1,ROW()-$C$7),0,MIN($C$7,ROW()-1),1)),0))</f>
        <v>0.46702268174852657</v>
      </c>
      <c r="BY888">
        <f t="shared" ca="1" si="384"/>
        <v>0</v>
      </c>
      <c r="BZ888" t="str">
        <f ca="1">IF(BY888=1,IF(INDEX(分析データ!$A:$A,ROW()+$C$5)&lt;&gt;"",40000*SIGN(BX888)*(分析データ!G888-INDEX(分析データ!G:G,ROW()+$C$5)),""),"")</f>
        <v/>
      </c>
      <c r="CA888">
        <f t="shared" ca="1" si="385"/>
        <v>-3515452.8662109179</v>
      </c>
      <c r="CB888">
        <f t="shared" ca="1" si="386"/>
        <v>11327520.000000004</v>
      </c>
      <c r="CC888">
        <f t="shared" ca="1" si="387"/>
        <v>-14842972.866210923</v>
      </c>
      <c r="CD888">
        <f t="shared" ca="1" si="388"/>
        <v>160000.00000000015</v>
      </c>
      <c r="CE888">
        <f t="shared" ca="1" si="389"/>
        <v>22690347.13378913</v>
      </c>
      <c r="CF888">
        <f t="shared" ca="1" si="390"/>
        <v>22690347.13378913</v>
      </c>
      <c r="CG888">
        <f t="shared" ca="1" si="391"/>
        <v>0</v>
      </c>
      <c r="CH888" s="10">
        <f>分析データ!A888</f>
        <v>46224</v>
      </c>
    </row>
    <row r="889" spans="46:86">
      <c r="AT889">
        <f ca="1">IF(ROW()&lt;($C$7+1),"",IFERROR((分析データ!B889-AVERAGE(OFFSET(分析データ!B$1,MAX(1,ROW()-$C$7),0,MIN($C$7,ROW()-1),1)))/STDEV(OFFSET(分析データ!B$1,MAX(1,ROW()-$C$7),0,MIN($C$7,ROW()-1),1)),0))</f>
        <v>-1.1917930762548714</v>
      </c>
      <c r="AU889">
        <f t="shared" ca="1" si="364"/>
        <v>0</v>
      </c>
      <c r="AV889" t="str">
        <f ca="1">IF(AU889=1,IF(INDEX(分析データ!$A:$A,ROW()+$C$5)&lt;&gt;"",80000*SIGN(AT889)*(分析データ!B889-INDEX(分析データ!B:B,ROW()+$C$5)),""),"")</f>
        <v/>
      </c>
      <c r="AW889">
        <f t="shared" ca="1" si="365"/>
        <v>-1240000.0000000019</v>
      </c>
      <c r="AX889">
        <f t="shared" ca="1" si="366"/>
        <v>0</v>
      </c>
      <c r="AY889">
        <f t="shared" ca="1" si="367"/>
        <v>-1240000.0000000019</v>
      </c>
      <c r="AZ889">
        <f ca="1">IF(ROW()&lt;($C$7+1),"",IFERROR((分析データ!C889-AVERAGE(OFFSET(分析データ!C$1,MAX(1,ROW()-$C$7),0,MIN($C$7,ROW()-1),1)))/STDEV(OFFSET(分析データ!C$1,MAX(1,ROW()-$C$7),0,MIN($C$7,ROW()-1),1)),0))</f>
        <v>1.6017858734893928</v>
      </c>
      <c r="BA889">
        <f t="shared" ca="1" si="368"/>
        <v>0</v>
      </c>
      <c r="BB889" t="str">
        <f ca="1">IF(BA889=1,IF(INDEX(分析データ!$A:$A,ROW()+$C$5)&lt;&gt;"",60000*SIGN(AZ889)*(分析データ!C889-INDEX(分析データ!C:C,ROW()+$C$5)),""),"")</f>
        <v/>
      </c>
      <c r="BC889">
        <f t="shared" ca="1" si="369"/>
        <v>-260999.9999999851</v>
      </c>
      <c r="BD889">
        <f t="shared" ca="1" si="370"/>
        <v>3156000.0000000107</v>
      </c>
      <c r="BE889">
        <f t="shared" ca="1" si="371"/>
        <v>-3416999.9999999958</v>
      </c>
      <c r="BF889">
        <f ca="1">IF(ROW()&lt;($C$7+1),"",IFERROR((分析データ!D889-AVERAGE(OFFSET(分析データ!D$1,MAX(1,ROW()-$C$7),0,MIN($C$7,ROW()-1),1)))/STDEV(OFFSET(分析データ!D$1,MAX(1,ROW()-$C$7),0,MIN($C$7,ROW()-1),1)),0))</f>
        <v>-0.72137137075691726</v>
      </c>
      <c r="BG889">
        <f t="shared" ca="1" si="372"/>
        <v>0</v>
      </c>
      <c r="BH889" t="str">
        <f ca="1">IF(BG889=1,IF(INDEX(分析データ!$A:$A,ROW()+$C$5)&lt;&gt;"",50000*SIGN(BF889)*(分析データ!D889-INDEX(分析データ!D:D,ROW()+$C$5)),""),"")</f>
        <v/>
      </c>
      <c r="BI889">
        <f t="shared" ca="1" si="373"/>
        <v>5570000.0000000205</v>
      </c>
      <c r="BJ889">
        <f t="shared" ca="1" si="374"/>
        <v>5570000.0000000205</v>
      </c>
      <c r="BK889">
        <f t="shared" ca="1" si="375"/>
        <v>0</v>
      </c>
      <c r="BL889">
        <f ca="1">IF(ROW()&lt;($C$7+1),"",IFERROR((分析データ!E889-AVERAGE(OFFSET(分析データ!E$1,MAX(1,ROW()-$C$7),0,MIN($C$7,ROW()-1),1)))/STDEV(OFFSET(分析データ!E$1,MAX(1,ROW()-$C$7),0,MIN($C$7,ROW()-1),1)),0))</f>
        <v>-1.998830050639673</v>
      </c>
      <c r="BM889">
        <f t="shared" ca="1" si="376"/>
        <v>0</v>
      </c>
      <c r="BN889" t="str">
        <f ca="1">IF(BM889=1,IF(INDEX(分析データ!$A:$A,ROW()+$C$5)&lt;&gt;"",40000*SIGN(BL889)*(分析データ!E889-INDEX(分析データ!E:E,ROW()+$C$5)),""),"")</f>
        <v/>
      </c>
      <c r="BO889">
        <f t="shared" ca="1" si="377"/>
        <v>2320000.0000000028</v>
      </c>
      <c r="BP889">
        <f t="shared" ca="1" si="378"/>
        <v>4280000.0000000028</v>
      </c>
      <c r="BQ889">
        <f t="shared" ca="1" si="379"/>
        <v>-1960000</v>
      </c>
      <c r="BR889">
        <f ca="1">IF(ROW()&lt;($C$7+1),"",IFERROR((分析データ!F889-AVERAGE(OFFSET(分析データ!F$1,MAX(1,ROW()-$C$7),0,MIN($C$7,ROW()-1),1)))/STDEV(OFFSET(分析データ!F$1,MAX(1,ROW()-$C$7),0,MIN($C$7,ROW()-1),1)),0))</f>
        <v>-0.62067979689694741</v>
      </c>
      <c r="BS889">
        <f t="shared" ca="1" si="380"/>
        <v>0</v>
      </c>
      <c r="BT889" t="str">
        <f ca="1">IF(BS889=1,IF(INDEX(分析データ!$A:$A,ROW()+$C$5)&lt;&gt;"",40000*SIGN(BR889)*(分析データ!F889-INDEX(分析データ!F:F,ROW()+$C$5)),""),"")</f>
        <v/>
      </c>
      <c r="BU889">
        <f t="shared" ca="1" si="381"/>
        <v>19816800</v>
      </c>
      <c r="BV889">
        <f t="shared" ca="1" si="382"/>
        <v>19816800</v>
      </c>
      <c r="BW889">
        <f t="shared" ca="1" si="383"/>
        <v>0</v>
      </c>
      <c r="BX889">
        <f ca="1">IF(ROW()&lt;($C$7+1),"",IFERROR((分析データ!G889-AVERAGE(OFFSET(分析データ!G$1,MAX(1,ROW()-$C$7),0,MIN($C$7,ROW()-1),1)))/STDEV(OFFSET(分析データ!G$1,MAX(1,ROW()-$C$7),0,MIN($C$7,ROW()-1),1)),0))</f>
        <v>0.42700896233659275</v>
      </c>
      <c r="BY889">
        <f t="shared" ca="1" si="384"/>
        <v>0</v>
      </c>
      <c r="BZ889" t="str">
        <f ca="1">IF(BY889=1,IF(INDEX(分析データ!$A:$A,ROW()+$C$5)&lt;&gt;"",40000*SIGN(BX889)*(分析データ!G889-INDEX(分析データ!G:G,ROW()+$C$5)),""),"")</f>
        <v/>
      </c>
      <c r="CA889">
        <f t="shared" ca="1" si="385"/>
        <v>-3515452.8662109179</v>
      </c>
      <c r="CB889">
        <f t="shared" ca="1" si="386"/>
        <v>11327520.000000004</v>
      </c>
      <c r="CC889">
        <f t="shared" ca="1" si="387"/>
        <v>-14842972.866210923</v>
      </c>
      <c r="CD889">
        <f t="shared" ca="1" si="388"/>
        <v>0</v>
      </c>
      <c r="CE889">
        <f t="shared" ca="1" si="389"/>
        <v>22690347.13378913</v>
      </c>
      <c r="CF889">
        <f t="shared" ca="1" si="390"/>
        <v>22690347.13378913</v>
      </c>
      <c r="CG889">
        <f t="shared" ca="1" si="391"/>
        <v>0</v>
      </c>
      <c r="CH889" s="10">
        <f>分析データ!A889</f>
        <v>46225</v>
      </c>
    </row>
    <row r="890" spans="46:86">
      <c r="AT890">
        <f ca="1">IF(ROW()&lt;($C$7+1),"",IFERROR((分析データ!B890-AVERAGE(OFFSET(分析データ!B$1,MAX(1,ROW()-$C$7),0,MIN($C$7,ROW()-1),1)))/STDEV(OFFSET(分析データ!B$1,MAX(1,ROW()-$C$7),0,MIN($C$7,ROW()-1),1)),0))</f>
        <v>-1.182720433912599</v>
      </c>
      <c r="AU890">
        <f t="shared" ca="1" si="364"/>
        <v>0</v>
      </c>
      <c r="AV890" t="str">
        <f ca="1">IF(AU890=1,IF(INDEX(分析データ!$A:$A,ROW()+$C$5)&lt;&gt;"",80000*SIGN(AT890)*(分析データ!B890-INDEX(分析データ!B:B,ROW()+$C$5)),""),"")</f>
        <v/>
      </c>
      <c r="AW890">
        <f t="shared" ca="1" si="365"/>
        <v>-1240000.0000000019</v>
      </c>
      <c r="AX890">
        <f t="shared" ca="1" si="366"/>
        <v>0</v>
      </c>
      <c r="AY890">
        <f t="shared" ca="1" si="367"/>
        <v>-1240000.0000000019</v>
      </c>
      <c r="AZ890">
        <f ca="1">IF(ROW()&lt;($C$7+1),"",IFERROR((分析データ!C890-AVERAGE(OFFSET(分析データ!C$1,MAX(1,ROW()-$C$7),0,MIN($C$7,ROW()-1),1)))/STDEV(OFFSET(分析データ!C$1,MAX(1,ROW()-$C$7),0,MIN($C$7,ROW()-1),1)),0))</f>
        <v>1.5404532062081189</v>
      </c>
      <c r="BA890">
        <f t="shared" ca="1" si="368"/>
        <v>0</v>
      </c>
      <c r="BB890" t="str">
        <f ca="1">IF(BA890=1,IF(INDEX(分析データ!$A:$A,ROW()+$C$5)&lt;&gt;"",60000*SIGN(AZ890)*(分析データ!C890-INDEX(分析データ!C:C,ROW()+$C$5)),""),"")</f>
        <v/>
      </c>
      <c r="BC890">
        <f t="shared" ca="1" si="369"/>
        <v>-260999.9999999851</v>
      </c>
      <c r="BD890">
        <f t="shared" ca="1" si="370"/>
        <v>3156000.0000000107</v>
      </c>
      <c r="BE890">
        <f t="shared" ca="1" si="371"/>
        <v>-3416999.9999999958</v>
      </c>
      <c r="BF890">
        <f ca="1">IF(ROW()&lt;($C$7+1),"",IFERROR((分析データ!D890-AVERAGE(OFFSET(分析データ!D$1,MAX(1,ROW()-$C$7),0,MIN($C$7,ROW()-1),1)))/STDEV(OFFSET(分析データ!D$1,MAX(1,ROW()-$C$7),0,MIN($C$7,ROW()-1),1)),0))</f>
        <v>-0.68729640500537714</v>
      </c>
      <c r="BG890">
        <f t="shared" ca="1" si="372"/>
        <v>0</v>
      </c>
      <c r="BH890" t="str">
        <f ca="1">IF(BG890=1,IF(INDEX(分析データ!$A:$A,ROW()+$C$5)&lt;&gt;"",50000*SIGN(BF890)*(分析データ!D890-INDEX(分析データ!D:D,ROW()+$C$5)),""),"")</f>
        <v/>
      </c>
      <c r="BI890">
        <f t="shared" ca="1" si="373"/>
        <v>5570000.0000000205</v>
      </c>
      <c r="BJ890">
        <f t="shared" ca="1" si="374"/>
        <v>5570000.0000000205</v>
      </c>
      <c r="BK890">
        <f t="shared" ca="1" si="375"/>
        <v>0</v>
      </c>
      <c r="BL890">
        <f ca="1">IF(ROW()&lt;($C$7+1),"",IFERROR((分析データ!E890-AVERAGE(OFFSET(分析データ!E$1,MAX(1,ROW()-$C$7),0,MIN($C$7,ROW()-1),1)))/STDEV(OFFSET(分析データ!E$1,MAX(1,ROW()-$C$7),0,MIN($C$7,ROW()-1),1)),0))</f>
        <v>-2.115158765388724</v>
      </c>
      <c r="BM890">
        <f t="shared" ca="1" si="376"/>
        <v>1</v>
      </c>
      <c r="BN890">
        <f ca="1">IF(BM890=1,IF(INDEX(分析データ!$A:$A,ROW()+$C$5)&lt;&gt;"",40000*SIGN(BL890)*(分析データ!E890-INDEX(分析データ!E:E,ROW()+$C$5)),""),"")</f>
        <v>160000.00000000015</v>
      </c>
      <c r="BO890">
        <f t="shared" ca="1" si="377"/>
        <v>2480000.0000000028</v>
      </c>
      <c r="BP890">
        <f t="shared" ca="1" si="378"/>
        <v>4280000.0000000028</v>
      </c>
      <c r="BQ890">
        <f t="shared" ca="1" si="379"/>
        <v>-1800000</v>
      </c>
      <c r="BR890">
        <f ca="1">IF(ROW()&lt;($C$7+1),"",IFERROR((分析データ!F890-AVERAGE(OFFSET(分析データ!F$1,MAX(1,ROW()-$C$7),0,MIN($C$7,ROW()-1),1)))/STDEV(OFFSET(分析データ!F$1,MAX(1,ROW()-$C$7),0,MIN($C$7,ROW()-1),1)),0))</f>
        <v>-0.77090129083732206</v>
      </c>
      <c r="BS890">
        <f t="shared" ca="1" si="380"/>
        <v>0</v>
      </c>
      <c r="BT890" t="str">
        <f ca="1">IF(BS890=1,IF(INDEX(分析データ!$A:$A,ROW()+$C$5)&lt;&gt;"",40000*SIGN(BR890)*(分析データ!F890-INDEX(分析データ!F:F,ROW()+$C$5)),""),"")</f>
        <v/>
      </c>
      <c r="BU890">
        <f t="shared" ca="1" si="381"/>
        <v>19816800</v>
      </c>
      <c r="BV890">
        <f t="shared" ca="1" si="382"/>
        <v>19816800</v>
      </c>
      <c r="BW890">
        <f t="shared" ca="1" si="383"/>
        <v>0</v>
      </c>
      <c r="BX890">
        <f ca="1">IF(ROW()&lt;($C$7+1),"",IFERROR((分析データ!G890-AVERAGE(OFFSET(分析データ!G$1,MAX(1,ROW()-$C$7),0,MIN($C$7,ROW()-1),1)))/STDEV(OFFSET(分析データ!G$1,MAX(1,ROW()-$C$7),0,MIN($C$7,ROW()-1),1)),0))</f>
        <v>0.43823969379745786</v>
      </c>
      <c r="BY890">
        <f t="shared" ca="1" si="384"/>
        <v>0</v>
      </c>
      <c r="BZ890" t="str">
        <f ca="1">IF(BY890=1,IF(INDEX(分析データ!$A:$A,ROW()+$C$5)&lt;&gt;"",40000*SIGN(BX890)*(分析データ!G890-INDEX(分析データ!G:G,ROW()+$C$5)),""),"")</f>
        <v/>
      </c>
      <c r="CA890">
        <f t="shared" ca="1" si="385"/>
        <v>-3515452.8662109179</v>
      </c>
      <c r="CB890">
        <f t="shared" ca="1" si="386"/>
        <v>11327520.000000004</v>
      </c>
      <c r="CC890">
        <f t="shared" ca="1" si="387"/>
        <v>-14842972.866210923</v>
      </c>
      <c r="CD890">
        <f t="shared" ca="1" si="388"/>
        <v>160000.00000000015</v>
      </c>
      <c r="CE890">
        <f t="shared" ca="1" si="389"/>
        <v>22850347.13378913</v>
      </c>
      <c r="CF890">
        <f t="shared" ca="1" si="390"/>
        <v>22850347.13378913</v>
      </c>
      <c r="CG890">
        <f t="shared" ca="1" si="391"/>
        <v>0</v>
      </c>
      <c r="CH890" s="10">
        <f>分析データ!A890</f>
        <v>46226</v>
      </c>
    </row>
    <row r="891" spans="46:86">
      <c r="AT891">
        <f ca="1">IF(ROW()&lt;($C$7+1),"",IFERROR((分析データ!B891-AVERAGE(OFFSET(分析データ!B$1,MAX(1,ROW()-$C$7),0,MIN($C$7,ROW()-1),1)))/STDEV(OFFSET(分析データ!B$1,MAX(1,ROW()-$C$7),0,MIN($C$7,ROW()-1),1)),0))</f>
        <v>-1.0083111491186938</v>
      </c>
      <c r="AU891">
        <f t="shared" ca="1" si="364"/>
        <v>0</v>
      </c>
      <c r="AV891" t="str">
        <f ca="1">IF(AU891=1,IF(INDEX(分析データ!$A:$A,ROW()+$C$5)&lt;&gt;"",80000*SIGN(AT891)*(分析データ!B891-INDEX(分析データ!B:B,ROW()+$C$5)),""),"")</f>
        <v/>
      </c>
      <c r="AW891">
        <f t="shared" ca="1" si="365"/>
        <v>-1240000.0000000019</v>
      </c>
      <c r="AX891">
        <f t="shared" ca="1" si="366"/>
        <v>0</v>
      </c>
      <c r="AY891">
        <f t="shared" ca="1" si="367"/>
        <v>-1240000.0000000019</v>
      </c>
      <c r="AZ891">
        <f ca="1">IF(ROW()&lt;($C$7+1),"",IFERROR((分析データ!C891-AVERAGE(OFFSET(分析データ!C$1,MAX(1,ROW()-$C$7),0,MIN($C$7,ROW()-1),1)))/STDEV(OFFSET(分析データ!C$1,MAX(1,ROW()-$C$7),0,MIN($C$7,ROW()-1),1)),0))</f>
        <v>1.5114987025518829</v>
      </c>
      <c r="BA891">
        <f t="shared" ca="1" si="368"/>
        <v>0</v>
      </c>
      <c r="BB891" t="str">
        <f ca="1">IF(BA891=1,IF(INDEX(分析データ!$A:$A,ROW()+$C$5)&lt;&gt;"",60000*SIGN(AZ891)*(分析データ!C891-INDEX(分析データ!C:C,ROW()+$C$5)),""),"")</f>
        <v/>
      </c>
      <c r="BC891">
        <f t="shared" ca="1" si="369"/>
        <v>-260999.9999999851</v>
      </c>
      <c r="BD891">
        <f t="shared" ca="1" si="370"/>
        <v>3156000.0000000107</v>
      </c>
      <c r="BE891">
        <f t="shared" ca="1" si="371"/>
        <v>-3416999.9999999958</v>
      </c>
      <c r="BF891">
        <f ca="1">IF(ROW()&lt;($C$7+1),"",IFERROR((分析データ!D891-AVERAGE(OFFSET(分析データ!D$1,MAX(1,ROW()-$C$7),0,MIN($C$7,ROW()-1),1)))/STDEV(OFFSET(分析データ!D$1,MAX(1,ROW()-$C$7),0,MIN($C$7,ROW()-1),1)),0))</f>
        <v>-0.87236481814904976</v>
      </c>
      <c r="BG891">
        <f t="shared" ca="1" si="372"/>
        <v>0</v>
      </c>
      <c r="BH891" t="str">
        <f ca="1">IF(BG891=1,IF(INDEX(分析データ!$A:$A,ROW()+$C$5)&lt;&gt;"",50000*SIGN(BF891)*(分析データ!D891-INDEX(分析データ!D:D,ROW()+$C$5)),""),"")</f>
        <v/>
      </c>
      <c r="BI891">
        <f t="shared" ca="1" si="373"/>
        <v>5570000.0000000205</v>
      </c>
      <c r="BJ891">
        <f t="shared" ca="1" si="374"/>
        <v>5570000.0000000205</v>
      </c>
      <c r="BK891">
        <f t="shared" ca="1" si="375"/>
        <v>0</v>
      </c>
      <c r="BL891">
        <f ca="1">IF(ROW()&lt;($C$7+1),"",IFERROR((分析データ!E891-AVERAGE(OFFSET(分析データ!E$1,MAX(1,ROW()-$C$7),0,MIN($C$7,ROW()-1),1)))/STDEV(OFFSET(分析データ!E$1,MAX(1,ROW()-$C$7),0,MIN($C$7,ROW()-1),1)),0))</f>
        <v>-1.9497590313029109</v>
      </c>
      <c r="BM891">
        <f t="shared" ca="1" si="376"/>
        <v>0</v>
      </c>
      <c r="BN891" t="str">
        <f ca="1">IF(BM891=1,IF(INDEX(分析データ!$A:$A,ROW()+$C$5)&lt;&gt;"",40000*SIGN(BL891)*(分析データ!E891-INDEX(分析データ!E:E,ROW()+$C$5)),""),"")</f>
        <v/>
      </c>
      <c r="BO891">
        <f t="shared" ca="1" si="377"/>
        <v>2480000.0000000028</v>
      </c>
      <c r="BP891">
        <f t="shared" ca="1" si="378"/>
        <v>4280000.0000000028</v>
      </c>
      <c r="BQ891">
        <f t="shared" ca="1" si="379"/>
        <v>-1800000</v>
      </c>
      <c r="BR891">
        <f ca="1">IF(ROW()&lt;($C$7+1),"",IFERROR((分析データ!F891-AVERAGE(OFFSET(分析データ!F$1,MAX(1,ROW()-$C$7),0,MIN($C$7,ROW()-1),1)))/STDEV(OFFSET(分析データ!F$1,MAX(1,ROW()-$C$7),0,MIN($C$7,ROW()-1),1)),0))</f>
        <v>-0.48925652970202477</v>
      </c>
      <c r="BS891">
        <f t="shared" ca="1" si="380"/>
        <v>0</v>
      </c>
      <c r="BT891" t="str">
        <f ca="1">IF(BS891=1,IF(INDEX(分析データ!$A:$A,ROW()+$C$5)&lt;&gt;"",40000*SIGN(BR891)*(分析データ!F891-INDEX(分析データ!F:F,ROW()+$C$5)),""),"")</f>
        <v/>
      </c>
      <c r="BU891">
        <f t="shared" ca="1" si="381"/>
        <v>19816800</v>
      </c>
      <c r="BV891">
        <f t="shared" ca="1" si="382"/>
        <v>19816800</v>
      </c>
      <c r="BW891">
        <f t="shared" ca="1" si="383"/>
        <v>0</v>
      </c>
      <c r="BX891">
        <f ca="1">IF(ROW()&lt;($C$7+1),"",IFERROR((分析データ!G891-AVERAGE(OFFSET(分析データ!G$1,MAX(1,ROW()-$C$7),0,MIN($C$7,ROW()-1),1)))/STDEV(OFFSET(分析データ!G$1,MAX(1,ROW()-$C$7),0,MIN($C$7,ROW()-1),1)),0))</f>
        <v>0.47938298671496538</v>
      </c>
      <c r="BY891">
        <f t="shared" ca="1" si="384"/>
        <v>0</v>
      </c>
      <c r="BZ891" t="str">
        <f ca="1">IF(BY891=1,IF(INDEX(分析データ!$A:$A,ROW()+$C$5)&lt;&gt;"",40000*SIGN(BX891)*(分析データ!G891-INDEX(分析データ!G:G,ROW()+$C$5)),""),"")</f>
        <v/>
      </c>
      <c r="CA891">
        <f t="shared" ca="1" si="385"/>
        <v>-3515452.8662109179</v>
      </c>
      <c r="CB891">
        <f t="shared" ca="1" si="386"/>
        <v>11327520.000000004</v>
      </c>
      <c r="CC891">
        <f t="shared" ca="1" si="387"/>
        <v>-14842972.866210923</v>
      </c>
      <c r="CD891">
        <f t="shared" ca="1" si="388"/>
        <v>0</v>
      </c>
      <c r="CE891">
        <f t="shared" ca="1" si="389"/>
        <v>22850347.13378913</v>
      </c>
      <c r="CF891">
        <f t="shared" ca="1" si="390"/>
        <v>22850347.13378913</v>
      </c>
      <c r="CG891">
        <f t="shared" ca="1" si="391"/>
        <v>0</v>
      </c>
      <c r="CH891" s="10">
        <f>分析データ!A891</f>
        <v>46227</v>
      </c>
    </row>
    <row r="892" spans="46:86">
      <c r="AT892">
        <f ca="1">IF(ROW()&lt;($C$7+1),"",IFERROR((分析データ!B892-AVERAGE(OFFSET(分析データ!B$1,MAX(1,ROW()-$C$7),0,MIN($C$7,ROW()-1),1)))/STDEV(OFFSET(分析データ!B$1,MAX(1,ROW()-$C$7),0,MIN($C$7,ROW()-1),1)),0))</f>
        <v>-1.3311254607582232</v>
      </c>
      <c r="AU892">
        <f t="shared" ca="1" si="364"/>
        <v>0</v>
      </c>
      <c r="AV892" t="str">
        <f ca="1">IF(AU892=1,IF(INDEX(分析データ!$A:$A,ROW()+$C$5)&lt;&gt;"",80000*SIGN(AT892)*(分析データ!B892-INDEX(分析データ!B:B,ROW()+$C$5)),""),"")</f>
        <v/>
      </c>
      <c r="AW892">
        <f t="shared" ca="1" si="365"/>
        <v>-1240000.0000000019</v>
      </c>
      <c r="AX892">
        <f t="shared" ca="1" si="366"/>
        <v>0</v>
      </c>
      <c r="AY892">
        <f t="shared" ca="1" si="367"/>
        <v>-1240000.0000000019</v>
      </c>
      <c r="AZ892">
        <f ca="1">IF(ROW()&lt;($C$7+1),"",IFERROR((分析データ!C892-AVERAGE(OFFSET(分析データ!C$1,MAX(1,ROW()-$C$7),0,MIN($C$7,ROW()-1),1)))/STDEV(OFFSET(分析データ!C$1,MAX(1,ROW()-$C$7),0,MIN($C$7,ROW()-1),1)),0))</f>
        <v>1.3585452206988946</v>
      </c>
      <c r="BA892">
        <f t="shared" ca="1" si="368"/>
        <v>0</v>
      </c>
      <c r="BB892" t="str">
        <f ca="1">IF(BA892=1,IF(INDEX(分析データ!$A:$A,ROW()+$C$5)&lt;&gt;"",60000*SIGN(AZ892)*(分析データ!C892-INDEX(分析データ!C:C,ROW()+$C$5)),""),"")</f>
        <v/>
      </c>
      <c r="BC892">
        <f t="shared" ca="1" si="369"/>
        <v>-260999.9999999851</v>
      </c>
      <c r="BD892">
        <f t="shared" ca="1" si="370"/>
        <v>3156000.0000000107</v>
      </c>
      <c r="BE892">
        <f t="shared" ca="1" si="371"/>
        <v>-3416999.9999999958</v>
      </c>
      <c r="BF892">
        <f ca="1">IF(ROW()&lt;($C$7+1),"",IFERROR((分析データ!D892-AVERAGE(OFFSET(分析データ!D$1,MAX(1,ROW()-$C$7),0,MIN($C$7,ROW()-1),1)))/STDEV(OFFSET(分析データ!D$1,MAX(1,ROW()-$C$7),0,MIN($C$7,ROW()-1),1)),0))</f>
        <v>-0.87686275926559776</v>
      </c>
      <c r="BG892">
        <f t="shared" ca="1" si="372"/>
        <v>0</v>
      </c>
      <c r="BH892" t="str">
        <f ca="1">IF(BG892=1,IF(INDEX(分析データ!$A:$A,ROW()+$C$5)&lt;&gt;"",50000*SIGN(BF892)*(分析データ!D892-INDEX(分析データ!D:D,ROW()+$C$5)),""),"")</f>
        <v/>
      </c>
      <c r="BI892">
        <f t="shared" ca="1" si="373"/>
        <v>5570000.0000000205</v>
      </c>
      <c r="BJ892">
        <f t="shared" ca="1" si="374"/>
        <v>5570000.0000000205</v>
      </c>
      <c r="BK892">
        <f t="shared" ca="1" si="375"/>
        <v>0</v>
      </c>
      <c r="BL892">
        <f ca="1">IF(ROW()&lt;($C$7+1),"",IFERROR((分析データ!E892-AVERAGE(OFFSET(分析データ!E$1,MAX(1,ROW()-$C$7),0,MIN($C$7,ROW()-1),1)))/STDEV(OFFSET(分析データ!E$1,MAX(1,ROW()-$C$7),0,MIN($C$7,ROW()-1),1)),0))</f>
        <v>-2.0652161768687165</v>
      </c>
      <c r="BM892">
        <f t="shared" ca="1" si="376"/>
        <v>1</v>
      </c>
      <c r="BN892">
        <f ca="1">IF(BM892=1,IF(INDEX(分析データ!$A:$A,ROW()+$C$5)&lt;&gt;"",40000*SIGN(BL892)*(分析データ!E892-INDEX(分析データ!E:E,ROW()+$C$5)),""),"")</f>
        <v>239999.99999999843</v>
      </c>
      <c r="BO892">
        <f t="shared" ca="1" si="377"/>
        <v>2720000.0000000014</v>
      </c>
      <c r="BP892">
        <f t="shared" ca="1" si="378"/>
        <v>4280000.0000000028</v>
      </c>
      <c r="BQ892">
        <f t="shared" ca="1" si="379"/>
        <v>-1560000.0000000014</v>
      </c>
      <c r="BR892">
        <f ca="1">IF(ROW()&lt;($C$7+1),"",IFERROR((分析データ!F892-AVERAGE(OFFSET(分析データ!F$1,MAX(1,ROW()-$C$7),0,MIN($C$7,ROW()-1),1)))/STDEV(OFFSET(分析データ!F$1,MAX(1,ROW()-$C$7),0,MIN($C$7,ROW()-1),1)),0))</f>
        <v>-0.47323620602571487</v>
      </c>
      <c r="BS892">
        <f t="shared" ca="1" si="380"/>
        <v>0</v>
      </c>
      <c r="BT892" t="str">
        <f ca="1">IF(BS892=1,IF(INDEX(分析データ!$A:$A,ROW()+$C$5)&lt;&gt;"",40000*SIGN(BR892)*(分析データ!F892-INDEX(分析データ!F:F,ROW()+$C$5)),""),"")</f>
        <v/>
      </c>
      <c r="BU892">
        <f t="shared" ca="1" si="381"/>
        <v>19816800</v>
      </c>
      <c r="BV892">
        <f t="shared" ca="1" si="382"/>
        <v>19816800</v>
      </c>
      <c r="BW892">
        <f t="shared" ca="1" si="383"/>
        <v>0</v>
      </c>
      <c r="BX892">
        <f ca="1">IF(ROW()&lt;($C$7+1),"",IFERROR((分析データ!G892-AVERAGE(OFFSET(分析データ!G$1,MAX(1,ROW()-$C$7),0,MIN($C$7,ROW()-1),1)))/STDEV(OFFSET(分析データ!G$1,MAX(1,ROW()-$C$7),0,MIN($C$7,ROW()-1),1)),0))</f>
        <v>0.53176367829927296</v>
      </c>
      <c r="BY892">
        <f t="shared" ca="1" si="384"/>
        <v>0</v>
      </c>
      <c r="BZ892" t="str">
        <f ca="1">IF(BY892=1,IF(INDEX(分析データ!$A:$A,ROW()+$C$5)&lt;&gt;"",40000*SIGN(BX892)*(分析データ!G892-INDEX(分析データ!G:G,ROW()+$C$5)),""),"")</f>
        <v/>
      </c>
      <c r="CA892">
        <f t="shared" ca="1" si="385"/>
        <v>-3515452.8662109179</v>
      </c>
      <c r="CB892">
        <f t="shared" ca="1" si="386"/>
        <v>11327520.000000004</v>
      </c>
      <c r="CC892">
        <f t="shared" ca="1" si="387"/>
        <v>-14842972.866210923</v>
      </c>
      <c r="CD892">
        <f t="shared" ca="1" si="388"/>
        <v>239999.99999999843</v>
      </c>
      <c r="CE892">
        <f t="shared" ca="1" si="389"/>
        <v>23090347.13378913</v>
      </c>
      <c r="CF892">
        <f t="shared" ca="1" si="390"/>
        <v>23090347.13378913</v>
      </c>
      <c r="CG892">
        <f t="shared" ca="1" si="391"/>
        <v>0</v>
      </c>
      <c r="CH892" s="10">
        <f>分析データ!A892</f>
        <v>46230</v>
      </c>
    </row>
    <row r="893" spans="46:86">
      <c r="AT893">
        <f ca="1">IF(ROW()&lt;($C$7+1),"",IFERROR((分析データ!B893-AVERAGE(OFFSET(分析データ!B$1,MAX(1,ROW()-$C$7),0,MIN($C$7,ROW()-1),1)))/STDEV(OFFSET(分析データ!B$1,MAX(1,ROW()-$C$7),0,MIN($C$7,ROW()-1),1)),0))</f>
        <v>-1.3197544654524345</v>
      </c>
      <c r="AU893">
        <f t="shared" ca="1" si="364"/>
        <v>0</v>
      </c>
      <c r="AV893" t="str">
        <f ca="1">IF(AU893=1,IF(INDEX(分析データ!$A:$A,ROW()+$C$5)&lt;&gt;"",80000*SIGN(AT893)*(分析データ!B893-INDEX(分析データ!B:B,ROW()+$C$5)),""),"")</f>
        <v/>
      </c>
      <c r="AW893">
        <f t="shared" ca="1" si="365"/>
        <v>-1240000.0000000019</v>
      </c>
      <c r="AX893">
        <f t="shared" ca="1" si="366"/>
        <v>0</v>
      </c>
      <c r="AY893">
        <f t="shared" ca="1" si="367"/>
        <v>-1240000.0000000019</v>
      </c>
      <c r="AZ893">
        <f ca="1">IF(ROW()&lt;($C$7+1),"",IFERROR((分析データ!C893-AVERAGE(OFFSET(分析データ!C$1,MAX(1,ROW()-$C$7),0,MIN($C$7,ROW()-1),1)))/STDEV(OFFSET(分析データ!C$1,MAX(1,ROW()-$C$7),0,MIN($C$7,ROW()-1),1)),0))</f>
        <v>1.3717545152426043</v>
      </c>
      <c r="BA893">
        <f t="shared" ca="1" si="368"/>
        <v>0</v>
      </c>
      <c r="BB893" t="str">
        <f ca="1">IF(BA893=1,IF(INDEX(分析データ!$A:$A,ROW()+$C$5)&lt;&gt;"",60000*SIGN(AZ893)*(分析データ!C893-INDEX(分析データ!C:C,ROW()+$C$5)),""),"")</f>
        <v/>
      </c>
      <c r="BC893">
        <f t="shared" ca="1" si="369"/>
        <v>-260999.9999999851</v>
      </c>
      <c r="BD893">
        <f t="shared" ca="1" si="370"/>
        <v>3156000.0000000107</v>
      </c>
      <c r="BE893">
        <f t="shared" ca="1" si="371"/>
        <v>-3416999.9999999958</v>
      </c>
      <c r="BF893">
        <f ca="1">IF(ROW()&lt;($C$7+1),"",IFERROR((分析データ!D893-AVERAGE(OFFSET(分析データ!D$1,MAX(1,ROW()-$C$7),0,MIN($C$7,ROW()-1),1)))/STDEV(OFFSET(分析データ!D$1,MAX(1,ROW()-$C$7),0,MIN($C$7,ROW()-1),1)),0))</f>
        <v>-1.0193890369413443</v>
      </c>
      <c r="BG893">
        <f t="shared" ca="1" si="372"/>
        <v>0</v>
      </c>
      <c r="BH893" t="str">
        <f ca="1">IF(BG893=1,IF(INDEX(分析データ!$A:$A,ROW()+$C$5)&lt;&gt;"",50000*SIGN(BF893)*(分析データ!D893-INDEX(分析データ!D:D,ROW()+$C$5)),""),"")</f>
        <v/>
      </c>
      <c r="BI893">
        <f t="shared" ca="1" si="373"/>
        <v>5570000.0000000205</v>
      </c>
      <c r="BJ893">
        <f t="shared" ca="1" si="374"/>
        <v>5570000.0000000205</v>
      </c>
      <c r="BK893">
        <f t="shared" ca="1" si="375"/>
        <v>0</v>
      </c>
      <c r="BL893">
        <f ca="1">IF(ROW()&lt;($C$7+1),"",IFERROR((分析データ!E893-AVERAGE(OFFSET(分析データ!E$1,MAX(1,ROW()-$C$7),0,MIN($C$7,ROW()-1),1)))/STDEV(OFFSET(分析データ!E$1,MAX(1,ROW()-$C$7),0,MIN($C$7,ROW()-1),1)),0))</f>
        <v>-1.9020026499953204</v>
      </c>
      <c r="BM893">
        <f t="shared" ca="1" si="376"/>
        <v>0</v>
      </c>
      <c r="BN893" t="str">
        <f ca="1">IF(BM893=1,IF(INDEX(分析データ!$A:$A,ROW()+$C$5)&lt;&gt;"",40000*SIGN(BL893)*(分析データ!E893-INDEX(分析データ!E:E,ROW()+$C$5)),""),"")</f>
        <v/>
      </c>
      <c r="BO893">
        <f t="shared" ca="1" si="377"/>
        <v>2720000.0000000014</v>
      </c>
      <c r="BP893">
        <f t="shared" ca="1" si="378"/>
        <v>4280000.0000000028</v>
      </c>
      <c r="BQ893">
        <f t="shared" ca="1" si="379"/>
        <v>-1560000.0000000014</v>
      </c>
      <c r="BR893">
        <f ca="1">IF(ROW()&lt;($C$7+1),"",IFERROR((分析データ!F893-AVERAGE(OFFSET(分析データ!F$1,MAX(1,ROW()-$C$7),0,MIN($C$7,ROW()-1),1)))/STDEV(OFFSET(分析データ!F$1,MAX(1,ROW()-$C$7),0,MIN($C$7,ROW()-1),1)),0))</f>
        <v>-0.74955112927014589</v>
      </c>
      <c r="BS893">
        <f t="shared" ca="1" si="380"/>
        <v>0</v>
      </c>
      <c r="BT893" t="str">
        <f ca="1">IF(BS893=1,IF(INDEX(分析データ!$A:$A,ROW()+$C$5)&lt;&gt;"",40000*SIGN(BR893)*(分析データ!F893-INDEX(分析データ!F:F,ROW()+$C$5)),""),"")</f>
        <v/>
      </c>
      <c r="BU893">
        <f t="shared" ca="1" si="381"/>
        <v>19816800</v>
      </c>
      <c r="BV893">
        <f t="shared" ca="1" si="382"/>
        <v>19816800</v>
      </c>
      <c r="BW893">
        <f t="shared" ca="1" si="383"/>
        <v>0</v>
      </c>
      <c r="BX893">
        <f ca="1">IF(ROW()&lt;($C$7+1),"",IFERROR((分析データ!G893-AVERAGE(OFFSET(分析データ!G$1,MAX(1,ROW()-$C$7),0,MIN($C$7,ROW()-1),1)))/STDEV(OFFSET(分析データ!G$1,MAX(1,ROW()-$C$7),0,MIN($C$7,ROW()-1),1)),0))</f>
        <v>0.76654150525153397</v>
      </c>
      <c r="BY893">
        <f t="shared" ca="1" si="384"/>
        <v>0</v>
      </c>
      <c r="BZ893" t="str">
        <f ca="1">IF(BY893=1,IF(INDEX(分析データ!$A:$A,ROW()+$C$5)&lt;&gt;"",40000*SIGN(BX893)*(分析データ!G893-INDEX(分析データ!G:G,ROW()+$C$5)),""),"")</f>
        <v/>
      </c>
      <c r="CA893">
        <f t="shared" ca="1" si="385"/>
        <v>-3515452.8662109179</v>
      </c>
      <c r="CB893">
        <f t="shared" ca="1" si="386"/>
        <v>11327520.000000004</v>
      </c>
      <c r="CC893">
        <f t="shared" ca="1" si="387"/>
        <v>-14842972.866210923</v>
      </c>
      <c r="CD893">
        <f t="shared" ca="1" si="388"/>
        <v>0</v>
      </c>
      <c r="CE893">
        <f t="shared" ca="1" si="389"/>
        <v>23090347.13378913</v>
      </c>
      <c r="CF893">
        <f t="shared" ca="1" si="390"/>
        <v>23090347.13378913</v>
      </c>
      <c r="CG893">
        <f t="shared" ca="1" si="391"/>
        <v>0</v>
      </c>
      <c r="CH893" s="10">
        <f>分析データ!A893</f>
        <v>46231</v>
      </c>
    </row>
    <row r="894" spans="46:86">
      <c r="AT894">
        <f ca="1">IF(ROW()&lt;($C$7+1),"",IFERROR((分析データ!B894-AVERAGE(OFFSET(分析データ!B$1,MAX(1,ROW()-$C$7),0,MIN($C$7,ROW()-1),1)))/STDEV(OFFSET(分析データ!B$1,MAX(1,ROW()-$C$7),0,MIN($C$7,ROW()-1),1)),0))</f>
        <v>-0.48655782466201797</v>
      </c>
      <c r="AU894">
        <f t="shared" ca="1" si="364"/>
        <v>0</v>
      </c>
      <c r="AV894" t="str">
        <f ca="1">IF(AU894=1,IF(INDEX(分析データ!$A:$A,ROW()+$C$5)&lt;&gt;"",80000*SIGN(AT894)*(分析データ!B894-INDEX(分析データ!B:B,ROW()+$C$5)),""),"")</f>
        <v/>
      </c>
      <c r="AW894">
        <f t="shared" ca="1" si="365"/>
        <v>-1240000.0000000019</v>
      </c>
      <c r="AX894">
        <f t="shared" ca="1" si="366"/>
        <v>0</v>
      </c>
      <c r="AY894">
        <f t="shared" ca="1" si="367"/>
        <v>-1240000.0000000019</v>
      </c>
      <c r="AZ894">
        <f ca="1">IF(ROW()&lt;($C$7+1),"",IFERROR((分析データ!C894-AVERAGE(OFFSET(分析データ!C$1,MAX(1,ROW()-$C$7),0,MIN($C$7,ROW()-1),1)))/STDEV(OFFSET(分析データ!C$1,MAX(1,ROW()-$C$7),0,MIN($C$7,ROW()-1),1)),0))</f>
        <v>1.3692194714473864</v>
      </c>
      <c r="BA894">
        <f t="shared" ca="1" si="368"/>
        <v>0</v>
      </c>
      <c r="BB894" t="str">
        <f ca="1">IF(BA894=1,IF(INDEX(分析データ!$A:$A,ROW()+$C$5)&lt;&gt;"",60000*SIGN(AZ894)*(分析データ!C894-INDEX(分析データ!C:C,ROW()+$C$5)),""),"")</f>
        <v/>
      </c>
      <c r="BC894">
        <f t="shared" ca="1" si="369"/>
        <v>-260999.9999999851</v>
      </c>
      <c r="BD894">
        <f t="shared" ca="1" si="370"/>
        <v>3156000.0000000107</v>
      </c>
      <c r="BE894">
        <f t="shared" ca="1" si="371"/>
        <v>-3416999.9999999958</v>
      </c>
      <c r="BF894">
        <f ca="1">IF(ROW()&lt;($C$7+1),"",IFERROR((分析データ!D894-AVERAGE(OFFSET(分析データ!D$1,MAX(1,ROW()-$C$7),0,MIN($C$7,ROW()-1),1)))/STDEV(OFFSET(分析データ!D$1,MAX(1,ROW()-$C$7),0,MIN($C$7,ROW()-1),1)),0))</f>
        <v>-0.73023922615510939</v>
      </c>
      <c r="BG894">
        <f t="shared" ca="1" si="372"/>
        <v>0</v>
      </c>
      <c r="BH894" t="str">
        <f ca="1">IF(BG894=1,IF(INDEX(分析データ!$A:$A,ROW()+$C$5)&lt;&gt;"",50000*SIGN(BF894)*(分析データ!D894-INDEX(分析データ!D:D,ROW()+$C$5)),""),"")</f>
        <v/>
      </c>
      <c r="BI894">
        <f t="shared" ca="1" si="373"/>
        <v>5570000.0000000205</v>
      </c>
      <c r="BJ894">
        <f t="shared" ca="1" si="374"/>
        <v>5570000.0000000205</v>
      </c>
      <c r="BK894">
        <f t="shared" ca="1" si="375"/>
        <v>0</v>
      </c>
      <c r="BL894">
        <f ca="1">IF(ROW()&lt;($C$7+1),"",IFERROR((分析データ!E894-AVERAGE(OFFSET(分析データ!E$1,MAX(1,ROW()-$C$7),0,MIN($C$7,ROW()-1),1)))/STDEV(OFFSET(分析データ!E$1,MAX(1,ROW()-$C$7),0,MIN($C$7,ROW()-1),1)),0))</f>
        <v>-1.3305328925749305</v>
      </c>
      <c r="BM894">
        <f t="shared" ca="1" si="376"/>
        <v>0</v>
      </c>
      <c r="BN894" t="str">
        <f ca="1">IF(BM894=1,IF(INDEX(分析データ!$A:$A,ROW()+$C$5)&lt;&gt;"",40000*SIGN(BL894)*(分析データ!E894-INDEX(分析データ!E:E,ROW()+$C$5)),""),"")</f>
        <v/>
      </c>
      <c r="BO894">
        <f t="shared" ca="1" si="377"/>
        <v>2720000.0000000014</v>
      </c>
      <c r="BP894">
        <f t="shared" ca="1" si="378"/>
        <v>4280000.0000000028</v>
      </c>
      <c r="BQ894">
        <f t="shared" ca="1" si="379"/>
        <v>-1560000.0000000014</v>
      </c>
      <c r="BR894">
        <f ca="1">IF(ROW()&lt;($C$7+1),"",IFERROR((分析データ!F894-AVERAGE(OFFSET(分析データ!F$1,MAX(1,ROW()-$C$7),0,MIN($C$7,ROW()-1),1)))/STDEV(OFFSET(分析データ!F$1,MAX(1,ROW()-$C$7),0,MIN($C$7,ROW()-1),1)),0))</f>
        <v>-1.5401972052724657</v>
      </c>
      <c r="BS894">
        <f t="shared" ca="1" si="380"/>
        <v>0</v>
      </c>
      <c r="BT894" t="str">
        <f ca="1">IF(BS894=1,IF(INDEX(分析データ!$A:$A,ROW()+$C$5)&lt;&gt;"",40000*SIGN(BR894)*(分析データ!F894-INDEX(分析データ!F:F,ROW()+$C$5)),""),"")</f>
        <v/>
      </c>
      <c r="BU894">
        <f t="shared" ca="1" si="381"/>
        <v>19816800</v>
      </c>
      <c r="BV894">
        <f t="shared" ca="1" si="382"/>
        <v>19816800</v>
      </c>
      <c r="BW894">
        <f t="shared" ca="1" si="383"/>
        <v>0</v>
      </c>
      <c r="BX894">
        <f ca="1">IF(ROW()&lt;($C$7+1),"",IFERROR((分析データ!G894-AVERAGE(OFFSET(分析データ!G$1,MAX(1,ROW()-$C$7),0,MIN($C$7,ROW()-1),1)))/STDEV(OFFSET(分析データ!G$1,MAX(1,ROW()-$C$7),0,MIN($C$7,ROW()-1),1)),0))</f>
        <v>0.82861638443021879</v>
      </c>
      <c r="BY894">
        <f t="shared" ca="1" si="384"/>
        <v>0</v>
      </c>
      <c r="BZ894" t="str">
        <f ca="1">IF(BY894=1,IF(INDEX(分析データ!$A:$A,ROW()+$C$5)&lt;&gt;"",40000*SIGN(BX894)*(分析データ!G894-INDEX(分析データ!G:G,ROW()+$C$5)),""),"")</f>
        <v/>
      </c>
      <c r="CA894">
        <f t="shared" ca="1" si="385"/>
        <v>-3515452.8662109179</v>
      </c>
      <c r="CB894">
        <f t="shared" ca="1" si="386"/>
        <v>11327520.000000004</v>
      </c>
      <c r="CC894">
        <f t="shared" ca="1" si="387"/>
        <v>-14842972.866210923</v>
      </c>
      <c r="CD894">
        <f t="shared" ca="1" si="388"/>
        <v>0</v>
      </c>
      <c r="CE894">
        <f t="shared" ca="1" si="389"/>
        <v>23090347.13378913</v>
      </c>
      <c r="CF894">
        <f t="shared" ca="1" si="390"/>
        <v>23090347.13378913</v>
      </c>
      <c r="CG894">
        <f t="shared" ca="1" si="391"/>
        <v>0</v>
      </c>
      <c r="CH894" s="10">
        <f>分析データ!A894</f>
        <v>46232</v>
      </c>
    </row>
    <row r="895" spans="46:86">
      <c r="AT895">
        <f ca="1">IF(ROW()&lt;($C$7+1),"",IFERROR((分析データ!B895-AVERAGE(OFFSET(分析データ!B$1,MAX(1,ROW()-$C$7),0,MIN($C$7,ROW()-1),1)))/STDEV(OFFSET(分析データ!B$1,MAX(1,ROW()-$C$7),0,MIN($C$7,ROW()-1),1)),0))</f>
        <v>-0.48315386346996575</v>
      </c>
      <c r="AU895">
        <f t="shared" ca="1" si="364"/>
        <v>0</v>
      </c>
      <c r="AV895" t="str">
        <f ca="1">IF(AU895=1,IF(INDEX(分析データ!$A:$A,ROW()+$C$5)&lt;&gt;"",80000*SIGN(AT895)*(分析データ!B895-INDEX(分析データ!B:B,ROW()+$C$5)),""),"")</f>
        <v/>
      </c>
      <c r="AW895">
        <f t="shared" ca="1" si="365"/>
        <v>-1240000.0000000019</v>
      </c>
      <c r="AX895">
        <f t="shared" ca="1" si="366"/>
        <v>0</v>
      </c>
      <c r="AY895">
        <f t="shared" ca="1" si="367"/>
        <v>-1240000.0000000019</v>
      </c>
      <c r="AZ895">
        <f ca="1">IF(ROW()&lt;($C$7+1),"",IFERROR((分析データ!C895-AVERAGE(OFFSET(分析データ!C$1,MAX(1,ROW()-$C$7),0,MIN($C$7,ROW()-1),1)))/STDEV(OFFSET(分析データ!C$1,MAX(1,ROW()-$C$7),0,MIN($C$7,ROW()-1),1)),0))</f>
        <v>1.508568971823224</v>
      </c>
      <c r="BA895">
        <f t="shared" ca="1" si="368"/>
        <v>0</v>
      </c>
      <c r="BB895" t="str">
        <f ca="1">IF(BA895=1,IF(INDEX(分析データ!$A:$A,ROW()+$C$5)&lt;&gt;"",60000*SIGN(AZ895)*(分析データ!C895-INDEX(分析データ!C:C,ROW()+$C$5)),""),"")</f>
        <v/>
      </c>
      <c r="BC895">
        <f t="shared" ca="1" si="369"/>
        <v>-260999.9999999851</v>
      </c>
      <c r="BD895">
        <f t="shared" ca="1" si="370"/>
        <v>3156000.0000000107</v>
      </c>
      <c r="BE895">
        <f t="shared" ca="1" si="371"/>
        <v>-3416999.9999999958</v>
      </c>
      <c r="BF895">
        <f ca="1">IF(ROW()&lt;($C$7+1),"",IFERROR((分析データ!D895-AVERAGE(OFFSET(分析データ!D$1,MAX(1,ROW()-$C$7),0,MIN($C$7,ROW()-1),1)))/STDEV(OFFSET(分析データ!D$1,MAX(1,ROW()-$C$7),0,MIN($C$7,ROW()-1),1)),0))</f>
        <v>-0.83899858145040696</v>
      </c>
      <c r="BG895">
        <f t="shared" ca="1" si="372"/>
        <v>0</v>
      </c>
      <c r="BH895" t="str">
        <f ca="1">IF(BG895=1,IF(INDEX(分析データ!$A:$A,ROW()+$C$5)&lt;&gt;"",50000*SIGN(BF895)*(分析データ!D895-INDEX(分析データ!D:D,ROW()+$C$5)),""),"")</f>
        <v/>
      </c>
      <c r="BI895">
        <f t="shared" ca="1" si="373"/>
        <v>5570000.0000000205</v>
      </c>
      <c r="BJ895">
        <f t="shared" ca="1" si="374"/>
        <v>5570000.0000000205</v>
      </c>
      <c r="BK895">
        <f t="shared" ca="1" si="375"/>
        <v>0</v>
      </c>
      <c r="BL895">
        <f ca="1">IF(ROW()&lt;($C$7+1),"",IFERROR((分析データ!E895-AVERAGE(OFFSET(分析データ!E$1,MAX(1,ROW()-$C$7),0,MIN($C$7,ROW()-1),1)))/STDEV(OFFSET(分析データ!E$1,MAX(1,ROW()-$C$7),0,MIN($C$7,ROW()-1),1)),0))</f>
        <v>-1.319215231488456</v>
      </c>
      <c r="BM895">
        <f t="shared" ca="1" si="376"/>
        <v>0</v>
      </c>
      <c r="BN895" t="str">
        <f ca="1">IF(BM895=1,IF(INDEX(分析データ!$A:$A,ROW()+$C$5)&lt;&gt;"",40000*SIGN(BL895)*(分析データ!E895-INDEX(分析データ!E:E,ROW()+$C$5)),""),"")</f>
        <v/>
      </c>
      <c r="BO895">
        <f t="shared" ca="1" si="377"/>
        <v>2720000.0000000014</v>
      </c>
      <c r="BP895">
        <f t="shared" ca="1" si="378"/>
        <v>4280000.0000000028</v>
      </c>
      <c r="BQ895">
        <f t="shared" ca="1" si="379"/>
        <v>-1560000.0000000014</v>
      </c>
      <c r="BR895">
        <f ca="1">IF(ROW()&lt;($C$7+1),"",IFERROR((分析データ!F895-AVERAGE(OFFSET(分析データ!F$1,MAX(1,ROW()-$C$7),0,MIN($C$7,ROW()-1),1)))/STDEV(OFFSET(分析データ!F$1,MAX(1,ROW()-$C$7),0,MIN($C$7,ROW()-1),1)),0))</f>
        <v>-1.2014003262006305</v>
      </c>
      <c r="BS895">
        <f t="shared" ca="1" si="380"/>
        <v>0</v>
      </c>
      <c r="BT895" t="str">
        <f ca="1">IF(BS895=1,IF(INDEX(分析データ!$A:$A,ROW()+$C$5)&lt;&gt;"",40000*SIGN(BR895)*(分析データ!F895-INDEX(分析データ!F:F,ROW()+$C$5)),""),"")</f>
        <v/>
      </c>
      <c r="BU895">
        <f t="shared" ca="1" si="381"/>
        <v>19816800</v>
      </c>
      <c r="BV895">
        <f t="shared" ca="1" si="382"/>
        <v>19816800</v>
      </c>
      <c r="BW895">
        <f t="shared" ca="1" si="383"/>
        <v>0</v>
      </c>
      <c r="BX895">
        <f ca="1">IF(ROW()&lt;($C$7+1),"",IFERROR((分析データ!G895-AVERAGE(OFFSET(分析データ!G$1,MAX(1,ROW()-$C$7),0,MIN($C$7,ROW()-1),1)))/STDEV(OFFSET(分析データ!G$1,MAX(1,ROW()-$C$7),0,MIN($C$7,ROW()-1),1)),0))</f>
        <v>0.72729179215612672</v>
      </c>
      <c r="BY895">
        <f t="shared" ca="1" si="384"/>
        <v>0</v>
      </c>
      <c r="BZ895" t="str">
        <f ca="1">IF(BY895=1,IF(INDEX(分析データ!$A:$A,ROW()+$C$5)&lt;&gt;"",40000*SIGN(BX895)*(分析データ!G895-INDEX(分析データ!G:G,ROW()+$C$5)),""),"")</f>
        <v/>
      </c>
      <c r="CA895">
        <f t="shared" ca="1" si="385"/>
        <v>-3515452.8662109179</v>
      </c>
      <c r="CB895">
        <f t="shared" ca="1" si="386"/>
        <v>11327520.000000004</v>
      </c>
      <c r="CC895">
        <f t="shared" ca="1" si="387"/>
        <v>-14842972.866210923</v>
      </c>
      <c r="CD895">
        <f t="shared" ca="1" si="388"/>
        <v>0</v>
      </c>
      <c r="CE895">
        <f t="shared" ca="1" si="389"/>
        <v>23090347.13378913</v>
      </c>
      <c r="CF895">
        <f t="shared" ca="1" si="390"/>
        <v>23090347.13378913</v>
      </c>
      <c r="CG895">
        <f t="shared" ca="1" si="391"/>
        <v>0</v>
      </c>
      <c r="CH895" s="10">
        <f>分析データ!A895</f>
        <v>46233</v>
      </c>
    </row>
    <row r="896" spans="46:86">
      <c r="AT896">
        <f ca="1">IF(ROW()&lt;($C$7+1),"",IFERROR((分析データ!B896-AVERAGE(OFFSET(分析データ!B$1,MAX(1,ROW()-$C$7),0,MIN($C$7,ROW()-1),1)))/STDEV(OFFSET(分析データ!B$1,MAX(1,ROW()-$C$7),0,MIN($C$7,ROW()-1),1)),0))</f>
        <v>1.5140676837375191E-2</v>
      </c>
      <c r="AU896">
        <f t="shared" ca="1" si="364"/>
        <v>0</v>
      </c>
      <c r="AV896" t="str">
        <f ca="1">IF(AU896=1,IF(INDEX(分析データ!$A:$A,ROW()+$C$5)&lt;&gt;"",80000*SIGN(AT896)*(分析データ!B896-INDEX(分析データ!B:B,ROW()+$C$5)),""),"")</f>
        <v/>
      </c>
      <c r="AW896">
        <f t="shared" ca="1" si="365"/>
        <v>-1240000.0000000019</v>
      </c>
      <c r="AX896">
        <f t="shared" ca="1" si="366"/>
        <v>0</v>
      </c>
      <c r="AY896">
        <f t="shared" ca="1" si="367"/>
        <v>-1240000.0000000019</v>
      </c>
      <c r="AZ896">
        <f ca="1">IF(ROW()&lt;($C$7+1),"",IFERROR((分析データ!C896-AVERAGE(OFFSET(分析データ!C$1,MAX(1,ROW()-$C$7),0,MIN($C$7,ROW()-1),1)))/STDEV(OFFSET(分析データ!C$1,MAX(1,ROW()-$C$7),0,MIN($C$7,ROW()-1),1)),0))</f>
        <v>1.4306058758157609</v>
      </c>
      <c r="BA896">
        <f t="shared" ca="1" si="368"/>
        <v>0</v>
      </c>
      <c r="BB896" t="str">
        <f ca="1">IF(BA896=1,IF(INDEX(分析データ!$A:$A,ROW()+$C$5)&lt;&gt;"",60000*SIGN(AZ896)*(分析データ!C896-INDEX(分析データ!C:C,ROW()+$C$5)),""),"")</f>
        <v/>
      </c>
      <c r="BC896">
        <f t="shared" ca="1" si="369"/>
        <v>-260999.9999999851</v>
      </c>
      <c r="BD896">
        <f t="shared" ca="1" si="370"/>
        <v>3156000.0000000107</v>
      </c>
      <c r="BE896">
        <f t="shared" ca="1" si="371"/>
        <v>-3416999.9999999958</v>
      </c>
      <c r="BF896">
        <f ca="1">IF(ROW()&lt;($C$7+1),"",IFERROR((分析データ!D896-AVERAGE(OFFSET(分析データ!D$1,MAX(1,ROW()-$C$7),0,MIN($C$7,ROW()-1),1)))/STDEV(OFFSET(分析データ!D$1,MAX(1,ROW()-$C$7),0,MIN($C$7,ROW()-1),1)),0))</f>
        <v>-0.59792949276740159</v>
      </c>
      <c r="BG896">
        <f t="shared" ca="1" si="372"/>
        <v>0</v>
      </c>
      <c r="BH896" t="str">
        <f ca="1">IF(BG896=1,IF(INDEX(分析データ!$A:$A,ROW()+$C$5)&lt;&gt;"",50000*SIGN(BF896)*(分析データ!D896-INDEX(分析データ!D:D,ROW()+$C$5)),""),"")</f>
        <v/>
      </c>
      <c r="BI896">
        <f t="shared" ca="1" si="373"/>
        <v>5570000.0000000205</v>
      </c>
      <c r="BJ896">
        <f t="shared" ca="1" si="374"/>
        <v>5570000.0000000205</v>
      </c>
      <c r="BK896">
        <f t="shared" ca="1" si="375"/>
        <v>0</v>
      </c>
      <c r="BL896">
        <f ca="1">IF(ROW()&lt;($C$7+1),"",IFERROR((分析データ!E896-AVERAGE(OFFSET(分析データ!E$1,MAX(1,ROW()-$C$7),0,MIN($C$7,ROW()-1),1)))/STDEV(OFFSET(分析データ!E$1,MAX(1,ROW()-$C$7),0,MIN($C$7,ROW()-1),1)),0))</f>
        <v>-1.3080221923606841</v>
      </c>
      <c r="BM896">
        <f t="shared" ca="1" si="376"/>
        <v>0</v>
      </c>
      <c r="BN896" t="str">
        <f ca="1">IF(BM896=1,IF(INDEX(分析データ!$A:$A,ROW()+$C$5)&lt;&gt;"",40000*SIGN(BL896)*(分析データ!E896-INDEX(分析データ!E:E,ROW()+$C$5)),""),"")</f>
        <v/>
      </c>
      <c r="BO896">
        <f t="shared" ca="1" si="377"/>
        <v>2720000.0000000014</v>
      </c>
      <c r="BP896">
        <f t="shared" ca="1" si="378"/>
        <v>4280000.0000000028</v>
      </c>
      <c r="BQ896">
        <f t="shared" ca="1" si="379"/>
        <v>-1560000.0000000014</v>
      </c>
      <c r="BR896">
        <f ca="1">IF(ROW()&lt;($C$7+1),"",IFERROR((分析データ!F896-AVERAGE(OFFSET(分析データ!F$1,MAX(1,ROW()-$C$7),0,MIN($C$7,ROW()-1),1)))/STDEV(OFFSET(分析データ!F$1,MAX(1,ROW()-$C$7),0,MIN($C$7,ROW()-1),1)),0))</f>
        <v>-1.6887797606357973</v>
      </c>
      <c r="BS896">
        <f t="shared" ca="1" si="380"/>
        <v>0</v>
      </c>
      <c r="BT896" t="str">
        <f ca="1">IF(BS896=1,IF(INDEX(分析データ!$A:$A,ROW()+$C$5)&lt;&gt;"",40000*SIGN(BR896)*(分析データ!F896-INDEX(分析データ!F:F,ROW()+$C$5)),""),"")</f>
        <v/>
      </c>
      <c r="BU896">
        <f t="shared" ca="1" si="381"/>
        <v>19816800</v>
      </c>
      <c r="BV896">
        <f t="shared" ca="1" si="382"/>
        <v>19816800</v>
      </c>
      <c r="BW896">
        <f t="shared" ca="1" si="383"/>
        <v>0</v>
      </c>
      <c r="BX896">
        <f ca="1">IF(ROW()&lt;($C$7+1),"",IFERROR((分析データ!G896-AVERAGE(OFFSET(分析データ!G$1,MAX(1,ROW()-$C$7),0,MIN($C$7,ROW()-1),1)))/STDEV(OFFSET(分析データ!G$1,MAX(1,ROW()-$C$7),0,MIN($C$7,ROW()-1),1)),0))</f>
        <v>0.68600575217597148</v>
      </c>
      <c r="BY896">
        <f t="shared" ca="1" si="384"/>
        <v>0</v>
      </c>
      <c r="BZ896" t="str">
        <f ca="1">IF(BY896=1,IF(INDEX(分析データ!$A:$A,ROW()+$C$5)&lt;&gt;"",40000*SIGN(BX896)*(分析データ!G896-INDEX(分析データ!G:G,ROW()+$C$5)),""),"")</f>
        <v/>
      </c>
      <c r="CA896">
        <f t="shared" ca="1" si="385"/>
        <v>-3515452.8662109179</v>
      </c>
      <c r="CB896">
        <f t="shared" ca="1" si="386"/>
        <v>11327520.000000004</v>
      </c>
      <c r="CC896">
        <f t="shared" ca="1" si="387"/>
        <v>-14842972.866210923</v>
      </c>
      <c r="CD896">
        <f t="shared" ca="1" si="388"/>
        <v>0</v>
      </c>
      <c r="CE896">
        <f t="shared" ca="1" si="389"/>
        <v>23090347.13378913</v>
      </c>
      <c r="CF896">
        <f t="shared" ca="1" si="390"/>
        <v>23090347.13378913</v>
      </c>
      <c r="CG896">
        <f t="shared" ca="1" si="391"/>
        <v>0</v>
      </c>
      <c r="CH896" s="10">
        <f>分析データ!A896</f>
        <v>46234</v>
      </c>
    </row>
    <row r="897" spans="46:86">
      <c r="AT897">
        <f ca="1">IF(ROW()&lt;($C$7+1),"",IFERROR((分析データ!B897-AVERAGE(OFFSET(分析データ!B$1,MAX(1,ROW()-$C$7),0,MIN($C$7,ROW()-1),1)))/STDEV(OFFSET(分析データ!B$1,MAX(1,ROW()-$C$7),0,MIN($C$7,ROW()-1),1)),0))</f>
        <v>-0.48174139653567016</v>
      </c>
      <c r="AU897">
        <f t="shared" ca="1" si="364"/>
        <v>0</v>
      </c>
      <c r="AV897" t="str">
        <f ca="1">IF(AU897=1,IF(INDEX(分析データ!$A:$A,ROW()+$C$5)&lt;&gt;"",80000*SIGN(AT897)*(分析データ!B897-INDEX(分析データ!B:B,ROW()+$C$5)),""),"")</f>
        <v/>
      </c>
      <c r="AW897">
        <f t="shared" ca="1" si="365"/>
        <v>-1240000.0000000019</v>
      </c>
      <c r="AX897">
        <f t="shared" ca="1" si="366"/>
        <v>0</v>
      </c>
      <c r="AY897">
        <f t="shared" ca="1" si="367"/>
        <v>-1240000.0000000019</v>
      </c>
      <c r="AZ897">
        <f ca="1">IF(ROW()&lt;($C$7+1),"",IFERROR((分析データ!C897-AVERAGE(OFFSET(分析データ!C$1,MAX(1,ROW()-$C$7),0,MIN($C$7,ROW()-1),1)))/STDEV(OFFSET(分析データ!C$1,MAX(1,ROW()-$C$7),0,MIN($C$7,ROW()-1),1)),0))</f>
        <v>1.4183881874475435</v>
      </c>
      <c r="BA897">
        <f t="shared" ca="1" si="368"/>
        <v>0</v>
      </c>
      <c r="BB897" t="str">
        <f ca="1">IF(BA897=1,IF(INDEX(分析データ!$A:$A,ROW()+$C$5)&lt;&gt;"",60000*SIGN(AZ897)*(分析データ!C897-INDEX(分析データ!C:C,ROW()+$C$5)),""),"")</f>
        <v/>
      </c>
      <c r="BC897">
        <f t="shared" ca="1" si="369"/>
        <v>-260999.9999999851</v>
      </c>
      <c r="BD897">
        <f t="shared" ca="1" si="370"/>
        <v>3156000.0000000107</v>
      </c>
      <c r="BE897">
        <f t="shared" ca="1" si="371"/>
        <v>-3416999.9999999958</v>
      </c>
      <c r="BF897">
        <f ca="1">IF(ROW()&lt;($C$7+1),"",IFERROR((分析データ!D897-AVERAGE(OFFSET(分析データ!D$1,MAX(1,ROW()-$C$7),0,MIN($C$7,ROW()-1),1)))/STDEV(OFFSET(分析データ!D$1,MAX(1,ROW()-$C$7),0,MIN($C$7,ROW()-1),1)),0))</f>
        <v>-0.76268234964906589</v>
      </c>
      <c r="BG897">
        <f t="shared" ca="1" si="372"/>
        <v>0</v>
      </c>
      <c r="BH897" t="str">
        <f ca="1">IF(BG897=1,IF(INDEX(分析データ!$A:$A,ROW()+$C$5)&lt;&gt;"",50000*SIGN(BF897)*(分析データ!D897-INDEX(分析データ!D:D,ROW()+$C$5)),""),"")</f>
        <v/>
      </c>
      <c r="BI897">
        <f t="shared" ca="1" si="373"/>
        <v>5570000.0000000205</v>
      </c>
      <c r="BJ897">
        <f t="shared" ca="1" si="374"/>
        <v>5570000.0000000205</v>
      </c>
      <c r="BK897">
        <f t="shared" ca="1" si="375"/>
        <v>0</v>
      </c>
      <c r="BL897">
        <f ca="1">IF(ROW()&lt;($C$7+1),"",IFERROR((分析データ!E897-AVERAGE(OFFSET(分析データ!E$1,MAX(1,ROW()-$C$7),0,MIN($C$7,ROW()-1),1)))/STDEV(OFFSET(分析データ!E$1,MAX(1,ROW()-$C$7),0,MIN($C$7,ROW()-1),1)),0))</f>
        <v>-1.2973506987630368</v>
      </c>
      <c r="BM897">
        <f t="shared" ca="1" si="376"/>
        <v>0</v>
      </c>
      <c r="BN897" t="str">
        <f ca="1">IF(BM897=1,IF(INDEX(分析データ!$A:$A,ROW()+$C$5)&lt;&gt;"",40000*SIGN(BL897)*(分析データ!E897-INDEX(分析データ!E:E,ROW()+$C$5)),""),"")</f>
        <v/>
      </c>
      <c r="BO897">
        <f t="shared" ca="1" si="377"/>
        <v>2720000.0000000014</v>
      </c>
      <c r="BP897">
        <f t="shared" ca="1" si="378"/>
        <v>4280000.0000000028</v>
      </c>
      <c r="BQ897">
        <f t="shared" ca="1" si="379"/>
        <v>-1560000.0000000014</v>
      </c>
      <c r="BR897">
        <f ca="1">IF(ROW()&lt;($C$7+1),"",IFERROR((分析データ!F897-AVERAGE(OFFSET(分析データ!F$1,MAX(1,ROW()-$C$7),0,MIN($C$7,ROW()-1),1)))/STDEV(OFFSET(分析データ!F$1,MAX(1,ROW()-$C$7),0,MIN($C$7,ROW()-1),1)),0))</f>
        <v>-0.90221007450613011</v>
      </c>
      <c r="BS897">
        <f t="shared" ca="1" si="380"/>
        <v>0</v>
      </c>
      <c r="BT897" t="str">
        <f ca="1">IF(BS897=1,IF(INDEX(分析データ!$A:$A,ROW()+$C$5)&lt;&gt;"",40000*SIGN(BR897)*(分析データ!F897-INDEX(分析データ!F:F,ROW()+$C$5)),""),"")</f>
        <v/>
      </c>
      <c r="BU897">
        <f t="shared" ca="1" si="381"/>
        <v>19816800</v>
      </c>
      <c r="BV897">
        <f t="shared" ca="1" si="382"/>
        <v>19816800</v>
      </c>
      <c r="BW897">
        <f t="shared" ca="1" si="383"/>
        <v>0</v>
      </c>
      <c r="BX897">
        <f ca="1">IF(ROW()&lt;($C$7+1),"",IFERROR((分析データ!G897-AVERAGE(OFFSET(分析データ!G$1,MAX(1,ROW()-$C$7),0,MIN($C$7,ROW()-1),1)))/STDEV(OFFSET(分析データ!G$1,MAX(1,ROW()-$C$7),0,MIN($C$7,ROW()-1),1)),0))</f>
        <v>0.6648766273600869</v>
      </c>
      <c r="BY897">
        <f t="shared" ca="1" si="384"/>
        <v>0</v>
      </c>
      <c r="BZ897" t="str">
        <f ca="1">IF(BY897=1,IF(INDEX(分析データ!$A:$A,ROW()+$C$5)&lt;&gt;"",40000*SIGN(BX897)*(分析データ!G897-INDEX(分析データ!G:G,ROW()+$C$5)),""),"")</f>
        <v/>
      </c>
      <c r="CA897">
        <f t="shared" ca="1" si="385"/>
        <v>-3515452.8662109179</v>
      </c>
      <c r="CB897">
        <f t="shared" ca="1" si="386"/>
        <v>11327520.000000004</v>
      </c>
      <c r="CC897">
        <f t="shared" ca="1" si="387"/>
        <v>-14842972.866210923</v>
      </c>
      <c r="CD897">
        <f t="shared" ca="1" si="388"/>
        <v>0</v>
      </c>
      <c r="CE897">
        <f t="shared" ca="1" si="389"/>
        <v>23090347.13378913</v>
      </c>
      <c r="CF897">
        <f t="shared" ca="1" si="390"/>
        <v>23090347.13378913</v>
      </c>
      <c r="CG897">
        <f t="shared" ca="1" si="391"/>
        <v>0</v>
      </c>
      <c r="CH897" s="10">
        <f>分析データ!A897</f>
        <v>46237</v>
      </c>
    </row>
    <row r="898" spans="46:86">
      <c r="AT898">
        <f ca="1">IF(ROW()&lt;($C$7+1),"",IFERROR((分析データ!B898-AVERAGE(OFFSET(分析データ!B$1,MAX(1,ROW()-$C$7),0,MIN($C$7,ROW()-1),1)))/STDEV(OFFSET(分析データ!B$1,MAX(1,ROW()-$C$7),0,MIN($C$7,ROW()-1),1)),0))</f>
        <v>-1.1411251530610389</v>
      </c>
      <c r="AU898">
        <f t="shared" ref="AU898:AU961" ca="1" si="392">IF(ISNUMBER(AT898),IF(ABS(AT898)&gt;=$C$6,1,0),0)</f>
        <v>0</v>
      </c>
      <c r="AV898" t="str">
        <f ca="1">IF(AU898=1,IF(INDEX(分析データ!$A:$A,ROW()+$C$5)&lt;&gt;"",80000*SIGN(AT898)*(分析データ!B898-INDEX(分析データ!B:B,ROW()+$C$5)),""),"")</f>
        <v/>
      </c>
      <c r="AW898">
        <f t="shared" ref="AW898:AW961" ca="1" si="393">AW897+IF(AND(AU898=1,ISNUMBER(AV898)),AV898,0)</f>
        <v>-1240000.0000000019</v>
      </c>
      <c r="AX898">
        <f t="shared" ref="AX898:AX961" ca="1" si="394">MAX(AX897,AW898)</f>
        <v>0</v>
      </c>
      <c r="AY898">
        <f t="shared" ref="AY898:AY961" ca="1" si="395">AW898-AX898</f>
        <v>-1240000.0000000019</v>
      </c>
      <c r="AZ898">
        <f ca="1">IF(ROW()&lt;($C$7+1),"",IFERROR((分析データ!C898-AVERAGE(OFFSET(分析データ!C$1,MAX(1,ROW()-$C$7),0,MIN($C$7,ROW()-1),1)))/STDEV(OFFSET(分析データ!C$1,MAX(1,ROW()-$C$7),0,MIN($C$7,ROW()-1),1)),0))</f>
        <v>1.406515043404307</v>
      </c>
      <c r="BA898">
        <f t="shared" ref="BA898:BA961" ca="1" si="396">IF(ISNUMBER(AZ898),IF(ABS(AZ898)&gt;=$C$6,1,0),0)</f>
        <v>0</v>
      </c>
      <c r="BB898" t="str">
        <f ca="1">IF(BA898=1,IF(INDEX(分析データ!$A:$A,ROW()+$C$5)&lt;&gt;"",60000*SIGN(AZ898)*(分析データ!C898-INDEX(分析データ!C:C,ROW()+$C$5)),""),"")</f>
        <v/>
      </c>
      <c r="BC898">
        <f t="shared" ref="BC898:BC961" ca="1" si="397">BC897+IF(AND(BA898=1,ISNUMBER(BB898)),BB898,0)</f>
        <v>-260999.9999999851</v>
      </c>
      <c r="BD898">
        <f t="shared" ref="BD898:BD961" ca="1" si="398">MAX(BD897,BC898)</f>
        <v>3156000.0000000107</v>
      </c>
      <c r="BE898">
        <f t="shared" ref="BE898:BE961" ca="1" si="399">BC898-BD898</f>
        <v>-3416999.9999999958</v>
      </c>
      <c r="BF898">
        <f ca="1">IF(ROW()&lt;($C$7+1),"",IFERROR((分析データ!D898-AVERAGE(OFFSET(分析データ!D$1,MAX(1,ROW()-$C$7),0,MIN($C$7,ROW()-1),1)))/STDEV(OFFSET(分析データ!D$1,MAX(1,ROW()-$C$7),0,MIN($C$7,ROW()-1),1)),0))</f>
        <v>-0.9983112038903037</v>
      </c>
      <c r="BG898">
        <f t="shared" ref="BG898:BG961" ca="1" si="400">IF(ISNUMBER(BF898),IF(ABS(BF898)&gt;=$C$6,1,0),0)</f>
        <v>0</v>
      </c>
      <c r="BH898" t="str">
        <f ca="1">IF(BG898=1,IF(INDEX(分析データ!$A:$A,ROW()+$C$5)&lt;&gt;"",50000*SIGN(BF898)*(分析データ!D898-INDEX(分析データ!D:D,ROW()+$C$5)),""),"")</f>
        <v/>
      </c>
      <c r="BI898">
        <f t="shared" ref="BI898:BI961" ca="1" si="401">BI897+IF(AND(BG898=1,ISNUMBER(BH898)),BH898,0)</f>
        <v>5570000.0000000205</v>
      </c>
      <c r="BJ898">
        <f t="shared" ref="BJ898:BJ961" ca="1" si="402">MAX(BJ897,BI898)</f>
        <v>5570000.0000000205</v>
      </c>
      <c r="BK898">
        <f t="shared" ref="BK898:BK961" ca="1" si="403">BI898-BJ898</f>
        <v>0</v>
      </c>
      <c r="BL898">
        <f ca="1">IF(ROW()&lt;($C$7+1),"",IFERROR((分析データ!E898-AVERAGE(OFFSET(分析データ!E$1,MAX(1,ROW()-$C$7),0,MIN($C$7,ROW()-1),1)))/STDEV(OFFSET(分析データ!E$1,MAX(1,ROW()-$C$7),0,MIN($C$7,ROW()-1),1)),0))</f>
        <v>-1.2871482006083126</v>
      </c>
      <c r="BM898">
        <f t="shared" ref="BM898:BM961" ca="1" si="404">IF(ISNUMBER(BL898),IF(ABS(BL898)&gt;=$C$6,1,0),0)</f>
        <v>0</v>
      </c>
      <c r="BN898" t="str">
        <f ca="1">IF(BM898=1,IF(INDEX(分析データ!$A:$A,ROW()+$C$5)&lt;&gt;"",40000*SIGN(BL898)*(分析データ!E898-INDEX(分析データ!E:E,ROW()+$C$5)),""),"")</f>
        <v/>
      </c>
      <c r="BO898">
        <f t="shared" ref="BO898:BO961" ca="1" si="405">BO897+IF(AND(BM898=1,ISNUMBER(BN898)),BN898,0)</f>
        <v>2720000.0000000014</v>
      </c>
      <c r="BP898">
        <f t="shared" ref="BP898:BP961" ca="1" si="406">MAX(BP897,BO898)</f>
        <v>4280000.0000000028</v>
      </c>
      <c r="BQ898">
        <f t="shared" ref="BQ898:BQ961" ca="1" si="407">BO898-BP898</f>
        <v>-1560000.0000000014</v>
      </c>
      <c r="BR898">
        <f ca="1">IF(ROW()&lt;($C$7+1),"",IFERROR((分析データ!F898-AVERAGE(OFFSET(分析データ!F$1,MAX(1,ROW()-$C$7),0,MIN($C$7,ROW()-1),1)))/STDEV(OFFSET(分析データ!F$1,MAX(1,ROW()-$C$7),0,MIN($C$7,ROW()-1),1)),0))</f>
        <v>-1.0620844113156049</v>
      </c>
      <c r="BS898">
        <f t="shared" ref="BS898:BS961" ca="1" si="408">IF(ISNUMBER(BR898),IF(ABS(BR898)&gt;=$C$6,1,0),0)</f>
        <v>0</v>
      </c>
      <c r="BT898" t="str">
        <f ca="1">IF(BS898=1,IF(INDEX(分析データ!$A:$A,ROW()+$C$5)&lt;&gt;"",40000*SIGN(BR898)*(分析データ!F898-INDEX(分析データ!F:F,ROW()+$C$5)),""),"")</f>
        <v/>
      </c>
      <c r="BU898">
        <f t="shared" ref="BU898:BU961" ca="1" si="409">BU897+IF(AND(BS898=1,ISNUMBER(BT898)),BT898,0)</f>
        <v>19816800</v>
      </c>
      <c r="BV898">
        <f t="shared" ref="BV898:BV961" ca="1" si="410">MAX(BV897,BU898)</f>
        <v>19816800</v>
      </c>
      <c r="BW898">
        <f t="shared" ref="BW898:BW961" ca="1" si="411">BU898-BV898</f>
        <v>0</v>
      </c>
      <c r="BX898">
        <f ca="1">IF(ROW()&lt;($C$7+1),"",IFERROR((分析データ!G898-AVERAGE(OFFSET(分析データ!G$1,MAX(1,ROW()-$C$7),0,MIN($C$7,ROW()-1),1)))/STDEV(OFFSET(分析データ!G$1,MAX(1,ROW()-$C$7),0,MIN($C$7,ROW()-1),1)),0))</f>
        <v>0.9704488818572653</v>
      </c>
      <c r="BY898">
        <f t="shared" ref="BY898:BY961" ca="1" si="412">IF(ISNUMBER(BX898),IF(ABS(BX898)&gt;=$C$6,1,0),0)</f>
        <v>0</v>
      </c>
      <c r="BZ898" t="str">
        <f ca="1">IF(BY898=1,IF(INDEX(分析データ!$A:$A,ROW()+$C$5)&lt;&gt;"",40000*SIGN(BX898)*(分析データ!G898-INDEX(分析データ!G:G,ROW()+$C$5)),""),"")</f>
        <v/>
      </c>
      <c r="CA898">
        <f t="shared" ref="CA898:CA961" ca="1" si="413">CA897+IF(AND(BY898=1,ISNUMBER(BZ898)),BZ898,0)</f>
        <v>-3515452.8662109179</v>
      </c>
      <c r="CB898">
        <f t="shared" ref="CB898:CB961" ca="1" si="414">MAX(CB897,CA898)</f>
        <v>11327520.000000004</v>
      </c>
      <c r="CC898">
        <f t="shared" ref="CC898:CC961" ca="1" si="415">CA898-CB898</f>
        <v>-14842972.866210923</v>
      </c>
      <c r="CD898">
        <f t="shared" ref="CD898:CD961" ca="1" si="416">N(AV898)+N(BB898)+N(BH898)+N(BN898)+N(BT898)+N(BZ898)</f>
        <v>0</v>
      </c>
      <c r="CE898">
        <f t="shared" ref="CE898:CE961" ca="1" si="417">CE897+CD898</f>
        <v>23090347.13378913</v>
      </c>
      <c r="CF898">
        <f t="shared" ref="CF898:CF961" ca="1" si="418">MAX(CF897,CE898)</f>
        <v>23090347.13378913</v>
      </c>
      <c r="CG898">
        <f t="shared" ref="CG898:CG961" ca="1" si="419">CE898-CF898</f>
        <v>0</v>
      </c>
      <c r="CH898" s="10">
        <f>分析データ!A898</f>
        <v>46238</v>
      </c>
    </row>
    <row r="899" spans="46:86">
      <c r="AT899">
        <f ca="1">IF(ROW()&lt;($C$7+1),"",IFERROR((分析データ!B899-AVERAGE(OFFSET(分析データ!B$1,MAX(1,ROW()-$C$7),0,MIN($C$7,ROW()-1),1)))/STDEV(OFFSET(分析データ!B$1,MAX(1,ROW()-$C$7),0,MIN($C$7,ROW()-1),1)),0))</f>
        <v>-0.64070131857315504</v>
      </c>
      <c r="AU899">
        <f t="shared" ca="1" si="392"/>
        <v>0</v>
      </c>
      <c r="AV899" t="str">
        <f ca="1">IF(AU899=1,IF(INDEX(分析データ!$A:$A,ROW()+$C$5)&lt;&gt;"",80000*SIGN(AT899)*(分析データ!B899-INDEX(分析データ!B:B,ROW()+$C$5)),""),"")</f>
        <v/>
      </c>
      <c r="AW899">
        <f t="shared" ca="1" si="393"/>
        <v>-1240000.0000000019</v>
      </c>
      <c r="AX899">
        <f t="shared" ca="1" si="394"/>
        <v>0</v>
      </c>
      <c r="AY899">
        <f t="shared" ca="1" si="395"/>
        <v>-1240000.0000000019</v>
      </c>
      <c r="AZ899">
        <f ca="1">IF(ROW()&lt;($C$7+1),"",IFERROR((分析データ!C899-AVERAGE(OFFSET(分析データ!C$1,MAX(1,ROW()-$C$7),0,MIN($C$7,ROW()-1),1)))/STDEV(OFFSET(分析データ!C$1,MAX(1,ROW()-$C$7),0,MIN($C$7,ROW()-1),1)),0))</f>
        <v>1.3947929900506157</v>
      </c>
      <c r="BA899">
        <f t="shared" ca="1" si="396"/>
        <v>0</v>
      </c>
      <c r="BB899" t="str">
        <f ca="1">IF(BA899=1,IF(INDEX(分析データ!$A:$A,ROW()+$C$5)&lt;&gt;"",60000*SIGN(AZ899)*(分析データ!C899-INDEX(分析データ!C:C,ROW()+$C$5)),""),"")</f>
        <v/>
      </c>
      <c r="BC899">
        <f t="shared" ca="1" si="397"/>
        <v>-260999.9999999851</v>
      </c>
      <c r="BD899">
        <f t="shared" ca="1" si="398"/>
        <v>3156000.0000000107</v>
      </c>
      <c r="BE899">
        <f t="shared" ca="1" si="399"/>
        <v>-3416999.9999999958</v>
      </c>
      <c r="BF899">
        <f ca="1">IF(ROW()&lt;($C$7+1),"",IFERROR((分析データ!D899-AVERAGE(OFFSET(分析データ!D$1,MAX(1,ROW()-$C$7),0,MIN($C$7,ROW()-1),1)))/STDEV(OFFSET(分析データ!D$1,MAX(1,ROW()-$C$7),0,MIN($C$7,ROW()-1),1)),0))</f>
        <v>-0.99208741326844729</v>
      </c>
      <c r="BG899">
        <f t="shared" ca="1" si="400"/>
        <v>0</v>
      </c>
      <c r="BH899" t="str">
        <f ca="1">IF(BG899=1,IF(INDEX(分析データ!$A:$A,ROW()+$C$5)&lt;&gt;"",50000*SIGN(BF899)*(分析データ!D899-INDEX(分析データ!D:D,ROW()+$C$5)),""),"")</f>
        <v/>
      </c>
      <c r="BI899">
        <f t="shared" ca="1" si="401"/>
        <v>5570000.0000000205</v>
      </c>
      <c r="BJ899">
        <f t="shared" ca="1" si="402"/>
        <v>5570000.0000000205</v>
      </c>
      <c r="BK899">
        <f t="shared" ca="1" si="403"/>
        <v>0</v>
      </c>
      <c r="BL899">
        <f ca="1">IF(ROW()&lt;($C$7+1),"",IFERROR((分析データ!E899-AVERAGE(OFFSET(分析データ!E$1,MAX(1,ROW()-$C$7),0,MIN($C$7,ROW()-1),1)))/STDEV(OFFSET(分析データ!E$1,MAX(1,ROW()-$C$7),0,MIN($C$7,ROW()-1),1)),0))</f>
        <v>-1.2763823968913406</v>
      </c>
      <c r="BM899">
        <f t="shared" ca="1" si="404"/>
        <v>0</v>
      </c>
      <c r="BN899" t="str">
        <f ca="1">IF(BM899=1,IF(INDEX(分析データ!$A:$A,ROW()+$C$5)&lt;&gt;"",40000*SIGN(BL899)*(分析データ!E899-INDEX(分析データ!E:E,ROW()+$C$5)),""),"")</f>
        <v/>
      </c>
      <c r="BO899">
        <f t="shared" ca="1" si="405"/>
        <v>2720000.0000000014</v>
      </c>
      <c r="BP899">
        <f t="shared" ca="1" si="406"/>
        <v>4280000.0000000028</v>
      </c>
      <c r="BQ899">
        <f t="shared" ca="1" si="407"/>
        <v>-1560000.0000000014</v>
      </c>
      <c r="BR899">
        <f ca="1">IF(ROW()&lt;($C$7+1),"",IFERROR((分析データ!F899-AVERAGE(OFFSET(分析データ!F$1,MAX(1,ROW()-$C$7),0,MIN($C$7,ROW()-1),1)))/STDEV(OFFSET(分析データ!F$1,MAX(1,ROW()-$C$7),0,MIN($C$7,ROW()-1),1)),0))</f>
        <v>-1.3455548251450569</v>
      </c>
      <c r="BS899">
        <f t="shared" ca="1" si="408"/>
        <v>0</v>
      </c>
      <c r="BT899" t="str">
        <f ca="1">IF(BS899=1,IF(INDEX(分析データ!$A:$A,ROW()+$C$5)&lt;&gt;"",40000*SIGN(BR899)*(分析データ!F899-INDEX(分析データ!F:F,ROW()+$C$5)),""),"")</f>
        <v/>
      </c>
      <c r="BU899">
        <f t="shared" ca="1" si="409"/>
        <v>19816800</v>
      </c>
      <c r="BV899">
        <f t="shared" ca="1" si="410"/>
        <v>19816800</v>
      </c>
      <c r="BW899">
        <f t="shared" ca="1" si="411"/>
        <v>0</v>
      </c>
      <c r="BX899">
        <f ca="1">IF(ROW()&lt;($C$7+1),"",IFERROR((分析データ!G899-AVERAGE(OFFSET(分析データ!G$1,MAX(1,ROW()-$C$7),0,MIN($C$7,ROW()-1),1)))/STDEV(OFFSET(分析データ!G$1,MAX(1,ROW()-$C$7),0,MIN($C$7,ROW()-1),1)),0))</f>
        <v>1.0173089306358882</v>
      </c>
      <c r="BY899">
        <f t="shared" ca="1" si="412"/>
        <v>0</v>
      </c>
      <c r="BZ899" t="str">
        <f ca="1">IF(BY899=1,IF(INDEX(分析データ!$A:$A,ROW()+$C$5)&lt;&gt;"",40000*SIGN(BX899)*(分析データ!G899-INDEX(分析データ!G:G,ROW()+$C$5)),""),"")</f>
        <v/>
      </c>
      <c r="CA899">
        <f t="shared" ca="1" si="413"/>
        <v>-3515452.8662109179</v>
      </c>
      <c r="CB899">
        <f t="shared" ca="1" si="414"/>
        <v>11327520.000000004</v>
      </c>
      <c r="CC899">
        <f t="shared" ca="1" si="415"/>
        <v>-14842972.866210923</v>
      </c>
      <c r="CD899">
        <f t="shared" ca="1" si="416"/>
        <v>0</v>
      </c>
      <c r="CE899">
        <f t="shared" ca="1" si="417"/>
        <v>23090347.13378913</v>
      </c>
      <c r="CF899">
        <f t="shared" ca="1" si="418"/>
        <v>23090347.13378913</v>
      </c>
      <c r="CG899">
        <f t="shared" ca="1" si="419"/>
        <v>0</v>
      </c>
      <c r="CH899" s="10">
        <f>分析データ!A899</f>
        <v>46239</v>
      </c>
    </row>
    <row r="900" spans="46:86">
      <c r="AT900">
        <f ca="1">IF(ROW()&lt;($C$7+1),"",IFERROR((分析データ!B900-AVERAGE(OFFSET(分析データ!B$1,MAX(1,ROW()-$C$7),0,MIN($C$7,ROW()-1),1)))/STDEV(OFFSET(分析データ!B$1,MAX(1,ROW()-$C$7),0,MIN($C$7,ROW()-1),1)),0))</f>
        <v>-0.63755712469527848</v>
      </c>
      <c r="AU900">
        <f t="shared" ca="1" si="392"/>
        <v>0</v>
      </c>
      <c r="AV900" t="str">
        <f ca="1">IF(AU900=1,IF(INDEX(分析データ!$A:$A,ROW()+$C$5)&lt;&gt;"",80000*SIGN(AT900)*(分析データ!B900-INDEX(分析データ!B:B,ROW()+$C$5)),""),"")</f>
        <v/>
      </c>
      <c r="AW900">
        <f t="shared" ca="1" si="393"/>
        <v>-1240000.0000000019</v>
      </c>
      <c r="AX900">
        <f t="shared" ca="1" si="394"/>
        <v>0</v>
      </c>
      <c r="AY900">
        <f t="shared" ca="1" si="395"/>
        <v>-1240000.0000000019</v>
      </c>
      <c r="AZ900">
        <f ca="1">IF(ROW()&lt;($C$7+1),"",IFERROR((分析データ!C900-AVERAGE(OFFSET(分析データ!C$1,MAX(1,ROW()-$C$7),0,MIN($C$7,ROW()-1),1)))/STDEV(OFFSET(分析データ!C$1,MAX(1,ROW()-$C$7),0,MIN($C$7,ROW()-1),1)),0))</f>
        <v>1.383627001555678</v>
      </c>
      <c r="BA900">
        <f t="shared" ca="1" si="396"/>
        <v>0</v>
      </c>
      <c r="BB900" t="str">
        <f ca="1">IF(BA900=1,IF(INDEX(分析データ!$A:$A,ROW()+$C$5)&lt;&gt;"",60000*SIGN(AZ900)*(分析データ!C900-INDEX(分析データ!C:C,ROW()+$C$5)),""),"")</f>
        <v/>
      </c>
      <c r="BC900">
        <f t="shared" ca="1" si="397"/>
        <v>-260999.9999999851</v>
      </c>
      <c r="BD900">
        <f t="shared" ca="1" si="398"/>
        <v>3156000.0000000107</v>
      </c>
      <c r="BE900">
        <f t="shared" ca="1" si="399"/>
        <v>-3416999.9999999958</v>
      </c>
      <c r="BF900">
        <f ca="1">IF(ROW()&lt;($C$7+1),"",IFERROR((分析データ!D900-AVERAGE(OFFSET(分析データ!D$1,MAX(1,ROW()-$C$7),0,MIN($C$7,ROW()-1),1)))/STDEV(OFFSET(分析データ!D$1,MAX(1,ROW()-$C$7),0,MIN($C$7,ROW()-1),1)),0))</f>
        <v>-0.77789935876128857</v>
      </c>
      <c r="BG900">
        <f t="shared" ca="1" si="400"/>
        <v>0</v>
      </c>
      <c r="BH900" t="str">
        <f ca="1">IF(BG900=1,IF(INDEX(分析データ!$A:$A,ROW()+$C$5)&lt;&gt;"",50000*SIGN(BF900)*(分析データ!D900-INDEX(分析データ!D:D,ROW()+$C$5)),""),"")</f>
        <v/>
      </c>
      <c r="BI900">
        <f t="shared" ca="1" si="401"/>
        <v>5570000.0000000205</v>
      </c>
      <c r="BJ900">
        <f t="shared" ca="1" si="402"/>
        <v>5570000.0000000205</v>
      </c>
      <c r="BK900">
        <f t="shared" ca="1" si="403"/>
        <v>0</v>
      </c>
      <c r="BL900">
        <f ca="1">IF(ROW()&lt;($C$7+1),"",IFERROR((分析データ!E900-AVERAGE(OFFSET(分析データ!E$1,MAX(1,ROW()-$C$7),0,MIN($C$7,ROW()-1),1)))/STDEV(OFFSET(分析データ!E$1,MAX(1,ROW()-$C$7),0,MIN($C$7,ROW()-1),1)),0))</f>
        <v>-1.4021300367917837</v>
      </c>
      <c r="BM900">
        <f t="shared" ca="1" si="404"/>
        <v>0</v>
      </c>
      <c r="BN900" t="str">
        <f ca="1">IF(BM900=1,IF(INDEX(分析データ!$A:$A,ROW()+$C$5)&lt;&gt;"",40000*SIGN(BL900)*(分析データ!E900-INDEX(分析データ!E:E,ROW()+$C$5)),""),"")</f>
        <v/>
      </c>
      <c r="BO900">
        <f t="shared" ca="1" si="405"/>
        <v>2720000.0000000014</v>
      </c>
      <c r="BP900">
        <f t="shared" ca="1" si="406"/>
        <v>4280000.0000000028</v>
      </c>
      <c r="BQ900">
        <f t="shared" ca="1" si="407"/>
        <v>-1560000.0000000014</v>
      </c>
      <c r="BR900">
        <f ca="1">IF(ROW()&lt;($C$7+1),"",IFERROR((分析データ!F900-AVERAGE(OFFSET(分析データ!F$1,MAX(1,ROW()-$C$7),0,MIN($C$7,ROW()-1),1)))/STDEV(OFFSET(分析データ!F$1,MAX(1,ROW()-$C$7),0,MIN($C$7,ROW()-1),1)),0))</f>
        <v>-1.9070094749011519</v>
      </c>
      <c r="BS900">
        <f t="shared" ca="1" si="408"/>
        <v>0</v>
      </c>
      <c r="BT900" t="str">
        <f ca="1">IF(BS900=1,IF(INDEX(分析データ!$A:$A,ROW()+$C$5)&lt;&gt;"",40000*SIGN(BR900)*(分析データ!F900-INDEX(分析データ!F:F,ROW()+$C$5)),""),"")</f>
        <v/>
      </c>
      <c r="BU900">
        <f t="shared" ca="1" si="409"/>
        <v>19816800</v>
      </c>
      <c r="BV900">
        <f t="shared" ca="1" si="410"/>
        <v>19816800</v>
      </c>
      <c r="BW900">
        <f t="shared" ca="1" si="411"/>
        <v>0</v>
      </c>
      <c r="BX900">
        <f ca="1">IF(ROW()&lt;($C$7+1),"",IFERROR((分析データ!G900-AVERAGE(OFFSET(分析データ!G$1,MAX(1,ROW()-$C$7),0,MIN($C$7,ROW()-1),1)))/STDEV(OFFSET(分析データ!G$1,MAX(1,ROW()-$C$7),0,MIN($C$7,ROW()-1),1)),0))</f>
        <v>1.0040264320599046</v>
      </c>
      <c r="BY900">
        <f t="shared" ca="1" si="412"/>
        <v>0</v>
      </c>
      <c r="BZ900" t="str">
        <f ca="1">IF(BY900=1,IF(INDEX(分析データ!$A:$A,ROW()+$C$5)&lt;&gt;"",40000*SIGN(BX900)*(分析データ!G900-INDEX(分析データ!G:G,ROW()+$C$5)),""),"")</f>
        <v/>
      </c>
      <c r="CA900">
        <f t="shared" ca="1" si="413"/>
        <v>-3515452.8662109179</v>
      </c>
      <c r="CB900">
        <f t="shared" ca="1" si="414"/>
        <v>11327520.000000004</v>
      </c>
      <c r="CC900">
        <f t="shared" ca="1" si="415"/>
        <v>-14842972.866210923</v>
      </c>
      <c r="CD900">
        <f t="shared" ca="1" si="416"/>
        <v>0</v>
      </c>
      <c r="CE900">
        <f t="shared" ca="1" si="417"/>
        <v>23090347.13378913</v>
      </c>
      <c r="CF900">
        <f t="shared" ca="1" si="418"/>
        <v>23090347.13378913</v>
      </c>
      <c r="CG900">
        <f t="shared" ca="1" si="419"/>
        <v>0</v>
      </c>
      <c r="CH900" s="10">
        <f>分析データ!A900</f>
        <v>46240</v>
      </c>
    </row>
    <row r="901" spans="46:86">
      <c r="AT901">
        <f ca="1">IF(ROW()&lt;($C$7+1),"",IFERROR((分析データ!B901-AVERAGE(OFFSET(分析データ!B$1,MAX(1,ROW()-$C$7),0,MIN($C$7,ROW()-1),1)))/STDEV(OFFSET(分析データ!B$1,MAX(1,ROW()-$C$7),0,MIN($C$7,ROW()-1),1)),0))</f>
        <v>-0.47076280444367646</v>
      </c>
      <c r="AU901">
        <f t="shared" ca="1" si="392"/>
        <v>0</v>
      </c>
      <c r="AV901" t="str">
        <f ca="1">IF(AU901=1,IF(INDEX(分析データ!$A:$A,ROW()+$C$5)&lt;&gt;"",80000*SIGN(AT901)*(分析データ!B901-INDEX(分析データ!B:B,ROW()+$C$5)),""),"")</f>
        <v/>
      </c>
      <c r="AW901">
        <f t="shared" ca="1" si="393"/>
        <v>-1240000.0000000019</v>
      </c>
      <c r="AX901">
        <f t="shared" ca="1" si="394"/>
        <v>0</v>
      </c>
      <c r="AY901">
        <f t="shared" ca="1" si="395"/>
        <v>-1240000.0000000019</v>
      </c>
      <c r="AZ901">
        <f ca="1">IF(ROW()&lt;($C$7+1),"",IFERROR((分析データ!C901-AVERAGE(OFFSET(分析データ!C$1,MAX(1,ROW()-$C$7),0,MIN($C$7,ROW()-1),1)))/STDEV(OFFSET(分析データ!C$1,MAX(1,ROW()-$C$7),0,MIN($C$7,ROW()-1),1)),0))</f>
        <v>1.3729663326061219</v>
      </c>
      <c r="BA901">
        <f t="shared" ca="1" si="396"/>
        <v>0</v>
      </c>
      <c r="BB901" t="str">
        <f ca="1">IF(BA901=1,IF(INDEX(分析データ!$A:$A,ROW()+$C$5)&lt;&gt;"",60000*SIGN(AZ901)*(分析データ!C901-INDEX(分析データ!C:C,ROW()+$C$5)),""),"")</f>
        <v/>
      </c>
      <c r="BC901">
        <f t="shared" ca="1" si="397"/>
        <v>-260999.9999999851</v>
      </c>
      <c r="BD901">
        <f t="shared" ca="1" si="398"/>
        <v>3156000.0000000107</v>
      </c>
      <c r="BE901">
        <f t="shared" ca="1" si="399"/>
        <v>-3416999.9999999958</v>
      </c>
      <c r="BF901">
        <f ca="1">IF(ROW()&lt;($C$7+1),"",IFERROR((分析データ!D901-AVERAGE(OFFSET(分析データ!D$1,MAX(1,ROW()-$C$7),0,MIN($C$7,ROW()-1),1)))/STDEV(OFFSET(分析データ!D$1,MAX(1,ROW()-$C$7),0,MIN($C$7,ROW()-1),1)),0))</f>
        <v>-0.91282114161447281</v>
      </c>
      <c r="BG901">
        <f t="shared" ca="1" si="400"/>
        <v>0</v>
      </c>
      <c r="BH901" t="str">
        <f ca="1">IF(BG901=1,IF(INDEX(分析データ!$A:$A,ROW()+$C$5)&lt;&gt;"",50000*SIGN(BF901)*(分析データ!D901-INDEX(分析データ!D:D,ROW()+$C$5)),""),"")</f>
        <v/>
      </c>
      <c r="BI901">
        <f t="shared" ca="1" si="401"/>
        <v>5570000.0000000205</v>
      </c>
      <c r="BJ901">
        <f t="shared" ca="1" si="402"/>
        <v>5570000.0000000205</v>
      </c>
      <c r="BK901">
        <f t="shared" ca="1" si="403"/>
        <v>0</v>
      </c>
      <c r="BL901">
        <f ca="1">IF(ROW()&lt;($C$7+1),"",IFERROR((分析データ!E901-AVERAGE(OFFSET(分析データ!E$1,MAX(1,ROW()-$C$7),0,MIN($C$7,ROW()-1),1)))/STDEV(OFFSET(分析データ!E$1,MAX(1,ROW()-$C$7),0,MIN($C$7,ROW()-1),1)),0))</f>
        <v>-1.2538880853987517</v>
      </c>
      <c r="BM901">
        <f t="shared" ca="1" si="404"/>
        <v>0</v>
      </c>
      <c r="BN901" t="str">
        <f ca="1">IF(BM901=1,IF(INDEX(分析データ!$A:$A,ROW()+$C$5)&lt;&gt;"",40000*SIGN(BL901)*(分析データ!E901-INDEX(分析データ!E:E,ROW()+$C$5)),""),"")</f>
        <v/>
      </c>
      <c r="BO901">
        <f t="shared" ca="1" si="405"/>
        <v>2720000.0000000014</v>
      </c>
      <c r="BP901">
        <f t="shared" ca="1" si="406"/>
        <v>4280000.0000000028</v>
      </c>
      <c r="BQ901">
        <f t="shared" ca="1" si="407"/>
        <v>-1560000.0000000014</v>
      </c>
      <c r="BR901">
        <f ca="1">IF(ROW()&lt;($C$7+1),"",IFERROR((分析データ!F901-AVERAGE(OFFSET(分析データ!F$1,MAX(1,ROW()-$C$7),0,MIN($C$7,ROW()-1),1)))/STDEV(OFFSET(分析データ!F$1,MAX(1,ROW()-$C$7),0,MIN($C$7,ROW()-1),1)),0))</f>
        <v>-1.3862655791761149</v>
      </c>
      <c r="BS901">
        <f t="shared" ca="1" si="408"/>
        <v>0</v>
      </c>
      <c r="BT901" t="str">
        <f ca="1">IF(BS901=1,IF(INDEX(分析データ!$A:$A,ROW()+$C$5)&lt;&gt;"",40000*SIGN(BR901)*(分析データ!F901-INDEX(分析データ!F:F,ROW()+$C$5)),""),"")</f>
        <v/>
      </c>
      <c r="BU901">
        <f t="shared" ca="1" si="409"/>
        <v>19816800</v>
      </c>
      <c r="BV901">
        <f t="shared" ca="1" si="410"/>
        <v>19816800</v>
      </c>
      <c r="BW901">
        <f t="shared" ca="1" si="411"/>
        <v>0</v>
      </c>
      <c r="BX901">
        <f ca="1">IF(ROW()&lt;($C$7+1),"",IFERROR((分析データ!G901-AVERAGE(OFFSET(分析データ!G$1,MAX(1,ROW()-$C$7),0,MIN($C$7,ROW()-1),1)))/STDEV(OFFSET(分析データ!G$1,MAX(1,ROW()-$C$7),0,MIN($C$7,ROW()-1),1)),0))</f>
        <v>0.92516089230318777</v>
      </c>
      <c r="BY901">
        <f t="shared" ca="1" si="412"/>
        <v>0</v>
      </c>
      <c r="BZ901" t="str">
        <f ca="1">IF(BY901=1,IF(INDEX(分析データ!$A:$A,ROW()+$C$5)&lt;&gt;"",40000*SIGN(BX901)*(分析データ!G901-INDEX(分析データ!G:G,ROW()+$C$5)),""),"")</f>
        <v/>
      </c>
      <c r="CA901">
        <f t="shared" ca="1" si="413"/>
        <v>-3515452.8662109179</v>
      </c>
      <c r="CB901">
        <f t="shared" ca="1" si="414"/>
        <v>11327520.000000004</v>
      </c>
      <c r="CC901">
        <f t="shared" ca="1" si="415"/>
        <v>-14842972.866210923</v>
      </c>
      <c r="CD901">
        <f t="shared" ca="1" si="416"/>
        <v>0</v>
      </c>
      <c r="CE901">
        <f t="shared" ca="1" si="417"/>
        <v>23090347.13378913</v>
      </c>
      <c r="CF901">
        <f t="shared" ca="1" si="418"/>
        <v>23090347.13378913</v>
      </c>
      <c r="CG901">
        <f t="shared" ca="1" si="419"/>
        <v>0</v>
      </c>
      <c r="CH901" s="10">
        <f>分析データ!A901</f>
        <v>46241</v>
      </c>
    </row>
    <row r="902" spans="46:86">
      <c r="AT902">
        <f ca="1">IF(ROW()&lt;($C$7+1),"",IFERROR((分析データ!B902-AVERAGE(OFFSET(分析データ!B$1,MAX(1,ROW()-$C$7),0,MIN($C$7,ROW()-1),1)))/STDEV(OFFSET(分析データ!B$1,MAX(1,ROW()-$C$7),0,MIN($C$7,ROW()-1),1)),0))</f>
        <v>-0.14031091943029542</v>
      </c>
      <c r="AU902">
        <f t="shared" ca="1" si="392"/>
        <v>0</v>
      </c>
      <c r="AV902" t="str">
        <f ca="1">IF(AU902=1,IF(INDEX(分析データ!$A:$A,ROW()+$C$5)&lt;&gt;"",80000*SIGN(AT902)*(分析データ!B902-INDEX(分析データ!B:B,ROW()+$C$5)),""),"")</f>
        <v/>
      </c>
      <c r="AW902">
        <f t="shared" ca="1" si="393"/>
        <v>-1240000.0000000019</v>
      </c>
      <c r="AX902">
        <f t="shared" ca="1" si="394"/>
        <v>0</v>
      </c>
      <c r="AY902">
        <f t="shared" ca="1" si="395"/>
        <v>-1240000.0000000019</v>
      </c>
      <c r="AZ902">
        <f ca="1">IF(ROW()&lt;($C$7+1),"",IFERROR((分析データ!C902-AVERAGE(OFFSET(分析データ!C$1,MAX(1,ROW()-$C$7),0,MIN($C$7,ROW()-1),1)))/STDEV(OFFSET(分析データ!C$1,MAX(1,ROW()-$C$7),0,MIN($C$7,ROW()-1),1)),0))</f>
        <v>1.3621422578677833</v>
      </c>
      <c r="BA902">
        <f t="shared" ca="1" si="396"/>
        <v>0</v>
      </c>
      <c r="BB902" t="str">
        <f ca="1">IF(BA902=1,IF(INDEX(分析データ!$A:$A,ROW()+$C$5)&lt;&gt;"",60000*SIGN(AZ902)*(分析データ!C902-INDEX(分析データ!C:C,ROW()+$C$5)),""),"")</f>
        <v/>
      </c>
      <c r="BC902">
        <f t="shared" ca="1" si="397"/>
        <v>-260999.9999999851</v>
      </c>
      <c r="BD902">
        <f t="shared" ca="1" si="398"/>
        <v>3156000.0000000107</v>
      </c>
      <c r="BE902">
        <f t="shared" ca="1" si="399"/>
        <v>-3416999.9999999958</v>
      </c>
      <c r="BF902">
        <f ca="1">IF(ROW()&lt;($C$7+1),"",IFERROR((分析データ!D902-AVERAGE(OFFSET(分析データ!D$1,MAX(1,ROW()-$C$7),0,MIN($C$7,ROW()-1),1)))/STDEV(OFFSET(分析データ!D$1,MAX(1,ROW()-$C$7),0,MIN($C$7,ROW()-1),1)),0))</f>
        <v>-0.66019000427831565</v>
      </c>
      <c r="BG902">
        <f t="shared" ca="1" si="400"/>
        <v>0</v>
      </c>
      <c r="BH902" t="str">
        <f ca="1">IF(BG902=1,IF(INDEX(分析データ!$A:$A,ROW()+$C$5)&lt;&gt;"",50000*SIGN(BF902)*(分析データ!D902-INDEX(分析データ!D:D,ROW()+$C$5)),""),"")</f>
        <v/>
      </c>
      <c r="BI902">
        <f t="shared" ca="1" si="401"/>
        <v>5570000.0000000205</v>
      </c>
      <c r="BJ902">
        <f t="shared" ca="1" si="402"/>
        <v>5570000.0000000205</v>
      </c>
      <c r="BK902">
        <f t="shared" ca="1" si="403"/>
        <v>0</v>
      </c>
      <c r="BL902">
        <f ca="1">IF(ROW()&lt;($C$7+1),"",IFERROR((分析データ!E902-AVERAGE(OFFSET(分析データ!E$1,MAX(1,ROW()-$C$7),0,MIN($C$7,ROW()-1),1)))/STDEV(OFFSET(分析データ!E$1,MAX(1,ROW()-$C$7),0,MIN($C$7,ROW()-1),1)),0))</f>
        <v>-1.107532775543477</v>
      </c>
      <c r="BM902">
        <f t="shared" ca="1" si="404"/>
        <v>0</v>
      </c>
      <c r="BN902" t="str">
        <f ca="1">IF(BM902=1,IF(INDEX(分析データ!$A:$A,ROW()+$C$5)&lt;&gt;"",40000*SIGN(BL902)*(分析データ!E902-INDEX(分析データ!E:E,ROW()+$C$5)),""),"")</f>
        <v/>
      </c>
      <c r="BO902">
        <f t="shared" ca="1" si="405"/>
        <v>2720000.0000000014</v>
      </c>
      <c r="BP902">
        <f t="shared" ca="1" si="406"/>
        <v>4280000.0000000028</v>
      </c>
      <c r="BQ902">
        <f t="shared" ca="1" si="407"/>
        <v>-1560000.0000000014</v>
      </c>
      <c r="BR902">
        <f ca="1">IF(ROW()&lt;($C$7+1),"",IFERROR((分析データ!F902-AVERAGE(OFFSET(分析データ!F$1,MAX(1,ROW()-$C$7),0,MIN($C$7,ROW()-1),1)))/STDEV(OFFSET(分析データ!F$1,MAX(1,ROW()-$C$7),0,MIN($C$7,ROW()-1),1)),0))</f>
        <v>-1.8603238179179793</v>
      </c>
      <c r="BS902">
        <f t="shared" ca="1" si="408"/>
        <v>0</v>
      </c>
      <c r="BT902" t="str">
        <f ca="1">IF(BS902=1,IF(INDEX(分析データ!$A:$A,ROW()+$C$5)&lt;&gt;"",40000*SIGN(BR902)*(分析データ!F902-INDEX(分析データ!F:F,ROW()+$C$5)),""),"")</f>
        <v/>
      </c>
      <c r="BU902">
        <f t="shared" ca="1" si="409"/>
        <v>19816800</v>
      </c>
      <c r="BV902">
        <f t="shared" ca="1" si="410"/>
        <v>19816800</v>
      </c>
      <c r="BW902">
        <f t="shared" ca="1" si="411"/>
        <v>0</v>
      </c>
      <c r="BX902">
        <f ca="1">IF(ROW()&lt;($C$7+1),"",IFERROR((分析データ!G902-AVERAGE(OFFSET(分析データ!G$1,MAX(1,ROW()-$C$7),0,MIN($C$7,ROW()-1),1)))/STDEV(OFFSET(分析データ!G$1,MAX(1,ROW()-$C$7),0,MIN($C$7,ROW()-1),1)),0))</f>
        <v>0.94727639973320921</v>
      </c>
      <c r="BY902">
        <f t="shared" ca="1" si="412"/>
        <v>0</v>
      </c>
      <c r="BZ902" t="str">
        <f ca="1">IF(BY902=1,IF(INDEX(分析データ!$A:$A,ROW()+$C$5)&lt;&gt;"",40000*SIGN(BX902)*(分析データ!G902-INDEX(分析データ!G:G,ROW()+$C$5)),""),"")</f>
        <v/>
      </c>
      <c r="CA902">
        <f t="shared" ca="1" si="413"/>
        <v>-3515452.8662109179</v>
      </c>
      <c r="CB902">
        <f t="shared" ca="1" si="414"/>
        <v>11327520.000000004</v>
      </c>
      <c r="CC902">
        <f t="shared" ca="1" si="415"/>
        <v>-14842972.866210923</v>
      </c>
      <c r="CD902">
        <f t="shared" ca="1" si="416"/>
        <v>0</v>
      </c>
      <c r="CE902">
        <f t="shared" ca="1" si="417"/>
        <v>23090347.13378913</v>
      </c>
      <c r="CF902">
        <f t="shared" ca="1" si="418"/>
        <v>23090347.13378913</v>
      </c>
      <c r="CG902">
        <f t="shared" ca="1" si="419"/>
        <v>0</v>
      </c>
      <c r="CH902" s="10">
        <f>分析データ!A902</f>
        <v>46244</v>
      </c>
    </row>
    <row r="903" spans="46:86">
      <c r="AT903">
        <f ca="1">IF(ROW()&lt;($C$7+1),"",IFERROR((分析データ!B903-AVERAGE(OFFSET(分析データ!B$1,MAX(1,ROW()-$C$7),0,MIN($C$7,ROW()-1),1)))/STDEV(OFFSET(分析データ!B$1,MAX(1,ROW()-$C$7),0,MIN($C$7,ROW()-1),1)),0))</f>
        <v>-0.14098729895735296</v>
      </c>
      <c r="AU903">
        <f t="shared" ca="1" si="392"/>
        <v>0</v>
      </c>
      <c r="AV903" t="str">
        <f ca="1">IF(AU903=1,IF(INDEX(分析データ!$A:$A,ROW()+$C$5)&lt;&gt;"",80000*SIGN(AT903)*(分析データ!B903-INDEX(分析データ!B:B,ROW()+$C$5)),""),"")</f>
        <v/>
      </c>
      <c r="AW903">
        <f t="shared" ca="1" si="393"/>
        <v>-1240000.0000000019</v>
      </c>
      <c r="AX903">
        <f t="shared" ca="1" si="394"/>
        <v>0</v>
      </c>
      <c r="AY903">
        <f t="shared" ca="1" si="395"/>
        <v>-1240000.0000000019</v>
      </c>
      <c r="AZ903">
        <f ca="1">IF(ROW()&lt;($C$7+1),"",IFERROR((分析データ!C903-AVERAGE(OFFSET(分析データ!C$1,MAX(1,ROW()-$C$7),0,MIN($C$7,ROW()-1),1)))/STDEV(OFFSET(分析データ!C$1,MAX(1,ROW()-$C$7),0,MIN($C$7,ROW()-1),1)),0))</f>
        <v>1.3515334933939722</v>
      </c>
      <c r="BA903">
        <f t="shared" ca="1" si="396"/>
        <v>0</v>
      </c>
      <c r="BB903" t="str">
        <f ca="1">IF(BA903=1,IF(INDEX(分析データ!$A:$A,ROW()+$C$5)&lt;&gt;"",60000*SIGN(AZ903)*(分析データ!C903-INDEX(分析データ!C:C,ROW()+$C$5)),""),"")</f>
        <v/>
      </c>
      <c r="BC903">
        <f t="shared" ca="1" si="397"/>
        <v>-260999.9999999851</v>
      </c>
      <c r="BD903">
        <f t="shared" ca="1" si="398"/>
        <v>3156000.0000000107</v>
      </c>
      <c r="BE903">
        <f t="shared" ca="1" si="399"/>
        <v>-3416999.9999999958</v>
      </c>
      <c r="BF903">
        <f ca="1">IF(ROW()&lt;($C$7+1),"",IFERROR((分析データ!D903-AVERAGE(OFFSET(分析データ!D$1,MAX(1,ROW()-$C$7),0,MIN($C$7,ROW()-1),1)))/STDEV(OFFSET(分析データ!D$1,MAX(1,ROW()-$C$7),0,MIN($C$7,ROW()-1),1)),0))</f>
        <v>-0.72607644733261179</v>
      </c>
      <c r="BG903">
        <f t="shared" ca="1" si="400"/>
        <v>0</v>
      </c>
      <c r="BH903" t="str">
        <f ca="1">IF(BG903=1,IF(INDEX(分析データ!$A:$A,ROW()+$C$5)&lt;&gt;"",50000*SIGN(BF903)*(分析データ!D903-INDEX(分析データ!D:D,ROW()+$C$5)),""),"")</f>
        <v/>
      </c>
      <c r="BI903">
        <f t="shared" ca="1" si="401"/>
        <v>5570000.0000000205</v>
      </c>
      <c r="BJ903">
        <f t="shared" ca="1" si="402"/>
        <v>5570000.0000000205</v>
      </c>
      <c r="BK903">
        <f t="shared" ca="1" si="403"/>
        <v>0</v>
      </c>
      <c r="BL903">
        <f ca="1">IF(ROW()&lt;($C$7+1),"",IFERROR((分析データ!E903-AVERAGE(OFFSET(分析データ!E$1,MAX(1,ROW()-$C$7),0,MIN($C$7,ROW()-1),1)))/STDEV(OFFSET(分析データ!E$1,MAX(1,ROW()-$C$7),0,MIN($C$7,ROW()-1),1)),0))</f>
        <v>-1.0987983585361467</v>
      </c>
      <c r="BM903">
        <f t="shared" ca="1" si="404"/>
        <v>0</v>
      </c>
      <c r="BN903" t="str">
        <f ca="1">IF(BM903=1,IF(INDEX(分析データ!$A:$A,ROW()+$C$5)&lt;&gt;"",40000*SIGN(BL903)*(分析データ!E903-INDEX(分析データ!E:E,ROW()+$C$5)),""),"")</f>
        <v/>
      </c>
      <c r="BO903">
        <f t="shared" ca="1" si="405"/>
        <v>2720000.0000000014</v>
      </c>
      <c r="BP903">
        <f t="shared" ca="1" si="406"/>
        <v>4280000.0000000028</v>
      </c>
      <c r="BQ903">
        <f t="shared" ca="1" si="407"/>
        <v>-1560000.0000000014</v>
      </c>
      <c r="BR903">
        <f ca="1">IF(ROW()&lt;($C$7+1),"",IFERROR((分析データ!F903-AVERAGE(OFFSET(分析データ!F$1,MAX(1,ROW()-$C$7),0,MIN($C$7,ROW()-1),1)))/STDEV(OFFSET(分析データ!F$1,MAX(1,ROW()-$C$7),0,MIN($C$7,ROW()-1),1)),0))</f>
        <v>-1.0599398098412265</v>
      </c>
      <c r="BS903">
        <f t="shared" ca="1" si="408"/>
        <v>0</v>
      </c>
      <c r="BT903" t="str">
        <f ca="1">IF(BS903=1,IF(INDEX(分析データ!$A:$A,ROW()+$C$5)&lt;&gt;"",40000*SIGN(BR903)*(分析データ!F903-INDEX(分析データ!F:F,ROW()+$C$5)),""),"")</f>
        <v/>
      </c>
      <c r="BU903">
        <f t="shared" ca="1" si="409"/>
        <v>19816800</v>
      </c>
      <c r="BV903">
        <f t="shared" ca="1" si="410"/>
        <v>19816800</v>
      </c>
      <c r="BW903">
        <f t="shared" ca="1" si="411"/>
        <v>0</v>
      </c>
      <c r="BX903">
        <f ca="1">IF(ROW()&lt;($C$7+1),"",IFERROR((分析データ!G903-AVERAGE(OFFSET(分析データ!G$1,MAX(1,ROW()-$C$7),0,MIN($C$7,ROW()-1),1)))/STDEV(OFFSET(分析データ!G$1,MAX(1,ROW()-$C$7),0,MIN($C$7,ROW()-1),1)),0))</f>
        <v>0.64822161468274975</v>
      </c>
      <c r="BY903">
        <f t="shared" ca="1" si="412"/>
        <v>0</v>
      </c>
      <c r="BZ903" t="str">
        <f ca="1">IF(BY903=1,IF(INDEX(分析データ!$A:$A,ROW()+$C$5)&lt;&gt;"",40000*SIGN(BX903)*(分析データ!G903-INDEX(分析データ!G:G,ROW()+$C$5)),""),"")</f>
        <v/>
      </c>
      <c r="CA903">
        <f t="shared" ca="1" si="413"/>
        <v>-3515452.8662109179</v>
      </c>
      <c r="CB903">
        <f t="shared" ca="1" si="414"/>
        <v>11327520.000000004</v>
      </c>
      <c r="CC903">
        <f t="shared" ca="1" si="415"/>
        <v>-14842972.866210923</v>
      </c>
      <c r="CD903">
        <f t="shared" ca="1" si="416"/>
        <v>0</v>
      </c>
      <c r="CE903">
        <f t="shared" ca="1" si="417"/>
        <v>23090347.13378913</v>
      </c>
      <c r="CF903">
        <f t="shared" ca="1" si="418"/>
        <v>23090347.13378913</v>
      </c>
      <c r="CG903">
        <f t="shared" ca="1" si="419"/>
        <v>0</v>
      </c>
      <c r="CH903" s="10">
        <f>分析データ!A903</f>
        <v>46245</v>
      </c>
    </row>
    <row r="904" spans="46:86">
      <c r="AT904">
        <f ca="1">IF(ROW()&lt;($C$7+1),"",IFERROR((分析データ!B904-AVERAGE(OFFSET(分析データ!B$1,MAX(1,ROW()-$C$7),0,MIN($C$7,ROW()-1),1)))/STDEV(OFFSET(分析データ!B$1,MAX(1,ROW()-$C$7),0,MIN($C$7,ROW()-1),1)),0))</f>
        <v>-0.47071161103478382</v>
      </c>
      <c r="AU904">
        <f t="shared" ca="1" si="392"/>
        <v>0</v>
      </c>
      <c r="AV904" t="str">
        <f ca="1">IF(AU904=1,IF(INDEX(分析データ!$A:$A,ROW()+$C$5)&lt;&gt;"",80000*SIGN(AT904)*(分析データ!B904-INDEX(分析データ!B:B,ROW()+$C$5)),""),"")</f>
        <v/>
      </c>
      <c r="AW904">
        <f t="shared" ca="1" si="393"/>
        <v>-1240000.0000000019</v>
      </c>
      <c r="AX904">
        <f t="shared" ca="1" si="394"/>
        <v>0</v>
      </c>
      <c r="AY904">
        <f t="shared" ca="1" si="395"/>
        <v>-1240000.0000000019</v>
      </c>
      <c r="AZ904">
        <f ca="1">IF(ROW()&lt;($C$7+1),"",IFERROR((分析データ!C904-AVERAGE(OFFSET(分析データ!C$1,MAX(1,ROW()-$C$7),0,MIN($C$7,ROW()-1),1)))/STDEV(OFFSET(分析データ!C$1,MAX(1,ROW()-$C$7),0,MIN($C$7,ROW()-1),1)),0))</f>
        <v>1.3411264074049123</v>
      </c>
      <c r="BA904">
        <f t="shared" ca="1" si="396"/>
        <v>0</v>
      </c>
      <c r="BB904" t="str">
        <f ca="1">IF(BA904=1,IF(INDEX(分析データ!$A:$A,ROW()+$C$5)&lt;&gt;"",60000*SIGN(AZ904)*(分析データ!C904-INDEX(分析データ!C:C,ROW()+$C$5)),""),"")</f>
        <v/>
      </c>
      <c r="BC904">
        <f t="shared" ca="1" si="397"/>
        <v>-260999.9999999851</v>
      </c>
      <c r="BD904">
        <f t="shared" ca="1" si="398"/>
        <v>3156000.0000000107</v>
      </c>
      <c r="BE904">
        <f t="shared" ca="1" si="399"/>
        <v>-3416999.9999999958</v>
      </c>
      <c r="BF904">
        <f ca="1">IF(ROW()&lt;($C$7+1),"",IFERROR((分析データ!D904-AVERAGE(OFFSET(分析データ!D$1,MAX(1,ROW()-$C$7),0,MIN($C$7,ROW()-1),1)))/STDEV(OFFSET(分析データ!D$1,MAX(1,ROW()-$C$7),0,MIN($C$7,ROW()-1),1)),0))</f>
        <v>-0.79335636473661375</v>
      </c>
      <c r="BG904">
        <f t="shared" ca="1" si="400"/>
        <v>0</v>
      </c>
      <c r="BH904" t="str">
        <f ca="1">IF(BG904=1,IF(INDEX(分析データ!$A:$A,ROW()+$C$5)&lt;&gt;"",50000*SIGN(BF904)*(分析データ!D904-INDEX(分析データ!D:D,ROW()+$C$5)),""),"")</f>
        <v/>
      </c>
      <c r="BI904">
        <f t="shared" ca="1" si="401"/>
        <v>5570000.0000000205</v>
      </c>
      <c r="BJ904">
        <f t="shared" ca="1" si="402"/>
        <v>5570000.0000000205</v>
      </c>
      <c r="BK904">
        <f t="shared" ca="1" si="403"/>
        <v>0</v>
      </c>
      <c r="BL904">
        <f ca="1">IF(ROW()&lt;($C$7+1),"",IFERROR((分析データ!E904-AVERAGE(OFFSET(分析データ!E$1,MAX(1,ROW()-$C$7),0,MIN($C$7,ROW()-1),1)))/STDEV(OFFSET(分析データ!E$1,MAX(1,ROW()-$C$7),0,MIN($C$7,ROW()-1),1)),0))</f>
        <v>-1.2258376490702165</v>
      </c>
      <c r="BM904">
        <f t="shared" ca="1" si="404"/>
        <v>0</v>
      </c>
      <c r="BN904" t="str">
        <f ca="1">IF(BM904=1,IF(INDEX(分析データ!$A:$A,ROW()+$C$5)&lt;&gt;"",40000*SIGN(BL904)*(分析データ!E904-INDEX(分析データ!E:E,ROW()+$C$5)),""),"")</f>
        <v/>
      </c>
      <c r="BO904">
        <f t="shared" ca="1" si="405"/>
        <v>2720000.0000000014</v>
      </c>
      <c r="BP904">
        <f t="shared" ca="1" si="406"/>
        <v>4280000.0000000028</v>
      </c>
      <c r="BQ904">
        <f t="shared" ca="1" si="407"/>
        <v>-1560000.0000000014</v>
      </c>
      <c r="BR904">
        <f ca="1">IF(ROW()&lt;($C$7+1),"",IFERROR((分析データ!F904-AVERAGE(OFFSET(分析データ!F$1,MAX(1,ROW()-$C$7),0,MIN($C$7,ROW()-1),1)))/STDEV(OFFSET(分析データ!F$1,MAX(1,ROW()-$C$7),0,MIN($C$7,ROW()-1),1)),0))</f>
        <v>-1.0323412938663139</v>
      </c>
      <c r="BS904">
        <f t="shared" ca="1" si="408"/>
        <v>0</v>
      </c>
      <c r="BT904" t="str">
        <f ca="1">IF(BS904=1,IF(INDEX(分析データ!$A:$A,ROW()+$C$5)&lt;&gt;"",40000*SIGN(BR904)*(分析データ!F904-INDEX(分析データ!F:F,ROW()+$C$5)),""),"")</f>
        <v/>
      </c>
      <c r="BU904">
        <f t="shared" ca="1" si="409"/>
        <v>19816800</v>
      </c>
      <c r="BV904">
        <f t="shared" ca="1" si="410"/>
        <v>19816800</v>
      </c>
      <c r="BW904">
        <f t="shared" ca="1" si="411"/>
        <v>0</v>
      </c>
      <c r="BX904">
        <f ca="1">IF(ROW()&lt;($C$7+1),"",IFERROR((分析データ!G904-AVERAGE(OFFSET(分析データ!G$1,MAX(1,ROW()-$C$7),0,MIN($C$7,ROW()-1),1)))/STDEV(OFFSET(分析データ!G$1,MAX(1,ROW()-$C$7),0,MIN($C$7,ROW()-1),1)),0))</f>
        <v>0.79563066410867822</v>
      </c>
      <c r="BY904">
        <f t="shared" ca="1" si="412"/>
        <v>0</v>
      </c>
      <c r="BZ904" t="str">
        <f ca="1">IF(BY904=1,IF(INDEX(分析データ!$A:$A,ROW()+$C$5)&lt;&gt;"",40000*SIGN(BX904)*(分析データ!G904-INDEX(分析データ!G:G,ROW()+$C$5)),""),"")</f>
        <v/>
      </c>
      <c r="CA904">
        <f t="shared" ca="1" si="413"/>
        <v>-3515452.8662109179</v>
      </c>
      <c r="CB904">
        <f t="shared" ca="1" si="414"/>
        <v>11327520.000000004</v>
      </c>
      <c r="CC904">
        <f t="shared" ca="1" si="415"/>
        <v>-14842972.866210923</v>
      </c>
      <c r="CD904">
        <f t="shared" ca="1" si="416"/>
        <v>0</v>
      </c>
      <c r="CE904">
        <f t="shared" ca="1" si="417"/>
        <v>23090347.13378913</v>
      </c>
      <c r="CF904">
        <f t="shared" ca="1" si="418"/>
        <v>23090347.13378913</v>
      </c>
      <c r="CG904">
        <f t="shared" ca="1" si="419"/>
        <v>0</v>
      </c>
      <c r="CH904" s="10">
        <f>分析データ!A904</f>
        <v>46246</v>
      </c>
    </row>
    <row r="905" spans="46:86">
      <c r="AT905">
        <f ca="1">IF(ROW()&lt;($C$7+1),"",IFERROR((分析データ!B905-AVERAGE(OFFSET(分析データ!B$1,MAX(1,ROW()-$C$7),0,MIN($C$7,ROW()-1),1)))/STDEV(OFFSET(分析データ!B$1,MAX(1,ROW()-$C$7),0,MIN($C$7,ROW()-1),1)),0))</f>
        <v>-0.79752021628162539</v>
      </c>
      <c r="AU905">
        <f t="shared" ca="1" si="392"/>
        <v>0</v>
      </c>
      <c r="AV905" t="str">
        <f ca="1">IF(AU905=1,IF(INDEX(分析データ!$A:$A,ROW()+$C$5)&lt;&gt;"",80000*SIGN(AT905)*(分析データ!B905-INDEX(分析データ!B:B,ROW()+$C$5)),""),"")</f>
        <v/>
      </c>
      <c r="AW905">
        <f t="shared" ca="1" si="393"/>
        <v>-1240000.0000000019</v>
      </c>
      <c r="AX905">
        <f t="shared" ca="1" si="394"/>
        <v>0</v>
      </c>
      <c r="AY905">
        <f t="shared" ca="1" si="395"/>
        <v>-1240000.0000000019</v>
      </c>
      <c r="AZ905">
        <f ca="1">IF(ROW()&lt;($C$7+1),"",IFERROR((分析データ!C905-AVERAGE(OFFSET(分析データ!C$1,MAX(1,ROW()-$C$7),0,MIN($C$7,ROW()-1),1)))/STDEV(OFFSET(分析データ!C$1,MAX(1,ROW()-$C$7),0,MIN($C$7,ROW()-1),1)),0))</f>
        <v>1.330872358886495</v>
      </c>
      <c r="BA905">
        <f t="shared" ca="1" si="396"/>
        <v>0</v>
      </c>
      <c r="BB905" t="str">
        <f ca="1">IF(BA905=1,IF(INDEX(分析データ!$A:$A,ROW()+$C$5)&lt;&gt;"",60000*SIGN(AZ905)*(分析データ!C905-INDEX(分析データ!C:C,ROW()+$C$5)),""),"")</f>
        <v/>
      </c>
      <c r="BC905">
        <f t="shared" ca="1" si="397"/>
        <v>-260999.9999999851</v>
      </c>
      <c r="BD905">
        <f t="shared" ca="1" si="398"/>
        <v>3156000.0000000107</v>
      </c>
      <c r="BE905">
        <f t="shared" ca="1" si="399"/>
        <v>-3416999.9999999958</v>
      </c>
      <c r="BF905">
        <f ca="1">IF(ROW()&lt;($C$7+1),"",IFERROR((分析データ!D905-AVERAGE(OFFSET(分析データ!D$1,MAX(1,ROW()-$C$7),0,MIN($C$7,ROW()-1),1)))/STDEV(OFFSET(分析データ!D$1,MAX(1,ROW()-$C$7),0,MIN($C$7,ROW()-1),1)),0))</f>
        <v>-0.97091336459934585</v>
      </c>
      <c r="BG905">
        <f t="shared" ca="1" si="400"/>
        <v>0</v>
      </c>
      <c r="BH905" t="str">
        <f ca="1">IF(BG905=1,IF(INDEX(分析データ!$A:$A,ROW()+$C$5)&lt;&gt;"",50000*SIGN(BF905)*(分析データ!D905-INDEX(分析データ!D:D,ROW()+$C$5)),""),"")</f>
        <v/>
      </c>
      <c r="BI905">
        <f t="shared" ca="1" si="401"/>
        <v>5570000.0000000205</v>
      </c>
      <c r="BJ905">
        <f t="shared" ca="1" si="402"/>
        <v>5570000.0000000205</v>
      </c>
      <c r="BK905">
        <f t="shared" ca="1" si="403"/>
        <v>0</v>
      </c>
      <c r="BL905">
        <f ca="1">IF(ROW()&lt;($C$7+1),"",IFERROR((分析データ!E905-AVERAGE(OFFSET(分析データ!E$1,MAX(1,ROW()-$C$7),0,MIN($C$7,ROW()-1),1)))/STDEV(OFFSET(分析データ!E$1,MAX(1,ROW()-$C$7),0,MIN($C$7,ROW()-1),1)),0))</f>
        <v>-1.0805320760241084</v>
      </c>
      <c r="BM905">
        <f t="shared" ca="1" si="404"/>
        <v>0</v>
      </c>
      <c r="BN905" t="str">
        <f ca="1">IF(BM905=1,IF(INDEX(分析データ!$A:$A,ROW()+$C$5)&lt;&gt;"",40000*SIGN(BL905)*(分析データ!E905-INDEX(分析データ!E:E,ROW()+$C$5)),""),"")</f>
        <v/>
      </c>
      <c r="BO905">
        <f t="shared" ca="1" si="405"/>
        <v>2720000.0000000014</v>
      </c>
      <c r="BP905">
        <f t="shared" ca="1" si="406"/>
        <v>4280000.0000000028</v>
      </c>
      <c r="BQ905">
        <f t="shared" ca="1" si="407"/>
        <v>-1560000.0000000014</v>
      </c>
      <c r="BR905">
        <f ca="1">IF(ROW()&lt;($C$7+1),"",IFERROR((分析データ!F905-AVERAGE(OFFSET(分析データ!F$1,MAX(1,ROW()-$C$7),0,MIN($C$7,ROW()-1),1)))/STDEV(OFFSET(分析データ!F$1,MAX(1,ROW()-$C$7),0,MIN($C$7,ROW()-1),1)),0))</f>
        <v>-0.70343403978491736</v>
      </c>
      <c r="BS905">
        <f t="shared" ca="1" si="408"/>
        <v>0</v>
      </c>
      <c r="BT905" t="str">
        <f ca="1">IF(BS905=1,IF(INDEX(分析データ!$A:$A,ROW()+$C$5)&lt;&gt;"",40000*SIGN(BR905)*(分析データ!F905-INDEX(分析データ!F:F,ROW()+$C$5)),""),"")</f>
        <v/>
      </c>
      <c r="BU905">
        <f t="shared" ca="1" si="409"/>
        <v>19816800</v>
      </c>
      <c r="BV905">
        <f t="shared" ca="1" si="410"/>
        <v>19816800</v>
      </c>
      <c r="BW905">
        <f t="shared" ca="1" si="411"/>
        <v>0</v>
      </c>
      <c r="BX905">
        <f ca="1">IF(ROW()&lt;($C$7+1),"",IFERROR((分析データ!G905-AVERAGE(OFFSET(分析データ!G$1,MAX(1,ROW()-$C$7),0,MIN($C$7,ROW()-1),1)))/STDEV(OFFSET(分析データ!G$1,MAX(1,ROW()-$C$7),0,MIN($C$7,ROW()-1),1)),0))</f>
        <v>0.89590368810342846</v>
      </c>
      <c r="BY905">
        <f t="shared" ca="1" si="412"/>
        <v>0</v>
      </c>
      <c r="BZ905" t="str">
        <f ca="1">IF(BY905=1,IF(INDEX(分析データ!$A:$A,ROW()+$C$5)&lt;&gt;"",40000*SIGN(BX905)*(分析データ!G905-INDEX(分析データ!G:G,ROW()+$C$5)),""),"")</f>
        <v/>
      </c>
      <c r="CA905">
        <f t="shared" ca="1" si="413"/>
        <v>-3515452.8662109179</v>
      </c>
      <c r="CB905">
        <f t="shared" ca="1" si="414"/>
        <v>11327520.000000004</v>
      </c>
      <c r="CC905">
        <f t="shared" ca="1" si="415"/>
        <v>-14842972.866210923</v>
      </c>
      <c r="CD905">
        <f t="shared" ca="1" si="416"/>
        <v>0</v>
      </c>
      <c r="CE905">
        <f t="shared" ca="1" si="417"/>
        <v>23090347.13378913</v>
      </c>
      <c r="CF905">
        <f t="shared" ca="1" si="418"/>
        <v>23090347.13378913</v>
      </c>
      <c r="CG905">
        <f t="shared" ca="1" si="419"/>
        <v>0</v>
      </c>
      <c r="CH905" s="10">
        <f>分析データ!A905</f>
        <v>46247</v>
      </c>
    </row>
    <row r="906" spans="46:86">
      <c r="AT906">
        <f ca="1">IF(ROW()&lt;($C$7+1),"",IFERROR((分析データ!B906-AVERAGE(OFFSET(分析データ!B$1,MAX(1,ROW()-$C$7),0,MIN($C$7,ROW()-1),1)))/STDEV(OFFSET(分析データ!B$1,MAX(1,ROW()-$C$7),0,MIN($C$7,ROW()-1),1)),0))</f>
        <v>-0.13495316723037851</v>
      </c>
      <c r="AU906">
        <f t="shared" ca="1" si="392"/>
        <v>0</v>
      </c>
      <c r="AV906" t="str">
        <f ca="1">IF(AU906=1,IF(INDEX(分析データ!$A:$A,ROW()+$C$5)&lt;&gt;"",80000*SIGN(AT906)*(分析データ!B906-INDEX(分析データ!B:B,ROW()+$C$5)),""),"")</f>
        <v/>
      </c>
      <c r="AW906">
        <f t="shared" ca="1" si="393"/>
        <v>-1240000.0000000019</v>
      </c>
      <c r="AX906">
        <f t="shared" ca="1" si="394"/>
        <v>0</v>
      </c>
      <c r="AY906">
        <f t="shared" ca="1" si="395"/>
        <v>-1240000.0000000019</v>
      </c>
      <c r="AZ906">
        <f ca="1">IF(ROW()&lt;($C$7+1),"",IFERROR((分析データ!C906-AVERAGE(OFFSET(分析データ!C$1,MAX(1,ROW()-$C$7),0,MIN($C$7,ROW()-1),1)))/STDEV(OFFSET(分析データ!C$1,MAX(1,ROW()-$C$7),0,MIN($C$7,ROW()-1),1)),0))</f>
        <v>1.320677889073828</v>
      </c>
      <c r="BA906">
        <f t="shared" ca="1" si="396"/>
        <v>0</v>
      </c>
      <c r="BB906" t="str">
        <f ca="1">IF(BA906=1,IF(INDEX(分析データ!$A:$A,ROW()+$C$5)&lt;&gt;"",60000*SIGN(AZ906)*(分析データ!C906-INDEX(分析データ!C:C,ROW()+$C$5)),""),"")</f>
        <v/>
      </c>
      <c r="BC906">
        <f t="shared" ca="1" si="397"/>
        <v>-260999.9999999851</v>
      </c>
      <c r="BD906">
        <f t="shared" ca="1" si="398"/>
        <v>3156000.0000000107</v>
      </c>
      <c r="BE906">
        <f t="shared" ca="1" si="399"/>
        <v>-3416999.9999999958</v>
      </c>
      <c r="BF906">
        <f ca="1">IF(ROW()&lt;($C$7+1),"",IFERROR((分析データ!D906-AVERAGE(OFFSET(分析データ!D$1,MAX(1,ROW()-$C$7),0,MIN($C$7,ROW()-1),1)))/STDEV(OFFSET(分析データ!D$1,MAX(1,ROW()-$C$7),0,MIN($C$7,ROW()-1),1)),0))</f>
        <v>-0.78355873575847623</v>
      </c>
      <c r="BG906">
        <f t="shared" ca="1" si="400"/>
        <v>0</v>
      </c>
      <c r="BH906" t="str">
        <f ca="1">IF(BG906=1,IF(INDEX(分析データ!$A:$A,ROW()+$C$5)&lt;&gt;"",50000*SIGN(BF906)*(分析データ!D906-INDEX(分析データ!D:D,ROW()+$C$5)),""),"")</f>
        <v/>
      </c>
      <c r="BI906">
        <f t="shared" ca="1" si="401"/>
        <v>5570000.0000000205</v>
      </c>
      <c r="BJ906">
        <f t="shared" ca="1" si="402"/>
        <v>5570000.0000000205</v>
      </c>
      <c r="BK906">
        <f t="shared" ca="1" si="403"/>
        <v>0</v>
      </c>
      <c r="BL906">
        <f ca="1">IF(ROW()&lt;($C$7+1),"",IFERROR((分析データ!E906-AVERAGE(OFFSET(分析データ!E$1,MAX(1,ROW()-$C$7),0,MIN($C$7,ROW()-1),1)))/STDEV(OFFSET(分析データ!E$1,MAX(1,ROW()-$C$7),0,MIN($C$7,ROW()-1),1)),0))</f>
        <v>-0.93650098200116161</v>
      </c>
      <c r="BM906">
        <f t="shared" ca="1" si="404"/>
        <v>0</v>
      </c>
      <c r="BN906" t="str">
        <f ca="1">IF(BM906=1,IF(INDEX(分析データ!$A:$A,ROW()+$C$5)&lt;&gt;"",40000*SIGN(BL906)*(分析データ!E906-INDEX(分析データ!E:E,ROW()+$C$5)),""),"")</f>
        <v/>
      </c>
      <c r="BO906">
        <f t="shared" ca="1" si="405"/>
        <v>2720000.0000000014</v>
      </c>
      <c r="BP906">
        <f t="shared" ca="1" si="406"/>
        <v>4280000.0000000028</v>
      </c>
      <c r="BQ906">
        <f t="shared" ca="1" si="407"/>
        <v>-1560000.0000000014</v>
      </c>
      <c r="BR906">
        <f ca="1">IF(ROW()&lt;($C$7+1),"",IFERROR((分析データ!F906-AVERAGE(OFFSET(分析データ!F$1,MAX(1,ROW()-$C$7),0,MIN($C$7,ROW()-1),1)))/STDEV(OFFSET(分析データ!F$1,MAX(1,ROW()-$C$7),0,MIN($C$7,ROW()-1),1)),0))</f>
        <v>-1.2445018592797406</v>
      </c>
      <c r="BS906">
        <f t="shared" ca="1" si="408"/>
        <v>0</v>
      </c>
      <c r="BT906" t="str">
        <f ca="1">IF(BS906=1,IF(INDEX(分析データ!$A:$A,ROW()+$C$5)&lt;&gt;"",40000*SIGN(BR906)*(分析データ!F906-INDEX(分析データ!F:F,ROW()+$C$5)),""),"")</f>
        <v/>
      </c>
      <c r="BU906">
        <f t="shared" ca="1" si="409"/>
        <v>19816800</v>
      </c>
      <c r="BV906">
        <f t="shared" ca="1" si="410"/>
        <v>19816800</v>
      </c>
      <c r="BW906">
        <f t="shared" ca="1" si="411"/>
        <v>0</v>
      </c>
      <c r="BX906">
        <f ca="1">IF(ROW()&lt;($C$7+1),"",IFERROR((分析データ!G906-AVERAGE(OFFSET(分析データ!G$1,MAX(1,ROW()-$C$7),0,MIN($C$7,ROW()-1),1)))/STDEV(OFFSET(分析データ!G$1,MAX(1,ROW()-$C$7),0,MIN($C$7,ROW()-1),1)),0))</f>
        <v>0.92906275803410165</v>
      </c>
      <c r="BY906">
        <f t="shared" ca="1" si="412"/>
        <v>0</v>
      </c>
      <c r="BZ906" t="str">
        <f ca="1">IF(BY906=1,IF(INDEX(分析データ!$A:$A,ROW()+$C$5)&lt;&gt;"",40000*SIGN(BX906)*(分析データ!G906-INDEX(分析データ!G:G,ROW()+$C$5)),""),"")</f>
        <v/>
      </c>
      <c r="CA906">
        <f t="shared" ca="1" si="413"/>
        <v>-3515452.8662109179</v>
      </c>
      <c r="CB906">
        <f t="shared" ca="1" si="414"/>
        <v>11327520.000000004</v>
      </c>
      <c r="CC906">
        <f t="shared" ca="1" si="415"/>
        <v>-14842972.866210923</v>
      </c>
      <c r="CD906">
        <f t="shared" ca="1" si="416"/>
        <v>0</v>
      </c>
      <c r="CE906">
        <f t="shared" ca="1" si="417"/>
        <v>23090347.13378913</v>
      </c>
      <c r="CF906">
        <f t="shared" ca="1" si="418"/>
        <v>23090347.13378913</v>
      </c>
      <c r="CG906">
        <f t="shared" ca="1" si="419"/>
        <v>0</v>
      </c>
      <c r="CH906" s="10">
        <f>分析データ!A906</f>
        <v>46248</v>
      </c>
    </row>
    <row r="907" spans="46:86">
      <c r="AT907">
        <f ca="1">IF(ROW()&lt;($C$7+1),"",IFERROR((分析データ!B907-AVERAGE(OFFSET(分析データ!B$1,MAX(1,ROW()-$C$7),0,MIN($C$7,ROW()-1),1)))/STDEV(OFFSET(分析データ!B$1,MAX(1,ROW()-$C$7),0,MIN($C$7,ROW()-1),1)),0))</f>
        <v>-0.13240119426867369</v>
      </c>
      <c r="AU907">
        <f t="shared" ca="1" si="392"/>
        <v>0</v>
      </c>
      <c r="AV907" t="str">
        <f ca="1">IF(AU907=1,IF(INDEX(分析データ!$A:$A,ROW()+$C$5)&lt;&gt;"",80000*SIGN(AT907)*(分析データ!B907-INDEX(分析データ!B:B,ROW()+$C$5)),""),"")</f>
        <v/>
      </c>
      <c r="AW907">
        <f t="shared" ca="1" si="393"/>
        <v>-1240000.0000000019</v>
      </c>
      <c r="AX907">
        <f t="shared" ca="1" si="394"/>
        <v>0</v>
      </c>
      <c r="AY907">
        <f t="shared" ca="1" si="395"/>
        <v>-1240000.0000000019</v>
      </c>
      <c r="AZ907">
        <f ca="1">IF(ROW()&lt;($C$7+1),"",IFERROR((分析データ!C907-AVERAGE(OFFSET(分析データ!C$1,MAX(1,ROW()-$C$7),0,MIN($C$7,ROW()-1),1)))/STDEV(OFFSET(分析データ!C$1,MAX(1,ROW()-$C$7),0,MIN($C$7,ROW()-1),1)),0))</f>
        <v>1.3103981599720465</v>
      </c>
      <c r="BA907">
        <f t="shared" ca="1" si="396"/>
        <v>0</v>
      </c>
      <c r="BB907" t="str">
        <f ca="1">IF(BA907=1,IF(INDEX(分析データ!$A:$A,ROW()+$C$5)&lt;&gt;"",60000*SIGN(AZ907)*(分析データ!C907-INDEX(分析データ!C:C,ROW()+$C$5)),""),"")</f>
        <v/>
      </c>
      <c r="BC907">
        <f t="shared" ca="1" si="397"/>
        <v>-260999.9999999851</v>
      </c>
      <c r="BD907">
        <f t="shared" ca="1" si="398"/>
        <v>3156000.0000000107</v>
      </c>
      <c r="BE907">
        <f t="shared" ca="1" si="399"/>
        <v>-3416999.9999999958</v>
      </c>
      <c r="BF907">
        <f ca="1">IF(ROW()&lt;($C$7+1),"",IFERROR((分析データ!D907-AVERAGE(OFFSET(分析データ!D$1,MAX(1,ROW()-$C$7),0,MIN($C$7,ROW()-1),1)))/STDEV(OFFSET(分析データ!D$1,MAX(1,ROW()-$C$7),0,MIN($C$7,ROW()-1),1)),0))</f>
        <v>-0.62989384083742317</v>
      </c>
      <c r="BG907">
        <f t="shared" ca="1" si="400"/>
        <v>0</v>
      </c>
      <c r="BH907" t="str">
        <f ca="1">IF(BG907=1,IF(INDEX(分析データ!$A:$A,ROW()+$C$5)&lt;&gt;"",50000*SIGN(BF907)*(分析データ!D907-INDEX(分析データ!D:D,ROW()+$C$5)),""),"")</f>
        <v/>
      </c>
      <c r="BI907">
        <f t="shared" ca="1" si="401"/>
        <v>5570000.0000000205</v>
      </c>
      <c r="BJ907">
        <f t="shared" ca="1" si="402"/>
        <v>5570000.0000000205</v>
      </c>
      <c r="BK907">
        <f t="shared" ca="1" si="403"/>
        <v>0</v>
      </c>
      <c r="BL907">
        <f ca="1">IF(ROW()&lt;($C$7+1),"",IFERROR((分析データ!E907-AVERAGE(OFFSET(分析データ!E$1,MAX(1,ROW()-$C$7),0,MIN($C$7,ROW()-1),1)))/STDEV(OFFSET(分析データ!E$1,MAX(1,ROW()-$C$7),0,MIN($C$7,ROW()-1),1)),0))</f>
        <v>-0.6573699628074513</v>
      </c>
      <c r="BM907">
        <f t="shared" ca="1" si="404"/>
        <v>0</v>
      </c>
      <c r="BN907" t="str">
        <f ca="1">IF(BM907=1,IF(INDEX(分析データ!$A:$A,ROW()+$C$5)&lt;&gt;"",40000*SIGN(BL907)*(分析データ!E907-INDEX(分析データ!E:E,ROW()+$C$5)),""),"")</f>
        <v/>
      </c>
      <c r="BO907">
        <f t="shared" ca="1" si="405"/>
        <v>2720000.0000000014</v>
      </c>
      <c r="BP907">
        <f t="shared" ca="1" si="406"/>
        <v>4280000.0000000028</v>
      </c>
      <c r="BQ907">
        <f t="shared" ca="1" si="407"/>
        <v>-1560000.0000000014</v>
      </c>
      <c r="BR907">
        <f ca="1">IF(ROW()&lt;($C$7+1),"",IFERROR((分析データ!F907-AVERAGE(OFFSET(分析データ!F$1,MAX(1,ROW()-$C$7),0,MIN($C$7,ROW()-1),1)))/STDEV(OFFSET(分析データ!F$1,MAX(1,ROW()-$C$7),0,MIN($C$7,ROW()-1),1)),0))</f>
        <v>-1.0776214697901834</v>
      </c>
      <c r="BS907">
        <f t="shared" ca="1" si="408"/>
        <v>0</v>
      </c>
      <c r="BT907" t="str">
        <f ca="1">IF(BS907=1,IF(INDEX(分析データ!$A:$A,ROW()+$C$5)&lt;&gt;"",40000*SIGN(BR907)*(分析データ!F907-INDEX(分析データ!F:F,ROW()+$C$5)),""),"")</f>
        <v/>
      </c>
      <c r="BU907">
        <f t="shared" ca="1" si="409"/>
        <v>19816800</v>
      </c>
      <c r="BV907">
        <f t="shared" ca="1" si="410"/>
        <v>19816800</v>
      </c>
      <c r="BW907">
        <f t="shared" ca="1" si="411"/>
        <v>0</v>
      </c>
      <c r="BX907">
        <f ca="1">IF(ROW()&lt;($C$7+1),"",IFERROR((分析データ!G907-AVERAGE(OFFSET(分析データ!G$1,MAX(1,ROW()-$C$7),0,MIN($C$7,ROW()-1),1)))/STDEV(OFFSET(分析データ!G$1,MAX(1,ROW()-$C$7),0,MIN($C$7,ROW()-1),1)),0))</f>
        <v>0.9599987684501784</v>
      </c>
      <c r="BY907">
        <f t="shared" ca="1" si="412"/>
        <v>0</v>
      </c>
      <c r="BZ907" t="str">
        <f ca="1">IF(BY907=1,IF(INDEX(分析データ!$A:$A,ROW()+$C$5)&lt;&gt;"",40000*SIGN(BX907)*(分析データ!G907-INDEX(分析データ!G:G,ROW()+$C$5)),""),"")</f>
        <v/>
      </c>
      <c r="CA907">
        <f t="shared" ca="1" si="413"/>
        <v>-3515452.8662109179</v>
      </c>
      <c r="CB907">
        <f t="shared" ca="1" si="414"/>
        <v>11327520.000000004</v>
      </c>
      <c r="CC907">
        <f t="shared" ca="1" si="415"/>
        <v>-14842972.866210923</v>
      </c>
      <c r="CD907">
        <f t="shared" ca="1" si="416"/>
        <v>0</v>
      </c>
      <c r="CE907">
        <f t="shared" ca="1" si="417"/>
        <v>23090347.13378913</v>
      </c>
      <c r="CF907">
        <f t="shared" ca="1" si="418"/>
        <v>23090347.13378913</v>
      </c>
      <c r="CG907">
        <f t="shared" ca="1" si="419"/>
        <v>0</v>
      </c>
      <c r="CH907" s="10">
        <f>分析データ!A907</f>
        <v>46251</v>
      </c>
    </row>
    <row r="908" spans="46:86">
      <c r="AT908">
        <f ca="1">IF(ROW()&lt;($C$7+1),"",IFERROR((分析データ!B908-AVERAGE(OFFSET(分析データ!B$1,MAX(1,ROW()-$C$7),0,MIN($C$7,ROW()-1),1)))/STDEV(OFFSET(分析データ!B$1,MAX(1,ROW()-$C$7),0,MIN($C$7,ROW()-1),1)),0))</f>
        <v>3.3430569442723136E-2</v>
      </c>
      <c r="AU908">
        <f t="shared" ca="1" si="392"/>
        <v>0</v>
      </c>
      <c r="AV908" t="str">
        <f ca="1">IF(AU908=1,IF(INDEX(分析データ!$A:$A,ROW()+$C$5)&lt;&gt;"",80000*SIGN(AT908)*(分析データ!B908-INDEX(分析データ!B:B,ROW()+$C$5)),""),"")</f>
        <v/>
      </c>
      <c r="AW908">
        <f t="shared" ca="1" si="393"/>
        <v>-1240000.0000000019</v>
      </c>
      <c r="AX908">
        <f t="shared" ca="1" si="394"/>
        <v>0</v>
      </c>
      <c r="AY908">
        <f t="shared" ca="1" si="395"/>
        <v>-1240000.0000000019</v>
      </c>
      <c r="AZ908">
        <f ca="1">IF(ROW()&lt;($C$7+1),"",IFERROR((分析データ!C908-AVERAGE(OFFSET(分析データ!C$1,MAX(1,ROW()-$C$7),0,MIN($C$7,ROW()-1),1)))/STDEV(OFFSET(分析データ!C$1,MAX(1,ROW()-$C$7),0,MIN($C$7,ROW()-1),1)),0))</f>
        <v>1.2999846892386253</v>
      </c>
      <c r="BA908">
        <f t="shared" ca="1" si="396"/>
        <v>0</v>
      </c>
      <c r="BB908" t="str">
        <f ca="1">IF(BA908=1,IF(INDEX(分析データ!$A:$A,ROW()+$C$5)&lt;&gt;"",60000*SIGN(AZ908)*(分析データ!C908-INDEX(分析データ!C:C,ROW()+$C$5)),""),"")</f>
        <v/>
      </c>
      <c r="BC908">
        <f t="shared" ca="1" si="397"/>
        <v>-260999.9999999851</v>
      </c>
      <c r="BD908">
        <f t="shared" ca="1" si="398"/>
        <v>3156000.0000000107</v>
      </c>
      <c r="BE908">
        <f t="shared" ca="1" si="399"/>
        <v>-3416999.9999999958</v>
      </c>
      <c r="BF908">
        <f ca="1">IF(ROW()&lt;($C$7+1),"",IFERROR((分析データ!D908-AVERAGE(OFFSET(分析データ!D$1,MAX(1,ROW()-$C$7),0,MIN($C$7,ROW()-1),1)))/STDEV(OFFSET(分析データ!D$1,MAX(1,ROW()-$C$7),0,MIN($C$7,ROW()-1),1)),0))</f>
        <v>-0.66222501857324756</v>
      </c>
      <c r="BG908">
        <f t="shared" ca="1" si="400"/>
        <v>0</v>
      </c>
      <c r="BH908" t="str">
        <f ca="1">IF(BG908=1,IF(INDEX(分析データ!$A:$A,ROW()+$C$5)&lt;&gt;"",50000*SIGN(BF908)*(分析データ!D908-INDEX(分析データ!D:D,ROW()+$C$5)),""),"")</f>
        <v/>
      </c>
      <c r="BI908">
        <f t="shared" ca="1" si="401"/>
        <v>5570000.0000000205</v>
      </c>
      <c r="BJ908">
        <f t="shared" ca="1" si="402"/>
        <v>5570000.0000000205</v>
      </c>
      <c r="BK908">
        <f t="shared" ca="1" si="403"/>
        <v>0</v>
      </c>
      <c r="BL908">
        <f ca="1">IF(ROW()&lt;($C$7+1),"",IFERROR((分析データ!E908-AVERAGE(OFFSET(分析データ!E$1,MAX(1,ROW()-$C$7),0,MIN($C$7,ROW()-1),1)))/STDEV(OFFSET(分析データ!E$1,MAX(1,ROW()-$C$7),0,MIN($C$7,ROW()-1),1)),0))</f>
        <v>-0.65140007091781094</v>
      </c>
      <c r="BM908">
        <f t="shared" ca="1" si="404"/>
        <v>0</v>
      </c>
      <c r="BN908" t="str">
        <f ca="1">IF(BM908=1,IF(INDEX(分析データ!$A:$A,ROW()+$C$5)&lt;&gt;"",40000*SIGN(BL908)*(分析データ!E908-INDEX(分析データ!E:E,ROW()+$C$5)),""),"")</f>
        <v/>
      </c>
      <c r="BO908">
        <f t="shared" ca="1" si="405"/>
        <v>2720000.0000000014</v>
      </c>
      <c r="BP908">
        <f t="shared" ca="1" si="406"/>
        <v>4280000.0000000028</v>
      </c>
      <c r="BQ908">
        <f t="shared" ca="1" si="407"/>
        <v>-1560000.0000000014</v>
      </c>
      <c r="BR908">
        <f ca="1">IF(ROW()&lt;($C$7+1),"",IFERROR((分析データ!F908-AVERAGE(OFFSET(分析データ!F$1,MAX(1,ROW()-$C$7),0,MIN($C$7,ROW()-1),1)))/STDEV(OFFSET(分析データ!F$1,MAX(1,ROW()-$C$7),0,MIN($C$7,ROW()-1),1)),0))</f>
        <v>-0.8552147575173511</v>
      </c>
      <c r="BS908">
        <f t="shared" ca="1" si="408"/>
        <v>0</v>
      </c>
      <c r="BT908" t="str">
        <f ca="1">IF(BS908=1,IF(INDEX(分析データ!$A:$A,ROW()+$C$5)&lt;&gt;"",40000*SIGN(BR908)*(分析データ!F908-INDEX(分析データ!F:F,ROW()+$C$5)),""),"")</f>
        <v/>
      </c>
      <c r="BU908">
        <f t="shared" ca="1" si="409"/>
        <v>19816800</v>
      </c>
      <c r="BV908">
        <f t="shared" ca="1" si="410"/>
        <v>19816800</v>
      </c>
      <c r="BW908">
        <f t="shared" ca="1" si="411"/>
        <v>0</v>
      </c>
      <c r="BX908">
        <f ca="1">IF(ROW()&lt;($C$7+1),"",IFERROR((分析データ!G908-AVERAGE(OFFSET(分析データ!G$1,MAX(1,ROW()-$C$7),0,MIN($C$7,ROW()-1),1)))/STDEV(OFFSET(分析データ!G$1,MAX(1,ROW()-$C$7),0,MIN($C$7,ROW()-1),1)),0))</f>
        <v>0.87004253846437984</v>
      </c>
      <c r="BY908">
        <f t="shared" ca="1" si="412"/>
        <v>0</v>
      </c>
      <c r="BZ908" t="str">
        <f ca="1">IF(BY908=1,IF(INDEX(分析データ!$A:$A,ROW()+$C$5)&lt;&gt;"",40000*SIGN(BX908)*(分析データ!G908-INDEX(分析データ!G:G,ROW()+$C$5)),""),"")</f>
        <v/>
      </c>
      <c r="CA908">
        <f t="shared" ca="1" si="413"/>
        <v>-3515452.8662109179</v>
      </c>
      <c r="CB908">
        <f t="shared" ca="1" si="414"/>
        <v>11327520.000000004</v>
      </c>
      <c r="CC908">
        <f t="shared" ca="1" si="415"/>
        <v>-14842972.866210923</v>
      </c>
      <c r="CD908">
        <f t="shared" ca="1" si="416"/>
        <v>0</v>
      </c>
      <c r="CE908">
        <f t="shared" ca="1" si="417"/>
        <v>23090347.13378913</v>
      </c>
      <c r="CF908">
        <f t="shared" ca="1" si="418"/>
        <v>23090347.13378913</v>
      </c>
      <c r="CG908">
        <f t="shared" ca="1" si="419"/>
        <v>0</v>
      </c>
      <c r="CH908" s="10">
        <f>分析データ!A908</f>
        <v>46252</v>
      </c>
    </row>
    <row r="909" spans="46:86">
      <c r="AT909">
        <f ca="1">IF(ROW()&lt;($C$7+1),"",IFERROR((分析データ!B909-AVERAGE(OFFSET(分析データ!B$1,MAX(1,ROW()-$C$7),0,MIN($C$7,ROW()-1),1)))/STDEV(OFFSET(分析データ!B$1,MAX(1,ROW()-$C$7),0,MIN($C$7,ROW()-1),1)),0))</f>
        <v>-0.45778954406630862</v>
      </c>
      <c r="AU909">
        <f t="shared" ca="1" si="392"/>
        <v>0</v>
      </c>
      <c r="AV909" t="str">
        <f ca="1">IF(AU909=1,IF(INDEX(分析データ!$A:$A,ROW()+$C$5)&lt;&gt;"",80000*SIGN(AT909)*(分析データ!B909-INDEX(分析データ!B:B,ROW()+$C$5)),""),"")</f>
        <v/>
      </c>
      <c r="AW909">
        <f t="shared" ca="1" si="393"/>
        <v>-1240000.0000000019</v>
      </c>
      <c r="AX909">
        <f t="shared" ca="1" si="394"/>
        <v>0</v>
      </c>
      <c r="AY909">
        <f t="shared" ca="1" si="395"/>
        <v>-1240000.0000000019</v>
      </c>
      <c r="AZ909">
        <f ca="1">IF(ROW()&lt;($C$7+1),"",IFERROR((分析データ!C909-AVERAGE(OFFSET(分析データ!C$1,MAX(1,ROW()-$C$7),0,MIN($C$7,ROW()-1),1)))/STDEV(OFFSET(分析データ!C$1,MAX(1,ROW()-$C$7),0,MIN($C$7,ROW()-1),1)),0))</f>
        <v>1.2896282475657275</v>
      </c>
      <c r="BA909">
        <f t="shared" ca="1" si="396"/>
        <v>0</v>
      </c>
      <c r="BB909" t="str">
        <f ca="1">IF(BA909=1,IF(INDEX(分析データ!$A:$A,ROW()+$C$5)&lt;&gt;"",60000*SIGN(AZ909)*(分析データ!C909-INDEX(分析データ!C:C,ROW()+$C$5)),""),"")</f>
        <v/>
      </c>
      <c r="BC909">
        <f t="shared" ca="1" si="397"/>
        <v>-260999.9999999851</v>
      </c>
      <c r="BD909">
        <f t="shared" ca="1" si="398"/>
        <v>3156000.0000000107</v>
      </c>
      <c r="BE909">
        <f t="shared" ca="1" si="399"/>
        <v>-3416999.9999999958</v>
      </c>
      <c r="BF909">
        <f ca="1">IF(ROW()&lt;($C$7+1),"",IFERROR((分析データ!D909-AVERAGE(OFFSET(分析データ!D$1,MAX(1,ROW()-$C$7),0,MIN($C$7,ROW()-1),1)))/STDEV(OFFSET(分析データ!D$1,MAX(1,ROW()-$C$7),0,MIN($C$7,ROW()-1),1)),0))</f>
        <v>-0.88569311103865456</v>
      </c>
      <c r="BG909">
        <f t="shared" ca="1" si="400"/>
        <v>0</v>
      </c>
      <c r="BH909" t="str">
        <f ca="1">IF(BG909=1,IF(INDEX(分析データ!$A:$A,ROW()+$C$5)&lt;&gt;"",50000*SIGN(BF909)*(分析データ!D909-INDEX(分析データ!D:D,ROW()+$C$5)),""),"")</f>
        <v/>
      </c>
      <c r="BI909">
        <f t="shared" ca="1" si="401"/>
        <v>5570000.0000000205</v>
      </c>
      <c r="BJ909">
        <f t="shared" ca="1" si="402"/>
        <v>5570000.0000000205</v>
      </c>
      <c r="BK909">
        <f t="shared" ca="1" si="403"/>
        <v>0</v>
      </c>
      <c r="BL909">
        <f ca="1">IF(ROW()&lt;($C$7+1),"",IFERROR((分析データ!E909-AVERAGE(OFFSET(分析データ!E$1,MAX(1,ROW()-$C$7),0,MIN($C$7,ROW()-1),1)))/STDEV(OFFSET(分析データ!E$1,MAX(1,ROW()-$C$7),0,MIN($C$7,ROW()-1),1)),0))</f>
        <v>-1.190153869878618</v>
      </c>
      <c r="BM909">
        <f t="shared" ca="1" si="404"/>
        <v>0</v>
      </c>
      <c r="BN909" t="str">
        <f ca="1">IF(BM909=1,IF(INDEX(分析データ!$A:$A,ROW()+$C$5)&lt;&gt;"",40000*SIGN(BL909)*(分析データ!E909-INDEX(分析データ!E:E,ROW()+$C$5)),""),"")</f>
        <v/>
      </c>
      <c r="BO909">
        <f t="shared" ca="1" si="405"/>
        <v>2720000.0000000014</v>
      </c>
      <c r="BP909">
        <f t="shared" ca="1" si="406"/>
        <v>4280000.0000000028</v>
      </c>
      <c r="BQ909">
        <f t="shared" ca="1" si="407"/>
        <v>-1560000.0000000014</v>
      </c>
      <c r="BR909">
        <f ca="1">IF(ROW()&lt;($C$7+1),"",IFERROR((分析データ!F909-AVERAGE(OFFSET(分析データ!F$1,MAX(1,ROW()-$C$7),0,MIN($C$7,ROW()-1),1)))/STDEV(OFFSET(分析データ!F$1,MAX(1,ROW()-$C$7),0,MIN($C$7,ROW()-1),1)),0))</f>
        <v>-0.43282253345396421</v>
      </c>
      <c r="BS909">
        <f t="shared" ca="1" si="408"/>
        <v>0</v>
      </c>
      <c r="BT909" t="str">
        <f ca="1">IF(BS909=1,IF(INDEX(分析データ!$A:$A,ROW()+$C$5)&lt;&gt;"",40000*SIGN(BR909)*(分析データ!F909-INDEX(分析データ!F:F,ROW()+$C$5)),""),"")</f>
        <v/>
      </c>
      <c r="BU909">
        <f t="shared" ca="1" si="409"/>
        <v>19816800</v>
      </c>
      <c r="BV909">
        <f t="shared" ca="1" si="410"/>
        <v>19816800</v>
      </c>
      <c r="BW909">
        <f t="shared" ca="1" si="411"/>
        <v>0</v>
      </c>
      <c r="BX909">
        <f ca="1">IF(ROW()&lt;($C$7+1),"",IFERROR((分析データ!G909-AVERAGE(OFFSET(分析データ!G$1,MAX(1,ROW()-$C$7),0,MIN($C$7,ROW()-1),1)))/STDEV(OFFSET(分析データ!G$1,MAX(1,ROW()-$C$7),0,MIN($C$7,ROW()-1),1)),0))</f>
        <v>0.92911844658118214</v>
      </c>
      <c r="BY909">
        <f t="shared" ca="1" si="412"/>
        <v>0</v>
      </c>
      <c r="BZ909" t="str">
        <f ca="1">IF(BY909=1,IF(INDEX(分析データ!$A:$A,ROW()+$C$5)&lt;&gt;"",40000*SIGN(BX909)*(分析データ!G909-INDEX(分析データ!G:G,ROW()+$C$5)),""),"")</f>
        <v/>
      </c>
      <c r="CA909">
        <f t="shared" ca="1" si="413"/>
        <v>-3515452.8662109179</v>
      </c>
      <c r="CB909">
        <f t="shared" ca="1" si="414"/>
        <v>11327520.000000004</v>
      </c>
      <c r="CC909">
        <f t="shared" ca="1" si="415"/>
        <v>-14842972.866210923</v>
      </c>
      <c r="CD909">
        <f t="shared" ca="1" si="416"/>
        <v>0</v>
      </c>
      <c r="CE909">
        <f t="shared" ca="1" si="417"/>
        <v>23090347.13378913</v>
      </c>
      <c r="CF909">
        <f t="shared" ca="1" si="418"/>
        <v>23090347.13378913</v>
      </c>
      <c r="CG909">
        <f t="shared" ca="1" si="419"/>
        <v>0</v>
      </c>
      <c r="CH909" s="10">
        <f>分析データ!A909</f>
        <v>46253</v>
      </c>
    </row>
    <row r="910" spans="46:86">
      <c r="AT910">
        <f ca="1">IF(ROW()&lt;($C$7+1),"",IFERROR((分析データ!B910-AVERAGE(OFFSET(分析データ!B$1,MAX(1,ROW()-$C$7),0,MIN($C$7,ROW()-1),1)))/STDEV(OFFSET(分析データ!B$1,MAX(1,ROW()-$C$7),0,MIN($C$7,ROW()-1),1)),0))</f>
        <v>0.20401059354534004</v>
      </c>
      <c r="AU910">
        <f t="shared" ca="1" si="392"/>
        <v>0</v>
      </c>
      <c r="AV910" t="str">
        <f ca="1">IF(AU910=1,IF(INDEX(分析データ!$A:$A,ROW()+$C$5)&lt;&gt;"",80000*SIGN(AT910)*(分析データ!B910-INDEX(分析データ!B:B,ROW()+$C$5)),""),"")</f>
        <v/>
      </c>
      <c r="AW910">
        <f t="shared" ca="1" si="393"/>
        <v>-1240000.0000000019</v>
      </c>
      <c r="AX910">
        <f t="shared" ca="1" si="394"/>
        <v>0</v>
      </c>
      <c r="AY910">
        <f t="shared" ca="1" si="395"/>
        <v>-1240000.0000000019</v>
      </c>
      <c r="AZ910">
        <f ca="1">IF(ROW()&lt;($C$7+1),"",IFERROR((分析データ!C910-AVERAGE(OFFSET(分析データ!C$1,MAX(1,ROW()-$C$7),0,MIN($C$7,ROW()-1),1)))/STDEV(OFFSET(分析データ!C$1,MAX(1,ROW()-$C$7),0,MIN($C$7,ROW()-1),1)),0))</f>
        <v>1.2794396235882721</v>
      </c>
      <c r="BA910">
        <f t="shared" ca="1" si="396"/>
        <v>0</v>
      </c>
      <c r="BB910" t="str">
        <f ca="1">IF(BA910=1,IF(INDEX(分析データ!$A:$A,ROW()+$C$5)&lt;&gt;"",60000*SIGN(AZ910)*(分析データ!C910-INDEX(分析データ!C:C,ROW()+$C$5)),""),"")</f>
        <v/>
      </c>
      <c r="BC910">
        <f t="shared" ca="1" si="397"/>
        <v>-260999.9999999851</v>
      </c>
      <c r="BD910">
        <f t="shared" ca="1" si="398"/>
        <v>3156000.0000000107</v>
      </c>
      <c r="BE910">
        <f t="shared" ca="1" si="399"/>
        <v>-3416999.9999999958</v>
      </c>
      <c r="BF910">
        <f ca="1">IF(ROW()&lt;($C$7+1),"",IFERROR((分析データ!D910-AVERAGE(OFFSET(分析データ!D$1,MAX(1,ROW()-$C$7),0,MIN($C$7,ROW()-1),1)))/STDEV(OFFSET(分析データ!D$1,MAX(1,ROW()-$C$7),0,MIN($C$7,ROW()-1),1)),0))</f>
        <v>-0.72851837627539817</v>
      </c>
      <c r="BG910">
        <f t="shared" ca="1" si="400"/>
        <v>0</v>
      </c>
      <c r="BH910" t="str">
        <f ca="1">IF(BG910=1,IF(INDEX(分析データ!$A:$A,ROW()+$C$5)&lt;&gt;"",50000*SIGN(BF910)*(分析データ!D910-INDEX(分析データ!D:D,ROW()+$C$5)),""),"")</f>
        <v/>
      </c>
      <c r="BI910">
        <f t="shared" ca="1" si="401"/>
        <v>5570000.0000000205</v>
      </c>
      <c r="BJ910">
        <f t="shared" ca="1" si="402"/>
        <v>5570000.0000000205</v>
      </c>
      <c r="BK910">
        <f t="shared" ca="1" si="403"/>
        <v>0</v>
      </c>
      <c r="BL910">
        <f ca="1">IF(ROW()&lt;($C$7+1),"",IFERROR((分析データ!E910-AVERAGE(OFFSET(分析データ!E$1,MAX(1,ROW()-$C$7),0,MIN($C$7,ROW()-1),1)))/STDEV(OFFSET(分析データ!E$1,MAX(1,ROW()-$C$7),0,MIN($C$7,ROW()-1),1)),0))</f>
        <v>-1.1809249585398014</v>
      </c>
      <c r="BM910">
        <f t="shared" ca="1" si="404"/>
        <v>0</v>
      </c>
      <c r="BN910" t="str">
        <f ca="1">IF(BM910=1,IF(INDEX(分析データ!$A:$A,ROW()+$C$5)&lt;&gt;"",40000*SIGN(BL910)*(分析データ!E910-INDEX(分析データ!E:E,ROW()+$C$5)),""),"")</f>
        <v/>
      </c>
      <c r="BO910">
        <f t="shared" ca="1" si="405"/>
        <v>2720000.0000000014</v>
      </c>
      <c r="BP910">
        <f t="shared" ca="1" si="406"/>
        <v>4280000.0000000028</v>
      </c>
      <c r="BQ910">
        <f t="shared" ca="1" si="407"/>
        <v>-1560000.0000000014</v>
      </c>
      <c r="BR910">
        <f ca="1">IF(ROW()&lt;($C$7+1),"",IFERROR((分析データ!F910-AVERAGE(OFFSET(分析データ!F$1,MAX(1,ROW()-$C$7),0,MIN($C$7,ROW()-1),1)))/STDEV(OFFSET(分析データ!F$1,MAX(1,ROW()-$C$7),0,MIN($C$7,ROW()-1),1)),0))</f>
        <v>-0.70526911357967903</v>
      </c>
      <c r="BS910">
        <f t="shared" ca="1" si="408"/>
        <v>0</v>
      </c>
      <c r="BT910" t="str">
        <f ca="1">IF(BS910=1,IF(INDEX(分析データ!$A:$A,ROW()+$C$5)&lt;&gt;"",40000*SIGN(BR910)*(分析データ!F910-INDEX(分析データ!F:F,ROW()+$C$5)),""),"")</f>
        <v/>
      </c>
      <c r="BU910">
        <f t="shared" ca="1" si="409"/>
        <v>19816800</v>
      </c>
      <c r="BV910">
        <f t="shared" ca="1" si="410"/>
        <v>19816800</v>
      </c>
      <c r="BW910">
        <f t="shared" ca="1" si="411"/>
        <v>0</v>
      </c>
      <c r="BX910">
        <f ca="1">IF(ROW()&lt;($C$7+1),"",IFERROR((分析データ!G910-AVERAGE(OFFSET(分析データ!G$1,MAX(1,ROW()-$C$7),0,MIN($C$7,ROW()-1),1)))/STDEV(OFFSET(分析データ!G$1,MAX(1,ROW()-$C$7),0,MIN($C$7,ROW()-1),1)),0))</f>
        <v>0.66870542218747475</v>
      </c>
      <c r="BY910">
        <f t="shared" ca="1" si="412"/>
        <v>0</v>
      </c>
      <c r="BZ910" t="str">
        <f ca="1">IF(BY910=1,IF(INDEX(分析データ!$A:$A,ROW()+$C$5)&lt;&gt;"",40000*SIGN(BX910)*(分析データ!G910-INDEX(分析データ!G:G,ROW()+$C$5)),""),"")</f>
        <v/>
      </c>
      <c r="CA910">
        <f t="shared" ca="1" si="413"/>
        <v>-3515452.8662109179</v>
      </c>
      <c r="CB910">
        <f t="shared" ca="1" si="414"/>
        <v>11327520.000000004</v>
      </c>
      <c r="CC910">
        <f t="shared" ca="1" si="415"/>
        <v>-14842972.866210923</v>
      </c>
      <c r="CD910">
        <f t="shared" ca="1" si="416"/>
        <v>0</v>
      </c>
      <c r="CE910">
        <f t="shared" ca="1" si="417"/>
        <v>23090347.13378913</v>
      </c>
      <c r="CF910">
        <f t="shared" ca="1" si="418"/>
        <v>23090347.13378913</v>
      </c>
      <c r="CG910">
        <f t="shared" ca="1" si="419"/>
        <v>0</v>
      </c>
      <c r="CH910" s="10">
        <f>分析データ!A910</f>
        <v>46254</v>
      </c>
    </row>
    <row r="911" spans="46:86">
      <c r="AT911">
        <f ca="1">IF(ROW()&lt;($C$7+1),"",IFERROR((分析データ!B911-AVERAGE(OFFSET(分析データ!B$1,MAX(1,ROW()-$C$7),0,MIN($C$7,ROW()-1),1)))/STDEV(OFFSET(分析データ!B$1,MAX(1,ROW()-$C$7),0,MIN($C$7,ROW()-1),1)),0))</f>
        <v>0.36790771402049222</v>
      </c>
      <c r="AU911">
        <f t="shared" ca="1" si="392"/>
        <v>0</v>
      </c>
      <c r="AV911" t="str">
        <f ca="1">IF(AU911=1,IF(INDEX(分析データ!$A:$A,ROW()+$C$5)&lt;&gt;"",80000*SIGN(AT911)*(分析データ!B911-INDEX(分析データ!B:B,ROW()+$C$5)),""),"")</f>
        <v/>
      </c>
      <c r="AW911">
        <f t="shared" ca="1" si="393"/>
        <v>-1240000.0000000019</v>
      </c>
      <c r="AX911">
        <f t="shared" ca="1" si="394"/>
        <v>0</v>
      </c>
      <c r="AY911">
        <f t="shared" ca="1" si="395"/>
        <v>-1240000.0000000019</v>
      </c>
      <c r="AZ911">
        <f ca="1">IF(ROW()&lt;($C$7+1),"",IFERROR((分析データ!C911-AVERAGE(OFFSET(分析データ!C$1,MAX(1,ROW()-$C$7),0,MIN($C$7,ROW()-1),1)))/STDEV(OFFSET(分析データ!C$1,MAX(1,ROW()-$C$7),0,MIN($C$7,ROW()-1),1)),0))</f>
        <v>1.2693592638373694</v>
      </c>
      <c r="BA911">
        <f t="shared" ca="1" si="396"/>
        <v>0</v>
      </c>
      <c r="BB911" t="str">
        <f ca="1">IF(BA911=1,IF(INDEX(分析データ!$A:$A,ROW()+$C$5)&lt;&gt;"",60000*SIGN(AZ911)*(分析データ!C911-INDEX(分析データ!C:C,ROW()+$C$5)),""),"")</f>
        <v/>
      </c>
      <c r="BC911">
        <f t="shared" ca="1" si="397"/>
        <v>-260999.9999999851</v>
      </c>
      <c r="BD911">
        <f t="shared" ca="1" si="398"/>
        <v>3156000.0000000107</v>
      </c>
      <c r="BE911">
        <f t="shared" ca="1" si="399"/>
        <v>-3416999.9999999958</v>
      </c>
      <c r="BF911">
        <f ca="1">IF(ROW()&lt;($C$7+1),"",IFERROR((分析データ!D911-AVERAGE(OFFSET(分析データ!D$1,MAX(1,ROW()-$C$7),0,MIN($C$7,ROW()-1),1)))/STDEV(OFFSET(分析データ!D$1,MAX(1,ROW()-$C$7),0,MIN($C$7,ROW()-1),1)),0))</f>
        <v>-0.5290011774998391</v>
      </c>
      <c r="BG911">
        <f t="shared" ca="1" si="400"/>
        <v>0</v>
      </c>
      <c r="BH911" t="str">
        <f ca="1">IF(BG911=1,IF(INDEX(分析データ!$A:$A,ROW()+$C$5)&lt;&gt;"",50000*SIGN(BF911)*(分析データ!D911-INDEX(分析データ!D:D,ROW()+$C$5)),""),"")</f>
        <v/>
      </c>
      <c r="BI911">
        <f t="shared" ca="1" si="401"/>
        <v>5570000.0000000205</v>
      </c>
      <c r="BJ911">
        <f t="shared" ca="1" si="402"/>
        <v>5570000.0000000205</v>
      </c>
      <c r="BK911">
        <f t="shared" ca="1" si="403"/>
        <v>0</v>
      </c>
      <c r="BL911">
        <f ca="1">IF(ROW()&lt;($C$7+1),"",IFERROR((分析データ!E911-AVERAGE(OFFSET(分析データ!E$1,MAX(1,ROW()-$C$7),0,MIN($C$7,ROW()-1),1)))/STDEV(OFFSET(分析データ!E$1,MAX(1,ROW()-$C$7),0,MIN($C$7,ROW()-1),1)),0))</f>
        <v>-1.0357517654511257</v>
      </c>
      <c r="BM911">
        <f t="shared" ca="1" si="404"/>
        <v>0</v>
      </c>
      <c r="BN911" t="str">
        <f ca="1">IF(BM911=1,IF(INDEX(分析データ!$A:$A,ROW()+$C$5)&lt;&gt;"",40000*SIGN(BL911)*(分析データ!E911-INDEX(分析データ!E:E,ROW()+$C$5)),""),"")</f>
        <v/>
      </c>
      <c r="BO911">
        <f t="shared" ca="1" si="405"/>
        <v>2720000.0000000014</v>
      </c>
      <c r="BP911">
        <f t="shared" ca="1" si="406"/>
        <v>4280000.0000000028</v>
      </c>
      <c r="BQ911">
        <f t="shared" ca="1" si="407"/>
        <v>-1560000.0000000014</v>
      </c>
      <c r="BR911">
        <f ca="1">IF(ROW()&lt;($C$7+1),"",IFERROR((分析データ!F911-AVERAGE(OFFSET(分析データ!F$1,MAX(1,ROW()-$C$7),0,MIN($C$7,ROW()-1),1)))/STDEV(OFFSET(分析データ!F$1,MAX(1,ROW()-$C$7),0,MIN($C$7,ROW()-1),1)),0))</f>
        <v>-1.0465721718967862</v>
      </c>
      <c r="BS911">
        <f t="shared" ca="1" si="408"/>
        <v>0</v>
      </c>
      <c r="BT911" t="str">
        <f ca="1">IF(BS911=1,IF(INDEX(分析データ!$A:$A,ROW()+$C$5)&lt;&gt;"",40000*SIGN(BR911)*(分析データ!F911-INDEX(分析データ!F:F,ROW()+$C$5)),""),"")</f>
        <v/>
      </c>
      <c r="BU911">
        <f t="shared" ca="1" si="409"/>
        <v>19816800</v>
      </c>
      <c r="BV911">
        <f t="shared" ca="1" si="410"/>
        <v>19816800</v>
      </c>
      <c r="BW911">
        <f t="shared" ca="1" si="411"/>
        <v>0</v>
      </c>
      <c r="BX911">
        <f ca="1">IF(ROW()&lt;($C$7+1),"",IFERROR((分析データ!G911-AVERAGE(OFFSET(分析データ!G$1,MAX(1,ROW()-$C$7),0,MIN($C$7,ROW()-1),1)))/STDEV(OFFSET(分析データ!G$1,MAX(1,ROW()-$C$7),0,MIN($C$7,ROW()-1),1)),0))</f>
        <v>0.66421169532955526</v>
      </c>
      <c r="BY911">
        <f t="shared" ca="1" si="412"/>
        <v>0</v>
      </c>
      <c r="BZ911" t="str">
        <f ca="1">IF(BY911=1,IF(INDEX(分析データ!$A:$A,ROW()+$C$5)&lt;&gt;"",40000*SIGN(BX911)*(分析データ!G911-INDEX(分析データ!G:G,ROW()+$C$5)),""),"")</f>
        <v/>
      </c>
      <c r="CA911">
        <f t="shared" ca="1" si="413"/>
        <v>-3515452.8662109179</v>
      </c>
      <c r="CB911">
        <f t="shared" ca="1" si="414"/>
        <v>11327520.000000004</v>
      </c>
      <c r="CC911">
        <f t="shared" ca="1" si="415"/>
        <v>-14842972.866210923</v>
      </c>
      <c r="CD911">
        <f t="shared" ca="1" si="416"/>
        <v>0</v>
      </c>
      <c r="CE911">
        <f t="shared" ca="1" si="417"/>
        <v>23090347.13378913</v>
      </c>
      <c r="CF911">
        <f t="shared" ca="1" si="418"/>
        <v>23090347.13378913</v>
      </c>
      <c r="CG911">
        <f t="shared" ca="1" si="419"/>
        <v>0</v>
      </c>
      <c r="CH911" s="10">
        <f>分析データ!A911</f>
        <v>46255</v>
      </c>
    </row>
    <row r="912" spans="46:86">
      <c r="AT912">
        <f ca="1">IF(ROW()&lt;($C$7+1),"",IFERROR((分析データ!B912-AVERAGE(OFFSET(分析データ!B$1,MAX(1,ROW()-$C$7),0,MIN($C$7,ROW()-1),1)))/STDEV(OFFSET(分析データ!B$1,MAX(1,ROW()-$C$7),0,MIN($C$7,ROW()-1),1)),0))</f>
        <v>0</v>
      </c>
      <c r="AU912">
        <f t="shared" ca="1" si="392"/>
        <v>0</v>
      </c>
      <c r="AV912" t="str">
        <f ca="1">IF(AU912=1,IF(INDEX(分析データ!$A:$A,ROW()+$C$5)&lt;&gt;"",80000*SIGN(AT912)*(分析データ!B912-INDEX(分析データ!B:B,ROW()+$C$5)),""),"")</f>
        <v/>
      </c>
      <c r="AW912">
        <f t="shared" ca="1" si="393"/>
        <v>-1240000.0000000019</v>
      </c>
      <c r="AX912">
        <f t="shared" ca="1" si="394"/>
        <v>0</v>
      </c>
      <c r="AY912">
        <f t="shared" ca="1" si="395"/>
        <v>-1240000.0000000019</v>
      </c>
      <c r="AZ912">
        <f ca="1">IF(ROW()&lt;($C$7+1),"",IFERROR((分析データ!C912-AVERAGE(OFFSET(分析データ!C$1,MAX(1,ROW()-$C$7),0,MIN($C$7,ROW()-1),1)))/STDEV(OFFSET(分析データ!C$1,MAX(1,ROW()-$C$7),0,MIN($C$7,ROW()-1),1)),0))</f>
        <v>0</v>
      </c>
      <c r="BA912">
        <f t="shared" ca="1" si="396"/>
        <v>0</v>
      </c>
      <c r="BB912" t="str">
        <f ca="1">IF(BA912=1,IF(INDEX(分析データ!$A:$A,ROW()+$C$5)&lt;&gt;"",60000*SIGN(AZ912)*(分析データ!C912-INDEX(分析データ!C:C,ROW()+$C$5)),""),"")</f>
        <v/>
      </c>
      <c r="BC912">
        <f t="shared" ca="1" si="397"/>
        <v>-260999.9999999851</v>
      </c>
      <c r="BD912">
        <f t="shared" ca="1" si="398"/>
        <v>3156000.0000000107</v>
      </c>
      <c r="BE912">
        <f t="shared" ca="1" si="399"/>
        <v>-3416999.9999999958</v>
      </c>
      <c r="BF912">
        <f ca="1">IF(ROW()&lt;($C$7+1),"",IFERROR((分析データ!D912-AVERAGE(OFFSET(分析データ!D$1,MAX(1,ROW()-$C$7),0,MIN($C$7,ROW()-1),1)))/STDEV(OFFSET(分析データ!D$1,MAX(1,ROW()-$C$7),0,MIN($C$7,ROW()-1),1)),0))</f>
        <v>0</v>
      </c>
      <c r="BG912">
        <f t="shared" ca="1" si="400"/>
        <v>0</v>
      </c>
      <c r="BH912" t="str">
        <f ca="1">IF(BG912=1,IF(INDEX(分析データ!$A:$A,ROW()+$C$5)&lt;&gt;"",50000*SIGN(BF912)*(分析データ!D912-INDEX(分析データ!D:D,ROW()+$C$5)),""),"")</f>
        <v/>
      </c>
      <c r="BI912">
        <f t="shared" ca="1" si="401"/>
        <v>5570000.0000000205</v>
      </c>
      <c r="BJ912">
        <f t="shared" ca="1" si="402"/>
        <v>5570000.0000000205</v>
      </c>
      <c r="BK912">
        <f t="shared" ca="1" si="403"/>
        <v>0</v>
      </c>
      <c r="BL912">
        <f ca="1">IF(ROW()&lt;($C$7+1),"",IFERROR((分析データ!E912-AVERAGE(OFFSET(分析データ!E$1,MAX(1,ROW()-$C$7),0,MIN($C$7,ROW()-1),1)))/STDEV(OFFSET(分析データ!E$1,MAX(1,ROW()-$C$7),0,MIN($C$7,ROW()-1),1)),0))</f>
        <v>0</v>
      </c>
      <c r="BM912">
        <f t="shared" ca="1" si="404"/>
        <v>0</v>
      </c>
      <c r="BN912" t="str">
        <f ca="1">IF(BM912=1,IF(INDEX(分析データ!$A:$A,ROW()+$C$5)&lt;&gt;"",40000*SIGN(BL912)*(分析データ!E912-INDEX(分析データ!E:E,ROW()+$C$5)),""),"")</f>
        <v/>
      </c>
      <c r="BO912">
        <f t="shared" ca="1" si="405"/>
        <v>2720000.0000000014</v>
      </c>
      <c r="BP912">
        <f t="shared" ca="1" si="406"/>
        <v>4280000.0000000028</v>
      </c>
      <c r="BQ912">
        <f t="shared" ca="1" si="407"/>
        <v>-1560000.0000000014</v>
      </c>
      <c r="BR912">
        <f ca="1">IF(ROW()&lt;($C$7+1),"",IFERROR((分析データ!F912-AVERAGE(OFFSET(分析データ!F$1,MAX(1,ROW()-$C$7),0,MIN($C$7,ROW()-1),1)))/STDEV(OFFSET(分析データ!F$1,MAX(1,ROW()-$C$7),0,MIN($C$7,ROW()-1),1)),0))</f>
        <v>0</v>
      </c>
      <c r="BS912">
        <f t="shared" ca="1" si="408"/>
        <v>0</v>
      </c>
      <c r="BT912" t="str">
        <f ca="1">IF(BS912=1,IF(INDEX(分析データ!$A:$A,ROW()+$C$5)&lt;&gt;"",40000*SIGN(BR912)*(分析データ!F912-INDEX(分析データ!F:F,ROW()+$C$5)),""),"")</f>
        <v/>
      </c>
      <c r="BU912">
        <f t="shared" ca="1" si="409"/>
        <v>19816800</v>
      </c>
      <c r="BV912">
        <f t="shared" ca="1" si="410"/>
        <v>19816800</v>
      </c>
      <c r="BW912">
        <f t="shared" ca="1" si="411"/>
        <v>0</v>
      </c>
      <c r="BX912">
        <f ca="1">IF(ROW()&lt;($C$7+1),"",IFERROR((分析データ!G912-AVERAGE(OFFSET(分析データ!G$1,MAX(1,ROW()-$C$7),0,MIN($C$7,ROW()-1),1)))/STDEV(OFFSET(分析データ!G$1,MAX(1,ROW()-$C$7),0,MIN($C$7,ROW()-1),1)),0))</f>
        <v>0</v>
      </c>
      <c r="BY912">
        <f t="shared" ca="1" si="412"/>
        <v>0</v>
      </c>
      <c r="BZ912" t="str">
        <f ca="1">IF(BY912=1,IF(INDEX(分析データ!$A:$A,ROW()+$C$5)&lt;&gt;"",40000*SIGN(BX912)*(分析データ!G912-INDEX(分析データ!G:G,ROW()+$C$5)),""),"")</f>
        <v/>
      </c>
      <c r="CA912">
        <f t="shared" ca="1" si="413"/>
        <v>-3515452.8662109179</v>
      </c>
      <c r="CB912">
        <f t="shared" ca="1" si="414"/>
        <v>11327520.000000004</v>
      </c>
      <c r="CC912">
        <f t="shared" ca="1" si="415"/>
        <v>-14842972.866210923</v>
      </c>
      <c r="CD912">
        <f t="shared" ca="1" si="416"/>
        <v>0</v>
      </c>
      <c r="CE912">
        <f t="shared" ca="1" si="417"/>
        <v>23090347.13378913</v>
      </c>
      <c r="CF912">
        <f t="shared" ca="1" si="418"/>
        <v>23090347.13378913</v>
      </c>
      <c r="CG912">
        <f t="shared" ca="1" si="419"/>
        <v>0</v>
      </c>
      <c r="CH912" s="10" t="str">
        <f>分析データ!A912</f>
        <v/>
      </c>
    </row>
    <row r="913" spans="46:86">
      <c r="AT913">
        <f ca="1">IF(ROW()&lt;($C$7+1),"",IFERROR((分析データ!B913-AVERAGE(OFFSET(分析データ!B$1,MAX(1,ROW()-$C$7),0,MIN($C$7,ROW()-1),1)))/STDEV(OFFSET(分析データ!B$1,MAX(1,ROW()-$C$7),0,MIN($C$7,ROW()-1),1)),0))</f>
        <v>0</v>
      </c>
      <c r="AU913">
        <f t="shared" ca="1" si="392"/>
        <v>0</v>
      </c>
      <c r="AV913" t="str">
        <f ca="1">IF(AU913=1,IF(INDEX(分析データ!$A:$A,ROW()+$C$5)&lt;&gt;"",80000*SIGN(AT913)*(分析データ!B913-INDEX(分析データ!B:B,ROW()+$C$5)),""),"")</f>
        <v/>
      </c>
      <c r="AW913">
        <f t="shared" ca="1" si="393"/>
        <v>-1240000.0000000019</v>
      </c>
      <c r="AX913">
        <f t="shared" ca="1" si="394"/>
        <v>0</v>
      </c>
      <c r="AY913">
        <f t="shared" ca="1" si="395"/>
        <v>-1240000.0000000019</v>
      </c>
      <c r="AZ913">
        <f ca="1">IF(ROW()&lt;($C$7+1),"",IFERROR((分析データ!C913-AVERAGE(OFFSET(分析データ!C$1,MAX(1,ROW()-$C$7),0,MIN($C$7,ROW()-1),1)))/STDEV(OFFSET(分析データ!C$1,MAX(1,ROW()-$C$7),0,MIN($C$7,ROW()-1),1)),0))</f>
        <v>0</v>
      </c>
      <c r="BA913">
        <f t="shared" ca="1" si="396"/>
        <v>0</v>
      </c>
      <c r="BB913" t="str">
        <f ca="1">IF(BA913=1,IF(INDEX(分析データ!$A:$A,ROW()+$C$5)&lt;&gt;"",60000*SIGN(AZ913)*(分析データ!C913-INDEX(分析データ!C:C,ROW()+$C$5)),""),"")</f>
        <v/>
      </c>
      <c r="BC913">
        <f t="shared" ca="1" si="397"/>
        <v>-260999.9999999851</v>
      </c>
      <c r="BD913">
        <f t="shared" ca="1" si="398"/>
        <v>3156000.0000000107</v>
      </c>
      <c r="BE913">
        <f t="shared" ca="1" si="399"/>
        <v>-3416999.9999999958</v>
      </c>
      <c r="BF913">
        <f ca="1">IF(ROW()&lt;($C$7+1),"",IFERROR((分析データ!D913-AVERAGE(OFFSET(分析データ!D$1,MAX(1,ROW()-$C$7),0,MIN($C$7,ROW()-1),1)))/STDEV(OFFSET(分析データ!D$1,MAX(1,ROW()-$C$7),0,MIN($C$7,ROW()-1),1)),0))</f>
        <v>0</v>
      </c>
      <c r="BG913">
        <f t="shared" ca="1" si="400"/>
        <v>0</v>
      </c>
      <c r="BH913" t="str">
        <f ca="1">IF(BG913=1,IF(INDEX(分析データ!$A:$A,ROW()+$C$5)&lt;&gt;"",50000*SIGN(BF913)*(分析データ!D913-INDEX(分析データ!D:D,ROW()+$C$5)),""),"")</f>
        <v/>
      </c>
      <c r="BI913">
        <f t="shared" ca="1" si="401"/>
        <v>5570000.0000000205</v>
      </c>
      <c r="BJ913">
        <f t="shared" ca="1" si="402"/>
        <v>5570000.0000000205</v>
      </c>
      <c r="BK913">
        <f t="shared" ca="1" si="403"/>
        <v>0</v>
      </c>
      <c r="BL913">
        <f ca="1">IF(ROW()&lt;($C$7+1),"",IFERROR((分析データ!E913-AVERAGE(OFFSET(分析データ!E$1,MAX(1,ROW()-$C$7),0,MIN($C$7,ROW()-1),1)))/STDEV(OFFSET(分析データ!E$1,MAX(1,ROW()-$C$7),0,MIN($C$7,ROW()-1),1)),0))</f>
        <v>0</v>
      </c>
      <c r="BM913">
        <f t="shared" ca="1" si="404"/>
        <v>0</v>
      </c>
      <c r="BN913" t="str">
        <f ca="1">IF(BM913=1,IF(INDEX(分析データ!$A:$A,ROW()+$C$5)&lt;&gt;"",40000*SIGN(BL913)*(分析データ!E913-INDEX(分析データ!E:E,ROW()+$C$5)),""),"")</f>
        <v/>
      </c>
      <c r="BO913">
        <f t="shared" ca="1" si="405"/>
        <v>2720000.0000000014</v>
      </c>
      <c r="BP913">
        <f t="shared" ca="1" si="406"/>
        <v>4280000.0000000028</v>
      </c>
      <c r="BQ913">
        <f t="shared" ca="1" si="407"/>
        <v>-1560000.0000000014</v>
      </c>
      <c r="BR913">
        <f ca="1">IF(ROW()&lt;($C$7+1),"",IFERROR((分析データ!F913-AVERAGE(OFFSET(分析データ!F$1,MAX(1,ROW()-$C$7),0,MIN($C$7,ROW()-1),1)))/STDEV(OFFSET(分析データ!F$1,MAX(1,ROW()-$C$7),0,MIN($C$7,ROW()-1),1)),0))</f>
        <v>0</v>
      </c>
      <c r="BS913">
        <f t="shared" ca="1" si="408"/>
        <v>0</v>
      </c>
      <c r="BT913" t="str">
        <f ca="1">IF(BS913=1,IF(INDEX(分析データ!$A:$A,ROW()+$C$5)&lt;&gt;"",40000*SIGN(BR913)*(分析データ!F913-INDEX(分析データ!F:F,ROW()+$C$5)),""),"")</f>
        <v/>
      </c>
      <c r="BU913">
        <f t="shared" ca="1" si="409"/>
        <v>19816800</v>
      </c>
      <c r="BV913">
        <f t="shared" ca="1" si="410"/>
        <v>19816800</v>
      </c>
      <c r="BW913">
        <f t="shared" ca="1" si="411"/>
        <v>0</v>
      </c>
      <c r="BX913">
        <f ca="1">IF(ROW()&lt;($C$7+1),"",IFERROR((分析データ!G913-AVERAGE(OFFSET(分析データ!G$1,MAX(1,ROW()-$C$7),0,MIN($C$7,ROW()-1),1)))/STDEV(OFFSET(分析データ!G$1,MAX(1,ROW()-$C$7),0,MIN($C$7,ROW()-1),1)),0))</f>
        <v>0</v>
      </c>
      <c r="BY913">
        <f t="shared" ca="1" si="412"/>
        <v>0</v>
      </c>
      <c r="BZ913" t="str">
        <f ca="1">IF(BY913=1,IF(INDEX(分析データ!$A:$A,ROW()+$C$5)&lt;&gt;"",40000*SIGN(BX913)*(分析データ!G913-INDEX(分析データ!G:G,ROW()+$C$5)),""),"")</f>
        <v/>
      </c>
      <c r="CA913">
        <f t="shared" ca="1" si="413"/>
        <v>-3515452.8662109179</v>
      </c>
      <c r="CB913">
        <f t="shared" ca="1" si="414"/>
        <v>11327520.000000004</v>
      </c>
      <c r="CC913">
        <f t="shared" ca="1" si="415"/>
        <v>-14842972.866210923</v>
      </c>
      <c r="CD913">
        <f t="shared" ca="1" si="416"/>
        <v>0</v>
      </c>
      <c r="CE913">
        <f t="shared" ca="1" si="417"/>
        <v>23090347.13378913</v>
      </c>
      <c r="CF913">
        <f t="shared" ca="1" si="418"/>
        <v>23090347.13378913</v>
      </c>
      <c r="CG913">
        <f t="shared" ca="1" si="419"/>
        <v>0</v>
      </c>
      <c r="CH913" s="10" t="str">
        <f>分析データ!A913</f>
        <v/>
      </c>
    </row>
    <row r="914" spans="46:86">
      <c r="AT914">
        <f ca="1">IF(ROW()&lt;($C$7+1),"",IFERROR((分析データ!B914-AVERAGE(OFFSET(分析データ!B$1,MAX(1,ROW()-$C$7),0,MIN($C$7,ROW()-1),1)))/STDEV(OFFSET(分析データ!B$1,MAX(1,ROW()-$C$7),0,MIN($C$7,ROW()-1),1)),0))</f>
        <v>0</v>
      </c>
      <c r="AU914">
        <f t="shared" ca="1" si="392"/>
        <v>0</v>
      </c>
      <c r="AV914" t="str">
        <f ca="1">IF(AU914=1,IF(INDEX(分析データ!$A:$A,ROW()+$C$5)&lt;&gt;"",80000*SIGN(AT914)*(分析データ!B914-INDEX(分析データ!B:B,ROW()+$C$5)),""),"")</f>
        <v/>
      </c>
      <c r="AW914">
        <f t="shared" ca="1" si="393"/>
        <v>-1240000.0000000019</v>
      </c>
      <c r="AX914">
        <f t="shared" ca="1" si="394"/>
        <v>0</v>
      </c>
      <c r="AY914">
        <f t="shared" ca="1" si="395"/>
        <v>-1240000.0000000019</v>
      </c>
      <c r="AZ914">
        <f ca="1">IF(ROW()&lt;($C$7+1),"",IFERROR((分析データ!C914-AVERAGE(OFFSET(分析データ!C$1,MAX(1,ROW()-$C$7),0,MIN($C$7,ROW()-1),1)))/STDEV(OFFSET(分析データ!C$1,MAX(1,ROW()-$C$7),0,MIN($C$7,ROW()-1),1)),0))</f>
        <v>0</v>
      </c>
      <c r="BA914">
        <f t="shared" ca="1" si="396"/>
        <v>0</v>
      </c>
      <c r="BB914" t="str">
        <f ca="1">IF(BA914=1,IF(INDEX(分析データ!$A:$A,ROW()+$C$5)&lt;&gt;"",60000*SIGN(AZ914)*(分析データ!C914-INDEX(分析データ!C:C,ROW()+$C$5)),""),"")</f>
        <v/>
      </c>
      <c r="BC914">
        <f t="shared" ca="1" si="397"/>
        <v>-260999.9999999851</v>
      </c>
      <c r="BD914">
        <f t="shared" ca="1" si="398"/>
        <v>3156000.0000000107</v>
      </c>
      <c r="BE914">
        <f t="shared" ca="1" si="399"/>
        <v>-3416999.9999999958</v>
      </c>
      <c r="BF914">
        <f ca="1">IF(ROW()&lt;($C$7+1),"",IFERROR((分析データ!D914-AVERAGE(OFFSET(分析データ!D$1,MAX(1,ROW()-$C$7),0,MIN($C$7,ROW()-1),1)))/STDEV(OFFSET(分析データ!D$1,MAX(1,ROW()-$C$7),0,MIN($C$7,ROW()-1),1)),0))</f>
        <v>0</v>
      </c>
      <c r="BG914">
        <f t="shared" ca="1" si="400"/>
        <v>0</v>
      </c>
      <c r="BH914" t="str">
        <f ca="1">IF(BG914=1,IF(INDEX(分析データ!$A:$A,ROW()+$C$5)&lt;&gt;"",50000*SIGN(BF914)*(分析データ!D914-INDEX(分析データ!D:D,ROW()+$C$5)),""),"")</f>
        <v/>
      </c>
      <c r="BI914">
        <f t="shared" ca="1" si="401"/>
        <v>5570000.0000000205</v>
      </c>
      <c r="BJ914">
        <f t="shared" ca="1" si="402"/>
        <v>5570000.0000000205</v>
      </c>
      <c r="BK914">
        <f t="shared" ca="1" si="403"/>
        <v>0</v>
      </c>
      <c r="BL914">
        <f ca="1">IF(ROW()&lt;($C$7+1),"",IFERROR((分析データ!E914-AVERAGE(OFFSET(分析データ!E$1,MAX(1,ROW()-$C$7),0,MIN($C$7,ROW()-1),1)))/STDEV(OFFSET(分析データ!E$1,MAX(1,ROW()-$C$7),0,MIN($C$7,ROW()-1),1)),0))</f>
        <v>0</v>
      </c>
      <c r="BM914">
        <f t="shared" ca="1" si="404"/>
        <v>0</v>
      </c>
      <c r="BN914" t="str">
        <f ca="1">IF(BM914=1,IF(INDEX(分析データ!$A:$A,ROW()+$C$5)&lt;&gt;"",40000*SIGN(BL914)*(分析データ!E914-INDEX(分析データ!E:E,ROW()+$C$5)),""),"")</f>
        <v/>
      </c>
      <c r="BO914">
        <f t="shared" ca="1" si="405"/>
        <v>2720000.0000000014</v>
      </c>
      <c r="BP914">
        <f t="shared" ca="1" si="406"/>
        <v>4280000.0000000028</v>
      </c>
      <c r="BQ914">
        <f t="shared" ca="1" si="407"/>
        <v>-1560000.0000000014</v>
      </c>
      <c r="BR914">
        <f ca="1">IF(ROW()&lt;($C$7+1),"",IFERROR((分析データ!F914-AVERAGE(OFFSET(分析データ!F$1,MAX(1,ROW()-$C$7),0,MIN($C$7,ROW()-1),1)))/STDEV(OFFSET(分析データ!F$1,MAX(1,ROW()-$C$7),0,MIN($C$7,ROW()-1),1)),0))</f>
        <v>0</v>
      </c>
      <c r="BS914">
        <f t="shared" ca="1" si="408"/>
        <v>0</v>
      </c>
      <c r="BT914" t="str">
        <f ca="1">IF(BS914=1,IF(INDEX(分析データ!$A:$A,ROW()+$C$5)&lt;&gt;"",40000*SIGN(BR914)*(分析データ!F914-INDEX(分析データ!F:F,ROW()+$C$5)),""),"")</f>
        <v/>
      </c>
      <c r="BU914">
        <f t="shared" ca="1" si="409"/>
        <v>19816800</v>
      </c>
      <c r="BV914">
        <f t="shared" ca="1" si="410"/>
        <v>19816800</v>
      </c>
      <c r="BW914">
        <f t="shared" ca="1" si="411"/>
        <v>0</v>
      </c>
      <c r="BX914">
        <f ca="1">IF(ROW()&lt;($C$7+1),"",IFERROR((分析データ!G914-AVERAGE(OFFSET(分析データ!G$1,MAX(1,ROW()-$C$7),0,MIN($C$7,ROW()-1),1)))/STDEV(OFFSET(分析データ!G$1,MAX(1,ROW()-$C$7),0,MIN($C$7,ROW()-1),1)),0))</f>
        <v>0</v>
      </c>
      <c r="BY914">
        <f t="shared" ca="1" si="412"/>
        <v>0</v>
      </c>
      <c r="BZ914" t="str">
        <f ca="1">IF(BY914=1,IF(INDEX(分析データ!$A:$A,ROW()+$C$5)&lt;&gt;"",40000*SIGN(BX914)*(分析データ!G914-INDEX(分析データ!G:G,ROW()+$C$5)),""),"")</f>
        <v/>
      </c>
      <c r="CA914">
        <f t="shared" ca="1" si="413"/>
        <v>-3515452.8662109179</v>
      </c>
      <c r="CB914">
        <f t="shared" ca="1" si="414"/>
        <v>11327520.000000004</v>
      </c>
      <c r="CC914">
        <f t="shared" ca="1" si="415"/>
        <v>-14842972.866210923</v>
      </c>
      <c r="CD914">
        <f t="shared" ca="1" si="416"/>
        <v>0</v>
      </c>
      <c r="CE914">
        <f t="shared" ca="1" si="417"/>
        <v>23090347.13378913</v>
      </c>
      <c r="CF914">
        <f t="shared" ca="1" si="418"/>
        <v>23090347.13378913</v>
      </c>
      <c r="CG914">
        <f t="shared" ca="1" si="419"/>
        <v>0</v>
      </c>
      <c r="CH914" s="10" t="str">
        <f>分析データ!A914</f>
        <v/>
      </c>
    </row>
    <row r="915" spans="46:86">
      <c r="AT915">
        <f ca="1">IF(ROW()&lt;($C$7+1),"",IFERROR((分析データ!B915-AVERAGE(OFFSET(分析データ!B$1,MAX(1,ROW()-$C$7),0,MIN($C$7,ROW()-1),1)))/STDEV(OFFSET(分析データ!B$1,MAX(1,ROW()-$C$7),0,MIN($C$7,ROW()-1),1)),0))</f>
        <v>0</v>
      </c>
      <c r="AU915">
        <f t="shared" ca="1" si="392"/>
        <v>0</v>
      </c>
      <c r="AV915" t="str">
        <f ca="1">IF(AU915=1,IF(INDEX(分析データ!$A:$A,ROW()+$C$5)&lt;&gt;"",80000*SIGN(AT915)*(分析データ!B915-INDEX(分析データ!B:B,ROW()+$C$5)),""),"")</f>
        <v/>
      </c>
      <c r="AW915">
        <f t="shared" ca="1" si="393"/>
        <v>-1240000.0000000019</v>
      </c>
      <c r="AX915">
        <f t="shared" ca="1" si="394"/>
        <v>0</v>
      </c>
      <c r="AY915">
        <f t="shared" ca="1" si="395"/>
        <v>-1240000.0000000019</v>
      </c>
      <c r="AZ915">
        <f ca="1">IF(ROW()&lt;($C$7+1),"",IFERROR((分析データ!C915-AVERAGE(OFFSET(分析データ!C$1,MAX(1,ROW()-$C$7),0,MIN($C$7,ROW()-1),1)))/STDEV(OFFSET(分析データ!C$1,MAX(1,ROW()-$C$7),0,MIN($C$7,ROW()-1),1)),0))</f>
        <v>0</v>
      </c>
      <c r="BA915">
        <f t="shared" ca="1" si="396"/>
        <v>0</v>
      </c>
      <c r="BB915" t="str">
        <f ca="1">IF(BA915=1,IF(INDEX(分析データ!$A:$A,ROW()+$C$5)&lt;&gt;"",60000*SIGN(AZ915)*(分析データ!C915-INDEX(分析データ!C:C,ROW()+$C$5)),""),"")</f>
        <v/>
      </c>
      <c r="BC915">
        <f t="shared" ca="1" si="397"/>
        <v>-260999.9999999851</v>
      </c>
      <c r="BD915">
        <f t="shared" ca="1" si="398"/>
        <v>3156000.0000000107</v>
      </c>
      <c r="BE915">
        <f t="shared" ca="1" si="399"/>
        <v>-3416999.9999999958</v>
      </c>
      <c r="BF915">
        <f ca="1">IF(ROW()&lt;($C$7+1),"",IFERROR((分析データ!D915-AVERAGE(OFFSET(分析データ!D$1,MAX(1,ROW()-$C$7),0,MIN($C$7,ROW()-1),1)))/STDEV(OFFSET(分析データ!D$1,MAX(1,ROW()-$C$7),0,MIN($C$7,ROW()-1),1)),0))</f>
        <v>0</v>
      </c>
      <c r="BG915">
        <f t="shared" ca="1" si="400"/>
        <v>0</v>
      </c>
      <c r="BH915" t="str">
        <f ca="1">IF(BG915=1,IF(INDEX(分析データ!$A:$A,ROW()+$C$5)&lt;&gt;"",50000*SIGN(BF915)*(分析データ!D915-INDEX(分析データ!D:D,ROW()+$C$5)),""),"")</f>
        <v/>
      </c>
      <c r="BI915">
        <f t="shared" ca="1" si="401"/>
        <v>5570000.0000000205</v>
      </c>
      <c r="BJ915">
        <f t="shared" ca="1" si="402"/>
        <v>5570000.0000000205</v>
      </c>
      <c r="BK915">
        <f t="shared" ca="1" si="403"/>
        <v>0</v>
      </c>
      <c r="BL915">
        <f ca="1">IF(ROW()&lt;($C$7+1),"",IFERROR((分析データ!E915-AVERAGE(OFFSET(分析データ!E$1,MAX(1,ROW()-$C$7),0,MIN($C$7,ROW()-1),1)))/STDEV(OFFSET(分析データ!E$1,MAX(1,ROW()-$C$7),0,MIN($C$7,ROW()-1),1)),0))</f>
        <v>0</v>
      </c>
      <c r="BM915">
        <f t="shared" ca="1" si="404"/>
        <v>0</v>
      </c>
      <c r="BN915" t="str">
        <f ca="1">IF(BM915=1,IF(INDEX(分析データ!$A:$A,ROW()+$C$5)&lt;&gt;"",40000*SIGN(BL915)*(分析データ!E915-INDEX(分析データ!E:E,ROW()+$C$5)),""),"")</f>
        <v/>
      </c>
      <c r="BO915">
        <f t="shared" ca="1" si="405"/>
        <v>2720000.0000000014</v>
      </c>
      <c r="BP915">
        <f t="shared" ca="1" si="406"/>
        <v>4280000.0000000028</v>
      </c>
      <c r="BQ915">
        <f t="shared" ca="1" si="407"/>
        <v>-1560000.0000000014</v>
      </c>
      <c r="BR915">
        <f ca="1">IF(ROW()&lt;($C$7+1),"",IFERROR((分析データ!F915-AVERAGE(OFFSET(分析データ!F$1,MAX(1,ROW()-$C$7),0,MIN($C$7,ROW()-1),1)))/STDEV(OFFSET(分析データ!F$1,MAX(1,ROW()-$C$7),0,MIN($C$7,ROW()-1),1)),0))</f>
        <v>0</v>
      </c>
      <c r="BS915">
        <f t="shared" ca="1" si="408"/>
        <v>0</v>
      </c>
      <c r="BT915" t="str">
        <f ca="1">IF(BS915=1,IF(INDEX(分析データ!$A:$A,ROW()+$C$5)&lt;&gt;"",40000*SIGN(BR915)*(分析データ!F915-INDEX(分析データ!F:F,ROW()+$C$5)),""),"")</f>
        <v/>
      </c>
      <c r="BU915">
        <f t="shared" ca="1" si="409"/>
        <v>19816800</v>
      </c>
      <c r="BV915">
        <f t="shared" ca="1" si="410"/>
        <v>19816800</v>
      </c>
      <c r="BW915">
        <f t="shared" ca="1" si="411"/>
        <v>0</v>
      </c>
      <c r="BX915">
        <f ca="1">IF(ROW()&lt;($C$7+1),"",IFERROR((分析データ!G915-AVERAGE(OFFSET(分析データ!G$1,MAX(1,ROW()-$C$7),0,MIN($C$7,ROW()-1),1)))/STDEV(OFFSET(分析データ!G$1,MAX(1,ROW()-$C$7),0,MIN($C$7,ROW()-1),1)),0))</f>
        <v>0</v>
      </c>
      <c r="BY915">
        <f t="shared" ca="1" si="412"/>
        <v>0</v>
      </c>
      <c r="BZ915" t="str">
        <f ca="1">IF(BY915=1,IF(INDEX(分析データ!$A:$A,ROW()+$C$5)&lt;&gt;"",40000*SIGN(BX915)*(分析データ!G915-INDEX(分析データ!G:G,ROW()+$C$5)),""),"")</f>
        <v/>
      </c>
      <c r="CA915">
        <f t="shared" ca="1" si="413"/>
        <v>-3515452.8662109179</v>
      </c>
      <c r="CB915">
        <f t="shared" ca="1" si="414"/>
        <v>11327520.000000004</v>
      </c>
      <c r="CC915">
        <f t="shared" ca="1" si="415"/>
        <v>-14842972.866210923</v>
      </c>
      <c r="CD915">
        <f t="shared" ca="1" si="416"/>
        <v>0</v>
      </c>
      <c r="CE915">
        <f t="shared" ca="1" si="417"/>
        <v>23090347.13378913</v>
      </c>
      <c r="CF915">
        <f t="shared" ca="1" si="418"/>
        <v>23090347.13378913</v>
      </c>
      <c r="CG915">
        <f t="shared" ca="1" si="419"/>
        <v>0</v>
      </c>
      <c r="CH915" s="10" t="str">
        <f>分析データ!A915</f>
        <v/>
      </c>
    </row>
    <row r="916" spans="46:86">
      <c r="AT916">
        <f ca="1">IF(ROW()&lt;($C$7+1),"",IFERROR((分析データ!B916-AVERAGE(OFFSET(分析データ!B$1,MAX(1,ROW()-$C$7),0,MIN($C$7,ROW()-1),1)))/STDEV(OFFSET(分析データ!B$1,MAX(1,ROW()-$C$7),0,MIN($C$7,ROW()-1),1)),0))</f>
        <v>0</v>
      </c>
      <c r="AU916">
        <f t="shared" ca="1" si="392"/>
        <v>0</v>
      </c>
      <c r="AV916" t="str">
        <f ca="1">IF(AU916=1,IF(INDEX(分析データ!$A:$A,ROW()+$C$5)&lt;&gt;"",80000*SIGN(AT916)*(分析データ!B916-INDEX(分析データ!B:B,ROW()+$C$5)),""),"")</f>
        <v/>
      </c>
      <c r="AW916">
        <f t="shared" ca="1" si="393"/>
        <v>-1240000.0000000019</v>
      </c>
      <c r="AX916">
        <f t="shared" ca="1" si="394"/>
        <v>0</v>
      </c>
      <c r="AY916">
        <f t="shared" ca="1" si="395"/>
        <v>-1240000.0000000019</v>
      </c>
      <c r="AZ916">
        <f ca="1">IF(ROW()&lt;($C$7+1),"",IFERROR((分析データ!C916-AVERAGE(OFFSET(分析データ!C$1,MAX(1,ROW()-$C$7),0,MIN($C$7,ROW()-1),1)))/STDEV(OFFSET(分析データ!C$1,MAX(1,ROW()-$C$7),0,MIN($C$7,ROW()-1),1)),0))</f>
        <v>0</v>
      </c>
      <c r="BA916">
        <f t="shared" ca="1" si="396"/>
        <v>0</v>
      </c>
      <c r="BB916" t="str">
        <f ca="1">IF(BA916=1,IF(INDEX(分析データ!$A:$A,ROW()+$C$5)&lt;&gt;"",60000*SIGN(AZ916)*(分析データ!C916-INDEX(分析データ!C:C,ROW()+$C$5)),""),"")</f>
        <v/>
      </c>
      <c r="BC916">
        <f t="shared" ca="1" si="397"/>
        <v>-260999.9999999851</v>
      </c>
      <c r="BD916">
        <f t="shared" ca="1" si="398"/>
        <v>3156000.0000000107</v>
      </c>
      <c r="BE916">
        <f t="shared" ca="1" si="399"/>
        <v>-3416999.9999999958</v>
      </c>
      <c r="BF916">
        <f ca="1">IF(ROW()&lt;($C$7+1),"",IFERROR((分析データ!D916-AVERAGE(OFFSET(分析データ!D$1,MAX(1,ROW()-$C$7),0,MIN($C$7,ROW()-1),1)))/STDEV(OFFSET(分析データ!D$1,MAX(1,ROW()-$C$7),0,MIN($C$7,ROW()-1),1)),0))</f>
        <v>0</v>
      </c>
      <c r="BG916">
        <f t="shared" ca="1" si="400"/>
        <v>0</v>
      </c>
      <c r="BH916" t="str">
        <f ca="1">IF(BG916=1,IF(INDEX(分析データ!$A:$A,ROW()+$C$5)&lt;&gt;"",50000*SIGN(BF916)*(分析データ!D916-INDEX(分析データ!D:D,ROW()+$C$5)),""),"")</f>
        <v/>
      </c>
      <c r="BI916">
        <f t="shared" ca="1" si="401"/>
        <v>5570000.0000000205</v>
      </c>
      <c r="BJ916">
        <f t="shared" ca="1" si="402"/>
        <v>5570000.0000000205</v>
      </c>
      <c r="BK916">
        <f t="shared" ca="1" si="403"/>
        <v>0</v>
      </c>
      <c r="BL916">
        <f ca="1">IF(ROW()&lt;($C$7+1),"",IFERROR((分析データ!E916-AVERAGE(OFFSET(分析データ!E$1,MAX(1,ROW()-$C$7),0,MIN($C$7,ROW()-1),1)))/STDEV(OFFSET(分析データ!E$1,MAX(1,ROW()-$C$7),0,MIN($C$7,ROW()-1),1)),0))</f>
        <v>0</v>
      </c>
      <c r="BM916">
        <f t="shared" ca="1" si="404"/>
        <v>0</v>
      </c>
      <c r="BN916" t="str">
        <f ca="1">IF(BM916=1,IF(INDEX(分析データ!$A:$A,ROW()+$C$5)&lt;&gt;"",40000*SIGN(BL916)*(分析データ!E916-INDEX(分析データ!E:E,ROW()+$C$5)),""),"")</f>
        <v/>
      </c>
      <c r="BO916">
        <f t="shared" ca="1" si="405"/>
        <v>2720000.0000000014</v>
      </c>
      <c r="BP916">
        <f t="shared" ca="1" si="406"/>
        <v>4280000.0000000028</v>
      </c>
      <c r="BQ916">
        <f t="shared" ca="1" si="407"/>
        <v>-1560000.0000000014</v>
      </c>
      <c r="BR916">
        <f ca="1">IF(ROW()&lt;($C$7+1),"",IFERROR((分析データ!F916-AVERAGE(OFFSET(分析データ!F$1,MAX(1,ROW()-$C$7),0,MIN($C$7,ROW()-1),1)))/STDEV(OFFSET(分析データ!F$1,MAX(1,ROW()-$C$7),0,MIN($C$7,ROW()-1),1)),0))</f>
        <v>0</v>
      </c>
      <c r="BS916">
        <f t="shared" ca="1" si="408"/>
        <v>0</v>
      </c>
      <c r="BT916" t="str">
        <f ca="1">IF(BS916=1,IF(INDEX(分析データ!$A:$A,ROW()+$C$5)&lt;&gt;"",40000*SIGN(BR916)*(分析データ!F916-INDEX(分析データ!F:F,ROW()+$C$5)),""),"")</f>
        <v/>
      </c>
      <c r="BU916">
        <f t="shared" ca="1" si="409"/>
        <v>19816800</v>
      </c>
      <c r="BV916">
        <f t="shared" ca="1" si="410"/>
        <v>19816800</v>
      </c>
      <c r="BW916">
        <f t="shared" ca="1" si="411"/>
        <v>0</v>
      </c>
      <c r="BX916">
        <f ca="1">IF(ROW()&lt;($C$7+1),"",IFERROR((分析データ!G916-AVERAGE(OFFSET(分析データ!G$1,MAX(1,ROW()-$C$7),0,MIN($C$7,ROW()-1),1)))/STDEV(OFFSET(分析データ!G$1,MAX(1,ROW()-$C$7),0,MIN($C$7,ROW()-1),1)),0))</f>
        <v>0</v>
      </c>
      <c r="BY916">
        <f t="shared" ca="1" si="412"/>
        <v>0</v>
      </c>
      <c r="BZ916" t="str">
        <f ca="1">IF(BY916=1,IF(INDEX(分析データ!$A:$A,ROW()+$C$5)&lt;&gt;"",40000*SIGN(BX916)*(分析データ!G916-INDEX(分析データ!G:G,ROW()+$C$5)),""),"")</f>
        <v/>
      </c>
      <c r="CA916">
        <f t="shared" ca="1" si="413"/>
        <v>-3515452.8662109179</v>
      </c>
      <c r="CB916">
        <f t="shared" ca="1" si="414"/>
        <v>11327520.000000004</v>
      </c>
      <c r="CC916">
        <f t="shared" ca="1" si="415"/>
        <v>-14842972.866210923</v>
      </c>
      <c r="CD916">
        <f t="shared" ca="1" si="416"/>
        <v>0</v>
      </c>
      <c r="CE916">
        <f t="shared" ca="1" si="417"/>
        <v>23090347.13378913</v>
      </c>
      <c r="CF916">
        <f t="shared" ca="1" si="418"/>
        <v>23090347.13378913</v>
      </c>
      <c r="CG916">
        <f t="shared" ca="1" si="419"/>
        <v>0</v>
      </c>
      <c r="CH916" s="10" t="str">
        <f>分析データ!A916</f>
        <v/>
      </c>
    </row>
    <row r="917" spans="46:86">
      <c r="AT917">
        <f ca="1">IF(ROW()&lt;($C$7+1),"",IFERROR((分析データ!B917-AVERAGE(OFFSET(分析データ!B$1,MAX(1,ROW()-$C$7),0,MIN($C$7,ROW()-1),1)))/STDEV(OFFSET(分析データ!B$1,MAX(1,ROW()-$C$7),0,MIN($C$7,ROW()-1),1)),0))</f>
        <v>0</v>
      </c>
      <c r="AU917">
        <f t="shared" ca="1" si="392"/>
        <v>0</v>
      </c>
      <c r="AV917" t="str">
        <f ca="1">IF(AU917=1,IF(INDEX(分析データ!$A:$A,ROW()+$C$5)&lt;&gt;"",80000*SIGN(AT917)*(分析データ!B917-INDEX(分析データ!B:B,ROW()+$C$5)),""),"")</f>
        <v/>
      </c>
      <c r="AW917">
        <f t="shared" ca="1" si="393"/>
        <v>-1240000.0000000019</v>
      </c>
      <c r="AX917">
        <f t="shared" ca="1" si="394"/>
        <v>0</v>
      </c>
      <c r="AY917">
        <f t="shared" ca="1" si="395"/>
        <v>-1240000.0000000019</v>
      </c>
      <c r="AZ917">
        <f ca="1">IF(ROW()&lt;($C$7+1),"",IFERROR((分析データ!C917-AVERAGE(OFFSET(分析データ!C$1,MAX(1,ROW()-$C$7),0,MIN($C$7,ROW()-1),1)))/STDEV(OFFSET(分析データ!C$1,MAX(1,ROW()-$C$7),0,MIN($C$7,ROW()-1),1)),0))</f>
        <v>0</v>
      </c>
      <c r="BA917">
        <f t="shared" ca="1" si="396"/>
        <v>0</v>
      </c>
      <c r="BB917" t="str">
        <f ca="1">IF(BA917=1,IF(INDEX(分析データ!$A:$A,ROW()+$C$5)&lt;&gt;"",60000*SIGN(AZ917)*(分析データ!C917-INDEX(分析データ!C:C,ROW()+$C$5)),""),"")</f>
        <v/>
      </c>
      <c r="BC917">
        <f t="shared" ca="1" si="397"/>
        <v>-260999.9999999851</v>
      </c>
      <c r="BD917">
        <f t="shared" ca="1" si="398"/>
        <v>3156000.0000000107</v>
      </c>
      <c r="BE917">
        <f t="shared" ca="1" si="399"/>
        <v>-3416999.9999999958</v>
      </c>
      <c r="BF917">
        <f ca="1">IF(ROW()&lt;($C$7+1),"",IFERROR((分析データ!D917-AVERAGE(OFFSET(分析データ!D$1,MAX(1,ROW()-$C$7),0,MIN($C$7,ROW()-1),1)))/STDEV(OFFSET(分析データ!D$1,MAX(1,ROW()-$C$7),0,MIN($C$7,ROW()-1),1)),0))</f>
        <v>0</v>
      </c>
      <c r="BG917">
        <f t="shared" ca="1" si="400"/>
        <v>0</v>
      </c>
      <c r="BH917" t="str">
        <f ca="1">IF(BG917=1,IF(INDEX(分析データ!$A:$A,ROW()+$C$5)&lt;&gt;"",50000*SIGN(BF917)*(分析データ!D917-INDEX(分析データ!D:D,ROW()+$C$5)),""),"")</f>
        <v/>
      </c>
      <c r="BI917">
        <f t="shared" ca="1" si="401"/>
        <v>5570000.0000000205</v>
      </c>
      <c r="BJ917">
        <f t="shared" ca="1" si="402"/>
        <v>5570000.0000000205</v>
      </c>
      <c r="BK917">
        <f t="shared" ca="1" si="403"/>
        <v>0</v>
      </c>
      <c r="BL917">
        <f ca="1">IF(ROW()&lt;($C$7+1),"",IFERROR((分析データ!E917-AVERAGE(OFFSET(分析データ!E$1,MAX(1,ROW()-$C$7),0,MIN($C$7,ROW()-1),1)))/STDEV(OFFSET(分析データ!E$1,MAX(1,ROW()-$C$7),0,MIN($C$7,ROW()-1),1)),0))</f>
        <v>0</v>
      </c>
      <c r="BM917">
        <f t="shared" ca="1" si="404"/>
        <v>0</v>
      </c>
      <c r="BN917" t="str">
        <f ca="1">IF(BM917=1,IF(INDEX(分析データ!$A:$A,ROW()+$C$5)&lt;&gt;"",40000*SIGN(BL917)*(分析データ!E917-INDEX(分析データ!E:E,ROW()+$C$5)),""),"")</f>
        <v/>
      </c>
      <c r="BO917">
        <f t="shared" ca="1" si="405"/>
        <v>2720000.0000000014</v>
      </c>
      <c r="BP917">
        <f t="shared" ca="1" si="406"/>
        <v>4280000.0000000028</v>
      </c>
      <c r="BQ917">
        <f t="shared" ca="1" si="407"/>
        <v>-1560000.0000000014</v>
      </c>
      <c r="BR917">
        <f ca="1">IF(ROW()&lt;($C$7+1),"",IFERROR((分析データ!F917-AVERAGE(OFFSET(分析データ!F$1,MAX(1,ROW()-$C$7),0,MIN($C$7,ROW()-1),1)))/STDEV(OFFSET(分析データ!F$1,MAX(1,ROW()-$C$7),0,MIN($C$7,ROW()-1),1)),0))</f>
        <v>0</v>
      </c>
      <c r="BS917">
        <f t="shared" ca="1" si="408"/>
        <v>0</v>
      </c>
      <c r="BT917" t="str">
        <f ca="1">IF(BS917=1,IF(INDEX(分析データ!$A:$A,ROW()+$C$5)&lt;&gt;"",40000*SIGN(BR917)*(分析データ!F917-INDEX(分析データ!F:F,ROW()+$C$5)),""),"")</f>
        <v/>
      </c>
      <c r="BU917">
        <f t="shared" ca="1" si="409"/>
        <v>19816800</v>
      </c>
      <c r="BV917">
        <f t="shared" ca="1" si="410"/>
        <v>19816800</v>
      </c>
      <c r="BW917">
        <f t="shared" ca="1" si="411"/>
        <v>0</v>
      </c>
      <c r="BX917">
        <f ca="1">IF(ROW()&lt;($C$7+1),"",IFERROR((分析データ!G917-AVERAGE(OFFSET(分析データ!G$1,MAX(1,ROW()-$C$7),0,MIN($C$7,ROW()-1),1)))/STDEV(OFFSET(分析データ!G$1,MAX(1,ROW()-$C$7),0,MIN($C$7,ROW()-1),1)),0))</f>
        <v>0</v>
      </c>
      <c r="BY917">
        <f t="shared" ca="1" si="412"/>
        <v>0</v>
      </c>
      <c r="BZ917" t="str">
        <f ca="1">IF(BY917=1,IF(INDEX(分析データ!$A:$A,ROW()+$C$5)&lt;&gt;"",40000*SIGN(BX917)*(分析データ!G917-INDEX(分析データ!G:G,ROW()+$C$5)),""),"")</f>
        <v/>
      </c>
      <c r="CA917">
        <f t="shared" ca="1" si="413"/>
        <v>-3515452.8662109179</v>
      </c>
      <c r="CB917">
        <f t="shared" ca="1" si="414"/>
        <v>11327520.000000004</v>
      </c>
      <c r="CC917">
        <f t="shared" ca="1" si="415"/>
        <v>-14842972.866210923</v>
      </c>
      <c r="CD917">
        <f t="shared" ca="1" si="416"/>
        <v>0</v>
      </c>
      <c r="CE917">
        <f t="shared" ca="1" si="417"/>
        <v>23090347.13378913</v>
      </c>
      <c r="CF917">
        <f t="shared" ca="1" si="418"/>
        <v>23090347.13378913</v>
      </c>
      <c r="CG917">
        <f t="shared" ca="1" si="419"/>
        <v>0</v>
      </c>
      <c r="CH917" s="10" t="str">
        <f>分析データ!A917</f>
        <v/>
      </c>
    </row>
    <row r="918" spans="46:86">
      <c r="AT918">
        <f ca="1">IF(ROW()&lt;($C$7+1),"",IFERROR((分析データ!B918-AVERAGE(OFFSET(分析データ!B$1,MAX(1,ROW()-$C$7),0,MIN($C$7,ROW()-1),1)))/STDEV(OFFSET(分析データ!B$1,MAX(1,ROW()-$C$7),0,MIN($C$7,ROW()-1),1)),0))</f>
        <v>0</v>
      </c>
      <c r="AU918">
        <f t="shared" ca="1" si="392"/>
        <v>0</v>
      </c>
      <c r="AV918" t="str">
        <f ca="1">IF(AU918=1,IF(INDEX(分析データ!$A:$A,ROW()+$C$5)&lt;&gt;"",80000*SIGN(AT918)*(分析データ!B918-INDEX(分析データ!B:B,ROW()+$C$5)),""),"")</f>
        <v/>
      </c>
      <c r="AW918">
        <f t="shared" ca="1" si="393"/>
        <v>-1240000.0000000019</v>
      </c>
      <c r="AX918">
        <f t="shared" ca="1" si="394"/>
        <v>0</v>
      </c>
      <c r="AY918">
        <f t="shared" ca="1" si="395"/>
        <v>-1240000.0000000019</v>
      </c>
      <c r="AZ918">
        <f ca="1">IF(ROW()&lt;($C$7+1),"",IFERROR((分析データ!C918-AVERAGE(OFFSET(分析データ!C$1,MAX(1,ROW()-$C$7),0,MIN($C$7,ROW()-1),1)))/STDEV(OFFSET(分析データ!C$1,MAX(1,ROW()-$C$7),0,MIN($C$7,ROW()-1),1)),0))</f>
        <v>0</v>
      </c>
      <c r="BA918">
        <f t="shared" ca="1" si="396"/>
        <v>0</v>
      </c>
      <c r="BB918" t="str">
        <f ca="1">IF(BA918=1,IF(INDEX(分析データ!$A:$A,ROW()+$C$5)&lt;&gt;"",60000*SIGN(AZ918)*(分析データ!C918-INDEX(分析データ!C:C,ROW()+$C$5)),""),"")</f>
        <v/>
      </c>
      <c r="BC918">
        <f t="shared" ca="1" si="397"/>
        <v>-260999.9999999851</v>
      </c>
      <c r="BD918">
        <f t="shared" ca="1" si="398"/>
        <v>3156000.0000000107</v>
      </c>
      <c r="BE918">
        <f t="shared" ca="1" si="399"/>
        <v>-3416999.9999999958</v>
      </c>
      <c r="BF918">
        <f ca="1">IF(ROW()&lt;($C$7+1),"",IFERROR((分析データ!D918-AVERAGE(OFFSET(分析データ!D$1,MAX(1,ROW()-$C$7),0,MIN($C$7,ROW()-1),1)))/STDEV(OFFSET(分析データ!D$1,MAX(1,ROW()-$C$7),0,MIN($C$7,ROW()-1),1)),0))</f>
        <v>0</v>
      </c>
      <c r="BG918">
        <f t="shared" ca="1" si="400"/>
        <v>0</v>
      </c>
      <c r="BH918" t="str">
        <f ca="1">IF(BG918=1,IF(INDEX(分析データ!$A:$A,ROW()+$C$5)&lt;&gt;"",50000*SIGN(BF918)*(分析データ!D918-INDEX(分析データ!D:D,ROW()+$C$5)),""),"")</f>
        <v/>
      </c>
      <c r="BI918">
        <f t="shared" ca="1" si="401"/>
        <v>5570000.0000000205</v>
      </c>
      <c r="BJ918">
        <f t="shared" ca="1" si="402"/>
        <v>5570000.0000000205</v>
      </c>
      <c r="BK918">
        <f t="shared" ca="1" si="403"/>
        <v>0</v>
      </c>
      <c r="BL918">
        <f ca="1">IF(ROW()&lt;($C$7+1),"",IFERROR((分析データ!E918-AVERAGE(OFFSET(分析データ!E$1,MAX(1,ROW()-$C$7),0,MIN($C$7,ROW()-1),1)))/STDEV(OFFSET(分析データ!E$1,MAX(1,ROW()-$C$7),0,MIN($C$7,ROW()-1),1)),0))</f>
        <v>0</v>
      </c>
      <c r="BM918">
        <f t="shared" ca="1" si="404"/>
        <v>0</v>
      </c>
      <c r="BN918" t="str">
        <f ca="1">IF(BM918=1,IF(INDEX(分析データ!$A:$A,ROW()+$C$5)&lt;&gt;"",40000*SIGN(BL918)*(分析データ!E918-INDEX(分析データ!E:E,ROW()+$C$5)),""),"")</f>
        <v/>
      </c>
      <c r="BO918">
        <f t="shared" ca="1" si="405"/>
        <v>2720000.0000000014</v>
      </c>
      <c r="BP918">
        <f t="shared" ca="1" si="406"/>
        <v>4280000.0000000028</v>
      </c>
      <c r="BQ918">
        <f t="shared" ca="1" si="407"/>
        <v>-1560000.0000000014</v>
      </c>
      <c r="BR918">
        <f ca="1">IF(ROW()&lt;($C$7+1),"",IFERROR((分析データ!F918-AVERAGE(OFFSET(分析データ!F$1,MAX(1,ROW()-$C$7),0,MIN($C$7,ROW()-1),1)))/STDEV(OFFSET(分析データ!F$1,MAX(1,ROW()-$C$7),0,MIN($C$7,ROW()-1),1)),0))</f>
        <v>0</v>
      </c>
      <c r="BS918">
        <f t="shared" ca="1" si="408"/>
        <v>0</v>
      </c>
      <c r="BT918" t="str">
        <f ca="1">IF(BS918=1,IF(INDEX(分析データ!$A:$A,ROW()+$C$5)&lt;&gt;"",40000*SIGN(BR918)*(分析データ!F918-INDEX(分析データ!F:F,ROW()+$C$5)),""),"")</f>
        <v/>
      </c>
      <c r="BU918">
        <f t="shared" ca="1" si="409"/>
        <v>19816800</v>
      </c>
      <c r="BV918">
        <f t="shared" ca="1" si="410"/>
        <v>19816800</v>
      </c>
      <c r="BW918">
        <f t="shared" ca="1" si="411"/>
        <v>0</v>
      </c>
      <c r="BX918">
        <f ca="1">IF(ROW()&lt;($C$7+1),"",IFERROR((分析データ!G918-AVERAGE(OFFSET(分析データ!G$1,MAX(1,ROW()-$C$7),0,MIN($C$7,ROW()-1),1)))/STDEV(OFFSET(分析データ!G$1,MAX(1,ROW()-$C$7),0,MIN($C$7,ROW()-1),1)),0))</f>
        <v>0</v>
      </c>
      <c r="BY918">
        <f t="shared" ca="1" si="412"/>
        <v>0</v>
      </c>
      <c r="BZ918" t="str">
        <f ca="1">IF(BY918=1,IF(INDEX(分析データ!$A:$A,ROW()+$C$5)&lt;&gt;"",40000*SIGN(BX918)*(分析データ!G918-INDEX(分析データ!G:G,ROW()+$C$5)),""),"")</f>
        <v/>
      </c>
      <c r="CA918">
        <f t="shared" ca="1" si="413"/>
        <v>-3515452.8662109179</v>
      </c>
      <c r="CB918">
        <f t="shared" ca="1" si="414"/>
        <v>11327520.000000004</v>
      </c>
      <c r="CC918">
        <f t="shared" ca="1" si="415"/>
        <v>-14842972.866210923</v>
      </c>
      <c r="CD918">
        <f t="shared" ca="1" si="416"/>
        <v>0</v>
      </c>
      <c r="CE918">
        <f t="shared" ca="1" si="417"/>
        <v>23090347.13378913</v>
      </c>
      <c r="CF918">
        <f t="shared" ca="1" si="418"/>
        <v>23090347.13378913</v>
      </c>
      <c r="CG918">
        <f t="shared" ca="1" si="419"/>
        <v>0</v>
      </c>
      <c r="CH918" s="10" t="str">
        <f>分析データ!A918</f>
        <v/>
      </c>
    </row>
    <row r="919" spans="46:86">
      <c r="AT919">
        <f ca="1">IF(ROW()&lt;($C$7+1),"",IFERROR((分析データ!B919-AVERAGE(OFFSET(分析データ!B$1,MAX(1,ROW()-$C$7),0,MIN($C$7,ROW()-1),1)))/STDEV(OFFSET(分析データ!B$1,MAX(1,ROW()-$C$7),0,MIN($C$7,ROW()-1),1)),0))</f>
        <v>0</v>
      </c>
      <c r="AU919">
        <f t="shared" ca="1" si="392"/>
        <v>0</v>
      </c>
      <c r="AV919" t="str">
        <f ca="1">IF(AU919=1,IF(INDEX(分析データ!$A:$A,ROW()+$C$5)&lt;&gt;"",80000*SIGN(AT919)*(分析データ!B919-INDEX(分析データ!B:B,ROW()+$C$5)),""),"")</f>
        <v/>
      </c>
      <c r="AW919">
        <f t="shared" ca="1" si="393"/>
        <v>-1240000.0000000019</v>
      </c>
      <c r="AX919">
        <f t="shared" ca="1" si="394"/>
        <v>0</v>
      </c>
      <c r="AY919">
        <f t="shared" ca="1" si="395"/>
        <v>-1240000.0000000019</v>
      </c>
      <c r="AZ919">
        <f ca="1">IF(ROW()&lt;($C$7+1),"",IFERROR((分析データ!C919-AVERAGE(OFFSET(分析データ!C$1,MAX(1,ROW()-$C$7),0,MIN($C$7,ROW()-1),1)))/STDEV(OFFSET(分析データ!C$1,MAX(1,ROW()-$C$7),0,MIN($C$7,ROW()-1),1)),0))</f>
        <v>0</v>
      </c>
      <c r="BA919">
        <f t="shared" ca="1" si="396"/>
        <v>0</v>
      </c>
      <c r="BB919" t="str">
        <f ca="1">IF(BA919=1,IF(INDEX(分析データ!$A:$A,ROW()+$C$5)&lt;&gt;"",60000*SIGN(AZ919)*(分析データ!C919-INDEX(分析データ!C:C,ROW()+$C$5)),""),"")</f>
        <v/>
      </c>
      <c r="BC919">
        <f t="shared" ca="1" si="397"/>
        <v>-260999.9999999851</v>
      </c>
      <c r="BD919">
        <f t="shared" ca="1" si="398"/>
        <v>3156000.0000000107</v>
      </c>
      <c r="BE919">
        <f t="shared" ca="1" si="399"/>
        <v>-3416999.9999999958</v>
      </c>
      <c r="BF919">
        <f ca="1">IF(ROW()&lt;($C$7+1),"",IFERROR((分析データ!D919-AVERAGE(OFFSET(分析データ!D$1,MAX(1,ROW()-$C$7),0,MIN($C$7,ROW()-1),1)))/STDEV(OFFSET(分析データ!D$1,MAX(1,ROW()-$C$7),0,MIN($C$7,ROW()-1),1)),0))</f>
        <v>0</v>
      </c>
      <c r="BG919">
        <f t="shared" ca="1" si="400"/>
        <v>0</v>
      </c>
      <c r="BH919" t="str">
        <f ca="1">IF(BG919=1,IF(INDEX(分析データ!$A:$A,ROW()+$C$5)&lt;&gt;"",50000*SIGN(BF919)*(分析データ!D919-INDEX(分析データ!D:D,ROW()+$C$5)),""),"")</f>
        <v/>
      </c>
      <c r="BI919">
        <f t="shared" ca="1" si="401"/>
        <v>5570000.0000000205</v>
      </c>
      <c r="BJ919">
        <f t="shared" ca="1" si="402"/>
        <v>5570000.0000000205</v>
      </c>
      <c r="BK919">
        <f t="shared" ca="1" si="403"/>
        <v>0</v>
      </c>
      <c r="BL919">
        <f ca="1">IF(ROW()&lt;($C$7+1),"",IFERROR((分析データ!E919-AVERAGE(OFFSET(分析データ!E$1,MAX(1,ROW()-$C$7),0,MIN($C$7,ROW()-1),1)))/STDEV(OFFSET(分析データ!E$1,MAX(1,ROW()-$C$7),0,MIN($C$7,ROW()-1),1)),0))</f>
        <v>0</v>
      </c>
      <c r="BM919">
        <f t="shared" ca="1" si="404"/>
        <v>0</v>
      </c>
      <c r="BN919" t="str">
        <f ca="1">IF(BM919=1,IF(INDEX(分析データ!$A:$A,ROW()+$C$5)&lt;&gt;"",40000*SIGN(BL919)*(分析データ!E919-INDEX(分析データ!E:E,ROW()+$C$5)),""),"")</f>
        <v/>
      </c>
      <c r="BO919">
        <f t="shared" ca="1" si="405"/>
        <v>2720000.0000000014</v>
      </c>
      <c r="BP919">
        <f t="shared" ca="1" si="406"/>
        <v>4280000.0000000028</v>
      </c>
      <c r="BQ919">
        <f t="shared" ca="1" si="407"/>
        <v>-1560000.0000000014</v>
      </c>
      <c r="BR919">
        <f ca="1">IF(ROW()&lt;($C$7+1),"",IFERROR((分析データ!F919-AVERAGE(OFFSET(分析データ!F$1,MAX(1,ROW()-$C$7),0,MIN($C$7,ROW()-1),1)))/STDEV(OFFSET(分析データ!F$1,MAX(1,ROW()-$C$7),0,MIN($C$7,ROW()-1),1)),0))</f>
        <v>0</v>
      </c>
      <c r="BS919">
        <f t="shared" ca="1" si="408"/>
        <v>0</v>
      </c>
      <c r="BT919" t="str">
        <f ca="1">IF(BS919=1,IF(INDEX(分析データ!$A:$A,ROW()+$C$5)&lt;&gt;"",40000*SIGN(BR919)*(分析データ!F919-INDEX(分析データ!F:F,ROW()+$C$5)),""),"")</f>
        <v/>
      </c>
      <c r="BU919">
        <f t="shared" ca="1" si="409"/>
        <v>19816800</v>
      </c>
      <c r="BV919">
        <f t="shared" ca="1" si="410"/>
        <v>19816800</v>
      </c>
      <c r="BW919">
        <f t="shared" ca="1" si="411"/>
        <v>0</v>
      </c>
      <c r="BX919">
        <f ca="1">IF(ROW()&lt;($C$7+1),"",IFERROR((分析データ!G919-AVERAGE(OFFSET(分析データ!G$1,MAX(1,ROW()-$C$7),0,MIN($C$7,ROW()-1),1)))/STDEV(OFFSET(分析データ!G$1,MAX(1,ROW()-$C$7),0,MIN($C$7,ROW()-1),1)),0))</f>
        <v>0</v>
      </c>
      <c r="BY919">
        <f t="shared" ca="1" si="412"/>
        <v>0</v>
      </c>
      <c r="BZ919" t="str">
        <f ca="1">IF(BY919=1,IF(INDEX(分析データ!$A:$A,ROW()+$C$5)&lt;&gt;"",40000*SIGN(BX919)*(分析データ!G919-INDEX(分析データ!G:G,ROW()+$C$5)),""),"")</f>
        <v/>
      </c>
      <c r="CA919">
        <f t="shared" ca="1" si="413"/>
        <v>-3515452.8662109179</v>
      </c>
      <c r="CB919">
        <f t="shared" ca="1" si="414"/>
        <v>11327520.000000004</v>
      </c>
      <c r="CC919">
        <f t="shared" ca="1" si="415"/>
        <v>-14842972.866210923</v>
      </c>
      <c r="CD919">
        <f t="shared" ca="1" si="416"/>
        <v>0</v>
      </c>
      <c r="CE919">
        <f t="shared" ca="1" si="417"/>
        <v>23090347.13378913</v>
      </c>
      <c r="CF919">
        <f t="shared" ca="1" si="418"/>
        <v>23090347.13378913</v>
      </c>
      <c r="CG919">
        <f t="shared" ca="1" si="419"/>
        <v>0</v>
      </c>
      <c r="CH919" s="10" t="str">
        <f>分析データ!A919</f>
        <v/>
      </c>
    </row>
    <row r="920" spans="46:86">
      <c r="AT920">
        <f ca="1">IF(ROW()&lt;($C$7+1),"",IFERROR((分析データ!B920-AVERAGE(OFFSET(分析データ!B$1,MAX(1,ROW()-$C$7),0,MIN($C$7,ROW()-1),1)))/STDEV(OFFSET(分析データ!B$1,MAX(1,ROW()-$C$7),0,MIN($C$7,ROW()-1),1)),0))</f>
        <v>0</v>
      </c>
      <c r="AU920">
        <f t="shared" ca="1" si="392"/>
        <v>0</v>
      </c>
      <c r="AV920" t="str">
        <f ca="1">IF(AU920=1,IF(INDEX(分析データ!$A:$A,ROW()+$C$5)&lt;&gt;"",80000*SIGN(AT920)*(分析データ!B920-INDEX(分析データ!B:B,ROW()+$C$5)),""),"")</f>
        <v/>
      </c>
      <c r="AW920">
        <f t="shared" ca="1" si="393"/>
        <v>-1240000.0000000019</v>
      </c>
      <c r="AX920">
        <f t="shared" ca="1" si="394"/>
        <v>0</v>
      </c>
      <c r="AY920">
        <f t="shared" ca="1" si="395"/>
        <v>-1240000.0000000019</v>
      </c>
      <c r="AZ920">
        <f ca="1">IF(ROW()&lt;($C$7+1),"",IFERROR((分析データ!C920-AVERAGE(OFFSET(分析データ!C$1,MAX(1,ROW()-$C$7),0,MIN($C$7,ROW()-1),1)))/STDEV(OFFSET(分析データ!C$1,MAX(1,ROW()-$C$7),0,MIN($C$7,ROW()-1),1)),0))</f>
        <v>0</v>
      </c>
      <c r="BA920">
        <f t="shared" ca="1" si="396"/>
        <v>0</v>
      </c>
      <c r="BB920" t="str">
        <f ca="1">IF(BA920=1,IF(INDEX(分析データ!$A:$A,ROW()+$C$5)&lt;&gt;"",60000*SIGN(AZ920)*(分析データ!C920-INDEX(分析データ!C:C,ROW()+$C$5)),""),"")</f>
        <v/>
      </c>
      <c r="BC920">
        <f t="shared" ca="1" si="397"/>
        <v>-260999.9999999851</v>
      </c>
      <c r="BD920">
        <f t="shared" ca="1" si="398"/>
        <v>3156000.0000000107</v>
      </c>
      <c r="BE920">
        <f t="shared" ca="1" si="399"/>
        <v>-3416999.9999999958</v>
      </c>
      <c r="BF920">
        <f ca="1">IF(ROW()&lt;($C$7+1),"",IFERROR((分析データ!D920-AVERAGE(OFFSET(分析データ!D$1,MAX(1,ROW()-$C$7),0,MIN($C$7,ROW()-1),1)))/STDEV(OFFSET(分析データ!D$1,MAX(1,ROW()-$C$7),0,MIN($C$7,ROW()-1),1)),0))</f>
        <v>0</v>
      </c>
      <c r="BG920">
        <f t="shared" ca="1" si="400"/>
        <v>0</v>
      </c>
      <c r="BH920" t="str">
        <f ca="1">IF(BG920=1,IF(INDEX(分析データ!$A:$A,ROW()+$C$5)&lt;&gt;"",50000*SIGN(BF920)*(分析データ!D920-INDEX(分析データ!D:D,ROW()+$C$5)),""),"")</f>
        <v/>
      </c>
      <c r="BI920">
        <f t="shared" ca="1" si="401"/>
        <v>5570000.0000000205</v>
      </c>
      <c r="BJ920">
        <f t="shared" ca="1" si="402"/>
        <v>5570000.0000000205</v>
      </c>
      <c r="BK920">
        <f t="shared" ca="1" si="403"/>
        <v>0</v>
      </c>
      <c r="BL920">
        <f ca="1">IF(ROW()&lt;($C$7+1),"",IFERROR((分析データ!E920-AVERAGE(OFFSET(分析データ!E$1,MAX(1,ROW()-$C$7),0,MIN($C$7,ROW()-1),1)))/STDEV(OFFSET(分析データ!E$1,MAX(1,ROW()-$C$7),0,MIN($C$7,ROW()-1),1)),0))</f>
        <v>0</v>
      </c>
      <c r="BM920">
        <f t="shared" ca="1" si="404"/>
        <v>0</v>
      </c>
      <c r="BN920" t="str">
        <f ca="1">IF(BM920=1,IF(INDEX(分析データ!$A:$A,ROW()+$C$5)&lt;&gt;"",40000*SIGN(BL920)*(分析データ!E920-INDEX(分析データ!E:E,ROW()+$C$5)),""),"")</f>
        <v/>
      </c>
      <c r="BO920">
        <f t="shared" ca="1" si="405"/>
        <v>2720000.0000000014</v>
      </c>
      <c r="BP920">
        <f t="shared" ca="1" si="406"/>
        <v>4280000.0000000028</v>
      </c>
      <c r="BQ920">
        <f t="shared" ca="1" si="407"/>
        <v>-1560000.0000000014</v>
      </c>
      <c r="BR920">
        <f ca="1">IF(ROW()&lt;($C$7+1),"",IFERROR((分析データ!F920-AVERAGE(OFFSET(分析データ!F$1,MAX(1,ROW()-$C$7),0,MIN($C$7,ROW()-1),1)))/STDEV(OFFSET(分析データ!F$1,MAX(1,ROW()-$C$7),0,MIN($C$7,ROW()-1),1)),0))</f>
        <v>0</v>
      </c>
      <c r="BS920">
        <f t="shared" ca="1" si="408"/>
        <v>0</v>
      </c>
      <c r="BT920" t="str">
        <f ca="1">IF(BS920=1,IF(INDEX(分析データ!$A:$A,ROW()+$C$5)&lt;&gt;"",40000*SIGN(BR920)*(分析データ!F920-INDEX(分析データ!F:F,ROW()+$C$5)),""),"")</f>
        <v/>
      </c>
      <c r="BU920">
        <f t="shared" ca="1" si="409"/>
        <v>19816800</v>
      </c>
      <c r="BV920">
        <f t="shared" ca="1" si="410"/>
        <v>19816800</v>
      </c>
      <c r="BW920">
        <f t="shared" ca="1" si="411"/>
        <v>0</v>
      </c>
      <c r="BX920">
        <f ca="1">IF(ROW()&lt;($C$7+1),"",IFERROR((分析データ!G920-AVERAGE(OFFSET(分析データ!G$1,MAX(1,ROW()-$C$7),0,MIN($C$7,ROW()-1),1)))/STDEV(OFFSET(分析データ!G$1,MAX(1,ROW()-$C$7),0,MIN($C$7,ROW()-1),1)),0))</f>
        <v>0</v>
      </c>
      <c r="BY920">
        <f t="shared" ca="1" si="412"/>
        <v>0</v>
      </c>
      <c r="BZ920" t="str">
        <f ca="1">IF(BY920=1,IF(INDEX(分析データ!$A:$A,ROW()+$C$5)&lt;&gt;"",40000*SIGN(BX920)*(分析データ!G920-INDEX(分析データ!G:G,ROW()+$C$5)),""),"")</f>
        <v/>
      </c>
      <c r="CA920">
        <f t="shared" ca="1" si="413"/>
        <v>-3515452.8662109179</v>
      </c>
      <c r="CB920">
        <f t="shared" ca="1" si="414"/>
        <v>11327520.000000004</v>
      </c>
      <c r="CC920">
        <f t="shared" ca="1" si="415"/>
        <v>-14842972.866210923</v>
      </c>
      <c r="CD920">
        <f t="shared" ca="1" si="416"/>
        <v>0</v>
      </c>
      <c r="CE920">
        <f t="shared" ca="1" si="417"/>
        <v>23090347.13378913</v>
      </c>
      <c r="CF920">
        <f t="shared" ca="1" si="418"/>
        <v>23090347.13378913</v>
      </c>
      <c r="CG920">
        <f t="shared" ca="1" si="419"/>
        <v>0</v>
      </c>
      <c r="CH920" s="10" t="str">
        <f>分析データ!A920</f>
        <v/>
      </c>
    </row>
    <row r="921" spans="46:86">
      <c r="AT921">
        <f ca="1">IF(ROW()&lt;($C$7+1),"",IFERROR((分析データ!B921-AVERAGE(OFFSET(分析データ!B$1,MAX(1,ROW()-$C$7),0,MIN($C$7,ROW()-1),1)))/STDEV(OFFSET(分析データ!B$1,MAX(1,ROW()-$C$7),0,MIN($C$7,ROW()-1),1)),0))</f>
        <v>0</v>
      </c>
      <c r="AU921">
        <f t="shared" ca="1" si="392"/>
        <v>0</v>
      </c>
      <c r="AV921" t="str">
        <f ca="1">IF(AU921=1,IF(INDEX(分析データ!$A:$A,ROW()+$C$5)&lt;&gt;"",80000*SIGN(AT921)*(分析データ!B921-INDEX(分析データ!B:B,ROW()+$C$5)),""),"")</f>
        <v/>
      </c>
      <c r="AW921">
        <f t="shared" ca="1" si="393"/>
        <v>-1240000.0000000019</v>
      </c>
      <c r="AX921">
        <f t="shared" ca="1" si="394"/>
        <v>0</v>
      </c>
      <c r="AY921">
        <f t="shared" ca="1" si="395"/>
        <v>-1240000.0000000019</v>
      </c>
      <c r="AZ921">
        <f ca="1">IF(ROW()&lt;($C$7+1),"",IFERROR((分析データ!C921-AVERAGE(OFFSET(分析データ!C$1,MAX(1,ROW()-$C$7),0,MIN($C$7,ROW()-1),1)))/STDEV(OFFSET(分析データ!C$1,MAX(1,ROW()-$C$7),0,MIN($C$7,ROW()-1),1)),0))</f>
        <v>0</v>
      </c>
      <c r="BA921">
        <f t="shared" ca="1" si="396"/>
        <v>0</v>
      </c>
      <c r="BB921" t="str">
        <f ca="1">IF(BA921=1,IF(INDEX(分析データ!$A:$A,ROW()+$C$5)&lt;&gt;"",60000*SIGN(AZ921)*(分析データ!C921-INDEX(分析データ!C:C,ROW()+$C$5)),""),"")</f>
        <v/>
      </c>
      <c r="BC921">
        <f t="shared" ca="1" si="397"/>
        <v>-260999.9999999851</v>
      </c>
      <c r="BD921">
        <f t="shared" ca="1" si="398"/>
        <v>3156000.0000000107</v>
      </c>
      <c r="BE921">
        <f t="shared" ca="1" si="399"/>
        <v>-3416999.9999999958</v>
      </c>
      <c r="BF921">
        <f ca="1">IF(ROW()&lt;($C$7+1),"",IFERROR((分析データ!D921-AVERAGE(OFFSET(分析データ!D$1,MAX(1,ROW()-$C$7),0,MIN($C$7,ROW()-1),1)))/STDEV(OFFSET(分析データ!D$1,MAX(1,ROW()-$C$7),0,MIN($C$7,ROW()-1),1)),0))</f>
        <v>0</v>
      </c>
      <c r="BG921">
        <f t="shared" ca="1" si="400"/>
        <v>0</v>
      </c>
      <c r="BH921" t="str">
        <f ca="1">IF(BG921=1,IF(INDEX(分析データ!$A:$A,ROW()+$C$5)&lt;&gt;"",50000*SIGN(BF921)*(分析データ!D921-INDEX(分析データ!D:D,ROW()+$C$5)),""),"")</f>
        <v/>
      </c>
      <c r="BI921">
        <f t="shared" ca="1" si="401"/>
        <v>5570000.0000000205</v>
      </c>
      <c r="BJ921">
        <f t="shared" ca="1" si="402"/>
        <v>5570000.0000000205</v>
      </c>
      <c r="BK921">
        <f t="shared" ca="1" si="403"/>
        <v>0</v>
      </c>
      <c r="BL921">
        <f ca="1">IF(ROW()&lt;($C$7+1),"",IFERROR((分析データ!E921-AVERAGE(OFFSET(分析データ!E$1,MAX(1,ROW()-$C$7),0,MIN($C$7,ROW()-1),1)))/STDEV(OFFSET(分析データ!E$1,MAX(1,ROW()-$C$7),0,MIN($C$7,ROW()-1),1)),0))</f>
        <v>0</v>
      </c>
      <c r="BM921">
        <f t="shared" ca="1" si="404"/>
        <v>0</v>
      </c>
      <c r="BN921" t="str">
        <f ca="1">IF(BM921=1,IF(INDEX(分析データ!$A:$A,ROW()+$C$5)&lt;&gt;"",40000*SIGN(BL921)*(分析データ!E921-INDEX(分析データ!E:E,ROW()+$C$5)),""),"")</f>
        <v/>
      </c>
      <c r="BO921">
        <f t="shared" ca="1" si="405"/>
        <v>2720000.0000000014</v>
      </c>
      <c r="BP921">
        <f t="shared" ca="1" si="406"/>
        <v>4280000.0000000028</v>
      </c>
      <c r="BQ921">
        <f t="shared" ca="1" si="407"/>
        <v>-1560000.0000000014</v>
      </c>
      <c r="BR921">
        <f ca="1">IF(ROW()&lt;($C$7+1),"",IFERROR((分析データ!F921-AVERAGE(OFFSET(分析データ!F$1,MAX(1,ROW()-$C$7),0,MIN($C$7,ROW()-1),1)))/STDEV(OFFSET(分析データ!F$1,MAX(1,ROW()-$C$7),0,MIN($C$7,ROW()-1),1)),0))</f>
        <v>0</v>
      </c>
      <c r="BS921">
        <f t="shared" ca="1" si="408"/>
        <v>0</v>
      </c>
      <c r="BT921" t="str">
        <f ca="1">IF(BS921=1,IF(INDEX(分析データ!$A:$A,ROW()+$C$5)&lt;&gt;"",40000*SIGN(BR921)*(分析データ!F921-INDEX(分析データ!F:F,ROW()+$C$5)),""),"")</f>
        <v/>
      </c>
      <c r="BU921">
        <f t="shared" ca="1" si="409"/>
        <v>19816800</v>
      </c>
      <c r="BV921">
        <f t="shared" ca="1" si="410"/>
        <v>19816800</v>
      </c>
      <c r="BW921">
        <f t="shared" ca="1" si="411"/>
        <v>0</v>
      </c>
      <c r="BX921">
        <f ca="1">IF(ROW()&lt;($C$7+1),"",IFERROR((分析データ!G921-AVERAGE(OFFSET(分析データ!G$1,MAX(1,ROW()-$C$7),0,MIN($C$7,ROW()-1),1)))/STDEV(OFFSET(分析データ!G$1,MAX(1,ROW()-$C$7),0,MIN($C$7,ROW()-1),1)),0))</f>
        <v>0</v>
      </c>
      <c r="BY921">
        <f t="shared" ca="1" si="412"/>
        <v>0</v>
      </c>
      <c r="BZ921" t="str">
        <f ca="1">IF(BY921=1,IF(INDEX(分析データ!$A:$A,ROW()+$C$5)&lt;&gt;"",40000*SIGN(BX921)*(分析データ!G921-INDEX(分析データ!G:G,ROW()+$C$5)),""),"")</f>
        <v/>
      </c>
      <c r="CA921">
        <f t="shared" ca="1" si="413"/>
        <v>-3515452.8662109179</v>
      </c>
      <c r="CB921">
        <f t="shared" ca="1" si="414"/>
        <v>11327520.000000004</v>
      </c>
      <c r="CC921">
        <f t="shared" ca="1" si="415"/>
        <v>-14842972.866210923</v>
      </c>
      <c r="CD921">
        <f t="shared" ca="1" si="416"/>
        <v>0</v>
      </c>
      <c r="CE921">
        <f t="shared" ca="1" si="417"/>
        <v>23090347.13378913</v>
      </c>
      <c r="CF921">
        <f t="shared" ca="1" si="418"/>
        <v>23090347.13378913</v>
      </c>
      <c r="CG921">
        <f t="shared" ca="1" si="419"/>
        <v>0</v>
      </c>
      <c r="CH921" s="10" t="str">
        <f>分析データ!A921</f>
        <v/>
      </c>
    </row>
    <row r="922" spans="46:86">
      <c r="AT922">
        <f ca="1">IF(ROW()&lt;($C$7+1),"",IFERROR((分析データ!B922-AVERAGE(OFFSET(分析データ!B$1,MAX(1,ROW()-$C$7),0,MIN($C$7,ROW()-1),1)))/STDEV(OFFSET(分析データ!B$1,MAX(1,ROW()-$C$7),0,MIN($C$7,ROW()-1),1)),0))</f>
        <v>0</v>
      </c>
      <c r="AU922">
        <f t="shared" ca="1" si="392"/>
        <v>0</v>
      </c>
      <c r="AV922" t="str">
        <f ca="1">IF(AU922=1,IF(INDEX(分析データ!$A:$A,ROW()+$C$5)&lt;&gt;"",80000*SIGN(AT922)*(分析データ!B922-INDEX(分析データ!B:B,ROW()+$C$5)),""),"")</f>
        <v/>
      </c>
      <c r="AW922">
        <f t="shared" ca="1" si="393"/>
        <v>-1240000.0000000019</v>
      </c>
      <c r="AX922">
        <f t="shared" ca="1" si="394"/>
        <v>0</v>
      </c>
      <c r="AY922">
        <f t="shared" ca="1" si="395"/>
        <v>-1240000.0000000019</v>
      </c>
      <c r="AZ922">
        <f ca="1">IF(ROW()&lt;($C$7+1),"",IFERROR((分析データ!C922-AVERAGE(OFFSET(分析データ!C$1,MAX(1,ROW()-$C$7),0,MIN($C$7,ROW()-1),1)))/STDEV(OFFSET(分析データ!C$1,MAX(1,ROW()-$C$7),0,MIN($C$7,ROW()-1),1)),0))</f>
        <v>0</v>
      </c>
      <c r="BA922">
        <f t="shared" ca="1" si="396"/>
        <v>0</v>
      </c>
      <c r="BB922" t="str">
        <f ca="1">IF(BA922=1,IF(INDEX(分析データ!$A:$A,ROW()+$C$5)&lt;&gt;"",60000*SIGN(AZ922)*(分析データ!C922-INDEX(分析データ!C:C,ROW()+$C$5)),""),"")</f>
        <v/>
      </c>
      <c r="BC922">
        <f t="shared" ca="1" si="397"/>
        <v>-260999.9999999851</v>
      </c>
      <c r="BD922">
        <f t="shared" ca="1" si="398"/>
        <v>3156000.0000000107</v>
      </c>
      <c r="BE922">
        <f t="shared" ca="1" si="399"/>
        <v>-3416999.9999999958</v>
      </c>
      <c r="BF922">
        <f ca="1">IF(ROW()&lt;($C$7+1),"",IFERROR((分析データ!D922-AVERAGE(OFFSET(分析データ!D$1,MAX(1,ROW()-$C$7),0,MIN($C$7,ROW()-1),1)))/STDEV(OFFSET(分析データ!D$1,MAX(1,ROW()-$C$7),0,MIN($C$7,ROW()-1),1)),0))</f>
        <v>0</v>
      </c>
      <c r="BG922">
        <f t="shared" ca="1" si="400"/>
        <v>0</v>
      </c>
      <c r="BH922" t="str">
        <f ca="1">IF(BG922=1,IF(INDEX(分析データ!$A:$A,ROW()+$C$5)&lt;&gt;"",50000*SIGN(BF922)*(分析データ!D922-INDEX(分析データ!D:D,ROW()+$C$5)),""),"")</f>
        <v/>
      </c>
      <c r="BI922">
        <f t="shared" ca="1" si="401"/>
        <v>5570000.0000000205</v>
      </c>
      <c r="BJ922">
        <f t="shared" ca="1" si="402"/>
        <v>5570000.0000000205</v>
      </c>
      <c r="BK922">
        <f t="shared" ca="1" si="403"/>
        <v>0</v>
      </c>
      <c r="BL922">
        <f ca="1">IF(ROW()&lt;($C$7+1),"",IFERROR((分析データ!E922-AVERAGE(OFFSET(分析データ!E$1,MAX(1,ROW()-$C$7),0,MIN($C$7,ROW()-1),1)))/STDEV(OFFSET(分析データ!E$1,MAX(1,ROW()-$C$7),0,MIN($C$7,ROW()-1),1)),0))</f>
        <v>0</v>
      </c>
      <c r="BM922">
        <f t="shared" ca="1" si="404"/>
        <v>0</v>
      </c>
      <c r="BN922" t="str">
        <f ca="1">IF(BM922=1,IF(INDEX(分析データ!$A:$A,ROW()+$C$5)&lt;&gt;"",40000*SIGN(BL922)*(分析データ!E922-INDEX(分析データ!E:E,ROW()+$C$5)),""),"")</f>
        <v/>
      </c>
      <c r="BO922">
        <f t="shared" ca="1" si="405"/>
        <v>2720000.0000000014</v>
      </c>
      <c r="BP922">
        <f t="shared" ca="1" si="406"/>
        <v>4280000.0000000028</v>
      </c>
      <c r="BQ922">
        <f t="shared" ca="1" si="407"/>
        <v>-1560000.0000000014</v>
      </c>
      <c r="BR922">
        <f ca="1">IF(ROW()&lt;($C$7+1),"",IFERROR((分析データ!F922-AVERAGE(OFFSET(分析データ!F$1,MAX(1,ROW()-$C$7),0,MIN($C$7,ROW()-1),1)))/STDEV(OFFSET(分析データ!F$1,MAX(1,ROW()-$C$7),0,MIN($C$7,ROW()-1),1)),0))</f>
        <v>0</v>
      </c>
      <c r="BS922">
        <f t="shared" ca="1" si="408"/>
        <v>0</v>
      </c>
      <c r="BT922" t="str">
        <f ca="1">IF(BS922=1,IF(INDEX(分析データ!$A:$A,ROW()+$C$5)&lt;&gt;"",40000*SIGN(BR922)*(分析データ!F922-INDEX(分析データ!F:F,ROW()+$C$5)),""),"")</f>
        <v/>
      </c>
      <c r="BU922">
        <f t="shared" ca="1" si="409"/>
        <v>19816800</v>
      </c>
      <c r="BV922">
        <f t="shared" ca="1" si="410"/>
        <v>19816800</v>
      </c>
      <c r="BW922">
        <f t="shared" ca="1" si="411"/>
        <v>0</v>
      </c>
      <c r="BX922">
        <f ca="1">IF(ROW()&lt;($C$7+1),"",IFERROR((分析データ!G922-AVERAGE(OFFSET(分析データ!G$1,MAX(1,ROW()-$C$7),0,MIN($C$7,ROW()-1),1)))/STDEV(OFFSET(分析データ!G$1,MAX(1,ROW()-$C$7),0,MIN($C$7,ROW()-1),1)),0))</f>
        <v>0</v>
      </c>
      <c r="BY922">
        <f t="shared" ca="1" si="412"/>
        <v>0</v>
      </c>
      <c r="BZ922" t="str">
        <f ca="1">IF(BY922=1,IF(INDEX(分析データ!$A:$A,ROW()+$C$5)&lt;&gt;"",40000*SIGN(BX922)*(分析データ!G922-INDEX(分析データ!G:G,ROW()+$C$5)),""),"")</f>
        <v/>
      </c>
      <c r="CA922">
        <f t="shared" ca="1" si="413"/>
        <v>-3515452.8662109179</v>
      </c>
      <c r="CB922">
        <f t="shared" ca="1" si="414"/>
        <v>11327520.000000004</v>
      </c>
      <c r="CC922">
        <f t="shared" ca="1" si="415"/>
        <v>-14842972.866210923</v>
      </c>
      <c r="CD922">
        <f t="shared" ca="1" si="416"/>
        <v>0</v>
      </c>
      <c r="CE922">
        <f t="shared" ca="1" si="417"/>
        <v>23090347.13378913</v>
      </c>
      <c r="CF922">
        <f t="shared" ca="1" si="418"/>
        <v>23090347.13378913</v>
      </c>
      <c r="CG922">
        <f t="shared" ca="1" si="419"/>
        <v>0</v>
      </c>
      <c r="CH922" s="10" t="str">
        <f>分析データ!A922</f>
        <v/>
      </c>
    </row>
    <row r="923" spans="46:86">
      <c r="AT923">
        <f ca="1">IF(ROW()&lt;($C$7+1),"",IFERROR((分析データ!B923-AVERAGE(OFFSET(分析データ!B$1,MAX(1,ROW()-$C$7),0,MIN($C$7,ROW()-1),1)))/STDEV(OFFSET(分析データ!B$1,MAX(1,ROW()-$C$7),0,MIN($C$7,ROW()-1),1)),0))</f>
        <v>0</v>
      </c>
      <c r="AU923">
        <f t="shared" ca="1" si="392"/>
        <v>0</v>
      </c>
      <c r="AV923" t="str">
        <f ca="1">IF(AU923=1,IF(INDEX(分析データ!$A:$A,ROW()+$C$5)&lt;&gt;"",80000*SIGN(AT923)*(分析データ!B923-INDEX(分析データ!B:B,ROW()+$C$5)),""),"")</f>
        <v/>
      </c>
      <c r="AW923">
        <f t="shared" ca="1" si="393"/>
        <v>-1240000.0000000019</v>
      </c>
      <c r="AX923">
        <f t="shared" ca="1" si="394"/>
        <v>0</v>
      </c>
      <c r="AY923">
        <f t="shared" ca="1" si="395"/>
        <v>-1240000.0000000019</v>
      </c>
      <c r="AZ923">
        <f ca="1">IF(ROW()&lt;($C$7+1),"",IFERROR((分析データ!C923-AVERAGE(OFFSET(分析データ!C$1,MAX(1,ROW()-$C$7),0,MIN($C$7,ROW()-1),1)))/STDEV(OFFSET(分析データ!C$1,MAX(1,ROW()-$C$7),0,MIN($C$7,ROW()-1),1)),0))</f>
        <v>0</v>
      </c>
      <c r="BA923">
        <f t="shared" ca="1" si="396"/>
        <v>0</v>
      </c>
      <c r="BB923" t="str">
        <f ca="1">IF(BA923=1,IF(INDEX(分析データ!$A:$A,ROW()+$C$5)&lt;&gt;"",60000*SIGN(AZ923)*(分析データ!C923-INDEX(分析データ!C:C,ROW()+$C$5)),""),"")</f>
        <v/>
      </c>
      <c r="BC923">
        <f t="shared" ca="1" si="397"/>
        <v>-260999.9999999851</v>
      </c>
      <c r="BD923">
        <f t="shared" ca="1" si="398"/>
        <v>3156000.0000000107</v>
      </c>
      <c r="BE923">
        <f t="shared" ca="1" si="399"/>
        <v>-3416999.9999999958</v>
      </c>
      <c r="BF923">
        <f ca="1">IF(ROW()&lt;($C$7+1),"",IFERROR((分析データ!D923-AVERAGE(OFFSET(分析データ!D$1,MAX(1,ROW()-$C$7),0,MIN($C$7,ROW()-1),1)))/STDEV(OFFSET(分析データ!D$1,MAX(1,ROW()-$C$7),0,MIN($C$7,ROW()-1),1)),0))</f>
        <v>0</v>
      </c>
      <c r="BG923">
        <f t="shared" ca="1" si="400"/>
        <v>0</v>
      </c>
      <c r="BH923" t="str">
        <f ca="1">IF(BG923=1,IF(INDEX(分析データ!$A:$A,ROW()+$C$5)&lt;&gt;"",50000*SIGN(BF923)*(分析データ!D923-INDEX(分析データ!D:D,ROW()+$C$5)),""),"")</f>
        <v/>
      </c>
      <c r="BI923">
        <f t="shared" ca="1" si="401"/>
        <v>5570000.0000000205</v>
      </c>
      <c r="BJ923">
        <f t="shared" ca="1" si="402"/>
        <v>5570000.0000000205</v>
      </c>
      <c r="BK923">
        <f t="shared" ca="1" si="403"/>
        <v>0</v>
      </c>
      <c r="BL923">
        <f ca="1">IF(ROW()&lt;($C$7+1),"",IFERROR((分析データ!E923-AVERAGE(OFFSET(分析データ!E$1,MAX(1,ROW()-$C$7),0,MIN($C$7,ROW()-1),1)))/STDEV(OFFSET(分析データ!E$1,MAX(1,ROW()-$C$7),0,MIN($C$7,ROW()-1),1)),0))</f>
        <v>0</v>
      </c>
      <c r="BM923">
        <f t="shared" ca="1" si="404"/>
        <v>0</v>
      </c>
      <c r="BN923" t="str">
        <f ca="1">IF(BM923=1,IF(INDEX(分析データ!$A:$A,ROW()+$C$5)&lt;&gt;"",40000*SIGN(BL923)*(分析データ!E923-INDEX(分析データ!E:E,ROW()+$C$5)),""),"")</f>
        <v/>
      </c>
      <c r="BO923">
        <f t="shared" ca="1" si="405"/>
        <v>2720000.0000000014</v>
      </c>
      <c r="BP923">
        <f t="shared" ca="1" si="406"/>
        <v>4280000.0000000028</v>
      </c>
      <c r="BQ923">
        <f t="shared" ca="1" si="407"/>
        <v>-1560000.0000000014</v>
      </c>
      <c r="BR923">
        <f ca="1">IF(ROW()&lt;($C$7+1),"",IFERROR((分析データ!F923-AVERAGE(OFFSET(分析データ!F$1,MAX(1,ROW()-$C$7),0,MIN($C$7,ROW()-1),1)))/STDEV(OFFSET(分析データ!F$1,MAX(1,ROW()-$C$7),0,MIN($C$7,ROW()-1),1)),0))</f>
        <v>0</v>
      </c>
      <c r="BS923">
        <f t="shared" ca="1" si="408"/>
        <v>0</v>
      </c>
      <c r="BT923" t="str">
        <f ca="1">IF(BS923=1,IF(INDEX(分析データ!$A:$A,ROW()+$C$5)&lt;&gt;"",40000*SIGN(BR923)*(分析データ!F923-INDEX(分析データ!F:F,ROW()+$C$5)),""),"")</f>
        <v/>
      </c>
      <c r="BU923">
        <f t="shared" ca="1" si="409"/>
        <v>19816800</v>
      </c>
      <c r="BV923">
        <f t="shared" ca="1" si="410"/>
        <v>19816800</v>
      </c>
      <c r="BW923">
        <f t="shared" ca="1" si="411"/>
        <v>0</v>
      </c>
      <c r="BX923">
        <f ca="1">IF(ROW()&lt;($C$7+1),"",IFERROR((分析データ!G923-AVERAGE(OFFSET(分析データ!G$1,MAX(1,ROW()-$C$7),0,MIN($C$7,ROW()-1),1)))/STDEV(OFFSET(分析データ!G$1,MAX(1,ROW()-$C$7),0,MIN($C$7,ROW()-1),1)),0))</f>
        <v>0</v>
      </c>
      <c r="BY923">
        <f t="shared" ca="1" si="412"/>
        <v>0</v>
      </c>
      <c r="BZ923" t="str">
        <f ca="1">IF(BY923=1,IF(INDEX(分析データ!$A:$A,ROW()+$C$5)&lt;&gt;"",40000*SIGN(BX923)*(分析データ!G923-INDEX(分析データ!G:G,ROW()+$C$5)),""),"")</f>
        <v/>
      </c>
      <c r="CA923">
        <f t="shared" ca="1" si="413"/>
        <v>-3515452.8662109179</v>
      </c>
      <c r="CB923">
        <f t="shared" ca="1" si="414"/>
        <v>11327520.000000004</v>
      </c>
      <c r="CC923">
        <f t="shared" ca="1" si="415"/>
        <v>-14842972.866210923</v>
      </c>
      <c r="CD923">
        <f t="shared" ca="1" si="416"/>
        <v>0</v>
      </c>
      <c r="CE923">
        <f t="shared" ca="1" si="417"/>
        <v>23090347.13378913</v>
      </c>
      <c r="CF923">
        <f t="shared" ca="1" si="418"/>
        <v>23090347.13378913</v>
      </c>
      <c r="CG923">
        <f t="shared" ca="1" si="419"/>
        <v>0</v>
      </c>
      <c r="CH923" s="10" t="str">
        <f>分析データ!A923</f>
        <v/>
      </c>
    </row>
    <row r="924" spans="46:86">
      <c r="AT924">
        <f ca="1">IF(ROW()&lt;($C$7+1),"",IFERROR((分析データ!B924-AVERAGE(OFFSET(分析データ!B$1,MAX(1,ROW()-$C$7),0,MIN($C$7,ROW()-1),1)))/STDEV(OFFSET(分析データ!B$1,MAX(1,ROW()-$C$7),0,MIN($C$7,ROW()-1),1)),0))</f>
        <v>0</v>
      </c>
      <c r="AU924">
        <f t="shared" ca="1" si="392"/>
        <v>0</v>
      </c>
      <c r="AV924" t="str">
        <f ca="1">IF(AU924=1,IF(INDEX(分析データ!$A:$A,ROW()+$C$5)&lt;&gt;"",80000*SIGN(AT924)*(分析データ!B924-INDEX(分析データ!B:B,ROW()+$C$5)),""),"")</f>
        <v/>
      </c>
      <c r="AW924">
        <f t="shared" ca="1" si="393"/>
        <v>-1240000.0000000019</v>
      </c>
      <c r="AX924">
        <f t="shared" ca="1" si="394"/>
        <v>0</v>
      </c>
      <c r="AY924">
        <f t="shared" ca="1" si="395"/>
        <v>-1240000.0000000019</v>
      </c>
      <c r="AZ924">
        <f ca="1">IF(ROW()&lt;($C$7+1),"",IFERROR((分析データ!C924-AVERAGE(OFFSET(分析データ!C$1,MAX(1,ROW()-$C$7),0,MIN($C$7,ROW()-1),1)))/STDEV(OFFSET(分析データ!C$1,MAX(1,ROW()-$C$7),0,MIN($C$7,ROW()-1),1)),0))</f>
        <v>0</v>
      </c>
      <c r="BA924">
        <f t="shared" ca="1" si="396"/>
        <v>0</v>
      </c>
      <c r="BB924" t="str">
        <f ca="1">IF(BA924=1,IF(INDEX(分析データ!$A:$A,ROW()+$C$5)&lt;&gt;"",60000*SIGN(AZ924)*(分析データ!C924-INDEX(分析データ!C:C,ROW()+$C$5)),""),"")</f>
        <v/>
      </c>
      <c r="BC924">
        <f t="shared" ca="1" si="397"/>
        <v>-260999.9999999851</v>
      </c>
      <c r="BD924">
        <f t="shared" ca="1" si="398"/>
        <v>3156000.0000000107</v>
      </c>
      <c r="BE924">
        <f t="shared" ca="1" si="399"/>
        <v>-3416999.9999999958</v>
      </c>
      <c r="BF924">
        <f ca="1">IF(ROW()&lt;($C$7+1),"",IFERROR((分析データ!D924-AVERAGE(OFFSET(分析データ!D$1,MAX(1,ROW()-$C$7),0,MIN($C$7,ROW()-1),1)))/STDEV(OFFSET(分析データ!D$1,MAX(1,ROW()-$C$7),0,MIN($C$7,ROW()-1),1)),0))</f>
        <v>0</v>
      </c>
      <c r="BG924">
        <f t="shared" ca="1" si="400"/>
        <v>0</v>
      </c>
      <c r="BH924" t="str">
        <f ca="1">IF(BG924=1,IF(INDEX(分析データ!$A:$A,ROW()+$C$5)&lt;&gt;"",50000*SIGN(BF924)*(分析データ!D924-INDEX(分析データ!D:D,ROW()+$C$5)),""),"")</f>
        <v/>
      </c>
      <c r="BI924">
        <f t="shared" ca="1" si="401"/>
        <v>5570000.0000000205</v>
      </c>
      <c r="BJ924">
        <f t="shared" ca="1" si="402"/>
        <v>5570000.0000000205</v>
      </c>
      <c r="BK924">
        <f t="shared" ca="1" si="403"/>
        <v>0</v>
      </c>
      <c r="BL924">
        <f ca="1">IF(ROW()&lt;($C$7+1),"",IFERROR((分析データ!E924-AVERAGE(OFFSET(分析データ!E$1,MAX(1,ROW()-$C$7),0,MIN($C$7,ROW()-1),1)))/STDEV(OFFSET(分析データ!E$1,MAX(1,ROW()-$C$7),0,MIN($C$7,ROW()-1),1)),0))</f>
        <v>0</v>
      </c>
      <c r="BM924">
        <f t="shared" ca="1" si="404"/>
        <v>0</v>
      </c>
      <c r="BN924" t="str">
        <f ca="1">IF(BM924=1,IF(INDEX(分析データ!$A:$A,ROW()+$C$5)&lt;&gt;"",40000*SIGN(BL924)*(分析データ!E924-INDEX(分析データ!E:E,ROW()+$C$5)),""),"")</f>
        <v/>
      </c>
      <c r="BO924">
        <f t="shared" ca="1" si="405"/>
        <v>2720000.0000000014</v>
      </c>
      <c r="BP924">
        <f t="shared" ca="1" si="406"/>
        <v>4280000.0000000028</v>
      </c>
      <c r="BQ924">
        <f t="shared" ca="1" si="407"/>
        <v>-1560000.0000000014</v>
      </c>
      <c r="BR924">
        <f ca="1">IF(ROW()&lt;($C$7+1),"",IFERROR((分析データ!F924-AVERAGE(OFFSET(分析データ!F$1,MAX(1,ROW()-$C$7),0,MIN($C$7,ROW()-1),1)))/STDEV(OFFSET(分析データ!F$1,MAX(1,ROW()-$C$7),0,MIN($C$7,ROW()-1),1)),0))</f>
        <v>0</v>
      </c>
      <c r="BS924">
        <f t="shared" ca="1" si="408"/>
        <v>0</v>
      </c>
      <c r="BT924" t="str">
        <f ca="1">IF(BS924=1,IF(INDEX(分析データ!$A:$A,ROW()+$C$5)&lt;&gt;"",40000*SIGN(BR924)*(分析データ!F924-INDEX(分析データ!F:F,ROW()+$C$5)),""),"")</f>
        <v/>
      </c>
      <c r="BU924">
        <f t="shared" ca="1" si="409"/>
        <v>19816800</v>
      </c>
      <c r="BV924">
        <f t="shared" ca="1" si="410"/>
        <v>19816800</v>
      </c>
      <c r="BW924">
        <f t="shared" ca="1" si="411"/>
        <v>0</v>
      </c>
      <c r="BX924">
        <f ca="1">IF(ROW()&lt;($C$7+1),"",IFERROR((分析データ!G924-AVERAGE(OFFSET(分析データ!G$1,MAX(1,ROW()-$C$7),0,MIN($C$7,ROW()-1),1)))/STDEV(OFFSET(分析データ!G$1,MAX(1,ROW()-$C$7),0,MIN($C$7,ROW()-1),1)),0))</f>
        <v>0</v>
      </c>
      <c r="BY924">
        <f t="shared" ca="1" si="412"/>
        <v>0</v>
      </c>
      <c r="BZ924" t="str">
        <f ca="1">IF(BY924=1,IF(INDEX(分析データ!$A:$A,ROW()+$C$5)&lt;&gt;"",40000*SIGN(BX924)*(分析データ!G924-INDEX(分析データ!G:G,ROW()+$C$5)),""),"")</f>
        <v/>
      </c>
      <c r="CA924">
        <f t="shared" ca="1" si="413"/>
        <v>-3515452.8662109179</v>
      </c>
      <c r="CB924">
        <f t="shared" ca="1" si="414"/>
        <v>11327520.000000004</v>
      </c>
      <c r="CC924">
        <f t="shared" ca="1" si="415"/>
        <v>-14842972.866210923</v>
      </c>
      <c r="CD924">
        <f t="shared" ca="1" si="416"/>
        <v>0</v>
      </c>
      <c r="CE924">
        <f t="shared" ca="1" si="417"/>
        <v>23090347.13378913</v>
      </c>
      <c r="CF924">
        <f t="shared" ca="1" si="418"/>
        <v>23090347.13378913</v>
      </c>
      <c r="CG924">
        <f t="shared" ca="1" si="419"/>
        <v>0</v>
      </c>
      <c r="CH924" s="10" t="str">
        <f>分析データ!A924</f>
        <v/>
      </c>
    </row>
    <row r="925" spans="46:86">
      <c r="AT925">
        <f ca="1">IF(ROW()&lt;($C$7+1),"",IFERROR((分析データ!B925-AVERAGE(OFFSET(分析データ!B$1,MAX(1,ROW()-$C$7),0,MIN($C$7,ROW()-1),1)))/STDEV(OFFSET(分析データ!B$1,MAX(1,ROW()-$C$7),0,MIN($C$7,ROW()-1),1)),0))</f>
        <v>0</v>
      </c>
      <c r="AU925">
        <f t="shared" ca="1" si="392"/>
        <v>0</v>
      </c>
      <c r="AV925" t="str">
        <f ca="1">IF(AU925=1,IF(INDEX(分析データ!$A:$A,ROW()+$C$5)&lt;&gt;"",80000*SIGN(AT925)*(分析データ!B925-INDEX(分析データ!B:B,ROW()+$C$5)),""),"")</f>
        <v/>
      </c>
      <c r="AW925">
        <f t="shared" ca="1" si="393"/>
        <v>-1240000.0000000019</v>
      </c>
      <c r="AX925">
        <f t="shared" ca="1" si="394"/>
        <v>0</v>
      </c>
      <c r="AY925">
        <f t="shared" ca="1" si="395"/>
        <v>-1240000.0000000019</v>
      </c>
      <c r="AZ925">
        <f ca="1">IF(ROW()&lt;($C$7+1),"",IFERROR((分析データ!C925-AVERAGE(OFFSET(分析データ!C$1,MAX(1,ROW()-$C$7),0,MIN($C$7,ROW()-1),1)))/STDEV(OFFSET(分析データ!C$1,MAX(1,ROW()-$C$7),0,MIN($C$7,ROW()-1),1)),0))</f>
        <v>0</v>
      </c>
      <c r="BA925">
        <f t="shared" ca="1" si="396"/>
        <v>0</v>
      </c>
      <c r="BB925" t="str">
        <f ca="1">IF(BA925=1,IF(INDEX(分析データ!$A:$A,ROW()+$C$5)&lt;&gt;"",60000*SIGN(AZ925)*(分析データ!C925-INDEX(分析データ!C:C,ROW()+$C$5)),""),"")</f>
        <v/>
      </c>
      <c r="BC925">
        <f t="shared" ca="1" si="397"/>
        <v>-260999.9999999851</v>
      </c>
      <c r="BD925">
        <f t="shared" ca="1" si="398"/>
        <v>3156000.0000000107</v>
      </c>
      <c r="BE925">
        <f t="shared" ca="1" si="399"/>
        <v>-3416999.9999999958</v>
      </c>
      <c r="BF925">
        <f ca="1">IF(ROW()&lt;($C$7+1),"",IFERROR((分析データ!D925-AVERAGE(OFFSET(分析データ!D$1,MAX(1,ROW()-$C$7),0,MIN($C$7,ROW()-1),1)))/STDEV(OFFSET(分析データ!D$1,MAX(1,ROW()-$C$7),0,MIN($C$7,ROW()-1),1)),0))</f>
        <v>0</v>
      </c>
      <c r="BG925">
        <f t="shared" ca="1" si="400"/>
        <v>0</v>
      </c>
      <c r="BH925" t="str">
        <f ca="1">IF(BG925=1,IF(INDEX(分析データ!$A:$A,ROW()+$C$5)&lt;&gt;"",50000*SIGN(BF925)*(分析データ!D925-INDEX(分析データ!D:D,ROW()+$C$5)),""),"")</f>
        <v/>
      </c>
      <c r="BI925">
        <f t="shared" ca="1" si="401"/>
        <v>5570000.0000000205</v>
      </c>
      <c r="BJ925">
        <f t="shared" ca="1" si="402"/>
        <v>5570000.0000000205</v>
      </c>
      <c r="BK925">
        <f t="shared" ca="1" si="403"/>
        <v>0</v>
      </c>
      <c r="BL925">
        <f ca="1">IF(ROW()&lt;($C$7+1),"",IFERROR((分析データ!E925-AVERAGE(OFFSET(分析データ!E$1,MAX(1,ROW()-$C$7),0,MIN($C$7,ROW()-1),1)))/STDEV(OFFSET(分析データ!E$1,MAX(1,ROW()-$C$7),0,MIN($C$7,ROW()-1),1)),0))</f>
        <v>0</v>
      </c>
      <c r="BM925">
        <f t="shared" ca="1" si="404"/>
        <v>0</v>
      </c>
      <c r="BN925" t="str">
        <f ca="1">IF(BM925=1,IF(INDEX(分析データ!$A:$A,ROW()+$C$5)&lt;&gt;"",40000*SIGN(BL925)*(分析データ!E925-INDEX(分析データ!E:E,ROW()+$C$5)),""),"")</f>
        <v/>
      </c>
      <c r="BO925">
        <f t="shared" ca="1" si="405"/>
        <v>2720000.0000000014</v>
      </c>
      <c r="BP925">
        <f t="shared" ca="1" si="406"/>
        <v>4280000.0000000028</v>
      </c>
      <c r="BQ925">
        <f t="shared" ca="1" si="407"/>
        <v>-1560000.0000000014</v>
      </c>
      <c r="BR925">
        <f ca="1">IF(ROW()&lt;($C$7+1),"",IFERROR((分析データ!F925-AVERAGE(OFFSET(分析データ!F$1,MAX(1,ROW()-$C$7),0,MIN($C$7,ROW()-1),1)))/STDEV(OFFSET(分析データ!F$1,MAX(1,ROW()-$C$7),0,MIN($C$7,ROW()-1),1)),0))</f>
        <v>0</v>
      </c>
      <c r="BS925">
        <f t="shared" ca="1" si="408"/>
        <v>0</v>
      </c>
      <c r="BT925" t="str">
        <f ca="1">IF(BS925=1,IF(INDEX(分析データ!$A:$A,ROW()+$C$5)&lt;&gt;"",40000*SIGN(BR925)*(分析データ!F925-INDEX(分析データ!F:F,ROW()+$C$5)),""),"")</f>
        <v/>
      </c>
      <c r="BU925">
        <f t="shared" ca="1" si="409"/>
        <v>19816800</v>
      </c>
      <c r="BV925">
        <f t="shared" ca="1" si="410"/>
        <v>19816800</v>
      </c>
      <c r="BW925">
        <f t="shared" ca="1" si="411"/>
        <v>0</v>
      </c>
      <c r="BX925">
        <f ca="1">IF(ROW()&lt;($C$7+1),"",IFERROR((分析データ!G925-AVERAGE(OFFSET(分析データ!G$1,MAX(1,ROW()-$C$7),0,MIN($C$7,ROW()-1),1)))/STDEV(OFFSET(分析データ!G$1,MAX(1,ROW()-$C$7),0,MIN($C$7,ROW()-1),1)),0))</f>
        <v>0</v>
      </c>
      <c r="BY925">
        <f t="shared" ca="1" si="412"/>
        <v>0</v>
      </c>
      <c r="BZ925" t="str">
        <f ca="1">IF(BY925=1,IF(INDEX(分析データ!$A:$A,ROW()+$C$5)&lt;&gt;"",40000*SIGN(BX925)*(分析データ!G925-INDEX(分析データ!G:G,ROW()+$C$5)),""),"")</f>
        <v/>
      </c>
      <c r="CA925">
        <f t="shared" ca="1" si="413"/>
        <v>-3515452.8662109179</v>
      </c>
      <c r="CB925">
        <f t="shared" ca="1" si="414"/>
        <v>11327520.000000004</v>
      </c>
      <c r="CC925">
        <f t="shared" ca="1" si="415"/>
        <v>-14842972.866210923</v>
      </c>
      <c r="CD925">
        <f t="shared" ca="1" si="416"/>
        <v>0</v>
      </c>
      <c r="CE925">
        <f t="shared" ca="1" si="417"/>
        <v>23090347.13378913</v>
      </c>
      <c r="CF925">
        <f t="shared" ca="1" si="418"/>
        <v>23090347.13378913</v>
      </c>
      <c r="CG925">
        <f t="shared" ca="1" si="419"/>
        <v>0</v>
      </c>
      <c r="CH925" s="10" t="str">
        <f>分析データ!A925</f>
        <v/>
      </c>
    </row>
    <row r="926" spans="46:86">
      <c r="AT926">
        <f ca="1">IF(ROW()&lt;($C$7+1),"",IFERROR((分析データ!B926-AVERAGE(OFFSET(分析データ!B$1,MAX(1,ROW()-$C$7),0,MIN($C$7,ROW()-1),1)))/STDEV(OFFSET(分析データ!B$1,MAX(1,ROW()-$C$7),0,MIN($C$7,ROW()-1),1)),0))</f>
        <v>0</v>
      </c>
      <c r="AU926">
        <f t="shared" ca="1" si="392"/>
        <v>0</v>
      </c>
      <c r="AV926" t="str">
        <f ca="1">IF(AU926=1,IF(INDEX(分析データ!$A:$A,ROW()+$C$5)&lt;&gt;"",80000*SIGN(AT926)*(分析データ!B926-INDEX(分析データ!B:B,ROW()+$C$5)),""),"")</f>
        <v/>
      </c>
      <c r="AW926">
        <f t="shared" ca="1" si="393"/>
        <v>-1240000.0000000019</v>
      </c>
      <c r="AX926">
        <f t="shared" ca="1" si="394"/>
        <v>0</v>
      </c>
      <c r="AY926">
        <f t="shared" ca="1" si="395"/>
        <v>-1240000.0000000019</v>
      </c>
      <c r="AZ926">
        <f ca="1">IF(ROW()&lt;($C$7+1),"",IFERROR((分析データ!C926-AVERAGE(OFFSET(分析データ!C$1,MAX(1,ROW()-$C$7),0,MIN($C$7,ROW()-1),1)))/STDEV(OFFSET(分析データ!C$1,MAX(1,ROW()-$C$7),0,MIN($C$7,ROW()-1),1)),0))</f>
        <v>0</v>
      </c>
      <c r="BA926">
        <f t="shared" ca="1" si="396"/>
        <v>0</v>
      </c>
      <c r="BB926" t="str">
        <f ca="1">IF(BA926=1,IF(INDEX(分析データ!$A:$A,ROW()+$C$5)&lt;&gt;"",60000*SIGN(AZ926)*(分析データ!C926-INDEX(分析データ!C:C,ROW()+$C$5)),""),"")</f>
        <v/>
      </c>
      <c r="BC926">
        <f t="shared" ca="1" si="397"/>
        <v>-260999.9999999851</v>
      </c>
      <c r="BD926">
        <f t="shared" ca="1" si="398"/>
        <v>3156000.0000000107</v>
      </c>
      <c r="BE926">
        <f t="shared" ca="1" si="399"/>
        <v>-3416999.9999999958</v>
      </c>
      <c r="BF926">
        <f ca="1">IF(ROW()&lt;($C$7+1),"",IFERROR((分析データ!D926-AVERAGE(OFFSET(分析データ!D$1,MAX(1,ROW()-$C$7),0,MIN($C$7,ROW()-1),1)))/STDEV(OFFSET(分析データ!D$1,MAX(1,ROW()-$C$7),0,MIN($C$7,ROW()-1),1)),0))</f>
        <v>0</v>
      </c>
      <c r="BG926">
        <f t="shared" ca="1" si="400"/>
        <v>0</v>
      </c>
      <c r="BH926" t="str">
        <f ca="1">IF(BG926=1,IF(INDEX(分析データ!$A:$A,ROW()+$C$5)&lt;&gt;"",50000*SIGN(BF926)*(分析データ!D926-INDEX(分析データ!D:D,ROW()+$C$5)),""),"")</f>
        <v/>
      </c>
      <c r="BI926">
        <f t="shared" ca="1" si="401"/>
        <v>5570000.0000000205</v>
      </c>
      <c r="BJ926">
        <f t="shared" ca="1" si="402"/>
        <v>5570000.0000000205</v>
      </c>
      <c r="BK926">
        <f t="shared" ca="1" si="403"/>
        <v>0</v>
      </c>
      <c r="BL926">
        <f ca="1">IF(ROW()&lt;($C$7+1),"",IFERROR((分析データ!E926-AVERAGE(OFFSET(分析データ!E$1,MAX(1,ROW()-$C$7),0,MIN($C$7,ROW()-1),1)))/STDEV(OFFSET(分析データ!E$1,MAX(1,ROW()-$C$7),0,MIN($C$7,ROW()-1),1)),0))</f>
        <v>0</v>
      </c>
      <c r="BM926">
        <f t="shared" ca="1" si="404"/>
        <v>0</v>
      </c>
      <c r="BN926" t="str">
        <f ca="1">IF(BM926=1,IF(INDEX(分析データ!$A:$A,ROW()+$C$5)&lt;&gt;"",40000*SIGN(BL926)*(分析データ!E926-INDEX(分析データ!E:E,ROW()+$C$5)),""),"")</f>
        <v/>
      </c>
      <c r="BO926">
        <f t="shared" ca="1" si="405"/>
        <v>2720000.0000000014</v>
      </c>
      <c r="BP926">
        <f t="shared" ca="1" si="406"/>
        <v>4280000.0000000028</v>
      </c>
      <c r="BQ926">
        <f t="shared" ca="1" si="407"/>
        <v>-1560000.0000000014</v>
      </c>
      <c r="BR926">
        <f ca="1">IF(ROW()&lt;($C$7+1),"",IFERROR((分析データ!F926-AVERAGE(OFFSET(分析データ!F$1,MAX(1,ROW()-$C$7),0,MIN($C$7,ROW()-1),1)))/STDEV(OFFSET(分析データ!F$1,MAX(1,ROW()-$C$7),0,MIN($C$7,ROW()-1),1)),0))</f>
        <v>0</v>
      </c>
      <c r="BS926">
        <f t="shared" ca="1" si="408"/>
        <v>0</v>
      </c>
      <c r="BT926" t="str">
        <f ca="1">IF(BS926=1,IF(INDEX(分析データ!$A:$A,ROW()+$C$5)&lt;&gt;"",40000*SIGN(BR926)*(分析データ!F926-INDEX(分析データ!F:F,ROW()+$C$5)),""),"")</f>
        <v/>
      </c>
      <c r="BU926">
        <f t="shared" ca="1" si="409"/>
        <v>19816800</v>
      </c>
      <c r="BV926">
        <f t="shared" ca="1" si="410"/>
        <v>19816800</v>
      </c>
      <c r="BW926">
        <f t="shared" ca="1" si="411"/>
        <v>0</v>
      </c>
      <c r="BX926">
        <f ca="1">IF(ROW()&lt;($C$7+1),"",IFERROR((分析データ!G926-AVERAGE(OFFSET(分析データ!G$1,MAX(1,ROW()-$C$7),0,MIN($C$7,ROW()-1),1)))/STDEV(OFFSET(分析データ!G$1,MAX(1,ROW()-$C$7),0,MIN($C$7,ROW()-1),1)),0))</f>
        <v>0</v>
      </c>
      <c r="BY926">
        <f t="shared" ca="1" si="412"/>
        <v>0</v>
      </c>
      <c r="BZ926" t="str">
        <f ca="1">IF(BY926=1,IF(INDEX(分析データ!$A:$A,ROW()+$C$5)&lt;&gt;"",40000*SIGN(BX926)*(分析データ!G926-INDEX(分析データ!G:G,ROW()+$C$5)),""),"")</f>
        <v/>
      </c>
      <c r="CA926">
        <f t="shared" ca="1" si="413"/>
        <v>-3515452.8662109179</v>
      </c>
      <c r="CB926">
        <f t="shared" ca="1" si="414"/>
        <v>11327520.000000004</v>
      </c>
      <c r="CC926">
        <f t="shared" ca="1" si="415"/>
        <v>-14842972.866210923</v>
      </c>
      <c r="CD926">
        <f t="shared" ca="1" si="416"/>
        <v>0</v>
      </c>
      <c r="CE926">
        <f t="shared" ca="1" si="417"/>
        <v>23090347.13378913</v>
      </c>
      <c r="CF926">
        <f t="shared" ca="1" si="418"/>
        <v>23090347.13378913</v>
      </c>
      <c r="CG926">
        <f t="shared" ca="1" si="419"/>
        <v>0</v>
      </c>
      <c r="CH926" s="10" t="str">
        <f>分析データ!A926</f>
        <v/>
      </c>
    </row>
    <row r="927" spans="46:86">
      <c r="AT927">
        <f ca="1">IF(ROW()&lt;($C$7+1),"",IFERROR((分析データ!B927-AVERAGE(OFFSET(分析データ!B$1,MAX(1,ROW()-$C$7),0,MIN($C$7,ROW()-1),1)))/STDEV(OFFSET(分析データ!B$1,MAX(1,ROW()-$C$7),0,MIN($C$7,ROW()-1),1)),0))</f>
        <v>0</v>
      </c>
      <c r="AU927">
        <f t="shared" ca="1" si="392"/>
        <v>0</v>
      </c>
      <c r="AV927" t="str">
        <f ca="1">IF(AU927=1,IF(INDEX(分析データ!$A:$A,ROW()+$C$5)&lt;&gt;"",80000*SIGN(AT927)*(分析データ!B927-INDEX(分析データ!B:B,ROW()+$C$5)),""),"")</f>
        <v/>
      </c>
      <c r="AW927">
        <f t="shared" ca="1" si="393"/>
        <v>-1240000.0000000019</v>
      </c>
      <c r="AX927">
        <f t="shared" ca="1" si="394"/>
        <v>0</v>
      </c>
      <c r="AY927">
        <f t="shared" ca="1" si="395"/>
        <v>-1240000.0000000019</v>
      </c>
      <c r="AZ927">
        <f ca="1">IF(ROW()&lt;($C$7+1),"",IFERROR((分析データ!C927-AVERAGE(OFFSET(分析データ!C$1,MAX(1,ROW()-$C$7),0,MIN($C$7,ROW()-1),1)))/STDEV(OFFSET(分析データ!C$1,MAX(1,ROW()-$C$7),0,MIN($C$7,ROW()-1),1)),0))</f>
        <v>0</v>
      </c>
      <c r="BA927">
        <f t="shared" ca="1" si="396"/>
        <v>0</v>
      </c>
      <c r="BB927" t="str">
        <f ca="1">IF(BA927=1,IF(INDEX(分析データ!$A:$A,ROW()+$C$5)&lt;&gt;"",60000*SIGN(AZ927)*(分析データ!C927-INDEX(分析データ!C:C,ROW()+$C$5)),""),"")</f>
        <v/>
      </c>
      <c r="BC927">
        <f t="shared" ca="1" si="397"/>
        <v>-260999.9999999851</v>
      </c>
      <c r="BD927">
        <f t="shared" ca="1" si="398"/>
        <v>3156000.0000000107</v>
      </c>
      <c r="BE927">
        <f t="shared" ca="1" si="399"/>
        <v>-3416999.9999999958</v>
      </c>
      <c r="BF927">
        <f ca="1">IF(ROW()&lt;($C$7+1),"",IFERROR((分析データ!D927-AVERAGE(OFFSET(分析データ!D$1,MAX(1,ROW()-$C$7),0,MIN($C$7,ROW()-1),1)))/STDEV(OFFSET(分析データ!D$1,MAX(1,ROW()-$C$7),0,MIN($C$7,ROW()-1),1)),0))</f>
        <v>0</v>
      </c>
      <c r="BG927">
        <f t="shared" ca="1" si="400"/>
        <v>0</v>
      </c>
      <c r="BH927" t="str">
        <f ca="1">IF(BG927=1,IF(INDEX(分析データ!$A:$A,ROW()+$C$5)&lt;&gt;"",50000*SIGN(BF927)*(分析データ!D927-INDEX(分析データ!D:D,ROW()+$C$5)),""),"")</f>
        <v/>
      </c>
      <c r="BI927">
        <f t="shared" ca="1" si="401"/>
        <v>5570000.0000000205</v>
      </c>
      <c r="BJ927">
        <f t="shared" ca="1" si="402"/>
        <v>5570000.0000000205</v>
      </c>
      <c r="BK927">
        <f t="shared" ca="1" si="403"/>
        <v>0</v>
      </c>
      <c r="BL927">
        <f ca="1">IF(ROW()&lt;($C$7+1),"",IFERROR((分析データ!E927-AVERAGE(OFFSET(分析データ!E$1,MAX(1,ROW()-$C$7),0,MIN($C$7,ROW()-1),1)))/STDEV(OFFSET(分析データ!E$1,MAX(1,ROW()-$C$7),0,MIN($C$7,ROW()-1),1)),0))</f>
        <v>0</v>
      </c>
      <c r="BM927">
        <f t="shared" ca="1" si="404"/>
        <v>0</v>
      </c>
      <c r="BN927" t="str">
        <f ca="1">IF(BM927=1,IF(INDEX(分析データ!$A:$A,ROW()+$C$5)&lt;&gt;"",40000*SIGN(BL927)*(分析データ!E927-INDEX(分析データ!E:E,ROW()+$C$5)),""),"")</f>
        <v/>
      </c>
      <c r="BO927">
        <f t="shared" ca="1" si="405"/>
        <v>2720000.0000000014</v>
      </c>
      <c r="BP927">
        <f t="shared" ca="1" si="406"/>
        <v>4280000.0000000028</v>
      </c>
      <c r="BQ927">
        <f t="shared" ca="1" si="407"/>
        <v>-1560000.0000000014</v>
      </c>
      <c r="BR927">
        <f ca="1">IF(ROW()&lt;($C$7+1),"",IFERROR((分析データ!F927-AVERAGE(OFFSET(分析データ!F$1,MAX(1,ROW()-$C$7),0,MIN($C$7,ROW()-1),1)))/STDEV(OFFSET(分析データ!F$1,MAX(1,ROW()-$C$7),0,MIN($C$7,ROW()-1),1)),0))</f>
        <v>0</v>
      </c>
      <c r="BS927">
        <f t="shared" ca="1" si="408"/>
        <v>0</v>
      </c>
      <c r="BT927" t="str">
        <f ca="1">IF(BS927=1,IF(INDEX(分析データ!$A:$A,ROW()+$C$5)&lt;&gt;"",40000*SIGN(BR927)*(分析データ!F927-INDEX(分析データ!F:F,ROW()+$C$5)),""),"")</f>
        <v/>
      </c>
      <c r="BU927">
        <f t="shared" ca="1" si="409"/>
        <v>19816800</v>
      </c>
      <c r="BV927">
        <f t="shared" ca="1" si="410"/>
        <v>19816800</v>
      </c>
      <c r="BW927">
        <f t="shared" ca="1" si="411"/>
        <v>0</v>
      </c>
      <c r="BX927">
        <f ca="1">IF(ROW()&lt;($C$7+1),"",IFERROR((分析データ!G927-AVERAGE(OFFSET(分析データ!G$1,MAX(1,ROW()-$C$7),0,MIN($C$7,ROW()-1),1)))/STDEV(OFFSET(分析データ!G$1,MAX(1,ROW()-$C$7),0,MIN($C$7,ROW()-1),1)),0))</f>
        <v>0</v>
      </c>
      <c r="BY927">
        <f t="shared" ca="1" si="412"/>
        <v>0</v>
      </c>
      <c r="BZ927" t="str">
        <f ca="1">IF(BY927=1,IF(INDEX(分析データ!$A:$A,ROW()+$C$5)&lt;&gt;"",40000*SIGN(BX927)*(分析データ!G927-INDEX(分析データ!G:G,ROW()+$C$5)),""),"")</f>
        <v/>
      </c>
      <c r="CA927">
        <f t="shared" ca="1" si="413"/>
        <v>-3515452.8662109179</v>
      </c>
      <c r="CB927">
        <f t="shared" ca="1" si="414"/>
        <v>11327520.000000004</v>
      </c>
      <c r="CC927">
        <f t="shared" ca="1" si="415"/>
        <v>-14842972.866210923</v>
      </c>
      <c r="CD927">
        <f t="shared" ca="1" si="416"/>
        <v>0</v>
      </c>
      <c r="CE927">
        <f t="shared" ca="1" si="417"/>
        <v>23090347.13378913</v>
      </c>
      <c r="CF927">
        <f t="shared" ca="1" si="418"/>
        <v>23090347.13378913</v>
      </c>
      <c r="CG927">
        <f t="shared" ca="1" si="419"/>
        <v>0</v>
      </c>
      <c r="CH927" s="10" t="str">
        <f>分析データ!A927</f>
        <v/>
      </c>
    </row>
    <row r="928" spans="46:86">
      <c r="AT928">
        <f ca="1">IF(ROW()&lt;($C$7+1),"",IFERROR((分析データ!B928-AVERAGE(OFFSET(分析データ!B$1,MAX(1,ROW()-$C$7),0,MIN($C$7,ROW()-1),1)))/STDEV(OFFSET(分析データ!B$1,MAX(1,ROW()-$C$7),0,MIN($C$7,ROW()-1),1)),0))</f>
        <v>0</v>
      </c>
      <c r="AU928">
        <f t="shared" ca="1" si="392"/>
        <v>0</v>
      </c>
      <c r="AV928" t="str">
        <f ca="1">IF(AU928=1,IF(INDEX(分析データ!$A:$A,ROW()+$C$5)&lt;&gt;"",80000*SIGN(AT928)*(分析データ!B928-INDEX(分析データ!B:B,ROW()+$C$5)),""),"")</f>
        <v/>
      </c>
      <c r="AW928">
        <f t="shared" ca="1" si="393"/>
        <v>-1240000.0000000019</v>
      </c>
      <c r="AX928">
        <f t="shared" ca="1" si="394"/>
        <v>0</v>
      </c>
      <c r="AY928">
        <f t="shared" ca="1" si="395"/>
        <v>-1240000.0000000019</v>
      </c>
      <c r="AZ928">
        <f ca="1">IF(ROW()&lt;($C$7+1),"",IFERROR((分析データ!C928-AVERAGE(OFFSET(分析データ!C$1,MAX(1,ROW()-$C$7),0,MIN($C$7,ROW()-1),1)))/STDEV(OFFSET(分析データ!C$1,MAX(1,ROW()-$C$7),0,MIN($C$7,ROW()-1),1)),0))</f>
        <v>0</v>
      </c>
      <c r="BA928">
        <f t="shared" ca="1" si="396"/>
        <v>0</v>
      </c>
      <c r="BB928" t="str">
        <f ca="1">IF(BA928=1,IF(INDEX(分析データ!$A:$A,ROW()+$C$5)&lt;&gt;"",60000*SIGN(AZ928)*(分析データ!C928-INDEX(分析データ!C:C,ROW()+$C$5)),""),"")</f>
        <v/>
      </c>
      <c r="BC928">
        <f t="shared" ca="1" si="397"/>
        <v>-260999.9999999851</v>
      </c>
      <c r="BD928">
        <f t="shared" ca="1" si="398"/>
        <v>3156000.0000000107</v>
      </c>
      <c r="BE928">
        <f t="shared" ca="1" si="399"/>
        <v>-3416999.9999999958</v>
      </c>
      <c r="BF928">
        <f ca="1">IF(ROW()&lt;($C$7+1),"",IFERROR((分析データ!D928-AVERAGE(OFFSET(分析データ!D$1,MAX(1,ROW()-$C$7),0,MIN($C$7,ROW()-1),1)))/STDEV(OFFSET(分析データ!D$1,MAX(1,ROW()-$C$7),0,MIN($C$7,ROW()-1),1)),0))</f>
        <v>0</v>
      </c>
      <c r="BG928">
        <f t="shared" ca="1" si="400"/>
        <v>0</v>
      </c>
      <c r="BH928" t="str">
        <f ca="1">IF(BG928=1,IF(INDEX(分析データ!$A:$A,ROW()+$C$5)&lt;&gt;"",50000*SIGN(BF928)*(分析データ!D928-INDEX(分析データ!D:D,ROW()+$C$5)),""),"")</f>
        <v/>
      </c>
      <c r="BI928">
        <f t="shared" ca="1" si="401"/>
        <v>5570000.0000000205</v>
      </c>
      <c r="BJ928">
        <f t="shared" ca="1" si="402"/>
        <v>5570000.0000000205</v>
      </c>
      <c r="BK928">
        <f t="shared" ca="1" si="403"/>
        <v>0</v>
      </c>
      <c r="BL928">
        <f ca="1">IF(ROW()&lt;($C$7+1),"",IFERROR((分析データ!E928-AVERAGE(OFFSET(分析データ!E$1,MAX(1,ROW()-$C$7),0,MIN($C$7,ROW()-1),1)))/STDEV(OFFSET(分析データ!E$1,MAX(1,ROW()-$C$7),0,MIN($C$7,ROW()-1),1)),0))</f>
        <v>0</v>
      </c>
      <c r="BM928">
        <f t="shared" ca="1" si="404"/>
        <v>0</v>
      </c>
      <c r="BN928" t="str">
        <f ca="1">IF(BM928=1,IF(INDEX(分析データ!$A:$A,ROW()+$C$5)&lt;&gt;"",40000*SIGN(BL928)*(分析データ!E928-INDEX(分析データ!E:E,ROW()+$C$5)),""),"")</f>
        <v/>
      </c>
      <c r="BO928">
        <f t="shared" ca="1" si="405"/>
        <v>2720000.0000000014</v>
      </c>
      <c r="BP928">
        <f t="shared" ca="1" si="406"/>
        <v>4280000.0000000028</v>
      </c>
      <c r="BQ928">
        <f t="shared" ca="1" si="407"/>
        <v>-1560000.0000000014</v>
      </c>
      <c r="BR928">
        <f ca="1">IF(ROW()&lt;($C$7+1),"",IFERROR((分析データ!F928-AVERAGE(OFFSET(分析データ!F$1,MAX(1,ROW()-$C$7),0,MIN($C$7,ROW()-1),1)))/STDEV(OFFSET(分析データ!F$1,MAX(1,ROW()-$C$7),0,MIN($C$7,ROW()-1),1)),0))</f>
        <v>0</v>
      </c>
      <c r="BS928">
        <f t="shared" ca="1" si="408"/>
        <v>0</v>
      </c>
      <c r="BT928" t="str">
        <f ca="1">IF(BS928=1,IF(INDEX(分析データ!$A:$A,ROW()+$C$5)&lt;&gt;"",40000*SIGN(BR928)*(分析データ!F928-INDEX(分析データ!F:F,ROW()+$C$5)),""),"")</f>
        <v/>
      </c>
      <c r="BU928">
        <f t="shared" ca="1" si="409"/>
        <v>19816800</v>
      </c>
      <c r="BV928">
        <f t="shared" ca="1" si="410"/>
        <v>19816800</v>
      </c>
      <c r="BW928">
        <f t="shared" ca="1" si="411"/>
        <v>0</v>
      </c>
      <c r="BX928">
        <f ca="1">IF(ROW()&lt;($C$7+1),"",IFERROR((分析データ!G928-AVERAGE(OFFSET(分析データ!G$1,MAX(1,ROW()-$C$7),0,MIN($C$7,ROW()-1),1)))/STDEV(OFFSET(分析データ!G$1,MAX(1,ROW()-$C$7),0,MIN($C$7,ROW()-1),1)),0))</f>
        <v>0</v>
      </c>
      <c r="BY928">
        <f t="shared" ca="1" si="412"/>
        <v>0</v>
      </c>
      <c r="BZ928" t="str">
        <f ca="1">IF(BY928=1,IF(INDEX(分析データ!$A:$A,ROW()+$C$5)&lt;&gt;"",40000*SIGN(BX928)*(分析データ!G928-INDEX(分析データ!G:G,ROW()+$C$5)),""),"")</f>
        <v/>
      </c>
      <c r="CA928">
        <f t="shared" ca="1" si="413"/>
        <v>-3515452.8662109179</v>
      </c>
      <c r="CB928">
        <f t="shared" ca="1" si="414"/>
        <v>11327520.000000004</v>
      </c>
      <c r="CC928">
        <f t="shared" ca="1" si="415"/>
        <v>-14842972.866210923</v>
      </c>
      <c r="CD928">
        <f t="shared" ca="1" si="416"/>
        <v>0</v>
      </c>
      <c r="CE928">
        <f t="shared" ca="1" si="417"/>
        <v>23090347.13378913</v>
      </c>
      <c r="CF928">
        <f t="shared" ca="1" si="418"/>
        <v>23090347.13378913</v>
      </c>
      <c r="CG928">
        <f t="shared" ca="1" si="419"/>
        <v>0</v>
      </c>
      <c r="CH928" s="10" t="str">
        <f>分析データ!A928</f>
        <v/>
      </c>
    </row>
    <row r="929" spans="46:86">
      <c r="AT929">
        <f ca="1">IF(ROW()&lt;($C$7+1),"",IFERROR((分析データ!B929-AVERAGE(OFFSET(分析データ!B$1,MAX(1,ROW()-$C$7),0,MIN($C$7,ROW()-1),1)))/STDEV(OFFSET(分析データ!B$1,MAX(1,ROW()-$C$7),0,MIN($C$7,ROW()-1),1)),0))</f>
        <v>0</v>
      </c>
      <c r="AU929">
        <f t="shared" ca="1" si="392"/>
        <v>0</v>
      </c>
      <c r="AV929" t="str">
        <f ca="1">IF(AU929=1,IF(INDEX(分析データ!$A:$A,ROW()+$C$5)&lt;&gt;"",80000*SIGN(AT929)*(分析データ!B929-INDEX(分析データ!B:B,ROW()+$C$5)),""),"")</f>
        <v/>
      </c>
      <c r="AW929">
        <f t="shared" ca="1" si="393"/>
        <v>-1240000.0000000019</v>
      </c>
      <c r="AX929">
        <f t="shared" ca="1" si="394"/>
        <v>0</v>
      </c>
      <c r="AY929">
        <f t="shared" ca="1" si="395"/>
        <v>-1240000.0000000019</v>
      </c>
      <c r="AZ929">
        <f ca="1">IF(ROW()&lt;($C$7+1),"",IFERROR((分析データ!C929-AVERAGE(OFFSET(分析データ!C$1,MAX(1,ROW()-$C$7),0,MIN($C$7,ROW()-1),1)))/STDEV(OFFSET(分析データ!C$1,MAX(1,ROW()-$C$7),0,MIN($C$7,ROW()-1),1)),0))</f>
        <v>0</v>
      </c>
      <c r="BA929">
        <f t="shared" ca="1" si="396"/>
        <v>0</v>
      </c>
      <c r="BB929" t="str">
        <f ca="1">IF(BA929=1,IF(INDEX(分析データ!$A:$A,ROW()+$C$5)&lt;&gt;"",60000*SIGN(AZ929)*(分析データ!C929-INDEX(分析データ!C:C,ROW()+$C$5)),""),"")</f>
        <v/>
      </c>
      <c r="BC929">
        <f t="shared" ca="1" si="397"/>
        <v>-260999.9999999851</v>
      </c>
      <c r="BD929">
        <f t="shared" ca="1" si="398"/>
        <v>3156000.0000000107</v>
      </c>
      <c r="BE929">
        <f t="shared" ca="1" si="399"/>
        <v>-3416999.9999999958</v>
      </c>
      <c r="BF929">
        <f ca="1">IF(ROW()&lt;($C$7+1),"",IFERROR((分析データ!D929-AVERAGE(OFFSET(分析データ!D$1,MAX(1,ROW()-$C$7),0,MIN($C$7,ROW()-1),1)))/STDEV(OFFSET(分析データ!D$1,MAX(1,ROW()-$C$7),0,MIN($C$7,ROW()-1),1)),0))</f>
        <v>0</v>
      </c>
      <c r="BG929">
        <f t="shared" ca="1" si="400"/>
        <v>0</v>
      </c>
      <c r="BH929" t="str">
        <f ca="1">IF(BG929=1,IF(INDEX(分析データ!$A:$A,ROW()+$C$5)&lt;&gt;"",50000*SIGN(BF929)*(分析データ!D929-INDEX(分析データ!D:D,ROW()+$C$5)),""),"")</f>
        <v/>
      </c>
      <c r="BI929">
        <f t="shared" ca="1" si="401"/>
        <v>5570000.0000000205</v>
      </c>
      <c r="BJ929">
        <f t="shared" ca="1" si="402"/>
        <v>5570000.0000000205</v>
      </c>
      <c r="BK929">
        <f t="shared" ca="1" si="403"/>
        <v>0</v>
      </c>
      <c r="BL929">
        <f ca="1">IF(ROW()&lt;($C$7+1),"",IFERROR((分析データ!E929-AVERAGE(OFFSET(分析データ!E$1,MAX(1,ROW()-$C$7),0,MIN($C$7,ROW()-1),1)))/STDEV(OFFSET(分析データ!E$1,MAX(1,ROW()-$C$7),0,MIN($C$7,ROW()-1),1)),0))</f>
        <v>0</v>
      </c>
      <c r="BM929">
        <f t="shared" ca="1" si="404"/>
        <v>0</v>
      </c>
      <c r="BN929" t="str">
        <f ca="1">IF(BM929=1,IF(INDEX(分析データ!$A:$A,ROW()+$C$5)&lt;&gt;"",40000*SIGN(BL929)*(分析データ!E929-INDEX(分析データ!E:E,ROW()+$C$5)),""),"")</f>
        <v/>
      </c>
      <c r="BO929">
        <f t="shared" ca="1" si="405"/>
        <v>2720000.0000000014</v>
      </c>
      <c r="BP929">
        <f t="shared" ca="1" si="406"/>
        <v>4280000.0000000028</v>
      </c>
      <c r="BQ929">
        <f t="shared" ca="1" si="407"/>
        <v>-1560000.0000000014</v>
      </c>
      <c r="BR929">
        <f ca="1">IF(ROW()&lt;($C$7+1),"",IFERROR((分析データ!F929-AVERAGE(OFFSET(分析データ!F$1,MAX(1,ROW()-$C$7),0,MIN($C$7,ROW()-1),1)))/STDEV(OFFSET(分析データ!F$1,MAX(1,ROW()-$C$7),0,MIN($C$7,ROW()-1),1)),0))</f>
        <v>0</v>
      </c>
      <c r="BS929">
        <f t="shared" ca="1" si="408"/>
        <v>0</v>
      </c>
      <c r="BT929" t="str">
        <f ca="1">IF(BS929=1,IF(INDEX(分析データ!$A:$A,ROW()+$C$5)&lt;&gt;"",40000*SIGN(BR929)*(分析データ!F929-INDEX(分析データ!F:F,ROW()+$C$5)),""),"")</f>
        <v/>
      </c>
      <c r="BU929">
        <f t="shared" ca="1" si="409"/>
        <v>19816800</v>
      </c>
      <c r="BV929">
        <f t="shared" ca="1" si="410"/>
        <v>19816800</v>
      </c>
      <c r="BW929">
        <f t="shared" ca="1" si="411"/>
        <v>0</v>
      </c>
      <c r="BX929">
        <f ca="1">IF(ROW()&lt;($C$7+1),"",IFERROR((分析データ!G929-AVERAGE(OFFSET(分析データ!G$1,MAX(1,ROW()-$C$7),0,MIN($C$7,ROW()-1),1)))/STDEV(OFFSET(分析データ!G$1,MAX(1,ROW()-$C$7),0,MIN($C$7,ROW()-1),1)),0))</f>
        <v>0</v>
      </c>
      <c r="BY929">
        <f t="shared" ca="1" si="412"/>
        <v>0</v>
      </c>
      <c r="BZ929" t="str">
        <f ca="1">IF(BY929=1,IF(INDEX(分析データ!$A:$A,ROW()+$C$5)&lt;&gt;"",40000*SIGN(BX929)*(分析データ!G929-INDEX(分析データ!G:G,ROW()+$C$5)),""),"")</f>
        <v/>
      </c>
      <c r="CA929">
        <f t="shared" ca="1" si="413"/>
        <v>-3515452.8662109179</v>
      </c>
      <c r="CB929">
        <f t="shared" ca="1" si="414"/>
        <v>11327520.000000004</v>
      </c>
      <c r="CC929">
        <f t="shared" ca="1" si="415"/>
        <v>-14842972.866210923</v>
      </c>
      <c r="CD929">
        <f t="shared" ca="1" si="416"/>
        <v>0</v>
      </c>
      <c r="CE929">
        <f t="shared" ca="1" si="417"/>
        <v>23090347.13378913</v>
      </c>
      <c r="CF929">
        <f t="shared" ca="1" si="418"/>
        <v>23090347.13378913</v>
      </c>
      <c r="CG929">
        <f t="shared" ca="1" si="419"/>
        <v>0</v>
      </c>
      <c r="CH929" s="10" t="str">
        <f>分析データ!A929</f>
        <v/>
      </c>
    </row>
    <row r="930" spans="46:86">
      <c r="AT930">
        <f ca="1">IF(ROW()&lt;($C$7+1),"",IFERROR((分析データ!B930-AVERAGE(OFFSET(分析データ!B$1,MAX(1,ROW()-$C$7),0,MIN($C$7,ROW()-1),1)))/STDEV(OFFSET(分析データ!B$1,MAX(1,ROW()-$C$7),0,MIN($C$7,ROW()-1),1)),0))</f>
        <v>0</v>
      </c>
      <c r="AU930">
        <f t="shared" ca="1" si="392"/>
        <v>0</v>
      </c>
      <c r="AV930" t="str">
        <f ca="1">IF(AU930=1,IF(INDEX(分析データ!$A:$A,ROW()+$C$5)&lt;&gt;"",80000*SIGN(AT930)*(分析データ!B930-INDEX(分析データ!B:B,ROW()+$C$5)),""),"")</f>
        <v/>
      </c>
      <c r="AW930">
        <f t="shared" ca="1" si="393"/>
        <v>-1240000.0000000019</v>
      </c>
      <c r="AX930">
        <f t="shared" ca="1" si="394"/>
        <v>0</v>
      </c>
      <c r="AY930">
        <f t="shared" ca="1" si="395"/>
        <v>-1240000.0000000019</v>
      </c>
      <c r="AZ930">
        <f ca="1">IF(ROW()&lt;($C$7+1),"",IFERROR((分析データ!C930-AVERAGE(OFFSET(分析データ!C$1,MAX(1,ROW()-$C$7),0,MIN($C$7,ROW()-1),1)))/STDEV(OFFSET(分析データ!C$1,MAX(1,ROW()-$C$7),0,MIN($C$7,ROW()-1),1)),0))</f>
        <v>0</v>
      </c>
      <c r="BA930">
        <f t="shared" ca="1" si="396"/>
        <v>0</v>
      </c>
      <c r="BB930" t="str">
        <f ca="1">IF(BA930=1,IF(INDEX(分析データ!$A:$A,ROW()+$C$5)&lt;&gt;"",60000*SIGN(AZ930)*(分析データ!C930-INDEX(分析データ!C:C,ROW()+$C$5)),""),"")</f>
        <v/>
      </c>
      <c r="BC930">
        <f t="shared" ca="1" si="397"/>
        <v>-260999.9999999851</v>
      </c>
      <c r="BD930">
        <f t="shared" ca="1" si="398"/>
        <v>3156000.0000000107</v>
      </c>
      <c r="BE930">
        <f t="shared" ca="1" si="399"/>
        <v>-3416999.9999999958</v>
      </c>
      <c r="BF930">
        <f ca="1">IF(ROW()&lt;($C$7+1),"",IFERROR((分析データ!D930-AVERAGE(OFFSET(分析データ!D$1,MAX(1,ROW()-$C$7),0,MIN($C$7,ROW()-1),1)))/STDEV(OFFSET(分析データ!D$1,MAX(1,ROW()-$C$7),0,MIN($C$7,ROW()-1),1)),0))</f>
        <v>0</v>
      </c>
      <c r="BG930">
        <f t="shared" ca="1" si="400"/>
        <v>0</v>
      </c>
      <c r="BH930" t="str">
        <f ca="1">IF(BG930=1,IF(INDEX(分析データ!$A:$A,ROW()+$C$5)&lt;&gt;"",50000*SIGN(BF930)*(分析データ!D930-INDEX(分析データ!D:D,ROW()+$C$5)),""),"")</f>
        <v/>
      </c>
      <c r="BI930">
        <f t="shared" ca="1" si="401"/>
        <v>5570000.0000000205</v>
      </c>
      <c r="BJ930">
        <f t="shared" ca="1" si="402"/>
        <v>5570000.0000000205</v>
      </c>
      <c r="BK930">
        <f t="shared" ca="1" si="403"/>
        <v>0</v>
      </c>
      <c r="BL930">
        <f ca="1">IF(ROW()&lt;($C$7+1),"",IFERROR((分析データ!E930-AVERAGE(OFFSET(分析データ!E$1,MAX(1,ROW()-$C$7),0,MIN($C$7,ROW()-1),1)))/STDEV(OFFSET(分析データ!E$1,MAX(1,ROW()-$C$7),0,MIN($C$7,ROW()-1),1)),0))</f>
        <v>0</v>
      </c>
      <c r="BM930">
        <f t="shared" ca="1" si="404"/>
        <v>0</v>
      </c>
      <c r="BN930" t="str">
        <f ca="1">IF(BM930=1,IF(INDEX(分析データ!$A:$A,ROW()+$C$5)&lt;&gt;"",40000*SIGN(BL930)*(分析データ!E930-INDEX(分析データ!E:E,ROW()+$C$5)),""),"")</f>
        <v/>
      </c>
      <c r="BO930">
        <f t="shared" ca="1" si="405"/>
        <v>2720000.0000000014</v>
      </c>
      <c r="BP930">
        <f t="shared" ca="1" si="406"/>
        <v>4280000.0000000028</v>
      </c>
      <c r="BQ930">
        <f t="shared" ca="1" si="407"/>
        <v>-1560000.0000000014</v>
      </c>
      <c r="BR930">
        <f ca="1">IF(ROW()&lt;($C$7+1),"",IFERROR((分析データ!F930-AVERAGE(OFFSET(分析データ!F$1,MAX(1,ROW()-$C$7),0,MIN($C$7,ROW()-1),1)))/STDEV(OFFSET(分析データ!F$1,MAX(1,ROW()-$C$7),0,MIN($C$7,ROW()-1),1)),0))</f>
        <v>0</v>
      </c>
      <c r="BS930">
        <f t="shared" ca="1" si="408"/>
        <v>0</v>
      </c>
      <c r="BT930" t="str">
        <f ca="1">IF(BS930=1,IF(INDEX(分析データ!$A:$A,ROW()+$C$5)&lt;&gt;"",40000*SIGN(BR930)*(分析データ!F930-INDEX(分析データ!F:F,ROW()+$C$5)),""),"")</f>
        <v/>
      </c>
      <c r="BU930">
        <f t="shared" ca="1" si="409"/>
        <v>19816800</v>
      </c>
      <c r="BV930">
        <f t="shared" ca="1" si="410"/>
        <v>19816800</v>
      </c>
      <c r="BW930">
        <f t="shared" ca="1" si="411"/>
        <v>0</v>
      </c>
      <c r="BX930">
        <f ca="1">IF(ROW()&lt;($C$7+1),"",IFERROR((分析データ!G930-AVERAGE(OFFSET(分析データ!G$1,MAX(1,ROW()-$C$7),0,MIN($C$7,ROW()-1),1)))/STDEV(OFFSET(分析データ!G$1,MAX(1,ROW()-$C$7),0,MIN($C$7,ROW()-1),1)),0))</f>
        <v>0</v>
      </c>
      <c r="BY930">
        <f t="shared" ca="1" si="412"/>
        <v>0</v>
      </c>
      <c r="BZ930" t="str">
        <f ca="1">IF(BY930=1,IF(INDEX(分析データ!$A:$A,ROW()+$C$5)&lt;&gt;"",40000*SIGN(BX930)*(分析データ!G930-INDEX(分析データ!G:G,ROW()+$C$5)),""),"")</f>
        <v/>
      </c>
      <c r="CA930">
        <f t="shared" ca="1" si="413"/>
        <v>-3515452.8662109179</v>
      </c>
      <c r="CB930">
        <f t="shared" ca="1" si="414"/>
        <v>11327520.000000004</v>
      </c>
      <c r="CC930">
        <f t="shared" ca="1" si="415"/>
        <v>-14842972.866210923</v>
      </c>
      <c r="CD930">
        <f t="shared" ca="1" si="416"/>
        <v>0</v>
      </c>
      <c r="CE930">
        <f t="shared" ca="1" si="417"/>
        <v>23090347.13378913</v>
      </c>
      <c r="CF930">
        <f t="shared" ca="1" si="418"/>
        <v>23090347.13378913</v>
      </c>
      <c r="CG930">
        <f t="shared" ca="1" si="419"/>
        <v>0</v>
      </c>
      <c r="CH930" s="10" t="str">
        <f>分析データ!A930</f>
        <v/>
      </c>
    </row>
    <row r="931" spans="46:86">
      <c r="AT931">
        <f ca="1">IF(ROW()&lt;($C$7+1),"",IFERROR((分析データ!B931-AVERAGE(OFFSET(分析データ!B$1,MAX(1,ROW()-$C$7),0,MIN($C$7,ROW()-1),1)))/STDEV(OFFSET(分析データ!B$1,MAX(1,ROW()-$C$7),0,MIN($C$7,ROW()-1),1)),0))</f>
        <v>0</v>
      </c>
      <c r="AU931">
        <f t="shared" ca="1" si="392"/>
        <v>0</v>
      </c>
      <c r="AV931" t="str">
        <f ca="1">IF(AU931=1,IF(INDEX(分析データ!$A:$A,ROW()+$C$5)&lt;&gt;"",80000*SIGN(AT931)*(分析データ!B931-INDEX(分析データ!B:B,ROW()+$C$5)),""),"")</f>
        <v/>
      </c>
      <c r="AW931">
        <f t="shared" ca="1" si="393"/>
        <v>-1240000.0000000019</v>
      </c>
      <c r="AX931">
        <f t="shared" ca="1" si="394"/>
        <v>0</v>
      </c>
      <c r="AY931">
        <f t="shared" ca="1" si="395"/>
        <v>-1240000.0000000019</v>
      </c>
      <c r="AZ931">
        <f ca="1">IF(ROW()&lt;($C$7+1),"",IFERROR((分析データ!C931-AVERAGE(OFFSET(分析データ!C$1,MAX(1,ROW()-$C$7),0,MIN($C$7,ROW()-1),1)))/STDEV(OFFSET(分析データ!C$1,MAX(1,ROW()-$C$7),0,MIN($C$7,ROW()-1),1)),0))</f>
        <v>0</v>
      </c>
      <c r="BA931">
        <f t="shared" ca="1" si="396"/>
        <v>0</v>
      </c>
      <c r="BB931" t="str">
        <f ca="1">IF(BA931=1,IF(INDEX(分析データ!$A:$A,ROW()+$C$5)&lt;&gt;"",60000*SIGN(AZ931)*(分析データ!C931-INDEX(分析データ!C:C,ROW()+$C$5)),""),"")</f>
        <v/>
      </c>
      <c r="BC931">
        <f t="shared" ca="1" si="397"/>
        <v>-260999.9999999851</v>
      </c>
      <c r="BD931">
        <f t="shared" ca="1" si="398"/>
        <v>3156000.0000000107</v>
      </c>
      <c r="BE931">
        <f t="shared" ca="1" si="399"/>
        <v>-3416999.9999999958</v>
      </c>
      <c r="BF931">
        <f ca="1">IF(ROW()&lt;($C$7+1),"",IFERROR((分析データ!D931-AVERAGE(OFFSET(分析データ!D$1,MAX(1,ROW()-$C$7),0,MIN($C$7,ROW()-1),1)))/STDEV(OFFSET(分析データ!D$1,MAX(1,ROW()-$C$7),0,MIN($C$7,ROW()-1),1)),0))</f>
        <v>0</v>
      </c>
      <c r="BG931">
        <f t="shared" ca="1" si="400"/>
        <v>0</v>
      </c>
      <c r="BH931" t="str">
        <f ca="1">IF(BG931=1,IF(INDEX(分析データ!$A:$A,ROW()+$C$5)&lt;&gt;"",50000*SIGN(BF931)*(分析データ!D931-INDEX(分析データ!D:D,ROW()+$C$5)),""),"")</f>
        <v/>
      </c>
      <c r="BI931">
        <f t="shared" ca="1" si="401"/>
        <v>5570000.0000000205</v>
      </c>
      <c r="BJ931">
        <f t="shared" ca="1" si="402"/>
        <v>5570000.0000000205</v>
      </c>
      <c r="BK931">
        <f t="shared" ca="1" si="403"/>
        <v>0</v>
      </c>
      <c r="BL931">
        <f ca="1">IF(ROW()&lt;($C$7+1),"",IFERROR((分析データ!E931-AVERAGE(OFFSET(分析データ!E$1,MAX(1,ROW()-$C$7),0,MIN($C$7,ROW()-1),1)))/STDEV(OFFSET(分析データ!E$1,MAX(1,ROW()-$C$7),0,MIN($C$7,ROW()-1),1)),0))</f>
        <v>0</v>
      </c>
      <c r="BM931">
        <f t="shared" ca="1" si="404"/>
        <v>0</v>
      </c>
      <c r="BN931" t="str">
        <f ca="1">IF(BM931=1,IF(INDEX(分析データ!$A:$A,ROW()+$C$5)&lt;&gt;"",40000*SIGN(BL931)*(分析データ!E931-INDEX(分析データ!E:E,ROW()+$C$5)),""),"")</f>
        <v/>
      </c>
      <c r="BO931">
        <f t="shared" ca="1" si="405"/>
        <v>2720000.0000000014</v>
      </c>
      <c r="BP931">
        <f t="shared" ca="1" si="406"/>
        <v>4280000.0000000028</v>
      </c>
      <c r="BQ931">
        <f t="shared" ca="1" si="407"/>
        <v>-1560000.0000000014</v>
      </c>
      <c r="BR931">
        <f ca="1">IF(ROW()&lt;($C$7+1),"",IFERROR((分析データ!F931-AVERAGE(OFFSET(分析データ!F$1,MAX(1,ROW()-$C$7),0,MIN($C$7,ROW()-1),1)))/STDEV(OFFSET(分析データ!F$1,MAX(1,ROW()-$C$7),0,MIN($C$7,ROW()-1),1)),0))</f>
        <v>0</v>
      </c>
      <c r="BS931">
        <f t="shared" ca="1" si="408"/>
        <v>0</v>
      </c>
      <c r="BT931" t="str">
        <f ca="1">IF(BS931=1,IF(INDEX(分析データ!$A:$A,ROW()+$C$5)&lt;&gt;"",40000*SIGN(BR931)*(分析データ!F931-INDEX(分析データ!F:F,ROW()+$C$5)),""),"")</f>
        <v/>
      </c>
      <c r="BU931">
        <f t="shared" ca="1" si="409"/>
        <v>19816800</v>
      </c>
      <c r="BV931">
        <f t="shared" ca="1" si="410"/>
        <v>19816800</v>
      </c>
      <c r="BW931">
        <f t="shared" ca="1" si="411"/>
        <v>0</v>
      </c>
      <c r="BX931">
        <f ca="1">IF(ROW()&lt;($C$7+1),"",IFERROR((分析データ!G931-AVERAGE(OFFSET(分析データ!G$1,MAX(1,ROW()-$C$7),0,MIN($C$7,ROW()-1),1)))/STDEV(OFFSET(分析データ!G$1,MAX(1,ROW()-$C$7),0,MIN($C$7,ROW()-1),1)),0))</f>
        <v>0</v>
      </c>
      <c r="BY931">
        <f t="shared" ca="1" si="412"/>
        <v>0</v>
      </c>
      <c r="BZ931" t="str">
        <f ca="1">IF(BY931=1,IF(INDEX(分析データ!$A:$A,ROW()+$C$5)&lt;&gt;"",40000*SIGN(BX931)*(分析データ!G931-INDEX(分析データ!G:G,ROW()+$C$5)),""),"")</f>
        <v/>
      </c>
      <c r="CA931">
        <f t="shared" ca="1" si="413"/>
        <v>-3515452.8662109179</v>
      </c>
      <c r="CB931">
        <f t="shared" ca="1" si="414"/>
        <v>11327520.000000004</v>
      </c>
      <c r="CC931">
        <f t="shared" ca="1" si="415"/>
        <v>-14842972.866210923</v>
      </c>
      <c r="CD931">
        <f t="shared" ca="1" si="416"/>
        <v>0</v>
      </c>
      <c r="CE931">
        <f t="shared" ca="1" si="417"/>
        <v>23090347.13378913</v>
      </c>
      <c r="CF931">
        <f t="shared" ca="1" si="418"/>
        <v>23090347.13378913</v>
      </c>
      <c r="CG931">
        <f t="shared" ca="1" si="419"/>
        <v>0</v>
      </c>
      <c r="CH931" s="10" t="str">
        <f>分析データ!A931</f>
        <v/>
      </c>
    </row>
    <row r="932" spans="46:86">
      <c r="AT932">
        <f ca="1">IF(ROW()&lt;($C$7+1),"",IFERROR((分析データ!B932-AVERAGE(OFFSET(分析データ!B$1,MAX(1,ROW()-$C$7),0,MIN($C$7,ROW()-1),1)))/STDEV(OFFSET(分析データ!B$1,MAX(1,ROW()-$C$7),0,MIN($C$7,ROW()-1),1)),0))</f>
        <v>0</v>
      </c>
      <c r="AU932">
        <f t="shared" ca="1" si="392"/>
        <v>0</v>
      </c>
      <c r="AV932" t="str">
        <f ca="1">IF(AU932=1,IF(INDEX(分析データ!$A:$A,ROW()+$C$5)&lt;&gt;"",80000*SIGN(AT932)*(分析データ!B932-INDEX(分析データ!B:B,ROW()+$C$5)),""),"")</f>
        <v/>
      </c>
      <c r="AW932">
        <f t="shared" ca="1" si="393"/>
        <v>-1240000.0000000019</v>
      </c>
      <c r="AX932">
        <f t="shared" ca="1" si="394"/>
        <v>0</v>
      </c>
      <c r="AY932">
        <f t="shared" ca="1" si="395"/>
        <v>-1240000.0000000019</v>
      </c>
      <c r="AZ932">
        <f ca="1">IF(ROW()&lt;($C$7+1),"",IFERROR((分析データ!C932-AVERAGE(OFFSET(分析データ!C$1,MAX(1,ROW()-$C$7),0,MIN($C$7,ROW()-1),1)))/STDEV(OFFSET(分析データ!C$1,MAX(1,ROW()-$C$7),0,MIN($C$7,ROW()-1),1)),0))</f>
        <v>0</v>
      </c>
      <c r="BA932">
        <f t="shared" ca="1" si="396"/>
        <v>0</v>
      </c>
      <c r="BB932" t="str">
        <f ca="1">IF(BA932=1,IF(INDEX(分析データ!$A:$A,ROW()+$C$5)&lt;&gt;"",60000*SIGN(AZ932)*(分析データ!C932-INDEX(分析データ!C:C,ROW()+$C$5)),""),"")</f>
        <v/>
      </c>
      <c r="BC932">
        <f t="shared" ca="1" si="397"/>
        <v>-260999.9999999851</v>
      </c>
      <c r="BD932">
        <f t="shared" ca="1" si="398"/>
        <v>3156000.0000000107</v>
      </c>
      <c r="BE932">
        <f t="shared" ca="1" si="399"/>
        <v>-3416999.9999999958</v>
      </c>
      <c r="BF932">
        <f ca="1">IF(ROW()&lt;($C$7+1),"",IFERROR((分析データ!D932-AVERAGE(OFFSET(分析データ!D$1,MAX(1,ROW()-$C$7),0,MIN($C$7,ROW()-1),1)))/STDEV(OFFSET(分析データ!D$1,MAX(1,ROW()-$C$7),0,MIN($C$7,ROW()-1),1)),0))</f>
        <v>0</v>
      </c>
      <c r="BG932">
        <f t="shared" ca="1" si="400"/>
        <v>0</v>
      </c>
      <c r="BH932" t="str">
        <f ca="1">IF(BG932=1,IF(INDEX(分析データ!$A:$A,ROW()+$C$5)&lt;&gt;"",50000*SIGN(BF932)*(分析データ!D932-INDEX(分析データ!D:D,ROW()+$C$5)),""),"")</f>
        <v/>
      </c>
      <c r="BI932">
        <f t="shared" ca="1" si="401"/>
        <v>5570000.0000000205</v>
      </c>
      <c r="BJ932">
        <f t="shared" ca="1" si="402"/>
        <v>5570000.0000000205</v>
      </c>
      <c r="BK932">
        <f t="shared" ca="1" si="403"/>
        <v>0</v>
      </c>
      <c r="BL932">
        <f ca="1">IF(ROW()&lt;($C$7+1),"",IFERROR((分析データ!E932-AVERAGE(OFFSET(分析データ!E$1,MAX(1,ROW()-$C$7),0,MIN($C$7,ROW()-1),1)))/STDEV(OFFSET(分析データ!E$1,MAX(1,ROW()-$C$7),0,MIN($C$7,ROW()-1),1)),0))</f>
        <v>0</v>
      </c>
      <c r="BM932">
        <f t="shared" ca="1" si="404"/>
        <v>0</v>
      </c>
      <c r="BN932" t="str">
        <f ca="1">IF(BM932=1,IF(INDEX(分析データ!$A:$A,ROW()+$C$5)&lt;&gt;"",40000*SIGN(BL932)*(分析データ!E932-INDEX(分析データ!E:E,ROW()+$C$5)),""),"")</f>
        <v/>
      </c>
      <c r="BO932">
        <f t="shared" ca="1" si="405"/>
        <v>2720000.0000000014</v>
      </c>
      <c r="BP932">
        <f t="shared" ca="1" si="406"/>
        <v>4280000.0000000028</v>
      </c>
      <c r="BQ932">
        <f t="shared" ca="1" si="407"/>
        <v>-1560000.0000000014</v>
      </c>
      <c r="BR932">
        <f ca="1">IF(ROW()&lt;($C$7+1),"",IFERROR((分析データ!F932-AVERAGE(OFFSET(分析データ!F$1,MAX(1,ROW()-$C$7),0,MIN($C$7,ROW()-1),1)))/STDEV(OFFSET(分析データ!F$1,MAX(1,ROW()-$C$7),0,MIN($C$7,ROW()-1),1)),0))</f>
        <v>0</v>
      </c>
      <c r="BS932">
        <f t="shared" ca="1" si="408"/>
        <v>0</v>
      </c>
      <c r="BT932" t="str">
        <f ca="1">IF(BS932=1,IF(INDEX(分析データ!$A:$A,ROW()+$C$5)&lt;&gt;"",40000*SIGN(BR932)*(分析データ!F932-INDEX(分析データ!F:F,ROW()+$C$5)),""),"")</f>
        <v/>
      </c>
      <c r="BU932">
        <f t="shared" ca="1" si="409"/>
        <v>19816800</v>
      </c>
      <c r="BV932">
        <f t="shared" ca="1" si="410"/>
        <v>19816800</v>
      </c>
      <c r="BW932">
        <f t="shared" ca="1" si="411"/>
        <v>0</v>
      </c>
      <c r="BX932">
        <f ca="1">IF(ROW()&lt;($C$7+1),"",IFERROR((分析データ!G932-AVERAGE(OFFSET(分析データ!G$1,MAX(1,ROW()-$C$7),0,MIN($C$7,ROW()-1),1)))/STDEV(OFFSET(分析データ!G$1,MAX(1,ROW()-$C$7),0,MIN($C$7,ROW()-1),1)),0))</f>
        <v>0</v>
      </c>
      <c r="BY932">
        <f t="shared" ca="1" si="412"/>
        <v>0</v>
      </c>
      <c r="BZ932" t="str">
        <f ca="1">IF(BY932=1,IF(INDEX(分析データ!$A:$A,ROW()+$C$5)&lt;&gt;"",40000*SIGN(BX932)*(分析データ!G932-INDEX(分析データ!G:G,ROW()+$C$5)),""),"")</f>
        <v/>
      </c>
      <c r="CA932">
        <f t="shared" ca="1" si="413"/>
        <v>-3515452.8662109179</v>
      </c>
      <c r="CB932">
        <f t="shared" ca="1" si="414"/>
        <v>11327520.000000004</v>
      </c>
      <c r="CC932">
        <f t="shared" ca="1" si="415"/>
        <v>-14842972.866210923</v>
      </c>
      <c r="CD932">
        <f t="shared" ca="1" si="416"/>
        <v>0</v>
      </c>
      <c r="CE932">
        <f t="shared" ca="1" si="417"/>
        <v>23090347.13378913</v>
      </c>
      <c r="CF932">
        <f t="shared" ca="1" si="418"/>
        <v>23090347.13378913</v>
      </c>
      <c r="CG932">
        <f t="shared" ca="1" si="419"/>
        <v>0</v>
      </c>
      <c r="CH932" s="10" t="str">
        <f>分析データ!A932</f>
        <v/>
      </c>
    </row>
    <row r="933" spans="46:86">
      <c r="AT933">
        <f ca="1">IF(ROW()&lt;($C$7+1),"",IFERROR((分析データ!B933-AVERAGE(OFFSET(分析データ!B$1,MAX(1,ROW()-$C$7),0,MIN($C$7,ROW()-1),1)))/STDEV(OFFSET(分析データ!B$1,MAX(1,ROW()-$C$7),0,MIN($C$7,ROW()-1),1)),0))</f>
        <v>0</v>
      </c>
      <c r="AU933">
        <f t="shared" ca="1" si="392"/>
        <v>0</v>
      </c>
      <c r="AV933" t="str">
        <f ca="1">IF(AU933=1,IF(INDEX(分析データ!$A:$A,ROW()+$C$5)&lt;&gt;"",80000*SIGN(AT933)*(分析データ!B933-INDEX(分析データ!B:B,ROW()+$C$5)),""),"")</f>
        <v/>
      </c>
      <c r="AW933">
        <f t="shared" ca="1" si="393"/>
        <v>-1240000.0000000019</v>
      </c>
      <c r="AX933">
        <f t="shared" ca="1" si="394"/>
        <v>0</v>
      </c>
      <c r="AY933">
        <f t="shared" ca="1" si="395"/>
        <v>-1240000.0000000019</v>
      </c>
      <c r="AZ933">
        <f ca="1">IF(ROW()&lt;($C$7+1),"",IFERROR((分析データ!C933-AVERAGE(OFFSET(分析データ!C$1,MAX(1,ROW()-$C$7),0,MIN($C$7,ROW()-1),1)))/STDEV(OFFSET(分析データ!C$1,MAX(1,ROW()-$C$7),0,MIN($C$7,ROW()-1),1)),0))</f>
        <v>0</v>
      </c>
      <c r="BA933">
        <f t="shared" ca="1" si="396"/>
        <v>0</v>
      </c>
      <c r="BB933" t="str">
        <f ca="1">IF(BA933=1,IF(INDEX(分析データ!$A:$A,ROW()+$C$5)&lt;&gt;"",60000*SIGN(AZ933)*(分析データ!C933-INDEX(分析データ!C:C,ROW()+$C$5)),""),"")</f>
        <v/>
      </c>
      <c r="BC933">
        <f t="shared" ca="1" si="397"/>
        <v>-260999.9999999851</v>
      </c>
      <c r="BD933">
        <f t="shared" ca="1" si="398"/>
        <v>3156000.0000000107</v>
      </c>
      <c r="BE933">
        <f t="shared" ca="1" si="399"/>
        <v>-3416999.9999999958</v>
      </c>
      <c r="BF933">
        <f ca="1">IF(ROW()&lt;($C$7+1),"",IFERROR((分析データ!D933-AVERAGE(OFFSET(分析データ!D$1,MAX(1,ROW()-$C$7),0,MIN($C$7,ROW()-1),1)))/STDEV(OFFSET(分析データ!D$1,MAX(1,ROW()-$C$7),0,MIN($C$7,ROW()-1),1)),0))</f>
        <v>0</v>
      </c>
      <c r="BG933">
        <f t="shared" ca="1" si="400"/>
        <v>0</v>
      </c>
      <c r="BH933" t="str">
        <f ca="1">IF(BG933=1,IF(INDEX(分析データ!$A:$A,ROW()+$C$5)&lt;&gt;"",50000*SIGN(BF933)*(分析データ!D933-INDEX(分析データ!D:D,ROW()+$C$5)),""),"")</f>
        <v/>
      </c>
      <c r="BI933">
        <f t="shared" ca="1" si="401"/>
        <v>5570000.0000000205</v>
      </c>
      <c r="BJ933">
        <f t="shared" ca="1" si="402"/>
        <v>5570000.0000000205</v>
      </c>
      <c r="BK933">
        <f t="shared" ca="1" si="403"/>
        <v>0</v>
      </c>
      <c r="BL933">
        <f ca="1">IF(ROW()&lt;($C$7+1),"",IFERROR((分析データ!E933-AVERAGE(OFFSET(分析データ!E$1,MAX(1,ROW()-$C$7),0,MIN($C$7,ROW()-1),1)))/STDEV(OFFSET(分析データ!E$1,MAX(1,ROW()-$C$7),0,MIN($C$7,ROW()-1),1)),0))</f>
        <v>0</v>
      </c>
      <c r="BM933">
        <f t="shared" ca="1" si="404"/>
        <v>0</v>
      </c>
      <c r="BN933" t="str">
        <f ca="1">IF(BM933=1,IF(INDEX(分析データ!$A:$A,ROW()+$C$5)&lt;&gt;"",40000*SIGN(BL933)*(分析データ!E933-INDEX(分析データ!E:E,ROW()+$C$5)),""),"")</f>
        <v/>
      </c>
      <c r="BO933">
        <f t="shared" ca="1" si="405"/>
        <v>2720000.0000000014</v>
      </c>
      <c r="BP933">
        <f t="shared" ca="1" si="406"/>
        <v>4280000.0000000028</v>
      </c>
      <c r="BQ933">
        <f t="shared" ca="1" si="407"/>
        <v>-1560000.0000000014</v>
      </c>
      <c r="BR933">
        <f ca="1">IF(ROW()&lt;($C$7+1),"",IFERROR((分析データ!F933-AVERAGE(OFFSET(分析データ!F$1,MAX(1,ROW()-$C$7),0,MIN($C$7,ROW()-1),1)))/STDEV(OFFSET(分析データ!F$1,MAX(1,ROW()-$C$7),0,MIN($C$7,ROW()-1),1)),0))</f>
        <v>0</v>
      </c>
      <c r="BS933">
        <f t="shared" ca="1" si="408"/>
        <v>0</v>
      </c>
      <c r="BT933" t="str">
        <f ca="1">IF(BS933=1,IF(INDEX(分析データ!$A:$A,ROW()+$C$5)&lt;&gt;"",40000*SIGN(BR933)*(分析データ!F933-INDEX(分析データ!F:F,ROW()+$C$5)),""),"")</f>
        <v/>
      </c>
      <c r="BU933">
        <f t="shared" ca="1" si="409"/>
        <v>19816800</v>
      </c>
      <c r="BV933">
        <f t="shared" ca="1" si="410"/>
        <v>19816800</v>
      </c>
      <c r="BW933">
        <f t="shared" ca="1" si="411"/>
        <v>0</v>
      </c>
      <c r="BX933">
        <f ca="1">IF(ROW()&lt;($C$7+1),"",IFERROR((分析データ!G933-AVERAGE(OFFSET(分析データ!G$1,MAX(1,ROW()-$C$7),0,MIN($C$7,ROW()-1),1)))/STDEV(OFFSET(分析データ!G$1,MAX(1,ROW()-$C$7),0,MIN($C$7,ROW()-1),1)),0))</f>
        <v>0</v>
      </c>
      <c r="BY933">
        <f t="shared" ca="1" si="412"/>
        <v>0</v>
      </c>
      <c r="BZ933" t="str">
        <f ca="1">IF(BY933=1,IF(INDEX(分析データ!$A:$A,ROW()+$C$5)&lt;&gt;"",40000*SIGN(BX933)*(分析データ!G933-INDEX(分析データ!G:G,ROW()+$C$5)),""),"")</f>
        <v/>
      </c>
      <c r="CA933">
        <f t="shared" ca="1" si="413"/>
        <v>-3515452.8662109179</v>
      </c>
      <c r="CB933">
        <f t="shared" ca="1" si="414"/>
        <v>11327520.000000004</v>
      </c>
      <c r="CC933">
        <f t="shared" ca="1" si="415"/>
        <v>-14842972.866210923</v>
      </c>
      <c r="CD933">
        <f t="shared" ca="1" si="416"/>
        <v>0</v>
      </c>
      <c r="CE933">
        <f t="shared" ca="1" si="417"/>
        <v>23090347.13378913</v>
      </c>
      <c r="CF933">
        <f t="shared" ca="1" si="418"/>
        <v>23090347.13378913</v>
      </c>
      <c r="CG933">
        <f t="shared" ca="1" si="419"/>
        <v>0</v>
      </c>
      <c r="CH933" s="10" t="str">
        <f>分析データ!A933</f>
        <v/>
      </c>
    </row>
    <row r="934" spans="46:86">
      <c r="AT934">
        <f ca="1">IF(ROW()&lt;($C$7+1),"",IFERROR((分析データ!B934-AVERAGE(OFFSET(分析データ!B$1,MAX(1,ROW()-$C$7),0,MIN($C$7,ROW()-1),1)))/STDEV(OFFSET(分析データ!B$1,MAX(1,ROW()-$C$7),0,MIN($C$7,ROW()-1),1)),0))</f>
        <v>0</v>
      </c>
      <c r="AU934">
        <f t="shared" ca="1" si="392"/>
        <v>0</v>
      </c>
      <c r="AV934" t="str">
        <f ca="1">IF(AU934=1,IF(INDEX(分析データ!$A:$A,ROW()+$C$5)&lt;&gt;"",80000*SIGN(AT934)*(分析データ!B934-INDEX(分析データ!B:B,ROW()+$C$5)),""),"")</f>
        <v/>
      </c>
      <c r="AW934">
        <f t="shared" ca="1" si="393"/>
        <v>-1240000.0000000019</v>
      </c>
      <c r="AX934">
        <f t="shared" ca="1" si="394"/>
        <v>0</v>
      </c>
      <c r="AY934">
        <f t="shared" ca="1" si="395"/>
        <v>-1240000.0000000019</v>
      </c>
      <c r="AZ934">
        <f ca="1">IF(ROW()&lt;($C$7+1),"",IFERROR((分析データ!C934-AVERAGE(OFFSET(分析データ!C$1,MAX(1,ROW()-$C$7),0,MIN($C$7,ROW()-1),1)))/STDEV(OFFSET(分析データ!C$1,MAX(1,ROW()-$C$7),0,MIN($C$7,ROW()-1),1)),0))</f>
        <v>0</v>
      </c>
      <c r="BA934">
        <f t="shared" ca="1" si="396"/>
        <v>0</v>
      </c>
      <c r="BB934" t="str">
        <f ca="1">IF(BA934=1,IF(INDEX(分析データ!$A:$A,ROW()+$C$5)&lt;&gt;"",60000*SIGN(AZ934)*(分析データ!C934-INDEX(分析データ!C:C,ROW()+$C$5)),""),"")</f>
        <v/>
      </c>
      <c r="BC934">
        <f t="shared" ca="1" si="397"/>
        <v>-260999.9999999851</v>
      </c>
      <c r="BD934">
        <f t="shared" ca="1" si="398"/>
        <v>3156000.0000000107</v>
      </c>
      <c r="BE934">
        <f t="shared" ca="1" si="399"/>
        <v>-3416999.9999999958</v>
      </c>
      <c r="BF934">
        <f ca="1">IF(ROW()&lt;($C$7+1),"",IFERROR((分析データ!D934-AVERAGE(OFFSET(分析データ!D$1,MAX(1,ROW()-$C$7),0,MIN($C$7,ROW()-1),1)))/STDEV(OFFSET(分析データ!D$1,MAX(1,ROW()-$C$7),0,MIN($C$7,ROW()-1),1)),0))</f>
        <v>0</v>
      </c>
      <c r="BG934">
        <f t="shared" ca="1" si="400"/>
        <v>0</v>
      </c>
      <c r="BH934" t="str">
        <f ca="1">IF(BG934=1,IF(INDEX(分析データ!$A:$A,ROW()+$C$5)&lt;&gt;"",50000*SIGN(BF934)*(分析データ!D934-INDEX(分析データ!D:D,ROW()+$C$5)),""),"")</f>
        <v/>
      </c>
      <c r="BI934">
        <f t="shared" ca="1" si="401"/>
        <v>5570000.0000000205</v>
      </c>
      <c r="BJ934">
        <f t="shared" ca="1" si="402"/>
        <v>5570000.0000000205</v>
      </c>
      <c r="BK934">
        <f t="shared" ca="1" si="403"/>
        <v>0</v>
      </c>
      <c r="BL934">
        <f ca="1">IF(ROW()&lt;($C$7+1),"",IFERROR((分析データ!E934-AVERAGE(OFFSET(分析データ!E$1,MAX(1,ROW()-$C$7),0,MIN($C$7,ROW()-1),1)))/STDEV(OFFSET(分析データ!E$1,MAX(1,ROW()-$C$7),0,MIN($C$7,ROW()-1),1)),0))</f>
        <v>0</v>
      </c>
      <c r="BM934">
        <f t="shared" ca="1" si="404"/>
        <v>0</v>
      </c>
      <c r="BN934" t="str">
        <f ca="1">IF(BM934=1,IF(INDEX(分析データ!$A:$A,ROW()+$C$5)&lt;&gt;"",40000*SIGN(BL934)*(分析データ!E934-INDEX(分析データ!E:E,ROW()+$C$5)),""),"")</f>
        <v/>
      </c>
      <c r="BO934">
        <f t="shared" ca="1" si="405"/>
        <v>2720000.0000000014</v>
      </c>
      <c r="BP934">
        <f t="shared" ca="1" si="406"/>
        <v>4280000.0000000028</v>
      </c>
      <c r="BQ934">
        <f t="shared" ca="1" si="407"/>
        <v>-1560000.0000000014</v>
      </c>
      <c r="BR934">
        <f ca="1">IF(ROW()&lt;($C$7+1),"",IFERROR((分析データ!F934-AVERAGE(OFFSET(分析データ!F$1,MAX(1,ROW()-$C$7),0,MIN($C$7,ROW()-1),1)))/STDEV(OFFSET(分析データ!F$1,MAX(1,ROW()-$C$7),0,MIN($C$7,ROW()-1),1)),0))</f>
        <v>0</v>
      </c>
      <c r="BS934">
        <f t="shared" ca="1" si="408"/>
        <v>0</v>
      </c>
      <c r="BT934" t="str">
        <f ca="1">IF(BS934=1,IF(INDEX(分析データ!$A:$A,ROW()+$C$5)&lt;&gt;"",40000*SIGN(BR934)*(分析データ!F934-INDEX(分析データ!F:F,ROW()+$C$5)),""),"")</f>
        <v/>
      </c>
      <c r="BU934">
        <f t="shared" ca="1" si="409"/>
        <v>19816800</v>
      </c>
      <c r="BV934">
        <f t="shared" ca="1" si="410"/>
        <v>19816800</v>
      </c>
      <c r="BW934">
        <f t="shared" ca="1" si="411"/>
        <v>0</v>
      </c>
      <c r="BX934">
        <f ca="1">IF(ROW()&lt;($C$7+1),"",IFERROR((分析データ!G934-AVERAGE(OFFSET(分析データ!G$1,MAX(1,ROW()-$C$7),0,MIN($C$7,ROW()-1),1)))/STDEV(OFFSET(分析データ!G$1,MAX(1,ROW()-$C$7),0,MIN($C$7,ROW()-1),1)),0))</f>
        <v>0</v>
      </c>
      <c r="BY934">
        <f t="shared" ca="1" si="412"/>
        <v>0</v>
      </c>
      <c r="BZ934" t="str">
        <f ca="1">IF(BY934=1,IF(INDEX(分析データ!$A:$A,ROW()+$C$5)&lt;&gt;"",40000*SIGN(BX934)*(分析データ!G934-INDEX(分析データ!G:G,ROW()+$C$5)),""),"")</f>
        <v/>
      </c>
      <c r="CA934">
        <f t="shared" ca="1" si="413"/>
        <v>-3515452.8662109179</v>
      </c>
      <c r="CB934">
        <f t="shared" ca="1" si="414"/>
        <v>11327520.000000004</v>
      </c>
      <c r="CC934">
        <f t="shared" ca="1" si="415"/>
        <v>-14842972.866210923</v>
      </c>
      <c r="CD934">
        <f t="shared" ca="1" si="416"/>
        <v>0</v>
      </c>
      <c r="CE934">
        <f t="shared" ca="1" si="417"/>
        <v>23090347.13378913</v>
      </c>
      <c r="CF934">
        <f t="shared" ca="1" si="418"/>
        <v>23090347.13378913</v>
      </c>
      <c r="CG934">
        <f t="shared" ca="1" si="419"/>
        <v>0</v>
      </c>
      <c r="CH934" s="10" t="str">
        <f>分析データ!A934</f>
        <v/>
      </c>
    </row>
    <row r="935" spans="46:86">
      <c r="AT935">
        <f ca="1">IF(ROW()&lt;($C$7+1),"",IFERROR((分析データ!B935-AVERAGE(OFFSET(分析データ!B$1,MAX(1,ROW()-$C$7),0,MIN($C$7,ROW()-1),1)))/STDEV(OFFSET(分析データ!B$1,MAX(1,ROW()-$C$7),0,MIN($C$7,ROW()-1),1)),0))</f>
        <v>0</v>
      </c>
      <c r="AU935">
        <f t="shared" ca="1" si="392"/>
        <v>0</v>
      </c>
      <c r="AV935" t="str">
        <f ca="1">IF(AU935=1,IF(INDEX(分析データ!$A:$A,ROW()+$C$5)&lt;&gt;"",80000*SIGN(AT935)*(分析データ!B935-INDEX(分析データ!B:B,ROW()+$C$5)),""),"")</f>
        <v/>
      </c>
      <c r="AW935">
        <f t="shared" ca="1" si="393"/>
        <v>-1240000.0000000019</v>
      </c>
      <c r="AX935">
        <f t="shared" ca="1" si="394"/>
        <v>0</v>
      </c>
      <c r="AY935">
        <f t="shared" ca="1" si="395"/>
        <v>-1240000.0000000019</v>
      </c>
      <c r="AZ935">
        <f ca="1">IF(ROW()&lt;($C$7+1),"",IFERROR((分析データ!C935-AVERAGE(OFFSET(分析データ!C$1,MAX(1,ROW()-$C$7),0,MIN($C$7,ROW()-1),1)))/STDEV(OFFSET(分析データ!C$1,MAX(1,ROW()-$C$7),0,MIN($C$7,ROW()-1),1)),0))</f>
        <v>0</v>
      </c>
      <c r="BA935">
        <f t="shared" ca="1" si="396"/>
        <v>0</v>
      </c>
      <c r="BB935" t="str">
        <f ca="1">IF(BA935=1,IF(INDEX(分析データ!$A:$A,ROW()+$C$5)&lt;&gt;"",60000*SIGN(AZ935)*(分析データ!C935-INDEX(分析データ!C:C,ROW()+$C$5)),""),"")</f>
        <v/>
      </c>
      <c r="BC935">
        <f t="shared" ca="1" si="397"/>
        <v>-260999.9999999851</v>
      </c>
      <c r="BD935">
        <f t="shared" ca="1" si="398"/>
        <v>3156000.0000000107</v>
      </c>
      <c r="BE935">
        <f t="shared" ca="1" si="399"/>
        <v>-3416999.9999999958</v>
      </c>
      <c r="BF935">
        <f ca="1">IF(ROW()&lt;($C$7+1),"",IFERROR((分析データ!D935-AVERAGE(OFFSET(分析データ!D$1,MAX(1,ROW()-$C$7),0,MIN($C$7,ROW()-1),1)))/STDEV(OFFSET(分析データ!D$1,MAX(1,ROW()-$C$7),0,MIN($C$7,ROW()-1),1)),0))</f>
        <v>0</v>
      </c>
      <c r="BG935">
        <f t="shared" ca="1" si="400"/>
        <v>0</v>
      </c>
      <c r="BH935" t="str">
        <f ca="1">IF(BG935=1,IF(INDEX(分析データ!$A:$A,ROW()+$C$5)&lt;&gt;"",50000*SIGN(BF935)*(分析データ!D935-INDEX(分析データ!D:D,ROW()+$C$5)),""),"")</f>
        <v/>
      </c>
      <c r="BI935">
        <f t="shared" ca="1" si="401"/>
        <v>5570000.0000000205</v>
      </c>
      <c r="BJ935">
        <f t="shared" ca="1" si="402"/>
        <v>5570000.0000000205</v>
      </c>
      <c r="BK935">
        <f t="shared" ca="1" si="403"/>
        <v>0</v>
      </c>
      <c r="BL935">
        <f ca="1">IF(ROW()&lt;($C$7+1),"",IFERROR((分析データ!E935-AVERAGE(OFFSET(分析データ!E$1,MAX(1,ROW()-$C$7),0,MIN($C$7,ROW()-1),1)))/STDEV(OFFSET(分析データ!E$1,MAX(1,ROW()-$C$7),0,MIN($C$7,ROW()-1),1)),0))</f>
        <v>0</v>
      </c>
      <c r="BM935">
        <f t="shared" ca="1" si="404"/>
        <v>0</v>
      </c>
      <c r="BN935" t="str">
        <f ca="1">IF(BM935=1,IF(INDEX(分析データ!$A:$A,ROW()+$C$5)&lt;&gt;"",40000*SIGN(BL935)*(分析データ!E935-INDEX(分析データ!E:E,ROW()+$C$5)),""),"")</f>
        <v/>
      </c>
      <c r="BO935">
        <f t="shared" ca="1" si="405"/>
        <v>2720000.0000000014</v>
      </c>
      <c r="BP935">
        <f t="shared" ca="1" si="406"/>
        <v>4280000.0000000028</v>
      </c>
      <c r="BQ935">
        <f t="shared" ca="1" si="407"/>
        <v>-1560000.0000000014</v>
      </c>
      <c r="BR935">
        <f ca="1">IF(ROW()&lt;($C$7+1),"",IFERROR((分析データ!F935-AVERAGE(OFFSET(分析データ!F$1,MAX(1,ROW()-$C$7),0,MIN($C$7,ROW()-1),1)))/STDEV(OFFSET(分析データ!F$1,MAX(1,ROW()-$C$7),0,MIN($C$7,ROW()-1),1)),0))</f>
        <v>0</v>
      </c>
      <c r="BS935">
        <f t="shared" ca="1" si="408"/>
        <v>0</v>
      </c>
      <c r="BT935" t="str">
        <f ca="1">IF(BS935=1,IF(INDEX(分析データ!$A:$A,ROW()+$C$5)&lt;&gt;"",40000*SIGN(BR935)*(分析データ!F935-INDEX(分析データ!F:F,ROW()+$C$5)),""),"")</f>
        <v/>
      </c>
      <c r="BU935">
        <f t="shared" ca="1" si="409"/>
        <v>19816800</v>
      </c>
      <c r="BV935">
        <f t="shared" ca="1" si="410"/>
        <v>19816800</v>
      </c>
      <c r="BW935">
        <f t="shared" ca="1" si="411"/>
        <v>0</v>
      </c>
      <c r="BX935">
        <f ca="1">IF(ROW()&lt;($C$7+1),"",IFERROR((分析データ!G935-AVERAGE(OFFSET(分析データ!G$1,MAX(1,ROW()-$C$7),0,MIN($C$7,ROW()-1),1)))/STDEV(OFFSET(分析データ!G$1,MAX(1,ROW()-$C$7),0,MIN($C$7,ROW()-1),1)),0))</f>
        <v>0</v>
      </c>
      <c r="BY935">
        <f t="shared" ca="1" si="412"/>
        <v>0</v>
      </c>
      <c r="BZ935" t="str">
        <f ca="1">IF(BY935=1,IF(INDEX(分析データ!$A:$A,ROW()+$C$5)&lt;&gt;"",40000*SIGN(BX935)*(分析データ!G935-INDEX(分析データ!G:G,ROW()+$C$5)),""),"")</f>
        <v/>
      </c>
      <c r="CA935">
        <f t="shared" ca="1" si="413"/>
        <v>-3515452.8662109179</v>
      </c>
      <c r="CB935">
        <f t="shared" ca="1" si="414"/>
        <v>11327520.000000004</v>
      </c>
      <c r="CC935">
        <f t="shared" ca="1" si="415"/>
        <v>-14842972.866210923</v>
      </c>
      <c r="CD935">
        <f t="shared" ca="1" si="416"/>
        <v>0</v>
      </c>
      <c r="CE935">
        <f t="shared" ca="1" si="417"/>
        <v>23090347.13378913</v>
      </c>
      <c r="CF935">
        <f t="shared" ca="1" si="418"/>
        <v>23090347.13378913</v>
      </c>
      <c r="CG935">
        <f t="shared" ca="1" si="419"/>
        <v>0</v>
      </c>
      <c r="CH935" s="10" t="str">
        <f>分析データ!A935</f>
        <v/>
      </c>
    </row>
    <row r="936" spans="46:86">
      <c r="AT936">
        <f ca="1">IF(ROW()&lt;($C$7+1),"",IFERROR((分析データ!B936-AVERAGE(OFFSET(分析データ!B$1,MAX(1,ROW()-$C$7),0,MIN($C$7,ROW()-1),1)))/STDEV(OFFSET(分析データ!B$1,MAX(1,ROW()-$C$7),0,MIN($C$7,ROW()-1),1)),0))</f>
        <v>0</v>
      </c>
      <c r="AU936">
        <f t="shared" ca="1" si="392"/>
        <v>0</v>
      </c>
      <c r="AV936" t="str">
        <f ca="1">IF(AU936=1,IF(INDEX(分析データ!$A:$A,ROW()+$C$5)&lt;&gt;"",80000*SIGN(AT936)*(分析データ!B936-INDEX(分析データ!B:B,ROW()+$C$5)),""),"")</f>
        <v/>
      </c>
      <c r="AW936">
        <f t="shared" ca="1" si="393"/>
        <v>-1240000.0000000019</v>
      </c>
      <c r="AX936">
        <f t="shared" ca="1" si="394"/>
        <v>0</v>
      </c>
      <c r="AY936">
        <f t="shared" ca="1" si="395"/>
        <v>-1240000.0000000019</v>
      </c>
      <c r="AZ936">
        <f ca="1">IF(ROW()&lt;($C$7+1),"",IFERROR((分析データ!C936-AVERAGE(OFFSET(分析データ!C$1,MAX(1,ROW()-$C$7),0,MIN($C$7,ROW()-1),1)))/STDEV(OFFSET(分析データ!C$1,MAX(1,ROW()-$C$7),0,MIN($C$7,ROW()-1),1)),0))</f>
        <v>0</v>
      </c>
      <c r="BA936">
        <f t="shared" ca="1" si="396"/>
        <v>0</v>
      </c>
      <c r="BB936" t="str">
        <f ca="1">IF(BA936=1,IF(INDEX(分析データ!$A:$A,ROW()+$C$5)&lt;&gt;"",60000*SIGN(AZ936)*(分析データ!C936-INDEX(分析データ!C:C,ROW()+$C$5)),""),"")</f>
        <v/>
      </c>
      <c r="BC936">
        <f t="shared" ca="1" si="397"/>
        <v>-260999.9999999851</v>
      </c>
      <c r="BD936">
        <f t="shared" ca="1" si="398"/>
        <v>3156000.0000000107</v>
      </c>
      <c r="BE936">
        <f t="shared" ca="1" si="399"/>
        <v>-3416999.9999999958</v>
      </c>
      <c r="BF936">
        <f ca="1">IF(ROW()&lt;($C$7+1),"",IFERROR((分析データ!D936-AVERAGE(OFFSET(分析データ!D$1,MAX(1,ROW()-$C$7),0,MIN($C$7,ROW()-1),1)))/STDEV(OFFSET(分析データ!D$1,MAX(1,ROW()-$C$7),0,MIN($C$7,ROW()-1),1)),0))</f>
        <v>0</v>
      </c>
      <c r="BG936">
        <f t="shared" ca="1" si="400"/>
        <v>0</v>
      </c>
      <c r="BH936" t="str">
        <f ca="1">IF(BG936=1,IF(INDEX(分析データ!$A:$A,ROW()+$C$5)&lt;&gt;"",50000*SIGN(BF936)*(分析データ!D936-INDEX(分析データ!D:D,ROW()+$C$5)),""),"")</f>
        <v/>
      </c>
      <c r="BI936">
        <f t="shared" ca="1" si="401"/>
        <v>5570000.0000000205</v>
      </c>
      <c r="BJ936">
        <f t="shared" ca="1" si="402"/>
        <v>5570000.0000000205</v>
      </c>
      <c r="BK936">
        <f t="shared" ca="1" si="403"/>
        <v>0</v>
      </c>
      <c r="BL936">
        <f ca="1">IF(ROW()&lt;($C$7+1),"",IFERROR((分析データ!E936-AVERAGE(OFFSET(分析データ!E$1,MAX(1,ROW()-$C$7),0,MIN($C$7,ROW()-1),1)))/STDEV(OFFSET(分析データ!E$1,MAX(1,ROW()-$C$7),0,MIN($C$7,ROW()-1),1)),0))</f>
        <v>0</v>
      </c>
      <c r="BM936">
        <f t="shared" ca="1" si="404"/>
        <v>0</v>
      </c>
      <c r="BN936" t="str">
        <f ca="1">IF(BM936=1,IF(INDEX(分析データ!$A:$A,ROW()+$C$5)&lt;&gt;"",40000*SIGN(BL936)*(分析データ!E936-INDEX(分析データ!E:E,ROW()+$C$5)),""),"")</f>
        <v/>
      </c>
      <c r="BO936">
        <f t="shared" ca="1" si="405"/>
        <v>2720000.0000000014</v>
      </c>
      <c r="BP936">
        <f t="shared" ca="1" si="406"/>
        <v>4280000.0000000028</v>
      </c>
      <c r="BQ936">
        <f t="shared" ca="1" si="407"/>
        <v>-1560000.0000000014</v>
      </c>
      <c r="BR936">
        <f ca="1">IF(ROW()&lt;($C$7+1),"",IFERROR((分析データ!F936-AVERAGE(OFFSET(分析データ!F$1,MAX(1,ROW()-$C$7),0,MIN($C$7,ROW()-1),1)))/STDEV(OFFSET(分析データ!F$1,MAX(1,ROW()-$C$7),0,MIN($C$7,ROW()-1),1)),0))</f>
        <v>0</v>
      </c>
      <c r="BS936">
        <f t="shared" ca="1" si="408"/>
        <v>0</v>
      </c>
      <c r="BT936" t="str">
        <f ca="1">IF(BS936=1,IF(INDEX(分析データ!$A:$A,ROW()+$C$5)&lt;&gt;"",40000*SIGN(BR936)*(分析データ!F936-INDEX(分析データ!F:F,ROW()+$C$5)),""),"")</f>
        <v/>
      </c>
      <c r="BU936">
        <f t="shared" ca="1" si="409"/>
        <v>19816800</v>
      </c>
      <c r="BV936">
        <f t="shared" ca="1" si="410"/>
        <v>19816800</v>
      </c>
      <c r="BW936">
        <f t="shared" ca="1" si="411"/>
        <v>0</v>
      </c>
      <c r="BX936">
        <f ca="1">IF(ROW()&lt;($C$7+1),"",IFERROR((分析データ!G936-AVERAGE(OFFSET(分析データ!G$1,MAX(1,ROW()-$C$7),0,MIN($C$7,ROW()-1),1)))/STDEV(OFFSET(分析データ!G$1,MAX(1,ROW()-$C$7),0,MIN($C$7,ROW()-1),1)),0))</f>
        <v>0</v>
      </c>
      <c r="BY936">
        <f t="shared" ca="1" si="412"/>
        <v>0</v>
      </c>
      <c r="BZ936" t="str">
        <f ca="1">IF(BY936=1,IF(INDEX(分析データ!$A:$A,ROW()+$C$5)&lt;&gt;"",40000*SIGN(BX936)*(分析データ!G936-INDEX(分析データ!G:G,ROW()+$C$5)),""),"")</f>
        <v/>
      </c>
      <c r="CA936">
        <f t="shared" ca="1" si="413"/>
        <v>-3515452.8662109179</v>
      </c>
      <c r="CB936">
        <f t="shared" ca="1" si="414"/>
        <v>11327520.000000004</v>
      </c>
      <c r="CC936">
        <f t="shared" ca="1" si="415"/>
        <v>-14842972.866210923</v>
      </c>
      <c r="CD936">
        <f t="shared" ca="1" si="416"/>
        <v>0</v>
      </c>
      <c r="CE936">
        <f t="shared" ca="1" si="417"/>
        <v>23090347.13378913</v>
      </c>
      <c r="CF936">
        <f t="shared" ca="1" si="418"/>
        <v>23090347.13378913</v>
      </c>
      <c r="CG936">
        <f t="shared" ca="1" si="419"/>
        <v>0</v>
      </c>
      <c r="CH936" s="10" t="str">
        <f>分析データ!A936</f>
        <v/>
      </c>
    </row>
    <row r="937" spans="46:86">
      <c r="AT937">
        <f ca="1">IF(ROW()&lt;($C$7+1),"",IFERROR((分析データ!B937-AVERAGE(OFFSET(分析データ!B$1,MAX(1,ROW()-$C$7),0,MIN($C$7,ROW()-1),1)))/STDEV(OFFSET(分析データ!B$1,MAX(1,ROW()-$C$7),0,MIN($C$7,ROW()-1),1)),0))</f>
        <v>0</v>
      </c>
      <c r="AU937">
        <f t="shared" ca="1" si="392"/>
        <v>0</v>
      </c>
      <c r="AV937" t="str">
        <f ca="1">IF(AU937=1,IF(INDEX(分析データ!$A:$A,ROW()+$C$5)&lt;&gt;"",80000*SIGN(AT937)*(分析データ!B937-INDEX(分析データ!B:B,ROW()+$C$5)),""),"")</f>
        <v/>
      </c>
      <c r="AW937">
        <f t="shared" ca="1" si="393"/>
        <v>-1240000.0000000019</v>
      </c>
      <c r="AX937">
        <f t="shared" ca="1" si="394"/>
        <v>0</v>
      </c>
      <c r="AY937">
        <f t="shared" ca="1" si="395"/>
        <v>-1240000.0000000019</v>
      </c>
      <c r="AZ937">
        <f ca="1">IF(ROW()&lt;($C$7+1),"",IFERROR((分析データ!C937-AVERAGE(OFFSET(分析データ!C$1,MAX(1,ROW()-$C$7),0,MIN($C$7,ROW()-1),1)))/STDEV(OFFSET(分析データ!C$1,MAX(1,ROW()-$C$7),0,MIN($C$7,ROW()-1),1)),0))</f>
        <v>0</v>
      </c>
      <c r="BA937">
        <f t="shared" ca="1" si="396"/>
        <v>0</v>
      </c>
      <c r="BB937" t="str">
        <f ca="1">IF(BA937=1,IF(INDEX(分析データ!$A:$A,ROW()+$C$5)&lt;&gt;"",60000*SIGN(AZ937)*(分析データ!C937-INDEX(分析データ!C:C,ROW()+$C$5)),""),"")</f>
        <v/>
      </c>
      <c r="BC937">
        <f t="shared" ca="1" si="397"/>
        <v>-260999.9999999851</v>
      </c>
      <c r="BD937">
        <f t="shared" ca="1" si="398"/>
        <v>3156000.0000000107</v>
      </c>
      <c r="BE937">
        <f t="shared" ca="1" si="399"/>
        <v>-3416999.9999999958</v>
      </c>
      <c r="BF937">
        <f ca="1">IF(ROW()&lt;($C$7+1),"",IFERROR((分析データ!D937-AVERAGE(OFFSET(分析データ!D$1,MAX(1,ROW()-$C$7),0,MIN($C$7,ROW()-1),1)))/STDEV(OFFSET(分析データ!D$1,MAX(1,ROW()-$C$7),0,MIN($C$7,ROW()-1),1)),0))</f>
        <v>0</v>
      </c>
      <c r="BG937">
        <f t="shared" ca="1" si="400"/>
        <v>0</v>
      </c>
      <c r="BH937" t="str">
        <f ca="1">IF(BG937=1,IF(INDEX(分析データ!$A:$A,ROW()+$C$5)&lt;&gt;"",50000*SIGN(BF937)*(分析データ!D937-INDEX(分析データ!D:D,ROW()+$C$5)),""),"")</f>
        <v/>
      </c>
      <c r="BI937">
        <f t="shared" ca="1" si="401"/>
        <v>5570000.0000000205</v>
      </c>
      <c r="BJ937">
        <f t="shared" ca="1" si="402"/>
        <v>5570000.0000000205</v>
      </c>
      <c r="BK937">
        <f t="shared" ca="1" si="403"/>
        <v>0</v>
      </c>
      <c r="BL937">
        <f ca="1">IF(ROW()&lt;($C$7+1),"",IFERROR((分析データ!E937-AVERAGE(OFFSET(分析データ!E$1,MAX(1,ROW()-$C$7),0,MIN($C$7,ROW()-1),1)))/STDEV(OFFSET(分析データ!E$1,MAX(1,ROW()-$C$7),0,MIN($C$7,ROW()-1),1)),0))</f>
        <v>0</v>
      </c>
      <c r="BM937">
        <f t="shared" ca="1" si="404"/>
        <v>0</v>
      </c>
      <c r="BN937" t="str">
        <f ca="1">IF(BM937=1,IF(INDEX(分析データ!$A:$A,ROW()+$C$5)&lt;&gt;"",40000*SIGN(BL937)*(分析データ!E937-INDEX(分析データ!E:E,ROW()+$C$5)),""),"")</f>
        <v/>
      </c>
      <c r="BO937">
        <f t="shared" ca="1" si="405"/>
        <v>2720000.0000000014</v>
      </c>
      <c r="BP937">
        <f t="shared" ca="1" si="406"/>
        <v>4280000.0000000028</v>
      </c>
      <c r="BQ937">
        <f t="shared" ca="1" si="407"/>
        <v>-1560000.0000000014</v>
      </c>
      <c r="BR937">
        <f ca="1">IF(ROW()&lt;($C$7+1),"",IFERROR((分析データ!F937-AVERAGE(OFFSET(分析データ!F$1,MAX(1,ROW()-$C$7),0,MIN($C$7,ROW()-1),1)))/STDEV(OFFSET(分析データ!F$1,MAX(1,ROW()-$C$7),0,MIN($C$7,ROW()-1),1)),0))</f>
        <v>0</v>
      </c>
      <c r="BS937">
        <f t="shared" ca="1" si="408"/>
        <v>0</v>
      </c>
      <c r="BT937" t="str">
        <f ca="1">IF(BS937=1,IF(INDEX(分析データ!$A:$A,ROW()+$C$5)&lt;&gt;"",40000*SIGN(BR937)*(分析データ!F937-INDEX(分析データ!F:F,ROW()+$C$5)),""),"")</f>
        <v/>
      </c>
      <c r="BU937">
        <f t="shared" ca="1" si="409"/>
        <v>19816800</v>
      </c>
      <c r="BV937">
        <f t="shared" ca="1" si="410"/>
        <v>19816800</v>
      </c>
      <c r="BW937">
        <f t="shared" ca="1" si="411"/>
        <v>0</v>
      </c>
      <c r="BX937">
        <f ca="1">IF(ROW()&lt;($C$7+1),"",IFERROR((分析データ!G937-AVERAGE(OFFSET(分析データ!G$1,MAX(1,ROW()-$C$7),0,MIN($C$7,ROW()-1),1)))/STDEV(OFFSET(分析データ!G$1,MAX(1,ROW()-$C$7),0,MIN($C$7,ROW()-1),1)),0))</f>
        <v>0</v>
      </c>
      <c r="BY937">
        <f t="shared" ca="1" si="412"/>
        <v>0</v>
      </c>
      <c r="BZ937" t="str">
        <f ca="1">IF(BY937=1,IF(INDEX(分析データ!$A:$A,ROW()+$C$5)&lt;&gt;"",40000*SIGN(BX937)*(分析データ!G937-INDEX(分析データ!G:G,ROW()+$C$5)),""),"")</f>
        <v/>
      </c>
      <c r="CA937">
        <f t="shared" ca="1" si="413"/>
        <v>-3515452.8662109179</v>
      </c>
      <c r="CB937">
        <f t="shared" ca="1" si="414"/>
        <v>11327520.000000004</v>
      </c>
      <c r="CC937">
        <f t="shared" ca="1" si="415"/>
        <v>-14842972.866210923</v>
      </c>
      <c r="CD937">
        <f t="shared" ca="1" si="416"/>
        <v>0</v>
      </c>
      <c r="CE937">
        <f t="shared" ca="1" si="417"/>
        <v>23090347.13378913</v>
      </c>
      <c r="CF937">
        <f t="shared" ca="1" si="418"/>
        <v>23090347.13378913</v>
      </c>
      <c r="CG937">
        <f t="shared" ca="1" si="419"/>
        <v>0</v>
      </c>
      <c r="CH937" s="10" t="str">
        <f>分析データ!A937</f>
        <v/>
      </c>
    </row>
    <row r="938" spans="46:86">
      <c r="AT938">
        <f ca="1">IF(ROW()&lt;($C$7+1),"",IFERROR((分析データ!B938-AVERAGE(OFFSET(分析データ!B$1,MAX(1,ROW()-$C$7),0,MIN($C$7,ROW()-1),1)))/STDEV(OFFSET(分析データ!B$1,MAX(1,ROW()-$C$7),0,MIN($C$7,ROW()-1),1)),0))</f>
        <v>0</v>
      </c>
      <c r="AU938">
        <f t="shared" ca="1" si="392"/>
        <v>0</v>
      </c>
      <c r="AV938" t="str">
        <f ca="1">IF(AU938=1,IF(INDEX(分析データ!$A:$A,ROW()+$C$5)&lt;&gt;"",80000*SIGN(AT938)*(分析データ!B938-INDEX(分析データ!B:B,ROW()+$C$5)),""),"")</f>
        <v/>
      </c>
      <c r="AW938">
        <f t="shared" ca="1" si="393"/>
        <v>-1240000.0000000019</v>
      </c>
      <c r="AX938">
        <f t="shared" ca="1" si="394"/>
        <v>0</v>
      </c>
      <c r="AY938">
        <f t="shared" ca="1" si="395"/>
        <v>-1240000.0000000019</v>
      </c>
      <c r="AZ938">
        <f ca="1">IF(ROW()&lt;($C$7+1),"",IFERROR((分析データ!C938-AVERAGE(OFFSET(分析データ!C$1,MAX(1,ROW()-$C$7),0,MIN($C$7,ROW()-1),1)))/STDEV(OFFSET(分析データ!C$1,MAX(1,ROW()-$C$7),0,MIN($C$7,ROW()-1),1)),0))</f>
        <v>0</v>
      </c>
      <c r="BA938">
        <f t="shared" ca="1" si="396"/>
        <v>0</v>
      </c>
      <c r="BB938" t="str">
        <f ca="1">IF(BA938=1,IF(INDEX(分析データ!$A:$A,ROW()+$C$5)&lt;&gt;"",60000*SIGN(AZ938)*(分析データ!C938-INDEX(分析データ!C:C,ROW()+$C$5)),""),"")</f>
        <v/>
      </c>
      <c r="BC938">
        <f t="shared" ca="1" si="397"/>
        <v>-260999.9999999851</v>
      </c>
      <c r="BD938">
        <f t="shared" ca="1" si="398"/>
        <v>3156000.0000000107</v>
      </c>
      <c r="BE938">
        <f t="shared" ca="1" si="399"/>
        <v>-3416999.9999999958</v>
      </c>
      <c r="BF938">
        <f ca="1">IF(ROW()&lt;($C$7+1),"",IFERROR((分析データ!D938-AVERAGE(OFFSET(分析データ!D$1,MAX(1,ROW()-$C$7),0,MIN($C$7,ROW()-1),1)))/STDEV(OFFSET(分析データ!D$1,MAX(1,ROW()-$C$7),0,MIN($C$7,ROW()-1),1)),0))</f>
        <v>0</v>
      </c>
      <c r="BG938">
        <f t="shared" ca="1" si="400"/>
        <v>0</v>
      </c>
      <c r="BH938" t="str">
        <f ca="1">IF(BG938=1,IF(INDEX(分析データ!$A:$A,ROW()+$C$5)&lt;&gt;"",50000*SIGN(BF938)*(分析データ!D938-INDEX(分析データ!D:D,ROW()+$C$5)),""),"")</f>
        <v/>
      </c>
      <c r="BI938">
        <f t="shared" ca="1" si="401"/>
        <v>5570000.0000000205</v>
      </c>
      <c r="BJ938">
        <f t="shared" ca="1" si="402"/>
        <v>5570000.0000000205</v>
      </c>
      <c r="BK938">
        <f t="shared" ca="1" si="403"/>
        <v>0</v>
      </c>
      <c r="BL938">
        <f ca="1">IF(ROW()&lt;($C$7+1),"",IFERROR((分析データ!E938-AVERAGE(OFFSET(分析データ!E$1,MAX(1,ROW()-$C$7),0,MIN($C$7,ROW()-1),1)))/STDEV(OFFSET(分析データ!E$1,MAX(1,ROW()-$C$7),0,MIN($C$7,ROW()-1),1)),0))</f>
        <v>0</v>
      </c>
      <c r="BM938">
        <f t="shared" ca="1" si="404"/>
        <v>0</v>
      </c>
      <c r="BN938" t="str">
        <f ca="1">IF(BM938=1,IF(INDEX(分析データ!$A:$A,ROW()+$C$5)&lt;&gt;"",40000*SIGN(BL938)*(分析データ!E938-INDEX(分析データ!E:E,ROW()+$C$5)),""),"")</f>
        <v/>
      </c>
      <c r="BO938">
        <f t="shared" ca="1" si="405"/>
        <v>2720000.0000000014</v>
      </c>
      <c r="BP938">
        <f t="shared" ca="1" si="406"/>
        <v>4280000.0000000028</v>
      </c>
      <c r="BQ938">
        <f t="shared" ca="1" si="407"/>
        <v>-1560000.0000000014</v>
      </c>
      <c r="BR938">
        <f ca="1">IF(ROW()&lt;($C$7+1),"",IFERROR((分析データ!F938-AVERAGE(OFFSET(分析データ!F$1,MAX(1,ROW()-$C$7),0,MIN($C$7,ROW()-1),1)))/STDEV(OFFSET(分析データ!F$1,MAX(1,ROW()-$C$7),0,MIN($C$7,ROW()-1),1)),0))</f>
        <v>0</v>
      </c>
      <c r="BS938">
        <f t="shared" ca="1" si="408"/>
        <v>0</v>
      </c>
      <c r="BT938" t="str">
        <f ca="1">IF(BS938=1,IF(INDEX(分析データ!$A:$A,ROW()+$C$5)&lt;&gt;"",40000*SIGN(BR938)*(分析データ!F938-INDEX(分析データ!F:F,ROW()+$C$5)),""),"")</f>
        <v/>
      </c>
      <c r="BU938">
        <f t="shared" ca="1" si="409"/>
        <v>19816800</v>
      </c>
      <c r="BV938">
        <f t="shared" ca="1" si="410"/>
        <v>19816800</v>
      </c>
      <c r="BW938">
        <f t="shared" ca="1" si="411"/>
        <v>0</v>
      </c>
      <c r="BX938">
        <f ca="1">IF(ROW()&lt;($C$7+1),"",IFERROR((分析データ!G938-AVERAGE(OFFSET(分析データ!G$1,MAX(1,ROW()-$C$7),0,MIN($C$7,ROW()-1),1)))/STDEV(OFFSET(分析データ!G$1,MAX(1,ROW()-$C$7),0,MIN($C$7,ROW()-1),1)),0))</f>
        <v>0</v>
      </c>
      <c r="BY938">
        <f t="shared" ca="1" si="412"/>
        <v>0</v>
      </c>
      <c r="BZ938" t="str">
        <f ca="1">IF(BY938=1,IF(INDEX(分析データ!$A:$A,ROW()+$C$5)&lt;&gt;"",40000*SIGN(BX938)*(分析データ!G938-INDEX(分析データ!G:G,ROW()+$C$5)),""),"")</f>
        <v/>
      </c>
      <c r="CA938">
        <f t="shared" ca="1" si="413"/>
        <v>-3515452.8662109179</v>
      </c>
      <c r="CB938">
        <f t="shared" ca="1" si="414"/>
        <v>11327520.000000004</v>
      </c>
      <c r="CC938">
        <f t="shared" ca="1" si="415"/>
        <v>-14842972.866210923</v>
      </c>
      <c r="CD938">
        <f t="shared" ca="1" si="416"/>
        <v>0</v>
      </c>
      <c r="CE938">
        <f t="shared" ca="1" si="417"/>
        <v>23090347.13378913</v>
      </c>
      <c r="CF938">
        <f t="shared" ca="1" si="418"/>
        <v>23090347.13378913</v>
      </c>
      <c r="CG938">
        <f t="shared" ca="1" si="419"/>
        <v>0</v>
      </c>
      <c r="CH938" s="10" t="str">
        <f>分析データ!A938</f>
        <v/>
      </c>
    </row>
    <row r="939" spans="46:86">
      <c r="AT939">
        <f ca="1">IF(ROW()&lt;($C$7+1),"",IFERROR((分析データ!B939-AVERAGE(OFFSET(分析データ!B$1,MAX(1,ROW()-$C$7),0,MIN($C$7,ROW()-1),1)))/STDEV(OFFSET(分析データ!B$1,MAX(1,ROW()-$C$7),0,MIN($C$7,ROW()-1),1)),0))</f>
        <v>0</v>
      </c>
      <c r="AU939">
        <f t="shared" ca="1" si="392"/>
        <v>0</v>
      </c>
      <c r="AV939" t="str">
        <f ca="1">IF(AU939=1,IF(INDEX(分析データ!$A:$A,ROW()+$C$5)&lt;&gt;"",80000*SIGN(AT939)*(分析データ!B939-INDEX(分析データ!B:B,ROW()+$C$5)),""),"")</f>
        <v/>
      </c>
      <c r="AW939">
        <f t="shared" ca="1" si="393"/>
        <v>-1240000.0000000019</v>
      </c>
      <c r="AX939">
        <f t="shared" ca="1" si="394"/>
        <v>0</v>
      </c>
      <c r="AY939">
        <f t="shared" ca="1" si="395"/>
        <v>-1240000.0000000019</v>
      </c>
      <c r="AZ939">
        <f ca="1">IF(ROW()&lt;($C$7+1),"",IFERROR((分析データ!C939-AVERAGE(OFFSET(分析データ!C$1,MAX(1,ROW()-$C$7),0,MIN($C$7,ROW()-1),1)))/STDEV(OFFSET(分析データ!C$1,MAX(1,ROW()-$C$7),0,MIN($C$7,ROW()-1),1)),0))</f>
        <v>0</v>
      </c>
      <c r="BA939">
        <f t="shared" ca="1" si="396"/>
        <v>0</v>
      </c>
      <c r="BB939" t="str">
        <f ca="1">IF(BA939=1,IF(INDEX(分析データ!$A:$A,ROW()+$C$5)&lt;&gt;"",60000*SIGN(AZ939)*(分析データ!C939-INDEX(分析データ!C:C,ROW()+$C$5)),""),"")</f>
        <v/>
      </c>
      <c r="BC939">
        <f t="shared" ca="1" si="397"/>
        <v>-260999.9999999851</v>
      </c>
      <c r="BD939">
        <f t="shared" ca="1" si="398"/>
        <v>3156000.0000000107</v>
      </c>
      <c r="BE939">
        <f t="shared" ca="1" si="399"/>
        <v>-3416999.9999999958</v>
      </c>
      <c r="BF939">
        <f ca="1">IF(ROW()&lt;($C$7+1),"",IFERROR((分析データ!D939-AVERAGE(OFFSET(分析データ!D$1,MAX(1,ROW()-$C$7),0,MIN($C$7,ROW()-1),1)))/STDEV(OFFSET(分析データ!D$1,MAX(1,ROW()-$C$7),0,MIN($C$7,ROW()-1),1)),0))</f>
        <v>0</v>
      </c>
      <c r="BG939">
        <f t="shared" ca="1" si="400"/>
        <v>0</v>
      </c>
      <c r="BH939" t="str">
        <f ca="1">IF(BG939=1,IF(INDEX(分析データ!$A:$A,ROW()+$C$5)&lt;&gt;"",50000*SIGN(BF939)*(分析データ!D939-INDEX(分析データ!D:D,ROW()+$C$5)),""),"")</f>
        <v/>
      </c>
      <c r="BI939">
        <f t="shared" ca="1" si="401"/>
        <v>5570000.0000000205</v>
      </c>
      <c r="BJ939">
        <f t="shared" ca="1" si="402"/>
        <v>5570000.0000000205</v>
      </c>
      <c r="BK939">
        <f t="shared" ca="1" si="403"/>
        <v>0</v>
      </c>
      <c r="BL939">
        <f ca="1">IF(ROW()&lt;($C$7+1),"",IFERROR((分析データ!E939-AVERAGE(OFFSET(分析データ!E$1,MAX(1,ROW()-$C$7),0,MIN($C$7,ROW()-1),1)))/STDEV(OFFSET(分析データ!E$1,MAX(1,ROW()-$C$7),0,MIN($C$7,ROW()-1),1)),0))</f>
        <v>0</v>
      </c>
      <c r="BM939">
        <f t="shared" ca="1" si="404"/>
        <v>0</v>
      </c>
      <c r="BN939" t="str">
        <f ca="1">IF(BM939=1,IF(INDEX(分析データ!$A:$A,ROW()+$C$5)&lt;&gt;"",40000*SIGN(BL939)*(分析データ!E939-INDEX(分析データ!E:E,ROW()+$C$5)),""),"")</f>
        <v/>
      </c>
      <c r="BO939">
        <f t="shared" ca="1" si="405"/>
        <v>2720000.0000000014</v>
      </c>
      <c r="BP939">
        <f t="shared" ca="1" si="406"/>
        <v>4280000.0000000028</v>
      </c>
      <c r="BQ939">
        <f t="shared" ca="1" si="407"/>
        <v>-1560000.0000000014</v>
      </c>
      <c r="BR939">
        <f ca="1">IF(ROW()&lt;($C$7+1),"",IFERROR((分析データ!F939-AVERAGE(OFFSET(分析データ!F$1,MAX(1,ROW()-$C$7),0,MIN($C$7,ROW()-1),1)))/STDEV(OFFSET(分析データ!F$1,MAX(1,ROW()-$C$7),0,MIN($C$7,ROW()-1),1)),0))</f>
        <v>0</v>
      </c>
      <c r="BS939">
        <f t="shared" ca="1" si="408"/>
        <v>0</v>
      </c>
      <c r="BT939" t="str">
        <f ca="1">IF(BS939=1,IF(INDEX(分析データ!$A:$A,ROW()+$C$5)&lt;&gt;"",40000*SIGN(BR939)*(分析データ!F939-INDEX(分析データ!F:F,ROW()+$C$5)),""),"")</f>
        <v/>
      </c>
      <c r="BU939">
        <f t="shared" ca="1" si="409"/>
        <v>19816800</v>
      </c>
      <c r="BV939">
        <f t="shared" ca="1" si="410"/>
        <v>19816800</v>
      </c>
      <c r="BW939">
        <f t="shared" ca="1" si="411"/>
        <v>0</v>
      </c>
      <c r="BX939">
        <f ca="1">IF(ROW()&lt;($C$7+1),"",IFERROR((分析データ!G939-AVERAGE(OFFSET(分析データ!G$1,MAX(1,ROW()-$C$7),0,MIN($C$7,ROW()-1),1)))/STDEV(OFFSET(分析データ!G$1,MAX(1,ROW()-$C$7),0,MIN($C$7,ROW()-1),1)),0))</f>
        <v>0</v>
      </c>
      <c r="BY939">
        <f t="shared" ca="1" si="412"/>
        <v>0</v>
      </c>
      <c r="BZ939" t="str">
        <f ca="1">IF(BY939=1,IF(INDEX(分析データ!$A:$A,ROW()+$C$5)&lt;&gt;"",40000*SIGN(BX939)*(分析データ!G939-INDEX(分析データ!G:G,ROW()+$C$5)),""),"")</f>
        <v/>
      </c>
      <c r="CA939">
        <f t="shared" ca="1" si="413"/>
        <v>-3515452.8662109179</v>
      </c>
      <c r="CB939">
        <f t="shared" ca="1" si="414"/>
        <v>11327520.000000004</v>
      </c>
      <c r="CC939">
        <f t="shared" ca="1" si="415"/>
        <v>-14842972.866210923</v>
      </c>
      <c r="CD939">
        <f t="shared" ca="1" si="416"/>
        <v>0</v>
      </c>
      <c r="CE939">
        <f t="shared" ca="1" si="417"/>
        <v>23090347.13378913</v>
      </c>
      <c r="CF939">
        <f t="shared" ca="1" si="418"/>
        <v>23090347.13378913</v>
      </c>
      <c r="CG939">
        <f t="shared" ca="1" si="419"/>
        <v>0</v>
      </c>
      <c r="CH939" s="10" t="str">
        <f>分析データ!A939</f>
        <v/>
      </c>
    </row>
    <row r="940" spans="46:86">
      <c r="AT940">
        <f ca="1">IF(ROW()&lt;($C$7+1),"",IFERROR((分析データ!B940-AVERAGE(OFFSET(分析データ!B$1,MAX(1,ROW()-$C$7),0,MIN($C$7,ROW()-1),1)))/STDEV(OFFSET(分析データ!B$1,MAX(1,ROW()-$C$7),0,MIN($C$7,ROW()-1),1)),0))</f>
        <v>0</v>
      </c>
      <c r="AU940">
        <f t="shared" ca="1" si="392"/>
        <v>0</v>
      </c>
      <c r="AV940" t="str">
        <f ca="1">IF(AU940=1,IF(INDEX(分析データ!$A:$A,ROW()+$C$5)&lt;&gt;"",80000*SIGN(AT940)*(分析データ!B940-INDEX(分析データ!B:B,ROW()+$C$5)),""),"")</f>
        <v/>
      </c>
      <c r="AW940">
        <f t="shared" ca="1" si="393"/>
        <v>-1240000.0000000019</v>
      </c>
      <c r="AX940">
        <f t="shared" ca="1" si="394"/>
        <v>0</v>
      </c>
      <c r="AY940">
        <f t="shared" ca="1" si="395"/>
        <v>-1240000.0000000019</v>
      </c>
      <c r="AZ940">
        <f ca="1">IF(ROW()&lt;($C$7+1),"",IFERROR((分析データ!C940-AVERAGE(OFFSET(分析データ!C$1,MAX(1,ROW()-$C$7),0,MIN($C$7,ROW()-1),1)))/STDEV(OFFSET(分析データ!C$1,MAX(1,ROW()-$C$7),0,MIN($C$7,ROW()-1),1)),0))</f>
        <v>0</v>
      </c>
      <c r="BA940">
        <f t="shared" ca="1" si="396"/>
        <v>0</v>
      </c>
      <c r="BB940" t="str">
        <f ca="1">IF(BA940=1,IF(INDEX(分析データ!$A:$A,ROW()+$C$5)&lt;&gt;"",60000*SIGN(AZ940)*(分析データ!C940-INDEX(分析データ!C:C,ROW()+$C$5)),""),"")</f>
        <v/>
      </c>
      <c r="BC940">
        <f t="shared" ca="1" si="397"/>
        <v>-260999.9999999851</v>
      </c>
      <c r="BD940">
        <f t="shared" ca="1" si="398"/>
        <v>3156000.0000000107</v>
      </c>
      <c r="BE940">
        <f t="shared" ca="1" si="399"/>
        <v>-3416999.9999999958</v>
      </c>
      <c r="BF940">
        <f ca="1">IF(ROW()&lt;($C$7+1),"",IFERROR((分析データ!D940-AVERAGE(OFFSET(分析データ!D$1,MAX(1,ROW()-$C$7),0,MIN($C$7,ROW()-1),1)))/STDEV(OFFSET(分析データ!D$1,MAX(1,ROW()-$C$7),0,MIN($C$7,ROW()-1),1)),0))</f>
        <v>0</v>
      </c>
      <c r="BG940">
        <f t="shared" ca="1" si="400"/>
        <v>0</v>
      </c>
      <c r="BH940" t="str">
        <f ca="1">IF(BG940=1,IF(INDEX(分析データ!$A:$A,ROW()+$C$5)&lt;&gt;"",50000*SIGN(BF940)*(分析データ!D940-INDEX(分析データ!D:D,ROW()+$C$5)),""),"")</f>
        <v/>
      </c>
      <c r="BI940">
        <f t="shared" ca="1" si="401"/>
        <v>5570000.0000000205</v>
      </c>
      <c r="BJ940">
        <f t="shared" ca="1" si="402"/>
        <v>5570000.0000000205</v>
      </c>
      <c r="BK940">
        <f t="shared" ca="1" si="403"/>
        <v>0</v>
      </c>
      <c r="BL940">
        <f ca="1">IF(ROW()&lt;($C$7+1),"",IFERROR((分析データ!E940-AVERAGE(OFFSET(分析データ!E$1,MAX(1,ROW()-$C$7),0,MIN($C$7,ROW()-1),1)))/STDEV(OFFSET(分析データ!E$1,MAX(1,ROW()-$C$7),0,MIN($C$7,ROW()-1),1)),0))</f>
        <v>0</v>
      </c>
      <c r="BM940">
        <f t="shared" ca="1" si="404"/>
        <v>0</v>
      </c>
      <c r="BN940" t="str">
        <f ca="1">IF(BM940=1,IF(INDEX(分析データ!$A:$A,ROW()+$C$5)&lt;&gt;"",40000*SIGN(BL940)*(分析データ!E940-INDEX(分析データ!E:E,ROW()+$C$5)),""),"")</f>
        <v/>
      </c>
      <c r="BO940">
        <f t="shared" ca="1" si="405"/>
        <v>2720000.0000000014</v>
      </c>
      <c r="BP940">
        <f t="shared" ca="1" si="406"/>
        <v>4280000.0000000028</v>
      </c>
      <c r="BQ940">
        <f t="shared" ca="1" si="407"/>
        <v>-1560000.0000000014</v>
      </c>
      <c r="BR940">
        <f ca="1">IF(ROW()&lt;($C$7+1),"",IFERROR((分析データ!F940-AVERAGE(OFFSET(分析データ!F$1,MAX(1,ROW()-$C$7),0,MIN($C$7,ROW()-1),1)))/STDEV(OFFSET(分析データ!F$1,MAX(1,ROW()-$C$7),0,MIN($C$7,ROW()-1),1)),0))</f>
        <v>0</v>
      </c>
      <c r="BS940">
        <f t="shared" ca="1" si="408"/>
        <v>0</v>
      </c>
      <c r="BT940" t="str">
        <f ca="1">IF(BS940=1,IF(INDEX(分析データ!$A:$A,ROW()+$C$5)&lt;&gt;"",40000*SIGN(BR940)*(分析データ!F940-INDEX(分析データ!F:F,ROW()+$C$5)),""),"")</f>
        <v/>
      </c>
      <c r="BU940">
        <f t="shared" ca="1" si="409"/>
        <v>19816800</v>
      </c>
      <c r="BV940">
        <f t="shared" ca="1" si="410"/>
        <v>19816800</v>
      </c>
      <c r="BW940">
        <f t="shared" ca="1" si="411"/>
        <v>0</v>
      </c>
      <c r="BX940">
        <f ca="1">IF(ROW()&lt;($C$7+1),"",IFERROR((分析データ!G940-AVERAGE(OFFSET(分析データ!G$1,MAX(1,ROW()-$C$7),0,MIN($C$7,ROW()-1),1)))/STDEV(OFFSET(分析データ!G$1,MAX(1,ROW()-$C$7),0,MIN($C$7,ROW()-1),1)),0))</f>
        <v>0</v>
      </c>
      <c r="BY940">
        <f t="shared" ca="1" si="412"/>
        <v>0</v>
      </c>
      <c r="BZ940" t="str">
        <f ca="1">IF(BY940=1,IF(INDEX(分析データ!$A:$A,ROW()+$C$5)&lt;&gt;"",40000*SIGN(BX940)*(分析データ!G940-INDEX(分析データ!G:G,ROW()+$C$5)),""),"")</f>
        <v/>
      </c>
      <c r="CA940">
        <f t="shared" ca="1" si="413"/>
        <v>-3515452.8662109179</v>
      </c>
      <c r="CB940">
        <f t="shared" ca="1" si="414"/>
        <v>11327520.000000004</v>
      </c>
      <c r="CC940">
        <f t="shared" ca="1" si="415"/>
        <v>-14842972.866210923</v>
      </c>
      <c r="CD940">
        <f t="shared" ca="1" si="416"/>
        <v>0</v>
      </c>
      <c r="CE940">
        <f t="shared" ca="1" si="417"/>
        <v>23090347.13378913</v>
      </c>
      <c r="CF940">
        <f t="shared" ca="1" si="418"/>
        <v>23090347.13378913</v>
      </c>
      <c r="CG940">
        <f t="shared" ca="1" si="419"/>
        <v>0</v>
      </c>
      <c r="CH940" s="10" t="str">
        <f>分析データ!A940</f>
        <v/>
      </c>
    </row>
    <row r="941" spans="46:86">
      <c r="AT941">
        <f ca="1">IF(ROW()&lt;($C$7+1),"",IFERROR((分析データ!B941-AVERAGE(OFFSET(分析データ!B$1,MAX(1,ROW()-$C$7),0,MIN($C$7,ROW()-1),1)))/STDEV(OFFSET(分析データ!B$1,MAX(1,ROW()-$C$7),0,MIN($C$7,ROW()-1),1)),0))</f>
        <v>0</v>
      </c>
      <c r="AU941">
        <f t="shared" ca="1" si="392"/>
        <v>0</v>
      </c>
      <c r="AV941" t="str">
        <f ca="1">IF(AU941=1,IF(INDEX(分析データ!$A:$A,ROW()+$C$5)&lt;&gt;"",80000*SIGN(AT941)*(分析データ!B941-INDEX(分析データ!B:B,ROW()+$C$5)),""),"")</f>
        <v/>
      </c>
      <c r="AW941">
        <f t="shared" ca="1" si="393"/>
        <v>-1240000.0000000019</v>
      </c>
      <c r="AX941">
        <f t="shared" ca="1" si="394"/>
        <v>0</v>
      </c>
      <c r="AY941">
        <f t="shared" ca="1" si="395"/>
        <v>-1240000.0000000019</v>
      </c>
      <c r="AZ941">
        <f ca="1">IF(ROW()&lt;($C$7+1),"",IFERROR((分析データ!C941-AVERAGE(OFFSET(分析データ!C$1,MAX(1,ROW()-$C$7),0,MIN($C$7,ROW()-1),1)))/STDEV(OFFSET(分析データ!C$1,MAX(1,ROW()-$C$7),0,MIN($C$7,ROW()-1),1)),0))</f>
        <v>0</v>
      </c>
      <c r="BA941">
        <f t="shared" ca="1" si="396"/>
        <v>0</v>
      </c>
      <c r="BB941" t="str">
        <f ca="1">IF(BA941=1,IF(INDEX(分析データ!$A:$A,ROW()+$C$5)&lt;&gt;"",60000*SIGN(AZ941)*(分析データ!C941-INDEX(分析データ!C:C,ROW()+$C$5)),""),"")</f>
        <v/>
      </c>
      <c r="BC941">
        <f t="shared" ca="1" si="397"/>
        <v>-260999.9999999851</v>
      </c>
      <c r="BD941">
        <f t="shared" ca="1" si="398"/>
        <v>3156000.0000000107</v>
      </c>
      <c r="BE941">
        <f t="shared" ca="1" si="399"/>
        <v>-3416999.9999999958</v>
      </c>
      <c r="BF941">
        <f ca="1">IF(ROW()&lt;($C$7+1),"",IFERROR((分析データ!D941-AVERAGE(OFFSET(分析データ!D$1,MAX(1,ROW()-$C$7),0,MIN($C$7,ROW()-1),1)))/STDEV(OFFSET(分析データ!D$1,MAX(1,ROW()-$C$7),0,MIN($C$7,ROW()-1),1)),0))</f>
        <v>0</v>
      </c>
      <c r="BG941">
        <f t="shared" ca="1" si="400"/>
        <v>0</v>
      </c>
      <c r="BH941" t="str">
        <f ca="1">IF(BG941=1,IF(INDEX(分析データ!$A:$A,ROW()+$C$5)&lt;&gt;"",50000*SIGN(BF941)*(分析データ!D941-INDEX(分析データ!D:D,ROW()+$C$5)),""),"")</f>
        <v/>
      </c>
      <c r="BI941">
        <f t="shared" ca="1" si="401"/>
        <v>5570000.0000000205</v>
      </c>
      <c r="BJ941">
        <f t="shared" ca="1" si="402"/>
        <v>5570000.0000000205</v>
      </c>
      <c r="BK941">
        <f t="shared" ca="1" si="403"/>
        <v>0</v>
      </c>
      <c r="BL941">
        <f ca="1">IF(ROW()&lt;($C$7+1),"",IFERROR((分析データ!E941-AVERAGE(OFFSET(分析データ!E$1,MAX(1,ROW()-$C$7),0,MIN($C$7,ROW()-1),1)))/STDEV(OFFSET(分析データ!E$1,MAX(1,ROW()-$C$7),0,MIN($C$7,ROW()-1),1)),0))</f>
        <v>0</v>
      </c>
      <c r="BM941">
        <f t="shared" ca="1" si="404"/>
        <v>0</v>
      </c>
      <c r="BN941" t="str">
        <f ca="1">IF(BM941=1,IF(INDEX(分析データ!$A:$A,ROW()+$C$5)&lt;&gt;"",40000*SIGN(BL941)*(分析データ!E941-INDEX(分析データ!E:E,ROW()+$C$5)),""),"")</f>
        <v/>
      </c>
      <c r="BO941">
        <f t="shared" ca="1" si="405"/>
        <v>2720000.0000000014</v>
      </c>
      <c r="BP941">
        <f t="shared" ca="1" si="406"/>
        <v>4280000.0000000028</v>
      </c>
      <c r="BQ941">
        <f t="shared" ca="1" si="407"/>
        <v>-1560000.0000000014</v>
      </c>
      <c r="BR941">
        <f ca="1">IF(ROW()&lt;($C$7+1),"",IFERROR((分析データ!F941-AVERAGE(OFFSET(分析データ!F$1,MAX(1,ROW()-$C$7),0,MIN($C$7,ROW()-1),1)))/STDEV(OFFSET(分析データ!F$1,MAX(1,ROW()-$C$7),0,MIN($C$7,ROW()-1),1)),0))</f>
        <v>0</v>
      </c>
      <c r="BS941">
        <f t="shared" ca="1" si="408"/>
        <v>0</v>
      </c>
      <c r="BT941" t="str">
        <f ca="1">IF(BS941=1,IF(INDEX(分析データ!$A:$A,ROW()+$C$5)&lt;&gt;"",40000*SIGN(BR941)*(分析データ!F941-INDEX(分析データ!F:F,ROW()+$C$5)),""),"")</f>
        <v/>
      </c>
      <c r="BU941">
        <f t="shared" ca="1" si="409"/>
        <v>19816800</v>
      </c>
      <c r="BV941">
        <f t="shared" ca="1" si="410"/>
        <v>19816800</v>
      </c>
      <c r="BW941">
        <f t="shared" ca="1" si="411"/>
        <v>0</v>
      </c>
      <c r="BX941">
        <f ca="1">IF(ROW()&lt;($C$7+1),"",IFERROR((分析データ!G941-AVERAGE(OFFSET(分析データ!G$1,MAX(1,ROW()-$C$7),0,MIN($C$7,ROW()-1),1)))/STDEV(OFFSET(分析データ!G$1,MAX(1,ROW()-$C$7),0,MIN($C$7,ROW()-1),1)),0))</f>
        <v>0</v>
      </c>
      <c r="BY941">
        <f t="shared" ca="1" si="412"/>
        <v>0</v>
      </c>
      <c r="BZ941" t="str">
        <f ca="1">IF(BY941=1,IF(INDEX(分析データ!$A:$A,ROW()+$C$5)&lt;&gt;"",40000*SIGN(BX941)*(分析データ!G941-INDEX(分析データ!G:G,ROW()+$C$5)),""),"")</f>
        <v/>
      </c>
      <c r="CA941">
        <f t="shared" ca="1" si="413"/>
        <v>-3515452.8662109179</v>
      </c>
      <c r="CB941">
        <f t="shared" ca="1" si="414"/>
        <v>11327520.000000004</v>
      </c>
      <c r="CC941">
        <f t="shared" ca="1" si="415"/>
        <v>-14842972.866210923</v>
      </c>
      <c r="CD941">
        <f t="shared" ca="1" si="416"/>
        <v>0</v>
      </c>
      <c r="CE941">
        <f t="shared" ca="1" si="417"/>
        <v>23090347.13378913</v>
      </c>
      <c r="CF941">
        <f t="shared" ca="1" si="418"/>
        <v>23090347.13378913</v>
      </c>
      <c r="CG941">
        <f t="shared" ca="1" si="419"/>
        <v>0</v>
      </c>
      <c r="CH941" s="10" t="str">
        <f>分析データ!A941</f>
        <v/>
      </c>
    </row>
    <row r="942" spans="46:86">
      <c r="AT942">
        <f ca="1">IF(ROW()&lt;($C$7+1),"",IFERROR((分析データ!B942-AVERAGE(OFFSET(分析データ!B$1,MAX(1,ROW()-$C$7),0,MIN($C$7,ROW()-1),1)))/STDEV(OFFSET(分析データ!B$1,MAX(1,ROW()-$C$7),0,MIN($C$7,ROW()-1),1)),0))</f>
        <v>0</v>
      </c>
      <c r="AU942">
        <f t="shared" ca="1" si="392"/>
        <v>0</v>
      </c>
      <c r="AV942" t="str">
        <f ca="1">IF(AU942=1,IF(INDEX(分析データ!$A:$A,ROW()+$C$5)&lt;&gt;"",80000*SIGN(AT942)*(分析データ!B942-INDEX(分析データ!B:B,ROW()+$C$5)),""),"")</f>
        <v/>
      </c>
      <c r="AW942">
        <f t="shared" ca="1" si="393"/>
        <v>-1240000.0000000019</v>
      </c>
      <c r="AX942">
        <f t="shared" ca="1" si="394"/>
        <v>0</v>
      </c>
      <c r="AY942">
        <f t="shared" ca="1" si="395"/>
        <v>-1240000.0000000019</v>
      </c>
      <c r="AZ942">
        <f ca="1">IF(ROW()&lt;($C$7+1),"",IFERROR((分析データ!C942-AVERAGE(OFFSET(分析データ!C$1,MAX(1,ROW()-$C$7),0,MIN($C$7,ROW()-1),1)))/STDEV(OFFSET(分析データ!C$1,MAX(1,ROW()-$C$7),0,MIN($C$7,ROW()-1),1)),0))</f>
        <v>0</v>
      </c>
      <c r="BA942">
        <f t="shared" ca="1" si="396"/>
        <v>0</v>
      </c>
      <c r="BB942" t="str">
        <f ca="1">IF(BA942=1,IF(INDEX(分析データ!$A:$A,ROW()+$C$5)&lt;&gt;"",60000*SIGN(AZ942)*(分析データ!C942-INDEX(分析データ!C:C,ROW()+$C$5)),""),"")</f>
        <v/>
      </c>
      <c r="BC942">
        <f t="shared" ca="1" si="397"/>
        <v>-260999.9999999851</v>
      </c>
      <c r="BD942">
        <f t="shared" ca="1" si="398"/>
        <v>3156000.0000000107</v>
      </c>
      <c r="BE942">
        <f t="shared" ca="1" si="399"/>
        <v>-3416999.9999999958</v>
      </c>
      <c r="BF942">
        <f ca="1">IF(ROW()&lt;($C$7+1),"",IFERROR((分析データ!D942-AVERAGE(OFFSET(分析データ!D$1,MAX(1,ROW()-$C$7),0,MIN($C$7,ROW()-1),1)))/STDEV(OFFSET(分析データ!D$1,MAX(1,ROW()-$C$7),0,MIN($C$7,ROW()-1),1)),0))</f>
        <v>0</v>
      </c>
      <c r="BG942">
        <f t="shared" ca="1" si="400"/>
        <v>0</v>
      </c>
      <c r="BH942" t="str">
        <f ca="1">IF(BG942=1,IF(INDEX(分析データ!$A:$A,ROW()+$C$5)&lt;&gt;"",50000*SIGN(BF942)*(分析データ!D942-INDEX(分析データ!D:D,ROW()+$C$5)),""),"")</f>
        <v/>
      </c>
      <c r="BI942">
        <f t="shared" ca="1" si="401"/>
        <v>5570000.0000000205</v>
      </c>
      <c r="BJ942">
        <f t="shared" ca="1" si="402"/>
        <v>5570000.0000000205</v>
      </c>
      <c r="BK942">
        <f t="shared" ca="1" si="403"/>
        <v>0</v>
      </c>
      <c r="BL942">
        <f ca="1">IF(ROW()&lt;($C$7+1),"",IFERROR((分析データ!E942-AVERAGE(OFFSET(分析データ!E$1,MAX(1,ROW()-$C$7),0,MIN($C$7,ROW()-1),1)))/STDEV(OFFSET(分析データ!E$1,MAX(1,ROW()-$C$7),0,MIN($C$7,ROW()-1),1)),0))</f>
        <v>0</v>
      </c>
      <c r="BM942">
        <f t="shared" ca="1" si="404"/>
        <v>0</v>
      </c>
      <c r="BN942" t="str">
        <f ca="1">IF(BM942=1,IF(INDEX(分析データ!$A:$A,ROW()+$C$5)&lt;&gt;"",40000*SIGN(BL942)*(分析データ!E942-INDEX(分析データ!E:E,ROW()+$C$5)),""),"")</f>
        <v/>
      </c>
      <c r="BO942">
        <f t="shared" ca="1" si="405"/>
        <v>2720000.0000000014</v>
      </c>
      <c r="BP942">
        <f t="shared" ca="1" si="406"/>
        <v>4280000.0000000028</v>
      </c>
      <c r="BQ942">
        <f t="shared" ca="1" si="407"/>
        <v>-1560000.0000000014</v>
      </c>
      <c r="BR942">
        <f ca="1">IF(ROW()&lt;($C$7+1),"",IFERROR((分析データ!F942-AVERAGE(OFFSET(分析データ!F$1,MAX(1,ROW()-$C$7),0,MIN($C$7,ROW()-1),1)))/STDEV(OFFSET(分析データ!F$1,MAX(1,ROW()-$C$7),0,MIN($C$7,ROW()-1),1)),0))</f>
        <v>0</v>
      </c>
      <c r="BS942">
        <f t="shared" ca="1" si="408"/>
        <v>0</v>
      </c>
      <c r="BT942" t="str">
        <f ca="1">IF(BS942=1,IF(INDEX(分析データ!$A:$A,ROW()+$C$5)&lt;&gt;"",40000*SIGN(BR942)*(分析データ!F942-INDEX(分析データ!F:F,ROW()+$C$5)),""),"")</f>
        <v/>
      </c>
      <c r="BU942">
        <f t="shared" ca="1" si="409"/>
        <v>19816800</v>
      </c>
      <c r="BV942">
        <f t="shared" ca="1" si="410"/>
        <v>19816800</v>
      </c>
      <c r="BW942">
        <f t="shared" ca="1" si="411"/>
        <v>0</v>
      </c>
      <c r="BX942">
        <f ca="1">IF(ROW()&lt;($C$7+1),"",IFERROR((分析データ!G942-AVERAGE(OFFSET(分析データ!G$1,MAX(1,ROW()-$C$7),0,MIN($C$7,ROW()-1),1)))/STDEV(OFFSET(分析データ!G$1,MAX(1,ROW()-$C$7),0,MIN($C$7,ROW()-1),1)),0))</f>
        <v>0</v>
      </c>
      <c r="BY942">
        <f t="shared" ca="1" si="412"/>
        <v>0</v>
      </c>
      <c r="BZ942" t="str">
        <f ca="1">IF(BY942=1,IF(INDEX(分析データ!$A:$A,ROW()+$C$5)&lt;&gt;"",40000*SIGN(BX942)*(分析データ!G942-INDEX(分析データ!G:G,ROW()+$C$5)),""),"")</f>
        <v/>
      </c>
      <c r="CA942">
        <f t="shared" ca="1" si="413"/>
        <v>-3515452.8662109179</v>
      </c>
      <c r="CB942">
        <f t="shared" ca="1" si="414"/>
        <v>11327520.000000004</v>
      </c>
      <c r="CC942">
        <f t="shared" ca="1" si="415"/>
        <v>-14842972.866210923</v>
      </c>
      <c r="CD942">
        <f t="shared" ca="1" si="416"/>
        <v>0</v>
      </c>
      <c r="CE942">
        <f t="shared" ca="1" si="417"/>
        <v>23090347.13378913</v>
      </c>
      <c r="CF942">
        <f t="shared" ca="1" si="418"/>
        <v>23090347.13378913</v>
      </c>
      <c r="CG942">
        <f t="shared" ca="1" si="419"/>
        <v>0</v>
      </c>
      <c r="CH942" s="10" t="str">
        <f>分析データ!A942</f>
        <v/>
      </c>
    </row>
    <row r="943" spans="46:86">
      <c r="AT943">
        <f ca="1">IF(ROW()&lt;($C$7+1),"",IFERROR((分析データ!B943-AVERAGE(OFFSET(分析データ!B$1,MAX(1,ROW()-$C$7),0,MIN($C$7,ROW()-1),1)))/STDEV(OFFSET(分析データ!B$1,MAX(1,ROW()-$C$7),0,MIN($C$7,ROW()-1),1)),0))</f>
        <v>0</v>
      </c>
      <c r="AU943">
        <f t="shared" ca="1" si="392"/>
        <v>0</v>
      </c>
      <c r="AV943" t="str">
        <f ca="1">IF(AU943=1,IF(INDEX(分析データ!$A:$A,ROW()+$C$5)&lt;&gt;"",80000*SIGN(AT943)*(分析データ!B943-INDEX(分析データ!B:B,ROW()+$C$5)),""),"")</f>
        <v/>
      </c>
      <c r="AW943">
        <f t="shared" ca="1" si="393"/>
        <v>-1240000.0000000019</v>
      </c>
      <c r="AX943">
        <f t="shared" ca="1" si="394"/>
        <v>0</v>
      </c>
      <c r="AY943">
        <f t="shared" ca="1" si="395"/>
        <v>-1240000.0000000019</v>
      </c>
      <c r="AZ943">
        <f ca="1">IF(ROW()&lt;($C$7+1),"",IFERROR((分析データ!C943-AVERAGE(OFFSET(分析データ!C$1,MAX(1,ROW()-$C$7),0,MIN($C$7,ROW()-1),1)))/STDEV(OFFSET(分析データ!C$1,MAX(1,ROW()-$C$7),0,MIN($C$7,ROW()-1),1)),0))</f>
        <v>0</v>
      </c>
      <c r="BA943">
        <f t="shared" ca="1" si="396"/>
        <v>0</v>
      </c>
      <c r="BB943" t="str">
        <f ca="1">IF(BA943=1,IF(INDEX(分析データ!$A:$A,ROW()+$C$5)&lt;&gt;"",60000*SIGN(AZ943)*(分析データ!C943-INDEX(分析データ!C:C,ROW()+$C$5)),""),"")</f>
        <v/>
      </c>
      <c r="BC943">
        <f t="shared" ca="1" si="397"/>
        <v>-260999.9999999851</v>
      </c>
      <c r="BD943">
        <f t="shared" ca="1" si="398"/>
        <v>3156000.0000000107</v>
      </c>
      <c r="BE943">
        <f t="shared" ca="1" si="399"/>
        <v>-3416999.9999999958</v>
      </c>
      <c r="BF943">
        <f ca="1">IF(ROW()&lt;($C$7+1),"",IFERROR((分析データ!D943-AVERAGE(OFFSET(分析データ!D$1,MAX(1,ROW()-$C$7),0,MIN($C$7,ROW()-1),1)))/STDEV(OFFSET(分析データ!D$1,MAX(1,ROW()-$C$7),0,MIN($C$7,ROW()-1),1)),0))</f>
        <v>0</v>
      </c>
      <c r="BG943">
        <f t="shared" ca="1" si="400"/>
        <v>0</v>
      </c>
      <c r="BH943" t="str">
        <f ca="1">IF(BG943=1,IF(INDEX(分析データ!$A:$A,ROW()+$C$5)&lt;&gt;"",50000*SIGN(BF943)*(分析データ!D943-INDEX(分析データ!D:D,ROW()+$C$5)),""),"")</f>
        <v/>
      </c>
      <c r="BI943">
        <f t="shared" ca="1" si="401"/>
        <v>5570000.0000000205</v>
      </c>
      <c r="BJ943">
        <f t="shared" ca="1" si="402"/>
        <v>5570000.0000000205</v>
      </c>
      <c r="BK943">
        <f t="shared" ca="1" si="403"/>
        <v>0</v>
      </c>
      <c r="BL943">
        <f ca="1">IF(ROW()&lt;($C$7+1),"",IFERROR((分析データ!E943-AVERAGE(OFFSET(分析データ!E$1,MAX(1,ROW()-$C$7),0,MIN($C$7,ROW()-1),1)))/STDEV(OFFSET(分析データ!E$1,MAX(1,ROW()-$C$7),0,MIN($C$7,ROW()-1),1)),0))</f>
        <v>0</v>
      </c>
      <c r="BM943">
        <f t="shared" ca="1" si="404"/>
        <v>0</v>
      </c>
      <c r="BN943" t="str">
        <f ca="1">IF(BM943=1,IF(INDEX(分析データ!$A:$A,ROW()+$C$5)&lt;&gt;"",40000*SIGN(BL943)*(分析データ!E943-INDEX(分析データ!E:E,ROW()+$C$5)),""),"")</f>
        <v/>
      </c>
      <c r="BO943">
        <f t="shared" ca="1" si="405"/>
        <v>2720000.0000000014</v>
      </c>
      <c r="BP943">
        <f t="shared" ca="1" si="406"/>
        <v>4280000.0000000028</v>
      </c>
      <c r="BQ943">
        <f t="shared" ca="1" si="407"/>
        <v>-1560000.0000000014</v>
      </c>
      <c r="BR943">
        <f ca="1">IF(ROW()&lt;($C$7+1),"",IFERROR((分析データ!F943-AVERAGE(OFFSET(分析データ!F$1,MAX(1,ROW()-$C$7),0,MIN($C$7,ROW()-1),1)))/STDEV(OFFSET(分析データ!F$1,MAX(1,ROW()-$C$7),0,MIN($C$7,ROW()-1),1)),0))</f>
        <v>0</v>
      </c>
      <c r="BS943">
        <f t="shared" ca="1" si="408"/>
        <v>0</v>
      </c>
      <c r="BT943" t="str">
        <f ca="1">IF(BS943=1,IF(INDEX(分析データ!$A:$A,ROW()+$C$5)&lt;&gt;"",40000*SIGN(BR943)*(分析データ!F943-INDEX(分析データ!F:F,ROW()+$C$5)),""),"")</f>
        <v/>
      </c>
      <c r="BU943">
        <f t="shared" ca="1" si="409"/>
        <v>19816800</v>
      </c>
      <c r="BV943">
        <f t="shared" ca="1" si="410"/>
        <v>19816800</v>
      </c>
      <c r="BW943">
        <f t="shared" ca="1" si="411"/>
        <v>0</v>
      </c>
      <c r="BX943">
        <f ca="1">IF(ROW()&lt;($C$7+1),"",IFERROR((分析データ!G943-AVERAGE(OFFSET(分析データ!G$1,MAX(1,ROW()-$C$7),0,MIN($C$7,ROW()-1),1)))/STDEV(OFFSET(分析データ!G$1,MAX(1,ROW()-$C$7),0,MIN($C$7,ROW()-1),1)),0))</f>
        <v>0</v>
      </c>
      <c r="BY943">
        <f t="shared" ca="1" si="412"/>
        <v>0</v>
      </c>
      <c r="BZ943" t="str">
        <f ca="1">IF(BY943=1,IF(INDEX(分析データ!$A:$A,ROW()+$C$5)&lt;&gt;"",40000*SIGN(BX943)*(分析データ!G943-INDEX(分析データ!G:G,ROW()+$C$5)),""),"")</f>
        <v/>
      </c>
      <c r="CA943">
        <f t="shared" ca="1" si="413"/>
        <v>-3515452.8662109179</v>
      </c>
      <c r="CB943">
        <f t="shared" ca="1" si="414"/>
        <v>11327520.000000004</v>
      </c>
      <c r="CC943">
        <f t="shared" ca="1" si="415"/>
        <v>-14842972.866210923</v>
      </c>
      <c r="CD943">
        <f t="shared" ca="1" si="416"/>
        <v>0</v>
      </c>
      <c r="CE943">
        <f t="shared" ca="1" si="417"/>
        <v>23090347.13378913</v>
      </c>
      <c r="CF943">
        <f t="shared" ca="1" si="418"/>
        <v>23090347.13378913</v>
      </c>
      <c r="CG943">
        <f t="shared" ca="1" si="419"/>
        <v>0</v>
      </c>
      <c r="CH943" s="10" t="str">
        <f>分析データ!A943</f>
        <v/>
      </c>
    </row>
    <row r="944" spans="46:86">
      <c r="AT944">
        <f ca="1">IF(ROW()&lt;($C$7+1),"",IFERROR((分析データ!B944-AVERAGE(OFFSET(分析データ!B$1,MAX(1,ROW()-$C$7),0,MIN($C$7,ROW()-1),1)))/STDEV(OFFSET(分析データ!B$1,MAX(1,ROW()-$C$7),0,MIN($C$7,ROW()-1),1)),0))</f>
        <v>0</v>
      </c>
      <c r="AU944">
        <f t="shared" ca="1" si="392"/>
        <v>0</v>
      </c>
      <c r="AV944" t="str">
        <f ca="1">IF(AU944=1,IF(INDEX(分析データ!$A:$A,ROW()+$C$5)&lt;&gt;"",80000*SIGN(AT944)*(分析データ!B944-INDEX(分析データ!B:B,ROW()+$C$5)),""),"")</f>
        <v/>
      </c>
      <c r="AW944">
        <f t="shared" ca="1" si="393"/>
        <v>-1240000.0000000019</v>
      </c>
      <c r="AX944">
        <f t="shared" ca="1" si="394"/>
        <v>0</v>
      </c>
      <c r="AY944">
        <f t="shared" ca="1" si="395"/>
        <v>-1240000.0000000019</v>
      </c>
      <c r="AZ944">
        <f ca="1">IF(ROW()&lt;($C$7+1),"",IFERROR((分析データ!C944-AVERAGE(OFFSET(分析データ!C$1,MAX(1,ROW()-$C$7),0,MIN($C$7,ROW()-1),1)))/STDEV(OFFSET(分析データ!C$1,MAX(1,ROW()-$C$7),0,MIN($C$7,ROW()-1),1)),0))</f>
        <v>0</v>
      </c>
      <c r="BA944">
        <f t="shared" ca="1" si="396"/>
        <v>0</v>
      </c>
      <c r="BB944" t="str">
        <f ca="1">IF(BA944=1,IF(INDEX(分析データ!$A:$A,ROW()+$C$5)&lt;&gt;"",60000*SIGN(AZ944)*(分析データ!C944-INDEX(分析データ!C:C,ROW()+$C$5)),""),"")</f>
        <v/>
      </c>
      <c r="BC944">
        <f t="shared" ca="1" si="397"/>
        <v>-260999.9999999851</v>
      </c>
      <c r="BD944">
        <f t="shared" ca="1" si="398"/>
        <v>3156000.0000000107</v>
      </c>
      <c r="BE944">
        <f t="shared" ca="1" si="399"/>
        <v>-3416999.9999999958</v>
      </c>
      <c r="BF944">
        <f ca="1">IF(ROW()&lt;($C$7+1),"",IFERROR((分析データ!D944-AVERAGE(OFFSET(分析データ!D$1,MAX(1,ROW()-$C$7),0,MIN($C$7,ROW()-1),1)))/STDEV(OFFSET(分析データ!D$1,MAX(1,ROW()-$C$7),0,MIN($C$7,ROW()-1),1)),0))</f>
        <v>0</v>
      </c>
      <c r="BG944">
        <f t="shared" ca="1" si="400"/>
        <v>0</v>
      </c>
      <c r="BH944" t="str">
        <f ca="1">IF(BG944=1,IF(INDEX(分析データ!$A:$A,ROW()+$C$5)&lt;&gt;"",50000*SIGN(BF944)*(分析データ!D944-INDEX(分析データ!D:D,ROW()+$C$5)),""),"")</f>
        <v/>
      </c>
      <c r="BI944">
        <f t="shared" ca="1" si="401"/>
        <v>5570000.0000000205</v>
      </c>
      <c r="BJ944">
        <f t="shared" ca="1" si="402"/>
        <v>5570000.0000000205</v>
      </c>
      <c r="BK944">
        <f t="shared" ca="1" si="403"/>
        <v>0</v>
      </c>
      <c r="BL944">
        <f ca="1">IF(ROW()&lt;($C$7+1),"",IFERROR((分析データ!E944-AVERAGE(OFFSET(分析データ!E$1,MAX(1,ROW()-$C$7),0,MIN($C$7,ROW()-1),1)))/STDEV(OFFSET(分析データ!E$1,MAX(1,ROW()-$C$7),0,MIN($C$7,ROW()-1),1)),0))</f>
        <v>0</v>
      </c>
      <c r="BM944">
        <f t="shared" ca="1" si="404"/>
        <v>0</v>
      </c>
      <c r="BN944" t="str">
        <f ca="1">IF(BM944=1,IF(INDEX(分析データ!$A:$A,ROW()+$C$5)&lt;&gt;"",40000*SIGN(BL944)*(分析データ!E944-INDEX(分析データ!E:E,ROW()+$C$5)),""),"")</f>
        <v/>
      </c>
      <c r="BO944">
        <f t="shared" ca="1" si="405"/>
        <v>2720000.0000000014</v>
      </c>
      <c r="BP944">
        <f t="shared" ca="1" si="406"/>
        <v>4280000.0000000028</v>
      </c>
      <c r="BQ944">
        <f t="shared" ca="1" si="407"/>
        <v>-1560000.0000000014</v>
      </c>
      <c r="BR944">
        <f ca="1">IF(ROW()&lt;($C$7+1),"",IFERROR((分析データ!F944-AVERAGE(OFFSET(分析データ!F$1,MAX(1,ROW()-$C$7),0,MIN($C$7,ROW()-1),1)))/STDEV(OFFSET(分析データ!F$1,MAX(1,ROW()-$C$7),0,MIN($C$7,ROW()-1),1)),0))</f>
        <v>0</v>
      </c>
      <c r="BS944">
        <f t="shared" ca="1" si="408"/>
        <v>0</v>
      </c>
      <c r="BT944" t="str">
        <f ca="1">IF(BS944=1,IF(INDEX(分析データ!$A:$A,ROW()+$C$5)&lt;&gt;"",40000*SIGN(BR944)*(分析データ!F944-INDEX(分析データ!F:F,ROW()+$C$5)),""),"")</f>
        <v/>
      </c>
      <c r="BU944">
        <f t="shared" ca="1" si="409"/>
        <v>19816800</v>
      </c>
      <c r="BV944">
        <f t="shared" ca="1" si="410"/>
        <v>19816800</v>
      </c>
      <c r="BW944">
        <f t="shared" ca="1" si="411"/>
        <v>0</v>
      </c>
      <c r="BX944">
        <f ca="1">IF(ROW()&lt;($C$7+1),"",IFERROR((分析データ!G944-AVERAGE(OFFSET(分析データ!G$1,MAX(1,ROW()-$C$7),0,MIN($C$7,ROW()-1),1)))/STDEV(OFFSET(分析データ!G$1,MAX(1,ROW()-$C$7),0,MIN($C$7,ROW()-1),1)),0))</f>
        <v>0</v>
      </c>
      <c r="BY944">
        <f t="shared" ca="1" si="412"/>
        <v>0</v>
      </c>
      <c r="BZ944" t="str">
        <f ca="1">IF(BY944=1,IF(INDEX(分析データ!$A:$A,ROW()+$C$5)&lt;&gt;"",40000*SIGN(BX944)*(分析データ!G944-INDEX(分析データ!G:G,ROW()+$C$5)),""),"")</f>
        <v/>
      </c>
      <c r="CA944">
        <f t="shared" ca="1" si="413"/>
        <v>-3515452.8662109179</v>
      </c>
      <c r="CB944">
        <f t="shared" ca="1" si="414"/>
        <v>11327520.000000004</v>
      </c>
      <c r="CC944">
        <f t="shared" ca="1" si="415"/>
        <v>-14842972.866210923</v>
      </c>
      <c r="CD944">
        <f t="shared" ca="1" si="416"/>
        <v>0</v>
      </c>
      <c r="CE944">
        <f t="shared" ca="1" si="417"/>
        <v>23090347.13378913</v>
      </c>
      <c r="CF944">
        <f t="shared" ca="1" si="418"/>
        <v>23090347.13378913</v>
      </c>
      <c r="CG944">
        <f t="shared" ca="1" si="419"/>
        <v>0</v>
      </c>
      <c r="CH944" s="10" t="str">
        <f>分析データ!A944</f>
        <v/>
      </c>
    </row>
    <row r="945" spans="46:86">
      <c r="AT945">
        <f ca="1">IF(ROW()&lt;($C$7+1),"",IFERROR((分析データ!B945-AVERAGE(OFFSET(分析データ!B$1,MAX(1,ROW()-$C$7),0,MIN($C$7,ROW()-1),1)))/STDEV(OFFSET(分析データ!B$1,MAX(1,ROW()-$C$7),0,MIN($C$7,ROW()-1),1)),0))</f>
        <v>0</v>
      </c>
      <c r="AU945">
        <f t="shared" ca="1" si="392"/>
        <v>0</v>
      </c>
      <c r="AV945" t="str">
        <f ca="1">IF(AU945=1,IF(INDEX(分析データ!$A:$A,ROW()+$C$5)&lt;&gt;"",80000*SIGN(AT945)*(分析データ!B945-INDEX(分析データ!B:B,ROW()+$C$5)),""),"")</f>
        <v/>
      </c>
      <c r="AW945">
        <f t="shared" ca="1" si="393"/>
        <v>-1240000.0000000019</v>
      </c>
      <c r="AX945">
        <f t="shared" ca="1" si="394"/>
        <v>0</v>
      </c>
      <c r="AY945">
        <f t="shared" ca="1" si="395"/>
        <v>-1240000.0000000019</v>
      </c>
      <c r="AZ945">
        <f ca="1">IF(ROW()&lt;($C$7+1),"",IFERROR((分析データ!C945-AVERAGE(OFFSET(分析データ!C$1,MAX(1,ROW()-$C$7),0,MIN($C$7,ROW()-1),1)))/STDEV(OFFSET(分析データ!C$1,MAX(1,ROW()-$C$7),0,MIN($C$7,ROW()-1),1)),0))</f>
        <v>0</v>
      </c>
      <c r="BA945">
        <f t="shared" ca="1" si="396"/>
        <v>0</v>
      </c>
      <c r="BB945" t="str">
        <f ca="1">IF(BA945=1,IF(INDEX(分析データ!$A:$A,ROW()+$C$5)&lt;&gt;"",60000*SIGN(AZ945)*(分析データ!C945-INDEX(分析データ!C:C,ROW()+$C$5)),""),"")</f>
        <v/>
      </c>
      <c r="BC945">
        <f t="shared" ca="1" si="397"/>
        <v>-260999.9999999851</v>
      </c>
      <c r="BD945">
        <f t="shared" ca="1" si="398"/>
        <v>3156000.0000000107</v>
      </c>
      <c r="BE945">
        <f t="shared" ca="1" si="399"/>
        <v>-3416999.9999999958</v>
      </c>
      <c r="BF945">
        <f ca="1">IF(ROW()&lt;($C$7+1),"",IFERROR((分析データ!D945-AVERAGE(OFFSET(分析データ!D$1,MAX(1,ROW()-$C$7),0,MIN($C$7,ROW()-1),1)))/STDEV(OFFSET(分析データ!D$1,MAX(1,ROW()-$C$7),0,MIN($C$7,ROW()-1),1)),0))</f>
        <v>0</v>
      </c>
      <c r="BG945">
        <f t="shared" ca="1" si="400"/>
        <v>0</v>
      </c>
      <c r="BH945" t="str">
        <f ca="1">IF(BG945=1,IF(INDEX(分析データ!$A:$A,ROW()+$C$5)&lt;&gt;"",50000*SIGN(BF945)*(分析データ!D945-INDEX(分析データ!D:D,ROW()+$C$5)),""),"")</f>
        <v/>
      </c>
      <c r="BI945">
        <f t="shared" ca="1" si="401"/>
        <v>5570000.0000000205</v>
      </c>
      <c r="BJ945">
        <f t="shared" ca="1" si="402"/>
        <v>5570000.0000000205</v>
      </c>
      <c r="BK945">
        <f t="shared" ca="1" si="403"/>
        <v>0</v>
      </c>
      <c r="BL945">
        <f ca="1">IF(ROW()&lt;($C$7+1),"",IFERROR((分析データ!E945-AVERAGE(OFFSET(分析データ!E$1,MAX(1,ROW()-$C$7),0,MIN($C$7,ROW()-1),1)))/STDEV(OFFSET(分析データ!E$1,MAX(1,ROW()-$C$7),0,MIN($C$7,ROW()-1),1)),0))</f>
        <v>0</v>
      </c>
      <c r="BM945">
        <f t="shared" ca="1" si="404"/>
        <v>0</v>
      </c>
      <c r="BN945" t="str">
        <f ca="1">IF(BM945=1,IF(INDEX(分析データ!$A:$A,ROW()+$C$5)&lt;&gt;"",40000*SIGN(BL945)*(分析データ!E945-INDEX(分析データ!E:E,ROW()+$C$5)),""),"")</f>
        <v/>
      </c>
      <c r="BO945">
        <f t="shared" ca="1" si="405"/>
        <v>2720000.0000000014</v>
      </c>
      <c r="BP945">
        <f t="shared" ca="1" si="406"/>
        <v>4280000.0000000028</v>
      </c>
      <c r="BQ945">
        <f t="shared" ca="1" si="407"/>
        <v>-1560000.0000000014</v>
      </c>
      <c r="BR945">
        <f ca="1">IF(ROW()&lt;($C$7+1),"",IFERROR((分析データ!F945-AVERAGE(OFFSET(分析データ!F$1,MAX(1,ROW()-$C$7),0,MIN($C$7,ROW()-1),1)))/STDEV(OFFSET(分析データ!F$1,MAX(1,ROW()-$C$7),0,MIN($C$7,ROW()-1),1)),0))</f>
        <v>0</v>
      </c>
      <c r="BS945">
        <f t="shared" ca="1" si="408"/>
        <v>0</v>
      </c>
      <c r="BT945" t="str">
        <f ca="1">IF(BS945=1,IF(INDEX(分析データ!$A:$A,ROW()+$C$5)&lt;&gt;"",40000*SIGN(BR945)*(分析データ!F945-INDEX(分析データ!F:F,ROW()+$C$5)),""),"")</f>
        <v/>
      </c>
      <c r="BU945">
        <f t="shared" ca="1" si="409"/>
        <v>19816800</v>
      </c>
      <c r="BV945">
        <f t="shared" ca="1" si="410"/>
        <v>19816800</v>
      </c>
      <c r="BW945">
        <f t="shared" ca="1" si="411"/>
        <v>0</v>
      </c>
      <c r="BX945">
        <f ca="1">IF(ROW()&lt;($C$7+1),"",IFERROR((分析データ!G945-AVERAGE(OFFSET(分析データ!G$1,MAX(1,ROW()-$C$7),0,MIN($C$7,ROW()-1),1)))/STDEV(OFFSET(分析データ!G$1,MAX(1,ROW()-$C$7),0,MIN($C$7,ROW()-1),1)),0))</f>
        <v>0</v>
      </c>
      <c r="BY945">
        <f t="shared" ca="1" si="412"/>
        <v>0</v>
      </c>
      <c r="BZ945" t="str">
        <f ca="1">IF(BY945=1,IF(INDEX(分析データ!$A:$A,ROW()+$C$5)&lt;&gt;"",40000*SIGN(BX945)*(分析データ!G945-INDEX(分析データ!G:G,ROW()+$C$5)),""),"")</f>
        <v/>
      </c>
      <c r="CA945">
        <f t="shared" ca="1" si="413"/>
        <v>-3515452.8662109179</v>
      </c>
      <c r="CB945">
        <f t="shared" ca="1" si="414"/>
        <v>11327520.000000004</v>
      </c>
      <c r="CC945">
        <f t="shared" ca="1" si="415"/>
        <v>-14842972.866210923</v>
      </c>
      <c r="CD945">
        <f t="shared" ca="1" si="416"/>
        <v>0</v>
      </c>
      <c r="CE945">
        <f t="shared" ca="1" si="417"/>
        <v>23090347.13378913</v>
      </c>
      <c r="CF945">
        <f t="shared" ca="1" si="418"/>
        <v>23090347.13378913</v>
      </c>
      <c r="CG945">
        <f t="shared" ca="1" si="419"/>
        <v>0</v>
      </c>
      <c r="CH945" s="10" t="str">
        <f>分析データ!A945</f>
        <v/>
      </c>
    </row>
    <row r="946" spans="46:86">
      <c r="AT946">
        <f ca="1">IF(ROW()&lt;($C$7+1),"",IFERROR((分析データ!B946-AVERAGE(OFFSET(分析データ!B$1,MAX(1,ROW()-$C$7),0,MIN($C$7,ROW()-1),1)))/STDEV(OFFSET(分析データ!B$1,MAX(1,ROW()-$C$7),0,MIN($C$7,ROW()-1),1)),0))</f>
        <v>0</v>
      </c>
      <c r="AU946">
        <f t="shared" ca="1" si="392"/>
        <v>0</v>
      </c>
      <c r="AV946" t="str">
        <f ca="1">IF(AU946=1,IF(INDEX(分析データ!$A:$A,ROW()+$C$5)&lt;&gt;"",80000*SIGN(AT946)*(分析データ!B946-INDEX(分析データ!B:B,ROW()+$C$5)),""),"")</f>
        <v/>
      </c>
      <c r="AW946">
        <f t="shared" ca="1" si="393"/>
        <v>-1240000.0000000019</v>
      </c>
      <c r="AX946">
        <f t="shared" ca="1" si="394"/>
        <v>0</v>
      </c>
      <c r="AY946">
        <f t="shared" ca="1" si="395"/>
        <v>-1240000.0000000019</v>
      </c>
      <c r="AZ946">
        <f ca="1">IF(ROW()&lt;($C$7+1),"",IFERROR((分析データ!C946-AVERAGE(OFFSET(分析データ!C$1,MAX(1,ROW()-$C$7),0,MIN($C$7,ROW()-1),1)))/STDEV(OFFSET(分析データ!C$1,MAX(1,ROW()-$C$7),0,MIN($C$7,ROW()-1),1)),0))</f>
        <v>0</v>
      </c>
      <c r="BA946">
        <f t="shared" ca="1" si="396"/>
        <v>0</v>
      </c>
      <c r="BB946" t="str">
        <f ca="1">IF(BA946=1,IF(INDEX(分析データ!$A:$A,ROW()+$C$5)&lt;&gt;"",60000*SIGN(AZ946)*(分析データ!C946-INDEX(分析データ!C:C,ROW()+$C$5)),""),"")</f>
        <v/>
      </c>
      <c r="BC946">
        <f t="shared" ca="1" si="397"/>
        <v>-260999.9999999851</v>
      </c>
      <c r="BD946">
        <f t="shared" ca="1" si="398"/>
        <v>3156000.0000000107</v>
      </c>
      <c r="BE946">
        <f t="shared" ca="1" si="399"/>
        <v>-3416999.9999999958</v>
      </c>
      <c r="BF946">
        <f ca="1">IF(ROW()&lt;($C$7+1),"",IFERROR((分析データ!D946-AVERAGE(OFFSET(分析データ!D$1,MAX(1,ROW()-$C$7),0,MIN($C$7,ROW()-1),1)))/STDEV(OFFSET(分析データ!D$1,MAX(1,ROW()-$C$7),0,MIN($C$7,ROW()-1),1)),0))</f>
        <v>0</v>
      </c>
      <c r="BG946">
        <f t="shared" ca="1" si="400"/>
        <v>0</v>
      </c>
      <c r="BH946" t="str">
        <f ca="1">IF(BG946=1,IF(INDEX(分析データ!$A:$A,ROW()+$C$5)&lt;&gt;"",50000*SIGN(BF946)*(分析データ!D946-INDEX(分析データ!D:D,ROW()+$C$5)),""),"")</f>
        <v/>
      </c>
      <c r="BI946">
        <f t="shared" ca="1" si="401"/>
        <v>5570000.0000000205</v>
      </c>
      <c r="BJ946">
        <f t="shared" ca="1" si="402"/>
        <v>5570000.0000000205</v>
      </c>
      <c r="BK946">
        <f t="shared" ca="1" si="403"/>
        <v>0</v>
      </c>
      <c r="BL946">
        <f ca="1">IF(ROW()&lt;($C$7+1),"",IFERROR((分析データ!E946-AVERAGE(OFFSET(分析データ!E$1,MAX(1,ROW()-$C$7),0,MIN($C$7,ROW()-1),1)))/STDEV(OFFSET(分析データ!E$1,MAX(1,ROW()-$C$7),0,MIN($C$7,ROW()-1),1)),0))</f>
        <v>0</v>
      </c>
      <c r="BM946">
        <f t="shared" ca="1" si="404"/>
        <v>0</v>
      </c>
      <c r="BN946" t="str">
        <f ca="1">IF(BM946=1,IF(INDEX(分析データ!$A:$A,ROW()+$C$5)&lt;&gt;"",40000*SIGN(BL946)*(分析データ!E946-INDEX(分析データ!E:E,ROW()+$C$5)),""),"")</f>
        <v/>
      </c>
      <c r="BO946">
        <f t="shared" ca="1" si="405"/>
        <v>2720000.0000000014</v>
      </c>
      <c r="BP946">
        <f t="shared" ca="1" si="406"/>
        <v>4280000.0000000028</v>
      </c>
      <c r="BQ946">
        <f t="shared" ca="1" si="407"/>
        <v>-1560000.0000000014</v>
      </c>
      <c r="BR946">
        <f ca="1">IF(ROW()&lt;($C$7+1),"",IFERROR((分析データ!F946-AVERAGE(OFFSET(分析データ!F$1,MAX(1,ROW()-$C$7),0,MIN($C$7,ROW()-1),1)))/STDEV(OFFSET(分析データ!F$1,MAX(1,ROW()-$C$7),0,MIN($C$7,ROW()-1),1)),0))</f>
        <v>0</v>
      </c>
      <c r="BS946">
        <f t="shared" ca="1" si="408"/>
        <v>0</v>
      </c>
      <c r="BT946" t="str">
        <f ca="1">IF(BS946=1,IF(INDEX(分析データ!$A:$A,ROW()+$C$5)&lt;&gt;"",40000*SIGN(BR946)*(分析データ!F946-INDEX(分析データ!F:F,ROW()+$C$5)),""),"")</f>
        <v/>
      </c>
      <c r="BU946">
        <f t="shared" ca="1" si="409"/>
        <v>19816800</v>
      </c>
      <c r="BV946">
        <f t="shared" ca="1" si="410"/>
        <v>19816800</v>
      </c>
      <c r="BW946">
        <f t="shared" ca="1" si="411"/>
        <v>0</v>
      </c>
      <c r="BX946">
        <f ca="1">IF(ROW()&lt;($C$7+1),"",IFERROR((分析データ!G946-AVERAGE(OFFSET(分析データ!G$1,MAX(1,ROW()-$C$7),0,MIN($C$7,ROW()-1),1)))/STDEV(OFFSET(分析データ!G$1,MAX(1,ROW()-$C$7),0,MIN($C$7,ROW()-1),1)),0))</f>
        <v>0</v>
      </c>
      <c r="BY946">
        <f t="shared" ca="1" si="412"/>
        <v>0</v>
      </c>
      <c r="BZ946" t="str">
        <f ca="1">IF(BY946=1,IF(INDEX(分析データ!$A:$A,ROW()+$C$5)&lt;&gt;"",40000*SIGN(BX946)*(分析データ!G946-INDEX(分析データ!G:G,ROW()+$C$5)),""),"")</f>
        <v/>
      </c>
      <c r="CA946">
        <f t="shared" ca="1" si="413"/>
        <v>-3515452.8662109179</v>
      </c>
      <c r="CB946">
        <f t="shared" ca="1" si="414"/>
        <v>11327520.000000004</v>
      </c>
      <c r="CC946">
        <f t="shared" ca="1" si="415"/>
        <v>-14842972.866210923</v>
      </c>
      <c r="CD946">
        <f t="shared" ca="1" si="416"/>
        <v>0</v>
      </c>
      <c r="CE946">
        <f t="shared" ca="1" si="417"/>
        <v>23090347.13378913</v>
      </c>
      <c r="CF946">
        <f t="shared" ca="1" si="418"/>
        <v>23090347.13378913</v>
      </c>
      <c r="CG946">
        <f t="shared" ca="1" si="419"/>
        <v>0</v>
      </c>
      <c r="CH946" s="10" t="str">
        <f>分析データ!A946</f>
        <v/>
      </c>
    </row>
    <row r="947" spans="46:86">
      <c r="AT947">
        <f ca="1">IF(ROW()&lt;($C$7+1),"",IFERROR((分析データ!B947-AVERAGE(OFFSET(分析データ!B$1,MAX(1,ROW()-$C$7),0,MIN($C$7,ROW()-1),1)))/STDEV(OFFSET(分析データ!B$1,MAX(1,ROW()-$C$7),0,MIN($C$7,ROW()-1),1)),0))</f>
        <v>0</v>
      </c>
      <c r="AU947">
        <f t="shared" ca="1" si="392"/>
        <v>0</v>
      </c>
      <c r="AV947" t="str">
        <f ca="1">IF(AU947=1,IF(INDEX(分析データ!$A:$A,ROW()+$C$5)&lt;&gt;"",80000*SIGN(AT947)*(分析データ!B947-INDEX(分析データ!B:B,ROW()+$C$5)),""),"")</f>
        <v/>
      </c>
      <c r="AW947">
        <f t="shared" ca="1" si="393"/>
        <v>-1240000.0000000019</v>
      </c>
      <c r="AX947">
        <f t="shared" ca="1" si="394"/>
        <v>0</v>
      </c>
      <c r="AY947">
        <f t="shared" ca="1" si="395"/>
        <v>-1240000.0000000019</v>
      </c>
      <c r="AZ947">
        <f ca="1">IF(ROW()&lt;($C$7+1),"",IFERROR((分析データ!C947-AVERAGE(OFFSET(分析データ!C$1,MAX(1,ROW()-$C$7),0,MIN($C$7,ROW()-1),1)))/STDEV(OFFSET(分析データ!C$1,MAX(1,ROW()-$C$7),0,MIN($C$7,ROW()-1),1)),0))</f>
        <v>0</v>
      </c>
      <c r="BA947">
        <f t="shared" ca="1" si="396"/>
        <v>0</v>
      </c>
      <c r="BB947" t="str">
        <f ca="1">IF(BA947=1,IF(INDEX(分析データ!$A:$A,ROW()+$C$5)&lt;&gt;"",60000*SIGN(AZ947)*(分析データ!C947-INDEX(分析データ!C:C,ROW()+$C$5)),""),"")</f>
        <v/>
      </c>
      <c r="BC947">
        <f t="shared" ca="1" si="397"/>
        <v>-260999.9999999851</v>
      </c>
      <c r="BD947">
        <f t="shared" ca="1" si="398"/>
        <v>3156000.0000000107</v>
      </c>
      <c r="BE947">
        <f t="shared" ca="1" si="399"/>
        <v>-3416999.9999999958</v>
      </c>
      <c r="BF947">
        <f ca="1">IF(ROW()&lt;($C$7+1),"",IFERROR((分析データ!D947-AVERAGE(OFFSET(分析データ!D$1,MAX(1,ROW()-$C$7),0,MIN($C$7,ROW()-1),1)))/STDEV(OFFSET(分析データ!D$1,MAX(1,ROW()-$C$7),0,MIN($C$7,ROW()-1),1)),0))</f>
        <v>0</v>
      </c>
      <c r="BG947">
        <f t="shared" ca="1" si="400"/>
        <v>0</v>
      </c>
      <c r="BH947" t="str">
        <f ca="1">IF(BG947=1,IF(INDEX(分析データ!$A:$A,ROW()+$C$5)&lt;&gt;"",50000*SIGN(BF947)*(分析データ!D947-INDEX(分析データ!D:D,ROW()+$C$5)),""),"")</f>
        <v/>
      </c>
      <c r="BI947">
        <f t="shared" ca="1" si="401"/>
        <v>5570000.0000000205</v>
      </c>
      <c r="BJ947">
        <f t="shared" ca="1" si="402"/>
        <v>5570000.0000000205</v>
      </c>
      <c r="BK947">
        <f t="shared" ca="1" si="403"/>
        <v>0</v>
      </c>
      <c r="BL947">
        <f ca="1">IF(ROW()&lt;($C$7+1),"",IFERROR((分析データ!E947-AVERAGE(OFFSET(分析データ!E$1,MAX(1,ROW()-$C$7),0,MIN($C$7,ROW()-1),1)))/STDEV(OFFSET(分析データ!E$1,MAX(1,ROW()-$C$7),0,MIN($C$7,ROW()-1),1)),0))</f>
        <v>0</v>
      </c>
      <c r="BM947">
        <f t="shared" ca="1" si="404"/>
        <v>0</v>
      </c>
      <c r="BN947" t="str">
        <f ca="1">IF(BM947=1,IF(INDEX(分析データ!$A:$A,ROW()+$C$5)&lt;&gt;"",40000*SIGN(BL947)*(分析データ!E947-INDEX(分析データ!E:E,ROW()+$C$5)),""),"")</f>
        <v/>
      </c>
      <c r="BO947">
        <f t="shared" ca="1" si="405"/>
        <v>2720000.0000000014</v>
      </c>
      <c r="BP947">
        <f t="shared" ca="1" si="406"/>
        <v>4280000.0000000028</v>
      </c>
      <c r="BQ947">
        <f t="shared" ca="1" si="407"/>
        <v>-1560000.0000000014</v>
      </c>
      <c r="BR947">
        <f ca="1">IF(ROW()&lt;($C$7+1),"",IFERROR((分析データ!F947-AVERAGE(OFFSET(分析データ!F$1,MAX(1,ROW()-$C$7),0,MIN($C$7,ROW()-1),1)))/STDEV(OFFSET(分析データ!F$1,MAX(1,ROW()-$C$7),0,MIN($C$7,ROW()-1),1)),0))</f>
        <v>0</v>
      </c>
      <c r="BS947">
        <f t="shared" ca="1" si="408"/>
        <v>0</v>
      </c>
      <c r="BT947" t="str">
        <f ca="1">IF(BS947=1,IF(INDEX(分析データ!$A:$A,ROW()+$C$5)&lt;&gt;"",40000*SIGN(BR947)*(分析データ!F947-INDEX(分析データ!F:F,ROW()+$C$5)),""),"")</f>
        <v/>
      </c>
      <c r="BU947">
        <f t="shared" ca="1" si="409"/>
        <v>19816800</v>
      </c>
      <c r="BV947">
        <f t="shared" ca="1" si="410"/>
        <v>19816800</v>
      </c>
      <c r="BW947">
        <f t="shared" ca="1" si="411"/>
        <v>0</v>
      </c>
      <c r="BX947">
        <f ca="1">IF(ROW()&lt;($C$7+1),"",IFERROR((分析データ!G947-AVERAGE(OFFSET(分析データ!G$1,MAX(1,ROW()-$C$7),0,MIN($C$7,ROW()-1),1)))/STDEV(OFFSET(分析データ!G$1,MAX(1,ROW()-$C$7),0,MIN($C$7,ROW()-1),1)),0))</f>
        <v>0</v>
      </c>
      <c r="BY947">
        <f t="shared" ca="1" si="412"/>
        <v>0</v>
      </c>
      <c r="BZ947" t="str">
        <f ca="1">IF(BY947=1,IF(INDEX(分析データ!$A:$A,ROW()+$C$5)&lt;&gt;"",40000*SIGN(BX947)*(分析データ!G947-INDEX(分析データ!G:G,ROW()+$C$5)),""),"")</f>
        <v/>
      </c>
      <c r="CA947">
        <f t="shared" ca="1" si="413"/>
        <v>-3515452.8662109179</v>
      </c>
      <c r="CB947">
        <f t="shared" ca="1" si="414"/>
        <v>11327520.000000004</v>
      </c>
      <c r="CC947">
        <f t="shared" ca="1" si="415"/>
        <v>-14842972.866210923</v>
      </c>
      <c r="CD947">
        <f t="shared" ca="1" si="416"/>
        <v>0</v>
      </c>
      <c r="CE947">
        <f t="shared" ca="1" si="417"/>
        <v>23090347.13378913</v>
      </c>
      <c r="CF947">
        <f t="shared" ca="1" si="418"/>
        <v>23090347.13378913</v>
      </c>
      <c r="CG947">
        <f t="shared" ca="1" si="419"/>
        <v>0</v>
      </c>
      <c r="CH947" s="10" t="str">
        <f>分析データ!A947</f>
        <v/>
      </c>
    </row>
    <row r="948" spans="46:86">
      <c r="AT948">
        <f ca="1">IF(ROW()&lt;($C$7+1),"",IFERROR((分析データ!B948-AVERAGE(OFFSET(分析データ!B$1,MAX(1,ROW()-$C$7),0,MIN($C$7,ROW()-1),1)))/STDEV(OFFSET(分析データ!B$1,MAX(1,ROW()-$C$7),0,MIN($C$7,ROW()-1),1)),0))</f>
        <v>0</v>
      </c>
      <c r="AU948">
        <f t="shared" ca="1" si="392"/>
        <v>0</v>
      </c>
      <c r="AV948" t="str">
        <f ca="1">IF(AU948=1,IF(INDEX(分析データ!$A:$A,ROW()+$C$5)&lt;&gt;"",80000*SIGN(AT948)*(分析データ!B948-INDEX(分析データ!B:B,ROW()+$C$5)),""),"")</f>
        <v/>
      </c>
      <c r="AW948">
        <f t="shared" ca="1" si="393"/>
        <v>-1240000.0000000019</v>
      </c>
      <c r="AX948">
        <f t="shared" ca="1" si="394"/>
        <v>0</v>
      </c>
      <c r="AY948">
        <f t="shared" ca="1" si="395"/>
        <v>-1240000.0000000019</v>
      </c>
      <c r="AZ948">
        <f ca="1">IF(ROW()&lt;($C$7+1),"",IFERROR((分析データ!C948-AVERAGE(OFFSET(分析データ!C$1,MAX(1,ROW()-$C$7),0,MIN($C$7,ROW()-1),1)))/STDEV(OFFSET(分析データ!C$1,MAX(1,ROW()-$C$7),0,MIN($C$7,ROW()-1),1)),0))</f>
        <v>0</v>
      </c>
      <c r="BA948">
        <f t="shared" ca="1" si="396"/>
        <v>0</v>
      </c>
      <c r="BB948" t="str">
        <f ca="1">IF(BA948=1,IF(INDEX(分析データ!$A:$A,ROW()+$C$5)&lt;&gt;"",60000*SIGN(AZ948)*(分析データ!C948-INDEX(分析データ!C:C,ROW()+$C$5)),""),"")</f>
        <v/>
      </c>
      <c r="BC948">
        <f t="shared" ca="1" si="397"/>
        <v>-260999.9999999851</v>
      </c>
      <c r="BD948">
        <f t="shared" ca="1" si="398"/>
        <v>3156000.0000000107</v>
      </c>
      <c r="BE948">
        <f t="shared" ca="1" si="399"/>
        <v>-3416999.9999999958</v>
      </c>
      <c r="BF948">
        <f ca="1">IF(ROW()&lt;($C$7+1),"",IFERROR((分析データ!D948-AVERAGE(OFFSET(分析データ!D$1,MAX(1,ROW()-$C$7),0,MIN($C$7,ROW()-1),1)))/STDEV(OFFSET(分析データ!D$1,MAX(1,ROW()-$C$7),0,MIN($C$7,ROW()-1),1)),0))</f>
        <v>0</v>
      </c>
      <c r="BG948">
        <f t="shared" ca="1" si="400"/>
        <v>0</v>
      </c>
      <c r="BH948" t="str">
        <f ca="1">IF(BG948=1,IF(INDEX(分析データ!$A:$A,ROW()+$C$5)&lt;&gt;"",50000*SIGN(BF948)*(分析データ!D948-INDEX(分析データ!D:D,ROW()+$C$5)),""),"")</f>
        <v/>
      </c>
      <c r="BI948">
        <f t="shared" ca="1" si="401"/>
        <v>5570000.0000000205</v>
      </c>
      <c r="BJ948">
        <f t="shared" ca="1" si="402"/>
        <v>5570000.0000000205</v>
      </c>
      <c r="BK948">
        <f t="shared" ca="1" si="403"/>
        <v>0</v>
      </c>
      <c r="BL948">
        <f ca="1">IF(ROW()&lt;($C$7+1),"",IFERROR((分析データ!E948-AVERAGE(OFFSET(分析データ!E$1,MAX(1,ROW()-$C$7),0,MIN($C$7,ROW()-1),1)))/STDEV(OFFSET(分析データ!E$1,MAX(1,ROW()-$C$7),0,MIN($C$7,ROW()-1),1)),0))</f>
        <v>0</v>
      </c>
      <c r="BM948">
        <f t="shared" ca="1" si="404"/>
        <v>0</v>
      </c>
      <c r="BN948" t="str">
        <f ca="1">IF(BM948=1,IF(INDEX(分析データ!$A:$A,ROW()+$C$5)&lt;&gt;"",40000*SIGN(BL948)*(分析データ!E948-INDEX(分析データ!E:E,ROW()+$C$5)),""),"")</f>
        <v/>
      </c>
      <c r="BO948">
        <f t="shared" ca="1" si="405"/>
        <v>2720000.0000000014</v>
      </c>
      <c r="BP948">
        <f t="shared" ca="1" si="406"/>
        <v>4280000.0000000028</v>
      </c>
      <c r="BQ948">
        <f t="shared" ca="1" si="407"/>
        <v>-1560000.0000000014</v>
      </c>
      <c r="BR948">
        <f ca="1">IF(ROW()&lt;($C$7+1),"",IFERROR((分析データ!F948-AVERAGE(OFFSET(分析データ!F$1,MAX(1,ROW()-$C$7),0,MIN($C$7,ROW()-1),1)))/STDEV(OFFSET(分析データ!F$1,MAX(1,ROW()-$C$7),0,MIN($C$7,ROW()-1),1)),0))</f>
        <v>0</v>
      </c>
      <c r="BS948">
        <f t="shared" ca="1" si="408"/>
        <v>0</v>
      </c>
      <c r="BT948" t="str">
        <f ca="1">IF(BS948=1,IF(INDEX(分析データ!$A:$A,ROW()+$C$5)&lt;&gt;"",40000*SIGN(BR948)*(分析データ!F948-INDEX(分析データ!F:F,ROW()+$C$5)),""),"")</f>
        <v/>
      </c>
      <c r="BU948">
        <f t="shared" ca="1" si="409"/>
        <v>19816800</v>
      </c>
      <c r="BV948">
        <f t="shared" ca="1" si="410"/>
        <v>19816800</v>
      </c>
      <c r="BW948">
        <f t="shared" ca="1" si="411"/>
        <v>0</v>
      </c>
      <c r="BX948">
        <f ca="1">IF(ROW()&lt;($C$7+1),"",IFERROR((分析データ!G948-AVERAGE(OFFSET(分析データ!G$1,MAX(1,ROW()-$C$7),0,MIN($C$7,ROW()-1),1)))/STDEV(OFFSET(分析データ!G$1,MAX(1,ROW()-$C$7),0,MIN($C$7,ROW()-1),1)),0))</f>
        <v>0</v>
      </c>
      <c r="BY948">
        <f t="shared" ca="1" si="412"/>
        <v>0</v>
      </c>
      <c r="BZ948" t="str">
        <f ca="1">IF(BY948=1,IF(INDEX(分析データ!$A:$A,ROW()+$C$5)&lt;&gt;"",40000*SIGN(BX948)*(分析データ!G948-INDEX(分析データ!G:G,ROW()+$C$5)),""),"")</f>
        <v/>
      </c>
      <c r="CA948">
        <f t="shared" ca="1" si="413"/>
        <v>-3515452.8662109179</v>
      </c>
      <c r="CB948">
        <f t="shared" ca="1" si="414"/>
        <v>11327520.000000004</v>
      </c>
      <c r="CC948">
        <f t="shared" ca="1" si="415"/>
        <v>-14842972.866210923</v>
      </c>
      <c r="CD948">
        <f t="shared" ca="1" si="416"/>
        <v>0</v>
      </c>
      <c r="CE948">
        <f t="shared" ca="1" si="417"/>
        <v>23090347.13378913</v>
      </c>
      <c r="CF948">
        <f t="shared" ca="1" si="418"/>
        <v>23090347.13378913</v>
      </c>
      <c r="CG948">
        <f t="shared" ca="1" si="419"/>
        <v>0</v>
      </c>
      <c r="CH948" s="10" t="str">
        <f>分析データ!A948</f>
        <v/>
      </c>
    </row>
    <row r="949" spans="46:86">
      <c r="AT949">
        <f ca="1">IF(ROW()&lt;($C$7+1),"",IFERROR((分析データ!B949-AVERAGE(OFFSET(分析データ!B$1,MAX(1,ROW()-$C$7),0,MIN($C$7,ROW()-1),1)))/STDEV(OFFSET(分析データ!B$1,MAX(1,ROW()-$C$7),0,MIN($C$7,ROW()-1),1)),0))</f>
        <v>0</v>
      </c>
      <c r="AU949">
        <f t="shared" ca="1" si="392"/>
        <v>0</v>
      </c>
      <c r="AV949" t="str">
        <f ca="1">IF(AU949=1,IF(INDEX(分析データ!$A:$A,ROW()+$C$5)&lt;&gt;"",80000*SIGN(AT949)*(分析データ!B949-INDEX(分析データ!B:B,ROW()+$C$5)),""),"")</f>
        <v/>
      </c>
      <c r="AW949">
        <f t="shared" ca="1" si="393"/>
        <v>-1240000.0000000019</v>
      </c>
      <c r="AX949">
        <f t="shared" ca="1" si="394"/>
        <v>0</v>
      </c>
      <c r="AY949">
        <f t="shared" ca="1" si="395"/>
        <v>-1240000.0000000019</v>
      </c>
      <c r="AZ949">
        <f ca="1">IF(ROW()&lt;($C$7+1),"",IFERROR((分析データ!C949-AVERAGE(OFFSET(分析データ!C$1,MAX(1,ROW()-$C$7),0,MIN($C$7,ROW()-1),1)))/STDEV(OFFSET(分析データ!C$1,MAX(1,ROW()-$C$7),0,MIN($C$7,ROW()-1),1)),0))</f>
        <v>0</v>
      </c>
      <c r="BA949">
        <f t="shared" ca="1" si="396"/>
        <v>0</v>
      </c>
      <c r="BB949" t="str">
        <f ca="1">IF(BA949=1,IF(INDEX(分析データ!$A:$A,ROW()+$C$5)&lt;&gt;"",60000*SIGN(AZ949)*(分析データ!C949-INDEX(分析データ!C:C,ROW()+$C$5)),""),"")</f>
        <v/>
      </c>
      <c r="BC949">
        <f t="shared" ca="1" si="397"/>
        <v>-260999.9999999851</v>
      </c>
      <c r="BD949">
        <f t="shared" ca="1" si="398"/>
        <v>3156000.0000000107</v>
      </c>
      <c r="BE949">
        <f t="shared" ca="1" si="399"/>
        <v>-3416999.9999999958</v>
      </c>
      <c r="BF949">
        <f ca="1">IF(ROW()&lt;($C$7+1),"",IFERROR((分析データ!D949-AVERAGE(OFFSET(分析データ!D$1,MAX(1,ROW()-$C$7),0,MIN($C$7,ROW()-1),1)))/STDEV(OFFSET(分析データ!D$1,MAX(1,ROW()-$C$7),0,MIN($C$7,ROW()-1),1)),0))</f>
        <v>0</v>
      </c>
      <c r="BG949">
        <f t="shared" ca="1" si="400"/>
        <v>0</v>
      </c>
      <c r="BH949" t="str">
        <f ca="1">IF(BG949=1,IF(INDEX(分析データ!$A:$A,ROW()+$C$5)&lt;&gt;"",50000*SIGN(BF949)*(分析データ!D949-INDEX(分析データ!D:D,ROW()+$C$5)),""),"")</f>
        <v/>
      </c>
      <c r="BI949">
        <f t="shared" ca="1" si="401"/>
        <v>5570000.0000000205</v>
      </c>
      <c r="BJ949">
        <f t="shared" ca="1" si="402"/>
        <v>5570000.0000000205</v>
      </c>
      <c r="BK949">
        <f t="shared" ca="1" si="403"/>
        <v>0</v>
      </c>
      <c r="BL949">
        <f ca="1">IF(ROW()&lt;($C$7+1),"",IFERROR((分析データ!E949-AVERAGE(OFFSET(分析データ!E$1,MAX(1,ROW()-$C$7),0,MIN($C$7,ROW()-1),1)))/STDEV(OFFSET(分析データ!E$1,MAX(1,ROW()-$C$7),0,MIN($C$7,ROW()-1),1)),0))</f>
        <v>0</v>
      </c>
      <c r="BM949">
        <f t="shared" ca="1" si="404"/>
        <v>0</v>
      </c>
      <c r="BN949" t="str">
        <f ca="1">IF(BM949=1,IF(INDEX(分析データ!$A:$A,ROW()+$C$5)&lt;&gt;"",40000*SIGN(BL949)*(分析データ!E949-INDEX(分析データ!E:E,ROW()+$C$5)),""),"")</f>
        <v/>
      </c>
      <c r="BO949">
        <f t="shared" ca="1" si="405"/>
        <v>2720000.0000000014</v>
      </c>
      <c r="BP949">
        <f t="shared" ca="1" si="406"/>
        <v>4280000.0000000028</v>
      </c>
      <c r="BQ949">
        <f t="shared" ca="1" si="407"/>
        <v>-1560000.0000000014</v>
      </c>
      <c r="BR949">
        <f ca="1">IF(ROW()&lt;($C$7+1),"",IFERROR((分析データ!F949-AVERAGE(OFFSET(分析データ!F$1,MAX(1,ROW()-$C$7),0,MIN($C$7,ROW()-1),1)))/STDEV(OFFSET(分析データ!F$1,MAX(1,ROW()-$C$7),0,MIN($C$7,ROW()-1),1)),0))</f>
        <v>0</v>
      </c>
      <c r="BS949">
        <f t="shared" ca="1" si="408"/>
        <v>0</v>
      </c>
      <c r="BT949" t="str">
        <f ca="1">IF(BS949=1,IF(INDEX(分析データ!$A:$A,ROW()+$C$5)&lt;&gt;"",40000*SIGN(BR949)*(分析データ!F949-INDEX(分析データ!F:F,ROW()+$C$5)),""),"")</f>
        <v/>
      </c>
      <c r="BU949">
        <f t="shared" ca="1" si="409"/>
        <v>19816800</v>
      </c>
      <c r="BV949">
        <f t="shared" ca="1" si="410"/>
        <v>19816800</v>
      </c>
      <c r="BW949">
        <f t="shared" ca="1" si="411"/>
        <v>0</v>
      </c>
      <c r="BX949">
        <f ca="1">IF(ROW()&lt;($C$7+1),"",IFERROR((分析データ!G949-AVERAGE(OFFSET(分析データ!G$1,MAX(1,ROW()-$C$7),0,MIN($C$7,ROW()-1),1)))/STDEV(OFFSET(分析データ!G$1,MAX(1,ROW()-$C$7),0,MIN($C$7,ROW()-1),1)),0))</f>
        <v>0</v>
      </c>
      <c r="BY949">
        <f t="shared" ca="1" si="412"/>
        <v>0</v>
      </c>
      <c r="BZ949" t="str">
        <f ca="1">IF(BY949=1,IF(INDEX(分析データ!$A:$A,ROW()+$C$5)&lt;&gt;"",40000*SIGN(BX949)*(分析データ!G949-INDEX(分析データ!G:G,ROW()+$C$5)),""),"")</f>
        <v/>
      </c>
      <c r="CA949">
        <f t="shared" ca="1" si="413"/>
        <v>-3515452.8662109179</v>
      </c>
      <c r="CB949">
        <f t="shared" ca="1" si="414"/>
        <v>11327520.000000004</v>
      </c>
      <c r="CC949">
        <f t="shared" ca="1" si="415"/>
        <v>-14842972.866210923</v>
      </c>
      <c r="CD949">
        <f t="shared" ca="1" si="416"/>
        <v>0</v>
      </c>
      <c r="CE949">
        <f t="shared" ca="1" si="417"/>
        <v>23090347.13378913</v>
      </c>
      <c r="CF949">
        <f t="shared" ca="1" si="418"/>
        <v>23090347.13378913</v>
      </c>
      <c r="CG949">
        <f t="shared" ca="1" si="419"/>
        <v>0</v>
      </c>
      <c r="CH949" s="10" t="str">
        <f>分析データ!A949</f>
        <v/>
      </c>
    </row>
    <row r="950" spans="46:86">
      <c r="AT950">
        <f ca="1">IF(ROW()&lt;($C$7+1),"",IFERROR((分析データ!B950-AVERAGE(OFFSET(分析データ!B$1,MAX(1,ROW()-$C$7),0,MIN($C$7,ROW()-1),1)))/STDEV(OFFSET(分析データ!B$1,MAX(1,ROW()-$C$7),0,MIN($C$7,ROW()-1),1)),0))</f>
        <v>0</v>
      </c>
      <c r="AU950">
        <f t="shared" ca="1" si="392"/>
        <v>0</v>
      </c>
      <c r="AV950" t="str">
        <f ca="1">IF(AU950=1,IF(INDEX(分析データ!$A:$A,ROW()+$C$5)&lt;&gt;"",80000*SIGN(AT950)*(分析データ!B950-INDEX(分析データ!B:B,ROW()+$C$5)),""),"")</f>
        <v/>
      </c>
      <c r="AW950">
        <f t="shared" ca="1" si="393"/>
        <v>-1240000.0000000019</v>
      </c>
      <c r="AX950">
        <f t="shared" ca="1" si="394"/>
        <v>0</v>
      </c>
      <c r="AY950">
        <f t="shared" ca="1" si="395"/>
        <v>-1240000.0000000019</v>
      </c>
      <c r="AZ950">
        <f ca="1">IF(ROW()&lt;($C$7+1),"",IFERROR((分析データ!C950-AVERAGE(OFFSET(分析データ!C$1,MAX(1,ROW()-$C$7),0,MIN($C$7,ROW()-1),1)))/STDEV(OFFSET(分析データ!C$1,MAX(1,ROW()-$C$7),0,MIN($C$7,ROW()-1),1)),0))</f>
        <v>0</v>
      </c>
      <c r="BA950">
        <f t="shared" ca="1" si="396"/>
        <v>0</v>
      </c>
      <c r="BB950" t="str">
        <f ca="1">IF(BA950=1,IF(INDEX(分析データ!$A:$A,ROW()+$C$5)&lt;&gt;"",60000*SIGN(AZ950)*(分析データ!C950-INDEX(分析データ!C:C,ROW()+$C$5)),""),"")</f>
        <v/>
      </c>
      <c r="BC950">
        <f t="shared" ca="1" si="397"/>
        <v>-260999.9999999851</v>
      </c>
      <c r="BD950">
        <f t="shared" ca="1" si="398"/>
        <v>3156000.0000000107</v>
      </c>
      <c r="BE950">
        <f t="shared" ca="1" si="399"/>
        <v>-3416999.9999999958</v>
      </c>
      <c r="BF950">
        <f ca="1">IF(ROW()&lt;($C$7+1),"",IFERROR((分析データ!D950-AVERAGE(OFFSET(分析データ!D$1,MAX(1,ROW()-$C$7),0,MIN($C$7,ROW()-1),1)))/STDEV(OFFSET(分析データ!D$1,MAX(1,ROW()-$C$7),0,MIN($C$7,ROW()-1),1)),0))</f>
        <v>0</v>
      </c>
      <c r="BG950">
        <f t="shared" ca="1" si="400"/>
        <v>0</v>
      </c>
      <c r="BH950" t="str">
        <f ca="1">IF(BG950=1,IF(INDEX(分析データ!$A:$A,ROW()+$C$5)&lt;&gt;"",50000*SIGN(BF950)*(分析データ!D950-INDEX(分析データ!D:D,ROW()+$C$5)),""),"")</f>
        <v/>
      </c>
      <c r="BI950">
        <f t="shared" ca="1" si="401"/>
        <v>5570000.0000000205</v>
      </c>
      <c r="BJ950">
        <f t="shared" ca="1" si="402"/>
        <v>5570000.0000000205</v>
      </c>
      <c r="BK950">
        <f t="shared" ca="1" si="403"/>
        <v>0</v>
      </c>
      <c r="BL950">
        <f ca="1">IF(ROW()&lt;($C$7+1),"",IFERROR((分析データ!E950-AVERAGE(OFFSET(分析データ!E$1,MAX(1,ROW()-$C$7),0,MIN($C$7,ROW()-1),1)))/STDEV(OFFSET(分析データ!E$1,MAX(1,ROW()-$C$7),0,MIN($C$7,ROW()-1),1)),0))</f>
        <v>0</v>
      </c>
      <c r="BM950">
        <f t="shared" ca="1" si="404"/>
        <v>0</v>
      </c>
      <c r="BN950" t="str">
        <f ca="1">IF(BM950=1,IF(INDEX(分析データ!$A:$A,ROW()+$C$5)&lt;&gt;"",40000*SIGN(BL950)*(分析データ!E950-INDEX(分析データ!E:E,ROW()+$C$5)),""),"")</f>
        <v/>
      </c>
      <c r="BO950">
        <f t="shared" ca="1" si="405"/>
        <v>2720000.0000000014</v>
      </c>
      <c r="BP950">
        <f t="shared" ca="1" si="406"/>
        <v>4280000.0000000028</v>
      </c>
      <c r="BQ950">
        <f t="shared" ca="1" si="407"/>
        <v>-1560000.0000000014</v>
      </c>
      <c r="BR950">
        <f ca="1">IF(ROW()&lt;($C$7+1),"",IFERROR((分析データ!F950-AVERAGE(OFFSET(分析データ!F$1,MAX(1,ROW()-$C$7),0,MIN($C$7,ROW()-1),1)))/STDEV(OFFSET(分析データ!F$1,MAX(1,ROW()-$C$7),0,MIN($C$7,ROW()-1),1)),0))</f>
        <v>0</v>
      </c>
      <c r="BS950">
        <f t="shared" ca="1" si="408"/>
        <v>0</v>
      </c>
      <c r="BT950" t="str">
        <f ca="1">IF(BS950=1,IF(INDEX(分析データ!$A:$A,ROW()+$C$5)&lt;&gt;"",40000*SIGN(BR950)*(分析データ!F950-INDEX(分析データ!F:F,ROW()+$C$5)),""),"")</f>
        <v/>
      </c>
      <c r="BU950">
        <f t="shared" ca="1" si="409"/>
        <v>19816800</v>
      </c>
      <c r="BV950">
        <f t="shared" ca="1" si="410"/>
        <v>19816800</v>
      </c>
      <c r="BW950">
        <f t="shared" ca="1" si="411"/>
        <v>0</v>
      </c>
      <c r="BX950">
        <f ca="1">IF(ROW()&lt;($C$7+1),"",IFERROR((分析データ!G950-AVERAGE(OFFSET(分析データ!G$1,MAX(1,ROW()-$C$7),0,MIN($C$7,ROW()-1),1)))/STDEV(OFFSET(分析データ!G$1,MAX(1,ROW()-$C$7),0,MIN($C$7,ROW()-1),1)),0))</f>
        <v>0</v>
      </c>
      <c r="BY950">
        <f t="shared" ca="1" si="412"/>
        <v>0</v>
      </c>
      <c r="BZ950" t="str">
        <f ca="1">IF(BY950=1,IF(INDEX(分析データ!$A:$A,ROW()+$C$5)&lt;&gt;"",40000*SIGN(BX950)*(分析データ!G950-INDEX(分析データ!G:G,ROW()+$C$5)),""),"")</f>
        <v/>
      </c>
      <c r="CA950">
        <f t="shared" ca="1" si="413"/>
        <v>-3515452.8662109179</v>
      </c>
      <c r="CB950">
        <f t="shared" ca="1" si="414"/>
        <v>11327520.000000004</v>
      </c>
      <c r="CC950">
        <f t="shared" ca="1" si="415"/>
        <v>-14842972.866210923</v>
      </c>
      <c r="CD950">
        <f t="shared" ca="1" si="416"/>
        <v>0</v>
      </c>
      <c r="CE950">
        <f t="shared" ca="1" si="417"/>
        <v>23090347.13378913</v>
      </c>
      <c r="CF950">
        <f t="shared" ca="1" si="418"/>
        <v>23090347.13378913</v>
      </c>
      <c r="CG950">
        <f t="shared" ca="1" si="419"/>
        <v>0</v>
      </c>
      <c r="CH950" s="10" t="str">
        <f>分析データ!A950</f>
        <v/>
      </c>
    </row>
    <row r="951" spans="46:86">
      <c r="AT951">
        <f ca="1">IF(ROW()&lt;($C$7+1),"",IFERROR((分析データ!B951-AVERAGE(OFFSET(分析データ!B$1,MAX(1,ROW()-$C$7),0,MIN($C$7,ROW()-1),1)))/STDEV(OFFSET(分析データ!B$1,MAX(1,ROW()-$C$7),0,MIN($C$7,ROW()-1),1)),0))</f>
        <v>0</v>
      </c>
      <c r="AU951">
        <f t="shared" ca="1" si="392"/>
        <v>0</v>
      </c>
      <c r="AV951" t="str">
        <f ca="1">IF(AU951=1,IF(INDEX(分析データ!$A:$A,ROW()+$C$5)&lt;&gt;"",80000*SIGN(AT951)*(分析データ!B951-INDEX(分析データ!B:B,ROW()+$C$5)),""),"")</f>
        <v/>
      </c>
      <c r="AW951">
        <f t="shared" ca="1" si="393"/>
        <v>-1240000.0000000019</v>
      </c>
      <c r="AX951">
        <f t="shared" ca="1" si="394"/>
        <v>0</v>
      </c>
      <c r="AY951">
        <f t="shared" ca="1" si="395"/>
        <v>-1240000.0000000019</v>
      </c>
      <c r="AZ951">
        <f ca="1">IF(ROW()&lt;($C$7+1),"",IFERROR((分析データ!C951-AVERAGE(OFFSET(分析データ!C$1,MAX(1,ROW()-$C$7),0,MIN($C$7,ROW()-1),1)))/STDEV(OFFSET(分析データ!C$1,MAX(1,ROW()-$C$7),0,MIN($C$7,ROW()-1),1)),0))</f>
        <v>0</v>
      </c>
      <c r="BA951">
        <f t="shared" ca="1" si="396"/>
        <v>0</v>
      </c>
      <c r="BB951" t="str">
        <f ca="1">IF(BA951=1,IF(INDEX(分析データ!$A:$A,ROW()+$C$5)&lt;&gt;"",60000*SIGN(AZ951)*(分析データ!C951-INDEX(分析データ!C:C,ROW()+$C$5)),""),"")</f>
        <v/>
      </c>
      <c r="BC951">
        <f t="shared" ca="1" si="397"/>
        <v>-260999.9999999851</v>
      </c>
      <c r="BD951">
        <f t="shared" ca="1" si="398"/>
        <v>3156000.0000000107</v>
      </c>
      <c r="BE951">
        <f t="shared" ca="1" si="399"/>
        <v>-3416999.9999999958</v>
      </c>
      <c r="BF951">
        <f ca="1">IF(ROW()&lt;($C$7+1),"",IFERROR((分析データ!D951-AVERAGE(OFFSET(分析データ!D$1,MAX(1,ROW()-$C$7),0,MIN($C$7,ROW()-1),1)))/STDEV(OFFSET(分析データ!D$1,MAX(1,ROW()-$C$7),0,MIN($C$7,ROW()-1),1)),0))</f>
        <v>0</v>
      </c>
      <c r="BG951">
        <f t="shared" ca="1" si="400"/>
        <v>0</v>
      </c>
      <c r="BH951" t="str">
        <f ca="1">IF(BG951=1,IF(INDEX(分析データ!$A:$A,ROW()+$C$5)&lt;&gt;"",50000*SIGN(BF951)*(分析データ!D951-INDEX(分析データ!D:D,ROW()+$C$5)),""),"")</f>
        <v/>
      </c>
      <c r="BI951">
        <f t="shared" ca="1" si="401"/>
        <v>5570000.0000000205</v>
      </c>
      <c r="BJ951">
        <f t="shared" ca="1" si="402"/>
        <v>5570000.0000000205</v>
      </c>
      <c r="BK951">
        <f t="shared" ca="1" si="403"/>
        <v>0</v>
      </c>
      <c r="BL951">
        <f ca="1">IF(ROW()&lt;($C$7+1),"",IFERROR((分析データ!E951-AVERAGE(OFFSET(分析データ!E$1,MAX(1,ROW()-$C$7),0,MIN($C$7,ROW()-1),1)))/STDEV(OFFSET(分析データ!E$1,MAX(1,ROW()-$C$7),0,MIN($C$7,ROW()-1),1)),0))</f>
        <v>0</v>
      </c>
      <c r="BM951">
        <f t="shared" ca="1" si="404"/>
        <v>0</v>
      </c>
      <c r="BN951" t="str">
        <f ca="1">IF(BM951=1,IF(INDEX(分析データ!$A:$A,ROW()+$C$5)&lt;&gt;"",40000*SIGN(BL951)*(分析データ!E951-INDEX(分析データ!E:E,ROW()+$C$5)),""),"")</f>
        <v/>
      </c>
      <c r="BO951">
        <f t="shared" ca="1" si="405"/>
        <v>2720000.0000000014</v>
      </c>
      <c r="BP951">
        <f t="shared" ca="1" si="406"/>
        <v>4280000.0000000028</v>
      </c>
      <c r="BQ951">
        <f t="shared" ca="1" si="407"/>
        <v>-1560000.0000000014</v>
      </c>
      <c r="BR951">
        <f ca="1">IF(ROW()&lt;($C$7+1),"",IFERROR((分析データ!F951-AVERAGE(OFFSET(分析データ!F$1,MAX(1,ROW()-$C$7),0,MIN($C$7,ROW()-1),1)))/STDEV(OFFSET(分析データ!F$1,MAX(1,ROW()-$C$7),0,MIN($C$7,ROW()-1),1)),0))</f>
        <v>0</v>
      </c>
      <c r="BS951">
        <f t="shared" ca="1" si="408"/>
        <v>0</v>
      </c>
      <c r="BT951" t="str">
        <f ca="1">IF(BS951=1,IF(INDEX(分析データ!$A:$A,ROW()+$C$5)&lt;&gt;"",40000*SIGN(BR951)*(分析データ!F951-INDEX(分析データ!F:F,ROW()+$C$5)),""),"")</f>
        <v/>
      </c>
      <c r="BU951">
        <f t="shared" ca="1" si="409"/>
        <v>19816800</v>
      </c>
      <c r="BV951">
        <f t="shared" ca="1" si="410"/>
        <v>19816800</v>
      </c>
      <c r="BW951">
        <f t="shared" ca="1" si="411"/>
        <v>0</v>
      </c>
      <c r="BX951">
        <f ca="1">IF(ROW()&lt;($C$7+1),"",IFERROR((分析データ!G951-AVERAGE(OFFSET(分析データ!G$1,MAX(1,ROW()-$C$7),0,MIN($C$7,ROW()-1),1)))/STDEV(OFFSET(分析データ!G$1,MAX(1,ROW()-$C$7),0,MIN($C$7,ROW()-1),1)),0))</f>
        <v>0</v>
      </c>
      <c r="BY951">
        <f t="shared" ca="1" si="412"/>
        <v>0</v>
      </c>
      <c r="BZ951" t="str">
        <f ca="1">IF(BY951=1,IF(INDEX(分析データ!$A:$A,ROW()+$C$5)&lt;&gt;"",40000*SIGN(BX951)*(分析データ!G951-INDEX(分析データ!G:G,ROW()+$C$5)),""),"")</f>
        <v/>
      </c>
      <c r="CA951">
        <f t="shared" ca="1" si="413"/>
        <v>-3515452.8662109179</v>
      </c>
      <c r="CB951">
        <f t="shared" ca="1" si="414"/>
        <v>11327520.000000004</v>
      </c>
      <c r="CC951">
        <f t="shared" ca="1" si="415"/>
        <v>-14842972.866210923</v>
      </c>
      <c r="CD951">
        <f t="shared" ca="1" si="416"/>
        <v>0</v>
      </c>
      <c r="CE951">
        <f t="shared" ca="1" si="417"/>
        <v>23090347.13378913</v>
      </c>
      <c r="CF951">
        <f t="shared" ca="1" si="418"/>
        <v>23090347.13378913</v>
      </c>
      <c r="CG951">
        <f t="shared" ca="1" si="419"/>
        <v>0</v>
      </c>
      <c r="CH951" s="10" t="str">
        <f>分析データ!A951</f>
        <v/>
      </c>
    </row>
    <row r="952" spans="46:86">
      <c r="AT952">
        <f ca="1">IF(ROW()&lt;($C$7+1),"",IFERROR((分析データ!B952-AVERAGE(OFFSET(分析データ!B$1,MAX(1,ROW()-$C$7),0,MIN($C$7,ROW()-1),1)))/STDEV(OFFSET(分析データ!B$1,MAX(1,ROW()-$C$7),0,MIN($C$7,ROW()-1),1)),0))</f>
        <v>0</v>
      </c>
      <c r="AU952">
        <f t="shared" ca="1" si="392"/>
        <v>0</v>
      </c>
      <c r="AV952" t="str">
        <f ca="1">IF(AU952=1,IF(INDEX(分析データ!$A:$A,ROW()+$C$5)&lt;&gt;"",80000*SIGN(AT952)*(分析データ!B952-INDEX(分析データ!B:B,ROW()+$C$5)),""),"")</f>
        <v/>
      </c>
      <c r="AW952">
        <f t="shared" ca="1" si="393"/>
        <v>-1240000.0000000019</v>
      </c>
      <c r="AX952">
        <f t="shared" ca="1" si="394"/>
        <v>0</v>
      </c>
      <c r="AY952">
        <f t="shared" ca="1" si="395"/>
        <v>-1240000.0000000019</v>
      </c>
      <c r="AZ952">
        <f ca="1">IF(ROW()&lt;($C$7+1),"",IFERROR((分析データ!C952-AVERAGE(OFFSET(分析データ!C$1,MAX(1,ROW()-$C$7),0,MIN($C$7,ROW()-1),1)))/STDEV(OFFSET(分析データ!C$1,MAX(1,ROW()-$C$7),0,MIN($C$7,ROW()-1),1)),0))</f>
        <v>0</v>
      </c>
      <c r="BA952">
        <f t="shared" ca="1" si="396"/>
        <v>0</v>
      </c>
      <c r="BB952" t="str">
        <f ca="1">IF(BA952=1,IF(INDEX(分析データ!$A:$A,ROW()+$C$5)&lt;&gt;"",60000*SIGN(AZ952)*(分析データ!C952-INDEX(分析データ!C:C,ROW()+$C$5)),""),"")</f>
        <v/>
      </c>
      <c r="BC952">
        <f t="shared" ca="1" si="397"/>
        <v>-260999.9999999851</v>
      </c>
      <c r="BD952">
        <f t="shared" ca="1" si="398"/>
        <v>3156000.0000000107</v>
      </c>
      <c r="BE952">
        <f t="shared" ca="1" si="399"/>
        <v>-3416999.9999999958</v>
      </c>
      <c r="BF952">
        <f ca="1">IF(ROW()&lt;($C$7+1),"",IFERROR((分析データ!D952-AVERAGE(OFFSET(分析データ!D$1,MAX(1,ROW()-$C$7),0,MIN($C$7,ROW()-1),1)))/STDEV(OFFSET(分析データ!D$1,MAX(1,ROW()-$C$7),0,MIN($C$7,ROW()-1),1)),0))</f>
        <v>0</v>
      </c>
      <c r="BG952">
        <f t="shared" ca="1" si="400"/>
        <v>0</v>
      </c>
      <c r="BH952" t="str">
        <f ca="1">IF(BG952=1,IF(INDEX(分析データ!$A:$A,ROW()+$C$5)&lt;&gt;"",50000*SIGN(BF952)*(分析データ!D952-INDEX(分析データ!D:D,ROW()+$C$5)),""),"")</f>
        <v/>
      </c>
      <c r="BI952">
        <f t="shared" ca="1" si="401"/>
        <v>5570000.0000000205</v>
      </c>
      <c r="BJ952">
        <f t="shared" ca="1" si="402"/>
        <v>5570000.0000000205</v>
      </c>
      <c r="BK952">
        <f t="shared" ca="1" si="403"/>
        <v>0</v>
      </c>
      <c r="BL952">
        <f ca="1">IF(ROW()&lt;($C$7+1),"",IFERROR((分析データ!E952-AVERAGE(OFFSET(分析データ!E$1,MAX(1,ROW()-$C$7),0,MIN($C$7,ROW()-1),1)))/STDEV(OFFSET(分析データ!E$1,MAX(1,ROW()-$C$7),0,MIN($C$7,ROW()-1),1)),0))</f>
        <v>0</v>
      </c>
      <c r="BM952">
        <f t="shared" ca="1" si="404"/>
        <v>0</v>
      </c>
      <c r="BN952" t="str">
        <f ca="1">IF(BM952=1,IF(INDEX(分析データ!$A:$A,ROW()+$C$5)&lt;&gt;"",40000*SIGN(BL952)*(分析データ!E952-INDEX(分析データ!E:E,ROW()+$C$5)),""),"")</f>
        <v/>
      </c>
      <c r="BO952">
        <f t="shared" ca="1" si="405"/>
        <v>2720000.0000000014</v>
      </c>
      <c r="BP952">
        <f t="shared" ca="1" si="406"/>
        <v>4280000.0000000028</v>
      </c>
      <c r="BQ952">
        <f t="shared" ca="1" si="407"/>
        <v>-1560000.0000000014</v>
      </c>
      <c r="BR952">
        <f ca="1">IF(ROW()&lt;($C$7+1),"",IFERROR((分析データ!F952-AVERAGE(OFFSET(分析データ!F$1,MAX(1,ROW()-$C$7),0,MIN($C$7,ROW()-1),1)))/STDEV(OFFSET(分析データ!F$1,MAX(1,ROW()-$C$7),0,MIN($C$7,ROW()-1),1)),0))</f>
        <v>0</v>
      </c>
      <c r="BS952">
        <f t="shared" ca="1" si="408"/>
        <v>0</v>
      </c>
      <c r="BT952" t="str">
        <f ca="1">IF(BS952=1,IF(INDEX(分析データ!$A:$A,ROW()+$C$5)&lt;&gt;"",40000*SIGN(BR952)*(分析データ!F952-INDEX(分析データ!F:F,ROW()+$C$5)),""),"")</f>
        <v/>
      </c>
      <c r="BU952">
        <f t="shared" ca="1" si="409"/>
        <v>19816800</v>
      </c>
      <c r="BV952">
        <f t="shared" ca="1" si="410"/>
        <v>19816800</v>
      </c>
      <c r="BW952">
        <f t="shared" ca="1" si="411"/>
        <v>0</v>
      </c>
      <c r="BX952">
        <f ca="1">IF(ROW()&lt;($C$7+1),"",IFERROR((分析データ!G952-AVERAGE(OFFSET(分析データ!G$1,MAX(1,ROW()-$C$7),0,MIN($C$7,ROW()-1),1)))/STDEV(OFFSET(分析データ!G$1,MAX(1,ROW()-$C$7),0,MIN($C$7,ROW()-1),1)),0))</f>
        <v>0</v>
      </c>
      <c r="BY952">
        <f t="shared" ca="1" si="412"/>
        <v>0</v>
      </c>
      <c r="BZ952" t="str">
        <f ca="1">IF(BY952=1,IF(INDEX(分析データ!$A:$A,ROW()+$C$5)&lt;&gt;"",40000*SIGN(BX952)*(分析データ!G952-INDEX(分析データ!G:G,ROW()+$C$5)),""),"")</f>
        <v/>
      </c>
      <c r="CA952">
        <f t="shared" ca="1" si="413"/>
        <v>-3515452.8662109179</v>
      </c>
      <c r="CB952">
        <f t="shared" ca="1" si="414"/>
        <v>11327520.000000004</v>
      </c>
      <c r="CC952">
        <f t="shared" ca="1" si="415"/>
        <v>-14842972.866210923</v>
      </c>
      <c r="CD952">
        <f t="shared" ca="1" si="416"/>
        <v>0</v>
      </c>
      <c r="CE952">
        <f t="shared" ca="1" si="417"/>
        <v>23090347.13378913</v>
      </c>
      <c r="CF952">
        <f t="shared" ca="1" si="418"/>
        <v>23090347.13378913</v>
      </c>
      <c r="CG952">
        <f t="shared" ca="1" si="419"/>
        <v>0</v>
      </c>
      <c r="CH952" s="10" t="str">
        <f>分析データ!A952</f>
        <v/>
      </c>
    </row>
    <row r="953" spans="46:86">
      <c r="AT953">
        <f ca="1">IF(ROW()&lt;($C$7+1),"",IFERROR((分析データ!B953-AVERAGE(OFFSET(分析データ!B$1,MAX(1,ROW()-$C$7),0,MIN($C$7,ROW()-1),1)))/STDEV(OFFSET(分析データ!B$1,MAX(1,ROW()-$C$7),0,MIN($C$7,ROW()-1),1)),0))</f>
        <v>0</v>
      </c>
      <c r="AU953">
        <f t="shared" ca="1" si="392"/>
        <v>0</v>
      </c>
      <c r="AV953" t="str">
        <f ca="1">IF(AU953=1,IF(INDEX(分析データ!$A:$A,ROW()+$C$5)&lt;&gt;"",80000*SIGN(AT953)*(分析データ!B953-INDEX(分析データ!B:B,ROW()+$C$5)),""),"")</f>
        <v/>
      </c>
      <c r="AW953">
        <f t="shared" ca="1" si="393"/>
        <v>-1240000.0000000019</v>
      </c>
      <c r="AX953">
        <f t="shared" ca="1" si="394"/>
        <v>0</v>
      </c>
      <c r="AY953">
        <f t="shared" ca="1" si="395"/>
        <v>-1240000.0000000019</v>
      </c>
      <c r="AZ953">
        <f ca="1">IF(ROW()&lt;($C$7+1),"",IFERROR((分析データ!C953-AVERAGE(OFFSET(分析データ!C$1,MAX(1,ROW()-$C$7),0,MIN($C$7,ROW()-1),1)))/STDEV(OFFSET(分析データ!C$1,MAX(1,ROW()-$C$7),0,MIN($C$7,ROW()-1),1)),0))</f>
        <v>0</v>
      </c>
      <c r="BA953">
        <f t="shared" ca="1" si="396"/>
        <v>0</v>
      </c>
      <c r="BB953" t="str">
        <f ca="1">IF(BA953=1,IF(INDEX(分析データ!$A:$A,ROW()+$C$5)&lt;&gt;"",60000*SIGN(AZ953)*(分析データ!C953-INDEX(分析データ!C:C,ROW()+$C$5)),""),"")</f>
        <v/>
      </c>
      <c r="BC953">
        <f t="shared" ca="1" si="397"/>
        <v>-260999.9999999851</v>
      </c>
      <c r="BD953">
        <f t="shared" ca="1" si="398"/>
        <v>3156000.0000000107</v>
      </c>
      <c r="BE953">
        <f t="shared" ca="1" si="399"/>
        <v>-3416999.9999999958</v>
      </c>
      <c r="BF953">
        <f ca="1">IF(ROW()&lt;($C$7+1),"",IFERROR((分析データ!D953-AVERAGE(OFFSET(分析データ!D$1,MAX(1,ROW()-$C$7),0,MIN($C$7,ROW()-1),1)))/STDEV(OFFSET(分析データ!D$1,MAX(1,ROW()-$C$7),0,MIN($C$7,ROW()-1),1)),0))</f>
        <v>0</v>
      </c>
      <c r="BG953">
        <f t="shared" ca="1" si="400"/>
        <v>0</v>
      </c>
      <c r="BH953" t="str">
        <f ca="1">IF(BG953=1,IF(INDEX(分析データ!$A:$A,ROW()+$C$5)&lt;&gt;"",50000*SIGN(BF953)*(分析データ!D953-INDEX(分析データ!D:D,ROW()+$C$5)),""),"")</f>
        <v/>
      </c>
      <c r="BI953">
        <f t="shared" ca="1" si="401"/>
        <v>5570000.0000000205</v>
      </c>
      <c r="BJ953">
        <f t="shared" ca="1" si="402"/>
        <v>5570000.0000000205</v>
      </c>
      <c r="BK953">
        <f t="shared" ca="1" si="403"/>
        <v>0</v>
      </c>
      <c r="BL953">
        <f ca="1">IF(ROW()&lt;($C$7+1),"",IFERROR((分析データ!E953-AVERAGE(OFFSET(分析データ!E$1,MAX(1,ROW()-$C$7),0,MIN($C$7,ROW()-1),1)))/STDEV(OFFSET(分析データ!E$1,MAX(1,ROW()-$C$7),0,MIN($C$7,ROW()-1),1)),0))</f>
        <v>0</v>
      </c>
      <c r="BM953">
        <f t="shared" ca="1" si="404"/>
        <v>0</v>
      </c>
      <c r="BN953" t="str">
        <f ca="1">IF(BM953=1,IF(INDEX(分析データ!$A:$A,ROW()+$C$5)&lt;&gt;"",40000*SIGN(BL953)*(分析データ!E953-INDEX(分析データ!E:E,ROW()+$C$5)),""),"")</f>
        <v/>
      </c>
      <c r="BO953">
        <f t="shared" ca="1" si="405"/>
        <v>2720000.0000000014</v>
      </c>
      <c r="BP953">
        <f t="shared" ca="1" si="406"/>
        <v>4280000.0000000028</v>
      </c>
      <c r="BQ953">
        <f t="shared" ca="1" si="407"/>
        <v>-1560000.0000000014</v>
      </c>
      <c r="BR953">
        <f ca="1">IF(ROW()&lt;($C$7+1),"",IFERROR((分析データ!F953-AVERAGE(OFFSET(分析データ!F$1,MAX(1,ROW()-$C$7),0,MIN($C$7,ROW()-1),1)))/STDEV(OFFSET(分析データ!F$1,MAX(1,ROW()-$C$7),0,MIN($C$7,ROW()-1),1)),0))</f>
        <v>0</v>
      </c>
      <c r="BS953">
        <f t="shared" ca="1" si="408"/>
        <v>0</v>
      </c>
      <c r="BT953" t="str">
        <f ca="1">IF(BS953=1,IF(INDEX(分析データ!$A:$A,ROW()+$C$5)&lt;&gt;"",40000*SIGN(BR953)*(分析データ!F953-INDEX(分析データ!F:F,ROW()+$C$5)),""),"")</f>
        <v/>
      </c>
      <c r="BU953">
        <f t="shared" ca="1" si="409"/>
        <v>19816800</v>
      </c>
      <c r="BV953">
        <f t="shared" ca="1" si="410"/>
        <v>19816800</v>
      </c>
      <c r="BW953">
        <f t="shared" ca="1" si="411"/>
        <v>0</v>
      </c>
      <c r="BX953">
        <f ca="1">IF(ROW()&lt;($C$7+1),"",IFERROR((分析データ!G953-AVERAGE(OFFSET(分析データ!G$1,MAX(1,ROW()-$C$7),0,MIN($C$7,ROW()-1),1)))/STDEV(OFFSET(分析データ!G$1,MAX(1,ROW()-$C$7),0,MIN($C$7,ROW()-1),1)),0))</f>
        <v>0</v>
      </c>
      <c r="BY953">
        <f t="shared" ca="1" si="412"/>
        <v>0</v>
      </c>
      <c r="BZ953" t="str">
        <f ca="1">IF(BY953=1,IF(INDEX(分析データ!$A:$A,ROW()+$C$5)&lt;&gt;"",40000*SIGN(BX953)*(分析データ!G953-INDEX(分析データ!G:G,ROW()+$C$5)),""),"")</f>
        <v/>
      </c>
      <c r="CA953">
        <f t="shared" ca="1" si="413"/>
        <v>-3515452.8662109179</v>
      </c>
      <c r="CB953">
        <f t="shared" ca="1" si="414"/>
        <v>11327520.000000004</v>
      </c>
      <c r="CC953">
        <f t="shared" ca="1" si="415"/>
        <v>-14842972.866210923</v>
      </c>
      <c r="CD953">
        <f t="shared" ca="1" si="416"/>
        <v>0</v>
      </c>
      <c r="CE953">
        <f t="shared" ca="1" si="417"/>
        <v>23090347.13378913</v>
      </c>
      <c r="CF953">
        <f t="shared" ca="1" si="418"/>
        <v>23090347.13378913</v>
      </c>
      <c r="CG953">
        <f t="shared" ca="1" si="419"/>
        <v>0</v>
      </c>
      <c r="CH953" s="10" t="str">
        <f>分析データ!A953</f>
        <v/>
      </c>
    </row>
    <row r="954" spans="46:86">
      <c r="AT954">
        <f ca="1">IF(ROW()&lt;($C$7+1),"",IFERROR((分析データ!B954-AVERAGE(OFFSET(分析データ!B$1,MAX(1,ROW()-$C$7),0,MIN($C$7,ROW()-1),1)))/STDEV(OFFSET(分析データ!B$1,MAX(1,ROW()-$C$7),0,MIN($C$7,ROW()-1),1)),0))</f>
        <v>0</v>
      </c>
      <c r="AU954">
        <f t="shared" ca="1" si="392"/>
        <v>0</v>
      </c>
      <c r="AV954" t="str">
        <f ca="1">IF(AU954=1,IF(INDEX(分析データ!$A:$A,ROW()+$C$5)&lt;&gt;"",80000*SIGN(AT954)*(分析データ!B954-INDEX(分析データ!B:B,ROW()+$C$5)),""),"")</f>
        <v/>
      </c>
      <c r="AW954">
        <f t="shared" ca="1" si="393"/>
        <v>-1240000.0000000019</v>
      </c>
      <c r="AX954">
        <f t="shared" ca="1" si="394"/>
        <v>0</v>
      </c>
      <c r="AY954">
        <f t="shared" ca="1" si="395"/>
        <v>-1240000.0000000019</v>
      </c>
      <c r="AZ954">
        <f ca="1">IF(ROW()&lt;($C$7+1),"",IFERROR((分析データ!C954-AVERAGE(OFFSET(分析データ!C$1,MAX(1,ROW()-$C$7),0,MIN($C$7,ROW()-1),1)))/STDEV(OFFSET(分析データ!C$1,MAX(1,ROW()-$C$7),0,MIN($C$7,ROW()-1),1)),0))</f>
        <v>0</v>
      </c>
      <c r="BA954">
        <f t="shared" ca="1" si="396"/>
        <v>0</v>
      </c>
      <c r="BB954" t="str">
        <f ca="1">IF(BA954=1,IF(INDEX(分析データ!$A:$A,ROW()+$C$5)&lt;&gt;"",60000*SIGN(AZ954)*(分析データ!C954-INDEX(分析データ!C:C,ROW()+$C$5)),""),"")</f>
        <v/>
      </c>
      <c r="BC954">
        <f t="shared" ca="1" si="397"/>
        <v>-260999.9999999851</v>
      </c>
      <c r="BD954">
        <f t="shared" ca="1" si="398"/>
        <v>3156000.0000000107</v>
      </c>
      <c r="BE954">
        <f t="shared" ca="1" si="399"/>
        <v>-3416999.9999999958</v>
      </c>
      <c r="BF954">
        <f ca="1">IF(ROW()&lt;($C$7+1),"",IFERROR((分析データ!D954-AVERAGE(OFFSET(分析データ!D$1,MAX(1,ROW()-$C$7),0,MIN($C$7,ROW()-1),1)))/STDEV(OFFSET(分析データ!D$1,MAX(1,ROW()-$C$7),0,MIN($C$7,ROW()-1),1)),0))</f>
        <v>0</v>
      </c>
      <c r="BG954">
        <f t="shared" ca="1" si="400"/>
        <v>0</v>
      </c>
      <c r="BH954" t="str">
        <f ca="1">IF(BG954=1,IF(INDEX(分析データ!$A:$A,ROW()+$C$5)&lt;&gt;"",50000*SIGN(BF954)*(分析データ!D954-INDEX(分析データ!D:D,ROW()+$C$5)),""),"")</f>
        <v/>
      </c>
      <c r="BI954">
        <f t="shared" ca="1" si="401"/>
        <v>5570000.0000000205</v>
      </c>
      <c r="BJ954">
        <f t="shared" ca="1" si="402"/>
        <v>5570000.0000000205</v>
      </c>
      <c r="BK954">
        <f t="shared" ca="1" si="403"/>
        <v>0</v>
      </c>
      <c r="BL954">
        <f ca="1">IF(ROW()&lt;($C$7+1),"",IFERROR((分析データ!E954-AVERAGE(OFFSET(分析データ!E$1,MAX(1,ROW()-$C$7),0,MIN($C$7,ROW()-1),1)))/STDEV(OFFSET(分析データ!E$1,MAX(1,ROW()-$C$7),0,MIN($C$7,ROW()-1),1)),0))</f>
        <v>0</v>
      </c>
      <c r="BM954">
        <f t="shared" ca="1" si="404"/>
        <v>0</v>
      </c>
      <c r="BN954" t="str">
        <f ca="1">IF(BM954=1,IF(INDEX(分析データ!$A:$A,ROW()+$C$5)&lt;&gt;"",40000*SIGN(BL954)*(分析データ!E954-INDEX(分析データ!E:E,ROW()+$C$5)),""),"")</f>
        <v/>
      </c>
      <c r="BO954">
        <f t="shared" ca="1" si="405"/>
        <v>2720000.0000000014</v>
      </c>
      <c r="BP954">
        <f t="shared" ca="1" si="406"/>
        <v>4280000.0000000028</v>
      </c>
      <c r="BQ954">
        <f t="shared" ca="1" si="407"/>
        <v>-1560000.0000000014</v>
      </c>
      <c r="BR954">
        <f ca="1">IF(ROW()&lt;($C$7+1),"",IFERROR((分析データ!F954-AVERAGE(OFFSET(分析データ!F$1,MAX(1,ROW()-$C$7),0,MIN($C$7,ROW()-1),1)))/STDEV(OFFSET(分析データ!F$1,MAX(1,ROW()-$C$7),0,MIN($C$7,ROW()-1),1)),0))</f>
        <v>0</v>
      </c>
      <c r="BS954">
        <f t="shared" ca="1" si="408"/>
        <v>0</v>
      </c>
      <c r="BT954" t="str">
        <f ca="1">IF(BS954=1,IF(INDEX(分析データ!$A:$A,ROW()+$C$5)&lt;&gt;"",40000*SIGN(BR954)*(分析データ!F954-INDEX(分析データ!F:F,ROW()+$C$5)),""),"")</f>
        <v/>
      </c>
      <c r="BU954">
        <f t="shared" ca="1" si="409"/>
        <v>19816800</v>
      </c>
      <c r="BV954">
        <f t="shared" ca="1" si="410"/>
        <v>19816800</v>
      </c>
      <c r="BW954">
        <f t="shared" ca="1" si="411"/>
        <v>0</v>
      </c>
      <c r="BX954">
        <f ca="1">IF(ROW()&lt;($C$7+1),"",IFERROR((分析データ!G954-AVERAGE(OFFSET(分析データ!G$1,MAX(1,ROW()-$C$7),0,MIN($C$7,ROW()-1),1)))/STDEV(OFFSET(分析データ!G$1,MAX(1,ROW()-$C$7),0,MIN($C$7,ROW()-1),1)),0))</f>
        <v>0</v>
      </c>
      <c r="BY954">
        <f t="shared" ca="1" si="412"/>
        <v>0</v>
      </c>
      <c r="BZ954" t="str">
        <f ca="1">IF(BY954=1,IF(INDEX(分析データ!$A:$A,ROW()+$C$5)&lt;&gt;"",40000*SIGN(BX954)*(分析データ!G954-INDEX(分析データ!G:G,ROW()+$C$5)),""),"")</f>
        <v/>
      </c>
      <c r="CA954">
        <f t="shared" ca="1" si="413"/>
        <v>-3515452.8662109179</v>
      </c>
      <c r="CB954">
        <f t="shared" ca="1" si="414"/>
        <v>11327520.000000004</v>
      </c>
      <c r="CC954">
        <f t="shared" ca="1" si="415"/>
        <v>-14842972.866210923</v>
      </c>
      <c r="CD954">
        <f t="shared" ca="1" si="416"/>
        <v>0</v>
      </c>
      <c r="CE954">
        <f t="shared" ca="1" si="417"/>
        <v>23090347.13378913</v>
      </c>
      <c r="CF954">
        <f t="shared" ca="1" si="418"/>
        <v>23090347.13378913</v>
      </c>
      <c r="CG954">
        <f t="shared" ca="1" si="419"/>
        <v>0</v>
      </c>
      <c r="CH954" s="10" t="str">
        <f>分析データ!A954</f>
        <v/>
      </c>
    </row>
    <row r="955" spans="46:86">
      <c r="AT955">
        <f ca="1">IF(ROW()&lt;($C$7+1),"",IFERROR((分析データ!B955-AVERAGE(OFFSET(分析データ!B$1,MAX(1,ROW()-$C$7),0,MIN($C$7,ROW()-1),1)))/STDEV(OFFSET(分析データ!B$1,MAX(1,ROW()-$C$7),0,MIN($C$7,ROW()-1),1)),0))</f>
        <v>0</v>
      </c>
      <c r="AU955">
        <f t="shared" ca="1" si="392"/>
        <v>0</v>
      </c>
      <c r="AV955" t="str">
        <f ca="1">IF(AU955=1,IF(INDEX(分析データ!$A:$A,ROW()+$C$5)&lt;&gt;"",80000*SIGN(AT955)*(分析データ!B955-INDEX(分析データ!B:B,ROW()+$C$5)),""),"")</f>
        <v/>
      </c>
      <c r="AW955">
        <f t="shared" ca="1" si="393"/>
        <v>-1240000.0000000019</v>
      </c>
      <c r="AX955">
        <f t="shared" ca="1" si="394"/>
        <v>0</v>
      </c>
      <c r="AY955">
        <f t="shared" ca="1" si="395"/>
        <v>-1240000.0000000019</v>
      </c>
      <c r="AZ955">
        <f ca="1">IF(ROW()&lt;($C$7+1),"",IFERROR((分析データ!C955-AVERAGE(OFFSET(分析データ!C$1,MAX(1,ROW()-$C$7),0,MIN($C$7,ROW()-1),1)))/STDEV(OFFSET(分析データ!C$1,MAX(1,ROW()-$C$7),0,MIN($C$7,ROW()-1),1)),0))</f>
        <v>0</v>
      </c>
      <c r="BA955">
        <f t="shared" ca="1" si="396"/>
        <v>0</v>
      </c>
      <c r="BB955" t="str">
        <f ca="1">IF(BA955=1,IF(INDEX(分析データ!$A:$A,ROW()+$C$5)&lt;&gt;"",60000*SIGN(AZ955)*(分析データ!C955-INDEX(分析データ!C:C,ROW()+$C$5)),""),"")</f>
        <v/>
      </c>
      <c r="BC955">
        <f t="shared" ca="1" si="397"/>
        <v>-260999.9999999851</v>
      </c>
      <c r="BD955">
        <f t="shared" ca="1" si="398"/>
        <v>3156000.0000000107</v>
      </c>
      <c r="BE955">
        <f t="shared" ca="1" si="399"/>
        <v>-3416999.9999999958</v>
      </c>
      <c r="BF955">
        <f ca="1">IF(ROW()&lt;($C$7+1),"",IFERROR((分析データ!D955-AVERAGE(OFFSET(分析データ!D$1,MAX(1,ROW()-$C$7),0,MIN($C$7,ROW()-1),1)))/STDEV(OFFSET(分析データ!D$1,MAX(1,ROW()-$C$7),0,MIN($C$7,ROW()-1),1)),0))</f>
        <v>0</v>
      </c>
      <c r="BG955">
        <f t="shared" ca="1" si="400"/>
        <v>0</v>
      </c>
      <c r="BH955" t="str">
        <f ca="1">IF(BG955=1,IF(INDEX(分析データ!$A:$A,ROW()+$C$5)&lt;&gt;"",50000*SIGN(BF955)*(分析データ!D955-INDEX(分析データ!D:D,ROW()+$C$5)),""),"")</f>
        <v/>
      </c>
      <c r="BI955">
        <f t="shared" ca="1" si="401"/>
        <v>5570000.0000000205</v>
      </c>
      <c r="BJ955">
        <f t="shared" ca="1" si="402"/>
        <v>5570000.0000000205</v>
      </c>
      <c r="BK955">
        <f t="shared" ca="1" si="403"/>
        <v>0</v>
      </c>
      <c r="BL955">
        <f ca="1">IF(ROW()&lt;($C$7+1),"",IFERROR((分析データ!E955-AVERAGE(OFFSET(分析データ!E$1,MAX(1,ROW()-$C$7),0,MIN($C$7,ROW()-1),1)))/STDEV(OFFSET(分析データ!E$1,MAX(1,ROW()-$C$7),0,MIN($C$7,ROW()-1),1)),0))</f>
        <v>0</v>
      </c>
      <c r="BM955">
        <f t="shared" ca="1" si="404"/>
        <v>0</v>
      </c>
      <c r="BN955" t="str">
        <f ca="1">IF(BM955=1,IF(INDEX(分析データ!$A:$A,ROW()+$C$5)&lt;&gt;"",40000*SIGN(BL955)*(分析データ!E955-INDEX(分析データ!E:E,ROW()+$C$5)),""),"")</f>
        <v/>
      </c>
      <c r="BO955">
        <f t="shared" ca="1" si="405"/>
        <v>2720000.0000000014</v>
      </c>
      <c r="BP955">
        <f t="shared" ca="1" si="406"/>
        <v>4280000.0000000028</v>
      </c>
      <c r="BQ955">
        <f t="shared" ca="1" si="407"/>
        <v>-1560000.0000000014</v>
      </c>
      <c r="BR955">
        <f ca="1">IF(ROW()&lt;($C$7+1),"",IFERROR((分析データ!F955-AVERAGE(OFFSET(分析データ!F$1,MAX(1,ROW()-$C$7),0,MIN($C$7,ROW()-1),1)))/STDEV(OFFSET(分析データ!F$1,MAX(1,ROW()-$C$7),0,MIN($C$7,ROW()-1),1)),0))</f>
        <v>0</v>
      </c>
      <c r="BS955">
        <f t="shared" ca="1" si="408"/>
        <v>0</v>
      </c>
      <c r="BT955" t="str">
        <f ca="1">IF(BS955=1,IF(INDEX(分析データ!$A:$A,ROW()+$C$5)&lt;&gt;"",40000*SIGN(BR955)*(分析データ!F955-INDEX(分析データ!F:F,ROW()+$C$5)),""),"")</f>
        <v/>
      </c>
      <c r="BU955">
        <f t="shared" ca="1" si="409"/>
        <v>19816800</v>
      </c>
      <c r="BV955">
        <f t="shared" ca="1" si="410"/>
        <v>19816800</v>
      </c>
      <c r="BW955">
        <f t="shared" ca="1" si="411"/>
        <v>0</v>
      </c>
      <c r="BX955">
        <f ca="1">IF(ROW()&lt;($C$7+1),"",IFERROR((分析データ!G955-AVERAGE(OFFSET(分析データ!G$1,MAX(1,ROW()-$C$7),0,MIN($C$7,ROW()-1),1)))/STDEV(OFFSET(分析データ!G$1,MAX(1,ROW()-$C$7),0,MIN($C$7,ROW()-1),1)),0))</f>
        <v>0</v>
      </c>
      <c r="BY955">
        <f t="shared" ca="1" si="412"/>
        <v>0</v>
      </c>
      <c r="BZ955" t="str">
        <f ca="1">IF(BY955=1,IF(INDEX(分析データ!$A:$A,ROW()+$C$5)&lt;&gt;"",40000*SIGN(BX955)*(分析データ!G955-INDEX(分析データ!G:G,ROW()+$C$5)),""),"")</f>
        <v/>
      </c>
      <c r="CA955">
        <f t="shared" ca="1" si="413"/>
        <v>-3515452.8662109179</v>
      </c>
      <c r="CB955">
        <f t="shared" ca="1" si="414"/>
        <v>11327520.000000004</v>
      </c>
      <c r="CC955">
        <f t="shared" ca="1" si="415"/>
        <v>-14842972.866210923</v>
      </c>
      <c r="CD955">
        <f t="shared" ca="1" si="416"/>
        <v>0</v>
      </c>
      <c r="CE955">
        <f t="shared" ca="1" si="417"/>
        <v>23090347.13378913</v>
      </c>
      <c r="CF955">
        <f t="shared" ca="1" si="418"/>
        <v>23090347.13378913</v>
      </c>
      <c r="CG955">
        <f t="shared" ca="1" si="419"/>
        <v>0</v>
      </c>
      <c r="CH955" s="10" t="str">
        <f>分析データ!A955</f>
        <v/>
      </c>
    </row>
    <row r="956" spans="46:86">
      <c r="AT956">
        <f ca="1">IF(ROW()&lt;($C$7+1),"",IFERROR((分析データ!B956-AVERAGE(OFFSET(分析データ!B$1,MAX(1,ROW()-$C$7),0,MIN($C$7,ROW()-1),1)))/STDEV(OFFSET(分析データ!B$1,MAX(1,ROW()-$C$7),0,MIN($C$7,ROW()-1),1)),0))</f>
        <v>0</v>
      </c>
      <c r="AU956">
        <f t="shared" ca="1" si="392"/>
        <v>0</v>
      </c>
      <c r="AV956" t="str">
        <f ca="1">IF(AU956=1,IF(INDEX(分析データ!$A:$A,ROW()+$C$5)&lt;&gt;"",80000*SIGN(AT956)*(分析データ!B956-INDEX(分析データ!B:B,ROW()+$C$5)),""),"")</f>
        <v/>
      </c>
      <c r="AW956">
        <f t="shared" ca="1" si="393"/>
        <v>-1240000.0000000019</v>
      </c>
      <c r="AX956">
        <f t="shared" ca="1" si="394"/>
        <v>0</v>
      </c>
      <c r="AY956">
        <f t="shared" ca="1" si="395"/>
        <v>-1240000.0000000019</v>
      </c>
      <c r="AZ956">
        <f ca="1">IF(ROW()&lt;($C$7+1),"",IFERROR((分析データ!C956-AVERAGE(OFFSET(分析データ!C$1,MAX(1,ROW()-$C$7),0,MIN($C$7,ROW()-1),1)))/STDEV(OFFSET(分析データ!C$1,MAX(1,ROW()-$C$7),0,MIN($C$7,ROW()-1),1)),0))</f>
        <v>0</v>
      </c>
      <c r="BA956">
        <f t="shared" ca="1" si="396"/>
        <v>0</v>
      </c>
      <c r="BB956" t="str">
        <f ca="1">IF(BA956=1,IF(INDEX(分析データ!$A:$A,ROW()+$C$5)&lt;&gt;"",60000*SIGN(AZ956)*(分析データ!C956-INDEX(分析データ!C:C,ROW()+$C$5)),""),"")</f>
        <v/>
      </c>
      <c r="BC956">
        <f t="shared" ca="1" si="397"/>
        <v>-260999.9999999851</v>
      </c>
      <c r="BD956">
        <f t="shared" ca="1" si="398"/>
        <v>3156000.0000000107</v>
      </c>
      <c r="BE956">
        <f t="shared" ca="1" si="399"/>
        <v>-3416999.9999999958</v>
      </c>
      <c r="BF956">
        <f ca="1">IF(ROW()&lt;($C$7+1),"",IFERROR((分析データ!D956-AVERAGE(OFFSET(分析データ!D$1,MAX(1,ROW()-$C$7),0,MIN($C$7,ROW()-1),1)))/STDEV(OFFSET(分析データ!D$1,MAX(1,ROW()-$C$7),0,MIN($C$7,ROW()-1),1)),0))</f>
        <v>0</v>
      </c>
      <c r="BG956">
        <f t="shared" ca="1" si="400"/>
        <v>0</v>
      </c>
      <c r="BH956" t="str">
        <f ca="1">IF(BG956=1,IF(INDEX(分析データ!$A:$A,ROW()+$C$5)&lt;&gt;"",50000*SIGN(BF956)*(分析データ!D956-INDEX(分析データ!D:D,ROW()+$C$5)),""),"")</f>
        <v/>
      </c>
      <c r="BI956">
        <f t="shared" ca="1" si="401"/>
        <v>5570000.0000000205</v>
      </c>
      <c r="BJ956">
        <f t="shared" ca="1" si="402"/>
        <v>5570000.0000000205</v>
      </c>
      <c r="BK956">
        <f t="shared" ca="1" si="403"/>
        <v>0</v>
      </c>
      <c r="BL956">
        <f ca="1">IF(ROW()&lt;($C$7+1),"",IFERROR((分析データ!E956-AVERAGE(OFFSET(分析データ!E$1,MAX(1,ROW()-$C$7),0,MIN($C$7,ROW()-1),1)))/STDEV(OFFSET(分析データ!E$1,MAX(1,ROW()-$C$7),0,MIN($C$7,ROW()-1),1)),0))</f>
        <v>0</v>
      </c>
      <c r="BM956">
        <f t="shared" ca="1" si="404"/>
        <v>0</v>
      </c>
      <c r="BN956" t="str">
        <f ca="1">IF(BM956=1,IF(INDEX(分析データ!$A:$A,ROW()+$C$5)&lt;&gt;"",40000*SIGN(BL956)*(分析データ!E956-INDEX(分析データ!E:E,ROW()+$C$5)),""),"")</f>
        <v/>
      </c>
      <c r="BO956">
        <f t="shared" ca="1" si="405"/>
        <v>2720000.0000000014</v>
      </c>
      <c r="BP956">
        <f t="shared" ca="1" si="406"/>
        <v>4280000.0000000028</v>
      </c>
      <c r="BQ956">
        <f t="shared" ca="1" si="407"/>
        <v>-1560000.0000000014</v>
      </c>
      <c r="BR956">
        <f ca="1">IF(ROW()&lt;($C$7+1),"",IFERROR((分析データ!F956-AVERAGE(OFFSET(分析データ!F$1,MAX(1,ROW()-$C$7),0,MIN($C$7,ROW()-1),1)))/STDEV(OFFSET(分析データ!F$1,MAX(1,ROW()-$C$7),0,MIN($C$7,ROW()-1),1)),0))</f>
        <v>0</v>
      </c>
      <c r="BS956">
        <f t="shared" ca="1" si="408"/>
        <v>0</v>
      </c>
      <c r="BT956" t="str">
        <f ca="1">IF(BS956=1,IF(INDEX(分析データ!$A:$A,ROW()+$C$5)&lt;&gt;"",40000*SIGN(BR956)*(分析データ!F956-INDEX(分析データ!F:F,ROW()+$C$5)),""),"")</f>
        <v/>
      </c>
      <c r="BU956">
        <f t="shared" ca="1" si="409"/>
        <v>19816800</v>
      </c>
      <c r="BV956">
        <f t="shared" ca="1" si="410"/>
        <v>19816800</v>
      </c>
      <c r="BW956">
        <f t="shared" ca="1" si="411"/>
        <v>0</v>
      </c>
      <c r="BX956">
        <f ca="1">IF(ROW()&lt;($C$7+1),"",IFERROR((分析データ!G956-AVERAGE(OFFSET(分析データ!G$1,MAX(1,ROW()-$C$7),0,MIN($C$7,ROW()-1),1)))/STDEV(OFFSET(分析データ!G$1,MAX(1,ROW()-$C$7),0,MIN($C$7,ROW()-1),1)),0))</f>
        <v>0</v>
      </c>
      <c r="BY956">
        <f t="shared" ca="1" si="412"/>
        <v>0</v>
      </c>
      <c r="BZ956" t="str">
        <f ca="1">IF(BY956=1,IF(INDEX(分析データ!$A:$A,ROW()+$C$5)&lt;&gt;"",40000*SIGN(BX956)*(分析データ!G956-INDEX(分析データ!G:G,ROW()+$C$5)),""),"")</f>
        <v/>
      </c>
      <c r="CA956">
        <f t="shared" ca="1" si="413"/>
        <v>-3515452.8662109179</v>
      </c>
      <c r="CB956">
        <f t="shared" ca="1" si="414"/>
        <v>11327520.000000004</v>
      </c>
      <c r="CC956">
        <f t="shared" ca="1" si="415"/>
        <v>-14842972.866210923</v>
      </c>
      <c r="CD956">
        <f t="shared" ca="1" si="416"/>
        <v>0</v>
      </c>
      <c r="CE956">
        <f t="shared" ca="1" si="417"/>
        <v>23090347.13378913</v>
      </c>
      <c r="CF956">
        <f t="shared" ca="1" si="418"/>
        <v>23090347.13378913</v>
      </c>
      <c r="CG956">
        <f t="shared" ca="1" si="419"/>
        <v>0</v>
      </c>
      <c r="CH956" s="10" t="str">
        <f>分析データ!A956</f>
        <v/>
      </c>
    </row>
    <row r="957" spans="46:86">
      <c r="AT957">
        <f ca="1">IF(ROW()&lt;($C$7+1),"",IFERROR((分析データ!B957-AVERAGE(OFFSET(分析データ!B$1,MAX(1,ROW()-$C$7),0,MIN($C$7,ROW()-1),1)))/STDEV(OFFSET(分析データ!B$1,MAX(1,ROW()-$C$7),0,MIN($C$7,ROW()-1),1)),0))</f>
        <v>0</v>
      </c>
      <c r="AU957">
        <f t="shared" ca="1" si="392"/>
        <v>0</v>
      </c>
      <c r="AV957" t="str">
        <f ca="1">IF(AU957=1,IF(INDEX(分析データ!$A:$A,ROW()+$C$5)&lt;&gt;"",80000*SIGN(AT957)*(分析データ!B957-INDEX(分析データ!B:B,ROW()+$C$5)),""),"")</f>
        <v/>
      </c>
      <c r="AW957">
        <f t="shared" ca="1" si="393"/>
        <v>-1240000.0000000019</v>
      </c>
      <c r="AX957">
        <f t="shared" ca="1" si="394"/>
        <v>0</v>
      </c>
      <c r="AY957">
        <f t="shared" ca="1" si="395"/>
        <v>-1240000.0000000019</v>
      </c>
      <c r="AZ957">
        <f ca="1">IF(ROW()&lt;($C$7+1),"",IFERROR((分析データ!C957-AVERAGE(OFFSET(分析データ!C$1,MAX(1,ROW()-$C$7),0,MIN($C$7,ROW()-1),1)))/STDEV(OFFSET(分析データ!C$1,MAX(1,ROW()-$C$7),0,MIN($C$7,ROW()-1),1)),0))</f>
        <v>0</v>
      </c>
      <c r="BA957">
        <f t="shared" ca="1" si="396"/>
        <v>0</v>
      </c>
      <c r="BB957" t="str">
        <f ca="1">IF(BA957=1,IF(INDEX(分析データ!$A:$A,ROW()+$C$5)&lt;&gt;"",60000*SIGN(AZ957)*(分析データ!C957-INDEX(分析データ!C:C,ROW()+$C$5)),""),"")</f>
        <v/>
      </c>
      <c r="BC957">
        <f t="shared" ca="1" si="397"/>
        <v>-260999.9999999851</v>
      </c>
      <c r="BD957">
        <f t="shared" ca="1" si="398"/>
        <v>3156000.0000000107</v>
      </c>
      <c r="BE957">
        <f t="shared" ca="1" si="399"/>
        <v>-3416999.9999999958</v>
      </c>
      <c r="BF957">
        <f ca="1">IF(ROW()&lt;($C$7+1),"",IFERROR((分析データ!D957-AVERAGE(OFFSET(分析データ!D$1,MAX(1,ROW()-$C$7),0,MIN($C$7,ROW()-1),1)))/STDEV(OFFSET(分析データ!D$1,MAX(1,ROW()-$C$7),0,MIN($C$7,ROW()-1),1)),0))</f>
        <v>0</v>
      </c>
      <c r="BG957">
        <f t="shared" ca="1" si="400"/>
        <v>0</v>
      </c>
      <c r="BH957" t="str">
        <f ca="1">IF(BG957=1,IF(INDEX(分析データ!$A:$A,ROW()+$C$5)&lt;&gt;"",50000*SIGN(BF957)*(分析データ!D957-INDEX(分析データ!D:D,ROW()+$C$5)),""),"")</f>
        <v/>
      </c>
      <c r="BI957">
        <f t="shared" ca="1" si="401"/>
        <v>5570000.0000000205</v>
      </c>
      <c r="BJ957">
        <f t="shared" ca="1" si="402"/>
        <v>5570000.0000000205</v>
      </c>
      <c r="BK957">
        <f t="shared" ca="1" si="403"/>
        <v>0</v>
      </c>
      <c r="BL957">
        <f ca="1">IF(ROW()&lt;($C$7+1),"",IFERROR((分析データ!E957-AVERAGE(OFFSET(分析データ!E$1,MAX(1,ROW()-$C$7),0,MIN($C$7,ROW()-1),1)))/STDEV(OFFSET(分析データ!E$1,MAX(1,ROW()-$C$7),0,MIN($C$7,ROW()-1),1)),0))</f>
        <v>0</v>
      </c>
      <c r="BM957">
        <f t="shared" ca="1" si="404"/>
        <v>0</v>
      </c>
      <c r="BN957" t="str">
        <f ca="1">IF(BM957=1,IF(INDEX(分析データ!$A:$A,ROW()+$C$5)&lt;&gt;"",40000*SIGN(BL957)*(分析データ!E957-INDEX(分析データ!E:E,ROW()+$C$5)),""),"")</f>
        <v/>
      </c>
      <c r="BO957">
        <f t="shared" ca="1" si="405"/>
        <v>2720000.0000000014</v>
      </c>
      <c r="BP957">
        <f t="shared" ca="1" si="406"/>
        <v>4280000.0000000028</v>
      </c>
      <c r="BQ957">
        <f t="shared" ca="1" si="407"/>
        <v>-1560000.0000000014</v>
      </c>
      <c r="BR957">
        <f ca="1">IF(ROW()&lt;($C$7+1),"",IFERROR((分析データ!F957-AVERAGE(OFFSET(分析データ!F$1,MAX(1,ROW()-$C$7),0,MIN($C$7,ROW()-1),1)))/STDEV(OFFSET(分析データ!F$1,MAX(1,ROW()-$C$7),0,MIN($C$7,ROW()-1),1)),0))</f>
        <v>0</v>
      </c>
      <c r="BS957">
        <f t="shared" ca="1" si="408"/>
        <v>0</v>
      </c>
      <c r="BT957" t="str">
        <f ca="1">IF(BS957=1,IF(INDEX(分析データ!$A:$A,ROW()+$C$5)&lt;&gt;"",40000*SIGN(BR957)*(分析データ!F957-INDEX(分析データ!F:F,ROW()+$C$5)),""),"")</f>
        <v/>
      </c>
      <c r="BU957">
        <f t="shared" ca="1" si="409"/>
        <v>19816800</v>
      </c>
      <c r="BV957">
        <f t="shared" ca="1" si="410"/>
        <v>19816800</v>
      </c>
      <c r="BW957">
        <f t="shared" ca="1" si="411"/>
        <v>0</v>
      </c>
      <c r="BX957">
        <f ca="1">IF(ROW()&lt;($C$7+1),"",IFERROR((分析データ!G957-AVERAGE(OFFSET(分析データ!G$1,MAX(1,ROW()-$C$7),0,MIN($C$7,ROW()-1),1)))/STDEV(OFFSET(分析データ!G$1,MAX(1,ROW()-$C$7),0,MIN($C$7,ROW()-1),1)),0))</f>
        <v>0</v>
      </c>
      <c r="BY957">
        <f t="shared" ca="1" si="412"/>
        <v>0</v>
      </c>
      <c r="BZ957" t="str">
        <f ca="1">IF(BY957=1,IF(INDEX(分析データ!$A:$A,ROW()+$C$5)&lt;&gt;"",40000*SIGN(BX957)*(分析データ!G957-INDEX(分析データ!G:G,ROW()+$C$5)),""),"")</f>
        <v/>
      </c>
      <c r="CA957">
        <f t="shared" ca="1" si="413"/>
        <v>-3515452.8662109179</v>
      </c>
      <c r="CB957">
        <f t="shared" ca="1" si="414"/>
        <v>11327520.000000004</v>
      </c>
      <c r="CC957">
        <f t="shared" ca="1" si="415"/>
        <v>-14842972.866210923</v>
      </c>
      <c r="CD957">
        <f t="shared" ca="1" si="416"/>
        <v>0</v>
      </c>
      <c r="CE957">
        <f t="shared" ca="1" si="417"/>
        <v>23090347.13378913</v>
      </c>
      <c r="CF957">
        <f t="shared" ca="1" si="418"/>
        <v>23090347.13378913</v>
      </c>
      <c r="CG957">
        <f t="shared" ca="1" si="419"/>
        <v>0</v>
      </c>
      <c r="CH957" s="10" t="str">
        <f>分析データ!A957</f>
        <v/>
      </c>
    </row>
    <row r="958" spans="46:86">
      <c r="AT958">
        <f ca="1">IF(ROW()&lt;($C$7+1),"",IFERROR((分析データ!B958-AVERAGE(OFFSET(分析データ!B$1,MAX(1,ROW()-$C$7),0,MIN($C$7,ROW()-1),1)))/STDEV(OFFSET(分析データ!B$1,MAX(1,ROW()-$C$7),0,MIN($C$7,ROW()-1),1)),0))</f>
        <v>0</v>
      </c>
      <c r="AU958">
        <f t="shared" ca="1" si="392"/>
        <v>0</v>
      </c>
      <c r="AV958" t="str">
        <f ca="1">IF(AU958=1,IF(INDEX(分析データ!$A:$A,ROW()+$C$5)&lt;&gt;"",80000*SIGN(AT958)*(分析データ!B958-INDEX(分析データ!B:B,ROW()+$C$5)),""),"")</f>
        <v/>
      </c>
      <c r="AW958">
        <f t="shared" ca="1" si="393"/>
        <v>-1240000.0000000019</v>
      </c>
      <c r="AX958">
        <f t="shared" ca="1" si="394"/>
        <v>0</v>
      </c>
      <c r="AY958">
        <f t="shared" ca="1" si="395"/>
        <v>-1240000.0000000019</v>
      </c>
      <c r="AZ958">
        <f ca="1">IF(ROW()&lt;($C$7+1),"",IFERROR((分析データ!C958-AVERAGE(OFFSET(分析データ!C$1,MAX(1,ROW()-$C$7),0,MIN($C$7,ROW()-1),1)))/STDEV(OFFSET(分析データ!C$1,MAX(1,ROW()-$C$7),0,MIN($C$7,ROW()-1),1)),0))</f>
        <v>0</v>
      </c>
      <c r="BA958">
        <f t="shared" ca="1" si="396"/>
        <v>0</v>
      </c>
      <c r="BB958" t="str">
        <f ca="1">IF(BA958=1,IF(INDEX(分析データ!$A:$A,ROW()+$C$5)&lt;&gt;"",60000*SIGN(AZ958)*(分析データ!C958-INDEX(分析データ!C:C,ROW()+$C$5)),""),"")</f>
        <v/>
      </c>
      <c r="BC958">
        <f t="shared" ca="1" si="397"/>
        <v>-260999.9999999851</v>
      </c>
      <c r="BD958">
        <f t="shared" ca="1" si="398"/>
        <v>3156000.0000000107</v>
      </c>
      <c r="BE958">
        <f t="shared" ca="1" si="399"/>
        <v>-3416999.9999999958</v>
      </c>
      <c r="BF958">
        <f ca="1">IF(ROW()&lt;($C$7+1),"",IFERROR((分析データ!D958-AVERAGE(OFFSET(分析データ!D$1,MAX(1,ROW()-$C$7),0,MIN($C$7,ROW()-1),1)))/STDEV(OFFSET(分析データ!D$1,MAX(1,ROW()-$C$7),0,MIN($C$7,ROW()-1),1)),0))</f>
        <v>0</v>
      </c>
      <c r="BG958">
        <f t="shared" ca="1" si="400"/>
        <v>0</v>
      </c>
      <c r="BH958" t="str">
        <f ca="1">IF(BG958=1,IF(INDEX(分析データ!$A:$A,ROW()+$C$5)&lt;&gt;"",50000*SIGN(BF958)*(分析データ!D958-INDEX(分析データ!D:D,ROW()+$C$5)),""),"")</f>
        <v/>
      </c>
      <c r="BI958">
        <f t="shared" ca="1" si="401"/>
        <v>5570000.0000000205</v>
      </c>
      <c r="BJ958">
        <f t="shared" ca="1" si="402"/>
        <v>5570000.0000000205</v>
      </c>
      <c r="BK958">
        <f t="shared" ca="1" si="403"/>
        <v>0</v>
      </c>
      <c r="BL958">
        <f ca="1">IF(ROW()&lt;($C$7+1),"",IFERROR((分析データ!E958-AVERAGE(OFFSET(分析データ!E$1,MAX(1,ROW()-$C$7),0,MIN($C$7,ROW()-1),1)))/STDEV(OFFSET(分析データ!E$1,MAX(1,ROW()-$C$7),0,MIN($C$7,ROW()-1),1)),0))</f>
        <v>0</v>
      </c>
      <c r="BM958">
        <f t="shared" ca="1" si="404"/>
        <v>0</v>
      </c>
      <c r="BN958" t="str">
        <f ca="1">IF(BM958=1,IF(INDEX(分析データ!$A:$A,ROW()+$C$5)&lt;&gt;"",40000*SIGN(BL958)*(分析データ!E958-INDEX(分析データ!E:E,ROW()+$C$5)),""),"")</f>
        <v/>
      </c>
      <c r="BO958">
        <f t="shared" ca="1" si="405"/>
        <v>2720000.0000000014</v>
      </c>
      <c r="BP958">
        <f t="shared" ca="1" si="406"/>
        <v>4280000.0000000028</v>
      </c>
      <c r="BQ958">
        <f t="shared" ca="1" si="407"/>
        <v>-1560000.0000000014</v>
      </c>
      <c r="BR958">
        <f ca="1">IF(ROW()&lt;($C$7+1),"",IFERROR((分析データ!F958-AVERAGE(OFFSET(分析データ!F$1,MAX(1,ROW()-$C$7),0,MIN($C$7,ROW()-1),1)))/STDEV(OFFSET(分析データ!F$1,MAX(1,ROW()-$C$7),0,MIN($C$7,ROW()-1),1)),0))</f>
        <v>0</v>
      </c>
      <c r="BS958">
        <f t="shared" ca="1" si="408"/>
        <v>0</v>
      </c>
      <c r="BT958" t="str">
        <f ca="1">IF(BS958=1,IF(INDEX(分析データ!$A:$A,ROW()+$C$5)&lt;&gt;"",40000*SIGN(BR958)*(分析データ!F958-INDEX(分析データ!F:F,ROW()+$C$5)),""),"")</f>
        <v/>
      </c>
      <c r="BU958">
        <f t="shared" ca="1" si="409"/>
        <v>19816800</v>
      </c>
      <c r="BV958">
        <f t="shared" ca="1" si="410"/>
        <v>19816800</v>
      </c>
      <c r="BW958">
        <f t="shared" ca="1" si="411"/>
        <v>0</v>
      </c>
      <c r="BX958">
        <f ca="1">IF(ROW()&lt;($C$7+1),"",IFERROR((分析データ!G958-AVERAGE(OFFSET(分析データ!G$1,MAX(1,ROW()-$C$7),0,MIN($C$7,ROW()-1),1)))/STDEV(OFFSET(分析データ!G$1,MAX(1,ROW()-$C$7),0,MIN($C$7,ROW()-1),1)),0))</f>
        <v>0</v>
      </c>
      <c r="BY958">
        <f t="shared" ca="1" si="412"/>
        <v>0</v>
      </c>
      <c r="BZ958" t="str">
        <f ca="1">IF(BY958=1,IF(INDEX(分析データ!$A:$A,ROW()+$C$5)&lt;&gt;"",40000*SIGN(BX958)*(分析データ!G958-INDEX(分析データ!G:G,ROW()+$C$5)),""),"")</f>
        <v/>
      </c>
      <c r="CA958">
        <f t="shared" ca="1" si="413"/>
        <v>-3515452.8662109179</v>
      </c>
      <c r="CB958">
        <f t="shared" ca="1" si="414"/>
        <v>11327520.000000004</v>
      </c>
      <c r="CC958">
        <f t="shared" ca="1" si="415"/>
        <v>-14842972.866210923</v>
      </c>
      <c r="CD958">
        <f t="shared" ca="1" si="416"/>
        <v>0</v>
      </c>
      <c r="CE958">
        <f t="shared" ca="1" si="417"/>
        <v>23090347.13378913</v>
      </c>
      <c r="CF958">
        <f t="shared" ca="1" si="418"/>
        <v>23090347.13378913</v>
      </c>
      <c r="CG958">
        <f t="shared" ca="1" si="419"/>
        <v>0</v>
      </c>
      <c r="CH958" s="10" t="str">
        <f>分析データ!A958</f>
        <v/>
      </c>
    </row>
    <row r="959" spans="46:86">
      <c r="AT959">
        <f ca="1">IF(ROW()&lt;($C$7+1),"",IFERROR((分析データ!B959-AVERAGE(OFFSET(分析データ!B$1,MAX(1,ROW()-$C$7),0,MIN($C$7,ROW()-1),1)))/STDEV(OFFSET(分析データ!B$1,MAX(1,ROW()-$C$7),0,MIN($C$7,ROW()-1),1)),0))</f>
        <v>0</v>
      </c>
      <c r="AU959">
        <f t="shared" ca="1" si="392"/>
        <v>0</v>
      </c>
      <c r="AV959" t="str">
        <f ca="1">IF(AU959=1,IF(INDEX(分析データ!$A:$A,ROW()+$C$5)&lt;&gt;"",80000*SIGN(AT959)*(分析データ!B959-INDEX(分析データ!B:B,ROW()+$C$5)),""),"")</f>
        <v/>
      </c>
      <c r="AW959">
        <f t="shared" ca="1" si="393"/>
        <v>-1240000.0000000019</v>
      </c>
      <c r="AX959">
        <f t="shared" ca="1" si="394"/>
        <v>0</v>
      </c>
      <c r="AY959">
        <f t="shared" ca="1" si="395"/>
        <v>-1240000.0000000019</v>
      </c>
      <c r="AZ959">
        <f ca="1">IF(ROW()&lt;($C$7+1),"",IFERROR((分析データ!C959-AVERAGE(OFFSET(分析データ!C$1,MAX(1,ROW()-$C$7),0,MIN($C$7,ROW()-1),1)))/STDEV(OFFSET(分析データ!C$1,MAX(1,ROW()-$C$7),0,MIN($C$7,ROW()-1),1)),0))</f>
        <v>0</v>
      </c>
      <c r="BA959">
        <f t="shared" ca="1" si="396"/>
        <v>0</v>
      </c>
      <c r="BB959" t="str">
        <f ca="1">IF(BA959=1,IF(INDEX(分析データ!$A:$A,ROW()+$C$5)&lt;&gt;"",60000*SIGN(AZ959)*(分析データ!C959-INDEX(分析データ!C:C,ROW()+$C$5)),""),"")</f>
        <v/>
      </c>
      <c r="BC959">
        <f t="shared" ca="1" si="397"/>
        <v>-260999.9999999851</v>
      </c>
      <c r="BD959">
        <f t="shared" ca="1" si="398"/>
        <v>3156000.0000000107</v>
      </c>
      <c r="BE959">
        <f t="shared" ca="1" si="399"/>
        <v>-3416999.9999999958</v>
      </c>
      <c r="BF959">
        <f ca="1">IF(ROW()&lt;($C$7+1),"",IFERROR((分析データ!D959-AVERAGE(OFFSET(分析データ!D$1,MAX(1,ROW()-$C$7),0,MIN($C$7,ROW()-1),1)))/STDEV(OFFSET(分析データ!D$1,MAX(1,ROW()-$C$7),0,MIN($C$7,ROW()-1),1)),0))</f>
        <v>0</v>
      </c>
      <c r="BG959">
        <f t="shared" ca="1" si="400"/>
        <v>0</v>
      </c>
      <c r="BH959" t="str">
        <f ca="1">IF(BG959=1,IF(INDEX(分析データ!$A:$A,ROW()+$C$5)&lt;&gt;"",50000*SIGN(BF959)*(分析データ!D959-INDEX(分析データ!D:D,ROW()+$C$5)),""),"")</f>
        <v/>
      </c>
      <c r="BI959">
        <f t="shared" ca="1" si="401"/>
        <v>5570000.0000000205</v>
      </c>
      <c r="BJ959">
        <f t="shared" ca="1" si="402"/>
        <v>5570000.0000000205</v>
      </c>
      <c r="BK959">
        <f t="shared" ca="1" si="403"/>
        <v>0</v>
      </c>
      <c r="BL959">
        <f ca="1">IF(ROW()&lt;($C$7+1),"",IFERROR((分析データ!E959-AVERAGE(OFFSET(分析データ!E$1,MAX(1,ROW()-$C$7),0,MIN($C$7,ROW()-1),1)))/STDEV(OFFSET(分析データ!E$1,MAX(1,ROW()-$C$7),0,MIN($C$7,ROW()-1),1)),0))</f>
        <v>0</v>
      </c>
      <c r="BM959">
        <f t="shared" ca="1" si="404"/>
        <v>0</v>
      </c>
      <c r="BN959" t="str">
        <f ca="1">IF(BM959=1,IF(INDEX(分析データ!$A:$A,ROW()+$C$5)&lt;&gt;"",40000*SIGN(BL959)*(分析データ!E959-INDEX(分析データ!E:E,ROW()+$C$5)),""),"")</f>
        <v/>
      </c>
      <c r="BO959">
        <f t="shared" ca="1" si="405"/>
        <v>2720000.0000000014</v>
      </c>
      <c r="BP959">
        <f t="shared" ca="1" si="406"/>
        <v>4280000.0000000028</v>
      </c>
      <c r="BQ959">
        <f t="shared" ca="1" si="407"/>
        <v>-1560000.0000000014</v>
      </c>
      <c r="BR959">
        <f ca="1">IF(ROW()&lt;($C$7+1),"",IFERROR((分析データ!F959-AVERAGE(OFFSET(分析データ!F$1,MAX(1,ROW()-$C$7),0,MIN($C$7,ROW()-1),1)))/STDEV(OFFSET(分析データ!F$1,MAX(1,ROW()-$C$7),0,MIN($C$7,ROW()-1),1)),0))</f>
        <v>0</v>
      </c>
      <c r="BS959">
        <f t="shared" ca="1" si="408"/>
        <v>0</v>
      </c>
      <c r="BT959" t="str">
        <f ca="1">IF(BS959=1,IF(INDEX(分析データ!$A:$A,ROW()+$C$5)&lt;&gt;"",40000*SIGN(BR959)*(分析データ!F959-INDEX(分析データ!F:F,ROW()+$C$5)),""),"")</f>
        <v/>
      </c>
      <c r="BU959">
        <f t="shared" ca="1" si="409"/>
        <v>19816800</v>
      </c>
      <c r="BV959">
        <f t="shared" ca="1" si="410"/>
        <v>19816800</v>
      </c>
      <c r="BW959">
        <f t="shared" ca="1" si="411"/>
        <v>0</v>
      </c>
      <c r="BX959">
        <f ca="1">IF(ROW()&lt;($C$7+1),"",IFERROR((分析データ!G959-AVERAGE(OFFSET(分析データ!G$1,MAX(1,ROW()-$C$7),0,MIN($C$7,ROW()-1),1)))/STDEV(OFFSET(分析データ!G$1,MAX(1,ROW()-$C$7),0,MIN($C$7,ROW()-1),1)),0))</f>
        <v>0</v>
      </c>
      <c r="BY959">
        <f t="shared" ca="1" si="412"/>
        <v>0</v>
      </c>
      <c r="BZ959" t="str">
        <f ca="1">IF(BY959=1,IF(INDEX(分析データ!$A:$A,ROW()+$C$5)&lt;&gt;"",40000*SIGN(BX959)*(分析データ!G959-INDEX(分析データ!G:G,ROW()+$C$5)),""),"")</f>
        <v/>
      </c>
      <c r="CA959">
        <f t="shared" ca="1" si="413"/>
        <v>-3515452.8662109179</v>
      </c>
      <c r="CB959">
        <f t="shared" ca="1" si="414"/>
        <v>11327520.000000004</v>
      </c>
      <c r="CC959">
        <f t="shared" ca="1" si="415"/>
        <v>-14842972.866210923</v>
      </c>
      <c r="CD959">
        <f t="shared" ca="1" si="416"/>
        <v>0</v>
      </c>
      <c r="CE959">
        <f t="shared" ca="1" si="417"/>
        <v>23090347.13378913</v>
      </c>
      <c r="CF959">
        <f t="shared" ca="1" si="418"/>
        <v>23090347.13378913</v>
      </c>
      <c r="CG959">
        <f t="shared" ca="1" si="419"/>
        <v>0</v>
      </c>
      <c r="CH959" s="10" t="str">
        <f>分析データ!A959</f>
        <v/>
      </c>
    </row>
    <row r="960" spans="46:86">
      <c r="AT960">
        <f ca="1">IF(ROW()&lt;($C$7+1),"",IFERROR((分析データ!B960-AVERAGE(OFFSET(分析データ!B$1,MAX(1,ROW()-$C$7),0,MIN($C$7,ROW()-1),1)))/STDEV(OFFSET(分析データ!B$1,MAX(1,ROW()-$C$7),0,MIN($C$7,ROW()-1),1)),0))</f>
        <v>0</v>
      </c>
      <c r="AU960">
        <f t="shared" ca="1" si="392"/>
        <v>0</v>
      </c>
      <c r="AV960" t="str">
        <f ca="1">IF(AU960=1,IF(INDEX(分析データ!$A:$A,ROW()+$C$5)&lt;&gt;"",80000*SIGN(AT960)*(分析データ!B960-INDEX(分析データ!B:B,ROW()+$C$5)),""),"")</f>
        <v/>
      </c>
      <c r="AW960">
        <f t="shared" ca="1" si="393"/>
        <v>-1240000.0000000019</v>
      </c>
      <c r="AX960">
        <f t="shared" ca="1" si="394"/>
        <v>0</v>
      </c>
      <c r="AY960">
        <f t="shared" ca="1" si="395"/>
        <v>-1240000.0000000019</v>
      </c>
      <c r="AZ960">
        <f ca="1">IF(ROW()&lt;($C$7+1),"",IFERROR((分析データ!C960-AVERAGE(OFFSET(分析データ!C$1,MAX(1,ROW()-$C$7),0,MIN($C$7,ROW()-1),1)))/STDEV(OFFSET(分析データ!C$1,MAX(1,ROW()-$C$7),0,MIN($C$7,ROW()-1),1)),0))</f>
        <v>0</v>
      </c>
      <c r="BA960">
        <f t="shared" ca="1" si="396"/>
        <v>0</v>
      </c>
      <c r="BB960" t="str">
        <f ca="1">IF(BA960=1,IF(INDEX(分析データ!$A:$A,ROW()+$C$5)&lt;&gt;"",60000*SIGN(AZ960)*(分析データ!C960-INDEX(分析データ!C:C,ROW()+$C$5)),""),"")</f>
        <v/>
      </c>
      <c r="BC960">
        <f t="shared" ca="1" si="397"/>
        <v>-260999.9999999851</v>
      </c>
      <c r="BD960">
        <f t="shared" ca="1" si="398"/>
        <v>3156000.0000000107</v>
      </c>
      <c r="BE960">
        <f t="shared" ca="1" si="399"/>
        <v>-3416999.9999999958</v>
      </c>
      <c r="BF960">
        <f ca="1">IF(ROW()&lt;($C$7+1),"",IFERROR((分析データ!D960-AVERAGE(OFFSET(分析データ!D$1,MAX(1,ROW()-$C$7),0,MIN($C$7,ROW()-1),1)))/STDEV(OFFSET(分析データ!D$1,MAX(1,ROW()-$C$7),0,MIN($C$7,ROW()-1),1)),0))</f>
        <v>0</v>
      </c>
      <c r="BG960">
        <f t="shared" ca="1" si="400"/>
        <v>0</v>
      </c>
      <c r="BH960" t="str">
        <f ca="1">IF(BG960=1,IF(INDEX(分析データ!$A:$A,ROW()+$C$5)&lt;&gt;"",50000*SIGN(BF960)*(分析データ!D960-INDEX(分析データ!D:D,ROW()+$C$5)),""),"")</f>
        <v/>
      </c>
      <c r="BI960">
        <f t="shared" ca="1" si="401"/>
        <v>5570000.0000000205</v>
      </c>
      <c r="BJ960">
        <f t="shared" ca="1" si="402"/>
        <v>5570000.0000000205</v>
      </c>
      <c r="BK960">
        <f t="shared" ca="1" si="403"/>
        <v>0</v>
      </c>
      <c r="BL960">
        <f ca="1">IF(ROW()&lt;($C$7+1),"",IFERROR((分析データ!E960-AVERAGE(OFFSET(分析データ!E$1,MAX(1,ROW()-$C$7),0,MIN($C$7,ROW()-1),1)))/STDEV(OFFSET(分析データ!E$1,MAX(1,ROW()-$C$7),0,MIN($C$7,ROW()-1),1)),0))</f>
        <v>0</v>
      </c>
      <c r="BM960">
        <f t="shared" ca="1" si="404"/>
        <v>0</v>
      </c>
      <c r="BN960" t="str">
        <f ca="1">IF(BM960=1,IF(INDEX(分析データ!$A:$A,ROW()+$C$5)&lt;&gt;"",40000*SIGN(BL960)*(分析データ!E960-INDEX(分析データ!E:E,ROW()+$C$5)),""),"")</f>
        <v/>
      </c>
      <c r="BO960">
        <f t="shared" ca="1" si="405"/>
        <v>2720000.0000000014</v>
      </c>
      <c r="BP960">
        <f t="shared" ca="1" si="406"/>
        <v>4280000.0000000028</v>
      </c>
      <c r="BQ960">
        <f t="shared" ca="1" si="407"/>
        <v>-1560000.0000000014</v>
      </c>
      <c r="BR960">
        <f ca="1">IF(ROW()&lt;($C$7+1),"",IFERROR((分析データ!F960-AVERAGE(OFFSET(分析データ!F$1,MAX(1,ROW()-$C$7),0,MIN($C$7,ROW()-1),1)))/STDEV(OFFSET(分析データ!F$1,MAX(1,ROW()-$C$7),0,MIN($C$7,ROW()-1),1)),0))</f>
        <v>0</v>
      </c>
      <c r="BS960">
        <f t="shared" ca="1" si="408"/>
        <v>0</v>
      </c>
      <c r="BT960" t="str">
        <f ca="1">IF(BS960=1,IF(INDEX(分析データ!$A:$A,ROW()+$C$5)&lt;&gt;"",40000*SIGN(BR960)*(分析データ!F960-INDEX(分析データ!F:F,ROW()+$C$5)),""),"")</f>
        <v/>
      </c>
      <c r="BU960">
        <f t="shared" ca="1" si="409"/>
        <v>19816800</v>
      </c>
      <c r="BV960">
        <f t="shared" ca="1" si="410"/>
        <v>19816800</v>
      </c>
      <c r="BW960">
        <f t="shared" ca="1" si="411"/>
        <v>0</v>
      </c>
      <c r="BX960">
        <f ca="1">IF(ROW()&lt;($C$7+1),"",IFERROR((分析データ!G960-AVERAGE(OFFSET(分析データ!G$1,MAX(1,ROW()-$C$7),0,MIN($C$7,ROW()-1),1)))/STDEV(OFFSET(分析データ!G$1,MAX(1,ROW()-$C$7),0,MIN($C$7,ROW()-1),1)),0))</f>
        <v>0</v>
      </c>
      <c r="BY960">
        <f t="shared" ca="1" si="412"/>
        <v>0</v>
      </c>
      <c r="BZ960" t="str">
        <f ca="1">IF(BY960=1,IF(INDEX(分析データ!$A:$A,ROW()+$C$5)&lt;&gt;"",40000*SIGN(BX960)*(分析データ!G960-INDEX(分析データ!G:G,ROW()+$C$5)),""),"")</f>
        <v/>
      </c>
      <c r="CA960">
        <f t="shared" ca="1" si="413"/>
        <v>-3515452.8662109179</v>
      </c>
      <c r="CB960">
        <f t="shared" ca="1" si="414"/>
        <v>11327520.000000004</v>
      </c>
      <c r="CC960">
        <f t="shared" ca="1" si="415"/>
        <v>-14842972.866210923</v>
      </c>
      <c r="CD960">
        <f t="shared" ca="1" si="416"/>
        <v>0</v>
      </c>
      <c r="CE960">
        <f t="shared" ca="1" si="417"/>
        <v>23090347.13378913</v>
      </c>
      <c r="CF960">
        <f t="shared" ca="1" si="418"/>
        <v>23090347.13378913</v>
      </c>
      <c r="CG960">
        <f t="shared" ca="1" si="419"/>
        <v>0</v>
      </c>
      <c r="CH960" s="10" t="str">
        <f>分析データ!A960</f>
        <v/>
      </c>
    </row>
    <row r="961" spans="46:86">
      <c r="AT961">
        <f ca="1">IF(ROW()&lt;($C$7+1),"",IFERROR((分析データ!B961-AVERAGE(OFFSET(分析データ!B$1,MAX(1,ROW()-$C$7),0,MIN($C$7,ROW()-1),1)))/STDEV(OFFSET(分析データ!B$1,MAX(1,ROW()-$C$7),0,MIN($C$7,ROW()-1),1)),0))</f>
        <v>0</v>
      </c>
      <c r="AU961">
        <f t="shared" ca="1" si="392"/>
        <v>0</v>
      </c>
      <c r="AV961" t="str">
        <f ca="1">IF(AU961=1,IF(INDEX(分析データ!$A:$A,ROW()+$C$5)&lt;&gt;"",80000*SIGN(AT961)*(分析データ!B961-INDEX(分析データ!B:B,ROW()+$C$5)),""),"")</f>
        <v/>
      </c>
      <c r="AW961">
        <f t="shared" ca="1" si="393"/>
        <v>-1240000.0000000019</v>
      </c>
      <c r="AX961">
        <f t="shared" ca="1" si="394"/>
        <v>0</v>
      </c>
      <c r="AY961">
        <f t="shared" ca="1" si="395"/>
        <v>-1240000.0000000019</v>
      </c>
      <c r="AZ961">
        <f ca="1">IF(ROW()&lt;($C$7+1),"",IFERROR((分析データ!C961-AVERAGE(OFFSET(分析データ!C$1,MAX(1,ROW()-$C$7),0,MIN($C$7,ROW()-1),1)))/STDEV(OFFSET(分析データ!C$1,MAX(1,ROW()-$C$7),0,MIN($C$7,ROW()-1),1)),0))</f>
        <v>0</v>
      </c>
      <c r="BA961">
        <f t="shared" ca="1" si="396"/>
        <v>0</v>
      </c>
      <c r="BB961" t="str">
        <f ca="1">IF(BA961=1,IF(INDEX(分析データ!$A:$A,ROW()+$C$5)&lt;&gt;"",60000*SIGN(AZ961)*(分析データ!C961-INDEX(分析データ!C:C,ROW()+$C$5)),""),"")</f>
        <v/>
      </c>
      <c r="BC961">
        <f t="shared" ca="1" si="397"/>
        <v>-260999.9999999851</v>
      </c>
      <c r="BD961">
        <f t="shared" ca="1" si="398"/>
        <v>3156000.0000000107</v>
      </c>
      <c r="BE961">
        <f t="shared" ca="1" si="399"/>
        <v>-3416999.9999999958</v>
      </c>
      <c r="BF961">
        <f ca="1">IF(ROW()&lt;($C$7+1),"",IFERROR((分析データ!D961-AVERAGE(OFFSET(分析データ!D$1,MAX(1,ROW()-$C$7),0,MIN($C$7,ROW()-1),1)))/STDEV(OFFSET(分析データ!D$1,MAX(1,ROW()-$C$7),0,MIN($C$7,ROW()-1),1)),0))</f>
        <v>0</v>
      </c>
      <c r="BG961">
        <f t="shared" ca="1" si="400"/>
        <v>0</v>
      </c>
      <c r="BH961" t="str">
        <f ca="1">IF(BG961=1,IF(INDEX(分析データ!$A:$A,ROW()+$C$5)&lt;&gt;"",50000*SIGN(BF961)*(分析データ!D961-INDEX(分析データ!D:D,ROW()+$C$5)),""),"")</f>
        <v/>
      </c>
      <c r="BI961">
        <f t="shared" ca="1" si="401"/>
        <v>5570000.0000000205</v>
      </c>
      <c r="BJ961">
        <f t="shared" ca="1" si="402"/>
        <v>5570000.0000000205</v>
      </c>
      <c r="BK961">
        <f t="shared" ca="1" si="403"/>
        <v>0</v>
      </c>
      <c r="BL961">
        <f ca="1">IF(ROW()&lt;($C$7+1),"",IFERROR((分析データ!E961-AVERAGE(OFFSET(分析データ!E$1,MAX(1,ROW()-$C$7),0,MIN($C$7,ROW()-1),1)))/STDEV(OFFSET(分析データ!E$1,MAX(1,ROW()-$C$7),0,MIN($C$7,ROW()-1),1)),0))</f>
        <v>0</v>
      </c>
      <c r="BM961">
        <f t="shared" ca="1" si="404"/>
        <v>0</v>
      </c>
      <c r="BN961" t="str">
        <f ca="1">IF(BM961=1,IF(INDEX(分析データ!$A:$A,ROW()+$C$5)&lt;&gt;"",40000*SIGN(BL961)*(分析データ!E961-INDEX(分析データ!E:E,ROW()+$C$5)),""),"")</f>
        <v/>
      </c>
      <c r="BO961">
        <f t="shared" ca="1" si="405"/>
        <v>2720000.0000000014</v>
      </c>
      <c r="BP961">
        <f t="shared" ca="1" si="406"/>
        <v>4280000.0000000028</v>
      </c>
      <c r="BQ961">
        <f t="shared" ca="1" si="407"/>
        <v>-1560000.0000000014</v>
      </c>
      <c r="BR961">
        <f ca="1">IF(ROW()&lt;($C$7+1),"",IFERROR((分析データ!F961-AVERAGE(OFFSET(分析データ!F$1,MAX(1,ROW()-$C$7),0,MIN($C$7,ROW()-1),1)))/STDEV(OFFSET(分析データ!F$1,MAX(1,ROW()-$C$7),0,MIN($C$7,ROW()-1),1)),0))</f>
        <v>0</v>
      </c>
      <c r="BS961">
        <f t="shared" ca="1" si="408"/>
        <v>0</v>
      </c>
      <c r="BT961" t="str">
        <f ca="1">IF(BS961=1,IF(INDEX(分析データ!$A:$A,ROW()+$C$5)&lt;&gt;"",40000*SIGN(BR961)*(分析データ!F961-INDEX(分析データ!F:F,ROW()+$C$5)),""),"")</f>
        <v/>
      </c>
      <c r="BU961">
        <f t="shared" ca="1" si="409"/>
        <v>19816800</v>
      </c>
      <c r="BV961">
        <f t="shared" ca="1" si="410"/>
        <v>19816800</v>
      </c>
      <c r="BW961">
        <f t="shared" ca="1" si="411"/>
        <v>0</v>
      </c>
      <c r="BX961">
        <f ca="1">IF(ROW()&lt;($C$7+1),"",IFERROR((分析データ!G961-AVERAGE(OFFSET(分析データ!G$1,MAX(1,ROW()-$C$7),0,MIN($C$7,ROW()-1),1)))/STDEV(OFFSET(分析データ!G$1,MAX(1,ROW()-$C$7),0,MIN($C$7,ROW()-1),1)),0))</f>
        <v>0</v>
      </c>
      <c r="BY961">
        <f t="shared" ca="1" si="412"/>
        <v>0</v>
      </c>
      <c r="BZ961" t="str">
        <f ca="1">IF(BY961=1,IF(INDEX(分析データ!$A:$A,ROW()+$C$5)&lt;&gt;"",40000*SIGN(BX961)*(分析データ!G961-INDEX(分析データ!G:G,ROW()+$C$5)),""),"")</f>
        <v/>
      </c>
      <c r="CA961">
        <f t="shared" ca="1" si="413"/>
        <v>-3515452.8662109179</v>
      </c>
      <c r="CB961">
        <f t="shared" ca="1" si="414"/>
        <v>11327520.000000004</v>
      </c>
      <c r="CC961">
        <f t="shared" ca="1" si="415"/>
        <v>-14842972.866210923</v>
      </c>
      <c r="CD961">
        <f t="shared" ca="1" si="416"/>
        <v>0</v>
      </c>
      <c r="CE961">
        <f t="shared" ca="1" si="417"/>
        <v>23090347.13378913</v>
      </c>
      <c r="CF961">
        <f t="shared" ca="1" si="418"/>
        <v>23090347.13378913</v>
      </c>
      <c r="CG961">
        <f t="shared" ca="1" si="419"/>
        <v>0</v>
      </c>
      <c r="CH961" s="10" t="str">
        <f>分析データ!A961</f>
        <v/>
      </c>
    </row>
    <row r="962" spans="46:86">
      <c r="AT962">
        <f ca="1">IF(ROW()&lt;($C$7+1),"",IFERROR((分析データ!B962-AVERAGE(OFFSET(分析データ!B$1,MAX(1,ROW()-$C$7),0,MIN($C$7,ROW()-1),1)))/STDEV(OFFSET(分析データ!B$1,MAX(1,ROW()-$C$7),0,MIN($C$7,ROW()-1),1)),0))</f>
        <v>0</v>
      </c>
      <c r="AU962">
        <f t="shared" ref="AU962:AU1025" ca="1" si="420">IF(ISNUMBER(AT962),IF(ABS(AT962)&gt;=$C$6,1,0),0)</f>
        <v>0</v>
      </c>
      <c r="AV962" t="str">
        <f ca="1">IF(AU962=1,IF(INDEX(分析データ!$A:$A,ROW()+$C$5)&lt;&gt;"",80000*SIGN(AT962)*(分析データ!B962-INDEX(分析データ!B:B,ROW()+$C$5)),""),"")</f>
        <v/>
      </c>
      <c r="AW962">
        <f t="shared" ref="AW962:AW1025" ca="1" si="421">AW961+IF(AND(AU962=1,ISNUMBER(AV962)),AV962,0)</f>
        <v>-1240000.0000000019</v>
      </c>
      <c r="AX962">
        <f t="shared" ref="AX962:AX1025" ca="1" si="422">MAX(AX961,AW962)</f>
        <v>0</v>
      </c>
      <c r="AY962">
        <f t="shared" ref="AY962:AY1025" ca="1" si="423">AW962-AX962</f>
        <v>-1240000.0000000019</v>
      </c>
      <c r="AZ962">
        <f ca="1">IF(ROW()&lt;($C$7+1),"",IFERROR((分析データ!C962-AVERAGE(OFFSET(分析データ!C$1,MAX(1,ROW()-$C$7),0,MIN($C$7,ROW()-1),1)))/STDEV(OFFSET(分析データ!C$1,MAX(1,ROW()-$C$7),0,MIN($C$7,ROW()-1),1)),0))</f>
        <v>0</v>
      </c>
      <c r="BA962">
        <f t="shared" ref="BA962:BA1025" ca="1" si="424">IF(ISNUMBER(AZ962),IF(ABS(AZ962)&gt;=$C$6,1,0),0)</f>
        <v>0</v>
      </c>
      <c r="BB962" t="str">
        <f ca="1">IF(BA962=1,IF(INDEX(分析データ!$A:$A,ROW()+$C$5)&lt;&gt;"",60000*SIGN(AZ962)*(分析データ!C962-INDEX(分析データ!C:C,ROW()+$C$5)),""),"")</f>
        <v/>
      </c>
      <c r="BC962">
        <f t="shared" ref="BC962:BC1025" ca="1" si="425">BC961+IF(AND(BA962=1,ISNUMBER(BB962)),BB962,0)</f>
        <v>-260999.9999999851</v>
      </c>
      <c r="BD962">
        <f t="shared" ref="BD962:BD1025" ca="1" si="426">MAX(BD961,BC962)</f>
        <v>3156000.0000000107</v>
      </c>
      <c r="BE962">
        <f t="shared" ref="BE962:BE1025" ca="1" si="427">BC962-BD962</f>
        <v>-3416999.9999999958</v>
      </c>
      <c r="BF962">
        <f ca="1">IF(ROW()&lt;($C$7+1),"",IFERROR((分析データ!D962-AVERAGE(OFFSET(分析データ!D$1,MAX(1,ROW()-$C$7),0,MIN($C$7,ROW()-1),1)))/STDEV(OFFSET(分析データ!D$1,MAX(1,ROW()-$C$7),0,MIN($C$7,ROW()-1),1)),0))</f>
        <v>0</v>
      </c>
      <c r="BG962">
        <f t="shared" ref="BG962:BG1025" ca="1" si="428">IF(ISNUMBER(BF962),IF(ABS(BF962)&gt;=$C$6,1,0),0)</f>
        <v>0</v>
      </c>
      <c r="BH962" t="str">
        <f ca="1">IF(BG962=1,IF(INDEX(分析データ!$A:$A,ROW()+$C$5)&lt;&gt;"",50000*SIGN(BF962)*(分析データ!D962-INDEX(分析データ!D:D,ROW()+$C$5)),""),"")</f>
        <v/>
      </c>
      <c r="BI962">
        <f t="shared" ref="BI962:BI1025" ca="1" si="429">BI961+IF(AND(BG962=1,ISNUMBER(BH962)),BH962,0)</f>
        <v>5570000.0000000205</v>
      </c>
      <c r="BJ962">
        <f t="shared" ref="BJ962:BJ1025" ca="1" si="430">MAX(BJ961,BI962)</f>
        <v>5570000.0000000205</v>
      </c>
      <c r="BK962">
        <f t="shared" ref="BK962:BK1025" ca="1" si="431">BI962-BJ962</f>
        <v>0</v>
      </c>
      <c r="BL962">
        <f ca="1">IF(ROW()&lt;($C$7+1),"",IFERROR((分析データ!E962-AVERAGE(OFFSET(分析データ!E$1,MAX(1,ROW()-$C$7),0,MIN($C$7,ROW()-1),1)))/STDEV(OFFSET(分析データ!E$1,MAX(1,ROW()-$C$7),0,MIN($C$7,ROW()-1),1)),0))</f>
        <v>0</v>
      </c>
      <c r="BM962">
        <f t="shared" ref="BM962:BM1025" ca="1" si="432">IF(ISNUMBER(BL962),IF(ABS(BL962)&gt;=$C$6,1,0),0)</f>
        <v>0</v>
      </c>
      <c r="BN962" t="str">
        <f ca="1">IF(BM962=1,IF(INDEX(分析データ!$A:$A,ROW()+$C$5)&lt;&gt;"",40000*SIGN(BL962)*(分析データ!E962-INDEX(分析データ!E:E,ROW()+$C$5)),""),"")</f>
        <v/>
      </c>
      <c r="BO962">
        <f t="shared" ref="BO962:BO1025" ca="1" si="433">BO961+IF(AND(BM962=1,ISNUMBER(BN962)),BN962,0)</f>
        <v>2720000.0000000014</v>
      </c>
      <c r="BP962">
        <f t="shared" ref="BP962:BP1025" ca="1" si="434">MAX(BP961,BO962)</f>
        <v>4280000.0000000028</v>
      </c>
      <c r="BQ962">
        <f t="shared" ref="BQ962:BQ1025" ca="1" si="435">BO962-BP962</f>
        <v>-1560000.0000000014</v>
      </c>
      <c r="BR962">
        <f ca="1">IF(ROW()&lt;($C$7+1),"",IFERROR((分析データ!F962-AVERAGE(OFFSET(分析データ!F$1,MAX(1,ROW()-$C$7),0,MIN($C$7,ROW()-1),1)))/STDEV(OFFSET(分析データ!F$1,MAX(1,ROW()-$C$7),0,MIN($C$7,ROW()-1),1)),0))</f>
        <v>0</v>
      </c>
      <c r="BS962">
        <f t="shared" ref="BS962:BS1025" ca="1" si="436">IF(ISNUMBER(BR962),IF(ABS(BR962)&gt;=$C$6,1,0),0)</f>
        <v>0</v>
      </c>
      <c r="BT962" t="str">
        <f ca="1">IF(BS962=1,IF(INDEX(分析データ!$A:$A,ROW()+$C$5)&lt;&gt;"",40000*SIGN(BR962)*(分析データ!F962-INDEX(分析データ!F:F,ROW()+$C$5)),""),"")</f>
        <v/>
      </c>
      <c r="BU962">
        <f t="shared" ref="BU962:BU1025" ca="1" si="437">BU961+IF(AND(BS962=1,ISNUMBER(BT962)),BT962,0)</f>
        <v>19816800</v>
      </c>
      <c r="BV962">
        <f t="shared" ref="BV962:BV1025" ca="1" si="438">MAX(BV961,BU962)</f>
        <v>19816800</v>
      </c>
      <c r="BW962">
        <f t="shared" ref="BW962:BW1025" ca="1" si="439">BU962-BV962</f>
        <v>0</v>
      </c>
      <c r="BX962">
        <f ca="1">IF(ROW()&lt;($C$7+1),"",IFERROR((分析データ!G962-AVERAGE(OFFSET(分析データ!G$1,MAX(1,ROW()-$C$7),0,MIN($C$7,ROW()-1),1)))/STDEV(OFFSET(分析データ!G$1,MAX(1,ROW()-$C$7),0,MIN($C$7,ROW()-1),1)),0))</f>
        <v>0</v>
      </c>
      <c r="BY962">
        <f t="shared" ref="BY962:BY1025" ca="1" si="440">IF(ISNUMBER(BX962),IF(ABS(BX962)&gt;=$C$6,1,0),0)</f>
        <v>0</v>
      </c>
      <c r="BZ962" t="str">
        <f ca="1">IF(BY962=1,IF(INDEX(分析データ!$A:$A,ROW()+$C$5)&lt;&gt;"",40000*SIGN(BX962)*(分析データ!G962-INDEX(分析データ!G:G,ROW()+$C$5)),""),"")</f>
        <v/>
      </c>
      <c r="CA962">
        <f t="shared" ref="CA962:CA1025" ca="1" si="441">CA961+IF(AND(BY962=1,ISNUMBER(BZ962)),BZ962,0)</f>
        <v>-3515452.8662109179</v>
      </c>
      <c r="CB962">
        <f t="shared" ref="CB962:CB1025" ca="1" si="442">MAX(CB961,CA962)</f>
        <v>11327520.000000004</v>
      </c>
      <c r="CC962">
        <f t="shared" ref="CC962:CC1025" ca="1" si="443">CA962-CB962</f>
        <v>-14842972.866210923</v>
      </c>
      <c r="CD962">
        <f t="shared" ref="CD962:CD1025" ca="1" si="444">N(AV962)+N(BB962)+N(BH962)+N(BN962)+N(BT962)+N(BZ962)</f>
        <v>0</v>
      </c>
      <c r="CE962">
        <f t="shared" ref="CE962:CE1025" ca="1" si="445">CE961+CD962</f>
        <v>23090347.13378913</v>
      </c>
      <c r="CF962">
        <f t="shared" ref="CF962:CF1025" ca="1" si="446">MAX(CF961,CE962)</f>
        <v>23090347.13378913</v>
      </c>
      <c r="CG962">
        <f t="shared" ref="CG962:CG1025" ca="1" si="447">CE962-CF962</f>
        <v>0</v>
      </c>
      <c r="CH962" s="10" t="str">
        <f>分析データ!A962</f>
        <v/>
      </c>
    </row>
    <row r="963" spans="46:86">
      <c r="AT963">
        <f ca="1">IF(ROW()&lt;($C$7+1),"",IFERROR((分析データ!B963-AVERAGE(OFFSET(分析データ!B$1,MAX(1,ROW()-$C$7),0,MIN($C$7,ROW()-1),1)))/STDEV(OFFSET(分析データ!B$1,MAX(1,ROW()-$C$7),0,MIN($C$7,ROW()-1),1)),0))</f>
        <v>0</v>
      </c>
      <c r="AU963">
        <f t="shared" ca="1" si="420"/>
        <v>0</v>
      </c>
      <c r="AV963" t="str">
        <f ca="1">IF(AU963=1,IF(INDEX(分析データ!$A:$A,ROW()+$C$5)&lt;&gt;"",80000*SIGN(AT963)*(分析データ!B963-INDEX(分析データ!B:B,ROW()+$C$5)),""),"")</f>
        <v/>
      </c>
      <c r="AW963">
        <f t="shared" ca="1" si="421"/>
        <v>-1240000.0000000019</v>
      </c>
      <c r="AX963">
        <f t="shared" ca="1" si="422"/>
        <v>0</v>
      </c>
      <c r="AY963">
        <f t="shared" ca="1" si="423"/>
        <v>-1240000.0000000019</v>
      </c>
      <c r="AZ963">
        <f ca="1">IF(ROW()&lt;($C$7+1),"",IFERROR((分析データ!C963-AVERAGE(OFFSET(分析データ!C$1,MAX(1,ROW()-$C$7),0,MIN($C$7,ROW()-1),1)))/STDEV(OFFSET(分析データ!C$1,MAX(1,ROW()-$C$7),0,MIN($C$7,ROW()-1),1)),0))</f>
        <v>0</v>
      </c>
      <c r="BA963">
        <f t="shared" ca="1" si="424"/>
        <v>0</v>
      </c>
      <c r="BB963" t="str">
        <f ca="1">IF(BA963=1,IF(INDEX(分析データ!$A:$A,ROW()+$C$5)&lt;&gt;"",60000*SIGN(AZ963)*(分析データ!C963-INDEX(分析データ!C:C,ROW()+$C$5)),""),"")</f>
        <v/>
      </c>
      <c r="BC963">
        <f t="shared" ca="1" si="425"/>
        <v>-260999.9999999851</v>
      </c>
      <c r="BD963">
        <f t="shared" ca="1" si="426"/>
        <v>3156000.0000000107</v>
      </c>
      <c r="BE963">
        <f t="shared" ca="1" si="427"/>
        <v>-3416999.9999999958</v>
      </c>
      <c r="BF963">
        <f ca="1">IF(ROW()&lt;($C$7+1),"",IFERROR((分析データ!D963-AVERAGE(OFFSET(分析データ!D$1,MAX(1,ROW()-$C$7),0,MIN($C$7,ROW()-1),1)))/STDEV(OFFSET(分析データ!D$1,MAX(1,ROW()-$C$7),0,MIN($C$7,ROW()-1),1)),0))</f>
        <v>0</v>
      </c>
      <c r="BG963">
        <f t="shared" ca="1" si="428"/>
        <v>0</v>
      </c>
      <c r="BH963" t="str">
        <f ca="1">IF(BG963=1,IF(INDEX(分析データ!$A:$A,ROW()+$C$5)&lt;&gt;"",50000*SIGN(BF963)*(分析データ!D963-INDEX(分析データ!D:D,ROW()+$C$5)),""),"")</f>
        <v/>
      </c>
      <c r="BI963">
        <f t="shared" ca="1" si="429"/>
        <v>5570000.0000000205</v>
      </c>
      <c r="BJ963">
        <f t="shared" ca="1" si="430"/>
        <v>5570000.0000000205</v>
      </c>
      <c r="BK963">
        <f t="shared" ca="1" si="431"/>
        <v>0</v>
      </c>
      <c r="BL963">
        <f ca="1">IF(ROW()&lt;($C$7+1),"",IFERROR((分析データ!E963-AVERAGE(OFFSET(分析データ!E$1,MAX(1,ROW()-$C$7),0,MIN($C$7,ROW()-1),1)))/STDEV(OFFSET(分析データ!E$1,MAX(1,ROW()-$C$7),0,MIN($C$7,ROW()-1),1)),0))</f>
        <v>0</v>
      </c>
      <c r="BM963">
        <f t="shared" ca="1" si="432"/>
        <v>0</v>
      </c>
      <c r="BN963" t="str">
        <f ca="1">IF(BM963=1,IF(INDEX(分析データ!$A:$A,ROW()+$C$5)&lt;&gt;"",40000*SIGN(BL963)*(分析データ!E963-INDEX(分析データ!E:E,ROW()+$C$5)),""),"")</f>
        <v/>
      </c>
      <c r="BO963">
        <f t="shared" ca="1" si="433"/>
        <v>2720000.0000000014</v>
      </c>
      <c r="BP963">
        <f t="shared" ca="1" si="434"/>
        <v>4280000.0000000028</v>
      </c>
      <c r="BQ963">
        <f t="shared" ca="1" si="435"/>
        <v>-1560000.0000000014</v>
      </c>
      <c r="BR963">
        <f ca="1">IF(ROW()&lt;($C$7+1),"",IFERROR((分析データ!F963-AVERAGE(OFFSET(分析データ!F$1,MAX(1,ROW()-$C$7),0,MIN($C$7,ROW()-1),1)))/STDEV(OFFSET(分析データ!F$1,MAX(1,ROW()-$C$7),0,MIN($C$7,ROW()-1),1)),0))</f>
        <v>0</v>
      </c>
      <c r="BS963">
        <f t="shared" ca="1" si="436"/>
        <v>0</v>
      </c>
      <c r="BT963" t="str">
        <f ca="1">IF(BS963=1,IF(INDEX(分析データ!$A:$A,ROW()+$C$5)&lt;&gt;"",40000*SIGN(BR963)*(分析データ!F963-INDEX(分析データ!F:F,ROW()+$C$5)),""),"")</f>
        <v/>
      </c>
      <c r="BU963">
        <f t="shared" ca="1" si="437"/>
        <v>19816800</v>
      </c>
      <c r="BV963">
        <f t="shared" ca="1" si="438"/>
        <v>19816800</v>
      </c>
      <c r="BW963">
        <f t="shared" ca="1" si="439"/>
        <v>0</v>
      </c>
      <c r="BX963">
        <f ca="1">IF(ROW()&lt;($C$7+1),"",IFERROR((分析データ!G963-AVERAGE(OFFSET(分析データ!G$1,MAX(1,ROW()-$C$7),0,MIN($C$7,ROW()-1),1)))/STDEV(OFFSET(分析データ!G$1,MAX(1,ROW()-$C$7),0,MIN($C$7,ROW()-1),1)),0))</f>
        <v>0</v>
      </c>
      <c r="BY963">
        <f t="shared" ca="1" si="440"/>
        <v>0</v>
      </c>
      <c r="BZ963" t="str">
        <f ca="1">IF(BY963=1,IF(INDEX(分析データ!$A:$A,ROW()+$C$5)&lt;&gt;"",40000*SIGN(BX963)*(分析データ!G963-INDEX(分析データ!G:G,ROW()+$C$5)),""),"")</f>
        <v/>
      </c>
      <c r="CA963">
        <f t="shared" ca="1" si="441"/>
        <v>-3515452.8662109179</v>
      </c>
      <c r="CB963">
        <f t="shared" ca="1" si="442"/>
        <v>11327520.000000004</v>
      </c>
      <c r="CC963">
        <f t="shared" ca="1" si="443"/>
        <v>-14842972.866210923</v>
      </c>
      <c r="CD963">
        <f t="shared" ca="1" si="444"/>
        <v>0</v>
      </c>
      <c r="CE963">
        <f t="shared" ca="1" si="445"/>
        <v>23090347.13378913</v>
      </c>
      <c r="CF963">
        <f t="shared" ca="1" si="446"/>
        <v>23090347.13378913</v>
      </c>
      <c r="CG963">
        <f t="shared" ca="1" si="447"/>
        <v>0</v>
      </c>
      <c r="CH963" s="10" t="str">
        <f>分析データ!A963</f>
        <v/>
      </c>
    </row>
    <row r="964" spans="46:86">
      <c r="AT964">
        <f ca="1">IF(ROW()&lt;($C$7+1),"",IFERROR((分析データ!B964-AVERAGE(OFFSET(分析データ!B$1,MAX(1,ROW()-$C$7),0,MIN($C$7,ROW()-1),1)))/STDEV(OFFSET(分析データ!B$1,MAX(1,ROW()-$C$7),0,MIN($C$7,ROW()-1),1)),0))</f>
        <v>0</v>
      </c>
      <c r="AU964">
        <f t="shared" ca="1" si="420"/>
        <v>0</v>
      </c>
      <c r="AV964" t="str">
        <f ca="1">IF(AU964=1,IF(INDEX(分析データ!$A:$A,ROW()+$C$5)&lt;&gt;"",80000*SIGN(AT964)*(分析データ!B964-INDEX(分析データ!B:B,ROW()+$C$5)),""),"")</f>
        <v/>
      </c>
      <c r="AW964">
        <f t="shared" ca="1" si="421"/>
        <v>-1240000.0000000019</v>
      </c>
      <c r="AX964">
        <f t="shared" ca="1" si="422"/>
        <v>0</v>
      </c>
      <c r="AY964">
        <f t="shared" ca="1" si="423"/>
        <v>-1240000.0000000019</v>
      </c>
      <c r="AZ964">
        <f ca="1">IF(ROW()&lt;($C$7+1),"",IFERROR((分析データ!C964-AVERAGE(OFFSET(分析データ!C$1,MAX(1,ROW()-$C$7),0,MIN($C$7,ROW()-1),1)))/STDEV(OFFSET(分析データ!C$1,MAX(1,ROW()-$C$7),0,MIN($C$7,ROW()-1),1)),0))</f>
        <v>0</v>
      </c>
      <c r="BA964">
        <f t="shared" ca="1" si="424"/>
        <v>0</v>
      </c>
      <c r="BB964" t="str">
        <f ca="1">IF(BA964=1,IF(INDEX(分析データ!$A:$A,ROW()+$C$5)&lt;&gt;"",60000*SIGN(AZ964)*(分析データ!C964-INDEX(分析データ!C:C,ROW()+$C$5)),""),"")</f>
        <v/>
      </c>
      <c r="BC964">
        <f t="shared" ca="1" si="425"/>
        <v>-260999.9999999851</v>
      </c>
      <c r="BD964">
        <f t="shared" ca="1" si="426"/>
        <v>3156000.0000000107</v>
      </c>
      <c r="BE964">
        <f t="shared" ca="1" si="427"/>
        <v>-3416999.9999999958</v>
      </c>
      <c r="BF964">
        <f ca="1">IF(ROW()&lt;($C$7+1),"",IFERROR((分析データ!D964-AVERAGE(OFFSET(分析データ!D$1,MAX(1,ROW()-$C$7),0,MIN($C$7,ROW()-1),1)))/STDEV(OFFSET(分析データ!D$1,MAX(1,ROW()-$C$7),0,MIN($C$7,ROW()-1),1)),0))</f>
        <v>0</v>
      </c>
      <c r="BG964">
        <f t="shared" ca="1" si="428"/>
        <v>0</v>
      </c>
      <c r="BH964" t="str">
        <f ca="1">IF(BG964=1,IF(INDEX(分析データ!$A:$A,ROW()+$C$5)&lt;&gt;"",50000*SIGN(BF964)*(分析データ!D964-INDEX(分析データ!D:D,ROW()+$C$5)),""),"")</f>
        <v/>
      </c>
      <c r="BI964">
        <f t="shared" ca="1" si="429"/>
        <v>5570000.0000000205</v>
      </c>
      <c r="BJ964">
        <f t="shared" ca="1" si="430"/>
        <v>5570000.0000000205</v>
      </c>
      <c r="BK964">
        <f t="shared" ca="1" si="431"/>
        <v>0</v>
      </c>
      <c r="BL964">
        <f ca="1">IF(ROW()&lt;($C$7+1),"",IFERROR((分析データ!E964-AVERAGE(OFFSET(分析データ!E$1,MAX(1,ROW()-$C$7),0,MIN($C$7,ROW()-1),1)))/STDEV(OFFSET(分析データ!E$1,MAX(1,ROW()-$C$7),0,MIN($C$7,ROW()-1),1)),0))</f>
        <v>0</v>
      </c>
      <c r="BM964">
        <f t="shared" ca="1" si="432"/>
        <v>0</v>
      </c>
      <c r="BN964" t="str">
        <f ca="1">IF(BM964=1,IF(INDEX(分析データ!$A:$A,ROW()+$C$5)&lt;&gt;"",40000*SIGN(BL964)*(分析データ!E964-INDEX(分析データ!E:E,ROW()+$C$5)),""),"")</f>
        <v/>
      </c>
      <c r="BO964">
        <f t="shared" ca="1" si="433"/>
        <v>2720000.0000000014</v>
      </c>
      <c r="BP964">
        <f t="shared" ca="1" si="434"/>
        <v>4280000.0000000028</v>
      </c>
      <c r="BQ964">
        <f t="shared" ca="1" si="435"/>
        <v>-1560000.0000000014</v>
      </c>
      <c r="BR964">
        <f ca="1">IF(ROW()&lt;($C$7+1),"",IFERROR((分析データ!F964-AVERAGE(OFFSET(分析データ!F$1,MAX(1,ROW()-$C$7),0,MIN($C$7,ROW()-1),1)))/STDEV(OFFSET(分析データ!F$1,MAX(1,ROW()-$C$7),0,MIN($C$7,ROW()-1),1)),0))</f>
        <v>0</v>
      </c>
      <c r="BS964">
        <f t="shared" ca="1" si="436"/>
        <v>0</v>
      </c>
      <c r="BT964" t="str">
        <f ca="1">IF(BS964=1,IF(INDEX(分析データ!$A:$A,ROW()+$C$5)&lt;&gt;"",40000*SIGN(BR964)*(分析データ!F964-INDEX(分析データ!F:F,ROW()+$C$5)),""),"")</f>
        <v/>
      </c>
      <c r="BU964">
        <f t="shared" ca="1" si="437"/>
        <v>19816800</v>
      </c>
      <c r="BV964">
        <f t="shared" ca="1" si="438"/>
        <v>19816800</v>
      </c>
      <c r="BW964">
        <f t="shared" ca="1" si="439"/>
        <v>0</v>
      </c>
      <c r="BX964">
        <f ca="1">IF(ROW()&lt;($C$7+1),"",IFERROR((分析データ!G964-AVERAGE(OFFSET(分析データ!G$1,MAX(1,ROW()-$C$7),0,MIN($C$7,ROW()-1),1)))/STDEV(OFFSET(分析データ!G$1,MAX(1,ROW()-$C$7),0,MIN($C$7,ROW()-1),1)),0))</f>
        <v>0</v>
      </c>
      <c r="BY964">
        <f t="shared" ca="1" si="440"/>
        <v>0</v>
      </c>
      <c r="BZ964" t="str">
        <f ca="1">IF(BY964=1,IF(INDEX(分析データ!$A:$A,ROW()+$C$5)&lt;&gt;"",40000*SIGN(BX964)*(分析データ!G964-INDEX(分析データ!G:G,ROW()+$C$5)),""),"")</f>
        <v/>
      </c>
      <c r="CA964">
        <f t="shared" ca="1" si="441"/>
        <v>-3515452.8662109179</v>
      </c>
      <c r="CB964">
        <f t="shared" ca="1" si="442"/>
        <v>11327520.000000004</v>
      </c>
      <c r="CC964">
        <f t="shared" ca="1" si="443"/>
        <v>-14842972.866210923</v>
      </c>
      <c r="CD964">
        <f t="shared" ca="1" si="444"/>
        <v>0</v>
      </c>
      <c r="CE964">
        <f t="shared" ca="1" si="445"/>
        <v>23090347.13378913</v>
      </c>
      <c r="CF964">
        <f t="shared" ca="1" si="446"/>
        <v>23090347.13378913</v>
      </c>
      <c r="CG964">
        <f t="shared" ca="1" si="447"/>
        <v>0</v>
      </c>
      <c r="CH964" s="10" t="str">
        <f>分析データ!A964</f>
        <v/>
      </c>
    </row>
    <row r="965" spans="46:86">
      <c r="AT965">
        <f ca="1">IF(ROW()&lt;($C$7+1),"",IFERROR((分析データ!B965-AVERAGE(OFFSET(分析データ!B$1,MAX(1,ROW()-$C$7),0,MIN($C$7,ROW()-1),1)))/STDEV(OFFSET(分析データ!B$1,MAX(1,ROW()-$C$7),0,MIN($C$7,ROW()-1),1)),0))</f>
        <v>0</v>
      </c>
      <c r="AU965">
        <f t="shared" ca="1" si="420"/>
        <v>0</v>
      </c>
      <c r="AV965" t="str">
        <f ca="1">IF(AU965=1,IF(INDEX(分析データ!$A:$A,ROW()+$C$5)&lt;&gt;"",80000*SIGN(AT965)*(分析データ!B965-INDEX(分析データ!B:B,ROW()+$C$5)),""),"")</f>
        <v/>
      </c>
      <c r="AW965">
        <f t="shared" ca="1" si="421"/>
        <v>-1240000.0000000019</v>
      </c>
      <c r="AX965">
        <f t="shared" ca="1" si="422"/>
        <v>0</v>
      </c>
      <c r="AY965">
        <f t="shared" ca="1" si="423"/>
        <v>-1240000.0000000019</v>
      </c>
      <c r="AZ965">
        <f ca="1">IF(ROW()&lt;($C$7+1),"",IFERROR((分析データ!C965-AVERAGE(OFFSET(分析データ!C$1,MAX(1,ROW()-$C$7),0,MIN($C$7,ROW()-1),1)))/STDEV(OFFSET(分析データ!C$1,MAX(1,ROW()-$C$7),0,MIN($C$7,ROW()-1),1)),0))</f>
        <v>0</v>
      </c>
      <c r="BA965">
        <f t="shared" ca="1" si="424"/>
        <v>0</v>
      </c>
      <c r="BB965" t="str">
        <f ca="1">IF(BA965=1,IF(INDEX(分析データ!$A:$A,ROW()+$C$5)&lt;&gt;"",60000*SIGN(AZ965)*(分析データ!C965-INDEX(分析データ!C:C,ROW()+$C$5)),""),"")</f>
        <v/>
      </c>
      <c r="BC965">
        <f t="shared" ca="1" si="425"/>
        <v>-260999.9999999851</v>
      </c>
      <c r="BD965">
        <f t="shared" ca="1" si="426"/>
        <v>3156000.0000000107</v>
      </c>
      <c r="BE965">
        <f t="shared" ca="1" si="427"/>
        <v>-3416999.9999999958</v>
      </c>
      <c r="BF965">
        <f ca="1">IF(ROW()&lt;($C$7+1),"",IFERROR((分析データ!D965-AVERAGE(OFFSET(分析データ!D$1,MAX(1,ROW()-$C$7),0,MIN($C$7,ROW()-1),1)))/STDEV(OFFSET(分析データ!D$1,MAX(1,ROW()-$C$7),0,MIN($C$7,ROW()-1),1)),0))</f>
        <v>0</v>
      </c>
      <c r="BG965">
        <f t="shared" ca="1" si="428"/>
        <v>0</v>
      </c>
      <c r="BH965" t="str">
        <f ca="1">IF(BG965=1,IF(INDEX(分析データ!$A:$A,ROW()+$C$5)&lt;&gt;"",50000*SIGN(BF965)*(分析データ!D965-INDEX(分析データ!D:D,ROW()+$C$5)),""),"")</f>
        <v/>
      </c>
      <c r="BI965">
        <f t="shared" ca="1" si="429"/>
        <v>5570000.0000000205</v>
      </c>
      <c r="BJ965">
        <f t="shared" ca="1" si="430"/>
        <v>5570000.0000000205</v>
      </c>
      <c r="BK965">
        <f t="shared" ca="1" si="431"/>
        <v>0</v>
      </c>
      <c r="BL965">
        <f ca="1">IF(ROW()&lt;($C$7+1),"",IFERROR((分析データ!E965-AVERAGE(OFFSET(分析データ!E$1,MAX(1,ROW()-$C$7),0,MIN($C$7,ROW()-1),1)))/STDEV(OFFSET(分析データ!E$1,MAX(1,ROW()-$C$7),0,MIN($C$7,ROW()-1),1)),0))</f>
        <v>0</v>
      </c>
      <c r="BM965">
        <f t="shared" ca="1" si="432"/>
        <v>0</v>
      </c>
      <c r="BN965" t="str">
        <f ca="1">IF(BM965=1,IF(INDEX(分析データ!$A:$A,ROW()+$C$5)&lt;&gt;"",40000*SIGN(BL965)*(分析データ!E965-INDEX(分析データ!E:E,ROW()+$C$5)),""),"")</f>
        <v/>
      </c>
      <c r="BO965">
        <f t="shared" ca="1" si="433"/>
        <v>2720000.0000000014</v>
      </c>
      <c r="BP965">
        <f t="shared" ca="1" si="434"/>
        <v>4280000.0000000028</v>
      </c>
      <c r="BQ965">
        <f t="shared" ca="1" si="435"/>
        <v>-1560000.0000000014</v>
      </c>
      <c r="BR965">
        <f ca="1">IF(ROW()&lt;($C$7+1),"",IFERROR((分析データ!F965-AVERAGE(OFFSET(分析データ!F$1,MAX(1,ROW()-$C$7),0,MIN($C$7,ROW()-1),1)))/STDEV(OFFSET(分析データ!F$1,MAX(1,ROW()-$C$7),0,MIN($C$7,ROW()-1),1)),0))</f>
        <v>0</v>
      </c>
      <c r="BS965">
        <f t="shared" ca="1" si="436"/>
        <v>0</v>
      </c>
      <c r="BT965" t="str">
        <f ca="1">IF(BS965=1,IF(INDEX(分析データ!$A:$A,ROW()+$C$5)&lt;&gt;"",40000*SIGN(BR965)*(分析データ!F965-INDEX(分析データ!F:F,ROW()+$C$5)),""),"")</f>
        <v/>
      </c>
      <c r="BU965">
        <f t="shared" ca="1" si="437"/>
        <v>19816800</v>
      </c>
      <c r="BV965">
        <f t="shared" ca="1" si="438"/>
        <v>19816800</v>
      </c>
      <c r="BW965">
        <f t="shared" ca="1" si="439"/>
        <v>0</v>
      </c>
      <c r="BX965">
        <f ca="1">IF(ROW()&lt;($C$7+1),"",IFERROR((分析データ!G965-AVERAGE(OFFSET(分析データ!G$1,MAX(1,ROW()-$C$7),0,MIN($C$7,ROW()-1),1)))/STDEV(OFFSET(分析データ!G$1,MAX(1,ROW()-$C$7),0,MIN($C$7,ROW()-1),1)),0))</f>
        <v>0</v>
      </c>
      <c r="BY965">
        <f t="shared" ca="1" si="440"/>
        <v>0</v>
      </c>
      <c r="BZ965" t="str">
        <f ca="1">IF(BY965=1,IF(INDEX(分析データ!$A:$A,ROW()+$C$5)&lt;&gt;"",40000*SIGN(BX965)*(分析データ!G965-INDEX(分析データ!G:G,ROW()+$C$5)),""),"")</f>
        <v/>
      </c>
      <c r="CA965">
        <f t="shared" ca="1" si="441"/>
        <v>-3515452.8662109179</v>
      </c>
      <c r="CB965">
        <f t="shared" ca="1" si="442"/>
        <v>11327520.000000004</v>
      </c>
      <c r="CC965">
        <f t="shared" ca="1" si="443"/>
        <v>-14842972.866210923</v>
      </c>
      <c r="CD965">
        <f t="shared" ca="1" si="444"/>
        <v>0</v>
      </c>
      <c r="CE965">
        <f t="shared" ca="1" si="445"/>
        <v>23090347.13378913</v>
      </c>
      <c r="CF965">
        <f t="shared" ca="1" si="446"/>
        <v>23090347.13378913</v>
      </c>
      <c r="CG965">
        <f t="shared" ca="1" si="447"/>
        <v>0</v>
      </c>
      <c r="CH965" s="10" t="str">
        <f>分析データ!A965</f>
        <v/>
      </c>
    </row>
    <row r="966" spans="46:86">
      <c r="AT966">
        <f ca="1">IF(ROW()&lt;($C$7+1),"",IFERROR((分析データ!B966-AVERAGE(OFFSET(分析データ!B$1,MAX(1,ROW()-$C$7),0,MIN($C$7,ROW()-1),1)))/STDEV(OFFSET(分析データ!B$1,MAX(1,ROW()-$C$7),0,MIN($C$7,ROW()-1),1)),0))</f>
        <v>0</v>
      </c>
      <c r="AU966">
        <f t="shared" ca="1" si="420"/>
        <v>0</v>
      </c>
      <c r="AV966" t="str">
        <f ca="1">IF(AU966=1,IF(INDEX(分析データ!$A:$A,ROW()+$C$5)&lt;&gt;"",80000*SIGN(AT966)*(分析データ!B966-INDEX(分析データ!B:B,ROW()+$C$5)),""),"")</f>
        <v/>
      </c>
      <c r="AW966">
        <f t="shared" ca="1" si="421"/>
        <v>-1240000.0000000019</v>
      </c>
      <c r="AX966">
        <f t="shared" ca="1" si="422"/>
        <v>0</v>
      </c>
      <c r="AY966">
        <f t="shared" ca="1" si="423"/>
        <v>-1240000.0000000019</v>
      </c>
      <c r="AZ966">
        <f ca="1">IF(ROW()&lt;($C$7+1),"",IFERROR((分析データ!C966-AVERAGE(OFFSET(分析データ!C$1,MAX(1,ROW()-$C$7),0,MIN($C$7,ROW()-1),1)))/STDEV(OFFSET(分析データ!C$1,MAX(1,ROW()-$C$7),0,MIN($C$7,ROW()-1),1)),0))</f>
        <v>0</v>
      </c>
      <c r="BA966">
        <f t="shared" ca="1" si="424"/>
        <v>0</v>
      </c>
      <c r="BB966" t="str">
        <f ca="1">IF(BA966=1,IF(INDEX(分析データ!$A:$A,ROW()+$C$5)&lt;&gt;"",60000*SIGN(AZ966)*(分析データ!C966-INDEX(分析データ!C:C,ROW()+$C$5)),""),"")</f>
        <v/>
      </c>
      <c r="BC966">
        <f t="shared" ca="1" si="425"/>
        <v>-260999.9999999851</v>
      </c>
      <c r="BD966">
        <f t="shared" ca="1" si="426"/>
        <v>3156000.0000000107</v>
      </c>
      <c r="BE966">
        <f t="shared" ca="1" si="427"/>
        <v>-3416999.9999999958</v>
      </c>
      <c r="BF966">
        <f ca="1">IF(ROW()&lt;($C$7+1),"",IFERROR((分析データ!D966-AVERAGE(OFFSET(分析データ!D$1,MAX(1,ROW()-$C$7),0,MIN($C$7,ROW()-1),1)))/STDEV(OFFSET(分析データ!D$1,MAX(1,ROW()-$C$7),0,MIN($C$7,ROW()-1),1)),0))</f>
        <v>0</v>
      </c>
      <c r="BG966">
        <f t="shared" ca="1" si="428"/>
        <v>0</v>
      </c>
      <c r="BH966" t="str">
        <f ca="1">IF(BG966=1,IF(INDEX(分析データ!$A:$A,ROW()+$C$5)&lt;&gt;"",50000*SIGN(BF966)*(分析データ!D966-INDEX(分析データ!D:D,ROW()+$C$5)),""),"")</f>
        <v/>
      </c>
      <c r="BI966">
        <f t="shared" ca="1" si="429"/>
        <v>5570000.0000000205</v>
      </c>
      <c r="BJ966">
        <f t="shared" ca="1" si="430"/>
        <v>5570000.0000000205</v>
      </c>
      <c r="BK966">
        <f t="shared" ca="1" si="431"/>
        <v>0</v>
      </c>
      <c r="BL966">
        <f ca="1">IF(ROW()&lt;($C$7+1),"",IFERROR((分析データ!E966-AVERAGE(OFFSET(分析データ!E$1,MAX(1,ROW()-$C$7),0,MIN($C$7,ROW()-1),1)))/STDEV(OFFSET(分析データ!E$1,MAX(1,ROW()-$C$7),0,MIN($C$7,ROW()-1),1)),0))</f>
        <v>0</v>
      </c>
      <c r="BM966">
        <f t="shared" ca="1" si="432"/>
        <v>0</v>
      </c>
      <c r="BN966" t="str">
        <f ca="1">IF(BM966=1,IF(INDEX(分析データ!$A:$A,ROW()+$C$5)&lt;&gt;"",40000*SIGN(BL966)*(分析データ!E966-INDEX(分析データ!E:E,ROW()+$C$5)),""),"")</f>
        <v/>
      </c>
      <c r="BO966">
        <f t="shared" ca="1" si="433"/>
        <v>2720000.0000000014</v>
      </c>
      <c r="BP966">
        <f t="shared" ca="1" si="434"/>
        <v>4280000.0000000028</v>
      </c>
      <c r="BQ966">
        <f t="shared" ca="1" si="435"/>
        <v>-1560000.0000000014</v>
      </c>
      <c r="BR966">
        <f ca="1">IF(ROW()&lt;($C$7+1),"",IFERROR((分析データ!F966-AVERAGE(OFFSET(分析データ!F$1,MAX(1,ROW()-$C$7),0,MIN($C$7,ROW()-1),1)))/STDEV(OFFSET(分析データ!F$1,MAX(1,ROW()-$C$7),0,MIN($C$7,ROW()-1),1)),0))</f>
        <v>0</v>
      </c>
      <c r="BS966">
        <f t="shared" ca="1" si="436"/>
        <v>0</v>
      </c>
      <c r="BT966" t="str">
        <f ca="1">IF(BS966=1,IF(INDEX(分析データ!$A:$A,ROW()+$C$5)&lt;&gt;"",40000*SIGN(BR966)*(分析データ!F966-INDEX(分析データ!F:F,ROW()+$C$5)),""),"")</f>
        <v/>
      </c>
      <c r="BU966">
        <f t="shared" ca="1" si="437"/>
        <v>19816800</v>
      </c>
      <c r="BV966">
        <f t="shared" ca="1" si="438"/>
        <v>19816800</v>
      </c>
      <c r="BW966">
        <f t="shared" ca="1" si="439"/>
        <v>0</v>
      </c>
      <c r="BX966">
        <f ca="1">IF(ROW()&lt;($C$7+1),"",IFERROR((分析データ!G966-AVERAGE(OFFSET(分析データ!G$1,MAX(1,ROW()-$C$7),0,MIN($C$7,ROW()-1),1)))/STDEV(OFFSET(分析データ!G$1,MAX(1,ROW()-$C$7),0,MIN($C$7,ROW()-1),1)),0))</f>
        <v>0</v>
      </c>
      <c r="BY966">
        <f t="shared" ca="1" si="440"/>
        <v>0</v>
      </c>
      <c r="BZ966" t="str">
        <f ca="1">IF(BY966=1,IF(INDEX(分析データ!$A:$A,ROW()+$C$5)&lt;&gt;"",40000*SIGN(BX966)*(分析データ!G966-INDEX(分析データ!G:G,ROW()+$C$5)),""),"")</f>
        <v/>
      </c>
      <c r="CA966">
        <f t="shared" ca="1" si="441"/>
        <v>-3515452.8662109179</v>
      </c>
      <c r="CB966">
        <f t="shared" ca="1" si="442"/>
        <v>11327520.000000004</v>
      </c>
      <c r="CC966">
        <f t="shared" ca="1" si="443"/>
        <v>-14842972.866210923</v>
      </c>
      <c r="CD966">
        <f t="shared" ca="1" si="444"/>
        <v>0</v>
      </c>
      <c r="CE966">
        <f t="shared" ca="1" si="445"/>
        <v>23090347.13378913</v>
      </c>
      <c r="CF966">
        <f t="shared" ca="1" si="446"/>
        <v>23090347.13378913</v>
      </c>
      <c r="CG966">
        <f t="shared" ca="1" si="447"/>
        <v>0</v>
      </c>
      <c r="CH966" s="10" t="str">
        <f>分析データ!A966</f>
        <v/>
      </c>
    </row>
    <row r="967" spans="46:86">
      <c r="AT967">
        <f ca="1">IF(ROW()&lt;($C$7+1),"",IFERROR((分析データ!B967-AVERAGE(OFFSET(分析データ!B$1,MAX(1,ROW()-$C$7),0,MIN($C$7,ROW()-1),1)))/STDEV(OFFSET(分析データ!B$1,MAX(1,ROW()-$C$7),0,MIN($C$7,ROW()-1),1)),0))</f>
        <v>0</v>
      </c>
      <c r="AU967">
        <f t="shared" ca="1" si="420"/>
        <v>0</v>
      </c>
      <c r="AV967" t="str">
        <f ca="1">IF(AU967=1,IF(INDEX(分析データ!$A:$A,ROW()+$C$5)&lt;&gt;"",80000*SIGN(AT967)*(分析データ!B967-INDEX(分析データ!B:B,ROW()+$C$5)),""),"")</f>
        <v/>
      </c>
      <c r="AW967">
        <f t="shared" ca="1" si="421"/>
        <v>-1240000.0000000019</v>
      </c>
      <c r="AX967">
        <f t="shared" ca="1" si="422"/>
        <v>0</v>
      </c>
      <c r="AY967">
        <f t="shared" ca="1" si="423"/>
        <v>-1240000.0000000019</v>
      </c>
      <c r="AZ967">
        <f ca="1">IF(ROW()&lt;($C$7+1),"",IFERROR((分析データ!C967-AVERAGE(OFFSET(分析データ!C$1,MAX(1,ROW()-$C$7),0,MIN($C$7,ROW()-1),1)))/STDEV(OFFSET(分析データ!C$1,MAX(1,ROW()-$C$7),0,MIN($C$7,ROW()-1),1)),0))</f>
        <v>0</v>
      </c>
      <c r="BA967">
        <f t="shared" ca="1" si="424"/>
        <v>0</v>
      </c>
      <c r="BB967" t="str">
        <f ca="1">IF(BA967=1,IF(INDEX(分析データ!$A:$A,ROW()+$C$5)&lt;&gt;"",60000*SIGN(AZ967)*(分析データ!C967-INDEX(分析データ!C:C,ROW()+$C$5)),""),"")</f>
        <v/>
      </c>
      <c r="BC967">
        <f t="shared" ca="1" si="425"/>
        <v>-260999.9999999851</v>
      </c>
      <c r="BD967">
        <f t="shared" ca="1" si="426"/>
        <v>3156000.0000000107</v>
      </c>
      <c r="BE967">
        <f t="shared" ca="1" si="427"/>
        <v>-3416999.9999999958</v>
      </c>
      <c r="BF967">
        <f ca="1">IF(ROW()&lt;($C$7+1),"",IFERROR((分析データ!D967-AVERAGE(OFFSET(分析データ!D$1,MAX(1,ROW()-$C$7),0,MIN($C$7,ROW()-1),1)))/STDEV(OFFSET(分析データ!D$1,MAX(1,ROW()-$C$7),0,MIN($C$7,ROW()-1),1)),0))</f>
        <v>0</v>
      </c>
      <c r="BG967">
        <f t="shared" ca="1" si="428"/>
        <v>0</v>
      </c>
      <c r="BH967" t="str">
        <f ca="1">IF(BG967=1,IF(INDEX(分析データ!$A:$A,ROW()+$C$5)&lt;&gt;"",50000*SIGN(BF967)*(分析データ!D967-INDEX(分析データ!D:D,ROW()+$C$5)),""),"")</f>
        <v/>
      </c>
      <c r="BI967">
        <f t="shared" ca="1" si="429"/>
        <v>5570000.0000000205</v>
      </c>
      <c r="BJ967">
        <f t="shared" ca="1" si="430"/>
        <v>5570000.0000000205</v>
      </c>
      <c r="BK967">
        <f t="shared" ca="1" si="431"/>
        <v>0</v>
      </c>
      <c r="BL967">
        <f ca="1">IF(ROW()&lt;($C$7+1),"",IFERROR((分析データ!E967-AVERAGE(OFFSET(分析データ!E$1,MAX(1,ROW()-$C$7),0,MIN($C$7,ROW()-1),1)))/STDEV(OFFSET(分析データ!E$1,MAX(1,ROW()-$C$7),0,MIN($C$7,ROW()-1),1)),0))</f>
        <v>0</v>
      </c>
      <c r="BM967">
        <f t="shared" ca="1" si="432"/>
        <v>0</v>
      </c>
      <c r="BN967" t="str">
        <f ca="1">IF(BM967=1,IF(INDEX(分析データ!$A:$A,ROW()+$C$5)&lt;&gt;"",40000*SIGN(BL967)*(分析データ!E967-INDEX(分析データ!E:E,ROW()+$C$5)),""),"")</f>
        <v/>
      </c>
      <c r="BO967">
        <f t="shared" ca="1" si="433"/>
        <v>2720000.0000000014</v>
      </c>
      <c r="BP967">
        <f t="shared" ca="1" si="434"/>
        <v>4280000.0000000028</v>
      </c>
      <c r="BQ967">
        <f t="shared" ca="1" si="435"/>
        <v>-1560000.0000000014</v>
      </c>
      <c r="BR967">
        <f ca="1">IF(ROW()&lt;($C$7+1),"",IFERROR((分析データ!F967-AVERAGE(OFFSET(分析データ!F$1,MAX(1,ROW()-$C$7),0,MIN($C$7,ROW()-1),1)))/STDEV(OFFSET(分析データ!F$1,MAX(1,ROW()-$C$7),0,MIN($C$7,ROW()-1),1)),0))</f>
        <v>0</v>
      </c>
      <c r="BS967">
        <f t="shared" ca="1" si="436"/>
        <v>0</v>
      </c>
      <c r="BT967" t="str">
        <f ca="1">IF(BS967=1,IF(INDEX(分析データ!$A:$A,ROW()+$C$5)&lt;&gt;"",40000*SIGN(BR967)*(分析データ!F967-INDEX(分析データ!F:F,ROW()+$C$5)),""),"")</f>
        <v/>
      </c>
      <c r="BU967">
        <f t="shared" ca="1" si="437"/>
        <v>19816800</v>
      </c>
      <c r="BV967">
        <f t="shared" ca="1" si="438"/>
        <v>19816800</v>
      </c>
      <c r="BW967">
        <f t="shared" ca="1" si="439"/>
        <v>0</v>
      </c>
      <c r="BX967">
        <f ca="1">IF(ROW()&lt;($C$7+1),"",IFERROR((分析データ!G967-AVERAGE(OFFSET(分析データ!G$1,MAX(1,ROW()-$C$7),0,MIN($C$7,ROW()-1),1)))/STDEV(OFFSET(分析データ!G$1,MAX(1,ROW()-$C$7),0,MIN($C$7,ROW()-1),1)),0))</f>
        <v>0</v>
      </c>
      <c r="BY967">
        <f t="shared" ca="1" si="440"/>
        <v>0</v>
      </c>
      <c r="BZ967" t="str">
        <f ca="1">IF(BY967=1,IF(INDEX(分析データ!$A:$A,ROW()+$C$5)&lt;&gt;"",40000*SIGN(BX967)*(分析データ!G967-INDEX(分析データ!G:G,ROW()+$C$5)),""),"")</f>
        <v/>
      </c>
      <c r="CA967">
        <f t="shared" ca="1" si="441"/>
        <v>-3515452.8662109179</v>
      </c>
      <c r="CB967">
        <f t="shared" ca="1" si="442"/>
        <v>11327520.000000004</v>
      </c>
      <c r="CC967">
        <f t="shared" ca="1" si="443"/>
        <v>-14842972.866210923</v>
      </c>
      <c r="CD967">
        <f t="shared" ca="1" si="444"/>
        <v>0</v>
      </c>
      <c r="CE967">
        <f t="shared" ca="1" si="445"/>
        <v>23090347.13378913</v>
      </c>
      <c r="CF967">
        <f t="shared" ca="1" si="446"/>
        <v>23090347.13378913</v>
      </c>
      <c r="CG967">
        <f t="shared" ca="1" si="447"/>
        <v>0</v>
      </c>
      <c r="CH967" s="10" t="str">
        <f>分析データ!A967</f>
        <v/>
      </c>
    </row>
    <row r="968" spans="46:86">
      <c r="AT968">
        <f ca="1">IF(ROW()&lt;($C$7+1),"",IFERROR((分析データ!B968-AVERAGE(OFFSET(分析データ!B$1,MAX(1,ROW()-$C$7),0,MIN($C$7,ROW()-1),1)))/STDEV(OFFSET(分析データ!B$1,MAX(1,ROW()-$C$7),0,MIN($C$7,ROW()-1),1)),0))</f>
        <v>0</v>
      </c>
      <c r="AU968">
        <f t="shared" ca="1" si="420"/>
        <v>0</v>
      </c>
      <c r="AV968" t="str">
        <f ca="1">IF(AU968=1,IF(INDEX(分析データ!$A:$A,ROW()+$C$5)&lt;&gt;"",80000*SIGN(AT968)*(分析データ!B968-INDEX(分析データ!B:B,ROW()+$C$5)),""),"")</f>
        <v/>
      </c>
      <c r="AW968">
        <f t="shared" ca="1" si="421"/>
        <v>-1240000.0000000019</v>
      </c>
      <c r="AX968">
        <f t="shared" ca="1" si="422"/>
        <v>0</v>
      </c>
      <c r="AY968">
        <f t="shared" ca="1" si="423"/>
        <v>-1240000.0000000019</v>
      </c>
      <c r="AZ968">
        <f ca="1">IF(ROW()&lt;($C$7+1),"",IFERROR((分析データ!C968-AVERAGE(OFFSET(分析データ!C$1,MAX(1,ROW()-$C$7),0,MIN($C$7,ROW()-1),1)))/STDEV(OFFSET(分析データ!C$1,MAX(1,ROW()-$C$7),0,MIN($C$7,ROW()-1),1)),0))</f>
        <v>0</v>
      </c>
      <c r="BA968">
        <f t="shared" ca="1" si="424"/>
        <v>0</v>
      </c>
      <c r="BB968" t="str">
        <f ca="1">IF(BA968=1,IF(INDEX(分析データ!$A:$A,ROW()+$C$5)&lt;&gt;"",60000*SIGN(AZ968)*(分析データ!C968-INDEX(分析データ!C:C,ROW()+$C$5)),""),"")</f>
        <v/>
      </c>
      <c r="BC968">
        <f t="shared" ca="1" si="425"/>
        <v>-260999.9999999851</v>
      </c>
      <c r="BD968">
        <f t="shared" ca="1" si="426"/>
        <v>3156000.0000000107</v>
      </c>
      <c r="BE968">
        <f t="shared" ca="1" si="427"/>
        <v>-3416999.9999999958</v>
      </c>
      <c r="BF968">
        <f ca="1">IF(ROW()&lt;($C$7+1),"",IFERROR((分析データ!D968-AVERAGE(OFFSET(分析データ!D$1,MAX(1,ROW()-$C$7),0,MIN($C$7,ROW()-1),1)))/STDEV(OFFSET(分析データ!D$1,MAX(1,ROW()-$C$7),0,MIN($C$7,ROW()-1),1)),0))</f>
        <v>0</v>
      </c>
      <c r="BG968">
        <f t="shared" ca="1" si="428"/>
        <v>0</v>
      </c>
      <c r="BH968" t="str">
        <f ca="1">IF(BG968=1,IF(INDEX(分析データ!$A:$A,ROW()+$C$5)&lt;&gt;"",50000*SIGN(BF968)*(分析データ!D968-INDEX(分析データ!D:D,ROW()+$C$5)),""),"")</f>
        <v/>
      </c>
      <c r="BI968">
        <f t="shared" ca="1" si="429"/>
        <v>5570000.0000000205</v>
      </c>
      <c r="BJ968">
        <f t="shared" ca="1" si="430"/>
        <v>5570000.0000000205</v>
      </c>
      <c r="BK968">
        <f t="shared" ca="1" si="431"/>
        <v>0</v>
      </c>
      <c r="BL968">
        <f ca="1">IF(ROW()&lt;($C$7+1),"",IFERROR((分析データ!E968-AVERAGE(OFFSET(分析データ!E$1,MAX(1,ROW()-$C$7),0,MIN($C$7,ROW()-1),1)))/STDEV(OFFSET(分析データ!E$1,MAX(1,ROW()-$C$7),0,MIN($C$7,ROW()-1),1)),0))</f>
        <v>0</v>
      </c>
      <c r="BM968">
        <f t="shared" ca="1" si="432"/>
        <v>0</v>
      </c>
      <c r="BN968" t="str">
        <f ca="1">IF(BM968=1,IF(INDEX(分析データ!$A:$A,ROW()+$C$5)&lt;&gt;"",40000*SIGN(BL968)*(分析データ!E968-INDEX(分析データ!E:E,ROW()+$C$5)),""),"")</f>
        <v/>
      </c>
      <c r="BO968">
        <f t="shared" ca="1" si="433"/>
        <v>2720000.0000000014</v>
      </c>
      <c r="BP968">
        <f t="shared" ca="1" si="434"/>
        <v>4280000.0000000028</v>
      </c>
      <c r="BQ968">
        <f t="shared" ca="1" si="435"/>
        <v>-1560000.0000000014</v>
      </c>
      <c r="BR968">
        <f ca="1">IF(ROW()&lt;($C$7+1),"",IFERROR((分析データ!F968-AVERAGE(OFFSET(分析データ!F$1,MAX(1,ROW()-$C$7),0,MIN($C$7,ROW()-1),1)))/STDEV(OFFSET(分析データ!F$1,MAX(1,ROW()-$C$7),0,MIN($C$7,ROW()-1),1)),0))</f>
        <v>0</v>
      </c>
      <c r="BS968">
        <f t="shared" ca="1" si="436"/>
        <v>0</v>
      </c>
      <c r="BT968" t="str">
        <f ca="1">IF(BS968=1,IF(INDEX(分析データ!$A:$A,ROW()+$C$5)&lt;&gt;"",40000*SIGN(BR968)*(分析データ!F968-INDEX(分析データ!F:F,ROW()+$C$5)),""),"")</f>
        <v/>
      </c>
      <c r="BU968">
        <f t="shared" ca="1" si="437"/>
        <v>19816800</v>
      </c>
      <c r="BV968">
        <f t="shared" ca="1" si="438"/>
        <v>19816800</v>
      </c>
      <c r="BW968">
        <f t="shared" ca="1" si="439"/>
        <v>0</v>
      </c>
      <c r="BX968">
        <f ca="1">IF(ROW()&lt;($C$7+1),"",IFERROR((分析データ!G968-AVERAGE(OFFSET(分析データ!G$1,MAX(1,ROW()-$C$7),0,MIN($C$7,ROW()-1),1)))/STDEV(OFFSET(分析データ!G$1,MAX(1,ROW()-$C$7),0,MIN($C$7,ROW()-1),1)),0))</f>
        <v>0</v>
      </c>
      <c r="BY968">
        <f t="shared" ca="1" si="440"/>
        <v>0</v>
      </c>
      <c r="BZ968" t="str">
        <f ca="1">IF(BY968=1,IF(INDEX(分析データ!$A:$A,ROW()+$C$5)&lt;&gt;"",40000*SIGN(BX968)*(分析データ!G968-INDEX(分析データ!G:G,ROW()+$C$5)),""),"")</f>
        <v/>
      </c>
      <c r="CA968">
        <f t="shared" ca="1" si="441"/>
        <v>-3515452.8662109179</v>
      </c>
      <c r="CB968">
        <f t="shared" ca="1" si="442"/>
        <v>11327520.000000004</v>
      </c>
      <c r="CC968">
        <f t="shared" ca="1" si="443"/>
        <v>-14842972.866210923</v>
      </c>
      <c r="CD968">
        <f t="shared" ca="1" si="444"/>
        <v>0</v>
      </c>
      <c r="CE968">
        <f t="shared" ca="1" si="445"/>
        <v>23090347.13378913</v>
      </c>
      <c r="CF968">
        <f t="shared" ca="1" si="446"/>
        <v>23090347.13378913</v>
      </c>
      <c r="CG968">
        <f t="shared" ca="1" si="447"/>
        <v>0</v>
      </c>
      <c r="CH968" s="10" t="str">
        <f>分析データ!A968</f>
        <v/>
      </c>
    </row>
    <row r="969" spans="46:86">
      <c r="AT969">
        <f ca="1">IF(ROW()&lt;($C$7+1),"",IFERROR((分析データ!B969-AVERAGE(OFFSET(分析データ!B$1,MAX(1,ROW()-$C$7),0,MIN($C$7,ROW()-1),1)))/STDEV(OFFSET(分析データ!B$1,MAX(1,ROW()-$C$7),0,MIN($C$7,ROW()-1),1)),0))</f>
        <v>0</v>
      </c>
      <c r="AU969">
        <f t="shared" ca="1" si="420"/>
        <v>0</v>
      </c>
      <c r="AV969" t="str">
        <f ca="1">IF(AU969=1,IF(INDEX(分析データ!$A:$A,ROW()+$C$5)&lt;&gt;"",80000*SIGN(AT969)*(分析データ!B969-INDEX(分析データ!B:B,ROW()+$C$5)),""),"")</f>
        <v/>
      </c>
      <c r="AW969">
        <f t="shared" ca="1" si="421"/>
        <v>-1240000.0000000019</v>
      </c>
      <c r="AX969">
        <f t="shared" ca="1" si="422"/>
        <v>0</v>
      </c>
      <c r="AY969">
        <f t="shared" ca="1" si="423"/>
        <v>-1240000.0000000019</v>
      </c>
      <c r="AZ969">
        <f ca="1">IF(ROW()&lt;($C$7+1),"",IFERROR((分析データ!C969-AVERAGE(OFFSET(分析データ!C$1,MAX(1,ROW()-$C$7),0,MIN($C$7,ROW()-1),1)))/STDEV(OFFSET(分析データ!C$1,MAX(1,ROW()-$C$7),0,MIN($C$7,ROW()-1),1)),0))</f>
        <v>0</v>
      </c>
      <c r="BA969">
        <f t="shared" ca="1" si="424"/>
        <v>0</v>
      </c>
      <c r="BB969" t="str">
        <f ca="1">IF(BA969=1,IF(INDEX(分析データ!$A:$A,ROW()+$C$5)&lt;&gt;"",60000*SIGN(AZ969)*(分析データ!C969-INDEX(分析データ!C:C,ROW()+$C$5)),""),"")</f>
        <v/>
      </c>
      <c r="BC969">
        <f t="shared" ca="1" si="425"/>
        <v>-260999.9999999851</v>
      </c>
      <c r="BD969">
        <f t="shared" ca="1" si="426"/>
        <v>3156000.0000000107</v>
      </c>
      <c r="BE969">
        <f t="shared" ca="1" si="427"/>
        <v>-3416999.9999999958</v>
      </c>
      <c r="BF969">
        <f ca="1">IF(ROW()&lt;($C$7+1),"",IFERROR((分析データ!D969-AVERAGE(OFFSET(分析データ!D$1,MAX(1,ROW()-$C$7),0,MIN($C$7,ROW()-1),1)))/STDEV(OFFSET(分析データ!D$1,MAX(1,ROW()-$C$7),0,MIN($C$7,ROW()-1),1)),0))</f>
        <v>0</v>
      </c>
      <c r="BG969">
        <f t="shared" ca="1" si="428"/>
        <v>0</v>
      </c>
      <c r="BH969" t="str">
        <f ca="1">IF(BG969=1,IF(INDEX(分析データ!$A:$A,ROW()+$C$5)&lt;&gt;"",50000*SIGN(BF969)*(分析データ!D969-INDEX(分析データ!D:D,ROW()+$C$5)),""),"")</f>
        <v/>
      </c>
      <c r="BI969">
        <f t="shared" ca="1" si="429"/>
        <v>5570000.0000000205</v>
      </c>
      <c r="BJ969">
        <f t="shared" ca="1" si="430"/>
        <v>5570000.0000000205</v>
      </c>
      <c r="BK969">
        <f t="shared" ca="1" si="431"/>
        <v>0</v>
      </c>
      <c r="BL969">
        <f ca="1">IF(ROW()&lt;($C$7+1),"",IFERROR((分析データ!E969-AVERAGE(OFFSET(分析データ!E$1,MAX(1,ROW()-$C$7),0,MIN($C$7,ROW()-1),1)))/STDEV(OFFSET(分析データ!E$1,MAX(1,ROW()-$C$7),0,MIN($C$7,ROW()-1),1)),0))</f>
        <v>0</v>
      </c>
      <c r="BM969">
        <f t="shared" ca="1" si="432"/>
        <v>0</v>
      </c>
      <c r="BN969" t="str">
        <f ca="1">IF(BM969=1,IF(INDEX(分析データ!$A:$A,ROW()+$C$5)&lt;&gt;"",40000*SIGN(BL969)*(分析データ!E969-INDEX(分析データ!E:E,ROW()+$C$5)),""),"")</f>
        <v/>
      </c>
      <c r="BO969">
        <f t="shared" ca="1" si="433"/>
        <v>2720000.0000000014</v>
      </c>
      <c r="BP969">
        <f t="shared" ca="1" si="434"/>
        <v>4280000.0000000028</v>
      </c>
      <c r="BQ969">
        <f t="shared" ca="1" si="435"/>
        <v>-1560000.0000000014</v>
      </c>
      <c r="BR969">
        <f ca="1">IF(ROW()&lt;($C$7+1),"",IFERROR((分析データ!F969-AVERAGE(OFFSET(分析データ!F$1,MAX(1,ROW()-$C$7),0,MIN($C$7,ROW()-1),1)))/STDEV(OFFSET(分析データ!F$1,MAX(1,ROW()-$C$7),0,MIN($C$7,ROW()-1),1)),0))</f>
        <v>0</v>
      </c>
      <c r="BS969">
        <f t="shared" ca="1" si="436"/>
        <v>0</v>
      </c>
      <c r="BT969" t="str">
        <f ca="1">IF(BS969=1,IF(INDEX(分析データ!$A:$A,ROW()+$C$5)&lt;&gt;"",40000*SIGN(BR969)*(分析データ!F969-INDEX(分析データ!F:F,ROW()+$C$5)),""),"")</f>
        <v/>
      </c>
      <c r="BU969">
        <f t="shared" ca="1" si="437"/>
        <v>19816800</v>
      </c>
      <c r="BV969">
        <f t="shared" ca="1" si="438"/>
        <v>19816800</v>
      </c>
      <c r="BW969">
        <f t="shared" ca="1" si="439"/>
        <v>0</v>
      </c>
      <c r="BX969">
        <f ca="1">IF(ROW()&lt;($C$7+1),"",IFERROR((分析データ!G969-AVERAGE(OFFSET(分析データ!G$1,MAX(1,ROW()-$C$7),0,MIN($C$7,ROW()-1),1)))/STDEV(OFFSET(分析データ!G$1,MAX(1,ROW()-$C$7),0,MIN($C$7,ROW()-1),1)),0))</f>
        <v>0</v>
      </c>
      <c r="BY969">
        <f t="shared" ca="1" si="440"/>
        <v>0</v>
      </c>
      <c r="BZ969" t="str">
        <f ca="1">IF(BY969=1,IF(INDEX(分析データ!$A:$A,ROW()+$C$5)&lt;&gt;"",40000*SIGN(BX969)*(分析データ!G969-INDEX(分析データ!G:G,ROW()+$C$5)),""),"")</f>
        <v/>
      </c>
      <c r="CA969">
        <f t="shared" ca="1" si="441"/>
        <v>-3515452.8662109179</v>
      </c>
      <c r="CB969">
        <f t="shared" ca="1" si="442"/>
        <v>11327520.000000004</v>
      </c>
      <c r="CC969">
        <f t="shared" ca="1" si="443"/>
        <v>-14842972.866210923</v>
      </c>
      <c r="CD969">
        <f t="shared" ca="1" si="444"/>
        <v>0</v>
      </c>
      <c r="CE969">
        <f t="shared" ca="1" si="445"/>
        <v>23090347.13378913</v>
      </c>
      <c r="CF969">
        <f t="shared" ca="1" si="446"/>
        <v>23090347.13378913</v>
      </c>
      <c r="CG969">
        <f t="shared" ca="1" si="447"/>
        <v>0</v>
      </c>
      <c r="CH969" s="10" t="str">
        <f>分析データ!A969</f>
        <v/>
      </c>
    </row>
    <row r="970" spans="46:86">
      <c r="AT970">
        <f ca="1">IF(ROW()&lt;($C$7+1),"",IFERROR((分析データ!B970-AVERAGE(OFFSET(分析データ!B$1,MAX(1,ROW()-$C$7),0,MIN($C$7,ROW()-1),1)))/STDEV(OFFSET(分析データ!B$1,MAX(1,ROW()-$C$7),0,MIN($C$7,ROW()-1),1)),0))</f>
        <v>0</v>
      </c>
      <c r="AU970">
        <f t="shared" ca="1" si="420"/>
        <v>0</v>
      </c>
      <c r="AV970" t="str">
        <f ca="1">IF(AU970=1,IF(INDEX(分析データ!$A:$A,ROW()+$C$5)&lt;&gt;"",80000*SIGN(AT970)*(分析データ!B970-INDEX(分析データ!B:B,ROW()+$C$5)),""),"")</f>
        <v/>
      </c>
      <c r="AW970">
        <f t="shared" ca="1" si="421"/>
        <v>-1240000.0000000019</v>
      </c>
      <c r="AX970">
        <f t="shared" ca="1" si="422"/>
        <v>0</v>
      </c>
      <c r="AY970">
        <f t="shared" ca="1" si="423"/>
        <v>-1240000.0000000019</v>
      </c>
      <c r="AZ970">
        <f ca="1">IF(ROW()&lt;($C$7+1),"",IFERROR((分析データ!C970-AVERAGE(OFFSET(分析データ!C$1,MAX(1,ROW()-$C$7),0,MIN($C$7,ROW()-1),1)))/STDEV(OFFSET(分析データ!C$1,MAX(1,ROW()-$C$7),0,MIN($C$7,ROW()-1),1)),0))</f>
        <v>0</v>
      </c>
      <c r="BA970">
        <f t="shared" ca="1" si="424"/>
        <v>0</v>
      </c>
      <c r="BB970" t="str">
        <f ca="1">IF(BA970=1,IF(INDEX(分析データ!$A:$A,ROW()+$C$5)&lt;&gt;"",60000*SIGN(AZ970)*(分析データ!C970-INDEX(分析データ!C:C,ROW()+$C$5)),""),"")</f>
        <v/>
      </c>
      <c r="BC970">
        <f t="shared" ca="1" si="425"/>
        <v>-260999.9999999851</v>
      </c>
      <c r="BD970">
        <f t="shared" ca="1" si="426"/>
        <v>3156000.0000000107</v>
      </c>
      <c r="BE970">
        <f t="shared" ca="1" si="427"/>
        <v>-3416999.9999999958</v>
      </c>
      <c r="BF970">
        <f ca="1">IF(ROW()&lt;($C$7+1),"",IFERROR((分析データ!D970-AVERAGE(OFFSET(分析データ!D$1,MAX(1,ROW()-$C$7),0,MIN($C$7,ROW()-1),1)))/STDEV(OFFSET(分析データ!D$1,MAX(1,ROW()-$C$7),0,MIN($C$7,ROW()-1),1)),0))</f>
        <v>0</v>
      </c>
      <c r="BG970">
        <f t="shared" ca="1" si="428"/>
        <v>0</v>
      </c>
      <c r="BH970" t="str">
        <f ca="1">IF(BG970=1,IF(INDEX(分析データ!$A:$A,ROW()+$C$5)&lt;&gt;"",50000*SIGN(BF970)*(分析データ!D970-INDEX(分析データ!D:D,ROW()+$C$5)),""),"")</f>
        <v/>
      </c>
      <c r="BI970">
        <f t="shared" ca="1" si="429"/>
        <v>5570000.0000000205</v>
      </c>
      <c r="BJ970">
        <f t="shared" ca="1" si="430"/>
        <v>5570000.0000000205</v>
      </c>
      <c r="BK970">
        <f t="shared" ca="1" si="431"/>
        <v>0</v>
      </c>
      <c r="BL970">
        <f ca="1">IF(ROW()&lt;($C$7+1),"",IFERROR((分析データ!E970-AVERAGE(OFFSET(分析データ!E$1,MAX(1,ROW()-$C$7),0,MIN($C$7,ROW()-1),1)))/STDEV(OFFSET(分析データ!E$1,MAX(1,ROW()-$C$7),0,MIN($C$7,ROW()-1),1)),0))</f>
        <v>0</v>
      </c>
      <c r="BM970">
        <f t="shared" ca="1" si="432"/>
        <v>0</v>
      </c>
      <c r="BN970" t="str">
        <f ca="1">IF(BM970=1,IF(INDEX(分析データ!$A:$A,ROW()+$C$5)&lt;&gt;"",40000*SIGN(BL970)*(分析データ!E970-INDEX(分析データ!E:E,ROW()+$C$5)),""),"")</f>
        <v/>
      </c>
      <c r="BO970">
        <f t="shared" ca="1" si="433"/>
        <v>2720000.0000000014</v>
      </c>
      <c r="BP970">
        <f t="shared" ca="1" si="434"/>
        <v>4280000.0000000028</v>
      </c>
      <c r="BQ970">
        <f t="shared" ca="1" si="435"/>
        <v>-1560000.0000000014</v>
      </c>
      <c r="BR970">
        <f ca="1">IF(ROW()&lt;($C$7+1),"",IFERROR((分析データ!F970-AVERAGE(OFFSET(分析データ!F$1,MAX(1,ROW()-$C$7),0,MIN($C$7,ROW()-1),1)))/STDEV(OFFSET(分析データ!F$1,MAX(1,ROW()-$C$7),0,MIN($C$7,ROW()-1),1)),0))</f>
        <v>0</v>
      </c>
      <c r="BS970">
        <f t="shared" ca="1" si="436"/>
        <v>0</v>
      </c>
      <c r="BT970" t="str">
        <f ca="1">IF(BS970=1,IF(INDEX(分析データ!$A:$A,ROW()+$C$5)&lt;&gt;"",40000*SIGN(BR970)*(分析データ!F970-INDEX(分析データ!F:F,ROW()+$C$5)),""),"")</f>
        <v/>
      </c>
      <c r="BU970">
        <f t="shared" ca="1" si="437"/>
        <v>19816800</v>
      </c>
      <c r="BV970">
        <f t="shared" ca="1" si="438"/>
        <v>19816800</v>
      </c>
      <c r="BW970">
        <f t="shared" ca="1" si="439"/>
        <v>0</v>
      </c>
      <c r="BX970">
        <f ca="1">IF(ROW()&lt;($C$7+1),"",IFERROR((分析データ!G970-AVERAGE(OFFSET(分析データ!G$1,MAX(1,ROW()-$C$7),0,MIN($C$7,ROW()-1),1)))/STDEV(OFFSET(分析データ!G$1,MAX(1,ROW()-$C$7),0,MIN($C$7,ROW()-1),1)),0))</f>
        <v>0</v>
      </c>
      <c r="BY970">
        <f t="shared" ca="1" si="440"/>
        <v>0</v>
      </c>
      <c r="BZ970" t="str">
        <f ca="1">IF(BY970=1,IF(INDEX(分析データ!$A:$A,ROW()+$C$5)&lt;&gt;"",40000*SIGN(BX970)*(分析データ!G970-INDEX(分析データ!G:G,ROW()+$C$5)),""),"")</f>
        <v/>
      </c>
      <c r="CA970">
        <f t="shared" ca="1" si="441"/>
        <v>-3515452.8662109179</v>
      </c>
      <c r="CB970">
        <f t="shared" ca="1" si="442"/>
        <v>11327520.000000004</v>
      </c>
      <c r="CC970">
        <f t="shared" ca="1" si="443"/>
        <v>-14842972.866210923</v>
      </c>
      <c r="CD970">
        <f t="shared" ca="1" si="444"/>
        <v>0</v>
      </c>
      <c r="CE970">
        <f t="shared" ca="1" si="445"/>
        <v>23090347.13378913</v>
      </c>
      <c r="CF970">
        <f t="shared" ca="1" si="446"/>
        <v>23090347.13378913</v>
      </c>
      <c r="CG970">
        <f t="shared" ca="1" si="447"/>
        <v>0</v>
      </c>
      <c r="CH970" s="10" t="str">
        <f>分析データ!A970</f>
        <v/>
      </c>
    </row>
    <row r="971" spans="46:86">
      <c r="AT971">
        <f ca="1">IF(ROW()&lt;($C$7+1),"",IFERROR((分析データ!B971-AVERAGE(OFFSET(分析データ!B$1,MAX(1,ROW()-$C$7),0,MIN($C$7,ROW()-1),1)))/STDEV(OFFSET(分析データ!B$1,MAX(1,ROW()-$C$7),0,MIN($C$7,ROW()-1),1)),0))</f>
        <v>0</v>
      </c>
      <c r="AU971">
        <f t="shared" ca="1" si="420"/>
        <v>0</v>
      </c>
      <c r="AV971" t="str">
        <f ca="1">IF(AU971=1,IF(INDEX(分析データ!$A:$A,ROW()+$C$5)&lt;&gt;"",80000*SIGN(AT971)*(分析データ!B971-INDEX(分析データ!B:B,ROW()+$C$5)),""),"")</f>
        <v/>
      </c>
      <c r="AW971">
        <f t="shared" ca="1" si="421"/>
        <v>-1240000.0000000019</v>
      </c>
      <c r="AX971">
        <f t="shared" ca="1" si="422"/>
        <v>0</v>
      </c>
      <c r="AY971">
        <f t="shared" ca="1" si="423"/>
        <v>-1240000.0000000019</v>
      </c>
      <c r="AZ971">
        <f ca="1">IF(ROW()&lt;($C$7+1),"",IFERROR((分析データ!C971-AVERAGE(OFFSET(分析データ!C$1,MAX(1,ROW()-$C$7),0,MIN($C$7,ROW()-1),1)))/STDEV(OFFSET(分析データ!C$1,MAX(1,ROW()-$C$7),0,MIN($C$7,ROW()-1),1)),0))</f>
        <v>0</v>
      </c>
      <c r="BA971">
        <f t="shared" ca="1" si="424"/>
        <v>0</v>
      </c>
      <c r="BB971" t="str">
        <f ca="1">IF(BA971=1,IF(INDEX(分析データ!$A:$A,ROW()+$C$5)&lt;&gt;"",60000*SIGN(AZ971)*(分析データ!C971-INDEX(分析データ!C:C,ROW()+$C$5)),""),"")</f>
        <v/>
      </c>
      <c r="BC971">
        <f t="shared" ca="1" si="425"/>
        <v>-260999.9999999851</v>
      </c>
      <c r="BD971">
        <f t="shared" ca="1" si="426"/>
        <v>3156000.0000000107</v>
      </c>
      <c r="BE971">
        <f t="shared" ca="1" si="427"/>
        <v>-3416999.9999999958</v>
      </c>
      <c r="BF971">
        <f ca="1">IF(ROW()&lt;($C$7+1),"",IFERROR((分析データ!D971-AVERAGE(OFFSET(分析データ!D$1,MAX(1,ROW()-$C$7),0,MIN($C$7,ROW()-1),1)))/STDEV(OFFSET(分析データ!D$1,MAX(1,ROW()-$C$7),0,MIN($C$7,ROW()-1),1)),0))</f>
        <v>0</v>
      </c>
      <c r="BG971">
        <f t="shared" ca="1" si="428"/>
        <v>0</v>
      </c>
      <c r="BH971" t="str">
        <f ca="1">IF(BG971=1,IF(INDEX(分析データ!$A:$A,ROW()+$C$5)&lt;&gt;"",50000*SIGN(BF971)*(分析データ!D971-INDEX(分析データ!D:D,ROW()+$C$5)),""),"")</f>
        <v/>
      </c>
      <c r="BI971">
        <f t="shared" ca="1" si="429"/>
        <v>5570000.0000000205</v>
      </c>
      <c r="BJ971">
        <f t="shared" ca="1" si="430"/>
        <v>5570000.0000000205</v>
      </c>
      <c r="BK971">
        <f t="shared" ca="1" si="431"/>
        <v>0</v>
      </c>
      <c r="BL971">
        <f ca="1">IF(ROW()&lt;($C$7+1),"",IFERROR((分析データ!E971-AVERAGE(OFFSET(分析データ!E$1,MAX(1,ROW()-$C$7),0,MIN($C$7,ROW()-1),1)))/STDEV(OFFSET(分析データ!E$1,MAX(1,ROW()-$C$7),0,MIN($C$7,ROW()-1),1)),0))</f>
        <v>0</v>
      </c>
      <c r="BM971">
        <f t="shared" ca="1" si="432"/>
        <v>0</v>
      </c>
      <c r="BN971" t="str">
        <f ca="1">IF(BM971=1,IF(INDEX(分析データ!$A:$A,ROW()+$C$5)&lt;&gt;"",40000*SIGN(BL971)*(分析データ!E971-INDEX(分析データ!E:E,ROW()+$C$5)),""),"")</f>
        <v/>
      </c>
      <c r="BO971">
        <f t="shared" ca="1" si="433"/>
        <v>2720000.0000000014</v>
      </c>
      <c r="BP971">
        <f t="shared" ca="1" si="434"/>
        <v>4280000.0000000028</v>
      </c>
      <c r="BQ971">
        <f t="shared" ca="1" si="435"/>
        <v>-1560000.0000000014</v>
      </c>
      <c r="BR971">
        <f ca="1">IF(ROW()&lt;($C$7+1),"",IFERROR((分析データ!F971-AVERAGE(OFFSET(分析データ!F$1,MAX(1,ROW()-$C$7),0,MIN($C$7,ROW()-1),1)))/STDEV(OFFSET(分析データ!F$1,MAX(1,ROW()-$C$7),0,MIN($C$7,ROW()-1),1)),0))</f>
        <v>0</v>
      </c>
      <c r="BS971">
        <f t="shared" ca="1" si="436"/>
        <v>0</v>
      </c>
      <c r="BT971" t="str">
        <f ca="1">IF(BS971=1,IF(INDEX(分析データ!$A:$A,ROW()+$C$5)&lt;&gt;"",40000*SIGN(BR971)*(分析データ!F971-INDEX(分析データ!F:F,ROW()+$C$5)),""),"")</f>
        <v/>
      </c>
      <c r="BU971">
        <f t="shared" ca="1" si="437"/>
        <v>19816800</v>
      </c>
      <c r="BV971">
        <f t="shared" ca="1" si="438"/>
        <v>19816800</v>
      </c>
      <c r="BW971">
        <f t="shared" ca="1" si="439"/>
        <v>0</v>
      </c>
      <c r="BX971">
        <f ca="1">IF(ROW()&lt;($C$7+1),"",IFERROR((分析データ!G971-AVERAGE(OFFSET(分析データ!G$1,MAX(1,ROW()-$C$7),0,MIN($C$7,ROW()-1),1)))/STDEV(OFFSET(分析データ!G$1,MAX(1,ROW()-$C$7),0,MIN($C$7,ROW()-1),1)),0))</f>
        <v>0</v>
      </c>
      <c r="BY971">
        <f t="shared" ca="1" si="440"/>
        <v>0</v>
      </c>
      <c r="BZ971" t="str">
        <f ca="1">IF(BY971=1,IF(INDEX(分析データ!$A:$A,ROW()+$C$5)&lt;&gt;"",40000*SIGN(BX971)*(分析データ!G971-INDEX(分析データ!G:G,ROW()+$C$5)),""),"")</f>
        <v/>
      </c>
      <c r="CA971">
        <f t="shared" ca="1" si="441"/>
        <v>-3515452.8662109179</v>
      </c>
      <c r="CB971">
        <f t="shared" ca="1" si="442"/>
        <v>11327520.000000004</v>
      </c>
      <c r="CC971">
        <f t="shared" ca="1" si="443"/>
        <v>-14842972.866210923</v>
      </c>
      <c r="CD971">
        <f t="shared" ca="1" si="444"/>
        <v>0</v>
      </c>
      <c r="CE971">
        <f t="shared" ca="1" si="445"/>
        <v>23090347.13378913</v>
      </c>
      <c r="CF971">
        <f t="shared" ca="1" si="446"/>
        <v>23090347.13378913</v>
      </c>
      <c r="CG971">
        <f t="shared" ca="1" si="447"/>
        <v>0</v>
      </c>
      <c r="CH971" s="10" t="str">
        <f>分析データ!A971</f>
        <v/>
      </c>
    </row>
    <row r="972" spans="46:86">
      <c r="AT972">
        <f ca="1">IF(ROW()&lt;($C$7+1),"",IFERROR((分析データ!B972-AVERAGE(OFFSET(分析データ!B$1,MAX(1,ROW()-$C$7),0,MIN($C$7,ROW()-1),1)))/STDEV(OFFSET(分析データ!B$1,MAX(1,ROW()-$C$7),0,MIN($C$7,ROW()-1),1)),0))</f>
        <v>0</v>
      </c>
      <c r="AU972">
        <f t="shared" ca="1" si="420"/>
        <v>0</v>
      </c>
      <c r="AV972" t="str">
        <f ca="1">IF(AU972=1,IF(INDEX(分析データ!$A:$A,ROW()+$C$5)&lt;&gt;"",80000*SIGN(AT972)*(分析データ!B972-INDEX(分析データ!B:B,ROW()+$C$5)),""),"")</f>
        <v/>
      </c>
      <c r="AW972">
        <f t="shared" ca="1" si="421"/>
        <v>-1240000.0000000019</v>
      </c>
      <c r="AX972">
        <f t="shared" ca="1" si="422"/>
        <v>0</v>
      </c>
      <c r="AY972">
        <f t="shared" ca="1" si="423"/>
        <v>-1240000.0000000019</v>
      </c>
      <c r="AZ972">
        <f ca="1">IF(ROW()&lt;($C$7+1),"",IFERROR((分析データ!C972-AVERAGE(OFFSET(分析データ!C$1,MAX(1,ROW()-$C$7),0,MIN($C$7,ROW()-1),1)))/STDEV(OFFSET(分析データ!C$1,MAX(1,ROW()-$C$7),0,MIN($C$7,ROW()-1),1)),0))</f>
        <v>0</v>
      </c>
      <c r="BA972">
        <f t="shared" ca="1" si="424"/>
        <v>0</v>
      </c>
      <c r="BB972" t="str">
        <f ca="1">IF(BA972=1,IF(INDEX(分析データ!$A:$A,ROW()+$C$5)&lt;&gt;"",60000*SIGN(AZ972)*(分析データ!C972-INDEX(分析データ!C:C,ROW()+$C$5)),""),"")</f>
        <v/>
      </c>
      <c r="BC972">
        <f t="shared" ca="1" si="425"/>
        <v>-260999.9999999851</v>
      </c>
      <c r="BD972">
        <f t="shared" ca="1" si="426"/>
        <v>3156000.0000000107</v>
      </c>
      <c r="BE972">
        <f t="shared" ca="1" si="427"/>
        <v>-3416999.9999999958</v>
      </c>
      <c r="BF972">
        <f ca="1">IF(ROW()&lt;($C$7+1),"",IFERROR((分析データ!D972-AVERAGE(OFFSET(分析データ!D$1,MAX(1,ROW()-$C$7),0,MIN($C$7,ROW()-1),1)))/STDEV(OFFSET(分析データ!D$1,MAX(1,ROW()-$C$7),0,MIN($C$7,ROW()-1),1)),0))</f>
        <v>0</v>
      </c>
      <c r="BG972">
        <f t="shared" ca="1" si="428"/>
        <v>0</v>
      </c>
      <c r="BH972" t="str">
        <f ca="1">IF(BG972=1,IF(INDEX(分析データ!$A:$A,ROW()+$C$5)&lt;&gt;"",50000*SIGN(BF972)*(分析データ!D972-INDEX(分析データ!D:D,ROW()+$C$5)),""),"")</f>
        <v/>
      </c>
      <c r="BI972">
        <f t="shared" ca="1" si="429"/>
        <v>5570000.0000000205</v>
      </c>
      <c r="BJ972">
        <f t="shared" ca="1" si="430"/>
        <v>5570000.0000000205</v>
      </c>
      <c r="BK972">
        <f t="shared" ca="1" si="431"/>
        <v>0</v>
      </c>
      <c r="BL972">
        <f ca="1">IF(ROW()&lt;($C$7+1),"",IFERROR((分析データ!E972-AVERAGE(OFFSET(分析データ!E$1,MAX(1,ROW()-$C$7),0,MIN($C$7,ROW()-1),1)))/STDEV(OFFSET(分析データ!E$1,MAX(1,ROW()-$C$7),0,MIN($C$7,ROW()-1),1)),0))</f>
        <v>0</v>
      </c>
      <c r="BM972">
        <f t="shared" ca="1" si="432"/>
        <v>0</v>
      </c>
      <c r="BN972" t="str">
        <f ca="1">IF(BM972=1,IF(INDEX(分析データ!$A:$A,ROW()+$C$5)&lt;&gt;"",40000*SIGN(BL972)*(分析データ!E972-INDEX(分析データ!E:E,ROW()+$C$5)),""),"")</f>
        <v/>
      </c>
      <c r="BO972">
        <f t="shared" ca="1" si="433"/>
        <v>2720000.0000000014</v>
      </c>
      <c r="BP972">
        <f t="shared" ca="1" si="434"/>
        <v>4280000.0000000028</v>
      </c>
      <c r="BQ972">
        <f t="shared" ca="1" si="435"/>
        <v>-1560000.0000000014</v>
      </c>
      <c r="BR972">
        <f ca="1">IF(ROW()&lt;($C$7+1),"",IFERROR((分析データ!F972-AVERAGE(OFFSET(分析データ!F$1,MAX(1,ROW()-$C$7),0,MIN($C$7,ROW()-1),1)))/STDEV(OFFSET(分析データ!F$1,MAX(1,ROW()-$C$7),0,MIN($C$7,ROW()-1),1)),0))</f>
        <v>0</v>
      </c>
      <c r="BS972">
        <f t="shared" ca="1" si="436"/>
        <v>0</v>
      </c>
      <c r="BT972" t="str">
        <f ca="1">IF(BS972=1,IF(INDEX(分析データ!$A:$A,ROW()+$C$5)&lt;&gt;"",40000*SIGN(BR972)*(分析データ!F972-INDEX(分析データ!F:F,ROW()+$C$5)),""),"")</f>
        <v/>
      </c>
      <c r="BU972">
        <f t="shared" ca="1" si="437"/>
        <v>19816800</v>
      </c>
      <c r="BV972">
        <f t="shared" ca="1" si="438"/>
        <v>19816800</v>
      </c>
      <c r="BW972">
        <f t="shared" ca="1" si="439"/>
        <v>0</v>
      </c>
      <c r="BX972">
        <f ca="1">IF(ROW()&lt;($C$7+1),"",IFERROR((分析データ!G972-AVERAGE(OFFSET(分析データ!G$1,MAX(1,ROW()-$C$7),0,MIN($C$7,ROW()-1),1)))/STDEV(OFFSET(分析データ!G$1,MAX(1,ROW()-$C$7),0,MIN($C$7,ROW()-1),1)),0))</f>
        <v>0</v>
      </c>
      <c r="BY972">
        <f t="shared" ca="1" si="440"/>
        <v>0</v>
      </c>
      <c r="BZ972" t="str">
        <f ca="1">IF(BY972=1,IF(INDEX(分析データ!$A:$A,ROW()+$C$5)&lt;&gt;"",40000*SIGN(BX972)*(分析データ!G972-INDEX(分析データ!G:G,ROW()+$C$5)),""),"")</f>
        <v/>
      </c>
      <c r="CA972">
        <f t="shared" ca="1" si="441"/>
        <v>-3515452.8662109179</v>
      </c>
      <c r="CB972">
        <f t="shared" ca="1" si="442"/>
        <v>11327520.000000004</v>
      </c>
      <c r="CC972">
        <f t="shared" ca="1" si="443"/>
        <v>-14842972.866210923</v>
      </c>
      <c r="CD972">
        <f t="shared" ca="1" si="444"/>
        <v>0</v>
      </c>
      <c r="CE972">
        <f t="shared" ca="1" si="445"/>
        <v>23090347.13378913</v>
      </c>
      <c r="CF972">
        <f t="shared" ca="1" si="446"/>
        <v>23090347.13378913</v>
      </c>
      <c r="CG972">
        <f t="shared" ca="1" si="447"/>
        <v>0</v>
      </c>
      <c r="CH972" s="10" t="str">
        <f>分析データ!A972</f>
        <v/>
      </c>
    </row>
    <row r="973" spans="46:86">
      <c r="AT973">
        <f ca="1">IF(ROW()&lt;($C$7+1),"",IFERROR((分析データ!B973-AVERAGE(OFFSET(分析データ!B$1,MAX(1,ROW()-$C$7),0,MIN($C$7,ROW()-1),1)))/STDEV(OFFSET(分析データ!B$1,MAX(1,ROW()-$C$7),0,MIN($C$7,ROW()-1),1)),0))</f>
        <v>0</v>
      </c>
      <c r="AU973">
        <f t="shared" ca="1" si="420"/>
        <v>0</v>
      </c>
      <c r="AV973" t="str">
        <f ca="1">IF(AU973=1,IF(INDEX(分析データ!$A:$A,ROW()+$C$5)&lt;&gt;"",80000*SIGN(AT973)*(分析データ!B973-INDEX(分析データ!B:B,ROW()+$C$5)),""),"")</f>
        <v/>
      </c>
      <c r="AW973">
        <f t="shared" ca="1" si="421"/>
        <v>-1240000.0000000019</v>
      </c>
      <c r="AX973">
        <f t="shared" ca="1" si="422"/>
        <v>0</v>
      </c>
      <c r="AY973">
        <f t="shared" ca="1" si="423"/>
        <v>-1240000.0000000019</v>
      </c>
      <c r="AZ973">
        <f ca="1">IF(ROW()&lt;($C$7+1),"",IFERROR((分析データ!C973-AVERAGE(OFFSET(分析データ!C$1,MAX(1,ROW()-$C$7),0,MIN($C$7,ROW()-1),1)))/STDEV(OFFSET(分析データ!C$1,MAX(1,ROW()-$C$7),0,MIN($C$7,ROW()-1),1)),0))</f>
        <v>0</v>
      </c>
      <c r="BA973">
        <f t="shared" ca="1" si="424"/>
        <v>0</v>
      </c>
      <c r="BB973" t="str">
        <f ca="1">IF(BA973=1,IF(INDEX(分析データ!$A:$A,ROW()+$C$5)&lt;&gt;"",60000*SIGN(AZ973)*(分析データ!C973-INDEX(分析データ!C:C,ROW()+$C$5)),""),"")</f>
        <v/>
      </c>
      <c r="BC973">
        <f t="shared" ca="1" si="425"/>
        <v>-260999.9999999851</v>
      </c>
      <c r="BD973">
        <f t="shared" ca="1" si="426"/>
        <v>3156000.0000000107</v>
      </c>
      <c r="BE973">
        <f t="shared" ca="1" si="427"/>
        <v>-3416999.9999999958</v>
      </c>
      <c r="BF973">
        <f ca="1">IF(ROW()&lt;($C$7+1),"",IFERROR((分析データ!D973-AVERAGE(OFFSET(分析データ!D$1,MAX(1,ROW()-$C$7),0,MIN($C$7,ROW()-1),1)))/STDEV(OFFSET(分析データ!D$1,MAX(1,ROW()-$C$7),0,MIN($C$7,ROW()-1),1)),0))</f>
        <v>0</v>
      </c>
      <c r="BG973">
        <f t="shared" ca="1" si="428"/>
        <v>0</v>
      </c>
      <c r="BH973" t="str">
        <f ca="1">IF(BG973=1,IF(INDEX(分析データ!$A:$A,ROW()+$C$5)&lt;&gt;"",50000*SIGN(BF973)*(分析データ!D973-INDEX(分析データ!D:D,ROW()+$C$5)),""),"")</f>
        <v/>
      </c>
      <c r="BI973">
        <f t="shared" ca="1" si="429"/>
        <v>5570000.0000000205</v>
      </c>
      <c r="BJ973">
        <f t="shared" ca="1" si="430"/>
        <v>5570000.0000000205</v>
      </c>
      <c r="BK973">
        <f t="shared" ca="1" si="431"/>
        <v>0</v>
      </c>
      <c r="BL973">
        <f ca="1">IF(ROW()&lt;($C$7+1),"",IFERROR((分析データ!E973-AVERAGE(OFFSET(分析データ!E$1,MAX(1,ROW()-$C$7),0,MIN($C$7,ROW()-1),1)))/STDEV(OFFSET(分析データ!E$1,MAX(1,ROW()-$C$7),0,MIN($C$7,ROW()-1),1)),0))</f>
        <v>0</v>
      </c>
      <c r="BM973">
        <f t="shared" ca="1" si="432"/>
        <v>0</v>
      </c>
      <c r="BN973" t="str">
        <f ca="1">IF(BM973=1,IF(INDEX(分析データ!$A:$A,ROW()+$C$5)&lt;&gt;"",40000*SIGN(BL973)*(分析データ!E973-INDEX(分析データ!E:E,ROW()+$C$5)),""),"")</f>
        <v/>
      </c>
      <c r="BO973">
        <f t="shared" ca="1" si="433"/>
        <v>2720000.0000000014</v>
      </c>
      <c r="BP973">
        <f t="shared" ca="1" si="434"/>
        <v>4280000.0000000028</v>
      </c>
      <c r="BQ973">
        <f t="shared" ca="1" si="435"/>
        <v>-1560000.0000000014</v>
      </c>
      <c r="BR973">
        <f ca="1">IF(ROW()&lt;($C$7+1),"",IFERROR((分析データ!F973-AVERAGE(OFFSET(分析データ!F$1,MAX(1,ROW()-$C$7),0,MIN($C$7,ROW()-1),1)))/STDEV(OFFSET(分析データ!F$1,MAX(1,ROW()-$C$7),0,MIN($C$7,ROW()-1),1)),0))</f>
        <v>0</v>
      </c>
      <c r="BS973">
        <f t="shared" ca="1" si="436"/>
        <v>0</v>
      </c>
      <c r="BT973" t="str">
        <f ca="1">IF(BS973=1,IF(INDEX(分析データ!$A:$A,ROW()+$C$5)&lt;&gt;"",40000*SIGN(BR973)*(分析データ!F973-INDEX(分析データ!F:F,ROW()+$C$5)),""),"")</f>
        <v/>
      </c>
      <c r="BU973">
        <f t="shared" ca="1" si="437"/>
        <v>19816800</v>
      </c>
      <c r="BV973">
        <f t="shared" ca="1" si="438"/>
        <v>19816800</v>
      </c>
      <c r="BW973">
        <f t="shared" ca="1" si="439"/>
        <v>0</v>
      </c>
      <c r="BX973">
        <f ca="1">IF(ROW()&lt;($C$7+1),"",IFERROR((分析データ!G973-AVERAGE(OFFSET(分析データ!G$1,MAX(1,ROW()-$C$7),0,MIN($C$7,ROW()-1),1)))/STDEV(OFFSET(分析データ!G$1,MAX(1,ROW()-$C$7),0,MIN($C$7,ROW()-1),1)),0))</f>
        <v>0</v>
      </c>
      <c r="BY973">
        <f t="shared" ca="1" si="440"/>
        <v>0</v>
      </c>
      <c r="BZ973" t="str">
        <f ca="1">IF(BY973=1,IF(INDEX(分析データ!$A:$A,ROW()+$C$5)&lt;&gt;"",40000*SIGN(BX973)*(分析データ!G973-INDEX(分析データ!G:G,ROW()+$C$5)),""),"")</f>
        <v/>
      </c>
      <c r="CA973">
        <f t="shared" ca="1" si="441"/>
        <v>-3515452.8662109179</v>
      </c>
      <c r="CB973">
        <f t="shared" ca="1" si="442"/>
        <v>11327520.000000004</v>
      </c>
      <c r="CC973">
        <f t="shared" ca="1" si="443"/>
        <v>-14842972.866210923</v>
      </c>
      <c r="CD973">
        <f t="shared" ca="1" si="444"/>
        <v>0</v>
      </c>
      <c r="CE973">
        <f t="shared" ca="1" si="445"/>
        <v>23090347.13378913</v>
      </c>
      <c r="CF973">
        <f t="shared" ca="1" si="446"/>
        <v>23090347.13378913</v>
      </c>
      <c r="CG973">
        <f t="shared" ca="1" si="447"/>
        <v>0</v>
      </c>
      <c r="CH973" s="10" t="str">
        <f>分析データ!A973</f>
        <v/>
      </c>
    </row>
    <row r="974" spans="46:86">
      <c r="AT974">
        <f ca="1">IF(ROW()&lt;($C$7+1),"",IFERROR((分析データ!B974-AVERAGE(OFFSET(分析データ!B$1,MAX(1,ROW()-$C$7),0,MIN($C$7,ROW()-1),1)))/STDEV(OFFSET(分析データ!B$1,MAX(1,ROW()-$C$7),0,MIN($C$7,ROW()-1),1)),0))</f>
        <v>0</v>
      </c>
      <c r="AU974">
        <f t="shared" ca="1" si="420"/>
        <v>0</v>
      </c>
      <c r="AV974" t="str">
        <f ca="1">IF(AU974=1,IF(INDEX(分析データ!$A:$A,ROW()+$C$5)&lt;&gt;"",80000*SIGN(AT974)*(分析データ!B974-INDEX(分析データ!B:B,ROW()+$C$5)),""),"")</f>
        <v/>
      </c>
      <c r="AW974">
        <f t="shared" ca="1" si="421"/>
        <v>-1240000.0000000019</v>
      </c>
      <c r="AX974">
        <f t="shared" ca="1" si="422"/>
        <v>0</v>
      </c>
      <c r="AY974">
        <f t="shared" ca="1" si="423"/>
        <v>-1240000.0000000019</v>
      </c>
      <c r="AZ974">
        <f ca="1">IF(ROW()&lt;($C$7+1),"",IFERROR((分析データ!C974-AVERAGE(OFFSET(分析データ!C$1,MAX(1,ROW()-$C$7),0,MIN($C$7,ROW()-1),1)))/STDEV(OFFSET(分析データ!C$1,MAX(1,ROW()-$C$7),0,MIN($C$7,ROW()-1),1)),0))</f>
        <v>0</v>
      </c>
      <c r="BA974">
        <f t="shared" ca="1" si="424"/>
        <v>0</v>
      </c>
      <c r="BB974" t="str">
        <f ca="1">IF(BA974=1,IF(INDEX(分析データ!$A:$A,ROW()+$C$5)&lt;&gt;"",60000*SIGN(AZ974)*(分析データ!C974-INDEX(分析データ!C:C,ROW()+$C$5)),""),"")</f>
        <v/>
      </c>
      <c r="BC974">
        <f t="shared" ca="1" si="425"/>
        <v>-260999.9999999851</v>
      </c>
      <c r="BD974">
        <f t="shared" ca="1" si="426"/>
        <v>3156000.0000000107</v>
      </c>
      <c r="BE974">
        <f t="shared" ca="1" si="427"/>
        <v>-3416999.9999999958</v>
      </c>
      <c r="BF974">
        <f ca="1">IF(ROW()&lt;($C$7+1),"",IFERROR((分析データ!D974-AVERAGE(OFFSET(分析データ!D$1,MAX(1,ROW()-$C$7),0,MIN($C$7,ROW()-1),1)))/STDEV(OFFSET(分析データ!D$1,MAX(1,ROW()-$C$7),0,MIN($C$7,ROW()-1),1)),0))</f>
        <v>0</v>
      </c>
      <c r="BG974">
        <f t="shared" ca="1" si="428"/>
        <v>0</v>
      </c>
      <c r="BH974" t="str">
        <f ca="1">IF(BG974=1,IF(INDEX(分析データ!$A:$A,ROW()+$C$5)&lt;&gt;"",50000*SIGN(BF974)*(分析データ!D974-INDEX(分析データ!D:D,ROW()+$C$5)),""),"")</f>
        <v/>
      </c>
      <c r="BI974">
        <f t="shared" ca="1" si="429"/>
        <v>5570000.0000000205</v>
      </c>
      <c r="BJ974">
        <f t="shared" ca="1" si="430"/>
        <v>5570000.0000000205</v>
      </c>
      <c r="BK974">
        <f t="shared" ca="1" si="431"/>
        <v>0</v>
      </c>
      <c r="BL974">
        <f ca="1">IF(ROW()&lt;($C$7+1),"",IFERROR((分析データ!E974-AVERAGE(OFFSET(分析データ!E$1,MAX(1,ROW()-$C$7),0,MIN($C$7,ROW()-1),1)))/STDEV(OFFSET(分析データ!E$1,MAX(1,ROW()-$C$7),0,MIN($C$7,ROW()-1),1)),0))</f>
        <v>0</v>
      </c>
      <c r="BM974">
        <f t="shared" ca="1" si="432"/>
        <v>0</v>
      </c>
      <c r="BN974" t="str">
        <f ca="1">IF(BM974=1,IF(INDEX(分析データ!$A:$A,ROW()+$C$5)&lt;&gt;"",40000*SIGN(BL974)*(分析データ!E974-INDEX(分析データ!E:E,ROW()+$C$5)),""),"")</f>
        <v/>
      </c>
      <c r="BO974">
        <f t="shared" ca="1" si="433"/>
        <v>2720000.0000000014</v>
      </c>
      <c r="BP974">
        <f t="shared" ca="1" si="434"/>
        <v>4280000.0000000028</v>
      </c>
      <c r="BQ974">
        <f t="shared" ca="1" si="435"/>
        <v>-1560000.0000000014</v>
      </c>
      <c r="BR974">
        <f ca="1">IF(ROW()&lt;($C$7+1),"",IFERROR((分析データ!F974-AVERAGE(OFFSET(分析データ!F$1,MAX(1,ROW()-$C$7),0,MIN($C$7,ROW()-1),1)))/STDEV(OFFSET(分析データ!F$1,MAX(1,ROW()-$C$7),0,MIN($C$7,ROW()-1),1)),0))</f>
        <v>0</v>
      </c>
      <c r="BS974">
        <f t="shared" ca="1" si="436"/>
        <v>0</v>
      </c>
      <c r="BT974" t="str">
        <f ca="1">IF(BS974=1,IF(INDEX(分析データ!$A:$A,ROW()+$C$5)&lt;&gt;"",40000*SIGN(BR974)*(分析データ!F974-INDEX(分析データ!F:F,ROW()+$C$5)),""),"")</f>
        <v/>
      </c>
      <c r="BU974">
        <f t="shared" ca="1" si="437"/>
        <v>19816800</v>
      </c>
      <c r="BV974">
        <f t="shared" ca="1" si="438"/>
        <v>19816800</v>
      </c>
      <c r="BW974">
        <f t="shared" ca="1" si="439"/>
        <v>0</v>
      </c>
      <c r="BX974">
        <f ca="1">IF(ROW()&lt;($C$7+1),"",IFERROR((分析データ!G974-AVERAGE(OFFSET(分析データ!G$1,MAX(1,ROW()-$C$7),0,MIN($C$7,ROW()-1),1)))/STDEV(OFFSET(分析データ!G$1,MAX(1,ROW()-$C$7),0,MIN($C$7,ROW()-1),1)),0))</f>
        <v>0</v>
      </c>
      <c r="BY974">
        <f t="shared" ca="1" si="440"/>
        <v>0</v>
      </c>
      <c r="BZ974" t="str">
        <f ca="1">IF(BY974=1,IF(INDEX(分析データ!$A:$A,ROW()+$C$5)&lt;&gt;"",40000*SIGN(BX974)*(分析データ!G974-INDEX(分析データ!G:G,ROW()+$C$5)),""),"")</f>
        <v/>
      </c>
      <c r="CA974">
        <f t="shared" ca="1" si="441"/>
        <v>-3515452.8662109179</v>
      </c>
      <c r="CB974">
        <f t="shared" ca="1" si="442"/>
        <v>11327520.000000004</v>
      </c>
      <c r="CC974">
        <f t="shared" ca="1" si="443"/>
        <v>-14842972.866210923</v>
      </c>
      <c r="CD974">
        <f t="shared" ca="1" si="444"/>
        <v>0</v>
      </c>
      <c r="CE974">
        <f t="shared" ca="1" si="445"/>
        <v>23090347.13378913</v>
      </c>
      <c r="CF974">
        <f t="shared" ca="1" si="446"/>
        <v>23090347.13378913</v>
      </c>
      <c r="CG974">
        <f t="shared" ca="1" si="447"/>
        <v>0</v>
      </c>
      <c r="CH974" s="10" t="str">
        <f>分析データ!A974</f>
        <v/>
      </c>
    </row>
    <row r="975" spans="46:86">
      <c r="AT975">
        <f ca="1">IF(ROW()&lt;($C$7+1),"",IFERROR((分析データ!B975-AVERAGE(OFFSET(分析データ!B$1,MAX(1,ROW()-$C$7),0,MIN($C$7,ROW()-1),1)))/STDEV(OFFSET(分析データ!B$1,MAX(1,ROW()-$C$7),0,MIN($C$7,ROW()-1),1)),0))</f>
        <v>0</v>
      </c>
      <c r="AU975">
        <f t="shared" ca="1" si="420"/>
        <v>0</v>
      </c>
      <c r="AV975" t="str">
        <f ca="1">IF(AU975=1,IF(INDEX(分析データ!$A:$A,ROW()+$C$5)&lt;&gt;"",80000*SIGN(AT975)*(分析データ!B975-INDEX(分析データ!B:B,ROW()+$C$5)),""),"")</f>
        <v/>
      </c>
      <c r="AW975">
        <f t="shared" ca="1" si="421"/>
        <v>-1240000.0000000019</v>
      </c>
      <c r="AX975">
        <f t="shared" ca="1" si="422"/>
        <v>0</v>
      </c>
      <c r="AY975">
        <f t="shared" ca="1" si="423"/>
        <v>-1240000.0000000019</v>
      </c>
      <c r="AZ975">
        <f ca="1">IF(ROW()&lt;($C$7+1),"",IFERROR((分析データ!C975-AVERAGE(OFFSET(分析データ!C$1,MAX(1,ROW()-$C$7),0,MIN($C$7,ROW()-1),1)))/STDEV(OFFSET(分析データ!C$1,MAX(1,ROW()-$C$7),0,MIN($C$7,ROW()-1),1)),0))</f>
        <v>0</v>
      </c>
      <c r="BA975">
        <f t="shared" ca="1" si="424"/>
        <v>0</v>
      </c>
      <c r="BB975" t="str">
        <f ca="1">IF(BA975=1,IF(INDEX(分析データ!$A:$A,ROW()+$C$5)&lt;&gt;"",60000*SIGN(AZ975)*(分析データ!C975-INDEX(分析データ!C:C,ROW()+$C$5)),""),"")</f>
        <v/>
      </c>
      <c r="BC975">
        <f t="shared" ca="1" si="425"/>
        <v>-260999.9999999851</v>
      </c>
      <c r="BD975">
        <f t="shared" ca="1" si="426"/>
        <v>3156000.0000000107</v>
      </c>
      <c r="BE975">
        <f t="shared" ca="1" si="427"/>
        <v>-3416999.9999999958</v>
      </c>
      <c r="BF975">
        <f ca="1">IF(ROW()&lt;($C$7+1),"",IFERROR((分析データ!D975-AVERAGE(OFFSET(分析データ!D$1,MAX(1,ROW()-$C$7),0,MIN($C$7,ROW()-1),1)))/STDEV(OFFSET(分析データ!D$1,MAX(1,ROW()-$C$7),0,MIN($C$7,ROW()-1),1)),0))</f>
        <v>0</v>
      </c>
      <c r="BG975">
        <f t="shared" ca="1" si="428"/>
        <v>0</v>
      </c>
      <c r="BH975" t="str">
        <f ca="1">IF(BG975=1,IF(INDEX(分析データ!$A:$A,ROW()+$C$5)&lt;&gt;"",50000*SIGN(BF975)*(分析データ!D975-INDEX(分析データ!D:D,ROW()+$C$5)),""),"")</f>
        <v/>
      </c>
      <c r="BI975">
        <f t="shared" ca="1" si="429"/>
        <v>5570000.0000000205</v>
      </c>
      <c r="BJ975">
        <f t="shared" ca="1" si="430"/>
        <v>5570000.0000000205</v>
      </c>
      <c r="BK975">
        <f t="shared" ca="1" si="431"/>
        <v>0</v>
      </c>
      <c r="BL975">
        <f ca="1">IF(ROW()&lt;($C$7+1),"",IFERROR((分析データ!E975-AVERAGE(OFFSET(分析データ!E$1,MAX(1,ROW()-$C$7),0,MIN($C$7,ROW()-1),1)))/STDEV(OFFSET(分析データ!E$1,MAX(1,ROW()-$C$7),0,MIN($C$7,ROW()-1),1)),0))</f>
        <v>0</v>
      </c>
      <c r="BM975">
        <f t="shared" ca="1" si="432"/>
        <v>0</v>
      </c>
      <c r="BN975" t="str">
        <f ca="1">IF(BM975=1,IF(INDEX(分析データ!$A:$A,ROW()+$C$5)&lt;&gt;"",40000*SIGN(BL975)*(分析データ!E975-INDEX(分析データ!E:E,ROW()+$C$5)),""),"")</f>
        <v/>
      </c>
      <c r="BO975">
        <f t="shared" ca="1" si="433"/>
        <v>2720000.0000000014</v>
      </c>
      <c r="BP975">
        <f t="shared" ca="1" si="434"/>
        <v>4280000.0000000028</v>
      </c>
      <c r="BQ975">
        <f t="shared" ca="1" si="435"/>
        <v>-1560000.0000000014</v>
      </c>
      <c r="BR975">
        <f ca="1">IF(ROW()&lt;($C$7+1),"",IFERROR((分析データ!F975-AVERAGE(OFFSET(分析データ!F$1,MAX(1,ROW()-$C$7),0,MIN($C$7,ROW()-1),1)))/STDEV(OFFSET(分析データ!F$1,MAX(1,ROW()-$C$7),0,MIN($C$7,ROW()-1),1)),0))</f>
        <v>0</v>
      </c>
      <c r="BS975">
        <f t="shared" ca="1" si="436"/>
        <v>0</v>
      </c>
      <c r="BT975" t="str">
        <f ca="1">IF(BS975=1,IF(INDEX(分析データ!$A:$A,ROW()+$C$5)&lt;&gt;"",40000*SIGN(BR975)*(分析データ!F975-INDEX(分析データ!F:F,ROW()+$C$5)),""),"")</f>
        <v/>
      </c>
      <c r="BU975">
        <f t="shared" ca="1" si="437"/>
        <v>19816800</v>
      </c>
      <c r="BV975">
        <f t="shared" ca="1" si="438"/>
        <v>19816800</v>
      </c>
      <c r="BW975">
        <f t="shared" ca="1" si="439"/>
        <v>0</v>
      </c>
      <c r="BX975">
        <f ca="1">IF(ROW()&lt;($C$7+1),"",IFERROR((分析データ!G975-AVERAGE(OFFSET(分析データ!G$1,MAX(1,ROW()-$C$7),0,MIN($C$7,ROW()-1),1)))/STDEV(OFFSET(分析データ!G$1,MAX(1,ROW()-$C$7),0,MIN($C$7,ROW()-1),1)),0))</f>
        <v>0</v>
      </c>
      <c r="BY975">
        <f t="shared" ca="1" si="440"/>
        <v>0</v>
      </c>
      <c r="BZ975" t="str">
        <f ca="1">IF(BY975=1,IF(INDEX(分析データ!$A:$A,ROW()+$C$5)&lt;&gt;"",40000*SIGN(BX975)*(分析データ!G975-INDEX(分析データ!G:G,ROW()+$C$5)),""),"")</f>
        <v/>
      </c>
      <c r="CA975">
        <f t="shared" ca="1" si="441"/>
        <v>-3515452.8662109179</v>
      </c>
      <c r="CB975">
        <f t="shared" ca="1" si="442"/>
        <v>11327520.000000004</v>
      </c>
      <c r="CC975">
        <f t="shared" ca="1" si="443"/>
        <v>-14842972.866210923</v>
      </c>
      <c r="CD975">
        <f t="shared" ca="1" si="444"/>
        <v>0</v>
      </c>
      <c r="CE975">
        <f t="shared" ca="1" si="445"/>
        <v>23090347.13378913</v>
      </c>
      <c r="CF975">
        <f t="shared" ca="1" si="446"/>
        <v>23090347.13378913</v>
      </c>
      <c r="CG975">
        <f t="shared" ca="1" si="447"/>
        <v>0</v>
      </c>
      <c r="CH975" s="10" t="str">
        <f>分析データ!A975</f>
        <v/>
      </c>
    </row>
    <row r="976" spans="46:86">
      <c r="AT976">
        <f ca="1">IF(ROW()&lt;($C$7+1),"",IFERROR((分析データ!B976-AVERAGE(OFFSET(分析データ!B$1,MAX(1,ROW()-$C$7),0,MIN($C$7,ROW()-1),1)))/STDEV(OFFSET(分析データ!B$1,MAX(1,ROW()-$C$7),0,MIN($C$7,ROW()-1),1)),0))</f>
        <v>0</v>
      </c>
      <c r="AU976">
        <f t="shared" ca="1" si="420"/>
        <v>0</v>
      </c>
      <c r="AV976" t="str">
        <f ca="1">IF(AU976=1,IF(INDEX(分析データ!$A:$A,ROW()+$C$5)&lt;&gt;"",80000*SIGN(AT976)*(分析データ!B976-INDEX(分析データ!B:B,ROW()+$C$5)),""),"")</f>
        <v/>
      </c>
      <c r="AW976">
        <f t="shared" ca="1" si="421"/>
        <v>-1240000.0000000019</v>
      </c>
      <c r="AX976">
        <f t="shared" ca="1" si="422"/>
        <v>0</v>
      </c>
      <c r="AY976">
        <f t="shared" ca="1" si="423"/>
        <v>-1240000.0000000019</v>
      </c>
      <c r="AZ976">
        <f ca="1">IF(ROW()&lt;($C$7+1),"",IFERROR((分析データ!C976-AVERAGE(OFFSET(分析データ!C$1,MAX(1,ROW()-$C$7),0,MIN($C$7,ROW()-1),1)))/STDEV(OFFSET(分析データ!C$1,MAX(1,ROW()-$C$7),0,MIN($C$7,ROW()-1),1)),0))</f>
        <v>0</v>
      </c>
      <c r="BA976">
        <f t="shared" ca="1" si="424"/>
        <v>0</v>
      </c>
      <c r="BB976" t="str">
        <f ca="1">IF(BA976=1,IF(INDEX(分析データ!$A:$A,ROW()+$C$5)&lt;&gt;"",60000*SIGN(AZ976)*(分析データ!C976-INDEX(分析データ!C:C,ROW()+$C$5)),""),"")</f>
        <v/>
      </c>
      <c r="BC976">
        <f t="shared" ca="1" si="425"/>
        <v>-260999.9999999851</v>
      </c>
      <c r="BD976">
        <f t="shared" ca="1" si="426"/>
        <v>3156000.0000000107</v>
      </c>
      <c r="BE976">
        <f t="shared" ca="1" si="427"/>
        <v>-3416999.9999999958</v>
      </c>
      <c r="BF976">
        <f ca="1">IF(ROW()&lt;($C$7+1),"",IFERROR((分析データ!D976-AVERAGE(OFFSET(分析データ!D$1,MAX(1,ROW()-$C$7),0,MIN($C$7,ROW()-1),1)))/STDEV(OFFSET(分析データ!D$1,MAX(1,ROW()-$C$7),0,MIN($C$7,ROW()-1),1)),0))</f>
        <v>0</v>
      </c>
      <c r="BG976">
        <f t="shared" ca="1" si="428"/>
        <v>0</v>
      </c>
      <c r="BH976" t="str">
        <f ca="1">IF(BG976=1,IF(INDEX(分析データ!$A:$A,ROW()+$C$5)&lt;&gt;"",50000*SIGN(BF976)*(分析データ!D976-INDEX(分析データ!D:D,ROW()+$C$5)),""),"")</f>
        <v/>
      </c>
      <c r="BI976">
        <f t="shared" ca="1" si="429"/>
        <v>5570000.0000000205</v>
      </c>
      <c r="BJ976">
        <f t="shared" ca="1" si="430"/>
        <v>5570000.0000000205</v>
      </c>
      <c r="BK976">
        <f t="shared" ca="1" si="431"/>
        <v>0</v>
      </c>
      <c r="BL976">
        <f ca="1">IF(ROW()&lt;($C$7+1),"",IFERROR((分析データ!E976-AVERAGE(OFFSET(分析データ!E$1,MAX(1,ROW()-$C$7),0,MIN($C$7,ROW()-1),1)))/STDEV(OFFSET(分析データ!E$1,MAX(1,ROW()-$C$7),0,MIN($C$7,ROW()-1),1)),0))</f>
        <v>0</v>
      </c>
      <c r="BM976">
        <f t="shared" ca="1" si="432"/>
        <v>0</v>
      </c>
      <c r="BN976" t="str">
        <f ca="1">IF(BM976=1,IF(INDEX(分析データ!$A:$A,ROW()+$C$5)&lt;&gt;"",40000*SIGN(BL976)*(分析データ!E976-INDEX(分析データ!E:E,ROW()+$C$5)),""),"")</f>
        <v/>
      </c>
      <c r="BO976">
        <f t="shared" ca="1" si="433"/>
        <v>2720000.0000000014</v>
      </c>
      <c r="BP976">
        <f t="shared" ca="1" si="434"/>
        <v>4280000.0000000028</v>
      </c>
      <c r="BQ976">
        <f t="shared" ca="1" si="435"/>
        <v>-1560000.0000000014</v>
      </c>
      <c r="BR976">
        <f ca="1">IF(ROW()&lt;($C$7+1),"",IFERROR((分析データ!F976-AVERAGE(OFFSET(分析データ!F$1,MAX(1,ROW()-$C$7),0,MIN($C$7,ROW()-1),1)))/STDEV(OFFSET(分析データ!F$1,MAX(1,ROW()-$C$7),0,MIN($C$7,ROW()-1),1)),0))</f>
        <v>0</v>
      </c>
      <c r="BS976">
        <f t="shared" ca="1" si="436"/>
        <v>0</v>
      </c>
      <c r="BT976" t="str">
        <f ca="1">IF(BS976=1,IF(INDEX(分析データ!$A:$A,ROW()+$C$5)&lt;&gt;"",40000*SIGN(BR976)*(分析データ!F976-INDEX(分析データ!F:F,ROW()+$C$5)),""),"")</f>
        <v/>
      </c>
      <c r="BU976">
        <f t="shared" ca="1" si="437"/>
        <v>19816800</v>
      </c>
      <c r="BV976">
        <f t="shared" ca="1" si="438"/>
        <v>19816800</v>
      </c>
      <c r="BW976">
        <f t="shared" ca="1" si="439"/>
        <v>0</v>
      </c>
      <c r="BX976">
        <f ca="1">IF(ROW()&lt;($C$7+1),"",IFERROR((分析データ!G976-AVERAGE(OFFSET(分析データ!G$1,MAX(1,ROW()-$C$7),0,MIN($C$7,ROW()-1),1)))/STDEV(OFFSET(分析データ!G$1,MAX(1,ROW()-$C$7),0,MIN($C$7,ROW()-1),1)),0))</f>
        <v>0</v>
      </c>
      <c r="BY976">
        <f t="shared" ca="1" si="440"/>
        <v>0</v>
      </c>
      <c r="BZ976" t="str">
        <f ca="1">IF(BY976=1,IF(INDEX(分析データ!$A:$A,ROW()+$C$5)&lt;&gt;"",40000*SIGN(BX976)*(分析データ!G976-INDEX(分析データ!G:G,ROW()+$C$5)),""),"")</f>
        <v/>
      </c>
      <c r="CA976">
        <f t="shared" ca="1" si="441"/>
        <v>-3515452.8662109179</v>
      </c>
      <c r="CB976">
        <f t="shared" ca="1" si="442"/>
        <v>11327520.000000004</v>
      </c>
      <c r="CC976">
        <f t="shared" ca="1" si="443"/>
        <v>-14842972.866210923</v>
      </c>
      <c r="CD976">
        <f t="shared" ca="1" si="444"/>
        <v>0</v>
      </c>
      <c r="CE976">
        <f t="shared" ca="1" si="445"/>
        <v>23090347.13378913</v>
      </c>
      <c r="CF976">
        <f t="shared" ca="1" si="446"/>
        <v>23090347.13378913</v>
      </c>
      <c r="CG976">
        <f t="shared" ca="1" si="447"/>
        <v>0</v>
      </c>
      <c r="CH976" s="10" t="str">
        <f>分析データ!A976</f>
        <v/>
      </c>
    </row>
    <row r="977" spans="46:86">
      <c r="AT977">
        <f ca="1">IF(ROW()&lt;($C$7+1),"",IFERROR((分析データ!B977-AVERAGE(OFFSET(分析データ!B$1,MAX(1,ROW()-$C$7),0,MIN($C$7,ROW()-1),1)))/STDEV(OFFSET(分析データ!B$1,MAX(1,ROW()-$C$7),0,MIN($C$7,ROW()-1),1)),0))</f>
        <v>0</v>
      </c>
      <c r="AU977">
        <f t="shared" ca="1" si="420"/>
        <v>0</v>
      </c>
      <c r="AV977" t="str">
        <f ca="1">IF(AU977=1,IF(INDEX(分析データ!$A:$A,ROW()+$C$5)&lt;&gt;"",80000*SIGN(AT977)*(分析データ!B977-INDEX(分析データ!B:B,ROW()+$C$5)),""),"")</f>
        <v/>
      </c>
      <c r="AW977">
        <f t="shared" ca="1" si="421"/>
        <v>-1240000.0000000019</v>
      </c>
      <c r="AX977">
        <f t="shared" ca="1" si="422"/>
        <v>0</v>
      </c>
      <c r="AY977">
        <f t="shared" ca="1" si="423"/>
        <v>-1240000.0000000019</v>
      </c>
      <c r="AZ977">
        <f ca="1">IF(ROW()&lt;($C$7+1),"",IFERROR((分析データ!C977-AVERAGE(OFFSET(分析データ!C$1,MAX(1,ROW()-$C$7),0,MIN($C$7,ROW()-1),1)))/STDEV(OFFSET(分析データ!C$1,MAX(1,ROW()-$C$7),0,MIN($C$7,ROW()-1),1)),0))</f>
        <v>0</v>
      </c>
      <c r="BA977">
        <f t="shared" ca="1" si="424"/>
        <v>0</v>
      </c>
      <c r="BB977" t="str">
        <f ca="1">IF(BA977=1,IF(INDEX(分析データ!$A:$A,ROW()+$C$5)&lt;&gt;"",60000*SIGN(AZ977)*(分析データ!C977-INDEX(分析データ!C:C,ROW()+$C$5)),""),"")</f>
        <v/>
      </c>
      <c r="BC977">
        <f t="shared" ca="1" si="425"/>
        <v>-260999.9999999851</v>
      </c>
      <c r="BD977">
        <f t="shared" ca="1" si="426"/>
        <v>3156000.0000000107</v>
      </c>
      <c r="BE977">
        <f t="shared" ca="1" si="427"/>
        <v>-3416999.9999999958</v>
      </c>
      <c r="BF977">
        <f ca="1">IF(ROW()&lt;($C$7+1),"",IFERROR((分析データ!D977-AVERAGE(OFFSET(分析データ!D$1,MAX(1,ROW()-$C$7),0,MIN($C$7,ROW()-1),1)))/STDEV(OFFSET(分析データ!D$1,MAX(1,ROW()-$C$7),0,MIN($C$7,ROW()-1),1)),0))</f>
        <v>0</v>
      </c>
      <c r="BG977">
        <f t="shared" ca="1" si="428"/>
        <v>0</v>
      </c>
      <c r="BH977" t="str">
        <f ca="1">IF(BG977=1,IF(INDEX(分析データ!$A:$A,ROW()+$C$5)&lt;&gt;"",50000*SIGN(BF977)*(分析データ!D977-INDEX(分析データ!D:D,ROW()+$C$5)),""),"")</f>
        <v/>
      </c>
      <c r="BI977">
        <f t="shared" ca="1" si="429"/>
        <v>5570000.0000000205</v>
      </c>
      <c r="BJ977">
        <f t="shared" ca="1" si="430"/>
        <v>5570000.0000000205</v>
      </c>
      <c r="BK977">
        <f t="shared" ca="1" si="431"/>
        <v>0</v>
      </c>
      <c r="BL977">
        <f ca="1">IF(ROW()&lt;($C$7+1),"",IFERROR((分析データ!E977-AVERAGE(OFFSET(分析データ!E$1,MAX(1,ROW()-$C$7),0,MIN($C$7,ROW()-1),1)))/STDEV(OFFSET(分析データ!E$1,MAX(1,ROW()-$C$7),0,MIN($C$7,ROW()-1),1)),0))</f>
        <v>0</v>
      </c>
      <c r="BM977">
        <f t="shared" ca="1" si="432"/>
        <v>0</v>
      </c>
      <c r="BN977" t="str">
        <f ca="1">IF(BM977=1,IF(INDEX(分析データ!$A:$A,ROW()+$C$5)&lt;&gt;"",40000*SIGN(BL977)*(分析データ!E977-INDEX(分析データ!E:E,ROW()+$C$5)),""),"")</f>
        <v/>
      </c>
      <c r="BO977">
        <f t="shared" ca="1" si="433"/>
        <v>2720000.0000000014</v>
      </c>
      <c r="BP977">
        <f t="shared" ca="1" si="434"/>
        <v>4280000.0000000028</v>
      </c>
      <c r="BQ977">
        <f t="shared" ca="1" si="435"/>
        <v>-1560000.0000000014</v>
      </c>
      <c r="BR977">
        <f ca="1">IF(ROW()&lt;($C$7+1),"",IFERROR((分析データ!F977-AVERAGE(OFFSET(分析データ!F$1,MAX(1,ROW()-$C$7),0,MIN($C$7,ROW()-1),1)))/STDEV(OFFSET(分析データ!F$1,MAX(1,ROW()-$C$7),0,MIN($C$7,ROW()-1),1)),0))</f>
        <v>0</v>
      </c>
      <c r="BS977">
        <f t="shared" ca="1" si="436"/>
        <v>0</v>
      </c>
      <c r="BT977" t="str">
        <f ca="1">IF(BS977=1,IF(INDEX(分析データ!$A:$A,ROW()+$C$5)&lt;&gt;"",40000*SIGN(BR977)*(分析データ!F977-INDEX(分析データ!F:F,ROW()+$C$5)),""),"")</f>
        <v/>
      </c>
      <c r="BU977">
        <f t="shared" ca="1" si="437"/>
        <v>19816800</v>
      </c>
      <c r="BV977">
        <f t="shared" ca="1" si="438"/>
        <v>19816800</v>
      </c>
      <c r="BW977">
        <f t="shared" ca="1" si="439"/>
        <v>0</v>
      </c>
      <c r="BX977">
        <f ca="1">IF(ROW()&lt;($C$7+1),"",IFERROR((分析データ!G977-AVERAGE(OFFSET(分析データ!G$1,MAX(1,ROW()-$C$7),0,MIN($C$7,ROW()-1),1)))/STDEV(OFFSET(分析データ!G$1,MAX(1,ROW()-$C$7),0,MIN($C$7,ROW()-1),1)),0))</f>
        <v>0</v>
      </c>
      <c r="BY977">
        <f t="shared" ca="1" si="440"/>
        <v>0</v>
      </c>
      <c r="BZ977" t="str">
        <f ca="1">IF(BY977=1,IF(INDEX(分析データ!$A:$A,ROW()+$C$5)&lt;&gt;"",40000*SIGN(BX977)*(分析データ!G977-INDEX(分析データ!G:G,ROW()+$C$5)),""),"")</f>
        <v/>
      </c>
      <c r="CA977">
        <f t="shared" ca="1" si="441"/>
        <v>-3515452.8662109179</v>
      </c>
      <c r="CB977">
        <f t="shared" ca="1" si="442"/>
        <v>11327520.000000004</v>
      </c>
      <c r="CC977">
        <f t="shared" ca="1" si="443"/>
        <v>-14842972.866210923</v>
      </c>
      <c r="CD977">
        <f t="shared" ca="1" si="444"/>
        <v>0</v>
      </c>
      <c r="CE977">
        <f t="shared" ca="1" si="445"/>
        <v>23090347.13378913</v>
      </c>
      <c r="CF977">
        <f t="shared" ca="1" si="446"/>
        <v>23090347.13378913</v>
      </c>
      <c r="CG977">
        <f t="shared" ca="1" si="447"/>
        <v>0</v>
      </c>
      <c r="CH977" s="10" t="str">
        <f>分析データ!A977</f>
        <v/>
      </c>
    </row>
    <row r="978" spans="46:86">
      <c r="AT978">
        <f ca="1">IF(ROW()&lt;($C$7+1),"",IFERROR((分析データ!B978-AVERAGE(OFFSET(分析データ!B$1,MAX(1,ROW()-$C$7),0,MIN($C$7,ROW()-1),1)))/STDEV(OFFSET(分析データ!B$1,MAX(1,ROW()-$C$7),0,MIN($C$7,ROW()-1),1)),0))</f>
        <v>0</v>
      </c>
      <c r="AU978">
        <f t="shared" ca="1" si="420"/>
        <v>0</v>
      </c>
      <c r="AV978" t="str">
        <f ca="1">IF(AU978=1,IF(INDEX(分析データ!$A:$A,ROW()+$C$5)&lt;&gt;"",80000*SIGN(AT978)*(分析データ!B978-INDEX(分析データ!B:B,ROW()+$C$5)),""),"")</f>
        <v/>
      </c>
      <c r="AW978">
        <f t="shared" ca="1" si="421"/>
        <v>-1240000.0000000019</v>
      </c>
      <c r="AX978">
        <f t="shared" ca="1" si="422"/>
        <v>0</v>
      </c>
      <c r="AY978">
        <f t="shared" ca="1" si="423"/>
        <v>-1240000.0000000019</v>
      </c>
      <c r="AZ978">
        <f ca="1">IF(ROW()&lt;($C$7+1),"",IFERROR((分析データ!C978-AVERAGE(OFFSET(分析データ!C$1,MAX(1,ROW()-$C$7),0,MIN($C$7,ROW()-1),1)))/STDEV(OFFSET(分析データ!C$1,MAX(1,ROW()-$C$7),0,MIN($C$7,ROW()-1),1)),0))</f>
        <v>0</v>
      </c>
      <c r="BA978">
        <f t="shared" ca="1" si="424"/>
        <v>0</v>
      </c>
      <c r="BB978" t="str">
        <f ca="1">IF(BA978=1,IF(INDEX(分析データ!$A:$A,ROW()+$C$5)&lt;&gt;"",60000*SIGN(AZ978)*(分析データ!C978-INDEX(分析データ!C:C,ROW()+$C$5)),""),"")</f>
        <v/>
      </c>
      <c r="BC978">
        <f t="shared" ca="1" si="425"/>
        <v>-260999.9999999851</v>
      </c>
      <c r="BD978">
        <f t="shared" ca="1" si="426"/>
        <v>3156000.0000000107</v>
      </c>
      <c r="BE978">
        <f t="shared" ca="1" si="427"/>
        <v>-3416999.9999999958</v>
      </c>
      <c r="BF978">
        <f ca="1">IF(ROW()&lt;($C$7+1),"",IFERROR((分析データ!D978-AVERAGE(OFFSET(分析データ!D$1,MAX(1,ROW()-$C$7),0,MIN($C$7,ROW()-1),1)))/STDEV(OFFSET(分析データ!D$1,MAX(1,ROW()-$C$7),0,MIN($C$7,ROW()-1),1)),0))</f>
        <v>0</v>
      </c>
      <c r="BG978">
        <f t="shared" ca="1" si="428"/>
        <v>0</v>
      </c>
      <c r="BH978" t="str">
        <f ca="1">IF(BG978=1,IF(INDEX(分析データ!$A:$A,ROW()+$C$5)&lt;&gt;"",50000*SIGN(BF978)*(分析データ!D978-INDEX(分析データ!D:D,ROW()+$C$5)),""),"")</f>
        <v/>
      </c>
      <c r="BI978">
        <f t="shared" ca="1" si="429"/>
        <v>5570000.0000000205</v>
      </c>
      <c r="BJ978">
        <f t="shared" ca="1" si="430"/>
        <v>5570000.0000000205</v>
      </c>
      <c r="BK978">
        <f t="shared" ca="1" si="431"/>
        <v>0</v>
      </c>
      <c r="BL978">
        <f ca="1">IF(ROW()&lt;($C$7+1),"",IFERROR((分析データ!E978-AVERAGE(OFFSET(分析データ!E$1,MAX(1,ROW()-$C$7),0,MIN($C$7,ROW()-1),1)))/STDEV(OFFSET(分析データ!E$1,MAX(1,ROW()-$C$7),0,MIN($C$7,ROW()-1),1)),0))</f>
        <v>0</v>
      </c>
      <c r="BM978">
        <f t="shared" ca="1" si="432"/>
        <v>0</v>
      </c>
      <c r="BN978" t="str">
        <f ca="1">IF(BM978=1,IF(INDEX(分析データ!$A:$A,ROW()+$C$5)&lt;&gt;"",40000*SIGN(BL978)*(分析データ!E978-INDEX(分析データ!E:E,ROW()+$C$5)),""),"")</f>
        <v/>
      </c>
      <c r="BO978">
        <f t="shared" ca="1" si="433"/>
        <v>2720000.0000000014</v>
      </c>
      <c r="BP978">
        <f t="shared" ca="1" si="434"/>
        <v>4280000.0000000028</v>
      </c>
      <c r="BQ978">
        <f t="shared" ca="1" si="435"/>
        <v>-1560000.0000000014</v>
      </c>
      <c r="BR978">
        <f ca="1">IF(ROW()&lt;($C$7+1),"",IFERROR((分析データ!F978-AVERAGE(OFFSET(分析データ!F$1,MAX(1,ROW()-$C$7),0,MIN($C$7,ROW()-1),1)))/STDEV(OFFSET(分析データ!F$1,MAX(1,ROW()-$C$7),0,MIN($C$7,ROW()-1),1)),0))</f>
        <v>0</v>
      </c>
      <c r="BS978">
        <f t="shared" ca="1" si="436"/>
        <v>0</v>
      </c>
      <c r="BT978" t="str">
        <f ca="1">IF(BS978=1,IF(INDEX(分析データ!$A:$A,ROW()+$C$5)&lt;&gt;"",40000*SIGN(BR978)*(分析データ!F978-INDEX(分析データ!F:F,ROW()+$C$5)),""),"")</f>
        <v/>
      </c>
      <c r="BU978">
        <f t="shared" ca="1" si="437"/>
        <v>19816800</v>
      </c>
      <c r="BV978">
        <f t="shared" ca="1" si="438"/>
        <v>19816800</v>
      </c>
      <c r="BW978">
        <f t="shared" ca="1" si="439"/>
        <v>0</v>
      </c>
      <c r="BX978">
        <f ca="1">IF(ROW()&lt;($C$7+1),"",IFERROR((分析データ!G978-AVERAGE(OFFSET(分析データ!G$1,MAX(1,ROW()-$C$7),0,MIN($C$7,ROW()-1),1)))/STDEV(OFFSET(分析データ!G$1,MAX(1,ROW()-$C$7),0,MIN($C$7,ROW()-1),1)),0))</f>
        <v>0</v>
      </c>
      <c r="BY978">
        <f t="shared" ca="1" si="440"/>
        <v>0</v>
      </c>
      <c r="BZ978" t="str">
        <f ca="1">IF(BY978=1,IF(INDEX(分析データ!$A:$A,ROW()+$C$5)&lt;&gt;"",40000*SIGN(BX978)*(分析データ!G978-INDEX(分析データ!G:G,ROW()+$C$5)),""),"")</f>
        <v/>
      </c>
      <c r="CA978">
        <f t="shared" ca="1" si="441"/>
        <v>-3515452.8662109179</v>
      </c>
      <c r="CB978">
        <f t="shared" ca="1" si="442"/>
        <v>11327520.000000004</v>
      </c>
      <c r="CC978">
        <f t="shared" ca="1" si="443"/>
        <v>-14842972.866210923</v>
      </c>
      <c r="CD978">
        <f t="shared" ca="1" si="444"/>
        <v>0</v>
      </c>
      <c r="CE978">
        <f t="shared" ca="1" si="445"/>
        <v>23090347.13378913</v>
      </c>
      <c r="CF978">
        <f t="shared" ca="1" si="446"/>
        <v>23090347.13378913</v>
      </c>
      <c r="CG978">
        <f t="shared" ca="1" si="447"/>
        <v>0</v>
      </c>
      <c r="CH978" s="10" t="str">
        <f>分析データ!A978</f>
        <v/>
      </c>
    </row>
    <row r="979" spans="46:86">
      <c r="AT979">
        <f ca="1">IF(ROW()&lt;($C$7+1),"",IFERROR((分析データ!B979-AVERAGE(OFFSET(分析データ!B$1,MAX(1,ROW()-$C$7),0,MIN($C$7,ROW()-1),1)))/STDEV(OFFSET(分析データ!B$1,MAX(1,ROW()-$C$7),0,MIN($C$7,ROW()-1),1)),0))</f>
        <v>0</v>
      </c>
      <c r="AU979">
        <f t="shared" ca="1" si="420"/>
        <v>0</v>
      </c>
      <c r="AV979" t="str">
        <f ca="1">IF(AU979=1,IF(INDEX(分析データ!$A:$A,ROW()+$C$5)&lt;&gt;"",80000*SIGN(AT979)*(分析データ!B979-INDEX(分析データ!B:B,ROW()+$C$5)),""),"")</f>
        <v/>
      </c>
      <c r="AW979">
        <f t="shared" ca="1" si="421"/>
        <v>-1240000.0000000019</v>
      </c>
      <c r="AX979">
        <f t="shared" ca="1" si="422"/>
        <v>0</v>
      </c>
      <c r="AY979">
        <f t="shared" ca="1" si="423"/>
        <v>-1240000.0000000019</v>
      </c>
      <c r="AZ979">
        <f ca="1">IF(ROW()&lt;($C$7+1),"",IFERROR((分析データ!C979-AVERAGE(OFFSET(分析データ!C$1,MAX(1,ROW()-$C$7),0,MIN($C$7,ROW()-1),1)))/STDEV(OFFSET(分析データ!C$1,MAX(1,ROW()-$C$7),0,MIN($C$7,ROW()-1),1)),0))</f>
        <v>0</v>
      </c>
      <c r="BA979">
        <f t="shared" ca="1" si="424"/>
        <v>0</v>
      </c>
      <c r="BB979" t="str">
        <f ca="1">IF(BA979=1,IF(INDEX(分析データ!$A:$A,ROW()+$C$5)&lt;&gt;"",60000*SIGN(AZ979)*(分析データ!C979-INDEX(分析データ!C:C,ROW()+$C$5)),""),"")</f>
        <v/>
      </c>
      <c r="BC979">
        <f t="shared" ca="1" si="425"/>
        <v>-260999.9999999851</v>
      </c>
      <c r="BD979">
        <f t="shared" ca="1" si="426"/>
        <v>3156000.0000000107</v>
      </c>
      <c r="BE979">
        <f t="shared" ca="1" si="427"/>
        <v>-3416999.9999999958</v>
      </c>
      <c r="BF979">
        <f ca="1">IF(ROW()&lt;($C$7+1),"",IFERROR((分析データ!D979-AVERAGE(OFFSET(分析データ!D$1,MAX(1,ROW()-$C$7),0,MIN($C$7,ROW()-1),1)))/STDEV(OFFSET(分析データ!D$1,MAX(1,ROW()-$C$7),0,MIN($C$7,ROW()-1),1)),0))</f>
        <v>0</v>
      </c>
      <c r="BG979">
        <f t="shared" ca="1" si="428"/>
        <v>0</v>
      </c>
      <c r="BH979" t="str">
        <f ca="1">IF(BG979=1,IF(INDEX(分析データ!$A:$A,ROW()+$C$5)&lt;&gt;"",50000*SIGN(BF979)*(分析データ!D979-INDEX(分析データ!D:D,ROW()+$C$5)),""),"")</f>
        <v/>
      </c>
      <c r="BI979">
        <f t="shared" ca="1" si="429"/>
        <v>5570000.0000000205</v>
      </c>
      <c r="BJ979">
        <f t="shared" ca="1" si="430"/>
        <v>5570000.0000000205</v>
      </c>
      <c r="BK979">
        <f t="shared" ca="1" si="431"/>
        <v>0</v>
      </c>
      <c r="BL979">
        <f ca="1">IF(ROW()&lt;($C$7+1),"",IFERROR((分析データ!E979-AVERAGE(OFFSET(分析データ!E$1,MAX(1,ROW()-$C$7),0,MIN($C$7,ROW()-1),1)))/STDEV(OFFSET(分析データ!E$1,MAX(1,ROW()-$C$7),0,MIN($C$7,ROW()-1),1)),0))</f>
        <v>0</v>
      </c>
      <c r="BM979">
        <f t="shared" ca="1" si="432"/>
        <v>0</v>
      </c>
      <c r="BN979" t="str">
        <f ca="1">IF(BM979=1,IF(INDEX(分析データ!$A:$A,ROW()+$C$5)&lt;&gt;"",40000*SIGN(BL979)*(分析データ!E979-INDEX(分析データ!E:E,ROW()+$C$5)),""),"")</f>
        <v/>
      </c>
      <c r="BO979">
        <f t="shared" ca="1" si="433"/>
        <v>2720000.0000000014</v>
      </c>
      <c r="BP979">
        <f t="shared" ca="1" si="434"/>
        <v>4280000.0000000028</v>
      </c>
      <c r="BQ979">
        <f t="shared" ca="1" si="435"/>
        <v>-1560000.0000000014</v>
      </c>
      <c r="BR979">
        <f ca="1">IF(ROW()&lt;($C$7+1),"",IFERROR((分析データ!F979-AVERAGE(OFFSET(分析データ!F$1,MAX(1,ROW()-$C$7),0,MIN($C$7,ROW()-1),1)))/STDEV(OFFSET(分析データ!F$1,MAX(1,ROW()-$C$7),0,MIN($C$7,ROW()-1),1)),0))</f>
        <v>0</v>
      </c>
      <c r="BS979">
        <f t="shared" ca="1" si="436"/>
        <v>0</v>
      </c>
      <c r="BT979" t="str">
        <f ca="1">IF(BS979=1,IF(INDEX(分析データ!$A:$A,ROW()+$C$5)&lt;&gt;"",40000*SIGN(BR979)*(分析データ!F979-INDEX(分析データ!F:F,ROW()+$C$5)),""),"")</f>
        <v/>
      </c>
      <c r="BU979">
        <f t="shared" ca="1" si="437"/>
        <v>19816800</v>
      </c>
      <c r="BV979">
        <f t="shared" ca="1" si="438"/>
        <v>19816800</v>
      </c>
      <c r="BW979">
        <f t="shared" ca="1" si="439"/>
        <v>0</v>
      </c>
      <c r="BX979">
        <f ca="1">IF(ROW()&lt;($C$7+1),"",IFERROR((分析データ!G979-AVERAGE(OFFSET(分析データ!G$1,MAX(1,ROW()-$C$7),0,MIN($C$7,ROW()-1),1)))/STDEV(OFFSET(分析データ!G$1,MAX(1,ROW()-$C$7),0,MIN($C$7,ROW()-1),1)),0))</f>
        <v>0</v>
      </c>
      <c r="BY979">
        <f t="shared" ca="1" si="440"/>
        <v>0</v>
      </c>
      <c r="BZ979" t="str">
        <f ca="1">IF(BY979=1,IF(INDEX(分析データ!$A:$A,ROW()+$C$5)&lt;&gt;"",40000*SIGN(BX979)*(分析データ!G979-INDEX(分析データ!G:G,ROW()+$C$5)),""),"")</f>
        <v/>
      </c>
      <c r="CA979">
        <f t="shared" ca="1" si="441"/>
        <v>-3515452.8662109179</v>
      </c>
      <c r="CB979">
        <f t="shared" ca="1" si="442"/>
        <v>11327520.000000004</v>
      </c>
      <c r="CC979">
        <f t="shared" ca="1" si="443"/>
        <v>-14842972.866210923</v>
      </c>
      <c r="CD979">
        <f t="shared" ca="1" si="444"/>
        <v>0</v>
      </c>
      <c r="CE979">
        <f t="shared" ca="1" si="445"/>
        <v>23090347.13378913</v>
      </c>
      <c r="CF979">
        <f t="shared" ca="1" si="446"/>
        <v>23090347.13378913</v>
      </c>
      <c r="CG979">
        <f t="shared" ca="1" si="447"/>
        <v>0</v>
      </c>
      <c r="CH979" s="10" t="str">
        <f>分析データ!A979</f>
        <v/>
      </c>
    </row>
    <row r="980" spans="46:86">
      <c r="AT980">
        <f ca="1">IF(ROW()&lt;($C$7+1),"",IFERROR((分析データ!B980-AVERAGE(OFFSET(分析データ!B$1,MAX(1,ROW()-$C$7),0,MIN($C$7,ROW()-1),1)))/STDEV(OFFSET(分析データ!B$1,MAX(1,ROW()-$C$7),0,MIN($C$7,ROW()-1),1)),0))</f>
        <v>0</v>
      </c>
      <c r="AU980">
        <f t="shared" ca="1" si="420"/>
        <v>0</v>
      </c>
      <c r="AV980" t="str">
        <f ca="1">IF(AU980=1,IF(INDEX(分析データ!$A:$A,ROW()+$C$5)&lt;&gt;"",80000*SIGN(AT980)*(分析データ!B980-INDEX(分析データ!B:B,ROW()+$C$5)),""),"")</f>
        <v/>
      </c>
      <c r="AW980">
        <f t="shared" ca="1" si="421"/>
        <v>-1240000.0000000019</v>
      </c>
      <c r="AX980">
        <f t="shared" ca="1" si="422"/>
        <v>0</v>
      </c>
      <c r="AY980">
        <f t="shared" ca="1" si="423"/>
        <v>-1240000.0000000019</v>
      </c>
      <c r="AZ980">
        <f ca="1">IF(ROW()&lt;($C$7+1),"",IFERROR((分析データ!C980-AVERAGE(OFFSET(分析データ!C$1,MAX(1,ROW()-$C$7),0,MIN($C$7,ROW()-1),1)))/STDEV(OFFSET(分析データ!C$1,MAX(1,ROW()-$C$7),0,MIN($C$7,ROW()-1),1)),0))</f>
        <v>0</v>
      </c>
      <c r="BA980">
        <f t="shared" ca="1" si="424"/>
        <v>0</v>
      </c>
      <c r="BB980" t="str">
        <f ca="1">IF(BA980=1,IF(INDEX(分析データ!$A:$A,ROW()+$C$5)&lt;&gt;"",60000*SIGN(AZ980)*(分析データ!C980-INDEX(分析データ!C:C,ROW()+$C$5)),""),"")</f>
        <v/>
      </c>
      <c r="BC980">
        <f t="shared" ca="1" si="425"/>
        <v>-260999.9999999851</v>
      </c>
      <c r="BD980">
        <f t="shared" ca="1" si="426"/>
        <v>3156000.0000000107</v>
      </c>
      <c r="BE980">
        <f t="shared" ca="1" si="427"/>
        <v>-3416999.9999999958</v>
      </c>
      <c r="BF980">
        <f ca="1">IF(ROW()&lt;($C$7+1),"",IFERROR((分析データ!D980-AVERAGE(OFFSET(分析データ!D$1,MAX(1,ROW()-$C$7),0,MIN($C$7,ROW()-1),1)))/STDEV(OFFSET(分析データ!D$1,MAX(1,ROW()-$C$7),0,MIN($C$7,ROW()-1),1)),0))</f>
        <v>0</v>
      </c>
      <c r="BG980">
        <f t="shared" ca="1" si="428"/>
        <v>0</v>
      </c>
      <c r="BH980" t="str">
        <f ca="1">IF(BG980=1,IF(INDEX(分析データ!$A:$A,ROW()+$C$5)&lt;&gt;"",50000*SIGN(BF980)*(分析データ!D980-INDEX(分析データ!D:D,ROW()+$C$5)),""),"")</f>
        <v/>
      </c>
      <c r="BI980">
        <f t="shared" ca="1" si="429"/>
        <v>5570000.0000000205</v>
      </c>
      <c r="BJ980">
        <f t="shared" ca="1" si="430"/>
        <v>5570000.0000000205</v>
      </c>
      <c r="BK980">
        <f t="shared" ca="1" si="431"/>
        <v>0</v>
      </c>
      <c r="BL980">
        <f ca="1">IF(ROW()&lt;($C$7+1),"",IFERROR((分析データ!E980-AVERAGE(OFFSET(分析データ!E$1,MAX(1,ROW()-$C$7),0,MIN($C$7,ROW()-1),1)))/STDEV(OFFSET(分析データ!E$1,MAX(1,ROW()-$C$7),0,MIN($C$7,ROW()-1),1)),0))</f>
        <v>0</v>
      </c>
      <c r="BM980">
        <f t="shared" ca="1" si="432"/>
        <v>0</v>
      </c>
      <c r="BN980" t="str">
        <f ca="1">IF(BM980=1,IF(INDEX(分析データ!$A:$A,ROW()+$C$5)&lt;&gt;"",40000*SIGN(BL980)*(分析データ!E980-INDEX(分析データ!E:E,ROW()+$C$5)),""),"")</f>
        <v/>
      </c>
      <c r="BO980">
        <f t="shared" ca="1" si="433"/>
        <v>2720000.0000000014</v>
      </c>
      <c r="BP980">
        <f t="shared" ca="1" si="434"/>
        <v>4280000.0000000028</v>
      </c>
      <c r="BQ980">
        <f t="shared" ca="1" si="435"/>
        <v>-1560000.0000000014</v>
      </c>
      <c r="BR980">
        <f ca="1">IF(ROW()&lt;($C$7+1),"",IFERROR((分析データ!F980-AVERAGE(OFFSET(分析データ!F$1,MAX(1,ROW()-$C$7),0,MIN($C$7,ROW()-1),1)))/STDEV(OFFSET(分析データ!F$1,MAX(1,ROW()-$C$7),0,MIN($C$7,ROW()-1),1)),0))</f>
        <v>0</v>
      </c>
      <c r="BS980">
        <f t="shared" ca="1" si="436"/>
        <v>0</v>
      </c>
      <c r="BT980" t="str">
        <f ca="1">IF(BS980=1,IF(INDEX(分析データ!$A:$A,ROW()+$C$5)&lt;&gt;"",40000*SIGN(BR980)*(分析データ!F980-INDEX(分析データ!F:F,ROW()+$C$5)),""),"")</f>
        <v/>
      </c>
      <c r="BU980">
        <f t="shared" ca="1" si="437"/>
        <v>19816800</v>
      </c>
      <c r="BV980">
        <f t="shared" ca="1" si="438"/>
        <v>19816800</v>
      </c>
      <c r="BW980">
        <f t="shared" ca="1" si="439"/>
        <v>0</v>
      </c>
      <c r="BX980">
        <f ca="1">IF(ROW()&lt;($C$7+1),"",IFERROR((分析データ!G980-AVERAGE(OFFSET(分析データ!G$1,MAX(1,ROW()-$C$7),0,MIN($C$7,ROW()-1),1)))/STDEV(OFFSET(分析データ!G$1,MAX(1,ROW()-$C$7),0,MIN($C$7,ROW()-1),1)),0))</f>
        <v>0</v>
      </c>
      <c r="BY980">
        <f t="shared" ca="1" si="440"/>
        <v>0</v>
      </c>
      <c r="BZ980" t="str">
        <f ca="1">IF(BY980=1,IF(INDEX(分析データ!$A:$A,ROW()+$C$5)&lt;&gt;"",40000*SIGN(BX980)*(分析データ!G980-INDEX(分析データ!G:G,ROW()+$C$5)),""),"")</f>
        <v/>
      </c>
      <c r="CA980">
        <f t="shared" ca="1" si="441"/>
        <v>-3515452.8662109179</v>
      </c>
      <c r="CB980">
        <f t="shared" ca="1" si="442"/>
        <v>11327520.000000004</v>
      </c>
      <c r="CC980">
        <f t="shared" ca="1" si="443"/>
        <v>-14842972.866210923</v>
      </c>
      <c r="CD980">
        <f t="shared" ca="1" si="444"/>
        <v>0</v>
      </c>
      <c r="CE980">
        <f t="shared" ca="1" si="445"/>
        <v>23090347.13378913</v>
      </c>
      <c r="CF980">
        <f t="shared" ca="1" si="446"/>
        <v>23090347.13378913</v>
      </c>
      <c r="CG980">
        <f t="shared" ca="1" si="447"/>
        <v>0</v>
      </c>
      <c r="CH980" s="10" t="str">
        <f>分析データ!A980</f>
        <v/>
      </c>
    </row>
    <row r="981" spans="46:86">
      <c r="AT981">
        <f ca="1">IF(ROW()&lt;($C$7+1),"",IFERROR((分析データ!B981-AVERAGE(OFFSET(分析データ!B$1,MAX(1,ROW()-$C$7),0,MIN($C$7,ROW()-1),1)))/STDEV(OFFSET(分析データ!B$1,MAX(1,ROW()-$C$7),0,MIN($C$7,ROW()-1),1)),0))</f>
        <v>0</v>
      </c>
      <c r="AU981">
        <f t="shared" ca="1" si="420"/>
        <v>0</v>
      </c>
      <c r="AV981" t="str">
        <f ca="1">IF(AU981=1,IF(INDEX(分析データ!$A:$A,ROW()+$C$5)&lt;&gt;"",80000*SIGN(AT981)*(分析データ!B981-INDEX(分析データ!B:B,ROW()+$C$5)),""),"")</f>
        <v/>
      </c>
      <c r="AW981">
        <f t="shared" ca="1" si="421"/>
        <v>-1240000.0000000019</v>
      </c>
      <c r="AX981">
        <f t="shared" ca="1" si="422"/>
        <v>0</v>
      </c>
      <c r="AY981">
        <f t="shared" ca="1" si="423"/>
        <v>-1240000.0000000019</v>
      </c>
      <c r="AZ981">
        <f ca="1">IF(ROW()&lt;($C$7+1),"",IFERROR((分析データ!C981-AVERAGE(OFFSET(分析データ!C$1,MAX(1,ROW()-$C$7),0,MIN($C$7,ROW()-1),1)))/STDEV(OFFSET(分析データ!C$1,MAX(1,ROW()-$C$7),0,MIN($C$7,ROW()-1),1)),0))</f>
        <v>0</v>
      </c>
      <c r="BA981">
        <f t="shared" ca="1" si="424"/>
        <v>0</v>
      </c>
      <c r="BB981" t="str">
        <f ca="1">IF(BA981=1,IF(INDEX(分析データ!$A:$A,ROW()+$C$5)&lt;&gt;"",60000*SIGN(AZ981)*(分析データ!C981-INDEX(分析データ!C:C,ROW()+$C$5)),""),"")</f>
        <v/>
      </c>
      <c r="BC981">
        <f t="shared" ca="1" si="425"/>
        <v>-260999.9999999851</v>
      </c>
      <c r="BD981">
        <f t="shared" ca="1" si="426"/>
        <v>3156000.0000000107</v>
      </c>
      <c r="BE981">
        <f t="shared" ca="1" si="427"/>
        <v>-3416999.9999999958</v>
      </c>
      <c r="BF981">
        <f ca="1">IF(ROW()&lt;($C$7+1),"",IFERROR((分析データ!D981-AVERAGE(OFFSET(分析データ!D$1,MAX(1,ROW()-$C$7),0,MIN($C$7,ROW()-1),1)))/STDEV(OFFSET(分析データ!D$1,MAX(1,ROW()-$C$7),0,MIN($C$7,ROW()-1),1)),0))</f>
        <v>0</v>
      </c>
      <c r="BG981">
        <f t="shared" ca="1" si="428"/>
        <v>0</v>
      </c>
      <c r="BH981" t="str">
        <f ca="1">IF(BG981=1,IF(INDEX(分析データ!$A:$A,ROW()+$C$5)&lt;&gt;"",50000*SIGN(BF981)*(分析データ!D981-INDEX(分析データ!D:D,ROW()+$C$5)),""),"")</f>
        <v/>
      </c>
      <c r="BI981">
        <f t="shared" ca="1" si="429"/>
        <v>5570000.0000000205</v>
      </c>
      <c r="BJ981">
        <f t="shared" ca="1" si="430"/>
        <v>5570000.0000000205</v>
      </c>
      <c r="BK981">
        <f t="shared" ca="1" si="431"/>
        <v>0</v>
      </c>
      <c r="BL981">
        <f ca="1">IF(ROW()&lt;($C$7+1),"",IFERROR((分析データ!E981-AVERAGE(OFFSET(分析データ!E$1,MAX(1,ROW()-$C$7),0,MIN($C$7,ROW()-1),1)))/STDEV(OFFSET(分析データ!E$1,MAX(1,ROW()-$C$7),0,MIN($C$7,ROW()-1),1)),0))</f>
        <v>0</v>
      </c>
      <c r="BM981">
        <f t="shared" ca="1" si="432"/>
        <v>0</v>
      </c>
      <c r="BN981" t="str">
        <f ca="1">IF(BM981=1,IF(INDEX(分析データ!$A:$A,ROW()+$C$5)&lt;&gt;"",40000*SIGN(BL981)*(分析データ!E981-INDEX(分析データ!E:E,ROW()+$C$5)),""),"")</f>
        <v/>
      </c>
      <c r="BO981">
        <f t="shared" ca="1" si="433"/>
        <v>2720000.0000000014</v>
      </c>
      <c r="BP981">
        <f t="shared" ca="1" si="434"/>
        <v>4280000.0000000028</v>
      </c>
      <c r="BQ981">
        <f t="shared" ca="1" si="435"/>
        <v>-1560000.0000000014</v>
      </c>
      <c r="BR981">
        <f ca="1">IF(ROW()&lt;($C$7+1),"",IFERROR((分析データ!F981-AVERAGE(OFFSET(分析データ!F$1,MAX(1,ROW()-$C$7),0,MIN($C$7,ROW()-1),1)))/STDEV(OFFSET(分析データ!F$1,MAX(1,ROW()-$C$7),0,MIN($C$7,ROW()-1),1)),0))</f>
        <v>0</v>
      </c>
      <c r="BS981">
        <f t="shared" ca="1" si="436"/>
        <v>0</v>
      </c>
      <c r="BT981" t="str">
        <f ca="1">IF(BS981=1,IF(INDEX(分析データ!$A:$A,ROW()+$C$5)&lt;&gt;"",40000*SIGN(BR981)*(分析データ!F981-INDEX(分析データ!F:F,ROW()+$C$5)),""),"")</f>
        <v/>
      </c>
      <c r="BU981">
        <f t="shared" ca="1" si="437"/>
        <v>19816800</v>
      </c>
      <c r="BV981">
        <f t="shared" ca="1" si="438"/>
        <v>19816800</v>
      </c>
      <c r="BW981">
        <f t="shared" ca="1" si="439"/>
        <v>0</v>
      </c>
      <c r="BX981">
        <f ca="1">IF(ROW()&lt;($C$7+1),"",IFERROR((分析データ!G981-AVERAGE(OFFSET(分析データ!G$1,MAX(1,ROW()-$C$7),0,MIN($C$7,ROW()-1),1)))/STDEV(OFFSET(分析データ!G$1,MAX(1,ROW()-$C$7),0,MIN($C$7,ROW()-1),1)),0))</f>
        <v>0</v>
      </c>
      <c r="BY981">
        <f t="shared" ca="1" si="440"/>
        <v>0</v>
      </c>
      <c r="BZ981" t="str">
        <f ca="1">IF(BY981=1,IF(INDEX(分析データ!$A:$A,ROW()+$C$5)&lt;&gt;"",40000*SIGN(BX981)*(分析データ!G981-INDEX(分析データ!G:G,ROW()+$C$5)),""),"")</f>
        <v/>
      </c>
      <c r="CA981">
        <f t="shared" ca="1" si="441"/>
        <v>-3515452.8662109179</v>
      </c>
      <c r="CB981">
        <f t="shared" ca="1" si="442"/>
        <v>11327520.000000004</v>
      </c>
      <c r="CC981">
        <f t="shared" ca="1" si="443"/>
        <v>-14842972.866210923</v>
      </c>
      <c r="CD981">
        <f t="shared" ca="1" si="444"/>
        <v>0</v>
      </c>
      <c r="CE981">
        <f t="shared" ca="1" si="445"/>
        <v>23090347.13378913</v>
      </c>
      <c r="CF981">
        <f t="shared" ca="1" si="446"/>
        <v>23090347.13378913</v>
      </c>
      <c r="CG981">
        <f t="shared" ca="1" si="447"/>
        <v>0</v>
      </c>
      <c r="CH981" s="10" t="str">
        <f>分析データ!A981</f>
        <v/>
      </c>
    </row>
    <row r="982" spans="46:86">
      <c r="AT982">
        <f ca="1">IF(ROW()&lt;($C$7+1),"",IFERROR((分析データ!B982-AVERAGE(OFFSET(分析データ!B$1,MAX(1,ROW()-$C$7),0,MIN($C$7,ROW()-1),1)))/STDEV(OFFSET(分析データ!B$1,MAX(1,ROW()-$C$7),0,MIN($C$7,ROW()-1),1)),0))</f>
        <v>0</v>
      </c>
      <c r="AU982">
        <f t="shared" ca="1" si="420"/>
        <v>0</v>
      </c>
      <c r="AV982" t="str">
        <f ca="1">IF(AU982=1,IF(INDEX(分析データ!$A:$A,ROW()+$C$5)&lt;&gt;"",80000*SIGN(AT982)*(分析データ!B982-INDEX(分析データ!B:B,ROW()+$C$5)),""),"")</f>
        <v/>
      </c>
      <c r="AW982">
        <f t="shared" ca="1" si="421"/>
        <v>-1240000.0000000019</v>
      </c>
      <c r="AX982">
        <f t="shared" ca="1" si="422"/>
        <v>0</v>
      </c>
      <c r="AY982">
        <f t="shared" ca="1" si="423"/>
        <v>-1240000.0000000019</v>
      </c>
      <c r="AZ982">
        <f ca="1">IF(ROW()&lt;($C$7+1),"",IFERROR((分析データ!C982-AVERAGE(OFFSET(分析データ!C$1,MAX(1,ROW()-$C$7),0,MIN($C$7,ROW()-1),1)))/STDEV(OFFSET(分析データ!C$1,MAX(1,ROW()-$C$7),0,MIN($C$7,ROW()-1),1)),0))</f>
        <v>0</v>
      </c>
      <c r="BA982">
        <f t="shared" ca="1" si="424"/>
        <v>0</v>
      </c>
      <c r="BB982" t="str">
        <f ca="1">IF(BA982=1,IF(INDEX(分析データ!$A:$A,ROW()+$C$5)&lt;&gt;"",60000*SIGN(AZ982)*(分析データ!C982-INDEX(分析データ!C:C,ROW()+$C$5)),""),"")</f>
        <v/>
      </c>
      <c r="BC982">
        <f t="shared" ca="1" si="425"/>
        <v>-260999.9999999851</v>
      </c>
      <c r="BD982">
        <f t="shared" ca="1" si="426"/>
        <v>3156000.0000000107</v>
      </c>
      <c r="BE982">
        <f t="shared" ca="1" si="427"/>
        <v>-3416999.9999999958</v>
      </c>
      <c r="BF982">
        <f ca="1">IF(ROW()&lt;($C$7+1),"",IFERROR((分析データ!D982-AVERAGE(OFFSET(分析データ!D$1,MAX(1,ROW()-$C$7),0,MIN($C$7,ROW()-1),1)))/STDEV(OFFSET(分析データ!D$1,MAX(1,ROW()-$C$7),0,MIN($C$7,ROW()-1),1)),0))</f>
        <v>0</v>
      </c>
      <c r="BG982">
        <f t="shared" ca="1" si="428"/>
        <v>0</v>
      </c>
      <c r="BH982" t="str">
        <f ca="1">IF(BG982=1,IF(INDEX(分析データ!$A:$A,ROW()+$C$5)&lt;&gt;"",50000*SIGN(BF982)*(分析データ!D982-INDEX(分析データ!D:D,ROW()+$C$5)),""),"")</f>
        <v/>
      </c>
      <c r="BI982">
        <f t="shared" ca="1" si="429"/>
        <v>5570000.0000000205</v>
      </c>
      <c r="BJ982">
        <f t="shared" ca="1" si="430"/>
        <v>5570000.0000000205</v>
      </c>
      <c r="BK982">
        <f t="shared" ca="1" si="431"/>
        <v>0</v>
      </c>
      <c r="BL982">
        <f ca="1">IF(ROW()&lt;($C$7+1),"",IFERROR((分析データ!E982-AVERAGE(OFFSET(分析データ!E$1,MAX(1,ROW()-$C$7),0,MIN($C$7,ROW()-1),1)))/STDEV(OFFSET(分析データ!E$1,MAX(1,ROW()-$C$7),0,MIN($C$7,ROW()-1),1)),0))</f>
        <v>0</v>
      </c>
      <c r="BM982">
        <f t="shared" ca="1" si="432"/>
        <v>0</v>
      </c>
      <c r="BN982" t="str">
        <f ca="1">IF(BM982=1,IF(INDEX(分析データ!$A:$A,ROW()+$C$5)&lt;&gt;"",40000*SIGN(BL982)*(分析データ!E982-INDEX(分析データ!E:E,ROW()+$C$5)),""),"")</f>
        <v/>
      </c>
      <c r="BO982">
        <f t="shared" ca="1" si="433"/>
        <v>2720000.0000000014</v>
      </c>
      <c r="BP982">
        <f t="shared" ca="1" si="434"/>
        <v>4280000.0000000028</v>
      </c>
      <c r="BQ982">
        <f t="shared" ca="1" si="435"/>
        <v>-1560000.0000000014</v>
      </c>
      <c r="BR982">
        <f ca="1">IF(ROW()&lt;($C$7+1),"",IFERROR((分析データ!F982-AVERAGE(OFFSET(分析データ!F$1,MAX(1,ROW()-$C$7),0,MIN($C$7,ROW()-1),1)))/STDEV(OFFSET(分析データ!F$1,MAX(1,ROW()-$C$7),0,MIN($C$7,ROW()-1),1)),0))</f>
        <v>0</v>
      </c>
      <c r="BS982">
        <f t="shared" ca="1" si="436"/>
        <v>0</v>
      </c>
      <c r="BT982" t="str">
        <f ca="1">IF(BS982=1,IF(INDEX(分析データ!$A:$A,ROW()+$C$5)&lt;&gt;"",40000*SIGN(BR982)*(分析データ!F982-INDEX(分析データ!F:F,ROW()+$C$5)),""),"")</f>
        <v/>
      </c>
      <c r="BU982">
        <f t="shared" ca="1" si="437"/>
        <v>19816800</v>
      </c>
      <c r="BV982">
        <f t="shared" ca="1" si="438"/>
        <v>19816800</v>
      </c>
      <c r="BW982">
        <f t="shared" ca="1" si="439"/>
        <v>0</v>
      </c>
      <c r="BX982">
        <f ca="1">IF(ROW()&lt;($C$7+1),"",IFERROR((分析データ!G982-AVERAGE(OFFSET(分析データ!G$1,MAX(1,ROW()-$C$7),0,MIN($C$7,ROW()-1),1)))/STDEV(OFFSET(分析データ!G$1,MAX(1,ROW()-$C$7),0,MIN($C$7,ROW()-1),1)),0))</f>
        <v>0</v>
      </c>
      <c r="BY982">
        <f t="shared" ca="1" si="440"/>
        <v>0</v>
      </c>
      <c r="BZ982" t="str">
        <f ca="1">IF(BY982=1,IF(INDEX(分析データ!$A:$A,ROW()+$C$5)&lt;&gt;"",40000*SIGN(BX982)*(分析データ!G982-INDEX(分析データ!G:G,ROW()+$C$5)),""),"")</f>
        <v/>
      </c>
      <c r="CA982">
        <f t="shared" ca="1" si="441"/>
        <v>-3515452.8662109179</v>
      </c>
      <c r="CB982">
        <f t="shared" ca="1" si="442"/>
        <v>11327520.000000004</v>
      </c>
      <c r="CC982">
        <f t="shared" ca="1" si="443"/>
        <v>-14842972.866210923</v>
      </c>
      <c r="CD982">
        <f t="shared" ca="1" si="444"/>
        <v>0</v>
      </c>
      <c r="CE982">
        <f t="shared" ca="1" si="445"/>
        <v>23090347.13378913</v>
      </c>
      <c r="CF982">
        <f t="shared" ca="1" si="446"/>
        <v>23090347.13378913</v>
      </c>
      <c r="CG982">
        <f t="shared" ca="1" si="447"/>
        <v>0</v>
      </c>
      <c r="CH982" s="10" t="str">
        <f>分析データ!A982</f>
        <v/>
      </c>
    </row>
    <row r="983" spans="46:86">
      <c r="AT983">
        <f ca="1">IF(ROW()&lt;($C$7+1),"",IFERROR((分析データ!B983-AVERAGE(OFFSET(分析データ!B$1,MAX(1,ROW()-$C$7),0,MIN($C$7,ROW()-1),1)))/STDEV(OFFSET(分析データ!B$1,MAX(1,ROW()-$C$7),0,MIN($C$7,ROW()-1),1)),0))</f>
        <v>0</v>
      </c>
      <c r="AU983">
        <f t="shared" ca="1" si="420"/>
        <v>0</v>
      </c>
      <c r="AV983" t="str">
        <f ca="1">IF(AU983=1,IF(INDEX(分析データ!$A:$A,ROW()+$C$5)&lt;&gt;"",80000*SIGN(AT983)*(分析データ!B983-INDEX(分析データ!B:B,ROW()+$C$5)),""),"")</f>
        <v/>
      </c>
      <c r="AW983">
        <f t="shared" ca="1" si="421"/>
        <v>-1240000.0000000019</v>
      </c>
      <c r="AX983">
        <f t="shared" ca="1" si="422"/>
        <v>0</v>
      </c>
      <c r="AY983">
        <f t="shared" ca="1" si="423"/>
        <v>-1240000.0000000019</v>
      </c>
      <c r="AZ983">
        <f ca="1">IF(ROW()&lt;($C$7+1),"",IFERROR((分析データ!C983-AVERAGE(OFFSET(分析データ!C$1,MAX(1,ROW()-$C$7),0,MIN($C$7,ROW()-1),1)))/STDEV(OFFSET(分析データ!C$1,MAX(1,ROW()-$C$7),0,MIN($C$7,ROW()-1),1)),0))</f>
        <v>0</v>
      </c>
      <c r="BA983">
        <f t="shared" ca="1" si="424"/>
        <v>0</v>
      </c>
      <c r="BB983" t="str">
        <f ca="1">IF(BA983=1,IF(INDEX(分析データ!$A:$A,ROW()+$C$5)&lt;&gt;"",60000*SIGN(AZ983)*(分析データ!C983-INDEX(分析データ!C:C,ROW()+$C$5)),""),"")</f>
        <v/>
      </c>
      <c r="BC983">
        <f t="shared" ca="1" si="425"/>
        <v>-260999.9999999851</v>
      </c>
      <c r="BD983">
        <f t="shared" ca="1" si="426"/>
        <v>3156000.0000000107</v>
      </c>
      <c r="BE983">
        <f t="shared" ca="1" si="427"/>
        <v>-3416999.9999999958</v>
      </c>
      <c r="BF983">
        <f ca="1">IF(ROW()&lt;($C$7+1),"",IFERROR((分析データ!D983-AVERAGE(OFFSET(分析データ!D$1,MAX(1,ROW()-$C$7),0,MIN($C$7,ROW()-1),1)))/STDEV(OFFSET(分析データ!D$1,MAX(1,ROW()-$C$7),0,MIN($C$7,ROW()-1),1)),0))</f>
        <v>0</v>
      </c>
      <c r="BG983">
        <f t="shared" ca="1" si="428"/>
        <v>0</v>
      </c>
      <c r="BH983" t="str">
        <f ca="1">IF(BG983=1,IF(INDEX(分析データ!$A:$A,ROW()+$C$5)&lt;&gt;"",50000*SIGN(BF983)*(分析データ!D983-INDEX(分析データ!D:D,ROW()+$C$5)),""),"")</f>
        <v/>
      </c>
      <c r="BI983">
        <f t="shared" ca="1" si="429"/>
        <v>5570000.0000000205</v>
      </c>
      <c r="BJ983">
        <f t="shared" ca="1" si="430"/>
        <v>5570000.0000000205</v>
      </c>
      <c r="BK983">
        <f t="shared" ca="1" si="431"/>
        <v>0</v>
      </c>
      <c r="BL983">
        <f ca="1">IF(ROW()&lt;($C$7+1),"",IFERROR((分析データ!E983-AVERAGE(OFFSET(分析データ!E$1,MAX(1,ROW()-$C$7),0,MIN($C$7,ROW()-1),1)))/STDEV(OFFSET(分析データ!E$1,MAX(1,ROW()-$C$7),0,MIN($C$7,ROW()-1),1)),0))</f>
        <v>0</v>
      </c>
      <c r="BM983">
        <f t="shared" ca="1" si="432"/>
        <v>0</v>
      </c>
      <c r="BN983" t="str">
        <f ca="1">IF(BM983=1,IF(INDEX(分析データ!$A:$A,ROW()+$C$5)&lt;&gt;"",40000*SIGN(BL983)*(分析データ!E983-INDEX(分析データ!E:E,ROW()+$C$5)),""),"")</f>
        <v/>
      </c>
      <c r="BO983">
        <f t="shared" ca="1" si="433"/>
        <v>2720000.0000000014</v>
      </c>
      <c r="BP983">
        <f t="shared" ca="1" si="434"/>
        <v>4280000.0000000028</v>
      </c>
      <c r="BQ983">
        <f t="shared" ca="1" si="435"/>
        <v>-1560000.0000000014</v>
      </c>
      <c r="BR983">
        <f ca="1">IF(ROW()&lt;($C$7+1),"",IFERROR((分析データ!F983-AVERAGE(OFFSET(分析データ!F$1,MAX(1,ROW()-$C$7),0,MIN($C$7,ROW()-1),1)))/STDEV(OFFSET(分析データ!F$1,MAX(1,ROW()-$C$7),0,MIN($C$7,ROW()-1),1)),0))</f>
        <v>0</v>
      </c>
      <c r="BS983">
        <f t="shared" ca="1" si="436"/>
        <v>0</v>
      </c>
      <c r="BT983" t="str">
        <f ca="1">IF(BS983=1,IF(INDEX(分析データ!$A:$A,ROW()+$C$5)&lt;&gt;"",40000*SIGN(BR983)*(分析データ!F983-INDEX(分析データ!F:F,ROW()+$C$5)),""),"")</f>
        <v/>
      </c>
      <c r="BU983">
        <f t="shared" ca="1" si="437"/>
        <v>19816800</v>
      </c>
      <c r="BV983">
        <f t="shared" ca="1" si="438"/>
        <v>19816800</v>
      </c>
      <c r="BW983">
        <f t="shared" ca="1" si="439"/>
        <v>0</v>
      </c>
      <c r="BX983">
        <f ca="1">IF(ROW()&lt;($C$7+1),"",IFERROR((分析データ!G983-AVERAGE(OFFSET(分析データ!G$1,MAX(1,ROW()-$C$7),0,MIN($C$7,ROW()-1),1)))/STDEV(OFFSET(分析データ!G$1,MAX(1,ROW()-$C$7),0,MIN($C$7,ROW()-1),1)),0))</f>
        <v>0</v>
      </c>
      <c r="BY983">
        <f t="shared" ca="1" si="440"/>
        <v>0</v>
      </c>
      <c r="BZ983" t="str">
        <f ca="1">IF(BY983=1,IF(INDEX(分析データ!$A:$A,ROW()+$C$5)&lt;&gt;"",40000*SIGN(BX983)*(分析データ!G983-INDEX(分析データ!G:G,ROW()+$C$5)),""),"")</f>
        <v/>
      </c>
      <c r="CA983">
        <f t="shared" ca="1" si="441"/>
        <v>-3515452.8662109179</v>
      </c>
      <c r="CB983">
        <f t="shared" ca="1" si="442"/>
        <v>11327520.000000004</v>
      </c>
      <c r="CC983">
        <f t="shared" ca="1" si="443"/>
        <v>-14842972.866210923</v>
      </c>
      <c r="CD983">
        <f t="shared" ca="1" si="444"/>
        <v>0</v>
      </c>
      <c r="CE983">
        <f t="shared" ca="1" si="445"/>
        <v>23090347.13378913</v>
      </c>
      <c r="CF983">
        <f t="shared" ca="1" si="446"/>
        <v>23090347.13378913</v>
      </c>
      <c r="CG983">
        <f t="shared" ca="1" si="447"/>
        <v>0</v>
      </c>
      <c r="CH983" s="10" t="str">
        <f>分析データ!A983</f>
        <v/>
      </c>
    </row>
    <row r="984" spans="46:86">
      <c r="AT984">
        <f ca="1">IF(ROW()&lt;($C$7+1),"",IFERROR((分析データ!B984-AVERAGE(OFFSET(分析データ!B$1,MAX(1,ROW()-$C$7),0,MIN($C$7,ROW()-1),1)))/STDEV(OFFSET(分析データ!B$1,MAX(1,ROW()-$C$7),0,MIN($C$7,ROW()-1),1)),0))</f>
        <v>0</v>
      </c>
      <c r="AU984">
        <f t="shared" ca="1" si="420"/>
        <v>0</v>
      </c>
      <c r="AV984" t="str">
        <f ca="1">IF(AU984=1,IF(INDEX(分析データ!$A:$A,ROW()+$C$5)&lt;&gt;"",80000*SIGN(AT984)*(分析データ!B984-INDEX(分析データ!B:B,ROW()+$C$5)),""),"")</f>
        <v/>
      </c>
      <c r="AW984">
        <f t="shared" ca="1" si="421"/>
        <v>-1240000.0000000019</v>
      </c>
      <c r="AX984">
        <f t="shared" ca="1" si="422"/>
        <v>0</v>
      </c>
      <c r="AY984">
        <f t="shared" ca="1" si="423"/>
        <v>-1240000.0000000019</v>
      </c>
      <c r="AZ984">
        <f ca="1">IF(ROW()&lt;($C$7+1),"",IFERROR((分析データ!C984-AVERAGE(OFFSET(分析データ!C$1,MAX(1,ROW()-$C$7),0,MIN($C$7,ROW()-1),1)))/STDEV(OFFSET(分析データ!C$1,MAX(1,ROW()-$C$7),0,MIN($C$7,ROW()-1),1)),0))</f>
        <v>0</v>
      </c>
      <c r="BA984">
        <f t="shared" ca="1" si="424"/>
        <v>0</v>
      </c>
      <c r="BB984" t="str">
        <f ca="1">IF(BA984=1,IF(INDEX(分析データ!$A:$A,ROW()+$C$5)&lt;&gt;"",60000*SIGN(AZ984)*(分析データ!C984-INDEX(分析データ!C:C,ROW()+$C$5)),""),"")</f>
        <v/>
      </c>
      <c r="BC984">
        <f t="shared" ca="1" si="425"/>
        <v>-260999.9999999851</v>
      </c>
      <c r="BD984">
        <f t="shared" ca="1" si="426"/>
        <v>3156000.0000000107</v>
      </c>
      <c r="BE984">
        <f t="shared" ca="1" si="427"/>
        <v>-3416999.9999999958</v>
      </c>
      <c r="BF984">
        <f ca="1">IF(ROW()&lt;($C$7+1),"",IFERROR((分析データ!D984-AVERAGE(OFFSET(分析データ!D$1,MAX(1,ROW()-$C$7),0,MIN($C$7,ROW()-1),1)))/STDEV(OFFSET(分析データ!D$1,MAX(1,ROW()-$C$7),0,MIN($C$7,ROW()-1),1)),0))</f>
        <v>0</v>
      </c>
      <c r="BG984">
        <f t="shared" ca="1" si="428"/>
        <v>0</v>
      </c>
      <c r="BH984" t="str">
        <f ca="1">IF(BG984=1,IF(INDEX(分析データ!$A:$A,ROW()+$C$5)&lt;&gt;"",50000*SIGN(BF984)*(分析データ!D984-INDEX(分析データ!D:D,ROW()+$C$5)),""),"")</f>
        <v/>
      </c>
      <c r="BI984">
        <f t="shared" ca="1" si="429"/>
        <v>5570000.0000000205</v>
      </c>
      <c r="BJ984">
        <f t="shared" ca="1" si="430"/>
        <v>5570000.0000000205</v>
      </c>
      <c r="BK984">
        <f t="shared" ca="1" si="431"/>
        <v>0</v>
      </c>
      <c r="BL984">
        <f ca="1">IF(ROW()&lt;($C$7+1),"",IFERROR((分析データ!E984-AVERAGE(OFFSET(分析データ!E$1,MAX(1,ROW()-$C$7),0,MIN($C$7,ROW()-1),1)))/STDEV(OFFSET(分析データ!E$1,MAX(1,ROW()-$C$7),0,MIN($C$7,ROW()-1),1)),0))</f>
        <v>0</v>
      </c>
      <c r="BM984">
        <f t="shared" ca="1" si="432"/>
        <v>0</v>
      </c>
      <c r="BN984" t="str">
        <f ca="1">IF(BM984=1,IF(INDEX(分析データ!$A:$A,ROW()+$C$5)&lt;&gt;"",40000*SIGN(BL984)*(分析データ!E984-INDEX(分析データ!E:E,ROW()+$C$5)),""),"")</f>
        <v/>
      </c>
      <c r="BO984">
        <f t="shared" ca="1" si="433"/>
        <v>2720000.0000000014</v>
      </c>
      <c r="BP984">
        <f t="shared" ca="1" si="434"/>
        <v>4280000.0000000028</v>
      </c>
      <c r="BQ984">
        <f t="shared" ca="1" si="435"/>
        <v>-1560000.0000000014</v>
      </c>
      <c r="BR984">
        <f ca="1">IF(ROW()&lt;($C$7+1),"",IFERROR((分析データ!F984-AVERAGE(OFFSET(分析データ!F$1,MAX(1,ROW()-$C$7),0,MIN($C$7,ROW()-1),1)))/STDEV(OFFSET(分析データ!F$1,MAX(1,ROW()-$C$7),0,MIN($C$7,ROW()-1),1)),0))</f>
        <v>0</v>
      </c>
      <c r="BS984">
        <f t="shared" ca="1" si="436"/>
        <v>0</v>
      </c>
      <c r="BT984" t="str">
        <f ca="1">IF(BS984=1,IF(INDEX(分析データ!$A:$A,ROW()+$C$5)&lt;&gt;"",40000*SIGN(BR984)*(分析データ!F984-INDEX(分析データ!F:F,ROW()+$C$5)),""),"")</f>
        <v/>
      </c>
      <c r="BU984">
        <f t="shared" ca="1" si="437"/>
        <v>19816800</v>
      </c>
      <c r="BV984">
        <f t="shared" ca="1" si="438"/>
        <v>19816800</v>
      </c>
      <c r="BW984">
        <f t="shared" ca="1" si="439"/>
        <v>0</v>
      </c>
      <c r="BX984">
        <f ca="1">IF(ROW()&lt;($C$7+1),"",IFERROR((分析データ!G984-AVERAGE(OFFSET(分析データ!G$1,MAX(1,ROW()-$C$7),0,MIN($C$7,ROW()-1),1)))/STDEV(OFFSET(分析データ!G$1,MAX(1,ROW()-$C$7),0,MIN($C$7,ROW()-1),1)),0))</f>
        <v>0</v>
      </c>
      <c r="BY984">
        <f t="shared" ca="1" si="440"/>
        <v>0</v>
      </c>
      <c r="BZ984" t="str">
        <f ca="1">IF(BY984=1,IF(INDEX(分析データ!$A:$A,ROW()+$C$5)&lt;&gt;"",40000*SIGN(BX984)*(分析データ!G984-INDEX(分析データ!G:G,ROW()+$C$5)),""),"")</f>
        <v/>
      </c>
      <c r="CA984">
        <f t="shared" ca="1" si="441"/>
        <v>-3515452.8662109179</v>
      </c>
      <c r="CB984">
        <f t="shared" ca="1" si="442"/>
        <v>11327520.000000004</v>
      </c>
      <c r="CC984">
        <f t="shared" ca="1" si="443"/>
        <v>-14842972.866210923</v>
      </c>
      <c r="CD984">
        <f t="shared" ca="1" si="444"/>
        <v>0</v>
      </c>
      <c r="CE984">
        <f t="shared" ca="1" si="445"/>
        <v>23090347.13378913</v>
      </c>
      <c r="CF984">
        <f t="shared" ca="1" si="446"/>
        <v>23090347.13378913</v>
      </c>
      <c r="CG984">
        <f t="shared" ca="1" si="447"/>
        <v>0</v>
      </c>
      <c r="CH984" s="10" t="str">
        <f>分析データ!A984</f>
        <v/>
      </c>
    </row>
    <row r="985" spans="46:86">
      <c r="AT985">
        <f ca="1">IF(ROW()&lt;($C$7+1),"",IFERROR((分析データ!B985-AVERAGE(OFFSET(分析データ!B$1,MAX(1,ROW()-$C$7),0,MIN($C$7,ROW()-1),1)))/STDEV(OFFSET(分析データ!B$1,MAX(1,ROW()-$C$7),0,MIN($C$7,ROW()-1),1)),0))</f>
        <v>0</v>
      </c>
      <c r="AU985">
        <f t="shared" ca="1" si="420"/>
        <v>0</v>
      </c>
      <c r="AV985" t="str">
        <f ca="1">IF(AU985=1,IF(INDEX(分析データ!$A:$A,ROW()+$C$5)&lt;&gt;"",80000*SIGN(AT985)*(分析データ!B985-INDEX(分析データ!B:B,ROW()+$C$5)),""),"")</f>
        <v/>
      </c>
      <c r="AW985">
        <f t="shared" ca="1" si="421"/>
        <v>-1240000.0000000019</v>
      </c>
      <c r="AX985">
        <f t="shared" ca="1" si="422"/>
        <v>0</v>
      </c>
      <c r="AY985">
        <f t="shared" ca="1" si="423"/>
        <v>-1240000.0000000019</v>
      </c>
      <c r="AZ985">
        <f ca="1">IF(ROW()&lt;($C$7+1),"",IFERROR((分析データ!C985-AVERAGE(OFFSET(分析データ!C$1,MAX(1,ROW()-$C$7),0,MIN($C$7,ROW()-1),1)))/STDEV(OFFSET(分析データ!C$1,MAX(1,ROW()-$C$7),0,MIN($C$7,ROW()-1),1)),0))</f>
        <v>0</v>
      </c>
      <c r="BA985">
        <f t="shared" ca="1" si="424"/>
        <v>0</v>
      </c>
      <c r="BB985" t="str">
        <f ca="1">IF(BA985=1,IF(INDEX(分析データ!$A:$A,ROW()+$C$5)&lt;&gt;"",60000*SIGN(AZ985)*(分析データ!C985-INDEX(分析データ!C:C,ROW()+$C$5)),""),"")</f>
        <v/>
      </c>
      <c r="BC985">
        <f t="shared" ca="1" si="425"/>
        <v>-260999.9999999851</v>
      </c>
      <c r="BD985">
        <f t="shared" ca="1" si="426"/>
        <v>3156000.0000000107</v>
      </c>
      <c r="BE985">
        <f t="shared" ca="1" si="427"/>
        <v>-3416999.9999999958</v>
      </c>
      <c r="BF985">
        <f ca="1">IF(ROW()&lt;($C$7+1),"",IFERROR((分析データ!D985-AVERAGE(OFFSET(分析データ!D$1,MAX(1,ROW()-$C$7),0,MIN($C$7,ROW()-1),1)))/STDEV(OFFSET(分析データ!D$1,MAX(1,ROW()-$C$7),0,MIN($C$7,ROW()-1),1)),0))</f>
        <v>0</v>
      </c>
      <c r="BG985">
        <f t="shared" ca="1" si="428"/>
        <v>0</v>
      </c>
      <c r="BH985" t="str">
        <f ca="1">IF(BG985=1,IF(INDEX(分析データ!$A:$A,ROW()+$C$5)&lt;&gt;"",50000*SIGN(BF985)*(分析データ!D985-INDEX(分析データ!D:D,ROW()+$C$5)),""),"")</f>
        <v/>
      </c>
      <c r="BI985">
        <f t="shared" ca="1" si="429"/>
        <v>5570000.0000000205</v>
      </c>
      <c r="BJ985">
        <f t="shared" ca="1" si="430"/>
        <v>5570000.0000000205</v>
      </c>
      <c r="BK985">
        <f t="shared" ca="1" si="431"/>
        <v>0</v>
      </c>
      <c r="BL985">
        <f ca="1">IF(ROW()&lt;($C$7+1),"",IFERROR((分析データ!E985-AVERAGE(OFFSET(分析データ!E$1,MAX(1,ROW()-$C$7),0,MIN($C$7,ROW()-1),1)))/STDEV(OFFSET(分析データ!E$1,MAX(1,ROW()-$C$7),0,MIN($C$7,ROW()-1),1)),0))</f>
        <v>0</v>
      </c>
      <c r="BM985">
        <f t="shared" ca="1" si="432"/>
        <v>0</v>
      </c>
      <c r="BN985" t="str">
        <f ca="1">IF(BM985=1,IF(INDEX(分析データ!$A:$A,ROW()+$C$5)&lt;&gt;"",40000*SIGN(BL985)*(分析データ!E985-INDEX(分析データ!E:E,ROW()+$C$5)),""),"")</f>
        <v/>
      </c>
      <c r="BO985">
        <f t="shared" ca="1" si="433"/>
        <v>2720000.0000000014</v>
      </c>
      <c r="BP985">
        <f t="shared" ca="1" si="434"/>
        <v>4280000.0000000028</v>
      </c>
      <c r="BQ985">
        <f t="shared" ca="1" si="435"/>
        <v>-1560000.0000000014</v>
      </c>
      <c r="BR985">
        <f ca="1">IF(ROW()&lt;($C$7+1),"",IFERROR((分析データ!F985-AVERAGE(OFFSET(分析データ!F$1,MAX(1,ROW()-$C$7),0,MIN($C$7,ROW()-1),1)))/STDEV(OFFSET(分析データ!F$1,MAX(1,ROW()-$C$7),0,MIN($C$7,ROW()-1),1)),0))</f>
        <v>0</v>
      </c>
      <c r="BS985">
        <f t="shared" ca="1" si="436"/>
        <v>0</v>
      </c>
      <c r="BT985" t="str">
        <f ca="1">IF(BS985=1,IF(INDEX(分析データ!$A:$A,ROW()+$C$5)&lt;&gt;"",40000*SIGN(BR985)*(分析データ!F985-INDEX(分析データ!F:F,ROW()+$C$5)),""),"")</f>
        <v/>
      </c>
      <c r="BU985">
        <f t="shared" ca="1" si="437"/>
        <v>19816800</v>
      </c>
      <c r="BV985">
        <f t="shared" ca="1" si="438"/>
        <v>19816800</v>
      </c>
      <c r="BW985">
        <f t="shared" ca="1" si="439"/>
        <v>0</v>
      </c>
      <c r="BX985">
        <f ca="1">IF(ROW()&lt;($C$7+1),"",IFERROR((分析データ!G985-AVERAGE(OFFSET(分析データ!G$1,MAX(1,ROW()-$C$7),0,MIN($C$7,ROW()-1),1)))/STDEV(OFFSET(分析データ!G$1,MAX(1,ROW()-$C$7),0,MIN($C$7,ROW()-1),1)),0))</f>
        <v>0</v>
      </c>
      <c r="BY985">
        <f t="shared" ca="1" si="440"/>
        <v>0</v>
      </c>
      <c r="BZ985" t="str">
        <f ca="1">IF(BY985=1,IF(INDEX(分析データ!$A:$A,ROW()+$C$5)&lt;&gt;"",40000*SIGN(BX985)*(分析データ!G985-INDEX(分析データ!G:G,ROW()+$C$5)),""),"")</f>
        <v/>
      </c>
      <c r="CA985">
        <f t="shared" ca="1" si="441"/>
        <v>-3515452.8662109179</v>
      </c>
      <c r="CB985">
        <f t="shared" ca="1" si="442"/>
        <v>11327520.000000004</v>
      </c>
      <c r="CC985">
        <f t="shared" ca="1" si="443"/>
        <v>-14842972.866210923</v>
      </c>
      <c r="CD985">
        <f t="shared" ca="1" si="444"/>
        <v>0</v>
      </c>
      <c r="CE985">
        <f t="shared" ca="1" si="445"/>
        <v>23090347.13378913</v>
      </c>
      <c r="CF985">
        <f t="shared" ca="1" si="446"/>
        <v>23090347.13378913</v>
      </c>
      <c r="CG985">
        <f t="shared" ca="1" si="447"/>
        <v>0</v>
      </c>
      <c r="CH985" s="10" t="str">
        <f>分析データ!A985</f>
        <v/>
      </c>
    </row>
    <row r="986" spans="46:86">
      <c r="AT986">
        <f ca="1">IF(ROW()&lt;($C$7+1),"",IFERROR((分析データ!B986-AVERAGE(OFFSET(分析データ!B$1,MAX(1,ROW()-$C$7),0,MIN($C$7,ROW()-1),1)))/STDEV(OFFSET(分析データ!B$1,MAX(1,ROW()-$C$7),0,MIN($C$7,ROW()-1),1)),0))</f>
        <v>0</v>
      </c>
      <c r="AU986">
        <f t="shared" ca="1" si="420"/>
        <v>0</v>
      </c>
      <c r="AV986" t="str">
        <f ca="1">IF(AU986=1,IF(INDEX(分析データ!$A:$A,ROW()+$C$5)&lt;&gt;"",80000*SIGN(AT986)*(分析データ!B986-INDEX(分析データ!B:B,ROW()+$C$5)),""),"")</f>
        <v/>
      </c>
      <c r="AW986">
        <f t="shared" ca="1" si="421"/>
        <v>-1240000.0000000019</v>
      </c>
      <c r="AX986">
        <f t="shared" ca="1" si="422"/>
        <v>0</v>
      </c>
      <c r="AY986">
        <f t="shared" ca="1" si="423"/>
        <v>-1240000.0000000019</v>
      </c>
      <c r="AZ986">
        <f ca="1">IF(ROW()&lt;($C$7+1),"",IFERROR((分析データ!C986-AVERAGE(OFFSET(分析データ!C$1,MAX(1,ROW()-$C$7),0,MIN($C$7,ROW()-1),1)))/STDEV(OFFSET(分析データ!C$1,MAX(1,ROW()-$C$7),0,MIN($C$7,ROW()-1),1)),0))</f>
        <v>0</v>
      </c>
      <c r="BA986">
        <f t="shared" ca="1" si="424"/>
        <v>0</v>
      </c>
      <c r="BB986" t="str">
        <f ca="1">IF(BA986=1,IF(INDEX(分析データ!$A:$A,ROW()+$C$5)&lt;&gt;"",60000*SIGN(AZ986)*(分析データ!C986-INDEX(分析データ!C:C,ROW()+$C$5)),""),"")</f>
        <v/>
      </c>
      <c r="BC986">
        <f t="shared" ca="1" si="425"/>
        <v>-260999.9999999851</v>
      </c>
      <c r="BD986">
        <f t="shared" ca="1" si="426"/>
        <v>3156000.0000000107</v>
      </c>
      <c r="BE986">
        <f t="shared" ca="1" si="427"/>
        <v>-3416999.9999999958</v>
      </c>
      <c r="BF986">
        <f ca="1">IF(ROW()&lt;($C$7+1),"",IFERROR((分析データ!D986-AVERAGE(OFFSET(分析データ!D$1,MAX(1,ROW()-$C$7),0,MIN($C$7,ROW()-1),1)))/STDEV(OFFSET(分析データ!D$1,MAX(1,ROW()-$C$7),0,MIN($C$7,ROW()-1),1)),0))</f>
        <v>0</v>
      </c>
      <c r="BG986">
        <f t="shared" ca="1" si="428"/>
        <v>0</v>
      </c>
      <c r="BH986" t="str">
        <f ca="1">IF(BG986=1,IF(INDEX(分析データ!$A:$A,ROW()+$C$5)&lt;&gt;"",50000*SIGN(BF986)*(分析データ!D986-INDEX(分析データ!D:D,ROW()+$C$5)),""),"")</f>
        <v/>
      </c>
      <c r="BI986">
        <f t="shared" ca="1" si="429"/>
        <v>5570000.0000000205</v>
      </c>
      <c r="BJ986">
        <f t="shared" ca="1" si="430"/>
        <v>5570000.0000000205</v>
      </c>
      <c r="BK986">
        <f t="shared" ca="1" si="431"/>
        <v>0</v>
      </c>
      <c r="BL986">
        <f ca="1">IF(ROW()&lt;($C$7+1),"",IFERROR((分析データ!E986-AVERAGE(OFFSET(分析データ!E$1,MAX(1,ROW()-$C$7),0,MIN($C$7,ROW()-1),1)))/STDEV(OFFSET(分析データ!E$1,MAX(1,ROW()-$C$7),0,MIN($C$7,ROW()-1),1)),0))</f>
        <v>0</v>
      </c>
      <c r="BM986">
        <f t="shared" ca="1" si="432"/>
        <v>0</v>
      </c>
      <c r="BN986" t="str">
        <f ca="1">IF(BM986=1,IF(INDEX(分析データ!$A:$A,ROW()+$C$5)&lt;&gt;"",40000*SIGN(BL986)*(分析データ!E986-INDEX(分析データ!E:E,ROW()+$C$5)),""),"")</f>
        <v/>
      </c>
      <c r="BO986">
        <f t="shared" ca="1" si="433"/>
        <v>2720000.0000000014</v>
      </c>
      <c r="BP986">
        <f t="shared" ca="1" si="434"/>
        <v>4280000.0000000028</v>
      </c>
      <c r="BQ986">
        <f t="shared" ca="1" si="435"/>
        <v>-1560000.0000000014</v>
      </c>
      <c r="BR986">
        <f ca="1">IF(ROW()&lt;($C$7+1),"",IFERROR((分析データ!F986-AVERAGE(OFFSET(分析データ!F$1,MAX(1,ROW()-$C$7),0,MIN($C$7,ROW()-1),1)))/STDEV(OFFSET(分析データ!F$1,MAX(1,ROW()-$C$7),0,MIN($C$7,ROW()-1),1)),0))</f>
        <v>0</v>
      </c>
      <c r="BS986">
        <f t="shared" ca="1" si="436"/>
        <v>0</v>
      </c>
      <c r="BT986" t="str">
        <f ca="1">IF(BS986=1,IF(INDEX(分析データ!$A:$A,ROW()+$C$5)&lt;&gt;"",40000*SIGN(BR986)*(分析データ!F986-INDEX(分析データ!F:F,ROW()+$C$5)),""),"")</f>
        <v/>
      </c>
      <c r="BU986">
        <f t="shared" ca="1" si="437"/>
        <v>19816800</v>
      </c>
      <c r="BV986">
        <f t="shared" ca="1" si="438"/>
        <v>19816800</v>
      </c>
      <c r="BW986">
        <f t="shared" ca="1" si="439"/>
        <v>0</v>
      </c>
      <c r="BX986">
        <f ca="1">IF(ROW()&lt;($C$7+1),"",IFERROR((分析データ!G986-AVERAGE(OFFSET(分析データ!G$1,MAX(1,ROW()-$C$7),0,MIN($C$7,ROW()-1),1)))/STDEV(OFFSET(分析データ!G$1,MAX(1,ROW()-$C$7),0,MIN($C$7,ROW()-1),1)),0))</f>
        <v>0</v>
      </c>
      <c r="BY986">
        <f t="shared" ca="1" si="440"/>
        <v>0</v>
      </c>
      <c r="BZ986" t="str">
        <f ca="1">IF(BY986=1,IF(INDEX(分析データ!$A:$A,ROW()+$C$5)&lt;&gt;"",40000*SIGN(BX986)*(分析データ!G986-INDEX(分析データ!G:G,ROW()+$C$5)),""),"")</f>
        <v/>
      </c>
      <c r="CA986">
        <f t="shared" ca="1" si="441"/>
        <v>-3515452.8662109179</v>
      </c>
      <c r="CB986">
        <f t="shared" ca="1" si="442"/>
        <v>11327520.000000004</v>
      </c>
      <c r="CC986">
        <f t="shared" ca="1" si="443"/>
        <v>-14842972.866210923</v>
      </c>
      <c r="CD986">
        <f t="shared" ca="1" si="444"/>
        <v>0</v>
      </c>
      <c r="CE986">
        <f t="shared" ca="1" si="445"/>
        <v>23090347.13378913</v>
      </c>
      <c r="CF986">
        <f t="shared" ca="1" si="446"/>
        <v>23090347.13378913</v>
      </c>
      <c r="CG986">
        <f t="shared" ca="1" si="447"/>
        <v>0</v>
      </c>
      <c r="CH986" s="10" t="str">
        <f>分析データ!A986</f>
        <v/>
      </c>
    </row>
    <row r="987" spans="46:86">
      <c r="AT987">
        <f ca="1">IF(ROW()&lt;($C$7+1),"",IFERROR((分析データ!B987-AVERAGE(OFFSET(分析データ!B$1,MAX(1,ROW()-$C$7),0,MIN($C$7,ROW()-1),1)))/STDEV(OFFSET(分析データ!B$1,MAX(1,ROW()-$C$7),0,MIN($C$7,ROW()-1),1)),0))</f>
        <v>0</v>
      </c>
      <c r="AU987">
        <f t="shared" ca="1" si="420"/>
        <v>0</v>
      </c>
      <c r="AV987" t="str">
        <f ca="1">IF(AU987=1,IF(INDEX(分析データ!$A:$A,ROW()+$C$5)&lt;&gt;"",80000*SIGN(AT987)*(分析データ!B987-INDEX(分析データ!B:B,ROW()+$C$5)),""),"")</f>
        <v/>
      </c>
      <c r="AW987">
        <f t="shared" ca="1" si="421"/>
        <v>-1240000.0000000019</v>
      </c>
      <c r="AX987">
        <f t="shared" ca="1" si="422"/>
        <v>0</v>
      </c>
      <c r="AY987">
        <f t="shared" ca="1" si="423"/>
        <v>-1240000.0000000019</v>
      </c>
      <c r="AZ987">
        <f ca="1">IF(ROW()&lt;($C$7+1),"",IFERROR((分析データ!C987-AVERAGE(OFFSET(分析データ!C$1,MAX(1,ROW()-$C$7),0,MIN($C$7,ROW()-1),1)))/STDEV(OFFSET(分析データ!C$1,MAX(1,ROW()-$C$7),0,MIN($C$7,ROW()-1),1)),0))</f>
        <v>0</v>
      </c>
      <c r="BA987">
        <f t="shared" ca="1" si="424"/>
        <v>0</v>
      </c>
      <c r="BB987" t="str">
        <f ca="1">IF(BA987=1,IF(INDEX(分析データ!$A:$A,ROW()+$C$5)&lt;&gt;"",60000*SIGN(AZ987)*(分析データ!C987-INDEX(分析データ!C:C,ROW()+$C$5)),""),"")</f>
        <v/>
      </c>
      <c r="BC987">
        <f t="shared" ca="1" si="425"/>
        <v>-260999.9999999851</v>
      </c>
      <c r="BD987">
        <f t="shared" ca="1" si="426"/>
        <v>3156000.0000000107</v>
      </c>
      <c r="BE987">
        <f t="shared" ca="1" si="427"/>
        <v>-3416999.9999999958</v>
      </c>
      <c r="BF987">
        <f ca="1">IF(ROW()&lt;($C$7+1),"",IFERROR((分析データ!D987-AVERAGE(OFFSET(分析データ!D$1,MAX(1,ROW()-$C$7),0,MIN($C$7,ROW()-1),1)))/STDEV(OFFSET(分析データ!D$1,MAX(1,ROW()-$C$7),0,MIN($C$7,ROW()-1),1)),0))</f>
        <v>0</v>
      </c>
      <c r="BG987">
        <f t="shared" ca="1" si="428"/>
        <v>0</v>
      </c>
      <c r="BH987" t="str">
        <f ca="1">IF(BG987=1,IF(INDEX(分析データ!$A:$A,ROW()+$C$5)&lt;&gt;"",50000*SIGN(BF987)*(分析データ!D987-INDEX(分析データ!D:D,ROW()+$C$5)),""),"")</f>
        <v/>
      </c>
      <c r="BI987">
        <f t="shared" ca="1" si="429"/>
        <v>5570000.0000000205</v>
      </c>
      <c r="BJ987">
        <f t="shared" ca="1" si="430"/>
        <v>5570000.0000000205</v>
      </c>
      <c r="BK987">
        <f t="shared" ca="1" si="431"/>
        <v>0</v>
      </c>
      <c r="BL987">
        <f ca="1">IF(ROW()&lt;($C$7+1),"",IFERROR((分析データ!E987-AVERAGE(OFFSET(分析データ!E$1,MAX(1,ROW()-$C$7),0,MIN($C$7,ROW()-1),1)))/STDEV(OFFSET(分析データ!E$1,MAX(1,ROW()-$C$7),0,MIN($C$7,ROW()-1),1)),0))</f>
        <v>0</v>
      </c>
      <c r="BM987">
        <f t="shared" ca="1" si="432"/>
        <v>0</v>
      </c>
      <c r="BN987" t="str">
        <f ca="1">IF(BM987=1,IF(INDEX(分析データ!$A:$A,ROW()+$C$5)&lt;&gt;"",40000*SIGN(BL987)*(分析データ!E987-INDEX(分析データ!E:E,ROW()+$C$5)),""),"")</f>
        <v/>
      </c>
      <c r="BO987">
        <f t="shared" ca="1" si="433"/>
        <v>2720000.0000000014</v>
      </c>
      <c r="BP987">
        <f t="shared" ca="1" si="434"/>
        <v>4280000.0000000028</v>
      </c>
      <c r="BQ987">
        <f t="shared" ca="1" si="435"/>
        <v>-1560000.0000000014</v>
      </c>
      <c r="BR987">
        <f ca="1">IF(ROW()&lt;($C$7+1),"",IFERROR((分析データ!F987-AVERAGE(OFFSET(分析データ!F$1,MAX(1,ROW()-$C$7),0,MIN($C$7,ROW()-1),1)))/STDEV(OFFSET(分析データ!F$1,MAX(1,ROW()-$C$7),0,MIN($C$7,ROW()-1),1)),0))</f>
        <v>0</v>
      </c>
      <c r="BS987">
        <f t="shared" ca="1" si="436"/>
        <v>0</v>
      </c>
      <c r="BT987" t="str">
        <f ca="1">IF(BS987=1,IF(INDEX(分析データ!$A:$A,ROW()+$C$5)&lt;&gt;"",40000*SIGN(BR987)*(分析データ!F987-INDEX(分析データ!F:F,ROW()+$C$5)),""),"")</f>
        <v/>
      </c>
      <c r="BU987">
        <f t="shared" ca="1" si="437"/>
        <v>19816800</v>
      </c>
      <c r="BV987">
        <f t="shared" ca="1" si="438"/>
        <v>19816800</v>
      </c>
      <c r="BW987">
        <f t="shared" ca="1" si="439"/>
        <v>0</v>
      </c>
      <c r="BX987">
        <f ca="1">IF(ROW()&lt;($C$7+1),"",IFERROR((分析データ!G987-AVERAGE(OFFSET(分析データ!G$1,MAX(1,ROW()-$C$7),0,MIN($C$7,ROW()-1),1)))/STDEV(OFFSET(分析データ!G$1,MAX(1,ROW()-$C$7),0,MIN($C$7,ROW()-1),1)),0))</f>
        <v>0</v>
      </c>
      <c r="BY987">
        <f t="shared" ca="1" si="440"/>
        <v>0</v>
      </c>
      <c r="BZ987" t="str">
        <f ca="1">IF(BY987=1,IF(INDEX(分析データ!$A:$A,ROW()+$C$5)&lt;&gt;"",40000*SIGN(BX987)*(分析データ!G987-INDEX(分析データ!G:G,ROW()+$C$5)),""),"")</f>
        <v/>
      </c>
      <c r="CA987">
        <f t="shared" ca="1" si="441"/>
        <v>-3515452.8662109179</v>
      </c>
      <c r="CB987">
        <f t="shared" ca="1" si="442"/>
        <v>11327520.000000004</v>
      </c>
      <c r="CC987">
        <f t="shared" ca="1" si="443"/>
        <v>-14842972.866210923</v>
      </c>
      <c r="CD987">
        <f t="shared" ca="1" si="444"/>
        <v>0</v>
      </c>
      <c r="CE987">
        <f t="shared" ca="1" si="445"/>
        <v>23090347.13378913</v>
      </c>
      <c r="CF987">
        <f t="shared" ca="1" si="446"/>
        <v>23090347.13378913</v>
      </c>
      <c r="CG987">
        <f t="shared" ca="1" si="447"/>
        <v>0</v>
      </c>
      <c r="CH987" s="10" t="str">
        <f>分析データ!A987</f>
        <v/>
      </c>
    </row>
    <row r="988" spans="46:86">
      <c r="AT988">
        <f ca="1">IF(ROW()&lt;($C$7+1),"",IFERROR((分析データ!B988-AVERAGE(OFFSET(分析データ!B$1,MAX(1,ROW()-$C$7),0,MIN($C$7,ROW()-1),1)))/STDEV(OFFSET(分析データ!B$1,MAX(1,ROW()-$C$7),0,MIN($C$7,ROW()-1),1)),0))</f>
        <v>0</v>
      </c>
      <c r="AU988">
        <f t="shared" ca="1" si="420"/>
        <v>0</v>
      </c>
      <c r="AV988" t="str">
        <f ca="1">IF(AU988=1,IF(INDEX(分析データ!$A:$A,ROW()+$C$5)&lt;&gt;"",80000*SIGN(AT988)*(分析データ!B988-INDEX(分析データ!B:B,ROW()+$C$5)),""),"")</f>
        <v/>
      </c>
      <c r="AW988">
        <f t="shared" ca="1" si="421"/>
        <v>-1240000.0000000019</v>
      </c>
      <c r="AX988">
        <f t="shared" ca="1" si="422"/>
        <v>0</v>
      </c>
      <c r="AY988">
        <f t="shared" ca="1" si="423"/>
        <v>-1240000.0000000019</v>
      </c>
      <c r="AZ988">
        <f ca="1">IF(ROW()&lt;($C$7+1),"",IFERROR((分析データ!C988-AVERAGE(OFFSET(分析データ!C$1,MAX(1,ROW()-$C$7),0,MIN($C$7,ROW()-1),1)))/STDEV(OFFSET(分析データ!C$1,MAX(1,ROW()-$C$7),0,MIN($C$7,ROW()-1),1)),0))</f>
        <v>0</v>
      </c>
      <c r="BA988">
        <f t="shared" ca="1" si="424"/>
        <v>0</v>
      </c>
      <c r="BB988" t="str">
        <f ca="1">IF(BA988=1,IF(INDEX(分析データ!$A:$A,ROW()+$C$5)&lt;&gt;"",60000*SIGN(AZ988)*(分析データ!C988-INDEX(分析データ!C:C,ROW()+$C$5)),""),"")</f>
        <v/>
      </c>
      <c r="BC988">
        <f t="shared" ca="1" si="425"/>
        <v>-260999.9999999851</v>
      </c>
      <c r="BD988">
        <f t="shared" ca="1" si="426"/>
        <v>3156000.0000000107</v>
      </c>
      <c r="BE988">
        <f t="shared" ca="1" si="427"/>
        <v>-3416999.9999999958</v>
      </c>
      <c r="BF988">
        <f ca="1">IF(ROW()&lt;($C$7+1),"",IFERROR((分析データ!D988-AVERAGE(OFFSET(分析データ!D$1,MAX(1,ROW()-$C$7),0,MIN($C$7,ROW()-1),1)))/STDEV(OFFSET(分析データ!D$1,MAX(1,ROW()-$C$7),0,MIN($C$7,ROW()-1),1)),0))</f>
        <v>0</v>
      </c>
      <c r="BG988">
        <f t="shared" ca="1" si="428"/>
        <v>0</v>
      </c>
      <c r="BH988" t="str">
        <f ca="1">IF(BG988=1,IF(INDEX(分析データ!$A:$A,ROW()+$C$5)&lt;&gt;"",50000*SIGN(BF988)*(分析データ!D988-INDEX(分析データ!D:D,ROW()+$C$5)),""),"")</f>
        <v/>
      </c>
      <c r="BI988">
        <f t="shared" ca="1" si="429"/>
        <v>5570000.0000000205</v>
      </c>
      <c r="BJ988">
        <f t="shared" ca="1" si="430"/>
        <v>5570000.0000000205</v>
      </c>
      <c r="BK988">
        <f t="shared" ca="1" si="431"/>
        <v>0</v>
      </c>
      <c r="BL988">
        <f ca="1">IF(ROW()&lt;($C$7+1),"",IFERROR((分析データ!E988-AVERAGE(OFFSET(分析データ!E$1,MAX(1,ROW()-$C$7),0,MIN($C$7,ROW()-1),1)))/STDEV(OFFSET(分析データ!E$1,MAX(1,ROW()-$C$7),0,MIN($C$7,ROW()-1),1)),0))</f>
        <v>0</v>
      </c>
      <c r="BM988">
        <f t="shared" ca="1" si="432"/>
        <v>0</v>
      </c>
      <c r="BN988" t="str">
        <f ca="1">IF(BM988=1,IF(INDEX(分析データ!$A:$A,ROW()+$C$5)&lt;&gt;"",40000*SIGN(BL988)*(分析データ!E988-INDEX(分析データ!E:E,ROW()+$C$5)),""),"")</f>
        <v/>
      </c>
      <c r="BO988">
        <f t="shared" ca="1" si="433"/>
        <v>2720000.0000000014</v>
      </c>
      <c r="BP988">
        <f t="shared" ca="1" si="434"/>
        <v>4280000.0000000028</v>
      </c>
      <c r="BQ988">
        <f t="shared" ca="1" si="435"/>
        <v>-1560000.0000000014</v>
      </c>
      <c r="BR988">
        <f ca="1">IF(ROW()&lt;($C$7+1),"",IFERROR((分析データ!F988-AVERAGE(OFFSET(分析データ!F$1,MAX(1,ROW()-$C$7),0,MIN($C$7,ROW()-1),1)))/STDEV(OFFSET(分析データ!F$1,MAX(1,ROW()-$C$7),0,MIN($C$7,ROW()-1),1)),0))</f>
        <v>0</v>
      </c>
      <c r="BS988">
        <f t="shared" ca="1" si="436"/>
        <v>0</v>
      </c>
      <c r="BT988" t="str">
        <f ca="1">IF(BS988=1,IF(INDEX(分析データ!$A:$A,ROW()+$C$5)&lt;&gt;"",40000*SIGN(BR988)*(分析データ!F988-INDEX(分析データ!F:F,ROW()+$C$5)),""),"")</f>
        <v/>
      </c>
      <c r="BU988">
        <f t="shared" ca="1" si="437"/>
        <v>19816800</v>
      </c>
      <c r="BV988">
        <f t="shared" ca="1" si="438"/>
        <v>19816800</v>
      </c>
      <c r="BW988">
        <f t="shared" ca="1" si="439"/>
        <v>0</v>
      </c>
      <c r="BX988">
        <f ca="1">IF(ROW()&lt;($C$7+1),"",IFERROR((分析データ!G988-AVERAGE(OFFSET(分析データ!G$1,MAX(1,ROW()-$C$7),0,MIN($C$7,ROW()-1),1)))/STDEV(OFFSET(分析データ!G$1,MAX(1,ROW()-$C$7),0,MIN($C$7,ROW()-1),1)),0))</f>
        <v>0</v>
      </c>
      <c r="BY988">
        <f t="shared" ca="1" si="440"/>
        <v>0</v>
      </c>
      <c r="BZ988" t="str">
        <f ca="1">IF(BY988=1,IF(INDEX(分析データ!$A:$A,ROW()+$C$5)&lt;&gt;"",40000*SIGN(BX988)*(分析データ!G988-INDEX(分析データ!G:G,ROW()+$C$5)),""),"")</f>
        <v/>
      </c>
      <c r="CA988">
        <f t="shared" ca="1" si="441"/>
        <v>-3515452.8662109179</v>
      </c>
      <c r="CB988">
        <f t="shared" ca="1" si="442"/>
        <v>11327520.000000004</v>
      </c>
      <c r="CC988">
        <f t="shared" ca="1" si="443"/>
        <v>-14842972.866210923</v>
      </c>
      <c r="CD988">
        <f t="shared" ca="1" si="444"/>
        <v>0</v>
      </c>
      <c r="CE988">
        <f t="shared" ca="1" si="445"/>
        <v>23090347.13378913</v>
      </c>
      <c r="CF988">
        <f t="shared" ca="1" si="446"/>
        <v>23090347.13378913</v>
      </c>
      <c r="CG988">
        <f t="shared" ca="1" si="447"/>
        <v>0</v>
      </c>
      <c r="CH988" s="10" t="str">
        <f>分析データ!A988</f>
        <v/>
      </c>
    </row>
    <row r="989" spans="46:86">
      <c r="AT989">
        <f ca="1">IF(ROW()&lt;($C$7+1),"",IFERROR((分析データ!B989-AVERAGE(OFFSET(分析データ!B$1,MAX(1,ROW()-$C$7),0,MIN($C$7,ROW()-1),1)))/STDEV(OFFSET(分析データ!B$1,MAX(1,ROW()-$C$7),0,MIN($C$7,ROW()-1),1)),0))</f>
        <v>0</v>
      </c>
      <c r="AU989">
        <f t="shared" ca="1" si="420"/>
        <v>0</v>
      </c>
      <c r="AV989" t="str">
        <f ca="1">IF(AU989=1,IF(INDEX(分析データ!$A:$A,ROW()+$C$5)&lt;&gt;"",80000*SIGN(AT989)*(分析データ!B989-INDEX(分析データ!B:B,ROW()+$C$5)),""),"")</f>
        <v/>
      </c>
      <c r="AW989">
        <f t="shared" ca="1" si="421"/>
        <v>-1240000.0000000019</v>
      </c>
      <c r="AX989">
        <f t="shared" ca="1" si="422"/>
        <v>0</v>
      </c>
      <c r="AY989">
        <f t="shared" ca="1" si="423"/>
        <v>-1240000.0000000019</v>
      </c>
      <c r="AZ989">
        <f ca="1">IF(ROW()&lt;($C$7+1),"",IFERROR((分析データ!C989-AVERAGE(OFFSET(分析データ!C$1,MAX(1,ROW()-$C$7),0,MIN($C$7,ROW()-1),1)))/STDEV(OFFSET(分析データ!C$1,MAX(1,ROW()-$C$7),0,MIN($C$7,ROW()-1),1)),0))</f>
        <v>0</v>
      </c>
      <c r="BA989">
        <f t="shared" ca="1" si="424"/>
        <v>0</v>
      </c>
      <c r="BB989" t="str">
        <f ca="1">IF(BA989=1,IF(INDEX(分析データ!$A:$A,ROW()+$C$5)&lt;&gt;"",60000*SIGN(AZ989)*(分析データ!C989-INDEX(分析データ!C:C,ROW()+$C$5)),""),"")</f>
        <v/>
      </c>
      <c r="BC989">
        <f t="shared" ca="1" si="425"/>
        <v>-260999.9999999851</v>
      </c>
      <c r="BD989">
        <f t="shared" ca="1" si="426"/>
        <v>3156000.0000000107</v>
      </c>
      <c r="BE989">
        <f t="shared" ca="1" si="427"/>
        <v>-3416999.9999999958</v>
      </c>
      <c r="BF989">
        <f ca="1">IF(ROW()&lt;($C$7+1),"",IFERROR((分析データ!D989-AVERAGE(OFFSET(分析データ!D$1,MAX(1,ROW()-$C$7),0,MIN($C$7,ROW()-1),1)))/STDEV(OFFSET(分析データ!D$1,MAX(1,ROW()-$C$7),0,MIN($C$7,ROW()-1),1)),0))</f>
        <v>0</v>
      </c>
      <c r="BG989">
        <f t="shared" ca="1" si="428"/>
        <v>0</v>
      </c>
      <c r="BH989" t="str">
        <f ca="1">IF(BG989=1,IF(INDEX(分析データ!$A:$A,ROW()+$C$5)&lt;&gt;"",50000*SIGN(BF989)*(分析データ!D989-INDEX(分析データ!D:D,ROW()+$C$5)),""),"")</f>
        <v/>
      </c>
      <c r="BI989">
        <f t="shared" ca="1" si="429"/>
        <v>5570000.0000000205</v>
      </c>
      <c r="BJ989">
        <f t="shared" ca="1" si="430"/>
        <v>5570000.0000000205</v>
      </c>
      <c r="BK989">
        <f t="shared" ca="1" si="431"/>
        <v>0</v>
      </c>
      <c r="BL989">
        <f ca="1">IF(ROW()&lt;($C$7+1),"",IFERROR((分析データ!E989-AVERAGE(OFFSET(分析データ!E$1,MAX(1,ROW()-$C$7),0,MIN($C$7,ROW()-1),1)))/STDEV(OFFSET(分析データ!E$1,MAX(1,ROW()-$C$7),0,MIN($C$7,ROW()-1),1)),0))</f>
        <v>0</v>
      </c>
      <c r="BM989">
        <f t="shared" ca="1" si="432"/>
        <v>0</v>
      </c>
      <c r="BN989" t="str">
        <f ca="1">IF(BM989=1,IF(INDEX(分析データ!$A:$A,ROW()+$C$5)&lt;&gt;"",40000*SIGN(BL989)*(分析データ!E989-INDEX(分析データ!E:E,ROW()+$C$5)),""),"")</f>
        <v/>
      </c>
      <c r="BO989">
        <f t="shared" ca="1" si="433"/>
        <v>2720000.0000000014</v>
      </c>
      <c r="BP989">
        <f t="shared" ca="1" si="434"/>
        <v>4280000.0000000028</v>
      </c>
      <c r="BQ989">
        <f t="shared" ca="1" si="435"/>
        <v>-1560000.0000000014</v>
      </c>
      <c r="BR989">
        <f ca="1">IF(ROW()&lt;($C$7+1),"",IFERROR((分析データ!F989-AVERAGE(OFFSET(分析データ!F$1,MAX(1,ROW()-$C$7),0,MIN($C$7,ROW()-1),1)))/STDEV(OFFSET(分析データ!F$1,MAX(1,ROW()-$C$7),0,MIN($C$7,ROW()-1),1)),0))</f>
        <v>0</v>
      </c>
      <c r="BS989">
        <f t="shared" ca="1" si="436"/>
        <v>0</v>
      </c>
      <c r="BT989" t="str">
        <f ca="1">IF(BS989=1,IF(INDEX(分析データ!$A:$A,ROW()+$C$5)&lt;&gt;"",40000*SIGN(BR989)*(分析データ!F989-INDEX(分析データ!F:F,ROW()+$C$5)),""),"")</f>
        <v/>
      </c>
      <c r="BU989">
        <f t="shared" ca="1" si="437"/>
        <v>19816800</v>
      </c>
      <c r="BV989">
        <f t="shared" ca="1" si="438"/>
        <v>19816800</v>
      </c>
      <c r="BW989">
        <f t="shared" ca="1" si="439"/>
        <v>0</v>
      </c>
      <c r="BX989">
        <f ca="1">IF(ROW()&lt;($C$7+1),"",IFERROR((分析データ!G989-AVERAGE(OFFSET(分析データ!G$1,MAX(1,ROW()-$C$7),0,MIN($C$7,ROW()-1),1)))/STDEV(OFFSET(分析データ!G$1,MAX(1,ROW()-$C$7),0,MIN($C$7,ROW()-1),1)),0))</f>
        <v>0</v>
      </c>
      <c r="BY989">
        <f t="shared" ca="1" si="440"/>
        <v>0</v>
      </c>
      <c r="BZ989" t="str">
        <f ca="1">IF(BY989=1,IF(INDEX(分析データ!$A:$A,ROW()+$C$5)&lt;&gt;"",40000*SIGN(BX989)*(分析データ!G989-INDEX(分析データ!G:G,ROW()+$C$5)),""),"")</f>
        <v/>
      </c>
      <c r="CA989">
        <f t="shared" ca="1" si="441"/>
        <v>-3515452.8662109179</v>
      </c>
      <c r="CB989">
        <f t="shared" ca="1" si="442"/>
        <v>11327520.000000004</v>
      </c>
      <c r="CC989">
        <f t="shared" ca="1" si="443"/>
        <v>-14842972.866210923</v>
      </c>
      <c r="CD989">
        <f t="shared" ca="1" si="444"/>
        <v>0</v>
      </c>
      <c r="CE989">
        <f t="shared" ca="1" si="445"/>
        <v>23090347.13378913</v>
      </c>
      <c r="CF989">
        <f t="shared" ca="1" si="446"/>
        <v>23090347.13378913</v>
      </c>
      <c r="CG989">
        <f t="shared" ca="1" si="447"/>
        <v>0</v>
      </c>
      <c r="CH989" s="10" t="str">
        <f>分析データ!A989</f>
        <v/>
      </c>
    </row>
    <row r="990" spans="46:86">
      <c r="AT990">
        <f ca="1">IF(ROW()&lt;($C$7+1),"",IFERROR((分析データ!B990-AVERAGE(OFFSET(分析データ!B$1,MAX(1,ROW()-$C$7),0,MIN($C$7,ROW()-1),1)))/STDEV(OFFSET(分析データ!B$1,MAX(1,ROW()-$C$7),0,MIN($C$7,ROW()-1),1)),0))</f>
        <v>0</v>
      </c>
      <c r="AU990">
        <f t="shared" ca="1" si="420"/>
        <v>0</v>
      </c>
      <c r="AV990" t="str">
        <f ca="1">IF(AU990=1,IF(INDEX(分析データ!$A:$A,ROW()+$C$5)&lt;&gt;"",80000*SIGN(AT990)*(分析データ!B990-INDEX(分析データ!B:B,ROW()+$C$5)),""),"")</f>
        <v/>
      </c>
      <c r="AW990">
        <f t="shared" ca="1" si="421"/>
        <v>-1240000.0000000019</v>
      </c>
      <c r="AX990">
        <f t="shared" ca="1" si="422"/>
        <v>0</v>
      </c>
      <c r="AY990">
        <f t="shared" ca="1" si="423"/>
        <v>-1240000.0000000019</v>
      </c>
      <c r="AZ990">
        <f ca="1">IF(ROW()&lt;($C$7+1),"",IFERROR((分析データ!C990-AVERAGE(OFFSET(分析データ!C$1,MAX(1,ROW()-$C$7),0,MIN($C$7,ROW()-1),1)))/STDEV(OFFSET(分析データ!C$1,MAX(1,ROW()-$C$7),0,MIN($C$7,ROW()-1),1)),0))</f>
        <v>0</v>
      </c>
      <c r="BA990">
        <f t="shared" ca="1" si="424"/>
        <v>0</v>
      </c>
      <c r="BB990" t="str">
        <f ca="1">IF(BA990=1,IF(INDEX(分析データ!$A:$A,ROW()+$C$5)&lt;&gt;"",60000*SIGN(AZ990)*(分析データ!C990-INDEX(分析データ!C:C,ROW()+$C$5)),""),"")</f>
        <v/>
      </c>
      <c r="BC990">
        <f t="shared" ca="1" si="425"/>
        <v>-260999.9999999851</v>
      </c>
      <c r="BD990">
        <f t="shared" ca="1" si="426"/>
        <v>3156000.0000000107</v>
      </c>
      <c r="BE990">
        <f t="shared" ca="1" si="427"/>
        <v>-3416999.9999999958</v>
      </c>
      <c r="BF990">
        <f ca="1">IF(ROW()&lt;($C$7+1),"",IFERROR((分析データ!D990-AVERAGE(OFFSET(分析データ!D$1,MAX(1,ROW()-$C$7),0,MIN($C$7,ROW()-1),1)))/STDEV(OFFSET(分析データ!D$1,MAX(1,ROW()-$C$7),0,MIN($C$7,ROW()-1),1)),0))</f>
        <v>0</v>
      </c>
      <c r="BG990">
        <f t="shared" ca="1" si="428"/>
        <v>0</v>
      </c>
      <c r="BH990" t="str">
        <f ca="1">IF(BG990=1,IF(INDEX(分析データ!$A:$A,ROW()+$C$5)&lt;&gt;"",50000*SIGN(BF990)*(分析データ!D990-INDEX(分析データ!D:D,ROW()+$C$5)),""),"")</f>
        <v/>
      </c>
      <c r="BI990">
        <f t="shared" ca="1" si="429"/>
        <v>5570000.0000000205</v>
      </c>
      <c r="BJ990">
        <f t="shared" ca="1" si="430"/>
        <v>5570000.0000000205</v>
      </c>
      <c r="BK990">
        <f t="shared" ca="1" si="431"/>
        <v>0</v>
      </c>
      <c r="BL990">
        <f ca="1">IF(ROW()&lt;($C$7+1),"",IFERROR((分析データ!E990-AVERAGE(OFFSET(分析データ!E$1,MAX(1,ROW()-$C$7),0,MIN($C$7,ROW()-1),1)))/STDEV(OFFSET(分析データ!E$1,MAX(1,ROW()-$C$7),0,MIN($C$7,ROW()-1),1)),0))</f>
        <v>0</v>
      </c>
      <c r="BM990">
        <f t="shared" ca="1" si="432"/>
        <v>0</v>
      </c>
      <c r="BN990" t="str">
        <f ca="1">IF(BM990=1,IF(INDEX(分析データ!$A:$A,ROW()+$C$5)&lt;&gt;"",40000*SIGN(BL990)*(分析データ!E990-INDEX(分析データ!E:E,ROW()+$C$5)),""),"")</f>
        <v/>
      </c>
      <c r="BO990">
        <f t="shared" ca="1" si="433"/>
        <v>2720000.0000000014</v>
      </c>
      <c r="BP990">
        <f t="shared" ca="1" si="434"/>
        <v>4280000.0000000028</v>
      </c>
      <c r="BQ990">
        <f t="shared" ca="1" si="435"/>
        <v>-1560000.0000000014</v>
      </c>
      <c r="BR990">
        <f ca="1">IF(ROW()&lt;($C$7+1),"",IFERROR((分析データ!F990-AVERAGE(OFFSET(分析データ!F$1,MAX(1,ROW()-$C$7),0,MIN($C$7,ROW()-1),1)))/STDEV(OFFSET(分析データ!F$1,MAX(1,ROW()-$C$7),0,MIN($C$7,ROW()-1),1)),0))</f>
        <v>0</v>
      </c>
      <c r="BS990">
        <f t="shared" ca="1" si="436"/>
        <v>0</v>
      </c>
      <c r="BT990" t="str">
        <f ca="1">IF(BS990=1,IF(INDEX(分析データ!$A:$A,ROW()+$C$5)&lt;&gt;"",40000*SIGN(BR990)*(分析データ!F990-INDEX(分析データ!F:F,ROW()+$C$5)),""),"")</f>
        <v/>
      </c>
      <c r="BU990">
        <f t="shared" ca="1" si="437"/>
        <v>19816800</v>
      </c>
      <c r="BV990">
        <f t="shared" ca="1" si="438"/>
        <v>19816800</v>
      </c>
      <c r="BW990">
        <f t="shared" ca="1" si="439"/>
        <v>0</v>
      </c>
      <c r="BX990">
        <f ca="1">IF(ROW()&lt;($C$7+1),"",IFERROR((分析データ!G990-AVERAGE(OFFSET(分析データ!G$1,MAX(1,ROW()-$C$7),0,MIN($C$7,ROW()-1),1)))/STDEV(OFFSET(分析データ!G$1,MAX(1,ROW()-$C$7),0,MIN($C$7,ROW()-1),1)),0))</f>
        <v>0</v>
      </c>
      <c r="BY990">
        <f t="shared" ca="1" si="440"/>
        <v>0</v>
      </c>
      <c r="BZ990" t="str">
        <f ca="1">IF(BY990=1,IF(INDEX(分析データ!$A:$A,ROW()+$C$5)&lt;&gt;"",40000*SIGN(BX990)*(分析データ!G990-INDEX(分析データ!G:G,ROW()+$C$5)),""),"")</f>
        <v/>
      </c>
      <c r="CA990">
        <f t="shared" ca="1" si="441"/>
        <v>-3515452.8662109179</v>
      </c>
      <c r="CB990">
        <f t="shared" ca="1" si="442"/>
        <v>11327520.000000004</v>
      </c>
      <c r="CC990">
        <f t="shared" ca="1" si="443"/>
        <v>-14842972.866210923</v>
      </c>
      <c r="CD990">
        <f t="shared" ca="1" si="444"/>
        <v>0</v>
      </c>
      <c r="CE990">
        <f t="shared" ca="1" si="445"/>
        <v>23090347.13378913</v>
      </c>
      <c r="CF990">
        <f t="shared" ca="1" si="446"/>
        <v>23090347.13378913</v>
      </c>
      <c r="CG990">
        <f t="shared" ca="1" si="447"/>
        <v>0</v>
      </c>
      <c r="CH990" s="10" t="str">
        <f>分析データ!A990</f>
        <v/>
      </c>
    </row>
    <row r="991" spans="46:86">
      <c r="AT991">
        <f ca="1">IF(ROW()&lt;($C$7+1),"",IFERROR((分析データ!B991-AVERAGE(OFFSET(分析データ!B$1,MAX(1,ROW()-$C$7),0,MIN($C$7,ROW()-1),1)))/STDEV(OFFSET(分析データ!B$1,MAX(1,ROW()-$C$7),0,MIN($C$7,ROW()-1),1)),0))</f>
        <v>0</v>
      </c>
      <c r="AU991">
        <f t="shared" ca="1" si="420"/>
        <v>0</v>
      </c>
      <c r="AV991" t="str">
        <f ca="1">IF(AU991=1,IF(INDEX(分析データ!$A:$A,ROW()+$C$5)&lt;&gt;"",80000*SIGN(AT991)*(分析データ!B991-INDEX(分析データ!B:B,ROW()+$C$5)),""),"")</f>
        <v/>
      </c>
      <c r="AW991">
        <f t="shared" ca="1" si="421"/>
        <v>-1240000.0000000019</v>
      </c>
      <c r="AX991">
        <f t="shared" ca="1" si="422"/>
        <v>0</v>
      </c>
      <c r="AY991">
        <f t="shared" ca="1" si="423"/>
        <v>-1240000.0000000019</v>
      </c>
      <c r="AZ991">
        <f ca="1">IF(ROW()&lt;($C$7+1),"",IFERROR((分析データ!C991-AVERAGE(OFFSET(分析データ!C$1,MAX(1,ROW()-$C$7),0,MIN($C$7,ROW()-1),1)))/STDEV(OFFSET(分析データ!C$1,MAX(1,ROW()-$C$7),0,MIN($C$7,ROW()-1),1)),0))</f>
        <v>0</v>
      </c>
      <c r="BA991">
        <f t="shared" ca="1" si="424"/>
        <v>0</v>
      </c>
      <c r="BB991" t="str">
        <f ca="1">IF(BA991=1,IF(INDEX(分析データ!$A:$A,ROW()+$C$5)&lt;&gt;"",60000*SIGN(AZ991)*(分析データ!C991-INDEX(分析データ!C:C,ROW()+$C$5)),""),"")</f>
        <v/>
      </c>
      <c r="BC991">
        <f t="shared" ca="1" si="425"/>
        <v>-260999.9999999851</v>
      </c>
      <c r="BD991">
        <f t="shared" ca="1" si="426"/>
        <v>3156000.0000000107</v>
      </c>
      <c r="BE991">
        <f t="shared" ca="1" si="427"/>
        <v>-3416999.9999999958</v>
      </c>
      <c r="BF991">
        <f ca="1">IF(ROW()&lt;($C$7+1),"",IFERROR((分析データ!D991-AVERAGE(OFFSET(分析データ!D$1,MAX(1,ROW()-$C$7),0,MIN($C$7,ROW()-1),1)))/STDEV(OFFSET(分析データ!D$1,MAX(1,ROW()-$C$7),0,MIN($C$7,ROW()-1),1)),0))</f>
        <v>0</v>
      </c>
      <c r="BG991">
        <f t="shared" ca="1" si="428"/>
        <v>0</v>
      </c>
      <c r="BH991" t="str">
        <f ca="1">IF(BG991=1,IF(INDEX(分析データ!$A:$A,ROW()+$C$5)&lt;&gt;"",50000*SIGN(BF991)*(分析データ!D991-INDEX(分析データ!D:D,ROW()+$C$5)),""),"")</f>
        <v/>
      </c>
      <c r="BI991">
        <f t="shared" ca="1" si="429"/>
        <v>5570000.0000000205</v>
      </c>
      <c r="BJ991">
        <f t="shared" ca="1" si="430"/>
        <v>5570000.0000000205</v>
      </c>
      <c r="BK991">
        <f t="shared" ca="1" si="431"/>
        <v>0</v>
      </c>
      <c r="BL991">
        <f ca="1">IF(ROW()&lt;($C$7+1),"",IFERROR((分析データ!E991-AVERAGE(OFFSET(分析データ!E$1,MAX(1,ROW()-$C$7),0,MIN($C$7,ROW()-1),1)))/STDEV(OFFSET(分析データ!E$1,MAX(1,ROW()-$C$7),0,MIN($C$7,ROW()-1),1)),0))</f>
        <v>0</v>
      </c>
      <c r="BM991">
        <f t="shared" ca="1" si="432"/>
        <v>0</v>
      </c>
      <c r="BN991" t="str">
        <f ca="1">IF(BM991=1,IF(INDEX(分析データ!$A:$A,ROW()+$C$5)&lt;&gt;"",40000*SIGN(BL991)*(分析データ!E991-INDEX(分析データ!E:E,ROW()+$C$5)),""),"")</f>
        <v/>
      </c>
      <c r="BO991">
        <f t="shared" ca="1" si="433"/>
        <v>2720000.0000000014</v>
      </c>
      <c r="BP991">
        <f t="shared" ca="1" si="434"/>
        <v>4280000.0000000028</v>
      </c>
      <c r="BQ991">
        <f t="shared" ca="1" si="435"/>
        <v>-1560000.0000000014</v>
      </c>
      <c r="BR991">
        <f ca="1">IF(ROW()&lt;($C$7+1),"",IFERROR((分析データ!F991-AVERAGE(OFFSET(分析データ!F$1,MAX(1,ROW()-$C$7),0,MIN($C$7,ROW()-1),1)))/STDEV(OFFSET(分析データ!F$1,MAX(1,ROW()-$C$7),0,MIN($C$7,ROW()-1),1)),0))</f>
        <v>0</v>
      </c>
      <c r="BS991">
        <f t="shared" ca="1" si="436"/>
        <v>0</v>
      </c>
      <c r="BT991" t="str">
        <f ca="1">IF(BS991=1,IF(INDEX(分析データ!$A:$A,ROW()+$C$5)&lt;&gt;"",40000*SIGN(BR991)*(分析データ!F991-INDEX(分析データ!F:F,ROW()+$C$5)),""),"")</f>
        <v/>
      </c>
      <c r="BU991">
        <f t="shared" ca="1" si="437"/>
        <v>19816800</v>
      </c>
      <c r="BV991">
        <f t="shared" ca="1" si="438"/>
        <v>19816800</v>
      </c>
      <c r="BW991">
        <f t="shared" ca="1" si="439"/>
        <v>0</v>
      </c>
      <c r="BX991">
        <f ca="1">IF(ROW()&lt;($C$7+1),"",IFERROR((分析データ!G991-AVERAGE(OFFSET(分析データ!G$1,MAX(1,ROW()-$C$7),0,MIN($C$7,ROW()-1),1)))/STDEV(OFFSET(分析データ!G$1,MAX(1,ROW()-$C$7),0,MIN($C$7,ROW()-1),1)),0))</f>
        <v>0</v>
      </c>
      <c r="BY991">
        <f t="shared" ca="1" si="440"/>
        <v>0</v>
      </c>
      <c r="BZ991" t="str">
        <f ca="1">IF(BY991=1,IF(INDEX(分析データ!$A:$A,ROW()+$C$5)&lt;&gt;"",40000*SIGN(BX991)*(分析データ!G991-INDEX(分析データ!G:G,ROW()+$C$5)),""),"")</f>
        <v/>
      </c>
      <c r="CA991">
        <f t="shared" ca="1" si="441"/>
        <v>-3515452.8662109179</v>
      </c>
      <c r="CB991">
        <f t="shared" ca="1" si="442"/>
        <v>11327520.000000004</v>
      </c>
      <c r="CC991">
        <f t="shared" ca="1" si="443"/>
        <v>-14842972.866210923</v>
      </c>
      <c r="CD991">
        <f t="shared" ca="1" si="444"/>
        <v>0</v>
      </c>
      <c r="CE991">
        <f t="shared" ca="1" si="445"/>
        <v>23090347.13378913</v>
      </c>
      <c r="CF991">
        <f t="shared" ca="1" si="446"/>
        <v>23090347.13378913</v>
      </c>
      <c r="CG991">
        <f t="shared" ca="1" si="447"/>
        <v>0</v>
      </c>
      <c r="CH991" s="10" t="str">
        <f>分析データ!A991</f>
        <v/>
      </c>
    </row>
    <row r="992" spans="46:86">
      <c r="AT992">
        <f ca="1">IF(ROW()&lt;($C$7+1),"",IFERROR((分析データ!B992-AVERAGE(OFFSET(分析データ!B$1,MAX(1,ROW()-$C$7),0,MIN($C$7,ROW()-1),1)))/STDEV(OFFSET(分析データ!B$1,MAX(1,ROW()-$C$7),0,MIN($C$7,ROW()-1),1)),0))</f>
        <v>0</v>
      </c>
      <c r="AU992">
        <f t="shared" ca="1" si="420"/>
        <v>0</v>
      </c>
      <c r="AV992" t="str">
        <f ca="1">IF(AU992=1,IF(INDEX(分析データ!$A:$A,ROW()+$C$5)&lt;&gt;"",80000*SIGN(AT992)*(分析データ!B992-INDEX(分析データ!B:B,ROW()+$C$5)),""),"")</f>
        <v/>
      </c>
      <c r="AW992">
        <f t="shared" ca="1" si="421"/>
        <v>-1240000.0000000019</v>
      </c>
      <c r="AX992">
        <f t="shared" ca="1" si="422"/>
        <v>0</v>
      </c>
      <c r="AY992">
        <f t="shared" ca="1" si="423"/>
        <v>-1240000.0000000019</v>
      </c>
      <c r="AZ992">
        <f ca="1">IF(ROW()&lt;($C$7+1),"",IFERROR((分析データ!C992-AVERAGE(OFFSET(分析データ!C$1,MAX(1,ROW()-$C$7),0,MIN($C$7,ROW()-1),1)))/STDEV(OFFSET(分析データ!C$1,MAX(1,ROW()-$C$7),0,MIN($C$7,ROW()-1),1)),0))</f>
        <v>0</v>
      </c>
      <c r="BA992">
        <f t="shared" ca="1" si="424"/>
        <v>0</v>
      </c>
      <c r="BB992" t="str">
        <f ca="1">IF(BA992=1,IF(INDEX(分析データ!$A:$A,ROW()+$C$5)&lt;&gt;"",60000*SIGN(AZ992)*(分析データ!C992-INDEX(分析データ!C:C,ROW()+$C$5)),""),"")</f>
        <v/>
      </c>
      <c r="BC992">
        <f t="shared" ca="1" si="425"/>
        <v>-260999.9999999851</v>
      </c>
      <c r="BD992">
        <f t="shared" ca="1" si="426"/>
        <v>3156000.0000000107</v>
      </c>
      <c r="BE992">
        <f t="shared" ca="1" si="427"/>
        <v>-3416999.9999999958</v>
      </c>
      <c r="BF992">
        <f ca="1">IF(ROW()&lt;($C$7+1),"",IFERROR((分析データ!D992-AVERAGE(OFFSET(分析データ!D$1,MAX(1,ROW()-$C$7),0,MIN($C$7,ROW()-1),1)))/STDEV(OFFSET(分析データ!D$1,MAX(1,ROW()-$C$7),0,MIN($C$7,ROW()-1),1)),0))</f>
        <v>0</v>
      </c>
      <c r="BG992">
        <f t="shared" ca="1" si="428"/>
        <v>0</v>
      </c>
      <c r="BH992" t="str">
        <f ca="1">IF(BG992=1,IF(INDEX(分析データ!$A:$A,ROW()+$C$5)&lt;&gt;"",50000*SIGN(BF992)*(分析データ!D992-INDEX(分析データ!D:D,ROW()+$C$5)),""),"")</f>
        <v/>
      </c>
      <c r="BI992">
        <f t="shared" ca="1" si="429"/>
        <v>5570000.0000000205</v>
      </c>
      <c r="BJ992">
        <f t="shared" ca="1" si="430"/>
        <v>5570000.0000000205</v>
      </c>
      <c r="BK992">
        <f t="shared" ca="1" si="431"/>
        <v>0</v>
      </c>
      <c r="BL992">
        <f ca="1">IF(ROW()&lt;($C$7+1),"",IFERROR((分析データ!E992-AVERAGE(OFFSET(分析データ!E$1,MAX(1,ROW()-$C$7),0,MIN($C$7,ROW()-1),1)))/STDEV(OFFSET(分析データ!E$1,MAX(1,ROW()-$C$7),0,MIN($C$7,ROW()-1),1)),0))</f>
        <v>0</v>
      </c>
      <c r="BM992">
        <f t="shared" ca="1" si="432"/>
        <v>0</v>
      </c>
      <c r="BN992" t="str">
        <f ca="1">IF(BM992=1,IF(INDEX(分析データ!$A:$A,ROW()+$C$5)&lt;&gt;"",40000*SIGN(BL992)*(分析データ!E992-INDEX(分析データ!E:E,ROW()+$C$5)),""),"")</f>
        <v/>
      </c>
      <c r="BO992">
        <f t="shared" ca="1" si="433"/>
        <v>2720000.0000000014</v>
      </c>
      <c r="BP992">
        <f t="shared" ca="1" si="434"/>
        <v>4280000.0000000028</v>
      </c>
      <c r="BQ992">
        <f t="shared" ca="1" si="435"/>
        <v>-1560000.0000000014</v>
      </c>
      <c r="BR992">
        <f ca="1">IF(ROW()&lt;($C$7+1),"",IFERROR((分析データ!F992-AVERAGE(OFFSET(分析データ!F$1,MAX(1,ROW()-$C$7),0,MIN($C$7,ROW()-1),1)))/STDEV(OFFSET(分析データ!F$1,MAX(1,ROW()-$C$7),0,MIN($C$7,ROW()-1),1)),0))</f>
        <v>0</v>
      </c>
      <c r="BS992">
        <f t="shared" ca="1" si="436"/>
        <v>0</v>
      </c>
      <c r="BT992" t="str">
        <f ca="1">IF(BS992=1,IF(INDEX(分析データ!$A:$A,ROW()+$C$5)&lt;&gt;"",40000*SIGN(BR992)*(分析データ!F992-INDEX(分析データ!F:F,ROW()+$C$5)),""),"")</f>
        <v/>
      </c>
      <c r="BU992">
        <f t="shared" ca="1" si="437"/>
        <v>19816800</v>
      </c>
      <c r="BV992">
        <f t="shared" ca="1" si="438"/>
        <v>19816800</v>
      </c>
      <c r="BW992">
        <f t="shared" ca="1" si="439"/>
        <v>0</v>
      </c>
      <c r="BX992">
        <f ca="1">IF(ROW()&lt;($C$7+1),"",IFERROR((分析データ!G992-AVERAGE(OFFSET(分析データ!G$1,MAX(1,ROW()-$C$7),0,MIN($C$7,ROW()-1),1)))/STDEV(OFFSET(分析データ!G$1,MAX(1,ROW()-$C$7),0,MIN($C$7,ROW()-1),1)),0))</f>
        <v>0</v>
      </c>
      <c r="BY992">
        <f t="shared" ca="1" si="440"/>
        <v>0</v>
      </c>
      <c r="BZ992" t="str">
        <f ca="1">IF(BY992=1,IF(INDEX(分析データ!$A:$A,ROW()+$C$5)&lt;&gt;"",40000*SIGN(BX992)*(分析データ!G992-INDEX(分析データ!G:G,ROW()+$C$5)),""),"")</f>
        <v/>
      </c>
      <c r="CA992">
        <f t="shared" ca="1" si="441"/>
        <v>-3515452.8662109179</v>
      </c>
      <c r="CB992">
        <f t="shared" ca="1" si="442"/>
        <v>11327520.000000004</v>
      </c>
      <c r="CC992">
        <f t="shared" ca="1" si="443"/>
        <v>-14842972.866210923</v>
      </c>
      <c r="CD992">
        <f t="shared" ca="1" si="444"/>
        <v>0</v>
      </c>
      <c r="CE992">
        <f t="shared" ca="1" si="445"/>
        <v>23090347.13378913</v>
      </c>
      <c r="CF992">
        <f t="shared" ca="1" si="446"/>
        <v>23090347.13378913</v>
      </c>
      <c r="CG992">
        <f t="shared" ca="1" si="447"/>
        <v>0</v>
      </c>
      <c r="CH992" s="10" t="str">
        <f>分析データ!A992</f>
        <v/>
      </c>
    </row>
    <row r="993" spans="46:86">
      <c r="AT993">
        <f ca="1">IF(ROW()&lt;($C$7+1),"",IFERROR((分析データ!B993-AVERAGE(OFFSET(分析データ!B$1,MAX(1,ROW()-$C$7),0,MIN($C$7,ROW()-1),1)))/STDEV(OFFSET(分析データ!B$1,MAX(1,ROW()-$C$7),0,MIN($C$7,ROW()-1),1)),0))</f>
        <v>0</v>
      </c>
      <c r="AU993">
        <f t="shared" ca="1" si="420"/>
        <v>0</v>
      </c>
      <c r="AV993" t="str">
        <f ca="1">IF(AU993=1,IF(INDEX(分析データ!$A:$A,ROW()+$C$5)&lt;&gt;"",80000*SIGN(AT993)*(分析データ!B993-INDEX(分析データ!B:B,ROW()+$C$5)),""),"")</f>
        <v/>
      </c>
      <c r="AW993">
        <f t="shared" ca="1" si="421"/>
        <v>-1240000.0000000019</v>
      </c>
      <c r="AX993">
        <f t="shared" ca="1" si="422"/>
        <v>0</v>
      </c>
      <c r="AY993">
        <f t="shared" ca="1" si="423"/>
        <v>-1240000.0000000019</v>
      </c>
      <c r="AZ993">
        <f ca="1">IF(ROW()&lt;($C$7+1),"",IFERROR((分析データ!C993-AVERAGE(OFFSET(分析データ!C$1,MAX(1,ROW()-$C$7),0,MIN($C$7,ROW()-1),1)))/STDEV(OFFSET(分析データ!C$1,MAX(1,ROW()-$C$7),0,MIN($C$7,ROW()-1),1)),0))</f>
        <v>0</v>
      </c>
      <c r="BA993">
        <f t="shared" ca="1" si="424"/>
        <v>0</v>
      </c>
      <c r="BB993" t="str">
        <f ca="1">IF(BA993=1,IF(INDEX(分析データ!$A:$A,ROW()+$C$5)&lt;&gt;"",60000*SIGN(AZ993)*(分析データ!C993-INDEX(分析データ!C:C,ROW()+$C$5)),""),"")</f>
        <v/>
      </c>
      <c r="BC993">
        <f t="shared" ca="1" si="425"/>
        <v>-260999.9999999851</v>
      </c>
      <c r="BD993">
        <f t="shared" ca="1" si="426"/>
        <v>3156000.0000000107</v>
      </c>
      <c r="BE993">
        <f t="shared" ca="1" si="427"/>
        <v>-3416999.9999999958</v>
      </c>
      <c r="BF993">
        <f ca="1">IF(ROW()&lt;($C$7+1),"",IFERROR((分析データ!D993-AVERAGE(OFFSET(分析データ!D$1,MAX(1,ROW()-$C$7),0,MIN($C$7,ROW()-1),1)))/STDEV(OFFSET(分析データ!D$1,MAX(1,ROW()-$C$7),0,MIN($C$7,ROW()-1),1)),0))</f>
        <v>0</v>
      </c>
      <c r="BG993">
        <f t="shared" ca="1" si="428"/>
        <v>0</v>
      </c>
      <c r="BH993" t="str">
        <f ca="1">IF(BG993=1,IF(INDEX(分析データ!$A:$A,ROW()+$C$5)&lt;&gt;"",50000*SIGN(BF993)*(分析データ!D993-INDEX(分析データ!D:D,ROW()+$C$5)),""),"")</f>
        <v/>
      </c>
      <c r="BI993">
        <f t="shared" ca="1" si="429"/>
        <v>5570000.0000000205</v>
      </c>
      <c r="BJ993">
        <f t="shared" ca="1" si="430"/>
        <v>5570000.0000000205</v>
      </c>
      <c r="BK993">
        <f t="shared" ca="1" si="431"/>
        <v>0</v>
      </c>
      <c r="BL993">
        <f ca="1">IF(ROW()&lt;($C$7+1),"",IFERROR((分析データ!E993-AVERAGE(OFFSET(分析データ!E$1,MAX(1,ROW()-$C$7),0,MIN($C$7,ROW()-1),1)))/STDEV(OFFSET(分析データ!E$1,MAX(1,ROW()-$C$7),0,MIN($C$7,ROW()-1),1)),0))</f>
        <v>0</v>
      </c>
      <c r="BM993">
        <f t="shared" ca="1" si="432"/>
        <v>0</v>
      </c>
      <c r="BN993" t="str">
        <f ca="1">IF(BM993=1,IF(INDEX(分析データ!$A:$A,ROW()+$C$5)&lt;&gt;"",40000*SIGN(BL993)*(分析データ!E993-INDEX(分析データ!E:E,ROW()+$C$5)),""),"")</f>
        <v/>
      </c>
      <c r="BO993">
        <f t="shared" ca="1" si="433"/>
        <v>2720000.0000000014</v>
      </c>
      <c r="BP993">
        <f t="shared" ca="1" si="434"/>
        <v>4280000.0000000028</v>
      </c>
      <c r="BQ993">
        <f t="shared" ca="1" si="435"/>
        <v>-1560000.0000000014</v>
      </c>
      <c r="BR993">
        <f ca="1">IF(ROW()&lt;($C$7+1),"",IFERROR((分析データ!F993-AVERAGE(OFFSET(分析データ!F$1,MAX(1,ROW()-$C$7),0,MIN($C$7,ROW()-1),1)))/STDEV(OFFSET(分析データ!F$1,MAX(1,ROW()-$C$7),0,MIN($C$7,ROW()-1),1)),0))</f>
        <v>0</v>
      </c>
      <c r="BS993">
        <f t="shared" ca="1" si="436"/>
        <v>0</v>
      </c>
      <c r="BT993" t="str">
        <f ca="1">IF(BS993=1,IF(INDEX(分析データ!$A:$A,ROW()+$C$5)&lt;&gt;"",40000*SIGN(BR993)*(分析データ!F993-INDEX(分析データ!F:F,ROW()+$C$5)),""),"")</f>
        <v/>
      </c>
      <c r="BU993">
        <f t="shared" ca="1" si="437"/>
        <v>19816800</v>
      </c>
      <c r="BV993">
        <f t="shared" ca="1" si="438"/>
        <v>19816800</v>
      </c>
      <c r="BW993">
        <f t="shared" ca="1" si="439"/>
        <v>0</v>
      </c>
      <c r="BX993">
        <f ca="1">IF(ROW()&lt;($C$7+1),"",IFERROR((分析データ!G993-AVERAGE(OFFSET(分析データ!G$1,MAX(1,ROW()-$C$7),0,MIN($C$7,ROW()-1),1)))/STDEV(OFFSET(分析データ!G$1,MAX(1,ROW()-$C$7),0,MIN($C$7,ROW()-1),1)),0))</f>
        <v>0</v>
      </c>
      <c r="BY993">
        <f t="shared" ca="1" si="440"/>
        <v>0</v>
      </c>
      <c r="BZ993" t="str">
        <f ca="1">IF(BY993=1,IF(INDEX(分析データ!$A:$A,ROW()+$C$5)&lt;&gt;"",40000*SIGN(BX993)*(分析データ!G993-INDEX(分析データ!G:G,ROW()+$C$5)),""),"")</f>
        <v/>
      </c>
      <c r="CA993">
        <f t="shared" ca="1" si="441"/>
        <v>-3515452.8662109179</v>
      </c>
      <c r="CB993">
        <f t="shared" ca="1" si="442"/>
        <v>11327520.000000004</v>
      </c>
      <c r="CC993">
        <f t="shared" ca="1" si="443"/>
        <v>-14842972.866210923</v>
      </c>
      <c r="CD993">
        <f t="shared" ca="1" si="444"/>
        <v>0</v>
      </c>
      <c r="CE993">
        <f t="shared" ca="1" si="445"/>
        <v>23090347.13378913</v>
      </c>
      <c r="CF993">
        <f t="shared" ca="1" si="446"/>
        <v>23090347.13378913</v>
      </c>
      <c r="CG993">
        <f t="shared" ca="1" si="447"/>
        <v>0</v>
      </c>
      <c r="CH993" s="10" t="str">
        <f>分析データ!A993</f>
        <v/>
      </c>
    </row>
    <row r="994" spans="46:86">
      <c r="AT994">
        <f ca="1">IF(ROW()&lt;($C$7+1),"",IFERROR((分析データ!B994-AVERAGE(OFFSET(分析データ!B$1,MAX(1,ROW()-$C$7),0,MIN($C$7,ROW()-1),1)))/STDEV(OFFSET(分析データ!B$1,MAX(1,ROW()-$C$7),0,MIN($C$7,ROW()-1),1)),0))</f>
        <v>0</v>
      </c>
      <c r="AU994">
        <f t="shared" ca="1" si="420"/>
        <v>0</v>
      </c>
      <c r="AV994" t="str">
        <f ca="1">IF(AU994=1,IF(INDEX(分析データ!$A:$A,ROW()+$C$5)&lt;&gt;"",80000*SIGN(AT994)*(分析データ!B994-INDEX(分析データ!B:B,ROW()+$C$5)),""),"")</f>
        <v/>
      </c>
      <c r="AW994">
        <f t="shared" ca="1" si="421"/>
        <v>-1240000.0000000019</v>
      </c>
      <c r="AX994">
        <f t="shared" ca="1" si="422"/>
        <v>0</v>
      </c>
      <c r="AY994">
        <f t="shared" ca="1" si="423"/>
        <v>-1240000.0000000019</v>
      </c>
      <c r="AZ994">
        <f ca="1">IF(ROW()&lt;($C$7+1),"",IFERROR((分析データ!C994-AVERAGE(OFFSET(分析データ!C$1,MAX(1,ROW()-$C$7),0,MIN($C$7,ROW()-1),1)))/STDEV(OFFSET(分析データ!C$1,MAX(1,ROW()-$C$7),0,MIN($C$7,ROW()-1),1)),0))</f>
        <v>0</v>
      </c>
      <c r="BA994">
        <f t="shared" ca="1" si="424"/>
        <v>0</v>
      </c>
      <c r="BB994" t="str">
        <f ca="1">IF(BA994=1,IF(INDEX(分析データ!$A:$A,ROW()+$C$5)&lt;&gt;"",60000*SIGN(AZ994)*(分析データ!C994-INDEX(分析データ!C:C,ROW()+$C$5)),""),"")</f>
        <v/>
      </c>
      <c r="BC994">
        <f t="shared" ca="1" si="425"/>
        <v>-260999.9999999851</v>
      </c>
      <c r="BD994">
        <f t="shared" ca="1" si="426"/>
        <v>3156000.0000000107</v>
      </c>
      <c r="BE994">
        <f t="shared" ca="1" si="427"/>
        <v>-3416999.9999999958</v>
      </c>
      <c r="BF994">
        <f ca="1">IF(ROW()&lt;($C$7+1),"",IFERROR((分析データ!D994-AVERAGE(OFFSET(分析データ!D$1,MAX(1,ROW()-$C$7),0,MIN($C$7,ROW()-1),1)))/STDEV(OFFSET(分析データ!D$1,MAX(1,ROW()-$C$7),0,MIN($C$7,ROW()-1),1)),0))</f>
        <v>0</v>
      </c>
      <c r="BG994">
        <f t="shared" ca="1" si="428"/>
        <v>0</v>
      </c>
      <c r="BH994" t="str">
        <f ca="1">IF(BG994=1,IF(INDEX(分析データ!$A:$A,ROW()+$C$5)&lt;&gt;"",50000*SIGN(BF994)*(分析データ!D994-INDEX(分析データ!D:D,ROW()+$C$5)),""),"")</f>
        <v/>
      </c>
      <c r="BI994">
        <f t="shared" ca="1" si="429"/>
        <v>5570000.0000000205</v>
      </c>
      <c r="BJ994">
        <f t="shared" ca="1" si="430"/>
        <v>5570000.0000000205</v>
      </c>
      <c r="BK994">
        <f t="shared" ca="1" si="431"/>
        <v>0</v>
      </c>
      <c r="BL994">
        <f ca="1">IF(ROW()&lt;($C$7+1),"",IFERROR((分析データ!E994-AVERAGE(OFFSET(分析データ!E$1,MAX(1,ROW()-$C$7),0,MIN($C$7,ROW()-1),1)))/STDEV(OFFSET(分析データ!E$1,MAX(1,ROW()-$C$7),0,MIN($C$7,ROW()-1),1)),0))</f>
        <v>0</v>
      </c>
      <c r="BM994">
        <f t="shared" ca="1" si="432"/>
        <v>0</v>
      </c>
      <c r="BN994" t="str">
        <f ca="1">IF(BM994=1,IF(INDEX(分析データ!$A:$A,ROW()+$C$5)&lt;&gt;"",40000*SIGN(BL994)*(分析データ!E994-INDEX(分析データ!E:E,ROW()+$C$5)),""),"")</f>
        <v/>
      </c>
      <c r="BO994">
        <f t="shared" ca="1" si="433"/>
        <v>2720000.0000000014</v>
      </c>
      <c r="BP994">
        <f t="shared" ca="1" si="434"/>
        <v>4280000.0000000028</v>
      </c>
      <c r="BQ994">
        <f t="shared" ca="1" si="435"/>
        <v>-1560000.0000000014</v>
      </c>
      <c r="BR994">
        <f ca="1">IF(ROW()&lt;($C$7+1),"",IFERROR((分析データ!F994-AVERAGE(OFFSET(分析データ!F$1,MAX(1,ROW()-$C$7),0,MIN($C$7,ROW()-1),1)))/STDEV(OFFSET(分析データ!F$1,MAX(1,ROW()-$C$7),0,MIN($C$7,ROW()-1),1)),0))</f>
        <v>0</v>
      </c>
      <c r="BS994">
        <f t="shared" ca="1" si="436"/>
        <v>0</v>
      </c>
      <c r="BT994" t="str">
        <f ca="1">IF(BS994=1,IF(INDEX(分析データ!$A:$A,ROW()+$C$5)&lt;&gt;"",40000*SIGN(BR994)*(分析データ!F994-INDEX(分析データ!F:F,ROW()+$C$5)),""),"")</f>
        <v/>
      </c>
      <c r="BU994">
        <f t="shared" ca="1" si="437"/>
        <v>19816800</v>
      </c>
      <c r="BV994">
        <f t="shared" ca="1" si="438"/>
        <v>19816800</v>
      </c>
      <c r="BW994">
        <f t="shared" ca="1" si="439"/>
        <v>0</v>
      </c>
      <c r="BX994">
        <f ca="1">IF(ROW()&lt;($C$7+1),"",IFERROR((分析データ!G994-AVERAGE(OFFSET(分析データ!G$1,MAX(1,ROW()-$C$7),0,MIN($C$7,ROW()-1),1)))/STDEV(OFFSET(分析データ!G$1,MAX(1,ROW()-$C$7),0,MIN($C$7,ROW()-1),1)),0))</f>
        <v>0</v>
      </c>
      <c r="BY994">
        <f t="shared" ca="1" si="440"/>
        <v>0</v>
      </c>
      <c r="BZ994" t="str">
        <f ca="1">IF(BY994=1,IF(INDEX(分析データ!$A:$A,ROW()+$C$5)&lt;&gt;"",40000*SIGN(BX994)*(分析データ!G994-INDEX(分析データ!G:G,ROW()+$C$5)),""),"")</f>
        <v/>
      </c>
      <c r="CA994">
        <f t="shared" ca="1" si="441"/>
        <v>-3515452.8662109179</v>
      </c>
      <c r="CB994">
        <f t="shared" ca="1" si="442"/>
        <v>11327520.000000004</v>
      </c>
      <c r="CC994">
        <f t="shared" ca="1" si="443"/>
        <v>-14842972.866210923</v>
      </c>
      <c r="CD994">
        <f t="shared" ca="1" si="444"/>
        <v>0</v>
      </c>
      <c r="CE994">
        <f t="shared" ca="1" si="445"/>
        <v>23090347.13378913</v>
      </c>
      <c r="CF994">
        <f t="shared" ca="1" si="446"/>
        <v>23090347.13378913</v>
      </c>
      <c r="CG994">
        <f t="shared" ca="1" si="447"/>
        <v>0</v>
      </c>
      <c r="CH994" s="10" t="str">
        <f>分析データ!A994</f>
        <v/>
      </c>
    </row>
    <row r="995" spans="46:86">
      <c r="AT995">
        <f ca="1">IF(ROW()&lt;($C$7+1),"",IFERROR((分析データ!B995-AVERAGE(OFFSET(分析データ!B$1,MAX(1,ROW()-$C$7),0,MIN($C$7,ROW()-1),1)))/STDEV(OFFSET(分析データ!B$1,MAX(1,ROW()-$C$7),0,MIN($C$7,ROW()-1),1)),0))</f>
        <v>0</v>
      </c>
      <c r="AU995">
        <f t="shared" ca="1" si="420"/>
        <v>0</v>
      </c>
      <c r="AV995" t="str">
        <f ca="1">IF(AU995=1,IF(INDEX(分析データ!$A:$A,ROW()+$C$5)&lt;&gt;"",80000*SIGN(AT995)*(分析データ!B995-INDEX(分析データ!B:B,ROW()+$C$5)),""),"")</f>
        <v/>
      </c>
      <c r="AW995">
        <f t="shared" ca="1" si="421"/>
        <v>-1240000.0000000019</v>
      </c>
      <c r="AX995">
        <f t="shared" ca="1" si="422"/>
        <v>0</v>
      </c>
      <c r="AY995">
        <f t="shared" ca="1" si="423"/>
        <v>-1240000.0000000019</v>
      </c>
      <c r="AZ995">
        <f ca="1">IF(ROW()&lt;($C$7+1),"",IFERROR((分析データ!C995-AVERAGE(OFFSET(分析データ!C$1,MAX(1,ROW()-$C$7),0,MIN($C$7,ROW()-1),1)))/STDEV(OFFSET(分析データ!C$1,MAX(1,ROW()-$C$7),0,MIN($C$7,ROW()-1),1)),0))</f>
        <v>0</v>
      </c>
      <c r="BA995">
        <f t="shared" ca="1" si="424"/>
        <v>0</v>
      </c>
      <c r="BB995" t="str">
        <f ca="1">IF(BA995=1,IF(INDEX(分析データ!$A:$A,ROW()+$C$5)&lt;&gt;"",60000*SIGN(AZ995)*(分析データ!C995-INDEX(分析データ!C:C,ROW()+$C$5)),""),"")</f>
        <v/>
      </c>
      <c r="BC995">
        <f t="shared" ca="1" si="425"/>
        <v>-260999.9999999851</v>
      </c>
      <c r="BD995">
        <f t="shared" ca="1" si="426"/>
        <v>3156000.0000000107</v>
      </c>
      <c r="BE995">
        <f t="shared" ca="1" si="427"/>
        <v>-3416999.9999999958</v>
      </c>
      <c r="BF995">
        <f ca="1">IF(ROW()&lt;($C$7+1),"",IFERROR((分析データ!D995-AVERAGE(OFFSET(分析データ!D$1,MAX(1,ROW()-$C$7),0,MIN($C$7,ROW()-1),1)))/STDEV(OFFSET(分析データ!D$1,MAX(1,ROW()-$C$7),0,MIN($C$7,ROW()-1),1)),0))</f>
        <v>0</v>
      </c>
      <c r="BG995">
        <f t="shared" ca="1" si="428"/>
        <v>0</v>
      </c>
      <c r="BH995" t="str">
        <f ca="1">IF(BG995=1,IF(INDEX(分析データ!$A:$A,ROW()+$C$5)&lt;&gt;"",50000*SIGN(BF995)*(分析データ!D995-INDEX(分析データ!D:D,ROW()+$C$5)),""),"")</f>
        <v/>
      </c>
      <c r="BI995">
        <f t="shared" ca="1" si="429"/>
        <v>5570000.0000000205</v>
      </c>
      <c r="BJ995">
        <f t="shared" ca="1" si="430"/>
        <v>5570000.0000000205</v>
      </c>
      <c r="BK995">
        <f t="shared" ca="1" si="431"/>
        <v>0</v>
      </c>
      <c r="BL995">
        <f ca="1">IF(ROW()&lt;($C$7+1),"",IFERROR((分析データ!E995-AVERAGE(OFFSET(分析データ!E$1,MAX(1,ROW()-$C$7),0,MIN($C$7,ROW()-1),1)))/STDEV(OFFSET(分析データ!E$1,MAX(1,ROW()-$C$7),0,MIN($C$7,ROW()-1),1)),0))</f>
        <v>0</v>
      </c>
      <c r="BM995">
        <f t="shared" ca="1" si="432"/>
        <v>0</v>
      </c>
      <c r="BN995" t="str">
        <f ca="1">IF(BM995=1,IF(INDEX(分析データ!$A:$A,ROW()+$C$5)&lt;&gt;"",40000*SIGN(BL995)*(分析データ!E995-INDEX(分析データ!E:E,ROW()+$C$5)),""),"")</f>
        <v/>
      </c>
      <c r="BO995">
        <f t="shared" ca="1" si="433"/>
        <v>2720000.0000000014</v>
      </c>
      <c r="BP995">
        <f t="shared" ca="1" si="434"/>
        <v>4280000.0000000028</v>
      </c>
      <c r="BQ995">
        <f t="shared" ca="1" si="435"/>
        <v>-1560000.0000000014</v>
      </c>
      <c r="BR995">
        <f ca="1">IF(ROW()&lt;($C$7+1),"",IFERROR((分析データ!F995-AVERAGE(OFFSET(分析データ!F$1,MAX(1,ROW()-$C$7),0,MIN($C$7,ROW()-1),1)))/STDEV(OFFSET(分析データ!F$1,MAX(1,ROW()-$C$7),0,MIN($C$7,ROW()-1),1)),0))</f>
        <v>0</v>
      </c>
      <c r="BS995">
        <f t="shared" ca="1" si="436"/>
        <v>0</v>
      </c>
      <c r="BT995" t="str">
        <f ca="1">IF(BS995=1,IF(INDEX(分析データ!$A:$A,ROW()+$C$5)&lt;&gt;"",40000*SIGN(BR995)*(分析データ!F995-INDEX(分析データ!F:F,ROW()+$C$5)),""),"")</f>
        <v/>
      </c>
      <c r="BU995">
        <f t="shared" ca="1" si="437"/>
        <v>19816800</v>
      </c>
      <c r="BV995">
        <f t="shared" ca="1" si="438"/>
        <v>19816800</v>
      </c>
      <c r="BW995">
        <f t="shared" ca="1" si="439"/>
        <v>0</v>
      </c>
      <c r="BX995">
        <f ca="1">IF(ROW()&lt;($C$7+1),"",IFERROR((分析データ!G995-AVERAGE(OFFSET(分析データ!G$1,MAX(1,ROW()-$C$7),0,MIN($C$7,ROW()-1),1)))/STDEV(OFFSET(分析データ!G$1,MAX(1,ROW()-$C$7),0,MIN($C$7,ROW()-1),1)),0))</f>
        <v>0</v>
      </c>
      <c r="BY995">
        <f t="shared" ca="1" si="440"/>
        <v>0</v>
      </c>
      <c r="BZ995" t="str">
        <f ca="1">IF(BY995=1,IF(INDEX(分析データ!$A:$A,ROW()+$C$5)&lt;&gt;"",40000*SIGN(BX995)*(分析データ!G995-INDEX(分析データ!G:G,ROW()+$C$5)),""),"")</f>
        <v/>
      </c>
      <c r="CA995">
        <f t="shared" ca="1" si="441"/>
        <v>-3515452.8662109179</v>
      </c>
      <c r="CB995">
        <f t="shared" ca="1" si="442"/>
        <v>11327520.000000004</v>
      </c>
      <c r="CC995">
        <f t="shared" ca="1" si="443"/>
        <v>-14842972.866210923</v>
      </c>
      <c r="CD995">
        <f t="shared" ca="1" si="444"/>
        <v>0</v>
      </c>
      <c r="CE995">
        <f t="shared" ca="1" si="445"/>
        <v>23090347.13378913</v>
      </c>
      <c r="CF995">
        <f t="shared" ca="1" si="446"/>
        <v>23090347.13378913</v>
      </c>
      <c r="CG995">
        <f t="shared" ca="1" si="447"/>
        <v>0</v>
      </c>
      <c r="CH995" s="10" t="str">
        <f>分析データ!A995</f>
        <v/>
      </c>
    </row>
    <row r="996" spans="46:86">
      <c r="AT996">
        <f ca="1">IF(ROW()&lt;($C$7+1),"",IFERROR((分析データ!B996-AVERAGE(OFFSET(分析データ!B$1,MAX(1,ROW()-$C$7),0,MIN($C$7,ROW()-1),1)))/STDEV(OFFSET(分析データ!B$1,MAX(1,ROW()-$C$7),0,MIN($C$7,ROW()-1),1)),0))</f>
        <v>0</v>
      </c>
      <c r="AU996">
        <f t="shared" ca="1" si="420"/>
        <v>0</v>
      </c>
      <c r="AV996" t="str">
        <f ca="1">IF(AU996=1,IF(INDEX(分析データ!$A:$A,ROW()+$C$5)&lt;&gt;"",80000*SIGN(AT996)*(分析データ!B996-INDEX(分析データ!B:B,ROW()+$C$5)),""),"")</f>
        <v/>
      </c>
      <c r="AW996">
        <f t="shared" ca="1" si="421"/>
        <v>-1240000.0000000019</v>
      </c>
      <c r="AX996">
        <f t="shared" ca="1" si="422"/>
        <v>0</v>
      </c>
      <c r="AY996">
        <f t="shared" ca="1" si="423"/>
        <v>-1240000.0000000019</v>
      </c>
      <c r="AZ996">
        <f ca="1">IF(ROW()&lt;($C$7+1),"",IFERROR((分析データ!C996-AVERAGE(OFFSET(分析データ!C$1,MAX(1,ROW()-$C$7),0,MIN($C$7,ROW()-1),1)))/STDEV(OFFSET(分析データ!C$1,MAX(1,ROW()-$C$7),0,MIN($C$7,ROW()-1),1)),0))</f>
        <v>0</v>
      </c>
      <c r="BA996">
        <f t="shared" ca="1" si="424"/>
        <v>0</v>
      </c>
      <c r="BB996" t="str">
        <f ca="1">IF(BA996=1,IF(INDEX(分析データ!$A:$A,ROW()+$C$5)&lt;&gt;"",60000*SIGN(AZ996)*(分析データ!C996-INDEX(分析データ!C:C,ROW()+$C$5)),""),"")</f>
        <v/>
      </c>
      <c r="BC996">
        <f t="shared" ca="1" si="425"/>
        <v>-260999.9999999851</v>
      </c>
      <c r="BD996">
        <f t="shared" ca="1" si="426"/>
        <v>3156000.0000000107</v>
      </c>
      <c r="BE996">
        <f t="shared" ca="1" si="427"/>
        <v>-3416999.9999999958</v>
      </c>
      <c r="BF996">
        <f ca="1">IF(ROW()&lt;($C$7+1),"",IFERROR((分析データ!D996-AVERAGE(OFFSET(分析データ!D$1,MAX(1,ROW()-$C$7),0,MIN($C$7,ROW()-1),1)))/STDEV(OFFSET(分析データ!D$1,MAX(1,ROW()-$C$7),0,MIN($C$7,ROW()-1),1)),0))</f>
        <v>0</v>
      </c>
      <c r="BG996">
        <f t="shared" ca="1" si="428"/>
        <v>0</v>
      </c>
      <c r="BH996" t="str">
        <f ca="1">IF(BG996=1,IF(INDEX(分析データ!$A:$A,ROW()+$C$5)&lt;&gt;"",50000*SIGN(BF996)*(分析データ!D996-INDEX(分析データ!D:D,ROW()+$C$5)),""),"")</f>
        <v/>
      </c>
      <c r="BI996">
        <f t="shared" ca="1" si="429"/>
        <v>5570000.0000000205</v>
      </c>
      <c r="BJ996">
        <f t="shared" ca="1" si="430"/>
        <v>5570000.0000000205</v>
      </c>
      <c r="BK996">
        <f t="shared" ca="1" si="431"/>
        <v>0</v>
      </c>
      <c r="BL996">
        <f ca="1">IF(ROW()&lt;($C$7+1),"",IFERROR((分析データ!E996-AVERAGE(OFFSET(分析データ!E$1,MAX(1,ROW()-$C$7),0,MIN($C$7,ROW()-1),1)))/STDEV(OFFSET(分析データ!E$1,MAX(1,ROW()-$C$7),0,MIN($C$7,ROW()-1),1)),0))</f>
        <v>0</v>
      </c>
      <c r="BM996">
        <f t="shared" ca="1" si="432"/>
        <v>0</v>
      </c>
      <c r="BN996" t="str">
        <f ca="1">IF(BM996=1,IF(INDEX(分析データ!$A:$A,ROW()+$C$5)&lt;&gt;"",40000*SIGN(BL996)*(分析データ!E996-INDEX(分析データ!E:E,ROW()+$C$5)),""),"")</f>
        <v/>
      </c>
      <c r="BO996">
        <f t="shared" ca="1" si="433"/>
        <v>2720000.0000000014</v>
      </c>
      <c r="BP996">
        <f t="shared" ca="1" si="434"/>
        <v>4280000.0000000028</v>
      </c>
      <c r="BQ996">
        <f t="shared" ca="1" si="435"/>
        <v>-1560000.0000000014</v>
      </c>
      <c r="BR996">
        <f ca="1">IF(ROW()&lt;($C$7+1),"",IFERROR((分析データ!F996-AVERAGE(OFFSET(分析データ!F$1,MAX(1,ROW()-$C$7),0,MIN($C$7,ROW()-1),1)))/STDEV(OFFSET(分析データ!F$1,MAX(1,ROW()-$C$7),0,MIN($C$7,ROW()-1),1)),0))</f>
        <v>0</v>
      </c>
      <c r="BS996">
        <f t="shared" ca="1" si="436"/>
        <v>0</v>
      </c>
      <c r="BT996" t="str">
        <f ca="1">IF(BS996=1,IF(INDEX(分析データ!$A:$A,ROW()+$C$5)&lt;&gt;"",40000*SIGN(BR996)*(分析データ!F996-INDEX(分析データ!F:F,ROW()+$C$5)),""),"")</f>
        <v/>
      </c>
      <c r="BU996">
        <f t="shared" ca="1" si="437"/>
        <v>19816800</v>
      </c>
      <c r="BV996">
        <f t="shared" ca="1" si="438"/>
        <v>19816800</v>
      </c>
      <c r="BW996">
        <f t="shared" ca="1" si="439"/>
        <v>0</v>
      </c>
      <c r="BX996">
        <f ca="1">IF(ROW()&lt;($C$7+1),"",IFERROR((分析データ!G996-AVERAGE(OFFSET(分析データ!G$1,MAX(1,ROW()-$C$7),0,MIN($C$7,ROW()-1),1)))/STDEV(OFFSET(分析データ!G$1,MAX(1,ROW()-$C$7),0,MIN($C$7,ROW()-1),1)),0))</f>
        <v>0</v>
      </c>
      <c r="BY996">
        <f t="shared" ca="1" si="440"/>
        <v>0</v>
      </c>
      <c r="BZ996" t="str">
        <f ca="1">IF(BY996=1,IF(INDEX(分析データ!$A:$A,ROW()+$C$5)&lt;&gt;"",40000*SIGN(BX996)*(分析データ!G996-INDEX(分析データ!G:G,ROW()+$C$5)),""),"")</f>
        <v/>
      </c>
      <c r="CA996">
        <f t="shared" ca="1" si="441"/>
        <v>-3515452.8662109179</v>
      </c>
      <c r="CB996">
        <f t="shared" ca="1" si="442"/>
        <v>11327520.000000004</v>
      </c>
      <c r="CC996">
        <f t="shared" ca="1" si="443"/>
        <v>-14842972.866210923</v>
      </c>
      <c r="CD996">
        <f t="shared" ca="1" si="444"/>
        <v>0</v>
      </c>
      <c r="CE996">
        <f t="shared" ca="1" si="445"/>
        <v>23090347.13378913</v>
      </c>
      <c r="CF996">
        <f t="shared" ca="1" si="446"/>
        <v>23090347.13378913</v>
      </c>
      <c r="CG996">
        <f t="shared" ca="1" si="447"/>
        <v>0</v>
      </c>
      <c r="CH996" s="10" t="str">
        <f>分析データ!A996</f>
        <v/>
      </c>
    </row>
    <row r="997" spans="46:86">
      <c r="AT997">
        <f ca="1">IF(ROW()&lt;($C$7+1),"",IFERROR((分析データ!B997-AVERAGE(OFFSET(分析データ!B$1,MAX(1,ROW()-$C$7),0,MIN($C$7,ROW()-1),1)))/STDEV(OFFSET(分析データ!B$1,MAX(1,ROW()-$C$7),0,MIN($C$7,ROW()-1),1)),0))</f>
        <v>0</v>
      </c>
      <c r="AU997">
        <f t="shared" ca="1" si="420"/>
        <v>0</v>
      </c>
      <c r="AV997" t="str">
        <f ca="1">IF(AU997=1,IF(INDEX(分析データ!$A:$A,ROW()+$C$5)&lt;&gt;"",80000*SIGN(AT997)*(分析データ!B997-INDEX(分析データ!B:B,ROW()+$C$5)),""),"")</f>
        <v/>
      </c>
      <c r="AW997">
        <f t="shared" ca="1" si="421"/>
        <v>-1240000.0000000019</v>
      </c>
      <c r="AX997">
        <f t="shared" ca="1" si="422"/>
        <v>0</v>
      </c>
      <c r="AY997">
        <f t="shared" ca="1" si="423"/>
        <v>-1240000.0000000019</v>
      </c>
      <c r="AZ997">
        <f ca="1">IF(ROW()&lt;($C$7+1),"",IFERROR((分析データ!C997-AVERAGE(OFFSET(分析データ!C$1,MAX(1,ROW()-$C$7),0,MIN($C$7,ROW()-1),1)))/STDEV(OFFSET(分析データ!C$1,MAX(1,ROW()-$C$7),0,MIN($C$7,ROW()-1),1)),0))</f>
        <v>0</v>
      </c>
      <c r="BA997">
        <f t="shared" ca="1" si="424"/>
        <v>0</v>
      </c>
      <c r="BB997" t="str">
        <f ca="1">IF(BA997=1,IF(INDEX(分析データ!$A:$A,ROW()+$C$5)&lt;&gt;"",60000*SIGN(AZ997)*(分析データ!C997-INDEX(分析データ!C:C,ROW()+$C$5)),""),"")</f>
        <v/>
      </c>
      <c r="BC997">
        <f t="shared" ca="1" si="425"/>
        <v>-260999.9999999851</v>
      </c>
      <c r="BD997">
        <f t="shared" ca="1" si="426"/>
        <v>3156000.0000000107</v>
      </c>
      <c r="BE997">
        <f t="shared" ca="1" si="427"/>
        <v>-3416999.9999999958</v>
      </c>
      <c r="BF997">
        <f ca="1">IF(ROW()&lt;($C$7+1),"",IFERROR((分析データ!D997-AVERAGE(OFFSET(分析データ!D$1,MAX(1,ROW()-$C$7),0,MIN($C$7,ROW()-1),1)))/STDEV(OFFSET(分析データ!D$1,MAX(1,ROW()-$C$7),0,MIN($C$7,ROW()-1),1)),0))</f>
        <v>0</v>
      </c>
      <c r="BG997">
        <f t="shared" ca="1" si="428"/>
        <v>0</v>
      </c>
      <c r="BH997" t="str">
        <f ca="1">IF(BG997=1,IF(INDEX(分析データ!$A:$A,ROW()+$C$5)&lt;&gt;"",50000*SIGN(BF997)*(分析データ!D997-INDEX(分析データ!D:D,ROW()+$C$5)),""),"")</f>
        <v/>
      </c>
      <c r="BI997">
        <f t="shared" ca="1" si="429"/>
        <v>5570000.0000000205</v>
      </c>
      <c r="BJ997">
        <f t="shared" ca="1" si="430"/>
        <v>5570000.0000000205</v>
      </c>
      <c r="BK997">
        <f t="shared" ca="1" si="431"/>
        <v>0</v>
      </c>
      <c r="BL997">
        <f ca="1">IF(ROW()&lt;($C$7+1),"",IFERROR((分析データ!E997-AVERAGE(OFFSET(分析データ!E$1,MAX(1,ROW()-$C$7),0,MIN($C$7,ROW()-1),1)))/STDEV(OFFSET(分析データ!E$1,MAX(1,ROW()-$C$7),0,MIN($C$7,ROW()-1),1)),0))</f>
        <v>0</v>
      </c>
      <c r="BM997">
        <f t="shared" ca="1" si="432"/>
        <v>0</v>
      </c>
      <c r="BN997" t="str">
        <f ca="1">IF(BM997=1,IF(INDEX(分析データ!$A:$A,ROW()+$C$5)&lt;&gt;"",40000*SIGN(BL997)*(分析データ!E997-INDEX(分析データ!E:E,ROW()+$C$5)),""),"")</f>
        <v/>
      </c>
      <c r="BO997">
        <f t="shared" ca="1" si="433"/>
        <v>2720000.0000000014</v>
      </c>
      <c r="BP997">
        <f t="shared" ca="1" si="434"/>
        <v>4280000.0000000028</v>
      </c>
      <c r="BQ997">
        <f t="shared" ca="1" si="435"/>
        <v>-1560000.0000000014</v>
      </c>
      <c r="BR997">
        <f ca="1">IF(ROW()&lt;($C$7+1),"",IFERROR((分析データ!F997-AVERAGE(OFFSET(分析データ!F$1,MAX(1,ROW()-$C$7),0,MIN($C$7,ROW()-1),1)))/STDEV(OFFSET(分析データ!F$1,MAX(1,ROW()-$C$7),0,MIN($C$7,ROW()-1),1)),0))</f>
        <v>0</v>
      </c>
      <c r="BS997">
        <f t="shared" ca="1" si="436"/>
        <v>0</v>
      </c>
      <c r="BT997" t="str">
        <f ca="1">IF(BS997=1,IF(INDEX(分析データ!$A:$A,ROW()+$C$5)&lt;&gt;"",40000*SIGN(BR997)*(分析データ!F997-INDEX(分析データ!F:F,ROW()+$C$5)),""),"")</f>
        <v/>
      </c>
      <c r="BU997">
        <f t="shared" ca="1" si="437"/>
        <v>19816800</v>
      </c>
      <c r="BV997">
        <f t="shared" ca="1" si="438"/>
        <v>19816800</v>
      </c>
      <c r="BW997">
        <f t="shared" ca="1" si="439"/>
        <v>0</v>
      </c>
      <c r="BX997">
        <f ca="1">IF(ROW()&lt;($C$7+1),"",IFERROR((分析データ!G997-AVERAGE(OFFSET(分析データ!G$1,MAX(1,ROW()-$C$7),0,MIN($C$7,ROW()-1),1)))/STDEV(OFFSET(分析データ!G$1,MAX(1,ROW()-$C$7),0,MIN($C$7,ROW()-1),1)),0))</f>
        <v>0</v>
      </c>
      <c r="BY997">
        <f t="shared" ca="1" si="440"/>
        <v>0</v>
      </c>
      <c r="BZ997" t="str">
        <f ca="1">IF(BY997=1,IF(INDEX(分析データ!$A:$A,ROW()+$C$5)&lt;&gt;"",40000*SIGN(BX997)*(分析データ!G997-INDEX(分析データ!G:G,ROW()+$C$5)),""),"")</f>
        <v/>
      </c>
      <c r="CA997">
        <f t="shared" ca="1" si="441"/>
        <v>-3515452.8662109179</v>
      </c>
      <c r="CB997">
        <f t="shared" ca="1" si="442"/>
        <v>11327520.000000004</v>
      </c>
      <c r="CC997">
        <f t="shared" ca="1" si="443"/>
        <v>-14842972.866210923</v>
      </c>
      <c r="CD997">
        <f t="shared" ca="1" si="444"/>
        <v>0</v>
      </c>
      <c r="CE997">
        <f t="shared" ca="1" si="445"/>
        <v>23090347.13378913</v>
      </c>
      <c r="CF997">
        <f t="shared" ca="1" si="446"/>
        <v>23090347.13378913</v>
      </c>
      <c r="CG997">
        <f t="shared" ca="1" si="447"/>
        <v>0</v>
      </c>
      <c r="CH997" s="10" t="str">
        <f>分析データ!A997</f>
        <v/>
      </c>
    </row>
    <row r="998" spans="46:86">
      <c r="AT998">
        <f ca="1">IF(ROW()&lt;($C$7+1),"",IFERROR((分析データ!B998-AVERAGE(OFFSET(分析データ!B$1,MAX(1,ROW()-$C$7),0,MIN($C$7,ROW()-1),1)))/STDEV(OFFSET(分析データ!B$1,MAX(1,ROW()-$C$7),0,MIN($C$7,ROW()-1),1)),0))</f>
        <v>0</v>
      </c>
      <c r="AU998">
        <f t="shared" ca="1" si="420"/>
        <v>0</v>
      </c>
      <c r="AV998" t="str">
        <f ca="1">IF(AU998=1,IF(INDEX(分析データ!$A:$A,ROW()+$C$5)&lt;&gt;"",80000*SIGN(AT998)*(分析データ!B998-INDEX(分析データ!B:B,ROW()+$C$5)),""),"")</f>
        <v/>
      </c>
      <c r="AW998">
        <f t="shared" ca="1" si="421"/>
        <v>-1240000.0000000019</v>
      </c>
      <c r="AX998">
        <f t="shared" ca="1" si="422"/>
        <v>0</v>
      </c>
      <c r="AY998">
        <f t="shared" ca="1" si="423"/>
        <v>-1240000.0000000019</v>
      </c>
      <c r="AZ998">
        <f ca="1">IF(ROW()&lt;($C$7+1),"",IFERROR((分析データ!C998-AVERAGE(OFFSET(分析データ!C$1,MAX(1,ROW()-$C$7),0,MIN($C$7,ROW()-1),1)))/STDEV(OFFSET(分析データ!C$1,MAX(1,ROW()-$C$7),0,MIN($C$7,ROW()-1),1)),0))</f>
        <v>0</v>
      </c>
      <c r="BA998">
        <f t="shared" ca="1" si="424"/>
        <v>0</v>
      </c>
      <c r="BB998" t="str">
        <f ca="1">IF(BA998=1,IF(INDEX(分析データ!$A:$A,ROW()+$C$5)&lt;&gt;"",60000*SIGN(AZ998)*(分析データ!C998-INDEX(分析データ!C:C,ROW()+$C$5)),""),"")</f>
        <v/>
      </c>
      <c r="BC998">
        <f t="shared" ca="1" si="425"/>
        <v>-260999.9999999851</v>
      </c>
      <c r="BD998">
        <f t="shared" ca="1" si="426"/>
        <v>3156000.0000000107</v>
      </c>
      <c r="BE998">
        <f t="shared" ca="1" si="427"/>
        <v>-3416999.9999999958</v>
      </c>
      <c r="BF998">
        <f ca="1">IF(ROW()&lt;($C$7+1),"",IFERROR((分析データ!D998-AVERAGE(OFFSET(分析データ!D$1,MAX(1,ROW()-$C$7),0,MIN($C$7,ROW()-1),1)))/STDEV(OFFSET(分析データ!D$1,MAX(1,ROW()-$C$7),0,MIN($C$7,ROW()-1),1)),0))</f>
        <v>0</v>
      </c>
      <c r="BG998">
        <f t="shared" ca="1" si="428"/>
        <v>0</v>
      </c>
      <c r="BH998" t="str">
        <f ca="1">IF(BG998=1,IF(INDEX(分析データ!$A:$A,ROW()+$C$5)&lt;&gt;"",50000*SIGN(BF998)*(分析データ!D998-INDEX(分析データ!D:D,ROW()+$C$5)),""),"")</f>
        <v/>
      </c>
      <c r="BI998">
        <f t="shared" ca="1" si="429"/>
        <v>5570000.0000000205</v>
      </c>
      <c r="BJ998">
        <f t="shared" ca="1" si="430"/>
        <v>5570000.0000000205</v>
      </c>
      <c r="BK998">
        <f t="shared" ca="1" si="431"/>
        <v>0</v>
      </c>
      <c r="BL998">
        <f ca="1">IF(ROW()&lt;($C$7+1),"",IFERROR((分析データ!E998-AVERAGE(OFFSET(分析データ!E$1,MAX(1,ROW()-$C$7),0,MIN($C$7,ROW()-1),1)))/STDEV(OFFSET(分析データ!E$1,MAX(1,ROW()-$C$7),0,MIN($C$7,ROW()-1),1)),0))</f>
        <v>0</v>
      </c>
      <c r="BM998">
        <f t="shared" ca="1" si="432"/>
        <v>0</v>
      </c>
      <c r="BN998" t="str">
        <f ca="1">IF(BM998=1,IF(INDEX(分析データ!$A:$A,ROW()+$C$5)&lt;&gt;"",40000*SIGN(BL998)*(分析データ!E998-INDEX(分析データ!E:E,ROW()+$C$5)),""),"")</f>
        <v/>
      </c>
      <c r="BO998">
        <f t="shared" ca="1" si="433"/>
        <v>2720000.0000000014</v>
      </c>
      <c r="BP998">
        <f t="shared" ca="1" si="434"/>
        <v>4280000.0000000028</v>
      </c>
      <c r="BQ998">
        <f t="shared" ca="1" si="435"/>
        <v>-1560000.0000000014</v>
      </c>
      <c r="BR998">
        <f ca="1">IF(ROW()&lt;($C$7+1),"",IFERROR((分析データ!F998-AVERAGE(OFFSET(分析データ!F$1,MAX(1,ROW()-$C$7),0,MIN($C$7,ROW()-1),1)))/STDEV(OFFSET(分析データ!F$1,MAX(1,ROW()-$C$7),0,MIN($C$7,ROW()-1),1)),0))</f>
        <v>0</v>
      </c>
      <c r="BS998">
        <f t="shared" ca="1" si="436"/>
        <v>0</v>
      </c>
      <c r="BT998" t="str">
        <f ca="1">IF(BS998=1,IF(INDEX(分析データ!$A:$A,ROW()+$C$5)&lt;&gt;"",40000*SIGN(BR998)*(分析データ!F998-INDEX(分析データ!F:F,ROW()+$C$5)),""),"")</f>
        <v/>
      </c>
      <c r="BU998">
        <f t="shared" ca="1" si="437"/>
        <v>19816800</v>
      </c>
      <c r="BV998">
        <f t="shared" ca="1" si="438"/>
        <v>19816800</v>
      </c>
      <c r="BW998">
        <f t="shared" ca="1" si="439"/>
        <v>0</v>
      </c>
      <c r="BX998">
        <f ca="1">IF(ROW()&lt;($C$7+1),"",IFERROR((分析データ!G998-AVERAGE(OFFSET(分析データ!G$1,MAX(1,ROW()-$C$7),0,MIN($C$7,ROW()-1),1)))/STDEV(OFFSET(分析データ!G$1,MAX(1,ROW()-$C$7),0,MIN($C$7,ROW()-1),1)),0))</f>
        <v>0</v>
      </c>
      <c r="BY998">
        <f t="shared" ca="1" si="440"/>
        <v>0</v>
      </c>
      <c r="BZ998" t="str">
        <f ca="1">IF(BY998=1,IF(INDEX(分析データ!$A:$A,ROW()+$C$5)&lt;&gt;"",40000*SIGN(BX998)*(分析データ!G998-INDEX(分析データ!G:G,ROW()+$C$5)),""),"")</f>
        <v/>
      </c>
      <c r="CA998">
        <f t="shared" ca="1" si="441"/>
        <v>-3515452.8662109179</v>
      </c>
      <c r="CB998">
        <f t="shared" ca="1" si="442"/>
        <v>11327520.000000004</v>
      </c>
      <c r="CC998">
        <f t="shared" ca="1" si="443"/>
        <v>-14842972.866210923</v>
      </c>
      <c r="CD998">
        <f t="shared" ca="1" si="444"/>
        <v>0</v>
      </c>
      <c r="CE998">
        <f t="shared" ca="1" si="445"/>
        <v>23090347.13378913</v>
      </c>
      <c r="CF998">
        <f t="shared" ca="1" si="446"/>
        <v>23090347.13378913</v>
      </c>
      <c r="CG998">
        <f t="shared" ca="1" si="447"/>
        <v>0</v>
      </c>
      <c r="CH998" s="10" t="str">
        <f>分析データ!A998</f>
        <v/>
      </c>
    </row>
    <row r="999" spans="46:86">
      <c r="AT999">
        <f ca="1">IF(ROW()&lt;($C$7+1),"",IFERROR((分析データ!B999-AVERAGE(OFFSET(分析データ!B$1,MAX(1,ROW()-$C$7),0,MIN($C$7,ROW()-1),1)))/STDEV(OFFSET(分析データ!B$1,MAX(1,ROW()-$C$7),0,MIN($C$7,ROW()-1),1)),0))</f>
        <v>0</v>
      </c>
      <c r="AU999">
        <f t="shared" ca="1" si="420"/>
        <v>0</v>
      </c>
      <c r="AV999" t="str">
        <f ca="1">IF(AU999=1,IF(INDEX(分析データ!$A:$A,ROW()+$C$5)&lt;&gt;"",80000*SIGN(AT999)*(分析データ!B999-INDEX(分析データ!B:B,ROW()+$C$5)),""),"")</f>
        <v/>
      </c>
      <c r="AW999">
        <f t="shared" ca="1" si="421"/>
        <v>-1240000.0000000019</v>
      </c>
      <c r="AX999">
        <f t="shared" ca="1" si="422"/>
        <v>0</v>
      </c>
      <c r="AY999">
        <f t="shared" ca="1" si="423"/>
        <v>-1240000.0000000019</v>
      </c>
      <c r="AZ999">
        <f ca="1">IF(ROW()&lt;($C$7+1),"",IFERROR((分析データ!C999-AVERAGE(OFFSET(分析データ!C$1,MAX(1,ROW()-$C$7),0,MIN($C$7,ROW()-1),1)))/STDEV(OFFSET(分析データ!C$1,MAX(1,ROW()-$C$7),0,MIN($C$7,ROW()-1),1)),0))</f>
        <v>0</v>
      </c>
      <c r="BA999">
        <f t="shared" ca="1" si="424"/>
        <v>0</v>
      </c>
      <c r="BB999" t="str">
        <f ca="1">IF(BA999=1,IF(INDEX(分析データ!$A:$A,ROW()+$C$5)&lt;&gt;"",60000*SIGN(AZ999)*(分析データ!C999-INDEX(分析データ!C:C,ROW()+$C$5)),""),"")</f>
        <v/>
      </c>
      <c r="BC999">
        <f t="shared" ca="1" si="425"/>
        <v>-260999.9999999851</v>
      </c>
      <c r="BD999">
        <f t="shared" ca="1" si="426"/>
        <v>3156000.0000000107</v>
      </c>
      <c r="BE999">
        <f t="shared" ca="1" si="427"/>
        <v>-3416999.9999999958</v>
      </c>
      <c r="BF999">
        <f ca="1">IF(ROW()&lt;($C$7+1),"",IFERROR((分析データ!D999-AVERAGE(OFFSET(分析データ!D$1,MAX(1,ROW()-$C$7),0,MIN($C$7,ROW()-1),1)))/STDEV(OFFSET(分析データ!D$1,MAX(1,ROW()-$C$7),0,MIN($C$7,ROW()-1),1)),0))</f>
        <v>0</v>
      </c>
      <c r="BG999">
        <f t="shared" ca="1" si="428"/>
        <v>0</v>
      </c>
      <c r="BH999" t="str">
        <f ca="1">IF(BG999=1,IF(INDEX(分析データ!$A:$A,ROW()+$C$5)&lt;&gt;"",50000*SIGN(BF999)*(分析データ!D999-INDEX(分析データ!D:D,ROW()+$C$5)),""),"")</f>
        <v/>
      </c>
      <c r="BI999">
        <f t="shared" ca="1" si="429"/>
        <v>5570000.0000000205</v>
      </c>
      <c r="BJ999">
        <f t="shared" ca="1" si="430"/>
        <v>5570000.0000000205</v>
      </c>
      <c r="BK999">
        <f t="shared" ca="1" si="431"/>
        <v>0</v>
      </c>
      <c r="BL999">
        <f ca="1">IF(ROW()&lt;($C$7+1),"",IFERROR((分析データ!E999-AVERAGE(OFFSET(分析データ!E$1,MAX(1,ROW()-$C$7),0,MIN($C$7,ROW()-1),1)))/STDEV(OFFSET(分析データ!E$1,MAX(1,ROW()-$C$7),0,MIN($C$7,ROW()-1),1)),0))</f>
        <v>0</v>
      </c>
      <c r="BM999">
        <f t="shared" ca="1" si="432"/>
        <v>0</v>
      </c>
      <c r="BN999" t="str">
        <f ca="1">IF(BM999=1,IF(INDEX(分析データ!$A:$A,ROW()+$C$5)&lt;&gt;"",40000*SIGN(BL999)*(分析データ!E999-INDEX(分析データ!E:E,ROW()+$C$5)),""),"")</f>
        <v/>
      </c>
      <c r="BO999">
        <f t="shared" ca="1" si="433"/>
        <v>2720000.0000000014</v>
      </c>
      <c r="BP999">
        <f t="shared" ca="1" si="434"/>
        <v>4280000.0000000028</v>
      </c>
      <c r="BQ999">
        <f t="shared" ca="1" si="435"/>
        <v>-1560000.0000000014</v>
      </c>
      <c r="BR999">
        <f ca="1">IF(ROW()&lt;($C$7+1),"",IFERROR((分析データ!F999-AVERAGE(OFFSET(分析データ!F$1,MAX(1,ROW()-$C$7),0,MIN($C$7,ROW()-1),1)))/STDEV(OFFSET(分析データ!F$1,MAX(1,ROW()-$C$7),0,MIN($C$7,ROW()-1),1)),0))</f>
        <v>0</v>
      </c>
      <c r="BS999">
        <f t="shared" ca="1" si="436"/>
        <v>0</v>
      </c>
      <c r="BT999" t="str">
        <f ca="1">IF(BS999=1,IF(INDEX(分析データ!$A:$A,ROW()+$C$5)&lt;&gt;"",40000*SIGN(BR999)*(分析データ!F999-INDEX(分析データ!F:F,ROW()+$C$5)),""),"")</f>
        <v/>
      </c>
      <c r="BU999">
        <f t="shared" ca="1" si="437"/>
        <v>19816800</v>
      </c>
      <c r="BV999">
        <f t="shared" ca="1" si="438"/>
        <v>19816800</v>
      </c>
      <c r="BW999">
        <f t="shared" ca="1" si="439"/>
        <v>0</v>
      </c>
      <c r="BX999">
        <f ca="1">IF(ROW()&lt;($C$7+1),"",IFERROR((分析データ!G999-AVERAGE(OFFSET(分析データ!G$1,MAX(1,ROW()-$C$7),0,MIN($C$7,ROW()-1),1)))/STDEV(OFFSET(分析データ!G$1,MAX(1,ROW()-$C$7),0,MIN($C$7,ROW()-1),1)),0))</f>
        <v>0</v>
      </c>
      <c r="BY999">
        <f t="shared" ca="1" si="440"/>
        <v>0</v>
      </c>
      <c r="BZ999" t="str">
        <f ca="1">IF(BY999=1,IF(INDEX(分析データ!$A:$A,ROW()+$C$5)&lt;&gt;"",40000*SIGN(BX999)*(分析データ!G999-INDEX(分析データ!G:G,ROW()+$C$5)),""),"")</f>
        <v/>
      </c>
      <c r="CA999">
        <f t="shared" ca="1" si="441"/>
        <v>-3515452.8662109179</v>
      </c>
      <c r="CB999">
        <f t="shared" ca="1" si="442"/>
        <v>11327520.000000004</v>
      </c>
      <c r="CC999">
        <f t="shared" ca="1" si="443"/>
        <v>-14842972.866210923</v>
      </c>
      <c r="CD999">
        <f t="shared" ca="1" si="444"/>
        <v>0</v>
      </c>
      <c r="CE999">
        <f t="shared" ca="1" si="445"/>
        <v>23090347.13378913</v>
      </c>
      <c r="CF999">
        <f t="shared" ca="1" si="446"/>
        <v>23090347.13378913</v>
      </c>
      <c r="CG999">
        <f t="shared" ca="1" si="447"/>
        <v>0</v>
      </c>
      <c r="CH999" s="10" t="str">
        <f>分析データ!A999</f>
        <v/>
      </c>
    </row>
    <row r="1000" spans="46:86">
      <c r="AT1000">
        <f ca="1">IF(ROW()&lt;($C$7+1),"",IFERROR((分析データ!B1000-AVERAGE(OFFSET(分析データ!B$1,MAX(1,ROW()-$C$7),0,MIN($C$7,ROW()-1),1)))/STDEV(OFFSET(分析データ!B$1,MAX(1,ROW()-$C$7),0,MIN($C$7,ROW()-1),1)),0))</f>
        <v>0</v>
      </c>
      <c r="AU1000">
        <f t="shared" ca="1" si="420"/>
        <v>0</v>
      </c>
      <c r="AV1000" t="str">
        <f ca="1">IF(AU1000=1,IF(INDEX(分析データ!$A:$A,ROW()+$C$5)&lt;&gt;"",80000*SIGN(AT1000)*(分析データ!B1000-INDEX(分析データ!B:B,ROW()+$C$5)),""),"")</f>
        <v/>
      </c>
      <c r="AW1000">
        <f t="shared" ca="1" si="421"/>
        <v>-1240000.0000000019</v>
      </c>
      <c r="AX1000">
        <f t="shared" ca="1" si="422"/>
        <v>0</v>
      </c>
      <c r="AY1000">
        <f t="shared" ca="1" si="423"/>
        <v>-1240000.0000000019</v>
      </c>
      <c r="AZ1000">
        <f ca="1">IF(ROW()&lt;($C$7+1),"",IFERROR((分析データ!C1000-AVERAGE(OFFSET(分析データ!C$1,MAX(1,ROW()-$C$7),0,MIN($C$7,ROW()-1),1)))/STDEV(OFFSET(分析データ!C$1,MAX(1,ROW()-$C$7),0,MIN($C$7,ROW()-1),1)),0))</f>
        <v>0</v>
      </c>
      <c r="BA1000">
        <f t="shared" ca="1" si="424"/>
        <v>0</v>
      </c>
      <c r="BB1000" t="str">
        <f ca="1">IF(BA1000=1,IF(INDEX(分析データ!$A:$A,ROW()+$C$5)&lt;&gt;"",60000*SIGN(AZ1000)*(分析データ!C1000-INDEX(分析データ!C:C,ROW()+$C$5)),""),"")</f>
        <v/>
      </c>
      <c r="BC1000">
        <f t="shared" ca="1" si="425"/>
        <v>-260999.9999999851</v>
      </c>
      <c r="BD1000">
        <f t="shared" ca="1" si="426"/>
        <v>3156000.0000000107</v>
      </c>
      <c r="BE1000">
        <f t="shared" ca="1" si="427"/>
        <v>-3416999.9999999958</v>
      </c>
      <c r="BF1000">
        <f ca="1">IF(ROW()&lt;($C$7+1),"",IFERROR((分析データ!D1000-AVERAGE(OFFSET(分析データ!D$1,MAX(1,ROW()-$C$7),0,MIN($C$7,ROW()-1),1)))/STDEV(OFFSET(分析データ!D$1,MAX(1,ROW()-$C$7),0,MIN($C$7,ROW()-1),1)),0))</f>
        <v>0</v>
      </c>
      <c r="BG1000">
        <f t="shared" ca="1" si="428"/>
        <v>0</v>
      </c>
      <c r="BH1000" t="str">
        <f ca="1">IF(BG1000=1,IF(INDEX(分析データ!$A:$A,ROW()+$C$5)&lt;&gt;"",50000*SIGN(BF1000)*(分析データ!D1000-INDEX(分析データ!D:D,ROW()+$C$5)),""),"")</f>
        <v/>
      </c>
      <c r="BI1000">
        <f t="shared" ca="1" si="429"/>
        <v>5570000.0000000205</v>
      </c>
      <c r="BJ1000">
        <f t="shared" ca="1" si="430"/>
        <v>5570000.0000000205</v>
      </c>
      <c r="BK1000">
        <f t="shared" ca="1" si="431"/>
        <v>0</v>
      </c>
      <c r="BL1000">
        <f ca="1">IF(ROW()&lt;($C$7+1),"",IFERROR((分析データ!E1000-AVERAGE(OFFSET(分析データ!E$1,MAX(1,ROW()-$C$7),0,MIN($C$7,ROW()-1),1)))/STDEV(OFFSET(分析データ!E$1,MAX(1,ROW()-$C$7),0,MIN($C$7,ROW()-1),1)),0))</f>
        <v>0</v>
      </c>
      <c r="BM1000">
        <f t="shared" ca="1" si="432"/>
        <v>0</v>
      </c>
      <c r="BN1000" t="str">
        <f ca="1">IF(BM1000=1,IF(INDEX(分析データ!$A:$A,ROW()+$C$5)&lt;&gt;"",40000*SIGN(BL1000)*(分析データ!E1000-INDEX(分析データ!E:E,ROW()+$C$5)),""),"")</f>
        <v/>
      </c>
      <c r="BO1000">
        <f t="shared" ca="1" si="433"/>
        <v>2720000.0000000014</v>
      </c>
      <c r="BP1000">
        <f t="shared" ca="1" si="434"/>
        <v>4280000.0000000028</v>
      </c>
      <c r="BQ1000">
        <f t="shared" ca="1" si="435"/>
        <v>-1560000.0000000014</v>
      </c>
      <c r="BR1000">
        <f ca="1">IF(ROW()&lt;($C$7+1),"",IFERROR((分析データ!F1000-AVERAGE(OFFSET(分析データ!F$1,MAX(1,ROW()-$C$7),0,MIN($C$7,ROW()-1),1)))/STDEV(OFFSET(分析データ!F$1,MAX(1,ROW()-$C$7),0,MIN($C$7,ROW()-1),1)),0))</f>
        <v>0</v>
      </c>
      <c r="BS1000">
        <f t="shared" ca="1" si="436"/>
        <v>0</v>
      </c>
      <c r="BT1000" t="str">
        <f ca="1">IF(BS1000=1,IF(INDEX(分析データ!$A:$A,ROW()+$C$5)&lt;&gt;"",40000*SIGN(BR1000)*(分析データ!F1000-INDEX(分析データ!F:F,ROW()+$C$5)),""),"")</f>
        <v/>
      </c>
      <c r="BU1000">
        <f t="shared" ca="1" si="437"/>
        <v>19816800</v>
      </c>
      <c r="BV1000">
        <f t="shared" ca="1" si="438"/>
        <v>19816800</v>
      </c>
      <c r="BW1000">
        <f t="shared" ca="1" si="439"/>
        <v>0</v>
      </c>
      <c r="BX1000">
        <f ca="1">IF(ROW()&lt;($C$7+1),"",IFERROR((分析データ!G1000-AVERAGE(OFFSET(分析データ!G$1,MAX(1,ROW()-$C$7),0,MIN($C$7,ROW()-1),1)))/STDEV(OFFSET(分析データ!G$1,MAX(1,ROW()-$C$7),0,MIN($C$7,ROW()-1),1)),0))</f>
        <v>0</v>
      </c>
      <c r="BY1000">
        <f t="shared" ca="1" si="440"/>
        <v>0</v>
      </c>
      <c r="BZ1000" t="str">
        <f ca="1">IF(BY1000=1,IF(INDEX(分析データ!$A:$A,ROW()+$C$5)&lt;&gt;"",40000*SIGN(BX1000)*(分析データ!G1000-INDEX(分析データ!G:G,ROW()+$C$5)),""),"")</f>
        <v/>
      </c>
      <c r="CA1000">
        <f t="shared" ca="1" si="441"/>
        <v>-3515452.8662109179</v>
      </c>
      <c r="CB1000">
        <f t="shared" ca="1" si="442"/>
        <v>11327520.000000004</v>
      </c>
      <c r="CC1000">
        <f t="shared" ca="1" si="443"/>
        <v>-14842972.866210923</v>
      </c>
      <c r="CD1000">
        <f t="shared" ca="1" si="444"/>
        <v>0</v>
      </c>
      <c r="CE1000">
        <f t="shared" ca="1" si="445"/>
        <v>23090347.13378913</v>
      </c>
      <c r="CF1000">
        <f t="shared" ca="1" si="446"/>
        <v>23090347.13378913</v>
      </c>
      <c r="CG1000">
        <f t="shared" ca="1" si="447"/>
        <v>0</v>
      </c>
      <c r="CH1000" s="10" t="str">
        <f>分析データ!A1000</f>
        <v/>
      </c>
    </row>
    <row r="1001" spans="46:86">
      <c r="AT1001">
        <f ca="1">IF(ROW()&lt;($C$7+1),"",IFERROR((分析データ!B1001-AVERAGE(OFFSET(分析データ!B$1,MAX(1,ROW()-$C$7),0,MIN($C$7,ROW()-1),1)))/STDEV(OFFSET(分析データ!B$1,MAX(1,ROW()-$C$7),0,MIN($C$7,ROW()-1),1)),0))</f>
        <v>0</v>
      </c>
      <c r="AU1001">
        <f t="shared" ca="1" si="420"/>
        <v>0</v>
      </c>
      <c r="AV1001" t="str">
        <f ca="1">IF(AU1001=1,IF(INDEX(分析データ!$A:$A,ROW()+$C$5)&lt;&gt;"",80000*SIGN(AT1001)*(分析データ!B1001-INDEX(分析データ!B:B,ROW()+$C$5)),""),"")</f>
        <v/>
      </c>
      <c r="AW1001">
        <f t="shared" ca="1" si="421"/>
        <v>-1240000.0000000019</v>
      </c>
      <c r="AX1001">
        <f t="shared" ca="1" si="422"/>
        <v>0</v>
      </c>
      <c r="AY1001">
        <f t="shared" ca="1" si="423"/>
        <v>-1240000.0000000019</v>
      </c>
      <c r="AZ1001">
        <f ca="1">IF(ROW()&lt;($C$7+1),"",IFERROR((分析データ!C1001-AVERAGE(OFFSET(分析データ!C$1,MAX(1,ROW()-$C$7),0,MIN($C$7,ROW()-1),1)))/STDEV(OFFSET(分析データ!C$1,MAX(1,ROW()-$C$7),0,MIN($C$7,ROW()-1),1)),0))</f>
        <v>0</v>
      </c>
      <c r="BA1001">
        <f t="shared" ca="1" si="424"/>
        <v>0</v>
      </c>
      <c r="BB1001" t="str">
        <f ca="1">IF(BA1001=1,IF(INDEX(分析データ!$A:$A,ROW()+$C$5)&lt;&gt;"",60000*SIGN(AZ1001)*(分析データ!C1001-INDEX(分析データ!C:C,ROW()+$C$5)),""),"")</f>
        <v/>
      </c>
      <c r="BC1001">
        <f t="shared" ca="1" si="425"/>
        <v>-260999.9999999851</v>
      </c>
      <c r="BD1001">
        <f t="shared" ca="1" si="426"/>
        <v>3156000.0000000107</v>
      </c>
      <c r="BE1001">
        <f t="shared" ca="1" si="427"/>
        <v>-3416999.9999999958</v>
      </c>
      <c r="BF1001">
        <f ca="1">IF(ROW()&lt;($C$7+1),"",IFERROR((分析データ!D1001-AVERAGE(OFFSET(分析データ!D$1,MAX(1,ROW()-$C$7),0,MIN($C$7,ROW()-1),1)))/STDEV(OFFSET(分析データ!D$1,MAX(1,ROW()-$C$7),0,MIN($C$7,ROW()-1),1)),0))</f>
        <v>0</v>
      </c>
      <c r="BG1001">
        <f t="shared" ca="1" si="428"/>
        <v>0</v>
      </c>
      <c r="BH1001" t="str">
        <f ca="1">IF(BG1001=1,IF(INDEX(分析データ!$A:$A,ROW()+$C$5)&lt;&gt;"",50000*SIGN(BF1001)*(分析データ!D1001-INDEX(分析データ!D:D,ROW()+$C$5)),""),"")</f>
        <v/>
      </c>
      <c r="BI1001">
        <f t="shared" ca="1" si="429"/>
        <v>5570000.0000000205</v>
      </c>
      <c r="BJ1001">
        <f t="shared" ca="1" si="430"/>
        <v>5570000.0000000205</v>
      </c>
      <c r="BK1001">
        <f t="shared" ca="1" si="431"/>
        <v>0</v>
      </c>
      <c r="BL1001">
        <f ca="1">IF(ROW()&lt;($C$7+1),"",IFERROR((分析データ!E1001-AVERAGE(OFFSET(分析データ!E$1,MAX(1,ROW()-$C$7),0,MIN($C$7,ROW()-1),1)))/STDEV(OFFSET(分析データ!E$1,MAX(1,ROW()-$C$7),0,MIN($C$7,ROW()-1),1)),0))</f>
        <v>0</v>
      </c>
      <c r="BM1001">
        <f t="shared" ca="1" si="432"/>
        <v>0</v>
      </c>
      <c r="BN1001" t="str">
        <f ca="1">IF(BM1001=1,IF(INDEX(分析データ!$A:$A,ROW()+$C$5)&lt;&gt;"",40000*SIGN(BL1001)*(分析データ!E1001-INDEX(分析データ!E:E,ROW()+$C$5)),""),"")</f>
        <v/>
      </c>
      <c r="BO1001">
        <f t="shared" ca="1" si="433"/>
        <v>2720000.0000000014</v>
      </c>
      <c r="BP1001">
        <f t="shared" ca="1" si="434"/>
        <v>4280000.0000000028</v>
      </c>
      <c r="BQ1001">
        <f t="shared" ca="1" si="435"/>
        <v>-1560000.0000000014</v>
      </c>
      <c r="BR1001">
        <f ca="1">IF(ROW()&lt;($C$7+1),"",IFERROR((分析データ!F1001-AVERAGE(OFFSET(分析データ!F$1,MAX(1,ROW()-$C$7),0,MIN($C$7,ROW()-1),1)))/STDEV(OFFSET(分析データ!F$1,MAX(1,ROW()-$C$7),0,MIN($C$7,ROW()-1),1)),0))</f>
        <v>0</v>
      </c>
      <c r="BS1001">
        <f t="shared" ca="1" si="436"/>
        <v>0</v>
      </c>
      <c r="BT1001" t="str">
        <f ca="1">IF(BS1001=1,IF(INDEX(分析データ!$A:$A,ROW()+$C$5)&lt;&gt;"",40000*SIGN(BR1001)*(分析データ!F1001-INDEX(分析データ!F:F,ROW()+$C$5)),""),"")</f>
        <v/>
      </c>
      <c r="BU1001">
        <f t="shared" ca="1" si="437"/>
        <v>19816800</v>
      </c>
      <c r="BV1001">
        <f t="shared" ca="1" si="438"/>
        <v>19816800</v>
      </c>
      <c r="BW1001">
        <f t="shared" ca="1" si="439"/>
        <v>0</v>
      </c>
      <c r="BX1001">
        <f ca="1">IF(ROW()&lt;($C$7+1),"",IFERROR((分析データ!G1001-AVERAGE(OFFSET(分析データ!G$1,MAX(1,ROW()-$C$7),0,MIN($C$7,ROW()-1),1)))/STDEV(OFFSET(分析データ!G$1,MAX(1,ROW()-$C$7),0,MIN($C$7,ROW()-1),1)),0))</f>
        <v>0</v>
      </c>
      <c r="BY1001">
        <f t="shared" ca="1" si="440"/>
        <v>0</v>
      </c>
      <c r="BZ1001" t="str">
        <f ca="1">IF(BY1001=1,IF(INDEX(分析データ!$A:$A,ROW()+$C$5)&lt;&gt;"",40000*SIGN(BX1001)*(分析データ!G1001-INDEX(分析データ!G:G,ROW()+$C$5)),""),"")</f>
        <v/>
      </c>
      <c r="CA1001">
        <f t="shared" ca="1" si="441"/>
        <v>-3515452.8662109179</v>
      </c>
      <c r="CB1001">
        <f t="shared" ca="1" si="442"/>
        <v>11327520.000000004</v>
      </c>
      <c r="CC1001">
        <f t="shared" ca="1" si="443"/>
        <v>-14842972.866210923</v>
      </c>
      <c r="CD1001">
        <f t="shared" ca="1" si="444"/>
        <v>0</v>
      </c>
      <c r="CE1001">
        <f t="shared" ca="1" si="445"/>
        <v>23090347.13378913</v>
      </c>
      <c r="CF1001">
        <f t="shared" ca="1" si="446"/>
        <v>23090347.13378913</v>
      </c>
      <c r="CG1001">
        <f t="shared" ca="1" si="447"/>
        <v>0</v>
      </c>
      <c r="CH1001" s="10" t="str">
        <f>分析データ!A1001</f>
        <v/>
      </c>
    </row>
    <row r="1002" spans="46:86">
      <c r="AT1002">
        <f ca="1">IF(ROW()&lt;($C$7+1),"",IFERROR((分析データ!B1002-AVERAGE(OFFSET(分析データ!B$1,MAX(1,ROW()-$C$7),0,MIN($C$7,ROW()-1),1)))/STDEV(OFFSET(分析データ!B$1,MAX(1,ROW()-$C$7),0,MIN($C$7,ROW()-1),1)),0))</f>
        <v>0</v>
      </c>
      <c r="AU1002">
        <f t="shared" ca="1" si="420"/>
        <v>0</v>
      </c>
      <c r="AV1002" t="str">
        <f ca="1">IF(AU1002=1,IF(INDEX(分析データ!$A:$A,ROW()+$C$5)&lt;&gt;"",80000*SIGN(AT1002)*(分析データ!B1002-INDEX(分析データ!B:B,ROW()+$C$5)),""),"")</f>
        <v/>
      </c>
      <c r="AW1002">
        <f t="shared" ca="1" si="421"/>
        <v>-1240000.0000000019</v>
      </c>
      <c r="AX1002">
        <f t="shared" ca="1" si="422"/>
        <v>0</v>
      </c>
      <c r="AY1002">
        <f t="shared" ca="1" si="423"/>
        <v>-1240000.0000000019</v>
      </c>
      <c r="AZ1002">
        <f ca="1">IF(ROW()&lt;($C$7+1),"",IFERROR((分析データ!C1002-AVERAGE(OFFSET(分析データ!C$1,MAX(1,ROW()-$C$7),0,MIN($C$7,ROW()-1),1)))/STDEV(OFFSET(分析データ!C$1,MAX(1,ROW()-$C$7),0,MIN($C$7,ROW()-1),1)),0))</f>
        <v>0</v>
      </c>
      <c r="BA1002">
        <f t="shared" ca="1" si="424"/>
        <v>0</v>
      </c>
      <c r="BB1002" t="str">
        <f ca="1">IF(BA1002=1,IF(INDEX(分析データ!$A:$A,ROW()+$C$5)&lt;&gt;"",60000*SIGN(AZ1002)*(分析データ!C1002-INDEX(分析データ!C:C,ROW()+$C$5)),""),"")</f>
        <v/>
      </c>
      <c r="BC1002">
        <f t="shared" ca="1" si="425"/>
        <v>-260999.9999999851</v>
      </c>
      <c r="BD1002">
        <f t="shared" ca="1" si="426"/>
        <v>3156000.0000000107</v>
      </c>
      <c r="BE1002">
        <f t="shared" ca="1" si="427"/>
        <v>-3416999.9999999958</v>
      </c>
      <c r="BF1002">
        <f ca="1">IF(ROW()&lt;($C$7+1),"",IFERROR((分析データ!D1002-AVERAGE(OFFSET(分析データ!D$1,MAX(1,ROW()-$C$7),0,MIN($C$7,ROW()-1),1)))/STDEV(OFFSET(分析データ!D$1,MAX(1,ROW()-$C$7),0,MIN($C$7,ROW()-1),1)),0))</f>
        <v>0</v>
      </c>
      <c r="BG1002">
        <f t="shared" ca="1" si="428"/>
        <v>0</v>
      </c>
      <c r="BH1002" t="str">
        <f ca="1">IF(BG1002=1,IF(INDEX(分析データ!$A:$A,ROW()+$C$5)&lt;&gt;"",50000*SIGN(BF1002)*(分析データ!D1002-INDEX(分析データ!D:D,ROW()+$C$5)),""),"")</f>
        <v/>
      </c>
      <c r="BI1002">
        <f t="shared" ca="1" si="429"/>
        <v>5570000.0000000205</v>
      </c>
      <c r="BJ1002">
        <f t="shared" ca="1" si="430"/>
        <v>5570000.0000000205</v>
      </c>
      <c r="BK1002">
        <f t="shared" ca="1" si="431"/>
        <v>0</v>
      </c>
      <c r="BL1002">
        <f ca="1">IF(ROW()&lt;($C$7+1),"",IFERROR((分析データ!E1002-AVERAGE(OFFSET(分析データ!E$1,MAX(1,ROW()-$C$7),0,MIN($C$7,ROW()-1),1)))/STDEV(OFFSET(分析データ!E$1,MAX(1,ROW()-$C$7),0,MIN($C$7,ROW()-1),1)),0))</f>
        <v>0</v>
      </c>
      <c r="BM1002">
        <f t="shared" ca="1" si="432"/>
        <v>0</v>
      </c>
      <c r="BN1002" t="str">
        <f ca="1">IF(BM1002=1,IF(INDEX(分析データ!$A:$A,ROW()+$C$5)&lt;&gt;"",40000*SIGN(BL1002)*(分析データ!E1002-INDEX(分析データ!E:E,ROW()+$C$5)),""),"")</f>
        <v/>
      </c>
      <c r="BO1002">
        <f t="shared" ca="1" si="433"/>
        <v>2720000.0000000014</v>
      </c>
      <c r="BP1002">
        <f t="shared" ca="1" si="434"/>
        <v>4280000.0000000028</v>
      </c>
      <c r="BQ1002">
        <f t="shared" ca="1" si="435"/>
        <v>-1560000.0000000014</v>
      </c>
      <c r="BR1002">
        <f ca="1">IF(ROW()&lt;($C$7+1),"",IFERROR((分析データ!F1002-AVERAGE(OFFSET(分析データ!F$1,MAX(1,ROW()-$C$7),0,MIN($C$7,ROW()-1),1)))/STDEV(OFFSET(分析データ!F$1,MAX(1,ROW()-$C$7),0,MIN($C$7,ROW()-1),1)),0))</f>
        <v>0</v>
      </c>
      <c r="BS1002">
        <f t="shared" ca="1" si="436"/>
        <v>0</v>
      </c>
      <c r="BT1002" t="str">
        <f ca="1">IF(BS1002=1,IF(INDEX(分析データ!$A:$A,ROW()+$C$5)&lt;&gt;"",40000*SIGN(BR1002)*(分析データ!F1002-INDEX(分析データ!F:F,ROW()+$C$5)),""),"")</f>
        <v/>
      </c>
      <c r="BU1002">
        <f t="shared" ca="1" si="437"/>
        <v>19816800</v>
      </c>
      <c r="BV1002">
        <f t="shared" ca="1" si="438"/>
        <v>19816800</v>
      </c>
      <c r="BW1002">
        <f t="shared" ca="1" si="439"/>
        <v>0</v>
      </c>
      <c r="BX1002">
        <f ca="1">IF(ROW()&lt;($C$7+1),"",IFERROR((分析データ!G1002-AVERAGE(OFFSET(分析データ!G$1,MAX(1,ROW()-$C$7),0,MIN($C$7,ROW()-1),1)))/STDEV(OFFSET(分析データ!G$1,MAX(1,ROW()-$C$7),0,MIN($C$7,ROW()-1),1)),0))</f>
        <v>0</v>
      </c>
      <c r="BY1002">
        <f t="shared" ca="1" si="440"/>
        <v>0</v>
      </c>
      <c r="BZ1002" t="str">
        <f ca="1">IF(BY1002=1,IF(INDEX(分析データ!$A:$A,ROW()+$C$5)&lt;&gt;"",40000*SIGN(BX1002)*(分析データ!G1002-INDEX(分析データ!G:G,ROW()+$C$5)),""),"")</f>
        <v/>
      </c>
      <c r="CA1002">
        <f t="shared" ca="1" si="441"/>
        <v>-3515452.8662109179</v>
      </c>
      <c r="CB1002">
        <f t="shared" ca="1" si="442"/>
        <v>11327520.000000004</v>
      </c>
      <c r="CC1002">
        <f t="shared" ca="1" si="443"/>
        <v>-14842972.866210923</v>
      </c>
      <c r="CD1002">
        <f t="shared" ca="1" si="444"/>
        <v>0</v>
      </c>
      <c r="CE1002">
        <f t="shared" ca="1" si="445"/>
        <v>23090347.13378913</v>
      </c>
      <c r="CF1002">
        <f t="shared" ca="1" si="446"/>
        <v>23090347.13378913</v>
      </c>
      <c r="CG1002">
        <f t="shared" ca="1" si="447"/>
        <v>0</v>
      </c>
      <c r="CH1002" s="10" t="str">
        <f>分析データ!A1002</f>
        <v/>
      </c>
    </row>
    <row r="1003" spans="46:86">
      <c r="AT1003">
        <f ca="1">IF(ROW()&lt;($C$7+1),"",IFERROR((分析データ!B1003-AVERAGE(OFFSET(分析データ!B$1,MAX(1,ROW()-$C$7),0,MIN($C$7,ROW()-1),1)))/STDEV(OFFSET(分析データ!B$1,MAX(1,ROW()-$C$7),0,MIN($C$7,ROW()-1),1)),0))</f>
        <v>0</v>
      </c>
      <c r="AU1003">
        <f t="shared" ca="1" si="420"/>
        <v>0</v>
      </c>
      <c r="AV1003" t="str">
        <f ca="1">IF(AU1003=1,IF(INDEX(分析データ!$A:$A,ROW()+$C$5)&lt;&gt;"",80000*SIGN(AT1003)*(分析データ!B1003-INDEX(分析データ!B:B,ROW()+$C$5)),""),"")</f>
        <v/>
      </c>
      <c r="AW1003">
        <f t="shared" ca="1" si="421"/>
        <v>-1240000.0000000019</v>
      </c>
      <c r="AX1003">
        <f t="shared" ca="1" si="422"/>
        <v>0</v>
      </c>
      <c r="AY1003">
        <f t="shared" ca="1" si="423"/>
        <v>-1240000.0000000019</v>
      </c>
      <c r="AZ1003">
        <f ca="1">IF(ROW()&lt;($C$7+1),"",IFERROR((分析データ!C1003-AVERAGE(OFFSET(分析データ!C$1,MAX(1,ROW()-$C$7),0,MIN($C$7,ROW()-1),1)))/STDEV(OFFSET(分析データ!C$1,MAX(1,ROW()-$C$7),0,MIN($C$7,ROW()-1),1)),0))</f>
        <v>0</v>
      </c>
      <c r="BA1003">
        <f t="shared" ca="1" si="424"/>
        <v>0</v>
      </c>
      <c r="BB1003" t="str">
        <f ca="1">IF(BA1003=1,IF(INDEX(分析データ!$A:$A,ROW()+$C$5)&lt;&gt;"",60000*SIGN(AZ1003)*(分析データ!C1003-INDEX(分析データ!C:C,ROW()+$C$5)),""),"")</f>
        <v/>
      </c>
      <c r="BC1003">
        <f t="shared" ca="1" si="425"/>
        <v>-260999.9999999851</v>
      </c>
      <c r="BD1003">
        <f t="shared" ca="1" si="426"/>
        <v>3156000.0000000107</v>
      </c>
      <c r="BE1003">
        <f t="shared" ca="1" si="427"/>
        <v>-3416999.9999999958</v>
      </c>
      <c r="BF1003">
        <f ca="1">IF(ROW()&lt;($C$7+1),"",IFERROR((分析データ!D1003-AVERAGE(OFFSET(分析データ!D$1,MAX(1,ROW()-$C$7),0,MIN($C$7,ROW()-1),1)))/STDEV(OFFSET(分析データ!D$1,MAX(1,ROW()-$C$7),0,MIN($C$7,ROW()-1),1)),0))</f>
        <v>0</v>
      </c>
      <c r="BG1003">
        <f t="shared" ca="1" si="428"/>
        <v>0</v>
      </c>
      <c r="BH1003" t="str">
        <f ca="1">IF(BG1003=1,IF(INDEX(分析データ!$A:$A,ROW()+$C$5)&lt;&gt;"",50000*SIGN(BF1003)*(分析データ!D1003-INDEX(分析データ!D:D,ROW()+$C$5)),""),"")</f>
        <v/>
      </c>
      <c r="BI1003">
        <f t="shared" ca="1" si="429"/>
        <v>5570000.0000000205</v>
      </c>
      <c r="BJ1003">
        <f t="shared" ca="1" si="430"/>
        <v>5570000.0000000205</v>
      </c>
      <c r="BK1003">
        <f t="shared" ca="1" si="431"/>
        <v>0</v>
      </c>
      <c r="BL1003">
        <f ca="1">IF(ROW()&lt;($C$7+1),"",IFERROR((分析データ!E1003-AVERAGE(OFFSET(分析データ!E$1,MAX(1,ROW()-$C$7),0,MIN($C$7,ROW()-1),1)))/STDEV(OFFSET(分析データ!E$1,MAX(1,ROW()-$C$7),0,MIN($C$7,ROW()-1),1)),0))</f>
        <v>0</v>
      </c>
      <c r="BM1003">
        <f t="shared" ca="1" si="432"/>
        <v>0</v>
      </c>
      <c r="BN1003" t="str">
        <f ca="1">IF(BM1003=1,IF(INDEX(分析データ!$A:$A,ROW()+$C$5)&lt;&gt;"",40000*SIGN(BL1003)*(分析データ!E1003-INDEX(分析データ!E:E,ROW()+$C$5)),""),"")</f>
        <v/>
      </c>
      <c r="BO1003">
        <f t="shared" ca="1" si="433"/>
        <v>2720000.0000000014</v>
      </c>
      <c r="BP1003">
        <f t="shared" ca="1" si="434"/>
        <v>4280000.0000000028</v>
      </c>
      <c r="BQ1003">
        <f t="shared" ca="1" si="435"/>
        <v>-1560000.0000000014</v>
      </c>
      <c r="BR1003">
        <f ca="1">IF(ROW()&lt;($C$7+1),"",IFERROR((分析データ!F1003-AVERAGE(OFFSET(分析データ!F$1,MAX(1,ROW()-$C$7),0,MIN($C$7,ROW()-1),1)))/STDEV(OFFSET(分析データ!F$1,MAX(1,ROW()-$C$7),0,MIN($C$7,ROW()-1),1)),0))</f>
        <v>0</v>
      </c>
      <c r="BS1003">
        <f t="shared" ca="1" si="436"/>
        <v>0</v>
      </c>
      <c r="BT1003" t="str">
        <f ca="1">IF(BS1003=1,IF(INDEX(分析データ!$A:$A,ROW()+$C$5)&lt;&gt;"",40000*SIGN(BR1003)*(分析データ!F1003-INDEX(分析データ!F:F,ROW()+$C$5)),""),"")</f>
        <v/>
      </c>
      <c r="BU1003">
        <f t="shared" ca="1" si="437"/>
        <v>19816800</v>
      </c>
      <c r="BV1003">
        <f t="shared" ca="1" si="438"/>
        <v>19816800</v>
      </c>
      <c r="BW1003">
        <f t="shared" ca="1" si="439"/>
        <v>0</v>
      </c>
      <c r="BX1003">
        <f ca="1">IF(ROW()&lt;($C$7+1),"",IFERROR((分析データ!G1003-AVERAGE(OFFSET(分析データ!G$1,MAX(1,ROW()-$C$7),0,MIN($C$7,ROW()-1),1)))/STDEV(OFFSET(分析データ!G$1,MAX(1,ROW()-$C$7),0,MIN($C$7,ROW()-1),1)),0))</f>
        <v>0</v>
      </c>
      <c r="BY1003">
        <f t="shared" ca="1" si="440"/>
        <v>0</v>
      </c>
      <c r="BZ1003" t="str">
        <f ca="1">IF(BY1003=1,IF(INDEX(分析データ!$A:$A,ROW()+$C$5)&lt;&gt;"",40000*SIGN(BX1003)*(分析データ!G1003-INDEX(分析データ!G:G,ROW()+$C$5)),""),"")</f>
        <v/>
      </c>
      <c r="CA1003">
        <f t="shared" ca="1" si="441"/>
        <v>-3515452.8662109179</v>
      </c>
      <c r="CB1003">
        <f t="shared" ca="1" si="442"/>
        <v>11327520.000000004</v>
      </c>
      <c r="CC1003">
        <f t="shared" ca="1" si="443"/>
        <v>-14842972.866210923</v>
      </c>
      <c r="CD1003">
        <f t="shared" ca="1" si="444"/>
        <v>0</v>
      </c>
      <c r="CE1003">
        <f t="shared" ca="1" si="445"/>
        <v>23090347.13378913</v>
      </c>
      <c r="CF1003">
        <f t="shared" ca="1" si="446"/>
        <v>23090347.13378913</v>
      </c>
      <c r="CG1003">
        <f t="shared" ca="1" si="447"/>
        <v>0</v>
      </c>
      <c r="CH1003" s="10" t="str">
        <f>分析データ!A1003</f>
        <v/>
      </c>
    </row>
    <row r="1004" spans="46:86">
      <c r="AT1004">
        <f ca="1">IF(ROW()&lt;($C$7+1),"",IFERROR((分析データ!B1004-AVERAGE(OFFSET(分析データ!B$1,MAX(1,ROW()-$C$7),0,MIN($C$7,ROW()-1),1)))/STDEV(OFFSET(分析データ!B$1,MAX(1,ROW()-$C$7),0,MIN($C$7,ROW()-1),1)),0))</f>
        <v>0</v>
      </c>
      <c r="AU1004">
        <f t="shared" ca="1" si="420"/>
        <v>0</v>
      </c>
      <c r="AV1004" t="str">
        <f ca="1">IF(AU1004=1,IF(INDEX(分析データ!$A:$A,ROW()+$C$5)&lt;&gt;"",80000*SIGN(AT1004)*(分析データ!B1004-INDEX(分析データ!B:B,ROW()+$C$5)),""),"")</f>
        <v/>
      </c>
      <c r="AW1004">
        <f t="shared" ca="1" si="421"/>
        <v>-1240000.0000000019</v>
      </c>
      <c r="AX1004">
        <f t="shared" ca="1" si="422"/>
        <v>0</v>
      </c>
      <c r="AY1004">
        <f t="shared" ca="1" si="423"/>
        <v>-1240000.0000000019</v>
      </c>
      <c r="AZ1004">
        <f ca="1">IF(ROW()&lt;($C$7+1),"",IFERROR((分析データ!C1004-AVERAGE(OFFSET(分析データ!C$1,MAX(1,ROW()-$C$7),0,MIN($C$7,ROW()-1),1)))/STDEV(OFFSET(分析データ!C$1,MAX(1,ROW()-$C$7),0,MIN($C$7,ROW()-1),1)),0))</f>
        <v>0</v>
      </c>
      <c r="BA1004">
        <f t="shared" ca="1" si="424"/>
        <v>0</v>
      </c>
      <c r="BB1004" t="str">
        <f ca="1">IF(BA1004=1,IF(INDEX(分析データ!$A:$A,ROW()+$C$5)&lt;&gt;"",60000*SIGN(AZ1004)*(分析データ!C1004-INDEX(分析データ!C:C,ROW()+$C$5)),""),"")</f>
        <v/>
      </c>
      <c r="BC1004">
        <f t="shared" ca="1" si="425"/>
        <v>-260999.9999999851</v>
      </c>
      <c r="BD1004">
        <f t="shared" ca="1" si="426"/>
        <v>3156000.0000000107</v>
      </c>
      <c r="BE1004">
        <f t="shared" ca="1" si="427"/>
        <v>-3416999.9999999958</v>
      </c>
      <c r="BF1004">
        <f ca="1">IF(ROW()&lt;($C$7+1),"",IFERROR((分析データ!D1004-AVERAGE(OFFSET(分析データ!D$1,MAX(1,ROW()-$C$7),0,MIN($C$7,ROW()-1),1)))/STDEV(OFFSET(分析データ!D$1,MAX(1,ROW()-$C$7),0,MIN($C$7,ROW()-1),1)),0))</f>
        <v>0</v>
      </c>
      <c r="BG1004">
        <f t="shared" ca="1" si="428"/>
        <v>0</v>
      </c>
      <c r="BH1004" t="str">
        <f ca="1">IF(BG1004=1,IF(INDEX(分析データ!$A:$A,ROW()+$C$5)&lt;&gt;"",50000*SIGN(BF1004)*(分析データ!D1004-INDEX(分析データ!D:D,ROW()+$C$5)),""),"")</f>
        <v/>
      </c>
      <c r="BI1004">
        <f t="shared" ca="1" si="429"/>
        <v>5570000.0000000205</v>
      </c>
      <c r="BJ1004">
        <f t="shared" ca="1" si="430"/>
        <v>5570000.0000000205</v>
      </c>
      <c r="BK1004">
        <f t="shared" ca="1" si="431"/>
        <v>0</v>
      </c>
      <c r="BL1004">
        <f ca="1">IF(ROW()&lt;($C$7+1),"",IFERROR((分析データ!E1004-AVERAGE(OFFSET(分析データ!E$1,MAX(1,ROW()-$C$7),0,MIN($C$7,ROW()-1),1)))/STDEV(OFFSET(分析データ!E$1,MAX(1,ROW()-$C$7),0,MIN($C$7,ROW()-1),1)),0))</f>
        <v>0</v>
      </c>
      <c r="BM1004">
        <f t="shared" ca="1" si="432"/>
        <v>0</v>
      </c>
      <c r="BN1004" t="str">
        <f ca="1">IF(BM1004=1,IF(INDEX(分析データ!$A:$A,ROW()+$C$5)&lt;&gt;"",40000*SIGN(BL1004)*(分析データ!E1004-INDEX(分析データ!E:E,ROW()+$C$5)),""),"")</f>
        <v/>
      </c>
      <c r="BO1004">
        <f t="shared" ca="1" si="433"/>
        <v>2720000.0000000014</v>
      </c>
      <c r="BP1004">
        <f t="shared" ca="1" si="434"/>
        <v>4280000.0000000028</v>
      </c>
      <c r="BQ1004">
        <f t="shared" ca="1" si="435"/>
        <v>-1560000.0000000014</v>
      </c>
      <c r="BR1004">
        <f ca="1">IF(ROW()&lt;($C$7+1),"",IFERROR((分析データ!F1004-AVERAGE(OFFSET(分析データ!F$1,MAX(1,ROW()-$C$7),0,MIN($C$7,ROW()-1),1)))/STDEV(OFFSET(分析データ!F$1,MAX(1,ROW()-$C$7),0,MIN($C$7,ROW()-1),1)),0))</f>
        <v>0</v>
      </c>
      <c r="BS1004">
        <f t="shared" ca="1" si="436"/>
        <v>0</v>
      </c>
      <c r="BT1004" t="str">
        <f ca="1">IF(BS1004=1,IF(INDEX(分析データ!$A:$A,ROW()+$C$5)&lt;&gt;"",40000*SIGN(BR1004)*(分析データ!F1004-INDEX(分析データ!F:F,ROW()+$C$5)),""),"")</f>
        <v/>
      </c>
      <c r="BU1004">
        <f t="shared" ca="1" si="437"/>
        <v>19816800</v>
      </c>
      <c r="BV1004">
        <f t="shared" ca="1" si="438"/>
        <v>19816800</v>
      </c>
      <c r="BW1004">
        <f t="shared" ca="1" si="439"/>
        <v>0</v>
      </c>
      <c r="BX1004">
        <f ca="1">IF(ROW()&lt;($C$7+1),"",IFERROR((分析データ!G1004-AVERAGE(OFFSET(分析データ!G$1,MAX(1,ROW()-$C$7),0,MIN($C$7,ROW()-1),1)))/STDEV(OFFSET(分析データ!G$1,MAX(1,ROW()-$C$7),0,MIN($C$7,ROW()-1),1)),0))</f>
        <v>0</v>
      </c>
      <c r="BY1004">
        <f t="shared" ca="1" si="440"/>
        <v>0</v>
      </c>
      <c r="BZ1004" t="str">
        <f ca="1">IF(BY1004=1,IF(INDEX(分析データ!$A:$A,ROW()+$C$5)&lt;&gt;"",40000*SIGN(BX1004)*(分析データ!G1004-INDEX(分析データ!G:G,ROW()+$C$5)),""),"")</f>
        <v/>
      </c>
      <c r="CA1004">
        <f t="shared" ca="1" si="441"/>
        <v>-3515452.8662109179</v>
      </c>
      <c r="CB1004">
        <f t="shared" ca="1" si="442"/>
        <v>11327520.000000004</v>
      </c>
      <c r="CC1004">
        <f t="shared" ca="1" si="443"/>
        <v>-14842972.866210923</v>
      </c>
      <c r="CD1004">
        <f t="shared" ca="1" si="444"/>
        <v>0</v>
      </c>
      <c r="CE1004">
        <f t="shared" ca="1" si="445"/>
        <v>23090347.13378913</v>
      </c>
      <c r="CF1004">
        <f t="shared" ca="1" si="446"/>
        <v>23090347.13378913</v>
      </c>
      <c r="CG1004">
        <f t="shared" ca="1" si="447"/>
        <v>0</v>
      </c>
      <c r="CH1004" s="10" t="str">
        <f>分析データ!A1004</f>
        <v/>
      </c>
    </row>
    <row r="1005" spans="46:86">
      <c r="AT1005">
        <f ca="1">IF(ROW()&lt;($C$7+1),"",IFERROR((分析データ!B1005-AVERAGE(OFFSET(分析データ!B$1,MAX(1,ROW()-$C$7),0,MIN($C$7,ROW()-1),1)))/STDEV(OFFSET(分析データ!B$1,MAX(1,ROW()-$C$7),0,MIN($C$7,ROW()-1),1)),0))</f>
        <v>0</v>
      </c>
      <c r="AU1005">
        <f t="shared" ca="1" si="420"/>
        <v>0</v>
      </c>
      <c r="AV1005" t="str">
        <f ca="1">IF(AU1005=1,IF(INDEX(分析データ!$A:$A,ROW()+$C$5)&lt;&gt;"",80000*SIGN(AT1005)*(分析データ!B1005-INDEX(分析データ!B:B,ROW()+$C$5)),""),"")</f>
        <v/>
      </c>
      <c r="AW1005">
        <f t="shared" ca="1" si="421"/>
        <v>-1240000.0000000019</v>
      </c>
      <c r="AX1005">
        <f t="shared" ca="1" si="422"/>
        <v>0</v>
      </c>
      <c r="AY1005">
        <f t="shared" ca="1" si="423"/>
        <v>-1240000.0000000019</v>
      </c>
      <c r="AZ1005">
        <f ca="1">IF(ROW()&lt;($C$7+1),"",IFERROR((分析データ!C1005-AVERAGE(OFFSET(分析データ!C$1,MAX(1,ROW()-$C$7),0,MIN($C$7,ROW()-1),1)))/STDEV(OFFSET(分析データ!C$1,MAX(1,ROW()-$C$7),0,MIN($C$7,ROW()-1),1)),0))</f>
        <v>0</v>
      </c>
      <c r="BA1005">
        <f t="shared" ca="1" si="424"/>
        <v>0</v>
      </c>
      <c r="BB1005" t="str">
        <f ca="1">IF(BA1005=1,IF(INDEX(分析データ!$A:$A,ROW()+$C$5)&lt;&gt;"",60000*SIGN(AZ1005)*(分析データ!C1005-INDEX(分析データ!C:C,ROW()+$C$5)),""),"")</f>
        <v/>
      </c>
      <c r="BC1005">
        <f t="shared" ca="1" si="425"/>
        <v>-260999.9999999851</v>
      </c>
      <c r="BD1005">
        <f t="shared" ca="1" si="426"/>
        <v>3156000.0000000107</v>
      </c>
      <c r="BE1005">
        <f t="shared" ca="1" si="427"/>
        <v>-3416999.9999999958</v>
      </c>
      <c r="BF1005">
        <f ca="1">IF(ROW()&lt;($C$7+1),"",IFERROR((分析データ!D1005-AVERAGE(OFFSET(分析データ!D$1,MAX(1,ROW()-$C$7),0,MIN($C$7,ROW()-1),1)))/STDEV(OFFSET(分析データ!D$1,MAX(1,ROW()-$C$7),0,MIN($C$7,ROW()-1),1)),0))</f>
        <v>0</v>
      </c>
      <c r="BG1005">
        <f t="shared" ca="1" si="428"/>
        <v>0</v>
      </c>
      <c r="BH1005" t="str">
        <f ca="1">IF(BG1005=1,IF(INDEX(分析データ!$A:$A,ROW()+$C$5)&lt;&gt;"",50000*SIGN(BF1005)*(分析データ!D1005-INDEX(分析データ!D:D,ROW()+$C$5)),""),"")</f>
        <v/>
      </c>
      <c r="BI1005">
        <f t="shared" ca="1" si="429"/>
        <v>5570000.0000000205</v>
      </c>
      <c r="BJ1005">
        <f t="shared" ca="1" si="430"/>
        <v>5570000.0000000205</v>
      </c>
      <c r="BK1005">
        <f t="shared" ca="1" si="431"/>
        <v>0</v>
      </c>
      <c r="BL1005">
        <f ca="1">IF(ROW()&lt;($C$7+1),"",IFERROR((分析データ!E1005-AVERAGE(OFFSET(分析データ!E$1,MAX(1,ROW()-$C$7),0,MIN($C$7,ROW()-1),1)))/STDEV(OFFSET(分析データ!E$1,MAX(1,ROW()-$C$7),0,MIN($C$7,ROW()-1),1)),0))</f>
        <v>0</v>
      </c>
      <c r="BM1005">
        <f t="shared" ca="1" si="432"/>
        <v>0</v>
      </c>
      <c r="BN1005" t="str">
        <f ca="1">IF(BM1005=1,IF(INDEX(分析データ!$A:$A,ROW()+$C$5)&lt;&gt;"",40000*SIGN(BL1005)*(分析データ!E1005-INDEX(分析データ!E:E,ROW()+$C$5)),""),"")</f>
        <v/>
      </c>
      <c r="BO1005">
        <f t="shared" ca="1" si="433"/>
        <v>2720000.0000000014</v>
      </c>
      <c r="BP1005">
        <f t="shared" ca="1" si="434"/>
        <v>4280000.0000000028</v>
      </c>
      <c r="BQ1005">
        <f t="shared" ca="1" si="435"/>
        <v>-1560000.0000000014</v>
      </c>
      <c r="BR1005">
        <f ca="1">IF(ROW()&lt;($C$7+1),"",IFERROR((分析データ!F1005-AVERAGE(OFFSET(分析データ!F$1,MAX(1,ROW()-$C$7),0,MIN($C$7,ROW()-1),1)))/STDEV(OFFSET(分析データ!F$1,MAX(1,ROW()-$C$7),0,MIN($C$7,ROW()-1),1)),0))</f>
        <v>0</v>
      </c>
      <c r="BS1005">
        <f t="shared" ca="1" si="436"/>
        <v>0</v>
      </c>
      <c r="BT1005" t="str">
        <f ca="1">IF(BS1005=1,IF(INDEX(分析データ!$A:$A,ROW()+$C$5)&lt;&gt;"",40000*SIGN(BR1005)*(分析データ!F1005-INDEX(分析データ!F:F,ROW()+$C$5)),""),"")</f>
        <v/>
      </c>
      <c r="BU1005">
        <f t="shared" ca="1" si="437"/>
        <v>19816800</v>
      </c>
      <c r="BV1005">
        <f t="shared" ca="1" si="438"/>
        <v>19816800</v>
      </c>
      <c r="BW1005">
        <f t="shared" ca="1" si="439"/>
        <v>0</v>
      </c>
      <c r="BX1005">
        <f ca="1">IF(ROW()&lt;($C$7+1),"",IFERROR((分析データ!G1005-AVERAGE(OFFSET(分析データ!G$1,MAX(1,ROW()-$C$7),0,MIN($C$7,ROW()-1),1)))/STDEV(OFFSET(分析データ!G$1,MAX(1,ROW()-$C$7),0,MIN($C$7,ROW()-1),1)),0))</f>
        <v>0</v>
      </c>
      <c r="BY1005">
        <f t="shared" ca="1" si="440"/>
        <v>0</v>
      </c>
      <c r="BZ1005" t="str">
        <f ca="1">IF(BY1005=1,IF(INDEX(分析データ!$A:$A,ROW()+$C$5)&lt;&gt;"",40000*SIGN(BX1005)*(分析データ!G1005-INDEX(分析データ!G:G,ROW()+$C$5)),""),"")</f>
        <v/>
      </c>
      <c r="CA1005">
        <f t="shared" ca="1" si="441"/>
        <v>-3515452.8662109179</v>
      </c>
      <c r="CB1005">
        <f t="shared" ca="1" si="442"/>
        <v>11327520.000000004</v>
      </c>
      <c r="CC1005">
        <f t="shared" ca="1" si="443"/>
        <v>-14842972.866210923</v>
      </c>
      <c r="CD1005">
        <f t="shared" ca="1" si="444"/>
        <v>0</v>
      </c>
      <c r="CE1005">
        <f t="shared" ca="1" si="445"/>
        <v>23090347.13378913</v>
      </c>
      <c r="CF1005">
        <f t="shared" ca="1" si="446"/>
        <v>23090347.13378913</v>
      </c>
      <c r="CG1005">
        <f t="shared" ca="1" si="447"/>
        <v>0</v>
      </c>
      <c r="CH1005" s="10" t="str">
        <f>分析データ!A1005</f>
        <v/>
      </c>
    </row>
    <row r="1006" spans="46:86">
      <c r="AT1006">
        <f ca="1">IF(ROW()&lt;($C$7+1),"",IFERROR((分析データ!B1006-AVERAGE(OFFSET(分析データ!B$1,MAX(1,ROW()-$C$7),0,MIN($C$7,ROW()-1),1)))/STDEV(OFFSET(分析データ!B$1,MAX(1,ROW()-$C$7),0,MIN($C$7,ROW()-1),1)),0))</f>
        <v>0</v>
      </c>
      <c r="AU1006">
        <f t="shared" ca="1" si="420"/>
        <v>0</v>
      </c>
      <c r="AV1006" t="str">
        <f ca="1">IF(AU1006=1,IF(INDEX(分析データ!$A:$A,ROW()+$C$5)&lt;&gt;"",80000*SIGN(AT1006)*(分析データ!B1006-INDEX(分析データ!B:B,ROW()+$C$5)),""),"")</f>
        <v/>
      </c>
      <c r="AW1006">
        <f t="shared" ca="1" si="421"/>
        <v>-1240000.0000000019</v>
      </c>
      <c r="AX1006">
        <f t="shared" ca="1" si="422"/>
        <v>0</v>
      </c>
      <c r="AY1006">
        <f t="shared" ca="1" si="423"/>
        <v>-1240000.0000000019</v>
      </c>
      <c r="AZ1006">
        <f ca="1">IF(ROW()&lt;($C$7+1),"",IFERROR((分析データ!C1006-AVERAGE(OFFSET(分析データ!C$1,MAX(1,ROW()-$C$7),0,MIN($C$7,ROW()-1),1)))/STDEV(OFFSET(分析データ!C$1,MAX(1,ROW()-$C$7),0,MIN($C$7,ROW()-1),1)),0))</f>
        <v>0</v>
      </c>
      <c r="BA1006">
        <f t="shared" ca="1" si="424"/>
        <v>0</v>
      </c>
      <c r="BB1006" t="str">
        <f ca="1">IF(BA1006=1,IF(INDEX(分析データ!$A:$A,ROW()+$C$5)&lt;&gt;"",60000*SIGN(AZ1006)*(分析データ!C1006-INDEX(分析データ!C:C,ROW()+$C$5)),""),"")</f>
        <v/>
      </c>
      <c r="BC1006">
        <f t="shared" ca="1" si="425"/>
        <v>-260999.9999999851</v>
      </c>
      <c r="BD1006">
        <f t="shared" ca="1" si="426"/>
        <v>3156000.0000000107</v>
      </c>
      <c r="BE1006">
        <f t="shared" ca="1" si="427"/>
        <v>-3416999.9999999958</v>
      </c>
      <c r="BF1006">
        <f ca="1">IF(ROW()&lt;($C$7+1),"",IFERROR((分析データ!D1006-AVERAGE(OFFSET(分析データ!D$1,MAX(1,ROW()-$C$7),0,MIN($C$7,ROW()-1),1)))/STDEV(OFFSET(分析データ!D$1,MAX(1,ROW()-$C$7),0,MIN($C$7,ROW()-1),1)),0))</f>
        <v>0</v>
      </c>
      <c r="BG1006">
        <f t="shared" ca="1" si="428"/>
        <v>0</v>
      </c>
      <c r="BH1006" t="str">
        <f ca="1">IF(BG1006=1,IF(INDEX(分析データ!$A:$A,ROW()+$C$5)&lt;&gt;"",50000*SIGN(BF1006)*(分析データ!D1006-INDEX(分析データ!D:D,ROW()+$C$5)),""),"")</f>
        <v/>
      </c>
      <c r="BI1006">
        <f t="shared" ca="1" si="429"/>
        <v>5570000.0000000205</v>
      </c>
      <c r="BJ1006">
        <f t="shared" ca="1" si="430"/>
        <v>5570000.0000000205</v>
      </c>
      <c r="BK1006">
        <f t="shared" ca="1" si="431"/>
        <v>0</v>
      </c>
      <c r="BL1006">
        <f ca="1">IF(ROW()&lt;($C$7+1),"",IFERROR((分析データ!E1006-AVERAGE(OFFSET(分析データ!E$1,MAX(1,ROW()-$C$7),0,MIN($C$7,ROW()-1),1)))/STDEV(OFFSET(分析データ!E$1,MAX(1,ROW()-$C$7),0,MIN($C$7,ROW()-1),1)),0))</f>
        <v>0</v>
      </c>
      <c r="BM1006">
        <f t="shared" ca="1" si="432"/>
        <v>0</v>
      </c>
      <c r="BN1006" t="str">
        <f ca="1">IF(BM1006=1,IF(INDEX(分析データ!$A:$A,ROW()+$C$5)&lt;&gt;"",40000*SIGN(BL1006)*(分析データ!E1006-INDEX(分析データ!E:E,ROW()+$C$5)),""),"")</f>
        <v/>
      </c>
      <c r="BO1006">
        <f t="shared" ca="1" si="433"/>
        <v>2720000.0000000014</v>
      </c>
      <c r="BP1006">
        <f t="shared" ca="1" si="434"/>
        <v>4280000.0000000028</v>
      </c>
      <c r="BQ1006">
        <f t="shared" ca="1" si="435"/>
        <v>-1560000.0000000014</v>
      </c>
      <c r="BR1006">
        <f ca="1">IF(ROW()&lt;($C$7+1),"",IFERROR((分析データ!F1006-AVERAGE(OFFSET(分析データ!F$1,MAX(1,ROW()-$C$7),0,MIN($C$7,ROW()-1),1)))/STDEV(OFFSET(分析データ!F$1,MAX(1,ROW()-$C$7),0,MIN($C$7,ROW()-1),1)),0))</f>
        <v>0</v>
      </c>
      <c r="BS1006">
        <f t="shared" ca="1" si="436"/>
        <v>0</v>
      </c>
      <c r="BT1006" t="str">
        <f ca="1">IF(BS1006=1,IF(INDEX(分析データ!$A:$A,ROW()+$C$5)&lt;&gt;"",40000*SIGN(BR1006)*(分析データ!F1006-INDEX(分析データ!F:F,ROW()+$C$5)),""),"")</f>
        <v/>
      </c>
      <c r="BU1006">
        <f t="shared" ca="1" si="437"/>
        <v>19816800</v>
      </c>
      <c r="BV1006">
        <f t="shared" ca="1" si="438"/>
        <v>19816800</v>
      </c>
      <c r="BW1006">
        <f t="shared" ca="1" si="439"/>
        <v>0</v>
      </c>
      <c r="BX1006">
        <f ca="1">IF(ROW()&lt;($C$7+1),"",IFERROR((分析データ!G1006-AVERAGE(OFFSET(分析データ!G$1,MAX(1,ROW()-$C$7),0,MIN($C$7,ROW()-1),1)))/STDEV(OFFSET(分析データ!G$1,MAX(1,ROW()-$C$7),0,MIN($C$7,ROW()-1),1)),0))</f>
        <v>0</v>
      </c>
      <c r="BY1006">
        <f t="shared" ca="1" si="440"/>
        <v>0</v>
      </c>
      <c r="BZ1006" t="str">
        <f ca="1">IF(BY1006=1,IF(INDEX(分析データ!$A:$A,ROW()+$C$5)&lt;&gt;"",40000*SIGN(BX1006)*(分析データ!G1006-INDEX(分析データ!G:G,ROW()+$C$5)),""),"")</f>
        <v/>
      </c>
      <c r="CA1006">
        <f t="shared" ca="1" si="441"/>
        <v>-3515452.8662109179</v>
      </c>
      <c r="CB1006">
        <f t="shared" ca="1" si="442"/>
        <v>11327520.000000004</v>
      </c>
      <c r="CC1006">
        <f t="shared" ca="1" si="443"/>
        <v>-14842972.866210923</v>
      </c>
      <c r="CD1006">
        <f t="shared" ca="1" si="444"/>
        <v>0</v>
      </c>
      <c r="CE1006">
        <f t="shared" ca="1" si="445"/>
        <v>23090347.13378913</v>
      </c>
      <c r="CF1006">
        <f t="shared" ca="1" si="446"/>
        <v>23090347.13378913</v>
      </c>
      <c r="CG1006">
        <f t="shared" ca="1" si="447"/>
        <v>0</v>
      </c>
      <c r="CH1006" s="10" t="str">
        <f>分析データ!A1006</f>
        <v/>
      </c>
    </row>
    <row r="1007" spans="46:86">
      <c r="AT1007">
        <f ca="1">IF(ROW()&lt;($C$7+1),"",IFERROR((分析データ!B1007-AVERAGE(OFFSET(分析データ!B$1,MAX(1,ROW()-$C$7),0,MIN($C$7,ROW()-1),1)))/STDEV(OFFSET(分析データ!B$1,MAX(1,ROW()-$C$7),0,MIN($C$7,ROW()-1),1)),0))</f>
        <v>0</v>
      </c>
      <c r="AU1007">
        <f t="shared" ca="1" si="420"/>
        <v>0</v>
      </c>
      <c r="AV1007" t="str">
        <f ca="1">IF(AU1007=1,IF(INDEX(分析データ!$A:$A,ROW()+$C$5)&lt;&gt;"",80000*SIGN(AT1007)*(分析データ!B1007-INDEX(分析データ!B:B,ROW()+$C$5)),""),"")</f>
        <v/>
      </c>
      <c r="AW1007">
        <f t="shared" ca="1" si="421"/>
        <v>-1240000.0000000019</v>
      </c>
      <c r="AX1007">
        <f t="shared" ca="1" si="422"/>
        <v>0</v>
      </c>
      <c r="AY1007">
        <f t="shared" ca="1" si="423"/>
        <v>-1240000.0000000019</v>
      </c>
      <c r="AZ1007">
        <f ca="1">IF(ROW()&lt;($C$7+1),"",IFERROR((分析データ!C1007-AVERAGE(OFFSET(分析データ!C$1,MAX(1,ROW()-$C$7),0,MIN($C$7,ROW()-1),1)))/STDEV(OFFSET(分析データ!C$1,MAX(1,ROW()-$C$7),0,MIN($C$7,ROW()-1),1)),0))</f>
        <v>0</v>
      </c>
      <c r="BA1007">
        <f t="shared" ca="1" si="424"/>
        <v>0</v>
      </c>
      <c r="BB1007" t="str">
        <f ca="1">IF(BA1007=1,IF(INDEX(分析データ!$A:$A,ROW()+$C$5)&lt;&gt;"",60000*SIGN(AZ1007)*(分析データ!C1007-INDEX(分析データ!C:C,ROW()+$C$5)),""),"")</f>
        <v/>
      </c>
      <c r="BC1007">
        <f t="shared" ca="1" si="425"/>
        <v>-260999.9999999851</v>
      </c>
      <c r="BD1007">
        <f t="shared" ca="1" si="426"/>
        <v>3156000.0000000107</v>
      </c>
      <c r="BE1007">
        <f t="shared" ca="1" si="427"/>
        <v>-3416999.9999999958</v>
      </c>
      <c r="BF1007">
        <f ca="1">IF(ROW()&lt;($C$7+1),"",IFERROR((分析データ!D1007-AVERAGE(OFFSET(分析データ!D$1,MAX(1,ROW()-$C$7),0,MIN($C$7,ROW()-1),1)))/STDEV(OFFSET(分析データ!D$1,MAX(1,ROW()-$C$7),0,MIN($C$7,ROW()-1),1)),0))</f>
        <v>0</v>
      </c>
      <c r="BG1007">
        <f t="shared" ca="1" si="428"/>
        <v>0</v>
      </c>
      <c r="BH1007" t="str">
        <f ca="1">IF(BG1007=1,IF(INDEX(分析データ!$A:$A,ROW()+$C$5)&lt;&gt;"",50000*SIGN(BF1007)*(分析データ!D1007-INDEX(分析データ!D:D,ROW()+$C$5)),""),"")</f>
        <v/>
      </c>
      <c r="BI1007">
        <f t="shared" ca="1" si="429"/>
        <v>5570000.0000000205</v>
      </c>
      <c r="BJ1007">
        <f t="shared" ca="1" si="430"/>
        <v>5570000.0000000205</v>
      </c>
      <c r="BK1007">
        <f t="shared" ca="1" si="431"/>
        <v>0</v>
      </c>
      <c r="BL1007">
        <f ca="1">IF(ROW()&lt;($C$7+1),"",IFERROR((分析データ!E1007-AVERAGE(OFFSET(分析データ!E$1,MAX(1,ROW()-$C$7),0,MIN($C$7,ROW()-1),1)))/STDEV(OFFSET(分析データ!E$1,MAX(1,ROW()-$C$7),0,MIN($C$7,ROW()-1),1)),0))</f>
        <v>0</v>
      </c>
      <c r="BM1007">
        <f t="shared" ca="1" si="432"/>
        <v>0</v>
      </c>
      <c r="BN1007" t="str">
        <f ca="1">IF(BM1007=1,IF(INDEX(分析データ!$A:$A,ROW()+$C$5)&lt;&gt;"",40000*SIGN(BL1007)*(分析データ!E1007-INDEX(分析データ!E:E,ROW()+$C$5)),""),"")</f>
        <v/>
      </c>
      <c r="BO1007">
        <f t="shared" ca="1" si="433"/>
        <v>2720000.0000000014</v>
      </c>
      <c r="BP1007">
        <f t="shared" ca="1" si="434"/>
        <v>4280000.0000000028</v>
      </c>
      <c r="BQ1007">
        <f t="shared" ca="1" si="435"/>
        <v>-1560000.0000000014</v>
      </c>
      <c r="BR1007">
        <f ca="1">IF(ROW()&lt;($C$7+1),"",IFERROR((分析データ!F1007-AVERAGE(OFFSET(分析データ!F$1,MAX(1,ROW()-$C$7),0,MIN($C$7,ROW()-1),1)))/STDEV(OFFSET(分析データ!F$1,MAX(1,ROW()-$C$7),0,MIN($C$7,ROW()-1),1)),0))</f>
        <v>0</v>
      </c>
      <c r="BS1007">
        <f t="shared" ca="1" si="436"/>
        <v>0</v>
      </c>
      <c r="BT1007" t="str">
        <f ca="1">IF(BS1007=1,IF(INDEX(分析データ!$A:$A,ROW()+$C$5)&lt;&gt;"",40000*SIGN(BR1007)*(分析データ!F1007-INDEX(分析データ!F:F,ROW()+$C$5)),""),"")</f>
        <v/>
      </c>
      <c r="BU1007">
        <f t="shared" ca="1" si="437"/>
        <v>19816800</v>
      </c>
      <c r="BV1007">
        <f t="shared" ca="1" si="438"/>
        <v>19816800</v>
      </c>
      <c r="BW1007">
        <f t="shared" ca="1" si="439"/>
        <v>0</v>
      </c>
      <c r="BX1007">
        <f ca="1">IF(ROW()&lt;($C$7+1),"",IFERROR((分析データ!G1007-AVERAGE(OFFSET(分析データ!G$1,MAX(1,ROW()-$C$7),0,MIN($C$7,ROW()-1),1)))/STDEV(OFFSET(分析データ!G$1,MAX(1,ROW()-$C$7),0,MIN($C$7,ROW()-1),1)),0))</f>
        <v>0</v>
      </c>
      <c r="BY1007">
        <f t="shared" ca="1" si="440"/>
        <v>0</v>
      </c>
      <c r="BZ1007" t="str">
        <f ca="1">IF(BY1007=1,IF(INDEX(分析データ!$A:$A,ROW()+$C$5)&lt;&gt;"",40000*SIGN(BX1007)*(分析データ!G1007-INDEX(分析データ!G:G,ROW()+$C$5)),""),"")</f>
        <v/>
      </c>
      <c r="CA1007">
        <f t="shared" ca="1" si="441"/>
        <v>-3515452.8662109179</v>
      </c>
      <c r="CB1007">
        <f t="shared" ca="1" si="442"/>
        <v>11327520.000000004</v>
      </c>
      <c r="CC1007">
        <f t="shared" ca="1" si="443"/>
        <v>-14842972.866210923</v>
      </c>
      <c r="CD1007">
        <f t="shared" ca="1" si="444"/>
        <v>0</v>
      </c>
      <c r="CE1007">
        <f t="shared" ca="1" si="445"/>
        <v>23090347.13378913</v>
      </c>
      <c r="CF1007">
        <f t="shared" ca="1" si="446"/>
        <v>23090347.13378913</v>
      </c>
      <c r="CG1007">
        <f t="shared" ca="1" si="447"/>
        <v>0</v>
      </c>
      <c r="CH1007" s="10" t="str">
        <f>分析データ!A1007</f>
        <v/>
      </c>
    </row>
    <row r="1008" spans="46:86">
      <c r="AT1008">
        <f ca="1">IF(ROW()&lt;($C$7+1),"",IFERROR((分析データ!B1008-AVERAGE(OFFSET(分析データ!B$1,MAX(1,ROW()-$C$7),0,MIN($C$7,ROW()-1),1)))/STDEV(OFFSET(分析データ!B$1,MAX(1,ROW()-$C$7),0,MIN($C$7,ROW()-1),1)),0))</f>
        <v>0</v>
      </c>
      <c r="AU1008">
        <f t="shared" ca="1" si="420"/>
        <v>0</v>
      </c>
      <c r="AV1008" t="str">
        <f ca="1">IF(AU1008=1,IF(INDEX(分析データ!$A:$A,ROW()+$C$5)&lt;&gt;"",80000*SIGN(AT1008)*(分析データ!B1008-INDEX(分析データ!B:B,ROW()+$C$5)),""),"")</f>
        <v/>
      </c>
      <c r="AW1008">
        <f t="shared" ca="1" si="421"/>
        <v>-1240000.0000000019</v>
      </c>
      <c r="AX1008">
        <f t="shared" ca="1" si="422"/>
        <v>0</v>
      </c>
      <c r="AY1008">
        <f t="shared" ca="1" si="423"/>
        <v>-1240000.0000000019</v>
      </c>
      <c r="AZ1008">
        <f ca="1">IF(ROW()&lt;($C$7+1),"",IFERROR((分析データ!C1008-AVERAGE(OFFSET(分析データ!C$1,MAX(1,ROW()-$C$7),0,MIN($C$7,ROW()-1),1)))/STDEV(OFFSET(分析データ!C$1,MAX(1,ROW()-$C$7),0,MIN($C$7,ROW()-1),1)),0))</f>
        <v>0</v>
      </c>
      <c r="BA1008">
        <f t="shared" ca="1" si="424"/>
        <v>0</v>
      </c>
      <c r="BB1008" t="str">
        <f ca="1">IF(BA1008=1,IF(INDEX(分析データ!$A:$A,ROW()+$C$5)&lt;&gt;"",60000*SIGN(AZ1008)*(分析データ!C1008-INDEX(分析データ!C:C,ROW()+$C$5)),""),"")</f>
        <v/>
      </c>
      <c r="BC1008">
        <f t="shared" ca="1" si="425"/>
        <v>-260999.9999999851</v>
      </c>
      <c r="BD1008">
        <f t="shared" ca="1" si="426"/>
        <v>3156000.0000000107</v>
      </c>
      <c r="BE1008">
        <f t="shared" ca="1" si="427"/>
        <v>-3416999.9999999958</v>
      </c>
      <c r="BF1008">
        <f ca="1">IF(ROW()&lt;($C$7+1),"",IFERROR((分析データ!D1008-AVERAGE(OFFSET(分析データ!D$1,MAX(1,ROW()-$C$7),0,MIN($C$7,ROW()-1),1)))/STDEV(OFFSET(分析データ!D$1,MAX(1,ROW()-$C$7),0,MIN($C$7,ROW()-1),1)),0))</f>
        <v>0</v>
      </c>
      <c r="BG1008">
        <f t="shared" ca="1" si="428"/>
        <v>0</v>
      </c>
      <c r="BH1008" t="str">
        <f ca="1">IF(BG1008=1,IF(INDEX(分析データ!$A:$A,ROW()+$C$5)&lt;&gt;"",50000*SIGN(BF1008)*(分析データ!D1008-INDEX(分析データ!D:D,ROW()+$C$5)),""),"")</f>
        <v/>
      </c>
      <c r="BI1008">
        <f t="shared" ca="1" si="429"/>
        <v>5570000.0000000205</v>
      </c>
      <c r="BJ1008">
        <f t="shared" ca="1" si="430"/>
        <v>5570000.0000000205</v>
      </c>
      <c r="BK1008">
        <f t="shared" ca="1" si="431"/>
        <v>0</v>
      </c>
      <c r="BL1008">
        <f ca="1">IF(ROW()&lt;($C$7+1),"",IFERROR((分析データ!E1008-AVERAGE(OFFSET(分析データ!E$1,MAX(1,ROW()-$C$7),0,MIN($C$7,ROW()-1),1)))/STDEV(OFFSET(分析データ!E$1,MAX(1,ROW()-$C$7),0,MIN($C$7,ROW()-1),1)),0))</f>
        <v>0</v>
      </c>
      <c r="BM1008">
        <f t="shared" ca="1" si="432"/>
        <v>0</v>
      </c>
      <c r="BN1008" t="str">
        <f ca="1">IF(BM1008=1,IF(INDEX(分析データ!$A:$A,ROW()+$C$5)&lt;&gt;"",40000*SIGN(BL1008)*(分析データ!E1008-INDEX(分析データ!E:E,ROW()+$C$5)),""),"")</f>
        <v/>
      </c>
      <c r="BO1008">
        <f t="shared" ca="1" si="433"/>
        <v>2720000.0000000014</v>
      </c>
      <c r="BP1008">
        <f t="shared" ca="1" si="434"/>
        <v>4280000.0000000028</v>
      </c>
      <c r="BQ1008">
        <f t="shared" ca="1" si="435"/>
        <v>-1560000.0000000014</v>
      </c>
      <c r="BR1008">
        <f ca="1">IF(ROW()&lt;($C$7+1),"",IFERROR((分析データ!F1008-AVERAGE(OFFSET(分析データ!F$1,MAX(1,ROW()-$C$7),0,MIN($C$7,ROW()-1),1)))/STDEV(OFFSET(分析データ!F$1,MAX(1,ROW()-$C$7),0,MIN($C$7,ROW()-1),1)),0))</f>
        <v>0</v>
      </c>
      <c r="BS1008">
        <f t="shared" ca="1" si="436"/>
        <v>0</v>
      </c>
      <c r="BT1008" t="str">
        <f ca="1">IF(BS1008=1,IF(INDEX(分析データ!$A:$A,ROW()+$C$5)&lt;&gt;"",40000*SIGN(BR1008)*(分析データ!F1008-INDEX(分析データ!F:F,ROW()+$C$5)),""),"")</f>
        <v/>
      </c>
      <c r="BU1008">
        <f t="shared" ca="1" si="437"/>
        <v>19816800</v>
      </c>
      <c r="BV1008">
        <f t="shared" ca="1" si="438"/>
        <v>19816800</v>
      </c>
      <c r="BW1008">
        <f t="shared" ca="1" si="439"/>
        <v>0</v>
      </c>
      <c r="BX1008">
        <f ca="1">IF(ROW()&lt;($C$7+1),"",IFERROR((分析データ!G1008-AVERAGE(OFFSET(分析データ!G$1,MAX(1,ROW()-$C$7),0,MIN($C$7,ROW()-1),1)))/STDEV(OFFSET(分析データ!G$1,MAX(1,ROW()-$C$7),0,MIN($C$7,ROW()-1),1)),0))</f>
        <v>0</v>
      </c>
      <c r="BY1008">
        <f t="shared" ca="1" si="440"/>
        <v>0</v>
      </c>
      <c r="BZ1008" t="str">
        <f ca="1">IF(BY1008=1,IF(INDEX(分析データ!$A:$A,ROW()+$C$5)&lt;&gt;"",40000*SIGN(BX1008)*(分析データ!G1008-INDEX(分析データ!G:G,ROW()+$C$5)),""),"")</f>
        <v/>
      </c>
      <c r="CA1008">
        <f t="shared" ca="1" si="441"/>
        <v>-3515452.8662109179</v>
      </c>
      <c r="CB1008">
        <f t="shared" ca="1" si="442"/>
        <v>11327520.000000004</v>
      </c>
      <c r="CC1008">
        <f t="shared" ca="1" si="443"/>
        <v>-14842972.866210923</v>
      </c>
      <c r="CD1008">
        <f t="shared" ca="1" si="444"/>
        <v>0</v>
      </c>
      <c r="CE1008">
        <f t="shared" ca="1" si="445"/>
        <v>23090347.13378913</v>
      </c>
      <c r="CF1008">
        <f t="shared" ca="1" si="446"/>
        <v>23090347.13378913</v>
      </c>
      <c r="CG1008">
        <f t="shared" ca="1" si="447"/>
        <v>0</v>
      </c>
      <c r="CH1008" s="10" t="str">
        <f>分析データ!A1008</f>
        <v/>
      </c>
    </row>
    <row r="1009" spans="46:86">
      <c r="AT1009">
        <f ca="1">IF(ROW()&lt;($C$7+1),"",IFERROR((分析データ!B1009-AVERAGE(OFFSET(分析データ!B$1,MAX(1,ROW()-$C$7),0,MIN($C$7,ROW()-1),1)))/STDEV(OFFSET(分析データ!B$1,MAX(1,ROW()-$C$7),0,MIN($C$7,ROW()-1),1)),0))</f>
        <v>0</v>
      </c>
      <c r="AU1009">
        <f t="shared" ca="1" si="420"/>
        <v>0</v>
      </c>
      <c r="AV1009" t="str">
        <f ca="1">IF(AU1009=1,IF(INDEX(分析データ!$A:$A,ROW()+$C$5)&lt;&gt;"",80000*SIGN(AT1009)*(分析データ!B1009-INDEX(分析データ!B:B,ROW()+$C$5)),""),"")</f>
        <v/>
      </c>
      <c r="AW1009">
        <f t="shared" ca="1" si="421"/>
        <v>-1240000.0000000019</v>
      </c>
      <c r="AX1009">
        <f t="shared" ca="1" si="422"/>
        <v>0</v>
      </c>
      <c r="AY1009">
        <f t="shared" ca="1" si="423"/>
        <v>-1240000.0000000019</v>
      </c>
      <c r="AZ1009">
        <f ca="1">IF(ROW()&lt;($C$7+1),"",IFERROR((分析データ!C1009-AVERAGE(OFFSET(分析データ!C$1,MAX(1,ROW()-$C$7),0,MIN($C$7,ROW()-1),1)))/STDEV(OFFSET(分析データ!C$1,MAX(1,ROW()-$C$7),0,MIN($C$7,ROW()-1),1)),0))</f>
        <v>0</v>
      </c>
      <c r="BA1009">
        <f t="shared" ca="1" si="424"/>
        <v>0</v>
      </c>
      <c r="BB1009" t="str">
        <f ca="1">IF(BA1009=1,IF(INDEX(分析データ!$A:$A,ROW()+$C$5)&lt;&gt;"",60000*SIGN(AZ1009)*(分析データ!C1009-INDEX(分析データ!C:C,ROW()+$C$5)),""),"")</f>
        <v/>
      </c>
      <c r="BC1009">
        <f t="shared" ca="1" si="425"/>
        <v>-260999.9999999851</v>
      </c>
      <c r="BD1009">
        <f t="shared" ca="1" si="426"/>
        <v>3156000.0000000107</v>
      </c>
      <c r="BE1009">
        <f t="shared" ca="1" si="427"/>
        <v>-3416999.9999999958</v>
      </c>
      <c r="BF1009">
        <f ca="1">IF(ROW()&lt;($C$7+1),"",IFERROR((分析データ!D1009-AVERAGE(OFFSET(分析データ!D$1,MAX(1,ROW()-$C$7),0,MIN($C$7,ROW()-1),1)))/STDEV(OFFSET(分析データ!D$1,MAX(1,ROW()-$C$7),0,MIN($C$7,ROW()-1),1)),0))</f>
        <v>0</v>
      </c>
      <c r="BG1009">
        <f t="shared" ca="1" si="428"/>
        <v>0</v>
      </c>
      <c r="BH1009" t="str">
        <f ca="1">IF(BG1009=1,IF(INDEX(分析データ!$A:$A,ROW()+$C$5)&lt;&gt;"",50000*SIGN(BF1009)*(分析データ!D1009-INDEX(分析データ!D:D,ROW()+$C$5)),""),"")</f>
        <v/>
      </c>
      <c r="BI1009">
        <f t="shared" ca="1" si="429"/>
        <v>5570000.0000000205</v>
      </c>
      <c r="BJ1009">
        <f t="shared" ca="1" si="430"/>
        <v>5570000.0000000205</v>
      </c>
      <c r="BK1009">
        <f t="shared" ca="1" si="431"/>
        <v>0</v>
      </c>
      <c r="BL1009">
        <f ca="1">IF(ROW()&lt;($C$7+1),"",IFERROR((分析データ!E1009-AVERAGE(OFFSET(分析データ!E$1,MAX(1,ROW()-$C$7),0,MIN($C$7,ROW()-1),1)))/STDEV(OFFSET(分析データ!E$1,MAX(1,ROW()-$C$7),0,MIN($C$7,ROW()-1),1)),0))</f>
        <v>0</v>
      </c>
      <c r="BM1009">
        <f t="shared" ca="1" si="432"/>
        <v>0</v>
      </c>
      <c r="BN1009" t="str">
        <f ca="1">IF(BM1009=1,IF(INDEX(分析データ!$A:$A,ROW()+$C$5)&lt;&gt;"",40000*SIGN(BL1009)*(分析データ!E1009-INDEX(分析データ!E:E,ROW()+$C$5)),""),"")</f>
        <v/>
      </c>
      <c r="BO1009">
        <f t="shared" ca="1" si="433"/>
        <v>2720000.0000000014</v>
      </c>
      <c r="BP1009">
        <f t="shared" ca="1" si="434"/>
        <v>4280000.0000000028</v>
      </c>
      <c r="BQ1009">
        <f t="shared" ca="1" si="435"/>
        <v>-1560000.0000000014</v>
      </c>
      <c r="BR1009">
        <f ca="1">IF(ROW()&lt;($C$7+1),"",IFERROR((分析データ!F1009-AVERAGE(OFFSET(分析データ!F$1,MAX(1,ROW()-$C$7),0,MIN($C$7,ROW()-1),1)))/STDEV(OFFSET(分析データ!F$1,MAX(1,ROW()-$C$7),0,MIN($C$7,ROW()-1),1)),0))</f>
        <v>0</v>
      </c>
      <c r="BS1009">
        <f t="shared" ca="1" si="436"/>
        <v>0</v>
      </c>
      <c r="BT1009" t="str">
        <f ca="1">IF(BS1009=1,IF(INDEX(分析データ!$A:$A,ROW()+$C$5)&lt;&gt;"",40000*SIGN(BR1009)*(分析データ!F1009-INDEX(分析データ!F:F,ROW()+$C$5)),""),"")</f>
        <v/>
      </c>
      <c r="BU1009">
        <f t="shared" ca="1" si="437"/>
        <v>19816800</v>
      </c>
      <c r="BV1009">
        <f t="shared" ca="1" si="438"/>
        <v>19816800</v>
      </c>
      <c r="BW1009">
        <f t="shared" ca="1" si="439"/>
        <v>0</v>
      </c>
      <c r="BX1009">
        <f ca="1">IF(ROW()&lt;($C$7+1),"",IFERROR((分析データ!G1009-AVERAGE(OFFSET(分析データ!G$1,MAX(1,ROW()-$C$7),0,MIN($C$7,ROW()-1),1)))/STDEV(OFFSET(分析データ!G$1,MAX(1,ROW()-$C$7),0,MIN($C$7,ROW()-1),1)),0))</f>
        <v>0</v>
      </c>
      <c r="BY1009">
        <f t="shared" ca="1" si="440"/>
        <v>0</v>
      </c>
      <c r="BZ1009" t="str">
        <f ca="1">IF(BY1009=1,IF(INDEX(分析データ!$A:$A,ROW()+$C$5)&lt;&gt;"",40000*SIGN(BX1009)*(分析データ!G1009-INDEX(分析データ!G:G,ROW()+$C$5)),""),"")</f>
        <v/>
      </c>
      <c r="CA1009">
        <f t="shared" ca="1" si="441"/>
        <v>-3515452.8662109179</v>
      </c>
      <c r="CB1009">
        <f t="shared" ca="1" si="442"/>
        <v>11327520.000000004</v>
      </c>
      <c r="CC1009">
        <f t="shared" ca="1" si="443"/>
        <v>-14842972.866210923</v>
      </c>
      <c r="CD1009">
        <f t="shared" ca="1" si="444"/>
        <v>0</v>
      </c>
      <c r="CE1009">
        <f t="shared" ca="1" si="445"/>
        <v>23090347.13378913</v>
      </c>
      <c r="CF1009">
        <f t="shared" ca="1" si="446"/>
        <v>23090347.13378913</v>
      </c>
      <c r="CG1009">
        <f t="shared" ca="1" si="447"/>
        <v>0</v>
      </c>
      <c r="CH1009" s="10" t="str">
        <f>分析データ!A1009</f>
        <v/>
      </c>
    </row>
    <row r="1010" spans="46:86">
      <c r="AT1010">
        <f ca="1">IF(ROW()&lt;($C$7+1),"",IFERROR((分析データ!B1010-AVERAGE(OFFSET(分析データ!B$1,MAX(1,ROW()-$C$7),0,MIN($C$7,ROW()-1),1)))/STDEV(OFFSET(分析データ!B$1,MAX(1,ROW()-$C$7),0,MIN($C$7,ROW()-1),1)),0))</f>
        <v>0</v>
      </c>
      <c r="AU1010">
        <f t="shared" ca="1" si="420"/>
        <v>0</v>
      </c>
      <c r="AV1010" t="str">
        <f ca="1">IF(AU1010=1,IF(INDEX(分析データ!$A:$A,ROW()+$C$5)&lt;&gt;"",80000*SIGN(AT1010)*(分析データ!B1010-INDEX(分析データ!B:B,ROW()+$C$5)),""),"")</f>
        <v/>
      </c>
      <c r="AW1010">
        <f t="shared" ca="1" si="421"/>
        <v>-1240000.0000000019</v>
      </c>
      <c r="AX1010">
        <f t="shared" ca="1" si="422"/>
        <v>0</v>
      </c>
      <c r="AY1010">
        <f t="shared" ca="1" si="423"/>
        <v>-1240000.0000000019</v>
      </c>
      <c r="AZ1010">
        <f ca="1">IF(ROW()&lt;($C$7+1),"",IFERROR((分析データ!C1010-AVERAGE(OFFSET(分析データ!C$1,MAX(1,ROW()-$C$7),0,MIN($C$7,ROW()-1),1)))/STDEV(OFFSET(分析データ!C$1,MAX(1,ROW()-$C$7),0,MIN($C$7,ROW()-1),1)),0))</f>
        <v>0</v>
      </c>
      <c r="BA1010">
        <f t="shared" ca="1" si="424"/>
        <v>0</v>
      </c>
      <c r="BB1010" t="str">
        <f ca="1">IF(BA1010=1,IF(INDEX(分析データ!$A:$A,ROW()+$C$5)&lt;&gt;"",60000*SIGN(AZ1010)*(分析データ!C1010-INDEX(分析データ!C:C,ROW()+$C$5)),""),"")</f>
        <v/>
      </c>
      <c r="BC1010">
        <f t="shared" ca="1" si="425"/>
        <v>-260999.9999999851</v>
      </c>
      <c r="BD1010">
        <f t="shared" ca="1" si="426"/>
        <v>3156000.0000000107</v>
      </c>
      <c r="BE1010">
        <f t="shared" ca="1" si="427"/>
        <v>-3416999.9999999958</v>
      </c>
      <c r="BF1010">
        <f ca="1">IF(ROW()&lt;($C$7+1),"",IFERROR((分析データ!D1010-AVERAGE(OFFSET(分析データ!D$1,MAX(1,ROW()-$C$7),0,MIN($C$7,ROW()-1),1)))/STDEV(OFFSET(分析データ!D$1,MAX(1,ROW()-$C$7),0,MIN($C$7,ROW()-1),1)),0))</f>
        <v>0</v>
      </c>
      <c r="BG1010">
        <f t="shared" ca="1" si="428"/>
        <v>0</v>
      </c>
      <c r="BH1010" t="str">
        <f ca="1">IF(BG1010=1,IF(INDEX(分析データ!$A:$A,ROW()+$C$5)&lt;&gt;"",50000*SIGN(BF1010)*(分析データ!D1010-INDEX(分析データ!D:D,ROW()+$C$5)),""),"")</f>
        <v/>
      </c>
      <c r="BI1010">
        <f t="shared" ca="1" si="429"/>
        <v>5570000.0000000205</v>
      </c>
      <c r="BJ1010">
        <f t="shared" ca="1" si="430"/>
        <v>5570000.0000000205</v>
      </c>
      <c r="BK1010">
        <f t="shared" ca="1" si="431"/>
        <v>0</v>
      </c>
      <c r="BL1010">
        <f ca="1">IF(ROW()&lt;($C$7+1),"",IFERROR((分析データ!E1010-AVERAGE(OFFSET(分析データ!E$1,MAX(1,ROW()-$C$7),0,MIN($C$7,ROW()-1),1)))/STDEV(OFFSET(分析データ!E$1,MAX(1,ROW()-$C$7),0,MIN($C$7,ROW()-1),1)),0))</f>
        <v>0</v>
      </c>
      <c r="BM1010">
        <f t="shared" ca="1" si="432"/>
        <v>0</v>
      </c>
      <c r="BN1010" t="str">
        <f ca="1">IF(BM1010=1,IF(INDEX(分析データ!$A:$A,ROW()+$C$5)&lt;&gt;"",40000*SIGN(BL1010)*(分析データ!E1010-INDEX(分析データ!E:E,ROW()+$C$5)),""),"")</f>
        <v/>
      </c>
      <c r="BO1010">
        <f t="shared" ca="1" si="433"/>
        <v>2720000.0000000014</v>
      </c>
      <c r="BP1010">
        <f t="shared" ca="1" si="434"/>
        <v>4280000.0000000028</v>
      </c>
      <c r="BQ1010">
        <f t="shared" ca="1" si="435"/>
        <v>-1560000.0000000014</v>
      </c>
      <c r="BR1010">
        <f ca="1">IF(ROW()&lt;($C$7+1),"",IFERROR((分析データ!F1010-AVERAGE(OFFSET(分析データ!F$1,MAX(1,ROW()-$C$7),0,MIN($C$7,ROW()-1),1)))/STDEV(OFFSET(分析データ!F$1,MAX(1,ROW()-$C$7),0,MIN($C$7,ROW()-1),1)),0))</f>
        <v>0</v>
      </c>
      <c r="BS1010">
        <f t="shared" ca="1" si="436"/>
        <v>0</v>
      </c>
      <c r="BT1010" t="str">
        <f ca="1">IF(BS1010=1,IF(INDEX(分析データ!$A:$A,ROW()+$C$5)&lt;&gt;"",40000*SIGN(BR1010)*(分析データ!F1010-INDEX(分析データ!F:F,ROW()+$C$5)),""),"")</f>
        <v/>
      </c>
      <c r="BU1010">
        <f t="shared" ca="1" si="437"/>
        <v>19816800</v>
      </c>
      <c r="BV1010">
        <f t="shared" ca="1" si="438"/>
        <v>19816800</v>
      </c>
      <c r="BW1010">
        <f t="shared" ca="1" si="439"/>
        <v>0</v>
      </c>
      <c r="BX1010">
        <f ca="1">IF(ROW()&lt;($C$7+1),"",IFERROR((分析データ!G1010-AVERAGE(OFFSET(分析データ!G$1,MAX(1,ROW()-$C$7),0,MIN($C$7,ROW()-1),1)))/STDEV(OFFSET(分析データ!G$1,MAX(1,ROW()-$C$7),0,MIN($C$7,ROW()-1),1)),0))</f>
        <v>0</v>
      </c>
      <c r="BY1010">
        <f t="shared" ca="1" si="440"/>
        <v>0</v>
      </c>
      <c r="BZ1010" t="str">
        <f ca="1">IF(BY1010=1,IF(INDEX(分析データ!$A:$A,ROW()+$C$5)&lt;&gt;"",40000*SIGN(BX1010)*(分析データ!G1010-INDEX(分析データ!G:G,ROW()+$C$5)),""),"")</f>
        <v/>
      </c>
      <c r="CA1010">
        <f t="shared" ca="1" si="441"/>
        <v>-3515452.8662109179</v>
      </c>
      <c r="CB1010">
        <f t="shared" ca="1" si="442"/>
        <v>11327520.000000004</v>
      </c>
      <c r="CC1010">
        <f t="shared" ca="1" si="443"/>
        <v>-14842972.866210923</v>
      </c>
      <c r="CD1010">
        <f t="shared" ca="1" si="444"/>
        <v>0</v>
      </c>
      <c r="CE1010">
        <f t="shared" ca="1" si="445"/>
        <v>23090347.13378913</v>
      </c>
      <c r="CF1010">
        <f t="shared" ca="1" si="446"/>
        <v>23090347.13378913</v>
      </c>
      <c r="CG1010">
        <f t="shared" ca="1" si="447"/>
        <v>0</v>
      </c>
      <c r="CH1010" s="10" t="str">
        <f>分析データ!A1010</f>
        <v/>
      </c>
    </row>
    <row r="1011" spans="46:86">
      <c r="AT1011">
        <f ca="1">IF(ROW()&lt;($C$7+1),"",IFERROR((分析データ!B1011-AVERAGE(OFFSET(分析データ!B$1,MAX(1,ROW()-$C$7),0,MIN($C$7,ROW()-1),1)))/STDEV(OFFSET(分析データ!B$1,MAX(1,ROW()-$C$7),0,MIN($C$7,ROW()-1),1)),0))</f>
        <v>0</v>
      </c>
      <c r="AU1011">
        <f t="shared" ca="1" si="420"/>
        <v>0</v>
      </c>
      <c r="AV1011" t="str">
        <f ca="1">IF(AU1011=1,IF(INDEX(分析データ!$A:$A,ROW()+$C$5)&lt;&gt;"",80000*SIGN(AT1011)*(分析データ!B1011-INDEX(分析データ!B:B,ROW()+$C$5)),""),"")</f>
        <v/>
      </c>
      <c r="AW1011">
        <f t="shared" ca="1" si="421"/>
        <v>-1240000.0000000019</v>
      </c>
      <c r="AX1011">
        <f t="shared" ca="1" si="422"/>
        <v>0</v>
      </c>
      <c r="AY1011">
        <f t="shared" ca="1" si="423"/>
        <v>-1240000.0000000019</v>
      </c>
      <c r="AZ1011">
        <f ca="1">IF(ROW()&lt;($C$7+1),"",IFERROR((分析データ!C1011-AVERAGE(OFFSET(分析データ!C$1,MAX(1,ROW()-$C$7),0,MIN($C$7,ROW()-1),1)))/STDEV(OFFSET(分析データ!C$1,MAX(1,ROW()-$C$7),0,MIN($C$7,ROW()-1),1)),0))</f>
        <v>0</v>
      </c>
      <c r="BA1011">
        <f t="shared" ca="1" si="424"/>
        <v>0</v>
      </c>
      <c r="BB1011" t="str">
        <f ca="1">IF(BA1011=1,IF(INDEX(分析データ!$A:$A,ROW()+$C$5)&lt;&gt;"",60000*SIGN(AZ1011)*(分析データ!C1011-INDEX(分析データ!C:C,ROW()+$C$5)),""),"")</f>
        <v/>
      </c>
      <c r="BC1011">
        <f t="shared" ca="1" si="425"/>
        <v>-260999.9999999851</v>
      </c>
      <c r="BD1011">
        <f t="shared" ca="1" si="426"/>
        <v>3156000.0000000107</v>
      </c>
      <c r="BE1011">
        <f t="shared" ca="1" si="427"/>
        <v>-3416999.9999999958</v>
      </c>
      <c r="BF1011">
        <f ca="1">IF(ROW()&lt;($C$7+1),"",IFERROR((分析データ!D1011-AVERAGE(OFFSET(分析データ!D$1,MAX(1,ROW()-$C$7),0,MIN($C$7,ROW()-1),1)))/STDEV(OFFSET(分析データ!D$1,MAX(1,ROW()-$C$7),0,MIN($C$7,ROW()-1),1)),0))</f>
        <v>0</v>
      </c>
      <c r="BG1011">
        <f t="shared" ca="1" si="428"/>
        <v>0</v>
      </c>
      <c r="BH1011" t="str">
        <f ca="1">IF(BG1011=1,IF(INDEX(分析データ!$A:$A,ROW()+$C$5)&lt;&gt;"",50000*SIGN(BF1011)*(分析データ!D1011-INDEX(分析データ!D:D,ROW()+$C$5)),""),"")</f>
        <v/>
      </c>
      <c r="BI1011">
        <f t="shared" ca="1" si="429"/>
        <v>5570000.0000000205</v>
      </c>
      <c r="BJ1011">
        <f t="shared" ca="1" si="430"/>
        <v>5570000.0000000205</v>
      </c>
      <c r="BK1011">
        <f t="shared" ca="1" si="431"/>
        <v>0</v>
      </c>
      <c r="BL1011">
        <f ca="1">IF(ROW()&lt;($C$7+1),"",IFERROR((分析データ!E1011-AVERAGE(OFFSET(分析データ!E$1,MAX(1,ROW()-$C$7),0,MIN($C$7,ROW()-1),1)))/STDEV(OFFSET(分析データ!E$1,MAX(1,ROW()-$C$7),0,MIN($C$7,ROW()-1),1)),0))</f>
        <v>0</v>
      </c>
      <c r="BM1011">
        <f t="shared" ca="1" si="432"/>
        <v>0</v>
      </c>
      <c r="BN1011" t="str">
        <f ca="1">IF(BM1011=1,IF(INDEX(分析データ!$A:$A,ROW()+$C$5)&lt;&gt;"",40000*SIGN(BL1011)*(分析データ!E1011-INDEX(分析データ!E:E,ROW()+$C$5)),""),"")</f>
        <v/>
      </c>
      <c r="BO1011">
        <f t="shared" ca="1" si="433"/>
        <v>2720000.0000000014</v>
      </c>
      <c r="BP1011">
        <f t="shared" ca="1" si="434"/>
        <v>4280000.0000000028</v>
      </c>
      <c r="BQ1011">
        <f t="shared" ca="1" si="435"/>
        <v>-1560000.0000000014</v>
      </c>
      <c r="BR1011">
        <f ca="1">IF(ROW()&lt;($C$7+1),"",IFERROR((分析データ!F1011-AVERAGE(OFFSET(分析データ!F$1,MAX(1,ROW()-$C$7),0,MIN($C$7,ROW()-1),1)))/STDEV(OFFSET(分析データ!F$1,MAX(1,ROW()-$C$7),0,MIN($C$7,ROW()-1),1)),0))</f>
        <v>0</v>
      </c>
      <c r="BS1011">
        <f t="shared" ca="1" si="436"/>
        <v>0</v>
      </c>
      <c r="BT1011" t="str">
        <f ca="1">IF(BS1011=1,IF(INDEX(分析データ!$A:$A,ROW()+$C$5)&lt;&gt;"",40000*SIGN(BR1011)*(分析データ!F1011-INDEX(分析データ!F:F,ROW()+$C$5)),""),"")</f>
        <v/>
      </c>
      <c r="BU1011">
        <f t="shared" ca="1" si="437"/>
        <v>19816800</v>
      </c>
      <c r="BV1011">
        <f t="shared" ca="1" si="438"/>
        <v>19816800</v>
      </c>
      <c r="BW1011">
        <f t="shared" ca="1" si="439"/>
        <v>0</v>
      </c>
      <c r="BX1011">
        <f ca="1">IF(ROW()&lt;($C$7+1),"",IFERROR((分析データ!G1011-AVERAGE(OFFSET(分析データ!G$1,MAX(1,ROW()-$C$7),0,MIN($C$7,ROW()-1),1)))/STDEV(OFFSET(分析データ!G$1,MAX(1,ROW()-$C$7),0,MIN($C$7,ROW()-1),1)),0))</f>
        <v>0</v>
      </c>
      <c r="BY1011">
        <f t="shared" ca="1" si="440"/>
        <v>0</v>
      </c>
      <c r="BZ1011" t="str">
        <f ca="1">IF(BY1011=1,IF(INDEX(分析データ!$A:$A,ROW()+$C$5)&lt;&gt;"",40000*SIGN(BX1011)*(分析データ!G1011-INDEX(分析データ!G:G,ROW()+$C$5)),""),"")</f>
        <v/>
      </c>
      <c r="CA1011">
        <f t="shared" ca="1" si="441"/>
        <v>-3515452.8662109179</v>
      </c>
      <c r="CB1011">
        <f t="shared" ca="1" si="442"/>
        <v>11327520.000000004</v>
      </c>
      <c r="CC1011">
        <f t="shared" ca="1" si="443"/>
        <v>-14842972.866210923</v>
      </c>
      <c r="CD1011">
        <f t="shared" ca="1" si="444"/>
        <v>0</v>
      </c>
      <c r="CE1011">
        <f t="shared" ca="1" si="445"/>
        <v>23090347.13378913</v>
      </c>
      <c r="CF1011">
        <f t="shared" ca="1" si="446"/>
        <v>23090347.13378913</v>
      </c>
      <c r="CG1011">
        <f t="shared" ca="1" si="447"/>
        <v>0</v>
      </c>
      <c r="CH1011" s="10" t="str">
        <f>分析データ!A1011</f>
        <v/>
      </c>
    </row>
    <row r="1012" spans="46:86">
      <c r="AT1012">
        <f ca="1">IF(ROW()&lt;($C$7+1),"",IFERROR((分析データ!B1012-AVERAGE(OFFSET(分析データ!B$1,MAX(1,ROW()-$C$7),0,MIN($C$7,ROW()-1),1)))/STDEV(OFFSET(分析データ!B$1,MAX(1,ROW()-$C$7),0,MIN($C$7,ROW()-1),1)),0))</f>
        <v>0</v>
      </c>
      <c r="AU1012">
        <f t="shared" ca="1" si="420"/>
        <v>0</v>
      </c>
      <c r="AV1012" t="str">
        <f ca="1">IF(AU1012=1,IF(INDEX(分析データ!$A:$A,ROW()+$C$5)&lt;&gt;"",80000*SIGN(AT1012)*(分析データ!B1012-INDEX(分析データ!B:B,ROW()+$C$5)),""),"")</f>
        <v/>
      </c>
      <c r="AW1012">
        <f t="shared" ca="1" si="421"/>
        <v>-1240000.0000000019</v>
      </c>
      <c r="AX1012">
        <f t="shared" ca="1" si="422"/>
        <v>0</v>
      </c>
      <c r="AY1012">
        <f t="shared" ca="1" si="423"/>
        <v>-1240000.0000000019</v>
      </c>
      <c r="AZ1012">
        <f ca="1">IF(ROW()&lt;($C$7+1),"",IFERROR((分析データ!C1012-AVERAGE(OFFSET(分析データ!C$1,MAX(1,ROW()-$C$7),0,MIN($C$7,ROW()-1),1)))/STDEV(OFFSET(分析データ!C$1,MAX(1,ROW()-$C$7),0,MIN($C$7,ROW()-1),1)),0))</f>
        <v>0</v>
      </c>
      <c r="BA1012">
        <f t="shared" ca="1" si="424"/>
        <v>0</v>
      </c>
      <c r="BB1012" t="str">
        <f ca="1">IF(BA1012=1,IF(INDEX(分析データ!$A:$A,ROW()+$C$5)&lt;&gt;"",60000*SIGN(AZ1012)*(分析データ!C1012-INDEX(分析データ!C:C,ROW()+$C$5)),""),"")</f>
        <v/>
      </c>
      <c r="BC1012">
        <f t="shared" ca="1" si="425"/>
        <v>-260999.9999999851</v>
      </c>
      <c r="BD1012">
        <f t="shared" ca="1" si="426"/>
        <v>3156000.0000000107</v>
      </c>
      <c r="BE1012">
        <f t="shared" ca="1" si="427"/>
        <v>-3416999.9999999958</v>
      </c>
      <c r="BF1012">
        <f ca="1">IF(ROW()&lt;($C$7+1),"",IFERROR((分析データ!D1012-AVERAGE(OFFSET(分析データ!D$1,MAX(1,ROW()-$C$7),0,MIN($C$7,ROW()-1),1)))/STDEV(OFFSET(分析データ!D$1,MAX(1,ROW()-$C$7),0,MIN($C$7,ROW()-1),1)),0))</f>
        <v>0</v>
      </c>
      <c r="BG1012">
        <f t="shared" ca="1" si="428"/>
        <v>0</v>
      </c>
      <c r="BH1012" t="str">
        <f ca="1">IF(BG1012=1,IF(INDEX(分析データ!$A:$A,ROW()+$C$5)&lt;&gt;"",50000*SIGN(BF1012)*(分析データ!D1012-INDEX(分析データ!D:D,ROW()+$C$5)),""),"")</f>
        <v/>
      </c>
      <c r="BI1012">
        <f t="shared" ca="1" si="429"/>
        <v>5570000.0000000205</v>
      </c>
      <c r="BJ1012">
        <f t="shared" ca="1" si="430"/>
        <v>5570000.0000000205</v>
      </c>
      <c r="BK1012">
        <f t="shared" ca="1" si="431"/>
        <v>0</v>
      </c>
      <c r="BL1012">
        <f ca="1">IF(ROW()&lt;($C$7+1),"",IFERROR((分析データ!E1012-AVERAGE(OFFSET(分析データ!E$1,MAX(1,ROW()-$C$7),0,MIN($C$7,ROW()-1),1)))/STDEV(OFFSET(分析データ!E$1,MAX(1,ROW()-$C$7),0,MIN($C$7,ROW()-1),1)),0))</f>
        <v>0</v>
      </c>
      <c r="BM1012">
        <f t="shared" ca="1" si="432"/>
        <v>0</v>
      </c>
      <c r="BN1012" t="str">
        <f ca="1">IF(BM1012=1,IF(INDEX(分析データ!$A:$A,ROW()+$C$5)&lt;&gt;"",40000*SIGN(BL1012)*(分析データ!E1012-INDEX(分析データ!E:E,ROW()+$C$5)),""),"")</f>
        <v/>
      </c>
      <c r="BO1012">
        <f t="shared" ca="1" si="433"/>
        <v>2720000.0000000014</v>
      </c>
      <c r="BP1012">
        <f t="shared" ca="1" si="434"/>
        <v>4280000.0000000028</v>
      </c>
      <c r="BQ1012">
        <f t="shared" ca="1" si="435"/>
        <v>-1560000.0000000014</v>
      </c>
      <c r="BR1012">
        <f ca="1">IF(ROW()&lt;($C$7+1),"",IFERROR((分析データ!F1012-AVERAGE(OFFSET(分析データ!F$1,MAX(1,ROW()-$C$7),0,MIN($C$7,ROW()-1),1)))/STDEV(OFFSET(分析データ!F$1,MAX(1,ROW()-$C$7),0,MIN($C$7,ROW()-1),1)),0))</f>
        <v>0</v>
      </c>
      <c r="BS1012">
        <f t="shared" ca="1" si="436"/>
        <v>0</v>
      </c>
      <c r="BT1012" t="str">
        <f ca="1">IF(BS1012=1,IF(INDEX(分析データ!$A:$A,ROW()+$C$5)&lt;&gt;"",40000*SIGN(BR1012)*(分析データ!F1012-INDEX(分析データ!F:F,ROW()+$C$5)),""),"")</f>
        <v/>
      </c>
      <c r="BU1012">
        <f t="shared" ca="1" si="437"/>
        <v>19816800</v>
      </c>
      <c r="BV1012">
        <f t="shared" ca="1" si="438"/>
        <v>19816800</v>
      </c>
      <c r="BW1012">
        <f t="shared" ca="1" si="439"/>
        <v>0</v>
      </c>
      <c r="BX1012">
        <f ca="1">IF(ROW()&lt;($C$7+1),"",IFERROR((分析データ!G1012-AVERAGE(OFFSET(分析データ!G$1,MAX(1,ROW()-$C$7),0,MIN($C$7,ROW()-1),1)))/STDEV(OFFSET(分析データ!G$1,MAX(1,ROW()-$C$7),0,MIN($C$7,ROW()-1),1)),0))</f>
        <v>0</v>
      </c>
      <c r="BY1012">
        <f t="shared" ca="1" si="440"/>
        <v>0</v>
      </c>
      <c r="BZ1012" t="str">
        <f ca="1">IF(BY1012=1,IF(INDEX(分析データ!$A:$A,ROW()+$C$5)&lt;&gt;"",40000*SIGN(BX1012)*(分析データ!G1012-INDEX(分析データ!G:G,ROW()+$C$5)),""),"")</f>
        <v/>
      </c>
      <c r="CA1012">
        <f t="shared" ca="1" si="441"/>
        <v>-3515452.8662109179</v>
      </c>
      <c r="CB1012">
        <f t="shared" ca="1" si="442"/>
        <v>11327520.000000004</v>
      </c>
      <c r="CC1012">
        <f t="shared" ca="1" si="443"/>
        <v>-14842972.866210923</v>
      </c>
      <c r="CD1012">
        <f t="shared" ca="1" si="444"/>
        <v>0</v>
      </c>
      <c r="CE1012">
        <f t="shared" ca="1" si="445"/>
        <v>23090347.13378913</v>
      </c>
      <c r="CF1012">
        <f t="shared" ca="1" si="446"/>
        <v>23090347.13378913</v>
      </c>
      <c r="CG1012">
        <f t="shared" ca="1" si="447"/>
        <v>0</v>
      </c>
      <c r="CH1012" s="10" t="str">
        <f>分析データ!A1012</f>
        <v/>
      </c>
    </row>
    <row r="1013" spans="46:86">
      <c r="AT1013">
        <f ca="1">IF(ROW()&lt;($C$7+1),"",IFERROR((分析データ!B1013-AVERAGE(OFFSET(分析データ!B$1,MAX(1,ROW()-$C$7),0,MIN($C$7,ROW()-1),1)))/STDEV(OFFSET(分析データ!B$1,MAX(1,ROW()-$C$7),0,MIN($C$7,ROW()-1),1)),0))</f>
        <v>0</v>
      </c>
      <c r="AU1013">
        <f t="shared" ca="1" si="420"/>
        <v>0</v>
      </c>
      <c r="AV1013" t="str">
        <f ca="1">IF(AU1013=1,IF(INDEX(分析データ!$A:$A,ROW()+$C$5)&lt;&gt;"",80000*SIGN(AT1013)*(分析データ!B1013-INDEX(分析データ!B:B,ROW()+$C$5)),""),"")</f>
        <v/>
      </c>
      <c r="AW1013">
        <f t="shared" ca="1" si="421"/>
        <v>-1240000.0000000019</v>
      </c>
      <c r="AX1013">
        <f t="shared" ca="1" si="422"/>
        <v>0</v>
      </c>
      <c r="AY1013">
        <f t="shared" ca="1" si="423"/>
        <v>-1240000.0000000019</v>
      </c>
      <c r="AZ1013">
        <f ca="1">IF(ROW()&lt;($C$7+1),"",IFERROR((分析データ!C1013-AVERAGE(OFFSET(分析データ!C$1,MAX(1,ROW()-$C$7),0,MIN($C$7,ROW()-1),1)))/STDEV(OFFSET(分析データ!C$1,MAX(1,ROW()-$C$7),0,MIN($C$7,ROW()-1),1)),0))</f>
        <v>0</v>
      </c>
      <c r="BA1013">
        <f t="shared" ca="1" si="424"/>
        <v>0</v>
      </c>
      <c r="BB1013" t="str">
        <f ca="1">IF(BA1013=1,IF(INDEX(分析データ!$A:$A,ROW()+$C$5)&lt;&gt;"",60000*SIGN(AZ1013)*(分析データ!C1013-INDEX(分析データ!C:C,ROW()+$C$5)),""),"")</f>
        <v/>
      </c>
      <c r="BC1013">
        <f t="shared" ca="1" si="425"/>
        <v>-260999.9999999851</v>
      </c>
      <c r="BD1013">
        <f t="shared" ca="1" si="426"/>
        <v>3156000.0000000107</v>
      </c>
      <c r="BE1013">
        <f t="shared" ca="1" si="427"/>
        <v>-3416999.9999999958</v>
      </c>
      <c r="BF1013">
        <f ca="1">IF(ROW()&lt;($C$7+1),"",IFERROR((分析データ!D1013-AVERAGE(OFFSET(分析データ!D$1,MAX(1,ROW()-$C$7),0,MIN($C$7,ROW()-1),1)))/STDEV(OFFSET(分析データ!D$1,MAX(1,ROW()-$C$7),0,MIN($C$7,ROW()-1),1)),0))</f>
        <v>0</v>
      </c>
      <c r="BG1013">
        <f t="shared" ca="1" si="428"/>
        <v>0</v>
      </c>
      <c r="BH1013" t="str">
        <f ca="1">IF(BG1013=1,IF(INDEX(分析データ!$A:$A,ROW()+$C$5)&lt;&gt;"",50000*SIGN(BF1013)*(分析データ!D1013-INDEX(分析データ!D:D,ROW()+$C$5)),""),"")</f>
        <v/>
      </c>
      <c r="BI1013">
        <f t="shared" ca="1" si="429"/>
        <v>5570000.0000000205</v>
      </c>
      <c r="BJ1013">
        <f t="shared" ca="1" si="430"/>
        <v>5570000.0000000205</v>
      </c>
      <c r="BK1013">
        <f t="shared" ca="1" si="431"/>
        <v>0</v>
      </c>
      <c r="BL1013">
        <f ca="1">IF(ROW()&lt;($C$7+1),"",IFERROR((分析データ!E1013-AVERAGE(OFFSET(分析データ!E$1,MAX(1,ROW()-$C$7),0,MIN($C$7,ROW()-1),1)))/STDEV(OFFSET(分析データ!E$1,MAX(1,ROW()-$C$7),0,MIN($C$7,ROW()-1),1)),0))</f>
        <v>0</v>
      </c>
      <c r="BM1013">
        <f t="shared" ca="1" si="432"/>
        <v>0</v>
      </c>
      <c r="BN1013" t="str">
        <f ca="1">IF(BM1013=1,IF(INDEX(分析データ!$A:$A,ROW()+$C$5)&lt;&gt;"",40000*SIGN(BL1013)*(分析データ!E1013-INDEX(分析データ!E:E,ROW()+$C$5)),""),"")</f>
        <v/>
      </c>
      <c r="BO1013">
        <f t="shared" ca="1" si="433"/>
        <v>2720000.0000000014</v>
      </c>
      <c r="BP1013">
        <f t="shared" ca="1" si="434"/>
        <v>4280000.0000000028</v>
      </c>
      <c r="BQ1013">
        <f t="shared" ca="1" si="435"/>
        <v>-1560000.0000000014</v>
      </c>
      <c r="BR1013">
        <f ca="1">IF(ROW()&lt;($C$7+1),"",IFERROR((分析データ!F1013-AVERAGE(OFFSET(分析データ!F$1,MAX(1,ROW()-$C$7),0,MIN($C$7,ROW()-1),1)))/STDEV(OFFSET(分析データ!F$1,MAX(1,ROW()-$C$7),0,MIN($C$7,ROW()-1),1)),0))</f>
        <v>0</v>
      </c>
      <c r="BS1013">
        <f t="shared" ca="1" si="436"/>
        <v>0</v>
      </c>
      <c r="BT1013" t="str">
        <f ca="1">IF(BS1013=1,IF(INDEX(分析データ!$A:$A,ROW()+$C$5)&lt;&gt;"",40000*SIGN(BR1013)*(分析データ!F1013-INDEX(分析データ!F:F,ROW()+$C$5)),""),"")</f>
        <v/>
      </c>
      <c r="BU1013">
        <f t="shared" ca="1" si="437"/>
        <v>19816800</v>
      </c>
      <c r="BV1013">
        <f t="shared" ca="1" si="438"/>
        <v>19816800</v>
      </c>
      <c r="BW1013">
        <f t="shared" ca="1" si="439"/>
        <v>0</v>
      </c>
      <c r="BX1013">
        <f ca="1">IF(ROW()&lt;($C$7+1),"",IFERROR((分析データ!G1013-AVERAGE(OFFSET(分析データ!G$1,MAX(1,ROW()-$C$7),0,MIN($C$7,ROW()-1),1)))/STDEV(OFFSET(分析データ!G$1,MAX(1,ROW()-$C$7),0,MIN($C$7,ROW()-1),1)),0))</f>
        <v>0</v>
      </c>
      <c r="BY1013">
        <f t="shared" ca="1" si="440"/>
        <v>0</v>
      </c>
      <c r="BZ1013" t="str">
        <f ca="1">IF(BY1013=1,IF(INDEX(分析データ!$A:$A,ROW()+$C$5)&lt;&gt;"",40000*SIGN(BX1013)*(分析データ!G1013-INDEX(分析データ!G:G,ROW()+$C$5)),""),"")</f>
        <v/>
      </c>
      <c r="CA1013">
        <f t="shared" ca="1" si="441"/>
        <v>-3515452.8662109179</v>
      </c>
      <c r="CB1013">
        <f t="shared" ca="1" si="442"/>
        <v>11327520.000000004</v>
      </c>
      <c r="CC1013">
        <f t="shared" ca="1" si="443"/>
        <v>-14842972.866210923</v>
      </c>
      <c r="CD1013">
        <f t="shared" ca="1" si="444"/>
        <v>0</v>
      </c>
      <c r="CE1013">
        <f t="shared" ca="1" si="445"/>
        <v>23090347.13378913</v>
      </c>
      <c r="CF1013">
        <f t="shared" ca="1" si="446"/>
        <v>23090347.13378913</v>
      </c>
      <c r="CG1013">
        <f t="shared" ca="1" si="447"/>
        <v>0</v>
      </c>
      <c r="CH1013" s="10" t="str">
        <f>分析データ!A1013</f>
        <v/>
      </c>
    </row>
    <row r="1014" spans="46:86">
      <c r="AT1014">
        <f ca="1">IF(ROW()&lt;($C$7+1),"",IFERROR((分析データ!B1014-AVERAGE(OFFSET(分析データ!B$1,MAX(1,ROW()-$C$7),0,MIN($C$7,ROW()-1),1)))/STDEV(OFFSET(分析データ!B$1,MAX(1,ROW()-$C$7),0,MIN($C$7,ROW()-1),1)),0))</f>
        <v>0</v>
      </c>
      <c r="AU1014">
        <f t="shared" ca="1" si="420"/>
        <v>0</v>
      </c>
      <c r="AV1014" t="str">
        <f ca="1">IF(AU1014=1,IF(INDEX(分析データ!$A:$A,ROW()+$C$5)&lt;&gt;"",80000*SIGN(AT1014)*(分析データ!B1014-INDEX(分析データ!B:B,ROW()+$C$5)),""),"")</f>
        <v/>
      </c>
      <c r="AW1014">
        <f t="shared" ca="1" si="421"/>
        <v>-1240000.0000000019</v>
      </c>
      <c r="AX1014">
        <f t="shared" ca="1" si="422"/>
        <v>0</v>
      </c>
      <c r="AY1014">
        <f t="shared" ca="1" si="423"/>
        <v>-1240000.0000000019</v>
      </c>
      <c r="AZ1014">
        <f ca="1">IF(ROW()&lt;($C$7+1),"",IFERROR((分析データ!C1014-AVERAGE(OFFSET(分析データ!C$1,MAX(1,ROW()-$C$7),0,MIN($C$7,ROW()-1),1)))/STDEV(OFFSET(分析データ!C$1,MAX(1,ROW()-$C$7),0,MIN($C$7,ROW()-1),1)),0))</f>
        <v>0</v>
      </c>
      <c r="BA1014">
        <f t="shared" ca="1" si="424"/>
        <v>0</v>
      </c>
      <c r="BB1014" t="str">
        <f ca="1">IF(BA1014=1,IF(INDEX(分析データ!$A:$A,ROW()+$C$5)&lt;&gt;"",60000*SIGN(AZ1014)*(分析データ!C1014-INDEX(分析データ!C:C,ROW()+$C$5)),""),"")</f>
        <v/>
      </c>
      <c r="BC1014">
        <f t="shared" ca="1" si="425"/>
        <v>-260999.9999999851</v>
      </c>
      <c r="BD1014">
        <f t="shared" ca="1" si="426"/>
        <v>3156000.0000000107</v>
      </c>
      <c r="BE1014">
        <f t="shared" ca="1" si="427"/>
        <v>-3416999.9999999958</v>
      </c>
      <c r="BF1014">
        <f ca="1">IF(ROW()&lt;($C$7+1),"",IFERROR((分析データ!D1014-AVERAGE(OFFSET(分析データ!D$1,MAX(1,ROW()-$C$7),0,MIN($C$7,ROW()-1),1)))/STDEV(OFFSET(分析データ!D$1,MAX(1,ROW()-$C$7),0,MIN($C$7,ROW()-1),1)),0))</f>
        <v>0</v>
      </c>
      <c r="BG1014">
        <f t="shared" ca="1" si="428"/>
        <v>0</v>
      </c>
      <c r="BH1014" t="str">
        <f ca="1">IF(BG1014=1,IF(INDEX(分析データ!$A:$A,ROW()+$C$5)&lt;&gt;"",50000*SIGN(BF1014)*(分析データ!D1014-INDEX(分析データ!D:D,ROW()+$C$5)),""),"")</f>
        <v/>
      </c>
      <c r="BI1014">
        <f t="shared" ca="1" si="429"/>
        <v>5570000.0000000205</v>
      </c>
      <c r="BJ1014">
        <f t="shared" ca="1" si="430"/>
        <v>5570000.0000000205</v>
      </c>
      <c r="BK1014">
        <f t="shared" ca="1" si="431"/>
        <v>0</v>
      </c>
      <c r="BL1014">
        <f ca="1">IF(ROW()&lt;($C$7+1),"",IFERROR((分析データ!E1014-AVERAGE(OFFSET(分析データ!E$1,MAX(1,ROW()-$C$7),0,MIN($C$7,ROW()-1),1)))/STDEV(OFFSET(分析データ!E$1,MAX(1,ROW()-$C$7),0,MIN($C$7,ROW()-1),1)),0))</f>
        <v>0</v>
      </c>
      <c r="BM1014">
        <f t="shared" ca="1" si="432"/>
        <v>0</v>
      </c>
      <c r="BN1014" t="str">
        <f ca="1">IF(BM1014=1,IF(INDEX(分析データ!$A:$A,ROW()+$C$5)&lt;&gt;"",40000*SIGN(BL1014)*(分析データ!E1014-INDEX(分析データ!E:E,ROW()+$C$5)),""),"")</f>
        <v/>
      </c>
      <c r="BO1014">
        <f t="shared" ca="1" si="433"/>
        <v>2720000.0000000014</v>
      </c>
      <c r="BP1014">
        <f t="shared" ca="1" si="434"/>
        <v>4280000.0000000028</v>
      </c>
      <c r="BQ1014">
        <f t="shared" ca="1" si="435"/>
        <v>-1560000.0000000014</v>
      </c>
      <c r="BR1014">
        <f ca="1">IF(ROW()&lt;($C$7+1),"",IFERROR((分析データ!F1014-AVERAGE(OFFSET(分析データ!F$1,MAX(1,ROW()-$C$7),0,MIN($C$7,ROW()-1),1)))/STDEV(OFFSET(分析データ!F$1,MAX(1,ROW()-$C$7),0,MIN($C$7,ROW()-1),1)),0))</f>
        <v>0</v>
      </c>
      <c r="BS1014">
        <f t="shared" ca="1" si="436"/>
        <v>0</v>
      </c>
      <c r="BT1014" t="str">
        <f ca="1">IF(BS1014=1,IF(INDEX(分析データ!$A:$A,ROW()+$C$5)&lt;&gt;"",40000*SIGN(BR1014)*(分析データ!F1014-INDEX(分析データ!F:F,ROW()+$C$5)),""),"")</f>
        <v/>
      </c>
      <c r="BU1014">
        <f t="shared" ca="1" si="437"/>
        <v>19816800</v>
      </c>
      <c r="BV1014">
        <f t="shared" ca="1" si="438"/>
        <v>19816800</v>
      </c>
      <c r="BW1014">
        <f t="shared" ca="1" si="439"/>
        <v>0</v>
      </c>
      <c r="BX1014">
        <f ca="1">IF(ROW()&lt;($C$7+1),"",IFERROR((分析データ!G1014-AVERAGE(OFFSET(分析データ!G$1,MAX(1,ROW()-$C$7),0,MIN($C$7,ROW()-1),1)))/STDEV(OFFSET(分析データ!G$1,MAX(1,ROW()-$C$7),0,MIN($C$7,ROW()-1),1)),0))</f>
        <v>0</v>
      </c>
      <c r="BY1014">
        <f t="shared" ca="1" si="440"/>
        <v>0</v>
      </c>
      <c r="BZ1014" t="str">
        <f ca="1">IF(BY1014=1,IF(INDEX(分析データ!$A:$A,ROW()+$C$5)&lt;&gt;"",40000*SIGN(BX1014)*(分析データ!G1014-INDEX(分析データ!G:G,ROW()+$C$5)),""),"")</f>
        <v/>
      </c>
      <c r="CA1014">
        <f t="shared" ca="1" si="441"/>
        <v>-3515452.8662109179</v>
      </c>
      <c r="CB1014">
        <f t="shared" ca="1" si="442"/>
        <v>11327520.000000004</v>
      </c>
      <c r="CC1014">
        <f t="shared" ca="1" si="443"/>
        <v>-14842972.866210923</v>
      </c>
      <c r="CD1014">
        <f t="shared" ca="1" si="444"/>
        <v>0</v>
      </c>
      <c r="CE1014">
        <f t="shared" ca="1" si="445"/>
        <v>23090347.13378913</v>
      </c>
      <c r="CF1014">
        <f t="shared" ca="1" si="446"/>
        <v>23090347.13378913</v>
      </c>
      <c r="CG1014">
        <f t="shared" ca="1" si="447"/>
        <v>0</v>
      </c>
      <c r="CH1014" s="10" t="str">
        <f>分析データ!A1014</f>
        <v/>
      </c>
    </row>
    <row r="1015" spans="46:86">
      <c r="AT1015">
        <f ca="1">IF(ROW()&lt;($C$7+1),"",IFERROR((分析データ!B1015-AVERAGE(OFFSET(分析データ!B$1,MAX(1,ROW()-$C$7),0,MIN($C$7,ROW()-1),1)))/STDEV(OFFSET(分析データ!B$1,MAX(1,ROW()-$C$7),0,MIN($C$7,ROW()-1),1)),0))</f>
        <v>0</v>
      </c>
      <c r="AU1015">
        <f t="shared" ca="1" si="420"/>
        <v>0</v>
      </c>
      <c r="AV1015" t="str">
        <f ca="1">IF(AU1015=1,IF(INDEX(分析データ!$A:$A,ROW()+$C$5)&lt;&gt;"",80000*SIGN(AT1015)*(分析データ!B1015-INDEX(分析データ!B:B,ROW()+$C$5)),""),"")</f>
        <v/>
      </c>
      <c r="AW1015">
        <f t="shared" ca="1" si="421"/>
        <v>-1240000.0000000019</v>
      </c>
      <c r="AX1015">
        <f t="shared" ca="1" si="422"/>
        <v>0</v>
      </c>
      <c r="AY1015">
        <f t="shared" ca="1" si="423"/>
        <v>-1240000.0000000019</v>
      </c>
      <c r="AZ1015">
        <f ca="1">IF(ROW()&lt;($C$7+1),"",IFERROR((分析データ!C1015-AVERAGE(OFFSET(分析データ!C$1,MAX(1,ROW()-$C$7),0,MIN($C$7,ROW()-1),1)))/STDEV(OFFSET(分析データ!C$1,MAX(1,ROW()-$C$7),0,MIN($C$7,ROW()-1),1)),0))</f>
        <v>0</v>
      </c>
      <c r="BA1015">
        <f t="shared" ca="1" si="424"/>
        <v>0</v>
      </c>
      <c r="BB1015" t="str">
        <f ca="1">IF(BA1015=1,IF(INDEX(分析データ!$A:$A,ROW()+$C$5)&lt;&gt;"",60000*SIGN(AZ1015)*(分析データ!C1015-INDEX(分析データ!C:C,ROW()+$C$5)),""),"")</f>
        <v/>
      </c>
      <c r="BC1015">
        <f t="shared" ca="1" si="425"/>
        <v>-260999.9999999851</v>
      </c>
      <c r="BD1015">
        <f t="shared" ca="1" si="426"/>
        <v>3156000.0000000107</v>
      </c>
      <c r="BE1015">
        <f t="shared" ca="1" si="427"/>
        <v>-3416999.9999999958</v>
      </c>
      <c r="BF1015">
        <f ca="1">IF(ROW()&lt;($C$7+1),"",IFERROR((分析データ!D1015-AVERAGE(OFFSET(分析データ!D$1,MAX(1,ROW()-$C$7),0,MIN($C$7,ROW()-1),1)))/STDEV(OFFSET(分析データ!D$1,MAX(1,ROW()-$C$7),0,MIN($C$7,ROW()-1),1)),0))</f>
        <v>0</v>
      </c>
      <c r="BG1015">
        <f t="shared" ca="1" si="428"/>
        <v>0</v>
      </c>
      <c r="BH1015" t="str">
        <f ca="1">IF(BG1015=1,IF(INDEX(分析データ!$A:$A,ROW()+$C$5)&lt;&gt;"",50000*SIGN(BF1015)*(分析データ!D1015-INDEX(分析データ!D:D,ROW()+$C$5)),""),"")</f>
        <v/>
      </c>
      <c r="BI1015">
        <f t="shared" ca="1" si="429"/>
        <v>5570000.0000000205</v>
      </c>
      <c r="BJ1015">
        <f t="shared" ca="1" si="430"/>
        <v>5570000.0000000205</v>
      </c>
      <c r="BK1015">
        <f t="shared" ca="1" si="431"/>
        <v>0</v>
      </c>
      <c r="BL1015">
        <f ca="1">IF(ROW()&lt;($C$7+1),"",IFERROR((分析データ!E1015-AVERAGE(OFFSET(分析データ!E$1,MAX(1,ROW()-$C$7),0,MIN($C$7,ROW()-1),1)))/STDEV(OFFSET(分析データ!E$1,MAX(1,ROW()-$C$7),0,MIN($C$7,ROW()-1),1)),0))</f>
        <v>0</v>
      </c>
      <c r="BM1015">
        <f t="shared" ca="1" si="432"/>
        <v>0</v>
      </c>
      <c r="BN1015" t="str">
        <f ca="1">IF(BM1015=1,IF(INDEX(分析データ!$A:$A,ROW()+$C$5)&lt;&gt;"",40000*SIGN(BL1015)*(分析データ!E1015-INDEX(分析データ!E:E,ROW()+$C$5)),""),"")</f>
        <v/>
      </c>
      <c r="BO1015">
        <f t="shared" ca="1" si="433"/>
        <v>2720000.0000000014</v>
      </c>
      <c r="BP1015">
        <f t="shared" ca="1" si="434"/>
        <v>4280000.0000000028</v>
      </c>
      <c r="BQ1015">
        <f t="shared" ca="1" si="435"/>
        <v>-1560000.0000000014</v>
      </c>
      <c r="BR1015">
        <f ca="1">IF(ROW()&lt;($C$7+1),"",IFERROR((分析データ!F1015-AVERAGE(OFFSET(分析データ!F$1,MAX(1,ROW()-$C$7),0,MIN($C$7,ROW()-1),1)))/STDEV(OFFSET(分析データ!F$1,MAX(1,ROW()-$C$7),0,MIN($C$7,ROW()-1),1)),0))</f>
        <v>0</v>
      </c>
      <c r="BS1015">
        <f t="shared" ca="1" si="436"/>
        <v>0</v>
      </c>
      <c r="BT1015" t="str">
        <f ca="1">IF(BS1015=1,IF(INDEX(分析データ!$A:$A,ROW()+$C$5)&lt;&gt;"",40000*SIGN(BR1015)*(分析データ!F1015-INDEX(分析データ!F:F,ROW()+$C$5)),""),"")</f>
        <v/>
      </c>
      <c r="BU1015">
        <f t="shared" ca="1" si="437"/>
        <v>19816800</v>
      </c>
      <c r="BV1015">
        <f t="shared" ca="1" si="438"/>
        <v>19816800</v>
      </c>
      <c r="BW1015">
        <f t="shared" ca="1" si="439"/>
        <v>0</v>
      </c>
      <c r="BX1015">
        <f ca="1">IF(ROW()&lt;($C$7+1),"",IFERROR((分析データ!G1015-AVERAGE(OFFSET(分析データ!G$1,MAX(1,ROW()-$C$7),0,MIN($C$7,ROW()-1),1)))/STDEV(OFFSET(分析データ!G$1,MAX(1,ROW()-$C$7),0,MIN($C$7,ROW()-1),1)),0))</f>
        <v>0</v>
      </c>
      <c r="BY1015">
        <f t="shared" ca="1" si="440"/>
        <v>0</v>
      </c>
      <c r="BZ1015" t="str">
        <f ca="1">IF(BY1015=1,IF(INDEX(分析データ!$A:$A,ROW()+$C$5)&lt;&gt;"",40000*SIGN(BX1015)*(分析データ!G1015-INDEX(分析データ!G:G,ROW()+$C$5)),""),"")</f>
        <v/>
      </c>
      <c r="CA1015">
        <f t="shared" ca="1" si="441"/>
        <v>-3515452.8662109179</v>
      </c>
      <c r="CB1015">
        <f t="shared" ca="1" si="442"/>
        <v>11327520.000000004</v>
      </c>
      <c r="CC1015">
        <f t="shared" ca="1" si="443"/>
        <v>-14842972.866210923</v>
      </c>
      <c r="CD1015">
        <f t="shared" ca="1" si="444"/>
        <v>0</v>
      </c>
      <c r="CE1015">
        <f t="shared" ca="1" si="445"/>
        <v>23090347.13378913</v>
      </c>
      <c r="CF1015">
        <f t="shared" ca="1" si="446"/>
        <v>23090347.13378913</v>
      </c>
      <c r="CG1015">
        <f t="shared" ca="1" si="447"/>
        <v>0</v>
      </c>
      <c r="CH1015" s="10" t="str">
        <f>分析データ!A1015</f>
        <v/>
      </c>
    </row>
    <row r="1016" spans="46:86">
      <c r="AT1016">
        <f ca="1">IF(ROW()&lt;($C$7+1),"",IFERROR((分析データ!B1016-AVERAGE(OFFSET(分析データ!B$1,MAX(1,ROW()-$C$7),0,MIN($C$7,ROW()-1),1)))/STDEV(OFFSET(分析データ!B$1,MAX(1,ROW()-$C$7),0,MIN($C$7,ROW()-1),1)),0))</f>
        <v>0</v>
      </c>
      <c r="AU1016">
        <f t="shared" ca="1" si="420"/>
        <v>0</v>
      </c>
      <c r="AV1016" t="str">
        <f ca="1">IF(AU1016=1,IF(INDEX(分析データ!$A:$A,ROW()+$C$5)&lt;&gt;"",80000*SIGN(AT1016)*(分析データ!B1016-INDEX(分析データ!B:B,ROW()+$C$5)),""),"")</f>
        <v/>
      </c>
      <c r="AW1016">
        <f t="shared" ca="1" si="421"/>
        <v>-1240000.0000000019</v>
      </c>
      <c r="AX1016">
        <f t="shared" ca="1" si="422"/>
        <v>0</v>
      </c>
      <c r="AY1016">
        <f t="shared" ca="1" si="423"/>
        <v>-1240000.0000000019</v>
      </c>
      <c r="AZ1016">
        <f ca="1">IF(ROW()&lt;($C$7+1),"",IFERROR((分析データ!C1016-AVERAGE(OFFSET(分析データ!C$1,MAX(1,ROW()-$C$7),0,MIN($C$7,ROW()-1),1)))/STDEV(OFFSET(分析データ!C$1,MAX(1,ROW()-$C$7),0,MIN($C$7,ROW()-1),1)),0))</f>
        <v>0</v>
      </c>
      <c r="BA1016">
        <f t="shared" ca="1" si="424"/>
        <v>0</v>
      </c>
      <c r="BB1016" t="str">
        <f ca="1">IF(BA1016=1,IF(INDEX(分析データ!$A:$A,ROW()+$C$5)&lt;&gt;"",60000*SIGN(AZ1016)*(分析データ!C1016-INDEX(分析データ!C:C,ROW()+$C$5)),""),"")</f>
        <v/>
      </c>
      <c r="BC1016">
        <f t="shared" ca="1" si="425"/>
        <v>-260999.9999999851</v>
      </c>
      <c r="BD1016">
        <f t="shared" ca="1" si="426"/>
        <v>3156000.0000000107</v>
      </c>
      <c r="BE1016">
        <f t="shared" ca="1" si="427"/>
        <v>-3416999.9999999958</v>
      </c>
      <c r="BF1016">
        <f ca="1">IF(ROW()&lt;($C$7+1),"",IFERROR((分析データ!D1016-AVERAGE(OFFSET(分析データ!D$1,MAX(1,ROW()-$C$7),0,MIN($C$7,ROW()-1),1)))/STDEV(OFFSET(分析データ!D$1,MAX(1,ROW()-$C$7),0,MIN($C$7,ROW()-1),1)),0))</f>
        <v>0</v>
      </c>
      <c r="BG1016">
        <f t="shared" ca="1" si="428"/>
        <v>0</v>
      </c>
      <c r="BH1016" t="str">
        <f ca="1">IF(BG1016=1,IF(INDEX(分析データ!$A:$A,ROW()+$C$5)&lt;&gt;"",50000*SIGN(BF1016)*(分析データ!D1016-INDEX(分析データ!D:D,ROW()+$C$5)),""),"")</f>
        <v/>
      </c>
      <c r="BI1016">
        <f t="shared" ca="1" si="429"/>
        <v>5570000.0000000205</v>
      </c>
      <c r="BJ1016">
        <f t="shared" ca="1" si="430"/>
        <v>5570000.0000000205</v>
      </c>
      <c r="BK1016">
        <f t="shared" ca="1" si="431"/>
        <v>0</v>
      </c>
      <c r="BL1016">
        <f ca="1">IF(ROW()&lt;($C$7+1),"",IFERROR((分析データ!E1016-AVERAGE(OFFSET(分析データ!E$1,MAX(1,ROW()-$C$7),0,MIN($C$7,ROW()-1),1)))/STDEV(OFFSET(分析データ!E$1,MAX(1,ROW()-$C$7),0,MIN($C$7,ROW()-1),1)),0))</f>
        <v>0</v>
      </c>
      <c r="BM1016">
        <f t="shared" ca="1" si="432"/>
        <v>0</v>
      </c>
      <c r="BN1016" t="str">
        <f ca="1">IF(BM1016=1,IF(INDEX(分析データ!$A:$A,ROW()+$C$5)&lt;&gt;"",40000*SIGN(BL1016)*(分析データ!E1016-INDEX(分析データ!E:E,ROW()+$C$5)),""),"")</f>
        <v/>
      </c>
      <c r="BO1016">
        <f t="shared" ca="1" si="433"/>
        <v>2720000.0000000014</v>
      </c>
      <c r="BP1016">
        <f t="shared" ca="1" si="434"/>
        <v>4280000.0000000028</v>
      </c>
      <c r="BQ1016">
        <f t="shared" ca="1" si="435"/>
        <v>-1560000.0000000014</v>
      </c>
      <c r="BR1016">
        <f ca="1">IF(ROW()&lt;($C$7+1),"",IFERROR((分析データ!F1016-AVERAGE(OFFSET(分析データ!F$1,MAX(1,ROW()-$C$7),0,MIN($C$7,ROW()-1),1)))/STDEV(OFFSET(分析データ!F$1,MAX(1,ROW()-$C$7),0,MIN($C$7,ROW()-1),1)),0))</f>
        <v>0</v>
      </c>
      <c r="BS1016">
        <f t="shared" ca="1" si="436"/>
        <v>0</v>
      </c>
      <c r="BT1016" t="str">
        <f ca="1">IF(BS1016=1,IF(INDEX(分析データ!$A:$A,ROW()+$C$5)&lt;&gt;"",40000*SIGN(BR1016)*(分析データ!F1016-INDEX(分析データ!F:F,ROW()+$C$5)),""),"")</f>
        <v/>
      </c>
      <c r="BU1016">
        <f t="shared" ca="1" si="437"/>
        <v>19816800</v>
      </c>
      <c r="BV1016">
        <f t="shared" ca="1" si="438"/>
        <v>19816800</v>
      </c>
      <c r="BW1016">
        <f t="shared" ca="1" si="439"/>
        <v>0</v>
      </c>
      <c r="BX1016">
        <f ca="1">IF(ROW()&lt;($C$7+1),"",IFERROR((分析データ!G1016-AVERAGE(OFFSET(分析データ!G$1,MAX(1,ROW()-$C$7),0,MIN($C$7,ROW()-1),1)))/STDEV(OFFSET(分析データ!G$1,MAX(1,ROW()-$C$7),0,MIN($C$7,ROW()-1),1)),0))</f>
        <v>0</v>
      </c>
      <c r="BY1016">
        <f t="shared" ca="1" si="440"/>
        <v>0</v>
      </c>
      <c r="BZ1016" t="str">
        <f ca="1">IF(BY1016=1,IF(INDEX(分析データ!$A:$A,ROW()+$C$5)&lt;&gt;"",40000*SIGN(BX1016)*(分析データ!G1016-INDEX(分析データ!G:G,ROW()+$C$5)),""),"")</f>
        <v/>
      </c>
      <c r="CA1016">
        <f t="shared" ca="1" si="441"/>
        <v>-3515452.8662109179</v>
      </c>
      <c r="CB1016">
        <f t="shared" ca="1" si="442"/>
        <v>11327520.000000004</v>
      </c>
      <c r="CC1016">
        <f t="shared" ca="1" si="443"/>
        <v>-14842972.866210923</v>
      </c>
      <c r="CD1016">
        <f t="shared" ca="1" si="444"/>
        <v>0</v>
      </c>
      <c r="CE1016">
        <f t="shared" ca="1" si="445"/>
        <v>23090347.13378913</v>
      </c>
      <c r="CF1016">
        <f t="shared" ca="1" si="446"/>
        <v>23090347.13378913</v>
      </c>
      <c r="CG1016">
        <f t="shared" ca="1" si="447"/>
        <v>0</v>
      </c>
      <c r="CH1016" s="10" t="str">
        <f>分析データ!A1016</f>
        <v/>
      </c>
    </row>
    <row r="1017" spans="46:86">
      <c r="AT1017">
        <f ca="1">IF(ROW()&lt;($C$7+1),"",IFERROR((分析データ!B1017-AVERAGE(OFFSET(分析データ!B$1,MAX(1,ROW()-$C$7),0,MIN($C$7,ROW()-1),1)))/STDEV(OFFSET(分析データ!B$1,MAX(1,ROW()-$C$7),0,MIN($C$7,ROW()-1),1)),0))</f>
        <v>0</v>
      </c>
      <c r="AU1017">
        <f t="shared" ca="1" si="420"/>
        <v>0</v>
      </c>
      <c r="AV1017" t="str">
        <f ca="1">IF(AU1017=1,IF(INDEX(分析データ!$A:$A,ROW()+$C$5)&lt;&gt;"",80000*SIGN(AT1017)*(分析データ!B1017-INDEX(分析データ!B:B,ROW()+$C$5)),""),"")</f>
        <v/>
      </c>
      <c r="AW1017">
        <f t="shared" ca="1" si="421"/>
        <v>-1240000.0000000019</v>
      </c>
      <c r="AX1017">
        <f t="shared" ca="1" si="422"/>
        <v>0</v>
      </c>
      <c r="AY1017">
        <f t="shared" ca="1" si="423"/>
        <v>-1240000.0000000019</v>
      </c>
      <c r="AZ1017">
        <f ca="1">IF(ROW()&lt;($C$7+1),"",IFERROR((分析データ!C1017-AVERAGE(OFFSET(分析データ!C$1,MAX(1,ROW()-$C$7),0,MIN($C$7,ROW()-1),1)))/STDEV(OFFSET(分析データ!C$1,MAX(1,ROW()-$C$7),0,MIN($C$7,ROW()-1),1)),0))</f>
        <v>0</v>
      </c>
      <c r="BA1017">
        <f t="shared" ca="1" si="424"/>
        <v>0</v>
      </c>
      <c r="BB1017" t="str">
        <f ca="1">IF(BA1017=1,IF(INDEX(分析データ!$A:$A,ROW()+$C$5)&lt;&gt;"",60000*SIGN(AZ1017)*(分析データ!C1017-INDEX(分析データ!C:C,ROW()+$C$5)),""),"")</f>
        <v/>
      </c>
      <c r="BC1017">
        <f t="shared" ca="1" si="425"/>
        <v>-260999.9999999851</v>
      </c>
      <c r="BD1017">
        <f t="shared" ca="1" si="426"/>
        <v>3156000.0000000107</v>
      </c>
      <c r="BE1017">
        <f t="shared" ca="1" si="427"/>
        <v>-3416999.9999999958</v>
      </c>
      <c r="BF1017">
        <f ca="1">IF(ROW()&lt;($C$7+1),"",IFERROR((分析データ!D1017-AVERAGE(OFFSET(分析データ!D$1,MAX(1,ROW()-$C$7),0,MIN($C$7,ROW()-1),1)))/STDEV(OFFSET(分析データ!D$1,MAX(1,ROW()-$C$7),0,MIN($C$7,ROW()-1),1)),0))</f>
        <v>0</v>
      </c>
      <c r="BG1017">
        <f t="shared" ca="1" si="428"/>
        <v>0</v>
      </c>
      <c r="BH1017" t="str">
        <f ca="1">IF(BG1017=1,IF(INDEX(分析データ!$A:$A,ROW()+$C$5)&lt;&gt;"",50000*SIGN(BF1017)*(分析データ!D1017-INDEX(分析データ!D:D,ROW()+$C$5)),""),"")</f>
        <v/>
      </c>
      <c r="BI1017">
        <f t="shared" ca="1" si="429"/>
        <v>5570000.0000000205</v>
      </c>
      <c r="BJ1017">
        <f t="shared" ca="1" si="430"/>
        <v>5570000.0000000205</v>
      </c>
      <c r="BK1017">
        <f t="shared" ca="1" si="431"/>
        <v>0</v>
      </c>
      <c r="BL1017">
        <f ca="1">IF(ROW()&lt;($C$7+1),"",IFERROR((分析データ!E1017-AVERAGE(OFFSET(分析データ!E$1,MAX(1,ROW()-$C$7),0,MIN($C$7,ROW()-1),1)))/STDEV(OFFSET(分析データ!E$1,MAX(1,ROW()-$C$7),0,MIN($C$7,ROW()-1),1)),0))</f>
        <v>0</v>
      </c>
      <c r="BM1017">
        <f t="shared" ca="1" si="432"/>
        <v>0</v>
      </c>
      <c r="BN1017" t="str">
        <f ca="1">IF(BM1017=1,IF(INDEX(分析データ!$A:$A,ROW()+$C$5)&lt;&gt;"",40000*SIGN(BL1017)*(分析データ!E1017-INDEX(分析データ!E:E,ROW()+$C$5)),""),"")</f>
        <v/>
      </c>
      <c r="BO1017">
        <f t="shared" ca="1" si="433"/>
        <v>2720000.0000000014</v>
      </c>
      <c r="BP1017">
        <f t="shared" ca="1" si="434"/>
        <v>4280000.0000000028</v>
      </c>
      <c r="BQ1017">
        <f t="shared" ca="1" si="435"/>
        <v>-1560000.0000000014</v>
      </c>
      <c r="BR1017">
        <f ca="1">IF(ROW()&lt;($C$7+1),"",IFERROR((分析データ!F1017-AVERAGE(OFFSET(分析データ!F$1,MAX(1,ROW()-$C$7),0,MIN($C$7,ROW()-1),1)))/STDEV(OFFSET(分析データ!F$1,MAX(1,ROW()-$C$7),0,MIN($C$7,ROW()-1),1)),0))</f>
        <v>0</v>
      </c>
      <c r="BS1017">
        <f t="shared" ca="1" si="436"/>
        <v>0</v>
      </c>
      <c r="BT1017" t="str">
        <f ca="1">IF(BS1017=1,IF(INDEX(分析データ!$A:$A,ROW()+$C$5)&lt;&gt;"",40000*SIGN(BR1017)*(分析データ!F1017-INDEX(分析データ!F:F,ROW()+$C$5)),""),"")</f>
        <v/>
      </c>
      <c r="BU1017">
        <f t="shared" ca="1" si="437"/>
        <v>19816800</v>
      </c>
      <c r="BV1017">
        <f t="shared" ca="1" si="438"/>
        <v>19816800</v>
      </c>
      <c r="BW1017">
        <f t="shared" ca="1" si="439"/>
        <v>0</v>
      </c>
      <c r="BX1017">
        <f ca="1">IF(ROW()&lt;($C$7+1),"",IFERROR((分析データ!G1017-AVERAGE(OFFSET(分析データ!G$1,MAX(1,ROW()-$C$7),0,MIN($C$7,ROW()-1),1)))/STDEV(OFFSET(分析データ!G$1,MAX(1,ROW()-$C$7),0,MIN($C$7,ROW()-1),1)),0))</f>
        <v>0</v>
      </c>
      <c r="BY1017">
        <f t="shared" ca="1" si="440"/>
        <v>0</v>
      </c>
      <c r="BZ1017" t="str">
        <f ca="1">IF(BY1017=1,IF(INDEX(分析データ!$A:$A,ROW()+$C$5)&lt;&gt;"",40000*SIGN(BX1017)*(分析データ!G1017-INDEX(分析データ!G:G,ROW()+$C$5)),""),"")</f>
        <v/>
      </c>
      <c r="CA1017">
        <f t="shared" ca="1" si="441"/>
        <v>-3515452.8662109179</v>
      </c>
      <c r="CB1017">
        <f t="shared" ca="1" si="442"/>
        <v>11327520.000000004</v>
      </c>
      <c r="CC1017">
        <f t="shared" ca="1" si="443"/>
        <v>-14842972.866210923</v>
      </c>
      <c r="CD1017">
        <f t="shared" ca="1" si="444"/>
        <v>0</v>
      </c>
      <c r="CE1017">
        <f t="shared" ca="1" si="445"/>
        <v>23090347.13378913</v>
      </c>
      <c r="CF1017">
        <f t="shared" ca="1" si="446"/>
        <v>23090347.13378913</v>
      </c>
      <c r="CG1017">
        <f t="shared" ca="1" si="447"/>
        <v>0</v>
      </c>
      <c r="CH1017" s="10" t="str">
        <f>分析データ!A1017</f>
        <v/>
      </c>
    </row>
    <row r="1018" spans="46:86">
      <c r="AT1018">
        <f ca="1">IF(ROW()&lt;($C$7+1),"",IFERROR((分析データ!B1018-AVERAGE(OFFSET(分析データ!B$1,MAX(1,ROW()-$C$7),0,MIN($C$7,ROW()-1),1)))/STDEV(OFFSET(分析データ!B$1,MAX(1,ROW()-$C$7),0,MIN($C$7,ROW()-1),1)),0))</f>
        <v>0</v>
      </c>
      <c r="AU1018">
        <f t="shared" ca="1" si="420"/>
        <v>0</v>
      </c>
      <c r="AV1018" t="str">
        <f ca="1">IF(AU1018=1,IF(INDEX(分析データ!$A:$A,ROW()+$C$5)&lt;&gt;"",80000*SIGN(AT1018)*(分析データ!B1018-INDEX(分析データ!B:B,ROW()+$C$5)),""),"")</f>
        <v/>
      </c>
      <c r="AW1018">
        <f t="shared" ca="1" si="421"/>
        <v>-1240000.0000000019</v>
      </c>
      <c r="AX1018">
        <f t="shared" ca="1" si="422"/>
        <v>0</v>
      </c>
      <c r="AY1018">
        <f t="shared" ca="1" si="423"/>
        <v>-1240000.0000000019</v>
      </c>
      <c r="AZ1018">
        <f ca="1">IF(ROW()&lt;($C$7+1),"",IFERROR((分析データ!C1018-AVERAGE(OFFSET(分析データ!C$1,MAX(1,ROW()-$C$7),0,MIN($C$7,ROW()-1),1)))/STDEV(OFFSET(分析データ!C$1,MAX(1,ROW()-$C$7),0,MIN($C$7,ROW()-1),1)),0))</f>
        <v>0</v>
      </c>
      <c r="BA1018">
        <f t="shared" ca="1" si="424"/>
        <v>0</v>
      </c>
      <c r="BB1018" t="str">
        <f ca="1">IF(BA1018=1,IF(INDEX(分析データ!$A:$A,ROW()+$C$5)&lt;&gt;"",60000*SIGN(AZ1018)*(分析データ!C1018-INDEX(分析データ!C:C,ROW()+$C$5)),""),"")</f>
        <v/>
      </c>
      <c r="BC1018">
        <f t="shared" ca="1" si="425"/>
        <v>-260999.9999999851</v>
      </c>
      <c r="BD1018">
        <f t="shared" ca="1" si="426"/>
        <v>3156000.0000000107</v>
      </c>
      <c r="BE1018">
        <f t="shared" ca="1" si="427"/>
        <v>-3416999.9999999958</v>
      </c>
      <c r="BF1018">
        <f ca="1">IF(ROW()&lt;($C$7+1),"",IFERROR((分析データ!D1018-AVERAGE(OFFSET(分析データ!D$1,MAX(1,ROW()-$C$7),0,MIN($C$7,ROW()-1),1)))/STDEV(OFFSET(分析データ!D$1,MAX(1,ROW()-$C$7),0,MIN($C$7,ROW()-1),1)),0))</f>
        <v>0</v>
      </c>
      <c r="BG1018">
        <f t="shared" ca="1" si="428"/>
        <v>0</v>
      </c>
      <c r="BH1018" t="str">
        <f ca="1">IF(BG1018=1,IF(INDEX(分析データ!$A:$A,ROW()+$C$5)&lt;&gt;"",50000*SIGN(BF1018)*(分析データ!D1018-INDEX(分析データ!D:D,ROW()+$C$5)),""),"")</f>
        <v/>
      </c>
      <c r="BI1018">
        <f t="shared" ca="1" si="429"/>
        <v>5570000.0000000205</v>
      </c>
      <c r="BJ1018">
        <f t="shared" ca="1" si="430"/>
        <v>5570000.0000000205</v>
      </c>
      <c r="BK1018">
        <f t="shared" ca="1" si="431"/>
        <v>0</v>
      </c>
      <c r="BL1018">
        <f ca="1">IF(ROW()&lt;($C$7+1),"",IFERROR((分析データ!E1018-AVERAGE(OFFSET(分析データ!E$1,MAX(1,ROW()-$C$7),0,MIN($C$7,ROW()-1),1)))/STDEV(OFFSET(分析データ!E$1,MAX(1,ROW()-$C$7),0,MIN($C$7,ROW()-1),1)),0))</f>
        <v>0</v>
      </c>
      <c r="BM1018">
        <f t="shared" ca="1" si="432"/>
        <v>0</v>
      </c>
      <c r="BN1018" t="str">
        <f ca="1">IF(BM1018=1,IF(INDEX(分析データ!$A:$A,ROW()+$C$5)&lt;&gt;"",40000*SIGN(BL1018)*(分析データ!E1018-INDEX(分析データ!E:E,ROW()+$C$5)),""),"")</f>
        <v/>
      </c>
      <c r="BO1018">
        <f t="shared" ca="1" si="433"/>
        <v>2720000.0000000014</v>
      </c>
      <c r="BP1018">
        <f t="shared" ca="1" si="434"/>
        <v>4280000.0000000028</v>
      </c>
      <c r="BQ1018">
        <f t="shared" ca="1" si="435"/>
        <v>-1560000.0000000014</v>
      </c>
      <c r="BR1018">
        <f ca="1">IF(ROW()&lt;($C$7+1),"",IFERROR((分析データ!F1018-AVERAGE(OFFSET(分析データ!F$1,MAX(1,ROW()-$C$7),0,MIN($C$7,ROW()-1),1)))/STDEV(OFFSET(分析データ!F$1,MAX(1,ROW()-$C$7),0,MIN($C$7,ROW()-1),1)),0))</f>
        <v>0</v>
      </c>
      <c r="BS1018">
        <f t="shared" ca="1" si="436"/>
        <v>0</v>
      </c>
      <c r="BT1018" t="str">
        <f ca="1">IF(BS1018=1,IF(INDEX(分析データ!$A:$A,ROW()+$C$5)&lt;&gt;"",40000*SIGN(BR1018)*(分析データ!F1018-INDEX(分析データ!F:F,ROW()+$C$5)),""),"")</f>
        <v/>
      </c>
      <c r="BU1018">
        <f t="shared" ca="1" si="437"/>
        <v>19816800</v>
      </c>
      <c r="BV1018">
        <f t="shared" ca="1" si="438"/>
        <v>19816800</v>
      </c>
      <c r="BW1018">
        <f t="shared" ca="1" si="439"/>
        <v>0</v>
      </c>
      <c r="BX1018">
        <f ca="1">IF(ROW()&lt;($C$7+1),"",IFERROR((分析データ!G1018-AVERAGE(OFFSET(分析データ!G$1,MAX(1,ROW()-$C$7),0,MIN($C$7,ROW()-1),1)))/STDEV(OFFSET(分析データ!G$1,MAX(1,ROW()-$C$7),0,MIN($C$7,ROW()-1),1)),0))</f>
        <v>0</v>
      </c>
      <c r="BY1018">
        <f t="shared" ca="1" si="440"/>
        <v>0</v>
      </c>
      <c r="BZ1018" t="str">
        <f ca="1">IF(BY1018=1,IF(INDEX(分析データ!$A:$A,ROW()+$C$5)&lt;&gt;"",40000*SIGN(BX1018)*(分析データ!G1018-INDEX(分析データ!G:G,ROW()+$C$5)),""),"")</f>
        <v/>
      </c>
      <c r="CA1018">
        <f t="shared" ca="1" si="441"/>
        <v>-3515452.8662109179</v>
      </c>
      <c r="CB1018">
        <f t="shared" ca="1" si="442"/>
        <v>11327520.000000004</v>
      </c>
      <c r="CC1018">
        <f t="shared" ca="1" si="443"/>
        <v>-14842972.866210923</v>
      </c>
      <c r="CD1018">
        <f t="shared" ca="1" si="444"/>
        <v>0</v>
      </c>
      <c r="CE1018">
        <f t="shared" ca="1" si="445"/>
        <v>23090347.13378913</v>
      </c>
      <c r="CF1018">
        <f t="shared" ca="1" si="446"/>
        <v>23090347.13378913</v>
      </c>
      <c r="CG1018">
        <f t="shared" ca="1" si="447"/>
        <v>0</v>
      </c>
      <c r="CH1018" s="10" t="str">
        <f>分析データ!A1018</f>
        <v/>
      </c>
    </row>
    <row r="1019" spans="46:86">
      <c r="AT1019">
        <f ca="1">IF(ROW()&lt;($C$7+1),"",IFERROR((分析データ!B1019-AVERAGE(OFFSET(分析データ!B$1,MAX(1,ROW()-$C$7),0,MIN($C$7,ROW()-1),1)))/STDEV(OFFSET(分析データ!B$1,MAX(1,ROW()-$C$7),0,MIN($C$7,ROW()-1),1)),0))</f>
        <v>0</v>
      </c>
      <c r="AU1019">
        <f t="shared" ca="1" si="420"/>
        <v>0</v>
      </c>
      <c r="AV1019" t="str">
        <f ca="1">IF(AU1019=1,IF(INDEX(分析データ!$A:$A,ROW()+$C$5)&lt;&gt;"",80000*SIGN(AT1019)*(分析データ!B1019-INDEX(分析データ!B:B,ROW()+$C$5)),""),"")</f>
        <v/>
      </c>
      <c r="AW1019">
        <f t="shared" ca="1" si="421"/>
        <v>-1240000.0000000019</v>
      </c>
      <c r="AX1019">
        <f t="shared" ca="1" si="422"/>
        <v>0</v>
      </c>
      <c r="AY1019">
        <f t="shared" ca="1" si="423"/>
        <v>-1240000.0000000019</v>
      </c>
      <c r="AZ1019">
        <f ca="1">IF(ROW()&lt;($C$7+1),"",IFERROR((分析データ!C1019-AVERAGE(OFFSET(分析データ!C$1,MAX(1,ROW()-$C$7),0,MIN($C$7,ROW()-1),1)))/STDEV(OFFSET(分析データ!C$1,MAX(1,ROW()-$C$7),0,MIN($C$7,ROW()-1),1)),0))</f>
        <v>0</v>
      </c>
      <c r="BA1019">
        <f t="shared" ca="1" si="424"/>
        <v>0</v>
      </c>
      <c r="BB1019" t="str">
        <f ca="1">IF(BA1019=1,IF(INDEX(分析データ!$A:$A,ROW()+$C$5)&lt;&gt;"",60000*SIGN(AZ1019)*(分析データ!C1019-INDEX(分析データ!C:C,ROW()+$C$5)),""),"")</f>
        <v/>
      </c>
      <c r="BC1019">
        <f t="shared" ca="1" si="425"/>
        <v>-260999.9999999851</v>
      </c>
      <c r="BD1019">
        <f t="shared" ca="1" si="426"/>
        <v>3156000.0000000107</v>
      </c>
      <c r="BE1019">
        <f t="shared" ca="1" si="427"/>
        <v>-3416999.9999999958</v>
      </c>
      <c r="BF1019">
        <f ca="1">IF(ROW()&lt;($C$7+1),"",IFERROR((分析データ!D1019-AVERAGE(OFFSET(分析データ!D$1,MAX(1,ROW()-$C$7),0,MIN($C$7,ROW()-1),1)))/STDEV(OFFSET(分析データ!D$1,MAX(1,ROW()-$C$7),0,MIN($C$7,ROW()-1),1)),0))</f>
        <v>0</v>
      </c>
      <c r="BG1019">
        <f t="shared" ca="1" si="428"/>
        <v>0</v>
      </c>
      <c r="BH1019" t="str">
        <f ca="1">IF(BG1019=1,IF(INDEX(分析データ!$A:$A,ROW()+$C$5)&lt;&gt;"",50000*SIGN(BF1019)*(分析データ!D1019-INDEX(分析データ!D:D,ROW()+$C$5)),""),"")</f>
        <v/>
      </c>
      <c r="BI1019">
        <f t="shared" ca="1" si="429"/>
        <v>5570000.0000000205</v>
      </c>
      <c r="BJ1019">
        <f t="shared" ca="1" si="430"/>
        <v>5570000.0000000205</v>
      </c>
      <c r="BK1019">
        <f t="shared" ca="1" si="431"/>
        <v>0</v>
      </c>
      <c r="BL1019">
        <f ca="1">IF(ROW()&lt;($C$7+1),"",IFERROR((分析データ!E1019-AVERAGE(OFFSET(分析データ!E$1,MAX(1,ROW()-$C$7),0,MIN($C$7,ROW()-1),1)))/STDEV(OFFSET(分析データ!E$1,MAX(1,ROW()-$C$7),0,MIN($C$7,ROW()-1),1)),0))</f>
        <v>0</v>
      </c>
      <c r="BM1019">
        <f t="shared" ca="1" si="432"/>
        <v>0</v>
      </c>
      <c r="BN1019" t="str">
        <f ca="1">IF(BM1019=1,IF(INDEX(分析データ!$A:$A,ROW()+$C$5)&lt;&gt;"",40000*SIGN(BL1019)*(分析データ!E1019-INDEX(分析データ!E:E,ROW()+$C$5)),""),"")</f>
        <v/>
      </c>
      <c r="BO1019">
        <f t="shared" ca="1" si="433"/>
        <v>2720000.0000000014</v>
      </c>
      <c r="BP1019">
        <f t="shared" ca="1" si="434"/>
        <v>4280000.0000000028</v>
      </c>
      <c r="BQ1019">
        <f t="shared" ca="1" si="435"/>
        <v>-1560000.0000000014</v>
      </c>
      <c r="BR1019">
        <f ca="1">IF(ROW()&lt;($C$7+1),"",IFERROR((分析データ!F1019-AVERAGE(OFFSET(分析データ!F$1,MAX(1,ROW()-$C$7),0,MIN($C$7,ROW()-1),1)))/STDEV(OFFSET(分析データ!F$1,MAX(1,ROW()-$C$7),0,MIN($C$7,ROW()-1),1)),0))</f>
        <v>0</v>
      </c>
      <c r="BS1019">
        <f t="shared" ca="1" si="436"/>
        <v>0</v>
      </c>
      <c r="BT1019" t="str">
        <f ca="1">IF(BS1019=1,IF(INDEX(分析データ!$A:$A,ROW()+$C$5)&lt;&gt;"",40000*SIGN(BR1019)*(分析データ!F1019-INDEX(分析データ!F:F,ROW()+$C$5)),""),"")</f>
        <v/>
      </c>
      <c r="BU1019">
        <f t="shared" ca="1" si="437"/>
        <v>19816800</v>
      </c>
      <c r="BV1019">
        <f t="shared" ca="1" si="438"/>
        <v>19816800</v>
      </c>
      <c r="BW1019">
        <f t="shared" ca="1" si="439"/>
        <v>0</v>
      </c>
      <c r="BX1019">
        <f ca="1">IF(ROW()&lt;($C$7+1),"",IFERROR((分析データ!G1019-AVERAGE(OFFSET(分析データ!G$1,MAX(1,ROW()-$C$7),0,MIN($C$7,ROW()-1),1)))/STDEV(OFFSET(分析データ!G$1,MAX(1,ROW()-$C$7),0,MIN($C$7,ROW()-1),1)),0))</f>
        <v>0</v>
      </c>
      <c r="BY1019">
        <f t="shared" ca="1" si="440"/>
        <v>0</v>
      </c>
      <c r="BZ1019" t="str">
        <f ca="1">IF(BY1019=1,IF(INDEX(分析データ!$A:$A,ROW()+$C$5)&lt;&gt;"",40000*SIGN(BX1019)*(分析データ!G1019-INDEX(分析データ!G:G,ROW()+$C$5)),""),"")</f>
        <v/>
      </c>
      <c r="CA1019">
        <f t="shared" ca="1" si="441"/>
        <v>-3515452.8662109179</v>
      </c>
      <c r="CB1019">
        <f t="shared" ca="1" si="442"/>
        <v>11327520.000000004</v>
      </c>
      <c r="CC1019">
        <f t="shared" ca="1" si="443"/>
        <v>-14842972.866210923</v>
      </c>
      <c r="CD1019">
        <f t="shared" ca="1" si="444"/>
        <v>0</v>
      </c>
      <c r="CE1019">
        <f t="shared" ca="1" si="445"/>
        <v>23090347.13378913</v>
      </c>
      <c r="CF1019">
        <f t="shared" ca="1" si="446"/>
        <v>23090347.13378913</v>
      </c>
      <c r="CG1019">
        <f t="shared" ca="1" si="447"/>
        <v>0</v>
      </c>
      <c r="CH1019" s="10" t="str">
        <f>分析データ!A1019</f>
        <v/>
      </c>
    </row>
    <row r="1020" spans="46:86">
      <c r="AT1020">
        <f ca="1">IF(ROW()&lt;($C$7+1),"",IFERROR((分析データ!B1020-AVERAGE(OFFSET(分析データ!B$1,MAX(1,ROW()-$C$7),0,MIN($C$7,ROW()-1),1)))/STDEV(OFFSET(分析データ!B$1,MAX(1,ROW()-$C$7),0,MIN($C$7,ROW()-1),1)),0))</f>
        <v>0</v>
      </c>
      <c r="AU1020">
        <f t="shared" ca="1" si="420"/>
        <v>0</v>
      </c>
      <c r="AV1020" t="str">
        <f ca="1">IF(AU1020=1,IF(INDEX(分析データ!$A:$A,ROW()+$C$5)&lt;&gt;"",80000*SIGN(AT1020)*(分析データ!B1020-INDEX(分析データ!B:B,ROW()+$C$5)),""),"")</f>
        <v/>
      </c>
      <c r="AW1020">
        <f t="shared" ca="1" si="421"/>
        <v>-1240000.0000000019</v>
      </c>
      <c r="AX1020">
        <f t="shared" ca="1" si="422"/>
        <v>0</v>
      </c>
      <c r="AY1020">
        <f t="shared" ca="1" si="423"/>
        <v>-1240000.0000000019</v>
      </c>
      <c r="AZ1020">
        <f ca="1">IF(ROW()&lt;($C$7+1),"",IFERROR((分析データ!C1020-AVERAGE(OFFSET(分析データ!C$1,MAX(1,ROW()-$C$7),0,MIN($C$7,ROW()-1),1)))/STDEV(OFFSET(分析データ!C$1,MAX(1,ROW()-$C$7),0,MIN($C$7,ROW()-1),1)),0))</f>
        <v>0</v>
      </c>
      <c r="BA1020">
        <f t="shared" ca="1" si="424"/>
        <v>0</v>
      </c>
      <c r="BB1020" t="str">
        <f ca="1">IF(BA1020=1,IF(INDEX(分析データ!$A:$A,ROW()+$C$5)&lt;&gt;"",60000*SIGN(AZ1020)*(分析データ!C1020-INDEX(分析データ!C:C,ROW()+$C$5)),""),"")</f>
        <v/>
      </c>
      <c r="BC1020">
        <f t="shared" ca="1" si="425"/>
        <v>-260999.9999999851</v>
      </c>
      <c r="BD1020">
        <f t="shared" ca="1" si="426"/>
        <v>3156000.0000000107</v>
      </c>
      <c r="BE1020">
        <f t="shared" ca="1" si="427"/>
        <v>-3416999.9999999958</v>
      </c>
      <c r="BF1020">
        <f ca="1">IF(ROW()&lt;($C$7+1),"",IFERROR((分析データ!D1020-AVERAGE(OFFSET(分析データ!D$1,MAX(1,ROW()-$C$7),0,MIN($C$7,ROW()-1),1)))/STDEV(OFFSET(分析データ!D$1,MAX(1,ROW()-$C$7),0,MIN($C$7,ROW()-1),1)),0))</f>
        <v>0</v>
      </c>
      <c r="BG1020">
        <f t="shared" ca="1" si="428"/>
        <v>0</v>
      </c>
      <c r="BH1020" t="str">
        <f ca="1">IF(BG1020=1,IF(INDEX(分析データ!$A:$A,ROW()+$C$5)&lt;&gt;"",50000*SIGN(BF1020)*(分析データ!D1020-INDEX(分析データ!D:D,ROW()+$C$5)),""),"")</f>
        <v/>
      </c>
      <c r="BI1020">
        <f t="shared" ca="1" si="429"/>
        <v>5570000.0000000205</v>
      </c>
      <c r="BJ1020">
        <f t="shared" ca="1" si="430"/>
        <v>5570000.0000000205</v>
      </c>
      <c r="BK1020">
        <f t="shared" ca="1" si="431"/>
        <v>0</v>
      </c>
      <c r="BL1020">
        <f ca="1">IF(ROW()&lt;($C$7+1),"",IFERROR((分析データ!E1020-AVERAGE(OFFSET(分析データ!E$1,MAX(1,ROW()-$C$7),0,MIN($C$7,ROW()-1),1)))/STDEV(OFFSET(分析データ!E$1,MAX(1,ROW()-$C$7),0,MIN($C$7,ROW()-1),1)),0))</f>
        <v>0</v>
      </c>
      <c r="BM1020">
        <f t="shared" ca="1" si="432"/>
        <v>0</v>
      </c>
      <c r="BN1020" t="str">
        <f ca="1">IF(BM1020=1,IF(INDEX(分析データ!$A:$A,ROW()+$C$5)&lt;&gt;"",40000*SIGN(BL1020)*(分析データ!E1020-INDEX(分析データ!E:E,ROW()+$C$5)),""),"")</f>
        <v/>
      </c>
      <c r="BO1020">
        <f t="shared" ca="1" si="433"/>
        <v>2720000.0000000014</v>
      </c>
      <c r="BP1020">
        <f t="shared" ca="1" si="434"/>
        <v>4280000.0000000028</v>
      </c>
      <c r="BQ1020">
        <f t="shared" ca="1" si="435"/>
        <v>-1560000.0000000014</v>
      </c>
      <c r="BR1020">
        <f ca="1">IF(ROW()&lt;($C$7+1),"",IFERROR((分析データ!F1020-AVERAGE(OFFSET(分析データ!F$1,MAX(1,ROW()-$C$7),0,MIN($C$7,ROW()-1),1)))/STDEV(OFFSET(分析データ!F$1,MAX(1,ROW()-$C$7),0,MIN($C$7,ROW()-1),1)),0))</f>
        <v>0</v>
      </c>
      <c r="BS1020">
        <f t="shared" ca="1" si="436"/>
        <v>0</v>
      </c>
      <c r="BT1020" t="str">
        <f ca="1">IF(BS1020=1,IF(INDEX(分析データ!$A:$A,ROW()+$C$5)&lt;&gt;"",40000*SIGN(BR1020)*(分析データ!F1020-INDEX(分析データ!F:F,ROW()+$C$5)),""),"")</f>
        <v/>
      </c>
      <c r="BU1020">
        <f t="shared" ca="1" si="437"/>
        <v>19816800</v>
      </c>
      <c r="BV1020">
        <f t="shared" ca="1" si="438"/>
        <v>19816800</v>
      </c>
      <c r="BW1020">
        <f t="shared" ca="1" si="439"/>
        <v>0</v>
      </c>
      <c r="BX1020">
        <f ca="1">IF(ROW()&lt;($C$7+1),"",IFERROR((分析データ!G1020-AVERAGE(OFFSET(分析データ!G$1,MAX(1,ROW()-$C$7),0,MIN($C$7,ROW()-1),1)))/STDEV(OFFSET(分析データ!G$1,MAX(1,ROW()-$C$7),0,MIN($C$7,ROW()-1),1)),0))</f>
        <v>0</v>
      </c>
      <c r="BY1020">
        <f t="shared" ca="1" si="440"/>
        <v>0</v>
      </c>
      <c r="BZ1020" t="str">
        <f ca="1">IF(BY1020=1,IF(INDEX(分析データ!$A:$A,ROW()+$C$5)&lt;&gt;"",40000*SIGN(BX1020)*(分析データ!G1020-INDEX(分析データ!G:G,ROW()+$C$5)),""),"")</f>
        <v/>
      </c>
      <c r="CA1020">
        <f t="shared" ca="1" si="441"/>
        <v>-3515452.8662109179</v>
      </c>
      <c r="CB1020">
        <f t="shared" ca="1" si="442"/>
        <v>11327520.000000004</v>
      </c>
      <c r="CC1020">
        <f t="shared" ca="1" si="443"/>
        <v>-14842972.866210923</v>
      </c>
      <c r="CD1020">
        <f t="shared" ca="1" si="444"/>
        <v>0</v>
      </c>
      <c r="CE1020">
        <f t="shared" ca="1" si="445"/>
        <v>23090347.13378913</v>
      </c>
      <c r="CF1020">
        <f t="shared" ca="1" si="446"/>
        <v>23090347.13378913</v>
      </c>
      <c r="CG1020">
        <f t="shared" ca="1" si="447"/>
        <v>0</v>
      </c>
      <c r="CH1020" s="10" t="str">
        <f>分析データ!A1020</f>
        <v/>
      </c>
    </row>
    <row r="1021" spans="46:86">
      <c r="AT1021">
        <f ca="1">IF(ROW()&lt;($C$7+1),"",IFERROR((分析データ!B1021-AVERAGE(OFFSET(分析データ!B$1,MAX(1,ROW()-$C$7),0,MIN($C$7,ROW()-1),1)))/STDEV(OFFSET(分析データ!B$1,MAX(1,ROW()-$C$7),0,MIN($C$7,ROW()-1),1)),0))</f>
        <v>0</v>
      </c>
      <c r="AU1021">
        <f t="shared" ca="1" si="420"/>
        <v>0</v>
      </c>
      <c r="AV1021" t="str">
        <f ca="1">IF(AU1021=1,IF(INDEX(分析データ!$A:$A,ROW()+$C$5)&lt;&gt;"",80000*SIGN(AT1021)*(分析データ!B1021-INDEX(分析データ!B:B,ROW()+$C$5)),""),"")</f>
        <v/>
      </c>
      <c r="AW1021">
        <f t="shared" ca="1" si="421"/>
        <v>-1240000.0000000019</v>
      </c>
      <c r="AX1021">
        <f t="shared" ca="1" si="422"/>
        <v>0</v>
      </c>
      <c r="AY1021">
        <f t="shared" ca="1" si="423"/>
        <v>-1240000.0000000019</v>
      </c>
      <c r="AZ1021">
        <f ca="1">IF(ROW()&lt;($C$7+1),"",IFERROR((分析データ!C1021-AVERAGE(OFFSET(分析データ!C$1,MAX(1,ROW()-$C$7),0,MIN($C$7,ROW()-1),1)))/STDEV(OFFSET(分析データ!C$1,MAX(1,ROW()-$C$7),0,MIN($C$7,ROW()-1),1)),0))</f>
        <v>0</v>
      </c>
      <c r="BA1021">
        <f t="shared" ca="1" si="424"/>
        <v>0</v>
      </c>
      <c r="BB1021" t="str">
        <f ca="1">IF(BA1021=1,IF(INDEX(分析データ!$A:$A,ROW()+$C$5)&lt;&gt;"",60000*SIGN(AZ1021)*(分析データ!C1021-INDEX(分析データ!C:C,ROW()+$C$5)),""),"")</f>
        <v/>
      </c>
      <c r="BC1021">
        <f t="shared" ca="1" si="425"/>
        <v>-260999.9999999851</v>
      </c>
      <c r="BD1021">
        <f t="shared" ca="1" si="426"/>
        <v>3156000.0000000107</v>
      </c>
      <c r="BE1021">
        <f t="shared" ca="1" si="427"/>
        <v>-3416999.9999999958</v>
      </c>
      <c r="BF1021">
        <f ca="1">IF(ROW()&lt;($C$7+1),"",IFERROR((分析データ!D1021-AVERAGE(OFFSET(分析データ!D$1,MAX(1,ROW()-$C$7),0,MIN($C$7,ROW()-1),1)))/STDEV(OFFSET(分析データ!D$1,MAX(1,ROW()-$C$7),0,MIN($C$7,ROW()-1),1)),0))</f>
        <v>0</v>
      </c>
      <c r="BG1021">
        <f t="shared" ca="1" si="428"/>
        <v>0</v>
      </c>
      <c r="BH1021" t="str">
        <f ca="1">IF(BG1021=1,IF(INDEX(分析データ!$A:$A,ROW()+$C$5)&lt;&gt;"",50000*SIGN(BF1021)*(分析データ!D1021-INDEX(分析データ!D:D,ROW()+$C$5)),""),"")</f>
        <v/>
      </c>
      <c r="BI1021">
        <f t="shared" ca="1" si="429"/>
        <v>5570000.0000000205</v>
      </c>
      <c r="BJ1021">
        <f t="shared" ca="1" si="430"/>
        <v>5570000.0000000205</v>
      </c>
      <c r="BK1021">
        <f t="shared" ca="1" si="431"/>
        <v>0</v>
      </c>
      <c r="BL1021">
        <f ca="1">IF(ROW()&lt;($C$7+1),"",IFERROR((分析データ!E1021-AVERAGE(OFFSET(分析データ!E$1,MAX(1,ROW()-$C$7),0,MIN($C$7,ROW()-1),1)))/STDEV(OFFSET(分析データ!E$1,MAX(1,ROW()-$C$7),0,MIN($C$7,ROW()-1),1)),0))</f>
        <v>0</v>
      </c>
      <c r="BM1021">
        <f t="shared" ca="1" si="432"/>
        <v>0</v>
      </c>
      <c r="BN1021" t="str">
        <f ca="1">IF(BM1021=1,IF(INDEX(分析データ!$A:$A,ROW()+$C$5)&lt;&gt;"",40000*SIGN(BL1021)*(分析データ!E1021-INDEX(分析データ!E:E,ROW()+$C$5)),""),"")</f>
        <v/>
      </c>
      <c r="BO1021">
        <f t="shared" ca="1" si="433"/>
        <v>2720000.0000000014</v>
      </c>
      <c r="BP1021">
        <f t="shared" ca="1" si="434"/>
        <v>4280000.0000000028</v>
      </c>
      <c r="BQ1021">
        <f t="shared" ca="1" si="435"/>
        <v>-1560000.0000000014</v>
      </c>
      <c r="BR1021">
        <f ca="1">IF(ROW()&lt;($C$7+1),"",IFERROR((分析データ!F1021-AVERAGE(OFFSET(分析データ!F$1,MAX(1,ROW()-$C$7),0,MIN($C$7,ROW()-1),1)))/STDEV(OFFSET(分析データ!F$1,MAX(1,ROW()-$C$7),0,MIN($C$7,ROW()-1),1)),0))</f>
        <v>0</v>
      </c>
      <c r="BS1021">
        <f t="shared" ca="1" si="436"/>
        <v>0</v>
      </c>
      <c r="BT1021" t="str">
        <f ca="1">IF(BS1021=1,IF(INDEX(分析データ!$A:$A,ROW()+$C$5)&lt;&gt;"",40000*SIGN(BR1021)*(分析データ!F1021-INDEX(分析データ!F:F,ROW()+$C$5)),""),"")</f>
        <v/>
      </c>
      <c r="BU1021">
        <f t="shared" ca="1" si="437"/>
        <v>19816800</v>
      </c>
      <c r="BV1021">
        <f t="shared" ca="1" si="438"/>
        <v>19816800</v>
      </c>
      <c r="BW1021">
        <f t="shared" ca="1" si="439"/>
        <v>0</v>
      </c>
      <c r="BX1021">
        <f ca="1">IF(ROW()&lt;($C$7+1),"",IFERROR((分析データ!G1021-AVERAGE(OFFSET(分析データ!G$1,MAX(1,ROW()-$C$7),0,MIN($C$7,ROW()-1),1)))/STDEV(OFFSET(分析データ!G$1,MAX(1,ROW()-$C$7),0,MIN($C$7,ROW()-1),1)),0))</f>
        <v>0</v>
      </c>
      <c r="BY1021">
        <f t="shared" ca="1" si="440"/>
        <v>0</v>
      </c>
      <c r="BZ1021" t="str">
        <f ca="1">IF(BY1021=1,IF(INDEX(分析データ!$A:$A,ROW()+$C$5)&lt;&gt;"",40000*SIGN(BX1021)*(分析データ!G1021-INDEX(分析データ!G:G,ROW()+$C$5)),""),"")</f>
        <v/>
      </c>
      <c r="CA1021">
        <f t="shared" ca="1" si="441"/>
        <v>-3515452.8662109179</v>
      </c>
      <c r="CB1021">
        <f t="shared" ca="1" si="442"/>
        <v>11327520.000000004</v>
      </c>
      <c r="CC1021">
        <f t="shared" ca="1" si="443"/>
        <v>-14842972.866210923</v>
      </c>
      <c r="CD1021">
        <f t="shared" ca="1" si="444"/>
        <v>0</v>
      </c>
      <c r="CE1021">
        <f t="shared" ca="1" si="445"/>
        <v>23090347.13378913</v>
      </c>
      <c r="CF1021">
        <f t="shared" ca="1" si="446"/>
        <v>23090347.13378913</v>
      </c>
      <c r="CG1021">
        <f t="shared" ca="1" si="447"/>
        <v>0</v>
      </c>
      <c r="CH1021" s="10" t="str">
        <f>分析データ!A1021</f>
        <v/>
      </c>
    </row>
    <row r="1022" spans="46:86">
      <c r="AT1022">
        <f ca="1">IF(ROW()&lt;($C$7+1),"",IFERROR((分析データ!B1022-AVERAGE(OFFSET(分析データ!B$1,MAX(1,ROW()-$C$7),0,MIN($C$7,ROW()-1),1)))/STDEV(OFFSET(分析データ!B$1,MAX(1,ROW()-$C$7),0,MIN($C$7,ROW()-1),1)),0))</f>
        <v>0</v>
      </c>
      <c r="AU1022">
        <f t="shared" ca="1" si="420"/>
        <v>0</v>
      </c>
      <c r="AV1022" t="str">
        <f ca="1">IF(AU1022=1,IF(INDEX(分析データ!$A:$A,ROW()+$C$5)&lt;&gt;"",80000*SIGN(AT1022)*(分析データ!B1022-INDEX(分析データ!B:B,ROW()+$C$5)),""),"")</f>
        <v/>
      </c>
      <c r="AW1022">
        <f t="shared" ca="1" si="421"/>
        <v>-1240000.0000000019</v>
      </c>
      <c r="AX1022">
        <f t="shared" ca="1" si="422"/>
        <v>0</v>
      </c>
      <c r="AY1022">
        <f t="shared" ca="1" si="423"/>
        <v>-1240000.0000000019</v>
      </c>
      <c r="AZ1022">
        <f ca="1">IF(ROW()&lt;($C$7+1),"",IFERROR((分析データ!C1022-AVERAGE(OFFSET(分析データ!C$1,MAX(1,ROW()-$C$7),0,MIN($C$7,ROW()-1),1)))/STDEV(OFFSET(分析データ!C$1,MAX(1,ROW()-$C$7),0,MIN($C$7,ROW()-1),1)),0))</f>
        <v>0</v>
      </c>
      <c r="BA1022">
        <f t="shared" ca="1" si="424"/>
        <v>0</v>
      </c>
      <c r="BB1022" t="str">
        <f ca="1">IF(BA1022=1,IF(INDEX(分析データ!$A:$A,ROW()+$C$5)&lt;&gt;"",60000*SIGN(AZ1022)*(分析データ!C1022-INDEX(分析データ!C:C,ROW()+$C$5)),""),"")</f>
        <v/>
      </c>
      <c r="BC1022">
        <f t="shared" ca="1" si="425"/>
        <v>-260999.9999999851</v>
      </c>
      <c r="BD1022">
        <f t="shared" ca="1" si="426"/>
        <v>3156000.0000000107</v>
      </c>
      <c r="BE1022">
        <f t="shared" ca="1" si="427"/>
        <v>-3416999.9999999958</v>
      </c>
      <c r="BF1022">
        <f ca="1">IF(ROW()&lt;($C$7+1),"",IFERROR((分析データ!D1022-AVERAGE(OFFSET(分析データ!D$1,MAX(1,ROW()-$C$7),0,MIN($C$7,ROW()-1),1)))/STDEV(OFFSET(分析データ!D$1,MAX(1,ROW()-$C$7),0,MIN($C$7,ROW()-1),1)),0))</f>
        <v>0</v>
      </c>
      <c r="BG1022">
        <f t="shared" ca="1" si="428"/>
        <v>0</v>
      </c>
      <c r="BH1022" t="str">
        <f ca="1">IF(BG1022=1,IF(INDEX(分析データ!$A:$A,ROW()+$C$5)&lt;&gt;"",50000*SIGN(BF1022)*(分析データ!D1022-INDEX(分析データ!D:D,ROW()+$C$5)),""),"")</f>
        <v/>
      </c>
      <c r="BI1022">
        <f t="shared" ca="1" si="429"/>
        <v>5570000.0000000205</v>
      </c>
      <c r="BJ1022">
        <f t="shared" ca="1" si="430"/>
        <v>5570000.0000000205</v>
      </c>
      <c r="BK1022">
        <f t="shared" ca="1" si="431"/>
        <v>0</v>
      </c>
      <c r="BL1022">
        <f ca="1">IF(ROW()&lt;($C$7+1),"",IFERROR((分析データ!E1022-AVERAGE(OFFSET(分析データ!E$1,MAX(1,ROW()-$C$7),0,MIN($C$7,ROW()-1),1)))/STDEV(OFFSET(分析データ!E$1,MAX(1,ROW()-$C$7),0,MIN($C$7,ROW()-1),1)),0))</f>
        <v>0</v>
      </c>
      <c r="BM1022">
        <f t="shared" ca="1" si="432"/>
        <v>0</v>
      </c>
      <c r="BN1022" t="str">
        <f ca="1">IF(BM1022=1,IF(INDEX(分析データ!$A:$A,ROW()+$C$5)&lt;&gt;"",40000*SIGN(BL1022)*(分析データ!E1022-INDEX(分析データ!E:E,ROW()+$C$5)),""),"")</f>
        <v/>
      </c>
      <c r="BO1022">
        <f t="shared" ca="1" si="433"/>
        <v>2720000.0000000014</v>
      </c>
      <c r="BP1022">
        <f t="shared" ca="1" si="434"/>
        <v>4280000.0000000028</v>
      </c>
      <c r="BQ1022">
        <f t="shared" ca="1" si="435"/>
        <v>-1560000.0000000014</v>
      </c>
      <c r="BR1022">
        <f ca="1">IF(ROW()&lt;($C$7+1),"",IFERROR((分析データ!F1022-AVERAGE(OFFSET(分析データ!F$1,MAX(1,ROW()-$C$7),0,MIN($C$7,ROW()-1),1)))/STDEV(OFFSET(分析データ!F$1,MAX(1,ROW()-$C$7),0,MIN($C$7,ROW()-1),1)),0))</f>
        <v>0</v>
      </c>
      <c r="BS1022">
        <f t="shared" ca="1" si="436"/>
        <v>0</v>
      </c>
      <c r="BT1022" t="str">
        <f ca="1">IF(BS1022=1,IF(INDEX(分析データ!$A:$A,ROW()+$C$5)&lt;&gt;"",40000*SIGN(BR1022)*(分析データ!F1022-INDEX(分析データ!F:F,ROW()+$C$5)),""),"")</f>
        <v/>
      </c>
      <c r="BU1022">
        <f t="shared" ca="1" si="437"/>
        <v>19816800</v>
      </c>
      <c r="BV1022">
        <f t="shared" ca="1" si="438"/>
        <v>19816800</v>
      </c>
      <c r="BW1022">
        <f t="shared" ca="1" si="439"/>
        <v>0</v>
      </c>
      <c r="BX1022">
        <f ca="1">IF(ROW()&lt;($C$7+1),"",IFERROR((分析データ!G1022-AVERAGE(OFFSET(分析データ!G$1,MAX(1,ROW()-$C$7),0,MIN($C$7,ROW()-1),1)))/STDEV(OFFSET(分析データ!G$1,MAX(1,ROW()-$C$7),0,MIN($C$7,ROW()-1),1)),0))</f>
        <v>0</v>
      </c>
      <c r="BY1022">
        <f t="shared" ca="1" si="440"/>
        <v>0</v>
      </c>
      <c r="BZ1022" t="str">
        <f ca="1">IF(BY1022=1,IF(INDEX(分析データ!$A:$A,ROW()+$C$5)&lt;&gt;"",40000*SIGN(BX1022)*(分析データ!G1022-INDEX(分析データ!G:G,ROW()+$C$5)),""),"")</f>
        <v/>
      </c>
      <c r="CA1022">
        <f t="shared" ca="1" si="441"/>
        <v>-3515452.8662109179</v>
      </c>
      <c r="CB1022">
        <f t="shared" ca="1" si="442"/>
        <v>11327520.000000004</v>
      </c>
      <c r="CC1022">
        <f t="shared" ca="1" si="443"/>
        <v>-14842972.866210923</v>
      </c>
      <c r="CD1022">
        <f t="shared" ca="1" si="444"/>
        <v>0</v>
      </c>
      <c r="CE1022">
        <f t="shared" ca="1" si="445"/>
        <v>23090347.13378913</v>
      </c>
      <c r="CF1022">
        <f t="shared" ca="1" si="446"/>
        <v>23090347.13378913</v>
      </c>
      <c r="CG1022">
        <f t="shared" ca="1" si="447"/>
        <v>0</v>
      </c>
      <c r="CH1022" s="10" t="str">
        <f>分析データ!A1022</f>
        <v/>
      </c>
    </row>
    <row r="1023" spans="46:86">
      <c r="AT1023">
        <f ca="1">IF(ROW()&lt;($C$7+1),"",IFERROR((分析データ!B1023-AVERAGE(OFFSET(分析データ!B$1,MAX(1,ROW()-$C$7),0,MIN($C$7,ROW()-1),1)))/STDEV(OFFSET(分析データ!B$1,MAX(1,ROW()-$C$7),0,MIN($C$7,ROW()-1),1)),0))</f>
        <v>0</v>
      </c>
      <c r="AU1023">
        <f t="shared" ca="1" si="420"/>
        <v>0</v>
      </c>
      <c r="AV1023" t="str">
        <f ca="1">IF(AU1023=1,IF(INDEX(分析データ!$A:$A,ROW()+$C$5)&lt;&gt;"",80000*SIGN(AT1023)*(分析データ!B1023-INDEX(分析データ!B:B,ROW()+$C$5)),""),"")</f>
        <v/>
      </c>
      <c r="AW1023">
        <f t="shared" ca="1" si="421"/>
        <v>-1240000.0000000019</v>
      </c>
      <c r="AX1023">
        <f t="shared" ca="1" si="422"/>
        <v>0</v>
      </c>
      <c r="AY1023">
        <f t="shared" ca="1" si="423"/>
        <v>-1240000.0000000019</v>
      </c>
      <c r="AZ1023">
        <f ca="1">IF(ROW()&lt;($C$7+1),"",IFERROR((分析データ!C1023-AVERAGE(OFFSET(分析データ!C$1,MAX(1,ROW()-$C$7),0,MIN($C$7,ROW()-1),1)))/STDEV(OFFSET(分析データ!C$1,MAX(1,ROW()-$C$7),0,MIN($C$7,ROW()-1),1)),0))</f>
        <v>0</v>
      </c>
      <c r="BA1023">
        <f t="shared" ca="1" si="424"/>
        <v>0</v>
      </c>
      <c r="BB1023" t="str">
        <f ca="1">IF(BA1023=1,IF(INDEX(分析データ!$A:$A,ROW()+$C$5)&lt;&gt;"",60000*SIGN(AZ1023)*(分析データ!C1023-INDEX(分析データ!C:C,ROW()+$C$5)),""),"")</f>
        <v/>
      </c>
      <c r="BC1023">
        <f t="shared" ca="1" si="425"/>
        <v>-260999.9999999851</v>
      </c>
      <c r="BD1023">
        <f t="shared" ca="1" si="426"/>
        <v>3156000.0000000107</v>
      </c>
      <c r="BE1023">
        <f t="shared" ca="1" si="427"/>
        <v>-3416999.9999999958</v>
      </c>
      <c r="BF1023">
        <f ca="1">IF(ROW()&lt;($C$7+1),"",IFERROR((分析データ!D1023-AVERAGE(OFFSET(分析データ!D$1,MAX(1,ROW()-$C$7),0,MIN($C$7,ROW()-1),1)))/STDEV(OFFSET(分析データ!D$1,MAX(1,ROW()-$C$7),0,MIN($C$7,ROW()-1),1)),0))</f>
        <v>0</v>
      </c>
      <c r="BG1023">
        <f t="shared" ca="1" si="428"/>
        <v>0</v>
      </c>
      <c r="BH1023" t="str">
        <f ca="1">IF(BG1023=1,IF(INDEX(分析データ!$A:$A,ROW()+$C$5)&lt;&gt;"",50000*SIGN(BF1023)*(分析データ!D1023-INDEX(分析データ!D:D,ROW()+$C$5)),""),"")</f>
        <v/>
      </c>
      <c r="BI1023">
        <f t="shared" ca="1" si="429"/>
        <v>5570000.0000000205</v>
      </c>
      <c r="BJ1023">
        <f t="shared" ca="1" si="430"/>
        <v>5570000.0000000205</v>
      </c>
      <c r="BK1023">
        <f t="shared" ca="1" si="431"/>
        <v>0</v>
      </c>
      <c r="BL1023">
        <f ca="1">IF(ROW()&lt;($C$7+1),"",IFERROR((分析データ!E1023-AVERAGE(OFFSET(分析データ!E$1,MAX(1,ROW()-$C$7),0,MIN($C$7,ROW()-1),1)))/STDEV(OFFSET(分析データ!E$1,MAX(1,ROW()-$C$7),0,MIN($C$7,ROW()-1),1)),0))</f>
        <v>0</v>
      </c>
      <c r="BM1023">
        <f t="shared" ca="1" si="432"/>
        <v>0</v>
      </c>
      <c r="BN1023" t="str">
        <f ca="1">IF(BM1023=1,IF(INDEX(分析データ!$A:$A,ROW()+$C$5)&lt;&gt;"",40000*SIGN(BL1023)*(分析データ!E1023-INDEX(分析データ!E:E,ROW()+$C$5)),""),"")</f>
        <v/>
      </c>
      <c r="BO1023">
        <f t="shared" ca="1" si="433"/>
        <v>2720000.0000000014</v>
      </c>
      <c r="BP1023">
        <f t="shared" ca="1" si="434"/>
        <v>4280000.0000000028</v>
      </c>
      <c r="BQ1023">
        <f t="shared" ca="1" si="435"/>
        <v>-1560000.0000000014</v>
      </c>
      <c r="BR1023">
        <f ca="1">IF(ROW()&lt;($C$7+1),"",IFERROR((分析データ!F1023-AVERAGE(OFFSET(分析データ!F$1,MAX(1,ROW()-$C$7),0,MIN($C$7,ROW()-1),1)))/STDEV(OFFSET(分析データ!F$1,MAX(1,ROW()-$C$7),0,MIN($C$7,ROW()-1),1)),0))</f>
        <v>0</v>
      </c>
      <c r="BS1023">
        <f t="shared" ca="1" si="436"/>
        <v>0</v>
      </c>
      <c r="BT1023" t="str">
        <f ca="1">IF(BS1023=1,IF(INDEX(分析データ!$A:$A,ROW()+$C$5)&lt;&gt;"",40000*SIGN(BR1023)*(分析データ!F1023-INDEX(分析データ!F:F,ROW()+$C$5)),""),"")</f>
        <v/>
      </c>
      <c r="BU1023">
        <f t="shared" ca="1" si="437"/>
        <v>19816800</v>
      </c>
      <c r="BV1023">
        <f t="shared" ca="1" si="438"/>
        <v>19816800</v>
      </c>
      <c r="BW1023">
        <f t="shared" ca="1" si="439"/>
        <v>0</v>
      </c>
      <c r="BX1023">
        <f ca="1">IF(ROW()&lt;($C$7+1),"",IFERROR((分析データ!G1023-AVERAGE(OFFSET(分析データ!G$1,MAX(1,ROW()-$C$7),0,MIN($C$7,ROW()-1),1)))/STDEV(OFFSET(分析データ!G$1,MAX(1,ROW()-$C$7),0,MIN($C$7,ROW()-1),1)),0))</f>
        <v>0</v>
      </c>
      <c r="BY1023">
        <f t="shared" ca="1" si="440"/>
        <v>0</v>
      </c>
      <c r="BZ1023" t="str">
        <f ca="1">IF(BY1023=1,IF(INDEX(分析データ!$A:$A,ROW()+$C$5)&lt;&gt;"",40000*SIGN(BX1023)*(分析データ!G1023-INDEX(分析データ!G:G,ROW()+$C$5)),""),"")</f>
        <v/>
      </c>
      <c r="CA1023">
        <f t="shared" ca="1" si="441"/>
        <v>-3515452.8662109179</v>
      </c>
      <c r="CB1023">
        <f t="shared" ca="1" si="442"/>
        <v>11327520.000000004</v>
      </c>
      <c r="CC1023">
        <f t="shared" ca="1" si="443"/>
        <v>-14842972.866210923</v>
      </c>
      <c r="CD1023">
        <f t="shared" ca="1" si="444"/>
        <v>0</v>
      </c>
      <c r="CE1023">
        <f t="shared" ca="1" si="445"/>
        <v>23090347.13378913</v>
      </c>
      <c r="CF1023">
        <f t="shared" ca="1" si="446"/>
        <v>23090347.13378913</v>
      </c>
      <c r="CG1023">
        <f t="shared" ca="1" si="447"/>
        <v>0</v>
      </c>
      <c r="CH1023" s="10" t="str">
        <f>分析データ!A1023</f>
        <v/>
      </c>
    </row>
    <row r="1024" spans="46:86">
      <c r="AT1024">
        <f ca="1">IF(ROW()&lt;($C$7+1),"",IFERROR((分析データ!B1024-AVERAGE(OFFSET(分析データ!B$1,MAX(1,ROW()-$C$7),0,MIN($C$7,ROW()-1),1)))/STDEV(OFFSET(分析データ!B$1,MAX(1,ROW()-$C$7),0,MIN($C$7,ROW()-1),1)),0))</f>
        <v>0</v>
      </c>
      <c r="AU1024">
        <f t="shared" ca="1" si="420"/>
        <v>0</v>
      </c>
      <c r="AV1024" t="str">
        <f ca="1">IF(AU1024=1,IF(INDEX(分析データ!$A:$A,ROW()+$C$5)&lt;&gt;"",80000*SIGN(AT1024)*(分析データ!B1024-INDEX(分析データ!B:B,ROW()+$C$5)),""),"")</f>
        <v/>
      </c>
      <c r="AW1024">
        <f t="shared" ca="1" si="421"/>
        <v>-1240000.0000000019</v>
      </c>
      <c r="AX1024">
        <f t="shared" ca="1" si="422"/>
        <v>0</v>
      </c>
      <c r="AY1024">
        <f t="shared" ca="1" si="423"/>
        <v>-1240000.0000000019</v>
      </c>
      <c r="AZ1024">
        <f ca="1">IF(ROW()&lt;($C$7+1),"",IFERROR((分析データ!C1024-AVERAGE(OFFSET(分析データ!C$1,MAX(1,ROW()-$C$7),0,MIN($C$7,ROW()-1),1)))/STDEV(OFFSET(分析データ!C$1,MAX(1,ROW()-$C$7),0,MIN($C$7,ROW()-1),1)),0))</f>
        <v>0</v>
      </c>
      <c r="BA1024">
        <f t="shared" ca="1" si="424"/>
        <v>0</v>
      </c>
      <c r="BB1024" t="str">
        <f ca="1">IF(BA1024=1,IF(INDEX(分析データ!$A:$A,ROW()+$C$5)&lt;&gt;"",60000*SIGN(AZ1024)*(分析データ!C1024-INDEX(分析データ!C:C,ROW()+$C$5)),""),"")</f>
        <v/>
      </c>
      <c r="BC1024">
        <f t="shared" ca="1" si="425"/>
        <v>-260999.9999999851</v>
      </c>
      <c r="BD1024">
        <f t="shared" ca="1" si="426"/>
        <v>3156000.0000000107</v>
      </c>
      <c r="BE1024">
        <f t="shared" ca="1" si="427"/>
        <v>-3416999.9999999958</v>
      </c>
      <c r="BF1024">
        <f ca="1">IF(ROW()&lt;($C$7+1),"",IFERROR((分析データ!D1024-AVERAGE(OFFSET(分析データ!D$1,MAX(1,ROW()-$C$7),0,MIN($C$7,ROW()-1),1)))/STDEV(OFFSET(分析データ!D$1,MAX(1,ROW()-$C$7),0,MIN($C$7,ROW()-1),1)),0))</f>
        <v>0</v>
      </c>
      <c r="BG1024">
        <f t="shared" ca="1" si="428"/>
        <v>0</v>
      </c>
      <c r="BH1024" t="str">
        <f ca="1">IF(BG1024=1,IF(INDEX(分析データ!$A:$A,ROW()+$C$5)&lt;&gt;"",50000*SIGN(BF1024)*(分析データ!D1024-INDEX(分析データ!D:D,ROW()+$C$5)),""),"")</f>
        <v/>
      </c>
      <c r="BI1024">
        <f t="shared" ca="1" si="429"/>
        <v>5570000.0000000205</v>
      </c>
      <c r="BJ1024">
        <f t="shared" ca="1" si="430"/>
        <v>5570000.0000000205</v>
      </c>
      <c r="BK1024">
        <f t="shared" ca="1" si="431"/>
        <v>0</v>
      </c>
      <c r="BL1024">
        <f ca="1">IF(ROW()&lt;($C$7+1),"",IFERROR((分析データ!E1024-AVERAGE(OFFSET(分析データ!E$1,MAX(1,ROW()-$C$7),0,MIN($C$7,ROW()-1),1)))/STDEV(OFFSET(分析データ!E$1,MAX(1,ROW()-$C$7),0,MIN($C$7,ROW()-1),1)),0))</f>
        <v>0</v>
      </c>
      <c r="BM1024">
        <f t="shared" ca="1" si="432"/>
        <v>0</v>
      </c>
      <c r="BN1024" t="str">
        <f ca="1">IF(BM1024=1,IF(INDEX(分析データ!$A:$A,ROW()+$C$5)&lt;&gt;"",40000*SIGN(BL1024)*(分析データ!E1024-INDEX(分析データ!E:E,ROW()+$C$5)),""),"")</f>
        <v/>
      </c>
      <c r="BO1024">
        <f t="shared" ca="1" si="433"/>
        <v>2720000.0000000014</v>
      </c>
      <c r="BP1024">
        <f t="shared" ca="1" si="434"/>
        <v>4280000.0000000028</v>
      </c>
      <c r="BQ1024">
        <f t="shared" ca="1" si="435"/>
        <v>-1560000.0000000014</v>
      </c>
      <c r="BR1024">
        <f ca="1">IF(ROW()&lt;($C$7+1),"",IFERROR((分析データ!F1024-AVERAGE(OFFSET(分析データ!F$1,MAX(1,ROW()-$C$7),0,MIN($C$7,ROW()-1),1)))/STDEV(OFFSET(分析データ!F$1,MAX(1,ROW()-$C$7),0,MIN($C$7,ROW()-1),1)),0))</f>
        <v>0</v>
      </c>
      <c r="BS1024">
        <f t="shared" ca="1" si="436"/>
        <v>0</v>
      </c>
      <c r="BT1024" t="str">
        <f ca="1">IF(BS1024=1,IF(INDEX(分析データ!$A:$A,ROW()+$C$5)&lt;&gt;"",40000*SIGN(BR1024)*(分析データ!F1024-INDEX(分析データ!F:F,ROW()+$C$5)),""),"")</f>
        <v/>
      </c>
      <c r="BU1024">
        <f t="shared" ca="1" si="437"/>
        <v>19816800</v>
      </c>
      <c r="BV1024">
        <f t="shared" ca="1" si="438"/>
        <v>19816800</v>
      </c>
      <c r="BW1024">
        <f t="shared" ca="1" si="439"/>
        <v>0</v>
      </c>
      <c r="BX1024">
        <f ca="1">IF(ROW()&lt;($C$7+1),"",IFERROR((分析データ!G1024-AVERAGE(OFFSET(分析データ!G$1,MAX(1,ROW()-$C$7),0,MIN($C$7,ROW()-1),1)))/STDEV(OFFSET(分析データ!G$1,MAX(1,ROW()-$C$7),0,MIN($C$7,ROW()-1),1)),0))</f>
        <v>0</v>
      </c>
      <c r="BY1024">
        <f t="shared" ca="1" si="440"/>
        <v>0</v>
      </c>
      <c r="BZ1024" t="str">
        <f ca="1">IF(BY1024=1,IF(INDEX(分析データ!$A:$A,ROW()+$C$5)&lt;&gt;"",40000*SIGN(BX1024)*(分析データ!G1024-INDEX(分析データ!G:G,ROW()+$C$5)),""),"")</f>
        <v/>
      </c>
      <c r="CA1024">
        <f t="shared" ca="1" si="441"/>
        <v>-3515452.8662109179</v>
      </c>
      <c r="CB1024">
        <f t="shared" ca="1" si="442"/>
        <v>11327520.000000004</v>
      </c>
      <c r="CC1024">
        <f t="shared" ca="1" si="443"/>
        <v>-14842972.866210923</v>
      </c>
      <c r="CD1024">
        <f t="shared" ca="1" si="444"/>
        <v>0</v>
      </c>
      <c r="CE1024">
        <f t="shared" ca="1" si="445"/>
        <v>23090347.13378913</v>
      </c>
      <c r="CF1024">
        <f t="shared" ca="1" si="446"/>
        <v>23090347.13378913</v>
      </c>
      <c r="CG1024">
        <f t="shared" ca="1" si="447"/>
        <v>0</v>
      </c>
      <c r="CH1024" s="10" t="str">
        <f>分析データ!A1024</f>
        <v/>
      </c>
    </row>
    <row r="1025" spans="46:86">
      <c r="AT1025">
        <f ca="1">IF(ROW()&lt;($C$7+1),"",IFERROR((分析データ!B1025-AVERAGE(OFFSET(分析データ!B$1,MAX(1,ROW()-$C$7),0,MIN($C$7,ROW()-1),1)))/STDEV(OFFSET(分析データ!B$1,MAX(1,ROW()-$C$7),0,MIN($C$7,ROW()-1),1)),0))</f>
        <v>0</v>
      </c>
      <c r="AU1025">
        <f t="shared" ca="1" si="420"/>
        <v>0</v>
      </c>
      <c r="AV1025" t="str">
        <f ca="1">IF(AU1025=1,IF(INDEX(分析データ!$A:$A,ROW()+$C$5)&lt;&gt;"",80000*SIGN(AT1025)*(分析データ!B1025-INDEX(分析データ!B:B,ROW()+$C$5)),""),"")</f>
        <v/>
      </c>
      <c r="AW1025">
        <f t="shared" ca="1" si="421"/>
        <v>-1240000.0000000019</v>
      </c>
      <c r="AX1025">
        <f t="shared" ca="1" si="422"/>
        <v>0</v>
      </c>
      <c r="AY1025">
        <f t="shared" ca="1" si="423"/>
        <v>-1240000.0000000019</v>
      </c>
      <c r="AZ1025">
        <f ca="1">IF(ROW()&lt;($C$7+1),"",IFERROR((分析データ!C1025-AVERAGE(OFFSET(分析データ!C$1,MAX(1,ROW()-$C$7),0,MIN($C$7,ROW()-1),1)))/STDEV(OFFSET(分析データ!C$1,MAX(1,ROW()-$C$7),0,MIN($C$7,ROW()-1),1)),0))</f>
        <v>0</v>
      </c>
      <c r="BA1025">
        <f t="shared" ca="1" si="424"/>
        <v>0</v>
      </c>
      <c r="BB1025" t="str">
        <f ca="1">IF(BA1025=1,IF(INDEX(分析データ!$A:$A,ROW()+$C$5)&lt;&gt;"",60000*SIGN(AZ1025)*(分析データ!C1025-INDEX(分析データ!C:C,ROW()+$C$5)),""),"")</f>
        <v/>
      </c>
      <c r="BC1025">
        <f t="shared" ca="1" si="425"/>
        <v>-260999.9999999851</v>
      </c>
      <c r="BD1025">
        <f t="shared" ca="1" si="426"/>
        <v>3156000.0000000107</v>
      </c>
      <c r="BE1025">
        <f t="shared" ca="1" si="427"/>
        <v>-3416999.9999999958</v>
      </c>
      <c r="BF1025">
        <f ca="1">IF(ROW()&lt;($C$7+1),"",IFERROR((分析データ!D1025-AVERAGE(OFFSET(分析データ!D$1,MAX(1,ROW()-$C$7),0,MIN($C$7,ROW()-1),1)))/STDEV(OFFSET(分析データ!D$1,MAX(1,ROW()-$C$7),0,MIN($C$7,ROW()-1),1)),0))</f>
        <v>0</v>
      </c>
      <c r="BG1025">
        <f t="shared" ca="1" si="428"/>
        <v>0</v>
      </c>
      <c r="BH1025" t="str">
        <f ca="1">IF(BG1025=1,IF(INDEX(分析データ!$A:$A,ROW()+$C$5)&lt;&gt;"",50000*SIGN(BF1025)*(分析データ!D1025-INDEX(分析データ!D:D,ROW()+$C$5)),""),"")</f>
        <v/>
      </c>
      <c r="BI1025">
        <f t="shared" ca="1" si="429"/>
        <v>5570000.0000000205</v>
      </c>
      <c r="BJ1025">
        <f t="shared" ca="1" si="430"/>
        <v>5570000.0000000205</v>
      </c>
      <c r="BK1025">
        <f t="shared" ca="1" si="431"/>
        <v>0</v>
      </c>
      <c r="BL1025">
        <f ca="1">IF(ROW()&lt;($C$7+1),"",IFERROR((分析データ!E1025-AVERAGE(OFFSET(分析データ!E$1,MAX(1,ROW()-$C$7),0,MIN($C$7,ROW()-1),1)))/STDEV(OFFSET(分析データ!E$1,MAX(1,ROW()-$C$7),0,MIN($C$7,ROW()-1),1)),0))</f>
        <v>0</v>
      </c>
      <c r="BM1025">
        <f t="shared" ca="1" si="432"/>
        <v>0</v>
      </c>
      <c r="BN1025" t="str">
        <f ca="1">IF(BM1025=1,IF(INDEX(分析データ!$A:$A,ROW()+$C$5)&lt;&gt;"",40000*SIGN(BL1025)*(分析データ!E1025-INDEX(分析データ!E:E,ROW()+$C$5)),""),"")</f>
        <v/>
      </c>
      <c r="BO1025">
        <f t="shared" ca="1" si="433"/>
        <v>2720000.0000000014</v>
      </c>
      <c r="BP1025">
        <f t="shared" ca="1" si="434"/>
        <v>4280000.0000000028</v>
      </c>
      <c r="BQ1025">
        <f t="shared" ca="1" si="435"/>
        <v>-1560000.0000000014</v>
      </c>
      <c r="BR1025">
        <f ca="1">IF(ROW()&lt;($C$7+1),"",IFERROR((分析データ!F1025-AVERAGE(OFFSET(分析データ!F$1,MAX(1,ROW()-$C$7),0,MIN($C$7,ROW()-1),1)))/STDEV(OFFSET(分析データ!F$1,MAX(1,ROW()-$C$7),0,MIN($C$7,ROW()-1),1)),0))</f>
        <v>0</v>
      </c>
      <c r="BS1025">
        <f t="shared" ca="1" si="436"/>
        <v>0</v>
      </c>
      <c r="BT1025" t="str">
        <f ca="1">IF(BS1025=1,IF(INDEX(分析データ!$A:$A,ROW()+$C$5)&lt;&gt;"",40000*SIGN(BR1025)*(分析データ!F1025-INDEX(分析データ!F:F,ROW()+$C$5)),""),"")</f>
        <v/>
      </c>
      <c r="BU1025">
        <f t="shared" ca="1" si="437"/>
        <v>19816800</v>
      </c>
      <c r="BV1025">
        <f t="shared" ca="1" si="438"/>
        <v>19816800</v>
      </c>
      <c r="BW1025">
        <f t="shared" ca="1" si="439"/>
        <v>0</v>
      </c>
      <c r="BX1025">
        <f ca="1">IF(ROW()&lt;($C$7+1),"",IFERROR((分析データ!G1025-AVERAGE(OFFSET(分析データ!G$1,MAX(1,ROW()-$C$7),0,MIN($C$7,ROW()-1),1)))/STDEV(OFFSET(分析データ!G$1,MAX(1,ROW()-$C$7),0,MIN($C$7,ROW()-1),1)),0))</f>
        <v>0</v>
      </c>
      <c r="BY1025">
        <f t="shared" ca="1" si="440"/>
        <v>0</v>
      </c>
      <c r="BZ1025" t="str">
        <f ca="1">IF(BY1025=1,IF(INDEX(分析データ!$A:$A,ROW()+$C$5)&lt;&gt;"",40000*SIGN(BX1025)*(分析データ!G1025-INDEX(分析データ!G:G,ROW()+$C$5)),""),"")</f>
        <v/>
      </c>
      <c r="CA1025">
        <f t="shared" ca="1" si="441"/>
        <v>-3515452.8662109179</v>
      </c>
      <c r="CB1025">
        <f t="shared" ca="1" si="442"/>
        <v>11327520.000000004</v>
      </c>
      <c r="CC1025">
        <f t="shared" ca="1" si="443"/>
        <v>-14842972.866210923</v>
      </c>
      <c r="CD1025">
        <f t="shared" ca="1" si="444"/>
        <v>0</v>
      </c>
      <c r="CE1025">
        <f t="shared" ca="1" si="445"/>
        <v>23090347.13378913</v>
      </c>
      <c r="CF1025">
        <f t="shared" ca="1" si="446"/>
        <v>23090347.13378913</v>
      </c>
      <c r="CG1025">
        <f t="shared" ca="1" si="447"/>
        <v>0</v>
      </c>
      <c r="CH1025" s="10" t="str">
        <f>分析データ!A1025</f>
        <v/>
      </c>
    </row>
    <row r="1026" spans="46:86">
      <c r="AT1026">
        <f ca="1">IF(ROW()&lt;($C$7+1),"",IFERROR((分析データ!B1026-AVERAGE(OFFSET(分析データ!B$1,MAX(1,ROW()-$C$7),0,MIN($C$7,ROW()-1),1)))/STDEV(OFFSET(分析データ!B$1,MAX(1,ROW()-$C$7),0,MIN($C$7,ROW()-1),1)),0))</f>
        <v>0</v>
      </c>
      <c r="AU1026">
        <f t="shared" ref="AU1026:AU1089" ca="1" si="448">IF(ISNUMBER(AT1026),IF(ABS(AT1026)&gt;=$C$6,1,0),0)</f>
        <v>0</v>
      </c>
      <c r="AV1026" t="str">
        <f ca="1">IF(AU1026=1,IF(INDEX(分析データ!$A:$A,ROW()+$C$5)&lt;&gt;"",80000*SIGN(AT1026)*(分析データ!B1026-INDEX(分析データ!B:B,ROW()+$C$5)),""),"")</f>
        <v/>
      </c>
      <c r="AW1026">
        <f t="shared" ref="AW1026:AW1089" ca="1" si="449">AW1025+IF(AND(AU1026=1,ISNUMBER(AV1026)),AV1026,0)</f>
        <v>-1240000.0000000019</v>
      </c>
      <c r="AX1026">
        <f t="shared" ref="AX1026:AX1089" ca="1" si="450">MAX(AX1025,AW1026)</f>
        <v>0</v>
      </c>
      <c r="AY1026">
        <f t="shared" ref="AY1026:AY1089" ca="1" si="451">AW1026-AX1026</f>
        <v>-1240000.0000000019</v>
      </c>
      <c r="AZ1026">
        <f ca="1">IF(ROW()&lt;($C$7+1),"",IFERROR((分析データ!C1026-AVERAGE(OFFSET(分析データ!C$1,MAX(1,ROW()-$C$7),0,MIN($C$7,ROW()-1),1)))/STDEV(OFFSET(分析データ!C$1,MAX(1,ROW()-$C$7),0,MIN($C$7,ROW()-1),1)),0))</f>
        <v>0</v>
      </c>
      <c r="BA1026">
        <f t="shared" ref="BA1026:BA1089" ca="1" si="452">IF(ISNUMBER(AZ1026),IF(ABS(AZ1026)&gt;=$C$6,1,0),0)</f>
        <v>0</v>
      </c>
      <c r="BB1026" t="str">
        <f ca="1">IF(BA1026=1,IF(INDEX(分析データ!$A:$A,ROW()+$C$5)&lt;&gt;"",60000*SIGN(AZ1026)*(分析データ!C1026-INDEX(分析データ!C:C,ROW()+$C$5)),""),"")</f>
        <v/>
      </c>
      <c r="BC1026">
        <f t="shared" ref="BC1026:BC1089" ca="1" si="453">BC1025+IF(AND(BA1026=1,ISNUMBER(BB1026)),BB1026,0)</f>
        <v>-260999.9999999851</v>
      </c>
      <c r="BD1026">
        <f t="shared" ref="BD1026:BD1089" ca="1" si="454">MAX(BD1025,BC1026)</f>
        <v>3156000.0000000107</v>
      </c>
      <c r="BE1026">
        <f t="shared" ref="BE1026:BE1089" ca="1" si="455">BC1026-BD1026</f>
        <v>-3416999.9999999958</v>
      </c>
      <c r="BF1026">
        <f ca="1">IF(ROW()&lt;($C$7+1),"",IFERROR((分析データ!D1026-AVERAGE(OFFSET(分析データ!D$1,MAX(1,ROW()-$C$7),0,MIN($C$7,ROW()-1),1)))/STDEV(OFFSET(分析データ!D$1,MAX(1,ROW()-$C$7),0,MIN($C$7,ROW()-1),1)),0))</f>
        <v>0</v>
      </c>
      <c r="BG1026">
        <f t="shared" ref="BG1026:BG1089" ca="1" si="456">IF(ISNUMBER(BF1026),IF(ABS(BF1026)&gt;=$C$6,1,0),0)</f>
        <v>0</v>
      </c>
      <c r="BH1026" t="str">
        <f ca="1">IF(BG1026=1,IF(INDEX(分析データ!$A:$A,ROW()+$C$5)&lt;&gt;"",50000*SIGN(BF1026)*(分析データ!D1026-INDEX(分析データ!D:D,ROW()+$C$5)),""),"")</f>
        <v/>
      </c>
      <c r="BI1026">
        <f t="shared" ref="BI1026:BI1089" ca="1" si="457">BI1025+IF(AND(BG1026=1,ISNUMBER(BH1026)),BH1026,0)</f>
        <v>5570000.0000000205</v>
      </c>
      <c r="BJ1026">
        <f t="shared" ref="BJ1026:BJ1089" ca="1" si="458">MAX(BJ1025,BI1026)</f>
        <v>5570000.0000000205</v>
      </c>
      <c r="BK1026">
        <f t="shared" ref="BK1026:BK1089" ca="1" si="459">BI1026-BJ1026</f>
        <v>0</v>
      </c>
      <c r="BL1026">
        <f ca="1">IF(ROW()&lt;($C$7+1),"",IFERROR((分析データ!E1026-AVERAGE(OFFSET(分析データ!E$1,MAX(1,ROW()-$C$7),0,MIN($C$7,ROW()-1),1)))/STDEV(OFFSET(分析データ!E$1,MAX(1,ROW()-$C$7),0,MIN($C$7,ROW()-1),1)),0))</f>
        <v>0</v>
      </c>
      <c r="BM1026">
        <f t="shared" ref="BM1026:BM1089" ca="1" si="460">IF(ISNUMBER(BL1026),IF(ABS(BL1026)&gt;=$C$6,1,0),0)</f>
        <v>0</v>
      </c>
      <c r="BN1026" t="str">
        <f ca="1">IF(BM1026=1,IF(INDEX(分析データ!$A:$A,ROW()+$C$5)&lt;&gt;"",40000*SIGN(BL1026)*(分析データ!E1026-INDEX(分析データ!E:E,ROW()+$C$5)),""),"")</f>
        <v/>
      </c>
      <c r="BO1026">
        <f t="shared" ref="BO1026:BO1089" ca="1" si="461">BO1025+IF(AND(BM1026=1,ISNUMBER(BN1026)),BN1026,0)</f>
        <v>2720000.0000000014</v>
      </c>
      <c r="BP1026">
        <f t="shared" ref="BP1026:BP1089" ca="1" si="462">MAX(BP1025,BO1026)</f>
        <v>4280000.0000000028</v>
      </c>
      <c r="BQ1026">
        <f t="shared" ref="BQ1026:BQ1089" ca="1" si="463">BO1026-BP1026</f>
        <v>-1560000.0000000014</v>
      </c>
      <c r="BR1026">
        <f ca="1">IF(ROW()&lt;($C$7+1),"",IFERROR((分析データ!F1026-AVERAGE(OFFSET(分析データ!F$1,MAX(1,ROW()-$C$7),0,MIN($C$7,ROW()-1),1)))/STDEV(OFFSET(分析データ!F$1,MAX(1,ROW()-$C$7),0,MIN($C$7,ROW()-1),1)),0))</f>
        <v>0</v>
      </c>
      <c r="BS1026">
        <f t="shared" ref="BS1026:BS1089" ca="1" si="464">IF(ISNUMBER(BR1026),IF(ABS(BR1026)&gt;=$C$6,1,0),0)</f>
        <v>0</v>
      </c>
      <c r="BT1026" t="str">
        <f ca="1">IF(BS1026=1,IF(INDEX(分析データ!$A:$A,ROW()+$C$5)&lt;&gt;"",40000*SIGN(BR1026)*(分析データ!F1026-INDEX(分析データ!F:F,ROW()+$C$5)),""),"")</f>
        <v/>
      </c>
      <c r="BU1026">
        <f t="shared" ref="BU1026:BU1089" ca="1" si="465">BU1025+IF(AND(BS1026=1,ISNUMBER(BT1026)),BT1026,0)</f>
        <v>19816800</v>
      </c>
      <c r="BV1026">
        <f t="shared" ref="BV1026:BV1089" ca="1" si="466">MAX(BV1025,BU1026)</f>
        <v>19816800</v>
      </c>
      <c r="BW1026">
        <f t="shared" ref="BW1026:BW1089" ca="1" si="467">BU1026-BV1026</f>
        <v>0</v>
      </c>
      <c r="BX1026">
        <f ca="1">IF(ROW()&lt;($C$7+1),"",IFERROR((分析データ!G1026-AVERAGE(OFFSET(分析データ!G$1,MAX(1,ROW()-$C$7),0,MIN($C$7,ROW()-1),1)))/STDEV(OFFSET(分析データ!G$1,MAX(1,ROW()-$C$7),0,MIN($C$7,ROW()-1),1)),0))</f>
        <v>0</v>
      </c>
      <c r="BY1026">
        <f t="shared" ref="BY1026:BY1089" ca="1" si="468">IF(ISNUMBER(BX1026),IF(ABS(BX1026)&gt;=$C$6,1,0),0)</f>
        <v>0</v>
      </c>
      <c r="BZ1026" t="str">
        <f ca="1">IF(BY1026=1,IF(INDEX(分析データ!$A:$A,ROW()+$C$5)&lt;&gt;"",40000*SIGN(BX1026)*(分析データ!G1026-INDEX(分析データ!G:G,ROW()+$C$5)),""),"")</f>
        <v/>
      </c>
      <c r="CA1026">
        <f t="shared" ref="CA1026:CA1089" ca="1" si="469">CA1025+IF(AND(BY1026=1,ISNUMBER(BZ1026)),BZ1026,0)</f>
        <v>-3515452.8662109179</v>
      </c>
      <c r="CB1026">
        <f t="shared" ref="CB1026:CB1089" ca="1" si="470">MAX(CB1025,CA1026)</f>
        <v>11327520.000000004</v>
      </c>
      <c r="CC1026">
        <f t="shared" ref="CC1026:CC1089" ca="1" si="471">CA1026-CB1026</f>
        <v>-14842972.866210923</v>
      </c>
      <c r="CD1026">
        <f t="shared" ref="CD1026:CD1089" ca="1" si="472">N(AV1026)+N(BB1026)+N(BH1026)+N(BN1026)+N(BT1026)+N(BZ1026)</f>
        <v>0</v>
      </c>
      <c r="CE1026">
        <f t="shared" ref="CE1026:CE1089" ca="1" si="473">CE1025+CD1026</f>
        <v>23090347.13378913</v>
      </c>
      <c r="CF1026">
        <f t="shared" ref="CF1026:CF1089" ca="1" si="474">MAX(CF1025,CE1026)</f>
        <v>23090347.13378913</v>
      </c>
      <c r="CG1026">
        <f t="shared" ref="CG1026:CG1089" ca="1" si="475">CE1026-CF1026</f>
        <v>0</v>
      </c>
      <c r="CH1026" s="10" t="str">
        <f>分析データ!A1026</f>
        <v/>
      </c>
    </row>
    <row r="1027" spans="46:86">
      <c r="AT1027">
        <f ca="1">IF(ROW()&lt;($C$7+1),"",IFERROR((分析データ!B1027-AVERAGE(OFFSET(分析データ!B$1,MAX(1,ROW()-$C$7),0,MIN($C$7,ROW()-1),1)))/STDEV(OFFSET(分析データ!B$1,MAX(1,ROW()-$C$7),0,MIN($C$7,ROW()-1),1)),0))</f>
        <v>0</v>
      </c>
      <c r="AU1027">
        <f t="shared" ca="1" si="448"/>
        <v>0</v>
      </c>
      <c r="AV1027" t="str">
        <f ca="1">IF(AU1027=1,IF(INDEX(分析データ!$A:$A,ROW()+$C$5)&lt;&gt;"",80000*SIGN(AT1027)*(分析データ!B1027-INDEX(分析データ!B:B,ROW()+$C$5)),""),"")</f>
        <v/>
      </c>
      <c r="AW1027">
        <f t="shared" ca="1" si="449"/>
        <v>-1240000.0000000019</v>
      </c>
      <c r="AX1027">
        <f t="shared" ca="1" si="450"/>
        <v>0</v>
      </c>
      <c r="AY1027">
        <f t="shared" ca="1" si="451"/>
        <v>-1240000.0000000019</v>
      </c>
      <c r="AZ1027">
        <f ca="1">IF(ROW()&lt;($C$7+1),"",IFERROR((分析データ!C1027-AVERAGE(OFFSET(分析データ!C$1,MAX(1,ROW()-$C$7),0,MIN($C$7,ROW()-1),1)))/STDEV(OFFSET(分析データ!C$1,MAX(1,ROW()-$C$7),0,MIN($C$7,ROW()-1),1)),0))</f>
        <v>0</v>
      </c>
      <c r="BA1027">
        <f t="shared" ca="1" si="452"/>
        <v>0</v>
      </c>
      <c r="BB1027" t="str">
        <f ca="1">IF(BA1027=1,IF(INDEX(分析データ!$A:$A,ROW()+$C$5)&lt;&gt;"",60000*SIGN(AZ1027)*(分析データ!C1027-INDEX(分析データ!C:C,ROW()+$C$5)),""),"")</f>
        <v/>
      </c>
      <c r="BC1027">
        <f t="shared" ca="1" si="453"/>
        <v>-260999.9999999851</v>
      </c>
      <c r="BD1027">
        <f t="shared" ca="1" si="454"/>
        <v>3156000.0000000107</v>
      </c>
      <c r="BE1027">
        <f t="shared" ca="1" si="455"/>
        <v>-3416999.9999999958</v>
      </c>
      <c r="BF1027">
        <f ca="1">IF(ROW()&lt;($C$7+1),"",IFERROR((分析データ!D1027-AVERAGE(OFFSET(分析データ!D$1,MAX(1,ROW()-$C$7),0,MIN($C$7,ROW()-1),1)))/STDEV(OFFSET(分析データ!D$1,MAX(1,ROW()-$C$7),0,MIN($C$7,ROW()-1),1)),0))</f>
        <v>0</v>
      </c>
      <c r="BG1027">
        <f t="shared" ca="1" si="456"/>
        <v>0</v>
      </c>
      <c r="BH1027" t="str">
        <f ca="1">IF(BG1027=1,IF(INDEX(分析データ!$A:$A,ROW()+$C$5)&lt;&gt;"",50000*SIGN(BF1027)*(分析データ!D1027-INDEX(分析データ!D:D,ROW()+$C$5)),""),"")</f>
        <v/>
      </c>
      <c r="BI1027">
        <f t="shared" ca="1" si="457"/>
        <v>5570000.0000000205</v>
      </c>
      <c r="BJ1027">
        <f t="shared" ca="1" si="458"/>
        <v>5570000.0000000205</v>
      </c>
      <c r="BK1027">
        <f t="shared" ca="1" si="459"/>
        <v>0</v>
      </c>
      <c r="BL1027">
        <f ca="1">IF(ROW()&lt;($C$7+1),"",IFERROR((分析データ!E1027-AVERAGE(OFFSET(分析データ!E$1,MAX(1,ROW()-$C$7),0,MIN($C$7,ROW()-1),1)))/STDEV(OFFSET(分析データ!E$1,MAX(1,ROW()-$C$7),0,MIN($C$7,ROW()-1),1)),0))</f>
        <v>0</v>
      </c>
      <c r="BM1027">
        <f t="shared" ca="1" si="460"/>
        <v>0</v>
      </c>
      <c r="BN1027" t="str">
        <f ca="1">IF(BM1027=1,IF(INDEX(分析データ!$A:$A,ROW()+$C$5)&lt;&gt;"",40000*SIGN(BL1027)*(分析データ!E1027-INDEX(分析データ!E:E,ROW()+$C$5)),""),"")</f>
        <v/>
      </c>
      <c r="BO1027">
        <f t="shared" ca="1" si="461"/>
        <v>2720000.0000000014</v>
      </c>
      <c r="BP1027">
        <f t="shared" ca="1" si="462"/>
        <v>4280000.0000000028</v>
      </c>
      <c r="BQ1027">
        <f t="shared" ca="1" si="463"/>
        <v>-1560000.0000000014</v>
      </c>
      <c r="BR1027">
        <f ca="1">IF(ROW()&lt;($C$7+1),"",IFERROR((分析データ!F1027-AVERAGE(OFFSET(分析データ!F$1,MAX(1,ROW()-$C$7),0,MIN($C$7,ROW()-1),1)))/STDEV(OFFSET(分析データ!F$1,MAX(1,ROW()-$C$7),0,MIN($C$7,ROW()-1),1)),0))</f>
        <v>0</v>
      </c>
      <c r="BS1027">
        <f t="shared" ca="1" si="464"/>
        <v>0</v>
      </c>
      <c r="BT1027" t="str">
        <f ca="1">IF(BS1027=1,IF(INDEX(分析データ!$A:$A,ROW()+$C$5)&lt;&gt;"",40000*SIGN(BR1027)*(分析データ!F1027-INDEX(分析データ!F:F,ROW()+$C$5)),""),"")</f>
        <v/>
      </c>
      <c r="BU1027">
        <f t="shared" ca="1" si="465"/>
        <v>19816800</v>
      </c>
      <c r="BV1027">
        <f t="shared" ca="1" si="466"/>
        <v>19816800</v>
      </c>
      <c r="BW1027">
        <f t="shared" ca="1" si="467"/>
        <v>0</v>
      </c>
      <c r="BX1027">
        <f ca="1">IF(ROW()&lt;($C$7+1),"",IFERROR((分析データ!G1027-AVERAGE(OFFSET(分析データ!G$1,MAX(1,ROW()-$C$7),0,MIN($C$7,ROW()-1),1)))/STDEV(OFFSET(分析データ!G$1,MAX(1,ROW()-$C$7),0,MIN($C$7,ROW()-1),1)),0))</f>
        <v>0</v>
      </c>
      <c r="BY1027">
        <f t="shared" ca="1" si="468"/>
        <v>0</v>
      </c>
      <c r="BZ1027" t="str">
        <f ca="1">IF(BY1027=1,IF(INDEX(分析データ!$A:$A,ROW()+$C$5)&lt;&gt;"",40000*SIGN(BX1027)*(分析データ!G1027-INDEX(分析データ!G:G,ROW()+$C$5)),""),"")</f>
        <v/>
      </c>
      <c r="CA1027">
        <f t="shared" ca="1" si="469"/>
        <v>-3515452.8662109179</v>
      </c>
      <c r="CB1027">
        <f t="shared" ca="1" si="470"/>
        <v>11327520.000000004</v>
      </c>
      <c r="CC1027">
        <f t="shared" ca="1" si="471"/>
        <v>-14842972.866210923</v>
      </c>
      <c r="CD1027">
        <f t="shared" ca="1" si="472"/>
        <v>0</v>
      </c>
      <c r="CE1027">
        <f t="shared" ca="1" si="473"/>
        <v>23090347.13378913</v>
      </c>
      <c r="CF1027">
        <f t="shared" ca="1" si="474"/>
        <v>23090347.13378913</v>
      </c>
      <c r="CG1027">
        <f t="shared" ca="1" si="475"/>
        <v>0</v>
      </c>
      <c r="CH1027" s="10" t="str">
        <f>分析データ!A1027</f>
        <v/>
      </c>
    </row>
    <row r="1028" spans="46:86">
      <c r="AT1028">
        <f ca="1">IF(ROW()&lt;($C$7+1),"",IFERROR((分析データ!B1028-AVERAGE(OFFSET(分析データ!B$1,MAX(1,ROW()-$C$7),0,MIN($C$7,ROW()-1),1)))/STDEV(OFFSET(分析データ!B$1,MAX(1,ROW()-$C$7),0,MIN($C$7,ROW()-1),1)),0))</f>
        <v>0</v>
      </c>
      <c r="AU1028">
        <f t="shared" ca="1" si="448"/>
        <v>0</v>
      </c>
      <c r="AV1028" t="str">
        <f ca="1">IF(AU1028=1,IF(INDEX(分析データ!$A:$A,ROW()+$C$5)&lt;&gt;"",80000*SIGN(AT1028)*(分析データ!B1028-INDEX(分析データ!B:B,ROW()+$C$5)),""),"")</f>
        <v/>
      </c>
      <c r="AW1028">
        <f t="shared" ca="1" si="449"/>
        <v>-1240000.0000000019</v>
      </c>
      <c r="AX1028">
        <f t="shared" ca="1" si="450"/>
        <v>0</v>
      </c>
      <c r="AY1028">
        <f t="shared" ca="1" si="451"/>
        <v>-1240000.0000000019</v>
      </c>
      <c r="AZ1028">
        <f ca="1">IF(ROW()&lt;($C$7+1),"",IFERROR((分析データ!C1028-AVERAGE(OFFSET(分析データ!C$1,MAX(1,ROW()-$C$7),0,MIN($C$7,ROW()-1),1)))/STDEV(OFFSET(分析データ!C$1,MAX(1,ROW()-$C$7),0,MIN($C$7,ROW()-1),1)),0))</f>
        <v>0</v>
      </c>
      <c r="BA1028">
        <f t="shared" ca="1" si="452"/>
        <v>0</v>
      </c>
      <c r="BB1028" t="str">
        <f ca="1">IF(BA1028=1,IF(INDEX(分析データ!$A:$A,ROW()+$C$5)&lt;&gt;"",60000*SIGN(AZ1028)*(分析データ!C1028-INDEX(分析データ!C:C,ROW()+$C$5)),""),"")</f>
        <v/>
      </c>
      <c r="BC1028">
        <f t="shared" ca="1" si="453"/>
        <v>-260999.9999999851</v>
      </c>
      <c r="BD1028">
        <f t="shared" ca="1" si="454"/>
        <v>3156000.0000000107</v>
      </c>
      <c r="BE1028">
        <f t="shared" ca="1" si="455"/>
        <v>-3416999.9999999958</v>
      </c>
      <c r="BF1028">
        <f ca="1">IF(ROW()&lt;($C$7+1),"",IFERROR((分析データ!D1028-AVERAGE(OFFSET(分析データ!D$1,MAX(1,ROW()-$C$7),0,MIN($C$7,ROW()-1),1)))/STDEV(OFFSET(分析データ!D$1,MAX(1,ROW()-$C$7),0,MIN($C$7,ROW()-1),1)),0))</f>
        <v>0</v>
      </c>
      <c r="BG1028">
        <f t="shared" ca="1" si="456"/>
        <v>0</v>
      </c>
      <c r="BH1028" t="str">
        <f ca="1">IF(BG1028=1,IF(INDEX(分析データ!$A:$A,ROW()+$C$5)&lt;&gt;"",50000*SIGN(BF1028)*(分析データ!D1028-INDEX(分析データ!D:D,ROW()+$C$5)),""),"")</f>
        <v/>
      </c>
      <c r="BI1028">
        <f t="shared" ca="1" si="457"/>
        <v>5570000.0000000205</v>
      </c>
      <c r="BJ1028">
        <f t="shared" ca="1" si="458"/>
        <v>5570000.0000000205</v>
      </c>
      <c r="BK1028">
        <f t="shared" ca="1" si="459"/>
        <v>0</v>
      </c>
      <c r="BL1028">
        <f ca="1">IF(ROW()&lt;($C$7+1),"",IFERROR((分析データ!E1028-AVERAGE(OFFSET(分析データ!E$1,MAX(1,ROW()-$C$7),0,MIN($C$7,ROW()-1),1)))/STDEV(OFFSET(分析データ!E$1,MAX(1,ROW()-$C$7),0,MIN($C$7,ROW()-1),1)),0))</f>
        <v>0</v>
      </c>
      <c r="BM1028">
        <f t="shared" ca="1" si="460"/>
        <v>0</v>
      </c>
      <c r="BN1028" t="str">
        <f ca="1">IF(BM1028=1,IF(INDEX(分析データ!$A:$A,ROW()+$C$5)&lt;&gt;"",40000*SIGN(BL1028)*(分析データ!E1028-INDEX(分析データ!E:E,ROW()+$C$5)),""),"")</f>
        <v/>
      </c>
      <c r="BO1028">
        <f t="shared" ca="1" si="461"/>
        <v>2720000.0000000014</v>
      </c>
      <c r="BP1028">
        <f t="shared" ca="1" si="462"/>
        <v>4280000.0000000028</v>
      </c>
      <c r="BQ1028">
        <f t="shared" ca="1" si="463"/>
        <v>-1560000.0000000014</v>
      </c>
      <c r="BR1028">
        <f ca="1">IF(ROW()&lt;($C$7+1),"",IFERROR((分析データ!F1028-AVERAGE(OFFSET(分析データ!F$1,MAX(1,ROW()-$C$7),0,MIN($C$7,ROW()-1),1)))/STDEV(OFFSET(分析データ!F$1,MAX(1,ROW()-$C$7),0,MIN($C$7,ROW()-1),1)),0))</f>
        <v>0</v>
      </c>
      <c r="BS1028">
        <f t="shared" ca="1" si="464"/>
        <v>0</v>
      </c>
      <c r="BT1028" t="str">
        <f ca="1">IF(BS1028=1,IF(INDEX(分析データ!$A:$A,ROW()+$C$5)&lt;&gt;"",40000*SIGN(BR1028)*(分析データ!F1028-INDEX(分析データ!F:F,ROW()+$C$5)),""),"")</f>
        <v/>
      </c>
      <c r="BU1028">
        <f t="shared" ca="1" si="465"/>
        <v>19816800</v>
      </c>
      <c r="BV1028">
        <f t="shared" ca="1" si="466"/>
        <v>19816800</v>
      </c>
      <c r="BW1028">
        <f t="shared" ca="1" si="467"/>
        <v>0</v>
      </c>
      <c r="BX1028">
        <f ca="1">IF(ROW()&lt;($C$7+1),"",IFERROR((分析データ!G1028-AVERAGE(OFFSET(分析データ!G$1,MAX(1,ROW()-$C$7),0,MIN($C$7,ROW()-1),1)))/STDEV(OFFSET(分析データ!G$1,MAX(1,ROW()-$C$7),0,MIN($C$7,ROW()-1),1)),0))</f>
        <v>0</v>
      </c>
      <c r="BY1028">
        <f t="shared" ca="1" si="468"/>
        <v>0</v>
      </c>
      <c r="BZ1028" t="str">
        <f ca="1">IF(BY1028=1,IF(INDEX(分析データ!$A:$A,ROW()+$C$5)&lt;&gt;"",40000*SIGN(BX1028)*(分析データ!G1028-INDEX(分析データ!G:G,ROW()+$C$5)),""),"")</f>
        <v/>
      </c>
      <c r="CA1028">
        <f t="shared" ca="1" si="469"/>
        <v>-3515452.8662109179</v>
      </c>
      <c r="CB1028">
        <f t="shared" ca="1" si="470"/>
        <v>11327520.000000004</v>
      </c>
      <c r="CC1028">
        <f t="shared" ca="1" si="471"/>
        <v>-14842972.866210923</v>
      </c>
      <c r="CD1028">
        <f t="shared" ca="1" si="472"/>
        <v>0</v>
      </c>
      <c r="CE1028">
        <f t="shared" ca="1" si="473"/>
        <v>23090347.13378913</v>
      </c>
      <c r="CF1028">
        <f t="shared" ca="1" si="474"/>
        <v>23090347.13378913</v>
      </c>
      <c r="CG1028">
        <f t="shared" ca="1" si="475"/>
        <v>0</v>
      </c>
      <c r="CH1028" s="10" t="str">
        <f>分析データ!A1028</f>
        <v/>
      </c>
    </row>
    <row r="1029" spans="46:86">
      <c r="AT1029">
        <f ca="1">IF(ROW()&lt;($C$7+1),"",IFERROR((分析データ!B1029-AVERAGE(OFFSET(分析データ!B$1,MAX(1,ROW()-$C$7),0,MIN($C$7,ROW()-1),1)))/STDEV(OFFSET(分析データ!B$1,MAX(1,ROW()-$C$7),0,MIN($C$7,ROW()-1),1)),0))</f>
        <v>0</v>
      </c>
      <c r="AU1029">
        <f t="shared" ca="1" si="448"/>
        <v>0</v>
      </c>
      <c r="AV1029" t="str">
        <f ca="1">IF(AU1029=1,IF(INDEX(分析データ!$A:$A,ROW()+$C$5)&lt;&gt;"",80000*SIGN(AT1029)*(分析データ!B1029-INDEX(分析データ!B:B,ROW()+$C$5)),""),"")</f>
        <v/>
      </c>
      <c r="AW1029">
        <f t="shared" ca="1" si="449"/>
        <v>-1240000.0000000019</v>
      </c>
      <c r="AX1029">
        <f t="shared" ca="1" si="450"/>
        <v>0</v>
      </c>
      <c r="AY1029">
        <f t="shared" ca="1" si="451"/>
        <v>-1240000.0000000019</v>
      </c>
      <c r="AZ1029">
        <f ca="1">IF(ROW()&lt;($C$7+1),"",IFERROR((分析データ!C1029-AVERAGE(OFFSET(分析データ!C$1,MAX(1,ROW()-$C$7),0,MIN($C$7,ROW()-1),1)))/STDEV(OFFSET(分析データ!C$1,MAX(1,ROW()-$C$7),0,MIN($C$7,ROW()-1),1)),0))</f>
        <v>0</v>
      </c>
      <c r="BA1029">
        <f t="shared" ca="1" si="452"/>
        <v>0</v>
      </c>
      <c r="BB1029" t="str">
        <f ca="1">IF(BA1029=1,IF(INDEX(分析データ!$A:$A,ROW()+$C$5)&lt;&gt;"",60000*SIGN(AZ1029)*(分析データ!C1029-INDEX(分析データ!C:C,ROW()+$C$5)),""),"")</f>
        <v/>
      </c>
      <c r="BC1029">
        <f t="shared" ca="1" si="453"/>
        <v>-260999.9999999851</v>
      </c>
      <c r="BD1029">
        <f t="shared" ca="1" si="454"/>
        <v>3156000.0000000107</v>
      </c>
      <c r="BE1029">
        <f t="shared" ca="1" si="455"/>
        <v>-3416999.9999999958</v>
      </c>
      <c r="BF1029">
        <f ca="1">IF(ROW()&lt;($C$7+1),"",IFERROR((分析データ!D1029-AVERAGE(OFFSET(分析データ!D$1,MAX(1,ROW()-$C$7),0,MIN($C$7,ROW()-1),1)))/STDEV(OFFSET(分析データ!D$1,MAX(1,ROW()-$C$7),0,MIN($C$7,ROW()-1),1)),0))</f>
        <v>0</v>
      </c>
      <c r="BG1029">
        <f t="shared" ca="1" si="456"/>
        <v>0</v>
      </c>
      <c r="BH1029" t="str">
        <f ca="1">IF(BG1029=1,IF(INDEX(分析データ!$A:$A,ROW()+$C$5)&lt;&gt;"",50000*SIGN(BF1029)*(分析データ!D1029-INDEX(分析データ!D:D,ROW()+$C$5)),""),"")</f>
        <v/>
      </c>
      <c r="BI1029">
        <f t="shared" ca="1" si="457"/>
        <v>5570000.0000000205</v>
      </c>
      <c r="BJ1029">
        <f t="shared" ca="1" si="458"/>
        <v>5570000.0000000205</v>
      </c>
      <c r="BK1029">
        <f t="shared" ca="1" si="459"/>
        <v>0</v>
      </c>
      <c r="BL1029">
        <f ca="1">IF(ROW()&lt;($C$7+1),"",IFERROR((分析データ!E1029-AVERAGE(OFFSET(分析データ!E$1,MAX(1,ROW()-$C$7),0,MIN($C$7,ROW()-1),1)))/STDEV(OFFSET(分析データ!E$1,MAX(1,ROW()-$C$7),0,MIN($C$7,ROW()-1),1)),0))</f>
        <v>0</v>
      </c>
      <c r="BM1029">
        <f t="shared" ca="1" si="460"/>
        <v>0</v>
      </c>
      <c r="BN1029" t="str">
        <f ca="1">IF(BM1029=1,IF(INDEX(分析データ!$A:$A,ROW()+$C$5)&lt;&gt;"",40000*SIGN(BL1029)*(分析データ!E1029-INDEX(分析データ!E:E,ROW()+$C$5)),""),"")</f>
        <v/>
      </c>
      <c r="BO1029">
        <f t="shared" ca="1" si="461"/>
        <v>2720000.0000000014</v>
      </c>
      <c r="BP1029">
        <f t="shared" ca="1" si="462"/>
        <v>4280000.0000000028</v>
      </c>
      <c r="BQ1029">
        <f t="shared" ca="1" si="463"/>
        <v>-1560000.0000000014</v>
      </c>
      <c r="BR1029">
        <f ca="1">IF(ROW()&lt;($C$7+1),"",IFERROR((分析データ!F1029-AVERAGE(OFFSET(分析データ!F$1,MAX(1,ROW()-$C$7),0,MIN($C$7,ROW()-1),1)))/STDEV(OFFSET(分析データ!F$1,MAX(1,ROW()-$C$7),0,MIN($C$7,ROW()-1),1)),0))</f>
        <v>0</v>
      </c>
      <c r="BS1029">
        <f t="shared" ca="1" si="464"/>
        <v>0</v>
      </c>
      <c r="BT1029" t="str">
        <f ca="1">IF(BS1029=1,IF(INDEX(分析データ!$A:$A,ROW()+$C$5)&lt;&gt;"",40000*SIGN(BR1029)*(分析データ!F1029-INDEX(分析データ!F:F,ROW()+$C$5)),""),"")</f>
        <v/>
      </c>
      <c r="BU1029">
        <f t="shared" ca="1" si="465"/>
        <v>19816800</v>
      </c>
      <c r="BV1029">
        <f t="shared" ca="1" si="466"/>
        <v>19816800</v>
      </c>
      <c r="BW1029">
        <f t="shared" ca="1" si="467"/>
        <v>0</v>
      </c>
      <c r="BX1029">
        <f ca="1">IF(ROW()&lt;($C$7+1),"",IFERROR((分析データ!G1029-AVERAGE(OFFSET(分析データ!G$1,MAX(1,ROW()-$C$7),0,MIN($C$7,ROW()-1),1)))/STDEV(OFFSET(分析データ!G$1,MAX(1,ROW()-$C$7),0,MIN($C$7,ROW()-1),1)),0))</f>
        <v>0</v>
      </c>
      <c r="BY1029">
        <f t="shared" ca="1" si="468"/>
        <v>0</v>
      </c>
      <c r="BZ1029" t="str">
        <f ca="1">IF(BY1029=1,IF(INDEX(分析データ!$A:$A,ROW()+$C$5)&lt;&gt;"",40000*SIGN(BX1029)*(分析データ!G1029-INDEX(分析データ!G:G,ROW()+$C$5)),""),"")</f>
        <v/>
      </c>
      <c r="CA1029">
        <f t="shared" ca="1" si="469"/>
        <v>-3515452.8662109179</v>
      </c>
      <c r="CB1029">
        <f t="shared" ca="1" si="470"/>
        <v>11327520.000000004</v>
      </c>
      <c r="CC1029">
        <f t="shared" ca="1" si="471"/>
        <v>-14842972.866210923</v>
      </c>
      <c r="CD1029">
        <f t="shared" ca="1" si="472"/>
        <v>0</v>
      </c>
      <c r="CE1029">
        <f t="shared" ca="1" si="473"/>
        <v>23090347.13378913</v>
      </c>
      <c r="CF1029">
        <f t="shared" ca="1" si="474"/>
        <v>23090347.13378913</v>
      </c>
      <c r="CG1029">
        <f t="shared" ca="1" si="475"/>
        <v>0</v>
      </c>
      <c r="CH1029" s="10" t="str">
        <f>分析データ!A1029</f>
        <v/>
      </c>
    </row>
    <row r="1030" spans="46:86">
      <c r="AT1030">
        <f ca="1">IF(ROW()&lt;($C$7+1),"",IFERROR((分析データ!B1030-AVERAGE(OFFSET(分析データ!B$1,MAX(1,ROW()-$C$7),0,MIN($C$7,ROW()-1),1)))/STDEV(OFFSET(分析データ!B$1,MAX(1,ROW()-$C$7),0,MIN($C$7,ROW()-1),1)),0))</f>
        <v>0</v>
      </c>
      <c r="AU1030">
        <f t="shared" ca="1" si="448"/>
        <v>0</v>
      </c>
      <c r="AV1030" t="str">
        <f ca="1">IF(AU1030=1,IF(INDEX(分析データ!$A:$A,ROW()+$C$5)&lt;&gt;"",80000*SIGN(AT1030)*(分析データ!B1030-INDEX(分析データ!B:B,ROW()+$C$5)),""),"")</f>
        <v/>
      </c>
      <c r="AW1030">
        <f t="shared" ca="1" si="449"/>
        <v>-1240000.0000000019</v>
      </c>
      <c r="AX1030">
        <f t="shared" ca="1" si="450"/>
        <v>0</v>
      </c>
      <c r="AY1030">
        <f t="shared" ca="1" si="451"/>
        <v>-1240000.0000000019</v>
      </c>
      <c r="AZ1030">
        <f ca="1">IF(ROW()&lt;($C$7+1),"",IFERROR((分析データ!C1030-AVERAGE(OFFSET(分析データ!C$1,MAX(1,ROW()-$C$7),0,MIN($C$7,ROW()-1),1)))/STDEV(OFFSET(分析データ!C$1,MAX(1,ROW()-$C$7),0,MIN($C$7,ROW()-1),1)),0))</f>
        <v>0</v>
      </c>
      <c r="BA1030">
        <f t="shared" ca="1" si="452"/>
        <v>0</v>
      </c>
      <c r="BB1030" t="str">
        <f ca="1">IF(BA1030=1,IF(INDEX(分析データ!$A:$A,ROW()+$C$5)&lt;&gt;"",60000*SIGN(AZ1030)*(分析データ!C1030-INDEX(分析データ!C:C,ROW()+$C$5)),""),"")</f>
        <v/>
      </c>
      <c r="BC1030">
        <f t="shared" ca="1" si="453"/>
        <v>-260999.9999999851</v>
      </c>
      <c r="BD1030">
        <f t="shared" ca="1" si="454"/>
        <v>3156000.0000000107</v>
      </c>
      <c r="BE1030">
        <f t="shared" ca="1" si="455"/>
        <v>-3416999.9999999958</v>
      </c>
      <c r="BF1030">
        <f ca="1">IF(ROW()&lt;($C$7+1),"",IFERROR((分析データ!D1030-AVERAGE(OFFSET(分析データ!D$1,MAX(1,ROW()-$C$7),0,MIN($C$7,ROW()-1),1)))/STDEV(OFFSET(分析データ!D$1,MAX(1,ROW()-$C$7),0,MIN($C$7,ROW()-1),1)),0))</f>
        <v>0</v>
      </c>
      <c r="BG1030">
        <f t="shared" ca="1" si="456"/>
        <v>0</v>
      </c>
      <c r="BH1030" t="str">
        <f ca="1">IF(BG1030=1,IF(INDEX(分析データ!$A:$A,ROW()+$C$5)&lt;&gt;"",50000*SIGN(BF1030)*(分析データ!D1030-INDEX(分析データ!D:D,ROW()+$C$5)),""),"")</f>
        <v/>
      </c>
      <c r="BI1030">
        <f t="shared" ca="1" si="457"/>
        <v>5570000.0000000205</v>
      </c>
      <c r="BJ1030">
        <f t="shared" ca="1" si="458"/>
        <v>5570000.0000000205</v>
      </c>
      <c r="BK1030">
        <f t="shared" ca="1" si="459"/>
        <v>0</v>
      </c>
      <c r="BL1030">
        <f ca="1">IF(ROW()&lt;($C$7+1),"",IFERROR((分析データ!E1030-AVERAGE(OFFSET(分析データ!E$1,MAX(1,ROW()-$C$7),0,MIN($C$7,ROW()-1),1)))/STDEV(OFFSET(分析データ!E$1,MAX(1,ROW()-$C$7),0,MIN($C$7,ROW()-1),1)),0))</f>
        <v>0</v>
      </c>
      <c r="BM1030">
        <f t="shared" ca="1" si="460"/>
        <v>0</v>
      </c>
      <c r="BN1030" t="str">
        <f ca="1">IF(BM1030=1,IF(INDEX(分析データ!$A:$A,ROW()+$C$5)&lt;&gt;"",40000*SIGN(BL1030)*(分析データ!E1030-INDEX(分析データ!E:E,ROW()+$C$5)),""),"")</f>
        <v/>
      </c>
      <c r="BO1030">
        <f t="shared" ca="1" si="461"/>
        <v>2720000.0000000014</v>
      </c>
      <c r="BP1030">
        <f t="shared" ca="1" si="462"/>
        <v>4280000.0000000028</v>
      </c>
      <c r="BQ1030">
        <f t="shared" ca="1" si="463"/>
        <v>-1560000.0000000014</v>
      </c>
      <c r="BR1030">
        <f ca="1">IF(ROW()&lt;($C$7+1),"",IFERROR((分析データ!F1030-AVERAGE(OFFSET(分析データ!F$1,MAX(1,ROW()-$C$7),0,MIN($C$7,ROW()-1),1)))/STDEV(OFFSET(分析データ!F$1,MAX(1,ROW()-$C$7),0,MIN($C$7,ROW()-1),1)),0))</f>
        <v>0</v>
      </c>
      <c r="BS1030">
        <f t="shared" ca="1" si="464"/>
        <v>0</v>
      </c>
      <c r="BT1030" t="str">
        <f ca="1">IF(BS1030=1,IF(INDEX(分析データ!$A:$A,ROW()+$C$5)&lt;&gt;"",40000*SIGN(BR1030)*(分析データ!F1030-INDEX(分析データ!F:F,ROW()+$C$5)),""),"")</f>
        <v/>
      </c>
      <c r="BU1030">
        <f t="shared" ca="1" si="465"/>
        <v>19816800</v>
      </c>
      <c r="BV1030">
        <f t="shared" ca="1" si="466"/>
        <v>19816800</v>
      </c>
      <c r="BW1030">
        <f t="shared" ca="1" si="467"/>
        <v>0</v>
      </c>
      <c r="BX1030">
        <f ca="1">IF(ROW()&lt;($C$7+1),"",IFERROR((分析データ!G1030-AVERAGE(OFFSET(分析データ!G$1,MAX(1,ROW()-$C$7),0,MIN($C$7,ROW()-1),1)))/STDEV(OFFSET(分析データ!G$1,MAX(1,ROW()-$C$7),0,MIN($C$7,ROW()-1),1)),0))</f>
        <v>0</v>
      </c>
      <c r="BY1030">
        <f t="shared" ca="1" si="468"/>
        <v>0</v>
      </c>
      <c r="BZ1030" t="str">
        <f ca="1">IF(BY1030=1,IF(INDEX(分析データ!$A:$A,ROW()+$C$5)&lt;&gt;"",40000*SIGN(BX1030)*(分析データ!G1030-INDEX(分析データ!G:G,ROW()+$C$5)),""),"")</f>
        <v/>
      </c>
      <c r="CA1030">
        <f t="shared" ca="1" si="469"/>
        <v>-3515452.8662109179</v>
      </c>
      <c r="CB1030">
        <f t="shared" ca="1" si="470"/>
        <v>11327520.000000004</v>
      </c>
      <c r="CC1030">
        <f t="shared" ca="1" si="471"/>
        <v>-14842972.866210923</v>
      </c>
      <c r="CD1030">
        <f t="shared" ca="1" si="472"/>
        <v>0</v>
      </c>
      <c r="CE1030">
        <f t="shared" ca="1" si="473"/>
        <v>23090347.13378913</v>
      </c>
      <c r="CF1030">
        <f t="shared" ca="1" si="474"/>
        <v>23090347.13378913</v>
      </c>
      <c r="CG1030">
        <f t="shared" ca="1" si="475"/>
        <v>0</v>
      </c>
      <c r="CH1030" s="10" t="str">
        <f>分析データ!A1030</f>
        <v/>
      </c>
    </row>
    <row r="1031" spans="46:86">
      <c r="AT1031">
        <f ca="1">IF(ROW()&lt;($C$7+1),"",IFERROR((分析データ!B1031-AVERAGE(OFFSET(分析データ!B$1,MAX(1,ROW()-$C$7),0,MIN($C$7,ROW()-1),1)))/STDEV(OFFSET(分析データ!B$1,MAX(1,ROW()-$C$7),0,MIN($C$7,ROW()-1),1)),0))</f>
        <v>0</v>
      </c>
      <c r="AU1031">
        <f t="shared" ca="1" si="448"/>
        <v>0</v>
      </c>
      <c r="AV1031" t="str">
        <f ca="1">IF(AU1031=1,IF(INDEX(分析データ!$A:$A,ROW()+$C$5)&lt;&gt;"",80000*SIGN(AT1031)*(分析データ!B1031-INDEX(分析データ!B:B,ROW()+$C$5)),""),"")</f>
        <v/>
      </c>
      <c r="AW1031">
        <f t="shared" ca="1" si="449"/>
        <v>-1240000.0000000019</v>
      </c>
      <c r="AX1031">
        <f t="shared" ca="1" si="450"/>
        <v>0</v>
      </c>
      <c r="AY1031">
        <f t="shared" ca="1" si="451"/>
        <v>-1240000.0000000019</v>
      </c>
      <c r="AZ1031">
        <f ca="1">IF(ROW()&lt;($C$7+1),"",IFERROR((分析データ!C1031-AVERAGE(OFFSET(分析データ!C$1,MAX(1,ROW()-$C$7),0,MIN($C$7,ROW()-1),1)))/STDEV(OFFSET(分析データ!C$1,MAX(1,ROW()-$C$7),0,MIN($C$7,ROW()-1),1)),0))</f>
        <v>0</v>
      </c>
      <c r="BA1031">
        <f t="shared" ca="1" si="452"/>
        <v>0</v>
      </c>
      <c r="BB1031" t="str">
        <f ca="1">IF(BA1031=1,IF(INDEX(分析データ!$A:$A,ROW()+$C$5)&lt;&gt;"",60000*SIGN(AZ1031)*(分析データ!C1031-INDEX(分析データ!C:C,ROW()+$C$5)),""),"")</f>
        <v/>
      </c>
      <c r="BC1031">
        <f t="shared" ca="1" si="453"/>
        <v>-260999.9999999851</v>
      </c>
      <c r="BD1031">
        <f t="shared" ca="1" si="454"/>
        <v>3156000.0000000107</v>
      </c>
      <c r="BE1031">
        <f t="shared" ca="1" si="455"/>
        <v>-3416999.9999999958</v>
      </c>
      <c r="BF1031">
        <f ca="1">IF(ROW()&lt;($C$7+1),"",IFERROR((分析データ!D1031-AVERAGE(OFFSET(分析データ!D$1,MAX(1,ROW()-$C$7),0,MIN($C$7,ROW()-1),1)))/STDEV(OFFSET(分析データ!D$1,MAX(1,ROW()-$C$7),0,MIN($C$7,ROW()-1),1)),0))</f>
        <v>0</v>
      </c>
      <c r="BG1031">
        <f t="shared" ca="1" si="456"/>
        <v>0</v>
      </c>
      <c r="BH1031" t="str">
        <f ca="1">IF(BG1031=1,IF(INDEX(分析データ!$A:$A,ROW()+$C$5)&lt;&gt;"",50000*SIGN(BF1031)*(分析データ!D1031-INDEX(分析データ!D:D,ROW()+$C$5)),""),"")</f>
        <v/>
      </c>
      <c r="BI1031">
        <f t="shared" ca="1" si="457"/>
        <v>5570000.0000000205</v>
      </c>
      <c r="BJ1031">
        <f t="shared" ca="1" si="458"/>
        <v>5570000.0000000205</v>
      </c>
      <c r="BK1031">
        <f t="shared" ca="1" si="459"/>
        <v>0</v>
      </c>
      <c r="BL1031">
        <f ca="1">IF(ROW()&lt;($C$7+1),"",IFERROR((分析データ!E1031-AVERAGE(OFFSET(分析データ!E$1,MAX(1,ROW()-$C$7),0,MIN($C$7,ROW()-1),1)))/STDEV(OFFSET(分析データ!E$1,MAX(1,ROW()-$C$7),0,MIN($C$7,ROW()-1),1)),0))</f>
        <v>0</v>
      </c>
      <c r="BM1031">
        <f t="shared" ca="1" si="460"/>
        <v>0</v>
      </c>
      <c r="BN1031" t="str">
        <f ca="1">IF(BM1031=1,IF(INDEX(分析データ!$A:$A,ROW()+$C$5)&lt;&gt;"",40000*SIGN(BL1031)*(分析データ!E1031-INDEX(分析データ!E:E,ROW()+$C$5)),""),"")</f>
        <v/>
      </c>
      <c r="BO1031">
        <f t="shared" ca="1" si="461"/>
        <v>2720000.0000000014</v>
      </c>
      <c r="BP1031">
        <f t="shared" ca="1" si="462"/>
        <v>4280000.0000000028</v>
      </c>
      <c r="BQ1031">
        <f t="shared" ca="1" si="463"/>
        <v>-1560000.0000000014</v>
      </c>
      <c r="BR1031">
        <f ca="1">IF(ROW()&lt;($C$7+1),"",IFERROR((分析データ!F1031-AVERAGE(OFFSET(分析データ!F$1,MAX(1,ROW()-$C$7),0,MIN($C$7,ROW()-1),1)))/STDEV(OFFSET(分析データ!F$1,MAX(1,ROW()-$C$7),0,MIN($C$7,ROW()-1),1)),0))</f>
        <v>0</v>
      </c>
      <c r="BS1031">
        <f t="shared" ca="1" si="464"/>
        <v>0</v>
      </c>
      <c r="BT1031" t="str">
        <f ca="1">IF(BS1031=1,IF(INDEX(分析データ!$A:$A,ROW()+$C$5)&lt;&gt;"",40000*SIGN(BR1031)*(分析データ!F1031-INDEX(分析データ!F:F,ROW()+$C$5)),""),"")</f>
        <v/>
      </c>
      <c r="BU1031">
        <f t="shared" ca="1" si="465"/>
        <v>19816800</v>
      </c>
      <c r="BV1031">
        <f t="shared" ca="1" si="466"/>
        <v>19816800</v>
      </c>
      <c r="BW1031">
        <f t="shared" ca="1" si="467"/>
        <v>0</v>
      </c>
      <c r="BX1031">
        <f ca="1">IF(ROW()&lt;($C$7+1),"",IFERROR((分析データ!G1031-AVERAGE(OFFSET(分析データ!G$1,MAX(1,ROW()-$C$7),0,MIN($C$7,ROW()-1),1)))/STDEV(OFFSET(分析データ!G$1,MAX(1,ROW()-$C$7),0,MIN($C$7,ROW()-1),1)),0))</f>
        <v>0</v>
      </c>
      <c r="BY1031">
        <f t="shared" ca="1" si="468"/>
        <v>0</v>
      </c>
      <c r="BZ1031" t="str">
        <f ca="1">IF(BY1031=1,IF(INDEX(分析データ!$A:$A,ROW()+$C$5)&lt;&gt;"",40000*SIGN(BX1031)*(分析データ!G1031-INDEX(分析データ!G:G,ROW()+$C$5)),""),"")</f>
        <v/>
      </c>
      <c r="CA1031">
        <f t="shared" ca="1" si="469"/>
        <v>-3515452.8662109179</v>
      </c>
      <c r="CB1031">
        <f t="shared" ca="1" si="470"/>
        <v>11327520.000000004</v>
      </c>
      <c r="CC1031">
        <f t="shared" ca="1" si="471"/>
        <v>-14842972.866210923</v>
      </c>
      <c r="CD1031">
        <f t="shared" ca="1" si="472"/>
        <v>0</v>
      </c>
      <c r="CE1031">
        <f t="shared" ca="1" si="473"/>
        <v>23090347.13378913</v>
      </c>
      <c r="CF1031">
        <f t="shared" ca="1" si="474"/>
        <v>23090347.13378913</v>
      </c>
      <c r="CG1031">
        <f t="shared" ca="1" si="475"/>
        <v>0</v>
      </c>
      <c r="CH1031" s="10" t="str">
        <f>分析データ!A1031</f>
        <v/>
      </c>
    </row>
    <row r="1032" spans="46:86">
      <c r="AT1032">
        <f ca="1">IF(ROW()&lt;($C$7+1),"",IFERROR((分析データ!B1032-AVERAGE(OFFSET(分析データ!B$1,MAX(1,ROW()-$C$7),0,MIN($C$7,ROW()-1),1)))/STDEV(OFFSET(分析データ!B$1,MAX(1,ROW()-$C$7),0,MIN($C$7,ROW()-1),1)),0))</f>
        <v>0</v>
      </c>
      <c r="AU1032">
        <f t="shared" ca="1" si="448"/>
        <v>0</v>
      </c>
      <c r="AV1032" t="str">
        <f ca="1">IF(AU1032=1,IF(INDEX(分析データ!$A:$A,ROW()+$C$5)&lt;&gt;"",80000*SIGN(AT1032)*(分析データ!B1032-INDEX(分析データ!B:B,ROW()+$C$5)),""),"")</f>
        <v/>
      </c>
      <c r="AW1032">
        <f t="shared" ca="1" si="449"/>
        <v>-1240000.0000000019</v>
      </c>
      <c r="AX1032">
        <f t="shared" ca="1" si="450"/>
        <v>0</v>
      </c>
      <c r="AY1032">
        <f t="shared" ca="1" si="451"/>
        <v>-1240000.0000000019</v>
      </c>
      <c r="AZ1032">
        <f ca="1">IF(ROW()&lt;($C$7+1),"",IFERROR((分析データ!C1032-AVERAGE(OFFSET(分析データ!C$1,MAX(1,ROW()-$C$7),0,MIN($C$7,ROW()-1),1)))/STDEV(OFFSET(分析データ!C$1,MAX(1,ROW()-$C$7),0,MIN($C$7,ROW()-1),1)),0))</f>
        <v>0</v>
      </c>
      <c r="BA1032">
        <f t="shared" ca="1" si="452"/>
        <v>0</v>
      </c>
      <c r="BB1032" t="str">
        <f ca="1">IF(BA1032=1,IF(INDEX(分析データ!$A:$A,ROW()+$C$5)&lt;&gt;"",60000*SIGN(AZ1032)*(分析データ!C1032-INDEX(分析データ!C:C,ROW()+$C$5)),""),"")</f>
        <v/>
      </c>
      <c r="BC1032">
        <f t="shared" ca="1" si="453"/>
        <v>-260999.9999999851</v>
      </c>
      <c r="BD1032">
        <f t="shared" ca="1" si="454"/>
        <v>3156000.0000000107</v>
      </c>
      <c r="BE1032">
        <f t="shared" ca="1" si="455"/>
        <v>-3416999.9999999958</v>
      </c>
      <c r="BF1032">
        <f ca="1">IF(ROW()&lt;($C$7+1),"",IFERROR((分析データ!D1032-AVERAGE(OFFSET(分析データ!D$1,MAX(1,ROW()-$C$7),0,MIN($C$7,ROW()-1),1)))/STDEV(OFFSET(分析データ!D$1,MAX(1,ROW()-$C$7),0,MIN($C$7,ROW()-1),1)),0))</f>
        <v>0</v>
      </c>
      <c r="BG1032">
        <f t="shared" ca="1" si="456"/>
        <v>0</v>
      </c>
      <c r="BH1032" t="str">
        <f ca="1">IF(BG1032=1,IF(INDEX(分析データ!$A:$A,ROW()+$C$5)&lt;&gt;"",50000*SIGN(BF1032)*(分析データ!D1032-INDEX(分析データ!D:D,ROW()+$C$5)),""),"")</f>
        <v/>
      </c>
      <c r="BI1032">
        <f t="shared" ca="1" si="457"/>
        <v>5570000.0000000205</v>
      </c>
      <c r="BJ1032">
        <f t="shared" ca="1" si="458"/>
        <v>5570000.0000000205</v>
      </c>
      <c r="BK1032">
        <f t="shared" ca="1" si="459"/>
        <v>0</v>
      </c>
      <c r="BL1032">
        <f ca="1">IF(ROW()&lt;($C$7+1),"",IFERROR((分析データ!E1032-AVERAGE(OFFSET(分析データ!E$1,MAX(1,ROW()-$C$7),0,MIN($C$7,ROW()-1),1)))/STDEV(OFFSET(分析データ!E$1,MAX(1,ROW()-$C$7),0,MIN($C$7,ROW()-1),1)),0))</f>
        <v>0</v>
      </c>
      <c r="BM1032">
        <f t="shared" ca="1" si="460"/>
        <v>0</v>
      </c>
      <c r="BN1032" t="str">
        <f ca="1">IF(BM1032=1,IF(INDEX(分析データ!$A:$A,ROW()+$C$5)&lt;&gt;"",40000*SIGN(BL1032)*(分析データ!E1032-INDEX(分析データ!E:E,ROW()+$C$5)),""),"")</f>
        <v/>
      </c>
      <c r="BO1032">
        <f t="shared" ca="1" si="461"/>
        <v>2720000.0000000014</v>
      </c>
      <c r="BP1032">
        <f t="shared" ca="1" si="462"/>
        <v>4280000.0000000028</v>
      </c>
      <c r="BQ1032">
        <f t="shared" ca="1" si="463"/>
        <v>-1560000.0000000014</v>
      </c>
      <c r="BR1032">
        <f ca="1">IF(ROW()&lt;($C$7+1),"",IFERROR((分析データ!F1032-AVERAGE(OFFSET(分析データ!F$1,MAX(1,ROW()-$C$7),0,MIN($C$7,ROW()-1),1)))/STDEV(OFFSET(分析データ!F$1,MAX(1,ROW()-$C$7),0,MIN($C$7,ROW()-1),1)),0))</f>
        <v>0</v>
      </c>
      <c r="BS1032">
        <f t="shared" ca="1" si="464"/>
        <v>0</v>
      </c>
      <c r="BT1032" t="str">
        <f ca="1">IF(BS1032=1,IF(INDEX(分析データ!$A:$A,ROW()+$C$5)&lt;&gt;"",40000*SIGN(BR1032)*(分析データ!F1032-INDEX(分析データ!F:F,ROW()+$C$5)),""),"")</f>
        <v/>
      </c>
      <c r="BU1032">
        <f t="shared" ca="1" si="465"/>
        <v>19816800</v>
      </c>
      <c r="BV1032">
        <f t="shared" ca="1" si="466"/>
        <v>19816800</v>
      </c>
      <c r="BW1032">
        <f t="shared" ca="1" si="467"/>
        <v>0</v>
      </c>
      <c r="BX1032">
        <f ca="1">IF(ROW()&lt;($C$7+1),"",IFERROR((分析データ!G1032-AVERAGE(OFFSET(分析データ!G$1,MAX(1,ROW()-$C$7),0,MIN($C$7,ROW()-1),1)))/STDEV(OFFSET(分析データ!G$1,MAX(1,ROW()-$C$7),0,MIN($C$7,ROW()-1),1)),0))</f>
        <v>0</v>
      </c>
      <c r="BY1032">
        <f t="shared" ca="1" si="468"/>
        <v>0</v>
      </c>
      <c r="BZ1032" t="str">
        <f ca="1">IF(BY1032=1,IF(INDEX(分析データ!$A:$A,ROW()+$C$5)&lt;&gt;"",40000*SIGN(BX1032)*(分析データ!G1032-INDEX(分析データ!G:G,ROW()+$C$5)),""),"")</f>
        <v/>
      </c>
      <c r="CA1032">
        <f t="shared" ca="1" si="469"/>
        <v>-3515452.8662109179</v>
      </c>
      <c r="CB1032">
        <f t="shared" ca="1" si="470"/>
        <v>11327520.000000004</v>
      </c>
      <c r="CC1032">
        <f t="shared" ca="1" si="471"/>
        <v>-14842972.866210923</v>
      </c>
      <c r="CD1032">
        <f t="shared" ca="1" si="472"/>
        <v>0</v>
      </c>
      <c r="CE1032">
        <f t="shared" ca="1" si="473"/>
        <v>23090347.13378913</v>
      </c>
      <c r="CF1032">
        <f t="shared" ca="1" si="474"/>
        <v>23090347.13378913</v>
      </c>
      <c r="CG1032">
        <f t="shared" ca="1" si="475"/>
        <v>0</v>
      </c>
      <c r="CH1032" s="10" t="str">
        <f>分析データ!A1032</f>
        <v/>
      </c>
    </row>
    <row r="1033" spans="46:86">
      <c r="AT1033">
        <f ca="1">IF(ROW()&lt;($C$7+1),"",IFERROR((分析データ!B1033-AVERAGE(OFFSET(分析データ!B$1,MAX(1,ROW()-$C$7),0,MIN($C$7,ROW()-1),1)))/STDEV(OFFSET(分析データ!B$1,MAX(1,ROW()-$C$7),0,MIN($C$7,ROW()-1),1)),0))</f>
        <v>0</v>
      </c>
      <c r="AU1033">
        <f t="shared" ca="1" si="448"/>
        <v>0</v>
      </c>
      <c r="AV1033" t="str">
        <f ca="1">IF(AU1033=1,IF(INDEX(分析データ!$A:$A,ROW()+$C$5)&lt;&gt;"",80000*SIGN(AT1033)*(分析データ!B1033-INDEX(分析データ!B:B,ROW()+$C$5)),""),"")</f>
        <v/>
      </c>
      <c r="AW1033">
        <f t="shared" ca="1" si="449"/>
        <v>-1240000.0000000019</v>
      </c>
      <c r="AX1033">
        <f t="shared" ca="1" si="450"/>
        <v>0</v>
      </c>
      <c r="AY1033">
        <f t="shared" ca="1" si="451"/>
        <v>-1240000.0000000019</v>
      </c>
      <c r="AZ1033">
        <f ca="1">IF(ROW()&lt;($C$7+1),"",IFERROR((分析データ!C1033-AVERAGE(OFFSET(分析データ!C$1,MAX(1,ROW()-$C$7),0,MIN($C$7,ROW()-1),1)))/STDEV(OFFSET(分析データ!C$1,MAX(1,ROW()-$C$7),0,MIN($C$7,ROW()-1),1)),0))</f>
        <v>0</v>
      </c>
      <c r="BA1033">
        <f t="shared" ca="1" si="452"/>
        <v>0</v>
      </c>
      <c r="BB1033" t="str">
        <f ca="1">IF(BA1033=1,IF(INDEX(分析データ!$A:$A,ROW()+$C$5)&lt;&gt;"",60000*SIGN(AZ1033)*(分析データ!C1033-INDEX(分析データ!C:C,ROW()+$C$5)),""),"")</f>
        <v/>
      </c>
      <c r="BC1033">
        <f t="shared" ca="1" si="453"/>
        <v>-260999.9999999851</v>
      </c>
      <c r="BD1033">
        <f t="shared" ca="1" si="454"/>
        <v>3156000.0000000107</v>
      </c>
      <c r="BE1033">
        <f t="shared" ca="1" si="455"/>
        <v>-3416999.9999999958</v>
      </c>
      <c r="BF1033">
        <f ca="1">IF(ROW()&lt;($C$7+1),"",IFERROR((分析データ!D1033-AVERAGE(OFFSET(分析データ!D$1,MAX(1,ROW()-$C$7),0,MIN($C$7,ROW()-1),1)))/STDEV(OFFSET(分析データ!D$1,MAX(1,ROW()-$C$7),0,MIN($C$7,ROW()-1),1)),0))</f>
        <v>0</v>
      </c>
      <c r="BG1033">
        <f t="shared" ca="1" si="456"/>
        <v>0</v>
      </c>
      <c r="BH1033" t="str">
        <f ca="1">IF(BG1033=1,IF(INDEX(分析データ!$A:$A,ROW()+$C$5)&lt;&gt;"",50000*SIGN(BF1033)*(分析データ!D1033-INDEX(分析データ!D:D,ROW()+$C$5)),""),"")</f>
        <v/>
      </c>
      <c r="BI1033">
        <f t="shared" ca="1" si="457"/>
        <v>5570000.0000000205</v>
      </c>
      <c r="BJ1033">
        <f t="shared" ca="1" si="458"/>
        <v>5570000.0000000205</v>
      </c>
      <c r="BK1033">
        <f t="shared" ca="1" si="459"/>
        <v>0</v>
      </c>
      <c r="BL1033">
        <f ca="1">IF(ROW()&lt;($C$7+1),"",IFERROR((分析データ!E1033-AVERAGE(OFFSET(分析データ!E$1,MAX(1,ROW()-$C$7),0,MIN($C$7,ROW()-1),1)))/STDEV(OFFSET(分析データ!E$1,MAX(1,ROW()-$C$7),0,MIN($C$7,ROW()-1),1)),0))</f>
        <v>0</v>
      </c>
      <c r="BM1033">
        <f t="shared" ca="1" si="460"/>
        <v>0</v>
      </c>
      <c r="BN1033" t="str">
        <f ca="1">IF(BM1033=1,IF(INDEX(分析データ!$A:$A,ROW()+$C$5)&lt;&gt;"",40000*SIGN(BL1033)*(分析データ!E1033-INDEX(分析データ!E:E,ROW()+$C$5)),""),"")</f>
        <v/>
      </c>
      <c r="BO1033">
        <f t="shared" ca="1" si="461"/>
        <v>2720000.0000000014</v>
      </c>
      <c r="BP1033">
        <f t="shared" ca="1" si="462"/>
        <v>4280000.0000000028</v>
      </c>
      <c r="BQ1033">
        <f t="shared" ca="1" si="463"/>
        <v>-1560000.0000000014</v>
      </c>
      <c r="BR1033">
        <f ca="1">IF(ROW()&lt;($C$7+1),"",IFERROR((分析データ!F1033-AVERAGE(OFFSET(分析データ!F$1,MAX(1,ROW()-$C$7),0,MIN($C$7,ROW()-1),1)))/STDEV(OFFSET(分析データ!F$1,MAX(1,ROW()-$C$7),0,MIN($C$7,ROW()-1),1)),0))</f>
        <v>0</v>
      </c>
      <c r="BS1033">
        <f t="shared" ca="1" si="464"/>
        <v>0</v>
      </c>
      <c r="BT1033" t="str">
        <f ca="1">IF(BS1033=1,IF(INDEX(分析データ!$A:$A,ROW()+$C$5)&lt;&gt;"",40000*SIGN(BR1033)*(分析データ!F1033-INDEX(分析データ!F:F,ROW()+$C$5)),""),"")</f>
        <v/>
      </c>
      <c r="BU1033">
        <f t="shared" ca="1" si="465"/>
        <v>19816800</v>
      </c>
      <c r="BV1033">
        <f t="shared" ca="1" si="466"/>
        <v>19816800</v>
      </c>
      <c r="BW1033">
        <f t="shared" ca="1" si="467"/>
        <v>0</v>
      </c>
      <c r="BX1033">
        <f ca="1">IF(ROW()&lt;($C$7+1),"",IFERROR((分析データ!G1033-AVERAGE(OFFSET(分析データ!G$1,MAX(1,ROW()-$C$7),0,MIN($C$7,ROW()-1),1)))/STDEV(OFFSET(分析データ!G$1,MAX(1,ROW()-$C$7),0,MIN($C$7,ROW()-1),1)),0))</f>
        <v>0</v>
      </c>
      <c r="BY1033">
        <f t="shared" ca="1" si="468"/>
        <v>0</v>
      </c>
      <c r="BZ1033" t="str">
        <f ca="1">IF(BY1033=1,IF(INDEX(分析データ!$A:$A,ROW()+$C$5)&lt;&gt;"",40000*SIGN(BX1033)*(分析データ!G1033-INDEX(分析データ!G:G,ROW()+$C$5)),""),"")</f>
        <v/>
      </c>
      <c r="CA1033">
        <f t="shared" ca="1" si="469"/>
        <v>-3515452.8662109179</v>
      </c>
      <c r="CB1033">
        <f t="shared" ca="1" si="470"/>
        <v>11327520.000000004</v>
      </c>
      <c r="CC1033">
        <f t="shared" ca="1" si="471"/>
        <v>-14842972.866210923</v>
      </c>
      <c r="CD1033">
        <f t="shared" ca="1" si="472"/>
        <v>0</v>
      </c>
      <c r="CE1033">
        <f t="shared" ca="1" si="473"/>
        <v>23090347.13378913</v>
      </c>
      <c r="CF1033">
        <f t="shared" ca="1" si="474"/>
        <v>23090347.13378913</v>
      </c>
      <c r="CG1033">
        <f t="shared" ca="1" si="475"/>
        <v>0</v>
      </c>
      <c r="CH1033" s="10" t="str">
        <f>分析データ!A1033</f>
        <v/>
      </c>
    </row>
    <row r="1034" spans="46:86">
      <c r="AT1034">
        <f ca="1">IF(ROW()&lt;($C$7+1),"",IFERROR((分析データ!B1034-AVERAGE(OFFSET(分析データ!B$1,MAX(1,ROW()-$C$7),0,MIN($C$7,ROW()-1),1)))/STDEV(OFFSET(分析データ!B$1,MAX(1,ROW()-$C$7),0,MIN($C$7,ROW()-1),1)),0))</f>
        <v>0</v>
      </c>
      <c r="AU1034">
        <f t="shared" ca="1" si="448"/>
        <v>0</v>
      </c>
      <c r="AV1034" t="str">
        <f ca="1">IF(AU1034=1,IF(INDEX(分析データ!$A:$A,ROW()+$C$5)&lt;&gt;"",80000*SIGN(AT1034)*(分析データ!B1034-INDEX(分析データ!B:B,ROW()+$C$5)),""),"")</f>
        <v/>
      </c>
      <c r="AW1034">
        <f t="shared" ca="1" si="449"/>
        <v>-1240000.0000000019</v>
      </c>
      <c r="AX1034">
        <f t="shared" ca="1" si="450"/>
        <v>0</v>
      </c>
      <c r="AY1034">
        <f t="shared" ca="1" si="451"/>
        <v>-1240000.0000000019</v>
      </c>
      <c r="AZ1034">
        <f ca="1">IF(ROW()&lt;($C$7+1),"",IFERROR((分析データ!C1034-AVERAGE(OFFSET(分析データ!C$1,MAX(1,ROW()-$C$7),0,MIN($C$7,ROW()-1),1)))/STDEV(OFFSET(分析データ!C$1,MAX(1,ROW()-$C$7),0,MIN($C$7,ROW()-1),1)),0))</f>
        <v>0</v>
      </c>
      <c r="BA1034">
        <f t="shared" ca="1" si="452"/>
        <v>0</v>
      </c>
      <c r="BB1034" t="str">
        <f ca="1">IF(BA1034=1,IF(INDEX(分析データ!$A:$A,ROW()+$C$5)&lt;&gt;"",60000*SIGN(AZ1034)*(分析データ!C1034-INDEX(分析データ!C:C,ROW()+$C$5)),""),"")</f>
        <v/>
      </c>
      <c r="BC1034">
        <f t="shared" ca="1" si="453"/>
        <v>-260999.9999999851</v>
      </c>
      <c r="BD1034">
        <f t="shared" ca="1" si="454"/>
        <v>3156000.0000000107</v>
      </c>
      <c r="BE1034">
        <f t="shared" ca="1" si="455"/>
        <v>-3416999.9999999958</v>
      </c>
      <c r="BF1034">
        <f ca="1">IF(ROW()&lt;($C$7+1),"",IFERROR((分析データ!D1034-AVERAGE(OFFSET(分析データ!D$1,MAX(1,ROW()-$C$7),0,MIN($C$7,ROW()-1),1)))/STDEV(OFFSET(分析データ!D$1,MAX(1,ROW()-$C$7),0,MIN($C$7,ROW()-1),1)),0))</f>
        <v>0</v>
      </c>
      <c r="BG1034">
        <f t="shared" ca="1" si="456"/>
        <v>0</v>
      </c>
      <c r="BH1034" t="str">
        <f ca="1">IF(BG1034=1,IF(INDEX(分析データ!$A:$A,ROW()+$C$5)&lt;&gt;"",50000*SIGN(BF1034)*(分析データ!D1034-INDEX(分析データ!D:D,ROW()+$C$5)),""),"")</f>
        <v/>
      </c>
      <c r="BI1034">
        <f t="shared" ca="1" si="457"/>
        <v>5570000.0000000205</v>
      </c>
      <c r="BJ1034">
        <f t="shared" ca="1" si="458"/>
        <v>5570000.0000000205</v>
      </c>
      <c r="BK1034">
        <f t="shared" ca="1" si="459"/>
        <v>0</v>
      </c>
      <c r="BL1034">
        <f ca="1">IF(ROW()&lt;($C$7+1),"",IFERROR((分析データ!E1034-AVERAGE(OFFSET(分析データ!E$1,MAX(1,ROW()-$C$7),0,MIN($C$7,ROW()-1),1)))/STDEV(OFFSET(分析データ!E$1,MAX(1,ROW()-$C$7),0,MIN($C$7,ROW()-1),1)),0))</f>
        <v>0</v>
      </c>
      <c r="BM1034">
        <f t="shared" ca="1" si="460"/>
        <v>0</v>
      </c>
      <c r="BN1034" t="str">
        <f ca="1">IF(BM1034=1,IF(INDEX(分析データ!$A:$A,ROW()+$C$5)&lt;&gt;"",40000*SIGN(BL1034)*(分析データ!E1034-INDEX(分析データ!E:E,ROW()+$C$5)),""),"")</f>
        <v/>
      </c>
      <c r="BO1034">
        <f t="shared" ca="1" si="461"/>
        <v>2720000.0000000014</v>
      </c>
      <c r="BP1034">
        <f t="shared" ca="1" si="462"/>
        <v>4280000.0000000028</v>
      </c>
      <c r="BQ1034">
        <f t="shared" ca="1" si="463"/>
        <v>-1560000.0000000014</v>
      </c>
      <c r="BR1034">
        <f ca="1">IF(ROW()&lt;($C$7+1),"",IFERROR((分析データ!F1034-AVERAGE(OFFSET(分析データ!F$1,MAX(1,ROW()-$C$7),0,MIN($C$7,ROW()-1),1)))/STDEV(OFFSET(分析データ!F$1,MAX(1,ROW()-$C$7),0,MIN($C$7,ROW()-1),1)),0))</f>
        <v>0</v>
      </c>
      <c r="BS1034">
        <f t="shared" ca="1" si="464"/>
        <v>0</v>
      </c>
      <c r="BT1034" t="str">
        <f ca="1">IF(BS1034=1,IF(INDEX(分析データ!$A:$A,ROW()+$C$5)&lt;&gt;"",40000*SIGN(BR1034)*(分析データ!F1034-INDEX(分析データ!F:F,ROW()+$C$5)),""),"")</f>
        <v/>
      </c>
      <c r="BU1034">
        <f t="shared" ca="1" si="465"/>
        <v>19816800</v>
      </c>
      <c r="BV1034">
        <f t="shared" ca="1" si="466"/>
        <v>19816800</v>
      </c>
      <c r="BW1034">
        <f t="shared" ca="1" si="467"/>
        <v>0</v>
      </c>
      <c r="BX1034">
        <f ca="1">IF(ROW()&lt;($C$7+1),"",IFERROR((分析データ!G1034-AVERAGE(OFFSET(分析データ!G$1,MAX(1,ROW()-$C$7),0,MIN($C$7,ROW()-1),1)))/STDEV(OFFSET(分析データ!G$1,MAX(1,ROW()-$C$7),0,MIN($C$7,ROW()-1),1)),0))</f>
        <v>0</v>
      </c>
      <c r="BY1034">
        <f t="shared" ca="1" si="468"/>
        <v>0</v>
      </c>
      <c r="BZ1034" t="str">
        <f ca="1">IF(BY1034=1,IF(INDEX(分析データ!$A:$A,ROW()+$C$5)&lt;&gt;"",40000*SIGN(BX1034)*(分析データ!G1034-INDEX(分析データ!G:G,ROW()+$C$5)),""),"")</f>
        <v/>
      </c>
      <c r="CA1034">
        <f t="shared" ca="1" si="469"/>
        <v>-3515452.8662109179</v>
      </c>
      <c r="CB1034">
        <f t="shared" ca="1" si="470"/>
        <v>11327520.000000004</v>
      </c>
      <c r="CC1034">
        <f t="shared" ca="1" si="471"/>
        <v>-14842972.866210923</v>
      </c>
      <c r="CD1034">
        <f t="shared" ca="1" si="472"/>
        <v>0</v>
      </c>
      <c r="CE1034">
        <f t="shared" ca="1" si="473"/>
        <v>23090347.13378913</v>
      </c>
      <c r="CF1034">
        <f t="shared" ca="1" si="474"/>
        <v>23090347.13378913</v>
      </c>
      <c r="CG1034">
        <f t="shared" ca="1" si="475"/>
        <v>0</v>
      </c>
      <c r="CH1034" s="10" t="str">
        <f>分析データ!A1034</f>
        <v/>
      </c>
    </row>
    <row r="1035" spans="46:86">
      <c r="AT1035">
        <f ca="1">IF(ROW()&lt;($C$7+1),"",IFERROR((分析データ!B1035-AVERAGE(OFFSET(分析データ!B$1,MAX(1,ROW()-$C$7),0,MIN($C$7,ROW()-1),1)))/STDEV(OFFSET(分析データ!B$1,MAX(1,ROW()-$C$7),0,MIN($C$7,ROW()-1),1)),0))</f>
        <v>0</v>
      </c>
      <c r="AU1035">
        <f t="shared" ca="1" si="448"/>
        <v>0</v>
      </c>
      <c r="AV1035" t="str">
        <f ca="1">IF(AU1035=1,IF(INDEX(分析データ!$A:$A,ROW()+$C$5)&lt;&gt;"",80000*SIGN(AT1035)*(分析データ!B1035-INDEX(分析データ!B:B,ROW()+$C$5)),""),"")</f>
        <v/>
      </c>
      <c r="AW1035">
        <f t="shared" ca="1" si="449"/>
        <v>-1240000.0000000019</v>
      </c>
      <c r="AX1035">
        <f t="shared" ca="1" si="450"/>
        <v>0</v>
      </c>
      <c r="AY1035">
        <f t="shared" ca="1" si="451"/>
        <v>-1240000.0000000019</v>
      </c>
      <c r="AZ1035">
        <f ca="1">IF(ROW()&lt;($C$7+1),"",IFERROR((分析データ!C1035-AVERAGE(OFFSET(分析データ!C$1,MAX(1,ROW()-$C$7),0,MIN($C$7,ROW()-1),1)))/STDEV(OFFSET(分析データ!C$1,MAX(1,ROW()-$C$7),0,MIN($C$7,ROW()-1),1)),0))</f>
        <v>0</v>
      </c>
      <c r="BA1035">
        <f t="shared" ca="1" si="452"/>
        <v>0</v>
      </c>
      <c r="BB1035" t="str">
        <f ca="1">IF(BA1035=1,IF(INDEX(分析データ!$A:$A,ROW()+$C$5)&lt;&gt;"",60000*SIGN(AZ1035)*(分析データ!C1035-INDEX(分析データ!C:C,ROW()+$C$5)),""),"")</f>
        <v/>
      </c>
      <c r="BC1035">
        <f t="shared" ca="1" si="453"/>
        <v>-260999.9999999851</v>
      </c>
      <c r="BD1035">
        <f t="shared" ca="1" si="454"/>
        <v>3156000.0000000107</v>
      </c>
      <c r="BE1035">
        <f t="shared" ca="1" si="455"/>
        <v>-3416999.9999999958</v>
      </c>
      <c r="BF1035">
        <f ca="1">IF(ROW()&lt;($C$7+1),"",IFERROR((分析データ!D1035-AVERAGE(OFFSET(分析データ!D$1,MAX(1,ROW()-$C$7),0,MIN($C$7,ROW()-1),1)))/STDEV(OFFSET(分析データ!D$1,MAX(1,ROW()-$C$7),0,MIN($C$7,ROW()-1),1)),0))</f>
        <v>0</v>
      </c>
      <c r="BG1035">
        <f t="shared" ca="1" si="456"/>
        <v>0</v>
      </c>
      <c r="BH1035" t="str">
        <f ca="1">IF(BG1035=1,IF(INDEX(分析データ!$A:$A,ROW()+$C$5)&lt;&gt;"",50000*SIGN(BF1035)*(分析データ!D1035-INDEX(分析データ!D:D,ROW()+$C$5)),""),"")</f>
        <v/>
      </c>
      <c r="BI1035">
        <f t="shared" ca="1" si="457"/>
        <v>5570000.0000000205</v>
      </c>
      <c r="BJ1035">
        <f t="shared" ca="1" si="458"/>
        <v>5570000.0000000205</v>
      </c>
      <c r="BK1035">
        <f t="shared" ca="1" si="459"/>
        <v>0</v>
      </c>
      <c r="BL1035">
        <f ca="1">IF(ROW()&lt;($C$7+1),"",IFERROR((分析データ!E1035-AVERAGE(OFFSET(分析データ!E$1,MAX(1,ROW()-$C$7),0,MIN($C$7,ROW()-1),1)))/STDEV(OFFSET(分析データ!E$1,MAX(1,ROW()-$C$7),0,MIN($C$7,ROW()-1),1)),0))</f>
        <v>0</v>
      </c>
      <c r="BM1035">
        <f t="shared" ca="1" si="460"/>
        <v>0</v>
      </c>
      <c r="BN1035" t="str">
        <f ca="1">IF(BM1035=1,IF(INDEX(分析データ!$A:$A,ROW()+$C$5)&lt;&gt;"",40000*SIGN(BL1035)*(分析データ!E1035-INDEX(分析データ!E:E,ROW()+$C$5)),""),"")</f>
        <v/>
      </c>
      <c r="BO1035">
        <f t="shared" ca="1" si="461"/>
        <v>2720000.0000000014</v>
      </c>
      <c r="BP1035">
        <f t="shared" ca="1" si="462"/>
        <v>4280000.0000000028</v>
      </c>
      <c r="BQ1035">
        <f t="shared" ca="1" si="463"/>
        <v>-1560000.0000000014</v>
      </c>
      <c r="BR1035">
        <f ca="1">IF(ROW()&lt;($C$7+1),"",IFERROR((分析データ!F1035-AVERAGE(OFFSET(分析データ!F$1,MAX(1,ROW()-$C$7),0,MIN($C$7,ROW()-1),1)))/STDEV(OFFSET(分析データ!F$1,MAX(1,ROW()-$C$7),0,MIN($C$7,ROW()-1),1)),0))</f>
        <v>0</v>
      </c>
      <c r="BS1035">
        <f t="shared" ca="1" si="464"/>
        <v>0</v>
      </c>
      <c r="BT1035" t="str">
        <f ca="1">IF(BS1035=1,IF(INDEX(分析データ!$A:$A,ROW()+$C$5)&lt;&gt;"",40000*SIGN(BR1035)*(分析データ!F1035-INDEX(分析データ!F:F,ROW()+$C$5)),""),"")</f>
        <v/>
      </c>
      <c r="BU1035">
        <f t="shared" ca="1" si="465"/>
        <v>19816800</v>
      </c>
      <c r="BV1035">
        <f t="shared" ca="1" si="466"/>
        <v>19816800</v>
      </c>
      <c r="BW1035">
        <f t="shared" ca="1" si="467"/>
        <v>0</v>
      </c>
      <c r="BX1035">
        <f ca="1">IF(ROW()&lt;($C$7+1),"",IFERROR((分析データ!G1035-AVERAGE(OFFSET(分析データ!G$1,MAX(1,ROW()-$C$7),0,MIN($C$7,ROW()-1),1)))/STDEV(OFFSET(分析データ!G$1,MAX(1,ROW()-$C$7),0,MIN($C$7,ROW()-1),1)),0))</f>
        <v>0</v>
      </c>
      <c r="BY1035">
        <f t="shared" ca="1" si="468"/>
        <v>0</v>
      </c>
      <c r="BZ1035" t="str">
        <f ca="1">IF(BY1035=1,IF(INDEX(分析データ!$A:$A,ROW()+$C$5)&lt;&gt;"",40000*SIGN(BX1035)*(分析データ!G1035-INDEX(分析データ!G:G,ROW()+$C$5)),""),"")</f>
        <v/>
      </c>
      <c r="CA1035">
        <f t="shared" ca="1" si="469"/>
        <v>-3515452.8662109179</v>
      </c>
      <c r="CB1035">
        <f t="shared" ca="1" si="470"/>
        <v>11327520.000000004</v>
      </c>
      <c r="CC1035">
        <f t="shared" ca="1" si="471"/>
        <v>-14842972.866210923</v>
      </c>
      <c r="CD1035">
        <f t="shared" ca="1" si="472"/>
        <v>0</v>
      </c>
      <c r="CE1035">
        <f t="shared" ca="1" si="473"/>
        <v>23090347.13378913</v>
      </c>
      <c r="CF1035">
        <f t="shared" ca="1" si="474"/>
        <v>23090347.13378913</v>
      </c>
      <c r="CG1035">
        <f t="shared" ca="1" si="475"/>
        <v>0</v>
      </c>
      <c r="CH1035" s="10" t="str">
        <f>分析データ!A1035</f>
        <v/>
      </c>
    </row>
    <row r="1036" spans="46:86">
      <c r="AT1036">
        <f ca="1">IF(ROW()&lt;($C$7+1),"",IFERROR((分析データ!B1036-AVERAGE(OFFSET(分析データ!B$1,MAX(1,ROW()-$C$7),0,MIN($C$7,ROW()-1),1)))/STDEV(OFFSET(分析データ!B$1,MAX(1,ROW()-$C$7),0,MIN($C$7,ROW()-1),1)),0))</f>
        <v>0</v>
      </c>
      <c r="AU1036">
        <f t="shared" ca="1" si="448"/>
        <v>0</v>
      </c>
      <c r="AV1036" t="str">
        <f ca="1">IF(AU1036=1,IF(INDEX(分析データ!$A:$A,ROW()+$C$5)&lt;&gt;"",80000*SIGN(AT1036)*(分析データ!B1036-INDEX(分析データ!B:B,ROW()+$C$5)),""),"")</f>
        <v/>
      </c>
      <c r="AW1036">
        <f t="shared" ca="1" si="449"/>
        <v>-1240000.0000000019</v>
      </c>
      <c r="AX1036">
        <f t="shared" ca="1" si="450"/>
        <v>0</v>
      </c>
      <c r="AY1036">
        <f t="shared" ca="1" si="451"/>
        <v>-1240000.0000000019</v>
      </c>
      <c r="AZ1036">
        <f ca="1">IF(ROW()&lt;($C$7+1),"",IFERROR((分析データ!C1036-AVERAGE(OFFSET(分析データ!C$1,MAX(1,ROW()-$C$7),0,MIN($C$7,ROW()-1),1)))/STDEV(OFFSET(分析データ!C$1,MAX(1,ROW()-$C$7),0,MIN($C$7,ROW()-1),1)),0))</f>
        <v>0</v>
      </c>
      <c r="BA1036">
        <f t="shared" ca="1" si="452"/>
        <v>0</v>
      </c>
      <c r="BB1036" t="str">
        <f ca="1">IF(BA1036=1,IF(INDEX(分析データ!$A:$A,ROW()+$C$5)&lt;&gt;"",60000*SIGN(AZ1036)*(分析データ!C1036-INDEX(分析データ!C:C,ROW()+$C$5)),""),"")</f>
        <v/>
      </c>
      <c r="BC1036">
        <f t="shared" ca="1" si="453"/>
        <v>-260999.9999999851</v>
      </c>
      <c r="BD1036">
        <f t="shared" ca="1" si="454"/>
        <v>3156000.0000000107</v>
      </c>
      <c r="BE1036">
        <f t="shared" ca="1" si="455"/>
        <v>-3416999.9999999958</v>
      </c>
      <c r="BF1036">
        <f ca="1">IF(ROW()&lt;($C$7+1),"",IFERROR((分析データ!D1036-AVERAGE(OFFSET(分析データ!D$1,MAX(1,ROW()-$C$7),0,MIN($C$7,ROW()-1),1)))/STDEV(OFFSET(分析データ!D$1,MAX(1,ROW()-$C$7),0,MIN($C$7,ROW()-1),1)),0))</f>
        <v>0</v>
      </c>
      <c r="BG1036">
        <f t="shared" ca="1" si="456"/>
        <v>0</v>
      </c>
      <c r="BH1036" t="str">
        <f ca="1">IF(BG1036=1,IF(INDEX(分析データ!$A:$A,ROW()+$C$5)&lt;&gt;"",50000*SIGN(BF1036)*(分析データ!D1036-INDEX(分析データ!D:D,ROW()+$C$5)),""),"")</f>
        <v/>
      </c>
      <c r="BI1036">
        <f t="shared" ca="1" si="457"/>
        <v>5570000.0000000205</v>
      </c>
      <c r="BJ1036">
        <f t="shared" ca="1" si="458"/>
        <v>5570000.0000000205</v>
      </c>
      <c r="BK1036">
        <f t="shared" ca="1" si="459"/>
        <v>0</v>
      </c>
      <c r="BL1036">
        <f ca="1">IF(ROW()&lt;($C$7+1),"",IFERROR((分析データ!E1036-AVERAGE(OFFSET(分析データ!E$1,MAX(1,ROW()-$C$7),0,MIN($C$7,ROW()-1),1)))/STDEV(OFFSET(分析データ!E$1,MAX(1,ROW()-$C$7),0,MIN($C$7,ROW()-1),1)),0))</f>
        <v>0</v>
      </c>
      <c r="BM1036">
        <f t="shared" ca="1" si="460"/>
        <v>0</v>
      </c>
      <c r="BN1036" t="str">
        <f ca="1">IF(BM1036=1,IF(INDEX(分析データ!$A:$A,ROW()+$C$5)&lt;&gt;"",40000*SIGN(BL1036)*(分析データ!E1036-INDEX(分析データ!E:E,ROW()+$C$5)),""),"")</f>
        <v/>
      </c>
      <c r="BO1036">
        <f t="shared" ca="1" si="461"/>
        <v>2720000.0000000014</v>
      </c>
      <c r="BP1036">
        <f t="shared" ca="1" si="462"/>
        <v>4280000.0000000028</v>
      </c>
      <c r="BQ1036">
        <f t="shared" ca="1" si="463"/>
        <v>-1560000.0000000014</v>
      </c>
      <c r="BR1036">
        <f ca="1">IF(ROW()&lt;($C$7+1),"",IFERROR((分析データ!F1036-AVERAGE(OFFSET(分析データ!F$1,MAX(1,ROW()-$C$7),0,MIN($C$7,ROW()-1),1)))/STDEV(OFFSET(分析データ!F$1,MAX(1,ROW()-$C$7),0,MIN($C$7,ROW()-1),1)),0))</f>
        <v>0</v>
      </c>
      <c r="BS1036">
        <f t="shared" ca="1" si="464"/>
        <v>0</v>
      </c>
      <c r="BT1036" t="str">
        <f ca="1">IF(BS1036=1,IF(INDEX(分析データ!$A:$A,ROW()+$C$5)&lt;&gt;"",40000*SIGN(BR1036)*(分析データ!F1036-INDEX(分析データ!F:F,ROW()+$C$5)),""),"")</f>
        <v/>
      </c>
      <c r="BU1036">
        <f t="shared" ca="1" si="465"/>
        <v>19816800</v>
      </c>
      <c r="BV1036">
        <f t="shared" ca="1" si="466"/>
        <v>19816800</v>
      </c>
      <c r="BW1036">
        <f t="shared" ca="1" si="467"/>
        <v>0</v>
      </c>
      <c r="BX1036">
        <f ca="1">IF(ROW()&lt;($C$7+1),"",IFERROR((分析データ!G1036-AVERAGE(OFFSET(分析データ!G$1,MAX(1,ROW()-$C$7),0,MIN($C$7,ROW()-1),1)))/STDEV(OFFSET(分析データ!G$1,MAX(1,ROW()-$C$7),0,MIN($C$7,ROW()-1),1)),0))</f>
        <v>0</v>
      </c>
      <c r="BY1036">
        <f t="shared" ca="1" si="468"/>
        <v>0</v>
      </c>
      <c r="BZ1036" t="str">
        <f ca="1">IF(BY1036=1,IF(INDEX(分析データ!$A:$A,ROW()+$C$5)&lt;&gt;"",40000*SIGN(BX1036)*(分析データ!G1036-INDEX(分析データ!G:G,ROW()+$C$5)),""),"")</f>
        <v/>
      </c>
      <c r="CA1036">
        <f t="shared" ca="1" si="469"/>
        <v>-3515452.8662109179</v>
      </c>
      <c r="CB1036">
        <f t="shared" ca="1" si="470"/>
        <v>11327520.000000004</v>
      </c>
      <c r="CC1036">
        <f t="shared" ca="1" si="471"/>
        <v>-14842972.866210923</v>
      </c>
      <c r="CD1036">
        <f t="shared" ca="1" si="472"/>
        <v>0</v>
      </c>
      <c r="CE1036">
        <f t="shared" ca="1" si="473"/>
        <v>23090347.13378913</v>
      </c>
      <c r="CF1036">
        <f t="shared" ca="1" si="474"/>
        <v>23090347.13378913</v>
      </c>
      <c r="CG1036">
        <f t="shared" ca="1" si="475"/>
        <v>0</v>
      </c>
      <c r="CH1036" s="10" t="str">
        <f>分析データ!A1036</f>
        <v/>
      </c>
    </row>
    <row r="1037" spans="46:86">
      <c r="AT1037">
        <f ca="1">IF(ROW()&lt;($C$7+1),"",IFERROR((分析データ!B1037-AVERAGE(OFFSET(分析データ!B$1,MAX(1,ROW()-$C$7),0,MIN($C$7,ROW()-1),1)))/STDEV(OFFSET(分析データ!B$1,MAX(1,ROW()-$C$7),0,MIN($C$7,ROW()-1),1)),0))</f>
        <v>0</v>
      </c>
      <c r="AU1037">
        <f t="shared" ca="1" si="448"/>
        <v>0</v>
      </c>
      <c r="AV1037" t="str">
        <f ca="1">IF(AU1037=1,IF(INDEX(分析データ!$A:$A,ROW()+$C$5)&lt;&gt;"",80000*SIGN(AT1037)*(分析データ!B1037-INDEX(分析データ!B:B,ROW()+$C$5)),""),"")</f>
        <v/>
      </c>
      <c r="AW1037">
        <f t="shared" ca="1" si="449"/>
        <v>-1240000.0000000019</v>
      </c>
      <c r="AX1037">
        <f t="shared" ca="1" si="450"/>
        <v>0</v>
      </c>
      <c r="AY1037">
        <f t="shared" ca="1" si="451"/>
        <v>-1240000.0000000019</v>
      </c>
      <c r="AZ1037">
        <f ca="1">IF(ROW()&lt;($C$7+1),"",IFERROR((分析データ!C1037-AVERAGE(OFFSET(分析データ!C$1,MAX(1,ROW()-$C$7),0,MIN($C$7,ROW()-1),1)))/STDEV(OFFSET(分析データ!C$1,MAX(1,ROW()-$C$7),0,MIN($C$7,ROW()-1),1)),0))</f>
        <v>0</v>
      </c>
      <c r="BA1037">
        <f t="shared" ca="1" si="452"/>
        <v>0</v>
      </c>
      <c r="BB1037" t="str">
        <f ca="1">IF(BA1037=1,IF(INDEX(分析データ!$A:$A,ROW()+$C$5)&lt;&gt;"",60000*SIGN(AZ1037)*(分析データ!C1037-INDEX(分析データ!C:C,ROW()+$C$5)),""),"")</f>
        <v/>
      </c>
      <c r="BC1037">
        <f t="shared" ca="1" si="453"/>
        <v>-260999.9999999851</v>
      </c>
      <c r="BD1037">
        <f t="shared" ca="1" si="454"/>
        <v>3156000.0000000107</v>
      </c>
      <c r="BE1037">
        <f t="shared" ca="1" si="455"/>
        <v>-3416999.9999999958</v>
      </c>
      <c r="BF1037">
        <f ca="1">IF(ROW()&lt;($C$7+1),"",IFERROR((分析データ!D1037-AVERAGE(OFFSET(分析データ!D$1,MAX(1,ROW()-$C$7),0,MIN($C$7,ROW()-1),1)))/STDEV(OFFSET(分析データ!D$1,MAX(1,ROW()-$C$7),0,MIN($C$7,ROW()-1),1)),0))</f>
        <v>0</v>
      </c>
      <c r="BG1037">
        <f t="shared" ca="1" si="456"/>
        <v>0</v>
      </c>
      <c r="BH1037" t="str">
        <f ca="1">IF(BG1037=1,IF(INDEX(分析データ!$A:$A,ROW()+$C$5)&lt;&gt;"",50000*SIGN(BF1037)*(分析データ!D1037-INDEX(分析データ!D:D,ROW()+$C$5)),""),"")</f>
        <v/>
      </c>
      <c r="BI1037">
        <f t="shared" ca="1" si="457"/>
        <v>5570000.0000000205</v>
      </c>
      <c r="BJ1037">
        <f t="shared" ca="1" si="458"/>
        <v>5570000.0000000205</v>
      </c>
      <c r="BK1037">
        <f t="shared" ca="1" si="459"/>
        <v>0</v>
      </c>
      <c r="BL1037">
        <f ca="1">IF(ROW()&lt;($C$7+1),"",IFERROR((分析データ!E1037-AVERAGE(OFFSET(分析データ!E$1,MAX(1,ROW()-$C$7),0,MIN($C$7,ROW()-1),1)))/STDEV(OFFSET(分析データ!E$1,MAX(1,ROW()-$C$7),0,MIN($C$7,ROW()-1),1)),0))</f>
        <v>0</v>
      </c>
      <c r="BM1037">
        <f t="shared" ca="1" si="460"/>
        <v>0</v>
      </c>
      <c r="BN1037" t="str">
        <f ca="1">IF(BM1037=1,IF(INDEX(分析データ!$A:$A,ROW()+$C$5)&lt;&gt;"",40000*SIGN(BL1037)*(分析データ!E1037-INDEX(分析データ!E:E,ROW()+$C$5)),""),"")</f>
        <v/>
      </c>
      <c r="BO1037">
        <f t="shared" ca="1" si="461"/>
        <v>2720000.0000000014</v>
      </c>
      <c r="BP1037">
        <f t="shared" ca="1" si="462"/>
        <v>4280000.0000000028</v>
      </c>
      <c r="BQ1037">
        <f t="shared" ca="1" si="463"/>
        <v>-1560000.0000000014</v>
      </c>
      <c r="BR1037">
        <f ca="1">IF(ROW()&lt;($C$7+1),"",IFERROR((分析データ!F1037-AVERAGE(OFFSET(分析データ!F$1,MAX(1,ROW()-$C$7),0,MIN($C$7,ROW()-1),1)))/STDEV(OFFSET(分析データ!F$1,MAX(1,ROW()-$C$7),0,MIN($C$7,ROW()-1),1)),0))</f>
        <v>0</v>
      </c>
      <c r="BS1037">
        <f t="shared" ca="1" si="464"/>
        <v>0</v>
      </c>
      <c r="BT1037" t="str">
        <f ca="1">IF(BS1037=1,IF(INDEX(分析データ!$A:$A,ROW()+$C$5)&lt;&gt;"",40000*SIGN(BR1037)*(分析データ!F1037-INDEX(分析データ!F:F,ROW()+$C$5)),""),"")</f>
        <v/>
      </c>
      <c r="BU1037">
        <f t="shared" ca="1" si="465"/>
        <v>19816800</v>
      </c>
      <c r="BV1037">
        <f t="shared" ca="1" si="466"/>
        <v>19816800</v>
      </c>
      <c r="BW1037">
        <f t="shared" ca="1" si="467"/>
        <v>0</v>
      </c>
      <c r="BX1037">
        <f ca="1">IF(ROW()&lt;($C$7+1),"",IFERROR((分析データ!G1037-AVERAGE(OFFSET(分析データ!G$1,MAX(1,ROW()-$C$7),0,MIN($C$7,ROW()-1),1)))/STDEV(OFFSET(分析データ!G$1,MAX(1,ROW()-$C$7),0,MIN($C$7,ROW()-1),1)),0))</f>
        <v>0</v>
      </c>
      <c r="BY1037">
        <f t="shared" ca="1" si="468"/>
        <v>0</v>
      </c>
      <c r="BZ1037" t="str">
        <f ca="1">IF(BY1037=1,IF(INDEX(分析データ!$A:$A,ROW()+$C$5)&lt;&gt;"",40000*SIGN(BX1037)*(分析データ!G1037-INDEX(分析データ!G:G,ROW()+$C$5)),""),"")</f>
        <v/>
      </c>
      <c r="CA1037">
        <f t="shared" ca="1" si="469"/>
        <v>-3515452.8662109179</v>
      </c>
      <c r="CB1037">
        <f t="shared" ca="1" si="470"/>
        <v>11327520.000000004</v>
      </c>
      <c r="CC1037">
        <f t="shared" ca="1" si="471"/>
        <v>-14842972.866210923</v>
      </c>
      <c r="CD1037">
        <f t="shared" ca="1" si="472"/>
        <v>0</v>
      </c>
      <c r="CE1037">
        <f t="shared" ca="1" si="473"/>
        <v>23090347.13378913</v>
      </c>
      <c r="CF1037">
        <f t="shared" ca="1" si="474"/>
        <v>23090347.13378913</v>
      </c>
      <c r="CG1037">
        <f t="shared" ca="1" si="475"/>
        <v>0</v>
      </c>
      <c r="CH1037" s="10" t="str">
        <f>分析データ!A1037</f>
        <v/>
      </c>
    </row>
    <row r="1038" spans="46:86">
      <c r="AT1038">
        <f ca="1">IF(ROW()&lt;($C$7+1),"",IFERROR((分析データ!B1038-AVERAGE(OFFSET(分析データ!B$1,MAX(1,ROW()-$C$7),0,MIN($C$7,ROW()-1),1)))/STDEV(OFFSET(分析データ!B$1,MAX(1,ROW()-$C$7),0,MIN($C$7,ROW()-1),1)),0))</f>
        <v>0</v>
      </c>
      <c r="AU1038">
        <f t="shared" ca="1" si="448"/>
        <v>0</v>
      </c>
      <c r="AV1038" t="str">
        <f ca="1">IF(AU1038=1,IF(INDEX(分析データ!$A:$A,ROW()+$C$5)&lt;&gt;"",80000*SIGN(AT1038)*(分析データ!B1038-INDEX(分析データ!B:B,ROW()+$C$5)),""),"")</f>
        <v/>
      </c>
      <c r="AW1038">
        <f t="shared" ca="1" si="449"/>
        <v>-1240000.0000000019</v>
      </c>
      <c r="AX1038">
        <f t="shared" ca="1" si="450"/>
        <v>0</v>
      </c>
      <c r="AY1038">
        <f t="shared" ca="1" si="451"/>
        <v>-1240000.0000000019</v>
      </c>
      <c r="AZ1038">
        <f ca="1">IF(ROW()&lt;($C$7+1),"",IFERROR((分析データ!C1038-AVERAGE(OFFSET(分析データ!C$1,MAX(1,ROW()-$C$7),0,MIN($C$7,ROW()-1),1)))/STDEV(OFFSET(分析データ!C$1,MAX(1,ROW()-$C$7),0,MIN($C$7,ROW()-1),1)),0))</f>
        <v>0</v>
      </c>
      <c r="BA1038">
        <f t="shared" ca="1" si="452"/>
        <v>0</v>
      </c>
      <c r="BB1038" t="str">
        <f ca="1">IF(BA1038=1,IF(INDEX(分析データ!$A:$A,ROW()+$C$5)&lt;&gt;"",60000*SIGN(AZ1038)*(分析データ!C1038-INDEX(分析データ!C:C,ROW()+$C$5)),""),"")</f>
        <v/>
      </c>
      <c r="BC1038">
        <f t="shared" ca="1" si="453"/>
        <v>-260999.9999999851</v>
      </c>
      <c r="BD1038">
        <f t="shared" ca="1" si="454"/>
        <v>3156000.0000000107</v>
      </c>
      <c r="BE1038">
        <f t="shared" ca="1" si="455"/>
        <v>-3416999.9999999958</v>
      </c>
      <c r="BF1038">
        <f ca="1">IF(ROW()&lt;($C$7+1),"",IFERROR((分析データ!D1038-AVERAGE(OFFSET(分析データ!D$1,MAX(1,ROW()-$C$7),0,MIN($C$7,ROW()-1),1)))/STDEV(OFFSET(分析データ!D$1,MAX(1,ROW()-$C$7),0,MIN($C$7,ROW()-1),1)),0))</f>
        <v>0</v>
      </c>
      <c r="BG1038">
        <f t="shared" ca="1" si="456"/>
        <v>0</v>
      </c>
      <c r="BH1038" t="str">
        <f ca="1">IF(BG1038=1,IF(INDEX(分析データ!$A:$A,ROW()+$C$5)&lt;&gt;"",50000*SIGN(BF1038)*(分析データ!D1038-INDEX(分析データ!D:D,ROW()+$C$5)),""),"")</f>
        <v/>
      </c>
      <c r="BI1038">
        <f t="shared" ca="1" si="457"/>
        <v>5570000.0000000205</v>
      </c>
      <c r="BJ1038">
        <f t="shared" ca="1" si="458"/>
        <v>5570000.0000000205</v>
      </c>
      <c r="BK1038">
        <f t="shared" ca="1" si="459"/>
        <v>0</v>
      </c>
      <c r="BL1038">
        <f ca="1">IF(ROW()&lt;($C$7+1),"",IFERROR((分析データ!E1038-AVERAGE(OFFSET(分析データ!E$1,MAX(1,ROW()-$C$7),0,MIN($C$7,ROW()-1),1)))/STDEV(OFFSET(分析データ!E$1,MAX(1,ROW()-$C$7),0,MIN($C$7,ROW()-1),1)),0))</f>
        <v>0</v>
      </c>
      <c r="BM1038">
        <f t="shared" ca="1" si="460"/>
        <v>0</v>
      </c>
      <c r="BN1038" t="str">
        <f ca="1">IF(BM1038=1,IF(INDEX(分析データ!$A:$A,ROW()+$C$5)&lt;&gt;"",40000*SIGN(BL1038)*(分析データ!E1038-INDEX(分析データ!E:E,ROW()+$C$5)),""),"")</f>
        <v/>
      </c>
      <c r="BO1038">
        <f t="shared" ca="1" si="461"/>
        <v>2720000.0000000014</v>
      </c>
      <c r="BP1038">
        <f t="shared" ca="1" si="462"/>
        <v>4280000.0000000028</v>
      </c>
      <c r="BQ1038">
        <f t="shared" ca="1" si="463"/>
        <v>-1560000.0000000014</v>
      </c>
      <c r="BR1038">
        <f ca="1">IF(ROW()&lt;($C$7+1),"",IFERROR((分析データ!F1038-AVERAGE(OFFSET(分析データ!F$1,MAX(1,ROW()-$C$7),0,MIN($C$7,ROW()-1),1)))/STDEV(OFFSET(分析データ!F$1,MAX(1,ROW()-$C$7),0,MIN($C$7,ROW()-1),1)),0))</f>
        <v>0</v>
      </c>
      <c r="BS1038">
        <f t="shared" ca="1" si="464"/>
        <v>0</v>
      </c>
      <c r="BT1038" t="str">
        <f ca="1">IF(BS1038=1,IF(INDEX(分析データ!$A:$A,ROW()+$C$5)&lt;&gt;"",40000*SIGN(BR1038)*(分析データ!F1038-INDEX(分析データ!F:F,ROW()+$C$5)),""),"")</f>
        <v/>
      </c>
      <c r="BU1038">
        <f t="shared" ca="1" si="465"/>
        <v>19816800</v>
      </c>
      <c r="BV1038">
        <f t="shared" ca="1" si="466"/>
        <v>19816800</v>
      </c>
      <c r="BW1038">
        <f t="shared" ca="1" si="467"/>
        <v>0</v>
      </c>
      <c r="BX1038">
        <f ca="1">IF(ROW()&lt;($C$7+1),"",IFERROR((分析データ!G1038-AVERAGE(OFFSET(分析データ!G$1,MAX(1,ROW()-$C$7),0,MIN($C$7,ROW()-1),1)))/STDEV(OFFSET(分析データ!G$1,MAX(1,ROW()-$C$7),0,MIN($C$7,ROW()-1),1)),0))</f>
        <v>0</v>
      </c>
      <c r="BY1038">
        <f t="shared" ca="1" si="468"/>
        <v>0</v>
      </c>
      <c r="BZ1038" t="str">
        <f ca="1">IF(BY1038=1,IF(INDEX(分析データ!$A:$A,ROW()+$C$5)&lt;&gt;"",40000*SIGN(BX1038)*(分析データ!G1038-INDEX(分析データ!G:G,ROW()+$C$5)),""),"")</f>
        <v/>
      </c>
      <c r="CA1038">
        <f t="shared" ca="1" si="469"/>
        <v>-3515452.8662109179</v>
      </c>
      <c r="CB1038">
        <f t="shared" ca="1" si="470"/>
        <v>11327520.000000004</v>
      </c>
      <c r="CC1038">
        <f t="shared" ca="1" si="471"/>
        <v>-14842972.866210923</v>
      </c>
      <c r="CD1038">
        <f t="shared" ca="1" si="472"/>
        <v>0</v>
      </c>
      <c r="CE1038">
        <f t="shared" ca="1" si="473"/>
        <v>23090347.13378913</v>
      </c>
      <c r="CF1038">
        <f t="shared" ca="1" si="474"/>
        <v>23090347.13378913</v>
      </c>
      <c r="CG1038">
        <f t="shared" ca="1" si="475"/>
        <v>0</v>
      </c>
      <c r="CH1038" s="10" t="str">
        <f>分析データ!A1038</f>
        <v/>
      </c>
    </row>
    <row r="1039" spans="46:86">
      <c r="AT1039">
        <f ca="1">IF(ROW()&lt;($C$7+1),"",IFERROR((分析データ!B1039-AVERAGE(OFFSET(分析データ!B$1,MAX(1,ROW()-$C$7),0,MIN($C$7,ROW()-1),1)))/STDEV(OFFSET(分析データ!B$1,MAX(1,ROW()-$C$7),0,MIN($C$7,ROW()-1),1)),0))</f>
        <v>0</v>
      </c>
      <c r="AU1039">
        <f t="shared" ca="1" si="448"/>
        <v>0</v>
      </c>
      <c r="AV1039" t="str">
        <f ca="1">IF(AU1039=1,IF(INDEX(分析データ!$A:$A,ROW()+$C$5)&lt;&gt;"",80000*SIGN(AT1039)*(分析データ!B1039-INDEX(分析データ!B:B,ROW()+$C$5)),""),"")</f>
        <v/>
      </c>
      <c r="AW1039">
        <f t="shared" ca="1" si="449"/>
        <v>-1240000.0000000019</v>
      </c>
      <c r="AX1039">
        <f t="shared" ca="1" si="450"/>
        <v>0</v>
      </c>
      <c r="AY1039">
        <f t="shared" ca="1" si="451"/>
        <v>-1240000.0000000019</v>
      </c>
      <c r="AZ1039">
        <f ca="1">IF(ROW()&lt;($C$7+1),"",IFERROR((分析データ!C1039-AVERAGE(OFFSET(分析データ!C$1,MAX(1,ROW()-$C$7),0,MIN($C$7,ROW()-1),1)))/STDEV(OFFSET(分析データ!C$1,MAX(1,ROW()-$C$7),0,MIN($C$7,ROW()-1),1)),0))</f>
        <v>0</v>
      </c>
      <c r="BA1039">
        <f t="shared" ca="1" si="452"/>
        <v>0</v>
      </c>
      <c r="BB1039" t="str">
        <f ca="1">IF(BA1039=1,IF(INDEX(分析データ!$A:$A,ROW()+$C$5)&lt;&gt;"",60000*SIGN(AZ1039)*(分析データ!C1039-INDEX(分析データ!C:C,ROW()+$C$5)),""),"")</f>
        <v/>
      </c>
      <c r="BC1039">
        <f t="shared" ca="1" si="453"/>
        <v>-260999.9999999851</v>
      </c>
      <c r="BD1039">
        <f t="shared" ca="1" si="454"/>
        <v>3156000.0000000107</v>
      </c>
      <c r="BE1039">
        <f t="shared" ca="1" si="455"/>
        <v>-3416999.9999999958</v>
      </c>
      <c r="BF1039">
        <f ca="1">IF(ROW()&lt;($C$7+1),"",IFERROR((分析データ!D1039-AVERAGE(OFFSET(分析データ!D$1,MAX(1,ROW()-$C$7),0,MIN($C$7,ROW()-1),1)))/STDEV(OFFSET(分析データ!D$1,MAX(1,ROW()-$C$7),0,MIN($C$7,ROW()-1),1)),0))</f>
        <v>0</v>
      </c>
      <c r="BG1039">
        <f t="shared" ca="1" si="456"/>
        <v>0</v>
      </c>
      <c r="BH1039" t="str">
        <f ca="1">IF(BG1039=1,IF(INDEX(分析データ!$A:$A,ROW()+$C$5)&lt;&gt;"",50000*SIGN(BF1039)*(分析データ!D1039-INDEX(分析データ!D:D,ROW()+$C$5)),""),"")</f>
        <v/>
      </c>
      <c r="BI1039">
        <f t="shared" ca="1" si="457"/>
        <v>5570000.0000000205</v>
      </c>
      <c r="BJ1039">
        <f t="shared" ca="1" si="458"/>
        <v>5570000.0000000205</v>
      </c>
      <c r="BK1039">
        <f t="shared" ca="1" si="459"/>
        <v>0</v>
      </c>
      <c r="BL1039">
        <f ca="1">IF(ROW()&lt;($C$7+1),"",IFERROR((分析データ!E1039-AVERAGE(OFFSET(分析データ!E$1,MAX(1,ROW()-$C$7),0,MIN($C$7,ROW()-1),1)))/STDEV(OFFSET(分析データ!E$1,MAX(1,ROW()-$C$7),0,MIN($C$7,ROW()-1),1)),0))</f>
        <v>0</v>
      </c>
      <c r="BM1039">
        <f t="shared" ca="1" si="460"/>
        <v>0</v>
      </c>
      <c r="BN1039" t="str">
        <f ca="1">IF(BM1039=1,IF(INDEX(分析データ!$A:$A,ROW()+$C$5)&lt;&gt;"",40000*SIGN(BL1039)*(分析データ!E1039-INDEX(分析データ!E:E,ROW()+$C$5)),""),"")</f>
        <v/>
      </c>
      <c r="BO1039">
        <f t="shared" ca="1" si="461"/>
        <v>2720000.0000000014</v>
      </c>
      <c r="BP1039">
        <f t="shared" ca="1" si="462"/>
        <v>4280000.0000000028</v>
      </c>
      <c r="BQ1039">
        <f t="shared" ca="1" si="463"/>
        <v>-1560000.0000000014</v>
      </c>
      <c r="BR1039">
        <f ca="1">IF(ROW()&lt;($C$7+1),"",IFERROR((分析データ!F1039-AVERAGE(OFFSET(分析データ!F$1,MAX(1,ROW()-$C$7),0,MIN($C$7,ROW()-1),1)))/STDEV(OFFSET(分析データ!F$1,MAX(1,ROW()-$C$7),0,MIN($C$7,ROW()-1),1)),0))</f>
        <v>0</v>
      </c>
      <c r="BS1039">
        <f t="shared" ca="1" si="464"/>
        <v>0</v>
      </c>
      <c r="BT1039" t="str">
        <f ca="1">IF(BS1039=1,IF(INDEX(分析データ!$A:$A,ROW()+$C$5)&lt;&gt;"",40000*SIGN(BR1039)*(分析データ!F1039-INDEX(分析データ!F:F,ROW()+$C$5)),""),"")</f>
        <v/>
      </c>
      <c r="BU1039">
        <f t="shared" ca="1" si="465"/>
        <v>19816800</v>
      </c>
      <c r="BV1039">
        <f t="shared" ca="1" si="466"/>
        <v>19816800</v>
      </c>
      <c r="BW1039">
        <f t="shared" ca="1" si="467"/>
        <v>0</v>
      </c>
      <c r="BX1039">
        <f ca="1">IF(ROW()&lt;($C$7+1),"",IFERROR((分析データ!G1039-AVERAGE(OFFSET(分析データ!G$1,MAX(1,ROW()-$C$7),0,MIN($C$7,ROW()-1),1)))/STDEV(OFFSET(分析データ!G$1,MAX(1,ROW()-$C$7),0,MIN($C$7,ROW()-1),1)),0))</f>
        <v>0</v>
      </c>
      <c r="BY1039">
        <f t="shared" ca="1" si="468"/>
        <v>0</v>
      </c>
      <c r="BZ1039" t="str">
        <f ca="1">IF(BY1039=1,IF(INDEX(分析データ!$A:$A,ROW()+$C$5)&lt;&gt;"",40000*SIGN(BX1039)*(分析データ!G1039-INDEX(分析データ!G:G,ROW()+$C$5)),""),"")</f>
        <v/>
      </c>
      <c r="CA1039">
        <f t="shared" ca="1" si="469"/>
        <v>-3515452.8662109179</v>
      </c>
      <c r="CB1039">
        <f t="shared" ca="1" si="470"/>
        <v>11327520.000000004</v>
      </c>
      <c r="CC1039">
        <f t="shared" ca="1" si="471"/>
        <v>-14842972.866210923</v>
      </c>
      <c r="CD1039">
        <f t="shared" ca="1" si="472"/>
        <v>0</v>
      </c>
      <c r="CE1039">
        <f t="shared" ca="1" si="473"/>
        <v>23090347.13378913</v>
      </c>
      <c r="CF1039">
        <f t="shared" ca="1" si="474"/>
        <v>23090347.13378913</v>
      </c>
      <c r="CG1039">
        <f t="shared" ca="1" si="475"/>
        <v>0</v>
      </c>
      <c r="CH1039" s="10" t="str">
        <f>分析データ!A1039</f>
        <v/>
      </c>
    </row>
    <row r="1040" spans="46:86">
      <c r="AT1040">
        <f ca="1">IF(ROW()&lt;($C$7+1),"",IFERROR((分析データ!B1040-AVERAGE(OFFSET(分析データ!B$1,MAX(1,ROW()-$C$7),0,MIN($C$7,ROW()-1),1)))/STDEV(OFFSET(分析データ!B$1,MAX(1,ROW()-$C$7),0,MIN($C$7,ROW()-1),1)),0))</f>
        <v>0</v>
      </c>
      <c r="AU1040">
        <f t="shared" ca="1" si="448"/>
        <v>0</v>
      </c>
      <c r="AV1040" t="str">
        <f ca="1">IF(AU1040=1,IF(INDEX(分析データ!$A:$A,ROW()+$C$5)&lt;&gt;"",80000*SIGN(AT1040)*(分析データ!B1040-INDEX(分析データ!B:B,ROW()+$C$5)),""),"")</f>
        <v/>
      </c>
      <c r="AW1040">
        <f t="shared" ca="1" si="449"/>
        <v>-1240000.0000000019</v>
      </c>
      <c r="AX1040">
        <f t="shared" ca="1" si="450"/>
        <v>0</v>
      </c>
      <c r="AY1040">
        <f t="shared" ca="1" si="451"/>
        <v>-1240000.0000000019</v>
      </c>
      <c r="AZ1040">
        <f ca="1">IF(ROW()&lt;($C$7+1),"",IFERROR((分析データ!C1040-AVERAGE(OFFSET(分析データ!C$1,MAX(1,ROW()-$C$7),0,MIN($C$7,ROW()-1),1)))/STDEV(OFFSET(分析データ!C$1,MAX(1,ROW()-$C$7),0,MIN($C$7,ROW()-1),1)),0))</f>
        <v>0</v>
      </c>
      <c r="BA1040">
        <f t="shared" ca="1" si="452"/>
        <v>0</v>
      </c>
      <c r="BB1040" t="str">
        <f ca="1">IF(BA1040=1,IF(INDEX(分析データ!$A:$A,ROW()+$C$5)&lt;&gt;"",60000*SIGN(AZ1040)*(分析データ!C1040-INDEX(分析データ!C:C,ROW()+$C$5)),""),"")</f>
        <v/>
      </c>
      <c r="BC1040">
        <f t="shared" ca="1" si="453"/>
        <v>-260999.9999999851</v>
      </c>
      <c r="BD1040">
        <f t="shared" ca="1" si="454"/>
        <v>3156000.0000000107</v>
      </c>
      <c r="BE1040">
        <f t="shared" ca="1" si="455"/>
        <v>-3416999.9999999958</v>
      </c>
      <c r="BF1040">
        <f ca="1">IF(ROW()&lt;($C$7+1),"",IFERROR((分析データ!D1040-AVERAGE(OFFSET(分析データ!D$1,MAX(1,ROW()-$C$7),0,MIN($C$7,ROW()-1),1)))/STDEV(OFFSET(分析データ!D$1,MAX(1,ROW()-$C$7),0,MIN($C$7,ROW()-1),1)),0))</f>
        <v>0</v>
      </c>
      <c r="BG1040">
        <f t="shared" ca="1" si="456"/>
        <v>0</v>
      </c>
      <c r="BH1040" t="str">
        <f ca="1">IF(BG1040=1,IF(INDEX(分析データ!$A:$A,ROW()+$C$5)&lt;&gt;"",50000*SIGN(BF1040)*(分析データ!D1040-INDEX(分析データ!D:D,ROW()+$C$5)),""),"")</f>
        <v/>
      </c>
      <c r="BI1040">
        <f t="shared" ca="1" si="457"/>
        <v>5570000.0000000205</v>
      </c>
      <c r="BJ1040">
        <f t="shared" ca="1" si="458"/>
        <v>5570000.0000000205</v>
      </c>
      <c r="BK1040">
        <f t="shared" ca="1" si="459"/>
        <v>0</v>
      </c>
      <c r="BL1040">
        <f ca="1">IF(ROW()&lt;($C$7+1),"",IFERROR((分析データ!E1040-AVERAGE(OFFSET(分析データ!E$1,MAX(1,ROW()-$C$7),0,MIN($C$7,ROW()-1),1)))/STDEV(OFFSET(分析データ!E$1,MAX(1,ROW()-$C$7),0,MIN($C$7,ROW()-1),1)),0))</f>
        <v>0</v>
      </c>
      <c r="BM1040">
        <f t="shared" ca="1" si="460"/>
        <v>0</v>
      </c>
      <c r="BN1040" t="str">
        <f ca="1">IF(BM1040=1,IF(INDEX(分析データ!$A:$A,ROW()+$C$5)&lt;&gt;"",40000*SIGN(BL1040)*(分析データ!E1040-INDEX(分析データ!E:E,ROW()+$C$5)),""),"")</f>
        <v/>
      </c>
      <c r="BO1040">
        <f t="shared" ca="1" si="461"/>
        <v>2720000.0000000014</v>
      </c>
      <c r="BP1040">
        <f t="shared" ca="1" si="462"/>
        <v>4280000.0000000028</v>
      </c>
      <c r="BQ1040">
        <f t="shared" ca="1" si="463"/>
        <v>-1560000.0000000014</v>
      </c>
      <c r="BR1040">
        <f ca="1">IF(ROW()&lt;($C$7+1),"",IFERROR((分析データ!F1040-AVERAGE(OFFSET(分析データ!F$1,MAX(1,ROW()-$C$7),0,MIN($C$7,ROW()-1),1)))/STDEV(OFFSET(分析データ!F$1,MAX(1,ROW()-$C$7),0,MIN($C$7,ROW()-1),1)),0))</f>
        <v>0</v>
      </c>
      <c r="BS1040">
        <f t="shared" ca="1" si="464"/>
        <v>0</v>
      </c>
      <c r="BT1040" t="str">
        <f ca="1">IF(BS1040=1,IF(INDEX(分析データ!$A:$A,ROW()+$C$5)&lt;&gt;"",40000*SIGN(BR1040)*(分析データ!F1040-INDEX(分析データ!F:F,ROW()+$C$5)),""),"")</f>
        <v/>
      </c>
      <c r="BU1040">
        <f t="shared" ca="1" si="465"/>
        <v>19816800</v>
      </c>
      <c r="BV1040">
        <f t="shared" ca="1" si="466"/>
        <v>19816800</v>
      </c>
      <c r="BW1040">
        <f t="shared" ca="1" si="467"/>
        <v>0</v>
      </c>
      <c r="BX1040">
        <f ca="1">IF(ROW()&lt;($C$7+1),"",IFERROR((分析データ!G1040-AVERAGE(OFFSET(分析データ!G$1,MAX(1,ROW()-$C$7),0,MIN($C$7,ROW()-1),1)))/STDEV(OFFSET(分析データ!G$1,MAX(1,ROW()-$C$7),0,MIN($C$7,ROW()-1),1)),0))</f>
        <v>0</v>
      </c>
      <c r="BY1040">
        <f t="shared" ca="1" si="468"/>
        <v>0</v>
      </c>
      <c r="BZ1040" t="str">
        <f ca="1">IF(BY1040=1,IF(INDEX(分析データ!$A:$A,ROW()+$C$5)&lt;&gt;"",40000*SIGN(BX1040)*(分析データ!G1040-INDEX(分析データ!G:G,ROW()+$C$5)),""),"")</f>
        <v/>
      </c>
      <c r="CA1040">
        <f t="shared" ca="1" si="469"/>
        <v>-3515452.8662109179</v>
      </c>
      <c r="CB1040">
        <f t="shared" ca="1" si="470"/>
        <v>11327520.000000004</v>
      </c>
      <c r="CC1040">
        <f t="shared" ca="1" si="471"/>
        <v>-14842972.866210923</v>
      </c>
      <c r="CD1040">
        <f t="shared" ca="1" si="472"/>
        <v>0</v>
      </c>
      <c r="CE1040">
        <f t="shared" ca="1" si="473"/>
        <v>23090347.13378913</v>
      </c>
      <c r="CF1040">
        <f t="shared" ca="1" si="474"/>
        <v>23090347.13378913</v>
      </c>
      <c r="CG1040">
        <f t="shared" ca="1" si="475"/>
        <v>0</v>
      </c>
      <c r="CH1040" s="10" t="str">
        <f>分析データ!A1040</f>
        <v/>
      </c>
    </row>
    <row r="1041" spans="46:86">
      <c r="AT1041">
        <f ca="1">IF(ROW()&lt;($C$7+1),"",IFERROR((分析データ!B1041-AVERAGE(OFFSET(分析データ!B$1,MAX(1,ROW()-$C$7),0,MIN($C$7,ROW()-1),1)))/STDEV(OFFSET(分析データ!B$1,MAX(1,ROW()-$C$7),0,MIN($C$7,ROW()-1),1)),0))</f>
        <v>0</v>
      </c>
      <c r="AU1041">
        <f t="shared" ca="1" si="448"/>
        <v>0</v>
      </c>
      <c r="AV1041" t="str">
        <f ca="1">IF(AU1041=1,IF(INDEX(分析データ!$A:$A,ROW()+$C$5)&lt;&gt;"",80000*SIGN(AT1041)*(分析データ!B1041-INDEX(分析データ!B:B,ROW()+$C$5)),""),"")</f>
        <v/>
      </c>
      <c r="AW1041">
        <f t="shared" ca="1" si="449"/>
        <v>-1240000.0000000019</v>
      </c>
      <c r="AX1041">
        <f t="shared" ca="1" si="450"/>
        <v>0</v>
      </c>
      <c r="AY1041">
        <f t="shared" ca="1" si="451"/>
        <v>-1240000.0000000019</v>
      </c>
      <c r="AZ1041">
        <f ca="1">IF(ROW()&lt;($C$7+1),"",IFERROR((分析データ!C1041-AVERAGE(OFFSET(分析データ!C$1,MAX(1,ROW()-$C$7),0,MIN($C$7,ROW()-1),1)))/STDEV(OFFSET(分析データ!C$1,MAX(1,ROW()-$C$7),0,MIN($C$7,ROW()-1),1)),0))</f>
        <v>0</v>
      </c>
      <c r="BA1041">
        <f t="shared" ca="1" si="452"/>
        <v>0</v>
      </c>
      <c r="BB1041" t="str">
        <f ca="1">IF(BA1041=1,IF(INDEX(分析データ!$A:$A,ROW()+$C$5)&lt;&gt;"",60000*SIGN(AZ1041)*(分析データ!C1041-INDEX(分析データ!C:C,ROW()+$C$5)),""),"")</f>
        <v/>
      </c>
      <c r="BC1041">
        <f t="shared" ca="1" si="453"/>
        <v>-260999.9999999851</v>
      </c>
      <c r="BD1041">
        <f t="shared" ca="1" si="454"/>
        <v>3156000.0000000107</v>
      </c>
      <c r="BE1041">
        <f t="shared" ca="1" si="455"/>
        <v>-3416999.9999999958</v>
      </c>
      <c r="BF1041">
        <f ca="1">IF(ROW()&lt;($C$7+1),"",IFERROR((分析データ!D1041-AVERAGE(OFFSET(分析データ!D$1,MAX(1,ROW()-$C$7),0,MIN($C$7,ROW()-1),1)))/STDEV(OFFSET(分析データ!D$1,MAX(1,ROW()-$C$7),0,MIN($C$7,ROW()-1),1)),0))</f>
        <v>0</v>
      </c>
      <c r="BG1041">
        <f t="shared" ca="1" si="456"/>
        <v>0</v>
      </c>
      <c r="BH1041" t="str">
        <f ca="1">IF(BG1041=1,IF(INDEX(分析データ!$A:$A,ROW()+$C$5)&lt;&gt;"",50000*SIGN(BF1041)*(分析データ!D1041-INDEX(分析データ!D:D,ROW()+$C$5)),""),"")</f>
        <v/>
      </c>
      <c r="BI1041">
        <f t="shared" ca="1" si="457"/>
        <v>5570000.0000000205</v>
      </c>
      <c r="BJ1041">
        <f t="shared" ca="1" si="458"/>
        <v>5570000.0000000205</v>
      </c>
      <c r="BK1041">
        <f t="shared" ca="1" si="459"/>
        <v>0</v>
      </c>
      <c r="BL1041">
        <f ca="1">IF(ROW()&lt;($C$7+1),"",IFERROR((分析データ!E1041-AVERAGE(OFFSET(分析データ!E$1,MAX(1,ROW()-$C$7),0,MIN($C$7,ROW()-1),1)))/STDEV(OFFSET(分析データ!E$1,MAX(1,ROW()-$C$7),0,MIN($C$7,ROW()-1),1)),0))</f>
        <v>0</v>
      </c>
      <c r="BM1041">
        <f t="shared" ca="1" si="460"/>
        <v>0</v>
      </c>
      <c r="BN1041" t="str">
        <f ca="1">IF(BM1041=1,IF(INDEX(分析データ!$A:$A,ROW()+$C$5)&lt;&gt;"",40000*SIGN(BL1041)*(分析データ!E1041-INDEX(分析データ!E:E,ROW()+$C$5)),""),"")</f>
        <v/>
      </c>
      <c r="BO1041">
        <f t="shared" ca="1" si="461"/>
        <v>2720000.0000000014</v>
      </c>
      <c r="BP1041">
        <f t="shared" ca="1" si="462"/>
        <v>4280000.0000000028</v>
      </c>
      <c r="BQ1041">
        <f t="shared" ca="1" si="463"/>
        <v>-1560000.0000000014</v>
      </c>
      <c r="BR1041">
        <f ca="1">IF(ROW()&lt;($C$7+1),"",IFERROR((分析データ!F1041-AVERAGE(OFFSET(分析データ!F$1,MAX(1,ROW()-$C$7),0,MIN($C$7,ROW()-1),1)))/STDEV(OFFSET(分析データ!F$1,MAX(1,ROW()-$C$7),0,MIN($C$7,ROW()-1),1)),0))</f>
        <v>0</v>
      </c>
      <c r="BS1041">
        <f t="shared" ca="1" si="464"/>
        <v>0</v>
      </c>
      <c r="BT1041" t="str">
        <f ca="1">IF(BS1041=1,IF(INDEX(分析データ!$A:$A,ROW()+$C$5)&lt;&gt;"",40000*SIGN(BR1041)*(分析データ!F1041-INDEX(分析データ!F:F,ROW()+$C$5)),""),"")</f>
        <v/>
      </c>
      <c r="BU1041">
        <f t="shared" ca="1" si="465"/>
        <v>19816800</v>
      </c>
      <c r="BV1041">
        <f t="shared" ca="1" si="466"/>
        <v>19816800</v>
      </c>
      <c r="BW1041">
        <f t="shared" ca="1" si="467"/>
        <v>0</v>
      </c>
      <c r="BX1041">
        <f ca="1">IF(ROW()&lt;($C$7+1),"",IFERROR((分析データ!G1041-AVERAGE(OFFSET(分析データ!G$1,MAX(1,ROW()-$C$7),0,MIN($C$7,ROW()-1),1)))/STDEV(OFFSET(分析データ!G$1,MAX(1,ROW()-$C$7),0,MIN($C$7,ROW()-1),1)),0))</f>
        <v>0</v>
      </c>
      <c r="BY1041">
        <f t="shared" ca="1" si="468"/>
        <v>0</v>
      </c>
      <c r="BZ1041" t="str">
        <f ca="1">IF(BY1041=1,IF(INDEX(分析データ!$A:$A,ROW()+$C$5)&lt;&gt;"",40000*SIGN(BX1041)*(分析データ!G1041-INDEX(分析データ!G:G,ROW()+$C$5)),""),"")</f>
        <v/>
      </c>
      <c r="CA1041">
        <f t="shared" ca="1" si="469"/>
        <v>-3515452.8662109179</v>
      </c>
      <c r="CB1041">
        <f t="shared" ca="1" si="470"/>
        <v>11327520.000000004</v>
      </c>
      <c r="CC1041">
        <f t="shared" ca="1" si="471"/>
        <v>-14842972.866210923</v>
      </c>
      <c r="CD1041">
        <f t="shared" ca="1" si="472"/>
        <v>0</v>
      </c>
      <c r="CE1041">
        <f t="shared" ca="1" si="473"/>
        <v>23090347.13378913</v>
      </c>
      <c r="CF1041">
        <f t="shared" ca="1" si="474"/>
        <v>23090347.13378913</v>
      </c>
      <c r="CG1041">
        <f t="shared" ca="1" si="475"/>
        <v>0</v>
      </c>
      <c r="CH1041" s="10" t="str">
        <f>分析データ!A1041</f>
        <v/>
      </c>
    </row>
    <row r="1042" spans="46:86">
      <c r="AT1042">
        <f ca="1">IF(ROW()&lt;($C$7+1),"",IFERROR((分析データ!B1042-AVERAGE(OFFSET(分析データ!B$1,MAX(1,ROW()-$C$7),0,MIN($C$7,ROW()-1),1)))/STDEV(OFFSET(分析データ!B$1,MAX(1,ROW()-$C$7),0,MIN($C$7,ROW()-1),1)),0))</f>
        <v>0</v>
      </c>
      <c r="AU1042">
        <f t="shared" ca="1" si="448"/>
        <v>0</v>
      </c>
      <c r="AV1042" t="str">
        <f ca="1">IF(AU1042=1,IF(INDEX(分析データ!$A:$A,ROW()+$C$5)&lt;&gt;"",80000*SIGN(AT1042)*(分析データ!B1042-INDEX(分析データ!B:B,ROW()+$C$5)),""),"")</f>
        <v/>
      </c>
      <c r="AW1042">
        <f t="shared" ca="1" si="449"/>
        <v>-1240000.0000000019</v>
      </c>
      <c r="AX1042">
        <f t="shared" ca="1" si="450"/>
        <v>0</v>
      </c>
      <c r="AY1042">
        <f t="shared" ca="1" si="451"/>
        <v>-1240000.0000000019</v>
      </c>
      <c r="AZ1042">
        <f ca="1">IF(ROW()&lt;($C$7+1),"",IFERROR((分析データ!C1042-AVERAGE(OFFSET(分析データ!C$1,MAX(1,ROW()-$C$7),0,MIN($C$7,ROW()-1),1)))/STDEV(OFFSET(分析データ!C$1,MAX(1,ROW()-$C$7),0,MIN($C$7,ROW()-1),1)),0))</f>
        <v>0</v>
      </c>
      <c r="BA1042">
        <f t="shared" ca="1" si="452"/>
        <v>0</v>
      </c>
      <c r="BB1042" t="str">
        <f ca="1">IF(BA1042=1,IF(INDEX(分析データ!$A:$A,ROW()+$C$5)&lt;&gt;"",60000*SIGN(AZ1042)*(分析データ!C1042-INDEX(分析データ!C:C,ROW()+$C$5)),""),"")</f>
        <v/>
      </c>
      <c r="BC1042">
        <f t="shared" ca="1" si="453"/>
        <v>-260999.9999999851</v>
      </c>
      <c r="BD1042">
        <f t="shared" ca="1" si="454"/>
        <v>3156000.0000000107</v>
      </c>
      <c r="BE1042">
        <f t="shared" ca="1" si="455"/>
        <v>-3416999.9999999958</v>
      </c>
      <c r="BF1042">
        <f ca="1">IF(ROW()&lt;($C$7+1),"",IFERROR((分析データ!D1042-AVERAGE(OFFSET(分析データ!D$1,MAX(1,ROW()-$C$7),0,MIN($C$7,ROW()-1),1)))/STDEV(OFFSET(分析データ!D$1,MAX(1,ROW()-$C$7),0,MIN($C$7,ROW()-1),1)),0))</f>
        <v>0</v>
      </c>
      <c r="BG1042">
        <f t="shared" ca="1" si="456"/>
        <v>0</v>
      </c>
      <c r="BH1042" t="str">
        <f ca="1">IF(BG1042=1,IF(INDEX(分析データ!$A:$A,ROW()+$C$5)&lt;&gt;"",50000*SIGN(BF1042)*(分析データ!D1042-INDEX(分析データ!D:D,ROW()+$C$5)),""),"")</f>
        <v/>
      </c>
      <c r="BI1042">
        <f t="shared" ca="1" si="457"/>
        <v>5570000.0000000205</v>
      </c>
      <c r="BJ1042">
        <f t="shared" ca="1" si="458"/>
        <v>5570000.0000000205</v>
      </c>
      <c r="BK1042">
        <f t="shared" ca="1" si="459"/>
        <v>0</v>
      </c>
      <c r="BL1042">
        <f ca="1">IF(ROW()&lt;($C$7+1),"",IFERROR((分析データ!E1042-AVERAGE(OFFSET(分析データ!E$1,MAX(1,ROW()-$C$7),0,MIN($C$7,ROW()-1),1)))/STDEV(OFFSET(分析データ!E$1,MAX(1,ROW()-$C$7),0,MIN($C$7,ROW()-1),1)),0))</f>
        <v>0</v>
      </c>
      <c r="BM1042">
        <f t="shared" ca="1" si="460"/>
        <v>0</v>
      </c>
      <c r="BN1042" t="str">
        <f ca="1">IF(BM1042=1,IF(INDEX(分析データ!$A:$A,ROW()+$C$5)&lt;&gt;"",40000*SIGN(BL1042)*(分析データ!E1042-INDEX(分析データ!E:E,ROW()+$C$5)),""),"")</f>
        <v/>
      </c>
      <c r="BO1042">
        <f t="shared" ca="1" si="461"/>
        <v>2720000.0000000014</v>
      </c>
      <c r="BP1042">
        <f t="shared" ca="1" si="462"/>
        <v>4280000.0000000028</v>
      </c>
      <c r="BQ1042">
        <f t="shared" ca="1" si="463"/>
        <v>-1560000.0000000014</v>
      </c>
      <c r="BR1042">
        <f ca="1">IF(ROW()&lt;($C$7+1),"",IFERROR((分析データ!F1042-AVERAGE(OFFSET(分析データ!F$1,MAX(1,ROW()-$C$7),0,MIN($C$7,ROW()-1),1)))/STDEV(OFFSET(分析データ!F$1,MAX(1,ROW()-$C$7),0,MIN($C$7,ROW()-1),1)),0))</f>
        <v>0</v>
      </c>
      <c r="BS1042">
        <f t="shared" ca="1" si="464"/>
        <v>0</v>
      </c>
      <c r="BT1042" t="str">
        <f ca="1">IF(BS1042=1,IF(INDEX(分析データ!$A:$A,ROW()+$C$5)&lt;&gt;"",40000*SIGN(BR1042)*(分析データ!F1042-INDEX(分析データ!F:F,ROW()+$C$5)),""),"")</f>
        <v/>
      </c>
      <c r="BU1042">
        <f t="shared" ca="1" si="465"/>
        <v>19816800</v>
      </c>
      <c r="BV1042">
        <f t="shared" ca="1" si="466"/>
        <v>19816800</v>
      </c>
      <c r="BW1042">
        <f t="shared" ca="1" si="467"/>
        <v>0</v>
      </c>
      <c r="BX1042">
        <f ca="1">IF(ROW()&lt;($C$7+1),"",IFERROR((分析データ!G1042-AVERAGE(OFFSET(分析データ!G$1,MAX(1,ROW()-$C$7),0,MIN($C$7,ROW()-1),1)))/STDEV(OFFSET(分析データ!G$1,MAX(1,ROW()-$C$7),0,MIN($C$7,ROW()-1),1)),0))</f>
        <v>0</v>
      </c>
      <c r="BY1042">
        <f t="shared" ca="1" si="468"/>
        <v>0</v>
      </c>
      <c r="BZ1042" t="str">
        <f ca="1">IF(BY1042=1,IF(INDEX(分析データ!$A:$A,ROW()+$C$5)&lt;&gt;"",40000*SIGN(BX1042)*(分析データ!G1042-INDEX(分析データ!G:G,ROW()+$C$5)),""),"")</f>
        <v/>
      </c>
      <c r="CA1042">
        <f t="shared" ca="1" si="469"/>
        <v>-3515452.8662109179</v>
      </c>
      <c r="CB1042">
        <f t="shared" ca="1" si="470"/>
        <v>11327520.000000004</v>
      </c>
      <c r="CC1042">
        <f t="shared" ca="1" si="471"/>
        <v>-14842972.866210923</v>
      </c>
      <c r="CD1042">
        <f t="shared" ca="1" si="472"/>
        <v>0</v>
      </c>
      <c r="CE1042">
        <f t="shared" ca="1" si="473"/>
        <v>23090347.13378913</v>
      </c>
      <c r="CF1042">
        <f t="shared" ca="1" si="474"/>
        <v>23090347.13378913</v>
      </c>
      <c r="CG1042">
        <f t="shared" ca="1" si="475"/>
        <v>0</v>
      </c>
      <c r="CH1042" s="10" t="str">
        <f>分析データ!A1042</f>
        <v/>
      </c>
    </row>
    <row r="1043" spans="46:86">
      <c r="AT1043">
        <f ca="1">IF(ROW()&lt;($C$7+1),"",IFERROR((分析データ!B1043-AVERAGE(OFFSET(分析データ!B$1,MAX(1,ROW()-$C$7),0,MIN($C$7,ROW()-1),1)))/STDEV(OFFSET(分析データ!B$1,MAX(1,ROW()-$C$7),0,MIN($C$7,ROW()-1),1)),0))</f>
        <v>0</v>
      </c>
      <c r="AU1043">
        <f t="shared" ca="1" si="448"/>
        <v>0</v>
      </c>
      <c r="AV1043" t="str">
        <f ca="1">IF(AU1043=1,IF(INDEX(分析データ!$A:$A,ROW()+$C$5)&lt;&gt;"",80000*SIGN(AT1043)*(分析データ!B1043-INDEX(分析データ!B:B,ROW()+$C$5)),""),"")</f>
        <v/>
      </c>
      <c r="AW1043">
        <f t="shared" ca="1" si="449"/>
        <v>-1240000.0000000019</v>
      </c>
      <c r="AX1043">
        <f t="shared" ca="1" si="450"/>
        <v>0</v>
      </c>
      <c r="AY1043">
        <f t="shared" ca="1" si="451"/>
        <v>-1240000.0000000019</v>
      </c>
      <c r="AZ1043">
        <f ca="1">IF(ROW()&lt;($C$7+1),"",IFERROR((分析データ!C1043-AVERAGE(OFFSET(分析データ!C$1,MAX(1,ROW()-$C$7),0,MIN($C$7,ROW()-1),1)))/STDEV(OFFSET(分析データ!C$1,MAX(1,ROW()-$C$7),0,MIN($C$7,ROW()-1),1)),0))</f>
        <v>0</v>
      </c>
      <c r="BA1043">
        <f t="shared" ca="1" si="452"/>
        <v>0</v>
      </c>
      <c r="BB1043" t="str">
        <f ca="1">IF(BA1043=1,IF(INDEX(分析データ!$A:$A,ROW()+$C$5)&lt;&gt;"",60000*SIGN(AZ1043)*(分析データ!C1043-INDEX(分析データ!C:C,ROW()+$C$5)),""),"")</f>
        <v/>
      </c>
      <c r="BC1043">
        <f t="shared" ca="1" si="453"/>
        <v>-260999.9999999851</v>
      </c>
      <c r="BD1043">
        <f t="shared" ca="1" si="454"/>
        <v>3156000.0000000107</v>
      </c>
      <c r="BE1043">
        <f t="shared" ca="1" si="455"/>
        <v>-3416999.9999999958</v>
      </c>
      <c r="BF1043">
        <f ca="1">IF(ROW()&lt;($C$7+1),"",IFERROR((分析データ!D1043-AVERAGE(OFFSET(分析データ!D$1,MAX(1,ROW()-$C$7),0,MIN($C$7,ROW()-1),1)))/STDEV(OFFSET(分析データ!D$1,MAX(1,ROW()-$C$7),0,MIN($C$7,ROW()-1),1)),0))</f>
        <v>0</v>
      </c>
      <c r="BG1043">
        <f t="shared" ca="1" si="456"/>
        <v>0</v>
      </c>
      <c r="BH1043" t="str">
        <f ca="1">IF(BG1043=1,IF(INDEX(分析データ!$A:$A,ROW()+$C$5)&lt;&gt;"",50000*SIGN(BF1043)*(分析データ!D1043-INDEX(分析データ!D:D,ROW()+$C$5)),""),"")</f>
        <v/>
      </c>
      <c r="BI1043">
        <f t="shared" ca="1" si="457"/>
        <v>5570000.0000000205</v>
      </c>
      <c r="BJ1043">
        <f t="shared" ca="1" si="458"/>
        <v>5570000.0000000205</v>
      </c>
      <c r="BK1043">
        <f t="shared" ca="1" si="459"/>
        <v>0</v>
      </c>
      <c r="BL1043">
        <f ca="1">IF(ROW()&lt;($C$7+1),"",IFERROR((分析データ!E1043-AVERAGE(OFFSET(分析データ!E$1,MAX(1,ROW()-$C$7),0,MIN($C$7,ROW()-1),1)))/STDEV(OFFSET(分析データ!E$1,MAX(1,ROW()-$C$7),0,MIN($C$7,ROW()-1),1)),0))</f>
        <v>0</v>
      </c>
      <c r="BM1043">
        <f t="shared" ca="1" si="460"/>
        <v>0</v>
      </c>
      <c r="BN1043" t="str">
        <f ca="1">IF(BM1043=1,IF(INDEX(分析データ!$A:$A,ROW()+$C$5)&lt;&gt;"",40000*SIGN(BL1043)*(分析データ!E1043-INDEX(分析データ!E:E,ROW()+$C$5)),""),"")</f>
        <v/>
      </c>
      <c r="BO1043">
        <f t="shared" ca="1" si="461"/>
        <v>2720000.0000000014</v>
      </c>
      <c r="BP1043">
        <f t="shared" ca="1" si="462"/>
        <v>4280000.0000000028</v>
      </c>
      <c r="BQ1043">
        <f t="shared" ca="1" si="463"/>
        <v>-1560000.0000000014</v>
      </c>
      <c r="BR1043">
        <f ca="1">IF(ROW()&lt;($C$7+1),"",IFERROR((分析データ!F1043-AVERAGE(OFFSET(分析データ!F$1,MAX(1,ROW()-$C$7),0,MIN($C$7,ROW()-1),1)))/STDEV(OFFSET(分析データ!F$1,MAX(1,ROW()-$C$7),0,MIN($C$7,ROW()-1),1)),0))</f>
        <v>0</v>
      </c>
      <c r="BS1043">
        <f t="shared" ca="1" si="464"/>
        <v>0</v>
      </c>
      <c r="BT1043" t="str">
        <f ca="1">IF(BS1043=1,IF(INDEX(分析データ!$A:$A,ROW()+$C$5)&lt;&gt;"",40000*SIGN(BR1043)*(分析データ!F1043-INDEX(分析データ!F:F,ROW()+$C$5)),""),"")</f>
        <v/>
      </c>
      <c r="BU1043">
        <f t="shared" ca="1" si="465"/>
        <v>19816800</v>
      </c>
      <c r="BV1043">
        <f t="shared" ca="1" si="466"/>
        <v>19816800</v>
      </c>
      <c r="BW1043">
        <f t="shared" ca="1" si="467"/>
        <v>0</v>
      </c>
      <c r="BX1043">
        <f ca="1">IF(ROW()&lt;($C$7+1),"",IFERROR((分析データ!G1043-AVERAGE(OFFSET(分析データ!G$1,MAX(1,ROW()-$C$7),0,MIN($C$7,ROW()-1),1)))/STDEV(OFFSET(分析データ!G$1,MAX(1,ROW()-$C$7),0,MIN($C$7,ROW()-1),1)),0))</f>
        <v>0</v>
      </c>
      <c r="BY1043">
        <f t="shared" ca="1" si="468"/>
        <v>0</v>
      </c>
      <c r="BZ1043" t="str">
        <f ca="1">IF(BY1043=1,IF(INDEX(分析データ!$A:$A,ROW()+$C$5)&lt;&gt;"",40000*SIGN(BX1043)*(分析データ!G1043-INDEX(分析データ!G:G,ROW()+$C$5)),""),"")</f>
        <v/>
      </c>
      <c r="CA1043">
        <f t="shared" ca="1" si="469"/>
        <v>-3515452.8662109179</v>
      </c>
      <c r="CB1043">
        <f t="shared" ca="1" si="470"/>
        <v>11327520.000000004</v>
      </c>
      <c r="CC1043">
        <f t="shared" ca="1" si="471"/>
        <v>-14842972.866210923</v>
      </c>
      <c r="CD1043">
        <f t="shared" ca="1" si="472"/>
        <v>0</v>
      </c>
      <c r="CE1043">
        <f t="shared" ca="1" si="473"/>
        <v>23090347.13378913</v>
      </c>
      <c r="CF1043">
        <f t="shared" ca="1" si="474"/>
        <v>23090347.13378913</v>
      </c>
      <c r="CG1043">
        <f t="shared" ca="1" si="475"/>
        <v>0</v>
      </c>
      <c r="CH1043" s="10" t="str">
        <f>分析データ!A1043</f>
        <v/>
      </c>
    </row>
    <row r="1044" spans="46:86">
      <c r="AT1044">
        <f ca="1">IF(ROW()&lt;($C$7+1),"",IFERROR((分析データ!B1044-AVERAGE(OFFSET(分析データ!B$1,MAX(1,ROW()-$C$7),0,MIN($C$7,ROW()-1),1)))/STDEV(OFFSET(分析データ!B$1,MAX(1,ROW()-$C$7),0,MIN($C$7,ROW()-1),1)),0))</f>
        <v>0</v>
      </c>
      <c r="AU1044">
        <f t="shared" ca="1" si="448"/>
        <v>0</v>
      </c>
      <c r="AV1044" t="str">
        <f ca="1">IF(AU1044=1,IF(INDEX(分析データ!$A:$A,ROW()+$C$5)&lt;&gt;"",80000*SIGN(AT1044)*(分析データ!B1044-INDEX(分析データ!B:B,ROW()+$C$5)),""),"")</f>
        <v/>
      </c>
      <c r="AW1044">
        <f t="shared" ca="1" si="449"/>
        <v>-1240000.0000000019</v>
      </c>
      <c r="AX1044">
        <f t="shared" ca="1" si="450"/>
        <v>0</v>
      </c>
      <c r="AY1044">
        <f t="shared" ca="1" si="451"/>
        <v>-1240000.0000000019</v>
      </c>
      <c r="AZ1044">
        <f ca="1">IF(ROW()&lt;($C$7+1),"",IFERROR((分析データ!C1044-AVERAGE(OFFSET(分析データ!C$1,MAX(1,ROW()-$C$7),0,MIN($C$7,ROW()-1),1)))/STDEV(OFFSET(分析データ!C$1,MAX(1,ROW()-$C$7),0,MIN($C$7,ROW()-1),1)),0))</f>
        <v>0</v>
      </c>
      <c r="BA1044">
        <f t="shared" ca="1" si="452"/>
        <v>0</v>
      </c>
      <c r="BB1044" t="str">
        <f ca="1">IF(BA1044=1,IF(INDEX(分析データ!$A:$A,ROW()+$C$5)&lt;&gt;"",60000*SIGN(AZ1044)*(分析データ!C1044-INDEX(分析データ!C:C,ROW()+$C$5)),""),"")</f>
        <v/>
      </c>
      <c r="BC1044">
        <f t="shared" ca="1" si="453"/>
        <v>-260999.9999999851</v>
      </c>
      <c r="BD1044">
        <f t="shared" ca="1" si="454"/>
        <v>3156000.0000000107</v>
      </c>
      <c r="BE1044">
        <f t="shared" ca="1" si="455"/>
        <v>-3416999.9999999958</v>
      </c>
      <c r="BF1044">
        <f ca="1">IF(ROW()&lt;($C$7+1),"",IFERROR((分析データ!D1044-AVERAGE(OFFSET(分析データ!D$1,MAX(1,ROW()-$C$7),0,MIN($C$7,ROW()-1),1)))/STDEV(OFFSET(分析データ!D$1,MAX(1,ROW()-$C$7),0,MIN($C$7,ROW()-1),1)),0))</f>
        <v>0</v>
      </c>
      <c r="BG1044">
        <f t="shared" ca="1" si="456"/>
        <v>0</v>
      </c>
      <c r="BH1044" t="str">
        <f ca="1">IF(BG1044=1,IF(INDEX(分析データ!$A:$A,ROW()+$C$5)&lt;&gt;"",50000*SIGN(BF1044)*(分析データ!D1044-INDEX(分析データ!D:D,ROW()+$C$5)),""),"")</f>
        <v/>
      </c>
      <c r="BI1044">
        <f t="shared" ca="1" si="457"/>
        <v>5570000.0000000205</v>
      </c>
      <c r="BJ1044">
        <f t="shared" ca="1" si="458"/>
        <v>5570000.0000000205</v>
      </c>
      <c r="BK1044">
        <f t="shared" ca="1" si="459"/>
        <v>0</v>
      </c>
      <c r="BL1044">
        <f ca="1">IF(ROW()&lt;($C$7+1),"",IFERROR((分析データ!E1044-AVERAGE(OFFSET(分析データ!E$1,MAX(1,ROW()-$C$7),0,MIN($C$7,ROW()-1),1)))/STDEV(OFFSET(分析データ!E$1,MAX(1,ROW()-$C$7),0,MIN($C$7,ROW()-1),1)),0))</f>
        <v>0</v>
      </c>
      <c r="BM1044">
        <f t="shared" ca="1" si="460"/>
        <v>0</v>
      </c>
      <c r="BN1044" t="str">
        <f ca="1">IF(BM1044=1,IF(INDEX(分析データ!$A:$A,ROW()+$C$5)&lt;&gt;"",40000*SIGN(BL1044)*(分析データ!E1044-INDEX(分析データ!E:E,ROW()+$C$5)),""),"")</f>
        <v/>
      </c>
      <c r="BO1044">
        <f t="shared" ca="1" si="461"/>
        <v>2720000.0000000014</v>
      </c>
      <c r="BP1044">
        <f t="shared" ca="1" si="462"/>
        <v>4280000.0000000028</v>
      </c>
      <c r="BQ1044">
        <f t="shared" ca="1" si="463"/>
        <v>-1560000.0000000014</v>
      </c>
      <c r="BR1044">
        <f ca="1">IF(ROW()&lt;($C$7+1),"",IFERROR((分析データ!F1044-AVERAGE(OFFSET(分析データ!F$1,MAX(1,ROW()-$C$7),0,MIN($C$7,ROW()-1),1)))/STDEV(OFFSET(分析データ!F$1,MAX(1,ROW()-$C$7),0,MIN($C$7,ROW()-1),1)),0))</f>
        <v>0</v>
      </c>
      <c r="BS1044">
        <f t="shared" ca="1" si="464"/>
        <v>0</v>
      </c>
      <c r="BT1044" t="str">
        <f ca="1">IF(BS1044=1,IF(INDEX(分析データ!$A:$A,ROW()+$C$5)&lt;&gt;"",40000*SIGN(BR1044)*(分析データ!F1044-INDEX(分析データ!F:F,ROW()+$C$5)),""),"")</f>
        <v/>
      </c>
      <c r="BU1044">
        <f t="shared" ca="1" si="465"/>
        <v>19816800</v>
      </c>
      <c r="BV1044">
        <f t="shared" ca="1" si="466"/>
        <v>19816800</v>
      </c>
      <c r="BW1044">
        <f t="shared" ca="1" si="467"/>
        <v>0</v>
      </c>
      <c r="BX1044">
        <f ca="1">IF(ROW()&lt;($C$7+1),"",IFERROR((分析データ!G1044-AVERAGE(OFFSET(分析データ!G$1,MAX(1,ROW()-$C$7),0,MIN($C$7,ROW()-1),1)))/STDEV(OFFSET(分析データ!G$1,MAX(1,ROW()-$C$7),0,MIN($C$7,ROW()-1),1)),0))</f>
        <v>0</v>
      </c>
      <c r="BY1044">
        <f t="shared" ca="1" si="468"/>
        <v>0</v>
      </c>
      <c r="BZ1044" t="str">
        <f ca="1">IF(BY1044=1,IF(INDEX(分析データ!$A:$A,ROW()+$C$5)&lt;&gt;"",40000*SIGN(BX1044)*(分析データ!G1044-INDEX(分析データ!G:G,ROW()+$C$5)),""),"")</f>
        <v/>
      </c>
      <c r="CA1044">
        <f t="shared" ca="1" si="469"/>
        <v>-3515452.8662109179</v>
      </c>
      <c r="CB1044">
        <f t="shared" ca="1" si="470"/>
        <v>11327520.000000004</v>
      </c>
      <c r="CC1044">
        <f t="shared" ca="1" si="471"/>
        <v>-14842972.866210923</v>
      </c>
      <c r="CD1044">
        <f t="shared" ca="1" si="472"/>
        <v>0</v>
      </c>
      <c r="CE1044">
        <f t="shared" ca="1" si="473"/>
        <v>23090347.13378913</v>
      </c>
      <c r="CF1044">
        <f t="shared" ca="1" si="474"/>
        <v>23090347.13378913</v>
      </c>
      <c r="CG1044">
        <f t="shared" ca="1" si="475"/>
        <v>0</v>
      </c>
      <c r="CH1044" s="10" t="str">
        <f>分析データ!A1044</f>
        <v/>
      </c>
    </row>
    <row r="1045" spans="46:86">
      <c r="AT1045">
        <f ca="1">IF(ROW()&lt;($C$7+1),"",IFERROR((分析データ!B1045-AVERAGE(OFFSET(分析データ!B$1,MAX(1,ROW()-$C$7),0,MIN($C$7,ROW()-1),1)))/STDEV(OFFSET(分析データ!B$1,MAX(1,ROW()-$C$7),0,MIN($C$7,ROW()-1),1)),0))</f>
        <v>0</v>
      </c>
      <c r="AU1045">
        <f t="shared" ca="1" si="448"/>
        <v>0</v>
      </c>
      <c r="AV1045" t="str">
        <f ca="1">IF(AU1045=1,IF(INDEX(分析データ!$A:$A,ROW()+$C$5)&lt;&gt;"",80000*SIGN(AT1045)*(分析データ!B1045-INDEX(分析データ!B:B,ROW()+$C$5)),""),"")</f>
        <v/>
      </c>
      <c r="AW1045">
        <f t="shared" ca="1" si="449"/>
        <v>-1240000.0000000019</v>
      </c>
      <c r="AX1045">
        <f t="shared" ca="1" si="450"/>
        <v>0</v>
      </c>
      <c r="AY1045">
        <f t="shared" ca="1" si="451"/>
        <v>-1240000.0000000019</v>
      </c>
      <c r="AZ1045">
        <f ca="1">IF(ROW()&lt;($C$7+1),"",IFERROR((分析データ!C1045-AVERAGE(OFFSET(分析データ!C$1,MAX(1,ROW()-$C$7),0,MIN($C$7,ROW()-1),1)))/STDEV(OFFSET(分析データ!C$1,MAX(1,ROW()-$C$7),0,MIN($C$7,ROW()-1),1)),0))</f>
        <v>0</v>
      </c>
      <c r="BA1045">
        <f t="shared" ca="1" si="452"/>
        <v>0</v>
      </c>
      <c r="BB1045" t="str">
        <f ca="1">IF(BA1045=1,IF(INDEX(分析データ!$A:$A,ROW()+$C$5)&lt;&gt;"",60000*SIGN(AZ1045)*(分析データ!C1045-INDEX(分析データ!C:C,ROW()+$C$5)),""),"")</f>
        <v/>
      </c>
      <c r="BC1045">
        <f t="shared" ca="1" si="453"/>
        <v>-260999.9999999851</v>
      </c>
      <c r="BD1045">
        <f t="shared" ca="1" si="454"/>
        <v>3156000.0000000107</v>
      </c>
      <c r="BE1045">
        <f t="shared" ca="1" si="455"/>
        <v>-3416999.9999999958</v>
      </c>
      <c r="BF1045">
        <f ca="1">IF(ROW()&lt;($C$7+1),"",IFERROR((分析データ!D1045-AVERAGE(OFFSET(分析データ!D$1,MAX(1,ROW()-$C$7),0,MIN($C$7,ROW()-1),1)))/STDEV(OFFSET(分析データ!D$1,MAX(1,ROW()-$C$7),0,MIN($C$7,ROW()-1),1)),0))</f>
        <v>0</v>
      </c>
      <c r="BG1045">
        <f t="shared" ca="1" si="456"/>
        <v>0</v>
      </c>
      <c r="BH1045" t="str">
        <f ca="1">IF(BG1045=1,IF(INDEX(分析データ!$A:$A,ROW()+$C$5)&lt;&gt;"",50000*SIGN(BF1045)*(分析データ!D1045-INDEX(分析データ!D:D,ROW()+$C$5)),""),"")</f>
        <v/>
      </c>
      <c r="BI1045">
        <f t="shared" ca="1" si="457"/>
        <v>5570000.0000000205</v>
      </c>
      <c r="BJ1045">
        <f t="shared" ca="1" si="458"/>
        <v>5570000.0000000205</v>
      </c>
      <c r="BK1045">
        <f t="shared" ca="1" si="459"/>
        <v>0</v>
      </c>
      <c r="BL1045">
        <f ca="1">IF(ROW()&lt;($C$7+1),"",IFERROR((分析データ!E1045-AVERAGE(OFFSET(分析データ!E$1,MAX(1,ROW()-$C$7),0,MIN($C$7,ROW()-1),1)))/STDEV(OFFSET(分析データ!E$1,MAX(1,ROW()-$C$7),0,MIN($C$7,ROW()-1),1)),0))</f>
        <v>0</v>
      </c>
      <c r="BM1045">
        <f t="shared" ca="1" si="460"/>
        <v>0</v>
      </c>
      <c r="BN1045" t="str">
        <f ca="1">IF(BM1045=1,IF(INDEX(分析データ!$A:$A,ROW()+$C$5)&lt;&gt;"",40000*SIGN(BL1045)*(分析データ!E1045-INDEX(分析データ!E:E,ROW()+$C$5)),""),"")</f>
        <v/>
      </c>
      <c r="BO1045">
        <f t="shared" ca="1" si="461"/>
        <v>2720000.0000000014</v>
      </c>
      <c r="BP1045">
        <f t="shared" ca="1" si="462"/>
        <v>4280000.0000000028</v>
      </c>
      <c r="BQ1045">
        <f t="shared" ca="1" si="463"/>
        <v>-1560000.0000000014</v>
      </c>
      <c r="BR1045">
        <f ca="1">IF(ROW()&lt;($C$7+1),"",IFERROR((分析データ!F1045-AVERAGE(OFFSET(分析データ!F$1,MAX(1,ROW()-$C$7),0,MIN($C$7,ROW()-1),1)))/STDEV(OFFSET(分析データ!F$1,MAX(1,ROW()-$C$7),0,MIN($C$7,ROW()-1),1)),0))</f>
        <v>0</v>
      </c>
      <c r="BS1045">
        <f t="shared" ca="1" si="464"/>
        <v>0</v>
      </c>
      <c r="BT1045" t="str">
        <f ca="1">IF(BS1045=1,IF(INDEX(分析データ!$A:$A,ROW()+$C$5)&lt;&gt;"",40000*SIGN(BR1045)*(分析データ!F1045-INDEX(分析データ!F:F,ROW()+$C$5)),""),"")</f>
        <v/>
      </c>
      <c r="BU1045">
        <f t="shared" ca="1" si="465"/>
        <v>19816800</v>
      </c>
      <c r="BV1045">
        <f t="shared" ca="1" si="466"/>
        <v>19816800</v>
      </c>
      <c r="BW1045">
        <f t="shared" ca="1" si="467"/>
        <v>0</v>
      </c>
      <c r="BX1045">
        <f ca="1">IF(ROW()&lt;($C$7+1),"",IFERROR((分析データ!G1045-AVERAGE(OFFSET(分析データ!G$1,MAX(1,ROW()-$C$7),0,MIN($C$7,ROW()-1),1)))/STDEV(OFFSET(分析データ!G$1,MAX(1,ROW()-$C$7),0,MIN($C$7,ROW()-1),1)),0))</f>
        <v>0</v>
      </c>
      <c r="BY1045">
        <f t="shared" ca="1" si="468"/>
        <v>0</v>
      </c>
      <c r="BZ1045" t="str">
        <f ca="1">IF(BY1045=1,IF(INDEX(分析データ!$A:$A,ROW()+$C$5)&lt;&gt;"",40000*SIGN(BX1045)*(分析データ!G1045-INDEX(分析データ!G:G,ROW()+$C$5)),""),"")</f>
        <v/>
      </c>
      <c r="CA1045">
        <f t="shared" ca="1" si="469"/>
        <v>-3515452.8662109179</v>
      </c>
      <c r="CB1045">
        <f t="shared" ca="1" si="470"/>
        <v>11327520.000000004</v>
      </c>
      <c r="CC1045">
        <f t="shared" ca="1" si="471"/>
        <v>-14842972.866210923</v>
      </c>
      <c r="CD1045">
        <f t="shared" ca="1" si="472"/>
        <v>0</v>
      </c>
      <c r="CE1045">
        <f t="shared" ca="1" si="473"/>
        <v>23090347.13378913</v>
      </c>
      <c r="CF1045">
        <f t="shared" ca="1" si="474"/>
        <v>23090347.13378913</v>
      </c>
      <c r="CG1045">
        <f t="shared" ca="1" si="475"/>
        <v>0</v>
      </c>
      <c r="CH1045" s="10" t="str">
        <f>分析データ!A1045</f>
        <v/>
      </c>
    </row>
    <row r="1046" spans="46:86">
      <c r="AT1046">
        <f ca="1">IF(ROW()&lt;($C$7+1),"",IFERROR((分析データ!B1046-AVERAGE(OFFSET(分析データ!B$1,MAX(1,ROW()-$C$7),0,MIN($C$7,ROW()-1),1)))/STDEV(OFFSET(分析データ!B$1,MAX(1,ROW()-$C$7),0,MIN($C$7,ROW()-1),1)),0))</f>
        <v>0</v>
      </c>
      <c r="AU1046">
        <f t="shared" ca="1" si="448"/>
        <v>0</v>
      </c>
      <c r="AV1046" t="str">
        <f ca="1">IF(AU1046=1,IF(INDEX(分析データ!$A:$A,ROW()+$C$5)&lt;&gt;"",80000*SIGN(AT1046)*(分析データ!B1046-INDEX(分析データ!B:B,ROW()+$C$5)),""),"")</f>
        <v/>
      </c>
      <c r="AW1046">
        <f t="shared" ca="1" si="449"/>
        <v>-1240000.0000000019</v>
      </c>
      <c r="AX1046">
        <f t="shared" ca="1" si="450"/>
        <v>0</v>
      </c>
      <c r="AY1046">
        <f t="shared" ca="1" si="451"/>
        <v>-1240000.0000000019</v>
      </c>
      <c r="AZ1046">
        <f ca="1">IF(ROW()&lt;($C$7+1),"",IFERROR((分析データ!C1046-AVERAGE(OFFSET(分析データ!C$1,MAX(1,ROW()-$C$7),0,MIN($C$7,ROW()-1),1)))/STDEV(OFFSET(分析データ!C$1,MAX(1,ROW()-$C$7),0,MIN($C$7,ROW()-1),1)),0))</f>
        <v>0</v>
      </c>
      <c r="BA1046">
        <f t="shared" ca="1" si="452"/>
        <v>0</v>
      </c>
      <c r="BB1046" t="str">
        <f ca="1">IF(BA1046=1,IF(INDEX(分析データ!$A:$A,ROW()+$C$5)&lt;&gt;"",60000*SIGN(AZ1046)*(分析データ!C1046-INDEX(分析データ!C:C,ROW()+$C$5)),""),"")</f>
        <v/>
      </c>
      <c r="BC1046">
        <f t="shared" ca="1" si="453"/>
        <v>-260999.9999999851</v>
      </c>
      <c r="BD1046">
        <f t="shared" ca="1" si="454"/>
        <v>3156000.0000000107</v>
      </c>
      <c r="BE1046">
        <f t="shared" ca="1" si="455"/>
        <v>-3416999.9999999958</v>
      </c>
      <c r="BF1046">
        <f ca="1">IF(ROW()&lt;($C$7+1),"",IFERROR((分析データ!D1046-AVERAGE(OFFSET(分析データ!D$1,MAX(1,ROW()-$C$7),0,MIN($C$7,ROW()-1),1)))/STDEV(OFFSET(分析データ!D$1,MAX(1,ROW()-$C$7),0,MIN($C$7,ROW()-1),1)),0))</f>
        <v>0</v>
      </c>
      <c r="BG1046">
        <f t="shared" ca="1" si="456"/>
        <v>0</v>
      </c>
      <c r="BH1046" t="str">
        <f ca="1">IF(BG1046=1,IF(INDEX(分析データ!$A:$A,ROW()+$C$5)&lt;&gt;"",50000*SIGN(BF1046)*(分析データ!D1046-INDEX(分析データ!D:D,ROW()+$C$5)),""),"")</f>
        <v/>
      </c>
      <c r="BI1046">
        <f t="shared" ca="1" si="457"/>
        <v>5570000.0000000205</v>
      </c>
      <c r="BJ1046">
        <f t="shared" ca="1" si="458"/>
        <v>5570000.0000000205</v>
      </c>
      <c r="BK1046">
        <f t="shared" ca="1" si="459"/>
        <v>0</v>
      </c>
      <c r="BL1046">
        <f ca="1">IF(ROW()&lt;($C$7+1),"",IFERROR((分析データ!E1046-AVERAGE(OFFSET(分析データ!E$1,MAX(1,ROW()-$C$7),0,MIN($C$7,ROW()-1),1)))/STDEV(OFFSET(分析データ!E$1,MAX(1,ROW()-$C$7),0,MIN($C$7,ROW()-1),1)),0))</f>
        <v>0</v>
      </c>
      <c r="BM1046">
        <f t="shared" ca="1" si="460"/>
        <v>0</v>
      </c>
      <c r="BN1046" t="str">
        <f ca="1">IF(BM1046=1,IF(INDEX(分析データ!$A:$A,ROW()+$C$5)&lt;&gt;"",40000*SIGN(BL1046)*(分析データ!E1046-INDEX(分析データ!E:E,ROW()+$C$5)),""),"")</f>
        <v/>
      </c>
      <c r="BO1046">
        <f t="shared" ca="1" si="461"/>
        <v>2720000.0000000014</v>
      </c>
      <c r="BP1046">
        <f t="shared" ca="1" si="462"/>
        <v>4280000.0000000028</v>
      </c>
      <c r="BQ1046">
        <f t="shared" ca="1" si="463"/>
        <v>-1560000.0000000014</v>
      </c>
      <c r="BR1046">
        <f ca="1">IF(ROW()&lt;($C$7+1),"",IFERROR((分析データ!F1046-AVERAGE(OFFSET(分析データ!F$1,MAX(1,ROW()-$C$7),0,MIN($C$7,ROW()-1),1)))/STDEV(OFFSET(分析データ!F$1,MAX(1,ROW()-$C$7),0,MIN($C$7,ROW()-1),1)),0))</f>
        <v>0</v>
      </c>
      <c r="BS1046">
        <f t="shared" ca="1" si="464"/>
        <v>0</v>
      </c>
      <c r="BT1046" t="str">
        <f ca="1">IF(BS1046=1,IF(INDEX(分析データ!$A:$A,ROW()+$C$5)&lt;&gt;"",40000*SIGN(BR1046)*(分析データ!F1046-INDEX(分析データ!F:F,ROW()+$C$5)),""),"")</f>
        <v/>
      </c>
      <c r="BU1046">
        <f t="shared" ca="1" si="465"/>
        <v>19816800</v>
      </c>
      <c r="BV1046">
        <f t="shared" ca="1" si="466"/>
        <v>19816800</v>
      </c>
      <c r="BW1046">
        <f t="shared" ca="1" si="467"/>
        <v>0</v>
      </c>
      <c r="BX1046">
        <f ca="1">IF(ROW()&lt;($C$7+1),"",IFERROR((分析データ!G1046-AVERAGE(OFFSET(分析データ!G$1,MAX(1,ROW()-$C$7),0,MIN($C$7,ROW()-1),1)))/STDEV(OFFSET(分析データ!G$1,MAX(1,ROW()-$C$7),0,MIN($C$7,ROW()-1),1)),0))</f>
        <v>0</v>
      </c>
      <c r="BY1046">
        <f t="shared" ca="1" si="468"/>
        <v>0</v>
      </c>
      <c r="BZ1046" t="str">
        <f ca="1">IF(BY1046=1,IF(INDEX(分析データ!$A:$A,ROW()+$C$5)&lt;&gt;"",40000*SIGN(BX1046)*(分析データ!G1046-INDEX(分析データ!G:G,ROW()+$C$5)),""),"")</f>
        <v/>
      </c>
      <c r="CA1046">
        <f t="shared" ca="1" si="469"/>
        <v>-3515452.8662109179</v>
      </c>
      <c r="CB1046">
        <f t="shared" ca="1" si="470"/>
        <v>11327520.000000004</v>
      </c>
      <c r="CC1046">
        <f t="shared" ca="1" si="471"/>
        <v>-14842972.866210923</v>
      </c>
      <c r="CD1046">
        <f t="shared" ca="1" si="472"/>
        <v>0</v>
      </c>
      <c r="CE1046">
        <f t="shared" ca="1" si="473"/>
        <v>23090347.13378913</v>
      </c>
      <c r="CF1046">
        <f t="shared" ca="1" si="474"/>
        <v>23090347.13378913</v>
      </c>
      <c r="CG1046">
        <f t="shared" ca="1" si="475"/>
        <v>0</v>
      </c>
      <c r="CH1046" s="10" t="str">
        <f>分析データ!A1046</f>
        <v/>
      </c>
    </row>
    <row r="1047" spans="46:86">
      <c r="AT1047">
        <f ca="1">IF(ROW()&lt;($C$7+1),"",IFERROR((分析データ!B1047-AVERAGE(OFFSET(分析データ!B$1,MAX(1,ROW()-$C$7),0,MIN($C$7,ROW()-1),1)))/STDEV(OFFSET(分析データ!B$1,MAX(1,ROW()-$C$7),0,MIN($C$7,ROW()-1),1)),0))</f>
        <v>0</v>
      </c>
      <c r="AU1047">
        <f t="shared" ca="1" si="448"/>
        <v>0</v>
      </c>
      <c r="AV1047" t="str">
        <f ca="1">IF(AU1047=1,IF(INDEX(分析データ!$A:$A,ROW()+$C$5)&lt;&gt;"",80000*SIGN(AT1047)*(分析データ!B1047-INDEX(分析データ!B:B,ROW()+$C$5)),""),"")</f>
        <v/>
      </c>
      <c r="AW1047">
        <f t="shared" ca="1" si="449"/>
        <v>-1240000.0000000019</v>
      </c>
      <c r="AX1047">
        <f t="shared" ca="1" si="450"/>
        <v>0</v>
      </c>
      <c r="AY1047">
        <f t="shared" ca="1" si="451"/>
        <v>-1240000.0000000019</v>
      </c>
      <c r="AZ1047">
        <f ca="1">IF(ROW()&lt;($C$7+1),"",IFERROR((分析データ!C1047-AVERAGE(OFFSET(分析データ!C$1,MAX(1,ROW()-$C$7),0,MIN($C$7,ROW()-1),1)))/STDEV(OFFSET(分析データ!C$1,MAX(1,ROW()-$C$7),0,MIN($C$7,ROW()-1),1)),0))</f>
        <v>0</v>
      </c>
      <c r="BA1047">
        <f t="shared" ca="1" si="452"/>
        <v>0</v>
      </c>
      <c r="BB1047" t="str">
        <f ca="1">IF(BA1047=1,IF(INDEX(分析データ!$A:$A,ROW()+$C$5)&lt;&gt;"",60000*SIGN(AZ1047)*(分析データ!C1047-INDEX(分析データ!C:C,ROW()+$C$5)),""),"")</f>
        <v/>
      </c>
      <c r="BC1047">
        <f t="shared" ca="1" si="453"/>
        <v>-260999.9999999851</v>
      </c>
      <c r="BD1047">
        <f t="shared" ca="1" si="454"/>
        <v>3156000.0000000107</v>
      </c>
      <c r="BE1047">
        <f t="shared" ca="1" si="455"/>
        <v>-3416999.9999999958</v>
      </c>
      <c r="BF1047">
        <f ca="1">IF(ROW()&lt;($C$7+1),"",IFERROR((分析データ!D1047-AVERAGE(OFFSET(分析データ!D$1,MAX(1,ROW()-$C$7),0,MIN($C$7,ROW()-1),1)))/STDEV(OFFSET(分析データ!D$1,MAX(1,ROW()-$C$7),0,MIN($C$7,ROW()-1),1)),0))</f>
        <v>0</v>
      </c>
      <c r="BG1047">
        <f t="shared" ca="1" si="456"/>
        <v>0</v>
      </c>
      <c r="BH1047" t="str">
        <f ca="1">IF(BG1047=1,IF(INDEX(分析データ!$A:$A,ROW()+$C$5)&lt;&gt;"",50000*SIGN(BF1047)*(分析データ!D1047-INDEX(分析データ!D:D,ROW()+$C$5)),""),"")</f>
        <v/>
      </c>
      <c r="BI1047">
        <f t="shared" ca="1" si="457"/>
        <v>5570000.0000000205</v>
      </c>
      <c r="BJ1047">
        <f t="shared" ca="1" si="458"/>
        <v>5570000.0000000205</v>
      </c>
      <c r="BK1047">
        <f t="shared" ca="1" si="459"/>
        <v>0</v>
      </c>
      <c r="BL1047">
        <f ca="1">IF(ROW()&lt;($C$7+1),"",IFERROR((分析データ!E1047-AVERAGE(OFFSET(分析データ!E$1,MAX(1,ROW()-$C$7),0,MIN($C$7,ROW()-1),1)))/STDEV(OFFSET(分析データ!E$1,MAX(1,ROW()-$C$7),0,MIN($C$7,ROW()-1),1)),0))</f>
        <v>0</v>
      </c>
      <c r="BM1047">
        <f t="shared" ca="1" si="460"/>
        <v>0</v>
      </c>
      <c r="BN1047" t="str">
        <f ca="1">IF(BM1047=1,IF(INDEX(分析データ!$A:$A,ROW()+$C$5)&lt;&gt;"",40000*SIGN(BL1047)*(分析データ!E1047-INDEX(分析データ!E:E,ROW()+$C$5)),""),"")</f>
        <v/>
      </c>
      <c r="BO1047">
        <f t="shared" ca="1" si="461"/>
        <v>2720000.0000000014</v>
      </c>
      <c r="BP1047">
        <f t="shared" ca="1" si="462"/>
        <v>4280000.0000000028</v>
      </c>
      <c r="BQ1047">
        <f t="shared" ca="1" si="463"/>
        <v>-1560000.0000000014</v>
      </c>
      <c r="BR1047">
        <f ca="1">IF(ROW()&lt;($C$7+1),"",IFERROR((分析データ!F1047-AVERAGE(OFFSET(分析データ!F$1,MAX(1,ROW()-$C$7),0,MIN($C$7,ROW()-1),1)))/STDEV(OFFSET(分析データ!F$1,MAX(1,ROW()-$C$7),0,MIN($C$7,ROW()-1),1)),0))</f>
        <v>0</v>
      </c>
      <c r="BS1047">
        <f t="shared" ca="1" si="464"/>
        <v>0</v>
      </c>
      <c r="BT1047" t="str">
        <f ca="1">IF(BS1047=1,IF(INDEX(分析データ!$A:$A,ROW()+$C$5)&lt;&gt;"",40000*SIGN(BR1047)*(分析データ!F1047-INDEX(分析データ!F:F,ROW()+$C$5)),""),"")</f>
        <v/>
      </c>
      <c r="BU1047">
        <f t="shared" ca="1" si="465"/>
        <v>19816800</v>
      </c>
      <c r="BV1047">
        <f t="shared" ca="1" si="466"/>
        <v>19816800</v>
      </c>
      <c r="BW1047">
        <f t="shared" ca="1" si="467"/>
        <v>0</v>
      </c>
      <c r="BX1047">
        <f ca="1">IF(ROW()&lt;($C$7+1),"",IFERROR((分析データ!G1047-AVERAGE(OFFSET(分析データ!G$1,MAX(1,ROW()-$C$7),0,MIN($C$7,ROW()-1),1)))/STDEV(OFFSET(分析データ!G$1,MAX(1,ROW()-$C$7),0,MIN($C$7,ROW()-1),1)),0))</f>
        <v>0</v>
      </c>
      <c r="BY1047">
        <f t="shared" ca="1" si="468"/>
        <v>0</v>
      </c>
      <c r="BZ1047" t="str">
        <f ca="1">IF(BY1047=1,IF(INDEX(分析データ!$A:$A,ROW()+$C$5)&lt;&gt;"",40000*SIGN(BX1047)*(分析データ!G1047-INDEX(分析データ!G:G,ROW()+$C$5)),""),"")</f>
        <v/>
      </c>
      <c r="CA1047">
        <f t="shared" ca="1" si="469"/>
        <v>-3515452.8662109179</v>
      </c>
      <c r="CB1047">
        <f t="shared" ca="1" si="470"/>
        <v>11327520.000000004</v>
      </c>
      <c r="CC1047">
        <f t="shared" ca="1" si="471"/>
        <v>-14842972.866210923</v>
      </c>
      <c r="CD1047">
        <f t="shared" ca="1" si="472"/>
        <v>0</v>
      </c>
      <c r="CE1047">
        <f t="shared" ca="1" si="473"/>
        <v>23090347.13378913</v>
      </c>
      <c r="CF1047">
        <f t="shared" ca="1" si="474"/>
        <v>23090347.13378913</v>
      </c>
      <c r="CG1047">
        <f t="shared" ca="1" si="475"/>
        <v>0</v>
      </c>
      <c r="CH1047" s="10" t="str">
        <f>分析データ!A1047</f>
        <v/>
      </c>
    </row>
    <row r="1048" spans="46:86">
      <c r="AT1048">
        <f ca="1">IF(ROW()&lt;($C$7+1),"",IFERROR((分析データ!B1048-AVERAGE(OFFSET(分析データ!B$1,MAX(1,ROW()-$C$7),0,MIN($C$7,ROW()-1),1)))/STDEV(OFFSET(分析データ!B$1,MAX(1,ROW()-$C$7),0,MIN($C$7,ROW()-1),1)),0))</f>
        <v>0</v>
      </c>
      <c r="AU1048">
        <f t="shared" ca="1" si="448"/>
        <v>0</v>
      </c>
      <c r="AV1048" t="str">
        <f ca="1">IF(AU1048=1,IF(INDEX(分析データ!$A:$A,ROW()+$C$5)&lt;&gt;"",80000*SIGN(AT1048)*(分析データ!B1048-INDEX(分析データ!B:B,ROW()+$C$5)),""),"")</f>
        <v/>
      </c>
      <c r="AW1048">
        <f t="shared" ca="1" si="449"/>
        <v>-1240000.0000000019</v>
      </c>
      <c r="AX1048">
        <f t="shared" ca="1" si="450"/>
        <v>0</v>
      </c>
      <c r="AY1048">
        <f t="shared" ca="1" si="451"/>
        <v>-1240000.0000000019</v>
      </c>
      <c r="AZ1048">
        <f ca="1">IF(ROW()&lt;($C$7+1),"",IFERROR((分析データ!C1048-AVERAGE(OFFSET(分析データ!C$1,MAX(1,ROW()-$C$7),0,MIN($C$7,ROW()-1),1)))/STDEV(OFFSET(分析データ!C$1,MAX(1,ROW()-$C$7),0,MIN($C$7,ROW()-1),1)),0))</f>
        <v>0</v>
      </c>
      <c r="BA1048">
        <f t="shared" ca="1" si="452"/>
        <v>0</v>
      </c>
      <c r="BB1048" t="str">
        <f ca="1">IF(BA1048=1,IF(INDEX(分析データ!$A:$A,ROW()+$C$5)&lt;&gt;"",60000*SIGN(AZ1048)*(分析データ!C1048-INDEX(分析データ!C:C,ROW()+$C$5)),""),"")</f>
        <v/>
      </c>
      <c r="BC1048">
        <f t="shared" ca="1" si="453"/>
        <v>-260999.9999999851</v>
      </c>
      <c r="BD1048">
        <f t="shared" ca="1" si="454"/>
        <v>3156000.0000000107</v>
      </c>
      <c r="BE1048">
        <f t="shared" ca="1" si="455"/>
        <v>-3416999.9999999958</v>
      </c>
      <c r="BF1048">
        <f ca="1">IF(ROW()&lt;($C$7+1),"",IFERROR((分析データ!D1048-AVERAGE(OFFSET(分析データ!D$1,MAX(1,ROW()-$C$7),0,MIN($C$7,ROW()-1),1)))/STDEV(OFFSET(分析データ!D$1,MAX(1,ROW()-$C$7),0,MIN($C$7,ROW()-1),1)),0))</f>
        <v>0</v>
      </c>
      <c r="BG1048">
        <f t="shared" ca="1" si="456"/>
        <v>0</v>
      </c>
      <c r="BH1048" t="str">
        <f ca="1">IF(BG1048=1,IF(INDEX(分析データ!$A:$A,ROW()+$C$5)&lt;&gt;"",50000*SIGN(BF1048)*(分析データ!D1048-INDEX(分析データ!D:D,ROW()+$C$5)),""),"")</f>
        <v/>
      </c>
      <c r="BI1048">
        <f t="shared" ca="1" si="457"/>
        <v>5570000.0000000205</v>
      </c>
      <c r="BJ1048">
        <f t="shared" ca="1" si="458"/>
        <v>5570000.0000000205</v>
      </c>
      <c r="BK1048">
        <f t="shared" ca="1" si="459"/>
        <v>0</v>
      </c>
      <c r="BL1048">
        <f ca="1">IF(ROW()&lt;($C$7+1),"",IFERROR((分析データ!E1048-AVERAGE(OFFSET(分析データ!E$1,MAX(1,ROW()-$C$7),0,MIN($C$7,ROW()-1),1)))/STDEV(OFFSET(分析データ!E$1,MAX(1,ROW()-$C$7),0,MIN($C$7,ROW()-1),1)),0))</f>
        <v>0</v>
      </c>
      <c r="BM1048">
        <f t="shared" ca="1" si="460"/>
        <v>0</v>
      </c>
      <c r="BN1048" t="str">
        <f ca="1">IF(BM1048=1,IF(INDEX(分析データ!$A:$A,ROW()+$C$5)&lt;&gt;"",40000*SIGN(BL1048)*(分析データ!E1048-INDEX(分析データ!E:E,ROW()+$C$5)),""),"")</f>
        <v/>
      </c>
      <c r="BO1048">
        <f t="shared" ca="1" si="461"/>
        <v>2720000.0000000014</v>
      </c>
      <c r="BP1048">
        <f t="shared" ca="1" si="462"/>
        <v>4280000.0000000028</v>
      </c>
      <c r="BQ1048">
        <f t="shared" ca="1" si="463"/>
        <v>-1560000.0000000014</v>
      </c>
      <c r="BR1048">
        <f ca="1">IF(ROW()&lt;($C$7+1),"",IFERROR((分析データ!F1048-AVERAGE(OFFSET(分析データ!F$1,MAX(1,ROW()-$C$7),0,MIN($C$7,ROW()-1),1)))/STDEV(OFFSET(分析データ!F$1,MAX(1,ROW()-$C$7),0,MIN($C$7,ROW()-1),1)),0))</f>
        <v>0</v>
      </c>
      <c r="BS1048">
        <f t="shared" ca="1" si="464"/>
        <v>0</v>
      </c>
      <c r="BT1048" t="str">
        <f ca="1">IF(BS1048=1,IF(INDEX(分析データ!$A:$A,ROW()+$C$5)&lt;&gt;"",40000*SIGN(BR1048)*(分析データ!F1048-INDEX(分析データ!F:F,ROW()+$C$5)),""),"")</f>
        <v/>
      </c>
      <c r="BU1048">
        <f t="shared" ca="1" si="465"/>
        <v>19816800</v>
      </c>
      <c r="BV1048">
        <f t="shared" ca="1" si="466"/>
        <v>19816800</v>
      </c>
      <c r="BW1048">
        <f t="shared" ca="1" si="467"/>
        <v>0</v>
      </c>
      <c r="BX1048">
        <f ca="1">IF(ROW()&lt;($C$7+1),"",IFERROR((分析データ!G1048-AVERAGE(OFFSET(分析データ!G$1,MAX(1,ROW()-$C$7),0,MIN($C$7,ROW()-1),1)))/STDEV(OFFSET(分析データ!G$1,MAX(1,ROW()-$C$7),0,MIN($C$7,ROW()-1),1)),0))</f>
        <v>0</v>
      </c>
      <c r="BY1048">
        <f t="shared" ca="1" si="468"/>
        <v>0</v>
      </c>
      <c r="BZ1048" t="str">
        <f ca="1">IF(BY1048=1,IF(INDEX(分析データ!$A:$A,ROW()+$C$5)&lt;&gt;"",40000*SIGN(BX1048)*(分析データ!G1048-INDEX(分析データ!G:G,ROW()+$C$5)),""),"")</f>
        <v/>
      </c>
      <c r="CA1048">
        <f t="shared" ca="1" si="469"/>
        <v>-3515452.8662109179</v>
      </c>
      <c r="CB1048">
        <f t="shared" ca="1" si="470"/>
        <v>11327520.000000004</v>
      </c>
      <c r="CC1048">
        <f t="shared" ca="1" si="471"/>
        <v>-14842972.866210923</v>
      </c>
      <c r="CD1048">
        <f t="shared" ca="1" si="472"/>
        <v>0</v>
      </c>
      <c r="CE1048">
        <f t="shared" ca="1" si="473"/>
        <v>23090347.13378913</v>
      </c>
      <c r="CF1048">
        <f t="shared" ca="1" si="474"/>
        <v>23090347.13378913</v>
      </c>
      <c r="CG1048">
        <f t="shared" ca="1" si="475"/>
        <v>0</v>
      </c>
      <c r="CH1048" s="10" t="str">
        <f>分析データ!A1048</f>
        <v/>
      </c>
    </row>
    <row r="1049" spans="46:86">
      <c r="AT1049">
        <f ca="1">IF(ROW()&lt;($C$7+1),"",IFERROR((分析データ!B1049-AVERAGE(OFFSET(分析データ!B$1,MAX(1,ROW()-$C$7),0,MIN($C$7,ROW()-1),1)))/STDEV(OFFSET(分析データ!B$1,MAX(1,ROW()-$C$7),0,MIN($C$7,ROW()-1),1)),0))</f>
        <v>0</v>
      </c>
      <c r="AU1049">
        <f t="shared" ca="1" si="448"/>
        <v>0</v>
      </c>
      <c r="AV1049" t="str">
        <f ca="1">IF(AU1049=1,IF(INDEX(分析データ!$A:$A,ROW()+$C$5)&lt;&gt;"",80000*SIGN(AT1049)*(分析データ!B1049-INDEX(分析データ!B:B,ROW()+$C$5)),""),"")</f>
        <v/>
      </c>
      <c r="AW1049">
        <f t="shared" ca="1" si="449"/>
        <v>-1240000.0000000019</v>
      </c>
      <c r="AX1049">
        <f t="shared" ca="1" si="450"/>
        <v>0</v>
      </c>
      <c r="AY1049">
        <f t="shared" ca="1" si="451"/>
        <v>-1240000.0000000019</v>
      </c>
      <c r="AZ1049">
        <f ca="1">IF(ROW()&lt;($C$7+1),"",IFERROR((分析データ!C1049-AVERAGE(OFFSET(分析データ!C$1,MAX(1,ROW()-$C$7),0,MIN($C$7,ROW()-1),1)))/STDEV(OFFSET(分析データ!C$1,MAX(1,ROW()-$C$7),0,MIN($C$7,ROW()-1),1)),0))</f>
        <v>0</v>
      </c>
      <c r="BA1049">
        <f t="shared" ca="1" si="452"/>
        <v>0</v>
      </c>
      <c r="BB1049" t="str">
        <f ca="1">IF(BA1049=1,IF(INDEX(分析データ!$A:$A,ROW()+$C$5)&lt;&gt;"",60000*SIGN(AZ1049)*(分析データ!C1049-INDEX(分析データ!C:C,ROW()+$C$5)),""),"")</f>
        <v/>
      </c>
      <c r="BC1049">
        <f t="shared" ca="1" si="453"/>
        <v>-260999.9999999851</v>
      </c>
      <c r="BD1049">
        <f t="shared" ca="1" si="454"/>
        <v>3156000.0000000107</v>
      </c>
      <c r="BE1049">
        <f t="shared" ca="1" si="455"/>
        <v>-3416999.9999999958</v>
      </c>
      <c r="BF1049">
        <f ca="1">IF(ROW()&lt;($C$7+1),"",IFERROR((分析データ!D1049-AVERAGE(OFFSET(分析データ!D$1,MAX(1,ROW()-$C$7),0,MIN($C$7,ROW()-1),1)))/STDEV(OFFSET(分析データ!D$1,MAX(1,ROW()-$C$7),0,MIN($C$7,ROW()-1),1)),0))</f>
        <v>0</v>
      </c>
      <c r="BG1049">
        <f t="shared" ca="1" si="456"/>
        <v>0</v>
      </c>
      <c r="BH1049" t="str">
        <f ca="1">IF(BG1049=1,IF(INDEX(分析データ!$A:$A,ROW()+$C$5)&lt;&gt;"",50000*SIGN(BF1049)*(分析データ!D1049-INDEX(分析データ!D:D,ROW()+$C$5)),""),"")</f>
        <v/>
      </c>
      <c r="BI1049">
        <f t="shared" ca="1" si="457"/>
        <v>5570000.0000000205</v>
      </c>
      <c r="BJ1049">
        <f t="shared" ca="1" si="458"/>
        <v>5570000.0000000205</v>
      </c>
      <c r="BK1049">
        <f t="shared" ca="1" si="459"/>
        <v>0</v>
      </c>
      <c r="BL1049">
        <f ca="1">IF(ROW()&lt;($C$7+1),"",IFERROR((分析データ!E1049-AVERAGE(OFFSET(分析データ!E$1,MAX(1,ROW()-$C$7),0,MIN($C$7,ROW()-1),1)))/STDEV(OFFSET(分析データ!E$1,MAX(1,ROW()-$C$7),0,MIN($C$7,ROW()-1),1)),0))</f>
        <v>0</v>
      </c>
      <c r="BM1049">
        <f t="shared" ca="1" si="460"/>
        <v>0</v>
      </c>
      <c r="BN1049" t="str">
        <f ca="1">IF(BM1049=1,IF(INDEX(分析データ!$A:$A,ROW()+$C$5)&lt;&gt;"",40000*SIGN(BL1049)*(分析データ!E1049-INDEX(分析データ!E:E,ROW()+$C$5)),""),"")</f>
        <v/>
      </c>
      <c r="BO1049">
        <f t="shared" ca="1" si="461"/>
        <v>2720000.0000000014</v>
      </c>
      <c r="BP1049">
        <f t="shared" ca="1" si="462"/>
        <v>4280000.0000000028</v>
      </c>
      <c r="BQ1049">
        <f t="shared" ca="1" si="463"/>
        <v>-1560000.0000000014</v>
      </c>
      <c r="BR1049">
        <f ca="1">IF(ROW()&lt;($C$7+1),"",IFERROR((分析データ!F1049-AVERAGE(OFFSET(分析データ!F$1,MAX(1,ROW()-$C$7),0,MIN($C$7,ROW()-1),1)))/STDEV(OFFSET(分析データ!F$1,MAX(1,ROW()-$C$7),0,MIN($C$7,ROW()-1),1)),0))</f>
        <v>0</v>
      </c>
      <c r="BS1049">
        <f t="shared" ca="1" si="464"/>
        <v>0</v>
      </c>
      <c r="BT1049" t="str">
        <f ca="1">IF(BS1049=1,IF(INDEX(分析データ!$A:$A,ROW()+$C$5)&lt;&gt;"",40000*SIGN(BR1049)*(分析データ!F1049-INDEX(分析データ!F:F,ROW()+$C$5)),""),"")</f>
        <v/>
      </c>
      <c r="BU1049">
        <f t="shared" ca="1" si="465"/>
        <v>19816800</v>
      </c>
      <c r="BV1049">
        <f t="shared" ca="1" si="466"/>
        <v>19816800</v>
      </c>
      <c r="BW1049">
        <f t="shared" ca="1" si="467"/>
        <v>0</v>
      </c>
      <c r="BX1049">
        <f ca="1">IF(ROW()&lt;($C$7+1),"",IFERROR((分析データ!G1049-AVERAGE(OFFSET(分析データ!G$1,MAX(1,ROW()-$C$7),0,MIN($C$7,ROW()-1),1)))/STDEV(OFFSET(分析データ!G$1,MAX(1,ROW()-$C$7),0,MIN($C$7,ROW()-1),1)),0))</f>
        <v>0</v>
      </c>
      <c r="BY1049">
        <f t="shared" ca="1" si="468"/>
        <v>0</v>
      </c>
      <c r="BZ1049" t="str">
        <f ca="1">IF(BY1049=1,IF(INDEX(分析データ!$A:$A,ROW()+$C$5)&lt;&gt;"",40000*SIGN(BX1049)*(分析データ!G1049-INDEX(分析データ!G:G,ROW()+$C$5)),""),"")</f>
        <v/>
      </c>
      <c r="CA1049">
        <f t="shared" ca="1" si="469"/>
        <v>-3515452.8662109179</v>
      </c>
      <c r="CB1049">
        <f t="shared" ca="1" si="470"/>
        <v>11327520.000000004</v>
      </c>
      <c r="CC1049">
        <f t="shared" ca="1" si="471"/>
        <v>-14842972.866210923</v>
      </c>
      <c r="CD1049">
        <f t="shared" ca="1" si="472"/>
        <v>0</v>
      </c>
      <c r="CE1049">
        <f t="shared" ca="1" si="473"/>
        <v>23090347.13378913</v>
      </c>
      <c r="CF1049">
        <f t="shared" ca="1" si="474"/>
        <v>23090347.13378913</v>
      </c>
      <c r="CG1049">
        <f t="shared" ca="1" si="475"/>
        <v>0</v>
      </c>
      <c r="CH1049" s="10" t="str">
        <f>分析データ!A1049</f>
        <v/>
      </c>
    </row>
    <row r="1050" spans="46:86">
      <c r="AT1050">
        <f ca="1">IF(ROW()&lt;($C$7+1),"",IFERROR((分析データ!B1050-AVERAGE(OFFSET(分析データ!B$1,MAX(1,ROW()-$C$7),0,MIN($C$7,ROW()-1),1)))/STDEV(OFFSET(分析データ!B$1,MAX(1,ROW()-$C$7),0,MIN($C$7,ROW()-1),1)),0))</f>
        <v>0</v>
      </c>
      <c r="AU1050">
        <f t="shared" ca="1" si="448"/>
        <v>0</v>
      </c>
      <c r="AV1050" t="str">
        <f ca="1">IF(AU1050=1,IF(INDEX(分析データ!$A:$A,ROW()+$C$5)&lt;&gt;"",80000*SIGN(AT1050)*(分析データ!B1050-INDEX(分析データ!B:B,ROW()+$C$5)),""),"")</f>
        <v/>
      </c>
      <c r="AW1050">
        <f t="shared" ca="1" si="449"/>
        <v>-1240000.0000000019</v>
      </c>
      <c r="AX1050">
        <f t="shared" ca="1" si="450"/>
        <v>0</v>
      </c>
      <c r="AY1050">
        <f t="shared" ca="1" si="451"/>
        <v>-1240000.0000000019</v>
      </c>
      <c r="AZ1050">
        <f ca="1">IF(ROW()&lt;($C$7+1),"",IFERROR((分析データ!C1050-AVERAGE(OFFSET(分析データ!C$1,MAX(1,ROW()-$C$7),0,MIN($C$7,ROW()-1),1)))/STDEV(OFFSET(分析データ!C$1,MAX(1,ROW()-$C$7),0,MIN($C$7,ROW()-1),1)),0))</f>
        <v>0</v>
      </c>
      <c r="BA1050">
        <f t="shared" ca="1" si="452"/>
        <v>0</v>
      </c>
      <c r="BB1050" t="str">
        <f ca="1">IF(BA1050=1,IF(INDEX(分析データ!$A:$A,ROW()+$C$5)&lt;&gt;"",60000*SIGN(AZ1050)*(分析データ!C1050-INDEX(分析データ!C:C,ROW()+$C$5)),""),"")</f>
        <v/>
      </c>
      <c r="BC1050">
        <f t="shared" ca="1" si="453"/>
        <v>-260999.9999999851</v>
      </c>
      <c r="BD1050">
        <f t="shared" ca="1" si="454"/>
        <v>3156000.0000000107</v>
      </c>
      <c r="BE1050">
        <f t="shared" ca="1" si="455"/>
        <v>-3416999.9999999958</v>
      </c>
      <c r="BF1050">
        <f ca="1">IF(ROW()&lt;($C$7+1),"",IFERROR((分析データ!D1050-AVERAGE(OFFSET(分析データ!D$1,MAX(1,ROW()-$C$7),0,MIN($C$7,ROW()-1),1)))/STDEV(OFFSET(分析データ!D$1,MAX(1,ROW()-$C$7),0,MIN($C$7,ROW()-1),1)),0))</f>
        <v>0</v>
      </c>
      <c r="BG1050">
        <f t="shared" ca="1" si="456"/>
        <v>0</v>
      </c>
      <c r="BH1050" t="str">
        <f ca="1">IF(BG1050=1,IF(INDEX(分析データ!$A:$A,ROW()+$C$5)&lt;&gt;"",50000*SIGN(BF1050)*(分析データ!D1050-INDEX(分析データ!D:D,ROW()+$C$5)),""),"")</f>
        <v/>
      </c>
      <c r="BI1050">
        <f t="shared" ca="1" si="457"/>
        <v>5570000.0000000205</v>
      </c>
      <c r="BJ1050">
        <f t="shared" ca="1" si="458"/>
        <v>5570000.0000000205</v>
      </c>
      <c r="BK1050">
        <f t="shared" ca="1" si="459"/>
        <v>0</v>
      </c>
      <c r="BL1050">
        <f ca="1">IF(ROW()&lt;($C$7+1),"",IFERROR((分析データ!E1050-AVERAGE(OFFSET(分析データ!E$1,MAX(1,ROW()-$C$7),0,MIN($C$7,ROW()-1),1)))/STDEV(OFFSET(分析データ!E$1,MAX(1,ROW()-$C$7),0,MIN($C$7,ROW()-1),1)),0))</f>
        <v>0</v>
      </c>
      <c r="BM1050">
        <f t="shared" ca="1" si="460"/>
        <v>0</v>
      </c>
      <c r="BN1050" t="str">
        <f ca="1">IF(BM1050=1,IF(INDEX(分析データ!$A:$A,ROW()+$C$5)&lt;&gt;"",40000*SIGN(BL1050)*(分析データ!E1050-INDEX(分析データ!E:E,ROW()+$C$5)),""),"")</f>
        <v/>
      </c>
      <c r="BO1050">
        <f t="shared" ca="1" si="461"/>
        <v>2720000.0000000014</v>
      </c>
      <c r="BP1050">
        <f t="shared" ca="1" si="462"/>
        <v>4280000.0000000028</v>
      </c>
      <c r="BQ1050">
        <f t="shared" ca="1" si="463"/>
        <v>-1560000.0000000014</v>
      </c>
      <c r="BR1050">
        <f ca="1">IF(ROW()&lt;($C$7+1),"",IFERROR((分析データ!F1050-AVERAGE(OFFSET(分析データ!F$1,MAX(1,ROW()-$C$7),0,MIN($C$7,ROW()-1),1)))/STDEV(OFFSET(分析データ!F$1,MAX(1,ROW()-$C$7),0,MIN($C$7,ROW()-1),1)),0))</f>
        <v>0</v>
      </c>
      <c r="BS1050">
        <f t="shared" ca="1" si="464"/>
        <v>0</v>
      </c>
      <c r="BT1050" t="str">
        <f ca="1">IF(BS1050=1,IF(INDEX(分析データ!$A:$A,ROW()+$C$5)&lt;&gt;"",40000*SIGN(BR1050)*(分析データ!F1050-INDEX(分析データ!F:F,ROW()+$C$5)),""),"")</f>
        <v/>
      </c>
      <c r="BU1050">
        <f t="shared" ca="1" si="465"/>
        <v>19816800</v>
      </c>
      <c r="BV1050">
        <f t="shared" ca="1" si="466"/>
        <v>19816800</v>
      </c>
      <c r="BW1050">
        <f t="shared" ca="1" si="467"/>
        <v>0</v>
      </c>
      <c r="BX1050">
        <f ca="1">IF(ROW()&lt;($C$7+1),"",IFERROR((分析データ!G1050-AVERAGE(OFFSET(分析データ!G$1,MAX(1,ROW()-$C$7),0,MIN($C$7,ROW()-1),1)))/STDEV(OFFSET(分析データ!G$1,MAX(1,ROW()-$C$7),0,MIN($C$7,ROW()-1),1)),0))</f>
        <v>0</v>
      </c>
      <c r="BY1050">
        <f t="shared" ca="1" si="468"/>
        <v>0</v>
      </c>
      <c r="BZ1050" t="str">
        <f ca="1">IF(BY1050=1,IF(INDEX(分析データ!$A:$A,ROW()+$C$5)&lt;&gt;"",40000*SIGN(BX1050)*(分析データ!G1050-INDEX(分析データ!G:G,ROW()+$C$5)),""),"")</f>
        <v/>
      </c>
      <c r="CA1050">
        <f t="shared" ca="1" si="469"/>
        <v>-3515452.8662109179</v>
      </c>
      <c r="CB1050">
        <f t="shared" ca="1" si="470"/>
        <v>11327520.000000004</v>
      </c>
      <c r="CC1050">
        <f t="shared" ca="1" si="471"/>
        <v>-14842972.866210923</v>
      </c>
      <c r="CD1050">
        <f t="shared" ca="1" si="472"/>
        <v>0</v>
      </c>
      <c r="CE1050">
        <f t="shared" ca="1" si="473"/>
        <v>23090347.13378913</v>
      </c>
      <c r="CF1050">
        <f t="shared" ca="1" si="474"/>
        <v>23090347.13378913</v>
      </c>
      <c r="CG1050">
        <f t="shared" ca="1" si="475"/>
        <v>0</v>
      </c>
      <c r="CH1050" s="10" t="str">
        <f>分析データ!A1050</f>
        <v/>
      </c>
    </row>
    <row r="1051" spans="46:86">
      <c r="AT1051">
        <f ca="1">IF(ROW()&lt;($C$7+1),"",IFERROR((分析データ!B1051-AVERAGE(OFFSET(分析データ!B$1,MAX(1,ROW()-$C$7),0,MIN($C$7,ROW()-1),1)))/STDEV(OFFSET(分析データ!B$1,MAX(1,ROW()-$C$7),0,MIN($C$7,ROW()-1),1)),0))</f>
        <v>0</v>
      </c>
      <c r="AU1051">
        <f t="shared" ca="1" si="448"/>
        <v>0</v>
      </c>
      <c r="AV1051" t="str">
        <f ca="1">IF(AU1051=1,IF(INDEX(分析データ!$A:$A,ROW()+$C$5)&lt;&gt;"",80000*SIGN(AT1051)*(分析データ!B1051-INDEX(分析データ!B:B,ROW()+$C$5)),""),"")</f>
        <v/>
      </c>
      <c r="AW1051">
        <f t="shared" ca="1" si="449"/>
        <v>-1240000.0000000019</v>
      </c>
      <c r="AX1051">
        <f t="shared" ca="1" si="450"/>
        <v>0</v>
      </c>
      <c r="AY1051">
        <f t="shared" ca="1" si="451"/>
        <v>-1240000.0000000019</v>
      </c>
      <c r="AZ1051">
        <f ca="1">IF(ROW()&lt;($C$7+1),"",IFERROR((分析データ!C1051-AVERAGE(OFFSET(分析データ!C$1,MAX(1,ROW()-$C$7),0,MIN($C$7,ROW()-1),1)))/STDEV(OFFSET(分析データ!C$1,MAX(1,ROW()-$C$7),0,MIN($C$7,ROW()-1),1)),0))</f>
        <v>0</v>
      </c>
      <c r="BA1051">
        <f t="shared" ca="1" si="452"/>
        <v>0</v>
      </c>
      <c r="BB1051" t="str">
        <f ca="1">IF(BA1051=1,IF(INDEX(分析データ!$A:$A,ROW()+$C$5)&lt;&gt;"",60000*SIGN(AZ1051)*(分析データ!C1051-INDEX(分析データ!C:C,ROW()+$C$5)),""),"")</f>
        <v/>
      </c>
      <c r="BC1051">
        <f t="shared" ca="1" si="453"/>
        <v>-260999.9999999851</v>
      </c>
      <c r="BD1051">
        <f t="shared" ca="1" si="454"/>
        <v>3156000.0000000107</v>
      </c>
      <c r="BE1051">
        <f t="shared" ca="1" si="455"/>
        <v>-3416999.9999999958</v>
      </c>
      <c r="BF1051">
        <f ca="1">IF(ROW()&lt;($C$7+1),"",IFERROR((分析データ!D1051-AVERAGE(OFFSET(分析データ!D$1,MAX(1,ROW()-$C$7),0,MIN($C$7,ROW()-1),1)))/STDEV(OFFSET(分析データ!D$1,MAX(1,ROW()-$C$7),0,MIN($C$7,ROW()-1),1)),0))</f>
        <v>0</v>
      </c>
      <c r="BG1051">
        <f t="shared" ca="1" si="456"/>
        <v>0</v>
      </c>
      <c r="BH1051" t="str">
        <f ca="1">IF(BG1051=1,IF(INDEX(分析データ!$A:$A,ROW()+$C$5)&lt;&gt;"",50000*SIGN(BF1051)*(分析データ!D1051-INDEX(分析データ!D:D,ROW()+$C$5)),""),"")</f>
        <v/>
      </c>
      <c r="BI1051">
        <f t="shared" ca="1" si="457"/>
        <v>5570000.0000000205</v>
      </c>
      <c r="BJ1051">
        <f t="shared" ca="1" si="458"/>
        <v>5570000.0000000205</v>
      </c>
      <c r="BK1051">
        <f t="shared" ca="1" si="459"/>
        <v>0</v>
      </c>
      <c r="BL1051">
        <f ca="1">IF(ROW()&lt;($C$7+1),"",IFERROR((分析データ!E1051-AVERAGE(OFFSET(分析データ!E$1,MAX(1,ROW()-$C$7),0,MIN($C$7,ROW()-1),1)))/STDEV(OFFSET(分析データ!E$1,MAX(1,ROW()-$C$7),0,MIN($C$7,ROW()-1),1)),0))</f>
        <v>0</v>
      </c>
      <c r="BM1051">
        <f t="shared" ca="1" si="460"/>
        <v>0</v>
      </c>
      <c r="BN1051" t="str">
        <f ca="1">IF(BM1051=1,IF(INDEX(分析データ!$A:$A,ROW()+$C$5)&lt;&gt;"",40000*SIGN(BL1051)*(分析データ!E1051-INDEX(分析データ!E:E,ROW()+$C$5)),""),"")</f>
        <v/>
      </c>
      <c r="BO1051">
        <f t="shared" ca="1" si="461"/>
        <v>2720000.0000000014</v>
      </c>
      <c r="BP1051">
        <f t="shared" ca="1" si="462"/>
        <v>4280000.0000000028</v>
      </c>
      <c r="BQ1051">
        <f t="shared" ca="1" si="463"/>
        <v>-1560000.0000000014</v>
      </c>
      <c r="BR1051">
        <f ca="1">IF(ROW()&lt;($C$7+1),"",IFERROR((分析データ!F1051-AVERAGE(OFFSET(分析データ!F$1,MAX(1,ROW()-$C$7),0,MIN($C$7,ROW()-1),1)))/STDEV(OFFSET(分析データ!F$1,MAX(1,ROW()-$C$7),0,MIN($C$7,ROW()-1),1)),0))</f>
        <v>0</v>
      </c>
      <c r="BS1051">
        <f t="shared" ca="1" si="464"/>
        <v>0</v>
      </c>
      <c r="BT1051" t="str">
        <f ca="1">IF(BS1051=1,IF(INDEX(分析データ!$A:$A,ROW()+$C$5)&lt;&gt;"",40000*SIGN(BR1051)*(分析データ!F1051-INDEX(分析データ!F:F,ROW()+$C$5)),""),"")</f>
        <v/>
      </c>
      <c r="BU1051">
        <f t="shared" ca="1" si="465"/>
        <v>19816800</v>
      </c>
      <c r="BV1051">
        <f t="shared" ca="1" si="466"/>
        <v>19816800</v>
      </c>
      <c r="BW1051">
        <f t="shared" ca="1" si="467"/>
        <v>0</v>
      </c>
      <c r="BX1051">
        <f ca="1">IF(ROW()&lt;($C$7+1),"",IFERROR((分析データ!G1051-AVERAGE(OFFSET(分析データ!G$1,MAX(1,ROW()-$C$7),0,MIN($C$7,ROW()-1),1)))/STDEV(OFFSET(分析データ!G$1,MAX(1,ROW()-$C$7),0,MIN($C$7,ROW()-1),1)),0))</f>
        <v>0</v>
      </c>
      <c r="BY1051">
        <f t="shared" ca="1" si="468"/>
        <v>0</v>
      </c>
      <c r="BZ1051" t="str">
        <f ca="1">IF(BY1051=1,IF(INDEX(分析データ!$A:$A,ROW()+$C$5)&lt;&gt;"",40000*SIGN(BX1051)*(分析データ!G1051-INDEX(分析データ!G:G,ROW()+$C$5)),""),"")</f>
        <v/>
      </c>
      <c r="CA1051">
        <f t="shared" ca="1" si="469"/>
        <v>-3515452.8662109179</v>
      </c>
      <c r="CB1051">
        <f t="shared" ca="1" si="470"/>
        <v>11327520.000000004</v>
      </c>
      <c r="CC1051">
        <f t="shared" ca="1" si="471"/>
        <v>-14842972.866210923</v>
      </c>
      <c r="CD1051">
        <f t="shared" ca="1" si="472"/>
        <v>0</v>
      </c>
      <c r="CE1051">
        <f t="shared" ca="1" si="473"/>
        <v>23090347.13378913</v>
      </c>
      <c r="CF1051">
        <f t="shared" ca="1" si="474"/>
        <v>23090347.13378913</v>
      </c>
      <c r="CG1051">
        <f t="shared" ca="1" si="475"/>
        <v>0</v>
      </c>
      <c r="CH1051" s="10" t="str">
        <f>分析データ!A1051</f>
        <v/>
      </c>
    </row>
    <row r="1052" spans="46:86">
      <c r="AT1052">
        <f ca="1">IF(ROW()&lt;($C$7+1),"",IFERROR((分析データ!B1052-AVERAGE(OFFSET(分析データ!B$1,MAX(1,ROW()-$C$7),0,MIN($C$7,ROW()-1),1)))/STDEV(OFFSET(分析データ!B$1,MAX(1,ROW()-$C$7),0,MIN($C$7,ROW()-1),1)),0))</f>
        <v>0</v>
      </c>
      <c r="AU1052">
        <f t="shared" ca="1" si="448"/>
        <v>0</v>
      </c>
      <c r="AV1052" t="str">
        <f ca="1">IF(AU1052=1,IF(INDEX(分析データ!$A:$A,ROW()+$C$5)&lt;&gt;"",80000*SIGN(AT1052)*(分析データ!B1052-INDEX(分析データ!B:B,ROW()+$C$5)),""),"")</f>
        <v/>
      </c>
      <c r="AW1052">
        <f t="shared" ca="1" si="449"/>
        <v>-1240000.0000000019</v>
      </c>
      <c r="AX1052">
        <f t="shared" ca="1" si="450"/>
        <v>0</v>
      </c>
      <c r="AY1052">
        <f t="shared" ca="1" si="451"/>
        <v>-1240000.0000000019</v>
      </c>
      <c r="AZ1052">
        <f ca="1">IF(ROW()&lt;($C$7+1),"",IFERROR((分析データ!C1052-AVERAGE(OFFSET(分析データ!C$1,MAX(1,ROW()-$C$7),0,MIN($C$7,ROW()-1),1)))/STDEV(OFFSET(分析データ!C$1,MAX(1,ROW()-$C$7),0,MIN($C$7,ROW()-1),1)),0))</f>
        <v>0</v>
      </c>
      <c r="BA1052">
        <f t="shared" ca="1" si="452"/>
        <v>0</v>
      </c>
      <c r="BB1052" t="str">
        <f ca="1">IF(BA1052=1,IF(INDEX(分析データ!$A:$A,ROW()+$C$5)&lt;&gt;"",60000*SIGN(AZ1052)*(分析データ!C1052-INDEX(分析データ!C:C,ROW()+$C$5)),""),"")</f>
        <v/>
      </c>
      <c r="BC1052">
        <f t="shared" ca="1" si="453"/>
        <v>-260999.9999999851</v>
      </c>
      <c r="BD1052">
        <f t="shared" ca="1" si="454"/>
        <v>3156000.0000000107</v>
      </c>
      <c r="BE1052">
        <f t="shared" ca="1" si="455"/>
        <v>-3416999.9999999958</v>
      </c>
      <c r="BF1052">
        <f ca="1">IF(ROW()&lt;($C$7+1),"",IFERROR((分析データ!D1052-AVERAGE(OFFSET(分析データ!D$1,MAX(1,ROW()-$C$7),0,MIN($C$7,ROW()-1),1)))/STDEV(OFFSET(分析データ!D$1,MAX(1,ROW()-$C$7),0,MIN($C$7,ROW()-1),1)),0))</f>
        <v>0</v>
      </c>
      <c r="BG1052">
        <f t="shared" ca="1" si="456"/>
        <v>0</v>
      </c>
      <c r="BH1052" t="str">
        <f ca="1">IF(BG1052=1,IF(INDEX(分析データ!$A:$A,ROW()+$C$5)&lt;&gt;"",50000*SIGN(BF1052)*(分析データ!D1052-INDEX(分析データ!D:D,ROW()+$C$5)),""),"")</f>
        <v/>
      </c>
      <c r="BI1052">
        <f t="shared" ca="1" si="457"/>
        <v>5570000.0000000205</v>
      </c>
      <c r="BJ1052">
        <f t="shared" ca="1" si="458"/>
        <v>5570000.0000000205</v>
      </c>
      <c r="BK1052">
        <f t="shared" ca="1" si="459"/>
        <v>0</v>
      </c>
      <c r="BL1052">
        <f ca="1">IF(ROW()&lt;($C$7+1),"",IFERROR((分析データ!E1052-AVERAGE(OFFSET(分析データ!E$1,MAX(1,ROW()-$C$7),0,MIN($C$7,ROW()-1),1)))/STDEV(OFFSET(分析データ!E$1,MAX(1,ROW()-$C$7),0,MIN($C$7,ROW()-1),1)),0))</f>
        <v>0</v>
      </c>
      <c r="BM1052">
        <f t="shared" ca="1" si="460"/>
        <v>0</v>
      </c>
      <c r="BN1052" t="str">
        <f ca="1">IF(BM1052=1,IF(INDEX(分析データ!$A:$A,ROW()+$C$5)&lt;&gt;"",40000*SIGN(BL1052)*(分析データ!E1052-INDEX(分析データ!E:E,ROW()+$C$5)),""),"")</f>
        <v/>
      </c>
      <c r="BO1052">
        <f t="shared" ca="1" si="461"/>
        <v>2720000.0000000014</v>
      </c>
      <c r="BP1052">
        <f t="shared" ca="1" si="462"/>
        <v>4280000.0000000028</v>
      </c>
      <c r="BQ1052">
        <f t="shared" ca="1" si="463"/>
        <v>-1560000.0000000014</v>
      </c>
      <c r="BR1052">
        <f ca="1">IF(ROW()&lt;($C$7+1),"",IFERROR((分析データ!F1052-AVERAGE(OFFSET(分析データ!F$1,MAX(1,ROW()-$C$7),0,MIN($C$7,ROW()-1),1)))/STDEV(OFFSET(分析データ!F$1,MAX(1,ROW()-$C$7),0,MIN($C$7,ROW()-1),1)),0))</f>
        <v>0</v>
      </c>
      <c r="BS1052">
        <f t="shared" ca="1" si="464"/>
        <v>0</v>
      </c>
      <c r="BT1052" t="str">
        <f ca="1">IF(BS1052=1,IF(INDEX(分析データ!$A:$A,ROW()+$C$5)&lt;&gt;"",40000*SIGN(BR1052)*(分析データ!F1052-INDEX(分析データ!F:F,ROW()+$C$5)),""),"")</f>
        <v/>
      </c>
      <c r="BU1052">
        <f t="shared" ca="1" si="465"/>
        <v>19816800</v>
      </c>
      <c r="BV1052">
        <f t="shared" ca="1" si="466"/>
        <v>19816800</v>
      </c>
      <c r="BW1052">
        <f t="shared" ca="1" si="467"/>
        <v>0</v>
      </c>
      <c r="BX1052">
        <f ca="1">IF(ROW()&lt;($C$7+1),"",IFERROR((分析データ!G1052-AVERAGE(OFFSET(分析データ!G$1,MAX(1,ROW()-$C$7),0,MIN($C$7,ROW()-1),1)))/STDEV(OFFSET(分析データ!G$1,MAX(1,ROW()-$C$7),0,MIN($C$7,ROW()-1),1)),0))</f>
        <v>0</v>
      </c>
      <c r="BY1052">
        <f t="shared" ca="1" si="468"/>
        <v>0</v>
      </c>
      <c r="BZ1052" t="str">
        <f ca="1">IF(BY1052=1,IF(INDEX(分析データ!$A:$A,ROW()+$C$5)&lt;&gt;"",40000*SIGN(BX1052)*(分析データ!G1052-INDEX(分析データ!G:G,ROW()+$C$5)),""),"")</f>
        <v/>
      </c>
      <c r="CA1052">
        <f t="shared" ca="1" si="469"/>
        <v>-3515452.8662109179</v>
      </c>
      <c r="CB1052">
        <f t="shared" ca="1" si="470"/>
        <v>11327520.000000004</v>
      </c>
      <c r="CC1052">
        <f t="shared" ca="1" si="471"/>
        <v>-14842972.866210923</v>
      </c>
      <c r="CD1052">
        <f t="shared" ca="1" si="472"/>
        <v>0</v>
      </c>
      <c r="CE1052">
        <f t="shared" ca="1" si="473"/>
        <v>23090347.13378913</v>
      </c>
      <c r="CF1052">
        <f t="shared" ca="1" si="474"/>
        <v>23090347.13378913</v>
      </c>
      <c r="CG1052">
        <f t="shared" ca="1" si="475"/>
        <v>0</v>
      </c>
      <c r="CH1052" s="10" t="str">
        <f>分析データ!A1052</f>
        <v/>
      </c>
    </row>
    <row r="1053" spans="46:86">
      <c r="AT1053">
        <f ca="1">IF(ROW()&lt;($C$7+1),"",IFERROR((分析データ!B1053-AVERAGE(OFFSET(分析データ!B$1,MAX(1,ROW()-$C$7),0,MIN($C$7,ROW()-1),1)))/STDEV(OFFSET(分析データ!B$1,MAX(1,ROW()-$C$7),0,MIN($C$7,ROW()-1),1)),0))</f>
        <v>0</v>
      </c>
      <c r="AU1053">
        <f t="shared" ca="1" si="448"/>
        <v>0</v>
      </c>
      <c r="AV1053" t="str">
        <f ca="1">IF(AU1053=1,IF(INDEX(分析データ!$A:$A,ROW()+$C$5)&lt;&gt;"",80000*SIGN(AT1053)*(分析データ!B1053-INDEX(分析データ!B:B,ROW()+$C$5)),""),"")</f>
        <v/>
      </c>
      <c r="AW1053">
        <f t="shared" ca="1" si="449"/>
        <v>-1240000.0000000019</v>
      </c>
      <c r="AX1053">
        <f t="shared" ca="1" si="450"/>
        <v>0</v>
      </c>
      <c r="AY1053">
        <f t="shared" ca="1" si="451"/>
        <v>-1240000.0000000019</v>
      </c>
      <c r="AZ1053">
        <f ca="1">IF(ROW()&lt;($C$7+1),"",IFERROR((分析データ!C1053-AVERAGE(OFFSET(分析データ!C$1,MAX(1,ROW()-$C$7),0,MIN($C$7,ROW()-1),1)))/STDEV(OFFSET(分析データ!C$1,MAX(1,ROW()-$C$7),0,MIN($C$7,ROW()-1),1)),0))</f>
        <v>0</v>
      </c>
      <c r="BA1053">
        <f t="shared" ca="1" si="452"/>
        <v>0</v>
      </c>
      <c r="BB1053" t="str">
        <f ca="1">IF(BA1053=1,IF(INDEX(分析データ!$A:$A,ROW()+$C$5)&lt;&gt;"",60000*SIGN(AZ1053)*(分析データ!C1053-INDEX(分析データ!C:C,ROW()+$C$5)),""),"")</f>
        <v/>
      </c>
      <c r="BC1053">
        <f t="shared" ca="1" si="453"/>
        <v>-260999.9999999851</v>
      </c>
      <c r="BD1053">
        <f t="shared" ca="1" si="454"/>
        <v>3156000.0000000107</v>
      </c>
      <c r="BE1053">
        <f t="shared" ca="1" si="455"/>
        <v>-3416999.9999999958</v>
      </c>
      <c r="BF1053">
        <f ca="1">IF(ROW()&lt;($C$7+1),"",IFERROR((分析データ!D1053-AVERAGE(OFFSET(分析データ!D$1,MAX(1,ROW()-$C$7),0,MIN($C$7,ROW()-1),1)))/STDEV(OFFSET(分析データ!D$1,MAX(1,ROW()-$C$7),0,MIN($C$7,ROW()-1),1)),0))</f>
        <v>0</v>
      </c>
      <c r="BG1053">
        <f t="shared" ca="1" si="456"/>
        <v>0</v>
      </c>
      <c r="BH1053" t="str">
        <f ca="1">IF(BG1053=1,IF(INDEX(分析データ!$A:$A,ROW()+$C$5)&lt;&gt;"",50000*SIGN(BF1053)*(分析データ!D1053-INDEX(分析データ!D:D,ROW()+$C$5)),""),"")</f>
        <v/>
      </c>
      <c r="BI1053">
        <f t="shared" ca="1" si="457"/>
        <v>5570000.0000000205</v>
      </c>
      <c r="BJ1053">
        <f t="shared" ca="1" si="458"/>
        <v>5570000.0000000205</v>
      </c>
      <c r="BK1053">
        <f t="shared" ca="1" si="459"/>
        <v>0</v>
      </c>
      <c r="BL1053">
        <f ca="1">IF(ROW()&lt;($C$7+1),"",IFERROR((分析データ!E1053-AVERAGE(OFFSET(分析データ!E$1,MAX(1,ROW()-$C$7),0,MIN($C$7,ROW()-1),1)))/STDEV(OFFSET(分析データ!E$1,MAX(1,ROW()-$C$7),0,MIN($C$7,ROW()-1),1)),0))</f>
        <v>0</v>
      </c>
      <c r="BM1053">
        <f t="shared" ca="1" si="460"/>
        <v>0</v>
      </c>
      <c r="BN1053" t="str">
        <f ca="1">IF(BM1053=1,IF(INDEX(分析データ!$A:$A,ROW()+$C$5)&lt;&gt;"",40000*SIGN(BL1053)*(分析データ!E1053-INDEX(分析データ!E:E,ROW()+$C$5)),""),"")</f>
        <v/>
      </c>
      <c r="BO1053">
        <f t="shared" ca="1" si="461"/>
        <v>2720000.0000000014</v>
      </c>
      <c r="BP1053">
        <f t="shared" ca="1" si="462"/>
        <v>4280000.0000000028</v>
      </c>
      <c r="BQ1053">
        <f t="shared" ca="1" si="463"/>
        <v>-1560000.0000000014</v>
      </c>
      <c r="BR1053">
        <f ca="1">IF(ROW()&lt;($C$7+1),"",IFERROR((分析データ!F1053-AVERAGE(OFFSET(分析データ!F$1,MAX(1,ROW()-$C$7),0,MIN($C$7,ROW()-1),1)))/STDEV(OFFSET(分析データ!F$1,MAX(1,ROW()-$C$7),0,MIN($C$7,ROW()-1),1)),0))</f>
        <v>0</v>
      </c>
      <c r="BS1053">
        <f t="shared" ca="1" si="464"/>
        <v>0</v>
      </c>
      <c r="BT1053" t="str">
        <f ca="1">IF(BS1053=1,IF(INDEX(分析データ!$A:$A,ROW()+$C$5)&lt;&gt;"",40000*SIGN(BR1053)*(分析データ!F1053-INDEX(分析データ!F:F,ROW()+$C$5)),""),"")</f>
        <v/>
      </c>
      <c r="BU1053">
        <f t="shared" ca="1" si="465"/>
        <v>19816800</v>
      </c>
      <c r="BV1053">
        <f t="shared" ca="1" si="466"/>
        <v>19816800</v>
      </c>
      <c r="BW1053">
        <f t="shared" ca="1" si="467"/>
        <v>0</v>
      </c>
      <c r="BX1053">
        <f ca="1">IF(ROW()&lt;($C$7+1),"",IFERROR((分析データ!G1053-AVERAGE(OFFSET(分析データ!G$1,MAX(1,ROW()-$C$7),0,MIN($C$7,ROW()-1),1)))/STDEV(OFFSET(分析データ!G$1,MAX(1,ROW()-$C$7),0,MIN($C$7,ROW()-1),1)),0))</f>
        <v>0</v>
      </c>
      <c r="BY1053">
        <f t="shared" ca="1" si="468"/>
        <v>0</v>
      </c>
      <c r="BZ1053" t="str">
        <f ca="1">IF(BY1053=1,IF(INDEX(分析データ!$A:$A,ROW()+$C$5)&lt;&gt;"",40000*SIGN(BX1053)*(分析データ!G1053-INDEX(分析データ!G:G,ROW()+$C$5)),""),"")</f>
        <v/>
      </c>
      <c r="CA1053">
        <f t="shared" ca="1" si="469"/>
        <v>-3515452.8662109179</v>
      </c>
      <c r="CB1053">
        <f t="shared" ca="1" si="470"/>
        <v>11327520.000000004</v>
      </c>
      <c r="CC1053">
        <f t="shared" ca="1" si="471"/>
        <v>-14842972.866210923</v>
      </c>
      <c r="CD1053">
        <f t="shared" ca="1" si="472"/>
        <v>0</v>
      </c>
      <c r="CE1053">
        <f t="shared" ca="1" si="473"/>
        <v>23090347.13378913</v>
      </c>
      <c r="CF1053">
        <f t="shared" ca="1" si="474"/>
        <v>23090347.13378913</v>
      </c>
      <c r="CG1053">
        <f t="shared" ca="1" si="475"/>
        <v>0</v>
      </c>
      <c r="CH1053" s="10" t="str">
        <f>分析データ!A1053</f>
        <v/>
      </c>
    </row>
    <row r="1054" spans="46:86">
      <c r="AT1054">
        <f ca="1">IF(ROW()&lt;($C$7+1),"",IFERROR((分析データ!B1054-AVERAGE(OFFSET(分析データ!B$1,MAX(1,ROW()-$C$7),0,MIN($C$7,ROW()-1),1)))/STDEV(OFFSET(分析データ!B$1,MAX(1,ROW()-$C$7),0,MIN($C$7,ROW()-1),1)),0))</f>
        <v>0</v>
      </c>
      <c r="AU1054">
        <f t="shared" ca="1" si="448"/>
        <v>0</v>
      </c>
      <c r="AV1054" t="str">
        <f ca="1">IF(AU1054=1,IF(INDEX(分析データ!$A:$A,ROW()+$C$5)&lt;&gt;"",80000*SIGN(AT1054)*(分析データ!B1054-INDEX(分析データ!B:B,ROW()+$C$5)),""),"")</f>
        <v/>
      </c>
      <c r="AW1054">
        <f t="shared" ca="1" si="449"/>
        <v>-1240000.0000000019</v>
      </c>
      <c r="AX1054">
        <f t="shared" ca="1" si="450"/>
        <v>0</v>
      </c>
      <c r="AY1054">
        <f t="shared" ca="1" si="451"/>
        <v>-1240000.0000000019</v>
      </c>
      <c r="AZ1054">
        <f ca="1">IF(ROW()&lt;($C$7+1),"",IFERROR((分析データ!C1054-AVERAGE(OFFSET(分析データ!C$1,MAX(1,ROW()-$C$7),0,MIN($C$7,ROW()-1),1)))/STDEV(OFFSET(分析データ!C$1,MAX(1,ROW()-$C$7),0,MIN($C$7,ROW()-1),1)),0))</f>
        <v>0</v>
      </c>
      <c r="BA1054">
        <f t="shared" ca="1" si="452"/>
        <v>0</v>
      </c>
      <c r="BB1054" t="str">
        <f ca="1">IF(BA1054=1,IF(INDEX(分析データ!$A:$A,ROW()+$C$5)&lt;&gt;"",60000*SIGN(AZ1054)*(分析データ!C1054-INDEX(分析データ!C:C,ROW()+$C$5)),""),"")</f>
        <v/>
      </c>
      <c r="BC1054">
        <f t="shared" ca="1" si="453"/>
        <v>-260999.9999999851</v>
      </c>
      <c r="BD1054">
        <f t="shared" ca="1" si="454"/>
        <v>3156000.0000000107</v>
      </c>
      <c r="BE1054">
        <f t="shared" ca="1" si="455"/>
        <v>-3416999.9999999958</v>
      </c>
      <c r="BF1054">
        <f ca="1">IF(ROW()&lt;($C$7+1),"",IFERROR((分析データ!D1054-AVERAGE(OFFSET(分析データ!D$1,MAX(1,ROW()-$C$7),0,MIN($C$7,ROW()-1),1)))/STDEV(OFFSET(分析データ!D$1,MAX(1,ROW()-$C$7),0,MIN($C$7,ROW()-1),1)),0))</f>
        <v>0</v>
      </c>
      <c r="BG1054">
        <f t="shared" ca="1" si="456"/>
        <v>0</v>
      </c>
      <c r="BH1054" t="str">
        <f ca="1">IF(BG1054=1,IF(INDEX(分析データ!$A:$A,ROW()+$C$5)&lt;&gt;"",50000*SIGN(BF1054)*(分析データ!D1054-INDEX(分析データ!D:D,ROW()+$C$5)),""),"")</f>
        <v/>
      </c>
      <c r="BI1054">
        <f t="shared" ca="1" si="457"/>
        <v>5570000.0000000205</v>
      </c>
      <c r="BJ1054">
        <f t="shared" ca="1" si="458"/>
        <v>5570000.0000000205</v>
      </c>
      <c r="BK1054">
        <f t="shared" ca="1" si="459"/>
        <v>0</v>
      </c>
      <c r="BL1054">
        <f ca="1">IF(ROW()&lt;($C$7+1),"",IFERROR((分析データ!E1054-AVERAGE(OFFSET(分析データ!E$1,MAX(1,ROW()-$C$7),0,MIN($C$7,ROW()-1),1)))/STDEV(OFFSET(分析データ!E$1,MAX(1,ROW()-$C$7),0,MIN($C$7,ROW()-1),1)),0))</f>
        <v>0</v>
      </c>
      <c r="BM1054">
        <f t="shared" ca="1" si="460"/>
        <v>0</v>
      </c>
      <c r="BN1054" t="str">
        <f ca="1">IF(BM1054=1,IF(INDEX(分析データ!$A:$A,ROW()+$C$5)&lt;&gt;"",40000*SIGN(BL1054)*(分析データ!E1054-INDEX(分析データ!E:E,ROW()+$C$5)),""),"")</f>
        <v/>
      </c>
      <c r="BO1054">
        <f t="shared" ca="1" si="461"/>
        <v>2720000.0000000014</v>
      </c>
      <c r="BP1054">
        <f t="shared" ca="1" si="462"/>
        <v>4280000.0000000028</v>
      </c>
      <c r="BQ1054">
        <f t="shared" ca="1" si="463"/>
        <v>-1560000.0000000014</v>
      </c>
      <c r="BR1054">
        <f ca="1">IF(ROW()&lt;($C$7+1),"",IFERROR((分析データ!F1054-AVERAGE(OFFSET(分析データ!F$1,MAX(1,ROW()-$C$7),0,MIN($C$7,ROW()-1),1)))/STDEV(OFFSET(分析データ!F$1,MAX(1,ROW()-$C$7),0,MIN($C$7,ROW()-1),1)),0))</f>
        <v>0</v>
      </c>
      <c r="BS1054">
        <f t="shared" ca="1" si="464"/>
        <v>0</v>
      </c>
      <c r="BT1054" t="str">
        <f ca="1">IF(BS1054=1,IF(INDEX(分析データ!$A:$A,ROW()+$C$5)&lt;&gt;"",40000*SIGN(BR1054)*(分析データ!F1054-INDEX(分析データ!F:F,ROW()+$C$5)),""),"")</f>
        <v/>
      </c>
      <c r="BU1054">
        <f t="shared" ca="1" si="465"/>
        <v>19816800</v>
      </c>
      <c r="BV1054">
        <f t="shared" ca="1" si="466"/>
        <v>19816800</v>
      </c>
      <c r="BW1054">
        <f t="shared" ca="1" si="467"/>
        <v>0</v>
      </c>
      <c r="BX1054">
        <f ca="1">IF(ROW()&lt;($C$7+1),"",IFERROR((分析データ!G1054-AVERAGE(OFFSET(分析データ!G$1,MAX(1,ROW()-$C$7),0,MIN($C$7,ROW()-1),1)))/STDEV(OFFSET(分析データ!G$1,MAX(1,ROW()-$C$7),0,MIN($C$7,ROW()-1),1)),0))</f>
        <v>0</v>
      </c>
      <c r="BY1054">
        <f t="shared" ca="1" si="468"/>
        <v>0</v>
      </c>
      <c r="BZ1054" t="str">
        <f ca="1">IF(BY1054=1,IF(INDEX(分析データ!$A:$A,ROW()+$C$5)&lt;&gt;"",40000*SIGN(BX1054)*(分析データ!G1054-INDEX(分析データ!G:G,ROW()+$C$5)),""),"")</f>
        <v/>
      </c>
      <c r="CA1054">
        <f t="shared" ca="1" si="469"/>
        <v>-3515452.8662109179</v>
      </c>
      <c r="CB1054">
        <f t="shared" ca="1" si="470"/>
        <v>11327520.000000004</v>
      </c>
      <c r="CC1054">
        <f t="shared" ca="1" si="471"/>
        <v>-14842972.866210923</v>
      </c>
      <c r="CD1054">
        <f t="shared" ca="1" si="472"/>
        <v>0</v>
      </c>
      <c r="CE1054">
        <f t="shared" ca="1" si="473"/>
        <v>23090347.13378913</v>
      </c>
      <c r="CF1054">
        <f t="shared" ca="1" si="474"/>
        <v>23090347.13378913</v>
      </c>
      <c r="CG1054">
        <f t="shared" ca="1" si="475"/>
        <v>0</v>
      </c>
      <c r="CH1054" s="10" t="str">
        <f>分析データ!A1054</f>
        <v/>
      </c>
    </row>
    <row r="1055" spans="46:86">
      <c r="AT1055">
        <f ca="1">IF(ROW()&lt;($C$7+1),"",IFERROR((分析データ!B1055-AVERAGE(OFFSET(分析データ!B$1,MAX(1,ROW()-$C$7),0,MIN($C$7,ROW()-1),1)))/STDEV(OFFSET(分析データ!B$1,MAX(1,ROW()-$C$7),0,MIN($C$7,ROW()-1),1)),0))</f>
        <v>0</v>
      </c>
      <c r="AU1055">
        <f t="shared" ca="1" si="448"/>
        <v>0</v>
      </c>
      <c r="AV1055" t="str">
        <f ca="1">IF(AU1055=1,IF(INDEX(分析データ!$A:$A,ROW()+$C$5)&lt;&gt;"",80000*SIGN(AT1055)*(分析データ!B1055-INDEX(分析データ!B:B,ROW()+$C$5)),""),"")</f>
        <v/>
      </c>
      <c r="AW1055">
        <f t="shared" ca="1" si="449"/>
        <v>-1240000.0000000019</v>
      </c>
      <c r="AX1055">
        <f t="shared" ca="1" si="450"/>
        <v>0</v>
      </c>
      <c r="AY1055">
        <f t="shared" ca="1" si="451"/>
        <v>-1240000.0000000019</v>
      </c>
      <c r="AZ1055">
        <f ca="1">IF(ROW()&lt;($C$7+1),"",IFERROR((分析データ!C1055-AVERAGE(OFFSET(分析データ!C$1,MAX(1,ROW()-$C$7),0,MIN($C$7,ROW()-1),1)))/STDEV(OFFSET(分析データ!C$1,MAX(1,ROW()-$C$7),0,MIN($C$7,ROW()-1),1)),0))</f>
        <v>0</v>
      </c>
      <c r="BA1055">
        <f t="shared" ca="1" si="452"/>
        <v>0</v>
      </c>
      <c r="BB1055" t="str">
        <f ca="1">IF(BA1055=1,IF(INDEX(分析データ!$A:$A,ROW()+$C$5)&lt;&gt;"",60000*SIGN(AZ1055)*(分析データ!C1055-INDEX(分析データ!C:C,ROW()+$C$5)),""),"")</f>
        <v/>
      </c>
      <c r="BC1055">
        <f t="shared" ca="1" si="453"/>
        <v>-260999.9999999851</v>
      </c>
      <c r="BD1055">
        <f t="shared" ca="1" si="454"/>
        <v>3156000.0000000107</v>
      </c>
      <c r="BE1055">
        <f t="shared" ca="1" si="455"/>
        <v>-3416999.9999999958</v>
      </c>
      <c r="BF1055">
        <f ca="1">IF(ROW()&lt;($C$7+1),"",IFERROR((分析データ!D1055-AVERAGE(OFFSET(分析データ!D$1,MAX(1,ROW()-$C$7),0,MIN($C$7,ROW()-1),1)))/STDEV(OFFSET(分析データ!D$1,MAX(1,ROW()-$C$7),0,MIN($C$7,ROW()-1),1)),0))</f>
        <v>0</v>
      </c>
      <c r="BG1055">
        <f t="shared" ca="1" si="456"/>
        <v>0</v>
      </c>
      <c r="BH1055" t="str">
        <f ca="1">IF(BG1055=1,IF(INDEX(分析データ!$A:$A,ROW()+$C$5)&lt;&gt;"",50000*SIGN(BF1055)*(分析データ!D1055-INDEX(分析データ!D:D,ROW()+$C$5)),""),"")</f>
        <v/>
      </c>
      <c r="BI1055">
        <f t="shared" ca="1" si="457"/>
        <v>5570000.0000000205</v>
      </c>
      <c r="BJ1055">
        <f t="shared" ca="1" si="458"/>
        <v>5570000.0000000205</v>
      </c>
      <c r="BK1055">
        <f t="shared" ca="1" si="459"/>
        <v>0</v>
      </c>
      <c r="BL1055">
        <f ca="1">IF(ROW()&lt;($C$7+1),"",IFERROR((分析データ!E1055-AVERAGE(OFFSET(分析データ!E$1,MAX(1,ROW()-$C$7),0,MIN($C$7,ROW()-1),1)))/STDEV(OFFSET(分析データ!E$1,MAX(1,ROW()-$C$7),0,MIN($C$7,ROW()-1),1)),0))</f>
        <v>0</v>
      </c>
      <c r="BM1055">
        <f t="shared" ca="1" si="460"/>
        <v>0</v>
      </c>
      <c r="BN1055" t="str">
        <f ca="1">IF(BM1055=1,IF(INDEX(分析データ!$A:$A,ROW()+$C$5)&lt;&gt;"",40000*SIGN(BL1055)*(分析データ!E1055-INDEX(分析データ!E:E,ROW()+$C$5)),""),"")</f>
        <v/>
      </c>
      <c r="BO1055">
        <f t="shared" ca="1" si="461"/>
        <v>2720000.0000000014</v>
      </c>
      <c r="BP1055">
        <f t="shared" ca="1" si="462"/>
        <v>4280000.0000000028</v>
      </c>
      <c r="BQ1055">
        <f t="shared" ca="1" si="463"/>
        <v>-1560000.0000000014</v>
      </c>
      <c r="BR1055">
        <f ca="1">IF(ROW()&lt;($C$7+1),"",IFERROR((分析データ!F1055-AVERAGE(OFFSET(分析データ!F$1,MAX(1,ROW()-$C$7),0,MIN($C$7,ROW()-1),1)))/STDEV(OFFSET(分析データ!F$1,MAX(1,ROW()-$C$7),0,MIN($C$7,ROW()-1),1)),0))</f>
        <v>0</v>
      </c>
      <c r="BS1055">
        <f t="shared" ca="1" si="464"/>
        <v>0</v>
      </c>
      <c r="BT1055" t="str">
        <f ca="1">IF(BS1055=1,IF(INDEX(分析データ!$A:$A,ROW()+$C$5)&lt;&gt;"",40000*SIGN(BR1055)*(分析データ!F1055-INDEX(分析データ!F:F,ROW()+$C$5)),""),"")</f>
        <v/>
      </c>
      <c r="BU1055">
        <f t="shared" ca="1" si="465"/>
        <v>19816800</v>
      </c>
      <c r="BV1055">
        <f t="shared" ca="1" si="466"/>
        <v>19816800</v>
      </c>
      <c r="BW1055">
        <f t="shared" ca="1" si="467"/>
        <v>0</v>
      </c>
      <c r="BX1055">
        <f ca="1">IF(ROW()&lt;($C$7+1),"",IFERROR((分析データ!G1055-AVERAGE(OFFSET(分析データ!G$1,MAX(1,ROW()-$C$7),0,MIN($C$7,ROW()-1),1)))/STDEV(OFFSET(分析データ!G$1,MAX(1,ROW()-$C$7),0,MIN($C$7,ROW()-1),1)),0))</f>
        <v>0</v>
      </c>
      <c r="BY1055">
        <f t="shared" ca="1" si="468"/>
        <v>0</v>
      </c>
      <c r="BZ1055" t="str">
        <f ca="1">IF(BY1055=1,IF(INDEX(分析データ!$A:$A,ROW()+$C$5)&lt;&gt;"",40000*SIGN(BX1055)*(分析データ!G1055-INDEX(分析データ!G:G,ROW()+$C$5)),""),"")</f>
        <v/>
      </c>
      <c r="CA1055">
        <f t="shared" ca="1" si="469"/>
        <v>-3515452.8662109179</v>
      </c>
      <c r="CB1055">
        <f t="shared" ca="1" si="470"/>
        <v>11327520.000000004</v>
      </c>
      <c r="CC1055">
        <f t="shared" ca="1" si="471"/>
        <v>-14842972.866210923</v>
      </c>
      <c r="CD1055">
        <f t="shared" ca="1" si="472"/>
        <v>0</v>
      </c>
      <c r="CE1055">
        <f t="shared" ca="1" si="473"/>
        <v>23090347.13378913</v>
      </c>
      <c r="CF1055">
        <f t="shared" ca="1" si="474"/>
        <v>23090347.13378913</v>
      </c>
      <c r="CG1055">
        <f t="shared" ca="1" si="475"/>
        <v>0</v>
      </c>
      <c r="CH1055" s="10" t="str">
        <f>分析データ!A1055</f>
        <v/>
      </c>
    </row>
    <row r="1056" spans="46:86">
      <c r="AT1056">
        <f ca="1">IF(ROW()&lt;($C$7+1),"",IFERROR((分析データ!B1056-AVERAGE(OFFSET(分析データ!B$1,MAX(1,ROW()-$C$7),0,MIN($C$7,ROW()-1),1)))/STDEV(OFFSET(分析データ!B$1,MAX(1,ROW()-$C$7),0,MIN($C$7,ROW()-1),1)),0))</f>
        <v>0</v>
      </c>
      <c r="AU1056">
        <f t="shared" ca="1" si="448"/>
        <v>0</v>
      </c>
      <c r="AV1056" t="str">
        <f ca="1">IF(AU1056=1,IF(INDEX(分析データ!$A:$A,ROW()+$C$5)&lt;&gt;"",80000*SIGN(AT1056)*(分析データ!B1056-INDEX(分析データ!B:B,ROW()+$C$5)),""),"")</f>
        <v/>
      </c>
      <c r="AW1056">
        <f t="shared" ca="1" si="449"/>
        <v>-1240000.0000000019</v>
      </c>
      <c r="AX1056">
        <f t="shared" ca="1" si="450"/>
        <v>0</v>
      </c>
      <c r="AY1056">
        <f t="shared" ca="1" si="451"/>
        <v>-1240000.0000000019</v>
      </c>
      <c r="AZ1056">
        <f ca="1">IF(ROW()&lt;($C$7+1),"",IFERROR((分析データ!C1056-AVERAGE(OFFSET(分析データ!C$1,MAX(1,ROW()-$C$7),0,MIN($C$7,ROW()-1),1)))/STDEV(OFFSET(分析データ!C$1,MAX(1,ROW()-$C$7),0,MIN($C$7,ROW()-1),1)),0))</f>
        <v>0</v>
      </c>
      <c r="BA1056">
        <f t="shared" ca="1" si="452"/>
        <v>0</v>
      </c>
      <c r="BB1056" t="str">
        <f ca="1">IF(BA1056=1,IF(INDEX(分析データ!$A:$A,ROW()+$C$5)&lt;&gt;"",60000*SIGN(AZ1056)*(分析データ!C1056-INDEX(分析データ!C:C,ROW()+$C$5)),""),"")</f>
        <v/>
      </c>
      <c r="BC1056">
        <f t="shared" ca="1" si="453"/>
        <v>-260999.9999999851</v>
      </c>
      <c r="BD1056">
        <f t="shared" ca="1" si="454"/>
        <v>3156000.0000000107</v>
      </c>
      <c r="BE1056">
        <f t="shared" ca="1" si="455"/>
        <v>-3416999.9999999958</v>
      </c>
      <c r="BF1056">
        <f ca="1">IF(ROW()&lt;($C$7+1),"",IFERROR((分析データ!D1056-AVERAGE(OFFSET(分析データ!D$1,MAX(1,ROW()-$C$7),0,MIN($C$7,ROW()-1),1)))/STDEV(OFFSET(分析データ!D$1,MAX(1,ROW()-$C$7),0,MIN($C$7,ROW()-1),1)),0))</f>
        <v>0</v>
      </c>
      <c r="BG1056">
        <f t="shared" ca="1" si="456"/>
        <v>0</v>
      </c>
      <c r="BH1056" t="str">
        <f ca="1">IF(BG1056=1,IF(INDEX(分析データ!$A:$A,ROW()+$C$5)&lt;&gt;"",50000*SIGN(BF1056)*(分析データ!D1056-INDEX(分析データ!D:D,ROW()+$C$5)),""),"")</f>
        <v/>
      </c>
      <c r="BI1056">
        <f t="shared" ca="1" si="457"/>
        <v>5570000.0000000205</v>
      </c>
      <c r="BJ1056">
        <f t="shared" ca="1" si="458"/>
        <v>5570000.0000000205</v>
      </c>
      <c r="BK1056">
        <f t="shared" ca="1" si="459"/>
        <v>0</v>
      </c>
      <c r="BL1056">
        <f ca="1">IF(ROW()&lt;($C$7+1),"",IFERROR((分析データ!E1056-AVERAGE(OFFSET(分析データ!E$1,MAX(1,ROW()-$C$7),0,MIN($C$7,ROW()-1),1)))/STDEV(OFFSET(分析データ!E$1,MAX(1,ROW()-$C$7),0,MIN($C$7,ROW()-1),1)),0))</f>
        <v>0</v>
      </c>
      <c r="BM1056">
        <f t="shared" ca="1" si="460"/>
        <v>0</v>
      </c>
      <c r="BN1056" t="str">
        <f ca="1">IF(BM1056=1,IF(INDEX(分析データ!$A:$A,ROW()+$C$5)&lt;&gt;"",40000*SIGN(BL1056)*(分析データ!E1056-INDEX(分析データ!E:E,ROW()+$C$5)),""),"")</f>
        <v/>
      </c>
      <c r="BO1056">
        <f t="shared" ca="1" si="461"/>
        <v>2720000.0000000014</v>
      </c>
      <c r="BP1056">
        <f t="shared" ca="1" si="462"/>
        <v>4280000.0000000028</v>
      </c>
      <c r="BQ1056">
        <f t="shared" ca="1" si="463"/>
        <v>-1560000.0000000014</v>
      </c>
      <c r="BR1056">
        <f ca="1">IF(ROW()&lt;($C$7+1),"",IFERROR((分析データ!F1056-AVERAGE(OFFSET(分析データ!F$1,MAX(1,ROW()-$C$7),0,MIN($C$7,ROW()-1),1)))/STDEV(OFFSET(分析データ!F$1,MAX(1,ROW()-$C$7),0,MIN($C$7,ROW()-1),1)),0))</f>
        <v>0</v>
      </c>
      <c r="BS1056">
        <f t="shared" ca="1" si="464"/>
        <v>0</v>
      </c>
      <c r="BT1056" t="str">
        <f ca="1">IF(BS1056=1,IF(INDEX(分析データ!$A:$A,ROW()+$C$5)&lt;&gt;"",40000*SIGN(BR1056)*(分析データ!F1056-INDEX(分析データ!F:F,ROW()+$C$5)),""),"")</f>
        <v/>
      </c>
      <c r="BU1056">
        <f t="shared" ca="1" si="465"/>
        <v>19816800</v>
      </c>
      <c r="BV1056">
        <f t="shared" ca="1" si="466"/>
        <v>19816800</v>
      </c>
      <c r="BW1056">
        <f t="shared" ca="1" si="467"/>
        <v>0</v>
      </c>
      <c r="BX1056">
        <f ca="1">IF(ROW()&lt;($C$7+1),"",IFERROR((分析データ!G1056-AVERAGE(OFFSET(分析データ!G$1,MAX(1,ROW()-$C$7),0,MIN($C$7,ROW()-1),1)))/STDEV(OFFSET(分析データ!G$1,MAX(1,ROW()-$C$7),0,MIN($C$7,ROW()-1),1)),0))</f>
        <v>0</v>
      </c>
      <c r="BY1056">
        <f t="shared" ca="1" si="468"/>
        <v>0</v>
      </c>
      <c r="BZ1056" t="str">
        <f ca="1">IF(BY1056=1,IF(INDEX(分析データ!$A:$A,ROW()+$C$5)&lt;&gt;"",40000*SIGN(BX1056)*(分析データ!G1056-INDEX(分析データ!G:G,ROW()+$C$5)),""),"")</f>
        <v/>
      </c>
      <c r="CA1056">
        <f t="shared" ca="1" si="469"/>
        <v>-3515452.8662109179</v>
      </c>
      <c r="CB1056">
        <f t="shared" ca="1" si="470"/>
        <v>11327520.000000004</v>
      </c>
      <c r="CC1056">
        <f t="shared" ca="1" si="471"/>
        <v>-14842972.866210923</v>
      </c>
      <c r="CD1056">
        <f t="shared" ca="1" si="472"/>
        <v>0</v>
      </c>
      <c r="CE1056">
        <f t="shared" ca="1" si="473"/>
        <v>23090347.13378913</v>
      </c>
      <c r="CF1056">
        <f t="shared" ca="1" si="474"/>
        <v>23090347.13378913</v>
      </c>
      <c r="CG1056">
        <f t="shared" ca="1" si="475"/>
        <v>0</v>
      </c>
      <c r="CH1056" s="10" t="str">
        <f>分析データ!A1056</f>
        <v/>
      </c>
    </row>
    <row r="1057" spans="46:86">
      <c r="AT1057">
        <f ca="1">IF(ROW()&lt;($C$7+1),"",IFERROR((分析データ!B1057-AVERAGE(OFFSET(分析データ!B$1,MAX(1,ROW()-$C$7),0,MIN($C$7,ROW()-1),1)))/STDEV(OFFSET(分析データ!B$1,MAX(1,ROW()-$C$7),0,MIN($C$7,ROW()-1),1)),0))</f>
        <v>0</v>
      </c>
      <c r="AU1057">
        <f t="shared" ca="1" si="448"/>
        <v>0</v>
      </c>
      <c r="AV1057" t="str">
        <f ca="1">IF(AU1057=1,IF(INDEX(分析データ!$A:$A,ROW()+$C$5)&lt;&gt;"",80000*SIGN(AT1057)*(分析データ!B1057-INDEX(分析データ!B:B,ROW()+$C$5)),""),"")</f>
        <v/>
      </c>
      <c r="AW1057">
        <f t="shared" ca="1" si="449"/>
        <v>-1240000.0000000019</v>
      </c>
      <c r="AX1057">
        <f t="shared" ca="1" si="450"/>
        <v>0</v>
      </c>
      <c r="AY1057">
        <f t="shared" ca="1" si="451"/>
        <v>-1240000.0000000019</v>
      </c>
      <c r="AZ1057">
        <f ca="1">IF(ROW()&lt;($C$7+1),"",IFERROR((分析データ!C1057-AVERAGE(OFFSET(分析データ!C$1,MAX(1,ROW()-$C$7),0,MIN($C$7,ROW()-1),1)))/STDEV(OFFSET(分析データ!C$1,MAX(1,ROW()-$C$7),0,MIN($C$7,ROW()-1),1)),0))</f>
        <v>0</v>
      </c>
      <c r="BA1057">
        <f t="shared" ca="1" si="452"/>
        <v>0</v>
      </c>
      <c r="BB1057" t="str">
        <f ca="1">IF(BA1057=1,IF(INDEX(分析データ!$A:$A,ROW()+$C$5)&lt;&gt;"",60000*SIGN(AZ1057)*(分析データ!C1057-INDEX(分析データ!C:C,ROW()+$C$5)),""),"")</f>
        <v/>
      </c>
      <c r="BC1057">
        <f t="shared" ca="1" si="453"/>
        <v>-260999.9999999851</v>
      </c>
      <c r="BD1057">
        <f t="shared" ca="1" si="454"/>
        <v>3156000.0000000107</v>
      </c>
      <c r="BE1057">
        <f t="shared" ca="1" si="455"/>
        <v>-3416999.9999999958</v>
      </c>
      <c r="BF1057">
        <f ca="1">IF(ROW()&lt;($C$7+1),"",IFERROR((分析データ!D1057-AVERAGE(OFFSET(分析データ!D$1,MAX(1,ROW()-$C$7),0,MIN($C$7,ROW()-1),1)))/STDEV(OFFSET(分析データ!D$1,MAX(1,ROW()-$C$7),0,MIN($C$7,ROW()-1),1)),0))</f>
        <v>0</v>
      </c>
      <c r="BG1057">
        <f t="shared" ca="1" si="456"/>
        <v>0</v>
      </c>
      <c r="BH1057" t="str">
        <f ca="1">IF(BG1057=1,IF(INDEX(分析データ!$A:$A,ROW()+$C$5)&lt;&gt;"",50000*SIGN(BF1057)*(分析データ!D1057-INDEX(分析データ!D:D,ROW()+$C$5)),""),"")</f>
        <v/>
      </c>
      <c r="BI1057">
        <f t="shared" ca="1" si="457"/>
        <v>5570000.0000000205</v>
      </c>
      <c r="BJ1057">
        <f t="shared" ca="1" si="458"/>
        <v>5570000.0000000205</v>
      </c>
      <c r="BK1057">
        <f t="shared" ca="1" si="459"/>
        <v>0</v>
      </c>
      <c r="BL1057">
        <f ca="1">IF(ROW()&lt;($C$7+1),"",IFERROR((分析データ!E1057-AVERAGE(OFFSET(分析データ!E$1,MAX(1,ROW()-$C$7),0,MIN($C$7,ROW()-1),1)))/STDEV(OFFSET(分析データ!E$1,MAX(1,ROW()-$C$7),0,MIN($C$7,ROW()-1),1)),0))</f>
        <v>0</v>
      </c>
      <c r="BM1057">
        <f t="shared" ca="1" si="460"/>
        <v>0</v>
      </c>
      <c r="BN1057" t="str">
        <f ca="1">IF(BM1057=1,IF(INDEX(分析データ!$A:$A,ROW()+$C$5)&lt;&gt;"",40000*SIGN(BL1057)*(分析データ!E1057-INDEX(分析データ!E:E,ROW()+$C$5)),""),"")</f>
        <v/>
      </c>
      <c r="BO1057">
        <f t="shared" ca="1" si="461"/>
        <v>2720000.0000000014</v>
      </c>
      <c r="BP1057">
        <f t="shared" ca="1" si="462"/>
        <v>4280000.0000000028</v>
      </c>
      <c r="BQ1057">
        <f t="shared" ca="1" si="463"/>
        <v>-1560000.0000000014</v>
      </c>
      <c r="BR1057">
        <f ca="1">IF(ROW()&lt;($C$7+1),"",IFERROR((分析データ!F1057-AVERAGE(OFFSET(分析データ!F$1,MAX(1,ROW()-$C$7),0,MIN($C$7,ROW()-1),1)))/STDEV(OFFSET(分析データ!F$1,MAX(1,ROW()-$C$7),0,MIN($C$7,ROW()-1),1)),0))</f>
        <v>0</v>
      </c>
      <c r="BS1057">
        <f t="shared" ca="1" si="464"/>
        <v>0</v>
      </c>
      <c r="BT1057" t="str">
        <f ca="1">IF(BS1057=1,IF(INDEX(分析データ!$A:$A,ROW()+$C$5)&lt;&gt;"",40000*SIGN(BR1057)*(分析データ!F1057-INDEX(分析データ!F:F,ROW()+$C$5)),""),"")</f>
        <v/>
      </c>
      <c r="BU1057">
        <f t="shared" ca="1" si="465"/>
        <v>19816800</v>
      </c>
      <c r="BV1057">
        <f t="shared" ca="1" si="466"/>
        <v>19816800</v>
      </c>
      <c r="BW1057">
        <f t="shared" ca="1" si="467"/>
        <v>0</v>
      </c>
      <c r="BX1057">
        <f ca="1">IF(ROW()&lt;($C$7+1),"",IFERROR((分析データ!G1057-AVERAGE(OFFSET(分析データ!G$1,MAX(1,ROW()-$C$7),0,MIN($C$7,ROW()-1),1)))/STDEV(OFFSET(分析データ!G$1,MAX(1,ROW()-$C$7),0,MIN($C$7,ROW()-1),1)),0))</f>
        <v>0</v>
      </c>
      <c r="BY1057">
        <f t="shared" ca="1" si="468"/>
        <v>0</v>
      </c>
      <c r="BZ1057" t="str">
        <f ca="1">IF(BY1057=1,IF(INDEX(分析データ!$A:$A,ROW()+$C$5)&lt;&gt;"",40000*SIGN(BX1057)*(分析データ!G1057-INDEX(分析データ!G:G,ROW()+$C$5)),""),"")</f>
        <v/>
      </c>
      <c r="CA1057">
        <f t="shared" ca="1" si="469"/>
        <v>-3515452.8662109179</v>
      </c>
      <c r="CB1057">
        <f t="shared" ca="1" si="470"/>
        <v>11327520.000000004</v>
      </c>
      <c r="CC1057">
        <f t="shared" ca="1" si="471"/>
        <v>-14842972.866210923</v>
      </c>
      <c r="CD1057">
        <f t="shared" ca="1" si="472"/>
        <v>0</v>
      </c>
      <c r="CE1057">
        <f t="shared" ca="1" si="473"/>
        <v>23090347.13378913</v>
      </c>
      <c r="CF1057">
        <f t="shared" ca="1" si="474"/>
        <v>23090347.13378913</v>
      </c>
      <c r="CG1057">
        <f t="shared" ca="1" si="475"/>
        <v>0</v>
      </c>
      <c r="CH1057" s="10" t="str">
        <f>分析データ!A1057</f>
        <v/>
      </c>
    </row>
    <row r="1058" spans="46:86">
      <c r="AT1058">
        <f ca="1">IF(ROW()&lt;($C$7+1),"",IFERROR((分析データ!B1058-AVERAGE(OFFSET(分析データ!B$1,MAX(1,ROW()-$C$7),0,MIN($C$7,ROW()-1),1)))/STDEV(OFFSET(分析データ!B$1,MAX(1,ROW()-$C$7),0,MIN($C$7,ROW()-1),1)),0))</f>
        <v>0</v>
      </c>
      <c r="AU1058">
        <f t="shared" ca="1" si="448"/>
        <v>0</v>
      </c>
      <c r="AV1058" t="str">
        <f ca="1">IF(AU1058=1,IF(INDEX(分析データ!$A:$A,ROW()+$C$5)&lt;&gt;"",80000*SIGN(AT1058)*(分析データ!B1058-INDEX(分析データ!B:B,ROW()+$C$5)),""),"")</f>
        <v/>
      </c>
      <c r="AW1058">
        <f t="shared" ca="1" si="449"/>
        <v>-1240000.0000000019</v>
      </c>
      <c r="AX1058">
        <f t="shared" ca="1" si="450"/>
        <v>0</v>
      </c>
      <c r="AY1058">
        <f t="shared" ca="1" si="451"/>
        <v>-1240000.0000000019</v>
      </c>
      <c r="AZ1058">
        <f ca="1">IF(ROW()&lt;($C$7+1),"",IFERROR((分析データ!C1058-AVERAGE(OFFSET(分析データ!C$1,MAX(1,ROW()-$C$7),0,MIN($C$7,ROW()-1),1)))/STDEV(OFFSET(分析データ!C$1,MAX(1,ROW()-$C$7),0,MIN($C$7,ROW()-1),1)),0))</f>
        <v>0</v>
      </c>
      <c r="BA1058">
        <f t="shared" ca="1" si="452"/>
        <v>0</v>
      </c>
      <c r="BB1058" t="str">
        <f ca="1">IF(BA1058=1,IF(INDEX(分析データ!$A:$A,ROW()+$C$5)&lt;&gt;"",60000*SIGN(AZ1058)*(分析データ!C1058-INDEX(分析データ!C:C,ROW()+$C$5)),""),"")</f>
        <v/>
      </c>
      <c r="BC1058">
        <f t="shared" ca="1" si="453"/>
        <v>-260999.9999999851</v>
      </c>
      <c r="BD1058">
        <f t="shared" ca="1" si="454"/>
        <v>3156000.0000000107</v>
      </c>
      <c r="BE1058">
        <f t="shared" ca="1" si="455"/>
        <v>-3416999.9999999958</v>
      </c>
      <c r="BF1058">
        <f ca="1">IF(ROW()&lt;($C$7+1),"",IFERROR((分析データ!D1058-AVERAGE(OFFSET(分析データ!D$1,MAX(1,ROW()-$C$7),0,MIN($C$7,ROW()-1),1)))/STDEV(OFFSET(分析データ!D$1,MAX(1,ROW()-$C$7),0,MIN($C$7,ROW()-1),1)),0))</f>
        <v>0</v>
      </c>
      <c r="BG1058">
        <f t="shared" ca="1" si="456"/>
        <v>0</v>
      </c>
      <c r="BH1058" t="str">
        <f ca="1">IF(BG1058=1,IF(INDEX(分析データ!$A:$A,ROW()+$C$5)&lt;&gt;"",50000*SIGN(BF1058)*(分析データ!D1058-INDEX(分析データ!D:D,ROW()+$C$5)),""),"")</f>
        <v/>
      </c>
      <c r="BI1058">
        <f t="shared" ca="1" si="457"/>
        <v>5570000.0000000205</v>
      </c>
      <c r="BJ1058">
        <f t="shared" ca="1" si="458"/>
        <v>5570000.0000000205</v>
      </c>
      <c r="BK1058">
        <f t="shared" ca="1" si="459"/>
        <v>0</v>
      </c>
      <c r="BL1058">
        <f ca="1">IF(ROW()&lt;($C$7+1),"",IFERROR((分析データ!E1058-AVERAGE(OFFSET(分析データ!E$1,MAX(1,ROW()-$C$7),0,MIN($C$7,ROW()-1),1)))/STDEV(OFFSET(分析データ!E$1,MAX(1,ROW()-$C$7),0,MIN($C$7,ROW()-1),1)),0))</f>
        <v>0</v>
      </c>
      <c r="BM1058">
        <f t="shared" ca="1" si="460"/>
        <v>0</v>
      </c>
      <c r="BN1058" t="str">
        <f ca="1">IF(BM1058=1,IF(INDEX(分析データ!$A:$A,ROW()+$C$5)&lt;&gt;"",40000*SIGN(BL1058)*(分析データ!E1058-INDEX(分析データ!E:E,ROW()+$C$5)),""),"")</f>
        <v/>
      </c>
      <c r="BO1058">
        <f t="shared" ca="1" si="461"/>
        <v>2720000.0000000014</v>
      </c>
      <c r="BP1058">
        <f t="shared" ca="1" si="462"/>
        <v>4280000.0000000028</v>
      </c>
      <c r="BQ1058">
        <f t="shared" ca="1" si="463"/>
        <v>-1560000.0000000014</v>
      </c>
      <c r="BR1058">
        <f ca="1">IF(ROW()&lt;($C$7+1),"",IFERROR((分析データ!F1058-AVERAGE(OFFSET(分析データ!F$1,MAX(1,ROW()-$C$7),0,MIN($C$7,ROW()-1),1)))/STDEV(OFFSET(分析データ!F$1,MAX(1,ROW()-$C$7),0,MIN($C$7,ROW()-1),1)),0))</f>
        <v>0</v>
      </c>
      <c r="BS1058">
        <f t="shared" ca="1" si="464"/>
        <v>0</v>
      </c>
      <c r="BT1058" t="str">
        <f ca="1">IF(BS1058=1,IF(INDEX(分析データ!$A:$A,ROW()+$C$5)&lt;&gt;"",40000*SIGN(BR1058)*(分析データ!F1058-INDEX(分析データ!F:F,ROW()+$C$5)),""),"")</f>
        <v/>
      </c>
      <c r="BU1058">
        <f t="shared" ca="1" si="465"/>
        <v>19816800</v>
      </c>
      <c r="BV1058">
        <f t="shared" ca="1" si="466"/>
        <v>19816800</v>
      </c>
      <c r="BW1058">
        <f t="shared" ca="1" si="467"/>
        <v>0</v>
      </c>
      <c r="BX1058">
        <f ca="1">IF(ROW()&lt;($C$7+1),"",IFERROR((分析データ!G1058-AVERAGE(OFFSET(分析データ!G$1,MAX(1,ROW()-$C$7),0,MIN($C$7,ROW()-1),1)))/STDEV(OFFSET(分析データ!G$1,MAX(1,ROW()-$C$7),0,MIN($C$7,ROW()-1),1)),0))</f>
        <v>0</v>
      </c>
      <c r="BY1058">
        <f t="shared" ca="1" si="468"/>
        <v>0</v>
      </c>
      <c r="BZ1058" t="str">
        <f ca="1">IF(BY1058=1,IF(INDEX(分析データ!$A:$A,ROW()+$C$5)&lt;&gt;"",40000*SIGN(BX1058)*(分析データ!G1058-INDEX(分析データ!G:G,ROW()+$C$5)),""),"")</f>
        <v/>
      </c>
      <c r="CA1058">
        <f t="shared" ca="1" si="469"/>
        <v>-3515452.8662109179</v>
      </c>
      <c r="CB1058">
        <f t="shared" ca="1" si="470"/>
        <v>11327520.000000004</v>
      </c>
      <c r="CC1058">
        <f t="shared" ca="1" si="471"/>
        <v>-14842972.866210923</v>
      </c>
      <c r="CD1058">
        <f t="shared" ca="1" si="472"/>
        <v>0</v>
      </c>
      <c r="CE1058">
        <f t="shared" ca="1" si="473"/>
        <v>23090347.13378913</v>
      </c>
      <c r="CF1058">
        <f t="shared" ca="1" si="474"/>
        <v>23090347.13378913</v>
      </c>
      <c r="CG1058">
        <f t="shared" ca="1" si="475"/>
        <v>0</v>
      </c>
      <c r="CH1058" s="10" t="str">
        <f>分析データ!A1058</f>
        <v/>
      </c>
    </row>
    <row r="1059" spans="46:86">
      <c r="AT1059">
        <f ca="1">IF(ROW()&lt;($C$7+1),"",IFERROR((分析データ!B1059-AVERAGE(OFFSET(分析データ!B$1,MAX(1,ROW()-$C$7),0,MIN($C$7,ROW()-1),1)))/STDEV(OFFSET(分析データ!B$1,MAX(1,ROW()-$C$7),0,MIN($C$7,ROW()-1),1)),0))</f>
        <v>0</v>
      </c>
      <c r="AU1059">
        <f t="shared" ca="1" si="448"/>
        <v>0</v>
      </c>
      <c r="AV1059" t="str">
        <f ca="1">IF(AU1059=1,IF(INDEX(分析データ!$A:$A,ROW()+$C$5)&lt;&gt;"",80000*SIGN(AT1059)*(分析データ!B1059-INDEX(分析データ!B:B,ROW()+$C$5)),""),"")</f>
        <v/>
      </c>
      <c r="AW1059">
        <f t="shared" ca="1" si="449"/>
        <v>-1240000.0000000019</v>
      </c>
      <c r="AX1059">
        <f t="shared" ca="1" si="450"/>
        <v>0</v>
      </c>
      <c r="AY1059">
        <f t="shared" ca="1" si="451"/>
        <v>-1240000.0000000019</v>
      </c>
      <c r="AZ1059">
        <f ca="1">IF(ROW()&lt;($C$7+1),"",IFERROR((分析データ!C1059-AVERAGE(OFFSET(分析データ!C$1,MAX(1,ROW()-$C$7),0,MIN($C$7,ROW()-1),1)))/STDEV(OFFSET(分析データ!C$1,MAX(1,ROW()-$C$7),0,MIN($C$7,ROW()-1),1)),0))</f>
        <v>0</v>
      </c>
      <c r="BA1059">
        <f t="shared" ca="1" si="452"/>
        <v>0</v>
      </c>
      <c r="BB1059" t="str">
        <f ca="1">IF(BA1059=1,IF(INDEX(分析データ!$A:$A,ROW()+$C$5)&lt;&gt;"",60000*SIGN(AZ1059)*(分析データ!C1059-INDEX(分析データ!C:C,ROW()+$C$5)),""),"")</f>
        <v/>
      </c>
      <c r="BC1059">
        <f t="shared" ca="1" si="453"/>
        <v>-260999.9999999851</v>
      </c>
      <c r="BD1059">
        <f t="shared" ca="1" si="454"/>
        <v>3156000.0000000107</v>
      </c>
      <c r="BE1059">
        <f t="shared" ca="1" si="455"/>
        <v>-3416999.9999999958</v>
      </c>
      <c r="BF1059">
        <f ca="1">IF(ROW()&lt;($C$7+1),"",IFERROR((分析データ!D1059-AVERAGE(OFFSET(分析データ!D$1,MAX(1,ROW()-$C$7),0,MIN($C$7,ROW()-1),1)))/STDEV(OFFSET(分析データ!D$1,MAX(1,ROW()-$C$7),0,MIN($C$7,ROW()-1),1)),0))</f>
        <v>0</v>
      </c>
      <c r="BG1059">
        <f t="shared" ca="1" si="456"/>
        <v>0</v>
      </c>
      <c r="BH1059" t="str">
        <f ca="1">IF(BG1059=1,IF(INDEX(分析データ!$A:$A,ROW()+$C$5)&lt;&gt;"",50000*SIGN(BF1059)*(分析データ!D1059-INDEX(分析データ!D:D,ROW()+$C$5)),""),"")</f>
        <v/>
      </c>
      <c r="BI1059">
        <f t="shared" ca="1" si="457"/>
        <v>5570000.0000000205</v>
      </c>
      <c r="BJ1059">
        <f t="shared" ca="1" si="458"/>
        <v>5570000.0000000205</v>
      </c>
      <c r="BK1059">
        <f t="shared" ca="1" si="459"/>
        <v>0</v>
      </c>
      <c r="BL1059">
        <f ca="1">IF(ROW()&lt;($C$7+1),"",IFERROR((分析データ!E1059-AVERAGE(OFFSET(分析データ!E$1,MAX(1,ROW()-$C$7),0,MIN($C$7,ROW()-1),1)))/STDEV(OFFSET(分析データ!E$1,MAX(1,ROW()-$C$7),0,MIN($C$7,ROW()-1),1)),0))</f>
        <v>0</v>
      </c>
      <c r="BM1059">
        <f t="shared" ca="1" si="460"/>
        <v>0</v>
      </c>
      <c r="BN1059" t="str">
        <f ca="1">IF(BM1059=1,IF(INDEX(分析データ!$A:$A,ROW()+$C$5)&lt;&gt;"",40000*SIGN(BL1059)*(分析データ!E1059-INDEX(分析データ!E:E,ROW()+$C$5)),""),"")</f>
        <v/>
      </c>
      <c r="BO1059">
        <f t="shared" ca="1" si="461"/>
        <v>2720000.0000000014</v>
      </c>
      <c r="BP1059">
        <f t="shared" ca="1" si="462"/>
        <v>4280000.0000000028</v>
      </c>
      <c r="BQ1059">
        <f t="shared" ca="1" si="463"/>
        <v>-1560000.0000000014</v>
      </c>
      <c r="BR1059">
        <f ca="1">IF(ROW()&lt;($C$7+1),"",IFERROR((分析データ!F1059-AVERAGE(OFFSET(分析データ!F$1,MAX(1,ROW()-$C$7),0,MIN($C$7,ROW()-1),1)))/STDEV(OFFSET(分析データ!F$1,MAX(1,ROW()-$C$7),0,MIN($C$7,ROW()-1),1)),0))</f>
        <v>0</v>
      </c>
      <c r="BS1059">
        <f t="shared" ca="1" si="464"/>
        <v>0</v>
      </c>
      <c r="BT1059" t="str">
        <f ca="1">IF(BS1059=1,IF(INDEX(分析データ!$A:$A,ROW()+$C$5)&lt;&gt;"",40000*SIGN(BR1059)*(分析データ!F1059-INDEX(分析データ!F:F,ROW()+$C$5)),""),"")</f>
        <v/>
      </c>
      <c r="BU1059">
        <f t="shared" ca="1" si="465"/>
        <v>19816800</v>
      </c>
      <c r="BV1059">
        <f t="shared" ca="1" si="466"/>
        <v>19816800</v>
      </c>
      <c r="BW1059">
        <f t="shared" ca="1" si="467"/>
        <v>0</v>
      </c>
      <c r="BX1059">
        <f ca="1">IF(ROW()&lt;($C$7+1),"",IFERROR((分析データ!G1059-AVERAGE(OFFSET(分析データ!G$1,MAX(1,ROW()-$C$7),0,MIN($C$7,ROW()-1),1)))/STDEV(OFFSET(分析データ!G$1,MAX(1,ROW()-$C$7),0,MIN($C$7,ROW()-1),1)),0))</f>
        <v>0</v>
      </c>
      <c r="BY1059">
        <f t="shared" ca="1" si="468"/>
        <v>0</v>
      </c>
      <c r="BZ1059" t="str">
        <f ca="1">IF(BY1059=1,IF(INDEX(分析データ!$A:$A,ROW()+$C$5)&lt;&gt;"",40000*SIGN(BX1059)*(分析データ!G1059-INDEX(分析データ!G:G,ROW()+$C$5)),""),"")</f>
        <v/>
      </c>
      <c r="CA1059">
        <f t="shared" ca="1" si="469"/>
        <v>-3515452.8662109179</v>
      </c>
      <c r="CB1059">
        <f t="shared" ca="1" si="470"/>
        <v>11327520.000000004</v>
      </c>
      <c r="CC1059">
        <f t="shared" ca="1" si="471"/>
        <v>-14842972.866210923</v>
      </c>
      <c r="CD1059">
        <f t="shared" ca="1" si="472"/>
        <v>0</v>
      </c>
      <c r="CE1059">
        <f t="shared" ca="1" si="473"/>
        <v>23090347.13378913</v>
      </c>
      <c r="CF1059">
        <f t="shared" ca="1" si="474"/>
        <v>23090347.13378913</v>
      </c>
      <c r="CG1059">
        <f t="shared" ca="1" si="475"/>
        <v>0</v>
      </c>
      <c r="CH1059" s="10" t="str">
        <f>分析データ!A1059</f>
        <v/>
      </c>
    </row>
    <row r="1060" spans="46:86">
      <c r="AT1060">
        <f ca="1">IF(ROW()&lt;($C$7+1),"",IFERROR((分析データ!B1060-AVERAGE(OFFSET(分析データ!B$1,MAX(1,ROW()-$C$7),0,MIN($C$7,ROW()-1),1)))/STDEV(OFFSET(分析データ!B$1,MAX(1,ROW()-$C$7),0,MIN($C$7,ROW()-1),1)),0))</f>
        <v>0</v>
      </c>
      <c r="AU1060">
        <f t="shared" ca="1" si="448"/>
        <v>0</v>
      </c>
      <c r="AV1060" t="str">
        <f ca="1">IF(AU1060=1,IF(INDEX(分析データ!$A:$A,ROW()+$C$5)&lt;&gt;"",80000*SIGN(AT1060)*(分析データ!B1060-INDEX(分析データ!B:B,ROW()+$C$5)),""),"")</f>
        <v/>
      </c>
      <c r="AW1060">
        <f t="shared" ca="1" si="449"/>
        <v>-1240000.0000000019</v>
      </c>
      <c r="AX1060">
        <f t="shared" ca="1" si="450"/>
        <v>0</v>
      </c>
      <c r="AY1060">
        <f t="shared" ca="1" si="451"/>
        <v>-1240000.0000000019</v>
      </c>
      <c r="AZ1060">
        <f ca="1">IF(ROW()&lt;($C$7+1),"",IFERROR((分析データ!C1060-AVERAGE(OFFSET(分析データ!C$1,MAX(1,ROW()-$C$7),0,MIN($C$7,ROW()-1),1)))/STDEV(OFFSET(分析データ!C$1,MAX(1,ROW()-$C$7),0,MIN($C$7,ROW()-1),1)),0))</f>
        <v>0</v>
      </c>
      <c r="BA1060">
        <f t="shared" ca="1" si="452"/>
        <v>0</v>
      </c>
      <c r="BB1060" t="str">
        <f ca="1">IF(BA1060=1,IF(INDEX(分析データ!$A:$A,ROW()+$C$5)&lt;&gt;"",60000*SIGN(AZ1060)*(分析データ!C1060-INDEX(分析データ!C:C,ROW()+$C$5)),""),"")</f>
        <v/>
      </c>
      <c r="BC1060">
        <f t="shared" ca="1" si="453"/>
        <v>-260999.9999999851</v>
      </c>
      <c r="BD1060">
        <f t="shared" ca="1" si="454"/>
        <v>3156000.0000000107</v>
      </c>
      <c r="BE1060">
        <f t="shared" ca="1" si="455"/>
        <v>-3416999.9999999958</v>
      </c>
      <c r="BF1060">
        <f ca="1">IF(ROW()&lt;($C$7+1),"",IFERROR((分析データ!D1060-AVERAGE(OFFSET(分析データ!D$1,MAX(1,ROW()-$C$7),0,MIN($C$7,ROW()-1),1)))/STDEV(OFFSET(分析データ!D$1,MAX(1,ROW()-$C$7),0,MIN($C$7,ROW()-1),1)),0))</f>
        <v>0</v>
      </c>
      <c r="BG1060">
        <f t="shared" ca="1" si="456"/>
        <v>0</v>
      </c>
      <c r="BH1060" t="str">
        <f ca="1">IF(BG1060=1,IF(INDEX(分析データ!$A:$A,ROW()+$C$5)&lt;&gt;"",50000*SIGN(BF1060)*(分析データ!D1060-INDEX(分析データ!D:D,ROW()+$C$5)),""),"")</f>
        <v/>
      </c>
      <c r="BI1060">
        <f t="shared" ca="1" si="457"/>
        <v>5570000.0000000205</v>
      </c>
      <c r="BJ1060">
        <f t="shared" ca="1" si="458"/>
        <v>5570000.0000000205</v>
      </c>
      <c r="BK1060">
        <f t="shared" ca="1" si="459"/>
        <v>0</v>
      </c>
      <c r="BL1060">
        <f ca="1">IF(ROW()&lt;($C$7+1),"",IFERROR((分析データ!E1060-AVERAGE(OFFSET(分析データ!E$1,MAX(1,ROW()-$C$7),0,MIN($C$7,ROW()-1),1)))/STDEV(OFFSET(分析データ!E$1,MAX(1,ROW()-$C$7),0,MIN($C$7,ROW()-1),1)),0))</f>
        <v>0</v>
      </c>
      <c r="BM1060">
        <f t="shared" ca="1" si="460"/>
        <v>0</v>
      </c>
      <c r="BN1060" t="str">
        <f ca="1">IF(BM1060=1,IF(INDEX(分析データ!$A:$A,ROW()+$C$5)&lt;&gt;"",40000*SIGN(BL1060)*(分析データ!E1060-INDEX(分析データ!E:E,ROW()+$C$5)),""),"")</f>
        <v/>
      </c>
      <c r="BO1060">
        <f t="shared" ca="1" si="461"/>
        <v>2720000.0000000014</v>
      </c>
      <c r="BP1060">
        <f t="shared" ca="1" si="462"/>
        <v>4280000.0000000028</v>
      </c>
      <c r="BQ1060">
        <f t="shared" ca="1" si="463"/>
        <v>-1560000.0000000014</v>
      </c>
      <c r="BR1060">
        <f ca="1">IF(ROW()&lt;($C$7+1),"",IFERROR((分析データ!F1060-AVERAGE(OFFSET(分析データ!F$1,MAX(1,ROW()-$C$7),0,MIN($C$7,ROW()-1),1)))/STDEV(OFFSET(分析データ!F$1,MAX(1,ROW()-$C$7),0,MIN($C$7,ROW()-1),1)),0))</f>
        <v>0</v>
      </c>
      <c r="BS1060">
        <f t="shared" ca="1" si="464"/>
        <v>0</v>
      </c>
      <c r="BT1060" t="str">
        <f ca="1">IF(BS1060=1,IF(INDEX(分析データ!$A:$A,ROW()+$C$5)&lt;&gt;"",40000*SIGN(BR1060)*(分析データ!F1060-INDEX(分析データ!F:F,ROW()+$C$5)),""),"")</f>
        <v/>
      </c>
      <c r="BU1060">
        <f t="shared" ca="1" si="465"/>
        <v>19816800</v>
      </c>
      <c r="BV1060">
        <f t="shared" ca="1" si="466"/>
        <v>19816800</v>
      </c>
      <c r="BW1060">
        <f t="shared" ca="1" si="467"/>
        <v>0</v>
      </c>
      <c r="BX1060">
        <f ca="1">IF(ROW()&lt;($C$7+1),"",IFERROR((分析データ!G1060-AVERAGE(OFFSET(分析データ!G$1,MAX(1,ROW()-$C$7),0,MIN($C$7,ROW()-1),1)))/STDEV(OFFSET(分析データ!G$1,MAX(1,ROW()-$C$7),0,MIN($C$7,ROW()-1),1)),0))</f>
        <v>0</v>
      </c>
      <c r="BY1060">
        <f t="shared" ca="1" si="468"/>
        <v>0</v>
      </c>
      <c r="BZ1060" t="str">
        <f ca="1">IF(BY1060=1,IF(INDEX(分析データ!$A:$A,ROW()+$C$5)&lt;&gt;"",40000*SIGN(BX1060)*(分析データ!G1060-INDEX(分析データ!G:G,ROW()+$C$5)),""),"")</f>
        <v/>
      </c>
      <c r="CA1060">
        <f t="shared" ca="1" si="469"/>
        <v>-3515452.8662109179</v>
      </c>
      <c r="CB1060">
        <f t="shared" ca="1" si="470"/>
        <v>11327520.000000004</v>
      </c>
      <c r="CC1060">
        <f t="shared" ca="1" si="471"/>
        <v>-14842972.866210923</v>
      </c>
      <c r="CD1060">
        <f t="shared" ca="1" si="472"/>
        <v>0</v>
      </c>
      <c r="CE1060">
        <f t="shared" ca="1" si="473"/>
        <v>23090347.13378913</v>
      </c>
      <c r="CF1060">
        <f t="shared" ca="1" si="474"/>
        <v>23090347.13378913</v>
      </c>
      <c r="CG1060">
        <f t="shared" ca="1" si="475"/>
        <v>0</v>
      </c>
      <c r="CH1060" s="10" t="str">
        <f>分析データ!A1060</f>
        <v/>
      </c>
    </row>
    <row r="1061" spans="46:86">
      <c r="AT1061">
        <f ca="1">IF(ROW()&lt;($C$7+1),"",IFERROR((分析データ!B1061-AVERAGE(OFFSET(分析データ!B$1,MAX(1,ROW()-$C$7),0,MIN($C$7,ROW()-1),1)))/STDEV(OFFSET(分析データ!B$1,MAX(1,ROW()-$C$7),0,MIN($C$7,ROW()-1),1)),0))</f>
        <v>0</v>
      </c>
      <c r="AU1061">
        <f t="shared" ca="1" si="448"/>
        <v>0</v>
      </c>
      <c r="AV1061" t="str">
        <f ca="1">IF(AU1061=1,IF(INDEX(分析データ!$A:$A,ROW()+$C$5)&lt;&gt;"",80000*SIGN(AT1061)*(分析データ!B1061-INDEX(分析データ!B:B,ROW()+$C$5)),""),"")</f>
        <v/>
      </c>
      <c r="AW1061">
        <f t="shared" ca="1" si="449"/>
        <v>-1240000.0000000019</v>
      </c>
      <c r="AX1061">
        <f t="shared" ca="1" si="450"/>
        <v>0</v>
      </c>
      <c r="AY1061">
        <f t="shared" ca="1" si="451"/>
        <v>-1240000.0000000019</v>
      </c>
      <c r="AZ1061">
        <f ca="1">IF(ROW()&lt;($C$7+1),"",IFERROR((分析データ!C1061-AVERAGE(OFFSET(分析データ!C$1,MAX(1,ROW()-$C$7),0,MIN($C$7,ROW()-1),1)))/STDEV(OFFSET(分析データ!C$1,MAX(1,ROW()-$C$7),0,MIN($C$7,ROW()-1),1)),0))</f>
        <v>0</v>
      </c>
      <c r="BA1061">
        <f t="shared" ca="1" si="452"/>
        <v>0</v>
      </c>
      <c r="BB1061" t="str">
        <f ca="1">IF(BA1061=1,IF(INDEX(分析データ!$A:$A,ROW()+$C$5)&lt;&gt;"",60000*SIGN(AZ1061)*(分析データ!C1061-INDEX(分析データ!C:C,ROW()+$C$5)),""),"")</f>
        <v/>
      </c>
      <c r="BC1061">
        <f t="shared" ca="1" si="453"/>
        <v>-260999.9999999851</v>
      </c>
      <c r="BD1061">
        <f t="shared" ca="1" si="454"/>
        <v>3156000.0000000107</v>
      </c>
      <c r="BE1061">
        <f t="shared" ca="1" si="455"/>
        <v>-3416999.9999999958</v>
      </c>
      <c r="BF1061">
        <f ca="1">IF(ROW()&lt;($C$7+1),"",IFERROR((分析データ!D1061-AVERAGE(OFFSET(分析データ!D$1,MAX(1,ROW()-$C$7),0,MIN($C$7,ROW()-1),1)))/STDEV(OFFSET(分析データ!D$1,MAX(1,ROW()-$C$7),0,MIN($C$7,ROW()-1),1)),0))</f>
        <v>0</v>
      </c>
      <c r="BG1061">
        <f t="shared" ca="1" si="456"/>
        <v>0</v>
      </c>
      <c r="BH1061" t="str">
        <f ca="1">IF(BG1061=1,IF(INDEX(分析データ!$A:$A,ROW()+$C$5)&lt;&gt;"",50000*SIGN(BF1061)*(分析データ!D1061-INDEX(分析データ!D:D,ROW()+$C$5)),""),"")</f>
        <v/>
      </c>
      <c r="BI1061">
        <f t="shared" ca="1" si="457"/>
        <v>5570000.0000000205</v>
      </c>
      <c r="BJ1061">
        <f t="shared" ca="1" si="458"/>
        <v>5570000.0000000205</v>
      </c>
      <c r="BK1061">
        <f t="shared" ca="1" si="459"/>
        <v>0</v>
      </c>
      <c r="BL1061">
        <f ca="1">IF(ROW()&lt;($C$7+1),"",IFERROR((分析データ!E1061-AVERAGE(OFFSET(分析データ!E$1,MAX(1,ROW()-$C$7),0,MIN($C$7,ROW()-1),1)))/STDEV(OFFSET(分析データ!E$1,MAX(1,ROW()-$C$7),0,MIN($C$7,ROW()-1),1)),0))</f>
        <v>0</v>
      </c>
      <c r="BM1061">
        <f t="shared" ca="1" si="460"/>
        <v>0</v>
      </c>
      <c r="BN1061" t="str">
        <f ca="1">IF(BM1061=1,IF(INDEX(分析データ!$A:$A,ROW()+$C$5)&lt;&gt;"",40000*SIGN(BL1061)*(分析データ!E1061-INDEX(分析データ!E:E,ROW()+$C$5)),""),"")</f>
        <v/>
      </c>
      <c r="BO1061">
        <f t="shared" ca="1" si="461"/>
        <v>2720000.0000000014</v>
      </c>
      <c r="BP1061">
        <f t="shared" ca="1" si="462"/>
        <v>4280000.0000000028</v>
      </c>
      <c r="BQ1061">
        <f t="shared" ca="1" si="463"/>
        <v>-1560000.0000000014</v>
      </c>
      <c r="BR1061">
        <f ca="1">IF(ROW()&lt;($C$7+1),"",IFERROR((分析データ!F1061-AVERAGE(OFFSET(分析データ!F$1,MAX(1,ROW()-$C$7),0,MIN($C$7,ROW()-1),1)))/STDEV(OFFSET(分析データ!F$1,MAX(1,ROW()-$C$7),0,MIN($C$7,ROW()-1),1)),0))</f>
        <v>0</v>
      </c>
      <c r="BS1061">
        <f t="shared" ca="1" si="464"/>
        <v>0</v>
      </c>
      <c r="BT1061" t="str">
        <f ca="1">IF(BS1061=1,IF(INDEX(分析データ!$A:$A,ROW()+$C$5)&lt;&gt;"",40000*SIGN(BR1061)*(分析データ!F1061-INDEX(分析データ!F:F,ROW()+$C$5)),""),"")</f>
        <v/>
      </c>
      <c r="BU1061">
        <f t="shared" ca="1" si="465"/>
        <v>19816800</v>
      </c>
      <c r="BV1061">
        <f t="shared" ca="1" si="466"/>
        <v>19816800</v>
      </c>
      <c r="BW1061">
        <f t="shared" ca="1" si="467"/>
        <v>0</v>
      </c>
      <c r="BX1061">
        <f ca="1">IF(ROW()&lt;($C$7+1),"",IFERROR((分析データ!G1061-AVERAGE(OFFSET(分析データ!G$1,MAX(1,ROW()-$C$7),0,MIN($C$7,ROW()-1),1)))/STDEV(OFFSET(分析データ!G$1,MAX(1,ROW()-$C$7),0,MIN($C$7,ROW()-1),1)),0))</f>
        <v>0</v>
      </c>
      <c r="BY1061">
        <f t="shared" ca="1" si="468"/>
        <v>0</v>
      </c>
      <c r="BZ1061" t="str">
        <f ca="1">IF(BY1061=1,IF(INDEX(分析データ!$A:$A,ROW()+$C$5)&lt;&gt;"",40000*SIGN(BX1061)*(分析データ!G1061-INDEX(分析データ!G:G,ROW()+$C$5)),""),"")</f>
        <v/>
      </c>
      <c r="CA1061">
        <f t="shared" ca="1" si="469"/>
        <v>-3515452.8662109179</v>
      </c>
      <c r="CB1061">
        <f t="shared" ca="1" si="470"/>
        <v>11327520.000000004</v>
      </c>
      <c r="CC1061">
        <f t="shared" ca="1" si="471"/>
        <v>-14842972.866210923</v>
      </c>
      <c r="CD1061">
        <f t="shared" ca="1" si="472"/>
        <v>0</v>
      </c>
      <c r="CE1061">
        <f t="shared" ca="1" si="473"/>
        <v>23090347.13378913</v>
      </c>
      <c r="CF1061">
        <f t="shared" ca="1" si="474"/>
        <v>23090347.13378913</v>
      </c>
      <c r="CG1061">
        <f t="shared" ca="1" si="475"/>
        <v>0</v>
      </c>
      <c r="CH1061" s="10" t="str">
        <f>分析データ!A1061</f>
        <v/>
      </c>
    </row>
    <row r="1062" spans="46:86">
      <c r="AT1062">
        <f ca="1">IF(ROW()&lt;($C$7+1),"",IFERROR((分析データ!B1062-AVERAGE(OFFSET(分析データ!B$1,MAX(1,ROW()-$C$7),0,MIN($C$7,ROW()-1),1)))/STDEV(OFFSET(分析データ!B$1,MAX(1,ROW()-$C$7),0,MIN($C$7,ROW()-1),1)),0))</f>
        <v>0</v>
      </c>
      <c r="AU1062">
        <f t="shared" ca="1" si="448"/>
        <v>0</v>
      </c>
      <c r="AV1062" t="str">
        <f ca="1">IF(AU1062=1,IF(INDEX(分析データ!$A:$A,ROW()+$C$5)&lt;&gt;"",80000*SIGN(AT1062)*(分析データ!B1062-INDEX(分析データ!B:B,ROW()+$C$5)),""),"")</f>
        <v/>
      </c>
      <c r="AW1062">
        <f t="shared" ca="1" si="449"/>
        <v>-1240000.0000000019</v>
      </c>
      <c r="AX1062">
        <f t="shared" ca="1" si="450"/>
        <v>0</v>
      </c>
      <c r="AY1062">
        <f t="shared" ca="1" si="451"/>
        <v>-1240000.0000000019</v>
      </c>
      <c r="AZ1062">
        <f ca="1">IF(ROW()&lt;($C$7+1),"",IFERROR((分析データ!C1062-AVERAGE(OFFSET(分析データ!C$1,MAX(1,ROW()-$C$7),0,MIN($C$7,ROW()-1),1)))/STDEV(OFFSET(分析データ!C$1,MAX(1,ROW()-$C$7),0,MIN($C$7,ROW()-1),1)),0))</f>
        <v>0</v>
      </c>
      <c r="BA1062">
        <f t="shared" ca="1" si="452"/>
        <v>0</v>
      </c>
      <c r="BB1062" t="str">
        <f ca="1">IF(BA1062=1,IF(INDEX(分析データ!$A:$A,ROW()+$C$5)&lt;&gt;"",60000*SIGN(AZ1062)*(分析データ!C1062-INDEX(分析データ!C:C,ROW()+$C$5)),""),"")</f>
        <v/>
      </c>
      <c r="BC1062">
        <f t="shared" ca="1" si="453"/>
        <v>-260999.9999999851</v>
      </c>
      <c r="BD1062">
        <f t="shared" ca="1" si="454"/>
        <v>3156000.0000000107</v>
      </c>
      <c r="BE1062">
        <f t="shared" ca="1" si="455"/>
        <v>-3416999.9999999958</v>
      </c>
      <c r="BF1062">
        <f ca="1">IF(ROW()&lt;($C$7+1),"",IFERROR((分析データ!D1062-AVERAGE(OFFSET(分析データ!D$1,MAX(1,ROW()-$C$7),0,MIN($C$7,ROW()-1),1)))/STDEV(OFFSET(分析データ!D$1,MAX(1,ROW()-$C$7),0,MIN($C$7,ROW()-1),1)),0))</f>
        <v>0</v>
      </c>
      <c r="BG1062">
        <f t="shared" ca="1" si="456"/>
        <v>0</v>
      </c>
      <c r="BH1062" t="str">
        <f ca="1">IF(BG1062=1,IF(INDEX(分析データ!$A:$A,ROW()+$C$5)&lt;&gt;"",50000*SIGN(BF1062)*(分析データ!D1062-INDEX(分析データ!D:D,ROW()+$C$5)),""),"")</f>
        <v/>
      </c>
      <c r="BI1062">
        <f t="shared" ca="1" si="457"/>
        <v>5570000.0000000205</v>
      </c>
      <c r="BJ1062">
        <f t="shared" ca="1" si="458"/>
        <v>5570000.0000000205</v>
      </c>
      <c r="BK1062">
        <f t="shared" ca="1" si="459"/>
        <v>0</v>
      </c>
      <c r="BL1062">
        <f ca="1">IF(ROW()&lt;($C$7+1),"",IFERROR((分析データ!E1062-AVERAGE(OFFSET(分析データ!E$1,MAX(1,ROW()-$C$7),0,MIN($C$7,ROW()-1),1)))/STDEV(OFFSET(分析データ!E$1,MAX(1,ROW()-$C$7),0,MIN($C$7,ROW()-1),1)),0))</f>
        <v>0</v>
      </c>
      <c r="BM1062">
        <f t="shared" ca="1" si="460"/>
        <v>0</v>
      </c>
      <c r="BN1062" t="str">
        <f ca="1">IF(BM1062=1,IF(INDEX(分析データ!$A:$A,ROW()+$C$5)&lt;&gt;"",40000*SIGN(BL1062)*(分析データ!E1062-INDEX(分析データ!E:E,ROW()+$C$5)),""),"")</f>
        <v/>
      </c>
      <c r="BO1062">
        <f t="shared" ca="1" si="461"/>
        <v>2720000.0000000014</v>
      </c>
      <c r="BP1062">
        <f t="shared" ca="1" si="462"/>
        <v>4280000.0000000028</v>
      </c>
      <c r="BQ1062">
        <f t="shared" ca="1" si="463"/>
        <v>-1560000.0000000014</v>
      </c>
      <c r="BR1062">
        <f ca="1">IF(ROW()&lt;($C$7+1),"",IFERROR((分析データ!F1062-AVERAGE(OFFSET(分析データ!F$1,MAX(1,ROW()-$C$7),0,MIN($C$7,ROW()-1),1)))/STDEV(OFFSET(分析データ!F$1,MAX(1,ROW()-$C$7),0,MIN($C$7,ROW()-1),1)),0))</f>
        <v>0</v>
      </c>
      <c r="BS1062">
        <f t="shared" ca="1" si="464"/>
        <v>0</v>
      </c>
      <c r="BT1062" t="str">
        <f ca="1">IF(BS1062=1,IF(INDEX(分析データ!$A:$A,ROW()+$C$5)&lt;&gt;"",40000*SIGN(BR1062)*(分析データ!F1062-INDEX(分析データ!F:F,ROW()+$C$5)),""),"")</f>
        <v/>
      </c>
      <c r="BU1062">
        <f t="shared" ca="1" si="465"/>
        <v>19816800</v>
      </c>
      <c r="BV1062">
        <f t="shared" ca="1" si="466"/>
        <v>19816800</v>
      </c>
      <c r="BW1062">
        <f t="shared" ca="1" si="467"/>
        <v>0</v>
      </c>
      <c r="BX1062">
        <f ca="1">IF(ROW()&lt;($C$7+1),"",IFERROR((分析データ!G1062-AVERAGE(OFFSET(分析データ!G$1,MAX(1,ROW()-$C$7),0,MIN($C$7,ROW()-1),1)))/STDEV(OFFSET(分析データ!G$1,MAX(1,ROW()-$C$7),0,MIN($C$7,ROW()-1),1)),0))</f>
        <v>0</v>
      </c>
      <c r="BY1062">
        <f t="shared" ca="1" si="468"/>
        <v>0</v>
      </c>
      <c r="BZ1062" t="str">
        <f ca="1">IF(BY1062=1,IF(INDEX(分析データ!$A:$A,ROW()+$C$5)&lt;&gt;"",40000*SIGN(BX1062)*(分析データ!G1062-INDEX(分析データ!G:G,ROW()+$C$5)),""),"")</f>
        <v/>
      </c>
      <c r="CA1062">
        <f t="shared" ca="1" si="469"/>
        <v>-3515452.8662109179</v>
      </c>
      <c r="CB1062">
        <f t="shared" ca="1" si="470"/>
        <v>11327520.000000004</v>
      </c>
      <c r="CC1062">
        <f t="shared" ca="1" si="471"/>
        <v>-14842972.866210923</v>
      </c>
      <c r="CD1062">
        <f t="shared" ca="1" si="472"/>
        <v>0</v>
      </c>
      <c r="CE1062">
        <f t="shared" ca="1" si="473"/>
        <v>23090347.13378913</v>
      </c>
      <c r="CF1062">
        <f t="shared" ca="1" si="474"/>
        <v>23090347.13378913</v>
      </c>
      <c r="CG1062">
        <f t="shared" ca="1" si="475"/>
        <v>0</v>
      </c>
      <c r="CH1062" s="10" t="str">
        <f>分析データ!A1062</f>
        <v/>
      </c>
    </row>
    <row r="1063" spans="46:86">
      <c r="AT1063">
        <f ca="1">IF(ROW()&lt;($C$7+1),"",IFERROR((分析データ!B1063-AVERAGE(OFFSET(分析データ!B$1,MAX(1,ROW()-$C$7),0,MIN($C$7,ROW()-1),1)))/STDEV(OFFSET(分析データ!B$1,MAX(1,ROW()-$C$7),0,MIN($C$7,ROW()-1),1)),0))</f>
        <v>0</v>
      </c>
      <c r="AU1063">
        <f t="shared" ca="1" si="448"/>
        <v>0</v>
      </c>
      <c r="AV1063" t="str">
        <f ca="1">IF(AU1063=1,IF(INDEX(分析データ!$A:$A,ROW()+$C$5)&lt;&gt;"",80000*SIGN(AT1063)*(分析データ!B1063-INDEX(分析データ!B:B,ROW()+$C$5)),""),"")</f>
        <v/>
      </c>
      <c r="AW1063">
        <f t="shared" ca="1" si="449"/>
        <v>-1240000.0000000019</v>
      </c>
      <c r="AX1063">
        <f t="shared" ca="1" si="450"/>
        <v>0</v>
      </c>
      <c r="AY1063">
        <f t="shared" ca="1" si="451"/>
        <v>-1240000.0000000019</v>
      </c>
      <c r="AZ1063">
        <f ca="1">IF(ROW()&lt;($C$7+1),"",IFERROR((分析データ!C1063-AVERAGE(OFFSET(分析データ!C$1,MAX(1,ROW()-$C$7),0,MIN($C$7,ROW()-1),1)))/STDEV(OFFSET(分析データ!C$1,MAX(1,ROW()-$C$7),0,MIN($C$7,ROW()-1),1)),0))</f>
        <v>0</v>
      </c>
      <c r="BA1063">
        <f t="shared" ca="1" si="452"/>
        <v>0</v>
      </c>
      <c r="BB1063" t="str">
        <f ca="1">IF(BA1063=1,IF(INDEX(分析データ!$A:$A,ROW()+$C$5)&lt;&gt;"",60000*SIGN(AZ1063)*(分析データ!C1063-INDEX(分析データ!C:C,ROW()+$C$5)),""),"")</f>
        <v/>
      </c>
      <c r="BC1063">
        <f t="shared" ca="1" si="453"/>
        <v>-260999.9999999851</v>
      </c>
      <c r="BD1063">
        <f t="shared" ca="1" si="454"/>
        <v>3156000.0000000107</v>
      </c>
      <c r="BE1063">
        <f t="shared" ca="1" si="455"/>
        <v>-3416999.9999999958</v>
      </c>
      <c r="BF1063">
        <f ca="1">IF(ROW()&lt;($C$7+1),"",IFERROR((分析データ!D1063-AVERAGE(OFFSET(分析データ!D$1,MAX(1,ROW()-$C$7),0,MIN($C$7,ROW()-1),1)))/STDEV(OFFSET(分析データ!D$1,MAX(1,ROW()-$C$7),0,MIN($C$7,ROW()-1),1)),0))</f>
        <v>0</v>
      </c>
      <c r="BG1063">
        <f t="shared" ca="1" si="456"/>
        <v>0</v>
      </c>
      <c r="BH1063" t="str">
        <f ca="1">IF(BG1063=1,IF(INDEX(分析データ!$A:$A,ROW()+$C$5)&lt;&gt;"",50000*SIGN(BF1063)*(分析データ!D1063-INDEX(分析データ!D:D,ROW()+$C$5)),""),"")</f>
        <v/>
      </c>
      <c r="BI1063">
        <f t="shared" ca="1" si="457"/>
        <v>5570000.0000000205</v>
      </c>
      <c r="BJ1063">
        <f t="shared" ca="1" si="458"/>
        <v>5570000.0000000205</v>
      </c>
      <c r="BK1063">
        <f t="shared" ca="1" si="459"/>
        <v>0</v>
      </c>
      <c r="BL1063">
        <f ca="1">IF(ROW()&lt;($C$7+1),"",IFERROR((分析データ!E1063-AVERAGE(OFFSET(分析データ!E$1,MAX(1,ROW()-$C$7),0,MIN($C$7,ROW()-1),1)))/STDEV(OFFSET(分析データ!E$1,MAX(1,ROW()-$C$7),0,MIN($C$7,ROW()-1),1)),0))</f>
        <v>0</v>
      </c>
      <c r="BM1063">
        <f t="shared" ca="1" si="460"/>
        <v>0</v>
      </c>
      <c r="BN1063" t="str">
        <f ca="1">IF(BM1063=1,IF(INDEX(分析データ!$A:$A,ROW()+$C$5)&lt;&gt;"",40000*SIGN(BL1063)*(分析データ!E1063-INDEX(分析データ!E:E,ROW()+$C$5)),""),"")</f>
        <v/>
      </c>
      <c r="BO1063">
        <f t="shared" ca="1" si="461"/>
        <v>2720000.0000000014</v>
      </c>
      <c r="BP1063">
        <f t="shared" ca="1" si="462"/>
        <v>4280000.0000000028</v>
      </c>
      <c r="BQ1063">
        <f t="shared" ca="1" si="463"/>
        <v>-1560000.0000000014</v>
      </c>
      <c r="BR1063">
        <f ca="1">IF(ROW()&lt;($C$7+1),"",IFERROR((分析データ!F1063-AVERAGE(OFFSET(分析データ!F$1,MAX(1,ROW()-$C$7),0,MIN($C$7,ROW()-1),1)))/STDEV(OFFSET(分析データ!F$1,MAX(1,ROW()-$C$7),0,MIN($C$7,ROW()-1),1)),0))</f>
        <v>0</v>
      </c>
      <c r="BS1063">
        <f t="shared" ca="1" si="464"/>
        <v>0</v>
      </c>
      <c r="BT1063" t="str">
        <f ca="1">IF(BS1063=1,IF(INDEX(分析データ!$A:$A,ROW()+$C$5)&lt;&gt;"",40000*SIGN(BR1063)*(分析データ!F1063-INDEX(分析データ!F:F,ROW()+$C$5)),""),"")</f>
        <v/>
      </c>
      <c r="BU1063">
        <f t="shared" ca="1" si="465"/>
        <v>19816800</v>
      </c>
      <c r="BV1063">
        <f t="shared" ca="1" si="466"/>
        <v>19816800</v>
      </c>
      <c r="BW1063">
        <f t="shared" ca="1" si="467"/>
        <v>0</v>
      </c>
      <c r="BX1063">
        <f ca="1">IF(ROW()&lt;($C$7+1),"",IFERROR((分析データ!G1063-AVERAGE(OFFSET(分析データ!G$1,MAX(1,ROW()-$C$7),0,MIN($C$7,ROW()-1),1)))/STDEV(OFFSET(分析データ!G$1,MAX(1,ROW()-$C$7),0,MIN($C$7,ROW()-1),1)),0))</f>
        <v>0</v>
      </c>
      <c r="BY1063">
        <f t="shared" ca="1" si="468"/>
        <v>0</v>
      </c>
      <c r="BZ1063" t="str">
        <f ca="1">IF(BY1063=1,IF(INDEX(分析データ!$A:$A,ROW()+$C$5)&lt;&gt;"",40000*SIGN(BX1063)*(分析データ!G1063-INDEX(分析データ!G:G,ROW()+$C$5)),""),"")</f>
        <v/>
      </c>
      <c r="CA1063">
        <f t="shared" ca="1" si="469"/>
        <v>-3515452.8662109179</v>
      </c>
      <c r="CB1063">
        <f t="shared" ca="1" si="470"/>
        <v>11327520.000000004</v>
      </c>
      <c r="CC1063">
        <f t="shared" ca="1" si="471"/>
        <v>-14842972.866210923</v>
      </c>
      <c r="CD1063">
        <f t="shared" ca="1" si="472"/>
        <v>0</v>
      </c>
      <c r="CE1063">
        <f t="shared" ca="1" si="473"/>
        <v>23090347.13378913</v>
      </c>
      <c r="CF1063">
        <f t="shared" ca="1" si="474"/>
        <v>23090347.13378913</v>
      </c>
      <c r="CG1063">
        <f t="shared" ca="1" si="475"/>
        <v>0</v>
      </c>
      <c r="CH1063" s="10" t="str">
        <f>分析データ!A1063</f>
        <v/>
      </c>
    </row>
    <row r="1064" spans="46:86">
      <c r="AT1064">
        <f ca="1">IF(ROW()&lt;($C$7+1),"",IFERROR((分析データ!B1064-AVERAGE(OFFSET(分析データ!B$1,MAX(1,ROW()-$C$7),0,MIN($C$7,ROW()-1),1)))/STDEV(OFFSET(分析データ!B$1,MAX(1,ROW()-$C$7),0,MIN($C$7,ROW()-1),1)),0))</f>
        <v>0</v>
      </c>
      <c r="AU1064">
        <f t="shared" ca="1" si="448"/>
        <v>0</v>
      </c>
      <c r="AV1064" t="str">
        <f ca="1">IF(AU1064=1,IF(INDEX(分析データ!$A:$A,ROW()+$C$5)&lt;&gt;"",80000*SIGN(AT1064)*(分析データ!B1064-INDEX(分析データ!B:B,ROW()+$C$5)),""),"")</f>
        <v/>
      </c>
      <c r="AW1064">
        <f t="shared" ca="1" si="449"/>
        <v>-1240000.0000000019</v>
      </c>
      <c r="AX1064">
        <f t="shared" ca="1" si="450"/>
        <v>0</v>
      </c>
      <c r="AY1064">
        <f t="shared" ca="1" si="451"/>
        <v>-1240000.0000000019</v>
      </c>
      <c r="AZ1064">
        <f ca="1">IF(ROW()&lt;($C$7+1),"",IFERROR((分析データ!C1064-AVERAGE(OFFSET(分析データ!C$1,MAX(1,ROW()-$C$7),0,MIN($C$7,ROW()-1),1)))/STDEV(OFFSET(分析データ!C$1,MAX(1,ROW()-$C$7),0,MIN($C$7,ROW()-1),1)),0))</f>
        <v>0</v>
      </c>
      <c r="BA1064">
        <f t="shared" ca="1" si="452"/>
        <v>0</v>
      </c>
      <c r="BB1064" t="str">
        <f ca="1">IF(BA1064=1,IF(INDEX(分析データ!$A:$A,ROW()+$C$5)&lt;&gt;"",60000*SIGN(AZ1064)*(分析データ!C1064-INDEX(分析データ!C:C,ROW()+$C$5)),""),"")</f>
        <v/>
      </c>
      <c r="BC1064">
        <f t="shared" ca="1" si="453"/>
        <v>-260999.9999999851</v>
      </c>
      <c r="BD1064">
        <f t="shared" ca="1" si="454"/>
        <v>3156000.0000000107</v>
      </c>
      <c r="BE1064">
        <f t="shared" ca="1" si="455"/>
        <v>-3416999.9999999958</v>
      </c>
      <c r="BF1064">
        <f ca="1">IF(ROW()&lt;($C$7+1),"",IFERROR((分析データ!D1064-AVERAGE(OFFSET(分析データ!D$1,MAX(1,ROW()-$C$7),0,MIN($C$7,ROW()-1),1)))/STDEV(OFFSET(分析データ!D$1,MAX(1,ROW()-$C$7),0,MIN($C$7,ROW()-1),1)),0))</f>
        <v>0</v>
      </c>
      <c r="BG1064">
        <f t="shared" ca="1" si="456"/>
        <v>0</v>
      </c>
      <c r="BH1064" t="str">
        <f ca="1">IF(BG1064=1,IF(INDEX(分析データ!$A:$A,ROW()+$C$5)&lt;&gt;"",50000*SIGN(BF1064)*(分析データ!D1064-INDEX(分析データ!D:D,ROW()+$C$5)),""),"")</f>
        <v/>
      </c>
      <c r="BI1064">
        <f t="shared" ca="1" si="457"/>
        <v>5570000.0000000205</v>
      </c>
      <c r="BJ1064">
        <f t="shared" ca="1" si="458"/>
        <v>5570000.0000000205</v>
      </c>
      <c r="BK1064">
        <f t="shared" ca="1" si="459"/>
        <v>0</v>
      </c>
      <c r="BL1064">
        <f ca="1">IF(ROW()&lt;($C$7+1),"",IFERROR((分析データ!E1064-AVERAGE(OFFSET(分析データ!E$1,MAX(1,ROW()-$C$7),0,MIN($C$7,ROW()-1),1)))/STDEV(OFFSET(分析データ!E$1,MAX(1,ROW()-$C$7),0,MIN($C$7,ROW()-1),1)),0))</f>
        <v>0</v>
      </c>
      <c r="BM1064">
        <f t="shared" ca="1" si="460"/>
        <v>0</v>
      </c>
      <c r="BN1064" t="str">
        <f ca="1">IF(BM1064=1,IF(INDEX(分析データ!$A:$A,ROW()+$C$5)&lt;&gt;"",40000*SIGN(BL1064)*(分析データ!E1064-INDEX(分析データ!E:E,ROW()+$C$5)),""),"")</f>
        <v/>
      </c>
      <c r="BO1064">
        <f t="shared" ca="1" si="461"/>
        <v>2720000.0000000014</v>
      </c>
      <c r="BP1064">
        <f t="shared" ca="1" si="462"/>
        <v>4280000.0000000028</v>
      </c>
      <c r="BQ1064">
        <f t="shared" ca="1" si="463"/>
        <v>-1560000.0000000014</v>
      </c>
      <c r="BR1064">
        <f ca="1">IF(ROW()&lt;($C$7+1),"",IFERROR((分析データ!F1064-AVERAGE(OFFSET(分析データ!F$1,MAX(1,ROW()-$C$7),0,MIN($C$7,ROW()-1),1)))/STDEV(OFFSET(分析データ!F$1,MAX(1,ROW()-$C$7),0,MIN($C$7,ROW()-1),1)),0))</f>
        <v>0</v>
      </c>
      <c r="BS1064">
        <f t="shared" ca="1" si="464"/>
        <v>0</v>
      </c>
      <c r="BT1064" t="str">
        <f ca="1">IF(BS1064=1,IF(INDEX(分析データ!$A:$A,ROW()+$C$5)&lt;&gt;"",40000*SIGN(BR1064)*(分析データ!F1064-INDEX(分析データ!F:F,ROW()+$C$5)),""),"")</f>
        <v/>
      </c>
      <c r="BU1064">
        <f t="shared" ca="1" si="465"/>
        <v>19816800</v>
      </c>
      <c r="BV1064">
        <f t="shared" ca="1" si="466"/>
        <v>19816800</v>
      </c>
      <c r="BW1064">
        <f t="shared" ca="1" si="467"/>
        <v>0</v>
      </c>
      <c r="BX1064">
        <f ca="1">IF(ROW()&lt;($C$7+1),"",IFERROR((分析データ!G1064-AVERAGE(OFFSET(分析データ!G$1,MAX(1,ROW()-$C$7),0,MIN($C$7,ROW()-1),1)))/STDEV(OFFSET(分析データ!G$1,MAX(1,ROW()-$C$7),0,MIN($C$7,ROW()-1),1)),0))</f>
        <v>0</v>
      </c>
      <c r="BY1064">
        <f t="shared" ca="1" si="468"/>
        <v>0</v>
      </c>
      <c r="BZ1064" t="str">
        <f ca="1">IF(BY1064=1,IF(INDEX(分析データ!$A:$A,ROW()+$C$5)&lt;&gt;"",40000*SIGN(BX1064)*(分析データ!G1064-INDEX(分析データ!G:G,ROW()+$C$5)),""),"")</f>
        <v/>
      </c>
      <c r="CA1064">
        <f t="shared" ca="1" si="469"/>
        <v>-3515452.8662109179</v>
      </c>
      <c r="CB1064">
        <f t="shared" ca="1" si="470"/>
        <v>11327520.000000004</v>
      </c>
      <c r="CC1064">
        <f t="shared" ca="1" si="471"/>
        <v>-14842972.866210923</v>
      </c>
      <c r="CD1064">
        <f t="shared" ca="1" si="472"/>
        <v>0</v>
      </c>
      <c r="CE1064">
        <f t="shared" ca="1" si="473"/>
        <v>23090347.13378913</v>
      </c>
      <c r="CF1064">
        <f t="shared" ca="1" si="474"/>
        <v>23090347.13378913</v>
      </c>
      <c r="CG1064">
        <f t="shared" ca="1" si="475"/>
        <v>0</v>
      </c>
      <c r="CH1064" s="10" t="str">
        <f>分析データ!A1064</f>
        <v/>
      </c>
    </row>
    <row r="1065" spans="46:86">
      <c r="AT1065">
        <f ca="1">IF(ROW()&lt;($C$7+1),"",IFERROR((分析データ!B1065-AVERAGE(OFFSET(分析データ!B$1,MAX(1,ROW()-$C$7),0,MIN($C$7,ROW()-1),1)))/STDEV(OFFSET(分析データ!B$1,MAX(1,ROW()-$C$7),0,MIN($C$7,ROW()-1),1)),0))</f>
        <v>0</v>
      </c>
      <c r="AU1065">
        <f t="shared" ca="1" si="448"/>
        <v>0</v>
      </c>
      <c r="AV1065" t="str">
        <f ca="1">IF(AU1065=1,IF(INDEX(分析データ!$A:$A,ROW()+$C$5)&lt;&gt;"",80000*SIGN(AT1065)*(分析データ!B1065-INDEX(分析データ!B:B,ROW()+$C$5)),""),"")</f>
        <v/>
      </c>
      <c r="AW1065">
        <f t="shared" ca="1" si="449"/>
        <v>-1240000.0000000019</v>
      </c>
      <c r="AX1065">
        <f t="shared" ca="1" si="450"/>
        <v>0</v>
      </c>
      <c r="AY1065">
        <f t="shared" ca="1" si="451"/>
        <v>-1240000.0000000019</v>
      </c>
      <c r="AZ1065">
        <f ca="1">IF(ROW()&lt;($C$7+1),"",IFERROR((分析データ!C1065-AVERAGE(OFFSET(分析データ!C$1,MAX(1,ROW()-$C$7),0,MIN($C$7,ROW()-1),1)))/STDEV(OFFSET(分析データ!C$1,MAX(1,ROW()-$C$7),0,MIN($C$7,ROW()-1),1)),0))</f>
        <v>0</v>
      </c>
      <c r="BA1065">
        <f t="shared" ca="1" si="452"/>
        <v>0</v>
      </c>
      <c r="BB1065" t="str">
        <f ca="1">IF(BA1065=1,IF(INDEX(分析データ!$A:$A,ROW()+$C$5)&lt;&gt;"",60000*SIGN(AZ1065)*(分析データ!C1065-INDEX(分析データ!C:C,ROW()+$C$5)),""),"")</f>
        <v/>
      </c>
      <c r="BC1065">
        <f t="shared" ca="1" si="453"/>
        <v>-260999.9999999851</v>
      </c>
      <c r="BD1065">
        <f t="shared" ca="1" si="454"/>
        <v>3156000.0000000107</v>
      </c>
      <c r="BE1065">
        <f t="shared" ca="1" si="455"/>
        <v>-3416999.9999999958</v>
      </c>
      <c r="BF1065">
        <f ca="1">IF(ROW()&lt;($C$7+1),"",IFERROR((分析データ!D1065-AVERAGE(OFFSET(分析データ!D$1,MAX(1,ROW()-$C$7),0,MIN($C$7,ROW()-1),1)))/STDEV(OFFSET(分析データ!D$1,MAX(1,ROW()-$C$7),0,MIN($C$7,ROW()-1),1)),0))</f>
        <v>0</v>
      </c>
      <c r="BG1065">
        <f t="shared" ca="1" si="456"/>
        <v>0</v>
      </c>
      <c r="BH1065" t="str">
        <f ca="1">IF(BG1065=1,IF(INDEX(分析データ!$A:$A,ROW()+$C$5)&lt;&gt;"",50000*SIGN(BF1065)*(分析データ!D1065-INDEX(分析データ!D:D,ROW()+$C$5)),""),"")</f>
        <v/>
      </c>
      <c r="BI1065">
        <f t="shared" ca="1" si="457"/>
        <v>5570000.0000000205</v>
      </c>
      <c r="BJ1065">
        <f t="shared" ca="1" si="458"/>
        <v>5570000.0000000205</v>
      </c>
      <c r="BK1065">
        <f t="shared" ca="1" si="459"/>
        <v>0</v>
      </c>
      <c r="BL1065">
        <f ca="1">IF(ROW()&lt;($C$7+1),"",IFERROR((分析データ!E1065-AVERAGE(OFFSET(分析データ!E$1,MAX(1,ROW()-$C$7),0,MIN($C$7,ROW()-1),1)))/STDEV(OFFSET(分析データ!E$1,MAX(1,ROW()-$C$7),0,MIN($C$7,ROW()-1),1)),0))</f>
        <v>0</v>
      </c>
      <c r="BM1065">
        <f t="shared" ca="1" si="460"/>
        <v>0</v>
      </c>
      <c r="BN1065" t="str">
        <f ca="1">IF(BM1065=1,IF(INDEX(分析データ!$A:$A,ROW()+$C$5)&lt;&gt;"",40000*SIGN(BL1065)*(分析データ!E1065-INDEX(分析データ!E:E,ROW()+$C$5)),""),"")</f>
        <v/>
      </c>
      <c r="BO1065">
        <f t="shared" ca="1" si="461"/>
        <v>2720000.0000000014</v>
      </c>
      <c r="BP1065">
        <f t="shared" ca="1" si="462"/>
        <v>4280000.0000000028</v>
      </c>
      <c r="BQ1065">
        <f t="shared" ca="1" si="463"/>
        <v>-1560000.0000000014</v>
      </c>
      <c r="BR1065">
        <f ca="1">IF(ROW()&lt;($C$7+1),"",IFERROR((分析データ!F1065-AVERAGE(OFFSET(分析データ!F$1,MAX(1,ROW()-$C$7),0,MIN($C$7,ROW()-1),1)))/STDEV(OFFSET(分析データ!F$1,MAX(1,ROW()-$C$7),0,MIN($C$7,ROW()-1),1)),0))</f>
        <v>0</v>
      </c>
      <c r="BS1065">
        <f t="shared" ca="1" si="464"/>
        <v>0</v>
      </c>
      <c r="BT1065" t="str">
        <f ca="1">IF(BS1065=1,IF(INDEX(分析データ!$A:$A,ROW()+$C$5)&lt;&gt;"",40000*SIGN(BR1065)*(分析データ!F1065-INDEX(分析データ!F:F,ROW()+$C$5)),""),"")</f>
        <v/>
      </c>
      <c r="BU1065">
        <f t="shared" ca="1" si="465"/>
        <v>19816800</v>
      </c>
      <c r="BV1065">
        <f t="shared" ca="1" si="466"/>
        <v>19816800</v>
      </c>
      <c r="BW1065">
        <f t="shared" ca="1" si="467"/>
        <v>0</v>
      </c>
      <c r="BX1065">
        <f ca="1">IF(ROW()&lt;($C$7+1),"",IFERROR((分析データ!G1065-AVERAGE(OFFSET(分析データ!G$1,MAX(1,ROW()-$C$7),0,MIN($C$7,ROW()-1),1)))/STDEV(OFFSET(分析データ!G$1,MAX(1,ROW()-$C$7),0,MIN($C$7,ROW()-1),1)),0))</f>
        <v>0</v>
      </c>
      <c r="BY1065">
        <f t="shared" ca="1" si="468"/>
        <v>0</v>
      </c>
      <c r="BZ1065" t="str">
        <f ca="1">IF(BY1065=1,IF(INDEX(分析データ!$A:$A,ROW()+$C$5)&lt;&gt;"",40000*SIGN(BX1065)*(分析データ!G1065-INDEX(分析データ!G:G,ROW()+$C$5)),""),"")</f>
        <v/>
      </c>
      <c r="CA1065">
        <f t="shared" ca="1" si="469"/>
        <v>-3515452.8662109179</v>
      </c>
      <c r="CB1065">
        <f t="shared" ca="1" si="470"/>
        <v>11327520.000000004</v>
      </c>
      <c r="CC1065">
        <f t="shared" ca="1" si="471"/>
        <v>-14842972.866210923</v>
      </c>
      <c r="CD1065">
        <f t="shared" ca="1" si="472"/>
        <v>0</v>
      </c>
      <c r="CE1065">
        <f t="shared" ca="1" si="473"/>
        <v>23090347.13378913</v>
      </c>
      <c r="CF1065">
        <f t="shared" ca="1" si="474"/>
        <v>23090347.13378913</v>
      </c>
      <c r="CG1065">
        <f t="shared" ca="1" si="475"/>
        <v>0</v>
      </c>
      <c r="CH1065" s="10" t="str">
        <f>分析データ!A1065</f>
        <v/>
      </c>
    </row>
    <row r="1066" spans="46:86">
      <c r="AT1066">
        <f ca="1">IF(ROW()&lt;($C$7+1),"",IFERROR((分析データ!B1066-AVERAGE(OFFSET(分析データ!B$1,MAX(1,ROW()-$C$7),0,MIN($C$7,ROW()-1),1)))/STDEV(OFFSET(分析データ!B$1,MAX(1,ROW()-$C$7),0,MIN($C$7,ROW()-1),1)),0))</f>
        <v>0</v>
      </c>
      <c r="AU1066">
        <f t="shared" ca="1" si="448"/>
        <v>0</v>
      </c>
      <c r="AV1066" t="str">
        <f ca="1">IF(AU1066=1,IF(INDEX(分析データ!$A:$A,ROW()+$C$5)&lt;&gt;"",80000*SIGN(AT1066)*(分析データ!B1066-INDEX(分析データ!B:B,ROW()+$C$5)),""),"")</f>
        <v/>
      </c>
      <c r="AW1066">
        <f t="shared" ca="1" si="449"/>
        <v>-1240000.0000000019</v>
      </c>
      <c r="AX1066">
        <f t="shared" ca="1" si="450"/>
        <v>0</v>
      </c>
      <c r="AY1066">
        <f t="shared" ca="1" si="451"/>
        <v>-1240000.0000000019</v>
      </c>
      <c r="AZ1066">
        <f ca="1">IF(ROW()&lt;($C$7+1),"",IFERROR((分析データ!C1066-AVERAGE(OFFSET(分析データ!C$1,MAX(1,ROW()-$C$7),0,MIN($C$7,ROW()-1),1)))/STDEV(OFFSET(分析データ!C$1,MAX(1,ROW()-$C$7),0,MIN($C$7,ROW()-1),1)),0))</f>
        <v>0</v>
      </c>
      <c r="BA1066">
        <f t="shared" ca="1" si="452"/>
        <v>0</v>
      </c>
      <c r="BB1066" t="str">
        <f ca="1">IF(BA1066=1,IF(INDEX(分析データ!$A:$A,ROW()+$C$5)&lt;&gt;"",60000*SIGN(AZ1066)*(分析データ!C1066-INDEX(分析データ!C:C,ROW()+$C$5)),""),"")</f>
        <v/>
      </c>
      <c r="BC1066">
        <f t="shared" ca="1" si="453"/>
        <v>-260999.9999999851</v>
      </c>
      <c r="BD1066">
        <f t="shared" ca="1" si="454"/>
        <v>3156000.0000000107</v>
      </c>
      <c r="BE1066">
        <f t="shared" ca="1" si="455"/>
        <v>-3416999.9999999958</v>
      </c>
      <c r="BF1066">
        <f ca="1">IF(ROW()&lt;($C$7+1),"",IFERROR((分析データ!D1066-AVERAGE(OFFSET(分析データ!D$1,MAX(1,ROW()-$C$7),0,MIN($C$7,ROW()-1),1)))/STDEV(OFFSET(分析データ!D$1,MAX(1,ROW()-$C$7),0,MIN($C$7,ROW()-1),1)),0))</f>
        <v>0</v>
      </c>
      <c r="BG1066">
        <f t="shared" ca="1" si="456"/>
        <v>0</v>
      </c>
      <c r="BH1066" t="str">
        <f ca="1">IF(BG1066=1,IF(INDEX(分析データ!$A:$A,ROW()+$C$5)&lt;&gt;"",50000*SIGN(BF1066)*(分析データ!D1066-INDEX(分析データ!D:D,ROW()+$C$5)),""),"")</f>
        <v/>
      </c>
      <c r="BI1066">
        <f t="shared" ca="1" si="457"/>
        <v>5570000.0000000205</v>
      </c>
      <c r="BJ1066">
        <f t="shared" ca="1" si="458"/>
        <v>5570000.0000000205</v>
      </c>
      <c r="BK1066">
        <f t="shared" ca="1" si="459"/>
        <v>0</v>
      </c>
      <c r="BL1066">
        <f ca="1">IF(ROW()&lt;($C$7+1),"",IFERROR((分析データ!E1066-AVERAGE(OFFSET(分析データ!E$1,MAX(1,ROW()-$C$7),0,MIN($C$7,ROW()-1),1)))/STDEV(OFFSET(分析データ!E$1,MAX(1,ROW()-$C$7),0,MIN($C$7,ROW()-1),1)),0))</f>
        <v>0</v>
      </c>
      <c r="BM1066">
        <f t="shared" ca="1" si="460"/>
        <v>0</v>
      </c>
      <c r="BN1066" t="str">
        <f ca="1">IF(BM1066=1,IF(INDEX(分析データ!$A:$A,ROW()+$C$5)&lt;&gt;"",40000*SIGN(BL1066)*(分析データ!E1066-INDEX(分析データ!E:E,ROW()+$C$5)),""),"")</f>
        <v/>
      </c>
      <c r="BO1066">
        <f t="shared" ca="1" si="461"/>
        <v>2720000.0000000014</v>
      </c>
      <c r="BP1066">
        <f t="shared" ca="1" si="462"/>
        <v>4280000.0000000028</v>
      </c>
      <c r="BQ1066">
        <f t="shared" ca="1" si="463"/>
        <v>-1560000.0000000014</v>
      </c>
      <c r="BR1066">
        <f ca="1">IF(ROW()&lt;($C$7+1),"",IFERROR((分析データ!F1066-AVERAGE(OFFSET(分析データ!F$1,MAX(1,ROW()-$C$7),0,MIN($C$7,ROW()-1),1)))/STDEV(OFFSET(分析データ!F$1,MAX(1,ROW()-$C$7),0,MIN($C$7,ROW()-1),1)),0))</f>
        <v>0</v>
      </c>
      <c r="BS1066">
        <f t="shared" ca="1" si="464"/>
        <v>0</v>
      </c>
      <c r="BT1066" t="str">
        <f ca="1">IF(BS1066=1,IF(INDEX(分析データ!$A:$A,ROW()+$C$5)&lt;&gt;"",40000*SIGN(BR1066)*(分析データ!F1066-INDEX(分析データ!F:F,ROW()+$C$5)),""),"")</f>
        <v/>
      </c>
      <c r="BU1066">
        <f t="shared" ca="1" si="465"/>
        <v>19816800</v>
      </c>
      <c r="BV1066">
        <f t="shared" ca="1" si="466"/>
        <v>19816800</v>
      </c>
      <c r="BW1066">
        <f t="shared" ca="1" si="467"/>
        <v>0</v>
      </c>
      <c r="BX1066">
        <f ca="1">IF(ROW()&lt;($C$7+1),"",IFERROR((分析データ!G1066-AVERAGE(OFFSET(分析データ!G$1,MAX(1,ROW()-$C$7),0,MIN($C$7,ROW()-1),1)))/STDEV(OFFSET(分析データ!G$1,MAX(1,ROW()-$C$7),0,MIN($C$7,ROW()-1),1)),0))</f>
        <v>0</v>
      </c>
      <c r="BY1066">
        <f t="shared" ca="1" si="468"/>
        <v>0</v>
      </c>
      <c r="BZ1066" t="str">
        <f ca="1">IF(BY1066=1,IF(INDEX(分析データ!$A:$A,ROW()+$C$5)&lt;&gt;"",40000*SIGN(BX1066)*(分析データ!G1066-INDEX(分析データ!G:G,ROW()+$C$5)),""),"")</f>
        <v/>
      </c>
      <c r="CA1066">
        <f t="shared" ca="1" si="469"/>
        <v>-3515452.8662109179</v>
      </c>
      <c r="CB1066">
        <f t="shared" ca="1" si="470"/>
        <v>11327520.000000004</v>
      </c>
      <c r="CC1066">
        <f t="shared" ca="1" si="471"/>
        <v>-14842972.866210923</v>
      </c>
      <c r="CD1066">
        <f t="shared" ca="1" si="472"/>
        <v>0</v>
      </c>
      <c r="CE1066">
        <f t="shared" ca="1" si="473"/>
        <v>23090347.13378913</v>
      </c>
      <c r="CF1066">
        <f t="shared" ca="1" si="474"/>
        <v>23090347.13378913</v>
      </c>
      <c r="CG1066">
        <f t="shared" ca="1" si="475"/>
        <v>0</v>
      </c>
      <c r="CH1066" s="10" t="str">
        <f>分析データ!A1066</f>
        <v/>
      </c>
    </row>
    <row r="1067" spans="46:86">
      <c r="AT1067">
        <f ca="1">IF(ROW()&lt;($C$7+1),"",IFERROR((分析データ!B1067-AVERAGE(OFFSET(分析データ!B$1,MAX(1,ROW()-$C$7),0,MIN($C$7,ROW()-1),1)))/STDEV(OFFSET(分析データ!B$1,MAX(1,ROW()-$C$7),0,MIN($C$7,ROW()-1),1)),0))</f>
        <v>0</v>
      </c>
      <c r="AU1067">
        <f t="shared" ca="1" si="448"/>
        <v>0</v>
      </c>
      <c r="AV1067" t="str">
        <f ca="1">IF(AU1067=1,IF(INDEX(分析データ!$A:$A,ROW()+$C$5)&lt;&gt;"",80000*SIGN(AT1067)*(分析データ!B1067-INDEX(分析データ!B:B,ROW()+$C$5)),""),"")</f>
        <v/>
      </c>
      <c r="AW1067">
        <f t="shared" ca="1" si="449"/>
        <v>-1240000.0000000019</v>
      </c>
      <c r="AX1067">
        <f t="shared" ca="1" si="450"/>
        <v>0</v>
      </c>
      <c r="AY1067">
        <f t="shared" ca="1" si="451"/>
        <v>-1240000.0000000019</v>
      </c>
      <c r="AZ1067">
        <f ca="1">IF(ROW()&lt;($C$7+1),"",IFERROR((分析データ!C1067-AVERAGE(OFFSET(分析データ!C$1,MAX(1,ROW()-$C$7),0,MIN($C$7,ROW()-1),1)))/STDEV(OFFSET(分析データ!C$1,MAX(1,ROW()-$C$7),0,MIN($C$7,ROW()-1),1)),0))</f>
        <v>0</v>
      </c>
      <c r="BA1067">
        <f t="shared" ca="1" si="452"/>
        <v>0</v>
      </c>
      <c r="BB1067" t="str">
        <f ca="1">IF(BA1067=1,IF(INDEX(分析データ!$A:$A,ROW()+$C$5)&lt;&gt;"",60000*SIGN(AZ1067)*(分析データ!C1067-INDEX(分析データ!C:C,ROW()+$C$5)),""),"")</f>
        <v/>
      </c>
      <c r="BC1067">
        <f t="shared" ca="1" si="453"/>
        <v>-260999.9999999851</v>
      </c>
      <c r="BD1067">
        <f t="shared" ca="1" si="454"/>
        <v>3156000.0000000107</v>
      </c>
      <c r="BE1067">
        <f t="shared" ca="1" si="455"/>
        <v>-3416999.9999999958</v>
      </c>
      <c r="BF1067">
        <f ca="1">IF(ROW()&lt;($C$7+1),"",IFERROR((分析データ!D1067-AVERAGE(OFFSET(分析データ!D$1,MAX(1,ROW()-$C$7),0,MIN($C$7,ROW()-1),1)))/STDEV(OFFSET(分析データ!D$1,MAX(1,ROW()-$C$7),0,MIN($C$7,ROW()-1),1)),0))</f>
        <v>0</v>
      </c>
      <c r="BG1067">
        <f t="shared" ca="1" si="456"/>
        <v>0</v>
      </c>
      <c r="BH1067" t="str">
        <f ca="1">IF(BG1067=1,IF(INDEX(分析データ!$A:$A,ROW()+$C$5)&lt;&gt;"",50000*SIGN(BF1067)*(分析データ!D1067-INDEX(分析データ!D:D,ROW()+$C$5)),""),"")</f>
        <v/>
      </c>
      <c r="BI1067">
        <f t="shared" ca="1" si="457"/>
        <v>5570000.0000000205</v>
      </c>
      <c r="BJ1067">
        <f t="shared" ca="1" si="458"/>
        <v>5570000.0000000205</v>
      </c>
      <c r="BK1067">
        <f t="shared" ca="1" si="459"/>
        <v>0</v>
      </c>
      <c r="BL1067">
        <f ca="1">IF(ROW()&lt;($C$7+1),"",IFERROR((分析データ!E1067-AVERAGE(OFFSET(分析データ!E$1,MAX(1,ROW()-$C$7),0,MIN($C$7,ROW()-1),1)))/STDEV(OFFSET(分析データ!E$1,MAX(1,ROW()-$C$7),0,MIN($C$7,ROW()-1),1)),0))</f>
        <v>0</v>
      </c>
      <c r="BM1067">
        <f t="shared" ca="1" si="460"/>
        <v>0</v>
      </c>
      <c r="BN1067" t="str">
        <f ca="1">IF(BM1067=1,IF(INDEX(分析データ!$A:$A,ROW()+$C$5)&lt;&gt;"",40000*SIGN(BL1067)*(分析データ!E1067-INDEX(分析データ!E:E,ROW()+$C$5)),""),"")</f>
        <v/>
      </c>
      <c r="BO1067">
        <f t="shared" ca="1" si="461"/>
        <v>2720000.0000000014</v>
      </c>
      <c r="BP1067">
        <f t="shared" ca="1" si="462"/>
        <v>4280000.0000000028</v>
      </c>
      <c r="BQ1067">
        <f t="shared" ca="1" si="463"/>
        <v>-1560000.0000000014</v>
      </c>
      <c r="BR1067">
        <f ca="1">IF(ROW()&lt;($C$7+1),"",IFERROR((分析データ!F1067-AVERAGE(OFFSET(分析データ!F$1,MAX(1,ROW()-$C$7),0,MIN($C$7,ROW()-1),1)))/STDEV(OFFSET(分析データ!F$1,MAX(1,ROW()-$C$7),0,MIN($C$7,ROW()-1),1)),0))</f>
        <v>0</v>
      </c>
      <c r="BS1067">
        <f t="shared" ca="1" si="464"/>
        <v>0</v>
      </c>
      <c r="BT1067" t="str">
        <f ca="1">IF(BS1067=1,IF(INDEX(分析データ!$A:$A,ROW()+$C$5)&lt;&gt;"",40000*SIGN(BR1067)*(分析データ!F1067-INDEX(分析データ!F:F,ROW()+$C$5)),""),"")</f>
        <v/>
      </c>
      <c r="BU1067">
        <f t="shared" ca="1" si="465"/>
        <v>19816800</v>
      </c>
      <c r="BV1067">
        <f t="shared" ca="1" si="466"/>
        <v>19816800</v>
      </c>
      <c r="BW1067">
        <f t="shared" ca="1" si="467"/>
        <v>0</v>
      </c>
      <c r="BX1067">
        <f ca="1">IF(ROW()&lt;($C$7+1),"",IFERROR((分析データ!G1067-AVERAGE(OFFSET(分析データ!G$1,MAX(1,ROW()-$C$7),0,MIN($C$7,ROW()-1),1)))/STDEV(OFFSET(分析データ!G$1,MAX(1,ROW()-$C$7),0,MIN($C$7,ROW()-1),1)),0))</f>
        <v>0</v>
      </c>
      <c r="BY1067">
        <f t="shared" ca="1" si="468"/>
        <v>0</v>
      </c>
      <c r="BZ1067" t="str">
        <f ca="1">IF(BY1067=1,IF(INDEX(分析データ!$A:$A,ROW()+$C$5)&lt;&gt;"",40000*SIGN(BX1067)*(分析データ!G1067-INDEX(分析データ!G:G,ROW()+$C$5)),""),"")</f>
        <v/>
      </c>
      <c r="CA1067">
        <f t="shared" ca="1" si="469"/>
        <v>-3515452.8662109179</v>
      </c>
      <c r="CB1067">
        <f t="shared" ca="1" si="470"/>
        <v>11327520.000000004</v>
      </c>
      <c r="CC1067">
        <f t="shared" ca="1" si="471"/>
        <v>-14842972.866210923</v>
      </c>
      <c r="CD1067">
        <f t="shared" ca="1" si="472"/>
        <v>0</v>
      </c>
      <c r="CE1067">
        <f t="shared" ca="1" si="473"/>
        <v>23090347.13378913</v>
      </c>
      <c r="CF1067">
        <f t="shared" ca="1" si="474"/>
        <v>23090347.13378913</v>
      </c>
      <c r="CG1067">
        <f t="shared" ca="1" si="475"/>
        <v>0</v>
      </c>
      <c r="CH1067" s="10" t="str">
        <f>分析データ!A1067</f>
        <v/>
      </c>
    </row>
    <row r="1068" spans="46:86">
      <c r="AT1068">
        <f ca="1">IF(ROW()&lt;($C$7+1),"",IFERROR((分析データ!B1068-AVERAGE(OFFSET(分析データ!B$1,MAX(1,ROW()-$C$7),0,MIN($C$7,ROW()-1),1)))/STDEV(OFFSET(分析データ!B$1,MAX(1,ROW()-$C$7),0,MIN($C$7,ROW()-1),1)),0))</f>
        <v>0</v>
      </c>
      <c r="AU1068">
        <f t="shared" ca="1" si="448"/>
        <v>0</v>
      </c>
      <c r="AV1068" t="str">
        <f ca="1">IF(AU1068=1,IF(INDEX(分析データ!$A:$A,ROW()+$C$5)&lt;&gt;"",80000*SIGN(AT1068)*(分析データ!B1068-INDEX(分析データ!B:B,ROW()+$C$5)),""),"")</f>
        <v/>
      </c>
      <c r="AW1068">
        <f t="shared" ca="1" si="449"/>
        <v>-1240000.0000000019</v>
      </c>
      <c r="AX1068">
        <f t="shared" ca="1" si="450"/>
        <v>0</v>
      </c>
      <c r="AY1068">
        <f t="shared" ca="1" si="451"/>
        <v>-1240000.0000000019</v>
      </c>
      <c r="AZ1068">
        <f ca="1">IF(ROW()&lt;($C$7+1),"",IFERROR((分析データ!C1068-AVERAGE(OFFSET(分析データ!C$1,MAX(1,ROW()-$C$7),0,MIN($C$7,ROW()-1),1)))/STDEV(OFFSET(分析データ!C$1,MAX(1,ROW()-$C$7),0,MIN($C$7,ROW()-1),1)),0))</f>
        <v>0</v>
      </c>
      <c r="BA1068">
        <f t="shared" ca="1" si="452"/>
        <v>0</v>
      </c>
      <c r="BB1068" t="str">
        <f ca="1">IF(BA1068=1,IF(INDEX(分析データ!$A:$A,ROW()+$C$5)&lt;&gt;"",60000*SIGN(AZ1068)*(分析データ!C1068-INDEX(分析データ!C:C,ROW()+$C$5)),""),"")</f>
        <v/>
      </c>
      <c r="BC1068">
        <f t="shared" ca="1" si="453"/>
        <v>-260999.9999999851</v>
      </c>
      <c r="BD1068">
        <f t="shared" ca="1" si="454"/>
        <v>3156000.0000000107</v>
      </c>
      <c r="BE1068">
        <f t="shared" ca="1" si="455"/>
        <v>-3416999.9999999958</v>
      </c>
      <c r="BF1068">
        <f ca="1">IF(ROW()&lt;($C$7+1),"",IFERROR((分析データ!D1068-AVERAGE(OFFSET(分析データ!D$1,MAX(1,ROW()-$C$7),0,MIN($C$7,ROW()-1),1)))/STDEV(OFFSET(分析データ!D$1,MAX(1,ROW()-$C$7),0,MIN($C$7,ROW()-1),1)),0))</f>
        <v>0</v>
      </c>
      <c r="BG1068">
        <f t="shared" ca="1" si="456"/>
        <v>0</v>
      </c>
      <c r="BH1068" t="str">
        <f ca="1">IF(BG1068=1,IF(INDEX(分析データ!$A:$A,ROW()+$C$5)&lt;&gt;"",50000*SIGN(BF1068)*(分析データ!D1068-INDEX(分析データ!D:D,ROW()+$C$5)),""),"")</f>
        <v/>
      </c>
      <c r="BI1068">
        <f t="shared" ca="1" si="457"/>
        <v>5570000.0000000205</v>
      </c>
      <c r="BJ1068">
        <f t="shared" ca="1" si="458"/>
        <v>5570000.0000000205</v>
      </c>
      <c r="BK1068">
        <f t="shared" ca="1" si="459"/>
        <v>0</v>
      </c>
      <c r="BL1068">
        <f ca="1">IF(ROW()&lt;($C$7+1),"",IFERROR((分析データ!E1068-AVERAGE(OFFSET(分析データ!E$1,MAX(1,ROW()-$C$7),0,MIN($C$7,ROW()-1),1)))/STDEV(OFFSET(分析データ!E$1,MAX(1,ROW()-$C$7),0,MIN($C$7,ROW()-1),1)),0))</f>
        <v>0</v>
      </c>
      <c r="BM1068">
        <f t="shared" ca="1" si="460"/>
        <v>0</v>
      </c>
      <c r="BN1068" t="str">
        <f ca="1">IF(BM1068=1,IF(INDEX(分析データ!$A:$A,ROW()+$C$5)&lt;&gt;"",40000*SIGN(BL1068)*(分析データ!E1068-INDEX(分析データ!E:E,ROW()+$C$5)),""),"")</f>
        <v/>
      </c>
      <c r="BO1068">
        <f t="shared" ca="1" si="461"/>
        <v>2720000.0000000014</v>
      </c>
      <c r="BP1068">
        <f t="shared" ca="1" si="462"/>
        <v>4280000.0000000028</v>
      </c>
      <c r="BQ1068">
        <f t="shared" ca="1" si="463"/>
        <v>-1560000.0000000014</v>
      </c>
      <c r="BR1068">
        <f ca="1">IF(ROW()&lt;($C$7+1),"",IFERROR((分析データ!F1068-AVERAGE(OFFSET(分析データ!F$1,MAX(1,ROW()-$C$7),0,MIN($C$7,ROW()-1),1)))/STDEV(OFFSET(分析データ!F$1,MAX(1,ROW()-$C$7),0,MIN($C$7,ROW()-1),1)),0))</f>
        <v>0</v>
      </c>
      <c r="BS1068">
        <f t="shared" ca="1" si="464"/>
        <v>0</v>
      </c>
      <c r="BT1068" t="str">
        <f ca="1">IF(BS1068=1,IF(INDEX(分析データ!$A:$A,ROW()+$C$5)&lt;&gt;"",40000*SIGN(BR1068)*(分析データ!F1068-INDEX(分析データ!F:F,ROW()+$C$5)),""),"")</f>
        <v/>
      </c>
      <c r="BU1068">
        <f t="shared" ca="1" si="465"/>
        <v>19816800</v>
      </c>
      <c r="BV1068">
        <f t="shared" ca="1" si="466"/>
        <v>19816800</v>
      </c>
      <c r="BW1068">
        <f t="shared" ca="1" si="467"/>
        <v>0</v>
      </c>
      <c r="BX1068">
        <f ca="1">IF(ROW()&lt;($C$7+1),"",IFERROR((分析データ!G1068-AVERAGE(OFFSET(分析データ!G$1,MAX(1,ROW()-$C$7),0,MIN($C$7,ROW()-1),1)))/STDEV(OFFSET(分析データ!G$1,MAX(1,ROW()-$C$7),0,MIN($C$7,ROW()-1),1)),0))</f>
        <v>0</v>
      </c>
      <c r="BY1068">
        <f t="shared" ca="1" si="468"/>
        <v>0</v>
      </c>
      <c r="BZ1068" t="str">
        <f ca="1">IF(BY1068=1,IF(INDEX(分析データ!$A:$A,ROW()+$C$5)&lt;&gt;"",40000*SIGN(BX1068)*(分析データ!G1068-INDEX(分析データ!G:G,ROW()+$C$5)),""),"")</f>
        <v/>
      </c>
      <c r="CA1068">
        <f t="shared" ca="1" si="469"/>
        <v>-3515452.8662109179</v>
      </c>
      <c r="CB1068">
        <f t="shared" ca="1" si="470"/>
        <v>11327520.000000004</v>
      </c>
      <c r="CC1068">
        <f t="shared" ca="1" si="471"/>
        <v>-14842972.866210923</v>
      </c>
      <c r="CD1068">
        <f t="shared" ca="1" si="472"/>
        <v>0</v>
      </c>
      <c r="CE1068">
        <f t="shared" ca="1" si="473"/>
        <v>23090347.13378913</v>
      </c>
      <c r="CF1068">
        <f t="shared" ca="1" si="474"/>
        <v>23090347.13378913</v>
      </c>
      <c r="CG1068">
        <f t="shared" ca="1" si="475"/>
        <v>0</v>
      </c>
      <c r="CH1068" s="10" t="str">
        <f>分析データ!A1068</f>
        <v/>
      </c>
    </row>
    <row r="1069" spans="46:86">
      <c r="AT1069">
        <f ca="1">IF(ROW()&lt;($C$7+1),"",IFERROR((分析データ!B1069-AVERAGE(OFFSET(分析データ!B$1,MAX(1,ROW()-$C$7),0,MIN($C$7,ROW()-1),1)))/STDEV(OFFSET(分析データ!B$1,MAX(1,ROW()-$C$7),0,MIN($C$7,ROW()-1),1)),0))</f>
        <v>0</v>
      </c>
      <c r="AU1069">
        <f t="shared" ca="1" si="448"/>
        <v>0</v>
      </c>
      <c r="AV1069" t="str">
        <f ca="1">IF(AU1069=1,IF(INDEX(分析データ!$A:$A,ROW()+$C$5)&lt;&gt;"",80000*SIGN(AT1069)*(分析データ!B1069-INDEX(分析データ!B:B,ROW()+$C$5)),""),"")</f>
        <v/>
      </c>
      <c r="AW1069">
        <f t="shared" ca="1" si="449"/>
        <v>-1240000.0000000019</v>
      </c>
      <c r="AX1069">
        <f t="shared" ca="1" si="450"/>
        <v>0</v>
      </c>
      <c r="AY1069">
        <f t="shared" ca="1" si="451"/>
        <v>-1240000.0000000019</v>
      </c>
      <c r="AZ1069">
        <f ca="1">IF(ROW()&lt;($C$7+1),"",IFERROR((分析データ!C1069-AVERAGE(OFFSET(分析データ!C$1,MAX(1,ROW()-$C$7),0,MIN($C$7,ROW()-1),1)))/STDEV(OFFSET(分析データ!C$1,MAX(1,ROW()-$C$7),0,MIN($C$7,ROW()-1),1)),0))</f>
        <v>0</v>
      </c>
      <c r="BA1069">
        <f t="shared" ca="1" si="452"/>
        <v>0</v>
      </c>
      <c r="BB1069" t="str">
        <f ca="1">IF(BA1069=1,IF(INDEX(分析データ!$A:$A,ROW()+$C$5)&lt;&gt;"",60000*SIGN(AZ1069)*(分析データ!C1069-INDEX(分析データ!C:C,ROW()+$C$5)),""),"")</f>
        <v/>
      </c>
      <c r="BC1069">
        <f t="shared" ca="1" si="453"/>
        <v>-260999.9999999851</v>
      </c>
      <c r="BD1069">
        <f t="shared" ca="1" si="454"/>
        <v>3156000.0000000107</v>
      </c>
      <c r="BE1069">
        <f t="shared" ca="1" si="455"/>
        <v>-3416999.9999999958</v>
      </c>
      <c r="BF1069">
        <f ca="1">IF(ROW()&lt;($C$7+1),"",IFERROR((分析データ!D1069-AVERAGE(OFFSET(分析データ!D$1,MAX(1,ROW()-$C$7),0,MIN($C$7,ROW()-1),1)))/STDEV(OFFSET(分析データ!D$1,MAX(1,ROW()-$C$7),0,MIN($C$7,ROW()-1),1)),0))</f>
        <v>0</v>
      </c>
      <c r="BG1069">
        <f t="shared" ca="1" si="456"/>
        <v>0</v>
      </c>
      <c r="BH1069" t="str">
        <f ca="1">IF(BG1069=1,IF(INDEX(分析データ!$A:$A,ROW()+$C$5)&lt;&gt;"",50000*SIGN(BF1069)*(分析データ!D1069-INDEX(分析データ!D:D,ROW()+$C$5)),""),"")</f>
        <v/>
      </c>
      <c r="BI1069">
        <f t="shared" ca="1" si="457"/>
        <v>5570000.0000000205</v>
      </c>
      <c r="BJ1069">
        <f t="shared" ca="1" si="458"/>
        <v>5570000.0000000205</v>
      </c>
      <c r="BK1069">
        <f t="shared" ca="1" si="459"/>
        <v>0</v>
      </c>
      <c r="BL1069">
        <f ca="1">IF(ROW()&lt;($C$7+1),"",IFERROR((分析データ!E1069-AVERAGE(OFFSET(分析データ!E$1,MAX(1,ROW()-$C$7),0,MIN($C$7,ROW()-1),1)))/STDEV(OFFSET(分析データ!E$1,MAX(1,ROW()-$C$7),0,MIN($C$7,ROW()-1),1)),0))</f>
        <v>0</v>
      </c>
      <c r="BM1069">
        <f t="shared" ca="1" si="460"/>
        <v>0</v>
      </c>
      <c r="BN1069" t="str">
        <f ca="1">IF(BM1069=1,IF(INDEX(分析データ!$A:$A,ROW()+$C$5)&lt;&gt;"",40000*SIGN(BL1069)*(分析データ!E1069-INDEX(分析データ!E:E,ROW()+$C$5)),""),"")</f>
        <v/>
      </c>
      <c r="BO1069">
        <f t="shared" ca="1" si="461"/>
        <v>2720000.0000000014</v>
      </c>
      <c r="BP1069">
        <f t="shared" ca="1" si="462"/>
        <v>4280000.0000000028</v>
      </c>
      <c r="BQ1069">
        <f t="shared" ca="1" si="463"/>
        <v>-1560000.0000000014</v>
      </c>
      <c r="BR1069">
        <f ca="1">IF(ROW()&lt;($C$7+1),"",IFERROR((分析データ!F1069-AVERAGE(OFFSET(分析データ!F$1,MAX(1,ROW()-$C$7),0,MIN($C$7,ROW()-1),1)))/STDEV(OFFSET(分析データ!F$1,MAX(1,ROW()-$C$7),0,MIN($C$7,ROW()-1),1)),0))</f>
        <v>0</v>
      </c>
      <c r="BS1069">
        <f t="shared" ca="1" si="464"/>
        <v>0</v>
      </c>
      <c r="BT1069" t="str">
        <f ca="1">IF(BS1069=1,IF(INDEX(分析データ!$A:$A,ROW()+$C$5)&lt;&gt;"",40000*SIGN(BR1069)*(分析データ!F1069-INDEX(分析データ!F:F,ROW()+$C$5)),""),"")</f>
        <v/>
      </c>
      <c r="BU1069">
        <f t="shared" ca="1" si="465"/>
        <v>19816800</v>
      </c>
      <c r="BV1069">
        <f t="shared" ca="1" si="466"/>
        <v>19816800</v>
      </c>
      <c r="BW1069">
        <f t="shared" ca="1" si="467"/>
        <v>0</v>
      </c>
      <c r="BX1069">
        <f ca="1">IF(ROW()&lt;($C$7+1),"",IFERROR((分析データ!G1069-AVERAGE(OFFSET(分析データ!G$1,MAX(1,ROW()-$C$7),0,MIN($C$7,ROW()-1),1)))/STDEV(OFFSET(分析データ!G$1,MAX(1,ROW()-$C$7),0,MIN($C$7,ROW()-1),1)),0))</f>
        <v>0</v>
      </c>
      <c r="BY1069">
        <f t="shared" ca="1" si="468"/>
        <v>0</v>
      </c>
      <c r="BZ1069" t="str">
        <f ca="1">IF(BY1069=1,IF(INDEX(分析データ!$A:$A,ROW()+$C$5)&lt;&gt;"",40000*SIGN(BX1069)*(分析データ!G1069-INDEX(分析データ!G:G,ROW()+$C$5)),""),"")</f>
        <v/>
      </c>
      <c r="CA1069">
        <f t="shared" ca="1" si="469"/>
        <v>-3515452.8662109179</v>
      </c>
      <c r="CB1069">
        <f t="shared" ca="1" si="470"/>
        <v>11327520.000000004</v>
      </c>
      <c r="CC1069">
        <f t="shared" ca="1" si="471"/>
        <v>-14842972.866210923</v>
      </c>
      <c r="CD1069">
        <f t="shared" ca="1" si="472"/>
        <v>0</v>
      </c>
      <c r="CE1069">
        <f t="shared" ca="1" si="473"/>
        <v>23090347.13378913</v>
      </c>
      <c r="CF1069">
        <f t="shared" ca="1" si="474"/>
        <v>23090347.13378913</v>
      </c>
      <c r="CG1069">
        <f t="shared" ca="1" si="475"/>
        <v>0</v>
      </c>
      <c r="CH1069" s="10" t="str">
        <f>分析データ!A1069</f>
        <v/>
      </c>
    </row>
    <row r="1070" spans="46:86">
      <c r="AT1070">
        <f ca="1">IF(ROW()&lt;($C$7+1),"",IFERROR((分析データ!B1070-AVERAGE(OFFSET(分析データ!B$1,MAX(1,ROW()-$C$7),0,MIN($C$7,ROW()-1),1)))/STDEV(OFFSET(分析データ!B$1,MAX(1,ROW()-$C$7),0,MIN($C$7,ROW()-1),1)),0))</f>
        <v>0</v>
      </c>
      <c r="AU1070">
        <f t="shared" ca="1" si="448"/>
        <v>0</v>
      </c>
      <c r="AV1070" t="str">
        <f ca="1">IF(AU1070=1,IF(INDEX(分析データ!$A:$A,ROW()+$C$5)&lt;&gt;"",80000*SIGN(AT1070)*(分析データ!B1070-INDEX(分析データ!B:B,ROW()+$C$5)),""),"")</f>
        <v/>
      </c>
      <c r="AW1070">
        <f t="shared" ca="1" si="449"/>
        <v>-1240000.0000000019</v>
      </c>
      <c r="AX1070">
        <f t="shared" ca="1" si="450"/>
        <v>0</v>
      </c>
      <c r="AY1070">
        <f t="shared" ca="1" si="451"/>
        <v>-1240000.0000000019</v>
      </c>
      <c r="AZ1070">
        <f ca="1">IF(ROW()&lt;($C$7+1),"",IFERROR((分析データ!C1070-AVERAGE(OFFSET(分析データ!C$1,MAX(1,ROW()-$C$7),0,MIN($C$7,ROW()-1),1)))/STDEV(OFFSET(分析データ!C$1,MAX(1,ROW()-$C$7),0,MIN($C$7,ROW()-1),1)),0))</f>
        <v>0</v>
      </c>
      <c r="BA1070">
        <f t="shared" ca="1" si="452"/>
        <v>0</v>
      </c>
      <c r="BB1070" t="str">
        <f ca="1">IF(BA1070=1,IF(INDEX(分析データ!$A:$A,ROW()+$C$5)&lt;&gt;"",60000*SIGN(AZ1070)*(分析データ!C1070-INDEX(分析データ!C:C,ROW()+$C$5)),""),"")</f>
        <v/>
      </c>
      <c r="BC1070">
        <f t="shared" ca="1" si="453"/>
        <v>-260999.9999999851</v>
      </c>
      <c r="BD1070">
        <f t="shared" ca="1" si="454"/>
        <v>3156000.0000000107</v>
      </c>
      <c r="BE1070">
        <f t="shared" ca="1" si="455"/>
        <v>-3416999.9999999958</v>
      </c>
      <c r="BF1070">
        <f ca="1">IF(ROW()&lt;($C$7+1),"",IFERROR((分析データ!D1070-AVERAGE(OFFSET(分析データ!D$1,MAX(1,ROW()-$C$7),0,MIN($C$7,ROW()-1),1)))/STDEV(OFFSET(分析データ!D$1,MAX(1,ROW()-$C$7),0,MIN($C$7,ROW()-1),1)),0))</f>
        <v>0</v>
      </c>
      <c r="BG1070">
        <f t="shared" ca="1" si="456"/>
        <v>0</v>
      </c>
      <c r="BH1070" t="str">
        <f ca="1">IF(BG1070=1,IF(INDEX(分析データ!$A:$A,ROW()+$C$5)&lt;&gt;"",50000*SIGN(BF1070)*(分析データ!D1070-INDEX(分析データ!D:D,ROW()+$C$5)),""),"")</f>
        <v/>
      </c>
      <c r="BI1070">
        <f t="shared" ca="1" si="457"/>
        <v>5570000.0000000205</v>
      </c>
      <c r="BJ1070">
        <f t="shared" ca="1" si="458"/>
        <v>5570000.0000000205</v>
      </c>
      <c r="BK1070">
        <f t="shared" ca="1" si="459"/>
        <v>0</v>
      </c>
      <c r="BL1070">
        <f ca="1">IF(ROW()&lt;($C$7+1),"",IFERROR((分析データ!E1070-AVERAGE(OFFSET(分析データ!E$1,MAX(1,ROW()-$C$7),0,MIN($C$7,ROW()-1),1)))/STDEV(OFFSET(分析データ!E$1,MAX(1,ROW()-$C$7),0,MIN($C$7,ROW()-1),1)),0))</f>
        <v>0</v>
      </c>
      <c r="BM1070">
        <f t="shared" ca="1" si="460"/>
        <v>0</v>
      </c>
      <c r="BN1070" t="str">
        <f ca="1">IF(BM1070=1,IF(INDEX(分析データ!$A:$A,ROW()+$C$5)&lt;&gt;"",40000*SIGN(BL1070)*(分析データ!E1070-INDEX(分析データ!E:E,ROW()+$C$5)),""),"")</f>
        <v/>
      </c>
      <c r="BO1070">
        <f t="shared" ca="1" si="461"/>
        <v>2720000.0000000014</v>
      </c>
      <c r="BP1070">
        <f t="shared" ca="1" si="462"/>
        <v>4280000.0000000028</v>
      </c>
      <c r="BQ1070">
        <f t="shared" ca="1" si="463"/>
        <v>-1560000.0000000014</v>
      </c>
      <c r="BR1070">
        <f ca="1">IF(ROW()&lt;($C$7+1),"",IFERROR((分析データ!F1070-AVERAGE(OFFSET(分析データ!F$1,MAX(1,ROW()-$C$7),0,MIN($C$7,ROW()-1),1)))/STDEV(OFFSET(分析データ!F$1,MAX(1,ROW()-$C$7),0,MIN($C$7,ROW()-1),1)),0))</f>
        <v>0</v>
      </c>
      <c r="BS1070">
        <f t="shared" ca="1" si="464"/>
        <v>0</v>
      </c>
      <c r="BT1070" t="str">
        <f ca="1">IF(BS1070=1,IF(INDEX(分析データ!$A:$A,ROW()+$C$5)&lt;&gt;"",40000*SIGN(BR1070)*(分析データ!F1070-INDEX(分析データ!F:F,ROW()+$C$5)),""),"")</f>
        <v/>
      </c>
      <c r="BU1070">
        <f t="shared" ca="1" si="465"/>
        <v>19816800</v>
      </c>
      <c r="BV1070">
        <f t="shared" ca="1" si="466"/>
        <v>19816800</v>
      </c>
      <c r="BW1070">
        <f t="shared" ca="1" si="467"/>
        <v>0</v>
      </c>
      <c r="BX1070">
        <f ca="1">IF(ROW()&lt;($C$7+1),"",IFERROR((分析データ!G1070-AVERAGE(OFFSET(分析データ!G$1,MAX(1,ROW()-$C$7),0,MIN($C$7,ROW()-1),1)))/STDEV(OFFSET(分析データ!G$1,MAX(1,ROW()-$C$7),0,MIN($C$7,ROW()-1),1)),0))</f>
        <v>0</v>
      </c>
      <c r="BY1070">
        <f t="shared" ca="1" si="468"/>
        <v>0</v>
      </c>
      <c r="BZ1070" t="str">
        <f ca="1">IF(BY1070=1,IF(INDEX(分析データ!$A:$A,ROW()+$C$5)&lt;&gt;"",40000*SIGN(BX1070)*(分析データ!G1070-INDEX(分析データ!G:G,ROW()+$C$5)),""),"")</f>
        <v/>
      </c>
      <c r="CA1070">
        <f t="shared" ca="1" si="469"/>
        <v>-3515452.8662109179</v>
      </c>
      <c r="CB1070">
        <f t="shared" ca="1" si="470"/>
        <v>11327520.000000004</v>
      </c>
      <c r="CC1070">
        <f t="shared" ca="1" si="471"/>
        <v>-14842972.866210923</v>
      </c>
      <c r="CD1070">
        <f t="shared" ca="1" si="472"/>
        <v>0</v>
      </c>
      <c r="CE1070">
        <f t="shared" ca="1" si="473"/>
        <v>23090347.13378913</v>
      </c>
      <c r="CF1070">
        <f t="shared" ca="1" si="474"/>
        <v>23090347.13378913</v>
      </c>
      <c r="CG1070">
        <f t="shared" ca="1" si="475"/>
        <v>0</v>
      </c>
      <c r="CH1070" s="10" t="str">
        <f>分析データ!A1070</f>
        <v/>
      </c>
    </row>
    <row r="1071" spans="46:86">
      <c r="AT1071">
        <f ca="1">IF(ROW()&lt;($C$7+1),"",IFERROR((分析データ!B1071-AVERAGE(OFFSET(分析データ!B$1,MAX(1,ROW()-$C$7),0,MIN($C$7,ROW()-1),1)))/STDEV(OFFSET(分析データ!B$1,MAX(1,ROW()-$C$7),0,MIN($C$7,ROW()-1),1)),0))</f>
        <v>0</v>
      </c>
      <c r="AU1071">
        <f t="shared" ca="1" si="448"/>
        <v>0</v>
      </c>
      <c r="AV1071" t="str">
        <f ca="1">IF(AU1071=1,IF(INDEX(分析データ!$A:$A,ROW()+$C$5)&lt;&gt;"",80000*SIGN(AT1071)*(分析データ!B1071-INDEX(分析データ!B:B,ROW()+$C$5)),""),"")</f>
        <v/>
      </c>
      <c r="AW1071">
        <f t="shared" ca="1" si="449"/>
        <v>-1240000.0000000019</v>
      </c>
      <c r="AX1071">
        <f t="shared" ca="1" si="450"/>
        <v>0</v>
      </c>
      <c r="AY1071">
        <f t="shared" ca="1" si="451"/>
        <v>-1240000.0000000019</v>
      </c>
      <c r="AZ1071">
        <f ca="1">IF(ROW()&lt;($C$7+1),"",IFERROR((分析データ!C1071-AVERAGE(OFFSET(分析データ!C$1,MAX(1,ROW()-$C$7),0,MIN($C$7,ROW()-1),1)))/STDEV(OFFSET(分析データ!C$1,MAX(1,ROW()-$C$7),0,MIN($C$7,ROW()-1),1)),0))</f>
        <v>0</v>
      </c>
      <c r="BA1071">
        <f t="shared" ca="1" si="452"/>
        <v>0</v>
      </c>
      <c r="BB1071" t="str">
        <f ca="1">IF(BA1071=1,IF(INDEX(分析データ!$A:$A,ROW()+$C$5)&lt;&gt;"",60000*SIGN(AZ1071)*(分析データ!C1071-INDEX(分析データ!C:C,ROW()+$C$5)),""),"")</f>
        <v/>
      </c>
      <c r="BC1071">
        <f t="shared" ca="1" si="453"/>
        <v>-260999.9999999851</v>
      </c>
      <c r="BD1071">
        <f t="shared" ca="1" si="454"/>
        <v>3156000.0000000107</v>
      </c>
      <c r="BE1071">
        <f t="shared" ca="1" si="455"/>
        <v>-3416999.9999999958</v>
      </c>
      <c r="BF1071">
        <f ca="1">IF(ROW()&lt;($C$7+1),"",IFERROR((分析データ!D1071-AVERAGE(OFFSET(分析データ!D$1,MAX(1,ROW()-$C$7),0,MIN($C$7,ROW()-1),1)))/STDEV(OFFSET(分析データ!D$1,MAX(1,ROW()-$C$7),0,MIN($C$7,ROW()-1),1)),0))</f>
        <v>0</v>
      </c>
      <c r="BG1071">
        <f t="shared" ca="1" si="456"/>
        <v>0</v>
      </c>
      <c r="BH1071" t="str">
        <f ca="1">IF(BG1071=1,IF(INDEX(分析データ!$A:$A,ROW()+$C$5)&lt;&gt;"",50000*SIGN(BF1071)*(分析データ!D1071-INDEX(分析データ!D:D,ROW()+$C$5)),""),"")</f>
        <v/>
      </c>
      <c r="BI1071">
        <f t="shared" ca="1" si="457"/>
        <v>5570000.0000000205</v>
      </c>
      <c r="BJ1071">
        <f t="shared" ca="1" si="458"/>
        <v>5570000.0000000205</v>
      </c>
      <c r="BK1071">
        <f t="shared" ca="1" si="459"/>
        <v>0</v>
      </c>
      <c r="BL1071">
        <f ca="1">IF(ROW()&lt;($C$7+1),"",IFERROR((分析データ!E1071-AVERAGE(OFFSET(分析データ!E$1,MAX(1,ROW()-$C$7),0,MIN($C$7,ROW()-1),1)))/STDEV(OFFSET(分析データ!E$1,MAX(1,ROW()-$C$7),0,MIN($C$7,ROW()-1),1)),0))</f>
        <v>0</v>
      </c>
      <c r="BM1071">
        <f t="shared" ca="1" si="460"/>
        <v>0</v>
      </c>
      <c r="BN1071" t="str">
        <f ca="1">IF(BM1071=1,IF(INDEX(分析データ!$A:$A,ROW()+$C$5)&lt;&gt;"",40000*SIGN(BL1071)*(分析データ!E1071-INDEX(分析データ!E:E,ROW()+$C$5)),""),"")</f>
        <v/>
      </c>
      <c r="BO1071">
        <f t="shared" ca="1" si="461"/>
        <v>2720000.0000000014</v>
      </c>
      <c r="BP1071">
        <f t="shared" ca="1" si="462"/>
        <v>4280000.0000000028</v>
      </c>
      <c r="BQ1071">
        <f t="shared" ca="1" si="463"/>
        <v>-1560000.0000000014</v>
      </c>
      <c r="BR1071">
        <f ca="1">IF(ROW()&lt;($C$7+1),"",IFERROR((分析データ!F1071-AVERAGE(OFFSET(分析データ!F$1,MAX(1,ROW()-$C$7),0,MIN($C$7,ROW()-1),1)))/STDEV(OFFSET(分析データ!F$1,MAX(1,ROW()-$C$7),0,MIN($C$7,ROW()-1),1)),0))</f>
        <v>0</v>
      </c>
      <c r="BS1071">
        <f t="shared" ca="1" si="464"/>
        <v>0</v>
      </c>
      <c r="BT1071" t="str">
        <f ca="1">IF(BS1071=1,IF(INDEX(分析データ!$A:$A,ROW()+$C$5)&lt;&gt;"",40000*SIGN(BR1071)*(分析データ!F1071-INDEX(分析データ!F:F,ROW()+$C$5)),""),"")</f>
        <v/>
      </c>
      <c r="BU1071">
        <f t="shared" ca="1" si="465"/>
        <v>19816800</v>
      </c>
      <c r="BV1071">
        <f t="shared" ca="1" si="466"/>
        <v>19816800</v>
      </c>
      <c r="BW1071">
        <f t="shared" ca="1" si="467"/>
        <v>0</v>
      </c>
      <c r="BX1071">
        <f ca="1">IF(ROW()&lt;($C$7+1),"",IFERROR((分析データ!G1071-AVERAGE(OFFSET(分析データ!G$1,MAX(1,ROW()-$C$7),0,MIN($C$7,ROW()-1),1)))/STDEV(OFFSET(分析データ!G$1,MAX(1,ROW()-$C$7),0,MIN($C$7,ROW()-1),1)),0))</f>
        <v>0</v>
      </c>
      <c r="BY1071">
        <f t="shared" ca="1" si="468"/>
        <v>0</v>
      </c>
      <c r="BZ1071" t="str">
        <f ca="1">IF(BY1071=1,IF(INDEX(分析データ!$A:$A,ROW()+$C$5)&lt;&gt;"",40000*SIGN(BX1071)*(分析データ!G1071-INDEX(分析データ!G:G,ROW()+$C$5)),""),"")</f>
        <v/>
      </c>
      <c r="CA1071">
        <f t="shared" ca="1" si="469"/>
        <v>-3515452.8662109179</v>
      </c>
      <c r="CB1071">
        <f t="shared" ca="1" si="470"/>
        <v>11327520.000000004</v>
      </c>
      <c r="CC1071">
        <f t="shared" ca="1" si="471"/>
        <v>-14842972.866210923</v>
      </c>
      <c r="CD1071">
        <f t="shared" ca="1" si="472"/>
        <v>0</v>
      </c>
      <c r="CE1071">
        <f t="shared" ca="1" si="473"/>
        <v>23090347.13378913</v>
      </c>
      <c r="CF1071">
        <f t="shared" ca="1" si="474"/>
        <v>23090347.13378913</v>
      </c>
      <c r="CG1071">
        <f t="shared" ca="1" si="475"/>
        <v>0</v>
      </c>
      <c r="CH1071" s="10" t="str">
        <f>分析データ!A1071</f>
        <v/>
      </c>
    </row>
    <row r="1072" spans="46:86">
      <c r="AT1072">
        <f ca="1">IF(ROW()&lt;($C$7+1),"",IFERROR((分析データ!B1072-AVERAGE(OFFSET(分析データ!B$1,MAX(1,ROW()-$C$7),0,MIN($C$7,ROW()-1),1)))/STDEV(OFFSET(分析データ!B$1,MAX(1,ROW()-$C$7),0,MIN($C$7,ROW()-1),1)),0))</f>
        <v>0</v>
      </c>
      <c r="AU1072">
        <f t="shared" ca="1" si="448"/>
        <v>0</v>
      </c>
      <c r="AV1072" t="str">
        <f ca="1">IF(AU1072=1,IF(INDEX(分析データ!$A:$A,ROW()+$C$5)&lt;&gt;"",80000*SIGN(AT1072)*(分析データ!B1072-INDEX(分析データ!B:B,ROW()+$C$5)),""),"")</f>
        <v/>
      </c>
      <c r="AW1072">
        <f t="shared" ca="1" si="449"/>
        <v>-1240000.0000000019</v>
      </c>
      <c r="AX1072">
        <f t="shared" ca="1" si="450"/>
        <v>0</v>
      </c>
      <c r="AY1072">
        <f t="shared" ca="1" si="451"/>
        <v>-1240000.0000000019</v>
      </c>
      <c r="AZ1072">
        <f ca="1">IF(ROW()&lt;($C$7+1),"",IFERROR((分析データ!C1072-AVERAGE(OFFSET(分析データ!C$1,MAX(1,ROW()-$C$7),0,MIN($C$7,ROW()-1),1)))/STDEV(OFFSET(分析データ!C$1,MAX(1,ROW()-$C$7),0,MIN($C$7,ROW()-1),1)),0))</f>
        <v>0</v>
      </c>
      <c r="BA1072">
        <f t="shared" ca="1" si="452"/>
        <v>0</v>
      </c>
      <c r="BB1072" t="str">
        <f ca="1">IF(BA1072=1,IF(INDEX(分析データ!$A:$A,ROW()+$C$5)&lt;&gt;"",60000*SIGN(AZ1072)*(分析データ!C1072-INDEX(分析データ!C:C,ROW()+$C$5)),""),"")</f>
        <v/>
      </c>
      <c r="BC1072">
        <f t="shared" ca="1" si="453"/>
        <v>-260999.9999999851</v>
      </c>
      <c r="BD1072">
        <f t="shared" ca="1" si="454"/>
        <v>3156000.0000000107</v>
      </c>
      <c r="BE1072">
        <f t="shared" ca="1" si="455"/>
        <v>-3416999.9999999958</v>
      </c>
      <c r="BF1072">
        <f ca="1">IF(ROW()&lt;($C$7+1),"",IFERROR((分析データ!D1072-AVERAGE(OFFSET(分析データ!D$1,MAX(1,ROW()-$C$7),0,MIN($C$7,ROW()-1),1)))/STDEV(OFFSET(分析データ!D$1,MAX(1,ROW()-$C$7),0,MIN($C$7,ROW()-1),1)),0))</f>
        <v>0</v>
      </c>
      <c r="BG1072">
        <f t="shared" ca="1" si="456"/>
        <v>0</v>
      </c>
      <c r="BH1072" t="str">
        <f ca="1">IF(BG1072=1,IF(INDEX(分析データ!$A:$A,ROW()+$C$5)&lt;&gt;"",50000*SIGN(BF1072)*(分析データ!D1072-INDEX(分析データ!D:D,ROW()+$C$5)),""),"")</f>
        <v/>
      </c>
      <c r="BI1072">
        <f t="shared" ca="1" si="457"/>
        <v>5570000.0000000205</v>
      </c>
      <c r="BJ1072">
        <f t="shared" ca="1" si="458"/>
        <v>5570000.0000000205</v>
      </c>
      <c r="BK1072">
        <f t="shared" ca="1" si="459"/>
        <v>0</v>
      </c>
      <c r="BL1072">
        <f ca="1">IF(ROW()&lt;($C$7+1),"",IFERROR((分析データ!E1072-AVERAGE(OFFSET(分析データ!E$1,MAX(1,ROW()-$C$7),0,MIN($C$7,ROW()-1),1)))/STDEV(OFFSET(分析データ!E$1,MAX(1,ROW()-$C$7),0,MIN($C$7,ROW()-1),1)),0))</f>
        <v>0</v>
      </c>
      <c r="BM1072">
        <f t="shared" ca="1" si="460"/>
        <v>0</v>
      </c>
      <c r="BN1072" t="str">
        <f ca="1">IF(BM1072=1,IF(INDEX(分析データ!$A:$A,ROW()+$C$5)&lt;&gt;"",40000*SIGN(BL1072)*(分析データ!E1072-INDEX(分析データ!E:E,ROW()+$C$5)),""),"")</f>
        <v/>
      </c>
      <c r="BO1072">
        <f t="shared" ca="1" si="461"/>
        <v>2720000.0000000014</v>
      </c>
      <c r="BP1072">
        <f t="shared" ca="1" si="462"/>
        <v>4280000.0000000028</v>
      </c>
      <c r="BQ1072">
        <f t="shared" ca="1" si="463"/>
        <v>-1560000.0000000014</v>
      </c>
      <c r="BR1072">
        <f ca="1">IF(ROW()&lt;($C$7+1),"",IFERROR((分析データ!F1072-AVERAGE(OFFSET(分析データ!F$1,MAX(1,ROW()-$C$7),0,MIN($C$7,ROW()-1),1)))/STDEV(OFFSET(分析データ!F$1,MAX(1,ROW()-$C$7),0,MIN($C$7,ROW()-1),1)),0))</f>
        <v>0</v>
      </c>
      <c r="BS1072">
        <f t="shared" ca="1" si="464"/>
        <v>0</v>
      </c>
      <c r="BT1072" t="str">
        <f ca="1">IF(BS1072=1,IF(INDEX(分析データ!$A:$A,ROW()+$C$5)&lt;&gt;"",40000*SIGN(BR1072)*(分析データ!F1072-INDEX(分析データ!F:F,ROW()+$C$5)),""),"")</f>
        <v/>
      </c>
      <c r="BU1072">
        <f t="shared" ca="1" si="465"/>
        <v>19816800</v>
      </c>
      <c r="BV1072">
        <f t="shared" ca="1" si="466"/>
        <v>19816800</v>
      </c>
      <c r="BW1072">
        <f t="shared" ca="1" si="467"/>
        <v>0</v>
      </c>
      <c r="BX1072">
        <f ca="1">IF(ROW()&lt;($C$7+1),"",IFERROR((分析データ!G1072-AVERAGE(OFFSET(分析データ!G$1,MAX(1,ROW()-$C$7),0,MIN($C$7,ROW()-1),1)))/STDEV(OFFSET(分析データ!G$1,MAX(1,ROW()-$C$7),0,MIN($C$7,ROW()-1),1)),0))</f>
        <v>0</v>
      </c>
      <c r="BY1072">
        <f t="shared" ca="1" si="468"/>
        <v>0</v>
      </c>
      <c r="BZ1072" t="str">
        <f ca="1">IF(BY1072=1,IF(INDEX(分析データ!$A:$A,ROW()+$C$5)&lt;&gt;"",40000*SIGN(BX1072)*(分析データ!G1072-INDEX(分析データ!G:G,ROW()+$C$5)),""),"")</f>
        <v/>
      </c>
      <c r="CA1072">
        <f t="shared" ca="1" si="469"/>
        <v>-3515452.8662109179</v>
      </c>
      <c r="CB1072">
        <f t="shared" ca="1" si="470"/>
        <v>11327520.000000004</v>
      </c>
      <c r="CC1072">
        <f t="shared" ca="1" si="471"/>
        <v>-14842972.866210923</v>
      </c>
      <c r="CD1072">
        <f t="shared" ca="1" si="472"/>
        <v>0</v>
      </c>
      <c r="CE1072">
        <f t="shared" ca="1" si="473"/>
        <v>23090347.13378913</v>
      </c>
      <c r="CF1072">
        <f t="shared" ca="1" si="474"/>
        <v>23090347.13378913</v>
      </c>
      <c r="CG1072">
        <f t="shared" ca="1" si="475"/>
        <v>0</v>
      </c>
      <c r="CH1072" s="10" t="str">
        <f>分析データ!A1072</f>
        <v/>
      </c>
    </row>
    <row r="1073" spans="46:86">
      <c r="AT1073">
        <f ca="1">IF(ROW()&lt;($C$7+1),"",IFERROR((分析データ!B1073-AVERAGE(OFFSET(分析データ!B$1,MAX(1,ROW()-$C$7),0,MIN($C$7,ROW()-1),1)))/STDEV(OFFSET(分析データ!B$1,MAX(1,ROW()-$C$7),0,MIN($C$7,ROW()-1),1)),0))</f>
        <v>0</v>
      </c>
      <c r="AU1073">
        <f t="shared" ca="1" si="448"/>
        <v>0</v>
      </c>
      <c r="AV1073" t="str">
        <f ca="1">IF(AU1073=1,IF(INDEX(分析データ!$A:$A,ROW()+$C$5)&lt;&gt;"",80000*SIGN(AT1073)*(分析データ!B1073-INDEX(分析データ!B:B,ROW()+$C$5)),""),"")</f>
        <v/>
      </c>
      <c r="AW1073">
        <f t="shared" ca="1" si="449"/>
        <v>-1240000.0000000019</v>
      </c>
      <c r="AX1073">
        <f t="shared" ca="1" si="450"/>
        <v>0</v>
      </c>
      <c r="AY1073">
        <f t="shared" ca="1" si="451"/>
        <v>-1240000.0000000019</v>
      </c>
      <c r="AZ1073">
        <f ca="1">IF(ROW()&lt;($C$7+1),"",IFERROR((分析データ!C1073-AVERAGE(OFFSET(分析データ!C$1,MAX(1,ROW()-$C$7),0,MIN($C$7,ROW()-1),1)))/STDEV(OFFSET(分析データ!C$1,MAX(1,ROW()-$C$7),0,MIN($C$7,ROW()-1),1)),0))</f>
        <v>0</v>
      </c>
      <c r="BA1073">
        <f t="shared" ca="1" si="452"/>
        <v>0</v>
      </c>
      <c r="BB1073" t="str">
        <f ca="1">IF(BA1073=1,IF(INDEX(分析データ!$A:$A,ROW()+$C$5)&lt;&gt;"",60000*SIGN(AZ1073)*(分析データ!C1073-INDEX(分析データ!C:C,ROW()+$C$5)),""),"")</f>
        <v/>
      </c>
      <c r="BC1073">
        <f t="shared" ca="1" si="453"/>
        <v>-260999.9999999851</v>
      </c>
      <c r="BD1073">
        <f t="shared" ca="1" si="454"/>
        <v>3156000.0000000107</v>
      </c>
      <c r="BE1073">
        <f t="shared" ca="1" si="455"/>
        <v>-3416999.9999999958</v>
      </c>
      <c r="BF1073">
        <f ca="1">IF(ROW()&lt;($C$7+1),"",IFERROR((分析データ!D1073-AVERAGE(OFFSET(分析データ!D$1,MAX(1,ROW()-$C$7),0,MIN($C$7,ROW()-1),1)))/STDEV(OFFSET(分析データ!D$1,MAX(1,ROW()-$C$7),0,MIN($C$7,ROW()-1),1)),0))</f>
        <v>0</v>
      </c>
      <c r="BG1073">
        <f t="shared" ca="1" si="456"/>
        <v>0</v>
      </c>
      <c r="BH1073" t="str">
        <f ca="1">IF(BG1073=1,IF(INDEX(分析データ!$A:$A,ROW()+$C$5)&lt;&gt;"",50000*SIGN(BF1073)*(分析データ!D1073-INDEX(分析データ!D:D,ROW()+$C$5)),""),"")</f>
        <v/>
      </c>
      <c r="BI1073">
        <f t="shared" ca="1" si="457"/>
        <v>5570000.0000000205</v>
      </c>
      <c r="BJ1073">
        <f t="shared" ca="1" si="458"/>
        <v>5570000.0000000205</v>
      </c>
      <c r="BK1073">
        <f t="shared" ca="1" si="459"/>
        <v>0</v>
      </c>
      <c r="BL1073">
        <f ca="1">IF(ROW()&lt;($C$7+1),"",IFERROR((分析データ!E1073-AVERAGE(OFFSET(分析データ!E$1,MAX(1,ROW()-$C$7),0,MIN($C$7,ROW()-1),1)))/STDEV(OFFSET(分析データ!E$1,MAX(1,ROW()-$C$7),0,MIN($C$7,ROW()-1),1)),0))</f>
        <v>0</v>
      </c>
      <c r="BM1073">
        <f t="shared" ca="1" si="460"/>
        <v>0</v>
      </c>
      <c r="BN1073" t="str">
        <f ca="1">IF(BM1073=1,IF(INDEX(分析データ!$A:$A,ROW()+$C$5)&lt;&gt;"",40000*SIGN(BL1073)*(分析データ!E1073-INDEX(分析データ!E:E,ROW()+$C$5)),""),"")</f>
        <v/>
      </c>
      <c r="BO1073">
        <f t="shared" ca="1" si="461"/>
        <v>2720000.0000000014</v>
      </c>
      <c r="BP1073">
        <f t="shared" ca="1" si="462"/>
        <v>4280000.0000000028</v>
      </c>
      <c r="BQ1073">
        <f t="shared" ca="1" si="463"/>
        <v>-1560000.0000000014</v>
      </c>
      <c r="BR1073">
        <f ca="1">IF(ROW()&lt;($C$7+1),"",IFERROR((分析データ!F1073-AVERAGE(OFFSET(分析データ!F$1,MAX(1,ROW()-$C$7),0,MIN($C$7,ROW()-1),1)))/STDEV(OFFSET(分析データ!F$1,MAX(1,ROW()-$C$7),0,MIN($C$7,ROW()-1),1)),0))</f>
        <v>0</v>
      </c>
      <c r="BS1073">
        <f t="shared" ca="1" si="464"/>
        <v>0</v>
      </c>
      <c r="BT1073" t="str">
        <f ca="1">IF(BS1073=1,IF(INDEX(分析データ!$A:$A,ROW()+$C$5)&lt;&gt;"",40000*SIGN(BR1073)*(分析データ!F1073-INDEX(分析データ!F:F,ROW()+$C$5)),""),"")</f>
        <v/>
      </c>
      <c r="BU1073">
        <f t="shared" ca="1" si="465"/>
        <v>19816800</v>
      </c>
      <c r="BV1073">
        <f t="shared" ca="1" si="466"/>
        <v>19816800</v>
      </c>
      <c r="BW1073">
        <f t="shared" ca="1" si="467"/>
        <v>0</v>
      </c>
      <c r="BX1073">
        <f ca="1">IF(ROW()&lt;($C$7+1),"",IFERROR((分析データ!G1073-AVERAGE(OFFSET(分析データ!G$1,MAX(1,ROW()-$C$7),0,MIN($C$7,ROW()-1),1)))/STDEV(OFFSET(分析データ!G$1,MAX(1,ROW()-$C$7),0,MIN($C$7,ROW()-1),1)),0))</f>
        <v>0</v>
      </c>
      <c r="BY1073">
        <f t="shared" ca="1" si="468"/>
        <v>0</v>
      </c>
      <c r="BZ1073" t="str">
        <f ca="1">IF(BY1073=1,IF(INDEX(分析データ!$A:$A,ROW()+$C$5)&lt;&gt;"",40000*SIGN(BX1073)*(分析データ!G1073-INDEX(分析データ!G:G,ROW()+$C$5)),""),"")</f>
        <v/>
      </c>
      <c r="CA1073">
        <f t="shared" ca="1" si="469"/>
        <v>-3515452.8662109179</v>
      </c>
      <c r="CB1073">
        <f t="shared" ca="1" si="470"/>
        <v>11327520.000000004</v>
      </c>
      <c r="CC1073">
        <f t="shared" ca="1" si="471"/>
        <v>-14842972.866210923</v>
      </c>
      <c r="CD1073">
        <f t="shared" ca="1" si="472"/>
        <v>0</v>
      </c>
      <c r="CE1073">
        <f t="shared" ca="1" si="473"/>
        <v>23090347.13378913</v>
      </c>
      <c r="CF1073">
        <f t="shared" ca="1" si="474"/>
        <v>23090347.13378913</v>
      </c>
      <c r="CG1073">
        <f t="shared" ca="1" si="475"/>
        <v>0</v>
      </c>
      <c r="CH1073" s="10" t="str">
        <f>分析データ!A1073</f>
        <v/>
      </c>
    </row>
    <row r="1074" spans="46:86">
      <c r="AT1074">
        <f ca="1">IF(ROW()&lt;($C$7+1),"",IFERROR((分析データ!B1074-AVERAGE(OFFSET(分析データ!B$1,MAX(1,ROW()-$C$7),0,MIN($C$7,ROW()-1),1)))/STDEV(OFFSET(分析データ!B$1,MAX(1,ROW()-$C$7),0,MIN($C$7,ROW()-1),1)),0))</f>
        <v>0</v>
      </c>
      <c r="AU1074">
        <f t="shared" ca="1" si="448"/>
        <v>0</v>
      </c>
      <c r="AV1074" t="str">
        <f ca="1">IF(AU1074=1,IF(INDEX(分析データ!$A:$A,ROW()+$C$5)&lt;&gt;"",80000*SIGN(AT1074)*(分析データ!B1074-INDEX(分析データ!B:B,ROW()+$C$5)),""),"")</f>
        <v/>
      </c>
      <c r="AW1074">
        <f t="shared" ca="1" si="449"/>
        <v>-1240000.0000000019</v>
      </c>
      <c r="AX1074">
        <f t="shared" ca="1" si="450"/>
        <v>0</v>
      </c>
      <c r="AY1074">
        <f t="shared" ca="1" si="451"/>
        <v>-1240000.0000000019</v>
      </c>
      <c r="AZ1074">
        <f ca="1">IF(ROW()&lt;($C$7+1),"",IFERROR((分析データ!C1074-AVERAGE(OFFSET(分析データ!C$1,MAX(1,ROW()-$C$7),0,MIN($C$7,ROW()-1),1)))/STDEV(OFFSET(分析データ!C$1,MAX(1,ROW()-$C$7),0,MIN($C$7,ROW()-1),1)),0))</f>
        <v>0</v>
      </c>
      <c r="BA1074">
        <f t="shared" ca="1" si="452"/>
        <v>0</v>
      </c>
      <c r="BB1074" t="str">
        <f ca="1">IF(BA1074=1,IF(INDEX(分析データ!$A:$A,ROW()+$C$5)&lt;&gt;"",60000*SIGN(AZ1074)*(分析データ!C1074-INDEX(分析データ!C:C,ROW()+$C$5)),""),"")</f>
        <v/>
      </c>
      <c r="BC1074">
        <f t="shared" ca="1" si="453"/>
        <v>-260999.9999999851</v>
      </c>
      <c r="BD1074">
        <f t="shared" ca="1" si="454"/>
        <v>3156000.0000000107</v>
      </c>
      <c r="BE1074">
        <f t="shared" ca="1" si="455"/>
        <v>-3416999.9999999958</v>
      </c>
      <c r="BF1074">
        <f ca="1">IF(ROW()&lt;($C$7+1),"",IFERROR((分析データ!D1074-AVERAGE(OFFSET(分析データ!D$1,MAX(1,ROW()-$C$7),0,MIN($C$7,ROW()-1),1)))/STDEV(OFFSET(分析データ!D$1,MAX(1,ROW()-$C$7),0,MIN($C$7,ROW()-1),1)),0))</f>
        <v>0</v>
      </c>
      <c r="BG1074">
        <f t="shared" ca="1" si="456"/>
        <v>0</v>
      </c>
      <c r="BH1074" t="str">
        <f ca="1">IF(BG1074=1,IF(INDEX(分析データ!$A:$A,ROW()+$C$5)&lt;&gt;"",50000*SIGN(BF1074)*(分析データ!D1074-INDEX(分析データ!D:D,ROW()+$C$5)),""),"")</f>
        <v/>
      </c>
      <c r="BI1074">
        <f t="shared" ca="1" si="457"/>
        <v>5570000.0000000205</v>
      </c>
      <c r="BJ1074">
        <f t="shared" ca="1" si="458"/>
        <v>5570000.0000000205</v>
      </c>
      <c r="BK1074">
        <f t="shared" ca="1" si="459"/>
        <v>0</v>
      </c>
      <c r="BL1074">
        <f ca="1">IF(ROW()&lt;($C$7+1),"",IFERROR((分析データ!E1074-AVERAGE(OFFSET(分析データ!E$1,MAX(1,ROW()-$C$7),0,MIN($C$7,ROW()-1),1)))/STDEV(OFFSET(分析データ!E$1,MAX(1,ROW()-$C$7),0,MIN($C$7,ROW()-1),1)),0))</f>
        <v>0</v>
      </c>
      <c r="BM1074">
        <f t="shared" ca="1" si="460"/>
        <v>0</v>
      </c>
      <c r="BN1074" t="str">
        <f ca="1">IF(BM1074=1,IF(INDEX(分析データ!$A:$A,ROW()+$C$5)&lt;&gt;"",40000*SIGN(BL1074)*(分析データ!E1074-INDEX(分析データ!E:E,ROW()+$C$5)),""),"")</f>
        <v/>
      </c>
      <c r="BO1074">
        <f t="shared" ca="1" si="461"/>
        <v>2720000.0000000014</v>
      </c>
      <c r="BP1074">
        <f t="shared" ca="1" si="462"/>
        <v>4280000.0000000028</v>
      </c>
      <c r="BQ1074">
        <f t="shared" ca="1" si="463"/>
        <v>-1560000.0000000014</v>
      </c>
      <c r="BR1074">
        <f ca="1">IF(ROW()&lt;($C$7+1),"",IFERROR((分析データ!F1074-AVERAGE(OFFSET(分析データ!F$1,MAX(1,ROW()-$C$7),0,MIN($C$7,ROW()-1),1)))/STDEV(OFFSET(分析データ!F$1,MAX(1,ROW()-$C$7),0,MIN($C$7,ROW()-1),1)),0))</f>
        <v>0</v>
      </c>
      <c r="BS1074">
        <f t="shared" ca="1" si="464"/>
        <v>0</v>
      </c>
      <c r="BT1074" t="str">
        <f ca="1">IF(BS1074=1,IF(INDEX(分析データ!$A:$A,ROW()+$C$5)&lt;&gt;"",40000*SIGN(BR1074)*(分析データ!F1074-INDEX(分析データ!F:F,ROW()+$C$5)),""),"")</f>
        <v/>
      </c>
      <c r="BU1074">
        <f t="shared" ca="1" si="465"/>
        <v>19816800</v>
      </c>
      <c r="BV1074">
        <f t="shared" ca="1" si="466"/>
        <v>19816800</v>
      </c>
      <c r="BW1074">
        <f t="shared" ca="1" si="467"/>
        <v>0</v>
      </c>
      <c r="BX1074">
        <f ca="1">IF(ROW()&lt;($C$7+1),"",IFERROR((分析データ!G1074-AVERAGE(OFFSET(分析データ!G$1,MAX(1,ROW()-$C$7),0,MIN($C$7,ROW()-1),1)))/STDEV(OFFSET(分析データ!G$1,MAX(1,ROW()-$C$7),0,MIN($C$7,ROW()-1),1)),0))</f>
        <v>0</v>
      </c>
      <c r="BY1074">
        <f t="shared" ca="1" si="468"/>
        <v>0</v>
      </c>
      <c r="BZ1074" t="str">
        <f ca="1">IF(BY1074=1,IF(INDEX(分析データ!$A:$A,ROW()+$C$5)&lt;&gt;"",40000*SIGN(BX1074)*(分析データ!G1074-INDEX(分析データ!G:G,ROW()+$C$5)),""),"")</f>
        <v/>
      </c>
      <c r="CA1074">
        <f t="shared" ca="1" si="469"/>
        <v>-3515452.8662109179</v>
      </c>
      <c r="CB1074">
        <f t="shared" ca="1" si="470"/>
        <v>11327520.000000004</v>
      </c>
      <c r="CC1074">
        <f t="shared" ca="1" si="471"/>
        <v>-14842972.866210923</v>
      </c>
      <c r="CD1074">
        <f t="shared" ca="1" si="472"/>
        <v>0</v>
      </c>
      <c r="CE1074">
        <f t="shared" ca="1" si="473"/>
        <v>23090347.13378913</v>
      </c>
      <c r="CF1074">
        <f t="shared" ca="1" si="474"/>
        <v>23090347.13378913</v>
      </c>
      <c r="CG1074">
        <f t="shared" ca="1" si="475"/>
        <v>0</v>
      </c>
      <c r="CH1074" s="10" t="str">
        <f>分析データ!A1074</f>
        <v/>
      </c>
    </row>
    <row r="1075" spans="46:86">
      <c r="AT1075">
        <f ca="1">IF(ROW()&lt;($C$7+1),"",IFERROR((分析データ!B1075-AVERAGE(OFFSET(分析データ!B$1,MAX(1,ROW()-$C$7),0,MIN($C$7,ROW()-1),1)))/STDEV(OFFSET(分析データ!B$1,MAX(1,ROW()-$C$7),0,MIN($C$7,ROW()-1),1)),0))</f>
        <v>0</v>
      </c>
      <c r="AU1075">
        <f t="shared" ca="1" si="448"/>
        <v>0</v>
      </c>
      <c r="AV1075" t="str">
        <f ca="1">IF(AU1075=1,IF(INDEX(分析データ!$A:$A,ROW()+$C$5)&lt;&gt;"",80000*SIGN(AT1075)*(分析データ!B1075-INDEX(分析データ!B:B,ROW()+$C$5)),""),"")</f>
        <v/>
      </c>
      <c r="AW1075">
        <f t="shared" ca="1" si="449"/>
        <v>-1240000.0000000019</v>
      </c>
      <c r="AX1075">
        <f t="shared" ca="1" si="450"/>
        <v>0</v>
      </c>
      <c r="AY1075">
        <f t="shared" ca="1" si="451"/>
        <v>-1240000.0000000019</v>
      </c>
      <c r="AZ1075">
        <f ca="1">IF(ROW()&lt;($C$7+1),"",IFERROR((分析データ!C1075-AVERAGE(OFFSET(分析データ!C$1,MAX(1,ROW()-$C$7),0,MIN($C$7,ROW()-1),1)))/STDEV(OFFSET(分析データ!C$1,MAX(1,ROW()-$C$7),0,MIN($C$7,ROW()-1),1)),0))</f>
        <v>0</v>
      </c>
      <c r="BA1075">
        <f t="shared" ca="1" si="452"/>
        <v>0</v>
      </c>
      <c r="BB1075" t="str">
        <f ca="1">IF(BA1075=1,IF(INDEX(分析データ!$A:$A,ROW()+$C$5)&lt;&gt;"",60000*SIGN(AZ1075)*(分析データ!C1075-INDEX(分析データ!C:C,ROW()+$C$5)),""),"")</f>
        <v/>
      </c>
      <c r="BC1075">
        <f t="shared" ca="1" si="453"/>
        <v>-260999.9999999851</v>
      </c>
      <c r="BD1075">
        <f t="shared" ca="1" si="454"/>
        <v>3156000.0000000107</v>
      </c>
      <c r="BE1075">
        <f t="shared" ca="1" si="455"/>
        <v>-3416999.9999999958</v>
      </c>
      <c r="BF1075">
        <f ca="1">IF(ROW()&lt;($C$7+1),"",IFERROR((分析データ!D1075-AVERAGE(OFFSET(分析データ!D$1,MAX(1,ROW()-$C$7),0,MIN($C$7,ROW()-1),1)))/STDEV(OFFSET(分析データ!D$1,MAX(1,ROW()-$C$7),0,MIN($C$7,ROW()-1),1)),0))</f>
        <v>0</v>
      </c>
      <c r="BG1075">
        <f t="shared" ca="1" si="456"/>
        <v>0</v>
      </c>
      <c r="BH1075" t="str">
        <f ca="1">IF(BG1075=1,IF(INDEX(分析データ!$A:$A,ROW()+$C$5)&lt;&gt;"",50000*SIGN(BF1075)*(分析データ!D1075-INDEX(分析データ!D:D,ROW()+$C$5)),""),"")</f>
        <v/>
      </c>
      <c r="BI1075">
        <f t="shared" ca="1" si="457"/>
        <v>5570000.0000000205</v>
      </c>
      <c r="BJ1075">
        <f t="shared" ca="1" si="458"/>
        <v>5570000.0000000205</v>
      </c>
      <c r="BK1075">
        <f t="shared" ca="1" si="459"/>
        <v>0</v>
      </c>
      <c r="BL1075">
        <f ca="1">IF(ROW()&lt;($C$7+1),"",IFERROR((分析データ!E1075-AVERAGE(OFFSET(分析データ!E$1,MAX(1,ROW()-$C$7),0,MIN($C$7,ROW()-1),1)))/STDEV(OFFSET(分析データ!E$1,MAX(1,ROW()-$C$7),0,MIN($C$7,ROW()-1),1)),0))</f>
        <v>0</v>
      </c>
      <c r="BM1075">
        <f t="shared" ca="1" si="460"/>
        <v>0</v>
      </c>
      <c r="BN1075" t="str">
        <f ca="1">IF(BM1075=1,IF(INDEX(分析データ!$A:$A,ROW()+$C$5)&lt;&gt;"",40000*SIGN(BL1075)*(分析データ!E1075-INDEX(分析データ!E:E,ROW()+$C$5)),""),"")</f>
        <v/>
      </c>
      <c r="BO1075">
        <f t="shared" ca="1" si="461"/>
        <v>2720000.0000000014</v>
      </c>
      <c r="BP1075">
        <f t="shared" ca="1" si="462"/>
        <v>4280000.0000000028</v>
      </c>
      <c r="BQ1075">
        <f t="shared" ca="1" si="463"/>
        <v>-1560000.0000000014</v>
      </c>
      <c r="BR1075">
        <f ca="1">IF(ROW()&lt;($C$7+1),"",IFERROR((分析データ!F1075-AVERAGE(OFFSET(分析データ!F$1,MAX(1,ROW()-$C$7),0,MIN($C$7,ROW()-1),1)))/STDEV(OFFSET(分析データ!F$1,MAX(1,ROW()-$C$7),0,MIN($C$7,ROW()-1),1)),0))</f>
        <v>0</v>
      </c>
      <c r="BS1075">
        <f t="shared" ca="1" si="464"/>
        <v>0</v>
      </c>
      <c r="BT1075" t="str">
        <f ca="1">IF(BS1075=1,IF(INDEX(分析データ!$A:$A,ROW()+$C$5)&lt;&gt;"",40000*SIGN(BR1075)*(分析データ!F1075-INDEX(分析データ!F:F,ROW()+$C$5)),""),"")</f>
        <v/>
      </c>
      <c r="BU1075">
        <f t="shared" ca="1" si="465"/>
        <v>19816800</v>
      </c>
      <c r="BV1075">
        <f t="shared" ca="1" si="466"/>
        <v>19816800</v>
      </c>
      <c r="BW1075">
        <f t="shared" ca="1" si="467"/>
        <v>0</v>
      </c>
      <c r="BX1075">
        <f ca="1">IF(ROW()&lt;($C$7+1),"",IFERROR((分析データ!G1075-AVERAGE(OFFSET(分析データ!G$1,MAX(1,ROW()-$C$7),0,MIN($C$7,ROW()-1),1)))/STDEV(OFFSET(分析データ!G$1,MAX(1,ROW()-$C$7),0,MIN($C$7,ROW()-1),1)),0))</f>
        <v>0</v>
      </c>
      <c r="BY1075">
        <f t="shared" ca="1" si="468"/>
        <v>0</v>
      </c>
      <c r="BZ1075" t="str">
        <f ca="1">IF(BY1075=1,IF(INDEX(分析データ!$A:$A,ROW()+$C$5)&lt;&gt;"",40000*SIGN(BX1075)*(分析データ!G1075-INDEX(分析データ!G:G,ROW()+$C$5)),""),"")</f>
        <v/>
      </c>
      <c r="CA1075">
        <f t="shared" ca="1" si="469"/>
        <v>-3515452.8662109179</v>
      </c>
      <c r="CB1075">
        <f t="shared" ca="1" si="470"/>
        <v>11327520.000000004</v>
      </c>
      <c r="CC1075">
        <f t="shared" ca="1" si="471"/>
        <v>-14842972.866210923</v>
      </c>
      <c r="CD1075">
        <f t="shared" ca="1" si="472"/>
        <v>0</v>
      </c>
      <c r="CE1075">
        <f t="shared" ca="1" si="473"/>
        <v>23090347.13378913</v>
      </c>
      <c r="CF1075">
        <f t="shared" ca="1" si="474"/>
        <v>23090347.13378913</v>
      </c>
      <c r="CG1075">
        <f t="shared" ca="1" si="475"/>
        <v>0</v>
      </c>
      <c r="CH1075" s="10" t="str">
        <f>分析データ!A1075</f>
        <v/>
      </c>
    </row>
    <row r="1076" spans="46:86">
      <c r="AT1076">
        <f ca="1">IF(ROW()&lt;($C$7+1),"",IFERROR((分析データ!B1076-AVERAGE(OFFSET(分析データ!B$1,MAX(1,ROW()-$C$7),0,MIN($C$7,ROW()-1),1)))/STDEV(OFFSET(分析データ!B$1,MAX(1,ROW()-$C$7),0,MIN($C$7,ROW()-1),1)),0))</f>
        <v>0</v>
      </c>
      <c r="AU1076">
        <f t="shared" ca="1" si="448"/>
        <v>0</v>
      </c>
      <c r="AV1076" t="str">
        <f ca="1">IF(AU1076=1,IF(INDEX(分析データ!$A:$A,ROW()+$C$5)&lt;&gt;"",80000*SIGN(AT1076)*(分析データ!B1076-INDEX(分析データ!B:B,ROW()+$C$5)),""),"")</f>
        <v/>
      </c>
      <c r="AW1076">
        <f t="shared" ca="1" si="449"/>
        <v>-1240000.0000000019</v>
      </c>
      <c r="AX1076">
        <f t="shared" ca="1" si="450"/>
        <v>0</v>
      </c>
      <c r="AY1076">
        <f t="shared" ca="1" si="451"/>
        <v>-1240000.0000000019</v>
      </c>
      <c r="AZ1076">
        <f ca="1">IF(ROW()&lt;($C$7+1),"",IFERROR((分析データ!C1076-AVERAGE(OFFSET(分析データ!C$1,MAX(1,ROW()-$C$7),0,MIN($C$7,ROW()-1),1)))/STDEV(OFFSET(分析データ!C$1,MAX(1,ROW()-$C$7),0,MIN($C$7,ROW()-1),1)),0))</f>
        <v>0</v>
      </c>
      <c r="BA1076">
        <f t="shared" ca="1" si="452"/>
        <v>0</v>
      </c>
      <c r="BB1076" t="str">
        <f ca="1">IF(BA1076=1,IF(INDEX(分析データ!$A:$A,ROW()+$C$5)&lt;&gt;"",60000*SIGN(AZ1076)*(分析データ!C1076-INDEX(分析データ!C:C,ROW()+$C$5)),""),"")</f>
        <v/>
      </c>
      <c r="BC1076">
        <f t="shared" ca="1" si="453"/>
        <v>-260999.9999999851</v>
      </c>
      <c r="BD1076">
        <f t="shared" ca="1" si="454"/>
        <v>3156000.0000000107</v>
      </c>
      <c r="BE1076">
        <f t="shared" ca="1" si="455"/>
        <v>-3416999.9999999958</v>
      </c>
      <c r="BF1076">
        <f ca="1">IF(ROW()&lt;($C$7+1),"",IFERROR((分析データ!D1076-AVERAGE(OFFSET(分析データ!D$1,MAX(1,ROW()-$C$7),0,MIN($C$7,ROW()-1),1)))/STDEV(OFFSET(分析データ!D$1,MAX(1,ROW()-$C$7),0,MIN($C$7,ROW()-1),1)),0))</f>
        <v>0</v>
      </c>
      <c r="BG1076">
        <f t="shared" ca="1" si="456"/>
        <v>0</v>
      </c>
      <c r="BH1076" t="str">
        <f ca="1">IF(BG1076=1,IF(INDEX(分析データ!$A:$A,ROW()+$C$5)&lt;&gt;"",50000*SIGN(BF1076)*(分析データ!D1076-INDEX(分析データ!D:D,ROW()+$C$5)),""),"")</f>
        <v/>
      </c>
      <c r="BI1076">
        <f t="shared" ca="1" si="457"/>
        <v>5570000.0000000205</v>
      </c>
      <c r="BJ1076">
        <f t="shared" ca="1" si="458"/>
        <v>5570000.0000000205</v>
      </c>
      <c r="BK1076">
        <f t="shared" ca="1" si="459"/>
        <v>0</v>
      </c>
      <c r="BL1076">
        <f ca="1">IF(ROW()&lt;($C$7+1),"",IFERROR((分析データ!E1076-AVERAGE(OFFSET(分析データ!E$1,MAX(1,ROW()-$C$7),0,MIN($C$7,ROW()-1),1)))/STDEV(OFFSET(分析データ!E$1,MAX(1,ROW()-$C$7),0,MIN($C$7,ROW()-1),1)),0))</f>
        <v>0</v>
      </c>
      <c r="BM1076">
        <f t="shared" ca="1" si="460"/>
        <v>0</v>
      </c>
      <c r="BN1076" t="str">
        <f ca="1">IF(BM1076=1,IF(INDEX(分析データ!$A:$A,ROW()+$C$5)&lt;&gt;"",40000*SIGN(BL1076)*(分析データ!E1076-INDEX(分析データ!E:E,ROW()+$C$5)),""),"")</f>
        <v/>
      </c>
      <c r="BO1076">
        <f t="shared" ca="1" si="461"/>
        <v>2720000.0000000014</v>
      </c>
      <c r="BP1076">
        <f t="shared" ca="1" si="462"/>
        <v>4280000.0000000028</v>
      </c>
      <c r="BQ1076">
        <f t="shared" ca="1" si="463"/>
        <v>-1560000.0000000014</v>
      </c>
      <c r="BR1076">
        <f ca="1">IF(ROW()&lt;($C$7+1),"",IFERROR((分析データ!F1076-AVERAGE(OFFSET(分析データ!F$1,MAX(1,ROW()-$C$7),0,MIN($C$7,ROW()-1),1)))/STDEV(OFFSET(分析データ!F$1,MAX(1,ROW()-$C$7),0,MIN($C$7,ROW()-1),1)),0))</f>
        <v>0</v>
      </c>
      <c r="BS1076">
        <f t="shared" ca="1" si="464"/>
        <v>0</v>
      </c>
      <c r="BT1076" t="str">
        <f ca="1">IF(BS1076=1,IF(INDEX(分析データ!$A:$A,ROW()+$C$5)&lt;&gt;"",40000*SIGN(BR1076)*(分析データ!F1076-INDEX(分析データ!F:F,ROW()+$C$5)),""),"")</f>
        <v/>
      </c>
      <c r="BU1076">
        <f t="shared" ca="1" si="465"/>
        <v>19816800</v>
      </c>
      <c r="BV1076">
        <f t="shared" ca="1" si="466"/>
        <v>19816800</v>
      </c>
      <c r="BW1076">
        <f t="shared" ca="1" si="467"/>
        <v>0</v>
      </c>
      <c r="BX1076">
        <f ca="1">IF(ROW()&lt;($C$7+1),"",IFERROR((分析データ!G1076-AVERAGE(OFFSET(分析データ!G$1,MAX(1,ROW()-$C$7),0,MIN($C$7,ROW()-1),1)))/STDEV(OFFSET(分析データ!G$1,MAX(1,ROW()-$C$7),0,MIN($C$7,ROW()-1),1)),0))</f>
        <v>0</v>
      </c>
      <c r="BY1076">
        <f t="shared" ca="1" si="468"/>
        <v>0</v>
      </c>
      <c r="BZ1076" t="str">
        <f ca="1">IF(BY1076=1,IF(INDEX(分析データ!$A:$A,ROW()+$C$5)&lt;&gt;"",40000*SIGN(BX1076)*(分析データ!G1076-INDEX(分析データ!G:G,ROW()+$C$5)),""),"")</f>
        <v/>
      </c>
      <c r="CA1076">
        <f t="shared" ca="1" si="469"/>
        <v>-3515452.8662109179</v>
      </c>
      <c r="CB1076">
        <f t="shared" ca="1" si="470"/>
        <v>11327520.000000004</v>
      </c>
      <c r="CC1076">
        <f t="shared" ca="1" si="471"/>
        <v>-14842972.866210923</v>
      </c>
      <c r="CD1076">
        <f t="shared" ca="1" si="472"/>
        <v>0</v>
      </c>
      <c r="CE1076">
        <f t="shared" ca="1" si="473"/>
        <v>23090347.13378913</v>
      </c>
      <c r="CF1076">
        <f t="shared" ca="1" si="474"/>
        <v>23090347.13378913</v>
      </c>
      <c r="CG1076">
        <f t="shared" ca="1" si="475"/>
        <v>0</v>
      </c>
      <c r="CH1076" s="10" t="str">
        <f>分析データ!A1076</f>
        <v/>
      </c>
    </row>
    <row r="1077" spans="46:86">
      <c r="AT1077">
        <f ca="1">IF(ROW()&lt;($C$7+1),"",IFERROR((分析データ!B1077-AVERAGE(OFFSET(分析データ!B$1,MAX(1,ROW()-$C$7),0,MIN($C$7,ROW()-1),1)))/STDEV(OFFSET(分析データ!B$1,MAX(1,ROW()-$C$7),0,MIN($C$7,ROW()-1),1)),0))</f>
        <v>0</v>
      </c>
      <c r="AU1077">
        <f t="shared" ca="1" si="448"/>
        <v>0</v>
      </c>
      <c r="AV1077" t="str">
        <f ca="1">IF(AU1077=1,IF(INDEX(分析データ!$A:$A,ROW()+$C$5)&lt;&gt;"",80000*SIGN(AT1077)*(分析データ!B1077-INDEX(分析データ!B:B,ROW()+$C$5)),""),"")</f>
        <v/>
      </c>
      <c r="AW1077">
        <f t="shared" ca="1" si="449"/>
        <v>-1240000.0000000019</v>
      </c>
      <c r="AX1077">
        <f t="shared" ca="1" si="450"/>
        <v>0</v>
      </c>
      <c r="AY1077">
        <f t="shared" ca="1" si="451"/>
        <v>-1240000.0000000019</v>
      </c>
      <c r="AZ1077">
        <f ca="1">IF(ROW()&lt;($C$7+1),"",IFERROR((分析データ!C1077-AVERAGE(OFFSET(分析データ!C$1,MAX(1,ROW()-$C$7),0,MIN($C$7,ROW()-1),1)))/STDEV(OFFSET(分析データ!C$1,MAX(1,ROW()-$C$7),0,MIN($C$7,ROW()-1),1)),0))</f>
        <v>0</v>
      </c>
      <c r="BA1077">
        <f t="shared" ca="1" si="452"/>
        <v>0</v>
      </c>
      <c r="BB1077" t="str">
        <f ca="1">IF(BA1077=1,IF(INDEX(分析データ!$A:$A,ROW()+$C$5)&lt;&gt;"",60000*SIGN(AZ1077)*(分析データ!C1077-INDEX(分析データ!C:C,ROW()+$C$5)),""),"")</f>
        <v/>
      </c>
      <c r="BC1077">
        <f t="shared" ca="1" si="453"/>
        <v>-260999.9999999851</v>
      </c>
      <c r="BD1077">
        <f t="shared" ca="1" si="454"/>
        <v>3156000.0000000107</v>
      </c>
      <c r="BE1077">
        <f t="shared" ca="1" si="455"/>
        <v>-3416999.9999999958</v>
      </c>
      <c r="BF1077">
        <f ca="1">IF(ROW()&lt;($C$7+1),"",IFERROR((分析データ!D1077-AVERAGE(OFFSET(分析データ!D$1,MAX(1,ROW()-$C$7),0,MIN($C$7,ROW()-1),1)))/STDEV(OFFSET(分析データ!D$1,MAX(1,ROW()-$C$7),0,MIN($C$7,ROW()-1),1)),0))</f>
        <v>0</v>
      </c>
      <c r="BG1077">
        <f t="shared" ca="1" si="456"/>
        <v>0</v>
      </c>
      <c r="BH1077" t="str">
        <f ca="1">IF(BG1077=1,IF(INDEX(分析データ!$A:$A,ROW()+$C$5)&lt;&gt;"",50000*SIGN(BF1077)*(分析データ!D1077-INDEX(分析データ!D:D,ROW()+$C$5)),""),"")</f>
        <v/>
      </c>
      <c r="BI1077">
        <f t="shared" ca="1" si="457"/>
        <v>5570000.0000000205</v>
      </c>
      <c r="BJ1077">
        <f t="shared" ca="1" si="458"/>
        <v>5570000.0000000205</v>
      </c>
      <c r="BK1077">
        <f t="shared" ca="1" si="459"/>
        <v>0</v>
      </c>
      <c r="BL1077">
        <f ca="1">IF(ROW()&lt;($C$7+1),"",IFERROR((分析データ!E1077-AVERAGE(OFFSET(分析データ!E$1,MAX(1,ROW()-$C$7),0,MIN($C$7,ROW()-1),1)))/STDEV(OFFSET(分析データ!E$1,MAX(1,ROW()-$C$7),0,MIN($C$7,ROW()-1),1)),0))</f>
        <v>0</v>
      </c>
      <c r="BM1077">
        <f t="shared" ca="1" si="460"/>
        <v>0</v>
      </c>
      <c r="BN1077" t="str">
        <f ca="1">IF(BM1077=1,IF(INDEX(分析データ!$A:$A,ROW()+$C$5)&lt;&gt;"",40000*SIGN(BL1077)*(分析データ!E1077-INDEX(分析データ!E:E,ROW()+$C$5)),""),"")</f>
        <v/>
      </c>
      <c r="BO1077">
        <f t="shared" ca="1" si="461"/>
        <v>2720000.0000000014</v>
      </c>
      <c r="BP1077">
        <f t="shared" ca="1" si="462"/>
        <v>4280000.0000000028</v>
      </c>
      <c r="BQ1077">
        <f t="shared" ca="1" si="463"/>
        <v>-1560000.0000000014</v>
      </c>
      <c r="BR1077">
        <f ca="1">IF(ROW()&lt;($C$7+1),"",IFERROR((分析データ!F1077-AVERAGE(OFFSET(分析データ!F$1,MAX(1,ROW()-$C$7),0,MIN($C$7,ROW()-1),1)))/STDEV(OFFSET(分析データ!F$1,MAX(1,ROW()-$C$7),0,MIN($C$7,ROW()-1),1)),0))</f>
        <v>0</v>
      </c>
      <c r="BS1077">
        <f t="shared" ca="1" si="464"/>
        <v>0</v>
      </c>
      <c r="BT1077" t="str">
        <f ca="1">IF(BS1077=1,IF(INDEX(分析データ!$A:$A,ROW()+$C$5)&lt;&gt;"",40000*SIGN(BR1077)*(分析データ!F1077-INDEX(分析データ!F:F,ROW()+$C$5)),""),"")</f>
        <v/>
      </c>
      <c r="BU1077">
        <f t="shared" ca="1" si="465"/>
        <v>19816800</v>
      </c>
      <c r="BV1077">
        <f t="shared" ca="1" si="466"/>
        <v>19816800</v>
      </c>
      <c r="BW1077">
        <f t="shared" ca="1" si="467"/>
        <v>0</v>
      </c>
      <c r="BX1077">
        <f ca="1">IF(ROW()&lt;($C$7+1),"",IFERROR((分析データ!G1077-AVERAGE(OFFSET(分析データ!G$1,MAX(1,ROW()-$C$7),0,MIN($C$7,ROW()-1),1)))/STDEV(OFFSET(分析データ!G$1,MAX(1,ROW()-$C$7),0,MIN($C$7,ROW()-1),1)),0))</f>
        <v>0</v>
      </c>
      <c r="BY1077">
        <f t="shared" ca="1" si="468"/>
        <v>0</v>
      </c>
      <c r="BZ1077" t="str">
        <f ca="1">IF(BY1077=1,IF(INDEX(分析データ!$A:$A,ROW()+$C$5)&lt;&gt;"",40000*SIGN(BX1077)*(分析データ!G1077-INDEX(分析データ!G:G,ROW()+$C$5)),""),"")</f>
        <v/>
      </c>
      <c r="CA1077">
        <f t="shared" ca="1" si="469"/>
        <v>-3515452.8662109179</v>
      </c>
      <c r="CB1077">
        <f t="shared" ca="1" si="470"/>
        <v>11327520.000000004</v>
      </c>
      <c r="CC1077">
        <f t="shared" ca="1" si="471"/>
        <v>-14842972.866210923</v>
      </c>
      <c r="CD1077">
        <f t="shared" ca="1" si="472"/>
        <v>0</v>
      </c>
      <c r="CE1077">
        <f t="shared" ca="1" si="473"/>
        <v>23090347.13378913</v>
      </c>
      <c r="CF1077">
        <f t="shared" ca="1" si="474"/>
        <v>23090347.13378913</v>
      </c>
      <c r="CG1077">
        <f t="shared" ca="1" si="475"/>
        <v>0</v>
      </c>
      <c r="CH1077" s="10" t="str">
        <f>分析データ!A1077</f>
        <v/>
      </c>
    </row>
    <row r="1078" spans="46:86">
      <c r="AT1078">
        <f ca="1">IF(ROW()&lt;($C$7+1),"",IFERROR((分析データ!B1078-AVERAGE(OFFSET(分析データ!B$1,MAX(1,ROW()-$C$7),0,MIN($C$7,ROW()-1),1)))/STDEV(OFFSET(分析データ!B$1,MAX(1,ROW()-$C$7),0,MIN($C$7,ROW()-1),1)),0))</f>
        <v>0</v>
      </c>
      <c r="AU1078">
        <f t="shared" ca="1" si="448"/>
        <v>0</v>
      </c>
      <c r="AV1078" t="str">
        <f ca="1">IF(AU1078=1,IF(INDEX(分析データ!$A:$A,ROW()+$C$5)&lt;&gt;"",80000*SIGN(AT1078)*(分析データ!B1078-INDEX(分析データ!B:B,ROW()+$C$5)),""),"")</f>
        <v/>
      </c>
      <c r="AW1078">
        <f t="shared" ca="1" si="449"/>
        <v>-1240000.0000000019</v>
      </c>
      <c r="AX1078">
        <f t="shared" ca="1" si="450"/>
        <v>0</v>
      </c>
      <c r="AY1078">
        <f t="shared" ca="1" si="451"/>
        <v>-1240000.0000000019</v>
      </c>
      <c r="AZ1078">
        <f ca="1">IF(ROW()&lt;($C$7+1),"",IFERROR((分析データ!C1078-AVERAGE(OFFSET(分析データ!C$1,MAX(1,ROW()-$C$7),0,MIN($C$7,ROW()-1),1)))/STDEV(OFFSET(分析データ!C$1,MAX(1,ROW()-$C$7),0,MIN($C$7,ROW()-1),1)),0))</f>
        <v>0</v>
      </c>
      <c r="BA1078">
        <f t="shared" ca="1" si="452"/>
        <v>0</v>
      </c>
      <c r="BB1078" t="str">
        <f ca="1">IF(BA1078=1,IF(INDEX(分析データ!$A:$A,ROW()+$C$5)&lt;&gt;"",60000*SIGN(AZ1078)*(分析データ!C1078-INDEX(分析データ!C:C,ROW()+$C$5)),""),"")</f>
        <v/>
      </c>
      <c r="BC1078">
        <f t="shared" ca="1" si="453"/>
        <v>-260999.9999999851</v>
      </c>
      <c r="BD1078">
        <f t="shared" ca="1" si="454"/>
        <v>3156000.0000000107</v>
      </c>
      <c r="BE1078">
        <f t="shared" ca="1" si="455"/>
        <v>-3416999.9999999958</v>
      </c>
      <c r="BF1078">
        <f ca="1">IF(ROW()&lt;($C$7+1),"",IFERROR((分析データ!D1078-AVERAGE(OFFSET(分析データ!D$1,MAX(1,ROW()-$C$7),0,MIN($C$7,ROW()-1),1)))/STDEV(OFFSET(分析データ!D$1,MAX(1,ROW()-$C$7),0,MIN($C$7,ROW()-1),1)),0))</f>
        <v>0</v>
      </c>
      <c r="BG1078">
        <f t="shared" ca="1" si="456"/>
        <v>0</v>
      </c>
      <c r="BH1078" t="str">
        <f ca="1">IF(BG1078=1,IF(INDEX(分析データ!$A:$A,ROW()+$C$5)&lt;&gt;"",50000*SIGN(BF1078)*(分析データ!D1078-INDEX(分析データ!D:D,ROW()+$C$5)),""),"")</f>
        <v/>
      </c>
      <c r="BI1078">
        <f t="shared" ca="1" si="457"/>
        <v>5570000.0000000205</v>
      </c>
      <c r="BJ1078">
        <f t="shared" ca="1" si="458"/>
        <v>5570000.0000000205</v>
      </c>
      <c r="BK1078">
        <f t="shared" ca="1" si="459"/>
        <v>0</v>
      </c>
      <c r="BL1078">
        <f ca="1">IF(ROW()&lt;($C$7+1),"",IFERROR((分析データ!E1078-AVERAGE(OFFSET(分析データ!E$1,MAX(1,ROW()-$C$7),0,MIN($C$7,ROW()-1),1)))/STDEV(OFFSET(分析データ!E$1,MAX(1,ROW()-$C$7),0,MIN($C$7,ROW()-1),1)),0))</f>
        <v>0</v>
      </c>
      <c r="BM1078">
        <f t="shared" ca="1" si="460"/>
        <v>0</v>
      </c>
      <c r="BN1078" t="str">
        <f ca="1">IF(BM1078=1,IF(INDEX(分析データ!$A:$A,ROW()+$C$5)&lt;&gt;"",40000*SIGN(BL1078)*(分析データ!E1078-INDEX(分析データ!E:E,ROW()+$C$5)),""),"")</f>
        <v/>
      </c>
      <c r="BO1078">
        <f t="shared" ca="1" si="461"/>
        <v>2720000.0000000014</v>
      </c>
      <c r="BP1078">
        <f t="shared" ca="1" si="462"/>
        <v>4280000.0000000028</v>
      </c>
      <c r="BQ1078">
        <f t="shared" ca="1" si="463"/>
        <v>-1560000.0000000014</v>
      </c>
      <c r="BR1078">
        <f ca="1">IF(ROW()&lt;($C$7+1),"",IFERROR((分析データ!F1078-AVERAGE(OFFSET(分析データ!F$1,MAX(1,ROW()-$C$7),0,MIN($C$7,ROW()-1),1)))/STDEV(OFFSET(分析データ!F$1,MAX(1,ROW()-$C$7),0,MIN($C$7,ROW()-1),1)),0))</f>
        <v>0</v>
      </c>
      <c r="BS1078">
        <f t="shared" ca="1" si="464"/>
        <v>0</v>
      </c>
      <c r="BT1078" t="str">
        <f ca="1">IF(BS1078=1,IF(INDEX(分析データ!$A:$A,ROW()+$C$5)&lt;&gt;"",40000*SIGN(BR1078)*(分析データ!F1078-INDEX(分析データ!F:F,ROW()+$C$5)),""),"")</f>
        <v/>
      </c>
      <c r="BU1078">
        <f t="shared" ca="1" si="465"/>
        <v>19816800</v>
      </c>
      <c r="BV1078">
        <f t="shared" ca="1" si="466"/>
        <v>19816800</v>
      </c>
      <c r="BW1078">
        <f t="shared" ca="1" si="467"/>
        <v>0</v>
      </c>
      <c r="BX1078">
        <f ca="1">IF(ROW()&lt;($C$7+1),"",IFERROR((分析データ!G1078-AVERAGE(OFFSET(分析データ!G$1,MAX(1,ROW()-$C$7),0,MIN($C$7,ROW()-1),1)))/STDEV(OFFSET(分析データ!G$1,MAX(1,ROW()-$C$7),0,MIN($C$7,ROW()-1),1)),0))</f>
        <v>0</v>
      </c>
      <c r="BY1078">
        <f t="shared" ca="1" si="468"/>
        <v>0</v>
      </c>
      <c r="BZ1078" t="str">
        <f ca="1">IF(BY1078=1,IF(INDEX(分析データ!$A:$A,ROW()+$C$5)&lt;&gt;"",40000*SIGN(BX1078)*(分析データ!G1078-INDEX(分析データ!G:G,ROW()+$C$5)),""),"")</f>
        <v/>
      </c>
      <c r="CA1078">
        <f t="shared" ca="1" si="469"/>
        <v>-3515452.8662109179</v>
      </c>
      <c r="CB1078">
        <f t="shared" ca="1" si="470"/>
        <v>11327520.000000004</v>
      </c>
      <c r="CC1078">
        <f t="shared" ca="1" si="471"/>
        <v>-14842972.866210923</v>
      </c>
      <c r="CD1078">
        <f t="shared" ca="1" si="472"/>
        <v>0</v>
      </c>
      <c r="CE1078">
        <f t="shared" ca="1" si="473"/>
        <v>23090347.13378913</v>
      </c>
      <c r="CF1078">
        <f t="shared" ca="1" si="474"/>
        <v>23090347.13378913</v>
      </c>
      <c r="CG1078">
        <f t="shared" ca="1" si="475"/>
        <v>0</v>
      </c>
      <c r="CH1078" s="10" t="str">
        <f>分析データ!A1078</f>
        <v/>
      </c>
    </row>
    <row r="1079" spans="46:86">
      <c r="AT1079">
        <f ca="1">IF(ROW()&lt;($C$7+1),"",IFERROR((分析データ!B1079-AVERAGE(OFFSET(分析データ!B$1,MAX(1,ROW()-$C$7),0,MIN($C$7,ROW()-1),1)))/STDEV(OFFSET(分析データ!B$1,MAX(1,ROW()-$C$7),0,MIN($C$7,ROW()-1),1)),0))</f>
        <v>0</v>
      </c>
      <c r="AU1079">
        <f t="shared" ca="1" si="448"/>
        <v>0</v>
      </c>
      <c r="AV1079" t="str">
        <f ca="1">IF(AU1079=1,IF(INDEX(分析データ!$A:$A,ROW()+$C$5)&lt;&gt;"",80000*SIGN(AT1079)*(分析データ!B1079-INDEX(分析データ!B:B,ROW()+$C$5)),""),"")</f>
        <v/>
      </c>
      <c r="AW1079">
        <f t="shared" ca="1" si="449"/>
        <v>-1240000.0000000019</v>
      </c>
      <c r="AX1079">
        <f t="shared" ca="1" si="450"/>
        <v>0</v>
      </c>
      <c r="AY1079">
        <f t="shared" ca="1" si="451"/>
        <v>-1240000.0000000019</v>
      </c>
      <c r="AZ1079">
        <f ca="1">IF(ROW()&lt;($C$7+1),"",IFERROR((分析データ!C1079-AVERAGE(OFFSET(分析データ!C$1,MAX(1,ROW()-$C$7),0,MIN($C$7,ROW()-1),1)))/STDEV(OFFSET(分析データ!C$1,MAX(1,ROW()-$C$7),0,MIN($C$7,ROW()-1),1)),0))</f>
        <v>0</v>
      </c>
      <c r="BA1079">
        <f t="shared" ca="1" si="452"/>
        <v>0</v>
      </c>
      <c r="BB1079" t="str">
        <f ca="1">IF(BA1079=1,IF(INDEX(分析データ!$A:$A,ROW()+$C$5)&lt;&gt;"",60000*SIGN(AZ1079)*(分析データ!C1079-INDEX(分析データ!C:C,ROW()+$C$5)),""),"")</f>
        <v/>
      </c>
      <c r="BC1079">
        <f t="shared" ca="1" si="453"/>
        <v>-260999.9999999851</v>
      </c>
      <c r="BD1079">
        <f t="shared" ca="1" si="454"/>
        <v>3156000.0000000107</v>
      </c>
      <c r="BE1079">
        <f t="shared" ca="1" si="455"/>
        <v>-3416999.9999999958</v>
      </c>
      <c r="BF1079">
        <f ca="1">IF(ROW()&lt;($C$7+1),"",IFERROR((分析データ!D1079-AVERAGE(OFFSET(分析データ!D$1,MAX(1,ROW()-$C$7),0,MIN($C$7,ROW()-1),1)))/STDEV(OFFSET(分析データ!D$1,MAX(1,ROW()-$C$7),0,MIN($C$7,ROW()-1),1)),0))</f>
        <v>0</v>
      </c>
      <c r="BG1079">
        <f t="shared" ca="1" si="456"/>
        <v>0</v>
      </c>
      <c r="BH1079" t="str">
        <f ca="1">IF(BG1079=1,IF(INDEX(分析データ!$A:$A,ROW()+$C$5)&lt;&gt;"",50000*SIGN(BF1079)*(分析データ!D1079-INDEX(分析データ!D:D,ROW()+$C$5)),""),"")</f>
        <v/>
      </c>
      <c r="BI1079">
        <f t="shared" ca="1" si="457"/>
        <v>5570000.0000000205</v>
      </c>
      <c r="BJ1079">
        <f t="shared" ca="1" si="458"/>
        <v>5570000.0000000205</v>
      </c>
      <c r="BK1079">
        <f t="shared" ca="1" si="459"/>
        <v>0</v>
      </c>
      <c r="BL1079">
        <f ca="1">IF(ROW()&lt;($C$7+1),"",IFERROR((分析データ!E1079-AVERAGE(OFFSET(分析データ!E$1,MAX(1,ROW()-$C$7),0,MIN($C$7,ROW()-1),1)))/STDEV(OFFSET(分析データ!E$1,MAX(1,ROW()-$C$7),0,MIN($C$7,ROW()-1),1)),0))</f>
        <v>0</v>
      </c>
      <c r="BM1079">
        <f t="shared" ca="1" si="460"/>
        <v>0</v>
      </c>
      <c r="BN1079" t="str">
        <f ca="1">IF(BM1079=1,IF(INDEX(分析データ!$A:$A,ROW()+$C$5)&lt;&gt;"",40000*SIGN(BL1079)*(分析データ!E1079-INDEX(分析データ!E:E,ROW()+$C$5)),""),"")</f>
        <v/>
      </c>
      <c r="BO1079">
        <f t="shared" ca="1" si="461"/>
        <v>2720000.0000000014</v>
      </c>
      <c r="BP1079">
        <f t="shared" ca="1" si="462"/>
        <v>4280000.0000000028</v>
      </c>
      <c r="BQ1079">
        <f t="shared" ca="1" si="463"/>
        <v>-1560000.0000000014</v>
      </c>
      <c r="BR1079">
        <f ca="1">IF(ROW()&lt;($C$7+1),"",IFERROR((分析データ!F1079-AVERAGE(OFFSET(分析データ!F$1,MAX(1,ROW()-$C$7),0,MIN($C$7,ROW()-1),1)))/STDEV(OFFSET(分析データ!F$1,MAX(1,ROW()-$C$7),0,MIN($C$7,ROW()-1),1)),0))</f>
        <v>0</v>
      </c>
      <c r="BS1079">
        <f t="shared" ca="1" si="464"/>
        <v>0</v>
      </c>
      <c r="BT1079" t="str">
        <f ca="1">IF(BS1079=1,IF(INDEX(分析データ!$A:$A,ROW()+$C$5)&lt;&gt;"",40000*SIGN(BR1079)*(分析データ!F1079-INDEX(分析データ!F:F,ROW()+$C$5)),""),"")</f>
        <v/>
      </c>
      <c r="BU1079">
        <f t="shared" ca="1" si="465"/>
        <v>19816800</v>
      </c>
      <c r="BV1079">
        <f t="shared" ca="1" si="466"/>
        <v>19816800</v>
      </c>
      <c r="BW1079">
        <f t="shared" ca="1" si="467"/>
        <v>0</v>
      </c>
      <c r="BX1079">
        <f ca="1">IF(ROW()&lt;($C$7+1),"",IFERROR((分析データ!G1079-AVERAGE(OFFSET(分析データ!G$1,MAX(1,ROW()-$C$7),0,MIN($C$7,ROW()-1),1)))/STDEV(OFFSET(分析データ!G$1,MAX(1,ROW()-$C$7),0,MIN($C$7,ROW()-1),1)),0))</f>
        <v>0</v>
      </c>
      <c r="BY1079">
        <f t="shared" ca="1" si="468"/>
        <v>0</v>
      </c>
      <c r="BZ1079" t="str">
        <f ca="1">IF(BY1079=1,IF(INDEX(分析データ!$A:$A,ROW()+$C$5)&lt;&gt;"",40000*SIGN(BX1079)*(分析データ!G1079-INDEX(分析データ!G:G,ROW()+$C$5)),""),"")</f>
        <v/>
      </c>
      <c r="CA1079">
        <f t="shared" ca="1" si="469"/>
        <v>-3515452.8662109179</v>
      </c>
      <c r="CB1079">
        <f t="shared" ca="1" si="470"/>
        <v>11327520.000000004</v>
      </c>
      <c r="CC1079">
        <f t="shared" ca="1" si="471"/>
        <v>-14842972.866210923</v>
      </c>
      <c r="CD1079">
        <f t="shared" ca="1" si="472"/>
        <v>0</v>
      </c>
      <c r="CE1079">
        <f t="shared" ca="1" si="473"/>
        <v>23090347.13378913</v>
      </c>
      <c r="CF1079">
        <f t="shared" ca="1" si="474"/>
        <v>23090347.13378913</v>
      </c>
      <c r="CG1079">
        <f t="shared" ca="1" si="475"/>
        <v>0</v>
      </c>
      <c r="CH1079" s="10" t="str">
        <f>分析データ!A1079</f>
        <v/>
      </c>
    </row>
    <row r="1080" spans="46:86">
      <c r="AT1080">
        <f ca="1">IF(ROW()&lt;($C$7+1),"",IFERROR((分析データ!B1080-AVERAGE(OFFSET(分析データ!B$1,MAX(1,ROW()-$C$7),0,MIN($C$7,ROW()-1),1)))/STDEV(OFFSET(分析データ!B$1,MAX(1,ROW()-$C$7),0,MIN($C$7,ROW()-1),1)),0))</f>
        <v>0</v>
      </c>
      <c r="AU1080">
        <f t="shared" ca="1" si="448"/>
        <v>0</v>
      </c>
      <c r="AV1080" t="str">
        <f ca="1">IF(AU1080=1,IF(INDEX(分析データ!$A:$A,ROW()+$C$5)&lt;&gt;"",80000*SIGN(AT1080)*(分析データ!B1080-INDEX(分析データ!B:B,ROW()+$C$5)),""),"")</f>
        <v/>
      </c>
      <c r="AW1080">
        <f t="shared" ca="1" si="449"/>
        <v>-1240000.0000000019</v>
      </c>
      <c r="AX1080">
        <f t="shared" ca="1" si="450"/>
        <v>0</v>
      </c>
      <c r="AY1080">
        <f t="shared" ca="1" si="451"/>
        <v>-1240000.0000000019</v>
      </c>
      <c r="AZ1080">
        <f ca="1">IF(ROW()&lt;($C$7+1),"",IFERROR((分析データ!C1080-AVERAGE(OFFSET(分析データ!C$1,MAX(1,ROW()-$C$7),0,MIN($C$7,ROW()-1),1)))/STDEV(OFFSET(分析データ!C$1,MAX(1,ROW()-$C$7),0,MIN($C$7,ROW()-1),1)),0))</f>
        <v>0</v>
      </c>
      <c r="BA1080">
        <f t="shared" ca="1" si="452"/>
        <v>0</v>
      </c>
      <c r="BB1080" t="str">
        <f ca="1">IF(BA1080=1,IF(INDEX(分析データ!$A:$A,ROW()+$C$5)&lt;&gt;"",60000*SIGN(AZ1080)*(分析データ!C1080-INDEX(分析データ!C:C,ROW()+$C$5)),""),"")</f>
        <v/>
      </c>
      <c r="BC1080">
        <f t="shared" ca="1" si="453"/>
        <v>-260999.9999999851</v>
      </c>
      <c r="BD1080">
        <f t="shared" ca="1" si="454"/>
        <v>3156000.0000000107</v>
      </c>
      <c r="BE1080">
        <f t="shared" ca="1" si="455"/>
        <v>-3416999.9999999958</v>
      </c>
      <c r="BF1080">
        <f ca="1">IF(ROW()&lt;($C$7+1),"",IFERROR((分析データ!D1080-AVERAGE(OFFSET(分析データ!D$1,MAX(1,ROW()-$C$7),0,MIN($C$7,ROW()-1),1)))/STDEV(OFFSET(分析データ!D$1,MAX(1,ROW()-$C$7),0,MIN($C$7,ROW()-1),1)),0))</f>
        <v>0</v>
      </c>
      <c r="BG1080">
        <f t="shared" ca="1" si="456"/>
        <v>0</v>
      </c>
      <c r="BH1080" t="str">
        <f ca="1">IF(BG1080=1,IF(INDEX(分析データ!$A:$A,ROW()+$C$5)&lt;&gt;"",50000*SIGN(BF1080)*(分析データ!D1080-INDEX(分析データ!D:D,ROW()+$C$5)),""),"")</f>
        <v/>
      </c>
      <c r="BI1080">
        <f t="shared" ca="1" si="457"/>
        <v>5570000.0000000205</v>
      </c>
      <c r="BJ1080">
        <f t="shared" ca="1" si="458"/>
        <v>5570000.0000000205</v>
      </c>
      <c r="BK1080">
        <f t="shared" ca="1" si="459"/>
        <v>0</v>
      </c>
      <c r="BL1080">
        <f ca="1">IF(ROW()&lt;($C$7+1),"",IFERROR((分析データ!E1080-AVERAGE(OFFSET(分析データ!E$1,MAX(1,ROW()-$C$7),0,MIN($C$7,ROW()-1),1)))/STDEV(OFFSET(分析データ!E$1,MAX(1,ROW()-$C$7),0,MIN($C$7,ROW()-1),1)),0))</f>
        <v>0</v>
      </c>
      <c r="BM1080">
        <f t="shared" ca="1" si="460"/>
        <v>0</v>
      </c>
      <c r="BN1080" t="str">
        <f ca="1">IF(BM1080=1,IF(INDEX(分析データ!$A:$A,ROW()+$C$5)&lt;&gt;"",40000*SIGN(BL1080)*(分析データ!E1080-INDEX(分析データ!E:E,ROW()+$C$5)),""),"")</f>
        <v/>
      </c>
      <c r="BO1080">
        <f t="shared" ca="1" si="461"/>
        <v>2720000.0000000014</v>
      </c>
      <c r="BP1080">
        <f t="shared" ca="1" si="462"/>
        <v>4280000.0000000028</v>
      </c>
      <c r="BQ1080">
        <f t="shared" ca="1" si="463"/>
        <v>-1560000.0000000014</v>
      </c>
      <c r="BR1080">
        <f ca="1">IF(ROW()&lt;($C$7+1),"",IFERROR((分析データ!F1080-AVERAGE(OFFSET(分析データ!F$1,MAX(1,ROW()-$C$7),0,MIN($C$7,ROW()-1),1)))/STDEV(OFFSET(分析データ!F$1,MAX(1,ROW()-$C$7),0,MIN($C$7,ROW()-1),1)),0))</f>
        <v>0</v>
      </c>
      <c r="BS1080">
        <f t="shared" ca="1" si="464"/>
        <v>0</v>
      </c>
      <c r="BT1080" t="str">
        <f ca="1">IF(BS1080=1,IF(INDEX(分析データ!$A:$A,ROW()+$C$5)&lt;&gt;"",40000*SIGN(BR1080)*(分析データ!F1080-INDEX(分析データ!F:F,ROW()+$C$5)),""),"")</f>
        <v/>
      </c>
      <c r="BU1080">
        <f t="shared" ca="1" si="465"/>
        <v>19816800</v>
      </c>
      <c r="BV1080">
        <f t="shared" ca="1" si="466"/>
        <v>19816800</v>
      </c>
      <c r="BW1080">
        <f t="shared" ca="1" si="467"/>
        <v>0</v>
      </c>
      <c r="BX1080">
        <f ca="1">IF(ROW()&lt;($C$7+1),"",IFERROR((分析データ!G1080-AVERAGE(OFFSET(分析データ!G$1,MAX(1,ROW()-$C$7),0,MIN($C$7,ROW()-1),1)))/STDEV(OFFSET(分析データ!G$1,MAX(1,ROW()-$C$7),0,MIN($C$7,ROW()-1),1)),0))</f>
        <v>0</v>
      </c>
      <c r="BY1080">
        <f t="shared" ca="1" si="468"/>
        <v>0</v>
      </c>
      <c r="BZ1080" t="str">
        <f ca="1">IF(BY1080=1,IF(INDEX(分析データ!$A:$A,ROW()+$C$5)&lt;&gt;"",40000*SIGN(BX1080)*(分析データ!G1080-INDEX(分析データ!G:G,ROW()+$C$5)),""),"")</f>
        <v/>
      </c>
      <c r="CA1080">
        <f t="shared" ca="1" si="469"/>
        <v>-3515452.8662109179</v>
      </c>
      <c r="CB1080">
        <f t="shared" ca="1" si="470"/>
        <v>11327520.000000004</v>
      </c>
      <c r="CC1080">
        <f t="shared" ca="1" si="471"/>
        <v>-14842972.866210923</v>
      </c>
      <c r="CD1080">
        <f t="shared" ca="1" si="472"/>
        <v>0</v>
      </c>
      <c r="CE1080">
        <f t="shared" ca="1" si="473"/>
        <v>23090347.13378913</v>
      </c>
      <c r="CF1080">
        <f t="shared" ca="1" si="474"/>
        <v>23090347.13378913</v>
      </c>
      <c r="CG1080">
        <f t="shared" ca="1" si="475"/>
        <v>0</v>
      </c>
      <c r="CH1080" s="10" t="str">
        <f>分析データ!A1080</f>
        <v/>
      </c>
    </row>
    <row r="1081" spans="46:86">
      <c r="AT1081">
        <f ca="1">IF(ROW()&lt;($C$7+1),"",IFERROR((分析データ!B1081-AVERAGE(OFFSET(分析データ!B$1,MAX(1,ROW()-$C$7),0,MIN($C$7,ROW()-1),1)))/STDEV(OFFSET(分析データ!B$1,MAX(1,ROW()-$C$7),0,MIN($C$7,ROW()-1),1)),0))</f>
        <v>0</v>
      </c>
      <c r="AU1081">
        <f t="shared" ca="1" si="448"/>
        <v>0</v>
      </c>
      <c r="AV1081" t="str">
        <f ca="1">IF(AU1081=1,IF(INDEX(分析データ!$A:$A,ROW()+$C$5)&lt;&gt;"",80000*SIGN(AT1081)*(分析データ!B1081-INDEX(分析データ!B:B,ROW()+$C$5)),""),"")</f>
        <v/>
      </c>
      <c r="AW1081">
        <f t="shared" ca="1" si="449"/>
        <v>-1240000.0000000019</v>
      </c>
      <c r="AX1081">
        <f t="shared" ca="1" si="450"/>
        <v>0</v>
      </c>
      <c r="AY1081">
        <f t="shared" ca="1" si="451"/>
        <v>-1240000.0000000019</v>
      </c>
      <c r="AZ1081">
        <f ca="1">IF(ROW()&lt;($C$7+1),"",IFERROR((分析データ!C1081-AVERAGE(OFFSET(分析データ!C$1,MAX(1,ROW()-$C$7),0,MIN($C$7,ROW()-1),1)))/STDEV(OFFSET(分析データ!C$1,MAX(1,ROW()-$C$7),0,MIN($C$7,ROW()-1),1)),0))</f>
        <v>0</v>
      </c>
      <c r="BA1081">
        <f t="shared" ca="1" si="452"/>
        <v>0</v>
      </c>
      <c r="BB1081" t="str">
        <f ca="1">IF(BA1081=1,IF(INDEX(分析データ!$A:$A,ROW()+$C$5)&lt;&gt;"",60000*SIGN(AZ1081)*(分析データ!C1081-INDEX(分析データ!C:C,ROW()+$C$5)),""),"")</f>
        <v/>
      </c>
      <c r="BC1081">
        <f t="shared" ca="1" si="453"/>
        <v>-260999.9999999851</v>
      </c>
      <c r="BD1081">
        <f t="shared" ca="1" si="454"/>
        <v>3156000.0000000107</v>
      </c>
      <c r="BE1081">
        <f t="shared" ca="1" si="455"/>
        <v>-3416999.9999999958</v>
      </c>
      <c r="BF1081">
        <f ca="1">IF(ROW()&lt;($C$7+1),"",IFERROR((分析データ!D1081-AVERAGE(OFFSET(分析データ!D$1,MAX(1,ROW()-$C$7),0,MIN($C$7,ROW()-1),1)))/STDEV(OFFSET(分析データ!D$1,MAX(1,ROW()-$C$7),0,MIN($C$7,ROW()-1),1)),0))</f>
        <v>0</v>
      </c>
      <c r="BG1081">
        <f t="shared" ca="1" si="456"/>
        <v>0</v>
      </c>
      <c r="BH1081" t="str">
        <f ca="1">IF(BG1081=1,IF(INDEX(分析データ!$A:$A,ROW()+$C$5)&lt;&gt;"",50000*SIGN(BF1081)*(分析データ!D1081-INDEX(分析データ!D:D,ROW()+$C$5)),""),"")</f>
        <v/>
      </c>
      <c r="BI1081">
        <f t="shared" ca="1" si="457"/>
        <v>5570000.0000000205</v>
      </c>
      <c r="BJ1081">
        <f t="shared" ca="1" si="458"/>
        <v>5570000.0000000205</v>
      </c>
      <c r="BK1081">
        <f t="shared" ca="1" si="459"/>
        <v>0</v>
      </c>
      <c r="BL1081">
        <f ca="1">IF(ROW()&lt;($C$7+1),"",IFERROR((分析データ!E1081-AVERAGE(OFFSET(分析データ!E$1,MAX(1,ROW()-$C$7),0,MIN($C$7,ROW()-1),1)))/STDEV(OFFSET(分析データ!E$1,MAX(1,ROW()-$C$7),0,MIN($C$7,ROW()-1),1)),0))</f>
        <v>0</v>
      </c>
      <c r="BM1081">
        <f t="shared" ca="1" si="460"/>
        <v>0</v>
      </c>
      <c r="BN1081" t="str">
        <f ca="1">IF(BM1081=1,IF(INDEX(分析データ!$A:$A,ROW()+$C$5)&lt;&gt;"",40000*SIGN(BL1081)*(分析データ!E1081-INDEX(分析データ!E:E,ROW()+$C$5)),""),"")</f>
        <v/>
      </c>
      <c r="BO1081">
        <f t="shared" ca="1" si="461"/>
        <v>2720000.0000000014</v>
      </c>
      <c r="BP1081">
        <f t="shared" ca="1" si="462"/>
        <v>4280000.0000000028</v>
      </c>
      <c r="BQ1081">
        <f t="shared" ca="1" si="463"/>
        <v>-1560000.0000000014</v>
      </c>
      <c r="BR1081">
        <f ca="1">IF(ROW()&lt;($C$7+1),"",IFERROR((分析データ!F1081-AVERAGE(OFFSET(分析データ!F$1,MAX(1,ROW()-$C$7),0,MIN($C$7,ROW()-1),1)))/STDEV(OFFSET(分析データ!F$1,MAX(1,ROW()-$C$7),0,MIN($C$7,ROW()-1),1)),0))</f>
        <v>0</v>
      </c>
      <c r="BS1081">
        <f t="shared" ca="1" si="464"/>
        <v>0</v>
      </c>
      <c r="BT1081" t="str">
        <f ca="1">IF(BS1081=1,IF(INDEX(分析データ!$A:$A,ROW()+$C$5)&lt;&gt;"",40000*SIGN(BR1081)*(分析データ!F1081-INDEX(分析データ!F:F,ROW()+$C$5)),""),"")</f>
        <v/>
      </c>
      <c r="BU1081">
        <f t="shared" ca="1" si="465"/>
        <v>19816800</v>
      </c>
      <c r="BV1081">
        <f t="shared" ca="1" si="466"/>
        <v>19816800</v>
      </c>
      <c r="BW1081">
        <f t="shared" ca="1" si="467"/>
        <v>0</v>
      </c>
      <c r="BX1081">
        <f ca="1">IF(ROW()&lt;($C$7+1),"",IFERROR((分析データ!G1081-AVERAGE(OFFSET(分析データ!G$1,MAX(1,ROW()-$C$7),0,MIN($C$7,ROW()-1),1)))/STDEV(OFFSET(分析データ!G$1,MAX(1,ROW()-$C$7),0,MIN($C$7,ROW()-1),1)),0))</f>
        <v>0</v>
      </c>
      <c r="BY1081">
        <f t="shared" ca="1" si="468"/>
        <v>0</v>
      </c>
      <c r="BZ1081" t="str">
        <f ca="1">IF(BY1081=1,IF(INDEX(分析データ!$A:$A,ROW()+$C$5)&lt;&gt;"",40000*SIGN(BX1081)*(分析データ!G1081-INDEX(分析データ!G:G,ROW()+$C$5)),""),"")</f>
        <v/>
      </c>
      <c r="CA1081">
        <f t="shared" ca="1" si="469"/>
        <v>-3515452.8662109179</v>
      </c>
      <c r="CB1081">
        <f t="shared" ca="1" si="470"/>
        <v>11327520.000000004</v>
      </c>
      <c r="CC1081">
        <f t="shared" ca="1" si="471"/>
        <v>-14842972.866210923</v>
      </c>
      <c r="CD1081">
        <f t="shared" ca="1" si="472"/>
        <v>0</v>
      </c>
      <c r="CE1081">
        <f t="shared" ca="1" si="473"/>
        <v>23090347.13378913</v>
      </c>
      <c r="CF1081">
        <f t="shared" ca="1" si="474"/>
        <v>23090347.13378913</v>
      </c>
      <c r="CG1081">
        <f t="shared" ca="1" si="475"/>
        <v>0</v>
      </c>
      <c r="CH1081" s="10" t="str">
        <f>分析データ!A1081</f>
        <v/>
      </c>
    </row>
    <row r="1082" spans="46:86">
      <c r="AT1082">
        <f ca="1">IF(ROW()&lt;($C$7+1),"",IFERROR((分析データ!B1082-AVERAGE(OFFSET(分析データ!B$1,MAX(1,ROW()-$C$7),0,MIN($C$7,ROW()-1),1)))/STDEV(OFFSET(分析データ!B$1,MAX(1,ROW()-$C$7),0,MIN($C$7,ROW()-1),1)),0))</f>
        <v>0</v>
      </c>
      <c r="AU1082">
        <f t="shared" ca="1" si="448"/>
        <v>0</v>
      </c>
      <c r="AV1082" t="str">
        <f ca="1">IF(AU1082=1,IF(INDEX(分析データ!$A:$A,ROW()+$C$5)&lt;&gt;"",80000*SIGN(AT1082)*(分析データ!B1082-INDEX(分析データ!B:B,ROW()+$C$5)),""),"")</f>
        <v/>
      </c>
      <c r="AW1082">
        <f t="shared" ca="1" si="449"/>
        <v>-1240000.0000000019</v>
      </c>
      <c r="AX1082">
        <f t="shared" ca="1" si="450"/>
        <v>0</v>
      </c>
      <c r="AY1082">
        <f t="shared" ca="1" si="451"/>
        <v>-1240000.0000000019</v>
      </c>
      <c r="AZ1082">
        <f ca="1">IF(ROW()&lt;($C$7+1),"",IFERROR((分析データ!C1082-AVERAGE(OFFSET(分析データ!C$1,MAX(1,ROW()-$C$7),0,MIN($C$7,ROW()-1),1)))/STDEV(OFFSET(分析データ!C$1,MAX(1,ROW()-$C$7),0,MIN($C$7,ROW()-1),1)),0))</f>
        <v>0</v>
      </c>
      <c r="BA1082">
        <f t="shared" ca="1" si="452"/>
        <v>0</v>
      </c>
      <c r="BB1082" t="str">
        <f ca="1">IF(BA1082=1,IF(INDEX(分析データ!$A:$A,ROW()+$C$5)&lt;&gt;"",60000*SIGN(AZ1082)*(分析データ!C1082-INDEX(分析データ!C:C,ROW()+$C$5)),""),"")</f>
        <v/>
      </c>
      <c r="BC1082">
        <f t="shared" ca="1" si="453"/>
        <v>-260999.9999999851</v>
      </c>
      <c r="BD1082">
        <f t="shared" ca="1" si="454"/>
        <v>3156000.0000000107</v>
      </c>
      <c r="BE1082">
        <f t="shared" ca="1" si="455"/>
        <v>-3416999.9999999958</v>
      </c>
      <c r="BF1082">
        <f ca="1">IF(ROW()&lt;($C$7+1),"",IFERROR((分析データ!D1082-AVERAGE(OFFSET(分析データ!D$1,MAX(1,ROW()-$C$7),0,MIN($C$7,ROW()-1),1)))/STDEV(OFFSET(分析データ!D$1,MAX(1,ROW()-$C$7),0,MIN($C$7,ROW()-1),1)),0))</f>
        <v>0</v>
      </c>
      <c r="BG1082">
        <f t="shared" ca="1" si="456"/>
        <v>0</v>
      </c>
      <c r="BH1082" t="str">
        <f ca="1">IF(BG1082=1,IF(INDEX(分析データ!$A:$A,ROW()+$C$5)&lt;&gt;"",50000*SIGN(BF1082)*(分析データ!D1082-INDEX(分析データ!D:D,ROW()+$C$5)),""),"")</f>
        <v/>
      </c>
      <c r="BI1082">
        <f t="shared" ca="1" si="457"/>
        <v>5570000.0000000205</v>
      </c>
      <c r="BJ1082">
        <f t="shared" ca="1" si="458"/>
        <v>5570000.0000000205</v>
      </c>
      <c r="BK1082">
        <f t="shared" ca="1" si="459"/>
        <v>0</v>
      </c>
      <c r="BL1082">
        <f ca="1">IF(ROW()&lt;($C$7+1),"",IFERROR((分析データ!E1082-AVERAGE(OFFSET(分析データ!E$1,MAX(1,ROW()-$C$7),0,MIN($C$7,ROW()-1),1)))/STDEV(OFFSET(分析データ!E$1,MAX(1,ROW()-$C$7),0,MIN($C$7,ROW()-1),1)),0))</f>
        <v>0</v>
      </c>
      <c r="BM1082">
        <f t="shared" ca="1" si="460"/>
        <v>0</v>
      </c>
      <c r="BN1082" t="str">
        <f ca="1">IF(BM1082=1,IF(INDEX(分析データ!$A:$A,ROW()+$C$5)&lt;&gt;"",40000*SIGN(BL1082)*(分析データ!E1082-INDEX(分析データ!E:E,ROW()+$C$5)),""),"")</f>
        <v/>
      </c>
      <c r="BO1082">
        <f t="shared" ca="1" si="461"/>
        <v>2720000.0000000014</v>
      </c>
      <c r="BP1082">
        <f t="shared" ca="1" si="462"/>
        <v>4280000.0000000028</v>
      </c>
      <c r="BQ1082">
        <f t="shared" ca="1" si="463"/>
        <v>-1560000.0000000014</v>
      </c>
      <c r="BR1082">
        <f ca="1">IF(ROW()&lt;($C$7+1),"",IFERROR((分析データ!F1082-AVERAGE(OFFSET(分析データ!F$1,MAX(1,ROW()-$C$7),0,MIN($C$7,ROW()-1),1)))/STDEV(OFFSET(分析データ!F$1,MAX(1,ROW()-$C$7),0,MIN($C$7,ROW()-1),1)),0))</f>
        <v>0</v>
      </c>
      <c r="BS1082">
        <f t="shared" ca="1" si="464"/>
        <v>0</v>
      </c>
      <c r="BT1082" t="str">
        <f ca="1">IF(BS1082=1,IF(INDEX(分析データ!$A:$A,ROW()+$C$5)&lt;&gt;"",40000*SIGN(BR1082)*(分析データ!F1082-INDEX(分析データ!F:F,ROW()+$C$5)),""),"")</f>
        <v/>
      </c>
      <c r="BU1082">
        <f t="shared" ca="1" si="465"/>
        <v>19816800</v>
      </c>
      <c r="BV1082">
        <f t="shared" ca="1" si="466"/>
        <v>19816800</v>
      </c>
      <c r="BW1082">
        <f t="shared" ca="1" si="467"/>
        <v>0</v>
      </c>
      <c r="BX1082">
        <f ca="1">IF(ROW()&lt;($C$7+1),"",IFERROR((分析データ!G1082-AVERAGE(OFFSET(分析データ!G$1,MAX(1,ROW()-$C$7),0,MIN($C$7,ROW()-1),1)))/STDEV(OFFSET(分析データ!G$1,MAX(1,ROW()-$C$7),0,MIN($C$7,ROW()-1),1)),0))</f>
        <v>0</v>
      </c>
      <c r="BY1082">
        <f t="shared" ca="1" si="468"/>
        <v>0</v>
      </c>
      <c r="BZ1082" t="str">
        <f ca="1">IF(BY1082=1,IF(INDEX(分析データ!$A:$A,ROW()+$C$5)&lt;&gt;"",40000*SIGN(BX1082)*(分析データ!G1082-INDEX(分析データ!G:G,ROW()+$C$5)),""),"")</f>
        <v/>
      </c>
      <c r="CA1082">
        <f t="shared" ca="1" si="469"/>
        <v>-3515452.8662109179</v>
      </c>
      <c r="CB1082">
        <f t="shared" ca="1" si="470"/>
        <v>11327520.000000004</v>
      </c>
      <c r="CC1082">
        <f t="shared" ca="1" si="471"/>
        <v>-14842972.866210923</v>
      </c>
      <c r="CD1082">
        <f t="shared" ca="1" si="472"/>
        <v>0</v>
      </c>
      <c r="CE1082">
        <f t="shared" ca="1" si="473"/>
        <v>23090347.13378913</v>
      </c>
      <c r="CF1082">
        <f t="shared" ca="1" si="474"/>
        <v>23090347.13378913</v>
      </c>
      <c r="CG1082">
        <f t="shared" ca="1" si="475"/>
        <v>0</v>
      </c>
      <c r="CH1082" s="10" t="str">
        <f>分析データ!A1082</f>
        <v/>
      </c>
    </row>
    <row r="1083" spans="46:86">
      <c r="AT1083">
        <f ca="1">IF(ROW()&lt;($C$7+1),"",IFERROR((分析データ!B1083-AVERAGE(OFFSET(分析データ!B$1,MAX(1,ROW()-$C$7),0,MIN($C$7,ROW()-1),1)))/STDEV(OFFSET(分析データ!B$1,MAX(1,ROW()-$C$7),0,MIN($C$7,ROW()-1),1)),0))</f>
        <v>0</v>
      </c>
      <c r="AU1083">
        <f t="shared" ca="1" si="448"/>
        <v>0</v>
      </c>
      <c r="AV1083" t="str">
        <f ca="1">IF(AU1083=1,IF(INDEX(分析データ!$A:$A,ROW()+$C$5)&lt;&gt;"",80000*SIGN(AT1083)*(分析データ!B1083-INDEX(分析データ!B:B,ROW()+$C$5)),""),"")</f>
        <v/>
      </c>
      <c r="AW1083">
        <f t="shared" ca="1" si="449"/>
        <v>-1240000.0000000019</v>
      </c>
      <c r="AX1083">
        <f t="shared" ca="1" si="450"/>
        <v>0</v>
      </c>
      <c r="AY1083">
        <f t="shared" ca="1" si="451"/>
        <v>-1240000.0000000019</v>
      </c>
      <c r="AZ1083">
        <f ca="1">IF(ROW()&lt;($C$7+1),"",IFERROR((分析データ!C1083-AVERAGE(OFFSET(分析データ!C$1,MAX(1,ROW()-$C$7),0,MIN($C$7,ROW()-1),1)))/STDEV(OFFSET(分析データ!C$1,MAX(1,ROW()-$C$7),0,MIN($C$7,ROW()-1),1)),0))</f>
        <v>0</v>
      </c>
      <c r="BA1083">
        <f t="shared" ca="1" si="452"/>
        <v>0</v>
      </c>
      <c r="BB1083" t="str">
        <f ca="1">IF(BA1083=1,IF(INDEX(分析データ!$A:$A,ROW()+$C$5)&lt;&gt;"",60000*SIGN(AZ1083)*(分析データ!C1083-INDEX(分析データ!C:C,ROW()+$C$5)),""),"")</f>
        <v/>
      </c>
      <c r="BC1083">
        <f t="shared" ca="1" si="453"/>
        <v>-260999.9999999851</v>
      </c>
      <c r="BD1083">
        <f t="shared" ca="1" si="454"/>
        <v>3156000.0000000107</v>
      </c>
      <c r="BE1083">
        <f t="shared" ca="1" si="455"/>
        <v>-3416999.9999999958</v>
      </c>
      <c r="BF1083">
        <f ca="1">IF(ROW()&lt;($C$7+1),"",IFERROR((分析データ!D1083-AVERAGE(OFFSET(分析データ!D$1,MAX(1,ROW()-$C$7),0,MIN($C$7,ROW()-1),1)))/STDEV(OFFSET(分析データ!D$1,MAX(1,ROW()-$C$7),0,MIN($C$7,ROW()-1),1)),0))</f>
        <v>0</v>
      </c>
      <c r="BG1083">
        <f t="shared" ca="1" si="456"/>
        <v>0</v>
      </c>
      <c r="BH1083" t="str">
        <f ca="1">IF(BG1083=1,IF(INDEX(分析データ!$A:$A,ROW()+$C$5)&lt;&gt;"",50000*SIGN(BF1083)*(分析データ!D1083-INDEX(分析データ!D:D,ROW()+$C$5)),""),"")</f>
        <v/>
      </c>
      <c r="BI1083">
        <f t="shared" ca="1" si="457"/>
        <v>5570000.0000000205</v>
      </c>
      <c r="BJ1083">
        <f t="shared" ca="1" si="458"/>
        <v>5570000.0000000205</v>
      </c>
      <c r="BK1083">
        <f t="shared" ca="1" si="459"/>
        <v>0</v>
      </c>
      <c r="BL1083">
        <f ca="1">IF(ROW()&lt;($C$7+1),"",IFERROR((分析データ!E1083-AVERAGE(OFFSET(分析データ!E$1,MAX(1,ROW()-$C$7),0,MIN($C$7,ROW()-1),1)))/STDEV(OFFSET(分析データ!E$1,MAX(1,ROW()-$C$7),0,MIN($C$7,ROW()-1),1)),0))</f>
        <v>0</v>
      </c>
      <c r="BM1083">
        <f t="shared" ca="1" si="460"/>
        <v>0</v>
      </c>
      <c r="BN1083" t="str">
        <f ca="1">IF(BM1083=1,IF(INDEX(分析データ!$A:$A,ROW()+$C$5)&lt;&gt;"",40000*SIGN(BL1083)*(分析データ!E1083-INDEX(分析データ!E:E,ROW()+$C$5)),""),"")</f>
        <v/>
      </c>
      <c r="BO1083">
        <f t="shared" ca="1" si="461"/>
        <v>2720000.0000000014</v>
      </c>
      <c r="BP1083">
        <f t="shared" ca="1" si="462"/>
        <v>4280000.0000000028</v>
      </c>
      <c r="BQ1083">
        <f t="shared" ca="1" si="463"/>
        <v>-1560000.0000000014</v>
      </c>
      <c r="BR1083">
        <f ca="1">IF(ROW()&lt;($C$7+1),"",IFERROR((分析データ!F1083-AVERAGE(OFFSET(分析データ!F$1,MAX(1,ROW()-$C$7),0,MIN($C$7,ROW()-1),1)))/STDEV(OFFSET(分析データ!F$1,MAX(1,ROW()-$C$7),0,MIN($C$7,ROW()-1),1)),0))</f>
        <v>0</v>
      </c>
      <c r="BS1083">
        <f t="shared" ca="1" si="464"/>
        <v>0</v>
      </c>
      <c r="BT1083" t="str">
        <f ca="1">IF(BS1083=1,IF(INDEX(分析データ!$A:$A,ROW()+$C$5)&lt;&gt;"",40000*SIGN(BR1083)*(分析データ!F1083-INDEX(分析データ!F:F,ROW()+$C$5)),""),"")</f>
        <v/>
      </c>
      <c r="BU1083">
        <f t="shared" ca="1" si="465"/>
        <v>19816800</v>
      </c>
      <c r="BV1083">
        <f t="shared" ca="1" si="466"/>
        <v>19816800</v>
      </c>
      <c r="BW1083">
        <f t="shared" ca="1" si="467"/>
        <v>0</v>
      </c>
      <c r="BX1083">
        <f ca="1">IF(ROW()&lt;($C$7+1),"",IFERROR((分析データ!G1083-AVERAGE(OFFSET(分析データ!G$1,MAX(1,ROW()-$C$7),0,MIN($C$7,ROW()-1),1)))/STDEV(OFFSET(分析データ!G$1,MAX(1,ROW()-$C$7),0,MIN($C$7,ROW()-1),1)),0))</f>
        <v>0</v>
      </c>
      <c r="BY1083">
        <f t="shared" ca="1" si="468"/>
        <v>0</v>
      </c>
      <c r="BZ1083" t="str">
        <f ca="1">IF(BY1083=1,IF(INDEX(分析データ!$A:$A,ROW()+$C$5)&lt;&gt;"",40000*SIGN(BX1083)*(分析データ!G1083-INDEX(分析データ!G:G,ROW()+$C$5)),""),"")</f>
        <v/>
      </c>
      <c r="CA1083">
        <f t="shared" ca="1" si="469"/>
        <v>-3515452.8662109179</v>
      </c>
      <c r="CB1083">
        <f t="shared" ca="1" si="470"/>
        <v>11327520.000000004</v>
      </c>
      <c r="CC1083">
        <f t="shared" ca="1" si="471"/>
        <v>-14842972.866210923</v>
      </c>
      <c r="CD1083">
        <f t="shared" ca="1" si="472"/>
        <v>0</v>
      </c>
      <c r="CE1083">
        <f t="shared" ca="1" si="473"/>
        <v>23090347.13378913</v>
      </c>
      <c r="CF1083">
        <f t="shared" ca="1" si="474"/>
        <v>23090347.13378913</v>
      </c>
      <c r="CG1083">
        <f t="shared" ca="1" si="475"/>
        <v>0</v>
      </c>
      <c r="CH1083" s="10" t="str">
        <f>分析データ!A1083</f>
        <v/>
      </c>
    </row>
    <row r="1084" spans="46:86">
      <c r="AT1084">
        <f ca="1">IF(ROW()&lt;($C$7+1),"",IFERROR((分析データ!B1084-AVERAGE(OFFSET(分析データ!B$1,MAX(1,ROW()-$C$7),0,MIN($C$7,ROW()-1),1)))/STDEV(OFFSET(分析データ!B$1,MAX(1,ROW()-$C$7),0,MIN($C$7,ROW()-1),1)),0))</f>
        <v>0</v>
      </c>
      <c r="AU1084">
        <f t="shared" ca="1" si="448"/>
        <v>0</v>
      </c>
      <c r="AV1084" t="str">
        <f ca="1">IF(AU1084=1,IF(INDEX(分析データ!$A:$A,ROW()+$C$5)&lt;&gt;"",80000*SIGN(AT1084)*(分析データ!B1084-INDEX(分析データ!B:B,ROW()+$C$5)),""),"")</f>
        <v/>
      </c>
      <c r="AW1084">
        <f t="shared" ca="1" si="449"/>
        <v>-1240000.0000000019</v>
      </c>
      <c r="AX1084">
        <f t="shared" ca="1" si="450"/>
        <v>0</v>
      </c>
      <c r="AY1084">
        <f t="shared" ca="1" si="451"/>
        <v>-1240000.0000000019</v>
      </c>
      <c r="AZ1084">
        <f ca="1">IF(ROW()&lt;($C$7+1),"",IFERROR((分析データ!C1084-AVERAGE(OFFSET(分析データ!C$1,MAX(1,ROW()-$C$7),0,MIN($C$7,ROW()-1),1)))/STDEV(OFFSET(分析データ!C$1,MAX(1,ROW()-$C$7),0,MIN($C$7,ROW()-1),1)),0))</f>
        <v>0</v>
      </c>
      <c r="BA1084">
        <f t="shared" ca="1" si="452"/>
        <v>0</v>
      </c>
      <c r="BB1084" t="str">
        <f ca="1">IF(BA1084=1,IF(INDEX(分析データ!$A:$A,ROW()+$C$5)&lt;&gt;"",60000*SIGN(AZ1084)*(分析データ!C1084-INDEX(分析データ!C:C,ROW()+$C$5)),""),"")</f>
        <v/>
      </c>
      <c r="BC1084">
        <f t="shared" ca="1" si="453"/>
        <v>-260999.9999999851</v>
      </c>
      <c r="BD1084">
        <f t="shared" ca="1" si="454"/>
        <v>3156000.0000000107</v>
      </c>
      <c r="BE1084">
        <f t="shared" ca="1" si="455"/>
        <v>-3416999.9999999958</v>
      </c>
      <c r="BF1084">
        <f ca="1">IF(ROW()&lt;($C$7+1),"",IFERROR((分析データ!D1084-AVERAGE(OFFSET(分析データ!D$1,MAX(1,ROW()-$C$7),0,MIN($C$7,ROW()-1),1)))/STDEV(OFFSET(分析データ!D$1,MAX(1,ROW()-$C$7),0,MIN($C$7,ROW()-1),1)),0))</f>
        <v>0</v>
      </c>
      <c r="BG1084">
        <f t="shared" ca="1" si="456"/>
        <v>0</v>
      </c>
      <c r="BH1084" t="str">
        <f ca="1">IF(BG1084=1,IF(INDEX(分析データ!$A:$A,ROW()+$C$5)&lt;&gt;"",50000*SIGN(BF1084)*(分析データ!D1084-INDEX(分析データ!D:D,ROW()+$C$5)),""),"")</f>
        <v/>
      </c>
      <c r="BI1084">
        <f t="shared" ca="1" si="457"/>
        <v>5570000.0000000205</v>
      </c>
      <c r="BJ1084">
        <f t="shared" ca="1" si="458"/>
        <v>5570000.0000000205</v>
      </c>
      <c r="BK1084">
        <f t="shared" ca="1" si="459"/>
        <v>0</v>
      </c>
      <c r="BL1084">
        <f ca="1">IF(ROW()&lt;($C$7+1),"",IFERROR((分析データ!E1084-AVERAGE(OFFSET(分析データ!E$1,MAX(1,ROW()-$C$7),0,MIN($C$7,ROW()-1),1)))/STDEV(OFFSET(分析データ!E$1,MAX(1,ROW()-$C$7),0,MIN($C$7,ROW()-1),1)),0))</f>
        <v>0</v>
      </c>
      <c r="BM1084">
        <f t="shared" ca="1" si="460"/>
        <v>0</v>
      </c>
      <c r="BN1084" t="str">
        <f ca="1">IF(BM1084=1,IF(INDEX(分析データ!$A:$A,ROW()+$C$5)&lt;&gt;"",40000*SIGN(BL1084)*(分析データ!E1084-INDEX(分析データ!E:E,ROW()+$C$5)),""),"")</f>
        <v/>
      </c>
      <c r="BO1084">
        <f t="shared" ca="1" si="461"/>
        <v>2720000.0000000014</v>
      </c>
      <c r="BP1084">
        <f t="shared" ca="1" si="462"/>
        <v>4280000.0000000028</v>
      </c>
      <c r="BQ1084">
        <f t="shared" ca="1" si="463"/>
        <v>-1560000.0000000014</v>
      </c>
      <c r="BR1084">
        <f ca="1">IF(ROW()&lt;($C$7+1),"",IFERROR((分析データ!F1084-AVERAGE(OFFSET(分析データ!F$1,MAX(1,ROW()-$C$7),0,MIN($C$7,ROW()-1),1)))/STDEV(OFFSET(分析データ!F$1,MAX(1,ROW()-$C$7),0,MIN($C$7,ROW()-1),1)),0))</f>
        <v>0</v>
      </c>
      <c r="BS1084">
        <f t="shared" ca="1" si="464"/>
        <v>0</v>
      </c>
      <c r="BT1084" t="str">
        <f ca="1">IF(BS1084=1,IF(INDEX(分析データ!$A:$A,ROW()+$C$5)&lt;&gt;"",40000*SIGN(BR1084)*(分析データ!F1084-INDEX(分析データ!F:F,ROW()+$C$5)),""),"")</f>
        <v/>
      </c>
      <c r="BU1084">
        <f t="shared" ca="1" si="465"/>
        <v>19816800</v>
      </c>
      <c r="BV1084">
        <f t="shared" ca="1" si="466"/>
        <v>19816800</v>
      </c>
      <c r="BW1084">
        <f t="shared" ca="1" si="467"/>
        <v>0</v>
      </c>
      <c r="BX1084">
        <f ca="1">IF(ROW()&lt;($C$7+1),"",IFERROR((分析データ!G1084-AVERAGE(OFFSET(分析データ!G$1,MAX(1,ROW()-$C$7),0,MIN($C$7,ROW()-1),1)))/STDEV(OFFSET(分析データ!G$1,MAX(1,ROW()-$C$7),0,MIN($C$7,ROW()-1),1)),0))</f>
        <v>0</v>
      </c>
      <c r="BY1084">
        <f t="shared" ca="1" si="468"/>
        <v>0</v>
      </c>
      <c r="BZ1084" t="str">
        <f ca="1">IF(BY1084=1,IF(INDEX(分析データ!$A:$A,ROW()+$C$5)&lt;&gt;"",40000*SIGN(BX1084)*(分析データ!G1084-INDEX(分析データ!G:G,ROW()+$C$5)),""),"")</f>
        <v/>
      </c>
      <c r="CA1084">
        <f t="shared" ca="1" si="469"/>
        <v>-3515452.8662109179</v>
      </c>
      <c r="CB1084">
        <f t="shared" ca="1" si="470"/>
        <v>11327520.000000004</v>
      </c>
      <c r="CC1084">
        <f t="shared" ca="1" si="471"/>
        <v>-14842972.866210923</v>
      </c>
      <c r="CD1084">
        <f t="shared" ca="1" si="472"/>
        <v>0</v>
      </c>
      <c r="CE1084">
        <f t="shared" ca="1" si="473"/>
        <v>23090347.13378913</v>
      </c>
      <c r="CF1084">
        <f t="shared" ca="1" si="474"/>
        <v>23090347.13378913</v>
      </c>
      <c r="CG1084">
        <f t="shared" ca="1" si="475"/>
        <v>0</v>
      </c>
      <c r="CH1084" s="10" t="str">
        <f>分析データ!A1084</f>
        <v/>
      </c>
    </row>
    <row r="1085" spans="46:86">
      <c r="AT1085">
        <f ca="1">IF(ROW()&lt;($C$7+1),"",IFERROR((分析データ!B1085-AVERAGE(OFFSET(分析データ!B$1,MAX(1,ROW()-$C$7),0,MIN($C$7,ROW()-1),1)))/STDEV(OFFSET(分析データ!B$1,MAX(1,ROW()-$C$7),0,MIN($C$7,ROW()-1),1)),0))</f>
        <v>0</v>
      </c>
      <c r="AU1085">
        <f t="shared" ca="1" si="448"/>
        <v>0</v>
      </c>
      <c r="AV1085" t="str">
        <f ca="1">IF(AU1085=1,IF(INDEX(分析データ!$A:$A,ROW()+$C$5)&lt;&gt;"",80000*SIGN(AT1085)*(分析データ!B1085-INDEX(分析データ!B:B,ROW()+$C$5)),""),"")</f>
        <v/>
      </c>
      <c r="AW1085">
        <f t="shared" ca="1" si="449"/>
        <v>-1240000.0000000019</v>
      </c>
      <c r="AX1085">
        <f t="shared" ca="1" si="450"/>
        <v>0</v>
      </c>
      <c r="AY1085">
        <f t="shared" ca="1" si="451"/>
        <v>-1240000.0000000019</v>
      </c>
      <c r="AZ1085">
        <f ca="1">IF(ROW()&lt;($C$7+1),"",IFERROR((分析データ!C1085-AVERAGE(OFFSET(分析データ!C$1,MAX(1,ROW()-$C$7),0,MIN($C$7,ROW()-1),1)))/STDEV(OFFSET(分析データ!C$1,MAX(1,ROW()-$C$7),0,MIN($C$7,ROW()-1),1)),0))</f>
        <v>0</v>
      </c>
      <c r="BA1085">
        <f t="shared" ca="1" si="452"/>
        <v>0</v>
      </c>
      <c r="BB1085" t="str">
        <f ca="1">IF(BA1085=1,IF(INDEX(分析データ!$A:$A,ROW()+$C$5)&lt;&gt;"",60000*SIGN(AZ1085)*(分析データ!C1085-INDEX(分析データ!C:C,ROW()+$C$5)),""),"")</f>
        <v/>
      </c>
      <c r="BC1085">
        <f t="shared" ca="1" si="453"/>
        <v>-260999.9999999851</v>
      </c>
      <c r="BD1085">
        <f t="shared" ca="1" si="454"/>
        <v>3156000.0000000107</v>
      </c>
      <c r="BE1085">
        <f t="shared" ca="1" si="455"/>
        <v>-3416999.9999999958</v>
      </c>
      <c r="BF1085">
        <f ca="1">IF(ROW()&lt;($C$7+1),"",IFERROR((分析データ!D1085-AVERAGE(OFFSET(分析データ!D$1,MAX(1,ROW()-$C$7),0,MIN($C$7,ROW()-1),1)))/STDEV(OFFSET(分析データ!D$1,MAX(1,ROW()-$C$7),0,MIN($C$7,ROW()-1),1)),0))</f>
        <v>0</v>
      </c>
      <c r="BG1085">
        <f t="shared" ca="1" si="456"/>
        <v>0</v>
      </c>
      <c r="BH1085" t="str">
        <f ca="1">IF(BG1085=1,IF(INDEX(分析データ!$A:$A,ROW()+$C$5)&lt;&gt;"",50000*SIGN(BF1085)*(分析データ!D1085-INDEX(分析データ!D:D,ROW()+$C$5)),""),"")</f>
        <v/>
      </c>
      <c r="BI1085">
        <f t="shared" ca="1" si="457"/>
        <v>5570000.0000000205</v>
      </c>
      <c r="BJ1085">
        <f t="shared" ca="1" si="458"/>
        <v>5570000.0000000205</v>
      </c>
      <c r="BK1085">
        <f t="shared" ca="1" si="459"/>
        <v>0</v>
      </c>
      <c r="BL1085">
        <f ca="1">IF(ROW()&lt;($C$7+1),"",IFERROR((分析データ!E1085-AVERAGE(OFFSET(分析データ!E$1,MAX(1,ROW()-$C$7),0,MIN($C$7,ROW()-1),1)))/STDEV(OFFSET(分析データ!E$1,MAX(1,ROW()-$C$7),0,MIN($C$7,ROW()-1),1)),0))</f>
        <v>0</v>
      </c>
      <c r="BM1085">
        <f t="shared" ca="1" si="460"/>
        <v>0</v>
      </c>
      <c r="BN1085" t="str">
        <f ca="1">IF(BM1085=1,IF(INDEX(分析データ!$A:$A,ROW()+$C$5)&lt;&gt;"",40000*SIGN(BL1085)*(分析データ!E1085-INDEX(分析データ!E:E,ROW()+$C$5)),""),"")</f>
        <v/>
      </c>
      <c r="BO1085">
        <f t="shared" ca="1" si="461"/>
        <v>2720000.0000000014</v>
      </c>
      <c r="BP1085">
        <f t="shared" ca="1" si="462"/>
        <v>4280000.0000000028</v>
      </c>
      <c r="BQ1085">
        <f t="shared" ca="1" si="463"/>
        <v>-1560000.0000000014</v>
      </c>
      <c r="BR1085">
        <f ca="1">IF(ROW()&lt;($C$7+1),"",IFERROR((分析データ!F1085-AVERAGE(OFFSET(分析データ!F$1,MAX(1,ROW()-$C$7),0,MIN($C$7,ROW()-1),1)))/STDEV(OFFSET(分析データ!F$1,MAX(1,ROW()-$C$7),0,MIN($C$7,ROW()-1),1)),0))</f>
        <v>0</v>
      </c>
      <c r="BS1085">
        <f t="shared" ca="1" si="464"/>
        <v>0</v>
      </c>
      <c r="BT1085" t="str">
        <f ca="1">IF(BS1085=1,IF(INDEX(分析データ!$A:$A,ROW()+$C$5)&lt;&gt;"",40000*SIGN(BR1085)*(分析データ!F1085-INDEX(分析データ!F:F,ROW()+$C$5)),""),"")</f>
        <v/>
      </c>
      <c r="BU1085">
        <f t="shared" ca="1" si="465"/>
        <v>19816800</v>
      </c>
      <c r="BV1085">
        <f t="shared" ca="1" si="466"/>
        <v>19816800</v>
      </c>
      <c r="BW1085">
        <f t="shared" ca="1" si="467"/>
        <v>0</v>
      </c>
      <c r="BX1085">
        <f ca="1">IF(ROW()&lt;($C$7+1),"",IFERROR((分析データ!G1085-AVERAGE(OFFSET(分析データ!G$1,MAX(1,ROW()-$C$7),0,MIN($C$7,ROW()-1),1)))/STDEV(OFFSET(分析データ!G$1,MAX(1,ROW()-$C$7),0,MIN($C$7,ROW()-1),1)),0))</f>
        <v>0</v>
      </c>
      <c r="BY1085">
        <f t="shared" ca="1" si="468"/>
        <v>0</v>
      </c>
      <c r="BZ1085" t="str">
        <f ca="1">IF(BY1085=1,IF(INDEX(分析データ!$A:$A,ROW()+$C$5)&lt;&gt;"",40000*SIGN(BX1085)*(分析データ!G1085-INDEX(分析データ!G:G,ROW()+$C$5)),""),"")</f>
        <v/>
      </c>
      <c r="CA1085">
        <f t="shared" ca="1" si="469"/>
        <v>-3515452.8662109179</v>
      </c>
      <c r="CB1085">
        <f t="shared" ca="1" si="470"/>
        <v>11327520.000000004</v>
      </c>
      <c r="CC1085">
        <f t="shared" ca="1" si="471"/>
        <v>-14842972.866210923</v>
      </c>
      <c r="CD1085">
        <f t="shared" ca="1" si="472"/>
        <v>0</v>
      </c>
      <c r="CE1085">
        <f t="shared" ca="1" si="473"/>
        <v>23090347.13378913</v>
      </c>
      <c r="CF1085">
        <f t="shared" ca="1" si="474"/>
        <v>23090347.13378913</v>
      </c>
      <c r="CG1085">
        <f t="shared" ca="1" si="475"/>
        <v>0</v>
      </c>
      <c r="CH1085" s="10" t="str">
        <f>分析データ!A1085</f>
        <v/>
      </c>
    </row>
    <row r="1086" spans="46:86">
      <c r="AT1086">
        <f ca="1">IF(ROW()&lt;($C$7+1),"",IFERROR((分析データ!B1086-AVERAGE(OFFSET(分析データ!B$1,MAX(1,ROW()-$C$7),0,MIN($C$7,ROW()-1),1)))/STDEV(OFFSET(分析データ!B$1,MAX(1,ROW()-$C$7),0,MIN($C$7,ROW()-1),1)),0))</f>
        <v>0</v>
      </c>
      <c r="AU1086">
        <f t="shared" ca="1" si="448"/>
        <v>0</v>
      </c>
      <c r="AV1086" t="str">
        <f ca="1">IF(AU1086=1,IF(INDEX(分析データ!$A:$A,ROW()+$C$5)&lt;&gt;"",80000*SIGN(AT1086)*(分析データ!B1086-INDEX(分析データ!B:B,ROW()+$C$5)),""),"")</f>
        <v/>
      </c>
      <c r="AW1086">
        <f t="shared" ca="1" si="449"/>
        <v>-1240000.0000000019</v>
      </c>
      <c r="AX1086">
        <f t="shared" ca="1" si="450"/>
        <v>0</v>
      </c>
      <c r="AY1086">
        <f t="shared" ca="1" si="451"/>
        <v>-1240000.0000000019</v>
      </c>
      <c r="AZ1086">
        <f ca="1">IF(ROW()&lt;($C$7+1),"",IFERROR((分析データ!C1086-AVERAGE(OFFSET(分析データ!C$1,MAX(1,ROW()-$C$7),0,MIN($C$7,ROW()-1),1)))/STDEV(OFFSET(分析データ!C$1,MAX(1,ROW()-$C$7),0,MIN($C$7,ROW()-1),1)),0))</f>
        <v>0</v>
      </c>
      <c r="BA1086">
        <f t="shared" ca="1" si="452"/>
        <v>0</v>
      </c>
      <c r="BB1086" t="str">
        <f ca="1">IF(BA1086=1,IF(INDEX(分析データ!$A:$A,ROW()+$C$5)&lt;&gt;"",60000*SIGN(AZ1086)*(分析データ!C1086-INDEX(分析データ!C:C,ROW()+$C$5)),""),"")</f>
        <v/>
      </c>
      <c r="BC1086">
        <f t="shared" ca="1" si="453"/>
        <v>-260999.9999999851</v>
      </c>
      <c r="BD1086">
        <f t="shared" ca="1" si="454"/>
        <v>3156000.0000000107</v>
      </c>
      <c r="BE1086">
        <f t="shared" ca="1" si="455"/>
        <v>-3416999.9999999958</v>
      </c>
      <c r="BF1086">
        <f ca="1">IF(ROW()&lt;($C$7+1),"",IFERROR((分析データ!D1086-AVERAGE(OFFSET(分析データ!D$1,MAX(1,ROW()-$C$7),0,MIN($C$7,ROW()-1),1)))/STDEV(OFFSET(分析データ!D$1,MAX(1,ROW()-$C$7),0,MIN($C$7,ROW()-1),1)),0))</f>
        <v>0</v>
      </c>
      <c r="BG1086">
        <f t="shared" ca="1" si="456"/>
        <v>0</v>
      </c>
      <c r="BH1086" t="str">
        <f ca="1">IF(BG1086=1,IF(INDEX(分析データ!$A:$A,ROW()+$C$5)&lt;&gt;"",50000*SIGN(BF1086)*(分析データ!D1086-INDEX(分析データ!D:D,ROW()+$C$5)),""),"")</f>
        <v/>
      </c>
      <c r="BI1086">
        <f t="shared" ca="1" si="457"/>
        <v>5570000.0000000205</v>
      </c>
      <c r="BJ1086">
        <f t="shared" ca="1" si="458"/>
        <v>5570000.0000000205</v>
      </c>
      <c r="BK1086">
        <f t="shared" ca="1" si="459"/>
        <v>0</v>
      </c>
      <c r="BL1086">
        <f ca="1">IF(ROW()&lt;($C$7+1),"",IFERROR((分析データ!E1086-AVERAGE(OFFSET(分析データ!E$1,MAX(1,ROW()-$C$7),0,MIN($C$7,ROW()-1),1)))/STDEV(OFFSET(分析データ!E$1,MAX(1,ROW()-$C$7),0,MIN($C$7,ROW()-1),1)),0))</f>
        <v>0</v>
      </c>
      <c r="BM1086">
        <f t="shared" ca="1" si="460"/>
        <v>0</v>
      </c>
      <c r="BN1086" t="str">
        <f ca="1">IF(BM1086=1,IF(INDEX(分析データ!$A:$A,ROW()+$C$5)&lt;&gt;"",40000*SIGN(BL1086)*(分析データ!E1086-INDEX(分析データ!E:E,ROW()+$C$5)),""),"")</f>
        <v/>
      </c>
      <c r="BO1086">
        <f t="shared" ca="1" si="461"/>
        <v>2720000.0000000014</v>
      </c>
      <c r="BP1086">
        <f t="shared" ca="1" si="462"/>
        <v>4280000.0000000028</v>
      </c>
      <c r="BQ1086">
        <f t="shared" ca="1" si="463"/>
        <v>-1560000.0000000014</v>
      </c>
      <c r="BR1086">
        <f ca="1">IF(ROW()&lt;($C$7+1),"",IFERROR((分析データ!F1086-AVERAGE(OFFSET(分析データ!F$1,MAX(1,ROW()-$C$7),0,MIN($C$7,ROW()-1),1)))/STDEV(OFFSET(分析データ!F$1,MAX(1,ROW()-$C$7),0,MIN($C$7,ROW()-1),1)),0))</f>
        <v>0</v>
      </c>
      <c r="BS1086">
        <f t="shared" ca="1" si="464"/>
        <v>0</v>
      </c>
      <c r="BT1086" t="str">
        <f ca="1">IF(BS1086=1,IF(INDEX(分析データ!$A:$A,ROW()+$C$5)&lt;&gt;"",40000*SIGN(BR1086)*(分析データ!F1086-INDEX(分析データ!F:F,ROW()+$C$5)),""),"")</f>
        <v/>
      </c>
      <c r="BU1086">
        <f t="shared" ca="1" si="465"/>
        <v>19816800</v>
      </c>
      <c r="BV1086">
        <f t="shared" ca="1" si="466"/>
        <v>19816800</v>
      </c>
      <c r="BW1086">
        <f t="shared" ca="1" si="467"/>
        <v>0</v>
      </c>
      <c r="BX1086">
        <f ca="1">IF(ROW()&lt;($C$7+1),"",IFERROR((分析データ!G1086-AVERAGE(OFFSET(分析データ!G$1,MAX(1,ROW()-$C$7),0,MIN($C$7,ROW()-1),1)))/STDEV(OFFSET(分析データ!G$1,MAX(1,ROW()-$C$7),0,MIN($C$7,ROW()-1),1)),0))</f>
        <v>0</v>
      </c>
      <c r="BY1086">
        <f t="shared" ca="1" si="468"/>
        <v>0</v>
      </c>
      <c r="BZ1086" t="str">
        <f ca="1">IF(BY1086=1,IF(INDEX(分析データ!$A:$A,ROW()+$C$5)&lt;&gt;"",40000*SIGN(BX1086)*(分析データ!G1086-INDEX(分析データ!G:G,ROW()+$C$5)),""),"")</f>
        <v/>
      </c>
      <c r="CA1086">
        <f t="shared" ca="1" si="469"/>
        <v>-3515452.8662109179</v>
      </c>
      <c r="CB1086">
        <f t="shared" ca="1" si="470"/>
        <v>11327520.000000004</v>
      </c>
      <c r="CC1086">
        <f t="shared" ca="1" si="471"/>
        <v>-14842972.866210923</v>
      </c>
      <c r="CD1086">
        <f t="shared" ca="1" si="472"/>
        <v>0</v>
      </c>
      <c r="CE1086">
        <f t="shared" ca="1" si="473"/>
        <v>23090347.13378913</v>
      </c>
      <c r="CF1086">
        <f t="shared" ca="1" si="474"/>
        <v>23090347.13378913</v>
      </c>
      <c r="CG1086">
        <f t="shared" ca="1" si="475"/>
        <v>0</v>
      </c>
      <c r="CH1086" s="10" t="str">
        <f>分析データ!A1086</f>
        <v/>
      </c>
    </row>
    <row r="1087" spans="46:86">
      <c r="AT1087">
        <f ca="1">IF(ROW()&lt;($C$7+1),"",IFERROR((分析データ!B1087-AVERAGE(OFFSET(分析データ!B$1,MAX(1,ROW()-$C$7),0,MIN($C$7,ROW()-1),1)))/STDEV(OFFSET(分析データ!B$1,MAX(1,ROW()-$C$7),0,MIN($C$7,ROW()-1),1)),0))</f>
        <v>0</v>
      </c>
      <c r="AU1087">
        <f t="shared" ca="1" si="448"/>
        <v>0</v>
      </c>
      <c r="AV1087" t="str">
        <f ca="1">IF(AU1087=1,IF(INDEX(分析データ!$A:$A,ROW()+$C$5)&lt;&gt;"",80000*SIGN(AT1087)*(分析データ!B1087-INDEX(分析データ!B:B,ROW()+$C$5)),""),"")</f>
        <v/>
      </c>
      <c r="AW1087">
        <f t="shared" ca="1" si="449"/>
        <v>-1240000.0000000019</v>
      </c>
      <c r="AX1087">
        <f t="shared" ca="1" si="450"/>
        <v>0</v>
      </c>
      <c r="AY1087">
        <f t="shared" ca="1" si="451"/>
        <v>-1240000.0000000019</v>
      </c>
      <c r="AZ1087">
        <f ca="1">IF(ROW()&lt;($C$7+1),"",IFERROR((分析データ!C1087-AVERAGE(OFFSET(分析データ!C$1,MAX(1,ROW()-$C$7),0,MIN($C$7,ROW()-1),1)))/STDEV(OFFSET(分析データ!C$1,MAX(1,ROW()-$C$7),0,MIN($C$7,ROW()-1),1)),0))</f>
        <v>0</v>
      </c>
      <c r="BA1087">
        <f t="shared" ca="1" si="452"/>
        <v>0</v>
      </c>
      <c r="BB1087" t="str">
        <f ca="1">IF(BA1087=1,IF(INDEX(分析データ!$A:$A,ROW()+$C$5)&lt;&gt;"",60000*SIGN(AZ1087)*(分析データ!C1087-INDEX(分析データ!C:C,ROW()+$C$5)),""),"")</f>
        <v/>
      </c>
      <c r="BC1087">
        <f t="shared" ca="1" si="453"/>
        <v>-260999.9999999851</v>
      </c>
      <c r="BD1087">
        <f t="shared" ca="1" si="454"/>
        <v>3156000.0000000107</v>
      </c>
      <c r="BE1087">
        <f t="shared" ca="1" si="455"/>
        <v>-3416999.9999999958</v>
      </c>
      <c r="BF1087">
        <f ca="1">IF(ROW()&lt;($C$7+1),"",IFERROR((分析データ!D1087-AVERAGE(OFFSET(分析データ!D$1,MAX(1,ROW()-$C$7),0,MIN($C$7,ROW()-1),1)))/STDEV(OFFSET(分析データ!D$1,MAX(1,ROW()-$C$7),0,MIN($C$7,ROW()-1),1)),0))</f>
        <v>0</v>
      </c>
      <c r="BG1087">
        <f t="shared" ca="1" si="456"/>
        <v>0</v>
      </c>
      <c r="BH1087" t="str">
        <f ca="1">IF(BG1087=1,IF(INDEX(分析データ!$A:$A,ROW()+$C$5)&lt;&gt;"",50000*SIGN(BF1087)*(分析データ!D1087-INDEX(分析データ!D:D,ROW()+$C$5)),""),"")</f>
        <v/>
      </c>
      <c r="BI1087">
        <f t="shared" ca="1" si="457"/>
        <v>5570000.0000000205</v>
      </c>
      <c r="BJ1087">
        <f t="shared" ca="1" si="458"/>
        <v>5570000.0000000205</v>
      </c>
      <c r="BK1087">
        <f t="shared" ca="1" si="459"/>
        <v>0</v>
      </c>
      <c r="BL1087">
        <f ca="1">IF(ROW()&lt;($C$7+1),"",IFERROR((分析データ!E1087-AVERAGE(OFFSET(分析データ!E$1,MAX(1,ROW()-$C$7),0,MIN($C$7,ROW()-1),1)))/STDEV(OFFSET(分析データ!E$1,MAX(1,ROW()-$C$7),0,MIN($C$7,ROW()-1),1)),0))</f>
        <v>0</v>
      </c>
      <c r="BM1087">
        <f t="shared" ca="1" si="460"/>
        <v>0</v>
      </c>
      <c r="BN1087" t="str">
        <f ca="1">IF(BM1087=1,IF(INDEX(分析データ!$A:$A,ROW()+$C$5)&lt;&gt;"",40000*SIGN(BL1087)*(分析データ!E1087-INDEX(分析データ!E:E,ROW()+$C$5)),""),"")</f>
        <v/>
      </c>
      <c r="BO1087">
        <f t="shared" ca="1" si="461"/>
        <v>2720000.0000000014</v>
      </c>
      <c r="BP1087">
        <f t="shared" ca="1" si="462"/>
        <v>4280000.0000000028</v>
      </c>
      <c r="BQ1087">
        <f t="shared" ca="1" si="463"/>
        <v>-1560000.0000000014</v>
      </c>
      <c r="BR1087">
        <f ca="1">IF(ROW()&lt;($C$7+1),"",IFERROR((分析データ!F1087-AVERAGE(OFFSET(分析データ!F$1,MAX(1,ROW()-$C$7),0,MIN($C$7,ROW()-1),1)))/STDEV(OFFSET(分析データ!F$1,MAX(1,ROW()-$C$7),0,MIN($C$7,ROW()-1),1)),0))</f>
        <v>0</v>
      </c>
      <c r="BS1087">
        <f t="shared" ca="1" si="464"/>
        <v>0</v>
      </c>
      <c r="BT1087" t="str">
        <f ca="1">IF(BS1087=1,IF(INDEX(分析データ!$A:$A,ROW()+$C$5)&lt;&gt;"",40000*SIGN(BR1087)*(分析データ!F1087-INDEX(分析データ!F:F,ROW()+$C$5)),""),"")</f>
        <v/>
      </c>
      <c r="BU1087">
        <f t="shared" ca="1" si="465"/>
        <v>19816800</v>
      </c>
      <c r="BV1087">
        <f t="shared" ca="1" si="466"/>
        <v>19816800</v>
      </c>
      <c r="BW1087">
        <f t="shared" ca="1" si="467"/>
        <v>0</v>
      </c>
      <c r="BX1087">
        <f ca="1">IF(ROW()&lt;($C$7+1),"",IFERROR((分析データ!G1087-AVERAGE(OFFSET(分析データ!G$1,MAX(1,ROW()-$C$7),0,MIN($C$7,ROW()-1),1)))/STDEV(OFFSET(分析データ!G$1,MAX(1,ROW()-$C$7),0,MIN($C$7,ROW()-1),1)),0))</f>
        <v>0</v>
      </c>
      <c r="BY1087">
        <f t="shared" ca="1" si="468"/>
        <v>0</v>
      </c>
      <c r="BZ1087" t="str">
        <f ca="1">IF(BY1087=1,IF(INDEX(分析データ!$A:$A,ROW()+$C$5)&lt;&gt;"",40000*SIGN(BX1087)*(分析データ!G1087-INDEX(分析データ!G:G,ROW()+$C$5)),""),"")</f>
        <v/>
      </c>
      <c r="CA1087">
        <f t="shared" ca="1" si="469"/>
        <v>-3515452.8662109179</v>
      </c>
      <c r="CB1087">
        <f t="shared" ca="1" si="470"/>
        <v>11327520.000000004</v>
      </c>
      <c r="CC1087">
        <f t="shared" ca="1" si="471"/>
        <v>-14842972.866210923</v>
      </c>
      <c r="CD1087">
        <f t="shared" ca="1" si="472"/>
        <v>0</v>
      </c>
      <c r="CE1087">
        <f t="shared" ca="1" si="473"/>
        <v>23090347.13378913</v>
      </c>
      <c r="CF1087">
        <f t="shared" ca="1" si="474"/>
        <v>23090347.13378913</v>
      </c>
      <c r="CG1087">
        <f t="shared" ca="1" si="475"/>
        <v>0</v>
      </c>
      <c r="CH1087" s="10" t="str">
        <f>分析データ!A1087</f>
        <v/>
      </c>
    </row>
    <row r="1088" spans="46:86">
      <c r="AT1088">
        <f ca="1">IF(ROW()&lt;($C$7+1),"",IFERROR((分析データ!B1088-AVERAGE(OFFSET(分析データ!B$1,MAX(1,ROW()-$C$7),0,MIN($C$7,ROW()-1),1)))/STDEV(OFFSET(分析データ!B$1,MAX(1,ROW()-$C$7),0,MIN($C$7,ROW()-1),1)),0))</f>
        <v>0</v>
      </c>
      <c r="AU1088">
        <f t="shared" ca="1" si="448"/>
        <v>0</v>
      </c>
      <c r="AV1088" t="str">
        <f ca="1">IF(AU1088=1,IF(INDEX(分析データ!$A:$A,ROW()+$C$5)&lt;&gt;"",80000*SIGN(AT1088)*(分析データ!B1088-INDEX(分析データ!B:B,ROW()+$C$5)),""),"")</f>
        <v/>
      </c>
      <c r="AW1088">
        <f t="shared" ca="1" si="449"/>
        <v>-1240000.0000000019</v>
      </c>
      <c r="AX1088">
        <f t="shared" ca="1" si="450"/>
        <v>0</v>
      </c>
      <c r="AY1088">
        <f t="shared" ca="1" si="451"/>
        <v>-1240000.0000000019</v>
      </c>
      <c r="AZ1088">
        <f ca="1">IF(ROW()&lt;($C$7+1),"",IFERROR((分析データ!C1088-AVERAGE(OFFSET(分析データ!C$1,MAX(1,ROW()-$C$7),0,MIN($C$7,ROW()-1),1)))/STDEV(OFFSET(分析データ!C$1,MAX(1,ROW()-$C$7),0,MIN($C$7,ROW()-1),1)),0))</f>
        <v>0</v>
      </c>
      <c r="BA1088">
        <f t="shared" ca="1" si="452"/>
        <v>0</v>
      </c>
      <c r="BB1088" t="str">
        <f ca="1">IF(BA1088=1,IF(INDEX(分析データ!$A:$A,ROW()+$C$5)&lt;&gt;"",60000*SIGN(AZ1088)*(分析データ!C1088-INDEX(分析データ!C:C,ROW()+$C$5)),""),"")</f>
        <v/>
      </c>
      <c r="BC1088">
        <f t="shared" ca="1" si="453"/>
        <v>-260999.9999999851</v>
      </c>
      <c r="BD1088">
        <f t="shared" ca="1" si="454"/>
        <v>3156000.0000000107</v>
      </c>
      <c r="BE1088">
        <f t="shared" ca="1" si="455"/>
        <v>-3416999.9999999958</v>
      </c>
      <c r="BF1088">
        <f ca="1">IF(ROW()&lt;($C$7+1),"",IFERROR((分析データ!D1088-AVERAGE(OFFSET(分析データ!D$1,MAX(1,ROW()-$C$7),0,MIN($C$7,ROW()-1),1)))/STDEV(OFFSET(分析データ!D$1,MAX(1,ROW()-$C$7),0,MIN($C$7,ROW()-1),1)),0))</f>
        <v>0</v>
      </c>
      <c r="BG1088">
        <f t="shared" ca="1" si="456"/>
        <v>0</v>
      </c>
      <c r="BH1088" t="str">
        <f ca="1">IF(BG1088=1,IF(INDEX(分析データ!$A:$A,ROW()+$C$5)&lt;&gt;"",50000*SIGN(BF1088)*(分析データ!D1088-INDEX(分析データ!D:D,ROW()+$C$5)),""),"")</f>
        <v/>
      </c>
      <c r="BI1088">
        <f t="shared" ca="1" si="457"/>
        <v>5570000.0000000205</v>
      </c>
      <c r="BJ1088">
        <f t="shared" ca="1" si="458"/>
        <v>5570000.0000000205</v>
      </c>
      <c r="BK1088">
        <f t="shared" ca="1" si="459"/>
        <v>0</v>
      </c>
      <c r="BL1088">
        <f ca="1">IF(ROW()&lt;($C$7+1),"",IFERROR((分析データ!E1088-AVERAGE(OFFSET(分析データ!E$1,MAX(1,ROW()-$C$7),0,MIN($C$7,ROW()-1),1)))/STDEV(OFFSET(分析データ!E$1,MAX(1,ROW()-$C$7),0,MIN($C$7,ROW()-1),1)),0))</f>
        <v>0</v>
      </c>
      <c r="BM1088">
        <f t="shared" ca="1" si="460"/>
        <v>0</v>
      </c>
      <c r="BN1088" t="str">
        <f ca="1">IF(BM1088=1,IF(INDEX(分析データ!$A:$A,ROW()+$C$5)&lt;&gt;"",40000*SIGN(BL1088)*(分析データ!E1088-INDEX(分析データ!E:E,ROW()+$C$5)),""),"")</f>
        <v/>
      </c>
      <c r="BO1088">
        <f t="shared" ca="1" si="461"/>
        <v>2720000.0000000014</v>
      </c>
      <c r="BP1088">
        <f t="shared" ca="1" si="462"/>
        <v>4280000.0000000028</v>
      </c>
      <c r="BQ1088">
        <f t="shared" ca="1" si="463"/>
        <v>-1560000.0000000014</v>
      </c>
      <c r="BR1088">
        <f ca="1">IF(ROW()&lt;($C$7+1),"",IFERROR((分析データ!F1088-AVERAGE(OFFSET(分析データ!F$1,MAX(1,ROW()-$C$7),0,MIN($C$7,ROW()-1),1)))/STDEV(OFFSET(分析データ!F$1,MAX(1,ROW()-$C$7),0,MIN($C$7,ROW()-1),1)),0))</f>
        <v>0</v>
      </c>
      <c r="BS1088">
        <f t="shared" ca="1" si="464"/>
        <v>0</v>
      </c>
      <c r="BT1088" t="str">
        <f ca="1">IF(BS1088=1,IF(INDEX(分析データ!$A:$A,ROW()+$C$5)&lt;&gt;"",40000*SIGN(BR1088)*(分析データ!F1088-INDEX(分析データ!F:F,ROW()+$C$5)),""),"")</f>
        <v/>
      </c>
      <c r="BU1088">
        <f t="shared" ca="1" si="465"/>
        <v>19816800</v>
      </c>
      <c r="BV1088">
        <f t="shared" ca="1" si="466"/>
        <v>19816800</v>
      </c>
      <c r="BW1088">
        <f t="shared" ca="1" si="467"/>
        <v>0</v>
      </c>
      <c r="BX1088">
        <f ca="1">IF(ROW()&lt;($C$7+1),"",IFERROR((分析データ!G1088-AVERAGE(OFFSET(分析データ!G$1,MAX(1,ROW()-$C$7),0,MIN($C$7,ROW()-1),1)))/STDEV(OFFSET(分析データ!G$1,MAX(1,ROW()-$C$7),0,MIN($C$7,ROW()-1),1)),0))</f>
        <v>0</v>
      </c>
      <c r="BY1088">
        <f t="shared" ca="1" si="468"/>
        <v>0</v>
      </c>
      <c r="BZ1088" t="str">
        <f ca="1">IF(BY1088=1,IF(INDEX(分析データ!$A:$A,ROW()+$C$5)&lt;&gt;"",40000*SIGN(BX1088)*(分析データ!G1088-INDEX(分析データ!G:G,ROW()+$C$5)),""),"")</f>
        <v/>
      </c>
      <c r="CA1088">
        <f t="shared" ca="1" si="469"/>
        <v>-3515452.8662109179</v>
      </c>
      <c r="CB1088">
        <f t="shared" ca="1" si="470"/>
        <v>11327520.000000004</v>
      </c>
      <c r="CC1088">
        <f t="shared" ca="1" si="471"/>
        <v>-14842972.866210923</v>
      </c>
      <c r="CD1088">
        <f t="shared" ca="1" si="472"/>
        <v>0</v>
      </c>
      <c r="CE1088">
        <f t="shared" ca="1" si="473"/>
        <v>23090347.13378913</v>
      </c>
      <c r="CF1088">
        <f t="shared" ca="1" si="474"/>
        <v>23090347.13378913</v>
      </c>
      <c r="CG1088">
        <f t="shared" ca="1" si="475"/>
        <v>0</v>
      </c>
      <c r="CH1088" s="10" t="str">
        <f>分析データ!A1088</f>
        <v/>
      </c>
    </row>
    <row r="1089" spans="46:86">
      <c r="AT1089">
        <f ca="1">IF(ROW()&lt;($C$7+1),"",IFERROR((分析データ!B1089-AVERAGE(OFFSET(分析データ!B$1,MAX(1,ROW()-$C$7),0,MIN($C$7,ROW()-1),1)))/STDEV(OFFSET(分析データ!B$1,MAX(1,ROW()-$C$7),0,MIN($C$7,ROW()-1),1)),0))</f>
        <v>0</v>
      </c>
      <c r="AU1089">
        <f t="shared" ca="1" si="448"/>
        <v>0</v>
      </c>
      <c r="AV1089" t="str">
        <f ca="1">IF(AU1089=1,IF(INDEX(分析データ!$A:$A,ROW()+$C$5)&lt;&gt;"",80000*SIGN(AT1089)*(分析データ!B1089-INDEX(分析データ!B:B,ROW()+$C$5)),""),"")</f>
        <v/>
      </c>
      <c r="AW1089">
        <f t="shared" ca="1" si="449"/>
        <v>-1240000.0000000019</v>
      </c>
      <c r="AX1089">
        <f t="shared" ca="1" si="450"/>
        <v>0</v>
      </c>
      <c r="AY1089">
        <f t="shared" ca="1" si="451"/>
        <v>-1240000.0000000019</v>
      </c>
      <c r="AZ1089">
        <f ca="1">IF(ROW()&lt;($C$7+1),"",IFERROR((分析データ!C1089-AVERAGE(OFFSET(分析データ!C$1,MAX(1,ROW()-$C$7),0,MIN($C$7,ROW()-1),1)))/STDEV(OFFSET(分析データ!C$1,MAX(1,ROW()-$C$7),0,MIN($C$7,ROW()-1),1)),0))</f>
        <v>0</v>
      </c>
      <c r="BA1089">
        <f t="shared" ca="1" si="452"/>
        <v>0</v>
      </c>
      <c r="BB1089" t="str">
        <f ca="1">IF(BA1089=1,IF(INDEX(分析データ!$A:$A,ROW()+$C$5)&lt;&gt;"",60000*SIGN(AZ1089)*(分析データ!C1089-INDEX(分析データ!C:C,ROW()+$C$5)),""),"")</f>
        <v/>
      </c>
      <c r="BC1089">
        <f t="shared" ca="1" si="453"/>
        <v>-260999.9999999851</v>
      </c>
      <c r="BD1089">
        <f t="shared" ca="1" si="454"/>
        <v>3156000.0000000107</v>
      </c>
      <c r="BE1089">
        <f t="shared" ca="1" si="455"/>
        <v>-3416999.9999999958</v>
      </c>
      <c r="BF1089">
        <f ca="1">IF(ROW()&lt;($C$7+1),"",IFERROR((分析データ!D1089-AVERAGE(OFFSET(分析データ!D$1,MAX(1,ROW()-$C$7),0,MIN($C$7,ROW()-1),1)))/STDEV(OFFSET(分析データ!D$1,MAX(1,ROW()-$C$7),0,MIN($C$7,ROW()-1),1)),0))</f>
        <v>0</v>
      </c>
      <c r="BG1089">
        <f t="shared" ca="1" si="456"/>
        <v>0</v>
      </c>
      <c r="BH1089" t="str">
        <f ca="1">IF(BG1089=1,IF(INDEX(分析データ!$A:$A,ROW()+$C$5)&lt;&gt;"",50000*SIGN(BF1089)*(分析データ!D1089-INDEX(分析データ!D:D,ROW()+$C$5)),""),"")</f>
        <v/>
      </c>
      <c r="BI1089">
        <f t="shared" ca="1" si="457"/>
        <v>5570000.0000000205</v>
      </c>
      <c r="BJ1089">
        <f t="shared" ca="1" si="458"/>
        <v>5570000.0000000205</v>
      </c>
      <c r="BK1089">
        <f t="shared" ca="1" si="459"/>
        <v>0</v>
      </c>
      <c r="BL1089">
        <f ca="1">IF(ROW()&lt;($C$7+1),"",IFERROR((分析データ!E1089-AVERAGE(OFFSET(分析データ!E$1,MAX(1,ROW()-$C$7),0,MIN($C$7,ROW()-1),1)))/STDEV(OFFSET(分析データ!E$1,MAX(1,ROW()-$C$7),0,MIN($C$7,ROW()-1),1)),0))</f>
        <v>0</v>
      </c>
      <c r="BM1089">
        <f t="shared" ca="1" si="460"/>
        <v>0</v>
      </c>
      <c r="BN1089" t="str">
        <f ca="1">IF(BM1089=1,IF(INDEX(分析データ!$A:$A,ROW()+$C$5)&lt;&gt;"",40000*SIGN(BL1089)*(分析データ!E1089-INDEX(分析データ!E:E,ROW()+$C$5)),""),"")</f>
        <v/>
      </c>
      <c r="BO1089">
        <f t="shared" ca="1" si="461"/>
        <v>2720000.0000000014</v>
      </c>
      <c r="BP1089">
        <f t="shared" ca="1" si="462"/>
        <v>4280000.0000000028</v>
      </c>
      <c r="BQ1089">
        <f t="shared" ca="1" si="463"/>
        <v>-1560000.0000000014</v>
      </c>
      <c r="BR1089">
        <f ca="1">IF(ROW()&lt;($C$7+1),"",IFERROR((分析データ!F1089-AVERAGE(OFFSET(分析データ!F$1,MAX(1,ROW()-$C$7),0,MIN($C$7,ROW()-1),1)))/STDEV(OFFSET(分析データ!F$1,MAX(1,ROW()-$C$7),0,MIN($C$7,ROW()-1),1)),0))</f>
        <v>0</v>
      </c>
      <c r="BS1089">
        <f t="shared" ca="1" si="464"/>
        <v>0</v>
      </c>
      <c r="BT1089" t="str">
        <f ca="1">IF(BS1089=1,IF(INDEX(分析データ!$A:$A,ROW()+$C$5)&lt;&gt;"",40000*SIGN(BR1089)*(分析データ!F1089-INDEX(分析データ!F:F,ROW()+$C$5)),""),"")</f>
        <v/>
      </c>
      <c r="BU1089">
        <f t="shared" ca="1" si="465"/>
        <v>19816800</v>
      </c>
      <c r="BV1089">
        <f t="shared" ca="1" si="466"/>
        <v>19816800</v>
      </c>
      <c r="BW1089">
        <f t="shared" ca="1" si="467"/>
        <v>0</v>
      </c>
      <c r="BX1089">
        <f ca="1">IF(ROW()&lt;($C$7+1),"",IFERROR((分析データ!G1089-AVERAGE(OFFSET(分析データ!G$1,MAX(1,ROW()-$C$7),0,MIN($C$7,ROW()-1),1)))/STDEV(OFFSET(分析データ!G$1,MAX(1,ROW()-$C$7),0,MIN($C$7,ROW()-1),1)),0))</f>
        <v>0</v>
      </c>
      <c r="BY1089">
        <f t="shared" ca="1" si="468"/>
        <v>0</v>
      </c>
      <c r="BZ1089" t="str">
        <f ca="1">IF(BY1089=1,IF(INDEX(分析データ!$A:$A,ROW()+$C$5)&lt;&gt;"",40000*SIGN(BX1089)*(分析データ!G1089-INDEX(分析データ!G:G,ROW()+$C$5)),""),"")</f>
        <v/>
      </c>
      <c r="CA1089">
        <f t="shared" ca="1" si="469"/>
        <v>-3515452.8662109179</v>
      </c>
      <c r="CB1089">
        <f t="shared" ca="1" si="470"/>
        <v>11327520.000000004</v>
      </c>
      <c r="CC1089">
        <f t="shared" ca="1" si="471"/>
        <v>-14842972.866210923</v>
      </c>
      <c r="CD1089">
        <f t="shared" ca="1" si="472"/>
        <v>0</v>
      </c>
      <c r="CE1089">
        <f t="shared" ca="1" si="473"/>
        <v>23090347.13378913</v>
      </c>
      <c r="CF1089">
        <f t="shared" ca="1" si="474"/>
        <v>23090347.13378913</v>
      </c>
      <c r="CG1089">
        <f t="shared" ca="1" si="475"/>
        <v>0</v>
      </c>
      <c r="CH1089" s="10" t="str">
        <f>分析データ!A1089</f>
        <v/>
      </c>
    </row>
    <row r="1090" spans="46:86">
      <c r="AT1090">
        <f ca="1">IF(ROW()&lt;($C$7+1),"",IFERROR((分析データ!B1090-AVERAGE(OFFSET(分析データ!B$1,MAX(1,ROW()-$C$7),0,MIN($C$7,ROW()-1),1)))/STDEV(OFFSET(分析データ!B$1,MAX(1,ROW()-$C$7),0,MIN($C$7,ROW()-1),1)),0))</f>
        <v>0</v>
      </c>
      <c r="AU1090">
        <f t="shared" ref="AU1090:AU1153" ca="1" si="476">IF(ISNUMBER(AT1090),IF(ABS(AT1090)&gt;=$C$6,1,0),0)</f>
        <v>0</v>
      </c>
      <c r="AV1090" t="str">
        <f ca="1">IF(AU1090=1,IF(INDEX(分析データ!$A:$A,ROW()+$C$5)&lt;&gt;"",80000*SIGN(AT1090)*(分析データ!B1090-INDEX(分析データ!B:B,ROW()+$C$5)),""),"")</f>
        <v/>
      </c>
      <c r="AW1090">
        <f t="shared" ref="AW1090:AW1153" ca="1" si="477">AW1089+IF(AND(AU1090=1,ISNUMBER(AV1090)),AV1090,0)</f>
        <v>-1240000.0000000019</v>
      </c>
      <c r="AX1090">
        <f t="shared" ref="AX1090:AX1153" ca="1" si="478">MAX(AX1089,AW1090)</f>
        <v>0</v>
      </c>
      <c r="AY1090">
        <f t="shared" ref="AY1090:AY1153" ca="1" si="479">AW1090-AX1090</f>
        <v>-1240000.0000000019</v>
      </c>
      <c r="AZ1090">
        <f ca="1">IF(ROW()&lt;($C$7+1),"",IFERROR((分析データ!C1090-AVERAGE(OFFSET(分析データ!C$1,MAX(1,ROW()-$C$7),0,MIN($C$7,ROW()-1),1)))/STDEV(OFFSET(分析データ!C$1,MAX(1,ROW()-$C$7),0,MIN($C$7,ROW()-1),1)),0))</f>
        <v>0</v>
      </c>
      <c r="BA1090">
        <f t="shared" ref="BA1090:BA1153" ca="1" si="480">IF(ISNUMBER(AZ1090),IF(ABS(AZ1090)&gt;=$C$6,1,0),0)</f>
        <v>0</v>
      </c>
      <c r="BB1090" t="str">
        <f ca="1">IF(BA1090=1,IF(INDEX(分析データ!$A:$A,ROW()+$C$5)&lt;&gt;"",60000*SIGN(AZ1090)*(分析データ!C1090-INDEX(分析データ!C:C,ROW()+$C$5)),""),"")</f>
        <v/>
      </c>
      <c r="BC1090">
        <f t="shared" ref="BC1090:BC1153" ca="1" si="481">BC1089+IF(AND(BA1090=1,ISNUMBER(BB1090)),BB1090,0)</f>
        <v>-260999.9999999851</v>
      </c>
      <c r="BD1090">
        <f t="shared" ref="BD1090:BD1153" ca="1" si="482">MAX(BD1089,BC1090)</f>
        <v>3156000.0000000107</v>
      </c>
      <c r="BE1090">
        <f t="shared" ref="BE1090:BE1153" ca="1" si="483">BC1090-BD1090</f>
        <v>-3416999.9999999958</v>
      </c>
      <c r="BF1090">
        <f ca="1">IF(ROW()&lt;($C$7+1),"",IFERROR((分析データ!D1090-AVERAGE(OFFSET(分析データ!D$1,MAX(1,ROW()-$C$7),0,MIN($C$7,ROW()-1),1)))/STDEV(OFFSET(分析データ!D$1,MAX(1,ROW()-$C$7),0,MIN($C$7,ROW()-1),1)),0))</f>
        <v>0</v>
      </c>
      <c r="BG1090">
        <f t="shared" ref="BG1090:BG1153" ca="1" si="484">IF(ISNUMBER(BF1090),IF(ABS(BF1090)&gt;=$C$6,1,0),0)</f>
        <v>0</v>
      </c>
      <c r="BH1090" t="str">
        <f ca="1">IF(BG1090=1,IF(INDEX(分析データ!$A:$A,ROW()+$C$5)&lt;&gt;"",50000*SIGN(BF1090)*(分析データ!D1090-INDEX(分析データ!D:D,ROW()+$C$5)),""),"")</f>
        <v/>
      </c>
      <c r="BI1090">
        <f t="shared" ref="BI1090:BI1153" ca="1" si="485">BI1089+IF(AND(BG1090=1,ISNUMBER(BH1090)),BH1090,0)</f>
        <v>5570000.0000000205</v>
      </c>
      <c r="BJ1090">
        <f t="shared" ref="BJ1090:BJ1153" ca="1" si="486">MAX(BJ1089,BI1090)</f>
        <v>5570000.0000000205</v>
      </c>
      <c r="BK1090">
        <f t="shared" ref="BK1090:BK1153" ca="1" si="487">BI1090-BJ1090</f>
        <v>0</v>
      </c>
      <c r="BL1090">
        <f ca="1">IF(ROW()&lt;($C$7+1),"",IFERROR((分析データ!E1090-AVERAGE(OFFSET(分析データ!E$1,MAX(1,ROW()-$C$7),0,MIN($C$7,ROW()-1),1)))/STDEV(OFFSET(分析データ!E$1,MAX(1,ROW()-$C$7),0,MIN($C$7,ROW()-1),1)),0))</f>
        <v>0</v>
      </c>
      <c r="BM1090">
        <f t="shared" ref="BM1090:BM1153" ca="1" si="488">IF(ISNUMBER(BL1090),IF(ABS(BL1090)&gt;=$C$6,1,0),0)</f>
        <v>0</v>
      </c>
      <c r="BN1090" t="str">
        <f ca="1">IF(BM1090=1,IF(INDEX(分析データ!$A:$A,ROW()+$C$5)&lt;&gt;"",40000*SIGN(BL1090)*(分析データ!E1090-INDEX(分析データ!E:E,ROW()+$C$5)),""),"")</f>
        <v/>
      </c>
      <c r="BO1090">
        <f t="shared" ref="BO1090:BO1153" ca="1" si="489">BO1089+IF(AND(BM1090=1,ISNUMBER(BN1090)),BN1090,0)</f>
        <v>2720000.0000000014</v>
      </c>
      <c r="BP1090">
        <f t="shared" ref="BP1090:BP1153" ca="1" si="490">MAX(BP1089,BO1090)</f>
        <v>4280000.0000000028</v>
      </c>
      <c r="BQ1090">
        <f t="shared" ref="BQ1090:BQ1153" ca="1" si="491">BO1090-BP1090</f>
        <v>-1560000.0000000014</v>
      </c>
      <c r="BR1090">
        <f ca="1">IF(ROW()&lt;($C$7+1),"",IFERROR((分析データ!F1090-AVERAGE(OFFSET(分析データ!F$1,MAX(1,ROW()-$C$7),0,MIN($C$7,ROW()-1),1)))/STDEV(OFFSET(分析データ!F$1,MAX(1,ROW()-$C$7),0,MIN($C$7,ROW()-1),1)),0))</f>
        <v>0</v>
      </c>
      <c r="BS1090">
        <f t="shared" ref="BS1090:BS1153" ca="1" si="492">IF(ISNUMBER(BR1090),IF(ABS(BR1090)&gt;=$C$6,1,0),0)</f>
        <v>0</v>
      </c>
      <c r="BT1090" t="str">
        <f ca="1">IF(BS1090=1,IF(INDEX(分析データ!$A:$A,ROW()+$C$5)&lt;&gt;"",40000*SIGN(BR1090)*(分析データ!F1090-INDEX(分析データ!F:F,ROW()+$C$5)),""),"")</f>
        <v/>
      </c>
      <c r="BU1090">
        <f t="shared" ref="BU1090:BU1153" ca="1" si="493">BU1089+IF(AND(BS1090=1,ISNUMBER(BT1090)),BT1090,0)</f>
        <v>19816800</v>
      </c>
      <c r="BV1090">
        <f t="shared" ref="BV1090:BV1153" ca="1" si="494">MAX(BV1089,BU1090)</f>
        <v>19816800</v>
      </c>
      <c r="BW1090">
        <f t="shared" ref="BW1090:BW1153" ca="1" si="495">BU1090-BV1090</f>
        <v>0</v>
      </c>
      <c r="BX1090">
        <f ca="1">IF(ROW()&lt;($C$7+1),"",IFERROR((分析データ!G1090-AVERAGE(OFFSET(分析データ!G$1,MAX(1,ROW()-$C$7),0,MIN($C$7,ROW()-1),1)))/STDEV(OFFSET(分析データ!G$1,MAX(1,ROW()-$C$7),0,MIN($C$7,ROW()-1),1)),0))</f>
        <v>0</v>
      </c>
      <c r="BY1090">
        <f t="shared" ref="BY1090:BY1153" ca="1" si="496">IF(ISNUMBER(BX1090),IF(ABS(BX1090)&gt;=$C$6,1,0),0)</f>
        <v>0</v>
      </c>
      <c r="BZ1090" t="str">
        <f ca="1">IF(BY1090=1,IF(INDEX(分析データ!$A:$A,ROW()+$C$5)&lt;&gt;"",40000*SIGN(BX1090)*(分析データ!G1090-INDEX(分析データ!G:G,ROW()+$C$5)),""),"")</f>
        <v/>
      </c>
      <c r="CA1090">
        <f t="shared" ref="CA1090:CA1153" ca="1" si="497">CA1089+IF(AND(BY1090=1,ISNUMBER(BZ1090)),BZ1090,0)</f>
        <v>-3515452.8662109179</v>
      </c>
      <c r="CB1090">
        <f t="shared" ref="CB1090:CB1153" ca="1" si="498">MAX(CB1089,CA1090)</f>
        <v>11327520.000000004</v>
      </c>
      <c r="CC1090">
        <f t="shared" ref="CC1090:CC1153" ca="1" si="499">CA1090-CB1090</f>
        <v>-14842972.866210923</v>
      </c>
      <c r="CD1090">
        <f t="shared" ref="CD1090:CD1153" ca="1" si="500">N(AV1090)+N(BB1090)+N(BH1090)+N(BN1090)+N(BT1090)+N(BZ1090)</f>
        <v>0</v>
      </c>
      <c r="CE1090">
        <f t="shared" ref="CE1090:CE1153" ca="1" si="501">CE1089+CD1090</f>
        <v>23090347.13378913</v>
      </c>
      <c r="CF1090">
        <f t="shared" ref="CF1090:CF1153" ca="1" si="502">MAX(CF1089,CE1090)</f>
        <v>23090347.13378913</v>
      </c>
      <c r="CG1090">
        <f t="shared" ref="CG1090:CG1153" ca="1" si="503">CE1090-CF1090</f>
        <v>0</v>
      </c>
      <c r="CH1090" s="10" t="str">
        <f>分析データ!A1090</f>
        <v/>
      </c>
    </row>
    <row r="1091" spans="46:86">
      <c r="AT1091">
        <f ca="1">IF(ROW()&lt;($C$7+1),"",IFERROR((分析データ!B1091-AVERAGE(OFFSET(分析データ!B$1,MAX(1,ROW()-$C$7),0,MIN($C$7,ROW()-1),1)))/STDEV(OFFSET(分析データ!B$1,MAX(1,ROW()-$C$7),0,MIN($C$7,ROW()-1),1)),0))</f>
        <v>0</v>
      </c>
      <c r="AU1091">
        <f t="shared" ca="1" si="476"/>
        <v>0</v>
      </c>
      <c r="AV1091" t="str">
        <f ca="1">IF(AU1091=1,IF(INDEX(分析データ!$A:$A,ROW()+$C$5)&lt;&gt;"",80000*SIGN(AT1091)*(分析データ!B1091-INDEX(分析データ!B:B,ROW()+$C$5)),""),"")</f>
        <v/>
      </c>
      <c r="AW1091">
        <f t="shared" ca="1" si="477"/>
        <v>-1240000.0000000019</v>
      </c>
      <c r="AX1091">
        <f t="shared" ca="1" si="478"/>
        <v>0</v>
      </c>
      <c r="AY1091">
        <f t="shared" ca="1" si="479"/>
        <v>-1240000.0000000019</v>
      </c>
      <c r="AZ1091">
        <f ca="1">IF(ROW()&lt;($C$7+1),"",IFERROR((分析データ!C1091-AVERAGE(OFFSET(分析データ!C$1,MAX(1,ROW()-$C$7),0,MIN($C$7,ROW()-1),1)))/STDEV(OFFSET(分析データ!C$1,MAX(1,ROW()-$C$7),0,MIN($C$7,ROW()-1),1)),0))</f>
        <v>0</v>
      </c>
      <c r="BA1091">
        <f t="shared" ca="1" si="480"/>
        <v>0</v>
      </c>
      <c r="BB1091" t="str">
        <f ca="1">IF(BA1091=1,IF(INDEX(分析データ!$A:$A,ROW()+$C$5)&lt;&gt;"",60000*SIGN(AZ1091)*(分析データ!C1091-INDEX(分析データ!C:C,ROW()+$C$5)),""),"")</f>
        <v/>
      </c>
      <c r="BC1091">
        <f t="shared" ca="1" si="481"/>
        <v>-260999.9999999851</v>
      </c>
      <c r="BD1091">
        <f t="shared" ca="1" si="482"/>
        <v>3156000.0000000107</v>
      </c>
      <c r="BE1091">
        <f t="shared" ca="1" si="483"/>
        <v>-3416999.9999999958</v>
      </c>
      <c r="BF1091">
        <f ca="1">IF(ROW()&lt;($C$7+1),"",IFERROR((分析データ!D1091-AVERAGE(OFFSET(分析データ!D$1,MAX(1,ROW()-$C$7),0,MIN($C$7,ROW()-1),1)))/STDEV(OFFSET(分析データ!D$1,MAX(1,ROW()-$C$7),0,MIN($C$7,ROW()-1),1)),0))</f>
        <v>0</v>
      </c>
      <c r="BG1091">
        <f t="shared" ca="1" si="484"/>
        <v>0</v>
      </c>
      <c r="BH1091" t="str">
        <f ca="1">IF(BG1091=1,IF(INDEX(分析データ!$A:$A,ROW()+$C$5)&lt;&gt;"",50000*SIGN(BF1091)*(分析データ!D1091-INDEX(分析データ!D:D,ROW()+$C$5)),""),"")</f>
        <v/>
      </c>
      <c r="BI1091">
        <f t="shared" ca="1" si="485"/>
        <v>5570000.0000000205</v>
      </c>
      <c r="BJ1091">
        <f t="shared" ca="1" si="486"/>
        <v>5570000.0000000205</v>
      </c>
      <c r="BK1091">
        <f t="shared" ca="1" si="487"/>
        <v>0</v>
      </c>
      <c r="BL1091">
        <f ca="1">IF(ROW()&lt;($C$7+1),"",IFERROR((分析データ!E1091-AVERAGE(OFFSET(分析データ!E$1,MAX(1,ROW()-$C$7),0,MIN($C$7,ROW()-1),1)))/STDEV(OFFSET(分析データ!E$1,MAX(1,ROW()-$C$7),0,MIN($C$7,ROW()-1),1)),0))</f>
        <v>0</v>
      </c>
      <c r="BM1091">
        <f t="shared" ca="1" si="488"/>
        <v>0</v>
      </c>
      <c r="BN1091" t="str">
        <f ca="1">IF(BM1091=1,IF(INDEX(分析データ!$A:$A,ROW()+$C$5)&lt;&gt;"",40000*SIGN(BL1091)*(分析データ!E1091-INDEX(分析データ!E:E,ROW()+$C$5)),""),"")</f>
        <v/>
      </c>
      <c r="BO1091">
        <f t="shared" ca="1" si="489"/>
        <v>2720000.0000000014</v>
      </c>
      <c r="BP1091">
        <f t="shared" ca="1" si="490"/>
        <v>4280000.0000000028</v>
      </c>
      <c r="BQ1091">
        <f t="shared" ca="1" si="491"/>
        <v>-1560000.0000000014</v>
      </c>
      <c r="BR1091">
        <f ca="1">IF(ROW()&lt;($C$7+1),"",IFERROR((分析データ!F1091-AVERAGE(OFFSET(分析データ!F$1,MAX(1,ROW()-$C$7),0,MIN($C$7,ROW()-1),1)))/STDEV(OFFSET(分析データ!F$1,MAX(1,ROW()-$C$7),0,MIN($C$7,ROW()-1),1)),0))</f>
        <v>0</v>
      </c>
      <c r="BS1091">
        <f t="shared" ca="1" si="492"/>
        <v>0</v>
      </c>
      <c r="BT1091" t="str">
        <f ca="1">IF(BS1091=1,IF(INDEX(分析データ!$A:$A,ROW()+$C$5)&lt;&gt;"",40000*SIGN(BR1091)*(分析データ!F1091-INDEX(分析データ!F:F,ROW()+$C$5)),""),"")</f>
        <v/>
      </c>
      <c r="BU1091">
        <f t="shared" ca="1" si="493"/>
        <v>19816800</v>
      </c>
      <c r="BV1091">
        <f t="shared" ca="1" si="494"/>
        <v>19816800</v>
      </c>
      <c r="BW1091">
        <f t="shared" ca="1" si="495"/>
        <v>0</v>
      </c>
      <c r="BX1091">
        <f ca="1">IF(ROW()&lt;($C$7+1),"",IFERROR((分析データ!G1091-AVERAGE(OFFSET(分析データ!G$1,MAX(1,ROW()-$C$7),0,MIN($C$7,ROW()-1),1)))/STDEV(OFFSET(分析データ!G$1,MAX(1,ROW()-$C$7),0,MIN($C$7,ROW()-1),1)),0))</f>
        <v>0</v>
      </c>
      <c r="BY1091">
        <f t="shared" ca="1" si="496"/>
        <v>0</v>
      </c>
      <c r="BZ1091" t="str">
        <f ca="1">IF(BY1091=1,IF(INDEX(分析データ!$A:$A,ROW()+$C$5)&lt;&gt;"",40000*SIGN(BX1091)*(分析データ!G1091-INDEX(分析データ!G:G,ROW()+$C$5)),""),"")</f>
        <v/>
      </c>
      <c r="CA1091">
        <f t="shared" ca="1" si="497"/>
        <v>-3515452.8662109179</v>
      </c>
      <c r="CB1091">
        <f t="shared" ca="1" si="498"/>
        <v>11327520.000000004</v>
      </c>
      <c r="CC1091">
        <f t="shared" ca="1" si="499"/>
        <v>-14842972.866210923</v>
      </c>
      <c r="CD1091">
        <f t="shared" ca="1" si="500"/>
        <v>0</v>
      </c>
      <c r="CE1091">
        <f t="shared" ca="1" si="501"/>
        <v>23090347.13378913</v>
      </c>
      <c r="CF1091">
        <f t="shared" ca="1" si="502"/>
        <v>23090347.13378913</v>
      </c>
      <c r="CG1091">
        <f t="shared" ca="1" si="503"/>
        <v>0</v>
      </c>
      <c r="CH1091" s="10" t="str">
        <f>分析データ!A1091</f>
        <v/>
      </c>
    </row>
    <row r="1092" spans="46:86">
      <c r="AT1092">
        <f ca="1">IF(ROW()&lt;($C$7+1),"",IFERROR((分析データ!B1092-AVERAGE(OFFSET(分析データ!B$1,MAX(1,ROW()-$C$7),0,MIN($C$7,ROW()-1),1)))/STDEV(OFFSET(分析データ!B$1,MAX(1,ROW()-$C$7),0,MIN($C$7,ROW()-1),1)),0))</f>
        <v>0</v>
      </c>
      <c r="AU1092">
        <f t="shared" ca="1" si="476"/>
        <v>0</v>
      </c>
      <c r="AV1092" t="str">
        <f ca="1">IF(AU1092=1,IF(INDEX(分析データ!$A:$A,ROW()+$C$5)&lt;&gt;"",80000*SIGN(AT1092)*(分析データ!B1092-INDEX(分析データ!B:B,ROW()+$C$5)),""),"")</f>
        <v/>
      </c>
      <c r="AW1092">
        <f t="shared" ca="1" si="477"/>
        <v>-1240000.0000000019</v>
      </c>
      <c r="AX1092">
        <f t="shared" ca="1" si="478"/>
        <v>0</v>
      </c>
      <c r="AY1092">
        <f t="shared" ca="1" si="479"/>
        <v>-1240000.0000000019</v>
      </c>
      <c r="AZ1092">
        <f ca="1">IF(ROW()&lt;($C$7+1),"",IFERROR((分析データ!C1092-AVERAGE(OFFSET(分析データ!C$1,MAX(1,ROW()-$C$7),0,MIN($C$7,ROW()-1),1)))/STDEV(OFFSET(分析データ!C$1,MAX(1,ROW()-$C$7),0,MIN($C$7,ROW()-1),1)),0))</f>
        <v>0</v>
      </c>
      <c r="BA1092">
        <f t="shared" ca="1" si="480"/>
        <v>0</v>
      </c>
      <c r="BB1092" t="str">
        <f ca="1">IF(BA1092=1,IF(INDEX(分析データ!$A:$A,ROW()+$C$5)&lt;&gt;"",60000*SIGN(AZ1092)*(分析データ!C1092-INDEX(分析データ!C:C,ROW()+$C$5)),""),"")</f>
        <v/>
      </c>
      <c r="BC1092">
        <f t="shared" ca="1" si="481"/>
        <v>-260999.9999999851</v>
      </c>
      <c r="BD1092">
        <f t="shared" ca="1" si="482"/>
        <v>3156000.0000000107</v>
      </c>
      <c r="BE1092">
        <f t="shared" ca="1" si="483"/>
        <v>-3416999.9999999958</v>
      </c>
      <c r="BF1092">
        <f ca="1">IF(ROW()&lt;($C$7+1),"",IFERROR((分析データ!D1092-AVERAGE(OFFSET(分析データ!D$1,MAX(1,ROW()-$C$7),0,MIN($C$7,ROW()-1),1)))/STDEV(OFFSET(分析データ!D$1,MAX(1,ROW()-$C$7),0,MIN($C$7,ROW()-1),1)),0))</f>
        <v>0</v>
      </c>
      <c r="BG1092">
        <f t="shared" ca="1" si="484"/>
        <v>0</v>
      </c>
      <c r="BH1092" t="str">
        <f ca="1">IF(BG1092=1,IF(INDEX(分析データ!$A:$A,ROW()+$C$5)&lt;&gt;"",50000*SIGN(BF1092)*(分析データ!D1092-INDEX(分析データ!D:D,ROW()+$C$5)),""),"")</f>
        <v/>
      </c>
      <c r="BI1092">
        <f t="shared" ca="1" si="485"/>
        <v>5570000.0000000205</v>
      </c>
      <c r="BJ1092">
        <f t="shared" ca="1" si="486"/>
        <v>5570000.0000000205</v>
      </c>
      <c r="BK1092">
        <f t="shared" ca="1" si="487"/>
        <v>0</v>
      </c>
      <c r="BL1092">
        <f ca="1">IF(ROW()&lt;($C$7+1),"",IFERROR((分析データ!E1092-AVERAGE(OFFSET(分析データ!E$1,MAX(1,ROW()-$C$7),0,MIN($C$7,ROW()-1),1)))/STDEV(OFFSET(分析データ!E$1,MAX(1,ROW()-$C$7),0,MIN($C$7,ROW()-1),1)),0))</f>
        <v>0</v>
      </c>
      <c r="BM1092">
        <f t="shared" ca="1" si="488"/>
        <v>0</v>
      </c>
      <c r="BN1092" t="str">
        <f ca="1">IF(BM1092=1,IF(INDEX(分析データ!$A:$A,ROW()+$C$5)&lt;&gt;"",40000*SIGN(BL1092)*(分析データ!E1092-INDEX(分析データ!E:E,ROW()+$C$5)),""),"")</f>
        <v/>
      </c>
      <c r="BO1092">
        <f t="shared" ca="1" si="489"/>
        <v>2720000.0000000014</v>
      </c>
      <c r="BP1092">
        <f t="shared" ca="1" si="490"/>
        <v>4280000.0000000028</v>
      </c>
      <c r="BQ1092">
        <f t="shared" ca="1" si="491"/>
        <v>-1560000.0000000014</v>
      </c>
      <c r="BR1092">
        <f ca="1">IF(ROW()&lt;($C$7+1),"",IFERROR((分析データ!F1092-AVERAGE(OFFSET(分析データ!F$1,MAX(1,ROW()-$C$7),0,MIN($C$7,ROW()-1),1)))/STDEV(OFFSET(分析データ!F$1,MAX(1,ROW()-$C$7),0,MIN($C$7,ROW()-1),1)),0))</f>
        <v>0</v>
      </c>
      <c r="BS1092">
        <f t="shared" ca="1" si="492"/>
        <v>0</v>
      </c>
      <c r="BT1092" t="str">
        <f ca="1">IF(BS1092=1,IF(INDEX(分析データ!$A:$A,ROW()+$C$5)&lt;&gt;"",40000*SIGN(BR1092)*(分析データ!F1092-INDEX(分析データ!F:F,ROW()+$C$5)),""),"")</f>
        <v/>
      </c>
      <c r="BU1092">
        <f t="shared" ca="1" si="493"/>
        <v>19816800</v>
      </c>
      <c r="BV1092">
        <f t="shared" ca="1" si="494"/>
        <v>19816800</v>
      </c>
      <c r="BW1092">
        <f t="shared" ca="1" si="495"/>
        <v>0</v>
      </c>
      <c r="BX1092">
        <f ca="1">IF(ROW()&lt;($C$7+1),"",IFERROR((分析データ!G1092-AVERAGE(OFFSET(分析データ!G$1,MAX(1,ROW()-$C$7),0,MIN($C$7,ROW()-1),1)))/STDEV(OFFSET(分析データ!G$1,MAX(1,ROW()-$C$7),0,MIN($C$7,ROW()-1),1)),0))</f>
        <v>0</v>
      </c>
      <c r="BY1092">
        <f t="shared" ca="1" si="496"/>
        <v>0</v>
      </c>
      <c r="BZ1092" t="str">
        <f ca="1">IF(BY1092=1,IF(INDEX(分析データ!$A:$A,ROW()+$C$5)&lt;&gt;"",40000*SIGN(BX1092)*(分析データ!G1092-INDEX(分析データ!G:G,ROW()+$C$5)),""),"")</f>
        <v/>
      </c>
      <c r="CA1092">
        <f t="shared" ca="1" si="497"/>
        <v>-3515452.8662109179</v>
      </c>
      <c r="CB1092">
        <f t="shared" ca="1" si="498"/>
        <v>11327520.000000004</v>
      </c>
      <c r="CC1092">
        <f t="shared" ca="1" si="499"/>
        <v>-14842972.866210923</v>
      </c>
      <c r="CD1092">
        <f t="shared" ca="1" si="500"/>
        <v>0</v>
      </c>
      <c r="CE1092">
        <f t="shared" ca="1" si="501"/>
        <v>23090347.13378913</v>
      </c>
      <c r="CF1092">
        <f t="shared" ca="1" si="502"/>
        <v>23090347.13378913</v>
      </c>
      <c r="CG1092">
        <f t="shared" ca="1" si="503"/>
        <v>0</v>
      </c>
      <c r="CH1092" s="10" t="str">
        <f>分析データ!A1092</f>
        <v/>
      </c>
    </row>
    <row r="1093" spans="46:86">
      <c r="AT1093">
        <f ca="1">IF(ROW()&lt;($C$7+1),"",IFERROR((分析データ!B1093-AVERAGE(OFFSET(分析データ!B$1,MAX(1,ROW()-$C$7),0,MIN($C$7,ROW()-1),1)))/STDEV(OFFSET(分析データ!B$1,MAX(1,ROW()-$C$7),0,MIN($C$7,ROW()-1),1)),0))</f>
        <v>0</v>
      </c>
      <c r="AU1093">
        <f t="shared" ca="1" si="476"/>
        <v>0</v>
      </c>
      <c r="AV1093" t="str">
        <f ca="1">IF(AU1093=1,IF(INDEX(分析データ!$A:$A,ROW()+$C$5)&lt;&gt;"",80000*SIGN(AT1093)*(分析データ!B1093-INDEX(分析データ!B:B,ROW()+$C$5)),""),"")</f>
        <v/>
      </c>
      <c r="AW1093">
        <f t="shared" ca="1" si="477"/>
        <v>-1240000.0000000019</v>
      </c>
      <c r="AX1093">
        <f t="shared" ca="1" si="478"/>
        <v>0</v>
      </c>
      <c r="AY1093">
        <f t="shared" ca="1" si="479"/>
        <v>-1240000.0000000019</v>
      </c>
      <c r="AZ1093">
        <f ca="1">IF(ROW()&lt;($C$7+1),"",IFERROR((分析データ!C1093-AVERAGE(OFFSET(分析データ!C$1,MAX(1,ROW()-$C$7),0,MIN($C$7,ROW()-1),1)))/STDEV(OFFSET(分析データ!C$1,MAX(1,ROW()-$C$7),0,MIN($C$7,ROW()-1),1)),0))</f>
        <v>0</v>
      </c>
      <c r="BA1093">
        <f t="shared" ca="1" si="480"/>
        <v>0</v>
      </c>
      <c r="BB1093" t="str">
        <f ca="1">IF(BA1093=1,IF(INDEX(分析データ!$A:$A,ROW()+$C$5)&lt;&gt;"",60000*SIGN(AZ1093)*(分析データ!C1093-INDEX(分析データ!C:C,ROW()+$C$5)),""),"")</f>
        <v/>
      </c>
      <c r="BC1093">
        <f t="shared" ca="1" si="481"/>
        <v>-260999.9999999851</v>
      </c>
      <c r="BD1093">
        <f t="shared" ca="1" si="482"/>
        <v>3156000.0000000107</v>
      </c>
      <c r="BE1093">
        <f t="shared" ca="1" si="483"/>
        <v>-3416999.9999999958</v>
      </c>
      <c r="BF1093">
        <f ca="1">IF(ROW()&lt;($C$7+1),"",IFERROR((分析データ!D1093-AVERAGE(OFFSET(分析データ!D$1,MAX(1,ROW()-$C$7),0,MIN($C$7,ROW()-1),1)))/STDEV(OFFSET(分析データ!D$1,MAX(1,ROW()-$C$7),0,MIN($C$7,ROW()-1),1)),0))</f>
        <v>0</v>
      </c>
      <c r="BG1093">
        <f t="shared" ca="1" si="484"/>
        <v>0</v>
      </c>
      <c r="BH1093" t="str">
        <f ca="1">IF(BG1093=1,IF(INDEX(分析データ!$A:$A,ROW()+$C$5)&lt;&gt;"",50000*SIGN(BF1093)*(分析データ!D1093-INDEX(分析データ!D:D,ROW()+$C$5)),""),"")</f>
        <v/>
      </c>
      <c r="BI1093">
        <f t="shared" ca="1" si="485"/>
        <v>5570000.0000000205</v>
      </c>
      <c r="BJ1093">
        <f t="shared" ca="1" si="486"/>
        <v>5570000.0000000205</v>
      </c>
      <c r="BK1093">
        <f t="shared" ca="1" si="487"/>
        <v>0</v>
      </c>
      <c r="BL1093">
        <f ca="1">IF(ROW()&lt;($C$7+1),"",IFERROR((分析データ!E1093-AVERAGE(OFFSET(分析データ!E$1,MAX(1,ROW()-$C$7),0,MIN($C$7,ROW()-1),1)))/STDEV(OFFSET(分析データ!E$1,MAX(1,ROW()-$C$7),0,MIN($C$7,ROW()-1),1)),0))</f>
        <v>0</v>
      </c>
      <c r="BM1093">
        <f t="shared" ca="1" si="488"/>
        <v>0</v>
      </c>
      <c r="BN1093" t="str">
        <f ca="1">IF(BM1093=1,IF(INDEX(分析データ!$A:$A,ROW()+$C$5)&lt;&gt;"",40000*SIGN(BL1093)*(分析データ!E1093-INDEX(分析データ!E:E,ROW()+$C$5)),""),"")</f>
        <v/>
      </c>
      <c r="BO1093">
        <f t="shared" ca="1" si="489"/>
        <v>2720000.0000000014</v>
      </c>
      <c r="BP1093">
        <f t="shared" ca="1" si="490"/>
        <v>4280000.0000000028</v>
      </c>
      <c r="BQ1093">
        <f t="shared" ca="1" si="491"/>
        <v>-1560000.0000000014</v>
      </c>
      <c r="BR1093">
        <f ca="1">IF(ROW()&lt;($C$7+1),"",IFERROR((分析データ!F1093-AVERAGE(OFFSET(分析データ!F$1,MAX(1,ROW()-$C$7),0,MIN($C$7,ROW()-1),1)))/STDEV(OFFSET(分析データ!F$1,MAX(1,ROW()-$C$7),0,MIN($C$7,ROW()-1),1)),0))</f>
        <v>0</v>
      </c>
      <c r="BS1093">
        <f t="shared" ca="1" si="492"/>
        <v>0</v>
      </c>
      <c r="BT1093" t="str">
        <f ca="1">IF(BS1093=1,IF(INDEX(分析データ!$A:$A,ROW()+$C$5)&lt;&gt;"",40000*SIGN(BR1093)*(分析データ!F1093-INDEX(分析データ!F:F,ROW()+$C$5)),""),"")</f>
        <v/>
      </c>
      <c r="BU1093">
        <f t="shared" ca="1" si="493"/>
        <v>19816800</v>
      </c>
      <c r="BV1093">
        <f t="shared" ca="1" si="494"/>
        <v>19816800</v>
      </c>
      <c r="BW1093">
        <f t="shared" ca="1" si="495"/>
        <v>0</v>
      </c>
      <c r="BX1093">
        <f ca="1">IF(ROW()&lt;($C$7+1),"",IFERROR((分析データ!G1093-AVERAGE(OFFSET(分析データ!G$1,MAX(1,ROW()-$C$7),0,MIN($C$7,ROW()-1),1)))/STDEV(OFFSET(分析データ!G$1,MAX(1,ROW()-$C$7),0,MIN($C$7,ROW()-1),1)),0))</f>
        <v>0</v>
      </c>
      <c r="BY1093">
        <f t="shared" ca="1" si="496"/>
        <v>0</v>
      </c>
      <c r="BZ1093" t="str">
        <f ca="1">IF(BY1093=1,IF(INDEX(分析データ!$A:$A,ROW()+$C$5)&lt;&gt;"",40000*SIGN(BX1093)*(分析データ!G1093-INDEX(分析データ!G:G,ROW()+$C$5)),""),"")</f>
        <v/>
      </c>
      <c r="CA1093">
        <f t="shared" ca="1" si="497"/>
        <v>-3515452.8662109179</v>
      </c>
      <c r="CB1093">
        <f t="shared" ca="1" si="498"/>
        <v>11327520.000000004</v>
      </c>
      <c r="CC1093">
        <f t="shared" ca="1" si="499"/>
        <v>-14842972.866210923</v>
      </c>
      <c r="CD1093">
        <f t="shared" ca="1" si="500"/>
        <v>0</v>
      </c>
      <c r="CE1093">
        <f t="shared" ca="1" si="501"/>
        <v>23090347.13378913</v>
      </c>
      <c r="CF1093">
        <f t="shared" ca="1" si="502"/>
        <v>23090347.13378913</v>
      </c>
      <c r="CG1093">
        <f t="shared" ca="1" si="503"/>
        <v>0</v>
      </c>
      <c r="CH1093" s="10" t="str">
        <f>分析データ!A1093</f>
        <v/>
      </c>
    </row>
    <row r="1094" spans="46:86">
      <c r="AT1094">
        <f ca="1">IF(ROW()&lt;($C$7+1),"",IFERROR((分析データ!B1094-AVERAGE(OFFSET(分析データ!B$1,MAX(1,ROW()-$C$7),0,MIN($C$7,ROW()-1),1)))/STDEV(OFFSET(分析データ!B$1,MAX(1,ROW()-$C$7),0,MIN($C$7,ROW()-1),1)),0))</f>
        <v>0</v>
      </c>
      <c r="AU1094">
        <f t="shared" ca="1" si="476"/>
        <v>0</v>
      </c>
      <c r="AV1094" t="str">
        <f ca="1">IF(AU1094=1,IF(INDEX(分析データ!$A:$A,ROW()+$C$5)&lt;&gt;"",80000*SIGN(AT1094)*(分析データ!B1094-INDEX(分析データ!B:B,ROW()+$C$5)),""),"")</f>
        <v/>
      </c>
      <c r="AW1094">
        <f t="shared" ca="1" si="477"/>
        <v>-1240000.0000000019</v>
      </c>
      <c r="AX1094">
        <f t="shared" ca="1" si="478"/>
        <v>0</v>
      </c>
      <c r="AY1094">
        <f t="shared" ca="1" si="479"/>
        <v>-1240000.0000000019</v>
      </c>
      <c r="AZ1094">
        <f ca="1">IF(ROW()&lt;($C$7+1),"",IFERROR((分析データ!C1094-AVERAGE(OFFSET(分析データ!C$1,MAX(1,ROW()-$C$7),0,MIN($C$7,ROW()-1),1)))/STDEV(OFFSET(分析データ!C$1,MAX(1,ROW()-$C$7),0,MIN($C$7,ROW()-1),1)),0))</f>
        <v>0</v>
      </c>
      <c r="BA1094">
        <f t="shared" ca="1" si="480"/>
        <v>0</v>
      </c>
      <c r="BB1094" t="str">
        <f ca="1">IF(BA1094=1,IF(INDEX(分析データ!$A:$A,ROW()+$C$5)&lt;&gt;"",60000*SIGN(AZ1094)*(分析データ!C1094-INDEX(分析データ!C:C,ROW()+$C$5)),""),"")</f>
        <v/>
      </c>
      <c r="BC1094">
        <f t="shared" ca="1" si="481"/>
        <v>-260999.9999999851</v>
      </c>
      <c r="BD1094">
        <f t="shared" ca="1" si="482"/>
        <v>3156000.0000000107</v>
      </c>
      <c r="BE1094">
        <f t="shared" ca="1" si="483"/>
        <v>-3416999.9999999958</v>
      </c>
      <c r="BF1094">
        <f ca="1">IF(ROW()&lt;($C$7+1),"",IFERROR((分析データ!D1094-AVERAGE(OFFSET(分析データ!D$1,MAX(1,ROW()-$C$7),0,MIN($C$7,ROW()-1),1)))/STDEV(OFFSET(分析データ!D$1,MAX(1,ROW()-$C$7),0,MIN($C$7,ROW()-1),1)),0))</f>
        <v>0</v>
      </c>
      <c r="BG1094">
        <f t="shared" ca="1" si="484"/>
        <v>0</v>
      </c>
      <c r="BH1094" t="str">
        <f ca="1">IF(BG1094=1,IF(INDEX(分析データ!$A:$A,ROW()+$C$5)&lt;&gt;"",50000*SIGN(BF1094)*(分析データ!D1094-INDEX(分析データ!D:D,ROW()+$C$5)),""),"")</f>
        <v/>
      </c>
      <c r="BI1094">
        <f t="shared" ca="1" si="485"/>
        <v>5570000.0000000205</v>
      </c>
      <c r="BJ1094">
        <f t="shared" ca="1" si="486"/>
        <v>5570000.0000000205</v>
      </c>
      <c r="BK1094">
        <f t="shared" ca="1" si="487"/>
        <v>0</v>
      </c>
      <c r="BL1094">
        <f ca="1">IF(ROW()&lt;($C$7+1),"",IFERROR((分析データ!E1094-AVERAGE(OFFSET(分析データ!E$1,MAX(1,ROW()-$C$7),0,MIN($C$7,ROW()-1),1)))/STDEV(OFFSET(分析データ!E$1,MAX(1,ROW()-$C$7),0,MIN($C$7,ROW()-1),1)),0))</f>
        <v>0</v>
      </c>
      <c r="BM1094">
        <f t="shared" ca="1" si="488"/>
        <v>0</v>
      </c>
      <c r="BN1094" t="str">
        <f ca="1">IF(BM1094=1,IF(INDEX(分析データ!$A:$A,ROW()+$C$5)&lt;&gt;"",40000*SIGN(BL1094)*(分析データ!E1094-INDEX(分析データ!E:E,ROW()+$C$5)),""),"")</f>
        <v/>
      </c>
      <c r="BO1094">
        <f t="shared" ca="1" si="489"/>
        <v>2720000.0000000014</v>
      </c>
      <c r="BP1094">
        <f t="shared" ca="1" si="490"/>
        <v>4280000.0000000028</v>
      </c>
      <c r="BQ1094">
        <f t="shared" ca="1" si="491"/>
        <v>-1560000.0000000014</v>
      </c>
      <c r="BR1094">
        <f ca="1">IF(ROW()&lt;($C$7+1),"",IFERROR((分析データ!F1094-AVERAGE(OFFSET(分析データ!F$1,MAX(1,ROW()-$C$7),0,MIN($C$7,ROW()-1),1)))/STDEV(OFFSET(分析データ!F$1,MAX(1,ROW()-$C$7),0,MIN($C$7,ROW()-1),1)),0))</f>
        <v>0</v>
      </c>
      <c r="BS1094">
        <f t="shared" ca="1" si="492"/>
        <v>0</v>
      </c>
      <c r="BT1094" t="str">
        <f ca="1">IF(BS1094=1,IF(INDEX(分析データ!$A:$A,ROW()+$C$5)&lt;&gt;"",40000*SIGN(BR1094)*(分析データ!F1094-INDEX(分析データ!F:F,ROW()+$C$5)),""),"")</f>
        <v/>
      </c>
      <c r="BU1094">
        <f t="shared" ca="1" si="493"/>
        <v>19816800</v>
      </c>
      <c r="BV1094">
        <f t="shared" ca="1" si="494"/>
        <v>19816800</v>
      </c>
      <c r="BW1094">
        <f t="shared" ca="1" si="495"/>
        <v>0</v>
      </c>
      <c r="BX1094">
        <f ca="1">IF(ROW()&lt;($C$7+1),"",IFERROR((分析データ!G1094-AVERAGE(OFFSET(分析データ!G$1,MAX(1,ROW()-$C$7),0,MIN($C$7,ROW()-1),1)))/STDEV(OFFSET(分析データ!G$1,MAX(1,ROW()-$C$7),0,MIN($C$7,ROW()-1),1)),0))</f>
        <v>0</v>
      </c>
      <c r="BY1094">
        <f t="shared" ca="1" si="496"/>
        <v>0</v>
      </c>
      <c r="BZ1094" t="str">
        <f ca="1">IF(BY1094=1,IF(INDEX(分析データ!$A:$A,ROW()+$C$5)&lt;&gt;"",40000*SIGN(BX1094)*(分析データ!G1094-INDEX(分析データ!G:G,ROW()+$C$5)),""),"")</f>
        <v/>
      </c>
      <c r="CA1094">
        <f t="shared" ca="1" si="497"/>
        <v>-3515452.8662109179</v>
      </c>
      <c r="CB1094">
        <f t="shared" ca="1" si="498"/>
        <v>11327520.000000004</v>
      </c>
      <c r="CC1094">
        <f t="shared" ca="1" si="499"/>
        <v>-14842972.866210923</v>
      </c>
      <c r="CD1094">
        <f t="shared" ca="1" si="500"/>
        <v>0</v>
      </c>
      <c r="CE1094">
        <f t="shared" ca="1" si="501"/>
        <v>23090347.13378913</v>
      </c>
      <c r="CF1094">
        <f t="shared" ca="1" si="502"/>
        <v>23090347.13378913</v>
      </c>
      <c r="CG1094">
        <f t="shared" ca="1" si="503"/>
        <v>0</v>
      </c>
      <c r="CH1094" s="10" t="str">
        <f>分析データ!A1094</f>
        <v/>
      </c>
    </row>
    <row r="1095" spans="46:86">
      <c r="AT1095">
        <f ca="1">IF(ROW()&lt;($C$7+1),"",IFERROR((分析データ!B1095-AVERAGE(OFFSET(分析データ!B$1,MAX(1,ROW()-$C$7),0,MIN($C$7,ROW()-1),1)))/STDEV(OFFSET(分析データ!B$1,MAX(1,ROW()-$C$7),0,MIN($C$7,ROW()-1),1)),0))</f>
        <v>0</v>
      </c>
      <c r="AU1095">
        <f t="shared" ca="1" si="476"/>
        <v>0</v>
      </c>
      <c r="AV1095" t="str">
        <f ca="1">IF(AU1095=1,IF(INDEX(分析データ!$A:$A,ROW()+$C$5)&lt;&gt;"",80000*SIGN(AT1095)*(分析データ!B1095-INDEX(分析データ!B:B,ROW()+$C$5)),""),"")</f>
        <v/>
      </c>
      <c r="AW1095">
        <f t="shared" ca="1" si="477"/>
        <v>-1240000.0000000019</v>
      </c>
      <c r="AX1095">
        <f t="shared" ca="1" si="478"/>
        <v>0</v>
      </c>
      <c r="AY1095">
        <f t="shared" ca="1" si="479"/>
        <v>-1240000.0000000019</v>
      </c>
      <c r="AZ1095">
        <f ca="1">IF(ROW()&lt;($C$7+1),"",IFERROR((分析データ!C1095-AVERAGE(OFFSET(分析データ!C$1,MAX(1,ROW()-$C$7),0,MIN($C$7,ROW()-1),1)))/STDEV(OFFSET(分析データ!C$1,MAX(1,ROW()-$C$7),0,MIN($C$7,ROW()-1),1)),0))</f>
        <v>0</v>
      </c>
      <c r="BA1095">
        <f t="shared" ca="1" si="480"/>
        <v>0</v>
      </c>
      <c r="BB1095" t="str">
        <f ca="1">IF(BA1095=1,IF(INDEX(分析データ!$A:$A,ROW()+$C$5)&lt;&gt;"",60000*SIGN(AZ1095)*(分析データ!C1095-INDEX(分析データ!C:C,ROW()+$C$5)),""),"")</f>
        <v/>
      </c>
      <c r="BC1095">
        <f t="shared" ca="1" si="481"/>
        <v>-260999.9999999851</v>
      </c>
      <c r="BD1095">
        <f t="shared" ca="1" si="482"/>
        <v>3156000.0000000107</v>
      </c>
      <c r="BE1095">
        <f t="shared" ca="1" si="483"/>
        <v>-3416999.9999999958</v>
      </c>
      <c r="BF1095">
        <f ca="1">IF(ROW()&lt;($C$7+1),"",IFERROR((分析データ!D1095-AVERAGE(OFFSET(分析データ!D$1,MAX(1,ROW()-$C$7),0,MIN($C$7,ROW()-1),1)))/STDEV(OFFSET(分析データ!D$1,MAX(1,ROW()-$C$7),0,MIN($C$7,ROW()-1),1)),0))</f>
        <v>0</v>
      </c>
      <c r="BG1095">
        <f t="shared" ca="1" si="484"/>
        <v>0</v>
      </c>
      <c r="BH1095" t="str">
        <f ca="1">IF(BG1095=1,IF(INDEX(分析データ!$A:$A,ROW()+$C$5)&lt;&gt;"",50000*SIGN(BF1095)*(分析データ!D1095-INDEX(分析データ!D:D,ROW()+$C$5)),""),"")</f>
        <v/>
      </c>
      <c r="BI1095">
        <f t="shared" ca="1" si="485"/>
        <v>5570000.0000000205</v>
      </c>
      <c r="BJ1095">
        <f t="shared" ca="1" si="486"/>
        <v>5570000.0000000205</v>
      </c>
      <c r="BK1095">
        <f t="shared" ca="1" si="487"/>
        <v>0</v>
      </c>
      <c r="BL1095">
        <f ca="1">IF(ROW()&lt;($C$7+1),"",IFERROR((分析データ!E1095-AVERAGE(OFFSET(分析データ!E$1,MAX(1,ROW()-$C$7),0,MIN($C$7,ROW()-1),1)))/STDEV(OFFSET(分析データ!E$1,MAX(1,ROW()-$C$7),0,MIN($C$7,ROW()-1),1)),0))</f>
        <v>0</v>
      </c>
      <c r="BM1095">
        <f t="shared" ca="1" si="488"/>
        <v>0</v>
      </c>
      <c r="BN1095" t="str">
        <f ca="1">IF(BM1095=1,IF(INDEX(分析データ!$A:$A,ROW()+$C$5)&lt;&gt;"",40000*SIGN(BL1095)*(分析データ!E1095-INDEX(分析データ!E:E,ROW()+$C$5)),""),"")</f>
        <v/>
      </c>
      <c r="BO1095">
        <f t="shared" ca="1" si="489"/>
        <v>2720000.0000000014</v>
      </c>
      <c r="BP1095">
        <f t="shared" ca="1" si="490"/>
        <v>4280000.0000000028</v>
      </c>
      <c r="BQ1095">
        <f t="shared" ca="1" si="491"/>
        <v>-1560000.0000000014</v>
      </c>
      <c r="BR1095">
        <f ca="1">IF(ROW()&lt;($C$7+1),"",IFERROR((分析データ!F1095-AVERAGE(OFFSET(分析データ!F$1,MAX(1,ROW()-$C$7),0,MIN($C$7,ROW()-1),1)))/STDEV(OFFSET(分析データ!F$1,MAX(1,ROW()-$C$7),0,MIN($C$7,ROW()-1),1)),0))</f>
        <v>0</v>
      </c>
      <c r="BS1095">
        <f t="shared" ca="1" si="492"/>
        <v>0</v>
      </c>
      <c r="BT1095" t="str">
        <f ca="1">IF(BS1095=1,IF(INDEX(分析データ!$A:$A,ROW()+$C$5)&lt;&gt;"",40000*SIGN(BR1095)*(分析データ!F1095-INDEX(分析データ!F:F,ROW()+$C$5)),""),"")</f>
        <v/>
      </c>
      <c r="BU1095">
        <f t="shared" ca="1" si="493"/>
        <v>19816800</v>
      </c>
      <c r="BV1095">
        <f t="shared" ca="1" si="494"/>
        <v>19816800</v>
      </c>
      <c r="BW1095">
        <f t="shared" ca="1" si="495"/>
        <v>0</v>
      </c>
      <c r="BX1095">
        <f ca="1">IF(ROW()&lt;($C$7+1),"",IFERROR((分析データ!G1095-AVERAGE(OFFSET(分析データ!G$1,MAX(1,ROW()-$C$7),0,MIN($C$7,ROW()-1),1)))/STDEV(OFFSET(分析データ!G$1,MAX(1,ROW()-$C$7),0,MIN($C$7,ROW()-1),1)),0))</f>
        <v>0</v>
      </c>
      <c r="BY1095">
        <f t="shared" ca="1" si="496"/>
        <v>0</v>
      </c>
      <c r="BZ1095" t="str">
        <f ca="1">IF(BY1095=1,IF(INDEX(分析データ!$A:$A,ROW()+$C$5)&lt;&gt;"",40000*SIGN(BX1095)*(分析データ!G1095-INDEX(分析データ!G:G,ROW()+$C$5)),""),"")</f>
        <v/>
      </c>
      <c r="CA1095">
        <f t="shared" ca="1" si="497"/>
        <v>-3515452.8662109179</v>
      </c>
      <c r="CB1095">
        <f t="shared" ca="1" si="498"/>
        <v>11327520.000000004</v>
      </c>
      <c r="CC1095">
        <f t="shared" ca="1" si="499"/>
        <v>-14842972.866210923</v>
      </c>
      <c r="CD1095">
        <f t="shared" ca="1" si="500"/>
        <v>0</v>
      </c>
      <c r="CE1095">
        <f t="shared" ca="1" si="501"/>
        <v>23090347.13378913</v>
      </c>
      <c r="CF1095">
        <f t="shared" ca="1" si="502"/>
        <v>23090347.13378913</v>
      </c>
      <c r="CG1095">
        <f t="shared" ca="1" si="503"/>
        <v>0</v>
      </c>
      <c r="CH1095" s="10" t="str">
        <f>分析データ!A1095</f>
        <v/>
      </c>
    </row>
    <row r="1096" spans="46:86">
      <c r="AT1096">
        <f ca="1">IF(ROW()&lt;($C$7+1),"",IFERROR((分析データ!B1096-AVERAGE(OFFSET(分析データ!B$1,MAX(1,ROW()-$C$7),0,MIN($C$7,ROW()-1),1)))/STDEV(OFFSET(分析データ!B$1,MAX(1,ROW()-$C$7),0,MIN($C$7,ROW()-1),1)),0))</f>
        <v>0</v>
      </c>
      <c r="AU1096">
        <f t="shared" ca="1" si="476"/>
        <v>0</v>
      </c>
      <c r="AV1096" t="str">
        <f ca="1">IF(AU1096=1,IF(INDEX(分析データ!$A:$A,ROW()+$C$5)&lt;&gt;"",80000*SIGN(AT1096)*(分析データ!B1096-INDEX(分析データ!B:B,ROW()+$C$5)),""),"")</f>
        <v/>
      </c>
      <c r="AW1096">
        <f t="shared" ca="1" si="477"/>
        <v>-1240000.0000000019</v>
      </c>
      <c r="AX1096">
        <f t="shared" ca="1" si="478"/>
        <v>0</v>
      </c>
      <c r="AY1096">
        <f t="shared" ca="1" si="479"/>
        <v>-1240000.0000000019</v>
      </c>
      <c r="AZ1096">
        <f ca="1">IF(ROW()&lt;($C$7+1),"",IFERROR((分析データ!C1096-AVERAGE(OFFSET(分析データ!C$1,MAX(1,ROW()-$C$7),0,MIN($C$7,ROW()-1),1)))/STDEV(OFFSET(分析データ!C$1,MAX(1,ROW()-$C$7),0,MIN($C$7,ROW()-1),1)),0))</f>
        <v>0</v>
      </c>
      <c r="BA1096">
        <f t="shared" ca="1" si="480"/>
        <v>0</v>
      </c>
      <c r="BB1096" t="str">
        <f ca="1">IF(BA1096=1,IF(INDEX(分析データ!$A:$A,ROW()+$C$5)&lt;&gt;"",60000*SIGN(AZ1096)*(分析データ!C1096-INDEX(分析データ!C:C,ROW()+$C$5)),""),"")</f>
        <v/>
      </c>
      <c r="BC1096">
        <f t="shared" ca="1" si="481"/>
        <v>-260999.9999999851</v>
      </c>
      <c r="BD1096">
        <f t="shared" ca="1" si="482"/>
        <v>3156000.0000000107</v>
      </c>
      <c r="BE1096">
        <f t="shared" ca="1" si="483"/>
        <v>-3416999.9999999958</v>
      </c>
      <c r="BF1096">
        <f ca="1">IF(ROW()&lt;($C$7+1),"",IFERROR((分析データ!D1096-AVERAGE(OFFSET(分析データ!D$1,MAX(1,ROW()-$C$7),0,MIN($C$7,ROW()-1),1)))/STDEV(OFFSET(分析データ!D$1,MAX(1,ROW()-$C$7),0,MIN($C$7,ROW()-1),1)),0))</f>
        <v>0</v>
      </c>
      <c r="BG1096">
        <f t="shared" ca="1" si="484"/>
        <v>0</v>
      </c>
      <c r="BH1096" t="str">
        <f ca="1">IF(BG1096=1,IF(INDEX(分析データ!$A:$A,ROW()+$C$5)&lt;&gt;"",50000*SIGN(BF1096)*(分析データ!D1096-INDEX(分析データ!D:D,ROW()+$C$5)),""),"")</f>
        <v/>
      </c>
      <c r="BI1096">
        <f t="shared" ca="1" si="485"/>
        <v>5570000.0000000205</v>
      </c>
      <c r="BJ1096">
        <f t="shared" ca="1" si="486"/>
        <v>5570000.0000000205</v>
      </c>
      <c r="BK1096">
        <f t="shared" ca="1" si="487"/>
        <v>0</v>
      </c>
      <c r="BL1096">
        <f ca="1">IF(ROW()&lt;($C$7+1),"",IFERROR((分析データ!E1096-AVERAGE(OFFSET(分析データ!E$1,MAX(1,ROW()-$C$7),0,MIN($C$7,ROW()-1),1)))/STDEV(OFFSET(分析データ!E$1,MAX(1,ROW()-$C$7),0,MIN($C$7,ROW()-1),1)),0))</f>
        <v>0</v>
      </c>
      <c r="BM1096">
        <f t="shared" ca="1" si="488"/>
        <v>0</v>
      </c>
      <c r="BN1096" t="str">
        <f ca="1">IF(BM1096=1,IF(INDEX(分析データ!$A:$A,ROW()+$C$5)&lt;&gt;"",40000*SIGN(BL1096)*(分析データ!E1096-INDEX(分析データ!E:E,ROW()+$C$5)),""),"")</f>
        <v/>
      </c>
      <c r="BO1096">
        <f t="shared" ca="1" si="489"/>
        <v>2720000.0000000014</v>
      </c>
      <c r="BP1096">
        <f t="shared" ca="1" si="490"/>
        <v>4280000.0000000028</v>
      </c>
      <c r="BQ1096">
        <f t="shared" ca="1" si="491"/>
        <v>-1560000.0000000014</v>
      </c>
      <c r="BR1096">
        <f ca="1">IF(ROW()&lt;($C$7+1),"",IFERROR((分析データ!F1096-AVERAGE(OFFSET(分析データ!F$1,MAX(1,ROW()-$C$7),0,MIN($C$7,ROW()-1),1)))/STDEV(OFFSET(分析データ!F$1,MAX(1,ROW()-$C$7),0,MIN($C$7,ROW()-1),1)),0))</f>
        <v>0</v>
      </c>
      <c r="BS1096">
        <f t="shared" ca="1" si="492"/>
        <v>0</v>
      </c>
      <c r="BT1096" t="str">
        <f ca="1">IF(BS1096=1,IF(INDEX(分析データ!$A:$A,ROW()+$C$5)&lt;&gt;"",40000*SIGN(BR1096)*(分析データ!F1096-INDEX(分析データ!F:F,ROW()+$C$5)),""),"")</f>
        <v/>
      </c>
      <c r="BU1096">
        <f t="shared" ca="1" si="493"/>
        <v>19816800</v>
      </c>
      <c r="BV1096">
        <f t="shared" ca="1" si="494"/>
        <v>19816800</v>
      </c>
      <c r="BW1096">
        <f t="shared" ca="1" si="495"/>
        <v>0</v>
      </c>
      <c r="BX1096">
        <f ca="1">IF(ROW()&lt;($C$7+1),"",IFERROR((分析データ!G1096-AVERAGE(OFFSET(分析データ!G$1,MAX(1,ROW()-$C$7),0,MIN($C$7,ROW()-1),1)))/STDEV(OFFSET(分析データ!G$1,MAX(1,ROW()-$C$7),0,MIN($C$7,ROW()-1),1)),0))</f>
        <v>0</v>
      </c>
      <c r="BY1096">
        <f t="shared" ca="1" si="496"/>
        <v>0</v>
      </c>
      <c r="BZ1096" t="str">
        <f ca="1">IF(BY1096=1,IF(INDEX(分析データ!$A:$A,ROW()+$C$5)&lt;&gt;"",40000*SIGN(BX1096)*(分析データ!G1096-INDEX(分析データ!G:G,ROW()+$C$5)),""),"")</f>
        <v/>
      </c>
      <c r="CA1096">
        <f t="shared" ca="1" si="497"/>
        <v>-3515452.8662109179</v>
      </c>
      <c r="CB1096">
        <f t="shared" ca="1" si="498"/>
        <v>11327520.000000004</v>
      </c>
      <c r="CC1096">
        <f t="shared" ca="1" si="499"/>
        <v>-14842972.866210923</v>
      </c>
      <c r="CD1096">
        <f t="shared" ca="1" si="500"/>
        <v>0</v>
      </c>
      <c r="CE1096">
        <f t="shared" ca="1" si="501"/>
        <v>23090347.13378913</v>
      </c>
      <c r="CF1096">
        <f t="shared" ca="1" si="502"/>
        <v>23090347.13378913</v>
      </c>
      <c r="CG1096">
        <f t="shared" ca="1" si="503"/>
        <v>0</v>
      </c>
      <c r="CH1096" s="10" t="str">
        <f>分析データ!A1096</f>
        <v/>
      </c>
    </row>
    <row r="1097" spans="46:86">
      <c r="AT1097">
        <f ca="1">IF(ROW()&lt;($C$7+1),"",IFERROR((分析データ!B1097-AVERAGE(OFFSET(分析データ!B$1,MAX(1,ROW()-$C$7),0,MIN($C$7,ROW()-1),1)))/STDEV(OFFSET(分析データ!B$1,MAX(1,ROW()-$C$7),0,MIN($C$7,ROW()-1),1)),0))</f>
        <v>0</v>
      </c>
      <c r="AU1097">
        <f t="shared" ca="1" si="476"/>
        <v>0</v>
      </c>
      <c r="AV1097" t="str">
        <f ca="1">IF(AU1097=1,IF(INDEX(分析データ!$A:$A,ROW()+$C$5)&lt;&gt;"",80000*SIGN(AT1097)*(分析データ!B1097-INDEX(分析データ!B:B,ROW()+$C$5)),""),"")</f>
        <v/>
      </c>
      <c r="AW1097">
        <f t="shared" ca="1" si="477"/>
        <v>-1240000.0000000019</v>
      </c>
      <c r="AX1097">
        <f t="shared" ca="1" si="478"/>
        <v>0</v>
      </c>
      <c r="AY1097">
        <f t="shared" ca="1" si="479"/>
        <v>-1240000.0000000019</v>
      </c>
      <c r="AZ1097">
        <f ca="1">IF(ROW()&lt;($C$7+1),"",IFERROR((分析データ!C1097-AVERAGE(OFFSET(分析データ!C$1,MAX(1,ROW()-$C$7),0,MIN($C$7,ROW()-1),1)))/STDEV(OFFSET(分析データ!C$1,MAX(1,ROW()-$C$7),0,MIN($C$7,ROW()-1),1)),0))</f>
        <v>0</v>
      </c>
      <c r="BA1097">
        <f t="shared" ca="1" si="480"/>
        <v>0</v>
      </c>
      <c r="BB1097" t="str">
        <f ca="1">IF(BA1097=1,IF(INDEX(分析データ!$A:$A,ROW()+$C$5)&lt;&gt;"",60000*SIGN(AZ1097)*(分析データ!C1097-INDEX(分析データ!C:C,ROW()+$C$5)),""),"")</f>
        <v/>
      </c>
      <c r="BC1097">
        <f t="shared" ca="1" si="481"/>
        <v>-260999.9999999851</v>
      </c>
      <c r="BD1097">
        <f t="shared" ca="1" si="482"/>
        <v>3156000.0000000107</v>
      </c>
      <c r="BE1097">
        <f t="shared" ca="1" si="483"/>
        <v>-3416999.9999999958</v>
      </c>
      <c r="BF1097">
        <f ca="1">IF(ROW()&lt;($C$7+1),"",IFERROR((分析データ!D1097-AVERAGE(OFFSET(分析データ!D$1,MAX(1,ROW()-$C$7),0,MIN($C$7,ROW()-1),1)))/STDEV(OFFSET(分析データ!D$1,MAX(1,ROW()-$C$7),0,MIN($C$7,ROW()-1),1)),0))</f>
        <v>0</v>
      </c>
      <c r="BG1097">
        <f t="shared" ca="1" si="484"/>
        <v>0</v>
      </c>
      <c r="BH1097" t="str">
        <f ca="1">IF(BG1097=1,IF(INDEX(分析データ!$A:$A,ROW()+$C$5)&lt;&gt;"",50000*SIGN(BF1097)*(分析データ!D1097-INDEX(分析データ!D:D,ROW()+$C$5)),""),"")</f>
        <v/>
      </c>
      <c r="BI1097">
        <f t="shared" ca="1" si="485"/>
        <v>5570000.0000000205</v>
      </c>
      <c r="BJ1097">
        <f t="shared" ca="1" si="486"/>
        <v>5570000.0000000205</v>
      </c>
      <c r="BK1097">
        <f t="shared" ca="1" si="487"/>
        <v>0</v>
      </c>
      <c r="BL1097">
        <f ca="1">IF(ROW()&lt;($C$7+1),"",IFERROR((分析データ!E1097-AVERAGE(OFFSET(分析データ!E$1,MAX(1,ROW()-$C$7),0,MIN($C$7,ROW()-1),1)))/STDEV(OFFSET(分析データ!E$1,MAX(1,ROW()-$C$7),0,MIN($C$7,ROW()-1),1)),0))</f>
        <v>0</v>
      </c>
      <c r="BM1097">
        <f t="shared" ca="1" si="488"/>
        <v>0</v>
      </c>
      <c r="BN1097" t="str">
        <f ca="1">IF(BM1097=1,IF(INDEX(分析データ!$A:$A,ROW()+$C$5)&lt;&gt;"",40000*SIGN(BL1097)*(分析データ!E1097-INDEX(分析データ!E:E,ROW()+$C$5)),""),"")</f>
        <v/>
      </c>
      <c r="BO1097">
        <f t="shared" ca="1" si="489"/>
        <v>2720000.0000000014</v>
      </c>
      <c r="BP1097">
        <f t="shared" ca="1" si="490"/>
        <v>4280000.0000000028</v>
      </c>
      <c r="BQ1097">
        <f t="shared" ca="1" si="491"/>
        <v>-1560000.0000000014</v>
      </c>
      <c r="BR1097">
        <f ca="1">IF(ROW()&lt;($C$7+1),"",IFERROR((分析データ!F1097-AVERAGE(OFFSET(分析データ!F$1,MAX(1,ROW()-$C$7),0,MIN($C$7,ROW()-1),1)))/STDEV(OFFSET(分析データ!F$1,MAX(1,ROW()-$C$7),0,MIN($C$7,ROW()-1),1)),0))</f>
        <v>0</v>
      </c>
      <c r="BS1097">
        <f t="shared" ca="1" si="492"/>
        <v>0</v>
      </c>
      <c r="BT1097" t="str">
        <f ca="1">IF(BS1097=1,IF(INDEX(分析データ!$A:$A,ROW()+$C$5)&lt;&gt;"",40000*SIGN(BR1097)*(分析データ!F1097-INDEX(分析データ!F:F,ROW()+$C$5)),""),"")</f>
        <v/>
      </c>
      <c r="BU1097">
        <f t="shared" ca="1" si="493"/>
        <v>19816800</v>
      </c>
      <c r="BV1097">
        <f t="shared" ca="1" si="494"/>
        <v>19816800</v>
      </c>
      <c r="BW1097">
        <f t="shared" ca="1" si="495"/>
        <v>0</v>
      </c>
      <c r="BX1097">
        <f ca="1">IF(ROW()&lt;($C$7+1),"",IFERROR((分析データ!G1097-AVERAGE(OFFSET(分析データ!G$1,MAX(1,ROW()-$C$7),0,MIN($C$7,ROW()-1),1)))/STDEV(OFFSET(分析データ!G$1,MAX(1,ROW()-$C$7),0,MIN($C$7,ROW()-1),1)),0))</f>
        <v>0</v>
      </c>
      <c r="BY1097">
        <f t="shared" ca="1" si="496"/>
        <v>0</v>
      </c>
      <c r="BZ1097" t="str">
        <f ca="1">IF(BY1097=1,IF(INDEX(分析データ!$A:$A,ROW()+$C$5)&lt;&gt;"",40000*SIGN(BX1097)*(分析データ!G1097-INDEX(分析データ!G:G,ROW()+$C$5)),""),"")</f>
        <v/>
      </c>
      <c r="CA1097">
        <f t="shared" ca="1" si="497"/>
        <v>-3515452.8662109179</v>
      </c>
      <c r="CB1097">
        <f t="shared" ca="1" si="498"/>
        <v>11327520.000000004</v>
      </c>
      <c r="CC1097">
        <f t="shared" ca="1" si="499"/>
        <v>-14842972.866210923</v>
      </c>
      <c r="CD1097">
        <f t="shared" ca="1" si="500"/>
        <v>0</v>
      </c>
      <c r="CE1097">
        <f t="shared" ca="1" si="501"/>
        <v>23090347.13378913</v>
      </c>
      <c r="CF1097">
        <f t="shared" ca="1" si="502"/>
        <v>23090347.13378913</v>
      </c>
      <c r="CG1097">
        <f t="shared" ca="1" si="503"/>
        <v>0</v>
      </c>
      <c r="CH1097" s="10" t="str">
        <f>分析データ!A1097</f>
        <v/>
      </c>
    </row>
    <row r="1098" spans="46:86">
      <c r="AT1098">
        <f ca="1">IF(ROW()&lt;($C$7+1),"",IFERROR((分析データ!B1098-AVERAGE(OFFSET(分析データ!B$1,MAX(1,ROW()-$C$7),0,MIN($C$7,ROW()-1),1)))/STDEV(OFFSET(分析データ!B$1,MAX(1,ROW()-$C$7),0,MIN($C$7,ROW()-1),1)),0))</f>
        <v>0</v>
      </c>
      <c r="AU1098">
        <f t="shared" ca="1" si="476"/>
        <v>0</v>
      </c>
      <c r="AV1098" t="str">
        <f ca="1">IF(AU1098=1,IF(INDEX(分析データ!$A:$A,ROW()+$C$5)&lt;&gt;"",80000*SIGN(AT1098)*(分析データ!B1098-INDEX(分析データ!B:B,ROW()+$C$5)),""),"")</f>
        <v/>
      </c>
      <c r="AW1098">
        <f t="shared" ca="1" si="477"/>
        <v>-1240000.0000000019</v>
      </c>
      <c r="AX1098">
        <f t="shared" ca="1" si="478"/>
        <v>0</v>
      </c>
      <c r="AY1098">
        <f t="shared" ca="1" si="479"/>
        <v>-1240000.0000000019</v>
      </c>
      <c r="AZ1098">
        <f ca="1">IF(ROW()&lt;($C$7+1),"",IFERROR((分析データ!C1098-AVERAGE(OFFSET(分析データ!C$1,MAX(1,ROW()-$C$7),0,MIN($C$7,ROW()-1),1)))/STDEV(OFFSET(分析データ!C$1,MAX(1,ROW()-$C$7),0,MIN($C$7,ROW()-1),1)),0))</f>
        <v>0</v>
      </c>
      <c r="BA1098">
        <f t="shared" ca="1" si="480"/>
        <v>0</v>
      </c>
      <c r="BB1098" t="str">
        <f ca="1">IF(BA1098=1,IF(INDEX(分析データ!$A:$A,ROW()+$C$5)&lt;&gt;"",60000*SIGN(AZ1098)*(分析データ!C1098-INDEX(分析データ!C:C,ROW()+$C$5)),""),"")</f>
        <v/>
      </c>
      <c r="BC1098">
        <f t="shared" ca="1" si="481"/>
        <v>-260999.9999999851</v>
      </c>
      <c r="BD1098">
        <f t="shared" ca="1" si="482"/>
        <v>3156000.0000000107</v>
      </c>
      <c r="BE1098">
        <f t="shared" ca="1" si="483"/>
        <v>-3416999.9999999958</v>
      </c>
      <c r="BF1098">
        <f ca="1">IF(ROW()&lt;($C$7+1),"",IFERROR((分析データ!D1098-AVERAGE(OFFSET(分析データ!D$1,MAX(1,ROW()-$C$7),0,MIN($C$7,ROW()-1),1)))/STDEV(OFFSET(分析データ!D$1,MAX(1,ROW()-$C$7),0,MIN($C$7,ROW()-1),1)),0))</f>
        <v>0</v>
      </c>
      <c r="BG1098">
        <f t="shared" ca="1" si="484"/>
        <v>0</v>
      </c>
      <c r="BH1098" t="str">
        <f ca="1">IF(BG1098=1,IF(INDEX(分析データ!$A:$A,ROW()+$C$5)&lt;&gt;"",50000*SIGN(BF1098)*(分析データ!D1098-INDEX(分析データ!D:D,ROW()+$C$5)),""),"")</f>
        <v/>
      </c>
      <c r="BI1098">
        <f t="shared" ca="1" si="485"/>
        <v>5570000.0000000205</v>
      </c>
      <c r="BJ1098">
        <f t="shared" ca="1" si="486"/>
        <v>5570000.0000000205</v>
      </c>
      <c r="BK1098">
        <f t="shared" ca="1" si="487"/>
        <v>0</v>
      </c>
      <c r="BL1098">
        <f ca="1">IF(ROW()&lt;($C$7+1),"",IFERROR((分析データ!E1098-AVERAGE(OFFSET(分析データ!E$1,MAX(1,ROW()-$C$7),0,MIN($C$7,ROW()-1),1)))/STDEV(OFFSET(分析データ!E$1,MAX(1,ROW()-$C$7),0,MIN($C$7,ROW()-1),1)),0))</f>
        <v>0</v>
      </c>
      <c r="BM1098">
        <f t="shared" ca="1" si="488"/>
        <v>0</v>
      </c>
      <c r="BN1098" t="str">
        <f ca="1">IF(BM1098=1,IF(INDEX(分析データ!$A:$A,ROW()+$C$5)&lt;&gt;"",40000*SIGN(BL1098)*(分析データ!E1098-INDEX(分析データ!E:E,ROW()+$C$5)),""),"")</f>
        <v/>
      </c>
      <c r="BO1098">
        <f t="shared" ca="1" si="489"/>
        <v>2720000.0000000014</v>
      </c>
      <c r="BP1098">
        <f t="shared" ca="1" si="490"/>
        <v>4280000.0000000028</v>
      </c>
      <c r="BQ1098">
        <f t="shared" ca="1" si="491"/>
        <v>-1560000.0000000014</v>
      </c>
      <c r="BR1098">
        <f ca="1">IF(ROW()&lt;($C$7+1),"",IFERROR((分析データ!F1098-AVERAGE(OFFSET(分析データ!F$1,MAX(1,ROW()-$C$7),0,MIN($C$7,ROW()-1),1)))/STDEV(OFFSET(分析データ!F$1,MAX(1,ROW()-$C$7),0,MIN($C$7,ROW()-1),1)),0))</f>
        <v>0</v>
      </c>
      <c r="BS1098">
        <f t="shared" ca="1" si="492"/>
        <v>0</v>
      </c>
      <c r="BT1098" t="str">
        <f ca="1">IF(BS1098=1,IF(INDEX(分析データ!$A:$A,ROW()+$C$5)&lt;&gt;"",40000*SIGN(BR1098)*(分析データ!F1098-INDEX(分析データ!F:F,ROW()+$C$5)),""),"")</f>
        <v/>
      </c>
      <c r="BU1098">
        <f t="shared" ca="1" si="493"/>
        <v>19816800</v>
      </c>
      <c r="BV1098">
        <f t="shared" ca="1" si="494"/>
        <v>19816800</v>
      </c>
      <c r="BW1098">
        <f t="shared" ca="1" si="495"/>
        <v>0</v>
      </c>
      <c r="BX1098">
        <f ca="1">IF(ROW()&lt;($C$7+1),"",IFERROR((分析データ!G1098-AVERAGE(OFFSET(分析データ!G$1,MAX(1,ROW()-$C$7),0,MIN($C$7,ROW()-1),1)))/STDEV(OFFSET(分析データ!G$1,MAX(1,ROW()-$C$7),0,MIN($C$7,ROW()-1),1)),0))</f>
        <v>0</v>
      </c>
      <c r="BY1098">
        <f t="shared" ca="1" si="496"/>
        <v>0</v>
      </c>
      <c r="BZ1098" t="str">
        <f ca="1">IF(BY1098=1,IF(INDEX(分析データ!$A:$A,ROW()+$C$5)&lt;&gt;"",40000*SIGN(BX1098)*(分析データ!G1098-INDEX(分析データ!G:G,ROW()+$C$5)),""),"")</f>
        <v/>
      </c>
      <c r="CA1098">
        <f t="shared" ca="1" si="497"/>
        <v>-3515452.8662109179</v>
      </c>
      <c r="CB1098">
        <f t="shared" ca="1" si="498"/>
        <v>11327520.000000004</v>
      </c>
      <c r="CC1098">
        <f t="shared" ca="1" si="499"/>
        <v>-14842972.866210923</v>
      </c>
      <c r="CD1098">
        <f t="shared" ca="1" si="500"/>
        <v>0</v>
      </c>
      <c r="CE1098">
        <f t="shared" ca="1" si="501"/>
        <v>23090347.13378913</v>
      </c>
      <c r="CF1098">
        <f t="shared" ca="1" si="502"/>
        <v>23090347.13378913</v>
      </c>
      <c r="CG1098">
        <f t="shared" ca="1" si="503"/>
        <v>0</v>
      </c>
      <c r="CH1098" s="10" t="str">
        <f>分析データ!A1098</f>
        <v/>
      </c>
    </row>
    <row r="1099" spans="46:86">
      <c r="AT1099">
        <f ca="1">IF(ROW()&lt;($C$7+1),"",IFERROR((分析データ!B1099-AVERAGE(OFFSET(分析データ!B$1,MAX(1,ROW()-$C$7),0,MIN($C$7,ROW()-1),1)))/STDEV(OFFSET(分析データ!B$1,MAX(1,ROW()-$C$7),0,MIN($C$7,ROW()-1),1)),0))</f>
        <v>0</v>
      </c>
      <c r="AU1099">
        <f t="shared" ca="1" si="476"/>
        <v>0</v>
      </c>
      <c r="AV1099" t="str">
        <f ca="1">IF(AU1099=1,IF(INDEX(分析データ!$A:$A,ROW()+$C$5)&lt;&gt;"",80000*SIGN(AT1099)*(分析データ!B1099-INDEX(分析データ!B:B,ROW()+$C$5)),""),"")</f>
        <v/>
      </c>
      <c r="AW1099">
        <f t="shared" ca="1" si="477"/>
        <v>-1240000.0000000019</v>
      </c>
      <c r="AX1099">
        <f t="shared" ca="1" si="478"/>
        <v>0</v>
      </c>
      <c r="AY1099">
        <f t="shared" ca="1" si="479"/>
        <v>-1240000.0000000019</v>
      </c>
      <c r="AZ1099">
        <f ca="1">IF(ROW()&lt;($C$7+1),"",IFERROR((分析データ!C1099-AVERAGE(OFFSET(分析データ!C$1,MAX(1,ROW()-$C$7),0,MIN($C$7,ROW()-1),1)))/STDEV(OFFSET(分析データ!C$1,MAX(1,ROW()-$C$7),0,MIN($C$7,ROW()-1),1)),0))</f>
        <v>0</v>
      </c>
      <c r="BA1099">
        <f t="shared" ca="1" si="480"/>
        <v>0</v>
      </c>
      <c r="BB1099" t="str">
        <f ca="1">IF(BA1099=1,IF(INDEX(分析データ!$A:$A,ROW()+$C$5)&lt;&gt;"",60000*SIGN(AZ1099)*(分析データ!C1099-INDEX(分析データ!C:C,ROW()+$C$5)),""),"")</f>
        <v/>
      </c>
      <c r="BC1099">
        <f t="shared" ca="1" si="481"/>
        <v>-260999.9999999851</v>
      </c>
      <c r="BD1099">
        <f t="shared" ca="1" si="482"/>
        <v>3156000.0000000107</v>
      </c>
      <c r="BE1099">
        <f t="shared" ca="1" si="483"/>
        <v>-3416999.9999999958</v>
      </c>
      <c r="BF1099">
        <f ca="1">IF(ROW()&lt;($C$7+1),"",IFERROR((分析データ!D1099-AVERAGE(OFFSET(分析データ!D$1,MAX(1,ROW()-$C$7),0,MIN($C$7,ROW()-1),1)))/STDEV(OFFSET(分析データ!D$1,MAX(1,ROW()-$C$7),0,MIN($C$7,ROW()-1),1)),0))</f>
        <v>0</v>
      </c>
      <c r="BG1099">
        <f t="shared" ca="1" si="484"/>
        <v>0</v>
      </c>
      <c r="BH1099" t="str">
        <f ca="1">IF(BG1099=1,IF(INDEX(分析データ!$A:$A,ROW()+$C$5)&lt;&gt;"",50000*SIGN(BF1099)*(分析データ!D1099-INDEX(分析データ!D:D,ROW()+$C$5)),""),"")</f>
        <v/>
      </c>
      <c r="BI1099">
        <f t="shared" ca="1" si="485"/>
        <v>5570000.0000000205</v>
      </c>
      <c r="BJ1099">
        <f t="shared" ca="1" si="486"/>
        <v>5570000.0000000205</v>
      </c>
      <c r="BK1099">
        <f t="shared" ca="1" si="487"/>
        <v>0</v>
      </c>
      <c r="BL1099">
        <f ca="1">IF(ROW()&lt;($C$7+1),"",IFERROR((分析データ!E1099-AVERAGE(OFFSET(分析データ!E$1,MAX(1,ROW()-$C$7),0,MIN($C$7,ROW()-1),1)))/STDEV(OFFSET(分析データ!E$1,MAX(1,ROW()-$C$7),0,MIN($C$7,ROW()-1),1)),0))</f>
        <v>0</v>
      </c>
      <c r="BM1099">
        <f t="shared" ca="1" si="488"/>
        <v>0</v>
      </c>
      <c r="BN1099" t="str">
        <f ca="1">IF(BM1099=1,IF(INDEX(分析データ!$A:$A,ROW()+$C$5)&lt;&gt;"",40000*SIGN(BL1099)*(分析データ!E1099-INDEX(分析データ!E:E,ROW()+$C$5)),""),"")</f>
        <v/>
      </c>
      <c r="BO1099">
        <f t="shared" ca="1" si="489"/>
        <v>2720000.0000000014</v>
      </c>
      <c r="BP1099">
        <f t="shared" ca="1" si="490"/>
        <v>4280000.0000000028</v>
      </c>
      <c r="BQ1099">
        <f t="shared" ca="1" si="491"/>
        <v>-1560000.0000000014</v>
      </c>
      <c r="BR1099">
        <f ca="1">IF(ROW()&lt;($C$7+1),"",IFERROR((分析データ!F1099-AVERAGE(OFFSET(分析データ!F$1,MAX(1,ROW()-$C$7),0,MIN($C$7,ROW()-1),1)))/STDEV(OFFSET(分析データ!F$1,MAX(1,ROW()-$C$7),0,MIN($C$7,ROW()-1),1)),0))</f>
        <v>0</v>
      </c>
      <c r="BS1099">
        <f t="shared" ca="1" si="492"/>
        <v>0</v>
      </c>
      <c r="BT1099" t="str">
        <f ca="1">IF(BS1099=1,IF(INDEX(分析データ!$A:$A,ROW()+$C$5)&lt;&gt;"",40000*SIGN(BR1099)*(分析データ!F1099-INDEX(分析データ!F:F,ROW()+$C$5)),""),"")</f>
        <v/>
      </c>
      <c r="BU1099">
        <f t="shared" ca="1" si="493"/>
        <v>19816800</v>
      </c>
      <c r="BV1099">
        <f t="shared" ca="1" si="494"/>
        <v>19816800</v>
      </c>
      <c r="BW1099">
        <f t="shared" ca="1" si="495"/>
        <v>0</v>
      </c>
      <c r="BX1099">
        <f ca="1">IF(ROW()&lt;($C$7+1),"",IFERROR((分析データ!G1099-AVERAGE(OFFSET(分析データ!G$1,MAX(1,ROW()-$C$7),0,MIN($C$7,ROW()-1),1)))/STDEV(OFFSET(分析データ!G$1,MAX(1,ROW()-$C$7),0,MIN($C$7,ROW()-1),1)),0))</f>
        <v>0</v>
      </c>
      <c r="BY1099">
        <f t="shared" ca="1" si="496"/>
        <v>0</v>
      </c>
      <c r="BZ1099" t="str">
        <f ca="1">IF(BY1099=1,IF(INDEX(分析データ!$A:$A,ROW()+$C$5)&lt;&gt;"",40000*SIGN(BX1099)*(分析データ!G1099-INDEX(分析データ!G:G,ROW()+$C$5)),""),"")</f>
        <v/>
      </c>
      <c r="CA1099">
        <f t="shared" ca="1" si="497"/>
        <v>-3515452.8662109179</v>
      </c>
      <c r="CB1099">
        <f t="shared" ca="1" si="498"/>
        <v>11327520.000000004</v>
      </c>
      <c r="CC1099">
        <f t="shared" ca="1" si="499"/>
        <v>-14842972.866210923</v>
      </c>
      <c r="CD1099">
        <f t="shared" ca="1" si="500"/>
        <v>0</v>
      </c>
      <c r="CE1099">
        <f t="shared" ca="1" si="501"/>
        <v>23090347.13378913</v>
      </c>
      <c r="CF1099">
        <f t="shared" ca="1" si="502"/>
        <v>23090347.13378913</v>
      </c>
      <c r="CG1099">
        <f t="shared" ca="1" si="503"/>
        <v>0</v>
      </c>
      <c r="CH1099" s="10" t="str">
        <f>分析データ!A1099</f>
        <v/>
      </c>
    </row>
    <row r="1100" spans="46:86">
      <c r="AT1100">
        <f ca="1">IF(ROW()&lt;($C$7+1),"",IFERROR((分析データ!B1100-AVERAGE(OFFSET(分析データ!B$1,MAX(1,ROW()-$C$7),0,MIN($C$7,ROW()-1),1)))/STDEV(OFFSET(分析データ!B$1,MAX(1,ROW()-$C$7),0,MIN($C$7,ROW()-1),1)),0))</f>
        <v>0</v>
      </c>
      <c r="AU1100">
        <f t="shared" ca="1" si="476"/>
        <v>0</v>
      </c>
      <c r="AV1100" t="str">
        <f ca="1">IF(AU1100=1,IF(INDEX(分析データ!$A:$A,ROW()+$C$5)&lt;&gt;"",80000*SIGN(AT1100)*(分析データ!B1100-INDEX(分析データ!B:B,ROW()+$C$5)),""),"")</f>
        <v/>
      </c>
      <c r="AW1100">
        <f t="shared" ca="1" si="477"/>
        <v>-1240000.0000000019</v>
      </c>
      <c r="AX1100">
        <f t="shared" ca="1" si="478"/>
        <v>0</v>
      </c>
      <c r="AY1100">
        <f t="shared" ca="1" si="479"/>
        <v>-1240000.0000000019</v>
      </c>
      <c r="AZ1100">
        <f ca="1">IF(ROW()&lt;($C$7+1),"",IFERROR((分析データ!C1100-AVERAGE(OFFSET(分析データ!C$1,MAX(1,ROW()-$C$7),0,MIN($C$7,ROW()-1),1)))/STDEV(OFFSET(分析データ!C$1,MAX(1,ROW()-$C$7),0,MIN($C$7,ROW()-1),1)),0))</f>
        <v>0</v>
      </c>
      <c r="BA1100">
        <f t="shared" ca="1" si="480"/>
        <v>0</v>
      </c>
      <c r="BB1100" t="str">
        <f ca="1">IF(BA1100=1,IF(INDEX(分析データ!$A:$A,ROW()+$C$5)&lt;&gt;"",60000*SIGN(AZ1100)*(分析データ!C1100-INDEX(分析データ!C:C,ROW()+$C$5)),""),"")</f>
        <v/>
      </c>
      <c r="BC1100">
        <f t="shared" ca="1" si="481"/>
        <v>-260999.9999999851</v>
      </c>
      <c r="BD1100">
        <f t="shared" ca="1" si="482"/>
        <v>3156000.0000000107</v>
      </c>
      <c r="BE1100">
        <f t="shared" ca="1" si="483"/>
        <v>-3416999.9999999958</v>
      </c>
      <c r="BF1100">
        <f ca="1">IF(ROW()&lt;($C$7+1),"",IFERROR((分析データ!D1100-AVERAGE(OFFSET(分析データ!D$1,MAX(1,ROW()-$C$7),0,MIN($C$7,ROW()-1),1)))/STDEV(OFFSET(分析データ!D$1,MAX(1,ROW()-$C$7),0,MIN($C$7,ROW()-1),1)),0))</f>
        <v>0</v>
      </c>
      <c r="BG1100">
        <f t="shared" ca="1" si="484"/>
        <v>0</v>
      </c>
      <c r="BH1100" t="str">
        <f ca="1">IF(BG1100=1,IF(INDEX(分析データ!$A:$A,ROW()+$C$5)&lt;&gt;"",50000*SIGN(BF1100)*(分析データ!D1100-INDEX(分析データ!D:D,ROW()+$C$5)),""),"")</f>
        <v/>
      </c>
      <c r="BI1100">
        <f t="shared" ca="1" si="485"/>
        <v>5570000.0000000205</v>
      </c>
      <c r="BJ1100">
        <f t="shared" ca="1" si="486"/>
        <v>5570000.0000000205</v>
      </c>
      <c r="BK1100">
        <f t="shared" ca="1" si="487"/>
        <v>0</v>
      </c>
      <c r="BL1100">
        <f ca="1">IF(ROW()&lt;($C$7+1),"",IFERROR((分析データ!E1100-AVERAGE(OFFSET(分析データ!E$1,MAX(1,ROW()-$C$7),0,MIN($C$7,ROW()-1),1)))/STDEV(OFFSET(分析データ!E$1,MAX(1,ROW()-$C$7),0,MIN($C$7,ROW()-1),1)),0))</f>
        <v>0</v>
      </c>
      <c r="BM1100">
        <f t="shared" ca="1" si="488"/>
        <v>0</v>
      </c>
      <c r="BN1100" t="str">
        <f ca="1">IF(BM1100=1,IF(INDEX(分析データ!$A:$A,ROW()+$C$5)&lt;&gt;"",40000*SIGN(BL1100)*(分析データ!E1100-INDEX(分析データ!E:E,ROW()+$C$5)),""),"")</f>
        <v/>
      </c>
      <c r="BO1100">
        <f t="shared" ca="1" si="489"/>
        <v>2720000.0000000014</v>
      </c>
      <c r="BP1100">
        <f t="shared" ca="1" si="490"/>
        <v>4280000.0000000028</v>
      </c>
      <c r="BQ1100">
        <f t="shared" ca="1" si="491"/>
        <v>-1560000.0000000014</v>
      </c>
      <c r="BR1100">
        <f ca="1">IF(ROW()&lt;($C$7+1),"",IFERROR((分析データ!F1100-AVERAGE(OFFSET(分析データ!F$1,MAX(1,ROW()-$C$7),0,MIN($C$7,ROW()-1),1)))/STDEV(OFFSET(分析データ!F$1,MAX(1,ROW()-$C$7),0,MIN($C$7,ROW()-1),1)),0))</f>
        <v>0</v>
      </c>
      <c r="BS1100">
        <f t="shared" ca="1" si="492"/>
        <v>0</v>
      </c>
      <c r="BT1100" t="str">
        <f ca="1">IF(BS1100=1,IF(INDEX(分析データ!$A:$A,ROW()+$C$5)&lt;&gt;"",40000*SIGN(BR1100)*(分析データ!F1100-INDEX(分析データ!F:F,ROW()+$C$5)),""),"")</f>
        <v/>
      </c>
      <c r="BU1100">
        <f t="shared" ca="1" si="493"/>
        <v>19816800</v>
      </c>
      <c r="BV1100">
        <f t="shared" ca="1" si="494"/>
        <v>19816800</v>
      </c>
      <c r="BW1100">
        <f t="shared" ca="1" si="495"/>
        <v>0</v>
      </c>
      <c r="BX1100">
        <f ca="1">IF(ROW()&lt;($C$7+1),"",IFERROR((分析データ!G1100-AVERAGE(OFFSET(分析データ!G$1,MAX(1,ROW()-$C$7),0,MIN($C$7,ROW()-1),1)))/STDEV(OFFSET(分析データ!G$1,MAX(1,ROW()-$C$7),0,MIN($C$7,ROW()-1),1)),0))</f>
        <v>0</v>
      </c>
      <c r="BY1100">
        <f t="shared" ca="1" si="496"/>
        <v>0</v>
      </c>
      <c r="BZ1100" t="str">
        <f ca="1">IF(BY1100=1,IF(INDEX(分析データ!$A:$A,ROW()+$C$5)&lt;&gt;"",40000*SIGN(BX1100)*(分析データ!G1100-INDEX(分析データ!G:G,ROW()+$C$5)),""),"")</f>
        <v/>
      </c>
      <c r="CA1100">
        <f t="shared" ca="1" si="497"/>
        <v>-3515452.8662109179</v>
      </c>
      <c r="CB1100">
        <f t="shared" ca="1" si="498"/>
        <v>11327520.000000004</v>
      </c>
      <c r="CC1100">
        <f t="shared" ca="1" si="499"/>
        <v>-14842972.866210923</v>
      </c>
      <c r="CD1100">
        <f t="shared" ca="1" si="500"/>
        <v>0</v>
      </c>
      <c r="CE1100">
        <f t="shared" ca="1" si="501"/>
        <v>23090347.13378913</v>
      </c>
      <c r="CF1100">
        <f t="shared" ca="1" si="502"/>
        <v>23090347.13378913</v>
      </c>
      <c r="CG1100">
        <f t="shared" ca="1" si="503"/>
        <v>0</v>
      </c>
      <c r="CH1100" s="10" t="str">
        <f>分析データ!A1100</f>
        <v/>
      </c>
    </row>
    <row r="1101" spans="46:86">
      <c r="AT1101">
        <f ca="1">IF(ROW()&lt;($C$7+1),"",IFERROR((分析データ!B1101-AVERAGE(OFFSET(分析データ!B$1,MAX(1,ROW()-$C$7),0,MIN($C$7,ROW()-1),1)))/STDEV(OFFSET(分析データ!B$1,MAX(1,ROW()-$C$7),0,MIN($C$7,ROW()-1),1)),0))</f>
        <v>0</v>
      </c>
      <c r="AU1101">
        <f t="shared" ca="1" si="476"/>
        <v>0</v>
      </c>
      <c r="AV1101" t="str">
        <f ca="1">IF(AU1101=1,IF(INDEX(分析データ!$A:$A,ROW()+$C$5)&lt;&gt;"",80000*SIGN(AT1101)*(分析データ!B1101-INDEX(分析データ!B:B,ROW()+$C$5)),""),"")</f>
        <v/>
      </c>
      <c r="AW1101">
        <f t="shared" ca="1" si="477"/>
        <v>-1240000.0000000019</v>
      </c>
      <c r="AX1101">
        <f t="shared" ca="1" si="478"/>
        <v>0</v>
      </c>
      <c r="AY1101">
        <f t="shared" ca="1" si="479"/>
        <v>-1240000.0000000019</v>
      </c>
      <c r="AZ1101">
        <f ca="1">IF(ROW()&lt;($C$7+1),"",IFERROR((分析データ!C1101-AVERAGE(OFFSET(分析データ!C$1,MAX(1,ROW()-$C$7),0,MIN($C$7,ROW()-1),1)))/STDEV(OFFSET(分析データ!C$1,MAX(1,ROW()-$C$7),0,MIN($C$7,ROW()-1),1)),0))</f>
        <v>0</v>
      </c>
      <c r="BA1101">
        <f t="shared" ca="1" si="480"/>
        <v>0</v>
      </c>
      <c r="BB1101" t="str">
        <f ca="1">IF(BA1101=1,IF(INDEX(分析データ!$A:$A,ROW()+$C$5)&lt;&gt;"",60000*SIGN(AZ1101)*(分析データ!C1101-INDEX(分析データ!C:C,ROW()+$C$5)),""),"")</f>
        <v/>
      </c>
      <c r="BC1101">
        <f t="shared" ca="1" si="481"/>
        <v>-260999.9999999851</v>
      </c>
      <c r="BD1101">
        <f t="shared" ca="1" si="482"/>
        <v>3156000.0000000107</v>
      </c>
      <c r="BE1101">
        <f t="shared" ca="1" si="483"/>
        <v>-3416999.9999999958</v>
      </c>
      <c r="BF1101">
        <f ca="1">IF(ROW()&lt;($C$7+1),"",IFERROR((分析データ!D1101-AVERAGE(OFFSET(分析データ!D$1,MAX(1,ROW()-$C$7),0,MIN($C$7,ROW()-1),1)))/STDEV(OFFSET(分析データ!D$1,MAX(1,ROW()-$C$7),0,MIN($C$7,ROW()-1),1)),0))</f>
        <v>0</v>
      </c>
      <c r="BG1101">
        <f t="shared" ca="1" si="484"/>
        <v>0</v>
      </c>
      <c r="BH1101" t="str">
        <f ca="1">IF(BG1101=1,IF(INDEX(分析データ!$A:$A,ROW()+$C$5)&lt;&gt;"",50000*SIGN(BF1101)*(分析データ!D1101-INDEX(分析データ!D:D,ROW()+$C$5)),""),"")</f>
        <v/>
      </c>
      <c r="BI1101">
        <f t="shared" ca="1" si="485"/>
        <v>5570000.0000000205</v>
      </c>
      <c r="BJ1101">
        <f t="shared" ca="1" si="486"/>
        <v>5570000.0000000205</v>
      </c>
      <c r="BK1101">
        <f t="shared" ca="1" si="487"/>
        <v>0</v>
      </c>
      <c r="BL1101">
        <f ca="1">IF(ROW()&lt;($C$7+1),"",IFERROR((分析データ!E1101-AVERAGE(OFFSET(分析データ!E$1,MAX(1,ROW()-$C$7),0,MIN($C$7,ROW()-1),1)))/STDEV(OFFSET(分析データ!E$1,MAX(1,ROW()-$C$7),0,MIN($C$7,ROW()-1),1)),0))</f>
        <v>0</v>
      </c>
      <c r="BM1101">
        <f t="shared" ca="1" si="488"/>
        <v>0</v>
      </c>
      <c r="BN1101" t="str">
        <f ca="1">IF(BM1101=1,IF(INDEX(分析データ!$A:$A,ROW()+$C$5)&lt;&gt;"",40000*SIGN(BL1101)*(分析データ!E1101-INDEX(分析データ!E:E,ROW()+$C$5)),""),"")</f>
        <v/>
      </c>
      <c r="BO1101">
        <f t="shared" ca="1" si="489"/>
        <v>2720000.0000000014</v>
      </c>
      <c r="BP1101">
        <f t="shared" ca="1" si="490"/>
        <v>4280000.0000000028</v>
      </c>
      <c r="BQ1101">
        <f t="shared" ca="1" si="491"/>
        <v>-1560000.0000000014</v>
      </c>
      <c r="BR1101">
        <f ca="1">IF(ROW()&lt;($C$7+1),"",IFERROR((分析データ!F1101-AVERAGE(OFFSET(分析データ!F$1,MAX(1,ROW()-$C$7),0,MIN($C$7,ROW()-1),1)))/STDEV(OFFSET(分析データ!F$1,MAX(1,ROW()-$C$7),0,MIN($C$7,ROW()-1),1)),0))</f>
        <v>0</v>
      </c>
      <c r="BS1101">
        <f t="shared" ca="1" si="492"/>
        <v>0</v>
      </c>
      <c r="BT1101" t="str">
        <f ca="1">IF(BS1101=1,IF(INDEX(分析データ!$A:$A,ROW()+$C$5)&lt;&gt;"",40000*SIGN(BR1101)*(分析データ!F1101-INDEX(分析データ!F:F,ROW()+$C$5)),""),"")</f>
        <v/>
      </c>
      <c r="BU1101">
        <f t="shared" ca="1" si="493"/>
        <v>19816800</v>
      </c>
      <c r="BV1101">
        <f t="shared" ca="1" si="494"/>
        <v>19816800</v>
      </c>
      <c r="BW1101">
        <f t="shared" ca="1" si="495"/>
        <v>0</v>
      </c>
      <c r="BX1101">
        <f ca="1">IF(ROW()&lt;($C$7+1),"",IFERROR((分析データ!G1101-AVERAGE(OFFSET(分析データ!G$1,MAX(1,ROW()-$C$7),0,MIN($C$7,ROW()-1),1)))/STDEV(OFFSET(分析データ!G$1,MAX(1,ROW()-$C$7),0,MIN($C$7,ROW()-1),1)),0))</f>
        <v>0</v>
      </c>
      <c r="BY1101">
        <f t="shared" ca="1" si="496"/>
        <v>0</v>
      </c>
      <c r="BZ1101" t="str">
        <f ca="1">IF(BY1101=1,IF(INDEX(分析データ!$A:$A,ROW()+$C$5)&lt;&gt;"",40000*SIGN(BX1101)*(分析データ!G1101-INDEX(分析データ!G:G,ROW()+$C$5)),""),"")</f>
        <v/>
      </c>
      <c r="CA1101">
        <f t="shared" ca="1" si="497"/>
        <v>-3515452.8662109179</v>
      </c>
      <c r="CB1101">
        <f t="shared" ca="1" si="498"/>
        <v>11327520.000000004</v>
      </c>
      <c r="CC1101">
        <f t="shared" ca="1" si="499"/>
        <v>-14842972.866210923</v>
      </c>
      <c r="CD1101">
        <f t="shared" ca="1" si="500"/>
        <v>0</v>
      </c>
      <c r="CE1101">
        <f t="shared" ca="1" si="501"/>
        <v>23090347.13378913</v>
      </c>
      <c r="CF1101">
        <f t="shared" ca="1" si="502"/>
        <v>23090347.13378913</v>
      </c>
      <c r="CG1101">
        <f t="shared" ca="1" si="503"/>
        <v>0</v>
      </c>
      <c r="CH1101" s="10" t="str">
        <f>分析データ!A1101</f>
        <v/>
      </c>
    </row>
    <row r="1102" spans="46:86">
      <c r="AT1102">
        <f ca="1">IF(ROW()&lt;($C$7+1),"",IFERROR((分析データ!B1102-AVERAGE(OFFSET(分析データ!B$1,MAX(1,ROW()-$C$7),0,MIN($C$7,ROW()-1),1)))/STDEV(OFFSET(分析データ!B$1,MAX(1,ROW()-$C$7),0,MIN($C$7,ROW()-1),1)),0))</f>
        <v>0</v>
      </c>
      <c r="AU1102">
        <f t="shared" ca="1" si="476"/>
        <v>0</v>
      </c>
      <c r="AV1102" t="str">
        <f ca="1">IF(AU1102=1,IF(INDEX(分析データ!$A:$A,ROW()+$C$5)&lt;&gt;"",80000*SIGN(AT1102)*(分析データ!B1102-INDEX(分析データ!B:B,ROW()+$C$5)),""),"")</f>
        <v/>
      </c>
      <c r="AW1102">
        <f t="shared" ca="1" si="477"/>
        <v>-1240000.0000000019</v>
      </c>
      <c r="AX1102">
        <f t="shared" ca="1" si="478"/>
        <v>0</v>
      </c>
      <c r="AY1102">
        <f t="shared" ca="1" si="479"/>
        <v>-1240000.0000000019</v>
      </c>
      <c r="AZ1102">
        <f ca="1">IF(ROW()&lt;($C$7+1),"",IFERROR((分析データ!C1102-AVERAGE(OFFSET(分析データ!C$1,MAX(1,ROW()-$C$7),0,MIN($C$7,ROW()-1),1)))/STDEV(OFFSET(分析データ!C$1,MAX(1,ROW()-$C$7),0,MIN($C$7,ROW()-1),1)),0))</f>
        <v>0</v>
      </c>
      <c r="BA1102">
        <f t="shared" ca="1" si="480"/>
        <v>0</v>
      </c>
      <c r="BB1102" t="str">
        <f ca="1">IF(BA1102=1,IF(INDEX(分析データ!$A:$A,ROW()+$C$5)&lt;&gt;"",60000*SIGN(AZ1102)*(分析データ!C1102-INDEX(分析データ!C:C,ROW()+$C$5)),""),"")</f>
        <v/>
      </c>
      <c r="BC1102">
        <f t="shared" ca="1" si="481"/>
        <v>-260999.9999999851</v>
      </c>
      <c r="BD1102">
        <f t="shared" ca="1" si="482"/>
        <v>3156000.0000000107</v>
      </c>
      <c r="BE1102">
        <f t="shared" ca="1" si="483"/>
        <v>-3416999.9999999958</v>
      </c>
      <c r="BF1102">
        <f ca="1">IF(ROW()&lt;($C$7+1),"",IFERROR((分析データ!D1102-AVERAGE(OFFSET(分析データ!D$1,MAX(1,ROW()-$C$7),0,MIN($C$7,ROW()-1),1)))/STDEV(OFFSET(分析データ!D$1,MAX(1,ROW()-$C$7),0,MIN($C$7,ROW()-1),1)),0))</f>
        <v>0</v>
      </c>
      <c r="BG1102">
        <f t="shared" ca="1" si="484"/>
        <v>0</v>
      </c>
      <c r="BH1102" t="str">
        <f ca="1">IF(BG1102=1,IF(INDEX(分析データ!$A:$A,ROW()+$C$5)&lt;&gt;"",50000*SIGN(BF1102)*(分析データ!D1102-INDEX(分析データ!D:D,ROW()+$C$5)),""),"")</f>
        <v/>
      </c>
      <c r="BI1102">
        <f t="shared" ca="1" si="485"/>
        <v>5570000.0000000205</v>
      </c>
      <c r="BJ1102">
        <f t="shared" ca="1" si="486"/>
        <v>5570000.0000000205</v>
      </c>
      <c r="BK1102">
        <f t="shared" ca="1" si="487"/>
        <v>0</v>
      </c>
      <c r="BL1102">
        <f ca="1">IF(ROW()&lt;($C$7+1),"",IFERROR((分析データ!E1102-AVERAGE(OFFSET(分析データ!E$1,MAX(1,ROW()-$C$7),0,MIN($C$7,ROW()-1),1)))/STDEV(OFFSET(分析データ!E$1,MAX(1,ROW()-$C$7),0,MIN($C$7,ROW()-1),1)),0))</f>
        <v>0</v>
      </c>
      <c r="BM1102">
        <f t="shared" ca="1" si="488"/>
        <v>0</v>
      </c>
      <c r="BN1102" t="str">
        <f ca="1">IF(BM1102=1,IF(INDEX(分析データ!$A:$A,ROW()+$C$5)&lt;&gt;"",40000*SIGN(BL1102)*(分析データ!E1102-INDEX(分析データ!E:E,ROW()+$C$5)),""),"")</f>
        <v/>
      </c>
      <c r="BO1102">
        <f t="shared" ca="1" si="489"/>
        <v>2720000.0000000014</v>
      </c>
      <c r="BP1102">
        <f t="shared" ca="1" si="490"/>
        <v>4280000.0000000028</v>
      </c>
      <c r="BQ1102">
        <f t="shared" ca="1" si="491"/>
        <v>-1560000.0000000014</v>
      </c>
      <c r="BR1102">
        <f ca="1">IF(ROW()&lt;($C$7+1),"",IFERROR((分析データ!F1102-AVERAGE(OFFSET(分析データ!F$1,MAX(1,ROW()-$C$7),0,MIN($C$7,ROW()-1),1)))/STDEV(OFFSET(分析データ!F$1,MAX(1,ROW()-$C$7),0,MIN($C$7,ROW()-1),1)),0))</f>
        <v>0</v>
      </c>
      <c r="BS1102">
        <f t="shared" ca="1" si="492"/>
        <v>0</v>
      </c>
      <c r="BT1102" t="str">
        <f ca="1">IF(BS1102=1,IF(INDEX(分析データ!$A:$A,ROW()+$C$5)&lt;&gt;"",40000*SIGN(BR1102)*(分析データ!F1102-INDEX(分析データ!F:F,ROW()+$C$5)),""),"")</f>
        <v/>
      </c>
      <c r="BU1102">
        <f t="shared" ca="1" si="493"/>
        <v>19816800</v>
      </c>
      <c r="BV1102">
        <f t="shared" ca="1" si="494"/>
        <v>19816800</v>
      </c>
      <c r="BW1102">
        <f t="shared" ca="1" si="495"/>
        <v>0</v>
      </c>
      <c r="BX1102">
        <f ca="1">IF(ROW()&lt;($C$7+1),"",IFERROR((分析データ!G1102-AVERAGE(OFFSET(分析データ!G$1,MAX(1,ROW()-$C$7),0,MIN($C$7,ROW()-1),1)))/STDEV(OFFSET(分析データ!G$1,MAX(1,ROW()-$C$7),0,MIN($C$7,ROW()-1),1)),0))</f>
        <v>0</v>
      </c>
      <c r="BY1102">
        <f t="shared" ca="1" si="496"/>
        <v>0</v>
      </c>
      <c r="BZ1102" t="str">
        <f ca="1">IF(BY1102=1,IF(INDEX(分析データ!$A:$A,ROW()+$C$5)&lt;&gt;"",40000*SIGN(BX1102)*(分析データ!G1102-INDEX(分析データ!G:G,ROW()+$C$5)),""),"")</f>
        <v/>
      </c>
      <c r="CA1102">
        <f t="shared" ca="1" si="497"/>
        <v>-3515452.8662109179</v>
      </c>
      <c r="CB1102">
        <f t="shared" ca="1" si="498"/>
        <v>11327520.000000004</v>
      </c>
      <c r="CC1102">
        <f t="shared" ca="1" si="499"/>
        <v>-14842972.866210923</v>
      </c>
      <c r="CD1102">
        <f t="shared" ca="1" si="500"/>
        <v>0</v>
      </c>
      <c r="CE1102">
        <f t="shared" ca="1" si="501"/>
        <v>23090347.13378913</v>
      </c>
      <c r="CF1102">
        <f t="shared" ca="1" si="502"/>
        <v>23090347.13378913</v>
      </c>
      <c r="CG1102">
        <f t="shared" ca="1" si="503"/>
        <v>0</v>
      </c>
      <c r="CH1102" s="10" t="str">
        <f>分析データ!A1102</f>
        <v/>
      </c>
    </row>
    <row r="1103" spans="46:86">
      <c r="AT1103">
        <f ca="1">IF(ROW()&lt;($C$7+1),"",IFERROR((分析データ!B1103-AVERAGE(OFFSET(分析データ!B$1,MAX(1,ROW()-$C$7),0,MIN($C$7,ROW()-1),1)))/STDEV(OFFSET(分析データ!B$1,MAX(1,ROW()-$C$7),0,MIN($C$7,ROW()-1),1)),0))</f>
        <v>0</v>
      </c>
      <c r="AU1103">
        <f t="shared" ca="1" si="476"/>
        <v>0</v>
      </c>
      <c r="AV1103" t="str">
        <f ca="1">IF(AU1103=1,IF(INDEX(分析データ!$A:$A,ROW()+$C$5)&lt;&gt;"",80000*SIGN(AT1103)*(分析データ!B1103-INDEX(分析データ!B:B,ROW()+$C$5)),""),"")</f>
        <v/>
      </c>
      <c r="AW1103">
        <f t="shared" ca="1" si="477"/>
        <v>-1240000.0000000019</v>
      </c>
      <c r="AX1103">
        <f t="shared" ca="1" si="478"/>
        <v>0</v>
      </c>
      <c r="AY1103">
        <f t="shared" ca="1" si="479"/>
        <v>-1240000.0000000019</v>
      </c>
      <c r="AZ1103">
        <f ca="1">IF(ROW()&lt;($C$7+1),"",IFERROR((分析データ!C1103-AVERAGE(OFFSET(分析データ!C$1,MAX(1,ROW()-$C$7),0,MIN($C$7,ROW()-1),1)))/STDEV(OFFSET(分析データ!C$1,MAX(1,ROW()-$C$7),0,MIN($C$7,ROW()-1),1)),0))</f>
        <v>0</v>
      </c>
      <c r="BA1103">
        <f t="shared" ca="1" si="480"/>
        <v>0</v>
      </c>
      <c r="BB1103" t="str">
        <f ca="1">IF(BA1103=1,IF(INDEX(分析データ!$A:$A,ROW()+$C$5)&lt;&gt;"",60000*SIGN(AZ1103)*(分析データ!C1103-INDEX(分析データ!C:C,ROW()+$C$5)),""),"")</f>
        <v/>
      </c>
      <c r="BC1103">
        <f t="shared" ca="1" si="481"/>
        <v>-260999.9999999851</v>
      </c>
      <c r="BD1103">
        <f t="shared" ca="1" si="482"/>
        <v>3156000.0000000107</v>
      </c>
      <c r="BE1103">
        <f t="shared" ca="1" si="483"/>
        <v>-3416999.9999999958</v>
      </c>
      <c r="BF1103">
        <f ca="1">IF(ROW()&lt;($C$7+1),"",IFERROR((分析データ!D1103-AVERAGE(OFFSET(分析データ!D$1,MAX(1,ROW()-$C$7),0,MIN($C$7,ROW()-1),1)))/STDEV(OFFSET(分析データ!D$1,MAX(1,ROW()-$C$7),0,MIN($C$7,ROW()-1),1)),0))</f>
        <v>0</v>
      </c>
      <c r="BG1103">
        <f t="shared" ca="1" si="484"/>
        <v>0</v>
      </c>
      <c r="BH1103" t="str">
        <f ca="1">IF(BG1103=1,IF(INDEX(分析データ!$A:$A,ROW()+$C$5)&lt;&gt;"",50000*SIGN(BF1103)*(分析データ!D1103-INDEX(分析データ!D:D,ROW()+$C$5)),""),"")</f>
        <v/>
      </c>
      <c r="BI1103">
        <f t="shared" ca="1" si="485"/>
        <v>5570000.0000000205</v>
      </c>
      <c r="BJ1103">
        <f t="shared" ca="1" si="486"/>
        <v>5570000.0000000205</v>
      </c>
      <c r="BK1103">
        <f t="shared" ca="1" si="487"/>
        <v>0</v>
      </c>
      <c r="BL1103">
        <f ca="1">IF(ROW()&lt;($C$7+1),"",IFERROR((分析データ!E1103-AVERAGE(OFFSET(分析データ!E$1,MAX(1,ROW()-$C$7),0,MIN($C$7,ROW()-1),1)))/STDEV(OFFSET(分析データ!E$1,MAX(1,ROW()-$C$7),0,MIN($C$7,ROW()-1),1)),0))</f>
        <v>0</v>
      </c>
      <c r="BM1103">
        <f t="shared" ca="1" si="488"/>
        <v>0</v>
      </c>
      <c r="BN1103" t="str">
        <f ca="1">IF(BM1103=1,IF(INDEX(分析データ!$A:$A,ROW()+$C$5)&lt;&gt;"",40000*SIGN(BL1103)*(分析データ!E1103-INDEX(分析データ!E:E,ROW()+$C$5)),""),"")</f>
        <v/>
      </c>
      <c r="BO1103">
        <f t="shared" ca="1" si="489"/>
        <v>2720000.0000000014</v>
      </c>
      <c r="BP1103">
        <f t="shared" ca="1" si="490"/>
        <v>4280000.0000000028</v>
      </c>
      <c r="BQ1103">
        <f t="shared" ca="1" si="491"/>
        <v>-1560000.0000000014</v>
      </c>
      <c r="BR1103">
        <f ca="1">IF(ROW()&lt;($C$7+1),"",IFERROR((分析データ!F1103-AVERAGE(OFFSET(分析データ!F$1,MAX(1,ROW()-$C$7),0,MIN($C$7,ROW()-1),1)))/STDEV(OFFSET(分析データ!F$1,MAX(1,ROW()-$C$7),0,MIN($C$7,ROW()-1),1)),0))</f>
        <v>0</v>
      </c>
      <c r="BS1103">
        <f t="shared" ca="1" si="492"/>
        <v>0</v>
      </c>
      <c r="BT1103" t="str">
        <f ca="1">IF(BS1103=1,IF(INDEX(分析データ!$A:$A,ROW()+$C$5)&lt;&gt;"",40000*SIGN(BR1103)*(分析データ!F1103-INDEX(分析データ!F:F,ROW()+$C$5)),""),"")</f>
        <v/>
      </c>
      <c r="BU1103">
        <f t="shared" ca="1" si="493"/>
        <v>19816800</v>
      </c>
      <c r="BV1103">
        <f t="shared" ca="1" si="494"/>
        <v>19816800</v>
      </c>
      <c r="BW1103">
        <f t="shared" ca="1" si="495"/>
        <v>0</v>
      </c>
      <c r="BX1103">
        <f ca="1">IF(ROW()&lt;($C$7+1),"",IFERROR((分析データ!G1103-AVERAGE(OFFSET(分析データ!G$1,MAX(1,ROW()-$C$7),0,MIN($C$7,ROW()-1),1)))/STDEV(OFFSET(分析データ!G$1,MAX(1,ROW()-$C$7),0,MIN($C$7,ROW()-1),1)),0))</f>
        <v>0</v>
      </c>
      <c r="BY1103">
        <f t="shared" ca="1" si="496"/>
        <v>0</v>
      </c>
      <c r="BZ1103" t="str">
        <f ca="1">IF(BY1103=1,IF(INDEX(分析データ!$A:$A,ROW()+$C$5)&lt;&gt;"",40000*SIGN(BX1103)*(分析データ!G1103-INDEX(分析データ!G:G,ROW()+$C$5)),""),"")</f>
        <v/>
      </c>
      <c r="CA1103">
        <f t="shared" ca="1" si="497"/>
        <v>-3515452.8662109179</v>
      </c>
      <c r="CB1103">
        <f t="shared" ca="1" si="498"/>
        <v>11327520.000000004</v>
      </c>
      <c r="CC1103">
        <f t="shared" ca="1" si="499"/>
        <v>-14842972.866210923</v>
      </c>
      <c r="CD1103">
        <f t="shared" ca="1" si="500"/>
        <v>0</v>
      </c>
      <c r="CE1103">
        <f t="shared" ca="1" si="501"/>
        <v>23090347.13378913</v>
      </c>
      <c r="CF1103">
        <f t="shared" ca="1" si="502"/>
        <v>23090347.13378913</v>
      </c>
      <c r="CG1103">
        <f t="shared" ca="1" si="503"/>
        <v>0</v>
      </c>
      <c r="CH1103" s="10" t="str">
        <f>分析データ!A1103</f>
        <v/>
      </c>
    </row>
    <row r="1104" spans="46:86">
      <c r="AT1104">
        <f ca="1">IF(ROW()&lt;($C$7+1),"",IFERROR((分析データ!B1104-AVERAGE(OFFSET(分析データ!B$1,MAX(1,ROW()-$C$7),0,MIN($C$7,ROW()-1),1)))/STDEV(OFFSET(分析データ!B$1,MAX(1,ROW()-$C$7),0,MIN($C$7,ROW()-1),1)),0))</f>
        <v>0</v>
      </c>
      <c r="AU1104">
        <f t="shared" ca="1" si="476"/>
        <v>0</v>
      </c>
      <c r="AV1104" t="str">
        <f ca="1">IF(AU1104=1,IF(INDEX(分析データ!$A:$A,ROW()+$C$5)&lt;&gt;"",80000*SIGN(AT1104)*(分析データ!B1104-INDEX(分析データ!B:B,ROW()+$C$5)),""),"")</f>
        <v/>
      </c>
      <c r="AW1104">
        <f t="shared" ca="1" si="477"/>
        <v>-1240000.0000000019</v>
      </c>
      <c r="AX1104">
        <f t="shared" ca="1" si="478"/>
        <v>0</v>
      </c>
      <c r="AY1104">
        <f t="shared" ca="1" si="479"/>
        <v>-1240000.0000000019</v>
      </c>
      <c r="AZ1104">
        <f ca="1">IF(ROW()&lt;($C$7+1),"",IFERROR((分析データ!C1104-AVERAGE(OFFSET(分析データ!C$1,MAX(1,ROW()-$C$7),0,MIN($C$7,ROW()-1),1)))/STDEV(OFFSET(分析データ!C$1,MAX(1,ROW()-$C$7),0,MIN($C$7,ROW()-1),1)),0))</f>
        <v>0</v>
      </c>
      <c r="BA1104">
        <f t="shared" ca="1" si="480"/>
        <v>0</v>
      </c>
      <c r="BB1104" t="str">
        <f ca="1">IF(BA1104=1,IF(INDEX(分析データ!$A:$A,ROW()+$C$5)&lt;&gt;"",60000*SIGN(AZ1104)*(分析データ!C1104-INDEX(分析データ!C:C,ROW()+$C$5)),""),"")</f>
        <v/>
      </c>
      <c r="BC1104">
        <f t="shared" ca="1" si="481"/>
        <v>-260999.9999999851</v>
      </c>
      <c r="BD1104">
        <f t="shared" ca="1" si="482"/>
        <v>3156000.0000000107</v>
      </c>
      <c r="BE1104">
        <f t="shared" ca="1" si="483"/>
        <v>-3416999.9999999958</v>
      </c>
      <c r="BF1104">
        <f ca="1">IF(ROW()&lt;($C$7+1),"",IFERROR((分析データ!D1104-AVERAGE(OFFSET(分析データ!D$1,MAX(1,ROW()-$C$7),0,MIN($C$7,ROW()-1),1)))/STDEV(OFFSET(分析データ!D$1,MAX(1,ROW()-$C$7),0,MIN($C$7,ROW()-1),1)),0))</f>
        <v>0</v>
      </c>
      <c r="BG1104">
        <f t="shared" ca="1" si="484"/>
        <v>0</v>
      </c>
      <c r="BH1104" t="str">
        <f ca="1">IF(BG1104=1,IF(INDEX(分析データ!$A:$A,ROW()+$C$5)&lt;&gt;"",50000*SIGN(BF1104)*(分析データ!D1104-INDEX(分析データ!D:D,ROW()+$C$5)),""),"")</f>
        <v/>
      </c>
      <c r="BI1104">
        <f t="shared" ca="1" si="485"/>
        <v>5570000.0000000205</v>
      </c>
      <c r="BJ1104">
        <f t="shared" ca="1" si="486"/>
        <v>5570000.0000000205</v>
      </c>
      <c r="BK1104">
        <f t="shared" ca="1" si="487"/>
        <v>0</v>
      </c>
      <c r="BL1104">
        <f ca="1">IF(ROW()&lt;($C$7+1),"",IFERROR((分析データ!E1104-AVERAGE(OFFSET(分析データ!E$1,MAX(1,ROW()-$C$7),0,MIN($C$7,ROW()-1),1)))/STDEV(OFFSET(分析データ!E$1,MAX(1,ROW()-$C$7),0,MIN($C$7,ROW()-1),1)),0))</f>
        <v>0</v>
      </c>
      <c r="BM1104">
        <f t="shared" ca="1" si="488"/>
        <v>0</v>
      </c>
      <c r="BN1104" t="str">
        <f ca="1">IF(BM1104=1,IF(INDEX(分析データ!$A:$A,ROW()+$C$5)&lt;&gt;"",40000*SIGN(BL1104)*(分析データ!E1104-INDEX(分析データ!E:E,ROW()+$C$5)),""),"")</f>
        <v/>
      </c>
      <c r="BO1104">
        <f t="shared" ca="1" si="489"/>
        <v>2720000.0000000014</v>
      </c>
      <c r="BP1104">
        <f t="shared" ca="1" si="490"/>
        <v>4280000.0000000028</v>
      </c>
      <c r="BQ1104">
        <f t="shared" ca="1" si="491"/>
        <v>-1560000.0000000014</v>
      </c>
      <c r="BR1104">
        <f ca="1">IF(ROW()&lt;($C$7+1),"",IFERROR((分析データ!F1104-AVERAGE(OFFSET(分析データ!F$1,MAX(1,ROW()-$C$7),0,MIN($C$7,ROW()-1),1)))/STDEV(OFFSET(分析データ!F$1,MAX(1,ROW()-$C$7),0,MIN($C$7,ROW()-1),1)),0))</f>
        <v>0</v>
      </c>
      <c r="BS1104">
        <f t="shared" ca="1" si="492"/>
        <v>0</v>
      </c>
      <c r="BT1104" t="str">
        <f ca="1">IF(BS1104=1,IF(INDEX(分析データ!$A:$A,ROW()+$C$5)&lt;&gt;"",40000*SIGN(BR1104)*(分析データ!F1104-INDEX(分析データ!F:F,ROW()+$C$5)),""),"")</f>
        <v/>
      </c>
      <c r="BU1104">
        <f t="shared" ca="1" si="493"/>
        <v>19816800</v>
      </c>
      <c r="BV1104">
        <f t="shared" ca="1" si="494"/>
        <v>19816800</v>
      </c>
      <c r="BW1104">
        <f t="shared" ca="1" si="495"/>
        <v>0</v>
      </c>
      <c r="BX1104">
        <f ca="1">IF(ROW()&lt;($C$7+1),"",IFERROR((分析データ!G1104-AVERAGE(OFFSET(分析データ!G$1,MAX(1,ROW()-$C$7),0,MIN($C$7,ROW()-1),1)))/STDEV(OFFSET(分析データ!G$1,MAX(1,ROW()-$C$7),0,MIN($C$7,ROW()-1),1)),0))</f>
        <v>0</v>
      </c>
      <c r="BY1104">
        <f t="shared" ca="1" si="496"/>
        <v>0</v>
      </c>
      <c r="BZ1104" t="str">
        <f ca="1">IF(BY1104=1,IF(INDEX(分析データ!$A:$A,ROW()+$C$5)&lt;&gt;"",40000*SIGN(BX1104)*(分析データ!G1104-INDEX(分析データ!G:G,ROW()+$C$5)),""),"")</f>
        <v/>
      </c>
      <c r="CA1104">
        <f t="shared" ca="1" si="497"/>
        <v>-3515452.8662109179</v>
      </c>
      <c r="CB1104">
        <f t="shared" ca="1" si="498"/>
        <v>11327520.000000004</v>
      </c>
      <c r="CC1104">
        <f t="shared" ca="1" si="499"/>
        <v>-14842972.866210923</v>
      </c>
      <c r="CD1104">
        <f t="shared" ca="1" si="500"/>
        <v>0</v>
      </c>
      <c r="CE1104">
        <f t="shared" ca="1" si="501"/>
        <v>23090347.13378913</v>
      </c>
      <c r="CF1104">
        <f t="shared" ca="1" si="502"/>
        <v>23090347.13378913</v>
      </c>
      <c r="CG1104">
        <f t="shared" ca="1" si="503"/>
        <v>0</v>
      </c>
      <c r="CH1104" s="10" t="str">
        <f>分析データ!A1104</f>
        <v/>
      </c>
    </row>
    <row r="1105" spans="46:86">
      <c r="AT1105">
        <f ca="1">IF(ROW()&lt;($C$7+1),"",IFERROR((分析データ!B1105-AVERAGE(OFFSET(分析データ!B$1,MAX(1,ROW()-$C$7),0,MIN($C$7,ROW()-1),1)))/STDEV(OFFSET(分析データ!B$1,MAX(1,ROW()-$C$7),0,MIN($C$7,ROW()-1),1)),0))</f>
        <v>0</v>
      </c>
      <c r="AU1105">
        <f t="shared" ca="1" si="476"/>
        <v>0</v>
      </c>
      <c r="AV1105" t="str">
        <f ca="1">IF(AU1105=1,IF(INDEX(分析データ!$A:$A,ROW()+$C$5)&lt;&gt;"",80000*SIGN(AT1105)*(分析データ!B1105-INDEX(分析データ!B:B,ROW()+$C$5)),""),"")</f>
        <v/>
      </c>
      <c r="AW1105">
        <f t="shared" ca="1" si="477"/>
        <v>-1240000.0000000019</v>
      </c>
      <c r="AX1105">
        <f t="shared" ca="1" si="478"/>
        <v>0</v>
      </c>
      <c r="AY1105">
        <f t="shared" ca="1" si="479"/>
        <v>-1240000.0000000019</v>
      </c>
      <c r="AZ1105">
        <f ca="1">IF(ROW()&lt;($C$7+1),"",IFERROR((分析データ!C1105-AVERAGE(OFFSET(分析データ!C$1,MAX(1,ROW()-$C$7),0,MIN($C$7,ROW()-1),1)))/STDEV(OFFSET(分析データ!C$1,MAX(1,ROW()-$C$7),0,MIN($C$7,ROW()-1),1)),0))</f>
        <v>0</v>
      </c>
      <c r="BA1105">
        <f t="shared" ca="1" si="480"/>
        <v>0</v>
      </c>
      <c r="BB1105" t="str">
        <f ca="1">IF(BA1105=1,IF(INDEX(分析データ!$A:$A,ROW()+$C$5)&lt;&gt;"",60000*SIGN(AZ1105)*(分析データ!C1105-INDEX(分析データ!C:C,ROW()+$C$5)),""),"")</f>
        <v/>
      </c>
      <c r="BC1105">
        <f t="shared" ca="1" si="481"/>
        <v>-260999.9999999851</v>
      </c>
      <c r="BD1105">
        <f t="shared" ca="1" si="482"/>
        <v>3156000.0000000107</v>
      </c>
      <c r="BE1105">
        <f t="shared" ca="1" si="483"/>
        <v>-3416999.9999999958</v>
      </c>
      <c r="BF1105">
        <f ca="1">IF(ROW()&lt;($C$7+1),"",IFERROR((分析データ!D1105-AVERAGE(OFFSET(分析データ!D$1,MAX(1,ROW()-$C$7),0,MIN($C$7,ROW()-1),1)))/STDEV(OFFSET(分析データ!D$1,MAX(1,ROW()-$C$7),0,MIN($C$7,ROW()-1),1)),0))</f>
        <v>0</v>
      </c>
      <c r="BG1105">
        <f t="shared" ca="1" si="484"/>
        <v>0</v>
      </c>
      <c r="BH1105" t="str">
        <f ca="1">IF(BG1105=1,IF(INDEX(分析データ!$A:$A,ROW()+$C$5)&lt;&gt;"",50000*SIGN(BF1105)*(分析データ!D1105-INDEX(分析データ!D:D,ROW()+$C$5)),""),"")</f>
        <v/>
      </c>
      <c r="BI1105">
        <f t="shared" ca="1" si="485"/>
        <v>5570000.0000000205</v>
      </c>
      <c r="BJ1105">
        <f t="shared" ca="1" si="486"/>
        <v>5570000.0000000205</v>
      </c>
      <c r="BK1105">
        <f t="shared" ca="1" si="487"/>
        <v>0</v>
      </c>
      <c r="BL1105">
        <f ca="1">IF(ROW()&lt;($C$7+1),"",IFERROR((分析データ!E1105-AVERAGE(OFFSET(分析データ!E$1,MAX(1,ROW()-$C$7),0,MIN($C$7,ROW()-1),1)))/STDEV(OFFSET(分析データ!E$1,MAX(1,ROW()-$C$7),0,MIN($C$7,ROW()-1),1)),0))</f>
        <v>0</v>
      </c>
      <c r="BM1105">
        <f t="shared" ca="1" si="488"/>
        <v>0</v>
      </c>
      <c r="BN1105" t="str">
        <f ca="1">IF(BM1105=1,IF(INDEX(分析データ!$A:$A,ROW()+$C$5)&lt;&gt;"",40000*SIGN(BL1105)*(分析データ!E1105-INDEX(分析データ!E:E,ROW()+$C$5)),""),"")</f>
        <v/>
      </c>
      <c r="BO1105">
        <f t="shared" ca="1" si="489"/>
        <v>2720000.0000000014</v>
      </c>
      <c r="BP1105">
        <f t="shared" ca="1" si="490"/>
        <v>4280000.0000000028</v>
      </c>
      <c r="BQ1105">
        <f t="shared" ca="1" si="491"/>
        <v>-1560000.0000000014</v>
      </c>
      <c r="BR1105">
        <f ca="1">IF(ROW()&lt;($C$7+1),"",IFERROR((分析データ!F1105-AVERAGE(OFFSET(分析データ!F$1,MAX(1,ROW()-$C$7),0,MIN($C$7,ROW()-1),1)))/STDEV(OFFSET(分析データ!F$1,MAX(1,ROW()-$C$7),0,MIN($C$7,ROW()-1),1)),0))</f>
        <v>0</v>
      </c>
      <c r="BS1105">
        <f t="shared" ca="1" si="492"/>
        <v>0</v>
      </c>
      <c r="BT1105" t="str">
        <f ca="1">IF(BS1105=1,IF(INDEX(分析データ!$A:$A,ROW()+$C$5)&lt;&gt;"",40000*SIGN(BR1105)*(分析データ!F1105-INDEX(分析データ!F:F,ROW()+$C$5)),""),"")</f>
        <v/>
      </c>
      <c r="BU1105">
        <f t="shared" ca="1" si="493"/>
        <v>19816800</v>
      </c>
      <c r="BV1105">
        <f t="shared" ca="1" si="494"/>
        <v>19816800</v>
      </c>
      <c r="BW1105">
        <f t="shared" ca="1" si="495"/>
        <v>0</v>
      </c>
      <c r="BX1105">
        <f ca="1">IF(ROW()&lt;($C$7+1),"",IFERROR((分析データ!G1105-AVERAGE(OFFSET(分析データ!G$1,MAX(1,ROW()-$C$7),0,MIN($C$7,ROW()-1),1)))/STDEV(OFFSET(分析データ!G$1,MAX(1,ROW()-$C$7),0,MIN($C$7,ROW()-1),1)),0))</f>
        <v>0</v>
      </c>
      <c r="BY1105">
        <f t="shared" ca="1" si="496"/>
        <v>0</v>
      </c>
      <c r="BZ1105" t="str">
        <f ca="1">IF(BY1105=1,IF(INDEX(分析データ!$A:$A,ROW()+$C$5)&lt;&gt;"",40000*SIGN(BX1105)*(分析データ!G1105-INDEX(分析データ!G:G,ROW()+$C$5)),""),"")</f>
        <v/>
      </c>
      <c r="CA1105">
        <f t="shared" ca="1" si="497"/>
        <v>-3515452.8662109179</v>
      </c>
      <c r="CB1105">
        <f t="shared" ca="1" si="498"/>
        <v>11327520.000000004</v>
      </c>
      <c r="CC1105">
        <f t="shared" ca="1" si="499"/>
        <v>-14842972.866210923</v>
      </c>
      <c r="CD1105">
        <f t="shared" ca="1" si="500"/>
        <v>0</v>
      </c>
      <c r="CE1105">
        <f t="shared" ca="1" si="501"/>
        <v>23090347.13378913</v>
      </c>
      <c r="CF1105">
        <f t="shared" ca="1" si="502"/>
        <v>23090347.13378913</v>
      </c>
      <c r="CG1105">
        <f t="shared" ca="1" si="503"/>
        <v>0</v>
      </c>
      <c r="CH1105" s="10" t="str">
        <f>分析データ!A1105</f>
        <v/>
      </c>
    </row>
    <row r="1106" spans="46:86">
      <c r="AT1106">
        <f ca="1">IF(ROW()&lt;($C$7+1),"",IFERROR((分析データ!B1106-AVERAGE(OFFSET(分析データ!B$1,MAX(1,ROW()-$C$7),0,MIN($C$7,ROW()-1),1)))/STDEV(OFFSET(分析データ!B$1,MAX(1,ROW()-$C$7),0,MIN($C$7,ROW()-1),1)),0))</f>
        <v>0</v>
      </c>
      <c r="AU1106">
        <f t="shared" ca="1" si="476"/>
        <v>0</v>
      </c>
      <c r="AV1106" t="str">
        <f ca="1">IF(AU1106=1,IF(INDEX(分析データ!$A:$A,ROW()+$C$5)&lt;&gt;"",80000*SIGN(AT1106)*(分析データ!B1106-INDEX(分析データ!B:B,ROW()+$C$5)),""),"")</f>
        <v/>
      </c>
      <c r="AW1106">
        <f t="shared" ca="1" si="477"/>
        <v>-1240000.0000000019</v>
      </c>
      <c r="AX1106">
        <f t="shared" ca="1" si="478"/>
        <v>0</v>
      </c>
      <c r="AY1106">
        <f t="shared" ca="1" si="479"/>
        <v>-1240000.0000000019</v>
      </c>
      <c r="AZ1106">
        <f ca="1">IF(ROW()&lt;($C$7+1),"",IFERROR((分析データ!C1106-AVERAGE(OFFSET(分析データ!C$1,MAX(1,ROW()-$C$7),0,MIN($C$7,ROW()-1),1)))/STDEV(OFFSET(分析データ!C$1,MAX(1,ROW()-$C$7),0,MIN($C$7,ROW()-1),1)),0))</f>
        <v>0</v>
      </c>
      <c r="BA1106">
        <f t="shared" ca="1" si="480"/>
        <v>0</v>
      </c>
      <c r="BB1106" t="str">
        <f ca="1">IF(BA1106=1,IF(INDEX(分析データ!$A:$A,ROW()+$C$5)&lt;&gt;"",60000*SIGN(AZ1106)*(分析データ!C1106-INDEX(分析データ!C:C,ROW()+$C$5)),""),"")</f>
        <v/>
      </c>
      <c r="BC1106">
        <f t="shared" ca="1" si="481"/>
        <v>-260999.9999999851</v>
      </c>
      <c r="BD1106">
        <f t="shared" ca="1" si="482"/>
        <v>3156000.0000000107</v>
      </c>
      <c r="BE1106">
        <f t="shared" ca="1" si="483"/>
        <v>-3416999.9999999958</v>
      </c>
      <c r="BF1106">
        <f ca="1">IF(ROW()&lt;($C$7+1),"",IFERROR((分析データ!D1106-AVERAGE(OFFSET(分析データ!D$1,MAX(1,ROW()-$C$7),0,MIN($C$7,ROW()-1),1)))/STDEV(OFFSET(分析データ!D$1,MAX(1,ROW()-$C$7),0,MIN($C$7,ROW()-1),1)),0))</f>
        <v>0</v>
      </c>
      <c r="BG1106">
        <f t="shared" ca="1" si="484"/>
        <v>0</v>
      </c>
      <c r="BH1106" t="str">
        <f ca="1">IF(BG1106=1,IF(INDEX(分析データ!$A:$A,ROW()+$C$5)&lt;&gt;"",50000*SIGN(BF1106)*(分析データ!D1106-INDEX(分析データ!D:D,ROW()+$C$5)),""),"")</f>
        <v/>
      </c>
      <c r="BI1106">
        <f t="shared" ca="1" si="485"/>
        <v>5570000.0000000205</v>
      </c>
      <c r="BJ1106">
        <f t="shared" ca="1" si="486"/>
        <v>5570000.0000000205</v>
      </c>
      <c r="BK1106">
        <f t="shared" ca="1" si="487"/>
        <v>0</v>
      </c>
      <c r="BL1106">
        <f ca="1">IF(ROW()&lt;($C$7+1),"",IFERROR((分析データ!E1106-AVERAGE(OFFSET(分析データ!E$1,MAX(1,ROW()-$C$7),0,MIN($C$7,ROW()-1),1)))/STDEV(OFFSET(分析データ!E$1,MAX(1,ROW()-$C$7),0,MIN($C$7,ROW()-1),1)),0))</f>
        <v>0</v>
      </c>
      <c r="BM1106">
        <f t="shared" ca="1" si="488"/>
        <v>0</v>
      </c>
      <c r="BN1106" t="str">
        <f ca="1">IF(BM1106=1,IF(INDEX(分析データ!$A:$A,ROW()+$C$5)&lt;&gt;"",40000*SIGN(BL1106)*(分析データ!E1106-INDEX(分析データ!E:E,ROW()+$C$5)),""),"")</f>
        <v/>
      </c>
      <c r="BO1106">
        <f t="shared" ca="1" si="489"/>
        <v>2720000.0000000014</v>
      </c>
      <c r="BP1106">
        <f t="shared" ca="1" si="490"/>
        <v>4280000.0000000028</v>
      </c>
      <c r="BQ1106">
        <f t="shared" ca="1" si="491"/>
        <v>-1560000.0000000014</v>
      </c>
      <c r="BR1106">
        <f ca="1">IF(ROW()&lt;($C$7+1),"",IFERROR((分析データ!F1106-AVERAGE(OFFSET(分析データ!F$1,MAX(1,ROW()-$C$7),0,MIN($C$7,ROW()-1),1)))/STDEV(OFFSET(分析データ!F$1,MAX(1,ROW()-$C$7),0,MIN($C$7,ROW()-1),1)),0))</f>
        <v>0</v>
      </c>
      <c r="BS1106">
        <f t="shared" ca="1" si="492"/>
        <v>0</v>
      </c>
      <c r="BT1106" t="str">
        <f ca="1">IF(BS1106=1,IF(INDEX(分析データ!$A:$A,ROW()+$C$5)&lt;&gt;"",40000*SIGN(BR1106)*(分析データ!F1106-INDEX(分析データ!F:F,ROW()+$C$5)),""),"")</f>
        <v/>
      </c>
      <c r="BU1106">
        <f t="shared" ca="1" si="493"/>
        <v>19816800</v>
      </c>
      <c r="BV1106">
        <f t="shared" ca="1" si="494"/>
        <v>19816800</v>
      </c>
      <c r="BW1106">
        <f t="shared" ca="1" si="495"/>
        <v>0</v>
      </c>
      <c r="BX1106">
        <f ca="1">IF(ROW()&lt;($C$7+1),"",IFERROR((分析データ!G1106-AVERAGE(OFFSET(分析データ!G$1,MAX(1,ROW()-$C$7),0,MIN($C$7,ROW()-1),1)))/STDEV(OFFSET(分析データ!G$1,MAX(1,ROW()-$C$7),0,MIN($C$7,ROW()-1),1)),0))</f>
        <v>0</v>
      </c>
      <c r="BY1106">
        <f t="shared" ca="1" si="496"/>
        <v>0</v>
      </c>
      <c r="BZ1106" t="str">
        <f ca="1">IF(BY1106=1,IF(INDEX(分析データ!$A:$A,ROW()+$C$5)&lt;&gt;"",40000*SIGN(BX1106)*(分析データ!G1106-INDEX(分析データ!G:G,ROW()+$C$5)),""),"")</f>
        <v/>
      </c>
      <c r="CA1106">
        <f t="shared" ca="1" si="497"/>
        <v>-3515452.8662109179</v>
      </c>
      <c r="CB1106">
        <f t="shared" ca="1" si="498"/>
        <v>11327520.000000004</v>
      </c>
      <c r="CC1106">
        <f t="shared" ca="1" si="499"/>
        <v>-14842972.866210923</v>
      </c>
      <c r="CD1106">
        <f t="shared" ca="1" si="500"/>
        <v>0</v>
      </c>
      <c r="CE1106">
        <f t="shared" ca="1" si="501"/>
        <v>23090347.13378913</v>
      </c>
      <c r="CF1106">
        <f t="shared" ca="1" si="502"/>
        <v>23090347.13378913</v>
      </c>
      <c r="CG1106">
        <f t="shared" ca="1" si="503"/>
        <v>0</v>
      </c>
      <c r="CH1106" s="10" t="str">
        <f>分析データ!A1106</f>
        <v/>
      </c>
    </row>
    <row r="1107" spans="46:86">
      <c r="AT1107">
        <f ca="1">IF(ROW()&lt;($C$7+1),"",IFERROR((分析データ!B1107-AVERAGE(OFFSET(分析データ!B$1,MAX(1,ROW()-$C$7),0,MIN($C$7,ROW()-1),1)))/STDEV(OFFSET(分析データ!B$1,MAX(1,ROW()-$C$7),0,MIN($C$7,ROW()-1),1)),0))</f>
        <v>0</v>
      </c>
      <c r="AU1107">
        <f t="shared" ca="1" si="476"/>
        <v>0</v>
      </c>
      <c r="AV1107" t="str">
        <f ca="1">IF(AU1107=1,IF(INDEX(分析データ!$A:$A,ROW()+$C$5)&lt;&gt;"",80000*SIGN(AT1107)*(分析データ!B1107-INDEX(分析データ!B:B,ROW()+$C$5)),""),"")</f>
        <v/>
      </c>
      <c r="AW1107">
        <f t="shared" ca="1" si="477"/>
        <v>-1240000.0000000019</v>
      </c>
      <c r="AX1107">
        <f t="shared" ca="1" si="478"/>
        <v>0</v>
      </c>
      <c r="AY1107">
        <f t="shared" ca="1" si="479"/>
        <v>-1240000.0000000019</v>
      </c>
      <c r="AZ1107">
        <f ca="1">IF(ROW()&lt;($C$7+1),"",IFERROR((分析データ!C1107-AVERAGE(OFFSET(分析データ!C$1,MAX(1,ROW()-$C$7),0,MIN($C$7,ROW()-1),1)))/STDEV(OFFSET(分析データ!C$1,MAX(1,ROW()-$C$7),0,MIN($C$7,ROW()-1),1)),0))</f>
        <v>0</v>
      </c>
      <c r="BA1107">
        <f t="shared" ca="1" si="480"/>
        <v>0</v>
      </c>
      <c r="BB1107" t="str">
        <f ca="1">IF(BA1107=1,IF(INDEX(分析データ!$A:$A,ROW()+$C$5)&lt;&gt;"",60000*SIGN(AZ1107)*(分析データ!C1107-INDEX(分析データ!C:C,ROW()+$C$5)),""),"")</f>
        <v/>
      </c>
      <c r="BC1107">
        <f t="shared" ca="1" si="481"/>
        <v>-260999.9999999851</v>
      </c>
      <c r="BD1107">
        <f t="shared" ca="1" si="482"/>
        <v>3156000.0000000107</v>
      </c>
      <c r="BE1107">
        <f t="shared" ca="1" si="483"/>
        <v>-3416999.9999999958</v>
      </c>
      <c r="BF1107">
        <f ca="1">IF(ROW()&lt;($C$7+1),"",IFERROR((分析データ!D1107-AVERAGE(OFFSET(分析データ!D$1,MAX(1,ROW()-$C$7),0,MIN($C$7,ROW()-1),1)))/STDEV(OFFSET(分析データ!D$1,MAX(1,ROW()-$C$7),0,MIN($C$7,ROW()-1),1)),0))</f>
        <v>0</v>
      </c>
      <c r="BG1107">
        <f t="shared" ca="1" si="484"/>
        <v>0</v>
      </c>
      <c r="BH1107" t="str">
        <f ca="1">IF(BG1107=1,IF(INDEX(分析データ!$A:$A,ROW()+$C$5)&lt;&gt;"",50000*SIGN(BF1107)*(分析データ!D1107-INDEX(分析データ!D:D,ROW()+$C$5)),""),"")</f>
        <v/>
      </c>
      <c r="BI1107">
        <f t="shared" ca="1" si="485"/>
        <v>5570000.0000000205</v>
      </c>
      <c r="BJ1107">
        <f t="shared" ca="1" si="486"/>
        <v>5570000.0000000205</v>
      </c>
      <c r="BK1107">
        <f t="shared" ca="1" si="487"/>
        <v>0</v>
      </c>
      <c r="BL1107">
        <f ca="1">IF(ROW()&lt;($C$7+1),"",IFERROR((分析データ!E1107-AVERAGE(OFFSET(分析データ!E$1,MAX(1,ROW()-$C$7),0,MIN($C$7,ROW()-1),1)))/STDEV(OFFSET(分析データ!E$1,MAX(1,ROW()-$C$7),0,MIN($C$7,ROW()-1),1)),0))</f>
        <v>0</v>
      </c>
      <c r="BM1107">
        <f t="shared" ca="1" si="488"/>
        <v>0</v>
      </c>
      <c r="BN1107" t="str">
        <f ca="1">IF(BM1107=1,IF(INDEX(分析データ!$A:$A,ROW()+$C$5)&lt;&gt;"",40000*SIGN(BL1107)*(分析データ!E1107-INDEX(分析データ!E:E,ROW()+$C$5)),""),"")</f>
        <v/>
      </c>
      <c r="BO1107">
        <f t="shared" ca="1" si="489"/>
        <v>2720000.0000000014</v>
      </c>
      <c r="BP1107">
        <f t="shared" ca="1" si="490"/>
        <v>4280000.0000000028</v>
      </c>
      <c r="BQ1107">
        <f t="shared" ca="1" si="491"/>
        <v>-1560000.0000000014</v>
      </c>
      <c r="BR1107">
        <f ca="1">IF(ROW()&lt;($C$7+1),"",IFERROR((分析データ!F1107-AVERAGE(OFFSET(分析データ!F$1,MAX(1,ROW()-$C$7),0,MIN($C$7,ROW()-1),1)))/STDEV(OFFSET(分析データ!F$1,MAX(1,ROW()-$C$7),0,MIN($C$7,ROW()-1),1)),0))</f>
        <v>0</v>
      </c>
      <c r="BS1107">
        <f t="shared" ca="1" si="492"/>
        <v>0</v>
      </c>
      <c r="BT1107" t="str">
        <f ca="1">IF(BS1107=1,IF(INDEX(分析データ!$A:$A,ROW()+$C$5)&lt;&gt;"",40000*SIGN(BR1107)*(分析データ!F1107-INDEX(分析データ!F:F,ROW()+$C$5)),""),"")</f>
        <v/>
      </c>
      <c r="BU1107">
        <f t="shared" ca="1" si="493"/>
        <v>19816800</v>
      </c>
      <c r="BV1107">
        <f t="shared" ca="1" si="494"/>
        <v>19816800</v>
      </c>
      <c r="BW1107">
        <f t="shared" ca="1" si="495"/>
        <v>0</v>
      </c>
      <c r="BX1107">
        <f ca="1">IF(ROW()&lt;($C$7+1),"",IFERROR((分析データ!G1107-AVERAGE(OFFSET(分析データ!G$1,MAX(1,ROW()-$C$7),0,MIN($C$7,ROW()-1),1)))/STDEV(OFFSET(分析データ!G$1,MAX(1,ROW()-$C$7),0,MIN($C$7,ROW()-1),1)),0))</f>
        <v>0</v>
      </c>
      <c r="BY1107">
        <f t="shared" ca="1" si="496"/>
        <v>0</v>
      </c>
      <c r="BZ1107" t="str">
        <f ca="1">IF(BY1107=1,IF(INDEX(分析データ!$A:$A,ROW()+$C$5)&lt;&gt;"",40000*SIGN(BX1107)*(分析データ!G1107-INDEX(分析データ!G:G,ROW()+$C$5)),""),"")</f>
        <v/>
      </c>
      <c r="CA1107">
        <f t="shared" ca="1" si="497"/>
        <v>-3515452.8662109179</v>
      </c>
      <c r="CB1107">
        <f t="shared" ca="1" si="498"/>
        <v>11327520.000000004</v>
      </c>
      <c r="CC1107">
        <f t="shared" ca="1" si="499"/>
        <v>-14842972.866210923</v>
      </c>
      <c r="CD1107">
        <f t="shared" ca="1" si="500"/>
        <v>0</v>
      </c>
      <c r="CE1107">
        <f t="shared" ca="1" si="501"/>
        <v>23090347.13378913</v>
      </c>
      <c r="CF1107">
        <f t="shared" ca="1" si="502"/>
        <v>23090347.13378913</v>
      </c>
      <c r="CG1107">
        <f t="shared" ca="1" si="503"/>
        <v>0</v>
      </c>
      <c r="CH1107" s="10" t="str">
        <f>分析データ!A1107</f>
        <v/>
      </c>
    </row>
    <row r="1108" spans="46:86">
      <c r="AT1108">
        <f ca="1">IF(ROW()&lt;($C$7+1),"",IFERROR((分析データ!B1108-AVERAGE(OFFSET(分析データ!B$1,MAX(1,ROW()-$C$7),0,MIN($C$7,ROW()-1),1)))/STDEV(OFFSET(分析データ!B$1,MAX(1,ROW()-$C$7),0,MIN($C$7,ROW()-1),1)),0))</f>
        <v>0</v>
      </c>
      <c r="AU1108">
        <f t="shared" ca="1" si="476"/>
        <v>0</v>
      </c>
      <c r="AV1108" t="str">
        <f ca="1">IF(AU1108=1,IF(INDEX(分析データ!$A:$A,ROW()+$C$5)&lt;&gt;"",80000*SIGN(AT1108)*(分析データ!B1108-INDEX(分析データ!B:B,ROW()+$C$5)),""),"")</f>
        <v/>
      </c>
      <c r="AW1108">
        <f t="shared" ca="1" si="477"/>
        <v>-1240000.0000000019</v>
      </c>
      <c r="AX1108">
        <f t="shared" ca="1" si="478"/>
        <v>0</v>
      </c>
      <c r="AY1108">
        <f t="shared" ca="1" si="479"/>
        <v>-1240000.0000000019</v>
      </c>
      <c r="AZ1108">
        <f ca="1">IF(ROW()&lt;($C$7+1),"",IFERROR((分析データ!C1108-AVERAGE(OFFSET(分析データ!C$1,MAX(1,ROW()-$C$7),0,MIN($C$7,ROW()-1),1)))/STDEV(OFFSET(分析データ!C$1,MAX(1,ROW()-$C$7),0,MIN($C$7,ROW()-1),1)),0))</f>
        <v>0</v>
      </c>
      <c r="BA1108">
        <f t="shared" ca="1" si="480"/>
        <v>0</v>
      </c>
      <c r="BB1108" t="str">
        <f ca="1">IF(BA1108=1,IF(INDEX(分析データ!$A:$A,ROW()+$C$5)&lt;&gt;"",60000*SIGN(AZ1108)*(分析データ!C1108-INDEX(分析データ!C:C,ROW()+$C$5)),""),"")</f>
        <v/>
      </c>
      <c r="BC1108">
        <f t="shared" ca="1" si="481"/>
        <v>-260999.9999999851</v>
      </c>
      <c r="BD1108">
        <f t="shared" ca="1" si="482"/>
        <v>3156000.0000000107</v>
      </c>
      <c r="BE1108">
        <f t="shared" ca="1" si="483"/>
        <v>-3416999.9999999958</v>
      </c>
      <c r="BF1108">
        <f ca="1">IF(ROW()&lt;($C$7+1),"",IFERROR((分析データ!D1108-AVERAGE(OFFSET(分析データ!D$1,MAX(1,ROW()-$C$7),0,MIN($C$7,ROW()-1),1)))/STDEV(OFFSET(分析データ!D$1,MAX(1,ROW()-$C$7),0,MIN($C$7,ROW()-1),1)),0))</f>
        <v>0</v>
      </c>
      <c r="BG1108">
        <f t="shared" ca="1" si="484"/>
        <v>0</v>
      </c>
      <c r="BH1108" t="str">
        <f ca="1">IF(BG1108=1,IF(INDEX(分析データ!$A:$A,ROW()+$C$5)&lt;&gt;"",50000*SIGN(BF1108)*(分析データ!D1108-INDEX(分析データ!D:D,ROW()+$C$5)),""),"")</f>
        <v/>
      </c>
      <c r="BI1108">
        <f t="shared" ca="1" si="485"/>
        <v>5570000.0000000205</v>
      </c>
      <c r="BJ1108">
        <f t="shared" ca="1" si="486"/>
        <v>5570000.0000000205</v>
      </c>
      <c r="BK1108">
        <f t="shared" ca="1" si="487"/>
        <v>0</v>
      </c>
      <c r="BL1108">
        <f ca="1">IF(ROW()&lt;($C$7+1),"",IFERROR((分析データ!E1108-AVERAGE(OFFSET(分析データ!E$1,MAX(1,ROW()-$C$7),0,MIN($C$7,ROW()-1),1)))/STDEV(OFFSET(分析データ!E$1,MAX(1,ROW()-$C$7),0,MIN($C$7,ROW()-1),1)),0))</f>
        <v>0</v>
      </c>
      <c r="BM1108">
        <f t="shared" ca="1" si="488"/>
        <v>0</v>
      </c>
      <c r="BN1108" t="str">
        <f ca="1">IF(BM1108=1,IF(INDEX(分析データ!$A:$A,ROW()+$C$5)&lt;&gt;"",40000*SIGN(BL1108)*(分析データ!E1108-INDEX(分析データ!E:E,ROW()+$C$5)),""),"")</f>
        <v/>
      </c>
      <c r="BO1108">
        <f t="shared" ca="1" si="489"/>
        <v>2720000.0000000014</v>
      </c>
      <c r="BP1108">
        <f t="shared" ca="1" si="490"/>
        <v>4280000.0000000028</v>
      </c>
      <c r="BQ1108">
        <f t="shared" ca="1" si="491"/>
        <v>-1560000.0000000014</v>
      </c>
      <c r="BR1108">
        <f ca="1">IF(ROW()&lt;($C$7+1),"",IFERROR((分析データ!F1108-AVERAGE(OFFSET(分析データ!F$1,MAX(1,ROW()-$C$7),0,MIN($C$7,ROW()-1),1)))/STDEV(OFFSET(分析データ!F$1,MAX(1,ROW()-$C$7),0,MIN($C$7,ROW()-1),1)),0))</f>
        <v>0</v>
      </c>
      <c r="BS1108">
        <f t="shared" ca="1" si="492"/>
        <v>0</v>
      </c>
      <c r="BT1108" t="str">
        <f ca="1">IF(BS1108=1,IF(INDEX(分析データ!$A:$A,ROW()+$C$5)&lt;&gt;"",40000*SIGN(BR1108)*(分析データ!F1108-INDEX(分析データ!F:F,ROW()+$C$5)),""),"")</f>
        <v/>
      </c>
      <c r="BU1108">
        <f t="shared" ca="1" si="493"/>
        <v>19816800</v>
      </c>
      <c r="BV1108">
        <f t="shared" ca="1" si="494"/>
        <v>19816800</v>
      </c>
      <c r="BW1108">
        <f t="shared" ca="1" si="495"/>
        <v>0</v>
      </c>
      <c r="BX1108">
        <f ca="1">IF(ROW()&lt;($C$7+1),"",IFERROR((分析データ!G1108-AVERAGE(OFFSET(分析データ!G$1,MAX(1,ROW()-$C$7),0,MIN($C$7,ROW()-1),1)))/STDEV(OFFSET(分析データ!G$1,MAX(1,ROW()-$C$7),0,MIN($C$7,ROW()-1),1)),0))</f>
        <v>0</v>
      </c>
      <c r="BY1108">
        <f t="shared" ca="1" si="496"/>
        <v>0</v>
      </c>
      <c r="BZ1108" t="str">
        <f ca="1">IF(BY1108=1,IF(INDEX(分析データ!$A:$A,ROW()+$C$5)&lt;&gt;"",40000*SIGN(BX1108)*(分析データ!G1108-INDEX(分析データ!G:G,ROW()+$C$5)),""),"")</f>
        <v/>
      </c>
      <c r="CA1108">
        <f t="shared" ca="1" si="497"/>
        <v>-3515452.8662109179</v>
      </c>
      <c r="CB1108">
        <f t="shared" ca="1" si="498"/>
        <v>11327520.000000004</v>
      </c>
      <c r="CC1108">
        <f t="shared" ca="1" si="499"/>
        <v>-14842972.866210923</v>
      </c>
      <c r="CD1108">
        <f t="shared" ca="1" si="500"/>
        <v>0</v>
      </c>
      <c r="CE1108">
        <f t="shared" ca="1" si="501"/>
        <v>23090347.13378913</v>
      </c>
      <c r="CF1108">
        <f t="shared" ca="1" si="502"/>
        <v>23090347.13378913</v>
      </c>
      <c r="CG1108">
        <f t="shared" ca="1" si="503"/>
        <v>0</v>
      </c>
      <c r="CH1108" s="10" t="str">
        <f>分析データ!A1108</f>
        <v/>
      </c>
    </row>
    <row r="1109" spans="46:86">
      <c r="AT1109">
        <f ca="1">IF(ROW()&lt;($C$7+1),"",IFERROR((分析データ!B1109-AVERAGE(OFFSET(分析データ!B$1,MAX(1,ROW()-$C$7),0,MIN($C$7,ROW()-1),1)))/STDEV(OFFSET(分析データ!B$1,MAX(1,ROW()-$C$7),0,MIN($C$7,ROW()-1),1)),0))</f>
        <v>0</v>
      </c>
      <c r="AU1109">
        <f t="shared" ca="1" si="476"/>
        <v>0</v>
      </c>
      <c r="AV1109" t="str">
        <f ca="1">IF(AU1109=1,IF(INDEX(分析データ!$A:$A,ROW()+$C$5)&lt;&gt;"",80000*SIGN(AT1109)*(分析データ!B1109-INDEX(分析データ!B:B,ROW()+$C$5)),""),"")</f>
        <v/>
      </c>
      <c r="AW1109">
        <f t="shared" ca="1" si="477"/>
        <v>-1240000.0000000019</v>
      </c>
      <c r="AX1109">
        <f t="shared" ca="1" si="478"/>
        <v>0</v>
      </c>
      <c r="AY1109">
        <f t="shared" ca="1" si="479"/>
        <v>-1240000.0000000019</v>
      </c>
      <c r="AZ1109">
        <f ca="1">IF(ROW()&lt;($C$7+1),"",IFERROR((分析データ!C1109-AVERAGE(OFFSET(分析データ!C$1,MAX(1,ROW()-$C$7),0,MIN($C$7,ROW()-1),1)))/STDEV(OFFSET(分析データ!C$1,MAX(1,ROW()-$C$7),0,MIN($C$7,ROW()-1),1)),0))</f>
        <v>0</v>
      </c>
      <c r="BA1109">
        <f t="shared" ca="1" si="480"/>
        <v>0</v>
      </c>
      <c r="BB1109" t="str">
        <f ca="1">IF(BA1109=1,IF(INDEX(分析データ!$A:$A,ROW()+$C$5)&lt;&gt;"",60000*SIGN(AZ1109)*(分析データ!C1109-INDEX(分析データ!C:C,ROW()+$C$5)),""),"")</f>
        <v/>
      </c>
      <c r="BC1109">
        <f t="shared" ca="1" si="481"/>
        <v>-260999.9999999851</v>
      </c>
      <c r="BD1109">
        <f t="shared" ca="1" si="482"/>
        <v>3156000.0000000107</v>
      </c>
      <c r="BE1109">
        <f t="shared" ca="1" si="483"/>
        <v>-3416999.9999999958</v>
      </c>
      <c r="BF1109">
        <f ca="1">IF(ROW()&lt;($C$7+1),"",IFERROR((分析データ!D1109-AVERAGE(OFFSET(分析データ!D$1,MAX(1,ROW()-$C$7),0,MIN($C$7,ROW()-1),1)))/STDEV(OFFSET(分析データ!D$1,MAX(1,ROW()-$C$7),0,MIN($C$7,ROW()-1),1)),0))</f>
        <v>0</v>
      </c>
      <c r="BG1109">
        <f t="shared" ca="1" si="484"/>
        <v>0</v>
      </c>
      <c r="BH1109" t="str">
        <f ca="1">IF(BG1109=1,IF(INDEX(分析データ!$A:$A,ROW()+$C$5)&lt;&gt;"",50000*SIGN(BF1109)*(分析データ!D1109-INDEX(分析データ!D:D,ROW()+$C$5)),""),"")</f>
        <v/>
      </c>
      <c r="BI1109">
        <f t="shared" ca="1" si="485"/>
        <v>5570000.0000000205</v>
      </c>
      <c r="BJ1109">
        <f t="shared" ca="1" si="486"/>
        <v>5570000.0000000205</v>
      </c>
      <c r="BK1109">
        <f t="shared" ca="1" si="487"/>
        <v>0</v>
      </c>
      <c r="BL1109">
        <f ca="1">IF(ROW()&lt;($C$7+1),"",IFERROR((分析データ!E1109-AVERAGE(OFFSET(分析データ!E$1,MAX(1,ROW()-$C$7),0,MIN($C$7,ROW()-1),1)))/STDEV(OFFSET(分析データ!E$1,MAX(1,ROW()-$C$7),0,MIN($C$7,ROW()-1),1)),0))</f>
        <v>0</v>
      </c>
      <c r="BM1109">
        <f t="shared" ca="1" si="488"/>
        <v>0</v>
      </c>
      <c r="BN1109" t="str">
        <f ca="1">IF(BM1109=1,IF(INDEX(分析データ!$A:$A,ROW()+$C$5)&lt;&gt;"",40000*SIGN(BL1109)*(分析データ!E1109-INDEX(分析データ!E:E,ROW()+$C$5)),""),"")</f>
        <v/>
      </c>
      <c r="BO1109">
        <f t="shared" ca="1" si="489"/>
        <v>2720000.0000000014</v>
      </c>
      <c r="BP1109">
        <f t="shared" ca="1" si="490"/>
        <v>4280000.0000000028</v>
      </c>
      <c r="BQ1109">
        <f t="shared" ca="1" si="491"/>
        <v>-1560000.0000000014</v>
      </c>
      <c r="BR1109">
        <f ca="1">IF(ROW()&lt;($C$7+1),"",IFERROR((分析データ!F1109-AVERAGE(OFFSET(分析データ!F$1,MAX(1,ROW()-$C$7),0,MIN($C$7,ROW()-1),1)))/STDEV(OFFSET(分析データ!F$1,MAX(1,ROW()-$C$7),0,MIN($C$7,ROW()-1),1)),0))</f>
        <v>0</v>
      </c>
      <c r="BS1109">
        <f t="shared" ca="1" si="492"/>
        <v>0</v>
      </c>
      <c r="BT1109" t="str">
        <f ca="1">IF(BS1109=1,IF(INDEX(分析データ!$A:$A,ROW()+$C$5)&lt;&gt;"",40000*SIGN(BR1109)*(分析データ!F1109-INDEX(分析データ!F:F,ROW()+$C$5)),""),"")</f>
        <v/>
      </c>
      <c r="BU1109">
        <f t="shared" ca="1" si="493"/>
        <v>19816800</v>
      </c>
      <c r="BV1109">
        <f t="shared" ca="1" si="494"/>
        <v>19816800</v>
      </c>
      <c r="BW1109">
        <f t="shared" ca="1" si="495"/>
        <v>0</v>
      </c>
      <c r="BX1109">
        <f ca="1">IF(ROW()&lt;($C$7+1),"",IFERROR((分析データ!G1109-AVERAGE(OFFSET(分析データ!G$1,MAX(1,ROW()-$C$7),0,MIN($C$7,ROW()-1),1)))/STDEV(OFFSET(分析データ!G$1,MAX(1,ROW()-$C$7),0,MIN($C$7,ROW()-1),1)),0))</f>
        <v>0</v>
      </c>
      <c r="BY1109">
        <f t="shared" ca="1" si="496"/>
        <v>0</v>
      </c>
      <c r="BZ1109" t="str">
        <f ca="1">IF(BY1109=1,IF(INDEX(分析データ!$A:$A,ROW()+$C$5)&lt;&gt;"",40000*SIGN(BX1109)*(分析データ!G1109-INDEX(分析データ!G:G,ROW()+$C$5)),""),"")</f>
        <v/>
      </c>
      <c r="CA1109">
        <f t="shared" ca="1" si="497"/>
        <v>-3515452.8662109179</v>
      </c>
      <c r="CB1109">
        <f t="shared" ca="1" si="498"/>
        <v>11327520.000000004</v>
      </c>
      <c r="CC1109">
        <f t="shared" ca="1" si="499"/>
        <v>-14842972.866210923</v>
      </c>
      <c r="CD1109">
        <f t="shared" ca="1" si="500"/>
        <v>0</v>
      </c>
      <c r="CE1109">
        <f t="shared" ca="1" si="501"/>
        <v>23090347.13378913</v>
      </c>
      <c r="CF1109">
        <f t="shared" ca="1" si="502"/>
        <v>23090347.13378913</v>
      </c>
      <c r="CG1109">
        <f t="shared" ca="1" si="503"/>
        <v>0</v>
      </c>
      <c r="CH1109" s="10" t="str">
        <f>分析データ!A1109</f>
        <v/>
      </c>
    </row>
    <row r="1110" spans="46:86">
      <c r="AT1110">
        <f ca="1">IF(ROW()&lt;($C$7+1),"",IFERROR((分析データ!B1110-AVERAGE(OFFSET(分析データ!B$1,MAX(1,ROW()-$C$7),0,MIN($C$7,ROW()-1),1)))/STDEV(OFFSET(分析データ!B$1,MAX(1,ROW()-$C$7),0,MIN($C$7,ROW()-1),1)),0))</f>
        <v>0</v>
      </c>
      <c r="AU1110">
        <f t="shared" ca="1" si="476"/>
        <v>0</v>
      </c>
      <c r="AV1110" t="str">
        <f ca="1">IF(AU1110=1,IF(INDEX(分析データ!$A:$A,ROW()+$C$5)&lt;&gt;"",80000*SIGN(AT1110)*(分析データ!B1110-INDEX(分析データ!B:B,ROW()+$C$5)),""),"")</f>
        <v/>
      </c>
      <c r="AW1110">
        <f t="shared" ca="1" si="477"/>
        <v>-1240000.0000000019</v>
      </c>
      <c r="AX1110">
        <f t="shared" ca="1" si="478"/>
        <v>0</v>
      </c>
      <c r="AY1110">
        <f t="shared" ca="1" si="479"/>
        <v>-1240000.0000000019</v>
      </c>
      <c r="AZ1110">
        <f ca="1">IF(ROW()&lt;($C$7+1),"",IFERROR((分析データ!C1110-AVERAGE(OFFSET(分析データ!C$1,MAX(1,ROW()-$C$7),0,MIN($C$7,ROW()-1),1)))/STDEV(OFFSET(分析データ!C$1,MAX(1,ROW()-$C$7),0,MIN($C$7,ROW()-1),1)),0))</f>
        <v>0</v>
      </c>
      <c r="BA1110">
        <f t="shared" ca="1" si="480"/>
        <v>0</v>
      </c>
      <c r="BB1110" t="str">
        <f ca="1">IF(BA1110=1,IF(INDEX(分析データ!$A:$A,ROW()+$C$5)&lt;&gt;"",60000*SIGN(AZ1110)*(分析データ!C1110-INDEX(分析データ!C:C,ROW()+$C$5)),""),"")</f>
        <v/>
      </c>
      <c r="BC1110">
        <f t="shared" ca="1" si="481"/>
        <v>-260999.9999999851</v>
      </c>
      <c r="BD1110">
        <f t="shared" ca="1" si="482"/>
        <v>3156000.0000000107</v>
      </c>
      <c r="BE1110">
        <f t="shared" ca="1" si="483"/>
        <v>-3416999.9999999958</v>
      </c>
      <c r="BF1110">
        <f ca="1">IF(ROW()&lt;($C$7+1),"",IFERROR((分析データ!D1110-AVERAGE(OFFSET(分析データ!D$1,MAX(1,ROW()-$C$7),0,MIN($C$7,ROW()-1),1)))/STDEV(OFFSET(分析データ!D$1,MAX(1,ROW()-$C$7),0,MIN($C$7,ROW()-1),1)),0))</f>
        <v>0</v>
      </c>
      <c r="BG1110">
        <f t="shared" ca="1" si="484"/>
        <v>0</v>
      </c>
      <c r="BH1110" t="str">
        <f ca="1">IF(BG1110=1,IF(INDEX(分析データ!$A:$A,ROW()+$C$5)&lt;&gt;"",50000*SIGN(BF1110)*(分析データ!D1110-INDEX(分析データ!D:D,ROW()+$C$5)),""),"")</f>
        <v/>
      </c>
      <c r="BI1110">
        <f t="shared" ca="1" si="485"/>
        <v>5570000.0000000205</v>
      </c>
      <c r="BJ1110">
        <f t="shared" ca="1" si="486"/>
        <v>5570000.0000000205</v>
      </c>
      <c r="BK1110">
        <f t="shared" ca="1" si="487"/>
        <v>0</v>
      </c>
      <c r="BL1110">
        <f ca="1">IF(ROW()&lt;($C$7+1),"",IFERROR((分析データ!E1110-AVERAGE(OFFSET(分析データ!E$1,MAX(1,ROW()-$C$7),0,MIN($C$7,ROW()-1),1)))/STDEV(OFFSET(分析データ!E$1,MAX(1,ROW()-$C$7),0,MIN($C$7,ROW()-1),1)),0))</f>
        <v>0</v>
      </c>
      <c r="BM1110">
        <f t="shared" ca="1" si="488"/>
        <v>0</v>
      </c>
      <c r="BN1110" t="str">
        <f ca="1">IF(BM1110=1,IF(INDEX(分析データ!$A:$A,ROW()+$C$5)&lt;&gt;"",40000*SIGN(BL1110)*(分析データ!E1110-INDEX(分析データ!E:E,ROW()+$C$5)),""),"")</f>
        <v/>
      </c>
      <c r="BO1110">
        <f t="shared" ca="1" si="489"/>
        <v>2720000.0000000014</v>
      </c>
      <c r="BP1110">
        <f t="shared" ca="1" si="490"/>
        <v>4280000.0000000028</v>
      </c>
      <c r="BQ1110">
        <f t="shared" ca="1" si="491"/>
        <v>-1560000.0000000014</v>
      </c>
      <c r="BR1110">
        <f ca="1">IF(ROW()&lt;($C$7+1),"",IFERROR((分析データ!F1110-AVERAGE(OFFSET(分析データ!F$1,MAX(1,ROW()-$C$7),0,MIN($C$7,ROW()-1),1)))/STDEV(OFFSET(分析データ!F$1,MAX(1,ROW()-$C$7),0,MIN($C$7,ROW()-1),1)),0))</f>
        <v>0</v>
      </c>
      <c r="BS1110">
        <f t="shared" ca="1" si="492"/>
        <v>0</v>
      </c>
      <c r="BT1110" t="str">
        <f ca="1">IF(BS1110=1,IF(INDEX(分析データ!$A:$A,ROW()+$C$5)&lt;&gt;"",40000*SIGN(BR1110)*(分析データ!F1110-INDEX(分析データ!F:F,ROW()+$C$5)),""),"")</f>
        <v/>
      </c>
      <c r="BU1110">
        <f t="shared" ca="1" si="493"/>
        <v>19816800</v>
      </c>
      <c r="BV1110">
        <f t="shared" ca="1" si="494"/>
        <v>19816800</v>
      </c>
      <c r="BW1110">
        <f t="shared" ca="1" si="495"/>
        <v>0</v>
      </c>
      <c r="BX1110">
        <f ca="1">IF(ROW()&lt;($C$7+1),"",IFERROR((分析データ!G1110-AVERAGE(OFFSET(分析データ!G$1,MAX(1,ROW()-$C$7),0,MIN($C$7,ROW()-1),1)))/STDEV(OFFSET(分析データ!G$1,MAX(1,ROW()-$C$7),0,MIN($C$7,ROW()-1),1)),0))</f>
        <v>0</v>
      </c>
      <c r="BY1110">
        <f t="shared" ca="1" si="496"/>
        <v>0</v>
      </c>
      <c r="BZ1110" t="str">
        <f ca="1">IF(BY1110=1,IF(INDEX(分析データ!$A:$A,ROW()+$C$5)&lt;&gt;"",40000*SIGN(BX1110)*(分析データ!G1110-INDEX(分析データ!G:G,ROW()+$C$5)),""),"")</f>
        <v/>
      </c>
      <c r="CA1110">
        <f t="shared" ca="1" si="497"/>
        <v>-3515452.8662109179</v>
      </c>
      <c r="CB1110">
        <f t="shared" ca="1" si="498"/>
        <v>11327520.000000004</v>
      </c>
      <c r="CC1110">
        <f t="shared" ca="1" si="499"/>
        <v>-14842972.866210923</v>
      </c>
      <c r="CD1110">
        <f t="shared" ca="1" si="500"/>
        <v>0</v>
      </c>
      <c r="CE1110">
        <f t="shared" ca="1" si="501"/>
        <v>23090347.13378913</v>
      </c>
      <c r="CF1110">
        <f t="shared" ca="1" si="502"/>
        <v>23090347.13378913</v>
      </c>
      <c r="CG1110">
        <f t="shared" ca="1" si="503"/>
        <v>0</v>
      </c>
      <c r="CH1110" s="10" t="str">
        <f>分析データ!A1110</f>
        <v/>
      </c>
    </row>
    <row r="1111" spans="46:86">
      <c r="AT1111">
        <f ca="1">IF(ROW()&lt;($C$7+1),"",IFERROR((分析データ!B1111-AVERAGE(OFFSET(分析データ!B$1,MAX(1,ROW()-$C$7),0,MIN($C$7,ROW()-1),1)))/STDEV(OFFSET(分析データ!B$1,MAX(1,ROW()-$C$7),0,MIN($C$7,ROW()-1),1)),0))</f>
        <v>0</v>
      </c>
      <c r="AU1111">
        <f t="shared" ca="1" si="476"/>
        <v>0</v>
      </c>
      <c r="AV1111" t="str">
        <f ca="1">IF(AU1111=1,IF(INDEX(分析データ!$A:$A,ROW()+$C$5)&lt;&gt;"",80000*SIGN(AT1111)*(分析データ!B1111-INDEX(分析データ!B:B,ROW()+$C$5)),""),"")</f>
        <v/>
      </c>
      <c r="AW1111">
        <f t="shared" ca="1" si="477"/>
        <v>-1240000.0000000019</v>
      </c>
      <c r="AX1111">
        <f t="shared" ca="1" si="478"/>
        <v>0</v>
      </c>
      <c r="AY1111">
        <f t="shared" ca="1" si="479"/>
        <v>-1240000.0000000019</v>
      </c>
      <c r="AZ1111">
        <f ca="1">IF(ROW()&lt;($C$7+1),"",IFERROR((分析データ!C1111-AVERAGE(OFFSET(分析データ!C$1,MAX(1,ROW()-$C$7),0,MIN($C$7,ROW()-1),1)))/STDEV(OFFSET(分析データ!C$1,MAX(1,ROW()-$C$7),0,MIN($C$7,ROW()-1),1)),0))</f>
        <v>0</v>
      </c>
      <c r="BA1111">
        <f t="shared" ca="1" si="480"/>
        <v>0</v>
      </c>
      <c r="BB1111" t="str">
        <f ca="1">IF(BA1111=1,IF(INDEX(分析データ!$A:$A,ROW()+$C$5)&lt;&gt;"",60000*SIGN(AZ1111)*(分析データ!C1111-INDEX(分析データ!C:C,ROW()+$C$5)),""),"")</f>
        <v/>
      </c>
      <c r="BC1111">
        <f t="shared" ca="1" si="481"/>
        <v>-260999.9999999851</v>
      </c>
      <c r="BD1111">
        <f t="shared" ca="1" si="482"/>
        <v>3156000.0000000107</v>
      </c>
      <c r="BE1111">
        <f t="shared" ca="1" si="483"/>
        <v>-3416999.9999999958</v>
      </c>
      <c r="BF1111">
        <f ca="1">IF(ROW()&lt;($C$7+1),"",IFERROR((分析データ!D1111-AVERAGE(OFFSET(分析データ!D$1,MAX(1,ROW()-$C$7),0,MIN($C$7,ROW()-1),1)))/STDEV(OFFSET(分析データ!D$1,MAX(1,ROW()-$C$7),0,MIN($C$7,ROW()-1),1)),0))</f>
        <v>0</v>
      </c>
      <c r="BG1111">
        <f t="shared" ca="1" si="484"/>
        <v>0</v>
      </c>
      <c r="BH1111" t="str">
        <f ca="1">IF(BG1111=1,IF(INDEX(分析データ!$A:$A,ROW()+$C$5)&lt;&gt;"",50000*SIGN(BF1111)*(分析データ!D1111-INDEX(分析データ!D:D,ROW()+$C$5)),""),"")</f>
        <v/>
      </c>
      <c r="BI1111">
        <f t="shared" ca="1" si="485"/>
        <v>5570000.0000000205</v>
      </c>
      <c r="BJ1111">
        <f t="shared" ca="1" si="486"/>
        <v>5570000.0000000205</v>
      </c>
      <c r="BK1111">
        <f t="shared" ca="1" si="487"/>
        <v>0</v>
      </c>
      <c r="BL1111">
        <f ca="1">IF(ROW()&lt;($C$7+1),"",IFERROR((分析データ!E1111-AVERAGE(OFFSET(分析データ!E$1,MAX(1,ROW()-$C$7),0,MIN($C$7,ROW()-1),1)))/STDEV(OFFSET(分析データ!E$1,MAX(1,ROW()-$C$7),0,MIN($C$7,ROW()-1),1)),0))</f>
        <v>0</v>
      </c>
      <c r="BM1111">
        <f t="shared" ca="1" si="488"/>
        <v>0</v>
      </c>
      <c r="BN1111" t="str">
        <f ca="1">IF(BM1111=1,IF(INDEX(分析データ!$A:$A,ROW()+$C$5)&lt;&gt;"",40000*SIGN(BL1111)*(分析データ!E1111-INDEX(分析データ!E:E,ROW()+$C$5)),""),"")</f>
        <v/>
      </c>
      <c r="BO1111">
        <f t="shared" ca="1" si="489"/>
        <v>2720000.0000000014</v>
      </c>
      <c r="BP1111">
        <f t="shared" ca="1" si="490"/>
        <v>4280000.0000000028</v>
      </c>
      <c r="BQ1111">
        <f t="shared" ca="1" si="491"/>
        <v>-1560000.0000000014</v>
      </c>
      <c r="BR1111">
        <f ca="1">IF(ROW()&lt;($C$7+1),"",IFERROR((分析データ!F1111-AVERAGE(OFFSET(分析データ!F$1,MAX(1,ROW()-$C$7),0,MIN($C$7,ROW()-1),1)))/STDEV(OFFSET(分析データ!F$1,MAX(1,ROW()-$C$7),0,MIN($C$7,ROW()-1),1)),0))</f>
        <v>0</v>
      </c>
      <c r="BS1111">
        <f t="shared" ca="1" si="492"/>
        <v>0</v>
      </c>
      <c r="BT1111" t="str">
        <f ca="1">IF(BS1111=1,IF(INDEX(分析データ!$A:$A,ROW()+$C$5)&lt;&gt;"",40000*SIGN(BR1111)*(分析データ!F1111-INDEX(分析データ!F:F,ROW()+$C$5)),""),"")</f>
        <v/>
      </c>
      <c r="BU1111">
        <f t="shared" ca="1" si="493"/>
        <v>19816800</v>
      </c>
      <c r="BV1111">
        <f t="shared" ca="1" si="494"/>
        <v>19816800</v>
      </c>
      <c r="BW1111">
        <f t="shared" ca="1" si="495"/>
        <v>0</v>
      </c>
      <c r="BX1111">
        <f ca="1">IF(ROW()&lt;($C$7+1),"",IFERROR((分析データ!G1111-AVERAGE(OFFSET(分析データ!G$1,MAX(1,ROW()-$C$7),0,MIN($C$7,ROW()-1),1)))/STDEV(OFFSET(分析データ!G$1,MAX(1,ROW()-$C$7),0,MIN($C$7,ROW()-1),1)),0))</f>
        <v>0</v>
      </c>
      <c r="BY1111">
        <f t="shared" ca="1" si="496"/>
        <v>0</v>
      </c>
      <c r="BZ1111" t="str">
        <f ca="1">IF(BY1111=1,IF(INDEX(分析データ!$A:$A,ROW()+$C$5)&lt;&gt;"",40000*SIGN(BX1111)*(分析データ!G1111-INDEX(分析データ!G:G,ROW()+$C$5)),""),"")</f>
        <v/>
      </c>
      <c r="CA1111">
        <f t="shared" ca="1" si="497"/>
        <v>-3515452.8662109179</v>
      </c>
      <c r="CB1111">
        <f t="shared" ca="1" si="498"/>
        <v>11327520.000000004</v>
      </c>
      <c r="CC1111">
        <f t="shared" ca="1" si="499"/>
        <v>-14842972.866210923</v>
      </c>
      <c r="CD1111">
        <f t="shared" ca="1" si="500"/>
        <v>0</v>
      </c>
      <c r="CE1111">
        <f t="shared" ca="1" si="501"/>
        <v>23090347.13378913</v>
      </c>
      <c r="CF1111">
        <f t="shared" ca="1" si="502"/>
        <v>23090347.13378913</v>
      </c>
      <c r="CG1111">
        <f t="shared" ca="1" si="503"/>
        <v>0</v>
      </c>
      <c r="CH1111" s="10" t="str">
        <f>分析データ!A1111</f>
        <v/>
      </c>
    </row>
    <row r="1112" spans="46:86">
      <c r="AT1112">
        <f ca="1">IF(ROW()&lt;($C$7+1),"",IFERROR((分析データ!B1112-AVERAGE(OFFSET(分析データ!B$1,MAX(1,ROW()-$C$7),0,MIN($C$7,ROW()-1),1)))/STDEV(OFFSET(分析データ!B$1,MAX(1,ROW()-$C$7),0,MIN($C$7,ROW()-1),1)),0))</f>
        <v>0</v>
      </c>
      <c r="AU1112">
        <f t="shared" ca="1" si="476"/>
        <v>0</v>
      </c>
      <c r="AV1112" t="str">
        <f ca="1">IF(AU1112=1,IF(INDEX(分析データ!$A:$A,ROW()+$C$5)&lt;&gt;"",80000*SIGN(AT1112)*(分析データ!B1112-INDEX(分析データ!B:B,ROW()+$C$5)),""),"")</f>
        <v/>
      </c>
      <c r="AW1112">
        <f t="shared" ca="1" si="477"/>
        <v>-1240000.0000000019</v>
      </c>
      <c r="AX1112">
        <f t="shared" ca="1" si="478"/>
        <v>0</v>
      </c>
      <c r="AY1112">
        <f t="shared" ca="1" si="479"/>
        <v>-1240000.0000000019</v>
      </c>
      <c r="AZ1112">
        <f ca="1">IF(ROW()&lt;($C$7+1),"",IFERROR((分析データ!C1112-AVERAGE(OFFSET(分析データ!C$1,MAX(1,ROW()-$C$7),0,MIN($C$7,ROW()-1),1)))/STDEV(OFFSET(分析データ!C$1,MAX(1,ROW()-$C$7),0,MIN($C$7,ROW()-1),1)),0))</f>
        <v>0</v>
      </c>
      <c r="BA1112">
        <f t="shared" ca="1" si="480"/>
        <v>0</v>
      </c>
      <c r="BB1112" t="str">
        <f ca="1">IF(BA1112=1,IF(INDEX(分析データ!$A:$A,ROW()+$C$5)&lt;&gt;"",60000*SIGN(AZ1112)*(分析データ!C1112-INDEX(分析データ!C:C,ROW()+$C$5)),""),"")</f>
        <v/>
      </c>
      <c r="BC1112">
        <f t="shared" ca="1" si="481"/>
        <v>-260999.9999999851</v>
      </c>
      <c r="BD1112">
        <f t="shared" ca="1" si="482"/>
        <v>3156000.0000000107</v>
      </c>
      <c r="BE1112">
        <f t="shared" ca="1" si="483"/>
        <v>-3416999.9999999958</v>
      </c>
      <c r="BF1112">
        <f ca="1">IF(ROW()&lt;($C$7+1),"",IFERROR((分析データ!D1112-AVERAGE(OFFSET(分析データ!D$1,MAX(1,ROW()-$C$7),0,MIN($C$7,ROW()-1),1)))/STDEV(OFFSET(分析データ!D$1,MAX(1,ROW()-$C$7),0,MIN($C$7,ROW()-1),1)),0))</f>
        <v>0</v>
      </c>
      <c r="BG1112">
        <f t="shared" ca="1" si="484"/>
        <v>0</v>
      </c>
      <c r="BH1112" t="str">
        <f ca="1">IF(BG1112=1,IF(INDEX(分析データ!$A:$A,ROW()+$C$5)&lt;&gt;"",50000*SIGN(BF1112)*(分析データ!D1112-INDEX(分析データ!D:D,ROW()+$C$5)),""),"")</f>
        <v/>
      </c>
      <c r="BI1112">
        <f t="shared" ca="1" si="485"/>
        <v>5570000.0000000205</v>
      </c>
      <c r="BJ1112">
        <f t="shared" ca="1" si="486"/>
        <v>5570000.0000000205</v>
      </c>
      <c r="BK1112">
        <f t="shared" ca="1" si="487"/>
        <v>0</v>
      </c>
      <c r="BL1112">
        <f ca="1">IF(ROW()&lt;($C$7+1),"",IFERROR((分析データ!E1112-AVERAGE(OFFSET(分析データ!E$1,MAX(1,ROW()-$C$7),0,MIN($C$7,ROW()-1),1)))/STDEV(OFFSET(分析データ!E$1,MAX(1,ROW()-$C$7),0,MIN($C$7,ROW()-1),1)),0))</f>
        <v>0</v>
      </c>
      <c r="BM1112">
        <f t="shared" ca="1" si="488"/>
        <v>0</v>
      </c>
      <c r="BN1112" t="str">
        <f ca="1">IF(BM1112=1,IF(INDEX(分析データ!$A:$A,ROW()+$C$5)&lt;&gt;"",40000*SIGN(BL1112)*(分析データ!E1112-INDEX(分析データ!E:E,ROW()+$C$5)),""),"")</f>
        <v/>
      </c>
      <c r="BO1112">
        <f t="shared" ca="1" si="489"/>
        <v>2720000.0000000014</v>
      </c>
      <c r="BP1112">
        <f t="shared" ca="1" si="490"/>
        <v>4280000.0000000028</v>
      </c>
      <c r="BQ1112">
        <f t="shared" ca="1" si="491"/>
        <v>-1560000.0000000014</v>
      </c>
      <c r="BR1112">
        <f ca="1">IF(ROW()&lt;($C$7+1),"",IFERROR((分析データ!F1112-AVERAGE(OFFSET(分析データ!F$1,MAX(1,ROW()-$C$7),0,MIN($C$7,ROW()-1),1)))/STDEV(OFFSET(分析データ!F$1,MAX(1,ROW()-$C$7),0,MIN($C$7,ROW()-1),1)),0))</f>
        <v>0</v>
      </c>
      <c r="BS1112">
        <f t="shared" ca="1" si="492"/>
        <v>0</v>
      </c>
      <c r="BT1112" t="str">
        <f ca="1">IF(BS1112=1,IF(INDEX(分析データ!$A:$A,ROW()+$C$5)&lt;&gt;"",40000*SIGN(BR1112)*(分析データ!F1112-INDEX(分析データ!F:F,ROW()+$C$5)),""),"")</f>
        <v/>
      </c>
      <c r="BU1112">
        <f t="shared" ca="1" si="493"/>
        <v>19816800</v>
      </c>
      <c r="BV1112">
        <f t="shared" ca="1" si="494"/>
        <v>19816800</v>
      </c>
      <c r="BW1112">
        <f t="shared" ca="1" si="495"/>
        <v>0</v>
      </c>
      <c r="BX1112">
        <f ca="1">IF(ROW()&lt;($C$7+1),"",IFERROR((分析データ!G1112-AVERAGE(OFFSET(分析データ!G$1,MAX(1,ROW()-$C$7),0,MIN($C$7,ROW()-1),1)))/STDEV(OFFSET(分析データ!G$1,MAX(1,ROW()-$C$7),0,MIN($C$7,ROW()-1),1)),0))</f>
        <v>0</v>
      </c>
      <c r="BY1112">
        <f t="shared" ca="1" si="496"/>
        <v>0</v>
      </c>
      <c r="BZ1112" t="str">
        <f ca="1">IF(BY1112=1,IF(INDEX(分析データ!$A:$A,ROW()+$C$5)&lt;&gt;"",40000*SIGN(BX1112)*(分析データ!G1112-INDEX(分析データ!G:G,ROW()+$C$5)),""),"")</f>
        <v/>
      </c>
      <c r="CA1112">
        <f t="shared" ca="1" si="497"/>
        <v>-3515452.8662109179</v>
      </c>
      <c r="CB1112">
        <f t="shared" ca="1" si="498"/>
        <v>11327520.000000004</v>
      </c>
      <c r="CC1112">
        <f t="shared" ca="1" si="499"/>
        <v>-14842972.866210923</v>
      </c>
      <c r="CD1112">
        <f t="shared" ca="1" si="500"/>
        <v>0</v>
      </c>
      <c r="CE1112">
        <f t="shared" ca="1" si="501"/>
        <v>23090347.13378913</v>
      </c>
      <c r="CF1112">
        <f t="shared" ca="1" si="502"/>
        <v>23090347.13378913</v>
      </c>
      <c r="CG1112">
        <f t="shared" ca="1" si="503"/>
        <v>0</v>
      </c>
      <c r="CH1112" s="10" t="str">
        <f>分析データ!A1112</f>
        <v/>
      </c>
    </row>
    <row r="1113" spans="46:86">
      <c r="AT1113">
        <f ca="1">IF(ROW()&lt;($C$7+1),"",IFERROR((分析データ!B1113-AVERAGE(OFFSET(分析データ!B$1,MAX(1,ROW()-$C$7),0,MIN($C$7,ROW()-1),1)))/STDEV(OFFSET(分析データ!B$1,MAX(1,ROW()-$C$7),0,MIN($C$7,ROW()-1),1)),0))</f>
        <v>0</v>
      </c>
      <c r="AU1113">
        <f t="shared" ca="1" si="476"/>
        <v>0</v>
      </c>
      <c r="AV1113" t="str">
        <f ca="1">IF(AU1113=1,IF(INDEX(分析データ!$A:$A,ROW()+$C$5)&lt;&gt;"",80000*SIGN(AT1113)*(分析データ!B1113-INDEX(分析データ!B:B,ROW()+$C$5)),""),"")</f>
        <v/>
      </c>
      <c r="AW1113">
        <f t="shared" ca="1" si="477"/>
        <v>-1240000.0000000019</v>
      </c>
      <c r="AX1113">
        <f t="shared" ca="1" si="478"/>
        <v>0</v>
      </c>
      <c r="AY1113">
        <f t="shared" ca="1" si="479"/>
        <v>-1240000.0000000019</v>
      </c>
      <c r="AZ1113">
        <f ca="1">IF(ROW()&lt;($C$7+1),"",IFERROR((分析データ!C1113-AVERAGE(OFFSET(分析データ!C$1,MAX(1,ROW()-$C$7),0,MIN($C$7,ROW()-1),1)))/STDEV(OFFSET(分析データ!C$1,MAX(1,ROW()-$C$7),0,MIN($C$7,ROW()-1),1)),0))</f>
        <v>0</v>
      </c>
      <c r="BA1113">
        <f t="shared" ca="1" si="480"/>
        <v>0</v>
      </c>
      <c r="BB1113" t="str">
        <f ca="1">IF(BA1113=1,IF(INDEX(分析データ!$A:$A,ROW()+$C$5)&lt;&gt;"",60000*SIGN(AZ1113)*(分析データ!C1113-INDEX(分析データ!C:C,ROW()+$C$5)),""),"")</f>
        <v/>
      </c>
      <c r="BC1113">
        <f t="shared" ca="1" si="481"/>
        <v>-260999.9999999851</v>
      </c>
      <c r="BD1113">
        <f t="shared" ca="1" si="482"/>
        <v>3156000.0000000107</v>
      </c>
      <c r="BE1113">
        <f t="shared" ca="1" si="483"/>
        <v>-3416999.9999999958</v>
      </c>
      <c r="BF1113">
        <f ca="1">IF(ROW()&lt;($C$7+1),"",IFERROR((分析データ!D1113-AVERAGE(OFFSET(分析データ!D$1,MAX(1,ROW()-$C$7),0,MIN($C$7,ROW()-1),1)))/STDEV(OFFSET(分析データ!D$1,MAX(1,ROW()-$C$7),0,MIN($C$7,ROW()-1),1)),0))</f>
        <v>0</v>
      </c>
      <c r="BG1113">
        <f t="shared" ca="1" si="484"/>
        <v>0</v>
      </c>
      <c r="BH1113" t="str">
        <f ca="1">IF(BG1113=1,IF(INDEX(分析データ!$A:$A,ROW()+$C$5)&lt;&gt;"",50000*SIGN(BF1113)*(分析データ!D1113-INDEX(分析データ!D:D,ROW()+$C$5)),""),"")</f>
        <v/>
      </c>
      <c r="BI1113">
        <f t="shared" ca="1" si="485"/>
        <v>5570000.0000000205</v>
      </c>
      <c r="BJ1113">
        <f t="shared" ca="1" si="486"/>
        <v>5570000.0000000205</v>
      </c>
      <c r="BK1113">
        <f t="shared" ca="1" si="487"/>
        <v>0</v>
      </c>
      <c r="BL1113">
        <f ca="1">IF(ROW()&lt;($C$7+1),"",IFERROR((分析データ!E1113-AVERAGE(OFFSET(分析データ!E$1,MAX(1,ROW()-$C$7),0,MIN($C$7,ROW()-1),1)))/STDEV(OFFSET(分析データ!E$1,MAX(1,ROW()-$C$7),0,MIN($C$7,ROW()-1),1)),0))</f>
        <v>0</v>
      </c>
      <c r="BM1113">
        <f t="shared" ca="1" si="488"/>
        <v>0</v>
      </c>
      <c r="BN1113" t="str">
        <f ca="1">IF(BM1113=1,IF(INDEX(分析データ!$A:$A,ROW()+$C$5)&lt;&gt;"",40000*SIGN(BL1113)*(分析データ!E1113-INDEX(分析データ!E:E,ROW()+$C$5)),""),"")</f>
        <v/>
      </c>
      <c r="BO1113">
        <f t="shared" ca="1" si="489"/>
        <v>2720000.0000000014</v>
      </c>
      <c r="BP1113">
        <f t="shared" ca="1" si="490"/>
        <v>4280000.0000000028</v>
      </c>
      <c r="BQ1113">
        <f t="shared" ca="1" si="491"/>
        <v>-1560000.0000000014</v>
      </c>
      <c r="BR1113">
        <f ca="1">IF(ROW()&lt;($C$7+1),"",IFERROR((分析データ!F1113-AVERAGE(OFFSET(分析データ!F$1,MAX(1,ROW()-$C$7),0,MIN($C$7,ROW()-1),1)))/STDEV(OFFSET(分析データ!F$1,MAX(1,ROW()-$C$7),0,MIN($C$7,ROW()-1),1)),0))</f>
        <v>0</v>
      </c>
      <c r="BS1113">
        <f t="shared" ca="1" si="492"/>
        <v>0</v>
      </c>
      <c r="BT1113" t="str">
        <f ca="1">IF(BS1113=1,IF(INDEX(分析データ!$A:$A,ROW()+$C$5)&lt;&gt;"",40000*SIGN(BR1113)*(分析データ!F1113-INDEX(分析データ!F:F,ROW()+$C$5)),""),"")</f>
        <v/>
      </c>
      <c r="BU1113">
        <f t="shared" ca="1" si="493"/>
        <v>19816800</v>
      </c>
      <c r="BV1113">
        <f t="shared" ca="1" si="494"/>
        <v>19816800</v>
      </c>
      <c r="BW1113">
        <f t="shared" ca="1" si="495"/>
        <v>0</v>
      </c>
      <c r="BX1113">
        <f ca="1">IF(ROW()&lt;($C$7+1),"",IFERROR((分析データ!G1113-AVERAGE(OFFSET(分析データ!G$1,MAX(1,ROW()-$C$7),0,MIN($C$7,ROW()-1),1)))/STDEV(OFFSET(分析データ!G$1,MAX(1,ROW()-$C$7),0,MIN($C$7,ROW()-1),1)),0))</f>
        <v>0</v>
      </c>
      <c r="BY1113">
        <f t="shared" ca="1" si="496"/>
        <v>0</v>
      </c>
      <c r="BZ1113" t="str">
        <f ca="1">IF(BY1113=1,IF(INDEX(分析データ!$A:$A,ROW()+$C$5)&lt;&gt;"",40000*SIGN(BX1113)*(分析データ!G1113-INDEX(分析データ!G:G,ROW()+$C$5)),""),"")</f>
        <v/>
      </c>
      <c r="CA1113">
        <f t="shared" ca="1" si="497"/>
        <v>-3515452.8662109179</v>
      </c>
      <c r="CB1113">
        <f t="shared" ca="1" si="498"/>
        <v>11327520.000000004</v>
      </c>
      <c r="CC1113">
        <f t="shared" ca="1" si="499"/>
        <v>-14842972.866210923</v>
      </c>
      <c r="CD1113">
        <f t="shared" ca="1" si="500"/>
        <v>0</v>
      </c>
      <c r="CE1113">
        <f t="shared" ca="1" si="501"/>
        <v>23090347.13378913</v>
      </c>
      <c r="CF1113">
        <f t="shared" ca="1" si="502"/>
        <v>23090347.13378913</v>
      </c>
      <c r="CG1113">
        <f t="shared" ca="1" si="503"/>
        <v>0</v>
      </c>
      <c r="CH1113" s="10" t="str">
        <f>分析データ!A1113</f>
        <v/>
      </c>
    </row>
    <row r="1114" spans="46:86">
      <c r="AT1114">
        <f ca="1">IF(ROW()&lt;($C$7+1),"",IFERROR((分析データ!B1114-AVERAGE(OFFSET(分析データ!B$1,MAX(1,ROW()-$C$7),0,MIN($C$7,ROW()-1),1)))/STDEV(OFFSET(分析データ!B$1,MAX(1,ROW()-$C$7),0,MIN($C$7,ROW()-1),1)),0))</f>
        <v>0</v>
      </c>
      <c r="AU1114">
        <f t="shared" ca="1" si="476"/>
        <v>0</v>
      </c>
      <c r="AV1114" t="str">
        <f ca="1">IF(AU1114=1,IF(INDEX(分析データ!$A:$A,ROW()+$C$5)&lt;&gt;"",80000*SIGN(AT1114)*(分析データ!B1114-INDEX(分析データ!B:B,ROW()+$C$5)),""),"")</f>
        <v/>
      </c>
      <c r="AW1114">
        <f t="shared" ca="1" si="477"/>
        <v>-1240000.0000000019</v>
      </c>
      <c r="AX1114">
        <f t="shared" ca="1" si="478"/>
        <v>0</v>
      </c>
      <c r="AY1114">
        <f t="shared" ca="1" si="479"/>
        <v>-1240000.0000000019</v>
      </c>
      <c r="AZ1114">
        <f ca="1">IF(ROW()&lt;($C$7+1),"",IFERROR((分析データ!C1114-AVERAGE(OFFSET(分析データ!C$1,MAX(1,ROW()-$C$7),0,MIN($C$7,ROW()-1),1)))/STDEV(OFFSET(分析データ!C$1,MAX(1,ROW()-$C$7),0,MIN($C$7,ROW()-1),1)),0))</f>
        <v>0</v>
      </c>
      <c r="BA1114">
        <f t="shared" ca="1" si="480"/>
        <v>0</v>
      </c>
      <c r="BB1114" t="str">
        <f ca="1">IF(BA1114=1,IF(INDEX(分析データ!$A:$A,ROW()+$C$5)&lt;&gt;"",60000*SIGN(AZ1114)*(分析データ!C1114-INDEX(分析データ!C:C,ROW()+$C$5)),""),"")</f>
        <v/>
      </c>
      <c r="BC1114">
        <f t="shared" ca="1" si="481"/>
        <v>-260999.9999999851</v>
      </c>
      <c r="BD1114">
        <f t="shared" ca="1" si="482"/>
        <v>3156000.0000000107</v>
      </c>
      <c r="BE1114">
        <f t="shared" ca="1" si="483"/>
        <v>-3416999.9999999958</v>
      </c>
      <c r="BF1114">
        <f ca="1">IF(ROW()&lt;($C$7+1),"",IFERROR((分析データ!D1114-AVERAGE(OFFSET(分析データ!D$1,MAX(1,ROW()-$C$7),0,MIN($C$7,ROW()-1),1)))/STDEV(OFFSET(分析データ!D$1,MAX(1,ROW()-$C$7),0,MIN($C$7,ROW()-1),1)),0))</f>
        <v>0</v>
      </c>
      <c r="BG1114">
        <f t="shared" ca="1" si="484"/>
        <v>0</v>
      </c>
      <c r="BH1114" t="str">
        <f ca="1">IF(BG1114=1,IF(INDEX(分析データ!$A:$A,ROW()+$C$5)&lt;&gt;"",50000*SIGN(BF1114)*(分析データ!D1114-INDEX(分析データ!D:D,ROW()+$C$5)),""),"")</f>
        <v/>
      </c>
      <c r="BI1114">
        <f t="shared" ca="1" si="485"/>
        <v>5570000.0000000205</v>
      </c>
      <c r="BJ1114">
        <f t="shared" ca="1" si="486"/>
        <v>5570000.0000000205</v>
      </c>
      <c r="BK1114">
        <f t="shared" ca="1" si="487"/>
        <v>0</v>
      </c>
      <c r="BL1114">
        <f ca="1">IF(ROW()&lt;($C$7+1),"",IFERROR((分析データ!E1114-AVERAGE(OFFSET(分析データ!E$1,MAX(1,ROW()-$C$7),0,MIN($C$7,ROW()-1),1)))/STDEV(OFFSET(分析データ!E$1,MAX(1,ROW()-$C$7),0,MIN($C$7,ROW()-1),1)),0))</f>
        <v>0</v>
      </c>
      <c r="BM1114">
        <f t="shared" ca="1" si="488"/>
        <v>0</v>
      </c>
      <c r="BN1114" t="str">
        <f ca="1">IF(BM1114=1,IF(INDEX(分析データ!$A:$A,ROW()+$C$5)&lt;&gt;"",40000*SIGN(BL1114)*(分析データ!E1114-INDEX(分析データ!E:E,ROW()+$C$5)),""),"")</f>
        <v/>
      </c>
      <c r="BO1114">
        <f t="shared" ca="1" si="489"/>
        <v>2720000.0000000014</v>
      </c>
      <c r="BP1114">
        <f t="shared" ca="1" si="490"/>
        <v>4280000.0000000028</v>
      </c>
      <c r="BQ1114">
        <f t="shared" ca="1" si="491"/>
        <v>-1560000.0000000014</v>
      </c>
      <c r="BR1114">
        <f ca="1">IF(ROW()&lt;($C$7+1),"",IFERROR((分析データ!F1114-AVERAGE(OFFSET(分析データ!F$1,MAX(1,ROW()-$C$7),0,MIN($C$7,ROW()-1),1)))/STDEV(OFFSET(分析データ!F$1,MAX(1,ROW()-$C$7),0,MIN($C$7,ROW()-1),1)),0))</f>
        <v>0</v>
      </c>
      <c r="BS1114">
        <f t="shared" ca="1" si="492"/>
        <v>0</v>
      </c>
      <c r="BT1114" t="str">
        <f ca="1">IF(BS1114=1,IF(INDEX(分析データ!$A:$A,ROW()+$C$5)&lt;&gt;"",40000*SIGN(BR1114)*(分析データ!F1114-INDEX(分析データ!F:F,ROW()+$C$5)),""),"")</f>
        <v/>
      </c>
      <c r="BU1114">
        <f t="shared" ca="1" si="493"/>
        <v>19816800</v>
      </c>
      <c r="BV1114">
        <f t="shared" ca="1" si="494"/>
        <v>19816800</v>
      </c>
      <c r="BW1114">
        <f t="shared" ca="1" si="495"/>
        <v>0</v>
      </c>
      <c r="BX1114">
        <f ca="1">IF(ROW()&lt;($C$7+1),"",IFERROR((分析データ!G1114-AVERAGE(OFFSET(分析データ!G$1,MAX(1,ROW()-$C$7),0,MIN($C$7,ROW()-1),1)))/STDEV(OFFSET(分析データ!G$1,MAX(1,ROW()-$C$7),0,MIN($C$7,ROW()-1),1)),0))</f>
        <v>0</v>
      </c>
      <c r="BY1114">
        <f t="shared" ca="1" si="496"/>
        <v>0</v>
      </c>
      <c r="BZ1114" t="str">
        <f ca="1">IF(BY1114=1,IF(INDEX(分析データ!$A:$A,ROW()+$C$5)&lt;&gt;"",40000*SIGN(BX1114)*(分析データ!G1114-INDEX(分析データ!G:G,ROW()+$C$5)),""),"")</f>
        <v/>
      </c>
      <c r="CA1114">
        <f t="shared" ca="1" si="497"/>
        <v>-3515452.8662109179</v>
      </c>
      <c r="CB1114">
        <f t="shared" ca="1" si="498"/>
        <v>11327520.000000004</v>
      </c>
      <c r="CC1114">
        <f t="shared" ca="1" si="499"/>
        <v>-14842972.866210923</v>
      </c>
      <c r="CD1114">
        <f t="shared" ca="1" si="500"/>
        <v>0</v>
      </c>
      <c r="CE1114">
        <f t="shared" ca="1" si="501"/>
        <v>23090347.13378913</v>
      </c>
      <c r="CF1114">
        <f t="shared" ca="1" si="502"/>
        <v>23090347.13378913</v>
      </c>
      <c r="CG1114">
        <f t="shared" ca="1" si="503"/>
        <v>0</v>
      </c>
      <c r="CH1114" s="10" t="str">
        <f>分析データ!A1114</f>
        <v/>
      </c>
    </row>
    <row r="1115" spans="46:86">
      <c r="AT1115">
        <f ca="1">IF(ROW()&lt;($C$7+1),"",IFERROR((分析データ!B1115-AVERAGE(OFFSET(分析データ!B$1,MAX(1,ROW()-$C$7),0,MIN($C$7,ROW()-1),1)))/STDEV(OFFSET(分析データ!B$1,MAX(1,ROW()-$C$7),0,MIN($C$7,ROW()-1),1)),0))</f>
        <v>0</v>
      </c>
      <c r="AU1115">
        <f t="shared" ca="1" si="476"/>
        <v>0</v>
      </c>
      <c r="AV1115" t="str">
        <f ca="1">IF(AU1115=1,IF(INDEX(分析データ!$A:$A,ROW()+$C$5)&lt;&gt;"",80000*SIGN(AT1115)*(分析データ!B1115-INDEX(分析データ!B:B,ROW()+$C$5)),""),"")</f>
        <v/>
      </c>
      <c r="AW1115">
        <f t="shared" ca="1" si="477"/>
        <v>-1240000.0000000019</v>
      </c>
      <c r="AX1115">
        <f t="shared" ca="1" si="478"/>
        <v>0</v>
      </c>
      <c r="AY1115">
        <f t="shared" ca="1" si="479"/>
        <v>-1240000.0000000019</v>
      </c>
      <c r="AZ1115">
        <f ca="1">IF(ROW()&lt;($C$7+1),"",IFERROR((分析データ!C1115-AVERAGE(OFFSET(分析データ!C$1,MAX(1,ROW()-$C$7),0,MIN($C$7,ROW()-1),1)))/STDEV(OFFSET(分析データ!C$1,MAX(1,ROW()-$C$7),0,MIN($C$7,ROW()-1),1)),0))</f>
        <v>0</v>
      </c>
      <c r="BA1115">
        <f t="shared" ca="1" si="480"/>
        <v>0</v>
      </c>
      <c r="BB1115" t="str">
        <f ca="1">IF(BA1115=1,IF(INDEX(分析データ!$A:$A,ROW()+$C$5)&lt;&gt;"",60000*SIGN(AZ1115)*(分析データ!C1115-INDEX(分析データ!C:C,ROW()+$C$5)),""),"")</f>
        <v/>
      </c>
      <c r="BC1115">
        <f t="shared" ca="1" si="481"/>
        <v>-260999.9999999851</v>
      </c>
      <c r="BD1115">
        <f t="shared" ca="1" si="482"/>
        <v>3156000.0000000107</v>
      </c>
      <c r="BE1115">
        <f t="shared" ca="1" si="483"/>
        <v>-3416999.9999999958</v>
      </c>
      <c r="BF1115">
        <f ca="1">IF(ROW()&lt;($C$7+1),"",IFERROR((分析データ!D1115-AVERAGE(OFFSET(分析データ!D$1,MAX(1,ROW()-$C$7),0,MIN($C$7,ROW()-1),1)))/STDEV(OFFSET(分析データ!D$1,MAX(1,ROW()-$C$7),0,MIN($C$7,ROW()-1),1)),0))</f>
        <v>0</v>
      </c>
      <c r="BG1115">
        <f t="shared" ca="1" si="484"/>
        <v>0</v>
      </c>
      <c r="BH1115" t="str">
        <f ca="1">IF(BG1115=1,IF(INDEX(分析データ!$A:$A,ROW()+$C$5)&lt;&gt;"",50000*SIGN(BF1115)*(分析データ!D1115-INDEX(分析データ!D:D,ROW()+$C$5)),""),"")</f>
        <v/>
      </c>
      <c r="BI1115">
        <f t="shared" ca="1" si="485"/>
        <v>5570000.0000000205</v>
      </c>
      <c r="BJ1115">
        <f t="shared" ca="1" si="486"/>
        <v>5570000.0000000205</v>
      </c>
      <c r="BK1115">
        <f t="shared" ca="1" si="487"/>
        <v>0</v>
      </c>
      <c r="BL1115">
        <f ca="1">IF(ROW()&lt;($C$7+1),"",IFERROR((分析データ!E1115-AVERAGE(OFFSET(分析データ!E$1,MAX(1,ROW()-$C$7),0,MIN($C$7,ROW()-1),1)))/STDEV(OFFSET(分析データ!E$1,MAX(1,ROW()-$C$7),0,MIN($C$7,ROW()-1),1)),0))</f>
        <v>0</v>
      </c>
      <c r="BM1115">
        <f t="shared" ca="1" si="488"/>
        <v>0</v>
      </c>
      <c r="BN1115" t="str">
        <f ca="1">IF(BM1115=1,IF(INDEX(分析データ!$A:$A,ROW()+$C$5)&lt;&gt;"",40000*SIGN(BL1115)*(分析データ!E1115-INDEX(分析データ!E:E,ROW()+$C$5)),""),"")</f>
        <v/>
      </c>
      <c r="BO1115">
        <f t="shared" ca="1" si="489"/>
        <v>2720000.0000000014</v>
      </c>
      <c r="BP1115">
        <f t="shared" ca="1" si="490"/>
        <v>4280000.0000000028</v>
      </c>
      <c r="BQ1115">
        <f t="shared" ca="1" si="491"/>
        <v>-1560000.0000000014</v>
      </c>
      <c r="BR1115">
        <f ca="1">IF(ROW()&lt;($C$7+1),"",IFERROR((分析データ!F1115-AVERAGE(OFFSET(分析データ!F$1,MAX(1,ROW()-$C$7),0,MIN($C$7,ROW()-1),1)))/STDEV(OFFSET(分析データ!F$1,MAX(1,ROW()-$C$7),0,MIN($C$7,ROW()-1),1)),0))</f>
        <v>0</v>
      </c>
      <c r="BS1115">
        <f t="shared" ca="1" si="492"/>
        <v>0</v>
      </c>
      <c r="BT1115" t="str">
        <f ca="1">IF(BS1115=1,IF(INDEX(分析データ!$A:$A,ROW()+$C$5)&lt;&gt;"",40000*SIGN(BR1115)*(分析データ!F1115-INDEX(分析データ!F:F,ROW()+$C$5)),""),"")</f>
        <v/>
      </c>
      <c r="BU1115">
        <f t="shared" ca="1" si="493"/>
        <v>19816800</v>
      </c>
      <c r="BV1115">
        <f t="shared" ca="1" si="494"/>
        <v>19816800</v>
      </c>
      <c r="BW1115">
        <f t="shared" ca="1" si="495"/>
        <v>0</v>
      </c>
      <c r="BX1115">
        <f ca="1">IF(ROW()&lt;($C$7+1),"",IFERROR((分析データ!G1115-AVERAGE(OFFSET(分析データ!G$1,MAX(1,ROW()-$C$7),0,MIN($C$7,ROW()-1),1)))/STDEV(OFFSET(分析データ!G$1,MAX(1,ROW()-$C$7),0,MIN($C$7,ROW()-1),1)),0))</f>
        <v>0</v>
      </c>
      <c r="BY1115">
        <f t="shared" ca="1" si="496"/>
        <v>0</v>
      </c>
      <c r="BZ1115" t="str">
        <f ca="1">IF(BY1115=1,IF(INDEX(分析データ!$A:$A,ROW()+$C$5)&lt;&gt;"",40000*SIGN(BX1115)*(分析データ!G1115-INDEX(分析データ!G:G,ROW()+$C$5)),""),"")</f>
        <v/>
      </c>
      <c r="CA1115">
        <f t="shared" ca="1" si="497"/>
        <v>-3515452.8662109179</v>
      </c>
      <c r="CB1115">
        <f t="shared" ca="1" si="498"/>
        <v>11327520.000000004</v>
      </c>
      <c r="CC1115">
        <f t="shared" ca="1" si="499"/>
        <v>-14842972.866210923</v>
      </c>
      <c r="CD1115">
        <f t="shared" ca="1" si="500"/>
        <v>0</v>
      </c>
      <c r="CE1115">
        <f t="shared" ca="1" si="501"/>
        <v>23090347.13378913</v>
      </c>
      <c r="CF1115">
        <f t="shared" ca="1" si="502"/>
        <v>23090347.13378913</v>
      </c>
      <c r="CG1115">
        <f t="shared" ca="1" si="503"/>
        <v>0</v>
      </c>
      <c r="CH1115" s="10" t="str">
        <f>分析データ!A1115</f>
        <v/>
      </c>
    </row>
    <row r="1116" spans="46:86">
      <c r="AT1116">
        <f ca="1">IF(ROW()&lt;($C$7+1),"",IFERROR((分析データ!B1116-AVERAGE(OFFSET(分析データ!B$1,MAX(1,ROW()-$C$7),0,MIN($C$7,ROW()-1),1)))/STDEV(OFFSET(分析データ!B$1,MAX(1,ROW()-$C$7),0,MIN($C$7,ROW()-1),1)),0))</f>
        <v>0</v>
      </c>
      <c r="AU1116">
        <f t="shared" ca="1" si="476"/>
        <v>0</v>
      </c>
      <c r="AV1116" t="str">
        <f ca="1">IF(AU1116=1,IF(INDEX(分析データ!$A:$A,ROW()+$C$5)&lt;&gt;"",80000*SIGN(AT1116)*(分析データ!B1116-INDEX(分析データ!B:B,ROW()+$C$5)),""),"")</f>
        <v/>
      </c>
      <c r="AW1116">
        <f t="shared" ca="1" si="477"/>
        <v>-1240000.0000000019</v>
      </c>
      <c r="AX1116">
        <f t="shared" ca="1" si="478"/>
        <v>0</v>
      </c>
      <c r="AY1116">
        <f t="shared" ca="1" si="479"/>
        <v>-1240000.0000000019</v>
      </c>
      <c r="AZ1116">
        <f ca="1">IF(ROW()&lt;($C$7+1),"",IFERROR((分析データ!C1116-AVERAGE(OFFSET(分析データ!C$1,MAX(1,ROW()-$C$7),0,MIN($C$7,ROW()-1),1)))/STDEV(OFFSET(分析データ!C$1,MAX(1,ROW()-$C$7),0,MIN($C$7,ROW()-1),1)),0))</f>
        <v>0</v>
      </c>
      <c r="BA1116">
        <f t="shared" ca="1" si="480"/>
        <v>0</v>
      </c>
      <c r="BB1116" t="str">
        <f ca="1">IF(BA1116=1,IF(INDEX(分析データ!$A:$A,ROW()+$C$5)&lt;&gt;"",60000*SIGN(AZ1116)*(分析データ!C1116-INDEX(分析データ!C:C,ROW()+$C$5)),""),"")</f>
        <v/>
      </c>
      <c r="BC1116">
        <f t="shared" ca="1" si="481"/>
        <v>-260999.9999999851</v>
      </c>
      <c r="BD1116">
        <f t="shared" ca="1" si="482"/>
        <v>3156000.0000000107</v>
      </c>
      <c r="BE1116">
        <f t="shared" ca="1" si="483"/>
        <v>-3416999.9999999958</v>
      </c>
      <c r="BF1116">
        <f ca="1">IF(ROW()&lt;($C$7+1),"",IFERROR((分析データ!D1116-AVERAGE(OFFSET(分析データ!D$1,MAX(1,ROW()-$C$7),0,MIN($C$7,ROW()-1),1)))/STDEV(OFFSET(分析データ!D$1,MAX(1,ROW()-$C$7),0,MIN($C$7,ROW()-1),1)),0))</f>
        <v>0</v>
      </c>
      <c r="BG1116">
        <f t="shared" ca="1" si="484"/>
        <v>0</v>
      </c>
      <c r="BH1116" t="str">
        <f ca="1">IF(BG1116=1,IF(INDEX(分析データ!$A:$A,ROW()+$C$5)&lt;&gt;"",50000*SIGN(BF1116)*(分析データ!D1116-INDEX(分析データ!D:D,ROW()+$C$5)),""),"")</f>
        <v/>
      </c>
      <c r="BI1116">
        <f t="shared" ca="1" si="485"/>
        <v>5570000.0000000205</v>
      </c>
      <c r="BJ1116">
        <f t="shared" ca="1" si="486"/>
        <v>5570000.0000000205</v>
      </c>
      <c r="BK1116">
        <f t="shared" ca="1" si="487"/>
        <v>0</v>
      </c>
      <c r="BL1116">
        <f ca="1">IF(ROW()&lt;($C$7+1),"",IFERROR((分析データ!E1116-AVERAGE(OFFSET(分析データ!E$1,MAX(1,ROW()-$C$7),0,MIN($C$7,ROW()-1),1)))/STDEV(OFFSET(分析データ!E$1,MAX(1,ROW()-$C$7),0,MIN($C$7,ROW()-1),1)),0))</f>
        <v>0</v>
      </c>
      <c r="BM1116">
        <f t="shared" ca="1" si="488"/>
        <v>0</v>
      </c>
      <c r="BN1116" t="str">
        <f ca="1">IF(BM1116=1,IF(INDEX(分析データ!$A:$A,ROW()+$C$5)&lt;&gt;"",40000*SIGN(BL1116)*(分析データ!E1116-INDEX(分析データ!E:E,ROW()+$C$5)),""),"")</f>
        <v/>
      </c>
      <c r="BO1116">
        <f t="shared" ca="1" si="489"/>
        <v>2720000.0000000014</v>
      </c>
      <c r="BP1116">
        <f t="shared" ca="1" si="490"/>
        <v>4280000.0000000028</v>
      </c>
      <c r="BQ1116">
        <f t="shared" ca="1" si="491"/>
        <v>-1560000.0000000014</v>
      </c>
      <c r="BR1116">
        <f ca="1">IF(ROW()&lt;($C$7+1),"",IFERROR((分析データ!F1116-AVERAGE(OFFSET(分析データ!F$1,MAX(1,ROW()-$C$7),0,MIN($C$7,ROW()-1),1)))/STDEV(OFFSET(分析データ!F$1,MAX(1,ROW()-$C$7),0,MIN($C$7,ROW()-1),1)),0))</f>
        <v>0</v>
      </c>
      <c r="BS1116">
        <f t="shared" ca="1" si="492"/>
        <v>0</v>
      </c>
      <c r="BT1116" t="str">
        <f ca="1">IF(BS1116=1,IF(INDEX(分析データ!$A:$A,ROW()+$C$5)&lt;&gt;"",40000*SIGN(BR1116)*(分析データ!F1116-INDEX(分析データ!F:F,ROW()+$C$5)),""),"")</f>
        <v/>
      </c>
      <c r="BU1116">
        <f t="shared" ca="1" si="493"/>
        <v>19816800</v>
      </c>
      <c r="BV1116">
        <f t="shared" ca="1" si="494"/>
        <v>19816800</v>
      </c>
      <c r="BW1116">
        <f t="shared" ca="1" si="495"/>
        <v>0</v>
      </c>
      <c r="BX1116">
        <f ca="1">IF(ROW()&lt;($C$7+1),"",IFERROR((分析データ!G1116-AVERAGE(OFFSET(分析データ!G$1,MAX(1,ROW()-$C$7),0,MIN($C$7,ROW()-1),1)))/STDEV(OFFSET(分析データ!G$1,MAX(1,ROW()-$C$7),0,MIN($C$7,ROW()-1),1)),0))</f>
        <v>0</v>
      </c>
      <c r="BY1116">
        <f t="shared" ca="1" si="496"/>
        <v>0</v>
      </c>
      <c r="BZ1116" t="str">
        <f ca="1">IF(BY1116=1,IF(INDEX(分析データ!$A:$A,ROW()+$C$5)&lt;&gt;"",40000*SIGN(BX1116)*(分析データ!G1116-INDEX(分析データ!G:G,ROW()+$C$5)),""),"")</f>
        <v/>
      </c>
      <c r="CA1116">
        <f t="shared" ca="1" si="497"/>
        <v>-3515452.8662109179</v>
      </c>
      <c r="CB1116">
        <f t="shared" ca="1" si="498"/>
        <v>11327520.000000004</v>
      </c>
      <c r="CC1116">
        <f t="shared" ca="1" si="499"/>
        <v>-14842972.866210923</v>
      </c>
      <c r="CD1116">
        <f t="shared" ca="1" si="500"/>
        <v>0</v>
      </c>
      <c r="CE1116">
        <f t="shared" ca="1" si="501"/>
        <v>23090347.13378913</v>
      </c>
      <c r="CF1116">
        <f t="shared" ca="1" si="502"/>
        <v>23090347.13378913</v>
      </c>
      <c r="CG1116">
        <f t="shared" ca="1" si="503"/>
        <v>0</v>
      </c>
      <c r="CH1116" s="10" t="str">
        <f>分析データ!A1116</f>
        <v/>
      </c>
    </row>
    <row r="1117" spans="46:86">
      <c r="AT1117">
        <f ca="1">IF(ROW()&lt;($C$7+1),"",IFERROR((分析データ!B1117-AVERAGE(OFFSET(分析データ!B$1,MAX(1,ROW()-$C$7),0,MIN($C$7,ROW()-1),1)))/STDEV(OFFSET(分析データ!B$1,MAX(1,ROW()-$C$7),0,MIN($C$7,ROW()-1),1)),0))</f>
        <v>0</v>
      </c>
      <c r="AU1117">
        <f t="shared" ca="1" si="476"/>
        <v>0</v>
      </c>
      <c r="AV1117" t="str">
        <f ca="1">IF(AU1117=1,IF(INDEX(分析データ!$A:$A,ROW()+$C$5)&lt;&gt;"",80000*SIGN(AT1117)*(分析データ!B1117-INDEX(分析データ!B:B,ROW()+$C$5)),""),"")</f>
        <v/>
      </c>
      <c r="AW1117">
        <f t="shared" ca="1" si="477"/>
        <v>-1240000.0000000019</v>
      </c>
      <c r="AX1117">
        <f t="shared" ca="1" si="478"/>
        <v>0</v>
      </c>
      <c r="AY1117">
        <f t="shared" ca="1" si="479"/>
        <v>-1240000.0000000019</v>
      </c>
      <c r="AZ1117">
        <f ca="1">IF(ROW()&lt;($C$7+1),"",IFERROR((分析データ!C1117-AVERAGE(OFFSET(分析データ!C$1,MAX(1,ROW()-$C$7),0,MIN($C$7,ROW()-1),1)))/STDEV(OFFSET(分析データ!C$1,MAX(1,ROW()-$C$7),0,MIN($C$7,ROW()-1),1)),0))</f>
        <v>0</v>
      </c>
      <c r="BA1117">
        <f t="shared" ca="1" si="480"/>
        <v>0</v>
      </c>
      <c r="BB1117" t="str">
        <f ca="1">IF(BA1117=1,IF(INDEX(分析データ!$A:$A,ROW()+$C$5)&lt;&gt;"",60000*SIGN(AZ1117)*(分析データ!C1117-INDEX(分析データ!C:C,ROW()+$C$5)),""),"")</f>
        <v/>
      </c>
      <c r="BC1117">
        <f t="shared" ca="1" si="481"/>
        <v>-260999.9999999851</v>
      </c>
      <c r="BD1117">
        <f t="shared" ca="1" si="482"/>
        <v>3156000.0000000107</v>
      </c>
      <c r="BE1117">
        <f t="shared" ca="1" si="483"/>
        <v>-3416999.9999999958</v>
      </c>
      <c r="BF1117">
        <f ca="1">IF(ROW()&lt;($C$7+1),"",IFERROR((分析データ!D1117-AVERAGE(OFFSET(分析データ!D$1,MAX(1,ROW()-$C$7),0,MIN($C$7,ROW()-1),1)))/STDEV(OFFSET(分析データ!D$1,MAX(1,ROW()-$C$7),0,MIN($C$7,ROW()-1),1)),0))</f>
        <v>0</v>
      </c>
      <c r="BG1117">
        <f t="shared" ca="1" si="484"/>
        <v>0</v>
      </c>
      <c r="BH1117" t="str">
        <f ca="1">IF(BG1117=1,IF(INDEX(分析データ!$A:$A,ROW()+$C$5)&lt;&gt;"",50000*SIGN(BF1117)*(分析データ!D1117-INDEX(分析データ!D:D,ROW()+$C$5)),""),"")</f>
        <v/>
      </c>
      <c r="BI1117">
        <f t="shared" ca="1" si="485"/>
        <v>5570000.0000000205</v>
      </c>
      <c r="BJ1117">
        <f t="shared" ca="1" si="486"/>
        <v>5570000.0000000205</v>
      </c>
      <c r="BK1117">
        <f t="shared" ca="1" si="487"/>
        <v>0</v>
      </c>
      <c r="BL1117">
        <f ca="1">IF(ROW()&lt;($C$7+1),"",IFERROR((分析データ!E1117-AVERAGE(OFFSET(分析データ!E$1,MAX(1,ROW()-$C$7),0,MIN($C$7,ROW()-1),1)))/STDEV(OFFSET(分析データ!E$1,MAX(1,ROW()-$C$7),0,MIN($C$7,ROW()-1),1)),0))</f>
        <v>0</v>
      </c>
      <c r="BM1117">
        <f t="shared" ca="1" si="488"/>
        <v>0</v>
      </c>
      <c r="BN1117" t="str">
        <f ca="1">IF(BM1117=1,IF(INDEX(分析データ!$A:$A,ROW()+$C$5)&lt;&gt;"",40000*SIGN(BL1117)*(分析データ!E1117-INDEX(分析データ!E:E,ROW()+$C$5)),""),"")</f>
        <v/>
      </c>
      <c r="BO1117">
        <f t="shared" ca="1" si="489"/>
        <v>2720000.0000000014</v>
      </c>
      <c r="BP1117">
        <f t="shared" ca="1" si="490"/>
        <v>4280000.0000000028</v>
      </c>
      <c r="BQ1117">
        <f t="shared" ca="1" si="491"/>
        <v>-1560000.0000000014</v>
      </c>
      <c r="BR1117">
        <f ca="1">IF(ROW()&lt;($C$7+1),"",IFERROR((分析データ!F1117-AVERAGE(OFFSET(分析データ!F$1,MAX(1,ROW()-$C$7),0,MIN($C$7,ROW()-1),1)))/STDEV(OFFSET(分析データ!F$1,MAX(1,ROW()-$C$7),0,MIN($C$7,ROW()-1),1)),0))</f>
        <v>0</v>
      </c>
      <c r="BS1117">
        <f t="shared" ca="1" si="492"/>
        <v>0</v>
      </c>
      <c r="BT1117" t="str">
        <f ca="1">IF(BS1117=1,IF(INDEX(分析データ!$A:$A,ROW()+$C$5)&lt;&gt;"",40000*SIGN(BR1117)*(分析データ!F1117-INDEX(分析データ!F:F,ROW()+$C$5)),""),"")</f>
        <v/>
      </c>
      <c r="BU1117">
        <f t="shared" ca="1" si="493"/>
        <v>19816800</v>
      </c>
      <c r="BV1117">
        <f t="shared" ca="1" si="494"/>
        <v>19816800</v>
      </c>
      <c r="BW1117">
        <f t="shared" ca="1" si="495"/>
        <v>0</v>
      </c>
      <c r="BX1117">
        <f ca="1">IF(ROW()&lt;($C$7+1),"",IFERROR((分析データ!G1117-AVERAGE(OFFSET(分析データ!G$1,MAX(1,ROW()-$C$7),0,MIN($C$7,ROW()-1),1)))/STDEV(OFFSET(分析データ!G$1,MAX(1,ROW()-$C$7),0,MIN($C$7,ROW()-1),1)),0))</f>
        <v>0</v>
      </c>
      <c r="BY1117">
        <f t="shared" ca="1" si="496"/>
        <v>0</v>
      </c>
      <c r="BZ1117" t="str">
        <f ca="1">IF(BY1117=1,IF(INDEX(分析データ!$A:$A,ROW()+$C$5)&lt;&gt;"",40000*SIGN(BX1117)*(分析データ!G1117-INDEX(分析データ!G:G,ROW()+$C$5)),""),"")</f>
        <v/>
      </c>
      <c r="CA1117">
        <f t="shared" ca="1" si="497"/>
        <v>-3515452.8662109179</v>
      </c>
      <c r="CB1117">
        <f t="shared" ca="1" si="498"/>
        <v>11327520.000000004</v>
      </c>
      <c r="CC1117">
        <f t="shared" ca="1" si="499"/>
        <v>-14842972.866210923</v>
      </c>
      <c r="CD1117">
        <f t="shared" ca="1" si="500"/>
        <v>0</v>
      </c>
      <c r="CE1117">
        <f t="shared" ca="1" si="501"/>
        <v>23090347.13378913</v>
      </c>
      <c r="CF1117">
        <f t="shared" ca="1" si="502"/>
        <v>23090347.13378913</v>
      </c>
      <c r="CG1117">
        <f t="shared" ca="1" si="503"/>
        <v>0</v>
      </c>
      <c r="CH1117" s="10" t="str">
        <f>分析データ!A1117</f>
        <v/>
      </c>
    </row>
    <row r="1118" spans="46:86">
      <c r="AT1118">
        <f ca="1">IF(ROW()&lt;($C$7+1),"",IFERROR((分析データ!B1118-AVERAGE(OFFSET(分析データ!B$1,MAX(1,ROW()-$C$7),0,MIN($C$7,ROW()-1),1)))/STDEV(OFFSET(分析データ!B$1,MAX(1,ROW()-$C$7),0,MIN($C$7,ROW()-1),1)),0))</f>
        <v>0</v>
      </c>
      <c r="AU1118">
        <f t="shared" ca="1" si="476"/>
        <v>0</v>
      </c>
      <c r="AV1118" t="str">
        <f ca="1">IF(AU1118=1,IF(INDEX(分析データ!$A:$A,ROW()+$C$5)&lt;&gt;"",80000*SIGN(AT1118)*(分析データ!B1118-INDEX(分析データ!B:B,ROW()+$C$5)),""),"")</f>
        <v/>
      </c>
      <c r="AW1118">
        <f t="shared" ca="1" si="477"/>
        <v>-1240000.0000000019</v>
      </c>
      <c r="AX1118">
        <f t="shared" ca="1" si="478"/>
        <v>0</v>
      </c>
      <c r="AY1118">
        <f t="shared" ca="1" si="479"/>
        <v>-1240000.0000000019</v>
      </c>
      <c r="AZ1118">
        <f ca="1">IF(ROW()&lt;($C$7+1),"",IFERROR((分析データ!C1118-AVERAGE(OFFSET(分析データ!C$1,MAX(1,ROW()-$C$7),0,MIN($C$7,ROW()-1),1)))/STDEV(OFFSET(分析データ!C$1,MAX(1,ROW()-$C$7),0,MIN($C$7,ROW()-1),1)),0))</f>
        <v>0</v>
      </c>
      <c r="BA1118">
        <f t="shared" ca="1" si="480"/>
        <v>0</v>
      </c>
      <c r="BB1118" t="str">
        <f ca="1">IF(BA1118=1,IF(INDEX(分析データ!$A:$A,ROW()+$C$5)&lt;&gt;"",60000*SIGN(AZ1118)*(分析データ!C1118-INDEX(分析データ!C:C,ROW()+$C$5)),""),"")</f>
        <v/>
      </c>
      <c r="BC1118">
        <f t="shared" ca="1" si="481"/>
        <v>-260999.9999999851</v>
      </c>
      <c r="BD1118">
        <f t="shared" ca="1" si="482"/>
        <v>3156000.0000000107</v>
      </c>
      <c r="BE1118">
        <f t="shared" ca="1" si="483"/>
        <v>-3416999.9999999958</v>
      </c>
      <c r="BF1118">
        <f ca="1">IF(ROW()&lt;($C$7+1),"",IFERROR((分析データ!D1118-AVERAGE(OFFSET(分析データ!D$1,MAX(1,ROW()-$C$7),0,MIN($C$7,ROW()-1),1)))/STDEV(OFFSET(分析データ!D$1,MAX(1,ROW()-$C$7),0,MIN($C$7,ROW()-1),1)),0))</f>
        <v>0</v>
      </c>
      <c r="BG1118">
        <f t="shared" ca="1" si="484"/>
        <v>0</v>
      </c>
      <c r="BH1118" t="str">
        <f ca="1">IF(BG1118=1,IF(INDEX(分析データ!$A:$A,ROW()+$C$5)&lt;&gt;"",50000*SIGN(BF1118)*(分析データ!D1118-INDEX(分析データ!D:D,ROW()+$C$5)),""),"")</f>
        <v/>
      </c>
      <c r="BI1118">
        <f t="shared" ca="1" si="485"/>
        <v>5570000.0000000205</v>
      </c>
      <c r="BJ1118">
        <f t="shared" ca="1" si="486"/>
        <v>5570000.0000000205</v>
      </c>
      <c r="BK1118">
        <f t="shared" ca="1" si="487"/>
        <v>0</v>
      </c>
      <c r="BL1118">
        <f ca="1">IF(ROW()&lt;($C$7+1),"",IFERROR((分析データ!E1118-AVERAGE(OFFSET(分析データ!E$1,MAX(1,ROW()-$C$7),0,MIN($C$7,ROW()-1),1)))/STDEV(OFFSET(分析データ!E$1,MAX(1,ROW()-$C$7),0,MIN($C$7,ROW()-1),1)),0))</f>
        <v>0</v>
      </c>
      <c r="BM1118">
        <f t="shared" ca="1" si="488"/>
        <v>0</v>
      </c>
      <c r="BN1118" t="str">
        <f ca="1">IF(BM1118=1,IF(INDEX(分析データ!$A:$A,ROW()+$C$5)&lt;&gt;"",40000*SIGN(BL1118)*(分析データ!E1118-INDEX(分析データ!E:E,ROW()+$C$5)),""),"")</f>
        <v/>
      </c>
      <c r="BO1118">
        <f t="shared" ca="1" si="489"/>
        <v>2720000.0000000014</v>
      </c>
      <c r="BP1118">
        <f t="shared" ca="1" si="490"/>
        <v>4280000.0000000028</v>
      </c>
      <c r="BQ1118">
        <f t="shared" ca="1" si="491"/>
        <v>-1560000.0000000014</v>
      </c>
      <c r="BR1118">
        <f ca="1">IF(ROW()&lt;($C$7+1),"",IFERROR((分析データ!F1118-AVERAGE(OFFSET(分析データ!F$1,MAX(1,ROW()-$C$7),0,MIN($C$7,ROW()-1),1)))/STDEV(OFFSET(分析データ!F$1,MAX(1,ROW()-$C$7),0,MIN($C$7,ROW()-1),1)),0))</f>
        <v>0</v>
      </c>
      <c r="BS1118">
        <f t="shared" ca="1" si="492"/>
        <v>0</v>
      </c>
      <c r="BT1118" t="str">
        <f ca="1">IF(BS1118=1,IF(INDEX(分析データ!$A:$A,ROW()+$C$5)&lt;&gt;"",40000*SIGN(BR1118)*(分析データ!F1118-INDEX(分析データ!F:F,ROW()+$C$5)),""),"")</f>
        <v/>
      </c>
      <c r="BU1118">
        <f t="shared" ca="1" si="493"/>
        <v>19816800</v>
      </c>
      <c r="BV1118">
        <f t="shared" ca="1" si="494"/>
        <v>19816800</v>
      </c>
      <c r="BW1118">
        <f t="shared" ca="1" si="495"/>
        <v>0</v>
      </c>
      <c r="BX1118">
        <f ca="1">IF(ROW()&lt;($C$7+1),"",IFERROR((分析データ!G1118-AVERAGE(OFFSET(分析データ!G$1,MAX(1,ROW()-$C$7),0,MIN($C$7,ROW()-1),1)))/STDEV(OFFSET(分析データ!G$1,MAX(1,ROW()-$C$7),0,MIN($C$7,ROW()-1),1)),0))</f>
        <v>0</v>
      </c>
      <c r="BY1118">
        <f t="shared" ca="1" si="496"/>
        <v>0</v>
      </c>
      <c r="BZ1118" t="str">
        <f ca="1">IF(BY1118=1,IF(INDEX(分析データ!$A:$A,ROW()+$C$5)&lt;&gt;"",40000*SIGN(BX1118)*(分析データ!G1118-INDEX(分析データ!G:G,ROW()+$C$5)),""),"")</f>
        <v/>
      </c>
      <c r="CA1118">
        <f t="shared" ca="1" si="497"/>
        <v>-3515452.8662109179</v>
      </c>
      <c r="CB1118">
        <f t="shared" ca="1" si="498"/>
        <v>11327520.000000004</v>
      </c>
      <c r="CC1118">
        <f t="shared" ca="1" si="499"/>
        <v>-14842972.866210923</v>
      </c>
      <c r="CD1118">
        <f t="shared" ca="1" si="500"/>
        <v>0</v>
      </c>
      <c r="CE1118">
        <f t="shared" ca="1" si="501"/>
        <v>23090347.13378913</v>
      </c>
      <c r="CF1118">
        <f t="shared" ca="1" si="502"/>
        <v>23090347.13378913</v>
      </c>
      <c r="CG1118">
        <f t="shared" ca="1" si="503"/>
        <v>0</v>
      </c>
      <c r="CH1118" s="10" t="str">
        <f>分析データ!A1118</f>
        <v/>
      </c>
    </row>
    <row r="1119" spans="46:86">
      <c r="AT1119">
        <f ca="1">IF(ROW()&lt;($C$7+1),"",IFERROR((分析データ!B1119-AVERAGE(OFFSET(分析データ!B$1,MAX(1,ROW()-$C$7),0,MIN($C$7,ROW()-1),1)))/STDEV(OFFSET(分析データ!B$1,MAX(1,ROW()-$C$7),0,MIN($C$7,ROW()-1),1)),0))</f>
        <v>0</v>
      </c>
      <c r="AU1119">
        <f t="shared" ca="1" si="476"/>
        <v>0</v>
      </c>
      <c r="AV1119" t="str">
        <f ca="1">IF(AU1119=1,IF(INDEX(分析データ!$A:$A,ROW()+$C$5)&lt;&gt;"",80000*SIGN(AT1119)*(分析データ!B1119-INDEX(分析データ!B:B,ROW()+$C$5)),""),"")</f>
        <v/>
      </c>
      <c r="AW1119">
        <f t="shared" ca="1" si="477"/>
        <v>-1240000.0000000019</v>
      </c>
      <c r="AX1119">
        <f t="shared" ca="1" si="478"/>
        <v>0</v>
      </c>
      <c r="AY1119">
        <f t="shared" ca="1" si="479"/>
        <v>-1240000.0000000019</v>
      </c>
      <c r="AZ1119">
        <f ca="1">IF(ROW()&lt;($C$7+1),"",IFERROR((分析データ!C1119-AVERAGE(OFFSET(分析データ!C$1,MAX(1,ROW()-$C$7),0,MIN($C$7,ROW()-1),1)))/STDEV(OFFSET(分析データ!C$1,MAX(1,ROW()-$C$7),0,MIN($C$7,ROW()-1),1)),0))</f>
        <v>0</v>
      </c>
      <c r="BA1119">
        <f t="shared" ca="1" si="480"/>
        <v>0</v>
      </c>
      <c r="BB1119" t="str">
        <f ca="1">IF(BA1119=1,IF(INDEX(分析データ!$A:$A,ROW()+$C$5)&lt;&gt;"",60000*SIGN(AZ1119)*(分析データ!C1119-INDEX(分析データ!C:C,ROW()+$C$5)),""),"")</f>
        <v/>
      </c>
      <c r="BC1119">
        <f t="shared" ca="1" si="481"/>
        <v>-260999.9999999851</v>
      </c>
      <c r="BD1119">
        <f t="shared" ca="1" si="482"/>
        <v>3156000.0000000107</v>
      </c>
      <c r="BE1119">
        <f t="shared" ca="1" si="483"/>
        <v>-3416999.9999999958</v>
      </c>
      <c r="BF1119">
        <f ca="1">IF(ROW()&lt;($C$7+1),"",IFERROR((分析データ!D1119-AVERAGE(OFFSET(分析データ!D$1,MAX(1,ROW()-$C$7),0,MIN($C$7,ROW()-1),1)))/STDEV(OFFSET(分析データ!D$1,MAX(1,ROW()-$C$7),0,MIN($C$7,ROW()-1),1)),0))</f>
        <v>0</v>
      </c>
      <c r="BG1119">
        <f t="shared" ca="1" si="484"/>
        <v>0</v>
      </c>
      <c r="BH1119" t="str">
        <f ca="1">IF(BG1119=1,IF(INDEX(分析データ!$A:$A,ROW()+$C$5)&lt;&gt;"",50000*SIGN(BF1119)*(分析データ!D1119-INDEX(分析データ!D:D,ROW()+$C$5)),""),"")</f>
        <v/>
      </c>
      <c r="BI1119">
        <f t="shared" ca="1" si="485"/>
        <v>5570000.0000000205</v>
      </c>
      <c r="BJ1119">
        <f t="shared" ca="1" si="486"/>
        <v>5570000.0000000205</v>
      </c>
      <c r="BK1119">
        <f t="shared" ca="1" si="487"/>
        <v>0</v>
      </c>
      <c r="BL1119">
        <f ca="1">IF(ROW()&lt;($C$7+1),"",IFERROR((分析データ!E1119-AVERAGE(OFFSET(分析データ!E$1,MAX(1,ROW()-$C$7),0,MIN($C$7,ROW()-1),1)))/STDEV(OFFSET(分析データ!E$1,MAX(1,ROW()-$C$7),0,MIN($C$7,ROW()-1),1)),0))</f>
        <v>0</v>
      </c>
      <c r="BM1119">
        <f t="shared" ca="1" si="488"/>
        <v>0</v>
      </c>
      <c r="BN1119" t="str">
        <f ca="1">IF(BM1119=1,IF(INDEX(分析データ!$A:$A,ROW()+$C$5)&lt;&gt;"",40000*SIGN(BL1119)*(分析データ!E1119-INDEX(分析データ!E:E,ROW()+$C$5)),""),"")</f>
        <v/>
      </c>
      <c r="BO1119">
        <f t="shared" ca="1" si="489"/>
        <v>2720000.0000000014</v>
      </c>
      <c r="BP1119">
        <f t="shared" ca="1" si="490"/>
        <v>4280000.0000000028</v>
      </c>
      <c r="BQ1119">
        <f t="shared" ca="1" si="491"/>
        <v>-1560000.0000000014</v>
      </c>
      <c r="BR1119">
        <f ca="1">IF(ROW()&lt;($C$7+1),"",IFERROR((分析データ!F1119-AVERAGE(OFFSET(分析データ!F$1,MAX(1,ROW()-$C$7),0,MIN($C$7,ROW()-1),1)))/STDEV(OFFSET(分析データ!F$1,MAX(1,ROW()-$C$7),0,MIN($C$7,ROW()-1),1)),0))</f>
        <v>0</v>
      </c>
      <c r="BS1119">
        <f t="shared" ca="1" si="492"/>
        <v>0</v>
      </c>
      <c r="BT1119" t="str">
        <f ca="1">IF(BS1119=1,IF(INDEX(分析データ!$A:$A,ROW()+$C$5)&lt;&gt;"",40000*SIGN(BR1119)*(分析データ!F1119-INDEX(分析データ!F:F,ROW()+$C$5)),""),"")</f>
        <v/>
      </c>
      <c r="BU1119">
        <f t="shared" ca="1" si="493"/>
        <v>19816800</v>
      </c>
      <c r="BV1119">
        <f t="shared" ca="1" si="494"/>
        <v>19816800</v>
      </c>
      <c r="BW1119">
        <f t="shared" ca="1" si="495"/>
        <v>0</v>
      </c>
      <c r="BX1119">
        <f ca="1">IF(ROW()&lt;($C$7+1),"",IFERROR((分析データ!G1119-AVERAGE(OFFSET(分析データ!G$1,MAX(1,ROW()-$C$7),0,MIN($C$7,ROW()-1),1)))/STDEV(OFFSET(分析データ!G$1,MAX(1,ROW()-$C$7),0,MIN($C$7,ROW()-1),1)),0))</f>
        <v>0</v>
      </c>
      <c r="BY1119">
        <f t="shared" ca="1" si="496"/>
        <v>0</v>
      </c>
      <c r="BZ1119" t="str">
        <f ca="1">IF(BY1119=1,IF(INDEX(分析データ!$A:$A,ROW()+$C$5)&lt;&gt;"",40000*SIGN(BX1119)*(分析データ!G1119-INDEX(分析データ!G:G,ROW()+$C$5)),""),"")</f>
        <v/>
      </c>
      <c r="CA1119">
        <f t="shared" ca="1" si="497"/>
        <v>-3515452.8662109179</v>
      </c>
      <c r="CB1119">
        <f t="shared" ca="1" si="498"/>
        <v>11327520.000000004</v>
      </c>
      <c r="CC1119">
        <f t="shared" ca="1" si="499"/>
        <v>-14842972.866210923</v>
      </c>
      <c r="CD1119">
        <f t="shared" ca="1" si="500"/>
        <v>0</v>
      </c>
      <c r="CE1119">
        <f t="shared" ca="1" si="501"/>
        <v>23090347.13378913</v>
      </c>
      <c r="CF1119">
        <f t="shared" ca="1" si="502"/>
        <v>23090347.13378913</v>
      </c>
      <c r="CG1119">
        <f t="shared" ca="1" si="503"/>
        <v>0</v>
      </c>
      <c r="CH1119" s="10" t="str">
        <f>分析データ!A1119</f>
        <v/>
      </c>
    </row>
    <row r="1120" spans="46:86">
      <c r="AT1120">
        <f ca="1">IF(ROW()&lt;($C$7+1),"",IFERROR((分析データ!B1120-AVERAGE(OFFSET(分析データ!B$1,MAX(1,ROW()-$C$7),0,MIN($C$7,ROW()-1),1)))/STDEV(OFFSET(分析データ!B$1,MAX(1,ROW()-$C$7),0,MIN($C$7,ROW()-1),1)),0))</f>
        <v>0</v>
      </c>
      <c r="AU1120">
        <f t="shared" ca="1" si="476"/>
        <v>0</v>
      </c>
      <c r="AV1120" t="str">
        <f ca="1">IF(AU1120=1,IF(INDEX(分析データ!$A:$A,ROW()+$C$5)&lt;&gt;"",80000*SIGN(AT1120)*(分析データ!B1120-INDEX(分析データ!B:B,ROW()+$C$5)),""),"")</f>
        <v/>
      </c>
      <c r="AW1120">
        <f t="shared" ca="1" si="477"/>
        <v>-1240000.0000000019</v>
      </c>
      <c r="AX1120">
        <f t="shared" ca="1" si="478"/>
        <v>0</v>
      </c>
      <c r="AY1120">
        <f t="shared" ca="1" si="479"/>
        <v>-1240000.0000000019</v>
      </c>
      <c r="AZ1120">
        <f ca="1">IF(ROW()&lt;($C$7+1),"",IFERROR((分析データ!C1120-AVERAGE(OFFSET(分析データ!C$1,MAX(1,ROW()-$C$7),0,MIN($C$7,ROW()-1),1)))/STDEV(OFFSET(分析データ!C$1,MAX(1,ROW()-$C$7),0,MIN($C$7,ROW()-1),1)),0))</f>
        <v>0</v>
      </c>
      <c r="BA1120">
        <f t="shared" ca="1" si="480"/>
        <v>0</v>
      </c>
      <c r="BB1120" t="str">
        <f ca="1">IF(BA1120=1,IF(INDEX(分析データ!$A:$A,ROW()+$C$5)&lt;&gt;"",60000*SIGN(AZ1120)*(分析データ!C1120-INDEX(分析データ!C:C,ROW()+$C$5)),""),"")</f>
        <v/>
      </c>
      <c r="BC1120">
        <f t="shared" ca="1" si="481"/>
        <v>-260999.9999999851</v>
      </c>
      <c r="BD1120">
        <f t="shared" ca="1" si="482"/>
        <v>3156000.0000000107</v>
      </c>
      <c r="BE1120">
        <f t="shared" ca="1" si="483"/>
        <v>-3416999.9999999958</v>
      </c>
      <c r="BF1120">
        <f ca="1">IF(ROW()&lt;($C$7+1),"",IFERROR((分析データ!D1120-AVERAGE(OFFSET(分析データ!D$1,MAX(1,ROW()-$C$7),0,MIN($C$7,ROW()-1),1)))/STDEV(OFFSET(分析データ!D$1,MAX(1,ROW()-$C$7),0,MIN($C$7,ROW()-1),1)),0))</f>
        <v>0</v>
      </c>
      <c r="BG1120">
        <f t="shared" ca="1" si="484"/>
        <v>0</v>
      </c>
      <c r="BH1120" t="str">
        <f ca="1">IF(BG1120=1,IF(INDEX(分析データ!$A:$A,ROW()+$C$5)&lt;&gt;"",50000*SIGN(BF1120)*(分析データ!D1120-INDEX(分析データ!D:D,ROW()+$C$5)),""),"")</f>
        <v/>
      </c>
      <c r="BI1120">
        <f t="shared" ca="1" si="485"/>
        <v>5570000.0000000205</v>
      </c>
      <c r="BJ1120">
        <f t="shared" ca="1" si="486"/>
        <v>5570000.0000000205</v>
      </c>
      <c r="BK1120">
        <f t="shared" ca="1" si="487"/>
        <v>0</v>
      </c>
      <c r="BL1120">
        <f ca="1">IF(ROW()&lt;($C$7+1),"",IFERROR((分析データ!E1120-AVERAGE(OFFSET(分析データ!E$1,MAX(1,ROW()-$C$7),0,MIN($C$7,ROW()-1),1)))/STDEV(OFFSET(分析データ!E$1,MAX(1,ROW()-$C$7),0,MIN($C$7,ROW()-1),1)),0))</f>
        <v>0</v>
      </c>
      <c r="BM1120">
        <f t="shared" ca="1" si="488"/>
        <v>0</v>
      </c>
      <c r="BN1120" t="str">
        <f ca="1">IF(BM1120=1,IF(INDEX(分析データ!$A:$A,ROW()+$C$5)&lt;&gt;"",40000*SIGN(BL1120)*(分析データ!E1120-INDEX(分析データ!E:E,ROW()+$C$5)),""),"")</f>
        <v/>
      </c>
      <c r="BO1120">
        <f t="shared" ca="1" si="489"/>
        <v>2720000.0000000014</v>
      </c>
      <c r="BP1120">
        <f t="shared" ca="1" si="490"/>
        <v>4280000.0000000028</v>
      </c>
      <c r="BQ1120">
        <f t="shared" ca="1" si="491"/>
        <v>-1560000.0000000014</v>
      </c>
      <c r="BR1120">
        <f ca="1">IF(ROW()&lt;($C$7+1),"",IFERROR((分析データ!F1120-AVERAGE(OFFSET(分析データ!F$1,MAX(1,ROW()-$C$7),0,MIN($C$7,ROW()-1),1)))/STDEV(OFFSET(分析データ!F$1,MAX(1,ROW()-$C$7),0,MIN($C$7,ROW()-1),1)),0))</f>
        <v>0</v>
      </c>
      <c r="BS1120">
        <f t="shared" ca="1" si="492"/>
        <v>0</v>
      </c>
      <c r="BT1120" t="str">
        <f ca="1">IF(BS1120=1,IF(INDEX(分析データ!$A:$A,ROW()+$C$5)&lt;&gt;"",40000*SIGN(BR1120)*(分析データ!F1120-INDEX(分析データ!F:F,ROW()+$C$5)),""),"")</f>
        <v/>
      </c>
      <c r="BU1120">
        <f t="shared" ca="1" si="493"/>
        <v>19816800</v>
      </c>
      <c r="BV1120">
        <f t="shared" ca="1" si="494"/>
        <v>19816800</v>
      </c>
      <c r="BW1120">
        <f t="shared" ca="1" si="495"/>
        <v>0</v>
      </c>
      <c r="BX1120">
        <f ca="1">IF(ROW()&lt;($C$7+1),"",IFERROR((分析データ!G1120-AVERAGE(OFFSET(分析データ!G$1,MAX(1,ROW()-$C$7),0,MIN($C$7,ROW()-1),1)))/STDEV(OFFSET(分析データ!G$1,MAX(1,ROW()-$C$7),0,MIN($C$7,ROW()-1),1)),0))</f>
        <v>0</v>
      </c>
      <c r="BY1120">
        <f t="shared" ca="1" si="496"/>
        <v>0</v>
      </c>
      <c r="BZ1120" t="str">
        <f ca="1">IF(BY1120=1,IF(INDEX(分析データ!$A:$A,ROW()+$C$5)&lt;&gt;"",40000*SIGN(BX1120)*(分析データ!G1120-INDEX(分析データ!G:G,ROW()+$C$5)),""),"")</f>
        <v/>
      </c>
      <c r="CA1120">
        <f t="shared" ca="1" si="497"/>
        <v>-3515452.8662109179</v>
      </c>
      <c r="CB1120">
        <f t="shared" ca="1" si="498"/>
        <v>11327520.000000004</v>
      </c>
      <c r="CC1120">
        <f t="shared" ca="1" si="499"/>
        <v>-14842972.866210923</v>
      </c>
      <c r="CD1120">
        <f t="shared" ca="1" si="500"/>
        <v>0</v>
      </c>
      <c r="CE1120">
        <f t="shared" ca="1" si="501"/>
        <v>23090347.13378913</v>
      </c>
      <c r="CF1120">
        <f t="shared" ca="1" si="502"/>
        <v>23090347.13378913</v>
      </c>
      <c r="CG1120">
        <f t="shared" ca="1" si="503"/>
        <v>0</v>
      </c>
      <c r="CH1120" s="10" t="str">
        <f>分析データ!A1120</f>
        <v/>
      </c>
    </row>
    <row r="1121" spans="46:86">
      <c r="AT1121">
        <f ca="1">IF(ROW()&lt;($C$7+1),"",IFERROR((分析データ!B1121-AVERAGE(OFFSET(分析データ!B$1,MAX(1,ROW()-$C$7),0,MIN($C$7,ROW()-1),1)))/STDEV(OFFSET(分析データ!B$1,MAX(1,ROW()-$C$7),0,MIN($C$7,ROW()-1),1)),0))</f>
        <v>0</v>
      </c>
      <c r="AU1121">
        <f t="shared" ca="1" si="476"/>
        <v>0</v>
      </c>
      <c r="AV1121" t="str">
        <f ca="1">IF(AU1121=1,IF(INDEX(分析データ!$A:$A,ROW()+$C$5)&lt;&gt;"",80000*SIGN(AT1121)*(分析データ!B1121-INDEX(分析データ!B:B,ROW()+$C$5)),""),"")</f>
        <v/>
      </c>
      <c r="AW1121">
        <f t="shared" ca="1" si="477"/>
        <v>-1240000.0000000019</v>
      </c>
      <c r="AX1121">
        <f t="shared" ca="1" si="478"/>
        <v>0</v>
      </c>
      <c r="AY1121">
        <f t="shared" ca="1" si="479"/>
        <v>-1240000.0000000019</v>
      </c>
      <c r="AZ1121">
        <f ca="1">IF(ROW()&lt;($C$7+1),"",IFERROR((分析データ!C1121-AVERAGE(OFFSET(分析データ!C$1,MAX(1,ROW()-$C$7),0,MIN($C$7,ROW()-1),1)))/STDEV(OFFSET(分析データ!C$1,MAX(1,ROW()-$C$7),0,MIN($C$7,ROW()-1),1)),0))</f>
        <v>0</v>
      </c>
      <c r="BA1121">
        <f t="shared" ca="1" si="480"/>
        <v>0</v>
      </c>
      <c r="BB1121" t="str">
        <f ca="1">IF(BA1121=1,IF(INDEX(分析データ!$A:$A,ROW()+$C$5)&lt;&gt;"",60000*SIGN(AZ1121)*(分析データ!C1121-INDEX(分析データ!C:C,ROW()+$C$5)),""),"")</f>
        <v/>
      </c>
      <c r="BC1121">
        <f t="shared" ca="1" si="481"/>
        <v>-260999.9999999851</v>
      </c>
      <c r="BD1121">
        <f t="shared" ca="1" si="482"/>
        <v>3156000.0000000107</v>
      </c>
      <c r="BE1121">
        <f t="shared" ca="1" si="483"/>
        <v>-3416999.9999999958</v>
      </c>
      <c r="BF1121">
        <f ca="1">IF(ROW()&lt;($C$7+1),"",IFERROR((分析データ!D1121-AVERAGE(OFFSET(分析データ!D$1,MAX(1,ROW()-$C$7),0,MIN($C$7,ROW()-1),1)))/STDEV(OFFSET(分析データ!D$1,MAX(1,ROW()-$C$7),0,MIN($C$7,ROW()-1),1)),0))</f>
        <v>0</v>
      </c>
      <c r="BG1121">
        <f t="shared" ca="1" si="484"/>
        <v>0</v>
      </c>
      <c r="BH1121" t="str">
        <f ca="1">IF(BG1121=1,IF(INDEX(分析データ!$A:$A,ROW()+$C$5)&lt;&gt;"",50000*SIGN(BF1121)*(分析データ!D1121-INDEX(分析データ!D:D,ROW()+$C$5)),""),"")</f>
        <v/>
      </c>
      <c r="BI1121">
        <f t="shared" ca="1" si="485"/>
        <v>5570000.0000000205</v>
      </c>
      <c r="BJ1121">
        <f t="shared" ca="1" si="486"/>
        <v>5570000.0000000205</v>
      </c>
      <c r="BK1121">
        <f t="shared" ca="1" si="487"/>
        <v>0</v>
      </c>
      <c r="BL1121">
        <f ca="1">IF(ROW()&lt;($C$7+1),"",IFERROR((分析データ!E1121-AVERAGE(OFFSET(分析データ!E$1,MAX(1,ROW()-$C$7),0,MIN($C$7,ROW()-1),1)))/STDEV(OFFSET(分析データ!E$1,MAX(1,ROW()-$C$7),0,MIN($C$7,ROW()-1),1)),0))</f>
        <v>0</v>
      </c>
      <c r="BM1121">
        <f t="shared" ca="1" si="488"/>
        <v>0</v>
      </c>
      <c r="BN1121" t="str">
        <f ca="1">IF(BM1121=1,IF(INDEX(分析データ!$A:$A,ROW()+$C$5)&lt;&gt;"",40000*SIGN(BL1121)*(分析データ!E1121-INDEX(分析データ!E:E,ROW()+$C$5)),""),"")</f>
        <v/>
      </c>
      <c r="BO1121">
        <f t="shared" ca="1" si="489"/>
        <v>2720000.0000000014</v>
      </c>
      <c r="BP1121">
        <f t="shared" ca="1" si="490"/>
        <v>4280000.0000000028</v>
      </c>
      <c r="BQ1121">
        <f t="shared" ca="1" si="491"/>
        <v>-1560000.0000000014</v>
      </c>
      <c r="BR1121">
        <f ca="1">IF(ROW()&lt;($C$7+1),"",IFERROR((分析データ!F1121-AVERAGE(OFFSET(分析データ!F$1,MAX(1,ROW()-$C$7),0,MIN($C$7,ROW()-1),1)))/STDEV(OFFSET(分析データ!F$1,MAX(1,ROW()-$C$7),0,MIN($C$7,ROW()-1),1)),0))</f>
        <v>0</v>
      </c>
      <c r="BS1121">
        <f t="shared" ca="1" si="492"/>
        <v>0</v>
      </c>
      <c r="BT1121" t="str">
        <f ca="1">IF(BS1121=1,IF(INDEX(分析データ!$A:$A,ROW()+$C$5)&lt;&gt;"",40000*SIGN(BR1121)*(分析データ!F1121-INDEX(分析データ!F:F,ROW()+$C$5)),""),"")</f>
        <v/>
      </c>
      <c r="BU1121">
        <f t="shared" ca="1" si="493"/>
        <v>19816800</v>
      </c>
      <c r="BV1121">
        <f t="shared" ca="1" si="494"/>
        <v>19816800</v>
      </c>
      <c r="BW1121">
        <f t="shared" ca="1" si="495"/>
        <v>0</v>
      </c>
      <c r="BX1121">
        <f ca="1">IF(ROW()&lt;($C$7+1),"",IFERROR((分析データ!G1121-AVERAGE(OFFSET(分析データ!G$1,MAX(1,ROW()-$C$7),0,MIN($C$7,ROW()-1),1)))/STDEV(OFFSET(分析データ!G$1,MAX(1,ROW()-$C$7),0,MIN($C$7,ROW()-1),1)),0))</f>
        <v>0</v>
      </c>
      <c r="BY1121">
        <f t="shared" ca="1" si="496"/>
        <v>0</v>
      </c>
      <c r="BZ1121" t="str">
        <f ca="1">IF(BY1121=1,IF(INDEX(分析データ!$A:$A,ROW()+$C$5)&lt;&gt;"",40000*SIGN(BX1121)*(分析データ!G1121-INDEX(分析データ!G:G,ROW()+$C$5)),""),"")</f>
        <v/>
      </c>
      <c r="CA1121">
        <f t="shared" ca="1" si="497"/>
        <v>-3515452.8662109179</v>
      </c>
      <c r="CB1121">
        <f t="shared" ca="1" si="498"/>
        <v>11327520.000000004</v>
      </c>
      <c r="CC1121">
        <f t="shared" ca="1" si="499"/>
        <v>-14842972.866210923</v>
      </c>
      <c r="CD1121">
        <f t="shared" ca="1" si="500"/>
        <v>0</v>
      </c>
      <c r="CE1121">
        <f t="shared" ca="1" si="501"/>
        <v>23090347.13378913</v>
      </c>
      <c r="CF1121">
        <f t="shared" ca="1" si="502"/>
        <v>23090347.13378913</v>
      </c>
      <c r="CG1121">
        <f t="shared" ca="1" si="503"/>
        <v>0</v>
      </c>
      <c r="CH1121" s="10" t="str">
        <f>分析データ!A1121</f>
        <v/>
      </c>
    </row>
    <row r="1122" spans="46:86">
      <c r="AT1122">
        <f ca="1">IF(ROW()&lt;($C$7+1),"",IFERROR((分析データ!B1122-AVERAGE(OFFSET(分析データ!B$1,MAX(1,ROW()-$C$7),0,MIN($C$7,ROW()-1),1)))/STDEV(OFFSET(分析データ!B$1,MAX(1,ROW()-$C$7),0,MIN($C$7,ROW()-1),1)),0))</f>
        <v>0</v>
      </c>
      <c r="AU1122">
        <f t="shared" ca="1" si="476"/>
        <v>0</v>
      </c>
      <c r="AV1122" t="str">
        <f ca="1">IF(AU1122=1,IF(INDEX(分析データ!$A:$A,ROW()+$C$5)&lt;&gt;"",80000*SIGN(AT1122)*(分析データ!B1122-INDEX(分析データ!B:B,ROW()+$C$5)),""),"")</f>
        <v/>
      </c>
      <c r="AW1122">
        <f t="shared" ca="1" si="477"/>
        <v>-1240000.0000000019</v>
      </c>
      <c r="AX1122">
        <f t="shared" ca="1" si="478"/>
        <v>0</v>
      </c>
      <c r="AY1122">
        <f t="shared" ca="1" si="479"/>
        <v>-1240000.0000000019</v>
      </c>
      <c r="AZ1122">
        <f ca="1">IF(ROW()&lt;($C$7+1),"",IFERROR((分析データ!C1122-AVERAGE(OFFSET(分析データ!C$1,MAX(1,ROW()-$C$7),0,MIN($C$7,ROW()-1),1)))/STDEV(OFFSET(分析データ!C$1,MAX(1,ROW()-$C$7),0,MIN($C$7,ROW()-1),1)),0))</f>
        <v>0</v>
      </c>
      <c r="BA1122">
        <f t="shared" ca="1" si="480"/>
        <v>0</v>
      </c>
      <c r="BB1122" t="str">
        <f ca="1">IF(BA1122=1,IF(INDEX(分析データ!$A:$A,ROW()+$C$5)&lt;&gt;"",60000*SIGN(AZ1122)*(分析データ!C1122-INDEX(分析データ!C:C,ROW()+$C$5)),""),"")</f>
        <v/>
      </c>
      <c r="BC1122">
        <f t="shared" ca="1" si="481"/>
        <v>-260999.9999999851</v>
      </c>
      <c r="BD1122">
        <f t="shared" ca="1" si="482"/>
        <v>3156000.0000000107</v>
      </c>
      <c r="BE1122">
        <f t="shared" ca="1" si="483"/>
        <v>-3416999.9999999958</v>
      </c>
      <c r="BF1122">
        <f ca="1">IF(ROW()&lt;($C$7+1),"",IFERROR((分析データ!D1122-AVERAGE(OFFSET(分析データ!D$1,MAX(1,ROW()-$C$7),0,MIN($C$7,ROW()-1),1)))/STDEV(OFFSET(分析データ!D$1,MAX(1,ROW()-$C$7),0,MIN($C$7,ROW()-1),1)),0))</f>
        <v>0</v>
      </c>
      <c r="BG1122">
        <f t="shared" ca="1" si="484"/>
        <v>0</v>
      </c>
      <c r="BH1122" t="str">
        <f ca="1">IF(BG1122=1,IF(INDEX(分析データ!$A:$A,ROW()+$C$5)&lt;&gt;"",50000*SIGN(BF1122)*(分析データ!D1122-INDEX(分析データ!D:D,ROW()+$C$5)),""),"")</f>
        <v/>
      </c>
      <c r="BI1122">
        <f t="shared" ca="1" si="485"/>
        <v>5570000.0000000205</v>
      </c>
      <c r="BJ1122">
        <f t="shared" ca="1" si="486"/>
        <v>5570000.0000000205</v>
      </c>
      <c r="BK1122">
        <f t="shared" ca="1" si="487"/>
        <v>0</v>
      </c>
      <c r="BL1122">
        <f ca="1">IF(ROW()&lt;($C$7+1),"",IFERROR((分析データ!E1122-AVERAGE(OFFSET(分析データ!E$1,MAX(1,ROW()-$C$7),0,MIN($C$7,ROW()-1),1)))/STDEV(OFFSET(分析データ!E$1,MAX(1,ROW()-$C$7),0,MIN($C$7,ROW()-1),1)),0))</f>
        <v>0</v>
      </c>
      <c r="BM1122">
        <f t="shared" ca="1" si="488"/>
        <v>0</v>
      </c>
      <c r="BN1122" t="str">
        <f ca="1">IF(BM1122=1,IF(INDEX(分析データ!$A:$A,ROW()+$C$5)&lt;&gt;"",40000*SIGN(BL1122)*(分析データ!E1122-INDEX(分析データ!E:E,ROW()+$C$5)),""),"")</f>
        <v/>
      </c>
      <c r="BO1122">
        <f t="shared" ca="1" si="489"/>
        <v>2720000.0000000014</v>
      </c>
      <c r="BP1122">
        <f t="shared" ca="1" si="490"/>
        <v>4280000.0000000028</v>
      </c>
      <c r="BQ1122">
        <f t="shared" ca="1" si="491"/>
        <v>-1560000.0000000014</v>
      </c>
      <c r="BR1122">
        <f ca="1">IF(ROW()&lt;($C$7+1),"",IFERROR((分析データ!F1122-AVERAGE(OFFSET(分析データ!F$1,MAX(1,ROW()-$C$7),0,MIN($C$7,ROW()-1),1)))/STDEV(OFFSET(分析データ!F$1,MAX(1,ROW()-$C$7),0,MIN($C$7,ROW()-1),1)),0))</f>
        <v>0</v>
      </c>
      <c r="BS1122">
        <f t="shared" ca="1" si="492"/>
        <v>0</v>
      </c>
      <c r="BT1122" t="str">
        <f ca="1">IF(BS1122=1,IF(INDEX(分析データ!$A:$A,ROW()+$C$5)&lt;&gt;"",40000*SIGN(BR1122)*(分析データ!F1122-INDEX(分析データ!F:F,ROW()+$C$5)),""),"")</f>
        <v/>
      </c>
      <c r="BU1122">
        <f t="shared" ca="1" si="493"/>
        <v>19816800</v>
      </c>
      <c r="BV1122">
        <f t="shared" ca="1" si="494"/>
        <v>19816800</v>
      </c>
      <c r="BW1122">
        <f t="shared" ca="1" si="495"/>
        <v>0</v>
      </c>
      <c r="BX1122">
        <f ca="1">IF(ROW()&lt;($C$7+1),"",IFERROR((分析データ!G1122-AVERAGE(OFFSET(分析データ!G$1,MAX(1,ROW()-$C$7),0,MIN($C$7,ROW()-1),1)))/STDEV(OFFSET(分析データ!G$1,MAX(1,ROW()-$C$7),0,MIN($C$7,ROW()-1),1)),0))</f>
        <v>0</v>
      </c>
      <c r="BY1122">
        <f t="shared" ca="1" si="496"/>
        <v>0</v>
      </c>
      <c r="BZ1122" t="str">
        <f ca="1">IF(BY1122=1,IF(INDEX(分析データ!$A:$A,ROW()+$C$5)&lt;&gt;"",40000*SIGN(BX1122)*(分析データ!G1122-INDEX(分析データ!G:G,ROW()+$C$5)),""),"")</f>
        <v/>
      </c>
      <c r="CA1122">
        <f t="shared" ca="1" si="497"/>
        <v>-3515452.8662109179</v>
      </c>
      <c r="CB1122">
        <f t="shared" ca="1" si="498"/>
        <v>11327520.000000004</v>
      </c>
      <c r="CC1122">
        <f t="shared" ca="1" si="499"/>
        <v>-14842972.866210923</v>
      </c>
      <c r="CD1122">
        <f t="shared" ca="1" si="500"/>
        <v>0</v>
      </c>
      <c r="CE1122">
        <f t="shared" ca="1" si="501"/>
        <v>23090347.13378913</v>
      </c>
      <c r="CF1122">
        <f t="shared" ca="1" si="502"/>
        <v>23090347.13378913</v>
      </c>
      <c r="CG1122">
        <f t="shared" ca="1" si="503"/>
        <v>0</v>
      </c>
      <c r="CH1122" s="10" t="str">
        <f>分析データ!A1122</f>
        <v/>
      </c>
    </row>
    <row r="1123" spans="46:86">
      <c r="AT1123">
        <f ca="1">IF(ROW()&lt;($C$7+1),"",IFERROR((分析データ!B1123-AVERAGE(OFFSET(分析データ!B$1,MAX(1,ROW()-$C$7),0,MIN($C$7,ROW()-1),1)))/STDEV(OFFSET(分析データ!B$1,MAX(1,ROW()-$C$7),0,MIN($C$7,ROW()-1),1)),0))</f>
        <v>0</v>
      </c>
      <c r="AU1123">
        <f t="shared" ca="1" si="476"/>
        <v>0</v>
      </c>
      <c r="AV1123" t="str">
        <f ca="1">IF(AU1123=1,IF(INDEX(分析データ!$A:$A,ROW()+$C$5)&lt;&gt;"",80000*SIGN(AT1123)*(分析データ!B1123-INDEX(分析データ!B:B,ROW()+$C$5)),""),"")</f>
        <v/>
      </c>
      <c r="AW1123">
        <f t="shared" ca="1" si="477"/>
        <v>-1240000.0000000019</v>
      </c>
      <c r="AX1123">
        <f t="shared" ca="1" si="478"/>
        <v>0</v>
      </c>
      <c r="AY1123">
        <f t="shared" ca="1" si="479"/>
        <v>-1240000.0000000019</v>
      </c>
      <c r="AZ1123">
        <f ca="1">IF(ROW()&lt;($C$7+1),"",IFERROR((分析データ!C1123-AVERAGE(OFFSET(分析データ!C$1,MAX(1,ROW()-$C$7),0,MIN($C$7,ROW()-1),1)))/STDEV(OFFSET(分析データ!C$1,MAX(1,ROW()-$C$7),0,MIN($C$7,ROW()-1),1)),0))</f>
        <v>0</v>
      </c>
      <c r="BA1123">
        <f t="shared" ca="1" si="480"/>
        <v>0</v>
      </c>
      <c r="BB1123" t="str">
        <f ca="1">IF(BA1123=1,IF(INDEX(分析データ!$A:$A,ROW()+$C$5)&lt;&gt;"",60000*SIGN(AZ1123)*(分析データ!C1123-INDEX(分析データ!C:C,ROW()+$C$5)),""),"")</f>
        <v/>
      </c>
      <c r="BC1123">
        <f t="shared" ca="1" si="481"/>
        <v>-260999.9999999851</v>
      </c>
      <c r="BD1123">
        <f t="shared" ca="1" si="482"/>
        <v>3156000.0000000107</v>
      </c>
      <c r="BE1123">
        <f t="shared" ca="1" si="483"/>
        <v>-3416999.9999999958</v>
      </c>
      <c r="BF1123">
        <f ca="1">IF(ROW()&lt;($C$7+1),"",IFERROR((分析データ!D1123-AVERAGE(OFFSET(分析データ!D$1,MAX(1,ROW()-$C$7),0,MIN($C$7,ROW()-1),1)))/STDEV(OFFSET(分析データ!D$1,MAX(1,ROW()-$C$7),0,MIN($C$7,ROW()-1),1)),0))</f>
        <v>0</v>
      </c>
      <c r="BG1123">
        <f t="shared" ca="1" si="484"/>
        <v>0</v>
      </c>
      <c r="BH1123" t="str">
        <f ca="1">IF(BG1123=1,IF(INDEX(分析データ!$A:$A,ROW()+$C$5)&lt;&gt;"",50000*SIGN(BF1123)*(分析データ!D1123-INDEX(分析データ!D:D,ROW()+$C$5)),""),"")</f>
        <v/>
      </c>
      <c r="BI1123">
        <f t="shared" ca="1" si="485"/>
        <v>5570000.0000000205</v>
      </c>
      <c r="BJ1123">
        <f t="shared" ca="1" si="486"/>
        <v>5570000.0000000205</v>
      </c>
      <c r="BK1123">
        <f t="shared" ca="1" si="487"/>
        <v>0</v>
      </c>
      <c r="BL1123">
        <f ca="1">IF(ROW()&lt;($C$7+1),"",IFERROR((分析データ!E1123-AVERAGE(OFFSET(分析データ!E$1,MAX(1,ROW()-$C$7),0,MIN($C$7,ROW()-1),1)))/STDEV(OFFSET(分析データ!E$1,MAX(1,ROW()-$C$7),0,MIN($C$7,ROW()-1),1)),0))</f>
        <v>0</v>
      </c>
      <c r="BM1123">
        <f t="shared" ca="1" si="488"/>
        <v>0</v>
      </c>
      <c r="BN1123" t="str">
        <f ca="1">IF(BM1123=1,IF(INDEX(分析データ!$A:$A,ROW()+$C$5)&lt;&gt;"",40000*SIGN(BL1123)*(分析データ!E1123-INDEX(分析データ!E:E,ROW()+$C$5)),""),"")</f>
        <v/>
      </c>
      <c r="BO1123">
        <f t="shared" ca="1" si="489"/>
        <v>2720000.0000000014</v>
      </c>
      <c r="BP1123">
        <f t="shared" ca="1" si="490"/>
        <v>4280000.0000000028</v>
      </c>
      <c r="BQ1123">
        <f t="shared" ca="1" si="491"/>
        <v>-1560000.0000000014</v>
      </c>
      <c r="BR1123">
        <f ca="1">IF(ROW()&lt;($C$7+1),"",IFERROR((分析データ!F1123-AVERAGE(OFFSET(分析データ!F$1,MAX(1,ROW()-$C$7),0,MIN($C$7,ROW()-1),1)))/STDEV(OFFSET(分析データ!F$1,MAX(1,ROW()-$C$7),0,MIN($C$7,ROW()-1),1)),0))</f>
        <v>0</v>
      </c>
      <c r="BS1123">
        <f t="shared" ca="1" si="492"/>
        <v>0</v>
      </c>
      <c r="BT1123" t="str">
        <f ca="1">IF(BS1123=1,IF(INDEX(分析データ!$A:$A,ROW()+$C$5)&lt;&gt;"",40000*SIGN(BR1123)*(分析データ!F1123-INDEX(分析データ!F:F,ROW()+$C$5)),""),"")</f>
        <v/>
      </c>
      <c r="BU1123">
        <f t="shared" ca="1" si="493"/>
        <v>19816800</v>
      </c>
      <c r="BV1123">
        <f t="shared" ca="1" si="494"/>
        <v>19816800</v>
      </c>
      <c r="BW1123">
        <f t="shared" ca="1" si="495"/>
        <v>0</v>
      </c>
      <c r="BX1123">
        <f ca="1">IF(ROW()&lt;($C$7+1),"",IFERROR((分析データ!G1123-AVERAGE(OFFSET(分析データ!G$1,MAX(1,ROW()-$C$7),0,MIN($C$7,ROW()-1),1)))/STDEV(OFFSET(分析データ!G$1,MAX(1,ROW()-$C$7),0,MIN($C$7,ROW()-1),1)),0))</f>
        <v>0</v>
      </c>
      <c r="BY1123">
        <f t="shared" ca="1" si="496"/>
        <v>0</v>
      </c>
      <c r="BZ1123" t="str">
        <f ca="1">IF(BY1123=1,IF(INDEX(分析データ!$A:$A,ROW()+$C$5)&lt;&gt;"",40000*SIGN(BX1123)*(分析データ!G1123-INDEX(分析データ!G:G,ROW()+$C$5)),""),"")</f>
        <v/>
      </c>
      <c r="CA1123">
        <f t="shared" ca="1" si="497"/>
        <v>-3515452.8662109179</v>
      </c>
      <c r="CB1123">
        <f t="shared" ca="1" si="498"/>
        <v>11327520.000000004</v>
      </c>
      <c r="CC1123">
        <f t="shared" ca="1" si="499"/>
        <v>-14842972.866210923</v>
      </c>
      <c r="CD1123">
        <f t="shared" ca="1" si="500"/>
        <v>0</v>
      </c>
      <c r="CE1123">
        <f t="shared" ca="1" si="501"/>
        <v>23090347.13378913</v>
      </c>
      <c r="CF1123">
        <f t="shared" ca="1" si="502"/>
        <v>23090347.13378913</v>
      </c>
      <c r="CG1123">
        <f t="shared" ca="1" si="503"/>
        <v>0</v>
      </c>
      <c r="CH1123" s="10" t="str">
        <f>分析データ!A1123</f>
        <v/>
      </c>
    </row>
    <row r="1124" spans="46:86">
      <c r="AT1124">
        <f ca="1">IF(ROW()&lt;($C$7+1),"",IFERROR((分析データ!B1124-AVERAGE(OFFSET(分析データ!B$1,MAX(1,ROW()-$C$7),0,MIN($C$7,ROW()-1),1)))/STDEV(OFFSET(分析データ!B$1,MAX(1,ROW()-$C$7),0,MIN($C$7,ROW()-1),1)),0))</f>
        <v>0</v>
      </c>
      <c r="AU1124">
        <f t="shared" ca="1" si="476"/>
        <v>0</v>
      </c>
      <c r="AV1124" t="str">
        <f ca="1">IF(AU1124=1,IF(INDEX(分析データ!$A:$A,ROW()+$C$5)&lt;&gt;"",80000*SIGN(AT1124)*(分析データ!B1124-INDEX(分析データ!B:B,ROW()+$C$5)),""),"")</f>
        <v/>
      </c>
      <c r="AW1124">
        <f t="shared" ca="1" si="477"/>
        <v>-1240000.0000000019</v>
      </c>
      <c r="AX1124">
        <f t="shared" ca="1" si="478"/>
        <v>0</v>
      </c>
      <c r="AY1124">
        <f t="shared" ca="1" si="479"/>
        <v>-1240000.0000000019</v>
      </c>
      <c r="AZ1124">
        <f ca="1">IF(ROW()&lt;($C$7+1),"",IFERROR((分析データ!C1124-AVERAGE(OFFSET(分析データ!C$1,MAX(1,ROW()-$C$7),0,MIN($C$7,ROW()-1),1)))/STDEV(OFFSET(分析データ!C$1,MAX(1,ROW()-$C$7),0,MIN($C$7,ROW()-1),1)),0))</f>
        <v>0</v>
      </c>
      <c r="BA1124">
        <f t="shared" ca="1" si="480"/>
        <v>0</v>
      </c>
      <c r="BB1124" t="str">
        <f ca="1">IF(BA1124=1,IF(INDEX(分析データ!$A:$A,ROW()+$C$5)&lt;&gt;"",60000*SIGN(AZ1124)*(分析データ!C1124-INDEX(分析データ!C:C,ROW()+$C$5)),""),"")</f>
        <v/>
      </c>
      <c r="BC1124">
        <f t="shared" ca="1" si="481"/>
        <v>-260999.9999999851</v>
      </c>
      <c r="BD1124">
        <f t="shared" ca="1" si="482"/>
        <v>3156000.0000000107</v>
      </c>
      <c r="BE1124">
        <f t="shared" ca="1" si="483"/>
        <v>-3416999.9999999958</v>
      </c>
      <c r="BF1124">
        <f ca="1">IF(ROW()&lt;($C$7+1),"",IFERROR((分析データ!D1124-AVERAGE(OFFSET(分析データ!D$1,MAX(1,ROW()-$C$7),0,MIN($C$7,ROW()-1),1)))/STDEV(OFFSET(分析データ!D$1,MAX(1,ROW()-$C$7),0,MIN($C$7,ROW()-1),1)),0))</f>
        <v>0</v>
      </c>
      <c r="BG1124">
        <f t="shared" ca="1" si="484"/>
        <v>0</v>
      </c>
      <c r="BH1124" t="str">
        <f ca="1">IF(BG1124=1,IF(INDEX(分析データ!$A:$A,ROW()+$C$5)&lt;&gt;"",50000*SIGN(BF1124)*(分析データ!D1124-INDEX(分析データ!D:D,ROW()+$C$5)),""),"")</f>
        <v/>
      </c>
      <c r="BI1124">
        <f t="shared" ca="1" si="485"/>
        <v>5570000.0000000205</v>
      </c>
      <c r="BJ1124">
        <f t="shared" ca="1" si="486"/>
        <v>5570000.0000000205</v>
      </c>
      <c r="BK1124">
        <f t="shared" ca="1" si="487"/>
        <v>0</v>
      </c>
      <c r="BL1124">
        <f ca="1">IF(ROW()&lt;($C$7+1),"",IFERROR((分析データ!E1124-AVERAGE(OFFSET(分析データ!E$1,MAX(1,ROW()-$C$7),0,MIN($C$7,ROW()-1),1)))/STDEV(OFFSET(分析データ!E$1,MAX(1,ROW()-$C$7),0,MIN($C$7,ROW()-1),1)),0))</f>
        <v>0</v>
      </c>
      <c r="BM1124">
        <f t="shared" ca="1" si="488"/>
        <v>0</v>
      </c>
      <c r="BN1124" t="str">
        <f ca="1">IF(BM1124=1,IF(INDEX(分析データ!$A:$A,ROW()+$C$5)&lt;&gt;"",40000*SIGN(BL1124)*(分析データ!E1124-INDEX(分析データ!E:E,ROW()+$C$5)),""),"")</f>
        <v/>
      </c>
      <c r="BO1124">
        <f t="shared" ca="1" si="489"/>
        <v>2720000.0000000014</v>
      </c>
      <c r="BP1124">
        <f t="shared" ca="1" si="490"/>
        <v>4280000.0000000028</v>
      </c>
      <c r="BQ1124">
        <f t="shared" ca="1" si="491"/>
        <v>-1560000.0000000014</v>
      </c>
      <c r="BR1124">
        <f ca="1">IF(ROW()&lt;($C$7+1),"",IFERROR((分析データ!F1124-AVERAGE(OFFSET(分析データ!F$1,MAX(1,ROW()-$C$7),0,MIN($C$7,ROW()-1),1)))/STDEV(OFFSET(分析データ!F$1,MAX(1,ROW()-$C$7),0,MIN($C$7,ROW()-1),1)),0))</f>
        <v>0</v>
      </c>
      <c r="BS1124">
        <f t="shared" ca="1" si="492"/>
        <v>0</v>
      </c>
      <c r="BT1124" t="str">
        <f ca="1">IF(BS1124=1,IF(INDEX(分析データ!$A:$A,ROW()+$C$5)&lt;&gt;"",40000*SIGN(BR1124)*(分析データ!F1124-INDEX(分析データ!F:F,ROW()+$C$5)),""),"")</f>
        <v/>
      </c>
      <c r="BU1124">
        <f t="shared" ca="1" si="493"/>
        <v>19816800</v>
      </c>
      <c r="BV1124">
        <f t="shared" ca="1" si="494"/>
        <v>19816800</v>
      </c>
      <c r="BW1124">
        <f t="shared" ca="1" si="495"/>
        <v>0</v>
      </c>
      <c r="BX1124">
        <f ca="1">IF(ROW()&lt;($C$7+1),"",IFERROR((分析データ!G1124-AVERAGE(OFFSET(分析データ!G$1,MAX(1,ROW()-$C$7),0,MIN($C$7,ROW()-1),1)))/STDEV(OFFSET(分析データ!G$1,MAX(1,ROW()-$C$7),0,MIN($C$7,ROW()-1),1)),0))</f>
        <v>0</v>
      </c>
      <c r="BY1124">
        <f t="shared" ca="1" si="496"/>
        <v>0</v>
      </c>
      <c r="BZ1124" t="str">
        <f ca="1">IF(BY1124=1,IF(INDEX(分析データ!$A:$A,ROW()+$C$5)&lt;&gt;"",40000*SIGN(BX1124)*(分析データ!G1124-INDEX(分析データ!G:G,ROW()+$C$5)),""),"")</f>
        <v/>
      </c>
      <c r="CA1124">
        <f t="shared" ca="1" si="497"/>
        <v>-3515452.8662109179</v>
      </c>
      <c r="CB1124">
        <f t="shared" ca="1" si="498"/>
        <v>11327520.000000004</v>
      </c>
      <c r="CC1124">
        <f t="shared" ca="1" si="499"/>
        <v>-14842972.866210923</v>
      </c>
      <c r="CD1124">
        <f t="shared" ca="1" si="500"/>
        <v>0</v>
      </c>
      <c r="CE1124">
        <f t="shared" ca="1" si="501"/>
        <v>23090347.13378913</v>
      </c>
      <c r="CF1124">
        <f t="shared" ca="1" si="502"/>
        <v>23090347.13378913</v>
      </c>
      <c r="CG1124">
        <f t="shared" ca="1" si="503"/>
        <v>0</v>
      </c>
      <c r="CH1124" s="10" t="str">
        <f>分析データ!A1124</f>
        <v/>
      </c>
    </row>
    <row r="1125" spans="46:86">
      <c r="AT1125">
        <f ca="1">IF(ROW()&lt;($C$7+1),"",IFERROR((分析データ!B1125-AVERAGE(OFFSET(分析データ!B$1,MAX(1,ROW()-$C$7),0,MIN($C$7,ROW()-1),1)))/STDEV(OFFSET(分析データ!B$1,MAX(1,ROW()-$C$7),0,MIN($C$7,ROW()-1),1)),0))</f>
        <v>0</v>
      </c>
      <c r="AU1125">
        <f t="shared" ca="1" si="476"/>
        <v>0</v>
      </c>
      <c r="AV1125" t="str">
        <f ca="1">IF(AU1125=1,IF(INDEX(分析データ!$A:$A,ROW()+$C$5)&lt;&gt;"",80000*SIGN(AT1125)*(分析データ!B1125-INDEX(分析データ!B:B,ROW()+$C$5)),""),"")</f>
        <v/>
      </c>
      <c r="AW1125">
        <f t="shared" ca="1" si="477"/>
        <v>-1240000.0000000019</v>
      </c>
      <c r="AX1125">
        <f t="shared" ca="1" si="478"/>
        <v>0</v>
      </c>
      <c r="AY1125">
        <f t="shared" ca="1" si="479"/>
        <v>-1240000.0000000019</v>
      </c>
      <c r="AZ1125">
        <f ca="1">IF(ROW()&lt;($C$7+1),"",IFERROR((分析データ!C1125-AVERAGE(OFFSET(分析データ!C$1,MAX(1,ROW()-$C$7),0,MIN($C$7,ROW()-1),1)))/STDEV(OFFSET(分析データ!C$1,MAX(1,ROW()-$C$7),0,MIN($C$7,ROW()-1),1)),0))</f>
        <v>0</v>
      </c>
      <c r="BA1125">
        <f t="shared" ca="1" si="480"/>
        <v>0</v>
      </c>
      <c r="BB1125" t="str">
        <f ca="1">IF(BA1125=1,IF(INDEX(分析データ!$A:$A,ROW()+$C$5)&lt;&gt;"",60000*SIGN(AZ1125)*(分析データ!C1125-INDEX(分析データ!C:C,ROW()+$C$5)),""),"")</f>
        <v/>
      </c>
      <c r="BC1125">
        <f t="shared" ca="1" si="481"/>
        <v>-260999.9999999851</v>
      </c>
      <c r="BD1125">
        <f t="shared" ca="1" si="482"/>
        <v>3156000.0000000107</v>
      </c>
      <c r="BE1125">
        <f t="shared" ca="1" si="483"/>
        <v>-3416999.9999999958</v>
      </c>
      <c r="BF1125">
        <f ca="1">IF(ROW()&lt;($C$7+1),"",IFERROR((分析データ!D1125-AVERAGE(OFFSET(分析データ!D$1,MAX(1,ROW()-$C$7),0,MIN($C$7,ROW()-1),1)))/STDEV(OFFSET(分析データ!D$1,MAX(1,ROW()-$C$7),0,MIN($C$7,ROW()-1),1)),0))</f>
        <v>0</v>
      </c>
      <c r="BG1125">
        <f t="shared" ca="1" si="484"/>
        <v>0</v>
      </c>
      <c r="BH1125" t="str">
        <f ca="1">IF(BG1125=1,IF(INDEX(分析データ!$A:$A,ROW()+$C$5)&lt;&gt;"",50000*SIGN(BF1125)*(分析データ!D1125-INDEX(分析データ!D:D,ROW()+$C$5)),""),"")</f>
        <v/>
      </c>
      <c r="BI1125">
        <f t="shared" ca="1" si="485"/>
        <v>5570000.0000000205</v>
      </c>
      <c r="BJ1125">
        <f t="shared" ca="1" si="486"/>
        <v>5570000.0000000205</v>
      </c>
      <c r="BK1125">
        <f t="shared" ca="1" si="487"/>
        <v>0</v>
      </c>
      <c r="BL1125">
        <f ca="1">IF(ROW()&lt;($C$7+1),"",IFERROR((分析データ!E1125-AVERAGE(OFFSET(分析データ!E$1,MAX(1,ROW()-$C$7),0,MIN($C$7,ROW()-1),1)))/STDEV(OFFSET(分析データ!E$1,MAX(1,ROW()-$C$7),0,MIN($C$7,ROW()-1),1)),0))</f>
        <v>0</v>
      </c>
      <c r="BM1125">
        <f t="shared" ca="1" si="488"/>
        <v>0</v>
      </c>
      <c r="BN1125" t="str">
        <f ca="1">IF(BM1125=1,IF(INDEX(分析データ!$A:$A,ROW()+$C$5)&lt;&gt;"",40000*SIGN(BL1125)*(分析データ!E1125-INDEX(分析データ!E:E,ROW()+$C$5)),""),"")</f>
        <v/>
      </c>
      <c r="BO1125">
        <f t="shared" ca="1" si="489"/>
        <v>2720000.0000000014</v>
      </c>
      <c r="BP1125">
        <f t="shared" ca="1" si="490"/>
        <v>4280000.0000000028</v>
      </c>
      <c r="BQ1125">
        <f t="shared" ca="1" si="491"/>
        <v>-1560000.0000000014</v>
      </c>
      <c r="BR1125">
        <f ca="1">IF(ROW()&lt;($C$7+1),"",IFERROR((分析データ!F1125-AVERAGE(OFFSET(分析データ!F$1,MAX(1,ROW()-$C$7),0,MIN($C$7,ROW()-1),1)))/STDEV(OFFSET(分析データ!F$1,MAX(1,ROW()-$C$7),0,MIN($C$7,ROW()-1),1)),0))</f>
        <v>0</v>
      </c>
      <c r="BS1125">
        <f t="shared" ca="1" si="492"/>
        <v>0</v>
      </c>
      <c r="BT1125" t="str">
        <f ca="1">IF(BS1125=1,IF(INDEX(分析データ!$A:$A,ROW()+$C$5)&lt;&gt;"",40000*SIGN(BR1125)*(分析データ!F1125-INDEX(分析データ!F:F,ROW()+$C$5)),""),"")</f>
        <v/>
      </c>
      <c r="BU1125">
        <f t="shared" ca="1" si="493"/>
        <v>19816800</v>
      </c>
      <c r="BV1125">
        <f t="shared" ca="1" si="494"/>
        <v>19816800</v>
      </c>
      <c r="BW1125">
        <f t="shared" ca="1" si="495"/>
        <v>0</v>
      </c>
      <c r="BX1125">
        <f ca="1">IF(ROW()&lt;($C$7+1),"",IFERROR((分析データ!G1125-AVERAGE(OFFSET(分析データ!G$1,MAX(1,ROW()-$C$7),0,MIN($C$7,ROW()-1),1)))/STDEV(OFFSET(分析データ!G$1,MAX(1,ROW()-$C$7),0,MIN($C$7,ROW()-1),1)),0))</f>
        <v>0</v>
      </c>
      <c r="BY1125">
        <f t="shared" ca="1" si="496"/>
        <v>0</v>
      </c>
      <c r="BZ1125" t="str">
        <f ca="1">IF(BY1125=1,IF(INDEX(分析データ!$A:$A,ROW()+$C$5)&lt;&gt;"",40000*SIGN(BX1125)*(分析データ!G1125-INDEX(分析データ!G:G,ROW()+$C$5)),""),"")</f>
        <v/>
      </c>
      <c r="CA1125">
        <f t="shared" ca="1" si="497"/>
        <v>-3515452.8662109179</v>
      </c>
      <c r="CB1125">
        <f t="shared" ca="1" si="498"/>
        <v>11327520.000000004</v>
      </c>
      <c r="CC1125">
        <f t="shared" ca="1" si="499"/>
        <v>-14842972.866210923</v>
      </c>
      <c r="CD1125">
        <f t="shared" ca="1" si="500"/>
        <v>0</v>
      </c>
      <c r="CE1125">
        <f t="shared" ca="1" si="501"/>
        <v>23090347.13378913</v>
      </c>
      <c r="CF1125">
        <f t="shared" ca="1" si="502"/>
        <v>23090347.13378913</v>
      </c>
      <c r="CG1125">
        <f t="shared" ca="1" si="503"/>
        <v>0</v>
      </c>
      <c r="CH1125" s="10" t="str">
        <f>分析データ!A1125</f>
        <v/>
      </c>
    </row>
    <row r="1126" spans="46:86">
      <c r="AT1126">
        <f ca="1">IF(ROW()&lt;($C$7+1),"",IFERROR((分析データ!B1126-AVERAGE(OFFSET(分析データ!B$1,MAX(1,ROW()-$C$7),0,MIN($C$7,ROW()-1),1)))/STDEV(OFFSET(分析データ!B$1,MAX(1,ROW()-$C$7),0,MIN($C$7,ROW()-1),1)),0))</f>
        <v>0</v>
      </c>
      <c r="AU1126">
        <f t="shared" ca="1" si="476"/>
        <v>0</v>
      </c>
      <c r="AV1126" t="str">
        <f ca="1">IF(AU1126=1,IF(INDEX(分析データ!$A:$A,ROW()+$C$5)&lt;&gt;"",80000*SIGN(AT1126)*(分析データ!B1126-INDEX(分析データ!B:B,ROW()+$C$5)),""),"")</f>
        <v/>
      </c>
      <c r="AW1126">
        <f t="shared" ca="1" si="477"/>
        <v>-1240000.0000000019</v>
      </c>
      <c r="AX1126">
        <f t="shared" ca="1" si="478"/>
        <v>0</v>
      </c>
      <c r="AY1126">
        <f t="shared" ca="1" si="479"/>
        <v>-1240000.0000000019</v>
      </c>
      <c r="AZ1126">
        <f ca="1">IF(ROW()&lt;($C$7+1),"",IFERROR((分析データ!C1126-AVERAGE(OFFSET(分析データ!C$1,MAX(1,ROW()-$C$7),0,MIN($C$7,ROW()-1),1)))/STDEV(OFFSET(分析データ!C$1,MAX(1,ROW()-$C$7),0,MIN($C$7,ROW()-1),1)),0))</f>
        <v>0</v>
      </c>
      <c r="BA1126">
        <f t="shared" ca="1" si="480"/>
        <v>0</v>
      </c>
      <c r="BB1126" t="str">
        <f ca="1">IF(BA1126=1,IF(INDEX(分析データ!$A:$A,ROW()+$C$5)&lt;&gt;"",60000*SIGN(AZ1126)*(分析データ!C1126-INDEX(分析データ!C:C,ROW()+$C$5)),""),"")</f>
        <v/>
      </c>
      <c r="BC1126">
        <f t="shared" ca="1" si="481"/>
        <v>-260999.9999999851</v>
      </c>
      <c r="BD1126">
        <f t="shared" ca="1" si="482"/>
        <v>3156000.0000000107</v>
      </c>
      <c r="BE1126">
        <f t="shared" ca="1" si="483"/>
        <v>-3416999.9999999958</v>
      </c>
      <c r="BF1126">
        <f ca="1">IF(ROW()&lt;($C$7+1),"",IFERROR((分析データ!D1126-AVERAGE(OFFSET(分析データ!D$1,MAX(1,ROW()-$C$7),0,MIN($C$7,ROW()-1),1)))/STDEV(OFFSET(分析データ!D$1,MAX(1,ROW()-$C$7),0,MIN($C$7,ROW()-1),1)),0))</f>
        <v>0</v>
      </c>
      <c r="BG1126">
        <f t="shared" ca="1" si="484"/>
        <v>0</v>
      </c>
      <c r="BH1126" t="str">
        <f ca="1">IF(BG1126=1,IF(INDEX(分析データ!$A:$A,ROW()+$C$5)&lt;&gt;"",50000*SIGN(BF1126)*(分析データ!D1126-INDEX(分析データ!D:D,ROW()+$C$5)),""),"")</f>
        <v/>
      </c>
      <c r="BI1126">
        <f t="shared" ca="1" si="485"/>
        <v>5570000.0000000205</v>
      </c>
      <c r="BJ1126">
        <f t="shared" ca="1" si="486"/>
        <v>5570000.0000000205</v>
      </c>
      <c r="BK1126">
        <f t="shared" ca="1" si="487"/>
        <v>0</v>
      </c>
      <c r="BL1126">
        <f ca="1">IF(ROW()&lt;($C$7+1),"",IFERROR((分析データ!E1126-AVERAGE(OFFSET(分析データ!E$1,MAX(1,ROW()-$C$7),0,MIN($C$7,ROW()-1),1)))/STDEV(OFFSET(分析データ!E$1,MAX(1,ROW()-$C$7),0,MIN($C$7,ROW()-1),1)),0))</f>
        <v>0</v>
      </c>
      <c r="BM1126">
        <f t="shared" ca="1" si="488"/>
        <v>0</v>
      </c>
      <c r="BN1126" t="str">
        <f ca="1">IF(BM1126=1,IF(INDEX(分析データ!$A:$A,ROW()+$C$5)&lt;&gt;"",40000*SIGN(BL1126)*(分析データ!E1126-INDEX(分析データ!E:E,ROW()+$C$5)),""),"")</f>
        <v/>
      </c>
      <c r="BO1126">
        <f t="shared" ca="1" si="489"/>
        <v>2720000.0000000014</v>
      </c>
      <c r="BP1126">
        <f t="shared" ca="1" si="490"/>
        <v>4280000.0000000028</v>
      </c>
      <c r="BQ1126">
        <f t="shared" ca="1" si="491"/>
        <v>-1560000.0000000014</v>
      </c>
      <c r="BR1126">
        <f ca="1">IF(ROW()&lt;($C$7+1),"",IFERROR((分析データ!F1126-AVERAGE(OFFSET(分析データ!F$1,MAX(1,ROW()-$C$7),0,MIN($C$7,ROW()-1),1)))/STDEV(OFFSET(分析データ!F$1,MAX(1,ROW()-$C$7),0,MIN($C$7,ROW()-1),1)),0))</f>
        <v>0</v>
      </c>
      <c r="BS1126">
        <f t="shared" ca="1" si="492"/>
        <v>0</v>
      </c>
      <c r="BT1126" t="str">
        <f ca="1">IF(BS1126=1,IF(INDEX(分析データ!$A:$A,ROW()+$C$5)&lt;&gt;"",40000*SIGN(BR1126)*(分析データ!F1126-INDEX(分析データ!F:F,ROW()+$C$5)),""),"")</f>
        <v/>
      </c>
      <c r="BU1126">
        <f t="shared" ca="1" si="493"/>
        <v>19816800</v>
      </c>
      <c r="BV1126">
        <f t="shared" ca="1" si="494"/>
        <v>19816800</v>
      </c>
      <c r="BW1126">
        <f t="shared" ca="1" si="495"/>
        <v>0</v>
      </c>
      <c r="BX1126">
        <f ca="1">IF(ROW()&lt;($C$7+1),"",IFERROR((分析データ!G1126-AVERAGE(OFFSET(分析データ!G$1,MAX(1,ROW()-$C$7),0,MIN($C$7,ROW()-1),1)))/STDEV(OFFSET(分析データ!G$1,MAX(1,ROW()-$C$7),0,MIN($C$7,ROW()-1),1)),0))</f>
        <v>0</v>
      </c>
      <c r="BY1126">
        <f t="shared" ca="1" si="496"/>
        <v>0</v>
      </c>
      <c r="BZ1126" t="str">
        <f ca="1">IF(BY1126=1,IF(INDEX(分析データ!$A:$A,ROW()+$C$5)&lt;&gt;"",40000*SIGN(BX1126)*(分析データ!G1126-INDEX(分析データ!G:G,ROW()+$C$5)),""),"")</f>
        <v/>
      </c>
      <c r="CA1126">
        <f t="shared" ca="1" si="497"/>
        <v>-3515452.8662109179</v>
      </c>
      <c r="CB1126">
        <f t="shared" ca="1" si="498"/>
        <v>11327520.000000004</v>
      </c>
      <c r="CC1126">
        <f t="shared" ca="1" si="499"/>
        <v>-14842972.866210923</v>
      </c>
      <c r="CD1126">
        <f t="shared" ca="1" si="500"/>
        <v>0</v>
      </c>
      <c r="CE1126">
        <f t="shared" ca="1" si="501"/>
        <v>23090347.13378913</v>
      </c>
      <c r="CF1126">
        <f t="shared" ca="1" si="502"/>
        <v>23090347.13378913</v>
      </c>
      <c r="CG1126">
        <f t="shared" ca="1" si="503"/>
        <v>0</v>
      </c>
      <c r="CH1126" s="10" t="str">
        <f>分析データ!A1126</f>
        <v/>
      </c>
    </row>
    <row r="1127" spans="46:86">
      <c r="AT1127">
        <f ca="1">IF(ROW()&lt;($C$7+1),"",IFERROR((分析データ!B1127-AVERAGE(OFFSET(分析データ!B$1,MAX(1,ROW()-$C$7),0,MIN($C$7,ROW()-1),1)))/STDEV(OFFSET(分析データ!B$1,MAX(1,ROW()-$C$7),0,MIN($C$7,ROW()-1),1)),0))</f>
        <v>0</v>
      </c>
      <c r="AU1127">
        <f t="shared" ca="1" si="476"/>
        <v>0</v>
      </c>
      <c r="AV1127" t="str">
        <f ca="1">IF(AU1127=1,IF(INDEX(分析データ!$A:$A,ROW()+$C$5)&lt;&gt;"",80000*SIGN(AT1127)*(分析データ!B1127-INDEX(分析データ!B:B,ROW()+$C$5)),""),"")</f>
        <v/>
      </c>
      <c r="AW1127">
        <f t="shared" ca="1" si="477"/>
        <v>-1240000.0000000019</v>
      </c>
      <c r="AX1127">
        <f t="shared" ca="1" si="478"/>
        <v>0</v>
      </c>
      <c r="AY1127">
        <f t="shared" ca="1" si="479"/>
        <v>-1240000.0000000019</v>
      </c>
      <c r="AZ1127">
        <f ca="1">IF(ROW()&lt;($C$7+1),"",IFERROR((分析データ!C1127-AVERAGE(OFFSET(分析データ!C$1,MAX(1,ROW()-$C$7),0,MIN($C$7,ROW()-1),1)))/STDEV(OFFSET(分析データ!C$1,MAX(1,ROW()-$C$7),0,MIN($C$7,ROW()-1),1)),0))</f>
        <v>0</v>
      </c>
      <c r="BA1127">
        <f t="shared" ca="1" si="480"/>
        <v>0</v>
      </c>
      <c r="BB1127" t="str">
        <f ca="1">IF(BA1127=1,IF(INDEX(分析データ!$A:$A,ROW()+$C$5)&lt;&gt;"",60000*SIGN(AZ1127)*(分析データ!C1127-INDEX(分析データ!C:C,ROW()+$C$5)),""),"")</f>
        <v/>
      </c>
      <c r="BC1127">
        <f t="shared" ca="1" si="481"/>
        <v>-260999.9999999851</v>
      </c>
      <c r="BD1127">
        <f t="shared" ca="1" si="482"/>
        <v>3156000.0000000107</v>
      </c>
      <c r="BE1127">
        <f t="shared" ca="1" si="483"/>
        <v>-3416999.9999999958</v>
      </c>
      <c r="BF1127">
        <f ca="1">IF(ROW()&lt;($C$7+1),"",IFERROR((分析データ!D1127-AVERAGE(OFFSET(分析データ!D$1,MAX(1,ROW()-$C$7),0,MIN($C$7,ROW()-1),1)))/STDEV(OFFSET(分析データ!D$1,MAX(1,ROW()-$C$7),0,MIN($C$7,ROW()-1),1)),0))</f>
        <v>0</v>
      </c>
      <c r="BG1127">
        <f t="shared" ca="1" si="484"/>
        <v>0</v>
      </c>
      <c r="BH1127" t="str">
        <f ca="1">IF(BG1127=1,IF(INDEX(分析データ!$A:$A,ROW()+$C$5)&lt;&gt;"",50000*SIGN(BF1127)*(分析データ!D1127-INDEX(分析データ!D:D,ROW()+$C$5)),""),"")</f>
        <v/>
      </c>
      <c r="BI1127">
        <f t="shared" ca="1" si="485"/>
        <v>5570000.0000000205</v>
      </c>
      <c r="BJ1127">
        <f t="shared" ca="1" si="486"/>
        <v>5570000.0000000205</v>
      </c>
      <c r="BK1127">
        <f t="shared" ca="1" si="487"/>
        <v>0</v>
      </c>
      <c r="BL1127">
        <f ca="1">IF(ROW()&lt;($C$7+1),"",IFERROR((分析データ!E1127-AVERAGE(OFFSET(分析データ!E$1,MAX(1,ROW()-$C$7),0,MIN($C$7,ROW()-1),1)))/STDEV(OFFSET(分析データ!E$1,MAX(1,ROW()-$C$7),0,MIN($C$7,ROW()-1),1)),0))</f>
        <v>0</v>
      </c>
      <c r="BM1127">
        <f t="shared" ca="1" si="488"/>
        <v>0</v>
      </c>
      <c r="BN1127" t="str">
        <f ca="1">IF(BM1127=1,IF(INDEX(分析データ!$A:$A,ROW()+$C$5)&lt;&gt;"",40000*SIGN(BL1127)*(分析データ!E1127-INDEX(分析データ!E:E,ROW()+$C$5)),""),"")</f>
        <v/>
      </c>
      <c r="BO1127">
        <f t="shared" ca="1" si="489"/>
        <v>2720000.0000000014</v>
      </c>
      <c r="BP1127">
        <f t="shared" ca="1" si="490"/>
        <v>4280000.0000000028</v>
      </c>
      <c r="BQ1127">
        <f t="shared" ca="1" si="491"/>
        <v>-1560000.0000000014</v>
      </c>
      <c r="BR1127">
        <f ca="1">IF(ROW()&lt;($C$7+1),"",IFERROR((分析データ!F1127-AVERAGE(OFFSET(分析データ!F$1,MAX(1,ROW()-$C$7),0,MIN($C$7,ROW()-1),1)))/STDEV(OFFSET(分析データ!F$1,MAX(1,ROW()-$C$7),0,MIN($C$7,ROW()-1),1)),0))</f>
        <v>0</v>
      </c>
      <c r="BS1127">
        <f t="shared" ca="1" si="492"/>
        <v>0</v>
      </c>
      <c r="BT1127" t="str">
        <f ca="1">IF(BS1127=1,IF(INDEX(分析データ!$A:$A,ROW()+$C$5)&lt;&gt;"",40000*SIGN(BR1127)*(分析データ!F1127-INDEX(分析データ!F:F,ROW()+$C$5)),""),"")</f>
        <v/>
      </c>
      <c r="BU1127">
        <f t="shared" ca="1" si="493"/>
        <v>19816800</v>
      </c>
      <c r="BV1127">
        <f t="shared" ca="1" si="494"/>
        <v>19816800</v>
      </c>
      <c r="BW1127">
        <f t="shared" ca="1" si="495"/>
        <v>0</v>
      </c>
      <c r="BX1127">
        <f ca="1">IF(ROW()&lt;($C$7+1),"",IFERROR((分析データ!G1127-AVERAGE(OFFSET(分析データ!G$1,MAX(1,ROW()-$C$7),0,MIN($C$7,ROW()-1),1)))/STDEV(OFFSET(分析データ!G$1,MAX(1,ROW()-$C$7),0,MIN($C$7,ROW()-1),1)),0))</f>
        <v>0</v>
      </c>
      <c r="BY1127">
        <f t="shared" ca="1" si="496"/>
        <v>0</v>
      </c>
      <c r="BZ1127" t="str">
        <f ca="1">IF(BY1127=1,IF(INDEX(分析データ!$A:$A,ROW()+$C$5)&lt;&gt;"",40000*SIGN(BX1127)*(分析データ!G1127-INDEX(分析データ!G:G,ROW()+$C$5)),""),"")</f>
        <v/>
      </c>
      <c r="CA1127">
        <f t="shared" ca="1" si="497"/>
        <v>-3515452.8662109179</v>
      </c>
      <c r="CB1127">
        <f t="shared" ca="1" si="498"/>
        <v>11327520.000000004</v>
      </c>
      <c r="CC1127">
        <f t="shared" ca="1" si="499"/>
        <v>-14842972.866210923</v>
      </c>
      <c r="CD1127">
        <f t="shared" ca="1" si="500"/>
        <v>0</v>
      </c>
      <c r="CE1127">
        <f t="shared" ca="1" si="501"/>
        <v>23090347.13378913</v>
      </c>
      <c r="CF1127">
        <f t="shared" ca="1" si="502"/>
        <v>23090347.13378913</v>
      </c>
      <c r="CG1127">
        <f t="shared" ca="1" si="503"/>
        <v>0</v>
      </c>
      <c r="CH1127" s="10" t="str">
        <f>分析データ!A1127</f>
        <v/>
      </c>
    </row>
    <row r="1128" spans="46:86">
      <c r="AT1128">
        <f ca="1">IF(ROW()&lt;($C$7+1),"",IFERROR((分析データ!B1128-AVERAGE(OFFSET(分析データ!B$1,MAX(1,ROW()-$C$7),0,MIN($C$7,ROW()-1),1)))/STDEV(OFFSET(分析データ!B$1,MAX(1,ROW()-$C$7),0,MIN($C$7,ROW()-1),1)),0))</f>
        <v>0</v>
      </c>
      <c r="AU1128">
        <f t="shared" ca="1" si="476"/>
        <v>0</v>
      </c>
      <c r="AV1128" t="str">
        <f ca="1">IF(AU1128=1,IF(INDEX(分析データ!$A:$A,ROW()+$C$5)&lt;&gt;"",80000*SIGN(AT1128)*(分析データ!B1128-INDEX(分析データ!B:B,ROW()+$C$5)),""),"")</f>
        <v/>
      </c>
      <c r="AW1128">
        <f t="shared" ca="1" si="477"/>
        <v>-1240000.0000000019</v>
      </c>
      <c r="AX1128">
        <f t="shared" ca="1" si="478"/>
        <v>0</v>
      </c>
      <c r="AY1128">
        <f t="shared" ca="1" si="479"/>
        <v>-1240000.0000000019</v>
      </c>
      <c r="AZ1128">
        <f ca="1">IF(ROW()&lt;($C$7+1),"",IFERROR((分析データ!C1128-AVERAGE(OFFSET(分析データ!C$1,MAX(1,ROW()-$C$7),0,MIN($C$7,ROW()-1),1)))/STDEV(OFFSET(分析データ!C$1,MAX(1,ROW()-$C$7),0,MIN($C$7,ROW()-1),1)),0))</f>
        <v>0</v>
      </c>
      <c r="BA1128">
        <f t="shared" ca="1" si="480"/>
        <v>0</v>
      </c>
      <c r="BB1128" t="str">
        <f ca="1">IF(BA1128=1,IF(INDEX(分析データ!$A:$A,ROW()+$C$5)&lt;&gt;"",60000*SIGN(AZ1128)*(分析データ!C1128-INDEX(分析データ!C:C,ROW()+$C$5)),""),"")</f>
        <v/>
      </c>
      <c r="BC1128">
        <f t="shared" ca="1" si="481"/>
        <v>-260999.9999999851</v>
      </c>
      <c r="BD1128">
        <f t="shared" ca="1" si="482"/>
        <v>3156000.0000000107</v>
      </c>
      <c r="BE1128">
        <f t="shared" ca="1" si="483"/>
        <v>-3416999.9999999958</v>
      </c>
      <c r="BF1128">
        <f ca="1">IF(ROW()&lt;($C$7+1),"",IFERROR((分析データ!D1128-AVERAGE(OFFSET(分析データ!D$1,MAX(1,ROW()-$C$7),0,MIN($C$7,ROW()-1),1)))/STDEV(OFFSET(分析データ!D$1,MAX(1,ROW()-$C$7),0,MIN($C$7,ROW()-1),1)),0))</f>
        <v>0</v>
      </c>
      <c r="BG1128">
        <f t="shared" ca="1" si="484"/>
        <v>0</v>
      </c>
      <c r="BH1128" t="str">
        <f ca="1">IF(BG1128=1,IF(INDEX(分析データ!$A:$A,ROW()+$C$5)&lt;&gt;"",50000*SIGN(BF1128)*(分析データ!D1128-INDEX(分析データ!D:D,ROW()+$C$5)),""),"")</f>
        <v/>
      </c>
      <c r="BI1128">
        <f t="shared" ca="1" si="485"/>
        <v>5570000.0000000205</v>
      </c>
      <c r="BJ1128">
        <f t="shared" ca="1" si="486"/>
        <v>5570000.0000000205</v>
      </c>
      <c r="BK1128">
        <f t="shared" ca="1" si="487"/>
        <v>0</v>
      </c>
      <c r="BL1128">
        <f ca="1">IF(ROW()&lt;($C$7+1),"",IFERROR((分析データ!E1128-AVERAGE(OFFSET(分析データ!E$1,MAX(1,ROW()-$C$7),0,MIN($C$7,ROW()-1),1)))/STDEV(OFFSET(分析データ!E$1,MAX(1,ROW()-$C$7),0,MIN($C$7,ROW()-1),1)),0))</f>
        <v>0</v>
      </c>
      <c r="BM1128">
        <f t="shared" ca="1" si="488"/>
        <v>0</v>
      </c>
      <c r="BN1128" t="str">
        <f ca="1">IF(BM1128=1,IF(INDEX(分析データ!$A:$A,ROW()+$C$5)&lt;&gt;"",40000*SIGN(BL1128)*(分析データ!E1128-INDEX(分析データ!E:E,ROW()+$C$5)),""),"")</f>
        <v/>
      </c>
      <c r="BO1128">
        <f t="shared" ca="1" si="489"/>
        <v>2720000.0000000014</v>
      </c>
      <c r="BP1128">
        <f t="shared" ca="1" si="490"/>
        <v>4280000.0000000028</v>
      </c>
      <c r="BQ1128">
        <f t="shared" ca="1" si="491"/>
        <v>-1560000.0000000014</v>
      </c>
      <c r="BR1128">
        <f ca="1">IF(ROW()&lt;($C$7+1),"",IFERROR((分析データ!F1128-AVERAGE(OFFSET(分析データ!F$1,MAX(1,ROW()-$C$7),0,MIN($C$7,ROW()-1),1)))/STDEV(OFFSET(分析データ!F$1,MAX(1,ROW()-$C$7),0,MIN($C$7,ROW()-1),1)),0))</f>
        <v>0</v>
      </c>
      <c r="BS1128">
        <f t="shared" ca="1" si="492"/>
        <v>0</v>
      </c>
      <c r="BT1128" t="str">
        <f ca="1">IF(BS1128=1,IF(INDEX(分析データ!$A:$A,ROW()+$C$5)&lt;&gt;"",40000*SIGN(BR1128)*(分析データ!F1128-INDEX(分析データ!F:F,ROW()+$C$5)),""),"")</f>
        <v/>
      </c>
      <c r="BU1128">
        <f t="shared" ca="1" si="493"/>
        <v>19816800</v>
      </c>
      <c r="BV1128">
        <f t="shared" ca="1" si="494"/>
        <v>19816800</v>
      </c>
      <c r="BW1128">
        <f t="shared" ca="1" si="495"/>
        <v>0</v>
      </c>
      <c r="BX1128">
        <f ca="1">IF(ROW()&lt;($C$7+1),"",IFERROR((分析データ!G1128-AVERAGE(OFFSET(分析データ!G$1,MAX(1,ROW()-$C$7),0,MIN($C$7,ROW()-1),1)))/STDEV(OFFSET(分析データ!G$1,MAX(1,ROW()-$C$7),0,MIN($C$7,ROW()-1),1)),0))</f>
        <v>0</v>
      </c>
      <c r="BY1128">
        <f t="shared" ca="1" si="496"/>
        <v>0</v>
      </c>
      <c r="BZ1128" t="str">
        <f ca="1">IF(BY1128=1,IF(INDEX(分析データ!$A:$A,ROW()+$C$5)&lt;&gt;"",40000*SIGN(BX1128)*(分析データ!G1128-INDEX(分析データ!G:G,ROW()+$C$5)),""),"")</f>
        <v/>
      </c>
      <c r="CA1128">
        <f t="shared" ca="1" si="497"/>
        <v>-3515452.8662109179</v>
      </c>
      <c r="CB1128">
        <f t="shared" ca="1" si="498"/>
        <v>11327520.000000004</v>
      </c>
      <c r="CC1128">
        <f t="shared" ca="1" si="499"/>
        <v>-14842972.866210923</v>
      </c>
      <c r="CD1128">
        <f t="shared" ca="1" si="500"/>
        <v>0</v>
      </c>
      <c r="CE1128">
        <f t="shared" ca="1" si="501"/>
        <v>23090347.13378913</v>
      </c>
      <c r="CF1128">
        <f t="shared" ca="1" si="502"/>
        <v>23090347.13378913</v>
      </c>
      <c r="CG1128">
        <f t="shared" ca="1" si="503"/>
        <v>0</v>
      </c>
      <c r="CH1128" s="10" t="str">
        <f>分析データ!A1128</f>
        <v/>
      </c>
    </row>
    <row r="1129" spans="46:86">
      <c r="AT1129">
        <f ca="1">IF(ROW()&lt;($C$7+1),"",IFERROR((分析データ!B1129-AVERAGE(OFFSET(分析データ!B$1,MAX(1,ROW()-$C$7),0,MIN($C$7,ROW()-1),1)))/STDEV(OFFSET(分析データ!B$1,MAX(1,ROW()-$C$7),0,MIN($C$7,ROW()-1),1)),0))</f>
        <v>0</v>
      </c>
      <c r="AU1129">
        <f t="shared" ca="1" si="476"/>
        <v>0</v>
      </c>
      <c r="AV1129" t="str">
        <f ca="1">IF(AU1129=1,IF(INDEX(分析データ!$A:$A,ROW()+$C$5)&lt;&gt;"",80000*SIGN(AT1129)*(分析データ!B1129-INDEX(分析データ!B:B,ROW()+$C$5)),""),"")</f>
        <v/>
      </c>
      <c r="AW1129">
        <f t="shared" ca="1" si="477"/>
        <v>-1240000.0000000019</v>
      </c>
      <c r="AX1129">
        <f t="shared" ca="1" si="478"/>
        <v>0</v>
      </c>
      <c r="AY1129">
        <f t="shared" ca="1" si="479"/>
        <v>-1240000.0000000019</v>
      </c>
      <c r="AZ1129">
        <f ca="1">IF(ROW()&lt;($C$7+1),"",IFERROR((分析データ!C1129-AVERAGE(OFFSET(分析データ!C$1,MAX(1,ROW()-$C$7),0,MIN($C$7,ROW()-1),1)))/STDEV(OFFSET(分析データ!C$1,MAX(1,ROW()-$C$7),0,MIN($C$7,ROW()-1),1)),0))</f>
        <v>0</v>
      </c>
      <c r="BA1129">
        <f t="shared" ca="1" si="480"/>
        <v>0</v>
      </c>
      <c r="BB1129" t="str">
        <f ca="1">IF(BA1129=1,IF(INDEX(分析データ!$A:$A,ROW()+$C$5)&lt;&gt;"",60000*SIGN(AZ1129)*(分析データ!C1129-INDEX(分析データ!C:C,ROW()+$C$5)),""),"")</f>
        <v/>
      </c>
      <c r="BC1129">
        <f t="shared" ca="1" si="481"/>
        <v>-260999.9999999851</v>
      </c>
      <c r="BD1129">
        <f t="shared" ca="1" si="482"/>
        <v>3156000.0000000107</v>
      </c>
      <c r="BE1129">
        <f t="shared" ca="1" si="483"/>
        <v>-3416999.9999999958</v>
      </c>
      <c r="BF1129">
        <f ca="1">IF(ROW()&lt;($C$7+1),"",IFERROR((分析データ!D1129-AVERAGE(OFFSET(分析データ!D$1,MAX(1,ROW()-$C$7),0,MIN($C$7,ROW()-1),1)))/STDEV(OFFSET(分析データ!D$1,MAX(1,ROW()-$C$7),0,MIN($C$7,ROW()-1),1)),0))</f>
        <v>0</v>
      </c>
      <c r="BG1129">
        <f t="shared" ca="1" si="484"/>
        <v>0</v>
      </c>
      <c r="BH1129" t="str">
        <f ca="1">IF(BG1129=1,IF(INDEX(分析データ!$A:$A,ROW()+$C$5)&lt;&gt;"",50000*SIGN(BF1129)*(分析データ!D1129-INDEX(分析データ!D:D,ROW()+$C$5)),""),"")</f>
        <v/>
      </c>
      <c r="BI1129">
        <f t="shared" ca="1" si="485"/>
        <v>5570000.0000000205</v>
      </c>
      <c r="BJ1129">
        <f t="shared" ca="1" si="486"/>
        <v>5570000.0000000205</v>
      </c>
      <c r="BK1129">
        <f t="shared" ca="1" si="487"/>
        <v>0</v>
      </c>
      <c r="BL1129">
        <f ca="1">IF(ROW()&lt;($C$7+1),"",IFERROR((分析データ!E1129-AVERAGE(OFFSET(分析データ!E$1,MAX(1,ROW()-$C$7),0,MIN($C$7,ROW()-1),1)))/STDEV(OFFSET(分析データ!E$1,MAX(1,ROW()-$C$7),0,MIN($C$7,ROW()-1),1)),0))</f>
        <v>0</v>
      </c>
      <c r="BM1129">
        <f t="shared" ca="1" si="488"/>
        <v>0</v>
      </c>
      <c r="BN1129" t="str">
        <f ca="1">IF(BM1129=1,IF(INDEX(分析データ!$A:$A,ROW()+$C$5)&lt;&gt;"",40000*SIGN(BL1129)*(分析データ!E1129-INDEX(分析データ!E:E,ROW()+$C$5)),""),"")</f>
        <v/>
      </c>
      <c r="BO1129">
        <f t="shared" ca="1" si="489"/>
        <v>2720000.0000000014</v>
      </c>
      <c r="BP1129">
        <f t="shared" ca="1" si="490"/>
        <v>4280000.0000000028</v>
      </c>
      <c r="BQ1129">
        <f t="shared" ca="1" si="491"/>
        <v>-1560000.0000000014</v>
      </c>
      <c r="BR1129">
        <f ca="1">IF(ROW()&lt;($C$7+1),"",IFERROR((分析データ!F1129-AVERAGE(OFFSET(分析データ!F$1,MAX(1,ROW()-$C$7),0,MIN($C$7,ROW()-1),1)))/STDEV(OFFSET(分析データ!F$1,MAX(1,ROW()-$C$7),0,MIN($C$7,ROW()-1),1)),0))</f>
        <v>0</v>
      </c>
      <c r="BS1129">
        <f t="shared" ca="1" si="492"/>
        <v>0</v>
      </c>
      <c r="BT1129" t="str">
        <f ca="1">IF(BS1129=1,IF(INDEX(分析データ!$A:$A,ROW()+$C$5)&lt;&gt;"",40000*SIGN(BR1129)*(分析データ!F1129-INDEX(分析データ!F:F,ROW()+$C$5)),""),"")</f>
        <v/>
      </c>
      <c r="BU1129">
        <f t="shared" ca="1" si="493"/>
        <v>19816800</v>
      </c>
      <c r="BV1129">
        <f t="shared" ca="1" si="494"/>
        <v>19816800</v>
      </c>
      <c r="BW1129">
        <f t="shared" ca="1" si="495"/>
        <v>0</v>
      </c>
      <c r="BX1129">
        <f ca="1">IF(ROW()&lt;($C$7+1),"",IFERROR((分析データ!G1129-AVERAGE(OFFSET(分析データ!G$1,MAX(1,ROW()-$C$7),0,MIN($C$7,ROW()-1),1)))/STDEV(OFFSET(分析データ!G$1,MAX(1,ROW()-$C$7),0,MIN($C$7,ROW()-1),1)),0))</f>
        <v>0</v>
      </c>
      <c r="BY1129">
        <f t="shared" ca="1" si="496"/>
        <v>0</v>
      </c>
      <c r="BZ1129" t="str">
        <f ca="1">IF(BY1129=1,IF(INDEX(分析データ!$A:$A,ROW()+$C$5)&lt;&gt;"",40000*SIGN(BX1129)*(分析データ!G1129-INDEX(分析データ!G:G,ROW()+$C$5)),""),"")</f>
        <v/>
      </c>
      <c r="CA1129">
        <f t="shared" ca="1" si="497"/>
        <v>-3515452.8662109179</v>
      </c>
      <c r="CB1129">
        <f t="shared" ca="1" si="498"/>
        <v>11327520.000000004</v>
      </c>
      <c r="CC1129">
        <f t="shared" ca="1" si="499"/>
        <v>-14842972.866210923</v>
      </c>
      <c r="CD1129">
        <f t="shared" ca="1" si="500"/>
        <v>0</v>
      </c>
      <c r="CE1129">
        <f t="shared" ca="1" si="501"/>
        <v>23090347.13378913</v>
      </c>
      <c r="CF1129">
        <f t="shared" ca="1" si="502"/>
        <v>23090347.13378913</v>
      </c>
      <c r="CG1129">
        <f t="shared" ca="1" si="503"/>
        <v>0</v>
      </c>
      <c r="CH1129" s="10" t="str">
        <f>分析データ!A1129</f>
        <v/>
      </c>
    </row>
    <row r="1130" spans="46:86">
      <c r="AT1130">
        <f ca="1">IF(ROW()&lt;($C$7+1),"",IFERROR((分析データ!B1130-AVERAGE(OFFSET(分析データ!B$1,MAX(1,ROW()-$C$7),0,MIN($C$7,ROW()-1),1)))/STDEV(OFFSET(分析データ!B$1,MAX(1,ROW()-$C$7),0,MIN($C$7,ROW()-1),1)),0))</f>
        <v>0</v>
      </c>
      <c r="AU1130">
        <f t="shared" ca="1" si="476"/>
        <v>0</v>
      </c>
      <c r="AV1130" t="str">
        <f ca="1">IF(AU1130=1,IF(INDEX(分析データ!$A:$A,ROW()+$C$5)&lt;&gt;"",80000*SIGN(AT1130)*(分析データ!B1130-INDEX(分析データ!B:B,ROW()+$C$5)),""),"")</f>
        <v/>
      </c>
      <c r="AW1130">
        <f t="shared" ca="1" si="477"/>
        <v>-1240000.0000000019</v>
      </c>
      <c r="AX1130">
        <f t="shared" ca="1" si="478"/>
        <v>0</v>
      </c>
      <c r="AY1130">
        <f t="shared" ca="1" si="479"/>
        <v>-1240000.0000000019</v>
      </c>
      <c r="AZ1130">
        <f ca="1">IF(ROW()&lt;($C$7+1),"",IFERROR((分析データ!C1130-AVERAGE(OFFSET(分析データ!C$1,MAX(1,ROW()-$C$7),0,MIN($C$7,ROW()-1),1)))/STDEV(OFFSET(分析データ!C$1,MAX(1,ROW()-$C$7),0,MIN($C$7,ROW()-1),1)),0))</f>
        <v>0</v>
      </c>
      <c r="BA1130">
        <f t="shared" ca="1" si="480"/>
        <v>0</v>
      </c>
      <c r="BB1130" t="str">
        <f ca="1">IF(BA1130=1,IF(INDEX(分析データ!$A:$A,ROW()+$C$5)&lt;&gt;"",60000*SIGN(AZ1130)*(分析データ!C1130-INDEX(分析データ!C:C,ROW()+$C$5)),""),"")</f>
        <v/>
      </c>
      <c r="BC1130">
        <f t="shared" ca="1" si="481"/>
        <v>-260999.9999999851</v>
      </c>
      <c r="BD1130">
        <f t="shared" ca="1" si="482"/>
        <v>3156000.0000000107</v>
      </c>
      <c r="BE1130">
        <f t="shared" ca="1" si="483"/>
        <v>-3416999.9999999958</v>
      </c>
      <c r="BF1130">
        <f ca="1">IF(ROW()&lt;($C$7+1),"",IFERROR((分析データ!D1130-AVERAGE(OFFSET(分析データ!D$1,MAX(1,ROW()-$C$7),0,MIN($C$7,ROW()-1),1)))/STDEV(OFFSET(分析データ!D$1,MAX(1,ROW()-$C$7),0,MIN($C$7,ROW()-1),1)),0))</f>
        <v>0</v>
      </c>
      <c r="BG1130">
        <f t="shared" ca="1" si="484"/>
        <v>0</v>
      </c>
      <c r="BH1130" t="str">
        <f ca="1">IF(BG1130=1,IF(INDEX(分析データ!$A:$A,ROW()+$C$5)&lt;&gt;"",50000*SIGN(BF1130)*(分析データ!D1130-INDEX(分析データ!D:D,ROW()+$C$5)),""),"")</f>
        <v/>
      </c>
      <c r="BI1130">
        <f t="shared" ca="1" si="485"/>
        <v>5570000.0000000205</v>
      </c>
      <c r="BJ1130">
        <f t="shared" ca="1" si="486"/>
        <v>5570000.0000000205</v>
      </c>
      <c r="BK1130">
        <f t="shared" ca="1" si="487"/>
        <v>0</v>
      </c>
      <c r="BL1130">
        <f ca="1">IF(ROW()&lt;($C$7+1),"",IFERROR((分析データ!E1130-AVERAGE(OFFSET(分析データ!E$1,MAX(1,ROW()-$C$7),0,MIN($C$7,ROW()-1),1)))/STDEV(OFFSET(分析データ!E$1,MAX(1,ROW()-$C$7),0,MIN($C$7,ROW()-1),1)),0))</f>
        <v>0</v>
      </c>
      <c r="BM1130">
        <f t="shared" ca="1" si="488"/>
        <v>0</v>
      </c>
      <c r="BN1130" t="str">
        <f ca="1">IF(BM1130=1,IF(INDEX(分析データ!$A:$A,ROW()+$C$5)&lt;&gt;"",40000*SIGN(BL1130)*(分析データ!E1130-INDEX(分析データ!E:E,ROW()+$C$5)),""),"")</f>
        <v/>
      </c>
      <c r="BO1130">
        <f t="shared" ca="1" si="489"/>
        <v>2720000.0000000014</v>
      </c>
      <c r="BP1130">
        <f t="shared" ca="1" si="490"/>
        <v>4280000.0000000028</v>
      </c>
      <c r="BQ1130">
        <f t="shared" ca="1" si="491"/>
        <v>-1560000.0000000014</v>
      </c>
      <c r="BR1130">
        <f ca="1">IF(ROW()&lt;($C$7+1),"",IFERROR((分析データ!F1130-AVERAGE(OFFSET(分析データ!F$1,MAX(1,ROW()-$C$7),0,MIN($C$7,ROW()-1),1)))/STDEV(OFFSET(分析データ!F$1,MAX(1,ROW()-$C$7),0,MIN($C$7,ROW()-1),1)),0))</f>
        <v>0</v>
      </c>
      <c r="BS1130">
        <f t="shared" ca="1" si="492"/>
        <v>0</v>
      </c>
      <c r="BT1130" t="str">
        <f ca="1">IF(BS1130=1,IF(INDEX(分析データ!$A:$A,ROW()+$C$5)&lt;&gt;"",40000*SIGN(BR1130)*(分析データ!F1130-INDEX(分析データ!F:F,ROW()+$C$5)),""),"")</f>
        <v/>
      </c>
      <c r="BU1130">
        <f t="shared" ca="1" si="493"/>
        <v>19816800</v>
      </c>
      <c r="BV1130">
        <f t="shared" ca="1" si="494"/>
        <v>19816800</v>
      </c>
      <c r="BW1130">
        <f t="shared" ca="1" si="495"/>
        <v>0</v>
      </c>
      <c r="BX1130">
        <f ca="1">IF(ROW()&lt;($C$7+1),"",IFERROR((分析データ!G1130-AVERAGE(OFFSET(分析データ!G$1,MAX(1,ROW()-$C$7),0,MIN($C$7,ROW()-1),1)))/STDEV(OFFSET(分析データ!G$1,MAX(1,ROW()-$C$7),0,MIN($C$7,ROW()-1),1)),0))</f>
        <v>0</v>
      </c>
      <c r="BY1130">
        <f t="shared" ca="1" si="496"/>
        <v>0</v>
      </c>
      <c r="BZ1130" t="str">
        <f ca="1">IF(BY1130=1,IF(INDEX(分析データ!$A:$A,ROW()+$C$5)&lt;&gt;"",40000*SIGN(BX1130)*(分析データ!G1130-INDEX(分析データ!G:G,ROW()+$C$5)),""),"")</f>
        <v/>
      </c>
      <c r="CA1130">
        <f t="shared" ca="1" si="497"/>
        <v>-3515452.8662109179</v>
      </c>
      <c r="CB1130">
        <f t="shared" ca="1" si="498"/>
        <v>11327520.000000004</v>
      </c>
      <c r="CC1130">
        <f t="shared" ca="1" si="499"/>
        <v>-14842972.866210923</v>
      </c>
      <c r="CD1130">
        <f t="shared" ca="1" si="500"/>
        <v>0</v>
      </c>
      <c r="CE1130">
        <f t="shared" ca="1" si="501"/>
        <v>23090347.13378913</v>
      </c>
      <c r="CF1130">
        <f t="shared" ca="1" si="502"/>
        <v>23090347.13378913</v>
      </c>
      <c r="CG1130">
        <f t="shared" ca="1" si="503"/>
        <v>0</v>
      </c>
      <c r="CH1130" s="10" t="str">
        <f>分析データ!A1130</f>
        <v/>
      </c>
    </row>
    <row r="1131" spans="46:86">
      <c r="AT1131">
        <f ca="1">IF(ROW()&lt;($C$7+1),"",IFERROR((分析データ!B1131-AVERAGE(OFFSET(分析データ!B$1,MAX(1,ROW()-$C$7),0,MIN($C$7,ROW()-1),1)))/STDEV(OFFSET(分析データ!B$1,MAX(1,ROW()-$C$7),0,MIN($C$7,ROW()-1),1)),0))</f>
        <v>0</v>
      </c>
      <c r="AU1131">
        <f t="shared" ca="1" si="476"/>
        <v>0</v>
      </c>
      <c r="AV1131" t="str">
        <f ca="1">IF(AU1131=1,IF(INDEX(分析データ!$A:$A,ROW()+$C$5)&lt;&gt;"",80000*SIGN(AT1131)*(分析データ!B1131-INDEX(分析データ!B:B,ROW()+$C$5)),""),"")</f>
        <v/>
      </c>
      <c r="AW1131">
        <f t="shared" ca="1" si="477"/>
        <v>-1240000.0000000019</v>
      </c>
      <c r="AX1131">
        <f t="shared" ca="1" si="478"/>
        <v>0</v>
      </c>
      <c r="AY1131">
        <f t="shared" ca="1" si="479"/>
        <v>-1240000.0000000019</v>
      </c>
      <c r="AZ1131">
        <f ca="1">IF(ROW()&lt;($C$7+1),"",IFERROR((分析データ!C1131-AVERAGE(OFFSET(分析データ!C$1,MAX(1,ROW()-$C$7),0,MIN($C$7,ROW()-1),1)))/STDEV(OFFSET(分析データ!C$1,MAX(1,ROW()-$C$7),0,MIN($C$7,ROW()-1),1)),0))</f>
        <v>0</v>
      </c>
      <c r="BA1131">
        <f t="shared" ca="1" si="480"/>
        <v>0</v>
      </c>
      <c r="BB1131" t="str">
        <f ca="1">IF(BA1131=1,IF(INDEX(分析データ!$A:$A,ROW()+$C$5)&lt;&gt;"",60000*SIGN(AZ1131)*(分析データ!C1131-INDEX(分析データ!C:C,ROW()+$C$5)),""),"")</f>
        <v/>
      </c>
      <c r="BC1131">
        <f t="shared" ca="1" si="481"/>
        <v>-260999.9999999851</v>
      </c>
      <c r="BD1131">
        <f t="shared" ca="1" si="482"/>
        <v>3156000.0000000107</v>
      </c>
      <c r="BE1131">
        <f t="shared" ca="1" si="483"/>
        <v>-3416999.9999999958</v>
      </c>
      <c r="BF1131">
        <f ca="1">IF(ROW()&lt;($C$7+1),"",IFERROR((分析データ!D1131-AVERAGE(OFFSET(分析データ!D$1,MAX(1,ROW()-$C$7),0,MIN($C$7,ROW()-1),1)))/STDEV(OFFSET(分析データ!D$1,MAX(1,ROW()-$C$7),0,MIN($C$7,ROW()-1),1)),0))</f>
        <v>0</v>
      </c>
      <c r="BG1131">
        <f t="shared" ca="1" si="484"/>
        <v>0</v>
      </c>
      <c r="BH1131" t="str">
        <f ca="1">IF(BG1131=1,IF(INDEX(分析データ!$A:$A,ROW()+$C$5)&lt;&gt;"",50000*SIGN(BF1131)*(分析データ!D1131-INDEX(分析データ!D:D,ROW()+$C$5)),""),"")</f>
        <v/>
      </c>
      <c r="BI1131">
        <f t="shared" ca="1" si="485"/>
        <v>5570000.0000000205</v>
      </c>
      <c r="BJ1131">
        <f t="shared" ca="1" si="486"/>
        <v>5570000.0000000205</v>
      </c>
      <c r="BK1131">
        <f t="shared" ca="1" si="487"/>
        <v>0</v>
      </c>
      <c r="BL1131">
        <f ca="1">IF(ROW()&lt;($C$7+1),"",IFERROR((分析データ!E1131-AVERAGE(OFFSET(分析データ!E$1,MAX(1,ROW()-$C$7),0,MIN($C$7,ROW()-1),1)))/STDEV(OFFSET(分析データ!E$1,MAX(1,ROW()-$C$7),0,MIN($C$7,ROW()-1),1)),0))</f>
        <v>0</v>
      </c>
      <c r="BM1131">
        <f t="shared" ca="1" si="488"/>
        <v>0</v>
      </c>
      <c r="BN1131" t="str">
        <f ca="1">IF(BM1131=1,IF(INDEX(分析データ!$A:$A,ROW()+$C$5)&lt;&gt;"",40000*SIGN(BL1131)*(分析データ!E1131-INDEX(分析データ!E:E,ROW()+$C$5)),""),"")</f>
        <v/>
      </c>
      <c r="BO1131">
        <f t="shared" ca="1" si="489"/>
        <v>2720000.0000000014</v>
      </c>
      <c r="BP1131">
        <f t="shared" ca="1" si="490"/>
        <v>4280000.0000000028</v>
      </c>
      <c r="BQ1131">
        <f t="shared" ca="1" si="491"/>
        <v>-1560000.0000000014</v>
      </c>
      <c r="BR1131">
        <f ca="1">IF(ROW()&lt;($C$7+1),"",IFERROR((分析データ!F1131-AVERAGE(OFFSET(分析データ!F$1,MAX(1,ROW()-$C$7),0,MIN($C$7,ROW()-1),1)))/STDEV(OFFSET(分析データ!F$1,MAX(1,ROW()-$C$7),0,MIN($C$7,ROW()-1),1)),0))</f>
        <v>0</v>
      </c>
      <c r="BS1131">
        <f t="shared" ca="1" si="492"/>
        <v>0</v>
      </c>
      <c r="BT1131" t="str">
        <f ca="1">IF(BS1131=1,IF(INDEX(分析データ!$A:$A,ROW()+$C$5)&lt;&gt;"",40000*SIGN(BR1131)*(分析データ!F1131-INDEX(分析データ!F:F,ROW()+$C$5)),""),"")</f>
        <v/>
      </c>
      <c r="BU1131">
        <f t="shared" ca="1" si="493"/>
        <v>19816800</v>
      </c>
      <c r="BV1131">
        <f t="shared" ca="1" si="494"/>
        <v>19816800</v>
      </c>
      <c r="BW1131">
        <f t="shared" ca="1" si="495"/>
        <v>0</v>
      </c>
      <c r="BX1131">
        <f ca="1">IF(ROW()&lt;($C$7+1),"",IFERROR((分析データ!G1131-AVERAGE(OFFSET(分析データ!G$1,MAX(1,ROW()-$C$7),0,MIN($C$7,ROW()-1),1)))/STDEV(OFFSET(分析データ!G$1,MAX(1,ROW()-$C$7),0,MIN($C$7,ROW()-1),1)),0))</f>
        <v>0</v>
      </c>
      <c r="BY1131">
        <f t="shared" ca="1" si="496"/>
        <v>0</v>
      </c>
      <c r="BZ1131" t="str">
        <f ca="1">IF(BY1131=1,IF(INDEX(分析データ!$A:$A,ROW()+$C$5)&lt;&gt;"",40000*SIGN(BX1131)*(分析データ!G1131-INDEX(分析データ!G:G,ROW()+$C$5)),""),"")</f>
        <v/>
      </c>
      <c r="CA1131">
        <f t="shared" ca="1" si="497"/>
        <v>-3515452.8662109179</v>
      </c>
      <c r="CB1131">
        <f t="shared" ca="1" si="498"/>
        <v>11327520.000000004</v>
      </c>
      <c r="CC1131">
        <f t="shared" ca="1" si="499"/>
        <v>-14842972.866210923</v>
      </c>
      <c r="CD1131">
        <f t="shared" ca="1" si="500"/>
        <v>0</v>
      </c>
      <c r="CE1131">
        <f t="shared" ca="1" si="501"/>
        <v>23090347.13378913</v>
      </c>
      <c r="CF1131">
        <f t="shared" ca="1" si="502"/>
        <v>23090347.13378913</v>
      </c>
      <c r="CG1131">
        <f t="shared" ca="1" si="503"/>
        <v>0</v>
      </c>
      <c r="CH1131" s="10" t="str">
        <f>分析データ!A1131</f>
        <v/>
      </c>
    </row>
    <row r="1132" spans="46:86">
      <c r="AT1132">
        <f ca="1">IF(ROW()&lt;($C$7+1),"",IFERROR((分析データ!B1132-AVERAGE(OFFSET(分析データ!B$1,MAX(1,ROW()-$C$7),0,MIN($C$7,ROW()-1),1)))/STDEV(OFFSET(分析データ!B$1,MAX(1,ROW()-$C$7),0,MIN($C$7,ROW()-1),1)),0))</f>
        <v>0</v>
      </c>
      <c r="AU1132">
        <f t="shared" ca="1" si="476"/>
        <v>0</v>
      </c>
      <c r="AV1132" t="str">
        <f ca="1">IF(AU1132=1,IF(INDEX(分析データ!$A:$A,ROW()+$C$5)&lt;&gt;"",80000*SIGN(AT1132)*(分析データ!B1132-INDEX(分析データ!B:B,ROW()+$C$5)),""),"")</f>
        <v/>
      </c>
      <c r="AW1132">
        <f t="shared" ca="1" si="477"/>
        <v>-1240000.0000000019</v>
      </c>
      <c r="AX1132">
        <f t="shared" ca="1" si="478"/>
        <v>0</v>
      </c>
      <c r="AY1132">
        <f t="shared" ca="1" si="479"/>
        <v>-1240000.0000000019</v>
      </c>
      <c r="AZ1132">
        <f ca="1">IF(ROW()&lt;($C$7+1),"",IFERROR((分析データ!C1132-AVERAGE(OFFSET(分析データ!C$1,MAX(1,ROW()-$C$7),0,MIN($C$7,ROW()-1),1)))/STDEV(OFFSET(分析データ!C$1,MAX(1,ROW()-$C$7),0,MIN($C$7,ROW()-1),1)),0))</f>
        <v>0</v>
      </c>
      <c r="BA1132">
        <f t="shared" ca="1" si="480"/>
        <v>0</v>
      </c>
      <c r="BB1132" t="str">
        <f ca="1">IF(BA1132=1,IF(INDEX(分析データ!$A:$A,ROW()+$C$5)&lt;&gt;"",60000*SIGN(AZ1132)*(分析データ!C1132-INDEX(分析データ!C:C,ROW()+$C$5)),""),"")</f>
        <v/>
      </c>
      <c r="BC1132">
        <f t="shared" ca="1" si="481"/>
        <v>-260999.9999999851</v>
      </c>
      <c r="BD1132">
        <f t="shared" ca="1" si="482"/>
        <v>3156000.0000000107</v>
      </c>
      <c r="BE1132">
        <f t="shared" ca="1" si="483"/>
        <v>-3416999.9999999958</v>
      </c>
      <c r="BF1132">
        <f ca="1">IF(ROW()&lt;($C$7+1),"",IFERROR((分析データ!D1132-AVERAGE(OFFSET(分析データ!D$1,MAX(1,ROW()-$C$7),0,MIN($C$7,ROW()-1),1)))/STDEV(OFFSET(分析データ!D$1,MAX(1,ROW()-$C$7),0,MIN($C$7,ROW()-1),1)),0))</f>
        <v>0</v>
      </c>
      <c r="BG1132">
        <f t="shared" ca="1" si="484"/>
        <v>0</v>
      </c>
      <c r="BH1132" t="str">
        <f ca="1">IF(BG1132=1,IF(INDEX(分析データ!$A:$A,ROW()+$C$5)&lt;&gt;"",50000*SIGN(BF1132)*(分析データ!D1132-INDEX(分析データ!D:D,ROW()+$C$5)),""),"")</f>
        <v/>
      </c>
      <c r="BI1132">
        <f t="shared" ca="1" si="485"/>
        <v>5570000.0000000205</v>
      </c>
      <c r="BJ1132">
        <f t="shared" ca="1" si="486"/>
        <v>5570000.0000000205</v>
      </c>
      <c r="BK1132">
        <f t="shared" ca="1" si="487"/>
        <v>0</v>
      </c>
      <c r="BL1132">
        <f ca="1">IF(ROW()&lt;($C$7+1),"",IFERROR((分析データ!E1132-AVERAGE(OFFSET(分析データ!E$1,MAX(1,ROW()-$C$7),0,MIN($C$7,ROW()-1),1)))/STDEV(OFFSET(分析データ!E$1,MAX(1,ROW()-$C$7),0,MIN($C$7,ROW()-1),1)),0))</f>
        <v>0</v>
      </c>
      <c r="BM1132">
        <f t="shared" ca="1" si="488"/>
        <v>0</v>
      </c>
      <c r="BN1132" t="str">
        <f ca="1">IF(BM1132=1,IF(INDEX(分析データ!$A:$A,ROW()+$C$5)&lt;&gt;"",40000*SIGN(BL1132)*(分析データ!E1132-INDEX(分析データ!E:E,ROW()+$C$5)),""),"")</f>
        <v/>
      </c>
      <c r="BO1132">
        <f t="shared" ca="1" si="489"/>
        <v>2720000.0000000014</v>
      </c>
      <c r="BP1132">
        <f t="shared" ca="1" si="490"/>
        <v>4280000.0000000028</v>
      </c>
      <c r="BQ1132">
        <f t="shared" ca="1" si="491"/>
        <v>-1560000.0000000014</v>
      </c>
      <c r="BR1132">
        <f ca="1">IF(ROW()&lt;($C$7+1),"",IFERROR((分析データ!F1132-AVERAGE(OFFSET(分析データ!F$1,MAX(1,ROW()-$C$7),0,MIN($C$7,ROW()-1),1)))/STDEV(OFFSET(分析データ!F$1,MAX(1,ROW()-$C$7),0,MIN($C$7,ROW()-1),1)),0))</f>
        <v>0</v>
      </c>
      <c r="BS1132">
        <f t="shared" ca="1" si="492"/>
        <v>0</v>
      </c>
      <c r="BT1132" t="str">
        <f ca="1">IF(BS1132=1,IF(INDEX(分析データ!$A:$A,ROW()+$C$5)&lt;&gt;"",40000*SIGN(BR1132)*(分析データ!F1132-INDEX(分析データ!F:F,ROW()+$C$5)),""),"")</f>
        <v/>
      </c>
      <c r="BU1132">
        <f t="shared" ca="1" si="493"/>
        <v>19816800</v>
      </c>
      <c r="BV1132">
        <f t="shared" ca="1" si="494"/>
        <v>19816800</v>
      </c>
      <c r="BW1132">
        <f t="shared" ca="1" si="495"/>
        <v>0</v>
      </c>
      <c r="BX1132">
        <f ca="1">IF(ROW()&lt;($C$7+1),"",IFERROR((分析データ!G1132-AVERAGE(OFFSET(分析データ!G$1,MAX(1,ROW()-$C$7),0,MIN($C$7,ROW()-1),1)))/STDEV(OFFSET(分析データ!G$1,MAX(1,ROW()-$C$7),0,MIN($C$7,ROW()-1),1)),0))</f>
        <v>0</v>
      </c>
      <c r="BY1132">
        <f t="shared" ca="1" si="496"/>
        <v>0</v>
      </c>
      <c r="BZ1132" t="str">
        <f ca="1">IF(BY1132=1,IF(INDEX(分析データ!$A:$A,ROW()+$C$5)&lt;&gt;"",40000*SIGN(BX1132)*(分析データ!G1132-INDEX(分析データ!G:G,ROW()+$C$5)),""),"")</f>
        <v/>
      </c>
      <c r="CA1132">
        <f t="shared" ca="1" si="497"/>
        <v>-3515452.8662109179</v>
      </c>
      <c r="CB1132">
        <f t="shared" ca="1" si="498"/>
        <v>11327520.000000004</v>
      </c>
      <c r="CC1132">
        <f t="shared" ca="1" si="499"/>
        <v>-14842972.866210923</v>
      </c>
      <c r="CD1132">
        <f t="shared" ca="1" si="500"/>
        <v>0</v>
      </c>
      <c r="CE1132">
        <f t="shared" ca="1" si="501"/>
        <v>23090347.13378913</v>
      </c>
      <c r="CF1132">
        <f t="shared" ca="1" si="502"/>
        <v>23090347.13378913</v>
      </c>
      <c r="CG1132">
        <f t="shared" ca="1" si="503"/>
        <v>0</v>
      </c>
      <c r="CH1132" s="10" t="str">
        <f>分析データ!A1132</f>
        <v/>
      </c>
    </row>
    <row r="1133" spans="46:86">
      <c r="AT1133">
        <f ca="1">IF(ROW()&lt;($C$7+1),"",IFERROR((分析データ!B1133-AVERAGE(OFFSET(分析データ!B$1,MAX(1,ROW()-$C$7),0,MIN($C$7,ROW()-1),1)))/STDEV(OFFSET(分析データ!B$1,MAX(1,ROW()-$C$7),0,MIN($C$7,ROW()-1),1)),0))</f>
        <v>0</v>
      </c>
      <c r="AU1133">
        <f t="shared" ca="1" si="476"/>
        <v>0</v>
      </c>
      <c r="AV1133" t="str">
        <f ca="1">IF(AU1133=1,IF(INDEX(分析データ!$A:$A,ROW()+$C$5)&lt;&gt;"",80000*SIGN(AT1133)*(分析データ!B1133-INDEX(分析データ!B:B,ROW()+$C$5)),""),"")</f>
        <v/>
      </c>
      <c r="AW1133">
        <f t="shared" ca="1" si="477"/>
        <v>-1240000.0000000019</v>
      </c>
      <c r="AX1133">
        <f t="shared" ca="1" si="478"/>
        <v>0</v>
      </c>
      <c r="AY1133">
        <f t="shared" ca="1" si="479"/>
        <v>-1240000.0000000019</v>
      </c>
      <c r="AZ1133">
        <f ca="1">IF(ROW()&lt;($C$7+1),"",IFERROR((分析データ!C1133-AVERAGE(OFFSET(分析データ!C$1,MAX(1,ROW()-$C$7),0,MIN($C$7,ROW()-1),1)))/STDEV(OFFSET(分析データ!C$1,MAX(1,ROW()-$C$7),0,MIN($C$7,ROW()-1),1)),0))</f>
        <v>0</v>
      </c>
      <c r="BA1133">
        <f t="shared" ca="1" si="480"/>
        <v>0</v>
      </c>
      <c r="BB1133" t="str">
        <f ca="1">IF(BA1133=1,IF(INDEX(分析データ!$A:$A,ROW()+$C$5)&lt;&gt;"",60000*SIGN(AZ1133)*(分析データ!C1133-INDEX(分析データ!C:C,ROW()+$C$5)),""),"")</f>
        <v/>
      </c>
      <c r="BC1133">
        <f t="shared" ca="1" si="481"/>
        <v>-260999.9999999851</v>
      </c>
      <c r="BD1133">
        <f t="shared" ca="1" si="482"/>
        <v>3156000.0000000107</v>
      </c>
      <c r="BE1133">
        <f t="shared" ca="1" si="483"/>
        <v>-3416999.9999999958</v>
      </c>
      <c r="BF1133">
        <f ca="1">IF(ROW()&lt;($C$7+1),"",IFERROR((分析データ!D1133-AVERAGE(OFFSET(分析データ!D$1,MAX(1,ROW()-$C$7),0,MIN($C$7,ROW()-1),1)))/STDEV(OFFSET(分析データ!D$1,MAX(1,ROW()-$C$7),0,MIN($C$7,ROW()-1),1)),0))</f>
        <v>0</v>
      </c>
      <c r="BG1133">
        <f t="shared" ca="1" si="484"/>
        <v>0</v>
      </c>
      <c r="BH1133" t="str">
        <f ca="1">IF(BG1133=1,IF(INDEX(分析データ!$A:$A,ROW()+$C$5)&lt;&gt;"",50000*SIGN(BF1133)*(分析データ!D1133-INDEX(分析データ!D:D,ROW()+$C$5)),""),"")</f>
        <v/>
      </c>
      <c r="BI1133">
        <f t="shared" ca="1" si="485"/>
        <v>5570000.0000000205</v>
      </c>
      <c r="BJ1133">
        <f t="shared" ca="1" si="486"/>
        <v>5570000.0000000205</v>
      </c>
      <c r="BK1133">
        <f t="shared" ca="1" si="487"/>
        <v>0</v>
      </c>
      <c r="BL1133">
        <f ca="1">IF(ROW()&lt;($C$7+1),"",IFERROR((分析データ!E1133-AVERAGE(OFFSET(分析データ!E$1,MAX(1,ROW()-$C$7),0,MIN($C$7,ROW()-1),1)))/STDEV(OFFSET(分析データ!E$1,MAX(1,ROW()-$C$7),0,MIN($C$7,ROW()-1),1)),0))</f>
        <v>0</v>
      </c>
      <c r="BM1133">
        <f t="shared" ca="1" si="488"/>
        <v>0</v>
      </c>
      <c r="BN1133" t="str">
        <f ca="1">IF(BM1133=1,IF(INDEX(分析データ!$A:$A,ROW()+$C$5)&lt;&gt;"",40000*SIGN(BL1133)*(分析データ!E1133-INDEX(分析データ!E:E,ROW()+$C$5)),""),"")</f>
        <v/>
      </c>
      <c r="BO1133">
        <f t="shared" ca="1" si="489"/>
        <v>2720000.0000000014</v>
      </c>
      <c r="BP1133">
        <f t="shared" ca="1" si="490"/>
        <v>4280000.0000000028</v>
      </c>
      <c r="BQ1133">
        <f t="shared" ca="1" si="491"/>
        <v>-1560000.0000000014</v>
      </c>
      <c r="BR1133">
        <f ca="1">IF(ROW()&lt;($C$7+1),"",IFERROR((分析データ!F1133-AVERAGE(OFFSET(分析データ!F$1,MAX(1,ROW()-$C$7),0,MIN($C$7,ROW()-1),1)))/STDEV(OFFSET(分析データ!F$1,MAX(1,ROW()-$C$7),0,MIN($C$7,ROW()-1),1)),0))</f>
        <v>0</v>
      </c>
      <c r="BS1133">
        <f t="shared" ca="1" si="492"/>
        <v>0</v>
      </c>
      <c r="BT1133" t="str">
        <f ca="1">IF(BS1133=1,IF(INDEX(分析データ!$A:$A,ROW()+$C$5)&lt;&gt;"",40000*SIGN(BR1133)*(分析データ!F1133-INDEX(分析データ!F:F,ROW()+$C$5)),""),"")</f>
        <v/>
      </c>
      <c r="BU1133">
        <f t="shared" ca="1" si="493"/>
        <v>19816800</v>
      </c>
      <c r="BV1133">
        <f t="shared" ca="1" si="494"/>
        <v>19816800</v>
      </c>
      <c r="BW1133">
        <f t="shared" ca="1" si="495"/>
        <v>0</v>
      </c>
      <c r="BX1133">
        <f ca="1">IF(ROW()&lt;($C$7+1),"",IFERROR((分析データ!G1133-AVERAGE(OFFSET(分析データ!G$1,MAX(1,ROW()-$C$7),0,MIN($C$7,ROW()-1),1)))/STDEV(OFFSET(分析データ!G$1,MAX(1,ROW()-$C$7),0,MIN($C$7,ROW()-1),1)),0))</f>
        <v>0</v>
      </c>
      <c r="BY1133">
        <f t="shared" ca="1" si="496"/>
        <v>0</v>
      </c>
      <c r="BZ1133" t="str">
        <f ca="1">IF(BY1133=1,IF(INDEX(分析データ!$A:$A,ROW()+$C$5)&lt;&gt;"",40000*SIGN(BX1133)*(分析データ!G1133-INDEX(分析データ!G:G,ROW()+$C$5)),""),"")</f>
        <v/>
      </c>
      <c r="CA1133">
        <f t="shared" ca="1" si="497"/>
        <v>-3515452.8662109179</v>
      </c>
      <c r="CB1133">
        <f t="shared" ca="1" si="498"/>
        <v>11327520.000000004</v>
      </c>
      <c r="CC1133">
        <f t="shared" ca="1" si="499"/>
        <v>-14842972.866210923</v>
      </c>
      <c r="CD1133">
        <f t="shared" ca="1" si="500"/>
        <v>0</v>
      </c>
      <c r="CE1133">
        <f t="shared" ca="1" si="501"/>
        <v>23090347.13378913</v>
      </c>
      <c r="CF1133">
        <f t="shared" ca="1" si="502"/>
        <v>23090347.13378913</v>
      </c>
      <c r="CG1133">
        <f t="shared" ca="1" si="503"/>
        <v>0</v>
      </c>
      <c r="CH1133" s="10" t="str">
        <f>分析データ!A1133</f>
        <v/>
      </c>
    </row>
    <row r="1134" spans="46:86">
      <c r="AT1134">
        <f ca="1">IF(ROW()&lt;($C$7+1),"",IFERROR((分析データ!B1134-AVERAGE(OFFSET(分析データ!B$1,MAX(1,ROW()-$C$7),0,MIN($C$7,ROW()-1),1)))/STDEV(OFFSET(分析データ!B$1,MAX(1,ROW()-$C$7),0,MIN($C$7,ROW()-1),1)),0))</f>
        <v>0</v>
      </c>
      <c r="AU1134">
        <f t="shared" ca="1" si="476"/>
        <v>0</v>
      </c>
      <c r="AV1134" t="str">
        <f ca="1">IF(AU1134=1,IF(INDEX(分析データ!$A:$A,ROW()+$C$5)&lt;&gt;"",80000*SIGN(AT1134)*(分析データ!B1134-INDEX(分析データ!B:B,ROW()+$C$5)),""),"")</f>
        <v/>
      </c>
      <c r="AW1134">
        <f t="shared" ca="1" si="477"/>
        <v>-1240000.0000000019</v>
      </c>
      <c r="AX1134">
        <f t="shared" ca="1" si="478"/>
        <v>0</v>
      </c>
      <c r="AY1134">
        <f t="shared" ca="1" si="479"/>
        <v>-1240000.0000000019</v>
      </c>
      <c r="AZ1134">
        <f ca="1">IF(ROW()&lt;($C$7+1),"",IFERROR((分析データ!C1134-AVERAGE(OFFSET(分析データ!C$1,MAX(1,ROW()-$C$7),0,MIN($C$7,ROW()-1),1)))/STDEV(OFFSET(分析データ!C$1,MAX(1,ROW()-$C$7),0,MIN($C$7,ROW()-1),1)),0))</f>
        <v>0</v>
      </c>
      <c r="BA1134">
        <f t="shared" ca="1" si="480"/>
        <v>0</v>
      </c>
      <c r="BB1134" t="str">
        <f ca="1">IF(BA1134=1,IF(INDEX(分析データ!$A:$A,ROW()+$C$5)&lt;&gt;"",60000*SIGN(AZ1134)*(分析データ!C1134-INDEX(分析データ!C:C,ROW()+$C$5)),""),"")</f>
        <v/>
      </c>
      <c r="BC1134">
        <f t="shared" ca="1" si="481"/>
        <v>-260999.9999999851</v>
      </c>
      <c r="BD1134">
        <f t="shared" ca="1" si="482"/>
        <v>3156000.0000000107</v>
      </c>
      <c r="BE1134">
        <f t="shared" ca="1" si="483"/>
        <v>-3416999.9999999958</v>
      </c>
      <c r="BF1134">
        <f ca="1">IF(ROW()&lt;($C$7+1),"",IFERROR((分析データ!D1134-AVERAGE(OFFSET(分析データ!D$1,MAX(1,ROW()-$C$7),0,MIN($C$7,ROW()-1),1)))/STDEV(OFFSET(分析データ!D$1,MAX(1,ROW()-$C$7),0,MIN($C$7,ROW()-1),1)),0))</f>
        <v>0</v>
      </c>
      <c r="BG1134">
        <f t="shared" ca="1" si="484"/>
        <v>0</v>
      </c>
      <c r="BH1134" t="str">
        <f ca="1">IF(BG1134=1,IF(INDEX(分析データ!$A:$A,ROW()+$C$5)&lt;&gt;"",50000*SIGN(BF1134)*(分析データ!D1134-INDEX(分析データ!D:D,ROW()+$C$5)),""),"")</f>
        <v/>
      </c>
      <c r="BI1134">
        <f t="shared" ca="1" si="485"/>
        <v>5570000.0000000205</v>
      </c>
      <c r="BJ1134">
        <f t="shared" ca="1" si="486"/>
        <v>5570000.0000000205</v>
      </c>
      <c r="BK1134">
        <f t="shared" ca="1" si="487"/>
        <v>0</v>
      </c>
      <c r="BL1134">
        <f ca="1">IF(ROW()&lt;($C$7+1),"",IFERROR((分析データ!E1134-AVERAGE(OFFSET(分析データ!E$1,MAX(1,ROW()-$C$7),0,MIN($C$7,ROW()-1),1)))/STDEV(OFFSET(分析データ!E$1,MAX(1,ROW()-$C$7),0,MIN($C$7,ROW()-1),1)),0))</f>
        <v>0</v>
      </c>
      <c r="BM1134">
        <f t="shared" ca="1" si="488"/>
        <v>0</v>
      </c>
      <c r="BN1134" t="str">
        <f ca="1">IF(BM1134=1,IF(INDEX(分析データ!$A:$A,ROW()+$C$5)&lt;&gt;"",40000*SIGN(BL1134)*(分析データ!E1134-INDEX(分析データ!E:E,ROW()+$C$5)),""),"")</f>
        <v/>
      </c>
      <c r="BO1134">
        <f t="shared" ca="1" si="489"/>
        <v>2720000.0000000014</v>
      </c>
      <c r="BP1134">
        <f t="shared" ca="1" si="490"/>
        <v>4280000.0000000028</v>
      </c>
      <c r="BQ1134">
        <f t="shared" ca="1" si="491"/>
        <v>-1560000.0000000014</v>
      </c>
      <c r="BR1134">
        <f ca="1">IF(ROW()&lt;($C$7+1),"",IFERROR((分析データ!F1134-AVERAGE(OFFSET(分析データ!F$1,MAX(1,ROW()-$C$7),0,MIN($C$7,ROW()-1),1)))/STDEV(OFFSET(分析データ!F$1,MAX(1,ROW()-$C$7),0,MIN($C$7,ROW()-1),1)),0))</f>
        <v>0</v>
      </c>
      <c r="BS1134">
        <f t="shared" ca="1" si="492"/>
        <v>0</v>
      </c>
      <c r="BT1134" t="str">
        <f ca="1">IF(BS1134=1,IF(INDEX(分析データ!$A:$A,ROW()+$C$5)&lt;&gt;"",40000*SIGN(BR1134)*(分析データ!F1134-INDEX(分析データ!F:F,ROW()+$C$5)),""),"")</f>
        <v/>
      </c>
      <c r="BU1134">
        <f t="shared" ca="1" si="493"/>
        <v>19816800</v>
      </c>
      <c r="BV1134">
        <f t="shared" ca="1" si="494"/>
        <v>19816800</v>
      </c>
      <c r="BW1134">
        <f t="shared" ca="1" si="495"/>
        <v>0</v>
      </c>
      <c r="BX1134">
        <f ca="1">IF(ROW()&lt;($C$7+1),"",IFERROR((分析データ!G1134-AVERAGE(OFFSET(分析データ!G$1,MAX(1,ROW()-$C$7),0,MIN($C$7,ROW()-1),1)))/STDEV(OFFSET(分析データ!G$1,MAX(1,ROW()-$C$7),0,MIN($C$7,ROW()-1),1)),0))</f>
        <v>0</v>
      </c>
      <c r="BY1134">
        <f t="shared" ca="1" si="496"/>
        <v>0</v>
      </c>
      <c r="BZ1134" t="str">
        <f ca="1">IF(BY1134=1,IF(INDEX(分析データ!$A:$A,ROW()+$C$5)&lt;&gt;"",40000*SIGN(BX1134)*(分析データ!G1134-INDEX(分析データ!G:G,ROW()+$C$5)),""),"")</f>
        <v/>
      </c>
      <c r="CA1134">
        <f t="shared" ca="1" si="497"/>
        <v>-3515452.8662109179</v>
      </c>
      <c r="CB1134">
        <f t="shared" ca="1" si="498"/>
        <v>11327520.000000004</v>
      </c>
      <c r="CC1134">
        <f t="shared" ca="1" si="499"/>
        <v>-14842972.866210923</v>
      </c>
      <c r="CD1134">
        <f t="shared" ca="1" si="500"/>
        <v>0</v>
      </c>
      <c r="CE1134">
        <f t="shared" ca="1" si="501"/>
        <v>23090347.13378913</v>
      </c>
      <c r="CF1134">
        <f t="shared" ca="1" si="502"/>
        <v>23090347.13378913</v>
      </c>
      <c r="CG1134">
        <f t="shared" ca="1" si="503"/>
        <v>0</v>
      </c>
      <c r="CH1134" s="10" t="str">
        <f>分析データ!A1134</f>
        <v/>
      </c>
    </row>
    <row r="1135" spans="46:86">
      <c r="AT1135">
        <f ca="1">IF(ROW()&lt;($C$7+1),"",IFERROR((分析データ!B1135-AVERAGE(OFFSET(分析データ!B$1,MAX(1,ROW()-$C$7),0,MIN($C$7,ROW()-1),1)))/STDEV(OFFSET(分析データ!B$1,MAX(1,ROW()-$C$7),0,MIN($C$7,ROW()-1),1)),0))</f>
        <v>0</v>
      </c>
      <c r="AU1135">
        <f t="shared" ca="1" si="476"/>
        <v>0</v>
      </c>
      <c r="AV1135" t="str">
        <f ca="1">IF(AU1135=1,IF(INDEX(分析データ!$A:$A,ROW()+$C$5)&lt;&gt;"",80000*SIGN(AT1135)*(分析データ!B1135-INDEX(分析データ!B:B,ROW()+$C$5)),""),"")</f>
        <v/>
      </c>
      <c r="AW1135">
        <f t="shared" ca="1" si="477"/>
        <v>-1240000.0000000019</v>
      </c>
      <c r="AX1135">
        <f t="shared" ca="1" si="478"/>
        <v>0</v>
      </c>
      <c r="AY1135">
        <f t="shared" ca="1" si="479"/>
        <v>-1240000.0000000019</v>
      </c>
      <c r="AZ1135">
        <f ca="1">IF(ROW()&lt;($C$7+1),"",IFERROR((分析データ!C1135-AVERAGE(OFFSET(分析データ!C$1,MAX(1,ROW()-$C$7),0,MIN($C$7,ROW()-1),1)))/STDEV(OFFSET(分析データ!C$1,MAX(1,ROW()-$C$7),0,MIN($C$7,ROW()-1),1)),0))</f>
        <v>0</v>
      </c>
      <c r="BA1135">
        <f t="shared" ca="1" si="480"/>
        <v>0</v>
      </c>
      <c r="BB1135" t="str">
        <f ca="1">IF(BA1135=1,IF(INDEX(分析データ!$A:$A,ROW()+$C$5)&lt;&gt;"",60000*SIGN(AZ1135)*(分析データ!C1135-INDEX(分析データ!C:C,ROW()+$C$5)),""),"")</f>
        <v/>
      </c>
      <c r="BC1135">
        <f t="shared" ca="1" si="481"/>
        <v>-260999.9999999851</v>
      </c>
      <c r="BD1135">
        <f t="shared" ca="1" si="482"/>
        <v>3156000.0000000107</v>
      </c>
      <c r="BE1135">
        <f t="shared" ca="1" si="483"/>
        <v>-3416999.9999999958</v>
      </c>
      <c r="BF1135">
        <f ca="1">IF(ROW()&lt;($C$7+1),"",IFERROR((分析データ!D1135-AVERAGE(OFFSET(分析データ!D$1,MAX(1,ROW()-$C$7),0,MIN($C$7,ROW()-1),1)))/STDEV(OFFSET(分析データ!D$1,MAX(1,ROW()-$C$7),0,MIN($C$7,ROW()-1),1)),0))</f>
        <v>0</v>
      </c>
      <c r="BG1135">
        <f t="shared" ca="1" si="484"/>
        <v>0</v>
      </c>
      <c r="BH1135" t="str">
        <f ca="1">IF(BG1135=1,IF(INDEX(分析データ!$A:$A,ROW()+$C$5)&lt;&gt;"",50000*SIGN(BF1135)*(分析データ!D1135-INDEX(分析データ!D:D,ROW()+$C$5)),""),"")</f>
        <v/>
      </c>
      <c r="BI1135">
        <f t="shared" ca="1" si="485"/>
        <v>5570000.0000000205</v>
      </c>
      <c r="BJ1135">
        <f t="shared" ca="1" si="486"/>
        <v>5570000.0000000205</v>
      </c>
      <c r="BK1135">
        <f t="shared" ca="1" si="487"/>
        <v>0</v>
      </c>
      <c r="BL1135">
        <f ca="1">IF(ROW()&lt;($C$7+1),"",IFERROR((分析データ!E1135-AVERAGE(OFFSET(分析データ!E$1,MAX(1,ROW()-$C$7),0,MIN($C$7,ROW()-1),1)))/STDEV(OFFSET(分析データ!E$1,MAX(1,ROW()-$C$7),0,MIN($C$7,ROW()-1),1)),0))</f>
        <v>0</v>
      </c>
      <c r="BM1135">
        <f t="shared" ca="1" si="488"/>
        <v>0</v>
      </c>
      <c r="BN1135" t="str">
        <f ca="1">IF(BM1135=1,IF(INDEX(分析データ!$A:$A,ROW()+$C$5)&lt;&gt;"",40000*SIGN(BL1135)*(分析データ!E1135-INDEX(分析データ!E:E,ROW()+$C$5)),""),"")</f>
        <v/>
      </c>
      <c r="BO1135">
        <f t="shared" ca="1" si="489"/>
        <v>2720000.0000000014</v>
      </c>
      <c r="BP1135">
        <f t="shared" ca="1" si="490"/>
        <v>4280000.0000000028</v>
      </c>
      <c r="BQ1135">
        <f t="shared" ca="1" si="491"/>
        <v>-1560000.0000000014</v>
      </c>
      <c r="BR1135">
        <f ca="1">IF(ROW()&lt;($C$7+1),"",IFERROR((分析データ!F1135-AVERAGE(OFFSET(分析データ!F$1,MAX(1,ROW()-$C$7),0,MIN($C$7,ROW()-1),1)))/STDEV(OFFSET(分析データ!F$1,MAX(1,ROW()-$C$7),0,MIN($C$7,ROW()-1),1)),0))</f>
        <v>0</v>
      </c>
      <c r="BS1135">
        <f t="shared" ca="1" si="492"/>
        <v>0</v>
      </c>
      <c r="BT1135" t="str">
        <f ca="1">IF(BS1135=1,IF(INDEX(分析データ!$A:$A,ROW()+$C$5)&lt;&gt;"",40000*SIGN(BR1135)*(分析データ!F1135-INDEX(分析データ!F:F,ROW()+$C$5)),""),"")</f>
        <v/>
      </c>
      <c r="BU1135">
        <f t="shared" ca="1" si="493"/>
        <v>19816800</v>
      </c>
      <c r="BV1135">
        <f t="shared" ca="1" si="494"/>
        <v>19816800</v>
      </c>
      <c r="BW1135">
        <f t="shared" ca="1" si="495"/>
        <v>0</v>
      </c>
      <c r="BX1135">
        <f ca="1">IF(ROW()&lt;($C$7+1),"",IFERROR((分析データ!G1135-AVERAGE(OFFSET(分析データ!G$1,MAX(1,ROW()-$C$7),0,MIN($C$7,ROW()-1),1)))/STDEV(OFFSET(分析データ!G$1,MAX(1,ROW()-$C$7),0,MIN($C$7,ROW()-1),1)),0))</f>
        <v>0</v>
      </c>
      <c r="BY1135">
        <f t="shared" ca="1" si="496"/>
        <v>0</v>
      </c>
      <c r="BZ1135" t="str">
        <f ca="1">IF(BY1135=1,IF(INDEX(分析データ!$A:$A,ROW()+$C$5)&lt;&gt;"",40000*SIGN(BX1135)*(分析データ!G1135-INDEX(分析データ!G:G,ROW()+$C$5)),""),"")</f>
        <v/>
      </c>
      <c r="CA1135">
        <f t="shared" ca="1" si="497"/>
        <v>-3515452.8662109179</v>
      </c>
      <c r="CB1135">
        <f t="shared" ca="1" si="498"/>
        <v>11327520.000000004</v>
      </c>
      <c r="CC1135">
        <f t="shared" ca="1" si="499"/>
        <v>-14842972.866210923</v>
      </c>
      <c r="CD1135">
        <f t="shared" ca="1" si="500"/>
        <v>0</v>
      </c>
      <c r="CE1135">
        <f t="shared" ca="1" si="501"/>
        <v>23090347.13378913</v>
      </c>
      <c r="CF1135">
        <f t="shared" ca="1" si="502"/>
        <v>23090347.13378913</v>
      </c>
      <c r="CG1135">
        <f t="shared" ca="1" si="503"/>
        <v>0</v>
      </c>
      <c r="CH1135" s="10" t="str">
        <f>分析データ!A1135</f>
        <v/>
      </c>
    </row>
    <row r="1136" spans="46:86">
      <c r="AT1136">
        <f ca="1">IF(ROW()&lt;($C$7+1),"",IFERROR((分析データ!B1136-AVERAGE(OFFSET(分析データ!B$1,MAX(1,ROW()-$C$7),0,MIN($C$7,ROW()-1),1)))/STDEV(OFFSET(分析データ!B$1,MAX(1,ROW()-$C$7),0,MIN($C$7,ROW()-1),1)),0))</f>
        <v>0</v>
      </c>
      <c r="AU1136">
        <f t="shared" ca="1" si="476"/>
        <v>0</v>
      </c>
      <c r="AV1136" t="str">
        <f ca="1">IF(AU1136=1,IF(INDEX(分析データ!$A:$A,ROW()+$C$5)&lt;&gt;"",80000*SIGN(AT1136)*(分析データ!B1136-INDEX(分析データ!B:B,ROW()+$C$5)),""),"")</f>
        <v/>
      </c>
      <c r="AW1136">
        <f t="shared" ca="1" si="477"/>
        <v>-1240000.0000000019</v>
      </c>
      <c r="AX1136">
        <f t="shared" ca="1" si="478"/>
        <v>0</v>
      </c>
      <c r="AY1136">
        <f t="shared" ca="1" si="479"/>
        <v>-1240000.0000000019</v>
      </c>
      <c r="AZ1136">
        <f ca="1">IF(ROW()&lt;($C$7+1),"",IFERROR((分析データ!C1136-AVERAGE(OFFSET(分析データ!C$1,MAX(1,ROW()-$C$7),0,MIN($C$7,ROW()-1),1)))/STDEV(OFFSET(分析データ!C$1,MAX(1,ROW()-$C$7),0,MIN($C$7,ROW()-1),1)),0))</f>
        <v>0</v>
      </c>
      <c r="BA1136">
        <f t="shared" ca="1" si="480"/>
        <v>0</v>
      </c>
      <c r="BB1136" t="str">
        <f ca="1">IF(BA1136=1,IF(INDEX(分析データ!$A:$A,ROW()+$C$5)&lt;&gt;"",60000*SIGN(AZ1136)*(分析データ!C1136-INDEX(分析データ!C:C,ROW()+$C$5)),""),"")</f>
        <v/>
      </c>
      <c r="BC1136">
        <f t="shared" ca="1" si="481"/>
        <v>-260999.9999999851</v>
      </c>
      <c r="BD1136">
        <f t="shared" ca="1" si="482"/>
        <v>3156000.0000000107</v>
      </c>
      <c r="BE1136">
        <f t="shared" ca="1" si="483"/>
        <v>-3416999.9999999958</v>
      </c>
      <c r="BF1136">
        <f ca="1">IF(ROW()&lt;($C$7+1),"",IFERROR((分析データ!D1136-AVERAGE(OFFSET(分析データ!D$1,MAX(1,ROW()-$C$7),0,MIN($C$7,ROW()-1),1)))/STDEV(OFFSET(分析データ!D$1,MAX(1,ROW()-$C$7),0,MIN($C$7,ROW()-1),1)),0))</f>
        <v>0</v>
      </c>
      <c r="BG1136">
        <f t="shared" ca="1" si="484"/>
        <v>0</v>
      </c>
      <c r="BH1136" t="str">
        <f ca="1">IF(BG1136=1,IF(INDEX(分析データ!$A:$A,ROW()+$C$5)&lt;&gt;"",50000*SIGN(BF1136)*(分析データ!D1136-INDEX(分析データ!D:D,ROW()+$C$5)),""),"")</f>
        <v/>
      </c>
      <c r="BI1136">
        <f t="shared" ca="1" si="485"/>
        <v>5570000.0000000205</v>
      </c>
      <c r="BJ1136">
        <f t="shared" ca="1" si="486"/>
        <v>5570000.0000000205</v>
      </c>
      <c r="BK1136">
        <f t="shared" ca="1" si="487"/>
        <v>0</v>
      </c>
      <c r="BL1136">
        <f ca="1">IF(ROW()&lt;($C$7+1),"",IFERROR((分析データ!E1136-AVERAGE(OFFSET(分析データ!E$1,MAX(1,ROW()-$C$7),0,MIN($C$7,ROW()-1),1)))/STDEV(OFFSET(分析データ!E$1,MAX(1,ROW()-$C$7),0,MIN($C$7,ROW()-1),1)),0))</f>
        <v>0</v>
      </c>
      <c r="BM1136">
        <f t="shared" ca="1" si="488"/>
        <v>0</v>
      </c>
      <c r="BN1136" t="str">
        <f ca="1">IF(BM1136=1,IF(INDEX(分析データ!$A:$A,ROW()+$C$5)&lt;&gt;"",40000*SIGN(BL1136)*(分析データ!E1136-INDEX(分析データ!E:E,ROW()+$C$5)),""),"")</f>
        <v/>
      </c>
      <c r="BO1136">
        <f t="shared" ca="1" si="489"/>
        <v>2720000.0000000014</v>
      </c>
      <c r="BP1136">
        <f t="shared" ca="1" si="490"/>
        <v>4280000.0000000028</v>
      </c>
      <c r="BQ1136">
        <f t="shared" ca="1" si="491"/>
        <v>-1560000.0000000014</v>
      </c>
      <c r="BR1136">
        <f ca="1">IF(ROW()&lt;($C$7+1),"",IFERROR((分析データ!F1136-AVERAGE(OFFSET(分析データ!F$1,MAX(1,ROW()-$C$7),0,MIN($C$7,ROW()-1),1)))/STDEV(OFFSET(分析データ!F$1,MAX(1,ROW()-$C$7),0,MIN($C$7,ROW()-1),1)),0))</f>
        <v>0</v>
      </c>
      <c r="BS1136">
        <f t="shared" ca="1" si="492"/>
        <v>0</v>
      </c>
      <c r="BT1136" t="str">
        <f ca="1">IF(BS1136=1,IF(INDEX(分析データ!$A:$A,ROW()+$C$5)&lt;&gt;"",40000*SIGN(BR1136)*(分析データ!F1136-INDEX(分析データ!F:F,ROW()+$C$5)),""),"")</f>
        <v/>
      </c>
      <c r="BU1136">
        <f t="shared" ca="1" si="493"/>
        <v>19816800</v>
      </c>
      <c r="BV1136">
        <f t="shared" ca="1" si="494"/>
        <v>19816800</v>
      </c>
      <c r="BW1136">
        <f t="shared" ca="1" si="495"/>
        <v>0</v>
      </c>
      <c r="BX1136">
        <f ca="1">IF(ROW()&lt;($C$7+1),"",IFERROR((分析データ!G1136-AVERAGE(OFFSET(分析データ!G$1,MAX(1,ROW()-$C$7),0,MIN($C$7,ROW()-1),1)))/STDEV(OFFSET(分析データ!G$1,MAX(1,ROW()-$C$7),0,MIN($C$7,ROW()-1),1)),0))</f>
        <v>0</v>
      </c>
      <c r="BY1136">
        <f t="shared" ca="1" si="496"/>
        <v>0</v>
      </c>
      <c r="BZ1136" t="str">
        <f ca="1">IF(BY1136=1,IF(INDEX(分析データ!$A:$A,ROW()+$C$5)&lt;&gt;"",40000*SIGN(BX1136)*(分析データ!G1136-INDEX(分析データ!G:G,ROW()+$C$5)),""),"")</f>
        <v/>
      </c>
      <c r="CA1136">
        <f t="shared" ca="1" si="497"/>
        <v>-3515452.8662109179</v>
      </c>
      <c r="CB1136">
        <f t="shared" ca="1" si="498"/>
        <v>11327520.000000004</v>
      </c>
      <c r="CC1136">
        <f t="shared" ca="1" si="499"/>
        <v>-14842972.866210923</v>
      </c>
      <c r="CD1136">
        <f t="shared" ca="1" si="500"/>
        <v>0</v>
      </c>
      <c r="CE1136">
        <f t="shared" ca="1" si="501"/>
        <v>23090347.13378913</v>
      </c>
      <c r="CF1136">
        <f t="shared" ca="1" si="502"/>
        <v>23090347.13378913</v>
      </c>
      <c r="CG1136">
        <f t="shared" ca="1" si="503"/>
        <v>0</v>
      </c>
      <c r="CH1136" s="10" t="str">
        <f>分析データ!A1136</f>
        <v/>
      </c>
    </row>
    <row r="1137" spans="46:86">
      <c r="AT1137">
        <f ca="1">IF(ROW()&lt;($C$7+1),"",IFERROR((分析データ!B1137-AVERAGE(OFFSET(分析データ!B$1,MAX(1,ROW()-$C$7),0,MIN($C$7,ROW()-1),1)))/STDEV(OFFSET(分析データ!B$1,MAX(1,ROW()-$C$7),0,MIN($C$7,ROW()-1),1)),0))</f>
        <v>0</v>
      </c>
      <c r="AU1137">
        <f t="shared" ca="1" si="476"/>
        <v>0</v>
      </c>
      <c r="AV1137" t="str">
        <f ca="1">IF(AU1137=1,IF(INDEX(分析データ!$A:$A,ROW()+$C$5)&lt;&gt;"",80000*SIGN(AT1137)*(分析データ!B1137-INDEX(分析データ!B:B,ROW()+$C$5)),""),"")</f>
        <v/>
      </c>
      <c r="AW1137">
        <f t="shared" ca="1" si="477"/>
        <v>-1240000.0000000019</v>
      </c>
      <c r="AX1137">
        <f t="shared" ca="1" si="478"/>
        <v>0</v>
      </c>
      <c r="AY1137">
        <f t="shared" ca="1" si="479"/>
        <v>-1240000.0000000019</v>
      </c>
      <c r="AZ1137">
        <f ca="1">IF(ROW()&lt;($C$7+1),"",IFERROR((分析データ!C1137-AVERAGE(OFFSET(分析データ!C$1,MAX(1,ROW()-$C$7),0,MIN($C$7,ROW()-1),1)))/STDEV(OFFSET(分析データ!C$1,MAX(1,ROW()-$C$7),0,MIN($C$7,ROW()-1),1)),0))</f>
        <v>0</v>
      </c>
      <c r="BA1137">
        <f t="shared" ca="1" si="480"/>
        <v>0</v>
      </c>
      <c r="BB1137" t="str">
        <f ca="1">IF(BA1137=1,IF(INDEX(分析データ!$A:$A,ROW()+$C$5)&lt;&gt;"",60000*SIGN(AZ1137)*(分析データ!C1137-INDEX(分析データ!C:C,ROW()+$C$5)),""),"")</f>
        <v/>
      </c>
      <c r="BC1137">
        <f t="shared" ca="1" si="481"/>
        <v>-260999.9999999851</v>
      </c>
      <c r="BD1137">
        <f t="shared" ca="1" si="482"/>
        <v>3156000.0000000107</v>
      </c>
      <c r="BE1137">
        <f t="shared" ca="1" si="483"/>
        <v>-3416999.9999999958</v>
      </c>
      <c r="BF1137">
        <f ca="1">IF(ROW()&lt;($C$7+1),"",IFERROR((分析データ!D1137-AVERAGE(OFFSET(分析データ!D$1,MAX(1,ROW()-$C$7),0,MIN($C$7,ROW()-1),1)))/STDEV(OFFSET(分析データ!D$1,MAX(1,ROW()-$C$7),0,MIN($C$7,ROW()-1),1)),0))</f>
        <v>0</v>
      </c>
      <c r="BG1137">
        <f t="shared" ca="1" si="484"/>
        <v>0</v>
      </c>
      <c r="BH1137" t="str">
        <f ca="1">IF(BG1137=1,IF(INDEX(分析データ!$A:$A,ROW()+$C$5)&lt;&gt;"",50000*SIGN(BF1137)*(分析データ!D1137-INDEX(分析データ!D:D,ROW()+$C$5)),""),"")</f>
        <v/>
      </c>
      <c r="BI1137">
        <f t="shared" ca="1" si="485"/>
        <v>5570000.0000000205</v>
      </c>
      <c r="BJ1137">
        <f t="shared" ca="1" si="486"/>
        <v>5570000.0000000205</v>
      </c>
      <c r="BK1137">
        <f t="shared" ca="1" si="487"/>
        <v>0</v>
      </c>
      <c r="BL1137">
        <f ca="1">IF(ROW()&lt;($C$7+1),"",IFERROR((分析データ!E1137-AVERAGE(OFFSET(分析データ!E$1,MAX(1,ROW()-$C$7),0,MIN($C$7,ROW()-1),1)))/STDEV(OFFSET(分析データ!E$1,MAX(1,ROW()-$C$7),0,MIN($C$7,ROW()-1),1)),0))</f>
        <v>0</v>
      </c>
      <c r="BM1137">
        <f t="shared" ca="1" si="488"/>
        <v>0</v>
      </c>
      <c r="BN1137" t="str">
        <f ca="1">IF(BM1137=1,IF(INDEX(分析データ!$A:$A,ROW()+$C$5)&lt;&gt;"",40000*SIGN(BL1137)*(分析データ!E1137-INDEX(分析データ!E:E,ROW()+$C$5)),""),"")</f>
        <v/>
      </c>
      <c r="BO1137">
        <f t="shared" ca="1" si="489"/>
        <v>2720000.0000000014</v>
      </c>
      <c r="BP1137">
        <f t="shared" ca="1" si="490"/>
        <v>4280000.0000000028</v>
      </c>
      <c r="BQ1137">
        <f t="shared" ca="1" si="491"/>
        <v>-1560000.0000000014</v>
      </c>
      <c r="BR1137">
        <f ca="1">IF(ROW()&lt;($C$7+1),"",IFERROR((分析データ!F1137-AVERAGE(OFFSET(分析データ!F$1,MAX(1,ROW()-$C$7),0,MIN($C$7,ROW()-1),1)))/STDEV(OFFSET(分析データ!F$1,MAX(1,ROW()-$C$7),0,MIN($C$7,ROW()-1),1)),0))</f>
        <v>0</v>
      </c>
      <c r="BS1137">
        <f t="shared" ca="1" si="492"/>
        <v>0</v>
      </c>
      <c r="BT1137" t="str">
        <f ca="1">IF(BS1137=1,IF(INDEX(分析データ!$A:$A,ROW()+$C$5)&lt;&gt;"",40000*SIGN(BR1137)*(分析データ!F1137-INDEX(分析データ!F:F,ROW()+$C$5)),""),"")</f>
        <v/>
      </c>
      <c r="BU1137">
        <f t="shared" ca="1" si="493"/>
        <v>19816800</v>
      </c>
      <c r="BV1137">
        <f t="shared" ca="1" si="494"/>
        <v>19816800</v>
      </c>
      <c r="BW1137">
        <f t="shared" ca="1" si="495"/>
        <v>0</v>
      </c>
      <c r="BX1137">
        <f ca="1">IF(ROW()&lt;($C$7+1),"",IFERROR((分析データ!G1137-AVERAGE(OFFSET(分析データ!G$1,MAX(1,ROW()-$C$7),0,MIN($C$7,ROW()-1),1)))/STDEV(OFFSET(分析データ!G$1,MAX(1,ROW()-$C$7),0,MIN($C$7,ROW()-1),1)),0))</f>
        <v>0</v>
      </c>
      <c r="BY1137">
        <f t="shared" ca="1" si="496"/>
        <v>0</v>
      </c>
      <c r="BZ1137" t="str">
        <f ca="1">IF(BY1137=1,IF(INDEX(分析データ!$A:$A,ROW()+$C$5)&lt;&gt;"",40000*SIGN(BX1137)*(分析データ!G1137-INDEX(分析データ!G:G,ROW()+$C$5)),""),"")</f>
        <v/>
      </c>
      <c r="CA1137">
        <f t="shared" ca="1" si="497"/>
        <v>-3515452.8662109179</v>
      </c>
      <c r="CB1137">
        <f t="shared" ca="1" si="498"/>
        <v>11327520.000000004</v>
      </c>
      <c r="CC1137">
        <f t="shared" ca="1" si="499"/>
        <v>-14842972.866210923</v>
      </c>
      <c r="CD1137">
        <f t="shared" ca="1" si="500"/>
        <v>0</v>
      </c>
      <c r="CE1137">
        <f t="shared" ca="1" si="501"/>
        <v>23090347.13378913</v>
      </c>
      <c r="CF1137">
        <f t="shared" ca="1" si="502"/>
        <v>23090347.13378913</v>
      </c>
      <c r="CG1137">
        <f t="shared" ca="1" si="503"/>
        <v>0</v>
      </c>
      <c r="CH1137" s="10" t="str">
        <f>分析データ!A1137</f>
        <v/>
      </c>
    </row>
    <row r="1138" spans="46:86">
      <c r="AT1138">
        <f ca="1">IF(ROW()&lt;($C$7+1),"",IFERROR((分析データ!B1138-AVERAGE(OFFSET(分析データ!B$1,MAX(1,ROW()-$C$7),0,MIN($C$7,ROW()-1),1)))/STDEV(OFFSET(分析データ!B$1,MAX(1,ROW()-$C$7),0,MIN($C$7,ROW()-1),1)),0))</f>
        <v>0</v>
      </c>
      <c r="AU1138">
        <f t="shared" ca="1" si="476"/>
        <v>0</v>
      </c>
      <c r="AV1138" t="str">
        <f ca="1">IF(AU1138=1,IF(INDEX(分析データ!$A:$A,ROW()+$C$5)&lt;&gt;"",80000*SIGN(AT1138)*(分析データ!B1138-INDEX(分析データ!B:B,ROW()+$C$5)),""),"")</f>
        <v/>
      </c>
      <c r="AW1138">
        <f t="shared" ca="1" si="477"/>
        <v>-1240000.0000000019</v>
      </c>
      <c r="AX1138">
        <f t="shared" ca="1" si="478"/>
        <v>0</v>
      </c>
      <c r="AY1138">
        <f t="shared" ca="1" si="479"/>
        <v>-1240000.0000000019</v>
      </c>
      <c r="AZ1138">
        <f ca="1">IF(ROW()&lt;($C$7+1),"",IFERROR((分析データ!C1138-AVERAGE(OFFSET(分析データ!C$1,MAX(1,ROW()-$C$7),0,MIN($C$7,ROW()-1),1)))/STDEV(OFFSET(分析データ!C$1,MAX(1,ROW()-$C$7),0,MIN($C$7,ROW()-1),1)),0))</f>
        <v>0</v>
      </c>
      <c r="BA1138">
        <f t="shared" ca="1" si="480"/>
        <v>0</v>
      </c>
      <c r="BB1138" t="str">
        <f ca="1">IF(BA1138=1,IF(INDEX(分析データ!$A:$A,ROW()+$C$5)&lt;&gt;"",60000*SIGN(AZ1138)*(分析データ!C1138-INDEX(分析データ!C:C,ROW()+$C$5)),""),"")</f>
        <v/>
      </c>
      <c r="BC1138">
        <f t="shared" ca="1" si="481"/>
        <v>-260999.9999999851</v>
      </c>
      <c r="BD1138">
        <f t="shared" ca="1" si="482"/>
        <v>3156000.0000000107</v>
      </c>
      <c r="BE1138">
        <f t="shared" ca="1" si="483"/>
        <v>-3416999.9999999958</v>
      </c>
      <c r="BF1138">
        <f ca="1">IF(ROW()&lt;($C$7+1),"",IFERROR((分析データ!D1138-AVERAGE(OFFSET(分析データ!D$1,MAX(1,ROW()-$C$7),0,MIN($C$7,ROW()-1),1)))/STDEV(OFFSET(分析データ!D$1,MAX(1,ROW()-$C$7),0,MIN($C$7,ROW()-1),1)),0))</f>
        <v>0</v>
      </c>
      <c r="BG1138">
        <f t="shared" ca="1" si="484"/>
        <v>0</v>
      </c>
      <c r="BH1138" t="str">
        <f ca="1">IF(BG1138=1,IF(INDEX(分析データ!$A:$A,ROW()+$C$5)&lt;&gt;"",50000*SIGN(BF1138)*(分析データ!D1138-INDEX(分析データ!D:D,ROW()+$C$5)),""),"")</f>
        <v/>
      </c>
      <c r="BI1138">
        <f t="shared" ca="1" si="485"/>
        <v>5570000.0000000205</v>
      </c>
      <c r="BJ1138">
        <f t="shared" ca="1" si="486"/>
        <v>5570000.0000000205</v>
      </c>
      <c r="BK1138">
        <f t="shared" ca="1" si="487"/>
        <v>0</v>
      </c>
      <c r="BL1138">
        <f ca="1">IF(ROW()&lt;($C$7+1),"",IFERROR((分析データ!E1138-AVERAGE(OFFSET(分析データ!E$1,MAX(1,ROW()-$C$7),0,MIN($C$7,ROW()-1),1)))/STDEV(OFFSET(分析データ!E$1,MAX(1,ROW()-$C$7),0,MIN($C$7,ROW()-1),1)),0))</f>
        <v>0</v>
      </c>
      <c r="BM1138">
        <f t="shared" ca="1" si="488"/>
        <v>0</v>
      </c>
      <c r="BN1138" t="str">
        <f ca="1">IF(BM1138=1,IF(INDEX(分析データ!$A:$A,ROW()+$C$5)&lt;&gt;"",40000*SIGN(BL1138)*(分析データ!E1138-INDEX(分析データ!E:E,ROW()+$C$5)),""),"")</f>
        <v/>
      </c>
      <c r="BO1138">
        <f t="shared" ca="1" si="489"/>
        <v>2720000.0000000014</v>
      </c>
      <c r="BP1138">
        <f t="shared" ca="1" si="490"/>
        <v>4280000.0000000028</v>
      </c>
      <c r="BQ1138">
        <f t="shared" ca="1" si="491"/>
        <v>-1560000.0000000014</v>
      </c>
      <c r="BR1138">
        <f ca="1">IF(ROW()&lt;($C$7+1),"",IFERROR((分析データ!F1138-AVERAGE(OFFSET(分析データ!F$1,MAX(1,ROW()-$C$7),0,MIN($C$7,ROW()-1),1)))/STDEV(OFFSET(分析データ!F$1,MAX(1,ROW()-$C$7),0,MIN($C$7,ROW()-1),1)),0))</f>
        <v>0</v>
      </c>
      <c r="BS1138">
        <f t="shared" ca="1" si="492"/>
        <v>0</v>
      </c>
      <c r="BT1138" t="str">
        <f ca="1">IF(BS1138=1,IF(INDEX(分析データ!$A:$A,ROW()+$C$5)&lt;&gt;"",40000*SIGN(BR1138)*(分析データ!F1138-INDEX(分析データ!F:F,ROW()+$C$5)),""),"")</f>
        <v/>
      </c>
      <c r="BU1138">
        <f t="shared" ca="1" si="493"/>
        <v>19816800</v>
      </c>
      <c r="BV1138">
        <f t="shared" ca="1" si="494"/>
        <v>19816800</v>
      </c>
      <c r="BW1138">
        <f t="shared" ca="1" si="495"/>
        <v>0</v>
      </c>
      <c r="BX1138">
        <f ca="1">IF(ROW()&lt;($C$7+1),"",IFERROR((分析データ!G1138-AVERAGE(OFFSET(分析データ!G$1,MAX(1,ROW()-$C$7),0,MIN($C$7,ROW()-1),1)))/STDEV(OFFSET(分析データ!G$1,MAX(1,ROW()-$C$7),0,MIN($C$7,ROW()-1),1)),0))</f>
        <v>0</v>
      </c>
      <c r="BY1138">
        <f t="shared" ca="1" si="496"/>
        <v>0</v>
      </c>
      <c r="BZ1138" t="str">
        <f ca="1">IF(BY1138=1,IF(INDEX(分析データ!$A:$A,ROW()+$C$5)&lt;&gt;"",40000*SIGN(BX1138)*(分析データ!G1138-INDEX(分析データ!G:G,ROW()+$C$5)),""),"")</f>
        <v/>
      </c>
      <c r="CA1138">
        <f t="shared" ca="1" si="497"/>
        <v>-3515452.8662109179</v>
      </c>
      <c r="CB1138">
        <f t="shared" ca="1" si="498"/>
        <v>11327520.000000004</v>
      </c>
      <c r="CC1138">
        <f t="shared" ca="1" si="499"/>
        <v>-14842972.866210923</v>
      </c>
      <c r="CD1138">
        <f t="shared" ca="1" si="500"/>
        <v>0</v>
      </c>
      <c r="CE1138">
        <f t="shared" ca="1" si="501"/>
        <v>23090347.13378913</v>
      </c>
      <c r="CF1138">
        <f t="shared" ca="1" si="502"/>
        <v>23090347.13378913</v>
      </c>
      <c r="CG1138">
        <f t="shared" ca="1" si="503"/>
        <v>0</v>
      </c>
      <c r="CH1138" s="10" t="str">
        <f>分析データ!A1138</f>
        <v/>
      </c>
    </row>
    <row r="1139" spans="46:86">
      <c r="AT1139">
        <f ca="1">IF(ROW()&lt;($C$7+1),"",IFERROR((分析データ!B1139-AVERAGE(OFFSET(分析データ!B$1,MAX(1,ROW()-$C$7),0,MIN($C$7,ROW()-1),1)))/STDEV(OFFSET(分析データ!B$1,MAX(1,ROW()-$C$7),0,MIN($C$7,ROW()-1),1)),0))</f>
        <v>0</v>
      </c>
      <c r="AU1139">
        <f t="shared" ca="1" si="476"/>
        <v>0</v>
      </c>
      <c r="AV1139" t="str">
        <f ca="1">IF(AU1139=1,IF(INDEX(分析データ!$A:$A,ROW()+$C$5)&lt;&gt;"",80000*SIGN(AT1139)*(分析データ!B1139-INDEX(分析データ!B:B,ROW()+$C$5)),""),"")</f>
        <v/>
      </c>
      <c r="AW1139">
        <f t="shared" ca="1" si="477"/>
        <v>-1240000.0000000019</v>
      </c>
      <c r="AX1139">
        <f t="shared" ca="1" si="478"/>
        <v>0</v>
      </c>
      <c r="AY1139">
        <f t="shared" ca="1" si="479"/>
        <v>-1240000.0000000019</v>
      </c>
      <c r="AZ1139">
        <f ca="1">IF(ROW()&lt;($C$7+1),"",IFERROR((分析データ!C1139-AVERAGE(OFFSET(分析データ!C$1,MAX(1,ROW()-$C$7),0,MIN($C$7,ROW()-1),1)))/STDEV(OFFSET(分析データ!C$1,MAX(1,ROW()-$C$7),0,MIN($C$7,ROW()-1),1)),0))</f>
        <v>0</v>
      </c>
      <c r="BA1139">
        <f t="shared" ca="1" si="480"/>
        <v>0</v>
      </c>
      <c r="BB1139" t="str">
        <f ca="1">IF(BA1139=1,IF(INDEX(分析データ!$A:$A,ROW()+$C$5)&lt;&gt;"",60000*SIGN(AZ1139)*(分析データ!C1139-INDEX(分析データ!C:C,ROW()+$C$5)),""),"")</f>
        <v/>
      </c>
      <c r="BC1139">
        <f t="shared" ca="1" si="481"/>
        <v>-260999.9999999851</v>
      </c>
      <c r="BD1139">
        <f t="shared" ca="1" si="482"/>
        <v>3156000.0000000107</v>
      </c>
      <c r="BE1139">
        <f t="shared" ca="1" si="483"/>
        <v>-3416999.9999999958</v>
      </c>
      <c r="BF1139">
        <f ca="1">IF(ROW()&lt;($C$7+1),"",IFERROR((分析データ!D1139-AVERAGE(OFFSET(分析データ!D$1,MAX(1,ROW()-$C$7),0,MIN($C$7,ROW()-1),1)))/STDEV(OFFSET(分析データ!D$1,MAX(1,ROW()-$C$7),0,MIN($C$7,ROW()-1),1)),0))</f>
        <v>0</v>
      </c>
      <c r="BG1139">
        <f t="shared" ca="1" si="484"/>
        <v>0</v>
      </c>
      <c r="BH1139" t="str">
        <f ca="1">IF(BG1139=1,IF(INDEX(分析データ!$A:$A,ROW()+$C$5)&lt;&gt;"",50000*SIGN(BF1139)*(分析データ!D1139-INDEX(分析データ!D:D,ROW()+$C$5)),""),"")</f>
        <v/>
      </c>
      <c r="BI1139">
        <f t="shared" ca="1" si="485"/>
        <v>5570000.0000000205</v>
      </c>
      <c r="BJ1139">
        <f t="shared" ca="1" si="486"/>
        <v>5570000.0000000205</v>
      </c>
      <c r="BK1139">
        <f t="shared" ca="1" si="487"/>
        <v>0</v>
      </c>
      <c r="BL1139">
        <f ca="1">IF(ROW()&lt;($C$7+1),"",IFERROR((分析データ!E1139-AVERAGE(OFFSET(分析データ!E$1,MAX(1,ROW()-$C$7),0,MIN($C$7,ROW()-1),1)))/STDEV(OFFSET(分析データ!E$1,MAX(1,ROW()-$C$7),0,MIN($C$7,ROW()-1),1)),0))</f>
        <v>0</v>
      </c>
      <c r="BM1139">
        <f t="shared" ca="1" si="488"/>
        <v>0</v>
      </c>
      <c r="BN1139" t="str">
        <f ca="1">IF(BM1139=1,IF(INDEX(分析データ!$A:$A,ROW()+$C$5)&lt;&gt;"",40000*SIGN(BL1139)*(分析データ!E1139-INDEX(分析データ!E:E,ROW()+$C$5)),""),"")</f>
        <v/>
      </c>
      <c r="BO1139">
        <f t="shared" ca="1" si="489"/>
        <v>2720000.0000000014</v>
      </c>
      <c r="BP1139">
        <f t="shared" ca="1" si="490"/>
        <v>4280000.0000000028</v>
      </c>
      <c r="BQ1139">
        <f t="shared" ca="1" si="491"/>
        <v>-1560000.0000000014</v>
      </c>
      <c r="BR1139">
        <f ca="1">IF(ROW()&lt;($C$7+1),"",IFERROR((分析データ!F1139-AVERAGE(OFFSET(分析データ!F$1,MAX(1,ROW()-$C$7),0,MIN($C$7,ROW()-1),1)))/STDEV(OFFSET(分析データ!F$1,MAX(1,ROW()-$C$7),0,MIN($C$7,ROW()-1),1)),0))</f>
        <v>0</v>
      </c>
      <c r="BS1139">
        <f t="shared" ca="1" si="492"/>
        <v>0</v>
      </c>
      <c r="BT1139" t="str">
        <f ca="1">IF(BS1139=1,IF(INDEX(分析データ!$A:$A,ROW()+$C$5)&lt;&gt;"",40000*SIGN(BR1139)*(分析データ!F1139-INDEX(分析データ!F:F,ROW()+$C$5)),""),"")</f>
        <v/>
      </c>
      <c r="BU1139">
        <f t="shared" ca="1" si="493"/>
        <v>19816800</v>
      </c>
      <c r="BV1139">
        <f t="shared" ca="1" si="494"/>
        <v>19816800</v>
      </c>
      <c r="BW1139">
        <f t="shared" ca="1" si="495"/>
        <v>0</v>
      </c>
      <c r="BX1139">
        <f ca="1">IF(ROW()&lt;($C$7+1),"",IFERROR((分析データ!G1139-AVERAGE(OFFSET(分析データ!G$1,MAX(1,ROW()-$C$7),0,MIN($C$7,ROW()-1),1)))/STDEV(OFFSET(分析データ!G$1,MAX(1,ROW()-$C$7),0,MIN($C$7,ROW()-1),1)),0))</f>
        <v>0</v>
      </c>
      <c r="BY1139">
        <f t="shared" ca="1" si="496"/>
        <v>0</v>
      </c>
      <c r="BZ1139" t="str">
        <f ca="1">IF(BY1139=1,IF(INDEX(分析データ!$A:$A,ROW()+$C$5)&lt;&gt;"",40000*SIGN(BX1139)*(分析データ!G1139-INDEX(分析データ!G:G,ROW()+$C$5)),""),"")</f>
        <v/>
      </c>
      <c r="CA1139">
        <f t="shared" ca="1" si="497"/>
        <v>-3515452.8662109179</v>
      </c>
      <c r="CB1139">
        <f t="shared" ca="1" si="498"/>
        <v>11327520.000000004</v>
      </c>
      <c r="CC1139">
        <f t="shared" ca="1" si="499"/>
        <v>-14842972.866210923</v>
      </c>
      <c r="CD1139">
        <f t="shared" ca="1" si="500"/>
        <v>0</v>
      </c>
      <c r="CE1139">
        <f t="shared" ca="1" si="501"/>
        <v>23090347.13378913</v>
      </c>
      <c r="CF1139">
        <f t="shared" ca="1" si="502"/>
        <v>23090347.13378913</v>
      </c>
      <c r="CG1139">
        <f t="shared" ca="1" si="503"/>
        <v>0</v>
      </c>
      <c r="CH1139" s="10" t="str">
        <f>分析データ!A1139</f>
        <v/>
      </c>
    </row>
    <row r="1140" spans="46:86">
      <c r="AT1140">
        <f ca="1">IF(ROW()&lt;($C$7+1),"",IFERROR((分析データ!B1140-AVERAGE(OFFSET(分析データ!B$1,MAX(1,ROW()-$C$7),0,MIN($C$7,ROW()-1),1)))/STDEV(OFFSET(分析データ!B$1,MAX(1,ROW()-$C$7),0,MIN($C$7,ROW()-1),1)),0))</f>
        <v>0</v>
      </c>
      <c r="AU1140">
        <f t="shared" ca="1" si="476"/>
        <v>0</v>
      </c>
      <c r="AV1140" t="str">
        <f ca="1">IF(AU1140=1,IF(INDEX(分析データ!$A:$A,ROW()+$C$5)&lt;&gt;"",80000*SIGN(AT1140)*(分析データ!B1140-INDEX(分析データ!B:B,ROW()+$C$5)),""),"")</f>
        <v/>
      </c>
      <c r="AW1140">
        <f t="shared" ca="1" si="477"/>
        <v>-1240000.0000000019</v>
      </c>
      <c r="AX1140">
        <f t="shared" ca="1" si="478"/>
        <v>0</v>
      </c>
      <c r="AY1140">
        <f t="shared" ca="1" si="479"/>
        <v>-1240000.0000000019</v>
      </c>
      <c r="AZ1140">
        <f ca="1">IF(ROW()&lt;($C$7+1),"",IFERROR((分析データ!C1140-AVERAGE(OFFSET(分析データ!C$1,MAX(1,ROW()-$C$7),0,MIN($C$7,ROW()-1),1)))/STDEV(OFFSET(分析データ!C$1,MAX(1,ROW()-$C$7),0,MIN($C$7,ROW()-1),1)),0))</f>
        <v>0</v>
      </c>
      <c r="BA1140">
        <f t="shared" ca="1" si="480"/>
        <v>0</v>
      </c>
      <c r="BB1140" t="str">
        <f ca="1">IF(BA1140=1,IF(INDEX(分析データ!$A:$A,ROW()+$C$5)&lt;&gt;"",60000*SIGN(AZ1140)*(分析データ!C1140-INDEX(分析データ!C:C,ROW()+$C$5)),""),"")</f>
        <v/>
      </c>
      <c r="BC1140">
        <f t="shared" ca="1" si="481"/>
        <v>-260999.9999999851</v>
      </c>
      <c r="BD1140">
        <f t="shared" ca="1" si="482"/>
        <v>3156000.0000000107</v>
      </c>
      <c r="BE1140">
        <f t="shared" ca="1" si="483"/>
        <v>-3416999.9999999958</v>
      </c>
      <c r="BF1140">
        <f ca="1">IF(ROW()&lt;($C$7+1),"",IFERROR((分析データ!D1140-AVERAGE(OFFSET(分析データ!D$1,MAX(1,ROW()-$C$7),0,MIN($C$7,ROW()-1),1)))/STDEV(OFFSET(分析データ!D$1,MAX(1,ROW()-$C$7),0,MIN($C$7,ROW()-1),1)),0))</f>
        <v>0</v>
      </c>
      <c r="BG1140">
        <f t="shared" ca="1" si="484"/>
        <v>0</v>
      </c>
      <c r="BH1140" t="str">
        <f ca="1">IF(BG1140=1,IF(INDEX(分析データ!$A:$A,ROW()+$C$5)&lt;&gt;"",50000*SIGN(BF1140)*(分析データ!D1140-INDEX(分析データ!D:D,ROW()+$C$5)),""),"")</f>
        <v/>
      </c>
      <c r="BI1140">
        <f t="shared" ca="1" si="485"/>
        <v>5570000.0000000205</v>
      </c>
      <c r="BJ1140">
        <f t="shared" ca="1" si="486"/>
        <v>5570000.0000000205</v>
      </c>
      <c r="BK1140">
        <f t="shared" ca="1" si="487"/>
        <v>0</v>
      </c>
      <c r="BL1140">
        <f ca="1">IF(ROW()&lt;($C$7+1),"",IFERROR((分析データ!E1140-AVERAGE(OFFSET(分析データ!E$1,MAX(1,ROW()-$C$7),0,MIN($C$7,ROW()-1),1)))/STDEV(OFFSET(分析データ!E$1,MAX(1,ROW()-$C$7),0,MIN($C$7,ROW()-1),1)),0))</f>
        <v>0</v>
      </c>
      <c r="BM1140">
        <f t="shared" ca="1" si="488"/>
        <v>0</v>
      </c>
      <c r="BN1140" t="str">
        <f ca="1">IF(BM1140=1,IF(INDEX(分析データ!$A:$A,ROW()+$C$5)&lt;&gt;"",40000*SIGN(BL1140)*(分析データ!E1140-INDEX(分析データ!E:E,ROW()+$C$5)),""),"")</f>
        <v/>
      </c>
      <c r="BO1140">
        <f t="shared" ca="1" si="489"/>
        <v>2720000.0000000014</v>
      </c>
      <c r="BP1140">
        <f t="shared" ca="1" si="490"/>
        <v>4280000.0000000028</v>
      </c>
      <c r="BQ1140">
        <f t="shared" ca="1" si="491"/>
        <v>-1560000.0000000014</v>
      </c>
      <c r="BR1140">
        <f ca="1">IF(ROW()&lt;($C$7+1),"",IFERROR((分析データ!F1140-AVERAGE(OFFSET(分析データ!F$1,MAX(1,ROW()-$C$7),0,MIN($C$7,ROW()-1),1)))/STDEV(OFFSET(分析データ!F$1,MAX(1,ROW()-$C$7),0,MIN($C$7,ROW()-1),1)),0))</f>
        <v>0</v>
      </c>
      <c r="BS1140">
        <f t="shared" ca="1" si="492"/>
        <v>0</v>
      </c>
      <c r="BT1140" t="str">
        <f ca="1">IF(BS1140=1,IF(INDEX(分析データ!$A:$A,ROW()+$C$5)&lt;&gt;"",40000*SIGN(BR1140)*(分析データ!F1140-INDEX(分析データ!F:F,ROW()+$C$5)),""),"")</f>
        <v/>
      </c>
      <c r="BU1140">
        <f t="shared" ca="1" si="493"/>
        <v>19816800</v>
      </c>
      <c r="BV1140">
        <f t="shared" ca="1" si="494"/>
        <v>19816800</v>
      </c>
      <c r="BW1140">
        <f t="shared" ca="1" si="495"/>
        <v>0</v>
      </c>
      <c r="BX1140">
        <f ca="1">IF(ROW()&lt;($C$7+1),"",IFERROR((分析データ!G1140-AVERAGE(OFFSET(分析データ!G$1,MAX(1,ROW()-$C$7),0,MIN($C$7,ROW()-1),1)))/STDEV(OFFSET(分析データ!G$1,MAX(1,ROW()-$C$7),0,MIN($C$7,ROW()-1),1)),0))</f>
        <v>0</v>
      </c>
      <c r="BY1140">
        <f t="shared" ca="1" si="496"/>
        <v>0</v>
      </c>
      <c r="BZ1140" t="str">
        <f ca="1">IF(BY1140=1,IF(INDEX(分析データ!$A:$A,ROW()+$C$5)&lt;&gt;"",40000*SIGN(BX1140)*(分析データ!G1140-INDEX(分析データ!G:G,ROW()+$C$5)),""),"")</f>
        <v/>
      </c>
      <c r="CA1140">
        <f t="shared" ca="1" si="497"/>
        <v>-3515452.8662109179</v>
      </c>
      <c r="CB1140">
        <f t="shared" ca="1" si="498"/>
        <v>11327520.000000004</v>
      </c>
      <c r="CC1140">
        <f t="shared" ca="1" si="499"/>
        <v>-14842972.866210923</v>
      </c>
      <c r="CD1140">
        <f t="shared" ca="1" si="500"/>
        <v>0</v>
      </c>
      <c r="CE1140">
        <f t="shared" ca="1" si="501"/>
        <v>23090347.13378913</v>
      </c>
      <c r="CF1140">
        <f t="shared" ca="1" si="502"/>
        <v>23090347.13378913</v>
      </c>
      <c r="CG1140">
        <f t="shared" ca="1" si="503"/>
        <v>0</v>
      </c>
      <c r="CH1140" s="10" t="str">
        <f>分析データ!A1140</f>
        <v/>
      </c>
    </row>
    <row r="1141" spans="46:86">
      <c r="AT1141">
        <f ca="1">IF(ROW()&lt;($C$7+1),"",IFERROR((分析データ!B1141-AVERAGE(OFFSET(分析データ!B$1,MAX(1,ROW()-$C$7),0,MIN($C$7,ROW()-1),1)))/STDEV(OFFSET(分析データ!B$1,MAX(1,ROW()-$C$7),0,MIN($C$7,ROW()-1),1)),0))</f>
        <v>0</v>
      </c>
      <c r="AU1141">
        <f t="shared" ca="1" si="476"/>
        <v>0</v>
      </c>
      <c r="AV1141" t="str">
        <f ca="1">IF(AU1141=1,IF(INDEX(分析データ!$A:$A,ROW()+$C$5)&lt;&gt;"",80000*SIGN(AT1141)*(分析データ!B1141-INDEX(分析データ!B:B,ROW()+$C$5)),""),"")</f>
        <v/>
      </c>
      <c r="AW1141">
        <f t="shared" ca="1" si="477"/>
        <v>-1240000.0000000019</v>
      </c>
      <c r="AX1141">
        <f t="shared" ca="1" si="478"/>
        <v>0</v>
      </c>
      <c r="AY1141">
        <f t="shared" ca="1" si="479"/>
        <v>-1240000.0000000019</v>
      </c>
      <c r="AZ1141">
        <f ca="1">IF(ROW()&lt;($C$7+1),"",IFERROR((分析データ!C1141-AVERAGE(OFFSET(分析データ!C$1,MAX(1,ROW()-$C$7),0,MIN($C$7,ROW()-1),1)))/STDEV(OFFSET(分析データ!C$1,MAX(1,ROW()-$C$7),0,MIN($C$7,ROW()-1),1)),0))</f>
        <v>0</v>
      </c>
      <c r="BA1141">
        <f t="shared" ca="1" si="480"/>
        <v>0</v>
      </c>
      <c r="BB1141" t="str">
        <f ca="1">IF(BA1141=1,IF(INDEX(分析データ!$A:$A,ROW()+$C$5)&lt;&gt;"",60000*SIGN(AZ1141)*(分析データ!C1141-INDEX(分析データ!C:C,ROW()+$C$5)),""),"")</f>
        <v/>
      </c>
      <c r="BC1141">
        <f t="shared" ca="1" si="481"/>
        <v>-260999.9999999851</v>
      </c>
      <c r="BD1141">
        <f t="shared" ca="1" si="482"/>
        <v>3156000.0000000107</v>
      </c>
      <c r="BE1141">
        <f t="shared" ca="1" si="483"/>
        <v>-3416999.9999999958</v>
      </c>
      <c r="BF1141">
        <f ca="1">IF(ROW()&lt;($C$7+1),"",IFERROR((分析データ!D1141-AVERAGE(OFFSET(分析データ!D$1,MAX(1,ROW()-$C$7),0,MIN($C$7,ROW()-1),1)))/STDEV(OFFSET(分析データ!D$1,MAX(1,ROW()-$C$7),0,MIN($C$7,ROW()-1),1)),0))</f>
        <v>0</v>
      </c>
      <c r="BG1141">
        <f t="shared" ca="1" si="484"/>
        <v>0</v>
      </c>
      <c r="BH1141" t="str">
        <f ca="1">IF(BG1141=1,IF(INDEX(分析データ!$A:$A,ROW()+$C$5)&lt;&gt;"",50000*SIGN(BF1141)*(分析データ!D1141-INDEX(分析データ!D:D,ROW()+$C$5)),""),"")</f>
        <v/>
      </c>
      <c r="BI1141">
        <f t="shared" ca="1" si="485"/>
        <v>5570000.0000000205</v>
      </c>
      <c r="BJ1141">
        <f t="shared" ca="1" si="486"/>
        <v>5570000.0000000205</v>
      </c>
      <c r="BK1141">
        <f t="shared" ca="1" si="487"/>
        <v>0</v>
      </c>
      <c r="BL1141">
        <f ca="1">IF(ROW()&lt;($C$7+1),"",IFERROR((分析データ!E1141-AVERAGE(OFFSET(分析データ!E$1,MAX(1,ROW()-$C$7),0,MIN($C$7,ROW()-1),1)))/STDEV(OFFSET(分析データ!E$1,MAX(1,ROW()-$C$7),0,MIN($C$7,ROW()-1),1)),0))</f>
        <v>0</v>
      </c>
      <c r="BM1141">
        <f t="shared" ca="1" si="488"/>
        <v>0</v>
      </c>
      <c r="BN1141" t="str">
        <f ca="1">IF(BM1141=1,IF(INDEX(分析データ!$A:$A,ROW()+$C$5)&lt;&gt;"",40000*SIGN(BL1141)*(分析データ!E1141-INDEX(分析データ!E:E,ROW()+$C$5)),""),"")</f>
        <v/>
      </c>
      <c r="BO1141">
        <f t="shared" ca="1" si="489"/>
        <v>2720000.0000000014</v>
      </c>
      <c r="BP1141">
        <f t="shared" ca="1" si="490"/>
        <v>4280000.0000000028</v>
      </c>
      <c r="BQ1141">
        <f t="shared" ca="1" si="491"/>
        <v>-1560000.0000000014</v>
      </c>
      <c r="BR1141">
        <f ca="1">IF(ROW()&lt;($C$7+1),"",IFERROR((分析データ!F1141-AVERAGE(OFFSET(分析データ!F$1,MAX(1,ROW()-$C$7),0,MIN($C$7,ROW()-1),1)))/STDEV(OFFSET(分析データ!F$1,MAX(1,ROW()-$C$7),0,MIN($C$7,ROW()-1),1)),0))</f>
        <v>0</v>
      </c>
      <c r="BS1141">
        <f t="shared" ca="1" si="492"/>
        <v>0</v>
      </c>
      <c r="BT1141" t="str">
        <f ca="1">IF(BS1141=1,IF(INDEX(分析データ!$A:$A,ROW()+$C$5)&lt;&gt;"",40000*SIGN(BR1141)*(分析データ!F1141-INDEX(分析データ!F:F,ROW()+$C$5)),""),"")</f>
        <v/>
      </c>
      <c r="BU1141">
        <f t="shared" ca="1" si="493"/>
        <v>19816800</v>
      </c>
      <c r="BV1141">
        <f t="shared" ca="1" si="494"/>
        <v>19816800</v>
      </c>
      <c r="BW1141">
        <f t="shared" ca="1" si="495"/>
        <v>0</v>
      </c>
      <c r="BX1141">
        <f ca="1">IF(ROW()&lt;($C$7+1),"",IFERROR((分析データ!G1141-AVERAGE(OFFSET(分析データ!G$1,MAX(1,ROW()-$C$7),0,MIN($C$7,ROW()-1),1)))/STDEV(OFFSET(分析データ!G$1,MAX(1,ROW()-$C$7),0,MIN($C$7,ROW()-1),1)),0))</f>
        <v>0</v>
      </c>
      <c r="BY1141">
        <f t="shared" ca="1" si="496"/>
        <v>0</v>
      </c>
      <c r="BZ1141" t="str">
        <f ca="1">IF(BY1141=1,IF(INDEX(分析データ!$A:$A,ROW()+$C$5)&lt;&gt;"",40000*SIGN(BX1141)*(分析データ!G1141-INDEX(分析データ!G:G,ROW()+$C$5)),""),"")</f>
        <v/>
      </c>
      <c r="CA1141">
        <f t="shared" ca="1" si="497"/>
        <v>-3515452.8662109179</v>
      </c>
      <c r="CB1141">
        <f t="shared" ca="1" si="498"/>
        <v>11327520.000000004</v>
      </c>
      <c r="CC1141">
        <f t="shared" ca="1" si="499"/>
        <v>-14842972.866210923</v>
      </c>
      <c r="CD1141">
        <f t="shared" ca="1" si="500"/>
        <v>0</v>
      </c>
      <c r="CE1141">
        <f t="shared" ca="1" si="501"/>
        <v>23090347.13378913</v>
      </c>
      <c r="CF1141">
        <f t="shared" ca="1" si="502"/>
        <v>23090347.13378913</v>
      </c>
      <c r="CG1141">
        <f t="shared" ca="1" si="503"/>
        <v>0</v>
      </c>
      <c r="CH1141" s="10" t="str">
        <f>分析データ!A1141</f>
        <v/>
      </c>
    </row>
    <row r="1142" spans="46:86">
      <c r="AT1142">
        <f ca="1">IF(ROW()&lt;($C$7+1),"",IFERROR((分析データ!B1142-AVERAGE(OFFSET(分析データ!B$1,MAX(1,ROW()-$C$7),0,MIN($C$7,ROW()-1),1)))/STDEV(OFFSET(分析データ!B$1,MAX(1,ROW()-$C$7),0,MIN($C$7,ROW()-1),1)),0))</f>
        <v>0</v>
      </c>
      <c r="AU1142">
        <f t="shared" ca="1" si="476"/>
        <v>0</v>
      </c>
      <c r="AV1142" t="str">
        <f ca="1">IF(AU1142=1,IF(INDEX(分析データ!$A:$A,ROW()+$C$5)&lt;&gt;"",80000*SIGN(AT1142)*(分析データ!B1142-INDEX(分析データ!B:B,ROW()+$C$5)),""),"")</f>
        <v/>
      </c>
      <c r="AW1142">
        <f t="shared" ca="1" si="477"/>
        <v>-1240000.0000000019</v>
      </c>
      <c r="AX1142">
        <f t="shared" ca="1" si="478"/>
        <v>0</v>
      </c>
      <c r="AY1142">
        <f t="shared" ca="1" si="479"/>
        <v>-1240000.0000000019</v>
      </c>
      <c r="AZ1142">
        <f ca="1">IF(ROW()&lt;($C$7+1),"",IFERROR((分析データ!C1142-AVERAGE(OFFSET(分析データ!C$1,MAX(1,ROW()-$C$7),0,MIN($C$7,ROW()-1),1)))/STDEV(OFFSET(分析データ!C$1,MAX(1,ROW()-$C$7),0,MIN($C$7,ROW()-1),1)),0))</f>
        <v>0</v>
      </c>
      <c r="BA1142">
        <f t="shared" ca="1" si="480"/>
        <v>0</v>
      </c>
      <c r="BB1142" t="str">
        <f ca="1">IF(BA1142=1,IF(INDEX(分析データ!$A:$A,ROW()+$C$5)&lt;&gt;"",60000*SIGN(AZ1142)*(分析データ!C1142-INDEX(分析データ!C:C,ROW()+$C$5)),""),"")</f>
        <v/>
      </c>
      <c r="BC1142">
        <f t="shared" ca="1" si="481"/>
        <v>-260999.9999999851</v>
      </c>
      <c r="BD1142">
        <f t="shared" ca="1" si="482"/>
        <v>3156000.0000000107</v>
      </c>
      <c r="BE1142">
        <f t="shared" ca="1" si="483"/>
        <v>-3416999.9999999958</v>
      </c>
      <c r="BF1142">
        <f ca="1">IF(ROW()&lt;($C$7+1),"",IFERROR((分析データ!D1142-AVERAGE(OFFSET(分析データ!D$1,MAX(1,ROW()-$C$7),0,MIN($C$7,ROW()-1),1)))/STDEV(OFFSET(分析データ!D$1,MAX(1,ROW()-$C$7),0,MIN($C$7,ROW()-1),1)),0))</f>
        <v>0</v>
      </c>
      <c r="BG1142">
        <f t="shared" ca="1" si="484"/>
        <v>0</v>
      </c>
      <c r="BH1142" t="str">
        <f ca="1">IF(BG1142=1,IF(INDEX(分析データ!$A:$A,ROW()+$C$5)&lt;&gt;"",50000*SIGN(BF1142)*(分析データ!D1142-INDEX(分析データ!D:D,ROW()+$C$5)),""),"")</f>
        <v/>
      </c>
      <c r="BI1142">
        <f t="shared" ca="1" si="485"/>
        <v>5570000.0000000205</v>
      </c>
      <c r="BJ1142">
        <f t="shared" ca="1" si="486"/>
        <v>5570000.0000000205</v>
      </c>
      <c r="BK1142">
        <f t="shared" ca="1" si="487"/>
        <v>0</v>
      </c>
      <c r="BL1142">
        <f ca="1">IF(ROW()&lt;($C$7+1),"",IFERROR((分析データ!E1142-AVERAGE(OFFSET(分析データ!E$1,MAX(1,ROW()-$C$7),0,MIN($C$7,ROW()-1),1)))/STDEV(OFFSET(分析データ!E$1,MAX(1,ROW()-$C$7),0,MIN($C$7,ROW()-1),1)),0))</f>
        <v>0</v>
      </c>
      <c r="BM1142">
        <f t="shared" ca="1" si="488"/>
        <v>0</v>
      </c>
      <c r="BN1142" t="str">
        <f ca="1">IF(BM1142=1,IF(INDEX(分析データ!$A:$A,ROW()+$C$5)&lt;&gt;"",40000*SIGN(BL1142)*(分析データ!E1142-INDEX(分析データ!E:E,ROW()+$C$5)),""),"")</f>
        <v/>
      </c>
      <c r="BO1142">
        <f t="shared" ca="1" si="489"/>
        <v>2720000.0000000014</v>
      </c>
      <c r="BP1142">
        <f t="shared" ca="1" si="490"/>
        <v>4280000.0000000028</v>
      </c>
      <c r="BQ1142">
        <f t="shared" ca="1" si="491"/>
        <v>-1560000.0000000014</v>
      </c>
      <c r="BR1142">
        <f ca="1">IF(ROW()&lt;($C$7+1),"",IFERROR((分析データ!F1142-AVERAGE(OFFSET(分析データ!F$1,MAX(1,ROW()-$C$7),0,MIN($C$7,ROW()-1),1)))/STDEV(OFFSET(分析データ!F$1,MAX(1,ROW()-$C$7),0,MIN($C$7,ROW()-1),1)),0))</f>
        <v>0</v>
      </c>
      <c r="BS1142">
        <f t="shared" ca="1" si="492"/>
        <v>0</v>
      </c>
      <c r="BT1142" t="str">
        <f ca="1">IF(BS1142=1,IF(INDEX(分析データ!$A:$A,ROW()+$C$5)&lt;&gt;"",40000*SIGN(BR1142)*(分析データ!F1142-INDEX(分析データ!F:F,ROW()+$C$5)),""),"")</f>
        <v/>
      </c>
      <c r="BU1142">
        <f t="shared" ca="1" si="493"/>
        <v>19816800</v>
      </c>
      <c r="BV1142">
        <f t="shared" ca="1" si="494"/>
        <v>19816800</v>
      </c>
      <c r="BW1142">
        <f t="shared" ca="1" si="495"/>
        <v>0</v>
      </c>
      <c r="BX1142">
        <f ca="1">IF(ROW()&lt;($C$7+1),"",IFERROR((分析データ!G1142-AVERAGE(OFFSET(分析データ!G$1,MAX(1,ROW()-$C$7),0,MIN($C$7,ROW()-1),1)))/STDEV(OFFSET(分析データ!G$1,MAX(1,ROW()-$C$7),0,MIN($C$7,ROW()-1),1)),0))</f>
        <v>0</v>
      </c>
      <c r="BY1142">
        <f t="shared" ca="1" si="496"/>
        <v>0</v>
      </c>
      <c r="BZ1142" t="str">
        <f ca="1">IF(BY1142=1,IF(INDEX(分析データ!$A:$A,ROW()+$C$5)&lt;&gt;"",40000*SIGN(BX1142)*(分析データ!G1142-INDEX(分析データ!G:G,ROW()+$C$5)),""),"")</f>
        <v/>
      </c>
      <c r="CA1142">
        <f t="shared" ca="1" si="497"/>
        <v>-3515452.8662109179</v>
      </c>
      <c r="CB1142">
        <f t="shared" ca="1" si="498"/>
        <v>11327520.000000004</v>
      </c>
      <c r="CC1142">
        <f t="shared" ca="1" si="499"/>
        <v>-14842972.866210923</v>
      </c>
      <c r="CD1142">
        <f t="shared" ca="1" si="500"/>
        <v>0</v>
      </c>
      <c r="CE1142">
        <f t="shared" ca="1" si="501"/>
        <v>23090347.13378913</v>
      </c>
      <c r="CF1142">
        <f t="shared" ca="1" si="502"/>
        <v>23090347.13378913</v>
      </c>
      <c r="CG1142">
        <f t="shared" ca="1" si="503"/>
        <v>0</v>
      </c>
      <c r="CH1142" s="10" t="str">
        <f>分析データ!A1142</f>
        <v/>
      </c>
    </row>
    <row r="1143" spans="46:86">
      <c r="AT1143">
        <f ca="1">IF(ROW()&lt;($C$7+1),"",IFERROR((分析データ!B1143-AVERAGE(OFFSET(分析データ!B$1,MAX(1,ROW()-$C$7),0,MIN($C$7,ROW()-1),1)))/STDEV(OFFSET(分析データ!B$1,MAX(1,ROW()-$C$7),0,MIN($C$7,ROW()-1),1)),0))</f>
        <v>0</v>
      </c>
      <c r="AU1143">
        <f t="shared" ca="1" si="476"/>
        <v>0</v>
      </c>
      <c r="AV1143" t="str">
        <f ca="1">IF(AU1143=1,IF(INDEX(分析データ!$A:$A,ROW()+$C$5)&lt;&gt;"",80000*SIGN(AT1143)*(分析データ!B1143-INDEX(分析データ!B:B,ROW()+$C$5)),""),"")</f>
        <v/>
      </c>
      <c r="AW1143">
        <f t="shared" ca="1" si="477"/>
        <v>-1240000.0000000019</v>
      </c>
      <c r="AX1143">
        <f t="shared" ca="1" si="478"/>
        <v>0</v>
      </c>
      <c r="AY1143">
        <f t="shared" ca="1" si="479"/>
        <v>-1240000.0000000019</v>
      </c>
      <c r="AZ1143">
        <f ca="1">IF(ROW()&lt;($C$7+1),"",IFERROR((分析データ!C1143-AVERAGE(OFFSET(分析データ!C$1,MAX(1,ROW()-$C$7),0,MIN($C$7,ROW()-1),1)))/STDEV(OFFSET(分析データ!C$1,MAX(1,ROW()-$C$7),0,MIN($C$7,ROW()-1),1)),0))</f>
        <v>0</v>
      </c>
      <c r="BA1143">
        <f t="shared" ca="1" si="480"/>
        <v>0</v>
      </c>
      <c r="BB1143" t="str">
        <f ca="1">IF(BA1143=1,IF(INDEX(分析データ!$A:$A,ROW()+$C$5)&lt;&gt;"",60000*SIGN(AZ1143)*(分析データ!C1143-INDEX(分析データ!C:C,ROW()+$C$5)),""),"")</f>
        <v/>
      </c>
      <c r="BC1143">
        <f t="shared" ca="1" si="481"/>
        <v>-260999.9999999851</v>
      </c>
      <c r="BD1143">
        <f t="shared" ca="1" si="482"/>
        <v>3156000.0000000107</v>
      </c>
      <c r="BE1143">
        <f t="shared" ca="1" si="483"/>
        <v>-3416999.9999999958</v>
      </c>
      <c r="BF1143">
        <f ca="1">IF(ROW()&lt;($C$7+1),"",IFERROR((分析データ!D1143-AVERAGE(OFFSET(分析データ!D$1,MAX(1,ROW()-$C$7),0,MIN($C$7,ROW()-1),1)))/STDEV(OFFSET(分析データ!D$1,MAX(1,ROW()-$C$7),0,MIN($C$7,ROW()-1),1)),0))</f>
        <v>0</v>
      </c>
      <c r="BG1143">
        <f t="shared" ca="1" si="484"/>
        <v>0</v>
      </c>
      <c r="BH1143" t="str">
        <f ca="1">IF(BG1143=1,IF(INDEX(分析データ!$A:$A,ROW()+$C$5)&lt;&gt;"",50000*SIGN(BF1143)*(分析データ!D1143-INDEX(分析データ!D:D,ROW()+$C$5)),""),"")</f>
        <v/>
      </c>
      <c r="BI1143">
        <f t="shared" ca="1" si="485"/>
        <v>5570000.0000000205</v>
      </c>
      <c r="BJ1143">
        <f t="shared" ca="1" si="486"/>
        <v>5570000.0000000205</v>
      </c>
      <c r="BK1143">
        <f t="shared" ca="1" si="487"/>
        <v>0</v>
      </c>
      <c r="BL1143">
        <f ca="1">IF(ROW()&lt;($C$7+1),"",IFERROR((分析データ!E1143-AVERAGE(OFFSET(分析データ!E$1,MAX(1,ROW()-$C$7),0,MIN($C$7,ROW()-1),1)))/STDEV(OFFSET(分析データ!E$1,MAX(1,ROW()-$C$7),0,MIN($C$7,ROW()-1),1)),0))</f>
        <v>0</v>
      </c>
      <c r="BM1143">
        <f t="shared" ca="1" si="488"/>
        <v>0</v>
      </c>
      <c r="BN1143" t="str">
        <f ca="1">IF(BM1143=1,IF(INDEX(分析データ!$A:$A,ROW()+$C$5)&lt;&gt;"",40000*SIGN(BL1143)*(分析データ!E1143-INDEX(分析データ!E:E,ROW()+$C$5)),""),"")</f>
        <v/>
      </c>
      <c r="BO1143">
        <f t="shared" ca="1" si="489"/>
        <v>2720000.0000000014</v>
      </c>
      <c r="BP1143">
        <f t="shared" ca="1" si="490"/>
        <v>4280000.0000000028</v>
      </c>
      <c r="BQ1143">
        <f t="shared" ca="1" si="491"/>
        <v>-1560000.0000000014</v>
      </c>
      <c r="BR1143">
        <f ca="1">IF(ROW()&lt;($C$7+1),"",IFERROR((分析データ!F1143-AVERAGE(OFFSET(分析データ!F$1,MAX(1,ROW()-$C$7),0,MIN($C$7,ROW()-1),1)))/STDEV(OFFSET(分析データ!F$1,MAX(1,ROW()-$C$7),0,MIN($C$7,ROW()-1),1)),0))</f>
        <v>0</v>
      </c>
      <c r="BS1143">
        <f t="shared" ca="1" si="492"/>
        <v>0</v>
      </c>
      <c r="BT1143" t="str">
        <f ca="1">IF(BS1143=1,IF(INDEX(分析データ!$A:$A,ROW()+$C$5)&lt;&gt;"",40000*SIGN(BR1143)*(分析データ!F1143-INDEX(分析データ!F:F,ROW()+$C$5)),""),"")</f>
        <v/>
      </c>
      <c r="BU1143">
        <f t="shared" ca="1" si="493"/>
        <v>19816800</v>
      </c>
      <c r="BV1143">
        <f t="shared" ca="1" si="494"/>
        <v>19816800</v>
      </c>
      <c r="BW1143">
        <f t="shared" ca="1" si="495"/>
        <v>0</v>
      </c>
      <c r="BX1143">
        <f ca="1">IF(ROW()&lt;($C$7+1),"",IFERROR((分析データ!G1143-AVERAGE(OFFSET(分析データ!G$1,MAX(1,ROW()-$C$7),0,MIN($C$7,ROW()-1),1)))/STDEV(OFFSET(分析データ!G$1,MAX(1,ROW()-$C$7),0,MIN($C$7,ROW()-1),1)),0))</f>
        <v>0</v>
      </c>
      <c r="BY1143">
        <f t="shared" ca="1" si="496"/>
        <v>0</v>
      </c>
      <c r="BZ1143" t="str">
        <f ca="1">IF(BY1143=1,IF(INDEX(分析データ!$A:$A,ROW()+$C$5)&lt;&gt;"",40000*SIGN(BX1143)*(分析データ!G1143-INDEX(分析データ!G:G,ROW()+$C$5)),""),"")</f>
        <v/>
      </c>
      <c r="CA1143">
        <f t="shared" ca="1" si="497"/>
        <v>-3515452.8662109179</v>
      </c>
      <c r="CB1143">
        <f t="shared" ca="1" si="498"/>
        <v>11327520.000000004</v>
      </c>
      <c r="CC1143">
        <f t="shared" ca="1" si="499"/>
        <v>-14842972.866210923</v>
      </c>
      <c r="CD1143">
        <f t="shared" ca="1" si="500"/>
        <v>0</v>
      </c>
      <c r="CE1143">
        <f t="shared" ca="1" si="501"/>
        <v>23090347.13378913</v>
      </c>
      <c r="CF1143">
        <f t="shared" ca="1" si="502"/>
        <v>23090347.13378913</v>
      </c>
      <c r="CG1143">
        <f t="shared" ca="1" si="503"/>
        <v>0</v>
      </c>
      <c r="CH1143" s="10" t="str">
        <f>分析データ!A1143</f>
        <v/>
      </c>
    </row>
    <row r="1144" spans="46:86">
      <c r="AT1144">
        <f ca="1">IF(ROW()&lt;($C$7+1),"",IFERROR((分析データ!B1144-AVERAGE(OFFSET(分析データ!B$1,MAX(1,ROW()-$C$7),0,MIN($C$7,ROW()-1),1)))/STDEV(OFFSET(分析データ!B$1,MAX(1,ROW()-$C$7),0,MIN($C$7,ROW()-1),1)),0))</f>
        <v>0</v>
      </c>
      <c r="AU1144">
        <f t="shared" ca="1" si="476"/>
        <v>0</v>
      </c>
      <c r="AV1144" t="str">
        <f ca="1">IF(AU1144=1,IF(INDEX(分析データ!$A:$A,ROW()+$C$5)&lt;&gt;"",80000*SIGN(AT1144)*(分析データ!B1144-INDEX(分析データ!B:B,ROW()+$C$5)),""),"")</f>
        <v/>
      </c>
      <c r="AW1144">
        <f t="shared" ca="1" si="477"/>
        <v>-1240000.0000000019</v>
      </c>
      <c r="AX1144">
        <f t="shared" ca="1" si="478"/>
        <v>0</v>
      </c>
      <c r="AY1144">
        <f t="shared" ca="1" si="479"/>
        <v>-1240000.0000000019</v>
      </c>
      <c r="AZ1144">
        <f ca="1">IF(ROW()&lt;($C$7+1),"",IFERROR((分析データ!C1144-AVERAGE(OFFSET(分析データ!C$1,MAX(1,ROW()-$C$7),0,MIN($C$7,ROW()-1),1)))/STDEV(OFFSET(分析データ!C$1,MAX(1,ROW()-$C$7),0,MIN($C$7,ROW()-1),1)),0))</f>
        <v>0</v>
      </c>
      <c r="BA1144">
        <f t="shared" ca="1" si="480"/>
        <v>0</v>
      </c>
      <c r="BB1144" t="str">
        <f ca="1">IF(BA1144=1,IF(INDEX(分析データ!$A:$A,ROW()+$C$5)&lt;&gt;"",60000*SIGN(AZ1144)*(分析データ!C1144-INDEX(分析データ!C:C,ROW()+$C$5)),""),"")</f>
        <v/>
      </c>
      <c r="BC1144">
        <f t="shared" ca="1" si="481"/>
        <v>-260999.9999999851</v>
      </c>
      <c r="BD1144">
        <f t="shared" ca="1" si="482"/>
        <v>3156000.0000000107</v>
      </c>
      <c r="BE1144">
        <f t="shared" ca="1" si="483"/>
        <v>-3416999.9999999958</v>
      </c>
      <c r="BF1144">
        <f ca="1">IF(ROW()&lt;($C$7+1),"",IFERROR((分析データ!D1144-AVERAGE(OFFSET(分析データ!D$1,MAX(1,ROW()-$C$7),0,MIN($C$7,ROW()-1),1)))/STDEV(OFFSET(分析データ!D$1,MAX(1,ROW()-$C$7),0,MIN($C$7,ROW()-1),1)),0))</f>
        <v>0</v>
      </c>
      <c r="BG1144">
        <f t="shared" ca="1" si="484"/>
        <v>0</v>
      </c>
      <c r="BH1144" t="str">
        <f ca="1">IF(BG1144=1,IF(INDEX(分析データ!$A:$A,ROW()+$C$5)&lt;&gt;"",50000*SIGN(BF1144)*(分析データ!D1144-INDEX(分析データ!D:D,ROW()+$C$5)),""),"")</f>
        <v/>
      </c>
      <c r="BI1144">
        <f t="shared" ca="1" si="485"/>
        <v>5570000.0000000205</v>
      </c>
      <c r="BJ1144">
        <f t="shared" ca="1" si="486"/>
        <v>5570000.0000000205</v>
      </c>
      <c r="BK1144">
        <f t="shared" ca="1" si="487"/>
        <v>0</v>
      </c>
      <c r="BL1144">
        <f ca="1">IF(ROW()&lt;($C$7+1),"",IFERROR((分析データ!E1144-AVERAGE(OFFSET(分析データ!E$1,MAX(1,ROW()-$C$7),0,MIN($C$7,ROW()-1),1)))/STDEV(OFFSET(分析データ!E$1,MAX(1,ROW()-$C$7),0,MIN($C$7,ROW()-1),1)),0))</f>
        <v>0</v>
      </c>
      <c r="BM1144">
        <f t="shared" ca="1" si="488"/>
        <v>0</v>
      </c>
      <c r="BN1144" t="str">
        <f ca="1">IF(BM1144=1,IF(INDEX(分析データ!$A:$A,ROW()+$C$5)&lt;&gt;"",40000*SIGN(BL1144)*(分析データ!E1144-INDEX(分析データ!E:E,ROW()+$C$5)),""),"")</f>
        <v/>
      </c>
      <c r="BO1144">
        <f t="shared" ca="1" si="489"/>
        <v>2720000.0000000014</v>
      </c>
      <c r="BP1144">
        <f t="shared" ca="1" si="490"/>
        <v>4280000.0000000028</v>
      </c>
      <c r="BQ1144">
        <f t="shared" ca="1" si="491"/>
        <v>-1560000.0000000014</v>
      </c>
      <c r="BR1144">
        <f ca="1">IF(ROW()&lt;($C$7+1),"",IFERROR((分析データ!F1144-AVERAGE(OFFSET(分析データ!F$1,MAX(1,ROW()-$C$7),0,MIN($C$7,ROW()-1),1)))/STDEV(OFFSET(分析データ!F$1,MAX(1,ROW()-$C$7),0,MIN($C$7,ROW()-1),1)),0))</f>
        <v>0</v>
      </c>
      <c r="BS1144">
        <f t="shared" ca="1" si="492"/>
        <v>0</v>
      </c>
      <c r="BT1144" t="str">
        <f ca="1">IF(BS1144=1,IF(INDEX(分析データ!$A:$A,ROW()+$C$5)&lt;&gt;"",40000*SIGN(BR1144)*(分析データ!F1144-INDEX(分析データ!F:F,ROW()+$C$5)),""),"")</f>
        <v/>
      </c>
      <c r="BU1144">
        <f t="shared" ca="1" si="493"/>
        <v>19816800</v>
      </c>
      <c r="BV1144">
        <f t="shared" ca="1" si="494"/>
        <v>19816800</v>
      </c>
      <c r="BW1144">
        <f t="shared" ca="1" si="495"/>
        <v>0</v>
      </c>
      <c r="BX1144">
        <f ca="1">IF(ROW()&lt;($C$7+1),"",IFERROR((分析データ!G1144-AVERAGE(OFFSET(分析データ!G$1,MAX(1,ROW()-$C$7),0,MIN($C$7,ROW()-1),1)))/STDEV(OFFSET(分析データ!G$1,MAX(1,ROW()-$C$7),0,MIN($C$7,ROW()-1),1)),0))</f>
        <v>0</v>
      </c>
      <c r="BY1144">
        <f t="shared" ca="1" si="496"/>
        <v>0</v>
      </c>
      <c r="BZ1144" t="str">
        <f ca="1">IF(BY1144=1,IF(INDEX(分析データ!$A:$A,ROW()+$C$5)&lt;&gt;"",40000*SIGN(BX1144)*(分析データ!G1144-INDEX(分析データ!G:G,ROW()+$C$5)),""),"")</f>
        <v/>
      </c>
      <c r="CA1144">
        <f t="shared" ca="1" si="497"/>
        <v>-3515452.8662109179</v>
      </c>
      <c r="CB1144">
        <f t="shared" ca="1" si="498"/>
        <v>11327520.000000004</v>
      </c>
      <c r="CC1144">
        <f t="shared" ca="1" si="499"/>
        <v>-14842972.866210923</v>
      </c>
      <c r="CD1144">
        <f t="shared" ca="1" si="500"/>
        <v>0</v>
      </c>
      <c r="CE1144">
        <f t="shared" ca="1" si="501"/>
        <v>23090347.13378913</v>
      </c>
      <c r="CF1144">
        <f t="shared" ca="1" si="502"/>
        <v>23090347.13378913</v>
      </c>
      <c r="CG1144">
        <f t="shared" ca="1" si="503"/>
        <v>0</v>
      </c>
      <c r="CH1144" s="10" t="str">
        <f>分析データ!A1144</f>
        <v/>
      </c>
    </row>
    <row r="1145" spans="46:86">
      <c r="AT1145">
        <f ca="1">IF(ROW()&lt;($C$7+1),"",IFERROR((分析データ!B1145-AVERAGE(OFFSET(分析データ!B$1,MAX(1,ROW()-$C$7),0,MIN($C$7,ROW()-1),1)))/STDEV(OFFSET(分析データ!B$1,MAX(1,ROW()-$C$7),0,MIN($C$7,ROW()-1),1)),0))</f>
        <v>0</v>
      </c>
      <c r="AU1145">
        <f t="shared" ca="1" si="476"/>
        <v>0</v>
      </c>
      <c r="AV1145" t="str">
        <f ca="1">IF(AU1145=1,IF(INDEX(分析データ!$A:$A,ROW()+$C$5)&lt;&gt;"",80000*SIGN(AT1145)*(分析データ!B1145-INDEX(分析データ!B:B,ROW()+$C$5)),""),"")</f>
        <v/>
      </c>
      <c r="AW1145">
        <f t="shared" ca="1" si="477"/>
        <v>-1240000.0000000019</v>
      </c>
      <c r="AX1145">
        <f t="shared" ca="1" si="478"/>
        <v>0</v>
      </c>
      <c r="AY1145">
        <f t="shared" ca="1" si="479"/>
        <v>-1240000.0000000019</v>
      </c>
      <c r="AZ1145">
        <f ca="1">IF(ROW()&lt;($C$7+1),"",IFERROR((分析データ!C1145-AVERAGE(OFFSET(分析データ!C$1,MAX(1,ROW()-$C$7),0,MIN($C$7,ROW()-1),1)))/STDEV(OFFSET(分析データ!C$1,MAX(1,ROW()-$C$7),0,MIN($C$7,ROW()-1),1)),0))</f>
        <v>0</v>
      </c>
      <c r="BA1145">
        <f t="shared" ca="1" si="480"/>
        <v>0</v>
      </c>
      <c r="BB1145" t="str">
        <f ca="1">IF(BA1145=1,IF(INDEX(分析データ!$A:$A,ROW()+$C$5)&lt;&gt;"",60000*SIGN(AZ1145)*(分析データ!C1145-INDEX(分析データ!C:C,ROW()+$C$5)),""),"")</f>
        <v/>
      </c>
      <c r="BC1145">
        <f t="shared" ca="1" si="481"/>
        <v>-260999.9999999851</v>
      </c>
      <c r="BD1145">
        <f t="shared" ca="1" si="482"/>
        <v>3156000.0000000107</v>
      </c>
      <c r="BE1145">
        <f t="shared" ca="1" si="483"/>
        <v>-3416999.9999999958</v>
      </c>
      <c r="BF1145">
        <f ca="1">IF(ROW()&lt;($C$7+1),"",IFERROR((分析データ!D1145-AVERAGE(OFFSET(分析データ!D$1,MAX(1,ROW()-$C$7),0,MIN($C$7,ROW()-1),1)))/STDEV(OFFSET(分析データ!D$1,MAX(1,ROW()-$C$7),0,MIN($C$7,ROW()-1),1)),0))</f>
        <v>0</v>
      </c>
      <c r="BG1145">
        <f t="shared" ca="1" si="484"/>
        <v>0</v>
      </c>
      <c r="BH1145" t="str">
        <f ca="1">IF(BG1145=1,IF(INDEX(分析データ!$A:$A,ROW()+$C$5)&lt;&gt;"",50000*SIGN(BF1145)*(分析データ!D1145-INDEX(分析データ!D:D,ROW()+$C$5)),""),"")</f>
        <v/>
      </c>
      <c r="BI1145">
        <f t="shared" ca="1" si="485"/>
        <v>5570000.0000000205</v>
      </c>
      <c r="BJ1145">
        <f t="shared" ca="1" si="486"/>
        <v>5570000.0000000205</v>
      </c>
      <c r="BK1145">
        <f t="shared" ca="1" si="487"/>
        <v>0</v>
      </c>
      <c r="BL1145">
        <f ca="1">IF(ROW()&lt;($C$7+1),"",IFERROR((分析データ!E1145-AVERAGE(OFFSET(分析データ!E$1,MAX(1,ROW()-$C$7),0,MIN($C$7,ROW()-1),1)))/STDEV(OFFSET(分析データ!E$1,MAX(1,ROW()-$C$7),0,MIN($C$7,ROW()-1),1)),0))</f>
        <v>0</v>
      </c>
      <c r="BM1145">
        <f t="shared" ca="1" si="488"/>
        <v>0</v>
      </c>
      <c r="BN1145" t="str">
        <f ca="1">IF(BM1145=1,IF(INDEX(分析データ!$A:$A,ROW()+$C$5)&lt;&gt;"",40000*SIGN(BL1145)*(分析データ!E1145-INDEX(分析データ!E:E,ROW()+$C$5)),""),"")</f>
        <v/>
      </c>
      <c r="BO1145">
        <f t="shared" ca="1" si="489"/>
        <v>2720000.0000000014</v>
      </c>
      <c r="BP1145">
        <f t="shared" ca="1" si="490"/>
        <v>4280000.0000000028</v>
      </c>
      <c r="BQ1145">
        <f t="shared" ca="1" si="491"/>
        <v>-1560000.0000000014</v>
      </c>
      <c r="BR1145">
        <f ca="1">IF(ROW()&lt;($C$7+1),"",IFERROR((分析データ!F1145-AVERAGE(OFFSET(分析データ!F$1,MAX(1,ROW()-$C$7),0,MIN($C$7,ROW()-1),1)))/STDEV(OFFSET(分析データ!F$1,MAX(1,ROW()-$C$7),0,MIN($C$7,ROW()-1),1)),0))</f>
        <v>0</v>
      </c>
      <c r="BS1145">
        <f t="shared" ca="1" si="492"/>
        <v>0</v>
      </c>
      <c r="BT1145" t="str">
        <f ca="1">IF(BS1145=1,IF(INDEX(分析データ!$A:$A,ROW()+$C$5)&lt;&gt;"",40000*SIGN(BR1145)*(分析データ!F1145-INDEX(分析データ!F:F,ROW()+$C$5)),""),"")</f>
        <v/>
      </c>
      <c r="BU1145">
        <f t="shared" ca="1" si="493"/>
        <v>19816800</v>
      </c>
      <c r="BV1145">
        <f t="shared" ca="1" si="494"/>
        <v>19816800</v>
      </c>
      <c r="BW1145">
        <f t="shared" ca="1" si="495"/>
        <v>0</v>
      </c>
      <c r="BX1145">
        <f ca="1">IF(ROW()&lt;($C$7+1),"",IFERROR((分析データ!G1145-AVERAGE(OFFSET(分析データ!G$1,MAX(1,ROW()-$C$7),0,MIN($C$7,ROW()-1),1)))/STDEV(OFFSET(分析データ!G$1,MAX(1,ROW()-$C$7),0,MIN($C$7,ROW()-1),1)),0))</f>
        <v>0</v>
      </c>
      <c r="BY1145">
        <f t="shared" ca="1" si="496"/>
        <v>0</v>
      </c>
      <c r="BZ1145" t="str">
        <f ca="1">IF(BY1145=1,IF(INDEX(分析データ!$A:$A,ROW()+$C$5)&lt;&gt;"",40000*SIGN(BX1145)*(分析データ!G1145-INDEX(分析データ!G:G,ROW()+$C$5)),""),"")</f>
        <v/>
      </c>
      <c r="CA1145">
        <f t="shared" ca="1" si="497"/>
        <v>-3515452.8662109179</v>
      </c>
      <c r="CB1145">
        <f t="shared" ca="1" si="498"/>
        <v>11327520.000000004</v>
      </c>
      <c r="CC1145">
        <f t="shared" ca="1" si="499"/>
        <v>-14842972.866210923</v>
      </c>
      <c r="CD1145">
        <f t="shared" ca="1" si="500"/>
        <v>0</v>
      </c>
      <c r="CE1145">
        <f t="shared" ca="1" si="501"/>
        <v>23090347.13378913</v>
      </c>
      <c r="CF1145">
        <f t="shared" ca="1" si="502"/>
        <v>23090347.13378913</v>
      </c>
      <c r="CG1145">
        <f t="shared" ca="1" si="503"/>
        <v>0</v>
      </c>
      <c r="CH1145" s="10" t="str">
        <f>分析データ!A1145</f>
        <v/>
      </c>
    </row>
    <row r="1146" spans="46:86">
      <c r="AT1146">
        <f ca="1">IF(ROW()&lt;($C$7+1),"",IFERROR((分析データ!B1146-AVERAGE(OFFSET(分析データ!B$1,MAX(1,ROW()-$C$7),0,MIN($C$7,ROW()-1),1)))/STDEV(OFFSET(分析データ!B$1,MAX(1,ROW()-$C$7),0,MIN($C$7,ROW()-1),1)),0))</f>
        <v>0</v>
      </c>
      <c r="AU1146">
        <f t="shared" ca="1" si="476"/>
        <v>0</v>
      </c>
      <c r="AV1146" t="str">
        <f ca="1">IF(AU1146=1,IF(INDEX(分析データ!$A:$A,ROW()+$C$5)&lt;&gt;"",80000*SIGN(AT1146)*(分析データ!B1146-INDEX(分析データ!B:B,ROW()+$C$5)),""),"")</f>
        <v/>
      </c>
      <c r="AW1146">
        <f t="shared" ca="1" si="477"/>
        <v>-1240000.0000000019</v>
      </c>
      <c r="AX1146">
        <f t="shared" ca="1" si="478"/>
        <v>0</v>
      </c>
      <c r="AY1146">
        <f t="shared" ca="1" si="479"/>
        <v>-1240000.0000000019</v>
      </c>
      <c r="AZ1146">
        <f ca="1">IF(ROW()&lt;($C$7+1),"",IFERROR((分析データ!C1146-AVERAGE(OFFSET(分析データ!C$1,MAX(1,ROW()-$C$7),0,MIN($C$7,ROW()-1),1)))/STDEV(OFFSET(分析データ!C$1,MAX(1,ROW()-$C$7),0,MIN($C$7,ROW()-1),1)),0))</f>
        <v>0</v>
      </c>
      <c r="BA1146">
        <f t="shared" ca="1" si="480"/>
        <v>0</v>
      </c>
      <c r="BB1146" t="str">
        <f ca="1">IF(BA1146=1,IF(INDEX(分析データ!$A:$A,ROW()+$C$5)&lt;&gt;"",60000*SIGN(AZ1146)*(分析データ!C1146-INDEX(分析データ!C:C,ROW()+$C$5)),""),"")</f>
        <v/>
      </c>
      <c r="BC1146">
        <f t="shared" ca="1" si="481"/>
        <v>-260999.9999999851</v>
      </c>
      <c r="BD1146">
        <f t="shared" ca="1" si="482"/>
        <v>3156000.0000000107</v>
      </c>
      <c r="BE1146">
        <f t="shared" ca="1" si="483"/>
        <v>-3416999.9999999958</v>
      </c>
      <c r="BF1146">
        <f ca="1">IF(ROW()&lt;($C$7+1),"",IFERROR((分析データ!D1146-AVERAGE(OFFSET(分析データ!D$1,MAX(1,ROW()-$C$7),0,MIN($C$7,ROW()-1),1)))/STDEV(OFFSET(分析データ!D$1,MAX(1,ROW()-$C$7),0,MIN($C$7,ROW()-1),1)),0))</f>
        <v>0</v>
      </c>
      <c r="BG1146">
        <f t="shared" ca="1" si="484"/>
        <v>0</v>
      </c>
      <c r="BH1146" t="str">
        <f ca="1">IF(BG1146=1,IF(INDEX(分析データ!$A:$A,ROW()+$C$5)&lt;&gt;"",50000*SIGN(BF1146)*(分析データ!D1146-INDEX(分析データ!D:D,ROW()+$C$5)),""),"")</f>
        <v/>
      </c>
      <c r="BI1146">
        <f t="shared" ca="1" si="485"/>
        <v>5570000.0000000205</v>
      </c>
      <c r="BJ1146">
        <f t="shared" ca="1" si="486"/>
        <v>5570000.0000000205</v>
      </c>
      <c r="BK1146">
        <f t="shared" ca="1" si="487"/>
        <v>0</v>
      </c>
      <c r="BL1146">
        <f ca="1">IF(ROW()&lt;($C$7+1),"",IFERROR((分析データ!E1146-AVERAGE(OFFSET(分析データ!E$1,MAX(1,ROW()-$C$7),0,MIN($C$7,ROW()-1),1)))/STDEV(OFFSET(分析データ!E$1,MAX(1,ROW()-$C$7),0,MIN($C$7,ROW()-1),1)),0))</f>
        <v>0</v>
      </c>
      <c r="BM1146">
        <f t="shared" ca="1" si="488"/>
        <v>0</v>
      </c>
      <c r="BN1146" t="str">
        <f ca="1">IF(BM1146=1,IF(INDEX(分析データ!$A:$A,ROW()+$C$5)&lt;&gt;"",40000*SIGN(BL1146)*(分析データ!E1146-INDEX(分析データ!E:E,ROW()+$C$5)),""),"")</f>
        <v/>
      </c>
      <c r="BO1146">
        <f t="shared" ca="1" si="489"/>
        <v>2720000.0000000014</v>
      </c>
      <c r="BP1146">
        <f t="shared" ca="1" si="490"/>
        <v>4280000.0000000028</v>
      </c>
      <c r="BQ1146">
        <f t="shared" ca="1" si="491"/>
        <v>-1560000.0000000014</v>
      </c>
      <c r="BR1146">
        <f ca="1">IF(ROW()&lt;($C$7+1),"",IFERROR((分析データ!F1146-AVERAGE(OFFSET(分析データ!F$1,MAX(1,ROW()-$C$7),0,MIN($C$7,ROW()-1),1)))/STDEV(OFFSET(分析データ!F$1,MAX(1,ROW()-$C$7),0,MIN($C$7,ROW()-1),1)),0))</f>
        <v>0</v>
      </c>
      <c r="BS1146">
        <f t="shared" ca="1" si="492"/>
        <v>0</v>
      </c>
      <c r="BT1146" t="str">
        <f ca="1">IF(BS1146=1,IF(INDEX(分析データ!$A:$A,ROW()+$C$5)&lt;&gt;"",40000*SIGN(BR1146)*(分析データ!F1146-INDEX(分析データ!F:F,ROW()+$C$5)),""),"")</f>
        <v/>
      </c>
      <c r="BU1146">
        <f t="shared" ca="1" si="493"/>
        <v>19816800</v>
      </c>
      <c r="BV1146">
        <f t="shared" ca="1" si="494"/>
        <v>19816800</v>
      </c>
      <c r="BW1146">
        <f t="shared" ca="1" si="495"/>
        <v>0</v>
      </c>
      <c r="BX1146">
        <f ca="1">IF(ROW()&lt;($C$7+1),"",IFERROR((分析データ!G1146-AVERAGE(OFFSET(分析データ!G$1,MAX(1,ROW()-$C$7),0,MIN($C$7,ROW()-1),1)))/STDEV(OFFSET(分析データ!G$1,MAX(1,ROW()-$C$7),0,MIN($C$7,ROW()-1),1)),0))</f>
        <v>0</v>
      </c>
      <c r="BY1146">
        <f t="shared" ca="1" si="496"/>
        <v>0</v>
      </c>
      <c r="BZ1146" t="str">
        <f ca="1">IF(BY1146=1,IF(INDEX(分析データ!$A:$A,ROW()+$C$5)&lt;&gt;"",40000*SIGN(BX1146)*(分析データ!G1146-INDEX(分析データ!G:G,ROW()+$C$5)),""),"")</f>
        <v/>
      </c>
      <c r="CA1146">
        <f t="shared" ca="1" si="497"/>
        <v>-3515452.8662109179</v>
      </c>
      <c r="CB1146">
        <f t="shared" ca="1" si="498"/>
        <v>11327520.000000004</v>
      </c>
      <c r="CC1146">
        <f t="shared" ca="1" si="499"/>
        <v>-14842972.866210923</v>
      </c>
      <c r="CD1146">
        <f t="shared" ca="1" si="500"/>
        <v>0</v>
      </c>
      <c r="CE1146">
        <f t="shared" ca="1" si="501"/>
        <v>23090347.13378913</v>
      </c>
      <c r="CF1146">
        <f t="shared" ca="1" si="502"/>
        <v>23090347.13378913</v>
      </c>
      <c r="CG1146">
        <f t="shared" ca="1" si="503"/>
        <v>0</v>
      </c>
      <c r="CH1146" s="10" t="str">
        <f>分析データ!A1146</f>
        <v/>
      </c>
    </row>
    <row r="1147" spans="46:86">
      <c r="AT1147">
        <f ca="1">IF(ROW()&lt;($C$7+1),"",IFERROR((分析データ!B1147-AVERAGE(OFFSET(分析データ!B$1,MAX(1,ROW()-$C$7),0,MIN($C$7,ROW()-1),1)))/STDEV(OFFSET(分析データ!B$1,MAX(1,ROW()-$C$7),0,MIN($C$7,ROW()-1),1)),0))</f>
        <v>0</v>
      </c>
      <c r="AU1147">
        <f t="shared" ca="1" si="476"/>
        <v>0</v>
      </c>
      <c r="AV1147" t="str">
        <f ca="1">IF(AU1147=1,IF(INDEX(分析データ!$A:$A,ROW()+$C$5)&lt;&gt;"",80000*SIGN(AT1147)*(分析データ!B1147-INDEX(分析データ!B:B,ROW()+$C$5)),""),"")</f>
        <v/>
      </c>
      <c r="AW1147">
        <f t="shared" ca="1" si="477"/>
        <v>-1240000.0000000019</v>
      </c>
      <c r="AX1147">
        <f t="shared" ca="1" si="478"/>
        <v>0</v>
      </c>
      <c r="AY1147">
        <f t="shared" ca="1" si="479"/>
        <v>-1240000.0000000019</v>
      </c>
      <c r="AZ1147">
        <f ca="1">IF(ROW()&lt;($C$7+1),"",IFERROR((分析データ!C1147-AVERAGE(OFFSET(分析データ!C$1,MAX(1,ROW()-$C$7),0,MIN($C$7,ROW()-1),1)))/STDEV(OFFSET(分析データ!C$1,MAX(1,ROW()-$C$7),0,MIN($C$7,ROW()-1),1)),0))</f>
        <v>0</v>
      </c>
      <c r="BA1147">
        <f t="shared" ca="1" si="480"/>
        <v>0</v>
      </c>
      <c r="BB1147" t="str">
        <f ca="1">IF(BA1147=1,IF(INDEX(分析データ!$A:$A,ROW()+$C$5)&lt;&gt;"",60000*SIGN(AZ1147)*(分析データ!C1147-INDEX(分析データ!C:C,ROW()+$C$5)),""),"")</f>
        <v/>
      </c>
      <c r="BC1147">
        <f t="shared" ca="1" si="481"/>
        <v>-260999.9999999851</v>
      </c>
      <c r="BD1147">
        <f t="shared" ca="1" si="482"/>
        <v>3156000.0000000107</v>
      </c>
      <c r="BE1147">
        <f t="shared" ca="1" si="483"/>
        <v>-3416999.9999999958</v>
      </c>
      <c r="BF1147">
        <f ca="1">IF(ROW()&lt;($C$7+1),"",IFERROR((分析データ!D1147-AVERAGE(OFFSET(分析データ!D$1,MAX(1,ROW()-$C$7),0,MIN($C$7,ROW()-1),1)))/STDEV(OFFSET(分析データ!D$1,MAX(1,ROW()-$C$7),0,MIN($C$7,ROW()-1),1)),0))</f>
        <v>0</v>
      </c>
      <c r="BG1147">
        <f t="shared" ca="1" si="484"/>
        <v>0</v>
      </c>
      <c r="BH1147" t="str">
        <f ca="1">IF(BG1147=1,IF(INDEX(分析データ!$A:$A,ROW()+$C$5)&lt;&gt;"",50000*SIGN(BF1147)*(分析データ!D1147-INDEX(分析データ!D:D,ROW()+$C$5)),""),"")</f>
        <v/>
      </c>
      <c r="BI1147">
        <f t="shared" ca="1" si="485"/>
        <v>5570000.0000000205</v>
      </c>
      <c r="BJ1147">
        <f t="shared" ca="1" si="486"/>
        <v>5570000.0000000205</v>
      </c>
      <c r="BK1147">
        <f t="shared" ca="1" si="487"/>
        <v>0</v>
      </c>
      <c r="BL1147">
        <f ca="1">IF(ROW()&lt;($C$7+1),"",IFERROR((分析データ!E1147-AVERAGE(OFFSET(分析データ!E$1,MAX(1,ROW()-$C$7),0,MIN($C$7,ROW()-1),1)))/STDEV(OFFSET(分析データ!E$1,MAX(1,ROW()-$C$7),0,MIN($C$7,ROW()-1),1)),0))</f>
        <v>0</v>
      </c>
      <c r="BM1147">
        <f t="shared" ca="1" si="488"/>
        <v>0</v>
      </c>
      <c r="BN1147" t="str">
        <f ca="1">IF(BM1147=1,IF(INDEX(分析データ!$A:$A,ROW()+$C$5)&lt;&gt;"",40000*SIGN(BL1147)*(分析データ!E1147-INDEX(分析データ!E:E,ROW()+$C$5)),""),"")</f>
        <v/>
      </c>
      <c r="BO1147">
        <f t="shared" ca="1" si="489"/>
        <v>2720000.0000000014</v>
      </c>
      <c r="BP1147">
        <f t="shared" ca="1" si="490"/>
        <v>4280000.0000000028</v>
      </c>
      <c r="BQ1147">
        <f t="shared" ca="1" si="491"/>
        <v>-1560000.0000000014</v>
      </c>
      <c r="BR1147">
        <f ca="1">IF(ROW()&lt;($C$7+1),"",IFERROR((分析データ!F1147-AVERAGE(OFFSET(分析データ!F$1,MAX(1,ROW()-$C$7),0,MIN($C$7,ROW()-1),1)))/STDEV(OFFSET(分析データ!F$1,MAX(1,ROW()-$C$7),0,MIN($C$7,ROW()-1),1)),0))</f>
        <v>0</v>
      </c>
      <c r="BS1147">
        <f t="shared" ca="1" si="492"/>
        <v>0</v>
      </c>
      <c r="BT1147" t="str">
        <f ca="1">IF(BS1147=1,IF(INDEX(分析データ!$A:$A,ROW()+$C$5)&lt;&gt;"",40000*SIGN(BR1147)*(分析データ!F1147-INDEX(分析データ!F:F,ROW()+$C$5)),""),"")</f>
        <v/>
      </c>
      <c r="BU1147">
        <f t="shared" ca="1" si="493"/>
        <v>19816800</v>
      </c>
      <c r="BV1147">
        <f t="shared" ca="1" si="494"/>
        <v>19816800</v>
      </c>
      <c r="BW1147">
        <f t="shared" ca="1" si="495"/>
        <v>0</v>
      </c>
      <c r="BX1147">
        <f ca="1">IF(ROW()&lt;($C$7+1),"",IFERROR((分析データ!G1147-AVERAGE(OFFSET(分析データ!G$1,MAX(1,ROW()-$C$7),0,MIN($C$7,ROW()-1),1)))/STDEV(OFFSET(分析データ!G$1,MAX(1,ROW()-$C$7),0,MIN($C$7,ROW()-1),1)),0))</f>
        <v>0</v>
      </c>
      <c r="BY1147">
        <f t="shared" ca="1" si="496"/>
        <v>0</v>
      </c>
      <c r="BZ1147" t="str">
        <f ca="1">IF(BY1147=1,IF(INDEX(分析データ!$A:$A,ROW()+$C$5)&lt;&gt;"",40000*SIGN(BX1147)*(分析データ!G1147-INDEX(分析データ!G:G,ROW()+$C$5)),""),"")</f>
        <v/>
      </c>
      <c r="CA1147">
        <f t="shared" ca="1" si="497"/>
        <v>-3515452.8662109179</v>
      </c>
      <c r="CB1147">
        <f t="shared" ca="1" si="498"/>
        <v>11327520.000000004</v>
      </c>
      <c r="CC1147">
        <f t="shared" ca="1" si="499"/>
        <v>-14842972.866210923</v>
      </c>
      <c r="CD1147">
        <f t="shared" ca="1" si="500"/>
        <v>0</v>
      </c>
      <c r="CE1147">
        <f t="shared" ca="1" si="501"/>
        <v>23090347.13378913</v>
      </c>
      <c r="CF1147">
        <f t="shared" ca="1" si="502"/>
        <v>23090347.13378913</v>
      </c>
      <c r="CG1147">
        <f t="shared" ca="1" si="503"/>
        <v>0</v>
      </c>
      <c r="CH1147" s="10" t="str">
        <f>分析データ!A1147</f>
        <v/>
      </c>
    </row>
    <row r="1148" spans="46:86">
      <c r="AT1148">
        <f ca="1">IF(ROW()&lt;($C$7+1),"",IFERROR((分析データ!B1148-AVERAGE(OFFSET(分析データ!B$1,MAX(1,ROW()-$C$7),0,MIN($C$7,ROW()-1),1)))/STDEV(OFFSET(分析データ!B$1,MAX(1,ROW()-$C$7),0,MIN($C$7,ROW()-1),1)),0))</f>
        <v>0</v>
      </c>
      <c r="AU1148">
        <f t="shared" ca="1" si="476"/>
        <v>0</v>
      </c>
      <c r="AV1148" t="str">
        <f ca="1">IF(AU1148=1,IF(INDEX(分析データ!$A:$A,ROW()+$C$5)&lt;&gt;"",80000*SIGN(AT1148)*(分析データ!B1148-INDEX(分析データ!B:B,ROW()+$C$5)),""),"")</f>
        <v/>
      </c>
      <c r="AW1148">
        <f t="shared" ca="1" si="477"/>
        <v>-1240000.0000000019</v>
      </c>
      <c r="AX1148">
        <f t="shared" ca="1" si="478"/>
        <v>0</v>
      </c>
      <c r="AY1148">
        <f t="shared" ca="1" si="479"/>
        <v>-1240000.0000000019</v>
      </c>
      <c r="AZ1148">
        <f ca="1">IF(ROW()&lt;($C$7+1),"",IFERROR((分析データ!C1148-AVERAGE(OFFSET(分析データ!C$1,MAX(1,ROW()-$C$7),0,MIN($C$7,ROW()-1),1)))/STDEV(OFFSET(分析データ!C$1,MAX(1,ROW()-$C$7),0,MIN($C$7,ROW()-1),1)),0))</f>
        <v>0</v>
      </c>
      <c r="BA1148">
        <f t="shared" ca="1" si="480"/>
        <v>0</v>
      </c>
      <c r="BB1148" t="str">
        <f ca="1">IF(BA1148=1,IF(INDEX(分析データ!$A:$A,ROW()+$C$5)&lt;&gt;"",60000*SIGN(AZ1148)*(分析データ!C1148-INDEX(分析データ!C:C,ROW()+$C$5)),""),"")</f>
        <v/>
      </c>
      <c r="BC1148">
        <f t="shared" ca="1" si="481"/>
        <v>-260999.9999999851</v>
      </c>
      <c r="BD1148">
        <f t="shared" ca="1" si="482"/>
        <v>3156000.0000000107</v>
      </c>
      <c r="BE1148">
        <f t="shared" ca="1" si="483"/>
        <v>-3416999.9999999958</v>
      </c>
      <c r="BF1148">
        <f ca="1">IF(ROW()&lt;($C$7+1),"",IFERROR((分析データ!D1148-AVERAGE(OFFSET(分析データ!D$1,MAX(1,ROW()-$C$7),0,MIN($C$7,ROW()-1),1)))/STDEV(OFFSET(分析データ!D$1,MAX(1,ROW()-$C$7),0,MIN($C$7,ROW()-1),1)),0))</f>
        <v>0</v>
      </c>
      <c r="BG1148">
        <f t="shared" ca="1" si="484"/>
        <v>0</v>
      </c>
      <c r="BH1148" t="str">
        <f ca="1">IF(BG1148=1,IF(INDEX(分析データ!$A:$A,ROW()+$C$5)&lt;&gt;"",50000*SIGN(BF1148)*(分析データ!D1148-INDEX(分析データ!D:D,ROW()+$C$5)),""),"")</f>
        <v/>
      </c>
      <c r="BI1148">
        <f t="shared" ca="1" si="485"/>
        <v>5570000.0000000205</v>
      </c>
      <c r="BJ1148">
        <f t="shared" ca="1" si="486"/>
        <v>5570000.0000000205</v>
      </c>
      <c r="BK1148">
        <f t="shared" ca="1" si="487"/>
        <v>0</v>
      </c>
      <c r="BL1148">
        <f ca="1">IF(ROW()&lt;($C$7+1),"",IFERROR((分析データ!E1148-AVERAGE(OFFSET(分析データ!E$1,MAX(1,ROW()-$C$7),0,MIN($C$7,ROW()-1),1)))/STDEV(OFFSET(分析データ!E$1,MAX(1,ROW()-$C$7),0,MIN($C$7,ROW()-1),1)),0))</f>
        <v>0</v>
      </c>
      <c r="BM1148">
        <f t="shared" ca="1" si="488"/>
        <v>0</v>
      </c>
      <c r="BN1148" t="str">
        <f ca="1">IF(BM1148=1,IF(INDEX(分析データ!$A:$A,ROW()+$C$5)&lt;&gt;"",40000*SIGN(BL1148)*(分析データ!E1148-INDEX(分析データ!E:E,ROW()+$C$5)),""),"")</f>
        <v/>
      </c>
      <c r="BO1148">
        <f t="shared" ca="1" si="489"/>
        <v>2720000.0000000014</v>
      </c>
      <c r="BP1148">
        <f t="shared" ca="1" si="490"/>
        <v>4280000.0000000028</v>
      </c>
      <c r="BQ1148">
        <f t="shared" ca="1" si="491"/>
        <v>-1560000.0000000014</v>
      </c>
      <c r="BR1148">
        <f ca="1">IF(ROW()&lt;($C$7+1),"",IFERROR((分析データ!F1148-AVERAGE(OFFSET(分析データ!F$1,MAX(1,ROW()-$C$7),0,MIN($C$7,ROW()-1),1)))/STDEV(OFFSET(分析データ!F$1,MAX(1,ROW()-$C$7),0,MIN($C$7,ROW()-1),1)),0))</f>
        <v>0</v>
      </c>
      <c r="BS1148">
        <f t="shared" ca="1" si="492"/>
        <v>0</v>
      </c>
      <c r="BT1148" t="str">
        <f ca="1">IF(BS1148=1,IF(INDEX(分析データ!$A:$A,ROW()+$C$5)&lt;&gt;"",40000*SIGN(BR1148)*(分析データ!F1148-INDEX(分析データ!F:F,ROW()+$C$5)),""),"")</f>
        <v/>
      </c>
      <c r="BU1148">
        <f t="shared" ca="1" si="493"/>
        <v>19816800</v>
      </c>
      <c r="BV1148">
        <f t="shared" ca="1" si="494"/>
        <v>19816800</v>
      </c>
      <c r="BW1148">
        <f t="shared" ca="1" si="495"/>
        <v>0</v>
      </c>
      <c r="BX1148">
        <f ca="1">IF(ROW()&lt;($C$7+1),"",IFERROR((分析データ!G1148-AVERAGE(OFFSET(分析データ!G$1,MAX(1,ROW()-$C$7),0,MIN($C$7,ROW()-1),1)))/STDEV(OFFSET(分析データ!G$1,MAX(1,ROW()-$C$7),0,MIN($C$7,ROW()-1),1)),0))</f>
        <v>0</v>
      </c>
      <c r="BY1148">
        <f t="shared" ca="1" si="496"/>
        <v>0</v>
      </c>
      <c r="BZ1148" t="str">
        <f ca="1">IF(BY1148=1,IF(INDEX(分析データ!$A:$A,ROW()+$C$5)&lt;&gt;"",40000*SIGN(BX1148)*(分析データ!G1148-INDEX(分析データ!G:G,ROW()+$C$5)),""),"")</f>
        <v/>
      </c>
      <c r="CA1148">
        <f t="shared" ca="1" si="497"/>
        <v>-3515452.8662109179</v>
      </c>
      <c r="CB1148">
        <f t="shared" ca="1" si="498"/>
        <v>11327520.000000004</v>
      </c>
      <c r="CC1148">
        <f t="shared" ca="1" si="499"/>
        <v>-14842972.866210923</v>
      </c>
      <c r="CD1148">
        <f t="shared" ca="1" si="500"/>
        <v>0</v>
      </c>
      <c r="CE1148">
        <f t="shared" ca="1" si="501"/>
        <v>23090347.13378913</v>
      </c>
      <c r="CF1148">
        <f t="shared" ca="1" si="502"/>
        <v>23090347.13378913</v>
      </c>
      <c r="CG1148">
        <f t="shared" ca="1" si="503"/>
        <v>0</v>
      </c>
      <c r="CH1148" s="10" t="str">
        <f>分析データ!A1148</f>
        <v/>
      </c>
    </row>
    <row r="1149" spans="46:86">
      <c r="AT1149">
        <f ca="1">IF(ROW()&lt;($C$7+1),"",IFERROR((分析データ!B1149-AVERAGE(OFFSET(分析データ!B$1,MAX(1,ROW()-$C$7),0,MIN($C$7,ROW()-1),1)))/STDEV(OFFSET(分析データ!B$1,MAX(1,ROW()-$C$7),0,MIN($C$7,ROW()-1),1)),0))</f>
        <v>0</v>
      </c>
      <c r="AU1149">
        <f t="shared" ca="1" si="476"/>
        <v>0</v>
      </c>
      <c r="AV1149" t="str">
        <f ca="1">IF(AU1149=1,IF(INDEX(分析データ!$A:$A,ROW()+$C$5)&lt;&gt;"",80000*SIGN(AT1149)*(分析データ!B1149-INDEX(分析データ!B:B,ROW()+$C$5)),""),"")</f>
        <v/>
      </c>
      <c r="AW1149">
        <f t="shared" ca="1" si="477"/>
        <v>-1240000.0000000019</v>
      </c>
      <c r="AX1149">
        <f t="shared" ca="1" si="478"/>
        <v>0</v>
      </c>
      <c r="AY1149">
        <f t="shared" ca="1" si="479"/>
        <v>-1240000.0000000019</v>
      </c>
      <c r="AZ1149">
        <f ca="1">IF(ROW()&lt;($C$7+1),"",IFERROR((分析データ!C1149-AVERAGE(OFFSET(分析データ!C$1,MAX(1,ROW()-$C$7),0,MIN($C$7,ROW()-1),1)))/STDEV(OFFSET(分析データ!C$1,MAX(1,ROW()-$C$7),0,MIN($C$7,ROW()-1),1)),0))</f>
        <v>0</v>
      </c>
      <c r="BA1149">
        <f t="shared" ca="1" si="480"/>
        <v>0</v>
      </c>
      <c r="BB1149" t="str">
        <f ca="1">IF(BA1149=1,IF(INDEX(分析データ!$A:$A,ROW()+$C$5)&lt;&gt;"",60000*SIGN(AZ1149)*(分析データ!C1149-INDEX(分析データ!C:C,ROW()+$C$5)),""),"")</f>
        <v/>
      </c>
      <c r="BC1149">
        <f t="shared" ca="1" si="481"/>
        <v>-260999.9999999851</v>
      </c>
      <c r="BD1149">
        <f t="shared" ca="1" si="482"/>
        <v>3156000.0000000107</v>
      </c>
      <c r="BE1149">
        <f t="shared" ca="1" si="483"/>
        <v>-3416999.9999999958</v>
      </c>
      <c r="BF1149">
        <f ca="1">IF(ROW()&lt;($C$7+1),"",IFERROR((分析データ!D1149-AVERAGE(OFFSET(分析データ!D$1,MAX(1,ROW()-$C$7),0,MIN($C$7,ROW()-1),1)))/STDEV(OFFSET(分析データ!D$1,MAX(1,ROW()-$C$7),0,MIN($C$7,ROW()-1),1)),0))</f>
        <v>0</v>
      </c>
      <c r="BG1149">
        <f t="shared" ca="1" si="484"/>
        <v>0</v>
      </c>
      <c r="BH1149" t="str">
        <f ca="1">IF(BG1149=1,IF(INDEX(分析データ!$A:$A,ROW()+$C$5)&lt;&gt;"",50000*SIGN(BF1149)*(分析データ!D1149-INDEX(分析データ!D:D,ROW()+$C$5)),""),"")</f>
        <v/>
      </c>
      <c r="BI1149">
        <f t="shared" ca="1" si="485"/>
        <v>5570000.0000000205</v>
      </c>
      <c r="BJ1149">
        <f t="shared" ca="1" si="486"/>
        <v>5570000.0000000205</v>
      </c>
      <c r="BK1149">
        <f t="shared" ca="1" si="487"/>
        <v>0</v>
      </c>
      <c r="BL1149">
        <f ca="1">IF(ROW()&lt;($C$7+1),"",IFERROR((分析データ!E1149-AVERAGE(OFFSET(分析データ!E$1,MAX(1,ROW()-$C$7),0,MIN($C$7,ROW()-1),1)))/STDEV(OFFSET(分析データ!E$1,MAX(1,ROW()-$C$7),0,MIN($C$7,ROW()-1),1)),0))</f>
        <v>0</v>
      </c>
      <c r="BM1149">
        <f t="shared" ca="1" si="488"/>
        <v>0</v>
      </c>
      <c r="BN1149" t="str">
        <f ca="1">IF(BM1149=1,IF(INDEX(分析データ!$A:$A,ROW()+$C$5)&lt;&gt;"",40000*SIGN(BL1149)*(分析データ!E1149-INDEX(分析データ!E:E,ROW()+$C$5)),""),"")</f>
        <v/>
      </c>
      <c r="BO1149">
        <f t="shared" ca="1" si="489"/>
        <v>2720000.0000000014</v>
      </c>
      <c r="BP1149">
        <f t="shared" ca="1" si="490"/>
        <v>4280000.0000000028</v>
      </c>
      <c r="BQ1149">
        <f t="shared" ca="1" si="491"/>
        <v>-1560000.0000000014</v>
      </c>
      <c r="BR1149">
        <f ca="1">IF(ROW()&lt;($C$7+1),"",IFERROR((分析データ!F1149-AVERAGE(OFFSET(分析データ!F$1,MAX(1,ROW()-$C$7),0,MIN($C$7,ROW()-1),1)))/STDEV(OFFSET(分析データ!F$1,MAX(1,ROW()-$C$7),0,MIN($C$7,ROW()-1),1)),0))</f>
        <v>0</v>
      </c>
      <c r="BS1149">
        <f t="shared" ca="1" si="492"/>
        <v>0</v>
      </c>
      <c r="BT1149" t="str">
        <f ca="1">IF(BS1149=1,IF(INDEX(分析データ!$A:$A,ROW()+$C$5)&lt;&gt;"",40000*SIGN(BR1149)*(分析データ!F1149-INDEX(分析データ!F:F,ROW()+$C$5)),""),"")</f>
        <v/>
      </c>
      <c r="BU1149">
        <f t="shared" ca="1" si="493"/>
        <v>19816800</v>
      </c>
      <c r="BV1149">
        <f t="shared" ca="1" si="494"/>
        <v>19816800</v>
      </c>
      <c r="BW1149">
        <f t="shared" ca="1" si="495"/>
        <v>0</v>
      </c>
      <c r="BX1149">
        <f ca="1">IF(ROW()&lt;($C$7+1),"",IFERROR((分析データ!G1149-AVERAGE(OFFSET(分析データ!G$1,MAX(1,ROW()-$C$7),0,MIN($C$7,ROW()-1),1)))/STDEV(OFFSET(分析データ!G$1,MAX(1,ROW()-$C$7),0,MIN($C$7,ROW()-1),1)),0))</f>
        <v>0</v>
      </c>
      <c r="BY1149">
        <f t="shared" ca="1" si="496"/>
        <v>0</v>
      </c>
      <c r="BZ1149" t="str">
        <f ca="1">IF(BY1149=1,IF(INDEX(分析データ!$A:$A,ROW()+$C$5)&lt;&gt;"",40000*SIGN(BX1149)*(分析データ!G1149-INDEX(分析データ!G:G,ROW()+$C$5)),""),"")</f>
        <v/>
      </c>
      <c r="CA1149">
        <f t="shared" ca="1" si="497"/>
        <v>-3515452.8662109179</v>
      </c>
      <c r="CB1149">
        <f t="shared" ca="1" si="498"/>
        <v>11327520.000000004</v>
      </c>
      <c r="CC1149">
        <f t="shared" ca="1" si="499"/>
        <v>-14842972.866210923</v>
      </c>
      <c r="CD1149">
        <f t="shared" ca="1" si="500"/>
        <v>0</v>
      </c>
      <c r="CE1149">
        <f t="shared" ca="1" si="501"/>
        <v>23090347.13378913</v>
      </c>
      <c r="CF1149">
        <f t="shared" ca="1" si="502"/>
        <v>23090347.13378913</v>
      </c>
      <c r="CG1149">
        <f t="shared" ca="1" si="503"/>
        <v>0</v>
      </c>
      <c r="CH1149" s="10" t="str">
        <f>分析データ!A1149</f>
        <v/>
      </c>
    </row>
    <row r="1150" spans="46:86">
      <c r="AT1150">
        <f ca="1">IF(ROW()&lt;($C$7+1),"",IFERROR((分析データ!B1150-AVERAGE(OFFSET(分析データ!B$1,MAX(1,ROW()-$C$7),0,MIN($C$7,ROW()-1),1)))/STDEV(OFFSET(分析データ!B$1,MAX(1,ROW()-$C$7),0,MIN($C$7,ROW()-1),1)),0))</f>
        <v>0</v>
      </c>
      <c r="AU1150">
        <f t="shared" ca="1" si="476"/>
        <v>0</v>
      </c>
      <c r="AV1150" t="str">
        <f ca="1">IF(AU1150=1,IF(INDEX(分析データ!$A:$A,ROW()+$C$5)&lt;&gt;"",80000*SIGN(AT1150)*(分析データ!B1150-INDEX(分析データ!B:B,ROW()+$C$5)),""),"")</f>
        <v/>
      </c>
      <c r="AW1150">
        <f t="shared" ca="1" si="477"/>
        <v>-1240000.0000000019</v>
      </c>
      <c r="AX1150">
        <f t="shared" ca="1" si="478"/>
        <v>0</v>
      </c>
      <c r="AY1150">
        <f t="shared" ca="1" si="479"/>
        <v>-1240000.0000000019</v>
      </c>
      <c r="AZ1150">
        <f ca="1">IF(ROW()&lt;($C$7+1),"",IFERROR((分析データ!C1150-AVERAGE(OFFSET(分析データ!C$1,MAX(1,ROW()-$C$7),0,MIN($C$7,ROW()-1),1)))/STDEV(OFFSET(分析データ!C$1,MAX(1,ROW()-$C$7),0,MIN($C$7,ROW()-1),1)),0))</f>
        <v>0</v>
      </c>
      <c r="BA1150">
        <f t="shared" ca="1" si="480"/>
        <v>0</v>
      </c>
      <c r="BB1150" t="str">
        <f ca="1">IF(BA1150=1,IF(INDEX(分析データ!$A:$A,ROW()+$C$5)&lt;&gt;"",60000*SIGN(AZ1150)*(分析データ!C1150-INDEX(分析データ!C:C,ROW()+$C$5)),""),"")</f>
        <v/>
      </c>
      <c r="BC1150">
        <f t="shared" ca="1" si="481"/>
        <v>-260999.9999999851</v>
      </c>
      <c r="BD1150">
        <f t="shared" ca="1" si="482"/>
        <v>3156000.0000000107</v>
      </c>
      <c r="BE1150">
        <f t="shared" ca="1" si="483"/>
        <v>-3416999.9999999958</v>
      </c>
      <c r="BF1150">
        <f ca="1">IF(ROW()&lt;($C$7+1),"",IFERROR((分析データ!D1150-AVERAGE(OFFSET(分析データ!D$1,MAX(1,ROW()-$C$7),0,MIN($C$7,ROW()-1),1)))/STDEV(OFFSET(分析データ!D$1,MAX(1,ROW()-$C$7),0,MIN($C$7,ROW()-1),1)),0))</f>
        <v>0</v>
      </c>
      <c r="BG1150">
        <f t="shared" ca="1" si="484"/>
        <v>0</v>
      </c>
      <c r="BH1150" t="str">
        <f ca="1">IF(BG1150=1,IF(INDEX(分析データ!$A:$A,ROW()+$C$5)&lt;&gt;"",50000*SIGN(BF1150)*(分析データ!D1150-INDEX(分析データ!D:D,ROW()+$C$5)),""),"")</f>
        <v/>
      </c>
      <c r="BI1150">
        <f t="shared" ca="1" si="485"/>
        <v>5570000.0000000205</v>
      </c>
      <c r="BJ1150">
        <f t="shared" ca="1" si="486"/>
        <v>5570000.0000000205</v>
      </c>
      <c r="BK1150">
        <f t="shared" ca="1" si="487"/>
        <v>0</v>
      </c>
      <c r="BL1150">
        <f ca="1">IF(ROW()&lt;($C$7+1),"",IFERROR((分析データ!E1150-AVERAGE(OFFSET(分析データ!E$1,MAX(1,ROW()-$C$7),0,MIN($C$7,ROW()-1),1)))/STDEV(OFFSET(分析データ!E$1,MAX(1,ROW()-$C$7),0,MIN($C$7,ROW()-1),1)),0))</f>
        <v>0</v>
      </c>
      <c r="BM1150">
        <f t="shared" ca="1" si="488"/>
        <v>0</v>
      </c>
      <c r="BN1150" t="str">
        <f ca="1">IF(BM1150=1,IF(INDEX(分析データ!$A:$A,ROW()+$C$5)&lt;&gt;"",40000*SIGN(BL1150)*(分析データ!E1150-INDEX(分析データ!E:E,ROW()+$C$5)),""),"")</f>
        <v/>
      </c>
      <c r="BO1150">
        <f t="shared" ca="1" si="489"/>
        <v>2720000.0000000014</v>
      </c>
      <c r="BP1150">
        <f t="shared" ca="1" si="490"/>
        <v>4280000.0000000028</v>
      </c>
      <c r="BQ1150">
        <f t="shared" ca="1" si="491"/>
        <v>-1560000.0000000014</v>
      </c>
      <c r="BR1150">
        <f ca="1">IF(ROW()&lt;($C$7+1),"",IFERROR((分析データ!F1150-AVERAGE(OFFSET(分析データ!F$1,MAX(1,ROW()-$C$7),0,MIN($C$7,ROW()-1),1)))/STDEV(OFFSET(分析データ!F$1,MAX(1,ROW()-$C$7),0,MIN($C$7,ROW()-1),1)),0))</f>
        <v>0</v>
      </c>
      <c r="BS1150">
        <f t="shared" ca="1" si="492"/>
        <v>0</v>
      </c>
      <c r="BT1150" t="str">
        <f ca="1">IF(BS1150=1,IF(INDEX(分析データ!$A:$A,ROW()+$C$5)&lt;&gt;"",40000*SIGN(BR1150)*(分析データ!F1150-INDEX(分析データ!F:F,ROW()+$C$5)),""),"")</f>
        <v/>
      </c>
      <c r="BU1150">
        <f t="shared" ca="1" si="493"/>
        <v>19816800</v>
      </c>
      <c r="BV1150">
        <f t="shared" ca="1" si="494"/>
        <v>19816800</v>
      </c>
      <c r="BW1150">
        <f t="shared" ca="1" si="495"/>
        <v>0</v>
      </c>
      <c r="BX1150">
        <f ca="1">IF(ROW()&lt;($C$7+1),"",IFERROR((分析データ!G1150-AVERAGE(OFFSET(分析データ!G$1,MAX(1,ROW()-$C$7),0,MIN($C$7,ROW()-1),1)))/STDEV(OFFSET(分析データ!G$1,MAX(1,ROW()-$C$7),0,MIN($C$7,ROW()-1),1)),0))</f>
        <v>0</v>
      </c>
      <c r="BY1150">
        <f t="shared" ca="1" si="496"/>
        <v>0</v>
      </c>
      <c r="BZ1150" t="str">
        <f ca="1">IF(BY1150=1,IF(INDEX(分析データ!$A:$A,ROW()+$C$5)&lt;&gt;"",40000*SIGN(BX1150)*(分析データ!G1150-INDEX(分析データ!G:G,ROW()+$C$5)),""),"")</f>
        <v/>
      </c>
      <c r="CA1150">
        <f t="shared" ca="1" si="497"/>
        <v>-3515452.8662109179</v>
      </c>
      <c r="CB1150">
        <f t="shared" ca="1" si="498"/>
        <v>11327520.000000004</v>
      </c>
      <c r="CC1150">
        <f t="shared" ca="1" si="499"/>
        <v>-14842972.866210923</v>
      </c>
      <c r="CD1150">
        <f t="shared" ca="1" si="500"/>
        <v>0</v>
      </c>
      <c r="CE1150">
        <f t="shared" ca="1" si="501"/>
        <v>23090347.13378913</v>
      </c>
      <c r="CF1150">
        <f t="shared" ca="1" si="502"/>
        <v>23090347.13378913</v>
      </c>
      <c r="CG1150">
        <f t="shared" ca="1" si="503"/>
        <v>0</v>
      </c>
      <c r="CH1150" s="10" t="str">
        <f>分析データ!A1150</f>
        <v/>
      </c>
    </row>
    <row r="1151" spans="46:86">
      <c r="AT1151">
        <f ca="1">IF(ROW()&lt;($C$7+1),"",IFERROR((分析データ!B1151-AVERAGE(OFFSET(分析データ!B$1,MAX(1,ROW()-$C$7),0,MIN($C$7,ROW()-1),1)))/STDEV(OFFSET(分析データ!B$1,MAX(1,ROW()-$C$7),0,MIN($C$7,ROW()-1),1)),0))</f>
        <v>0</v>
      </c>
      <c r="AU1151">
        <f t="shared" ca="1" si="476"/>
        <v>0</v>
      </c>
      <c r="AV1151" t="str">
        <f ca="1">IF(AU1151=1,IF(INDEX(分析データ!$A:$A,ROW()+$C$5)&lt;&gt;"",80000*SIGN(AT1151)*(分析データ!B1151-INDEX(分析データ!B:B,ROW()+$C$5)),""),"")</f>
        <v/>
      </c>
      <c r="AW1151">
        <f t="shared" ca="1" si="477"/>
        <v>-1240000.0000000019</v>
      </c>
      <c r="AX1151">
        <f t="shared" ca="1" si="478"/>
        <v>0</v>
      </c>
      <c r="AY1151">
        <f t="shared" ca="1" si="479"/>
        <v>-1240000.0000000019</v>
      </c>
      <c r="AZ1151">
        <f ca="1">IF(ROW()&lt;($C$7+1),"",IFERROR((分析データ!C1151-AVERAGE(OFFSET(分析データ!C$1,MAX(1,ROW()-$C$7),0,MIN($C$7,ROW()-1),1)))/STDEV(OFFSET(分析データ!C$1,MAX(1,ROW()-$C$7),0,MIN($C$7,ROW()-1),1)),0))</f>
        <v>0</v>
      </c>
      <c r="BA1151">
        <f t="shared" ca="1" si="480"/>
        <v>0</v>
      </c>
      <c r="BB1151" t="str">
        <f ca="1">IF(BA1151=1,IF(INDEX(分析データ!$A:$A,ROW()+$C$5)&lt;&gt;"",60000*SIGN(AZ1151)*(分析データ!C1151-INDEX(分析データ!C:C,ROW()+$C$5)),""),"")</f>
        <v/>
      </c>
      <c r="BC1151">
        <f t="shared" ca="1" si="481"/>
        <v>-260999.9999999851</v>
      </c>
      <c r="BD1151">
        <f t="shared" ca="1" si="482"/>
        <v>3156000.0000000107</v>
      </c>
      <c r="BE1151">
        <f t="shared" ca="1" si="483"/>
        <v>-3416999.9999999958</v>
      </c>
      <c r="BF1151">
        <f ca="1">IF(ROW()&lt;($C$7+1),"",IFERROR((分析データ!D1151-AVERAGE(OFFSET(分析データ!D$1,MAX(1,ROW()-$C$7),0,MIN($C$7,ROW()-1),1)))/STDEV(OFFSET(分析データ!D$1,MAX(1,ROW()-$C$7),0,MIN($C$7,ROW()-1),1)),0))</f>
        <v>0</v>
      </c>
      <c r="BG1151">
        <f t="shared" ca="1" si="484"/>
        <v>0</v>
      </c>
      <c r="BH1151" t="str">
        <f ca="1">IF(BG1151=1,IF(INDEX(分析データ!$A:$A,ROW()+$C$5)&lt;&gt;"",50000*SIGN(BF1151)*(分析データ!D1151-INDEX(分析データ!D:D,ROW()+$C$5)),""),"")</f>
        <v/>
      </c>
      <c r="BI1151">
        <f t="shared" ca="1" si="485"/>
        <v>5570000.0000000205</v>
      </c>
      <c r="BJ1151">
        <f t="shared" ca="1" si="486"/>
        <v>5570000.0000000205</v>
      </c>
      <c r="BK1151">
        <f t="shared" ca="1" si="487"/>
        <v>0</v>
      </c>
      <c r="BL1151">
        <f ca="1">IF(ROW()&lt;($C$7+1),"",IFERROR((分析データ!E1151-AVERAGE(OFFSET(分析データ!E$1,MAX(1,ROW()-$C$7),0,MIN($C$7,ROW()-1),1)))/STDEV(OFFSET(分析データ!E$1,MAX(1,ROW()-$C$7),0,MIN($C$7,ROW()-1),1)),0))</f>
        <v>0</v>
      </c>
      <c r="BM1151">
        <f t="shared" ca="1" si="488"/>
        <v>0</v>
      </c>
      <c r="BN1151" t="str">
        <f ca="1">IF(BM1151=1,IF(INDEX(分析データ!$A:$A,ROW()+$C$5)&lt;&gt;"",40000*SIGN(BL1151)*(分析データ!E1151-INDEX(分析データ!E:E,ROW()+$C$5)),""),"")</f>
        <v/>
      </c>
      <c r="BO1151">
        <f t="shared" ca="1" si="489"/>
        <v>2720000.0000000014</v>
      </c>
      <c r="BP1151">
        <f t="shared" ca="1" si="490"/>
        <v>4280000.0000000028</v>
      </c>
      <c r="BQ1151">
        <f t="shared" ca="1" si="491"/>
        <v>-1560000.0000000014</v>
      </c>
      <c r="BR1151">
        <f ca="1">IF(ROW()&lt;($C$7+1),"",IFERROR((分析データ!F1151-AVERAGE(OFFSET(分析データ!F$1,MAX(1,ROW()-$C$7),0,MIN($C$7,ROW()-1),1)))/STDEV(OFFSET(分析データ!F$1,MAX(1,ROW()-$C$7),0,MIN($C$7,ROW()-1),1)),0))</f>
        <v>0</v>
      </c>
      <c r="BS1151">
        <f t="shared" ca="1" si="492"/>
        <v>0</v>
      </c>
      <c r="BT1151" t="str">
        <f ca="1">IF(BS1151=1,IF(INDEX(分析データ!$A:$A,ROW()+$C$5)&lt;&gt;"",40000*SIGN(BR1151)*(分析データ!F1151-INDEX(分析データ!F:F,ROW()+$C$5)),""),"")</f>
        <v/>
      </c>
      <c r="BU1151">
        <f t="shared" ca="1" si="493"/>
        <v>19816800</v>
      </c>
      <c r="BV1151">
        <f t="shared" ca="1" si="494"/>
        <v>19816800</v>
      </c>
      <c r="BW1151">
        <f t="shared" ca="1" si="495"/>
        <v>0</v>
      </c>
      <c r="BX1151">
        <f ca="1">IF(ROW()&lt;($C$7+1),"",IFERROR((分析データ!G1151-AVERAGE(OFFSET(分析データ!G$1,MAX(1,ROW()-$C$7),0,MIN($C$7,ROW()-1),1)))/STDEV(OFFSET(分析データ!G$1,MAX(1,ROW()-$C$7),0,MIN($C$7,ROW()-1),1)),0))</f>
        <v>0</v>
      </c>
      <c r="BY1151">
        <f t="shared" ca="1" si="496"/>
        <v>0</v>
      </c>
      <c r="BZ1151" t="str">
        <f ca="1">IF(BY1151=1,IF(INDEX(分析データ!$A:$A,ROW()+$C$5)&lt;&gt;"",40000*SIGN(BX1151)*(分析データ!G1151-INDEX(分析データ!G:G,ROW()+$C$5)),""),"")</f>
        <v/>
      </c>
      <c r="CA1151">
        <f t="shared" ca="1" si="497"/>
        <v>-3515452.8662109179</v>
      </c>
      <c r="CB1151">
        <f t="shared" ca="1" si="498"/>
        <v>11327520.000000004</v>
      </c>
      <c r="CC1151">
        <f t="shared" ca="1" si="499"/>
        <v>-14842972.866210923</v>
      </c>
      <c r="CD1151">
        <f t="shared" ca="1" si="500"/>
        <v>0</v>
      </c>
      <c r="CE1151">
        <f t="shared" ca="1" si="501"/>
        <v>23090347.13378913</v>
      </c>
      <c r="CF1151">
        <f t="shared" ca="1" si="502"/>
        <v>23090347.13378913</v>
      </c>
      <c r="CG1151">
        <f t="shared" ca="1" si="503"/>
        <v>0</v>
      </c>
      <c r="CH1151" s="10" t="str">
        <f>分析データ!A1151</f>
        <v/>
      </c>
    </row>
    <row r="1152" spans="46:86">
      <c r="AT1152">
        <f ca="1">IF(ROW()&lt;($C$7+1),"",IFERROR((分析データ!B1152-AVERAGE(OFFSET(分析データ!B$1,MAX(1,ROW()-$C$7),0,MIN($C$7,ROW()-1),1)))/STDEV(OFFSET(分析データ!B$1,MAX(1,ROW()-$C$7),0,MIN($C$7,ROW()-1),1)),0))</f>
        <v>0</v>
      </c>
      <c r="AU1152">
        <f t="shared" ca="1" si="476"/>
        <v>0</v>
      </c>
      <c r="AV1152" t="str">
        <f ca="1">IF(AU1152=1,IF(INDEX(分析データ!$A:$A,ROW()+$C$5)&lt;&gt;"",80000*SIGN(AT1152)*(分析データ!B1152-INDEX(分析データ!B:B,ROW()+$C$5)),""),"")</f>
        <v/>
      </c>
      <c r="AW1152">
        <f t="shared" ca="1" si="477"/>
        <v>-1240000.0000000019</v>
      </c>
      <c r="AX1152">
        <f t="shared" ca="1" si="478"/>
        <v>0</v>
      </c>
      <c r="AY1152">
        <f t="shared" ca="1" si="479"/>
        <v>-1240000.0000000019</v>
      </c>
      <c r="AZ1152">
        <f ca="1">IF(ROW()&lt;($C$7+1),"",IFERROR((分析データ!C1152-AVERAGE(OFFSET(分析データ!C$1,MAX(1,ROW()-$C$7),0,MIN($C$7,ROW()-1),1)))/STDEV(OFFSET(分析データ!C$1,MAX(1,ROW()-$C$7),0,MIN($C$7,ROW()-1),1)),0))</f>
        <v>0</v>
      </c>
      <c r="BA1152">
        <f t="shared" ca="1" si="480"/>
        <v>0</v>
      </c>
      <c r="BB1152" t="str">
        <f ca="1">IF(BA1152=1,IF(INDEX(分析データ!$A:$A,ROW()+$C$5)&lt;&gt;"",60000*SIGN(AZ1152)*(分析データ!C1152-INDEX(分析データ!C:C,ROW()+$C$5)),""),"")</f>
        <v/>
      </c>
      <c r="BC1152">
        <f t="shared" ca="1" si="481"/>
        <v>-260999.9999999851</v>
      </c>
      <c r="BD1152">
        <f t="shared" ca="1" si="482"/>
        <v>3156000.0000000107</v>
      </c>
      <c r="BE1152">
        <f t="shared" ca="1" si="483"/>
        <v>-3416999.9999999958</v>
      </c>
      <c r="BF1152">
        <f ca="1">IF(ROW()&lt;($C$7+1),"",IFERROR((分析データ!D1152-AVERAGE(OFFSET(分析データ!D$1,MAX(1,ROW()-$C$7),0,MIN($C$7,ROW()-1),1)))/STDEV(OFFSET(分析データ!D$1,MAX(1,ROW()-$C$7),0,MIN($C$7,ROW()-1),1)),0))</f>
        <v>0</v>
      </c>
      <c r="BG1152">
        <f t="shared" ca="1" si="484"/>
        <v>0</v>
      </c>
      <c r="BH1152" t="str">
        <f ca="1">IF(BG1152=1,IF(INDEX(分析データ!$A:$A,ROW()+$C$5)&lt;&gt;"",50000*SIGN(BF1152)*(分析データ!D1152-INDEX(分析データ!D:D,ROW()+$C$5)),""),"")</f>
        <v/>
      </c>
      <c r="BI1152">
        <f t="shared" ca="1" si="485"/>
        <v>5570000.0000000205</v>
      </c>
      <c r="BJ1152">
        <f t="shared" ca="1" si="486"/>
        <v>5570000.0000000205</v>
      </c>
      <c r="BK1152">
        <f t="shared" ca="1" si="487"/>
        <v>0</v>
      </c>
      <c r="BL1152">
        <f ca="1">IF(ROW()&lt;($C$7+1),"",IFERROR((分析データ!E1152-AVERAGE(OFFSET(分析データ!E$1,MAX(1,ROW()-$C$7),0,MIN($C$7,ROW()-1),1)))/STDEV(OFFSET(分析データ!E$1,MAX(1,ROW()-$C$7),0,MIN($C$7,ROW()-1),1)),0))</f>
        <v>0</v>
      </c>
      <c r="BM1152">
        <f t="shared" ca="1" si="488"/>
        <v>0</v>
      </c>
      <c r="BN1152" t="str">
        <f ca="1">IF(BM1152=1,IF(INDEX(分析データ!$A:$A,ROW()+$C$5)&lt;&gt;"",40000*SIGN(BL1152)*(分析データ!E1152-INDEX(分析データ!E:E,ROW()+$C$5)),""),"")</f>
        <v/>
      </c>
      <c r="BO1152">
        <f t="shared" ca="1" si="489"/>
        <v>2720000.0000000014</v>
      </c>
      <c r="BP1152">
        <f t="shared" ca="1" si="490"/>
        <v>4280000.0000000028</v>
      </c>
      <c r="BQ1152">
        <f t="shared" ca="1" si="491"/>
        <v>-1560000.0000000014</v>
      </c>
      <c r="BR1152">
        <f ca="1">IF(ROW()&lt;($C$7+1),"",IFERROR((分析データ!F1152-AVERAGE(OFFSET(分析データ!F$1,MAX(1,ROW()-$C$7),0,MIN($C$7,ROW()-1),1)))/STDEV(OFFSET(分析データ!F$1,MAX(1,ROW()-$C$7),0,MIN($C$7,ROW()-1),1)),0))</f>
        <v>0</v>
      </c>
      <c r="BS1152">
        <f t="shared" ca="1" si="492"/>
        <v>0</v>
      </c>
      <c r="BT1152" t="str">
        <f ca="1">IF(BS1152=1,IF(INDEX(分析データ!$A:$A,ROW()+$C$5)&lt;&gt;"",40000*SIGN(BR1152)*(分析データ!F1152-INDEX(分析データ!F:F,ROW()+$C$5)),""),"")</f>
        <v/>
      </c>
      <c r="BU1152">
        <f t="shared" ca="1" si="493"/>
        <v>19816800</v>
      </c>
      <c r="BV1152">
        <f t="shared" ca="1" si="494"/>
        <v>19816800</v>
      </c>
      <c r="BW1152">
        <f t="shared" ca="1" si="495"/>
        <v>0</v>
      </c>
      <c r="BX1152">
        <f ca="1">IF(ROW()&lt;($C$7+1),"",IFERROR((分析データ!G1152-AVERAGE(OFFSET(分析データ!G$1,MAX(1,ROW()-$C$7),0,MIN($C$7,ROW()-1),1)))/STDEV(OFFSET(分析データ!G$1,MAX(1,ROW()-$C$7),0,MIN($C$7,ROW()-1),1)),0))</f>
        <v>0</v>
      </c>
      <c r="BY1152">
        <f t="shared" ca="1" si="496"/>
        <v>0</v>
      </c>
      <c r="BZ1152" t="str">
        <f ca="1">IF(BY1152=1,IF(INDEX(分析データ!$A:$A,ROW()+$C$5)&lt;&gt;"",40000*SIGN(BX1152)*(分析データ!G1152-INDEX(分析データ!G:G,ROW()+$C$5)),""),"")</f>
        <v/>
      </c>
      <c r="CA1152">
        <f t="shared" ca="1" si="497"/>
        <v>-3515452.8662109179</v>
      </c>
      <c r="CB1152">
        <f t="shared" ca="1" si="498"/>
        <v>11327520.000000004</v>
      </c>
      <c r="CC1152">
        <f t="shared" ca="1" si="499"/>
        <v>-14842972.866210923</v>
      </c>
      <c r="CD1152">
        <f t="shared" ca="1" si="500"/>
        <v>0</v>
      </c>
      <c r="CE1152">
        <f t="shared" ca="1" si="501"/>
        <v>23090347.13378913</v>
      </c>
      <c r="CF1152">
        <f t="shared" ca="1" si="502"/>
        <v>23090347.13378913</v>
      </c>
      <c r="CG1152">
        <f t="shared" ca="1" si="503"/>
        <v>0</v>
      </c>
      <c r="CH1152" s="10" t="str">
        <f>分析データ!A1152</f>
        <v/>
      </c>
    </row>
    <row r="1153" spans="46:86">
      <c r="AT1153">
        <f ca="1">IF(ROW()&lt;($C$7+1),"",IFERROR((分析データ!B1153-AVERAGE(OFFSET(分析データ!B$1,MAX(1,ROW()-$C$7),0,MIN($C$7,ROW()-1),1)))/STDEV(OFFSET(分析データ!B$1,MAX(1,ROW()-$C$7),0,MIN($C$7,ROW()-1),1)),0))</f>
        <v>0</v>
      </c>
      <c r="AU1153">
        <f t="shared" ca="1" si="476"/>
        <v>0</v>
      </c>
      <c r="AV1153" t="str">
        <f ca="1">IF(AU1153=1,IF(INDEX(分析データ!$A:$A,ROW()+$C$5)&lt;&gt;"",80000*SIGN(AT1153)*(分析データ!B1153-INDEX(分析データ!B:B,ROW()+$C$5)),""),"")</f>
        <v/>
      </c>
      <c r="AW1153">
        <f t="shared" ca="1" si="477"/>
        <v>-1240000.0000000019</v>
      </c>
      <c r="AX1153">
        <f t="shared" ca="1" si="478"/>
        <v>0</v>
      </c>
      <c r="AY1153">
        <f t="shared" ca="1" si="479"/>
        <v>-1240000.0000000019</v>
      </c>
      <c r="AZ1153">
        <f ca="1">IF(ROW()&lt;($C$7+1),"",IFERROR((分析データ!C1153-AVERAGE(OFFSET(分析データ!C$1,MAX(1,ROW()-$C$7),0,MIN($C$7,ROW()-1),1)))/STDEV(OFFSET(分析データ!C$1,MAX(1,ROW()-$C$7),0,MIN($C$7,ROW()-1),1)),0))</f>
        <v>0</v>
      </c>
      <c r="BA1153">
        <f t="shared" ca="1" si="480"/>
        <v>0</v>
      </c>
      <c r="BB1153" t="str">
        <f ca="1">IF(BA1153=1,IF(INDEX(分析データ!$A:$A,ROW()+$C$5)&lt;&gt;"",60000*SIGN(AZ1153)*(分析データ!C1153-INDEX(分析データ!C:C,ROW()+$C$5)),""),"")</f>
        <v/>
      </c>
      <c r="BC1153">
        <f t="shared" ca="1" si="481"/>
        <v>-260999.9999999851</v>
      </c>
      <c r="BD1153">
        <f t="shared" ca="1" si="482"/>
        <v>3156000.0000000107</v>
      </c>
      <c r="BE1153">
        <f t="shared" ca="1" si="483"/>
        <v>-3416999.9999999958</v>
      </c>
      <c r="BF1153">
        <f ca="1">IF(ROW()&lt;($C$7+1),"",IFERROR((分析データ!D1153-AVERAGE(OFFSET(分析データ!D$1,MAX(1,ROW()-$C$7),0,MIN($C$7,ROW()-1),1)))/STDEV(OFFSET(分析データ!D$1,MAX(1,ROW()-$C$7),0,MIN($C$7,ROW()-1),1)),0))</f>
        <v>0</v>
      </c>
      <c r="BG1153">
        <f t="shared" ca="1" si="484"/>
        <v>0</v>
      </c>
      <c r="BH1153" t="str">
        <f ca="1">IF(BG1153=1,IF(INDEX(分析データ!$A:$A,ROW()+$C$5)&lt;&gt;"",50000*SIGN(BF1153)*(分析データ!D1153-INDEX(分析データ!D:D,ROW()+$C$5)),""),"")</f>
        <v/>
      </c>
      <c r="BI1153">
        <f t="shared" ca="1" si="485"/>
        <v>5570000.0000000205</v>
      </c>
      <c r="BJ1153">
        <f t="shared" ca="1" si="486"/>
        <v>5570000.0000000205</v>
      </c>
      <c r="BK1153">
        <f t="shared" ca="1" si="487"/>
        <v>0</v>
      </c>
      <c r="BL1153">
        <f ca="1">IF(ROW()&lt;($C$7+1),"",IFERROR((分析データ!E1153-AVERAGE(OFFSET(分析データ!E$1,MAX(1,ROW()-$C$7),0,MIN($C$7,ROW()-1),1)))/STDEV(OFFSET(分析データ!E$1,MAX(1,ROW()-$C$7),0,MIN($C$7,ROW()-1),1)),0))</f>
        <v>0</v>
      </c>
      <c r="BM1153">
        <f t="shared" ca="1" si="488"/>
        <v>0</v>
      </c>
      <c r="BN1153" t="str">
        <f ca="1">IF(BM1153=1,IF(INDEX(分析データ!$A:$A,ROW()+$C$5)&lt;&gt;"",40000*SIGN(BL1153)*(分析データ!E1153-INDEX(分析データ!E:E,ROW()+$C$5)),""),"")</f>
        <v/>
      </c>
      <c r="BO1153">
        <f t="shared" ca="1" si="489"/>
        <v>2720000.0000000014</v>
      </c>
      <c r="BP1153">
        <f t="shared" ca="1" si="490"/>
        <v>4280000.0000000028</v>
      </c>
      <c r="BQ1153">
        <f t="shared" ca="1" si="491"/>
        <v>-1560000.0000000014</v>
      </c>
      <c r="BR1153">
        <f ca="1">IF(ROW()&lt;($C$7+1),"",IFERROR((分析データ!F1153-AVERAGE(OFFSET(分析データ!F$1,MAX(1,ROW()-$C$7),0,MIN($C$7,ROW()-1),1)))/STDEV(OFFSET(分析データ!F$1,MAX(1,ROW()-$C$7),0,MIN($C$7,ROW()-1),1)),0))</f>
        <v>0</v>
      </c>
      <c r="BS1153">
        <f t="shared" ca="1" si="492"/>
        <v>0</v>
      </c>
      <c r="BT1153" t="str">
        <f ca="1">IF(BS1153=1,IF(INDEX(分析データ!$A:$A,ROW()+$C$5)&lt;&gt;"",40000*SIGN(BR1153)*(分析データ!F1153-INDEX(分析データ!F:F,ROW()+$C$5)),""),"")</f>
        <v/>
      </c>
      <c r="BU1153">
        <f t="shared" ca="1" si="493"/>
        <v>19816800</v>
      </c>
      <c r="BV1153">
        <f t="shared" ca="1" si="494"/>
        <v>19816800</v>
      </c>
      <c r="BW1153">
        <f t="shared" ca="1" si="495"/>
        <v>0</v>
      </c>
      <c r="BX1153">
        <f ca="1">IF(ROW()&lt;($C$7+1),"",IFERROR((分析データ!G1153-AVERAGE(OFFSET(分析データ!G$1,MAX(1,ROW()-$C$7),0,MIN($C$7,ROW()-1),1)))/STDEV(OFFSET(分析データ!G$1,MAX(1,ROW()-$C$7),0,MIN($C$7,ROW()-1),1)),0))</f>
        <v>0</v>
      </c>
      <c r="BY1153">
        <f t="shared" ca="1" si="496"/>
        <v>0</v>
      </c>
      <c r="BZ1153" t="str">
        <f ca="1">IF(BY1153=1,IF(INDEX(分析データ!$A:$A,ROW()+$C$5)&lt;&gt;"",40000*SIGN(BX1153)*(分析データ!G1153-INDEX(分析データ!G:G,ROW()+$C$5)),""),"")</f>
        <v/>
      </c>
      <c r="CA1153">
        <f t="shared" ca="1" si="497"/>
        <v>-3515452.8662109179</v>
      </c>
      <c r="CB1153">
        <f t="shared" ca="1" si="498"/>
        <v>11327520.000000004</v>
      </c>
      <c r="CC1153">
        <f t="shared" ca="1" si="499"/>
        <v>-14842972.866210923</v>
      </c>
      <c r="CD1153">
        <f t="shared" ca="1" si="500"/>
        <v>0</v>
      </c>
      <c r="CE1153">
        <f t="shared" ca="1" si="501"/>
        <v>23090347.13378913</v>
      </c>
      <c r="CF1153">
        <f t="shared" ca="1" si="502"/>
        <v>23090347.13378913</v>
      </c>
      <c r="CG1153">
        <f t="shared" ca="1" si="503"/>
        <v>0</v>
      </c>
      <c r="CH1153" s="10" t="str">
        <f>分析データ!A1153</f>
        <v/>
      </c>
    </row>
    <row r="1154" spans="46:86">
      <c r="AT1154">
        <f ca="1">IF(ROW()&lt;($C$7+1),"",IFERROR((分析データ!B1154-AVERAGE(OFFSET(分析データ!B$1,MAX(1,ROW()-$C$7),0,MIN($C$7,ROW()-1),1)))/STDEV(OFFSET(分析データ!B$1,MAX(1,ROW()-$C$7),0,MIN($C$7,ROW()-1),1)),0))</f>
        <v>0</v>
      </c>
      <c r="AU1154">
        <f t="shared" ref="AU1154:AU1217" ca="1" si="504">IF(ISNUMBER(AT1154),IF(ABS(AT1154)&gt;=$C$6,1,0),0)</f>
        <v>0</v>
      </c>
      <c r="AV1154" t="str">
        <f ca="1">IF(AU1154=1,IF(INDEX(分析データ!$A:$A,ROW()+$C$5)&lt;&gt;"",80000*SIGN(AT1154)*(分析データ!B1154-INDEX(分析データ!B:B,ROW()+$C$5)),""),"")</f>
        <v/>
      </c>
      <c r="AW1154">
        <f t="shared" ref="AW1154:AW1217" ca="1" si="505">AW1153+IF(AND(AU1154=1,ISNUMBER(AV1154)),AV1154,0)</f>
        <v>-1240000.0000000019</v>
      </c>
      <c r="AX1154">
        <f t="shared" ref="AX1154:AX1217" ca="1" si="506">MAX(AX1153,AW1154)</f>
        <v>0</v>
      </c>
      <c r="AY1154">
        <f t="shared" ref="AY1154:AY1217" ca="1" si="507">AW1154-AX1154</f>
        <v>-1240000.0000000019</v>
      </c>
      <c r="AZ1154">
        <f ca="1">IF(ROW()&lt;($C$7+1),"",IFERROR((分析データ!C1154-AVERAGE(OFFSET(分析データ!C$1,MAX(1,ROW()-$C$7),0,MIN($C$7,ROW()-1),1)))/STDEV(OFFSET(分析データ!C$1,MAX(1,ROW()-$C$7),0,MIN($C$7,ROW()-1),1)),0))</f>
        <v>0</v>
      </c>
      <c r="BA1154">
        <f t="shared" ref="BA1154:BA1217" ca="1" si="508">IF(ISNUMBER(AZ1154),IF(ABS(AZ1154)&gt;=$C$6,1,0),0)</f>
        <v>0</v>
      </c>
      <c r="BB1154" t="str">
        <f ca="1">IF(BA1154=1,IF(INDEX(分析データ!$A:$A,ROW()+$C$5)&lt;&gt;"",60000*SIGN(AZ1154)*(分析データ!C1154-INDEX(分析データ!C:C,ROW()+$C$5)),""),"")</f>
        <v/>
      </c>
      <c r="BC1154">
        <f t="shared" ref="BC1154:BC1217" ca="1" si="509">BC1153+IF(AND(BA1154=1,ISNUMBER(BB1154)),BB1154,0)</f>
        <v>-260999.9999999851</v>
      </c>
      <c r="BD1154">
        <f t="shared" ref="BD1154:BD1217" ca="1" si="510">MAX(BD1153,BC1154)</f>
        <v>3156000.0000000107</v>
      </c>
      <c r="BE1154">
        <f t="shared" ref="BE1154:BE1217" ca="1" si="511">BC1154-BD1154</f>
        <v>-3416999.9999999958</v>
      </c>
      <c r="BF1154">
        <f ca="1">IF(ROW()&lt;($C$7+1),"",IFERROR((分析データ!D1154-AVERAGE(OFFSET(分析データ!D$1,MAX(1,ROW()-$C$7),0,MIN($C$7,ROW()-1),1)))/STDEV(OFFSET(分析データ!D$1,MAX(1,ROW()-$C$7),0,MIN($C$7,ROW()-1),1)),0))</f>
        <v>0</v>
      </c>
      <c r="BG1154">
        <f t="shared" ref="BG1154:BG1217" ca="1" si="512">IF(ISNUMBER(BF1154),IF(ABS(BF1154)&gt;=$C$6,1,0),0)</f>
        <v>0</v>
      </c>
      <c r="BH1154" t="str">
        <f ca="1">IF(BG1154=1,IF(INDEX(分析データ!$A:$A,ROW()+$C$5)&lt;&gt;"",50000*SIGN(BF1154)*(分析データ!D1154-INDEX(分析データ!D:D,ROW()+$C$5)),""),"")</f>
        <v/>
      </c>
      <c r="BI1154">
        <f t="shared" ref="BI1154:BI1217" ca="1" si="513">BI1153+IF(AND(BG1154=1,ISNUMBER(BH1154)),BH1154,0)</f>
        <v>5570000.0000000205</v>
      </c>
      <c r="BJ1154">
        <f t="shared" ref="BJ1154:BJ1217" ca="1" si="514">MAX(BJ1153,BI1154)</f>
        <v>5570000.0000000205</v>
      </c>
      <c r="BK1154">
        <f t="shared" ref="BK1154:BK1217" ca="1" si="515">BI1154-BJ1154</f>
        <v>0</v>
      </c>
      <c r="BL1154">
        <f ca="1">IF(ROW()&lt;($C$7+1),"",IFERROR((分析データ!E1154-AVERAGE(OFFSET(分析データ!E$1,MAX(1,ROW()-$C$7),0,MIN($C$7,ROW()-1),1)))/STDEV(OFFSET(分析データ!E$1,MAX(1,ROW()-$C$7),0,MIN($C$7,ROW()-1),1)),0))</f>
        <v>0</v>
      </c>
      <c r="BM1154">
        <f t="shared" ref="BM1154:BM1217" ca="1" si="516">IF(ISNUMBER(BL1154),IF(ABS(BL1154)&gt;=$C$6,1,0),0)</f>
        <v>0</v>
      </c>
      <c r="BN1154" t="str">
        <f ca="1">IF(BM1154=1,IF(INDEX(分析データ!$A:$A,ROW()+$C$5)&lt;&gt;"",40000*SIGN(BL1154)*(分析データ!E1154-INDEX(分析データ!E:E,ROW()+$C$5)),""),"")</f>
        <v/>
      </c>
      <c r="BO1154">
        <f t="shared" ref="BO1154:BO1217" ca="1" si="517">BO1153+IF(AND(BM1154=1,ISNUMBER(BN1154)),BN1154,0)</f>
        <v>2720000.0000000014</v>
      </c>
      <c r="BP1154">
        <f t="shared" ref="BP1154:BP1217" ca="1" si="518">MAX(BP1153,BO1154)</f>
        <v>4280000.0000000028</v>
      </c>
      <c r="BQ1154">
        <f t="shared" ref="BQ1154:BQ1217" ca="1" si="519">BO1154-BP1154</f>
        <v>-1560000.0000000014</v>
      </c>
      <c r="BR1154">
        <f ca="1">IF(ROW()&lt;($C$7+1),"",IFERROR((分析データ!F1154-AVERAGE(OFFSET(分析データ!F$1,MAX(1,ROW()-$C$7),0,MIN($C$7,ROW()-1),1)))/STDEV(OFFSET(分析データ!F$1,MAX(1,ROW()-$C$7),0,MIN($C$7,ROW()-1),1)),0))</f>
        <v>0</v>
      </c>
      <c r="BS1154">
        <f t="shared" ref="BS1154:BS1217" ca="1" si="520">IF(ISNUMBER(BR1154),IF(ABS(BR1154)&gt;=$C$6,1,0),0)</f>
        <v>0</v>
      </c>
      <c r="BT1154" t="str">
        <f ca="1">IF(BS1154=1,IF(INDEX(分析データ!$A:$A,ROW()+$C$5)&lt;&gt;"",40000*SIGN(BR1154)*(分析データ!F1154-INDEX(分析データ!F:F,ROW()+$C$5)),""),"")</f>
        <v/>
      </c>
      <c r="BU1154">
        <f t="shared" ref="BU1154:BU1217" ca="1" si="521">BU1153+IF(AND(BS1154=1,ISNUMBER(BT1154)),BT1154,0)</f>
        <v>19816800</v>
      </c>
      <c r="BV1154">
        <f t="shared" ref="BV1154:BV1217" ca="1" si="522">MAX(BV1153,BU1154)</f>
        <v>19816800</v>
      </c>
      <c r="BW1154">
        <f t="shared" ref="BW1154:BW1217" ca="1" si="523">BU1154-BV1154</f>
        <v>0</v>
      </c>
      <c r="BX1154">
        <f ca="1">IF(ROW()&lt;($C$7+1),"",IFERROR((分析データ!G1154-AVERAGE(OFFSET(分析データ!G$1,MAX(1,ROW()-$C$7),0,MIN($C$7,ROW()-1),1)))/STDEV(OFFSET(分析データ!G$1,MAX(1,ROW()-$C$7),0,MIN($C$7,ROW()-1),1)),0))</f>
        <v>0</v>
      </c>
      <c r="BY1154">
        <f t="shared" ref="BY1154:BY1217" ca="1" si="524">IF(ISNUMBER(BX1154),IF(ABS(BX1154)&gt;=$C$6,1,0),0)</f>
        <v>0</v>
      </c>
      <c r="BZ1154" t="str">
        <f ca="1">IF(BY1154=1,IF(INDEX(分析データ!$A:$A,ROW()+$C$5)&lt;&gt;"",40000*SIGN(BX1154)*(分析データ!G1154-INDEX(分析データ!G:G,ROW()+$C$5)),""),"")</f>
        <v/>
      </c>
      <c r="CA1154">
        <f t="shared" ref="CA1154:CA1217" ca="1" si="525">CA1153+IF(AND(BY1154=1,ISNUMBER(BZ1154)),BZ1154,0)</f>
        <v>-3515452.8662109179</v>
      </c>
      <c r="CB1154">
        <f t="shared" ref="CB1154:CB1217" ca="1" si="526">MAX(CB1153,CA1154)</f>
        <v>11327520.000000004</v>
      </c>
      <c r="CC1154">
        <f t="shared" ref="CC1154:CC1217" ca="1" si="527">CA1154-CB1154</f>
        <v>-14842972.866210923</v>
      </c>
      <c r="CD1154">
        <f t="shared" ref="CD1154:CD1217" ca="1" si="528">N(AV1154)+N(BB1154)+N(BH1154)+N(BN1154)+N(BT1154)+N(BZ1154)</f>
        <v>0</v>
      </c>
      <c r="CE1154">
        <f t="shared" ref="CE1154:CE1217" ca="1" si="529">CE1153+CD1154</f>
        <v>23090347.13378913</v>
      </c>
      <c r="CF1154">
        <f t="shared" ref="CF1154:CF1217" ca="1" si="530">MAX(CF1153,CE1154)</f>
        <v>23090347.13378913</v>
      </c>
      <c r="CG1154">
        <f t="shared" ref="CG1154:CG1217" ca="1" si="531">CE1154-CF1154</f>
        <v>0</v>
      </c>
      <c r="CH1154" s="10" t="str">
        <f>分析データ!A1154</f>
        <v/>
      </c>
    </row>
    <row r="1155" spans="46:86">
      <c r="AT1155">
        <f ca="1">IF(ROW()&lt;($C$7+1),"",IFERROR((分析データ!B1155-AVERAGE(OFFSET(分析データ!B$1,MAX(1,ROW()-$C$7),0,MIN($C$7,ROW()-1),1)))/STDEV(OFFSET(分析データ!B$1,MAX(1,ROW()-$C$7),0,MIN($C$7,ROW()-1),1)),0))</f>
        <v>0</v>
      </c>
      <c r="AU1155">
        <f t="shared" ca="1" si="504"/>
        <v>0</v>
      </c>
      <c r="AV1155" t="str">
        <f ca="1">IF(AU1155=1,IF(INDEX(分析データ!$A:$A,ROW()+$C$5)&lt;&gt;"",80000*SIGN(AT1155)*(分析データ!B1155-INDEX(分析データ!B:B,ROW()+$C$5)),""),"")</f>
        <v/>
      </c>
      <c r="AW1155">
        <f t="shared" ca="1" si="505"/>
        <v>-1240000.0000000019</v>
      </c>
      <c r="AX1155">
        <f t="shared" ca="1" si="506"/>
        <v>0</v>
      </c>
      <c r="AY1155">
        <f t="shared" ca="1" si="507"/>
        <v>-1240000.0000000019</v>
      </c>
      <c r="AZ1155">
        <f ca="1">IF(ROW()&lt;($C$7+1),"",IFERROR((分析データ!C1155-AVERAGE(OFFSET(分析データ!C$1,MAX(1,ROW()-$C$7),0,MIN($C$7,ROW()-1),1)))/STDEV(OFFSET(分析データ!C$1,MAX(1,ROW()-$C$7),0,MIN($C$7,ROW()-1),1)),0))</f>
        <v>0</v>
      </c>
      <c r="BA1155">
        <f t="shared" ca="1" si="508"/>
        <v>0</v>
      </c>
      <c r="BB1155" t="str">
        <f ca="1">IF(BA1155=1,IF(INDEX(分析データ!$A:$A,ROW()+$C$5)&lt;&gt;"",60000*SIGN(AZ1155)*(分析データ!C1155-INDEX(分析データ!C:C,ROW()+$C$5)),""),"")</f>
        <v/>
      </c>
      <c r="BC1155">
        <f t="shared" ca="1" si="509"/>
        <v>-260999.9999999851</v>
      </c>
      <c r="BD1155">
        <f t="shared" ca="1" si="510"/>
        <v>3156000.0000000107</v>
      </c>
      <c r="BE1155">
        <f t="shared" ca="1" si="511"/>
        <v>-3416999.9999999958</v>
      </c>
      <c r="BF1155">
        <f ca="1">IF(ROW()&lt;($C$7+1),"",IFERROR((分析データ!D1155-AVERAGE(OFFSET(分析データ!D$1,MAX(1,ROW()-$C$7),0,MIN($C$7,ROW()-1),1)))/STDEV(OFFSET(分析データ!D$1,MAX(1,ROW()-$C$7),0,MIN($C$7,ROW()-1),1)),0))</f>
        <v>0</v>
      </c>
      <c r="BG1155">
        <f t="shared" ca="1" si="512"/>
        <v>0</v>
      </c>
      <c r="BH1155" t="str">
        <f ca="1">IF(BG1155=1,IF(INDEX(分析データ!$A:$A,ROW()+$C$5)&lt;&gt;"",50000*SIGN(BF1155)*(分析データ!D1155-INDEX(分析データ!D:D,ROW()+$C$5)),""),"")</f>
        <v/>
      </c>
      <c r="BI1155">
        <f t="shared" ca="1" si="513"/>
        <v>5570000.0000000205</v>
      </c>
      <c r="BJ1155">
        <f t="shared" ca="1" si="514"/>
        <v>5570000.0000000205</v>
      </c>
      <c r="BK1155">
        <f t="shared" ca="1" si="515"/>
        <v>0</v>
      </c>
      <c r="BL1155">
        <f ca="1">IF(ROW()&lt;($C$7+1),"",IFERROR((分析データ!E1155-AVERAGE(OFFSET(分析データ!E$1,MAX(1,ROW()-$C$7),0,MIN($C$7,ROW()-1),1)))/STDEV(OFFSET(分析データ!E$1,MAX(1,ROW()-$C$7),0,MIN($C$7,ROW()-1),1)),0))</f>
        <v>0</v>
      </c>
      <c r="BM1155">
        <f t="shared" ca="1" si="516"/>
        <v>0</v>
      </c>
      <c r="BN1155" t="str">
        <f ca="1">IF(BM1155=1,IF(INDEX(分析データ!$A:$A,ROW()+$C$5)&lt;&gt;"",40000*SIGN(BL1155)*(分析データ!E1155-INDEX(分析データ!E:E,ROW()+$C$5)),""),"")</f>
        <v/>
      </c>
      <c r="BO1155">
        <f t="shared" ca="1" si="517"/>
        <v>2720000.0000000014</v>
      </c>
      <c r="BP1155">
        <f t="shared" ca="1" si="518"/>
        <v>4280000.0000000028</v>
      </c>
      <c r="BQ1155">
        <f t="shared" ca="1" si="519"/>
        <v>-1560000.0000000014</v>
      </c>
      <c r="BR1155">
        <f ca="1">IF(ROW()&lt;($C$7+1),"",IFERROR((分析データ!F1155-AVERAGE(OFFSET(分析データ!F$1,MAX(1,ROW()-$C$7),0,MIN($C$7,ROW()-1),1)))/STDEV(OFFSET(分析データ!F$1,MAX(1,ROW()-$C$7),0,MIN($C$7,ROW()-1),1)),0))</f>
        <v>0</v>
      </c>
      <c r="BS1155">
        <f t="shared" ca="1" si="520"/>
        <v>0</v>
      </c>
      <c r="BT1155" t="str">
        <f ca="1">IF(BS1155=1,IF(INDEX(分析データ!$A:$A,ROW()+$C$5)&lt;&gt;"",40000*SIGN(BR1155)*(分析データ!F1155-INDEX(分析データ!F:F,ROW()+$C$5)),""),"")</f>
        <v/>
      </c>
      <c r="BU1155">
        <f t="shared" ca="1" si="521"/>
        <v>19816800</v>
      </c>
      <c r="BV1155">
        <f t="shared" ca="1" si="522"/>
        <v>19816800</v>
      </c>
      <c r="BW1155">
        <f t="shared" ca="1" si="523"/>
        <v>0</v>
      </c>
      <c r="BX1155">
        <f ca="1">IF(ROW()&lt;($C$7+1),"",IFERROR((分析データ!G1155-AVERAGE(OFFSET(分析データ!G$1,MAX(1,ROW()-$C$7),0,MIN($C$7,ROW()-1),1)))/STDEV(OFFSET(分析データ!G$1,MAX(1,ROW()-$C$7),0,MIN($C$7,ROW()-1),1)),0))</f>
        <v>0</v>
      </c>
      <c r="BY1155">
        <f t="shared" ca="1" si="524"/>
        <v>0</v>
      </c>
      <c r="BZ1155" t="str">
        <f ca="1">IF(BY1155=1,IF(INDEX(分析データ!$A:$A,ROW()+$C$5)&lt;&gt;"",40000*SIGN(BX1155)*(分析データ!G1155-INDEX(分析データ!G:G,ROW()+$C$5)),""),"")</f>
        <v/>
      </c>
      <c r="CA1155">
        <f t="shared" ca="1" si="525"/>
        <v>-3515452.8662109179</v>
      </c>
      <c r="CB1155">
        <f t="shared" ca="1" si="526"/>
        <v>11327520.000000004</v>
      </c>
      <c r="CC1155">
        <f t="shared" ca="1" si="527"/>
        <v>-14842972.866210923</v>
      </c>
      <c r="CD1155">
        <f t="shared" ca="1" si="528"/>
        <v>0</v>
      </c>
      <c r="CE1155">
        <f t="shared" ca="1" si="529"/>
        <v>23090347.13378913</v>
      </c>
      <c r="CF1155">
        <f t="shared" ca="1" si="530"/>
        <v>23090347.13378913</v>
      </c>
      <c r="CG1155">
        <f t="shared" ca="1" si="531"/>
        <v>0</v>
      </c>
      <c r="CH1155" s="10" t="str">
        <f>分析データ!A1155</f>
        <v/>
      </c>
    </row>
    <row r="1156" spans="46:86">
      <c r="AT1156">
        <f ca="1">IF(ROW()&lt;($C$7+1),"",IFERROR((分析データ!B1156-AVERAGE(OFFSET(分析データ!B$1,MAX(1,ROW()-$C$7),0,MIN($C$7,ROW()-1),1)))/STDEV(OFFSET(分析データ!B$1,MAX(1,ROW()-$C$7),0,MIN($C$7,ROW()-1),1)),0))</f>
        <v>0</v>
      </c>
      <c r="AU1156">
        <f t="shared" ca="1" si="504"/>
        <v>0</v>
      </c>
      <c r="AV1156" t="str">
        <f ca="1">IF(AU1156=1,IF(INDEX(分析データ!$A:$A,ROW()+$C$5)&lt;&gt;"",80000*SIGN(AT1156)*(分析データ!B1156-INDEX(分析データ!B:B,ROW()+$C$5)),""),"")</f>
        <v/>
      </c>
      <c r="AW1156">
        <f t="shared" ca="1" si="505"/>
        <v>-1240000.0000000019</v>
      </c>
      <c r="AX1156">
        <f t="shared" ca="1" si="506"/>
        <v>0</v>
      </c>
      <c r="AY1156">
        <f t="shared" ca="1" si="507"/>
        <v>-1240000.0000000019</v>
      </c>
      <c r="AZ1156">
        <f ca="1">IF(ROW()&lt;($C$7+1),"",IFERROR((分析データ!C1156-AVERAGE(OFFSET(分析データ!C$1,MAX(1,ROW()-$C$7),0,MIN($C$7,ROW()-1),1)))/STDEV(OFFSET(分析データ!C$1,MAX(1,ROW()-$C$7),0,MIN($C$7,ROW()-1),1)),0))</f>
        <v>0</v>
      </c>
      <c r="BA1156">
        <f t="shared" ca="1" si="508"/>
        <v>0</v>
      </c>
      <c r="BB1156" t="str">
        <f ca="1">IF(BA1156=1,IF(INDEX(分析データ!$A:$A,ROW()+$C$5)&lt;&gt;"",60000*SIGN(AZ1156)*(分析データ!C1156-INDEX(分析データ!C:C,ROW()+$C$5)),""),"")</f>
        <v/>
      </c>
      <c r="BC1156">
        <f t="shared" ca="1" si="509"/>
        <v>-260999.9999999851</v>
      </c>
      <c r="BD1156">
        <f t="shared" ca="1" si="510"/>
        <v>3156000.0000000107</v>
      </c>
      <c r="BE1156">
        <f t="shared" ca="1" si="511"/>
        <v>-3416999.9999999958</v>
      </c>
      <c r="BF1156">
        <f ca="1">IF(ROW()&lt;($C$7+1),"",IFERROR((分析データ!D1156-AVERAGE(OFFSET(分析データ!D$1,MAX(1,ROW()-$C$7),0,MIN($C$7,ROW()-1),1)))/STDEV(OFFSET(分析データ!D$1,MAX(1,ROW()-$C$7),0,MIN($C$7,ROW()-1),1)),0))</f>
        <v>0</v>
      </c>
      <c r="BG1156">
        <f t="shared" ca="1" si="512"/>
        <v>0</v>
      </c>
      <c r="BH1156" t="str">
        <f ca="1">IF(BG1156=1,IF(INDEX(分析データ!$A:$A,ROW()+$C$5)&lt;&gt;"",50000*SIGN(BF1156)*(分析データ!D1156-INDEX(分析データ!D:D,ROW()+$C$5)),""),"")</f>
        <v/>
      </c>
      <c r="BI1156">
        <f t="shared" ca="1" si="513"/>
        <v>5570000.0000000205</v>
      </c>
      <c r="BJ1156">
        <f t="shared" ca="1" si="514"/>
        <v>5570000.0000000205</v>
      </c>
      <c r="BK1156">
        <f t="shared" ca="1" si="515"/>
        <v>0</v>
      </c>
      <c r="BL1156">
        <f ca="1">IF(ROW()&lt;($C$7+1),"",IFERROR((分析データ!E1156-AVERAGE(OFFSET(分析データ!E$1,MAX(1,ROW()-$C$7),0,MIN($C$7,ROW()-1),1)))/STDEV(OFFSET(分析データ!E$1,MAX(1,ROW()-$C$7),0,MIN($C$7,ROW()-1),1)),0))</f>
        <v>0</v>
      </c>
      <c r="BM1156">
        <f t="shared" ca="1" si="516"/>
        <v>0</v>
      </c>
      <c r="BN1156" t="str">
        <f ca="1">IF(BM1156=1,IF(INDEX(分析データ!$A:$A,ROW()+$C$5)&lt;&gt;"",40000*SIGN(BL1156)*(分析データ!E1156-INDEX(分析データ!E:E,ROW()+$C$5)),""),"")</f>
        <v/>
      </c>
      <c r="BO1156">
        <f t="shared" ca="1" si="517"/>
        <v>2720000.0000000014</v>
      </c>
      <c r="BP1156">
        <f t="shared" ca="1" si="518"/>
        <v>4280000.0000000028</v>
      </c>
      <c r="BQ1156">
        <f t="shared" ca="1" si="519"/>
        <v>-1560000.0000000014</v>
      </c>
      <c r="BR1156">
        <f ca="1">IF(ROW()&lt;($C$7+1),"",IFERROR((分析データ!F1156-AVERAGE(OFFSET(分析データ!F$1,MAX(1,ROW()-$C$7),0,MIN($C$7,ROW()-1),1)))/STDEV(OFFSET(分析データ!F$1,MAX(1,ROW()-$C$7),0,MIN($C$7,ROW()-1),1)),0))</f>
        <v>0</v>
      </c>
      <c r="BS1156">
        <f t="shared" ca="1" si="520"/>
        <v>0</v>
      </c>
      <c r="BT1156" t="str">
        <f ca="1">IF(BS1156=1,IF(INDEX(分析データ!$A:$A,ROW()+$C$5)&lt;&gt;"",40000*SIGN(BR1156)*(分析データ!F1156-INDEX(分析データ!F:F,ROW()+$C$5)),""),"")</f>
        <v/>
      </c>
      <c r="BU1156">
        <f t="shared" ca="1" si="521"/>
        <v>19816800</v>
      </c>
      <c r="BV1156">
        <f t="shared" ca="1" si="522"/>
        <v>19816800</v>
      </c>
      <c r="BW1156">
        <f t="shared" ca="1" si="523"/>
        <v>0</v>
      </c>
      <c r="BX1156">
        <f ca="1">IF(ROW()&lt;($C$7+1),"",IFERROR((分析データ!G1156-AVERAGE(OFFSET(分析データ!G$1,MAX(1,ROW()-$C$7),0,MIN($C$7,ROW()-1),1)))/STDEV(OFFSET(分析データ!G$1,MAX(1,ROW()-$C$7),0,MIN($C$7,ROW()-1),1)),0))</f>
        <v>0</v>
      </c>
      <c r="BY1156">
        <f t="shared" ca="1" si="524"/>
        <v>0</v>
      </c>
      <c r="BZ1156" t="str">
        <f ca="1">IF(BY1156=1,IF(INDEX(分析データ!$A:$A,ROW()+$C$5)&lt;&gt;"",40000*SIGN(BX1156)*(分析データ!G1156-INDEX(分析データ!G:G,ROW()+$C$5)),""),"")</f>
        <v/>
      </c>
      <c r="CA1156">
        <f t="shared" ca="1" si="525"/>
        <v>-3515452.8662109179</v>
      </c>
      <c r="CB1156">
        <f t="shared" ca="1" si="526"/>
        <v>11327520.000000004</v>
      </c>
      <c r="CC1156">
        <f t="shared" ca="1" si="527"/>
        <v>-14842972.866210923</v>
      </c>
      <c r="CD1156">
        <f t="shared" ca="1" si="528"/>
        <v>0</v>
      </c>
      <c r="CE1156">
        <f t="shared" ca="1" si="529"/>
        <v>23090347.13378913</v>
      </c>
      <c r="CF1156">
        <f t="shared" ca="1" si="530"/>
        <v>23090347.13378913</v>
      </c>
      <c r="CG1156">
        <f t="shared" ca="1" si="531"/>
        <v>0</v>
      </c>
      <c r="CH1156" s="10" t="str">
        <f>分析データ!A1156</f>
        <v/>
      </c>
    </row>
    <row r="1157" spans="46:86">
      <c r="AT1157">
        <f ca="1">IF(ROW()&lt;($C$7+1),"",IFERROR((分析データ!B1157-AVERAGE(OFFSET(分析データ!B$1,MAX(1,ROW()-$C$7),0,MIN($C$7,ROW()-1),1)))/STDEV(OFFSET(分析データ!B$1,MAX(1,ROW()-$C$7),0,MIN($C$7,ROW()-1),1)),0))</f>
        <v>0</v>
      </c>
      <c r="AU1157">
        <f t="shared" ca="1" si="504"/>
        <v>0</v>
      </c>
      <c r="AV1157" t="str">
        <f ca="1">IF(AU1157=1,IF(INDEX(分析データ!$A:$A,ROW()+$C$5)&lt;&gt;"",80000*SIGN(AT1157)*(分析データ!B1157-INDEX(分析データ!B:B,ROW()+$C$5)),""),"")</f>
        <v/>
      </c>
      <c r="AW1157">
        <f t="shared" ca="1" si="505"/>
        <v>-1240000.0000000019</v>
      </c>
      <c r="AX1157">
        <f t="shared" ca="1" si="506"/>
        <v>0</v>
      </c>
      <c r="AY1157">
        <f t="shared" ca="1" si="507"/>
        <v>-1240000.0000000019</v>
      </c>
      <c r="AZ1157">
        <f ca="1">IF(ROW()&lt;($C$7+1),"",IFERROR((分析データ!C1157-AVERAGE(OFFSET(分析データ!C$1,MAX(1,ROW()-$C$7),0,MIN($C$7,ROW()-1),1)))/STDEV(OFFSET(分析データ!C$1,MAX(1,ROW()-$C$7),0,MIN($C$7,ROW()-1),1)),0))</f>
        <v>0</v>
      </c>
      <c r="BA1157">
        <f t="shared" ca="1" si="508"/>
        <v>0</v>
      </c>
      <c r="BB1157" t="str">
        <f ca="1">IF(BA1157=1,IF(INDEX(分析データ!$A:$A,ROW()+$C$5)&lt;&gt;"",60000*SIGN(AZ1157)*(分析データ!C1157-INDEX(分析データ!C:C,ROW()+$C$5)),""),"")</f>
        <v/>
      </c>
      <c r="BC1157">
        <f t="shared" ca="1" si="509"/>
        <v>-260999.9999999851</v>
      </c>
      <c r="BD1157">
        <f t="shared" ca="1" si="510"/>
        <v>3156000.0000000107</v>
      </c>
      <c r="BE1157">
        <f t="shared" ca="1" si="511"/>
        <v>-3416999.9999999958</v>
      </c>
      <c r="BF1157">
        <f ca="1">IF(ROW()&lt;($C$7+1),"",IFERROR((分析データ!D1157-AVERAGE(OFFSET(分析データ!D$1,MAX(1,ROW()-$C$7),0,MIN($C$7,ROW()-1),1)))/STDEV(OFFSET(分析データ!D$1,MAX(1,ROW()-$C$7),0,MIN($C$7,ROW()-1),1)),0))</f>
        <v>0</v>
      </c>
      <c r="BG1157">
        <f t="shared" ca="1" si="512"/>
        <v>0</v>
      </c>
      <c r="BH1157" t="str">
        <f ca="1">IF(BG1157=1,IF(INDEX(分析データ!$A:$A,ROW()+$C$5)&lt;&gt;"",50000*SIGN(BF1157)*(分析データ!D1157-INDEX(分析データ!D:D,ROW()+$C$5)),""),"")</f>
        <v/>
      </c>
      <c r="BI1157">
        <f t="shared" ca="1" si="513"/>
        <v>5570000.0000000205</v>
      </c>
      <c r="BJ1157">
        <f t="shared" ca="1" si="514"/>
        <v>5570000.0000000205</v>
      </c>
      <c r="BK1157">
        <f t="shared" ca="1" si="515"/>
        <v>0</v>
      </c>
      <c r="BL1157">
        <f ca="1">IF(ROW()&lt;($C$7+1),"",IFERROR((分析データ!E1157-AVERAGE(OFFSET(分析データ!E$1,MAX(1,ROW()-$C$7),0,MIN($C$7,ROW()-1),1)))/STDEV(OFFSET(分析データ!E$1,MAX(1,ROW()-$C$7),0,MIN($C$7,ROW()-1),1)),0))</f>
        <v>0</v>
      </c>
      <c r="BM1157">
        <f t="shared" ca="1" si="516"/>
        <v>0</v>
      </c>
      <c r="BN1157" t="str">
        <f ca="1">IF(BM1157=1,IF(INDEX(分析データ!$A:$A,ROW()+$C$5)&lt;&gt;"",40000*SIGN(BL1157)*(分析データ!E1157-INDEX(分析データ!E:E,ROW()+$C$5)),""),"")</f>
        <v/>
      </c>
      <c r="BO1157">
        <f t="shared" ca="1" si="517"/>
        <v>2720000.0000000014</v>
      </c>
      <c r="BP1157">
        <f t="shared" ca="1" si="518"/>
        <v>4280000.0000000028</v>
      </c>
      <c r="BQ1157">
        <f t="shared" ca="1" si="519"/>
        <v>-1560000.0000000014</v>
      </c>
      <c r="BR1157">
        <f ca="1">IF(ROW()&lt;($C$7+1),"",IFERROR((分析データ!F1157-AVERAGE(OFFSET(分析データ!F$1,MAX(1,ROW()-$C$7),0,MIN($C$7,ROW()-1),1)))/STDEV(OFFSET(分析データ!F$1,MAX(1,ROW()-$C$7),0,MIN($C$7,ROW()-1),1)),0))</f>
        <v>0</v>
      </c>
      <c r="BS1157">
        <f t="shared" ca="1" si="520"/>
        <v>0</v>
      </c>
      <c r="BT1157" t="str">
        <f ca="1">IF(BS1157=1,IF(INDEX(分析データ!$A:$A,ROW()+$C$5)&lt;&gt;"",40000*SIGN(BR1157)*(分析データ!F1157-INDEX(分析データ!F:F,ROW()+$C$5)),""),"")</f>
        <v/>
      </c>
      <c r="BU1157">
        <f t="shared" ca="1" si="521"/>
        <v>19816800</v>
      </c>
      <c r="BV1157">
        <f t="shared" ca="1" si="522"/>
        <v>19816800</v>
      </c>
      <c r="BW1157">
        <f t="shared" ca="1" si="523"/>
        <v>0</v>
      </c>
      <c r="BX1157">
        <f ca="1">IF(ROW()&lt;($C$7+1),"",IFERROR((分析データ!G1157-AVERAGE(OFFSET(分析データ!G$1,MAX(1,ROW()-$C$7),0,MIN($C$7,ROW()-1),1)))/STDEV(OFFSET(分析データ!G$1,MAX(1,ROW()-$C$7),0,MIN($C$7,ROW()-1),1)),0))</f>
        <v>0</v>
      </c>
      <c r="BY1157">
        <f t="shared" ca="1" si="524"/>
        <v>0</v>
      </c>
      <c r="BZ1157" t="str">
        <f ca="1">IF(BY1157=1,IF(INDEX(分析データ!$A:$A,ROW()+$C$5)&lt;&gt;"",40000*SIGN(BX1157)*(分析データ!G1157-INDEX(分析データ!G:G,ROW()+$C$5)),""),"")</f>
        <v/>
      </c>
      <c r="CA1157">
        <f t="shared" ca="1" si="525"/>
        <v>-3515452.8662109179</v>
      </c>
      <c r="CB1157">
        <f t="shared" ca="1" si="526"/>
        <v>11327520.000000004</v>
      </c>
      <c r="CC1157">
        <f t="shared" ca="1" si="527"/>
        <v>-14842972.866210923</v>
      </c>
      <c r="CD1157">
        <f t="shared" ca="1" si="528"/>
        <v>0</v>
      </c>
      <c r="CE1157">
        <f t="shared" ca="1" si="529"/>
        <v>23090347.13378913</v>
      </c>
      <c r="CF1157">
        <f t="shared" ca="1" si="530"/>
        <v>23090347.13378913</v>
      </c>
      <c r="CG1157">
        <f t="shared" ca="1" si="531"/>
        <v>0</v>
      </c>
      <c r="CH1157" s="10" t="str">
        <f>分析データ!A1157</f>
        <v/>
      </c>
    </row>
    <row r="1158" spans="46:86">
      <c r="AT1158">
        <f ca="1">IF(ROW()&lt;($C$7+1),"",IFERROR((分析データ!B1158-AVERAGE(OFFSET(分析データ!B$1,MAX(1,ROW()-$C$7),0,MIN($C$7,ROW()-1),1)))/STDEV(OFFSET(分析データ!B$1,MAX(1,ROW()-$C$7),0,MIN($C$7,ROW()-1),1)),0))</f>
        <v>0</v>
      </c>
      <c r="AU1158">
        <f t="shared" ca="1" si="504"/>
        <v>0</v>
      </c>
      <c r="AV1158" t="str">
        <f ca="1">IF(AU1158=1,IF(INDEX(分析データ!$A:$A,ROW()+$C$5)&lt;&gt;"",80000*SIGN(AT1158)*(分析データ!B1158-INDEX(分析データ!B:B,ROW()+$C$5)),""),"")</f>
        <v/>
      </c>
      <c r="AW1158">
        <f t="shared" ca="1" si="505"/>
        <v>-1240000.0000000019</v>
      </c>
      <c r="AX1158">
        <f t="shared" ca="1" si="506"/>
        <v>0</v>
      </c>
      <c r="AY1158">
        <f t="shared" ca="1" si="507"/>
        <v>-1240000.0000000019</v>
      </c>
      <c r="AZ1158">
        <f ca="1">IF(ROW()&lt;($C$7+1),"",IFERROR((分析データ!C1158-AVERAGE(OFFSET(分析データ!C$1,MAX(1,ROW()-$C$7),0,MIN($C$7,ROW()-1),1)))/STDEV(OFFSET(分析データ!C$1,MAX(1,ROW()-$C$7),0,MIN($C$7,ROW()-1),1)),0))</f>
        <v>0</v>
      </c>
      <c r="BA1158">
        <f t="shared" ca="1" si="508"/>
        <v>0</v>
      </c>
      <c r="BB1158" t="str">
        <f ca="1">IF(BA1158=1,IF(INDEX(分析データ!$A:$A,ROW()+$C$5)&lt;&gt;"",60000*SIGN(AZ1158)*(分析データ!C1158-INDEX(分析データ!C:C,ROW()+$C$5)),""),"")</f>
        <v/>
      </c>
      <c r="BC1158">
        <f t="shared" ca="1" si="509"/>
        <v>-260999.9999999851</v>
      </c>
      <c r="BD1158">
        <f t="shared" ca="1" si="510"/>
        <v>3156000.0000000107</v>
      </c>
      <c r="BE1158">
        <f t="shared" ca="1" si="511"/>
        <v>-3416999.9999999958</v>
      </c>
      <c r="BF1158">
        <f ca="1">IF(ROW()&lt;($C$7+1),"",IFERROR((分析データ!D1158-AVERAGE(OFFSET(分析データ!D$1,MAX(1,ROW()-$C$7),0,MIN($C$7,ROW()-1),1)))/STDEV(OFFSET(分析データ!D$1,MAX(1,ROW()-$C$7),0,MIN($C$7,ROW()-1),1)),0))</f>
        <v>0</v>
      </c>
      <c r="BG1158">
        <f t="shared" ca="1" si="512"/>
        <v>0</v>
      </c>
      <c r="BH1158" t="str">
        <f ca="1">IF(BG1158=1,IF(INDEX(分析データ!$A:$A,ROW()+$C$5)&lt;&gt;"",50000*SIGN(BF1158)*(分析データ!D1158-INDEX(分析データ!D:D,ROW()+$C$5)),""),"")</f>
        <v/>
      </c>
      <c r="BI1158">
        <f t="shared" ca="1" si="513"/>
        <v>5570000.0000000205</v>
      </c>
      <c r="BJ1158">
        <f t="shared" ca="1" si="514"/>
        <v>5570000.0000000205</v>
      </c>
      <c r="BK1158">
        <f t="shared" ca="1" si="515"/>
        <v>0</v>
      </c>
      <c r="BL1158">
        <f ca="1">IF(ROW()&lt;($C$7+1),"",IFERROR((分析データ!E1158-AVERAGE(OFFSET(分析データ!E$1,MAX(1,ROW()-$C$7),0,MIN($C$7,ROW()-1),1)))/STDEV(OFFSET(分析データ!E$1,MAX(1,ROW()-$C$7),0,MIN($C$7,ROW()-1),1)),0))</f>
        <v>0</v>
      </c>
      <c r="BM1158">
        <f t="shared" ca="1" si="516"/>
        <v>0</v>
      </c>
      <c r="BN1158" t="str">
        <f ca="1">IF(BM1158=1,IF(INDEX(分析データ!$A:$A,ROW()+$C$5)&lt;&gt;"",40000*SIGN(BL1158)*(分析データ!E1158-INDEX(分析データ!E:E,ROW()+$C$5)),""),"")</f>
        <v/>
      </c>
      <c r="BO1158">
        <f t="shared" ca="1" si="517"/>
        <v>2720000.0000000014</v>
      </c>
      <c r="BP1158">
        <f t="shared" ca="1" si="518"/>
        <v>4280000.0000000028</v>
      </c>
      <c r="BQ1158">
        <f t="shared" ca="1" si="519"/>
        <v>-1560000.0000000014</v>
      </c>
      <c r="BR1158">
        <f ca="1">IF(ROW()&lt;($C$7+1),"",IFERROR((分析データ!F1158-AVERAGE(OFFSET(分析データ!F$1,MAX(1,ROW()-$C$7),0,MIN($C$7,ROW()-1),1)))/STDEV(OFFSET(分析データ!F$1,MAX(1,ROW()-$C$7),0,MIN($C$7,ROW()-1),1)),0))</f>
        <v>0</v>
      </c>
      <c r="BS1158">
        <f t="shared" ca="1" si="520"/>
        <v>0</v>
      </c>
      <c r="BT1158" t="str">
        <f ca="1">IF(BS1158=1,IF(INDEX(分析データ!$A:$A,ROW()+$C$5)&lt;&gt;"",40000*SIGN(BR1158)*(分析データ!F1158-INDEX(分析データ!F:F,ROW()+$C$5)),""),"")</f>
        <v/>
      </c>
      <c r="BU1158">
        <f t="shared" ca="1" si="521"/>
        <v>19816800</v>
      </c>
      <c r="BV1158">
        <f t="shared" ca="1" si="522"/>
        <v>19816800</v>
      </c>
      <c r="BW1158">
        <f t="shared" ca="1" si="523"/>
        <v>0</v>
      </c>
      <c r="BX1158">
        <f ca="1">IF(ROW()&lt;($C$7+1),"",IFERROR((分析データ!G1158-AVERAGE(OFFSET(分析データ!G$1,MAX(1,ROW()-$C$7),0,MIN($C$7,ROW()-1),1)))/STDEV(OFFSET(分析データ!G$1,MAX(1,ROW()-$C$7),0,MIN($C$7,ROW()-1),1)),0))</f>
        <v>0</v>
      </c>
      <c r="BY1158">
        <f t="shared" ca="1" si="524"/>
        <v>0</v>
      </c>
      <c r="BZ1158" t="str">
        <f ca="1">IF(BY1158=1,IF(INDEX(分析データ!$A:$A,ROW()+$C$5)&lt;&gt;"",40000*SIGN(BX1158)*(分析データ!G1158-INDEX(分析データ!G:G,ROW()+$C$5)),""),"")</f>
        <v/>
      </c>
      <c r="CA1158">
        <f t="shared" ca="1" si="525"/>
        <v>-3515452.8662109179</v>
      </c>
      <c r="CB1158">
        <f t="shared" ca="1" si="526"/>
        <v>11327520.000000004</v>
      </c>
      <c r="CC1158">
        <f t="shared" ca="1" si="527"/>
        <v>-14842972.866210923</v>
      </c>
      <c r="CD1158">
        <f t="shared" ca="1" si="528"/>
        <v>0</v>
      </c>
      <c r="CE1158">
        <f t="shared" ca="1" si="529"/>
        <v>23090347.13378913</v>
      </c>
      <c r="CF1158">
        <f t="shared" ca="1" si="530"/>
        <v>23090347.13378913</v>
      </c>
      <c r="CG1158">
        <f t="shared" ca="1" si="531"/>
        <v>0</v>
      </c>
      <c r="CH1158" s="10" t="str">
        <f>分析データ!A1158</f>
        <v/>
      </c>
    </row>
    <row r="1159" spans="46:86">
      <c r="AT1159">
        <f ca="1">IF(ROW()&lt;($C$7+1),"",IFERROR((分析データ!B1159-AVERAGE(OFFSET(分析データ!B$1,MAX(1,ROW()-$C$7),0,MIN($C$7,ROW()-1),1)))/STDEV(OFFSET(分析データ!B$1,MAX(1,ROW()-$C$7),0,MIN($C$7,ROW()-1),1)),0))</f>
        <v>0</v>
      </c>
      <c r="AU1159">
        <f t="shared" ca="1" si="504"/>
        <v>0</v>
      </c>
      <c r="AV1159" t="str">
        <f ca="1">IF(AU1159=1,IF(INDEX(分析データ!$A:$A,ROW()+$C$5)&lt;&gt;"",80000*SIGN(AT1159)*(分析データ!B1159-INDEX(分析データ!B:B,ROW()+$C$5)),""),"")</f>
        <v/>
      </c>
      <c r="AW1159">
        <f t="shared" ca="1" si="505"/>
        <v>-1240000.0000000019</v>
      </c>
      <c r="AX1159">
        <f t="shared" ca="1" si="506"/>
        <v>0</v>
      </c>
      <c r="AY1159">
        <f t="shared" ca="1" si="507"/>
        <v>-1240000.0000000019</v>
      </c>
      <c r="AZ1159">
        <f ca="1">IF(ROW()&lt;($C$7+1),"",IFERROR((分析データ!C1159-AVERAGE(OFFSET(分析データ!C$1,MAX(1,ROW()-$C$7),0,MIN($C$7,ROW()-1),1)))/STDEV(OFFSET(分析データ!C$1,MAX(1,ROW()-$C$7),0,MIN($C$7,ROW()-1),1)),0))</f>
        <v>0</v>
      </c>
      <c r="BA1159">
        <f t="shared" ca="1" si="508"/>
        <v>0</v>
      </c>
      <c r="BB1159" t="str">
        <f ca="1">IF(BA1159=1,IF(INDEX(分析データ!$A:$A,ROW()+$C$5)&lt;&gt;"",60000*SIGN(AZ1159)*(分析データ!C1159-INDEX(分析データ!C:C,ROW()+$C$5)),""),"")</f>
        <v/>
      </c>
      <c r="BC1159">
        <f t="shared" ca="1" si="509"/>
        <v>-260999.9999999851</v>
      </c>
      <c r="BD1159">
        <f t="shared" ca="1" si="510"/>
        <v>3156000.0000000107</v>
      </c>
      <c r="BE1159">
        <f t="shared" ca="1" si="511"/>
        <v>-3416999.9999999958</v>
      </c>
      <c r="BF1159">
        <f ca="1">IF(ROW()&lt;($C$7+1),"",IFERROR((分析データ!D1159-AVERAGE(OFFSET(分析データ!D$1,MAX(1,ROW()-$C$7),0,MIN($C$7,ROW()-1),1)))/STDEV(OFFSET(分析データ!D$1,MAX(1,ROW()-$C$7),0,MIN($C$7,ROW()-1),1)),0))</f>
        <v>0</v>
      </c>
      <c r="BG1159">
        <f t="shared" ca="1" si="512"/>
        <v>0</v>
      </c>
      <c r="BH1159" t="str">
        <f ca="1">IF(BG1159=1,IF(INDEX(分析データ!$A:$A,ROW()+$C$5)&lt;&gt;"",50000*SIGN(BF1159)*(分析データ!D1159-INDEX(分析データ!D:D,ROW()+$C$5)),""),"")</f>
        <v/>
      </c>
      <c r="BI1159">
        <f t="shared" ca="1" si="513"/>
        <v>5570000.0000000205</v>
      </c>
      <c r="BJ1159">
        <f t="shared" ca="1" si="514"/>
        <v>5570000.0000000205</v>
      </c>
      <c r="BK1159">
        <f t="shared" ca="1" si="515"/>
        <v>0</v>
      </c>
      <c r="BL1159">
        <f ca="1">IF(ROW()&lt;($C$7+1),"",IFERROR((分析データ!E1159-AVERAGE(OFFSET(分析データ!E$1,MAX(1,ROW()-$C$7),0,MIN($C$7,ROW()-1),1)))/STDEV(OFFSET(分析データ!E$1,MAX(1,ROW()-$C$7),0,MIN($C$7,ROW()-1),1)),0))</f>
        <v>0</v>
      </c>
      <c r="BM1159">
        <f t="shared" ca="1" si="516"/>
        <v>0</v>
      </c>
      <c r="BN1159" t="str">
        <f ca="1">IF(BM1159=1,IF(INDEX(分析データ!$A:$A,ROW()+$C$5)&lt;&gt;"",40000*SIGN(BL1159)*(分析データ!E1159-INDEX(分析データ!E:E,ROW()+$C$5)),""),"")</f>
        <v/>
      </c>
      <c r="BO1159">
        <f t="shared" ca="1" si="517"/>
        <v>2720000.0000000014</v>
      </c>
      <c r="BP1159">
        <f t="shared" ca="1" si="518"/>
        <v>4280000.0000000028</v>
      </c>
      <c r="BQ1159">
        <f t="shared" ca="1" si="519"/>
        <v>-1560000.0000000014</v>
      </c>
      <c r="BR1159">
        <f ca="1">IF(ROW()&lt;($C$7+1),"",IFERROR((分析データ!F1159-AVERAGE(OFFSET(分析データ!F$1,MAX(1,ROW()-$C$7),0,MIN($C$7,ROW()-1),1)))/STDEV(OFFSET(分析データ!F$1,MAX(1,ROW()-$C$7),0,MIN($C$7,ROW()-1),1)),0))</f>
        <v>0</v>
      </c>
      <c r="BS1159">
        <f t="shared" ca="1" si="520"/>
        <v>0</v>
      </c>
      <c r="BT1159" t="str">
        <f ca="1">IF(BS1159=1,IF(INDEX(分析データ!$A:$A,ROW()+$C$5)&lt;&gt;"",40000*SIGN(BR1159)*(分析データ!F1159-INDEX(分析データ!F:F,ROW()+$C$5)),""),"")</f>
        <v/>
      </c>
      <c r="BU1159">
        <f t="shared" ca="1" si="521"/>
        <v>19816800</v>
      </c>
      <c r="BV1159">
        <f t="shared" ca="1" si="522"/>
        <v>19816800</v>
      </c>
      <c r="BW1159">
        <f t="shared" ca="1" si="523"/>
        <v>0</v>
      </c>
      <c r="BX1159">
        <f ca="1">IF(ROW()&lt;($C$7+1),"",IFERROR((分析データ!G1159-AVERAGE(OFFSET(分析データ!G$1,MAX(1,ROW()-$C$7),0,MIN($C$7,ROW()-1),1)))/STDEV(OFFSET(分析データ!G$1,MAX(1,ROW()-$C$7),0,MIN($C$7,ROW()-1),1)),0))</f>
        <v>0</v>
      </c>
      <c r="BY1159">
        <f t="shared" ca="1" si="524"/>
        <v>0</v>
      </c>
      <c r="BZ1159" t="str">
        <f ca="1">IF(BY1159=1,IF(INDEX(分析データ!$A:$A,ROW()+$C$5)&lt;&gt;"",40000*SIGN(BX1159)*(分析データ!G1159-INDEX(分析データ!G:G,ROW()+$C$5)),""),"")</f>
        <v/>
      </c>
      <c r="CA1159">
        <f t="shared" ca="1" si="525"/>
        <v>-3515452.8662109179</v>
      </c>
      <c r="CB1159">
        <f t="shared" ca="1" si="526"/>
        <v>11327520.000000004</v>
      </c>
      <c r="CC1159">
        <f t="shared" ca="1" si="527"/>
        <v>-14842972.866210923</v>
      </c>
      <c r="CD1159">
        <f t="shared" ca="1" si="528"/>
        <v>0</v>
      </c>
      <c r="CE1159">
        <f t="shared" ca="1" si="529"/>
        <v>23090347.13378913</v>
      </c>
      <c r="CF1159">
        <f t="shared" ca="1" si="530"/>
        <v>23090347.13378913</v>
      </c>
      <c r="CG1159">
        <f t="shared" ca="1" si="531"/>
        <v>0</v>
      </c>
      <c r="CH1159" s="10" t="str">
        <f>分析データ!A1159</f>
        <v/>
      </c>
    </row>
    <row r="1160" spans="46:86">
      <c r="AT1160">
        <f ca="1">IF(ROW()&lt;($C$7+1),"",IFERROR((分析データ!B1160-AVERAGE(OFFSET(分析データ!B$1,MAX(1,ROW()-$C$7),0,MIN($C$7,ROW()-1),1)))/STDEV(OFFSET(分析データ!B$1,MAX(1,ROW()-$C$7),0,MIN($C$7,ROW()-1),1)),0))</f>
        <v>0</v>
      </c>
      <c r="AU1160">
        <f t="shared" ca="1" si="504"/>
        <v>0</v>
      </c>
      <c r="AV1160" t="str">
        <f ca="1">IF(AU1160=1,IF(INDEX(分析データ!$A:$A,ROW()+$C$5)&lt;&gt;"",80000*SIGN(AT1160)*(分析データ!B1160-INDEX(分析データ!B:B,ROW()+$C$5)),""),"")</f>
        <v/>
      </c>
      <c r="AW1160">
        <f t="shared" ca="1" si="505"/>
        <v>-1240000.0000000019</v>
      </c>
      <c r="AX1160">
        <f t="shared" ca="1" si="506"/>
        <v>0</v>
      </c>
      <c r="AY1160">
        <f t="shared" ca="1" si="507"/>
        <v>-1240000.0000000019</v>
      </c>
      <c r="AZ1160">
        <f ca="1">IF(ROW()&lt;($C$7+1),"",IFERROR((分析データ!C1160-AVERAGE(OFFSET(分析データ!C$1,MAX(1,ROW()-$C$7),0,MIN($C$7,ROW()-1),1)))/STDEV(OFFSET(分析データ!C$1,MAX(1,ROW()-$C$7),0,MIN($C$7,ROW()-1),1)),0))</f>
        <v>0</v>
      </c>
      <c r="BA1160">
        <f t="shared" ca="1" si="508"/>
        <v>0</v>
      </c>
      <c r="BB1160" t="str">
        <f ca="1">IF(BA1160=1,IF(INDEX(分析データ!$A:$A,ROW()+$C$5)&lt;&gt;"",60000*SIGN(AZ1160)*(分析データ!C1160-INDEX(分析データ!C:C,ROW()+$C$5)),""),"")</f>
        <v/>
      </c>
      <c r="BC1160">
        <f t="shared" ca="1" si="509"/>
        <v>-260999.9999999851</v>
      </c>
      <c r="BD1160">
        <f t="shared" ca="1" si="510"/>
        <v>3156000.0000000107</v>
      </c>
      <c r="BE1160">
        <f t="shared" ca="1" si="511"/>
        <v>-3416999.9999999958</v>
      </c>
      <c r="BF1160">
        <f ca="1">IF(ROW()&lt;($C$7+1),"",IFERROR((分析データ!D1160-AVERAGE(OFFSET(分析データ!D$1,MAX(1,ROW()-$C$7),0,MIN($C$7,ROW()-1),1)))/STDEV(OFFSET(分析データ!D$1,MAX(1,ROW()-$C$7),0,MIN($C$7,ROW()-1),1)),0))</f>
        <v>0</v>
      </c>
      <c r="BG1160">
        <f t="shared" ca="1" si="512"/>
        <v>0</v>
      </c>
      <c r="BH1160" t="str">
        <f ca="1">IF(BG1160=1,IF(INDEX(分析データ!$A:$A,ROW()+$C$5)&lt;&gt;"",50000*SIGN(BF1160)*(分析データ!D1160-INDEX(分析データ!D:D,ROW()+$C$5)),""),"")</f>
        <v/>
      </c>
      <c r="BI1160">
        <f t="shared" ca="1" si="513"/>
        <v>5570000.0000000205</v>
      </c>
      <c r="BJ1160">
        <f t="shared" ca="1" si="514"/>
        <v>5570000.0000000205</v>
      </c>
      <c r="BK1160">
        <f t="shared" ca="1" si="515"/>
        <v>0</v>
      </c>
      <c r="BL1160">
        <f ca="1">IF(ROW()&lt;($C$7+1),"",IFERROR((分析データ!E1160-AVERAGE(OFFSET(分析データ!E$1,MAX(1,ROW()-$C$7),0,MIN($C$7,ROW()-1),1)))/STDEV(OFFSET(分析データ!E$1,MAX(1,ROW()-$C$7),0,MIN($C$7,ROW()-1),1)),0))</f>
        <v>0</v>
      </c>
      <c r="BM1160">
        <f t="shared" ca="1" si="516"/>
        <v>0</v>
      </c>
      <c r="BN1160" t="str">
        <f ca="1">IF(BM1160=1,IF(INDEX(分析データ!$A:$A,ROW()+$C$5)&lt;&gt;"",40000*SIGN(BL1160)*(分析データ!E1160-INDEX(分析データ!E:E,ROW()+$C$5)),""),"")</f>
        <v/>
      </c>
      <c r="BO1160">
        <f t="shared" ca="1" si="517"/>
        <v>2720000.0000000014</v>
      </c>
      <c r="BP1160">
        <f t="shared" ca="1" si="518"/>
        <v>4280000.0000000028</v>
      </c>
      <c r="BQ1160">
        <f t="shared" ca="1" si="519"/>
        <v>-1560000.0000000014</v>
      </c>
      <c r="BR1160">
        <f ca="1">IF(ROW()&lt;($C$7+1),"",IFERROR((分析データ!F1160-AVERAGE(OFFSET(分析データ!F$1,MAX(1,ROW()-$C$7),0,MIN($C$7,ROW()-1),1)))/STDEV(OFFSET(分析データ!F$1,MAX(1,ROW()-$C$7),0,MIN($C$7,ROW()-1),1)),0))</f>
        <v>0</v>
      </c>
      <c r="BS1160">
        <f t="shared" ca="1" si="520"/>
        <v>0</v>
      </c>
      <c r="BT1160" t="str">
        <f ca="1">IF(BS1160=1,IF(INDEX(分析データ!$A:$A,ROW()+$C$5)&lt;&gt;"",40000*SIGN(BR1160)*(分析データ!F1160-INDEX(分析データ!F:F,ROW()+$C$5)),""),"")</f>
        <v/>
      </c>
      <c r="BU1160">
        <f t="shared" ca="1" si="521"/>
        <v>19816800</v>
      </c>
      <c r="BV1160">
        <f t="shared" ca="1" si="522"/>
        <v>19816800</v>
      </c>
      <c r="BW1160">
        <f t="shared" ca="1" si="523"/>
        <v>0</v>
      </c>
      <c r="BX1160">
        <f ca="1">IF(ROW()&lt;($C$7+1),"",IFERROR((分析データ!G1160-AVERAGE(OFFSET(分析データ!G$1,MAX(1,ROW()-$C$7),0,MIN($C$7,ROW()-1),1)))/STDEV(OFFSET(分析データ!G$1,MAX(1,ROW()-$C$7),0,MIN($C$7,ROW()-1),1)),0))</f>
        <v>0</v>
      </c>
      <c r="BY1160">
        <f t="shared" ca="1" si="524"/>
        <v>0</v>
      </c>
      <c r="BZ1160" t="str">
        <f ca="1">IF(BY1160=1,IF(INDEX(分析データ!$A:$A,ROW()+$C$5)&lt;&gt;"",40000*SIGN(BX1160)*(分析データ!G1160-INDEX(分析データ!G:G,ROW()+$C$5)),""),"")</f>
        <v/>
      </c>
      <c r="CA1160">
        <f t="shared" ca="1" si="525"/>
        <v>-3515452.8662109179</v>
      </c>
      <c r="CB1160">
        <f t="shared" ca="1" si="526"/>
        <v>11327520.000000004</v>
      </c>
      <c r="CC1160">
        <f t="shared" ca="1" si="527"/>
        <v>-14842972.866210923</v>
      </c>
      <c r="CD1160">
        <f t="shared" ca="1" si="528"/>
        <v>0</v>
      </c>
      <c r="CE1160">
        <f t="shared" ca="1" si="529"/>
        <v>23090347.13378913</v>
      </c>
      <c r="CF1160">
        <f t="shared" ca="1" si="530"/>
        <v>23090347.13378913</v>
      </c>
      <c r="CG1160">
        <f t="shared" ca="1" si="531"/>
        <v>0</v>
      </c>
      <c r="CH1160" s="10" t="str">
        <f>分析データ!A1160</f>
        <v/>
      </c>
    </row>
    <row r="1161" spans="46:86">
      <c r="AT1161">
        <f ca="1">IF(ROW()&lt;($C$7+1),"",IFERROR((分析データ!B1161-AVERAGE(OFFSET(分析データ!B$1,MAX(1,ROW()-$C$7),0,MIN($C$7,ROW()-1),1)))/STDEV(OFFSET(分析データ!B$1,MAX(1,ROW()-$C$7),0,MIN($C$7,ROW()-1),1)),0))</f>
        <v>0</v>
      </c>
      <c r="AU1161">
        <f t="shared" ca="1" si="504"/>
        <v>0</v>
      </c>
      <c r="AV1161" t="str">
        <f ca="1">IF(AU1161=1,IF(INDEX(分析データ!$A:$A,ROW()+$C$5)&lt;&gt;"",80000*SIGN(AT1161)*(分析データ!B1161-INDEX(分析データ!B:B,ROW()+$C$5)),""),"")</f>
        <v/>
      </c>
      <c r="AW1161">
        <f t="shared" ca="1" si="505"/>
        <v>-1240000.0000000019</v>
      </c>
      <c r="AX1161">
        <f t="shared" ca="1" si="506"/>
        <v>0</v>
      </c>
      <c r="AY1161">
        <f t="shared" ca="1" si="507"/>
        <v>-1240000.0000000019</v>
      </c>
      <c r="AZ1161">
        <f ca="1">IF(ROW()&lt;($C$7+1),"",IFERROR((分析データ!C1161-AVERAGE(OFFSET(分析データ!C$1,MAX(1,ROW()-$C$7),0,MIN($C$7,ROW()-1),1)))/STDEV(OFFSET(分析データ!C$1,MAX(1,ROW()-$C$7),0,MIN($C$7,ROW()-1),1)),0))</f>
        <v>0</v>
      </c>
      <c r="BA1161">
        <f t="shared" ca="1" si="508"/>
        <v>0</v>
      </c>
      <c r="BB1161" t="str">
        <f ca="1">IF(BA1161=1,IF(INDEX(分析データ!$A:$A,ROW()+$C$5)&lt;&gt;"",60000*SIGN(AZ1161)*(分析データ!C1161-INDEX(分析データ!C:C,ROW()+$C$5)),""),"")</f>
        <v/>
      </c>
      <c r="BC1161">
        <f t="shared" ca="1" si="509"/>
        <v>-260999.9999999851</v>
      </c>
      <c r="BD1161">
        <f t="shared" ca="1" si="510"/>
        <v>3156000.0000000107</v>
      </c>
      <c r="BE1161">
        <f t="shared" ca="1" si="511"/>
        <v>-3416999.9999999958</v>
      </c>
      <c r="BF1161">
        <f ca="1">IF(ROW()&lt;($C$7+1),"",IFERROR((分析データ!D1161-AVERAGE(OFFSET(分析データ!D$1,MAX(1,ROW()-$C$7),0,MIN($C$7,ROW()-1),1)))/STDEV(OFFSET(分析データ!D$1,MAX(1,ROW()-$C$7),0,MIN($C$7,ROW()-1),1)),0))</f>
        <v>0</v>
      </c>
      <c r="BG1161">
        <f t="shared" ca="1" si="512"/>
        <v>0</v>
      </c>
      <c r="BH1161" t="str">
        <f ca="1">IF(BG1161=1,IF(INDEX(分析データ!$A:$A,ROW()+$C$5)&lt;&gt;"",50000*SIGN(BF1161)*(分析データ!D1161-INDEX(分析データ!D:D,ROW()+$C$5)),""),"")</f>
        <v/>
      </c>
      <c r="BI1161">
        <f t="shared" ca="1" si="513"/>
        <v>5570000.0000000205</v>
      </c>
      <c r="BJ1161">
        <f t="shared" ca="1" si="514"/>
        <v>5570000.0000000205</v>
      </c>
      <c r="BK1161">
        <f t="shared" ca="1" si="515"/>
        <v>0</v>
      </c>
      <c r="BL1161">
        <f ca="1">IF(ROW()&lt;($C$7+1),"",IFERROR((分析データ!E1161-AVERAGE(OFFSET(分析データ!E$1,MAX(1,ROW()-$C$7),0,MIN($C$7,ROW()-1),1)))/STDEV(OFFSET(分析データ!E$1,MAX(1,ROW()-$C$7),0,MIN($C$7,ROW()-1),1)),0))</f>
        <v>0</v>
      </c>
      <c r="BM1161">
        <f t="shared" ca="1" si="516"/>
        <v>0</v>
      </c>
      <c r="BN1161" t="str">
        <f ca="1">IF(BM1161=1,IF(INDEX(分析データ!$A:$A,ROW()+$C$5)&lt;&gt;"",40000*SIGN(BL1161)*(分析データ!E1161-INDEX(分析データ!E:E,ROW()+$C$5)),""),"")</f>
        <v/>
      </c>
      <c r="BO1161">
        <f t="shared" ca="1" si="517"/>
        <v>2720000.0000000014</v>
      </c>
      <c r="BP1161">
        <f t="shared" ca="1" si="518"/>
        <v>4280000.0000000028</v>
      </c>
      <c r="BQ1161">
        <f t="shared" ca="1" si="519"/>
        <v>-1560000.0000000014</v>
      </c>
      <c r="BR1161">
        <f ca="1">IF(ROW()&lt;($C$7+1),"",IFERROR((分析データ!F1161-AVERAGE(OFFSET(分析データ!F$1,MAX(1,ROW()-$C$7),0,MIN($C$7,ROW()-1),1)))/STDEV(OFFSET(分析データ!F$1,MAX(1,ROW()-$C$7),0,MIN($C$7,ROW()-1),1)),0))</f>
        <v>0</v>
      </c>
      <c r="BS1161">
        <f t="shared" ca="1" si="520"/>
        <v>0</v>
      </c>
      <c r="BT1161" t="str">
        <f ca="1">IF(BS1161=1,IF(INDEX(分析データ!$A:$A,ROW()+$C$5)&lt;&gt;"",40000*SIGN(BR1161)*(分析データ!F1161-INDEX(分析データ!F:F,ROW()+$C$5)),""),"")</f>
        <v/>
      </c>
      <c r="BU1161">
        <f t="shared" ca="1" si="521"/>
        <v>19816800</v>
      </c>
      <c r="BV1161">
        <f t="shared" ca="1" si="522"/>
        <v>19816800</v>
      </c>
      <c r="BW1161">
        <f t="shared" ca="1" si="523"/>
        <v>0</v>
      </c>
      <c r="BX1161">
        <f ca="1">IF(ROW()&lt;($C$7+1),"",IFERROR((分析データ!G1161-AVERAGE(OFFSET(分析データ!G$1,MAX(1,ROW()-$C$7),0,MIN($C$7,ROW()-1),1)))/STDEV(OFFSET(分析データ!G$1,MAX(1,ROW()-$C$7),0,MIN($C$7,ROW()-1),1)),0))</f>
        <v>0</v>
      </c>
      <c r="BY1161">
        <f t="shared" ca="1" si="524"/>
        <v>0</v>
      </c>
      <c r="BZ1161" t="str">
        <f ca="1">IF(BY1161=1,IF(INDEX(分析データ!$A:$A,ROW()+$C$5)&lt;&gt;"",40000*SIGN(BX1161)*(分析データ!G1161-INDEX(分析データ!G:G,ROW()+$C$5)),""),"")</f>
        <v/>
      </c>
      <c r="CA1161">
        <f t="shared" ca="1" si="525"/>
        <v>-3515452.8662109179</v>
      </c>
      <c r="CB1161">
        <f t="shared" ca="1" si="526"/>
        <v>11327520.000000004</v>
      </c>
      <c r="CC1161">
        <f t="shared" ca="1" si="527"/>
        <v>-14842972.866210923</v>
      </c>
      <c r="CD1161">
        <f t="shared" ca="1" si="528"/>
        <v>0</v>
      </c>
      <c r="CE1161">
        <f t="shared" ca="1" si="529"/>
        <v>23090347.13378913</v>
      </c>
      <c r="CF1161">
        <f t="shared" ca="1" si="530"/>
        <v>23090347.13378913</v>
      </c>
      <c r="CG1161">
        <f t="shared" ca="1" si="531"/>
        <v>0</v>
      </c>
      <c r="CH1161" s="10" t="str">
        <f>分析データ!A1161</f>
        <v/>
      </c>
    </row>
    <row r="1162" spans="46:86">
      <c r="AT1162">
        <f ca="1">IF(ROW()&lt;($C$7+1),"",IFERROR((分析データ!B1162-AVERAGE(OFFSET(分析データ!B$1,MAX(1,ROW()-$C$7),0,MIN($C$7,ROW()-1),1)))/STDEV(OFFSET(分析データ!B$1,MAX(1,ROW()-$C$7),0,MIN($C$7,ROW()-1),1)),0))</f>
        <v>0</v>
      </c>
      <c r="AU1162">
        <f t="shared" ca="1" si="504"/>
        <v>0</v>
      </c>
      <c r="AV1162" t="str">
        <f ca="1">IF(AU1162=1,IF(INDEX(分析データ!$A:$A,ROW()+$C$5)&lt;&gt;"",80000*SIGN(AT1162)*(分析データ!B1162-INDEX(分析データ!B:B,ROW()+$C$5)),""),"")</f>
        <v/>
      </c>
      <c r="AW1162">
        <f t="shared" ca="1" si="505"/>
        <v>-1240000.0000000019</v>
      </c>
      <c r="AX1162">
        <f t="shared" ca="1" si="506"/>
        <v>0</v>
      </c>
      <c r="AY1162">
        <f t="shared" ca="1" si="507"/>
        <v>-1240000.0000000019</v>
      </c>
      <c r="AZ1162">
        <f ca="1">IF(ROW()&lt;($C$7+1),"",IFERROR((分析データ!C1162-AVERAGE(OFFSET(分析データ!C$1,MAX(1,ROW()-$C$7),0,MIN($C$7,ROW()-1),1)))/STDEV(OFFSET(分析データ!C$1,MAX(1,ROW()-$C$7),0,MIN($C$7,ROW()-1),1)),0))</f>
        <v>0</v>
      </c>
      <c r="BA1162">
        <f t="shared" ca="1" si="508"/>
        <v>0</v>
      </c>
      <c r="BB1162" t="str">
        <f ca="1">IF(BA1162=1,IF(INDEX(分析データ!$A:$A,ROW()+$C$5)&lt;&gt;"",60000*SIGN(AZ1162)*(分析データ!C1162-INDEX(分析データ!C:C,ROW()+$C$5)),""),"")</f>
        <v/>
      </c>
      <c r="BC1162">
        <f t="shared" ca="1" si="509"/>
        <v>-260999.9999999851</v>
      </c>
      <c r="BD1162">
        <f t="shared" ca="1" si="510"/>
        <v>3156000.0000000107</v>
      </c>
      <c r="BE1162">
        <f t="shared" ca="1" si="511"/>
        <v>-3416999.9999999958</v>
      </c>
      <c r="BF1162">
        <f ca="1">IF(ROW()&lt;($C$7+1),"",IFERROR((分析データ!D1162-AVERAGE(OFFSET(分析データ!D$1,MAX(1,ROW()-$C$7),0,MIN($C$7,ROW()-1),1)))/STDEV(OFFSET(分析データ!D$1,MAX(1,ROW()-$C$7),0,MIN($C$7,ROW()-1),1)),0))</f>
        <v>0</v>
      </c>
      <c r="BG1162">
        <f t="shared" ca="1" si="512"/>
        <v>0</v>
      </c>
      <c r="BH1162" t="str">
        <f ca="1">IF(BG1162=1,IF(INDEX(分析データ!$A:$A,ROW()+$C$5)&lt;&gt;"",50000*SIGN(BF1162)*(分析データ!D1162-INDEX(分析データ!D:D,ROW()+$C$5)),""),"")</f>
        <v/>
      </c>
      <c r="BI1162">
        <f t="shared" ca="1" si="513"/>
        <v>5570000.0000000205</v>
      </c>
      <c r="BJ1162">
        <f t="shared" ca="1" si="514"/>
        <v>5570000.0000000205</v>
      </c>
      <c r="BK1162">
        <f t="shared" ca="1" si="515"/>
        <v>0</v>
      </c>
      <c r="BL1162">
        <f ca="1">IF(ROW()&lt;($C$7+1),"",IFERROR((分析データ!E1162-AVERAGE(OFFSET(分析データ!E$1,MAX(1,ROW()-$C$7),0,MIN($C$7,ROW()-1),1)))/STDEV(OFFSET(分析データ!E$1,MAX(1,ROW()-$C$7),0,MIN($C$7,ROW()-1),1)),0))</f>
        <v>0</v>
      </c>
      <c r="BM1162">
        <f t="shared" ca="1" si="516"/>
        <v>0</v>
      </c>
      <c r="BN1162" t="str">
        <f ca="1">IF(BM1162=1,IF(INDEX(分析データ!$A:$A,ROW()+$C$5)&lt;&gt;"",40000*SIGN(BL1162)*(分析データ!E1162-INDEX(分析データ!E:E,ROW()+$C$5)),""),"")</f>
        <v/>
      </c>
      <c r="BO1162">
        <f t="shared" ca="1" si="517"/>
        <v>2720000.0000000014</v>
      </c>
      <c r="BP1162">
        <f t="shared" ca="1" si="518"/>
        <v>4280000.0000000028</v>
      </c>
      <c r="BQ1162">
        <f t="shared" ca="1" si="519"/>
        <v>-1560000.0000000014</v>
      </c>
      <c r="BR1162">
        <f ca="1">IF(ROW()&lt;($C$7+1),"",IFERROR((分析データ!F1162-AVERAGE(OFFSET(分析データ!F$1,MAX(1,ROW()-$C$7),0,MIN($C$7,ROW()-1),1)))/STDEV(OFFSET(分析データ!F$1,MAX(1,ROW()-$C$7),0,MIN($C$7,ROW()-1),1)),0))</f>
        <v>0</v>
      </c>
      <c r="BS1162">
        <f t="shared" ca="1" si="520"/>
        <v>0</v>
      </c>
      <c r="BT1162" t="str">
        <f ca="1">IF(BS1162=1,IF(INDEX(分析データ!$A:$A,ROW()+$C$5)&lt;&gt;"",40000*SIGN(BR1162)*(分析データ!F1162-INDEX(分析データ!F:F,ROW()+$C$5)),""),"")</f>
        <v/>
      </c>
      <c r="BU1162">
        <f t="shared" ca="1" si="521"/>
        <v>19816800</v>
      </c>
      <c r="BV1162">
        <f t="shared" ca="1" si="522"/>
        <v>19816800</v>
      </c>
      <c r="BW1162">
        <f t="shared" ca="1" si="523"/>
        <v>0</v>
      </c>
      <c r="BX1162">
        <f ca="1">IF(ROW()&lt;($C$7+1),"",IFERROR((分析データ!G1162-AVERAGE(OFFSET(分析データ!G$1,MAX(1,ROW()-$C$7),0,MIN($C$7,ROW()-1),1)))/STDEV(OFFSET(分析データ!G$1,MAX(1,ROW()-$C$7),0,MIN($C$7,ROW()-1),1)),0))</f>
        <v>0</v>
      </c>
      <c r="BY1162">
        <f t="shared" ca="1" si="524"/>
        <v>0</v>
      </c>
      <c r="BZ1162" t="str">
        <f ca="1">IF(BY1162=1,IF(INDEX(分析データ!$A:$A,ROW()+$C$5)&lt;&gt;"",40000*SIGN(BX1162)*(分析データ!G1162-INDEX(分析データ!G:G,ROW()+$C$5)),""),"")</f>
        <v/>
      </c>
      <c r="CA1162">
        <f t="shared" ca="1" si="525"/>
        <v>-3515452.8662109179</v>
      </c>
      <c r="CB1162">
        <f t="shared" ca="1" si="526"/>
        <v>11327520.000000004</v>
      </c>
      <c r="CC1162">
        <f t="shared" ca="1" si="527"/>
        <v>-14842972.866210923</v>
      </c>
      <c r="CD1162">
        <f t="shared" ca="1" si="528"/>
        <v>0</v>
      </c>
      <c r="CE1162">
        <f t="shared" ca="1" si="529"/>
        <v>23090347.13378913</v>
      </c>
      <c r="CF1162">
        <f t="shared" ca="1" si="530"/>
        <v>23090347.13378913</v>
      </c>
      <c r="CG1162">
        <f t="shared" ca="1" si="531"/>
        <v>0</v>
      </c>
      <c r="CH1162" s="10" t="str">
        <f>分析データ!A1162</f>
        <v/>
      </c>
    </row>
    <row r="1163" spans="46:86">
      <c r="AT1163">
        <f ca="1">IF(ROW()&lt;($C$7+1),"",IFERROR((分析データ!B1163-AVERAGE(OFFSET(分析データ!B$1,MAX(1,ROW()-$C$7),0,MIN($C$7,ROW()-1),1)))/STDEV(OFFSET(分析データ!B$1,MAX(1,ROW()-$C$7),0,MIN($C$7,ROW()-1),1)),0))</f>
        <v>0</v>
      </c>
      <c r="AU1163">
        <f t="shared" ca="1" si="504"/>
        <v>0</v>
      </c>
      <c r="AV1163" t="str">
        <f ca="1">IF(AU1163=1,IF(INDEX(分析データ!$A:$A,ROW()+$C$5)&lt;&gt;"",80000*SIGN(AT1163)*(分析データ!B1163-INDEX(分析データ!B:B,ROW()+$C$5)),""),"")</f>
        <v/>
      </c>
      <c r="AW1163">
        <f t="shared" ca="1" si="505"/>
        <v>-1240000.0000000019</v>
      </c>
      <c r="AX1163">
        <f t="shared" ca="1" si="506"/>
        <v>0</v>
      </c>
      <c r="AY1163">
        <f t="shared" ca="1" si="507"/>
        <v>-1240000.0000000019</v>
      </c>
      <c r="AZ1163">
        <f ca="1">IF(ROW()&lt;($C$7+1),"",IFERROR((分析データ!C1163-AVERAGE(OFFSET(分析データ!C$1,MAX(1,ROW()-$C$7),0,MIN($C$7,ROW()-1),1)))/STDEV(OFFSET(分析データ!C$1,MAX(1,ROW()-$C$7),0,MIN($C$7,ROW()-1),1)),0))</f>
        <v>0</v>
      </c>
      <c r="BA1163">
        <f t="shared" ca="1" si="508"/>
        <v>0</v>
      </c>
      <c r="BB1163" t="str">
        <f ca="1">IF(BA1163=1,IF(INDEX(分析データ!$A:$A,ROW()+$C$5)&lt;&gt;"",60000*SIGN(AZ1163)*(分析データ!C1163-INDEX(分析データ!C:C,ROW()+$C$5)),""),"")</f>
        <v/>
      </c>
      <c r="BC1163">
        <f t="shared" ca="1" si="509"/>
        <v>-260999.9999999851</v>
      </c>
      <c r="BD1163">
        <f t="shared" ca="1" si="510"/>
        <v>3156000.0000000107</v>
      </c>
      <c r="BE1163">
        <f t="shared" ca="1" si="511"/>
        <v>-3416999.9999999958</v>
      </c>
      <c r="BF1163">
        <f ca="1">IF(ROW()&lt;($C$7+1),"",IFERROR((分析データ!D1163-AVERAGE(OFFSET(分析データ!D$1,MAX(1,ROW()-$C$7),0,MIN($C$7,ROW()-1),1)))/STDEV(OFFSET(分析データ!D$1,MAX(1,ROW()-$C$7),0,MIN($C$7,ROW()-1),1)),0))</f>
        <v>0</v>
      </c>
      <c r="BG1163">
        <f t="shared" ca="1" si="512"/>
        <v>0</v>
      </c>
      <c r="BH1163" t="str">
        <f ca="1">IF(BG1163=1,IF(INDEX(分析データ!$A:$A,ROW()+$C$5)&lt;&gt;"",50000*SIGN(BF1163)*(分析データ!D1163-INDEX(分析データ!D:D,ROW()+$C$5)),""),"")</f>
        <v/>
      </c>
      <c r="BI1163">
        <f t="shared" ca="1" si="513"/>
        <v>5570000.0000000205</v>
      </c>
      <c r="BJ1163">
        <f t="shared" ca="1" si="514"/>
        <v>5570000.0000000205</v>
      </c>
      <c r="BK1163">
        <f t="shared" ca="1" si="515"/>
        <v>0</v>
      </c>
      <c r="BL1163">
        <f ca="1">IF(ROW()&lt;($C$7+1),"",IFERROR((分析データ!E1163-AVERAGE(OFFSET(分析データ!E$1,MAX(1,ROW()-$C$7),0,MIN($C$7,ROW()-1),1)))/STDEV(OFFSET(分析データ!E$1,MAX(1,ROW()-$C$7),0,MIN($C$7,ROW()-1),1)),0))</f>
        <v>0</v>
      </c>
      <c r="BM1163">
        <f t="shared" ca="1" si="516"/>
        <v>0</v>
      </c>
      <c r="BN1163" t="str">
        <f ca="1">IF(BM1163=1,IF(INDEX(分析データ!$A:$A,ROW()+$C$5)&lt;&gt;"",40000*SIGN(BL1163)*(分析データ!E1163-INDEX(分析データ!E:E,ROW()+$C$5)),""),"")</f>
        <v/>
      </c>
      <c r="BO1163">
        <f t="shared" ca="1" si="517"/>
        <v>2720000.0000000014</v>
      </c>
      <c r="BP1163">
        <f t="shared" ca="1" si="518"/>
        <v>4280000.0000000028</v>
      </c>
      <c r="BQ1163">
        <f t="shared" ca="1" si="519"/>
        <v>-1560000.0000000014</v>
      </c>
      <c r="BR1163">
        <f ca="1">IF(ROW()&lt;($C$7+1),"",IFERROR((分析データ!F1163-AVERAGE(OFFSET(分析データ!F$1,MAX(1,ROW()-$C$7),0,MIN($C$7,ROW()-1),1)))/STDEV(OFFSET(分析データ!F$1,MAX(1,ROW()-$C$7),0,MIN($C$7,ROW()-1),1)),0))</f>
        <v>0</v>
      </c>
      <c r="BS1163">
        <f t="shared" ca="1" si="520"/>
        <v>0</v>
      </c>
      <c r="BT1163" t="str">
        <f ca="1">IF(BS1163=1,IF(INDEX(分析データ!$A:$A,ROW()+$C$5)&lt;&gt;"",40000*SIGN(BR1163)*(分析データ!F1163-INDEX(分析データ!F:F,ROW()+$C$5)),""),"")</f>
        <v/>
      </c>
      <c r="BU1163">
        <f t="shared" ca="1" si="521"/>
        <v>19816800</v>
      </c>
      <c r="BV1163">
        <f t="shared" ca="1" si="522"/>
        <v>19816800</v>
      </c>
      <c r="BW1163">
        <f t="shared" ca="1" si="523"/>
        <v>0</v>
      </c>
      <c r="BX1163">
        <f ca="1">IF(ROW()&lt;($C$7+1),"",IFERROR((分析データ!G1163-AVERAGE(OFFSET(分析データ!G$1,MAX(1,ROW()-$C$7),0,MIN($C$7,ROW()-1),1)))/STDEV(OFFSET(分析データ!G$1,MAX(1,ROW()-$C$7),0,MIN($C$7,ROW()-1),1)),0))</f>
        <v>0</v>
      </c>
      <c r="BY1163">
        <f t="shared" ca="1" si="524"/>
        <v>0</v>
      </c>
      <c r="BZ1163" t="str">
        <f ca="1">IF(BY1163=1,IF(INDEX(分析データ!$A:$A,ROW()+$C$5)&lt;&gt;"",40000*SIGN(BX1163)*(分析データ!G1163-INDEX(分析データ!G:G,ROW()+$C$5)),""),"")</f>
        <v/>
      </c>
      <c r="CA1163">
        <f t="shared" ca="1" si="525"/>
        <v>-3515452.8662109179</v>
      </c>
      <c r="CB1163">
        <f t="shared" ca="1" si="526"/>
        <v>11327520.000000004</v>
      </c>
      <c r="CC1163">
        <f t="shared" ca="1" si="527"/>
        <v>-14842972.866210923</v>
      </c>
      <c r="CD1163">
        <f t="shared" ca="1" si="528"/>
        <v>0</v>
      </c>
      <c r="CE1163">
        <f t="shared" ca="1" si="529"/>
        <v>23090347.13378913</v>
      </c>
      <c r="CF1163">
        <f t="shared" ca="1" si="530"/>
        <v>23090347.13378913</v>
      </c>
      <c r="CG1163">
        <f t="shared" ca="1" si="531"/>
        <v>0</v>
      </c>
      <c r="CH1163" s="10" t="str">
        <f>分析データ!A1163</f>
        <v/>
      </c>
    </row>
    <row r="1164" spans="46:86">
      <c r="AT1164">
        <f ca="1">IF(ROW()&lt;($C$7+1),"",IFERROR((分析データ!B1164-AVERAGE(OFFSET(分析データ!B$1,MAX(1,ROW()-$C$7),0,MIN($C$7,ROW()-1),1)))/STDEV(OFFSET(分析データ!B$1,MAX(1,ROW()-$C$7),0,MIN($C$7,ROW()-1),1)),0))</f>
        <v>0</v>
      </c>
      <c r="AU1164">
        <f t="shared" ca="1" si="504"/>
        <v>0</v>
      </c>
      <c r="AV1164" t="str">
        <f ca="1">IF(AU1164=1,IF(INDEX(分析データ!$A:$A,ROW()+$C$5)&lt;&gt;"",80000*SIGN(AT1164)*(分析データ!B1164-INDEX(分析データ!B:B,ROW()+$C$5)),""),"")</f>
        <v/>
      </c>
      <c r="AW1164">
        <f t="shared" ca="1" si="505"/>
        <v>-1240000.0000000019</v>
      </c>
      <c r="AX1164">
        <f t="shared" ca="1" si="506"/>
        <v>0</v>
      </c>
      <c r="AY1164">
        <f t="shared" ca="1" si="507"/>
        <v>-1240000.0000000019</v>
      </c>
      <c r="AZ1164">
        <f ca="1">IF(ROW()&lt;($C$7+1),"",IFERROR((分析データ!C1164-AVERAGE(OFFSET(分析データ!C$1,MAX(1,ROW()-$C$7),0,MIN($C$7,ROW()-1),1)))/STDEV(OFFSET(分析データ!C$1,MAX(1,ROW()-$C$7),0,MIN($C$7,ROW()-1),1)),0))</f>
        <v>0</v>
      </c>
      <c r="BA1164">
        <f t="shared" ca="1" si="508"/>
        <v>0</v>
      </c>
      <c r="BB1164" t="str">
        <f ca="1">IF(BA1164=1,IF(INDEX(分析データ!$A:$A,ROW()+$C$5)&lt;&gt;"",60000*SIGN(AZ1164)*(分析データ!C1164-INDEX(分析データ!C:C,ROW()+$C$5)),""),"")</f>
        <v/>
      </c>
      <c r="BC1164">
        <f t="shared" ca="1" si="509"/>
        <v>-260999.9999999851</v>
      </c>
      <c r="BD1164">
        <f t="shared" ca="1" si="510"/>
        <v>3156000.0000000107</v>
      </c>
      <c r="BE1164">
        <f t="shared" ca="1" si="511"/>
        <v>-3416999.9999999958</v>
      </c>
      <c r="BF1164">
        <f ca="1">IF(ROW()&lt;($C$7+1),"",IFERROR((分析データ!D1164-AVERAGE(OFFSET(分析データ!D$1,MAX(1,ROW()-$C$7),0,MIN($C$7,ROW()-1),1)))/STDEV(OFFSET(分析データ!D$1,MAX(1,ROW()-$C$7),0,MIN($C$7,ROW()-1),1)),0))</f>
        <v>0</v>
      </c>
      <c r="BG1164">
        <f t="shared" ca="1" si="512"/>
        <v>0</v>
      </c>
      <c r="BH1164" t="str">
        <f ca="1">IF(BG1164=1,IF(INDEX(分析データ!$A:$A,ROW()+$C$5)&lt;&gt;"",50000*SIGN(BF1164)*(分析データ!D1164-INDEX(分析データ!D:D,ROW()+$C$5)),""),"")</f>
        <v/>
      </c>
      <c r="BI1164">
        <f t="shared" ca="1" si="513"/>
        <v>5570000.0000000205</v>
      </c>
      <c r="BJ1164">
        <f t="shared" ca="1" si="514"/>
        <v>5570000.0000000205</v>
      </c>
      <c r="BK1164">
        <f t="shared" ca="1" si="515"/>
        <v>0</v>
      </c>
      <c r="BL1164">
        <f ca="1">IF(ROW()&lt;($C$7+1),"",IFERROR((分析データ!E1164-AVERAGE(OFFSET(分析データ!E$1,MAX(1,ROW()-$C$7),0,MIN($C$7,ROW()-1),1)))/STDEV(OFFSET(分析データ!E$1,MAX(1,ROW()-$C$7),0,MIN($C$7,ROW()-1),1)),0))</f>
        <v>0</v>
      </c>
      <c r="BM1164">
        <f t="shared" ca="1" si="516"/>
        <v>0</v>
      </c>
      <c r="BN1164" t="str">
        <f ca="1">IF(BM1164=1,IF(INDEX(分析データ!$A:$A,ROW()+$C$5)&lt;&gt;"",40000*SIGN(BL1164)*(分析データ!E1164-INDEX(分析データ!E:E,ROW()+$C$5)),""),"")</f>
        <v/>
      </c>
      <c r="BO1164">
        <f t="shared" ca="1" si="517"/>
        <v>2720000.0000000014</v>
      </c>
      <c r="BP1164">
        <f t="shared" ca="1" si="518"/>
        <v>4280000.0000000028</v>
      </c>
      <c r="BQ1164">
        <f t="shared" ca="1" si="519"/>
        <v>-1560000.0000000014</v>
      </c>
      <c r="BR1164">
        <f ca="1">IF(ROW()&lt;($C$7+1),"",IFERROR((分析データ!F1164-AVERAGE(OFFSET(分析データ!F$1,MAX(1,ROW()-$C$7),0,MIN($C$7,ROW()-1),1)))/STDEV(OFFSET(分析データ!F$1,MAX(1,ROW()-$C$7),0,MIN($C$7,ROW()-1),1)),0))</f>
        <v>0</v>
      </c>
      <c r="BS1164">
        <f t="shared" ca="1" si="520"/>
        <v>0</v>
      </c>
      <c r="BT1164" t="str">
        <f ca="1">IF(BS1164=1,IF(INDEX(分析データ!$A:$A,ROW()+$C$5)&lt;&gt;"",40000*SIGN(BR1164)*(分析データ!F1164-INDEX(分析データ!F:F,ROW()+$C$5)),""),"")</f>
        <v/>
      </c>
      <c r="BU1164">
        <f t="shared" ca="1" si="521"/>
        <v>19816800</v>
      </c>
      <c r="BV1164">
        <f t="shared" ca="1" si="522"/>
        <v>19816800</v>
      </c>
      <c r="BW1164">
        <f t="shared" ca="1" si="523"/>
        <v>0</v>
      </c>
      <c r="BX1164">
        <f ca="1">IF(ROW()&lt;($C$7+1),"",IFERROR((分析データ!G1164-AVERAGE(OFFSET(分析データ!G$1,MAX(1,ROW()-$C$7),0,MIN($C$7,ROW()-1),1)))/STDEV(OFFSET(分析データ!G$1,MAX(1,ROW()-$C$7),0,MIN($C$7,ROW()-1),1)),0))</f>
        <v>0</v>
      </c>
      <c r="BY1164">
        <f t="shared" ca="1" si="524"/>
        <v>0</v>
      </c>
      <c r="BZ1164" t="str">
        <f ca="1">IF(BY1164=1,IF(INDEX(分析データ!$A:$A,ROW()+$C$5)&lt;&gt;"",40000*SIGN(BX1164)*(分析データ!G1164-INDEX(分析データ!G:G,ROW()+$C$5)),""),"")</f>
        <v/>
      </c>
      <c r="CA1164">
        <f t="shared" ca="1" si="525"/>
        <v>-3515452.8662109179</v>
      </c>
      <c r="CB1164">
        <f t="shared" ca="1" si="526"/>
        <v>11327520.000000004</v>
      </c>
      <c r="CC1164">
        <f t="shared" ca="1" si="527"/>
        <v>-14842972.866210923</v>
      </c>
      <c r="CD1164">
        <f t="shared" ca="1" si="528"/>
        <v>0</v>
      </c>
      <c r="CE1164">
        <f t="shared" ca="1" si="529"/>
        <v>23090347.13378913</v>
      </c>
      <c r="CF1164">
        <f t="shared" ca="1" si="530"/>
        <v>23090347.13378913</v>
      </c>
      <c r="CG1164">
        <f t="shared" ca="1" si="531"/>
        <v>0</v>
      </c>
      <c r="CH1164" s="10" t="str">
        <f>分析データ!A1164</f>
        <v/>
      </c>
    </row>
    <row r="1165" spans="46:86">
      <c r="AT1165">
        <f ca="1">IF(ROW()&lt;($C$7+1),"",IFERROR((分析データ!B1165-AVERAGE(OFFSET(分析データ!B$1,MAX(1,ROW()-$C$7),0,MIN($C$7,ROW()-1),1)))/STDEV(OFFSET(分析データ!B$1,MAX(1,ROW()-$C$7),0,MIN($C$7,ROW()-1),1)),0))</f>
        <v>0</v>
      </c>
      <c r="AU1165">
        <f t="shared" ca="1" si="504"/>
        <v>0</v>
      </c>
      <c r="AV1165" t="str">
        <f ca="1">IF(AU1165=1,IF(INDEX(分析データ!$A:$A,ROW()+$C$5)&lt;&gt;"",80000*SIGN(AT1165)*(分析データ!B1165-INDEX(分析データ!B:B,ROW()+$C$5)),""),"")</f>
        <v/>
      </c>
      <c r="AW1165">
        <f t="shared" ca="1" si="505"/>
        <v>-1240000.0000000019</v>
      </c>
      <c r="AX1165">
        <f t="shared" ca="1" si="506"/>
        <v>0</v>
      </c>
      <c r="AY1165">
        <f t="shared" ca="1" si="507"/>
        <v>-1240000.0000000019</v>
      </c>
      <c r="AZ1165">
        <f ca="1">IF(ROW()&lt;($C$7+1),"",IFERROR((分析データ!C1165-AVERAGE(OFFSET(分析データ!C$1,MAX(1,ROW()-$C$7),0,MIN($C$7,ROW()-1),1)))/STDEV(OFFSET(分析データ!C$1,MAX(1,ROW()-$C$7),0,MIN($C$7,ROW()-1),1)),0))</f>
        <v>0</v>
      </c>
      <c r="BA1165">
        <f t="shared" ca="1" si="508"/>
        <v>0</v>
      </c>
      <c r="BB1165" t="str">
        <f ca="1">IF(BA1165=1,IF(INDEX(分析データ!$A:$A,ROW()+$C$5)&lt;&gt;"",60000*SIGN(AZ1165)*(分析データ!C1165-INDEX(分析データ!C:C,ROW()+$C$5)),""),"")</f>
        <v/>
      </c>
      <c r="BC1165">
        <f t="shared" ca="1" si="509"/>
        <v>-260999.9999999851</v>
      </c>
      <c r="BD1165">
        <f t="shared" ca="1" si="510"/>
        <v>3156000.0000000107</v>
      </c>
      <c r="BE1165">
        <f t="shared" ca="1" si="511"/>
        <v>-3416999.9999999958</v>
      </c>
      <c r="BF1165">
        <f ca="1">IF(ROW()&lt;($C$7+1),"",IFERROR((分析データ!D1165-AVERAGE(OFFSET(分析データ!D$1,MAX(1,ROW()-$C$7),0,MIN($C$7,ROW()-1),1)))/STDEV(OFFSET(分析データ!D$1,MAX(1,ROW()-$C$7),0,MIN($C$7,ROW()-1),1)),0))</f>
        <v>0</v>
      </c>
      <c r="BG1165">
        <f t="shared" ca="1" si="512"/>
        <v>0</v>
      </c>
      <c r="BH1165" t="str">
        <f ca="1">IF(BG1165=1,IF(INDEX(分析データ!$A:$A,ROW()+$C$5)&lt;&gt;"",50000*SIGN(BF1165)*(分析データ!D1165-INDEX(分析データ!D:D,ROW()+$C$5)),""),"")</f>
        <v/>
      </c>
      <c r="BI1165">
        <f t="shared" ca="1" si="513"/>
        <v>5570000.0000000205</v>
      </c>
      <c r="BJ1165">
        <f t="shared" ca="1" si="514"/>
        <v>5570000.0000000205</v>
      </c>
      <c r="BK1165">
        <f t="shared" ca="1" si="515"/>
        <v>0</v>
      </c>
      <c r="BL1165">
        <f ca="1">IF(ROW()&lt;($C$7+1),"",IFERROR((分析データ!E1165-AVERAGE(OFFSET(分析データ!E$1,MAX(1,ROW()-$C$7),0,MIN($C$7,ROW()-1),1)))/STDEV(OFFSET(分析データ!E$1,MAX(1,ROW()-$C$7),0,MIN($C$7,ROW()-1),1)),0))</f>
        <v>0</v>
      </c>
      <c r="BM1165">
        <f t="shared" ca="1" si="516"/>
        <v>0</v>
      </c>
      <c r="BN1165" t="str">
        <f ca="1">IF(BM1165=1,IF(INDEX(分析データ!$A:$A,ROW()+$C$5)&lt;&gt;"",40000*SIGN(BL1165)*(分析データ!E1165-INDEX(分析データ!E:E,ROW()+$C$5)),""),"")</f>
        <v/>
      </c>
      <c r="BO1165">
        <f t="shared" ca="1" si="517"/>
        <v>2720000.0000000014</v>
      </c>
      <c r="BP1165">
        <f t="shared" ca="1" si="518"/>
        <v>4280000.0000000028</v>
      </c>
      <c r="BQ1165">
        <f t="shared" ca="1" si="519"/>
        <v>-1560000.0000000014</v>
      </c>
      <c r="BR1165">
        <f ca="1">IF(ROW()&lt;($C$7+1),"",IFERROR((分析データ!F1165-AVERAGE(OFFSET(分析データ!F$1,MAX(1,ROW()-$C$7),0,MIN($C$7,ROW()-1),1)))/STDEV(OFFSET(分析データ!F$1,MAX(1,ROW()-$C$7),0,MIN($C$7,ROW()-1),1)),0))</f>
        <v>0</v>
      </c>
      <c r="BS1165">
        <f t="shared" ca="1" si="520"/>
        <v>0</v>
      </c>
      <c r="BT1165" t="str">
        <f ca="1">IF(BS1165=1,IF(INDEX(分析データ!$A:$A,ROW()+$C$5)&lt;&gt;"",40000*SIGN(BR1165)*(分析データ!F1165-INDEX(分析データ!F:F,ROW()+$C$5)),""),"")</f>
        <v/>
      </c>
      <c r="BU1165">
        <f t="shared" ca="1" si="521"/>
        <v>19816800</v>
      </c>
      <c r="BV1165">
        <f t="shared" ca="1" si="522"/>
        <v>19816800</v>
      </c>
      <c r="BW1165">
        <f t="shared" ca="1" si="523"/>
        <v>0</v>
      </c>
      <c r="BX1165">
        <f ca="1">IF(ROW()&lt;($C$7+1),"",IFERROR((分析データ!G1165-AVERAGE(OFFSET(分析データ!G$1,MAX(1,ROW()-$C$7),0,MIN($C$7,ROW()-1),1)))/STDEV(OFFSET(分析データ!G$1,MAX(1,ROW()-$C$7),0,MIN($C$7,ROW()-1),1)),0))</f>
        <v>0</v>
      </c>
      <c r="BY1165">
        <f t="shared" ca="1" si="524"/>
        <v>0</v>
      </c>
      <c r="BZ1165" t="str">
        <f ca="1">IF(BY1165=1,IF(INDEX(分析データ!$A:$A,ROW()+$C$5)&lt;&gt;"",40000*SIGN(BX1165)*(分析データ!G1165-INDEX(分析データ!G:G,ROW()+$C$5)),""),"")</f>
        <v/>
      </c>
      <c r="CA1165">
        <f t="shared" ca="1" si="525"/>
        <v>-3515452.8662109179</v>
      </c>
      <c r="CB1165">
        <f t="shared" ca="1" si="526"/>
        <v>11327520.000000004</v>
      </c>
      <c r="CC1165">
        <f t="shared" ca="1" si="527"/>
        <v>-14842972.866210923</v>
      </c>
      <c r="CD1165">
        <f t="shared" ca="1" si="528"/>
        <v>0</v>
      </c>
      <c r="CE1165">
        <f t="shared" ca="1" si="529"/>
        <v>23090347.13378913</v>
      </c>
      <c r="CF1165">
        <f t="shared" ca="1" si="530"/>
        <v>23090347.13378913</v>
      </c>
      <c r="CG1165">
        <f t="shared" ca="1" si="531"/>
        <v>0</v>
      </c>
      <c r="CH1165" s="10" t="str">
        <f>分析データ!A1165</f>
        <v/>
      </c>
    </row>
    <row r="1166" spans="46:86">
      <c r="AT1166">
        <f ca="1">IF(ROW()&lt;($C$7+1),"",IFERROR((分析データ!B1166-AVERAGE(OFFSET(分析データ!B$1,MAX(1,ROW()-$C$7),0,MIN($C$7,ROW()-1),1)))/STDEV(OFFSET(分析データ!B$1,MAX(1,ROW()-$C$7),0,MIN($C$7,ROW()-1),1)),0))</f>
        <v>0</v>
      </c>
      <c r="AU1166">
        <f t="shared" ca="1" si="504"/>
        <v>0</v>
      </c>
      <c r="AV1166" t="str">
        <f ca="1">IF(AU1166=1,IF(INDEX(分析データ!$A:$A,ROW()+$C$5)&lt;&gt;"",80000*SIGN(AT1166)*(分析データ!B1166-INDEX(分析データ!B:B,ROW()+$C$5)),""),"")</f>
        <v/>
      </c>
      <c r="AW1166">
        <f t="shared" ca="1" si="505"/>
        <v>-1240000.0000000019</v>
      </c>
      <c r="AX1166">
        <f t="shared" ca="1" si="506"/>
        <v>0</v>
      </c>
      <c r="AY1166">
        <f t="shared" ca="1" si="507"/>
        <v>-1240000.0000000019</v>
      </c>
      <c r="AZ1166">
        <f ca="1">IF(ROW()&lt;($C$7+1),"",IFERROR((分析データ!C1166-AVERAGE(OFFSET(分析データ!C$1,MAX(1,ROW()-$C$7),0,MIN($C$7,ROW()-1),1)))/STDEV(OFFSET(分析データ!C$1,MAX(1,ROW()-$C$7),0,MIN($C$7,ROW()-1),1)),0))</f>
        <v>0</v>
      </c>
      <c r="BA1166">
        <f t="shared" ca="1" si="508"/>
        <v>0</v>
      </c>
      <c r="BB1166" t="str">
        <f ca="1">IF(BA1166=1,IF(INDEX(分析データ!$A:$A,ROW()+$C$5)&lt;&gt;"",60000*SIGN(AZ1166)*(分析データ!C1166-INDEX(分析データ!C:C,ROW()+$C$5)),""),"")</f>
        <v/>
      </c>
      <c r="BC1166">
        <f t="shared" ca="1" si="509"/>
        <v>-260999.9999999851</v>
      </c>
      <c r="BD1166">
        <f t="shared" ca="1" si="510"/>
        <v>3156000.0000000107</v>
      </c>
      <c r="BE1166">
        <f t="shared" ca="1" si="511"/>
        <v>-3416999.9999999958</v>
      </c>
      <c r="BF1166">
        <f ca="1">IF(ROW()&lt;($C$7+1),"",IFERROR((分析データ!D1166-AVERAGE(OFFSET(分析データ!D$1,MAX(1,ROW()-$C$7),0,MIN($C$7,ROW()-1),1)))/STDEV(OFFSET(分析データ!D$1,MAX(1,ROW()-$C$7),0,MIN($C$7,ROW()-1),1)),0))</f>
        <v>0</v>
      </c>
      <c r="BG1166">
        <f t="shared" ca="1" si="512"/>
        <v>0</v>
      </c>
      <c r="BH1166" t="str">
        <f ca="1">IF(BG1166=1,IF(INDEX(分析データ!$A:$A,ROW()+$C$5)&lt;&gt;"",50000*SIGN(BF1166)*(分析データ!D1166-INDEX(分析データ!D:D,ROW()+$C$5)),""),"")</f>
        <v/>
      </c>
      <c r="BI1166">
        <f t="shared" ca="1" si="513"/>
        <v>5570000.0000000205</v>
      </c>
      <c r="BJ1166">
        <f t="shared" ca="1" si="514"/>
        <v>5570000.0000000205</v>
      </c>
      <c r="BK1166">
        <f t="shared" ca="1" si="515"/>
        <v>0</v>
      </c>
      <c r="BL1166">
        <f ca="1">IF(ROW()&lt;($C$7+1),"",IFERROR((分析データ!E1166-AVERAGE(OFFSET(分析データ!E$1,MAX(1,ROW()-$C$7),0,MIN($C$7,ROW()-1),1)))/STDEV(OFFSET(分析データ!E$1,MAX(1,ROW()-$C$7),0,MIN($C$7,ROW()-1),1)),0))</f>
        <v>0</v>
      </c>
      <c r="BM1166">
        <f t="shared" ca="1" si="516"/>
        <v>0</v>
      </c>
      <c r="BN1166" t="str">
        <f ca="1">IF(BM1166=1,IF(INDEX(分析データ!$A:$A,ROW()+$C$5)&lt;&gt;"",40000*SIGN(BL1166)*(分析データ!E1166-INDEX(分析データ!E:E,ROW()+$C$5)),""),"")</f>
        <v/>
      </c>
      <c r="BO1166">
        <f t="shared" ca="1" si="517"/>
        <v>2720000.0000000014</v>
      </c>
      <c r="BP1166">
        <f t="shared" ca="1" si="518"/>
        <v>4280000.0000000028</v>
      </c>
      <c r="BQ1166">
        <f t="shared" ca="1" si="519"/>
        <v>-1560000.0000000014</v>
      </c>
      <c r="BR1166">
        <f ca="1">IF(ROW()&lt;($C$7+1),"",IFERROR((分析データ!F1166-AVERAGE(OFFSET(分析データ!F$1,MAX(1,ROW()-$C$7),0,MIN($C$7,ROW()-1),1)))/STDEV(OFFSET(分析データ!F$1,MAX(1,ROW()-$C$7),0,MIN($C$7,ROW()-1),1)),0))</f>
        <v>0</v>
      </c>
      <c r="BS1166">
        <f t="shared" ca="1" si="520"/>
        <v>0</v>
      </c>
      <c r="BT1166" t="str">
        <f ca="1">IF(BS1166=1,IF(INDEX(分析データ!$A:$A,ROW()+$C$5)&lt;&gt;"",40000*SIGN(BR1166)*(分析データ!F1166-INDEX(分析データ!F:F,ROW()+$C$5)),""),"")</f>
        <v/>
      </c>
      <c r="BU1166">
        <f t="shared" ca="1" si="521"/>
        <v>19816800</v>
      </c>
      <c r="BV1166">
        <f t="shared" ca="1" si="522"/>
        <v>19816800</v>
      </c>
      <c r="BW1166">
        <f t="shared" ca="1" si="523"/>
        <v>0</v>
      </c>
      <c r="BX1166">
        <f ca="1">IF(ROW()&lt;($C$7+1),"",IFERROR((分析データ!G1166-AVERAGE(OFFSET(分析データ!G$1,MAX(1,ROW()-$C$7),0,MIN($C$7,ROW()-1),1)))/STDEV(OFFSET(分析データ!G$1,MAX(1,ROW()-$C$7),0,MIN($C$7,ROW()-1),1)),0))</f>
        <v>0</v>
      </c>
      <c r="BY1166">
        <f t="shared" ca="1" si="524"/>
        <v>0</v>
      </c>
      <c r="BZ1166" t="str">
        <f ca="1">IF(BY1166=1,IF(INDEX(分析データ!$A:$A,ROW()+$C$5)&lt;&gt;"",40000*SIGN(BX1166)*(分析データ!G1166-INDEX(分析データ!G:G,ROW()+$C$5)),""),"")</f>
        <v/>
      </c>
      <c r="CA1166">
        <f t="shared" ca="1" si="525"/>
        <v>-3515452.8662109179</v>
      </c>
      <c r="CB1166">
        <f t="shared" ca="1" si="526"/>
        <v>11327520.000000004</v>
      </c>
      <c r="CC1166">
        <f t="shared" ca="1" si="527"/>
        <v>-14842972.866210923</v>
      </c>
      <c r="CD1166">
        <f t="shared" ca="1" si="528"/>
        <v>0</v>
      </c>
      <c r="CE1166">
        <f t="shared" ca="1" si="529"/>
        <v>23090347.13378913</v>
      </c>
      <c r="CF1166">
        <f t="shared" ca="1" si="530"/>
        <v>23090347.13378913</v>
      </c>
      <c r="CG1166">
        <f t="shared" ca="1" si="531"/>
        <v>0</v>
      </c>
      <c r="CH1166" s="10" t="str">
        <f>分析データ!A1166</f>
        <v/>
      </c>
    </row>
    <row r="1167" spans="46:86">
      <c r="AT1167">
        <f ca="1">IF(ROW()&lt;($C$7+1),"",IFERROR((分析データ!B1167-AVERAGE(OFFSET(分析データ!B$1,MAX(1,ROW()-$C$7),0,MIN($C$7,ROW()-1),1)))/STDEV(OFFSET(分析データ!B$1,MAX(1,ROW()-$C$7),0,MIN($C$7,ROW()-1),1)),0))</f>
        <v>0</v>
      </c>
      <c r="AU1167">
        <f t="shared" ca="1" si="504"/>
        <v>0</v>
      </c>
      <c r="AV1167" t="str">
        <f ca="1">IF(AU1167=1,IF(INDEX(分析データ!$A:$A,ROW()+$C$5)&lt;&gt;"",80000*SIGN(AT1167)*(分析データ!B1167-INDEX(分析データ!B:B,ROW()+$C$5)),""),"")</f>
        <v/>
      </c>
      <c r="AW1167">
        <f t="shared" ca="1" si="505"/>
        <v>-1240000.0000000019</v>
      </c>
      <c r="AX1167">
        <f t="shared" ca="1" si="506"/>
        <v>0</v>
      </c>
      <c r="AY1167">
        <f t="shared" ca="1" si="507"/>
        <v>-1240000.0000000019</v>
      </c>
      <c r="AZ1167">
        <f ca="1">IF(ROW()&lt;($C$7+1),"",IFERROR((分析データ!C1167-AVERAGE(OFFSET(分析データ!C$1,MAX(1,ROW()-$C$7),0,MIN($C$7,ROW()-1),1)))/STDEV(OFFSET(分析データ!C$1,MAX(1,ROW()-$C$7),0,MIN($C$7,ROW()-1),1)),0))</f>
        <v>0</v>
      </c>
      <c r="BA1167">
        <f t="shared" ca="1" si="508"/>
        <v>0</v>
      </c>
      <c r="BB1167" t="str">
        <f ca="1">IF(BA1167=1,IF(INDEX(分析データ!$A:$A,ROW()+$C$5)&lt;&gt;"",60000*SIGN(AZ1167)*(分析データ!C1167-INDEX(分析データ!C:C,ROW()+$C$5)),""),"")</f>
        <v/>
      </c>
      <c r="BC1167">
        <f t="shared" ca="1" si="509"/>
        <v>-260999.9999999851</v>
      </c>
      <c r="BD1167">
        <f t="shared" ca="1" si="510"/>
        <v>3156000.0000000107</v>
      </c>
      <c r="BE1167">
        <f t="shared" ca="1" si="511"/>
        <v>-3416999.9999999958</v>
      </c>
      <c r="BF1167">
        <f ca="1">IF(ROW()&lt;($C$7+1),"",IFERROR((分析データ!D1167-AVERAGE(OFFSET(分析データ!D$1,MAX(1,ROW()-$C$7),0,MIN($C$7,ROW()-1),1)))/STDEV(OFFSET(分析データ!D$1,MAX(1,ROW()-$C$7),0,MIN($C$7,ROW()-1),1)),0))</f>
        <v>0</v>
      </c>
      <c r="BG1167">
        <f t="shared" ca="1" si="512"/>
        <v>0</v>
      </c>
      <c r="BH1167" t="str">
        <f ca="1">IF(BG1167=1,IF(INDEX(分析データ!$A:$A,ROW()+$C$5)&lt;&gt;"",50000*SIGN(BF1167)*(分析データ!D1167-INDEX(分析データ!D:D,ROW()+$C$5)),""),"")</f>
        <v/>
      </c>
      <c r="BI1167">
        <f t="shared" ca="1" si="513"/>
        <v>5570000.0000000205</v>
      </c>
      <c r="BJ1167">
        <f t="shared" ca="1" si="514"/>
        <v>5570000.0000000205</v>
      </c>
      <c r="BK1167">
        <f t="shared" ca="1" si="515"/>
        <v>0</v>
      </c>
      <c r="BL1167">
        <f ca="1">IF(ROW()&lt;($C$7+1),"",IFERROR((分析データ!E1167-AVERAGE(OFFSET(分析データ!E$1,MAX(1,ROW()-$C$7),0,MIN($C$7,ROW()-1),1)))/STDEV(OFFSET(分析データ!E$1,MAX(1,ROW()-$C$7),0,MIN($C$7,ROW()-1),1)),0))</f>
        <v>0</v>
      </c>
      <c r="BM1167">
        <f t="shared" ca="1" si="516"/>
        <v>0</v>
      </c>
      <c r="BN1167" t="str">
        <f ca="1">IF(BM1167=1,IF(INDEX(分析データ!$A:$A,ROW()+$C$5)&lt;&gt;"",40000*SIGN(BL1167)*(分析データ!E1167-INDEX(分析データ!E:E,ROW()+$C$5)),""),"")</f>
        <v/>
      </c>
      <c r="BO1167">
        <f t="shared" ca="1" si="517"/>
        <v>2720000.0000000014</v>
      </c>
      <c r="BP1167">
        <f t="shared" ca="1" si="518"/>
        <v>4280000.0000000028</v>
      </c>
      <c r="BQ1167">
        <f t="shared" ca="1" si="519"/>
        <v>-1560000.0000000014</v>
      </c>
      <c r="BR1167">
        <f ca="1">IF(ROW()&lt;($C$7+1),"",IFERROR((分析データ!F1167-AVERAGE(OFFSET(分析データ!F$1,MAX(1,ROW()-$C$7),0,MIN($C$7,ROW()-1),1)))/STDEV(OFFSET(分析データ!F$1,MAX(1,ROW()-$C$7),0,MIN($C$7,ROW()-1),1)),0))</f>
        <v>0</v>
      </c>
      <c r="BS1167">
        <f t="shared" ca="1" si="520"/>
        <v>0</v>
      </c>
      <c r="BT1167" t="str">
        <f ca="1">IF(BS1167=1,IF(INDEX(分析データ!$A:$A,ROW()+$C$5)&lt;&gt;"",40000*SIGN(BR1167)*(分析データ!F1167-INDEX(分析データ!F:F,ROW()+$C$5)),""),"")</f>
        <v/>
      </c>
      <c r="BU1167">
        <f t="shared" ca="1" si="521"/>
        <v>19816800</v>
      </c>
      <c r="BV1167">
        <f t="shared" ca="1" si="522"/>
        <v>19816800</v>
      </c>
      <c r="BW1167">
        <f t="shared" ca="1" si="523"/>
        <v>0</v>
      </c>
      <c r="BX1167">
        <f ca="1">IF(ROW()&lt;($C$7+1),"",IFERROR((分析データ!G1167-AVERAGE(OFFSET(分析データ!G$1,MAX(1,ROW()-$C$7),0,MIN($C$7,ROW()-1),1)))/STDEV(OFFSET(分析データ!G$1,MAX(1,ROW()-$C$7),0,MIN($C$7,ROW()-1),1)),0))</f>
        <v>0</v>
      </c>
      <c r="BY1167">
        <f t="shared" ca="1" si="524"/>
        <v>0</v>
      </c>
      <c r="BZ1167" t="str">
        <f ca="1">IF(BY1167=1,IF(INDEX(分析データ!$A:$A,ROW()+$C$5)&lt;&gt;"",40000*SIGN(BX1167)*(分析データ!G1167-INDEX(分析データ!G:G,ROW()+$C$5)),""),"")</f>
        <v/>
      </c>
      <c r="CA1167">
        <f t="shared" ca="1" si="525"/>
        <v>-3515452.8662109179</v>
      </c>
      <c r="CB1167">
        <f t="shared" ca="1" si="526"/>
        <v>11327520.000000004</v>
      </c>
      <c r="CC1167">
        <f t="shared" ca="1" si="527"/>
        <v>-14842972.866210923</v>
      </c>
      <c r="CD1167">
        <f t="shared" ca="1" si="528"/>
        <v>0</v>
      </c>
      <c r="CE1167">
        <f t="shared" ca="1" si="529"/>
        <v>23090347.13378913</v>
      </c>
      <c r="CF1167">
        <f t="shared" ca="1" si="530"/>
        <v>23090347.13378913</v>
      </c>
      <c r="CG1167">
        <f t="shared" ca="1" si="531"/>
        <v>0</v>
      </c>
      <c r="CH1167" s="10" t="str">
        <f>分析データ!A1167</f>
        <v/>
      </c>
    </row>
    <row r="1168" spans="46:86">
      <c r="AT1168">
        <f ca="1">IF(ROW()&lt;($C$7+1),"",IFERROR((分析データ!B1168-AVERAGE(OFFSET(分析データ!B$1,MAX(1,ROW()-$C$7),0,MIN($C$7,ROW()-1),1)))/STDEV(OFFSET(分析データ!B$1,MAX(1,ROW()-$C$7),0,MIN($C$7,ROW()-1),1)),0))</f>
        <v>0</v>
      </c>
      <c r="AU1168">
        <f t="shared" ca="1" si="504"/>
        <v>0</v>
      </c>
      <c r="AV1168" t="str">
        <f ca="1">IF(AU1168=1,IF(INDEX(分析データ!$A:$A,ROW()+$C$5)&lt;&gt;"",80000*SIGN(AT1168)*(分析データ!B1168-INDEX(分析データ!B:B,ROW()+$C$5)),""),"")</f>
        <v/>
      </c>
      <c r="AW1168">
        <f t="shared" ca="1" si="505"/>
        <v>-1240000.0000000019</v>
      </c>
      <c r="AX1168">
        <f t="shared" ca="1" si="506"/>
        <v>0</v>
      </c>
      <c r="AY1168">
        <f t="shared" ca="1" si="507"/>
        <v>-1240000.0000000019</v>
      </c>
      <c r="AZ1168">
        <f ca="1">IF(ROW()&lt;($C$7+1),"",IFERROR((分析データ!C1168-AVERAGE(OFFSET(分析データ!C$1,MAX(1,ROW()-$C$7),0,MIN($C$7,ROW()-1),1)))/STDEV(OFFSET(分析データ!C$1,MAX(1,ROW()-$C$7),0,MIN($C$7,ROW()-1),1)),0))</f>
        <v>0</v>
      </c>
      <c r="BA1168">
        <f t="shared" ca="1" si="508"/>
        <v>0</v>
      </c>
      <c r="BB1168" t="str">
        <f ca="1">IF(BA1168=1,IF(INDEX(分析データ!$A:$A,ROW()+$C$5)&lt;&gt;"",60000*SIGN(AZ1168)*(分析データ!C1168-INDEX(分析データ!C:C,ROW()+$C$5)),""),"")</f>
        <v/>
      </c>
      <c r="BC1168">
        <f t="shared" ca="1" si="509"/>
        <v>-260999.9999999851</v>
      </c>
      <c r="BD1168">
        <f t="shared" ca="1" si="510"/>
        <v>3156000.0000000107</v>
      </c>
      <c r="BE1168">
        <f t="shared" ca="1" si="511"/>
        <v>-3416999.9999999958</v>
      </c>
      <c r="BF1168">
        <f ca="1">IF(ROW()&lt;($C$7+1),"",IFERROR((分析データ!D1168-AVERAGE(OFFSET(分析データ!D$1,MAX(1,ROW()-$C$7),0,MIN($C$7,ROW()-1),1)))/STDEV(OFFSET(分析データ!D$1,MAX(1,ROW()-$C$7),0,MIN($C$7,ROW()-1),1)),0))</f>
        <v>0</v>
      </c>
      <c r="BG1168">
        <f t="shared" ca="1" si="512"/>
        <v>0</v>
      </c>
      <c r="BH1168" t="str">
        <f ca="1">IF(BG1168=1,IF(INDEX(分析データ!$A:$A,ROW()+$C$5)&lt;&gt;"",50000*SIGN(BF1168)*(分析データ!D1168-INDEX(分析データ!D:D,ROW()+$C$5)),""),"")</f>
        <v/>
      </c>
      <c r="BI1168">
        <f t="shared" ca="1" si="513"/>
        <v>5570000.0000000205</v>
      </c>
      <c r="BJ1168">
        <f t="shared" ca="1" si="514"/>
        <v>5570000.0000000205</v>
      </c>
      <c r="BK1168">
        <f t="shared" ca="1" si="515"/>
        <v>0</v>
      </c>
      <c r="BL1168">
        <f ca="1">IF(ROW()&lt;($C$7+1),"",IFERROR((分析データ!E1168-AVERAGE(OFFSET(分析データ!E$1,MAX(1,ROW()-$C$7),0,MIN($C$7,ROW()-1),1)))/STDEV(OFFSET(分析データ!E$1,MAX(1,ROW()-$C$7),0,MIN($C$7,ROW()-1),1)),0))</f>
        <v>0</v>
      </c>
      <c r="BM1168">
        <f t="shared" ca="1" si="516"/>
        <v>0</v>
      </c>
      <c r="BN1168" t="str">
        <f ca="1">IF(BM1168=1,IF(INDEX(分析データ!$A:$A,ROW()+$C$5)&lt;&gt;"",40000*SIGN(BL1168)*(分析データ!E1168-INDEX(分析データ!E:E,ROW()+$C$5)),""),"")</f>
        <v/>
      </c>
      <c r="BO1168">
        <f t="shared" ca="1" si="517"/>
        <v>2720000.0000000014</v>
      </c>
      <c r="BP1168">
        <f t="shared" ca="1" si="518"/>
        <v>4280000.0000000028</v>
      </c>
      <c r="BQ1168">
        <f t="shared" ca="1" si="519"/>
        <v>-1560000.0000000014</v>
      </c>
      <c r="BR1168">
        <f ca="1">IF(ROW()&lt;($C$7+1),"",IFERROR((分析データ!F1168-AVERAGE(OFFSET(分析データ!F$1,MAX(1,ROW()-$C$7),0,MIN($C$7,ROW()-1),1)))/STDEV(OFFSET(分析データ!F$1,MAX(1,ROW()-$C$7),0,MIN($C$7,ROW()-1),1)),0))</f>
        <v>0</v>
      </c>
      <c r="BS1168">
        <f t="shared" ca="1" si="520"/>
        <v>0</v>
      </c>
      <c r="BT1168" t="str">
        <f ca="1">IF(BS1168=1,IF(INDEX(分析データ!$A:$A,ROW()+$C$5)&lt;&gt;"",40000*SIGN(BR1168)*(分析データ!F1168-INDEX(分析データ!F:F,ROW()+$C$5)),""),"")</f>
        <v/>
      </c>
      <c r="BU1168">
        <f t="shared" ca="1" si="521"/>
        <v>19816800</v>
      </c>
      <c r="BV1168">
        <f t="shared" ca="1" si="522"/>
        <v>19816800</v>
      </c>
      <c r="BW1168">
        <f t="shared" ca="1" si="523"/>
        <v>0</v>
      </c>
      <c r="BX1168">
        <f ca="1">IF(ROW()&lt;($C$7+1),"",IFERROR((分析データ!G1168-AVERAGE(OFFSET(分析データ!G$1,MAX(1,ROW()-$C$7),0,MIN($C$7,ROW()-1),1)))/STDEV(OFFSET(分析データ!G$1,MAX(1,ROW()-$C$7),0,MIN($C$7,ROW()-1),1)),0))</f>
        <v>0</v>
      </c>
      <c r="BY1168">
        <f t="shared" ca="1" si="524"/>
        <v>0</v>
      </c>
      <c r="BZ1168" t="str">
        <f ca="1">IF(BY1168=1,IF(INDEX(分析データ!$A:$A,ROW()+$C$5)&lt;&gt;"",40000*SIGN(BX1168)*(分析データ!G1168-INDEX(分析データ!G:G,ROW()+$C$5)),""),"")</f>
        <v/>
      </c>
      <c r="CA1168">
        <f t="shared" ca="1" si="525"/>
        <v>-3515452.8662109179</v>
      </c>
      <c r="CB1168">
        <f t="shared" ca="1" si="526"/>
        <v>11327520.000000004</v>
      </c>
      <c r="CC1168">
        <f t="shared" ca="1" si="527"/>
        <v>-14842972.866210923</v>
      </c>
      <c r="CD1168">
        <f t="shared" ca="1" si="528"/>
        <v>0</v>
      </c>
      <c r="CE1168">
        <f t="shared" ca="1" si="529"/>
        <v>23090347.13378913</v>
      </c>
      <c r="CF1168">
        <f t="shared" ca="1" si="530"/>
        <v>23090347.13378913</v>
      </c>
      <c r="CG1168">
        <f t="shared" ca="1" si="531"/>
        <v>0</v>
      </c>
      <c r="CH1168" s="10" t="str">
        <f>分析データ!A1168</f>
        <v/>
      </c>
    </row>
    <row r="1169" spans="46:86">
      <c r="AT1169">
        <f ca="1">IF(ROW()&lt;($C$7+1),"",IFERROR((分析データ!B1169-AVERAGE(OFFSET(分析データ!B$1,MAX(1,ROW()-$C$7),0,MIN($C$7,ROW()-1),1)))/STDEV(OFFSET(分析データ!B$1,MAX(1,ROW()-$C$7),0,MIN($C$7,ROW()-1),1)),0))</f>
        <v>0</v>
      </c>
      <c r="AU1169">
        <f t="shared" ca="1" si="504"/>
        <v>0</v>
      </c>
      <c r="AV1169" t="str">
        <f ca="1">IF(AU1169=1,IF(INDEX(分析データ!$A:$A,ROW()+$C$5)&lt;&gt;"",80000*SIGN(AT1169)*(分析データ!B1169-INDEX(分析データ!B:B,ROW()+$C$5)),""),"")</f>
        <v/>
      </c>
      <c r="AW1169">
        <f t="shared" ca="1" si="505"/>
        <v>-1240000.0000000019</v>
      </c>
      <c r="AX1169">
        <f t="shared" ca="1" si="506"/>
        <v>0</v>
      </c>
      <c r="AY1169">
        <f t="shared" ca="1" si="507"/>
        <v>-1240000.0000000019</v>
      </c>
      <c r="AZ1169">
        <f ca="1">IF(ROW()&lt;($C$7+1),"",IFERROR((分析データ!C1169-AVERAGE(OFFSET(分析データ!C$1,MAX(1,ROW()-$C$7),0,MIN($C$7,ROW()-1),1)))/STDEV(OFFSET(分析データ!C$1,MAX(1,ROW()-$C$7),0,MIN($C$7,ROW()-1),1)),0))</f>
        <v>0</v>
      </c>
      <c r="BA1169">
        <f t="shared" ca="1" si="508"/>
        <v>0</v>
      </c>
      <c r="BB1169" t="str">
        <f ca="1">IF(BA1169=1,IF(INDEX(分析データ!$A:$A,ROW()+$C$5)&lt;&gt;"",60000*SIGN(AZ1169)*(分析データ!C1169-INDEX(分析データ!C:C,ROW()+$C$5)),""),"")</f>
        <v/>
      </c>
      <c r="BC1169">
        <f t="shared" ca="1" si="509"/>
        <v>-260999.9999999851</v>
      </c>
      <c r="BD1169">
        <f t="shared" ca="1" si="510"/>
        <v>3156000.0000000107</v>
      </c>
      <c r="BE1169">
        <f t="shared" ca="1" si="511"/>
        <v>-3416999.9999999958</v>
      </c>
      <c r="BF1169">
        <f ca="1">IF(ROW()&lt;($C$7+1),"",IFERROR((分析データ!D1169-AVERAGE(OFFSET(分析データ!D$1,MAX(1,ROW()-$C$7),0,MIN($C$7,ROW()-1),1)))/STDEV(OFFSET(分析データ!D$1,MAX(1,ROW()-$C$7),0,MIN($C$7,ROW()-1),1)),0))</f>
        <v>0</v>
      </c>
      <c r="BG1169">
        <f t="shared" ca="1" si="512"/>
        <v>0</v>
      </c>
      <c r="BH1169" t="str">
        <f ca="1">IF(BG1169=1,IF(INDEX(分析データ!$A:$A,ROW()+$C$5)&lt;&gt;"",50000*SIGN(BF1169)*(分析データ!D1169-INDEX(分析データ!D:D,ROW()+$C$5)),""),"")</f>
        <v/>
      </c>
      <c r="BI1169">
        <f t="shared" ca="1" si="513"/>
        <v>5570000.0000000205</v>
      </c>
      <c r="BJ1169">
        <f t="shared" ca="1" si="514"/>
        <v>5570000.0000000205</v>
      </c>
      <c r="BK1169">
        <f t="shared" ca="1" si="515"/>
        <v>0</v>
      </c>
      <c r="BL1169">
        <f ca="1">IF(ROW()&lt;($C$7+1),"",IFERROR((分析データ!E1169-AVERAGE(OFFSET(分析データ!E$1,MAX(1,ROW()-$C$7),0,MIN($C$7,ROW()-1),1)))/STDEV(OFFSET(分析データ!E$1,MAX(1,ROW()-$C$7),0,MIN($C$7,ROW()-1),1)),0))</f>
        <v>0</v>
      </c>
      <c r="BM1169">
        <f t="shared" ca="1" si="516"/>
        <v>0</v>
      </c>
      <c r="BN1169" t="str">
        <f ca="1">IF(BM1169=1,IF(INDEX(分析データ!$A:$A,ROW()+$C$5)&lt;&gt;"",40000*SIGN(BL1169)*(分析データ!E1169-INDEX(分析データ!E:E,ROW()+$C$5)),""),"")</f>
        <v/>
      </c>
      <c r="BO1169">
        <f t="shared" ca="1" si="517"/>
        <v>2720000.0000000014</v>
      </c>
      <c r="BP1169">
        <f t="shared" ca="1" si="518"/>
        <v>4280000.0000000028</v>
      </c>
      <c r="BQ1169">
        <f t="shared" ca="1" si="519"/>
        <v>-1560000.0000000014</v>
      </c>
      <c r="BR1169">
        <f ca="1">IF(ROW()&lt;($C$7+1),"",IFERROR((分析データ!F1169-AVERAGE(OFFSET(分析データ!F$1,MAX(1,ROW()-$C$7),0,MIN($C$7,ROW()-1),1)))/STDEV(OFFSET(分析データ!F$1,MAX(1,ROW()-$C$7),0,MIN($C$7,ROW()-1),1)),0))</f>
        <v>0</v>
      </c>
      <c r="BS1169">
        <f t="shared" ca="1" si="520"/>
        <v>0</v>
      </c>
      <c r="BT1169" t="str">
        <f ca="1">IF(BS1169=1,IF(INDEX(分析データ!$A:$A,ROW()+$C$5)&lt;&gt;"",40000*SIGN(BR1169)*(分析データ!F1169-INDEX(分析データ!F:F,ROW()+$C$5)),""),"")</f>
        <v/>
      </c>
      <c r="BU1169">
        <f t="shared" ca="1" si="521"/>
        <v>19816800</v>
      </c>
      <c r="BV1169">
        <f t="shared" ca="1" si="522"/>
        <v>19816800</v>
      </c>
      <c r="BW1169">
        <f t="shared" ca="1" si="523"/>
        <v>0</v>
      </c>
      <c r="BX1169">
        <f ca="1">IF(ROW()&lt;($C$7+1),"",IFERROR((分析データ!G1169-AVERAGE(OFFSET(分析データ!G$1,MAX(1,ROW()-$C$7),0,MIN($C$7,ROW()-1),1)))/STDEV(OFFSET(分析データ!G$1,MAX(1,ROW()-$C$7),0,MIN($C$7,ROW()-1),1)),0))</f>
        <v>0</v>
      </c>
      <c r="BY1169">
        <f t="shared" ca="1" si="524"/>
        <v>0</v>
      </c>
      <c r="BZ1169" t="str">
        <f ca="1">IF(BY1169=1,IF(INDEX(分析データ!$A:$A,ROW()+$C$5)&lt;&gt;"",40000*SIGN(BX1169)*(分析データ!G1169-INDEX(分析データ!G:G,ROW()+$C$5)),""),"")</f>
        <v/>
      </c>
      <c r="CA1169">
        <f t="shared" ca="1" si="525"/>
        <v>-3515452.8662109179</v>
      </c>
      <c r="CB1169">
        <f t="shared" ca="1" si="526"/>
        <v>11327520.000000004</v>
      </c>
      <c r="CC1169">
        <f t="shared" ca="1" si="527"/>
        <v>-14842972.866210923</v>
      </c>
      <c r="CD1169">
        <f t="shared" ca="1" si="528"/>
        <v>0</v>
      </c>
      <c r="CE1169">
        <f t="shared" ca="1" si="529"/>
        <v>23090347.13378913</v>
      </c>
      <c r="CF1169">
        <f t="shared" ca="1" si="530"/>
        <v>23090347.13378913</v>
      </c>
      <c r="CG1169">
        <f t="shared" ca="1" si="531"/>
        <v>0</v>
      </c>
      <c r="CH1169" s="10" t="str">
        <f>分析データ!A1169</f>
        <v/>
      </c>
    </row>
    <row r="1170" spans="46:86">
      <c r="AT1170">
        <f ca="1">IF(ROW()&lt;($C$7+1),"",IFERROR((分析データ!B1170-AVERAGE(OFFSET(分析データ!B$1,MAX(1,ROW()-$C$7),0,MIN($C$7,ROW()-1),1)))/STDEV(OFFSET(分析データ!B$1,MAX(1,ROW()-$C$7),0,MIN($C$7,ROW()-1),1)),0))</f>
        <v>0</v>
      </c>
      <c r="AU1170">
        <f t="shared" ca="1" si="504"/>
        <v>0</v>
      </c>
      <c r="AV1170" t="str">
        <f ca="1">IF(AU1170=1,IF(INDEX(分析データ!$A:$A,ROW()+$C$5)&lt;&gt;"",80000*SIGN(AT1170)*(分析データ!B1170-INDEX(分析データ!B:B,ROW()+$C$5)),""),"")</f>
        <v/>
      </c>
      <c r="AW1170">
        <f t="shared" ca="1" si="505"/>
        <v>-1240000.0000000019</v>
      </c>
      <c r="AX1170">
        <f t="shared" ca="1" si="506"/>
        <v>0</v>
      </c>
      <c r="AY1170">
        <f t="shared" ca="1" si="507"/>
        <v>-1240000.0000000019</v>
      </c>
      <c r="AZ1170">
        <f ca="1">IF(ROW()&lt;($C$7+1),"",IFERROR((分析データ!C1170-AVERAGE(OFFSET(分析データ!C$1,MAX(1,ROW()-$C$7),0,MIN($C$7,ROW()-1),1)))/STDEV(OFFSET(分析データ!C$1,MAX(1,ROW()-$C$7),0,MIN($C$7,ROW()-1),1)),0))</f>
        <v>0</v>
      </c>
      <c r="BA1170">
        <f t="shared" ca="1" si="508"/>
        <v>0</v>
      </c>
      <c r="BB1170" t="str">
        <f ca="1">IF(BA1170=1,IF(INDEX(分析データ!$A:$A,ROW()+$C$5)&lt;&gt;"",60000*SIGN(AZ1170)*(分析データ!C1170-INDEX(分析データ!C:C,ROW()+$C$5)),""),"")</f>
        <v/>
      </c>
      <c r="BC1170">
        <f t="shared" ca="1" si="509"/>
        <v>-260999.9999999851</v>
      </c>
      <c r="BD1170">
        <f t="shared" ca="1" si="510"/>
        <v>3156000.0000000107</v>
      </c>
      <c r="BE1170">
        <f t="shared" ca="1" si="511"/>
        <v>-3416999.9999999958</v>
      </c>
      <c r="BF1170">
        <f ca="1">IF(ROW()&lt;($C$7+1),"",IFERROR((分析データ!D1170-AVERAGE(OFFSET(分析データ!D$1,MAX(1,ROW()-$C$7),0,MIN($C$7,ROW()-1),1)))/STDEV(OFFSET(分析データ!D$1,MAX(1,ROW()-$C$7),0,MIN($C$7,ROW()-1),1)),0))</f>
        <v>0</v>
      </c>
      <c r="BG1170">
        <f t="shared" ca="1" si="512"/>
        <v>0</v>
      </c>
      <c r="BH1170" t="str">
        <f ca="1">IF(BG1170=1,IF(INDEX(分析データ!$A:$A,ROW()+$C$5)&lt;&gt;"",50000*SIGN(BF1170)*(分析データ!D1170-INDEX(分析データ!D:D,ROW()+$C$5)),""),"")</f>
        <v/>
      </c>
      <c r="BI1170">
        <f t="shared" ca="1" si="513"/>
        <v>5570000.0000000205</v>
      </c>
      <c r="BJ1170">
        <f t="shared" ca="1" si="514"/>
        <v>5570000.0000000205</v>
      </c>
      <c r="BK1170">
        <f t="shared" ca="1" si="515"/>
        <v>0</v>
      </c>
      <c r="BL1170">
        <f ca="1">IF(ROW()&lt;($C$7+1),"",IFERROR((分析データ!E1170-AVERAGE(OFFSET(分析データ!E$1,MAX(1,ROW()-$C$7),0,MIN($C$7,ROW()-1),1)))/STDEV(OFFSET(分析データ!E$1,MAX(1,ROW()-$C$7),0,MIN($C$7,ROW()-1),1)),0))</f>
        <v>0</v>
      </c>
      <c r="BM1170">
        <f t="shared" ca="1" si="516"/>
        <v>0</v>
      </c>
      <c r="BN1170" t="str">
        <f ca="1">IF(BM1170=1,IF(INDEX(分析データ!$A:$A,ROW()+$C$5)&lt;&gt;"",40000*SIGN(BL1170)*(分析データ!E1170-INDEX(分析データ!E:E,ROW()+$C$5)),""),"")</f>
        <v/>
      </c>
      <c r="BO1170">
        <f t="shared" ca="1" si="517"/>
        <v>2720000.0000000014</v>
      </c>
      <c r="BP1170">
        <f t="shared" ca="1" si="518"/>
        <v>4280000.0000000028</v>
      </c>
      <c r="BQ1170">
        <f t="shared" ca="1" si="519"/>
        <v>-1560000.0000000014</v>
      </c>
      <c r="BR1170">
        <f ca="1">IF(ROW()&lt;($C$7+1),"",IFERROR((分析データ!F1170-AVERAGE(OFFSET(分析データ!F$1,MAX(1,ROW()-$C$7),0,MIN($C$7,ROW()-1),1)))/STDEV(OFFSET(分析データ!F$1,MAX(1,ROW()-$C$7),0,MIN($C$7,ROW()-1),1)),0))</f>
        <v>0</v>
      </c>
      <c r="BS1170">
        <f t="shared" ca="1" si="520"/>
        <v>0</v>
      </c>
      <c r="BT1170" t="str">
        <f ca="1">IF(BS1170=1,IF(INDEX(分析データ!$A:$A,ROW()+$C$5)&lt;&gt;"",40000*SIGN(BR1170)*(分析データ!F1170-INDEX(分析データ!F:F,ROW()+$C$5)),""),"")</f>
        <v/>
      </c>
      <c r="BU1170">
        <f t="shared" ca="1" si="521"/>
        <v>19816800</v>
      </c>
      <c r="BV1170">
        <f t="shared" ca="1" si="522"/>
        <v>19816800</v>
      </c>
      <c r="BW1170">
        <f t="shared" ca="1" si="523"/>
        <v>0</v>
      </c>
      <c r="BX1170">
        <f ca="1">IF(ROW()&lt;($C$7+1),"",IFERROR((分析データ!G1170-AVERAGE(OFFSET(分析データ!G$1,MAX(1,ROW()-$C$7),0,MIN($C$7,ROW()-1),1)))/STDEV(OFFSET(分析データ!G$1,MAX(1,ROW()-$C$7),0,MIN($C$7,ROW()-1),1)),0))</f>
        <v>0</v>
      </c>
      <c r="BY1170">
        <f t="shared" ca="1" si="524"/>
        <v>0</v>
      </c>
      <c r="BZ1170" t="str">
        <f ca="1">IF(BY1170=1,IF(INDEX(分析データ!$A:$A,ROW()+$C$5)&lt;&gt;"",40000*SIGN(BX1170)*(分析データ!G1170-INDEX(分析データ!G:G,ROW()+$C$5)),""),"")</f>
        <v/>
      </c>
      <c r="CA1170">
        <f t="shared" ca="1" si="525"/>
        <v>-3515452.8662109179</v>
      </c>
      <c r="CB1170">
        <f t="shared" ca="1" si="526"/>
        <v>11327520.000000004</v>
      </c>
      <c r="CC1170">
        <f t="shared" ca="1" si="527"/>
        <v>-14842972.866210923</v>
      </c>
      <c r="CD1170">
        <f t="shared" ca="1" si="528"/>
        <v>0</v>
      </c>
      <c r="CE1170">
        <f t="shared" ca="1" si="529"/>
        <v>23090347.13378913</v>
      </c>
      <c r="CF1170">
        <f t="shared" ca="1" si="530"/>
        <v>23090347.13378913</v>
      </c>
      <c r="CG1170">
        <f t="shared" ca="1" si="531"/>
        <v>0</v>
      </c>
      <c r="CH1170" s="10" t="str">
        <f>分析データ!A1170</f>
        <v/>
      </c>
    </row>
    <row r="1171" spans="46:86">
      <c r="AT1171">
        <f ca="1">IF(ROW()&lt;($C$7+1),"",IFERROR((分析データ!B1171-AVERAGE(OFFSET(分析データ!B$1,MAX(1,ROW()-$C$7),0,MIN($C$7,ROW()-1),1)))/STDEV(OFFSET(分析データ!B$1,MAX(1,ROW()-$C$7),0,MIN($C$7,ROW()-1),1)),0))</f>
        <v>0</v>
      </c>
      <c r="AU1171">
        <f t="shared" ca="1" si="504"/>
        <v>0</v>
      </c>
      <c r="AV1171" t="str">
        <f ca="1">IF(AU1171=1,IF(INDEX(分析データ!$A:$A,ROW()+$C$5)&lt;&gt;"",80000*SIGN(AT1171)*(分析データ!B1171-INDEX(分析データ!B:B,ROW()+$C$5)),""),"")</f>
        <v/>
      </c>
      <c r="AW1171">
        <f t="shared" ca="1" si="505"/>
        <v>-1240000.0000000019</v>
      </c>
      <c r="AX1171">
        <f t="shared" ca="1" si="506"/>
        <v>0</v>
      </c>
      <c r="AY1171">
        <f t="shared" ca="1" si="507"/>
        <v>-1240000.0000000019</v>
      </c>
      <c r="AZ1171">
        <f ca="1">IF(ROW()&lt;($C$7+1),"",IFERROR((分析データ!C1171-AVERAGE(OFFSET(分析データ!C$1,MAX(1,ROW()-$C$7),0,MIN($C$7,ROW()-1),1)))/STDEV(OFFSET(分析データ!C$1,MAX(1,ROW()-$C$7),0,MIN($C$7,ROW()-1),1)),0))</f>
        <v>0</v>
      </c>
      <c r="BA1171">
        <f t="shared" ca="1" si="508"/>
        <v>0</v>
      </c>
      <c r="BB1171" t="str">
        <f ca="1">IF(BA1171=1,IF(INDEX(分析データ!$A:$A,ROW()+$C$5)&lt;&gt;"",60000*SIGN(AZ1171)*(分析データ!C1171-INDEX(分析データ!C:C,ROW()+$C$5)),""),"")</f>
        <v/>
      </c>
      <c r="BC1171">
        <f t="shared" ca="1" si="509"/>
        <v>-260999.9999999851</v>
      </c>
      <c r="BD1171">
        <f t="shared" ca="1" si="510"/>
        <v>3156000.0000000107</v>
      </c>
      <c r="BE1171">
        <f t="shared" ca="1" si="511"/>
        <v>-3416999.9999999958</v>
      </c>
      <c r="BF1171">
        <f ca="1">IF(ROW()&lt;($C$7+1),"",IFERROR((分析データ!D1171-AVERAGE(OFFSET(分析データ!D$1,MAX(1,ROW()-$C$7),0,MIN($C$7,ROW()-1),1)))/STDEV(OFFSET(分析データ!D$1,MAX(1,ROW()-$C$7),0,MIN($C$7,ROW()-1),1)),0))</f>
        <v>0</v>
      </c>
      <c r="BG1171">
        <f t="shared" ca="1" si="512"/>
        <v>0</v>
      </c>
      <c r="BH1171" t="str">
        <f ca="1">IF(BG1171=1,IF(INDEX(分析データ!$A:$A,ROW()+$C$5)&lt;&gt;"",50000*SIGN(BF1171)*(分析データ!D1171-INDEX(分析データ!D:D,ROW()+$C$5)),""),"")</f>
        <v/>
      </c>
      <c r="BI1171">
        <f t="shared" ca="1" si="513"/>
        <v>5570000.0000000205</v>
      </c>
      <c r="BJ1171">
        <f t="shared" ca="1" si="514"/>
        <v>5570000.0000000205</v>
      </c>
      <c r="BK1171">
        <f t="shared" ca="1" si="515"/>
        <v>0</v>
      </c>
      <c r="BL1171">
        <f ca="1">IF(ROW()&lt;($C$7+1),"",IFERROR((分析データ!E1171-AVERAGE(OFFSET(分析データ!E$1,MAX(1,ROW()-$C$7),0,MIN($C$7,ROW()-1),1)))/STDEV(OFFSET(分析データ!E$1,MAX(1,ROW()-$C$7),0,MIN($C$7,ROW()-1),1)),0))</f>
        <v>0</v>
      </c>
      <c r="BM1171">
        <f t="shared" ca="1" si="516"/>
        <v>0</v>
      </c>
      <c r="BN1171" t="str">
        <f ca="1">IF(BM1171=1,IF(INDEX(分析データ!$A:$A,ROW()+$C$5)&lt;&gt;"",40000*SIGN(BL1171)*(分析データ!E1171-INDEX(分析データ!E:E,ROW()+$C$5)),""),"")</f>
        <v/>
      </c>
      <c r="BO1171">
        <f t="shared" ca="1" si="517"/>
        <v>2720000.0000000014</v>
      </c>
      <c r="BP1171">
        <f t="shared" ca="1" si="518"/>
        <v>4280000.0000000028</v>
      </c>
      <c r="BQ1171">
        <f t="shared" ca="1" si="519"/>
        <v>-1560000.0000000014</v>
      </c>
      <c r="BR1171">
        <f ca="1">IF(ROW()&lt;($C$7+1),"",IFERROR((分析データ!F1171-AVERAGE(OFFSET(分析データ!F$1,MAX(1,ROW()-$C$7),0,MIN($C$7,ROW()-1),1)))/STDEV(OFFSET(分析データ!F$1,MAX(1,ROW()-$C$7),0,MIN($C$7,ROW()-1),1)),0))</f>
        <v>0</v>
      </c>
      <c r="BS1171">
        <f t="shared" ca="1" si="520"/>
        <v>0</v>
      </c>
      <c r="BT1171" t="str">
        <f ca="1">IF(BS1171=1,IF(INDEX(分析データ!$A:$A,ROW()+$C$5)&lt;&gt;"",40000*SIGN(BR1171)*(分析データ!F1171-INDEX(分析データ!F:F,ROW()+$C$5)),""),"")</f>
        <v/>
      </c>
      <c r="BU1171">
        <f t="shared" ca="1" si="521"/>
        <v>19816800</v>
      </c>
      <c r="BV1171">
        <f t="shared" ca="1" si="522"/>
        <v>19816800</v>
      </c>
      <c r="BW1171">
        <f t="shared" ca="1" si="523"/>
        <v>0</v>
      </c>
      <c r="BX1171">
        <f ca="1">IF(ROW()&lt;($C$7+1),"",IFERROR((分析データ!G1171-AVERAGE(OFFSET(分析データ!G$1,MAX(1,ROW()-$C$7),0,MIN($C$7,ROW()-1),1)))/STDEV(OFFSET(分析データ!G$1,MAX(1,ROW()-$C$7),0,MIN($C$7,ROW()-1),1)),0))</f>
        <v>0</v>
      </c>
      <c r="BY1171">
        <f t="shared" ca="1" si="524"/>
        <v>0</v>
      </c>
      <c r="BZ1171" t="str">
        <f ca="1">IF(BY1171=1,IF(INDEX(分析データ!$A:$A,ROW()+$C$5)&lt;&gt;"",40000*SIGN(BX1171)*(分析データ!G1171-INDEX(分析データ!G:G,ROW()+$C$5)),""),"")</f>
        <v/>
      </c>
      <c r="CA1171">
        <f t="shared" ca="1" si="525"/>
        <v>-3515452.8662109179</v>
      </c>
      <c r="CB1171">
        <f t="shared" ca="1" si="526"/>
        <v>11327520.000000004</v>
      </c>
      <c r="CC1171">
        <f t="shared" ca="1" si="527"/>
        <v>-14842972.866210923</v>
      </c>
      <c r="CD1171">
        <f t="shared" ca="1" si="528"/>
        <v>0</v>
      </c>
      <c r="CE1171">
        <f t="shared" ca="1" si="529"/>
        <v>23090347.13378913</v>
      </c>
      <c r="CF1171">
        <f t="shared" ca="1" si="530"/>
        <v>23090347.13378913</v>
      </c>
      <c r="CG1171">
        <f t="shared" ca="1" si="531"/>
        <v>0</v>
      </c>
      <c r="CH1171" s="10" t="str">
        <f>分析データ!A1171</f>
        <v/>
      </c>
    </row>
    <row r="1172" spans="46:86">
      <c r="AT1172">
        <f ca="1">IF(ROW()&lt;($C$7+1),"",IFERROR((分析データ!B1172-AVERAGE(OFFSET(分析データ!B$1,MAX(1,ROW()-$C$7),0,MIN($C$7,ROW()-1),1)))/STDEV(OFFSET(分析データ!B$1,MAX(1,ROW()-$C$7),0,MIN($C$7,ROW()-1),1)),0))</f>
        <v>0</v>
      </c>
      <c r="AU1172">
        <f t="shared" ca="1" si="504"/>
        <v>0</v>
      </c>
      <c r="AV1172" t="str">
        <f ca="1">IF(AU1172=1,IF(INDEX(分析データ!$A:$A,ROW()+$C$5)&lt;&gt;"",80000*SIGN(AT1172)*(分析データ!B1172-INDEX(分析データ!B:B,ROW()+$C$5)),""),"")</f>
        <v/>
      </c>
      <c r="AW1172">
        <f t="shared" ca="1" si="505"/>
        <v>-1240000.0000000019</v>
      </c>
      <c r="AX1172">
        <f t="shared" ca="1" si="506"/>
        <v>0</v>
      </c>
      <c r="AY1172">
        <f t="shared" ca="1" si="507"/>
        <v>-1240000.0000000019</v>
      </c>
      <c r="AZ1172">
        <f ca="1">IF(ROW()&lt;($C$7+1),"",IFERROR((分析データ!C1172-AVERAGE(OFFSET(分析データ!C$1,MAX(1,ROW()-$C$7),0,MIN($C$7,ROW()-1),1)))/STDEV(OFFSET(分析データ!C$1,MAX(1,ROW()-$C$7),0,MIN($C$7,ROW()-1),1)),0))</f>
        <v>0</v>
      </c>
      <c r="BA1172">
        <f t="shared" ca="1" si="508"/>
        <v>0</v>
      </c>
      <c r="BB1172" t="str">
        <f ca="1">IF(BA1172=1,IF(INDEX(分析データ!$A:$A,ROW()+$C$5)&lt;&gt;"",60000*SIGN(AZ1172)*(分析データ!C1172-INDEX(分析データ!C:C,ROW()+$C$5)),""),"")</f>
        <v/>
      </c>
      <c r="BC1172">
        <f t="shared" ca="1" si="509"/>
        <v>-260999.9999999851</v>
      </c>
      <c r="BD1172">
        <f t="shared" ca="1" si="510"/>
        <v>3156000.0000000107</v>
      </c>
      <c r="BE1172">
        <f t="shared" ca="1" si="511"/>
        <v>-3416999.9999999958</v>
      </c>
      <c r="BF1172">
        <f ca="1">IF(ROW()&lt;($C$7+1),"",IFERROR((分析データ!D1172-AVERAGE(OFFSET(分析データ!D$1,MAX(1,ROW()-$C$7),0,MIN($C$7,ROW()-1),1)))/STDEV(OFFSET(分析データ!D$1,MAX(1,ROW()-$C$7),0,MIN($C$7,ROW()-1),1)),0))</f>
        <v>0</v>
      </c>
      <c r="BG1172">
        <f t="shared" ca="1" si="512"/>
        <v>0</v>
      </c>
      <c r="BH1172" t="str">
        <f ca="1">IF(BG1172=1,IF(INDEX(分析データ!$A:$A,ROW()+$C$5)&lt;&gt;"",50000*SIGN(BF1172)*(分析データ!D1172-INDEX(分析データ!D:D,ROW()+$C$5)),""),"")</f>
        <v/>
      </c>
      <c r="BI1172">
        <f t="shared" ca="1" si="513"/>
        <v>5570000.0000000205</v>
      </c>
      <c r="BJ1172">
        <f t="shared" ca="1" si="514"/>
        <v>5570000.0000000205</v>
      </c>
      <c r="BK1172">
        <f t="shared" ca="1" si="515"/>
        <v>0</v>
      </c>
      <c r="BL1172">
        <f ca="1">IF(ROW()&lt;($C$7+1),"",IFERROR((分析データ!E1172-AVERAGE(OFFSET(分析データ!E$1,MAX(1,ROW()-$C$7),0,MIN($C$7,ROW()-1),1)))/STDEV(OFFSET(分析データ!E$1,MAX(1,ROW()-$C$7),0,MIN($C$7,ROW()-1),1)),0))</f>
        <v>0</v>
      </c>
      <c r="BM1172">
        <f t="shared" ca="1" si="516"/>
        <v>0</v>
      </c>
      <c r="BN1172" t="str">
        <f ca="1">IF(BM1172=1,IF(INDEX(分析データ!$A:$A,ROW()+$C$5)&lt;&gt;"",40000*SIGN(BL1172)*(分析データ!E1172-INDEX(分析データ!E:E,ROW()+$C$5)),""),"")</f>
        <v/>
      </c>
      <c r="BO1172">
        <f t="shared" ca="1" si="517"/>
        <v>2720000.0000000014</v>
      </c>
      <c r="BP1172">
        <f t="shared" ca="1" si="518"/>
        <v>4280000.0000000028</v>
      </c>
      <c r="BQ1172">
        <f t="shared" ca="1" si="519"/>
        <v>-1560000.0000000014</v>
      </c>
      <c r="BR1172">
        <f ca="1">IF(ROW()&lt;($C$7+1),"",IFERROR((分析データ!F1172-AVERAGE(OFFSET(分析データ!F$1,MAX(1,ROW()-$C$7),0,MIN($C$7,ROW()-1),1)))/STDEV(OFFSET(分析データ!F$1,MAX(1,ROW()-$C$7),0,MIN($C$7,ROW()-1),1)),0))</f>
        <v>0</v>
      </c>
      <c r="BS1172">
        <f t="shared" ca="1" si="520"/>
        <v>0</v>
      </c>
      <c r="BT1172" t="str">
        <f ca="1">IF(BS1172=1,IF(INDEX(分析データ!$A:$A,ROW()+$C$5)&lt;&gt;"",40000*SIGN(BR1172)*(分析データ!F1172-INDEX(分析データ!F:F,ROW()+$C$5)),""),"")</f>
        <v/>
      </c>
      <c r="BU1172">
        <f t="shared" ca="1" si="521"/>
        <v>19816800</v>
      </c>
      <c r="BV1172">
        <f t="shared" ca="1" si="522"/>
        <v>19816800</v>
      </c>
      <c r="BW1172">
        <f t="shared" ca="1" si="523"/>
        <v>0</v>
      </c>
      <c r="BX1172">
        <f ca="1">IF(ROW()&lt;($C$7+1),"",IFERROR((分析データ!G1172-AVERAGE(OFFSET(分析データ!G$1,MAX(1,ROW()-$C$7),0,MIN($C$7,ROW()-1),1)))/STDEV(OFFSET(分析データ!G$1,MAX(1,ROW()-$C$7),0,MIN($C$7,ROW()-1),1)),0))</f>
        <v>0</v>
      </c>
      <c r="BY1172">
        <f t="shared" ca="1" si="524"/>
        <v>0</v>
      </c>
      <c r="BZ1172" t="str">
        <f ca="1">IF(BY1172=1,IF(INDEX(分析データ!$A:$A,ROW()+$C$5)&lt;&gt;"",40000*SIGN(BX1172)*(分析データ!G1172-INDEX(分析データ!G:G,ROW()+$C$5)),""),"")</f>
        <v/>
      </c>
      <c r="CA1172">
        <f t="shared" ca="1" si="525"/>
        <v>-3515452.8662109179</v>
      </c>
      <c r="CB1172">
        <f t="shared" ca="1" si="526"/>
        <v>11327520.000000004</v>
      </c>
      <c r="CC1172">
        <f t="shared" ca="1" si="527"/>
        <v>-14842972.866210923</v>
      </c>
      <c r="CD1172">
        <f t="shared" ca="1" si="528"/>
        <v>0</v>
      </c>
      <c r="CE1172">
        <f t="shared" ca="1" si="529"/>
        <v>23090347.13378913</v>
      </c>
      <c r="CF1172">
        <f t="shared" ca="1" si="530"/>
        <v>23090347.13378913</v>
      </c>
      <c r="CG1172">
        <f t="shared" ca="1" si="531"/>
        <v>0</v>
      </c>
      <c r="CH1172" s="10" t="str">
        <f>分析データ!A1172</f>
        <v/>
      </c>
    </row>
    <row r="1173" spans="46:86">
      <c r="AT1173">
        <f ca="1">IF(ROW()&lt;($C$7+1),"",IFERROR((分析データ!B1173-AVERAGE(OFFSET(分析データ!B$1,MAX(1,ROW()-$C$7),0,MIN($C$7,ROW()-1),1)))/STDEV(OFFSET(分析データ!B$1,MAX(1,ROW()-$C$7),0,MIN($C$7,ROW()-1),1)),0))</f>
        <v>0</v>
      </c>
      <c r="AU1173">
        <f t="shared" ca="1" si="504"/>
        <v>0</v>
      </c>
      <c r="AV1173" t="str">
        <f ca="1">IF(AU1173=1,IF(INDEX(分析データ!$A:$A,ROW()+$C$5)&lt;&gt;"",80000*SIGN(AT1173)*(分析データ!B1173-INDEX(分析データ!B:B,ROW()+$C$5)),""),"")</f>
        <v/>
      </c>
      <c r="AW1173">
        <f t="shared" ca="1" si="505"/>
        <v>-1240000.0000000019</v>
      </c>
      <c r="AX1173">
        <f t="shared" ca="1" si="506"/>
        <v>0</v>
      </c>
      <c r="AY1173">
        <f t="shared" ca="1" si="507"/>
        <v>-1240000.0000000019</v>
      </c>
      <c r="AZ1173">
        <f ca="1">IF(ROW()&lt;($C$7+1),"",IFERROR((分析データ!C1173-AVERAGE(OFFSET(分析データ!C$1,MAX(1,ROW()-$C$7),0,MIN($C$7,ROW()-1),1)))/STDEV(OFFSET(分析データ!C$1,MAX(1,ROW()-$C$7),0,MIN($C$7,ROW()-1),1)),0))</f>
        <v>0</v>
      </c>
      <c r="BA1173">
        <f t="shared" ca="1" si="508"/>
        <v>0</v>
      </c>
      <c r="BB1173" t="str">
        <f ca="1">IF(BA1173=1,IF(INDEX(分析データ!$A:$A,ROW()+$C$5)&lt;&gt;"",60000*SIGN(AZ1173)*(分析データ!C1173-INDEX(分析データ!C:C,ROW()+$C$5)),""),"")</f>
        <v/>
      </c>
      <c r="BC1173">
        <f t="shared" ca="1" si="509"/>
        <v>-260999.9999999851</v>
      </c>
      <c r="BD1173">
        <f t="shared" ca="1" si="510"/>
        <v>3156000.0000000107</v>
      </c>
      <c r="BE1173">
        <f t="shared" ca="1" si="511"/>
        <v>-3416999.9999999958</v>
      </c>
      <c r="BF1173">
        <f ca="1">IF(ROW()&lt;($C$7+1),"",IFERROR((分析データ!D1173-AVERAGE(OFFSET(分析データ!D$1,MAX(1,ROW()-$C$7),0,MIN($C$7,ROW()-1),1)))/STDEV(OFFSET(分析データ!D$1,MAX(1,ROW()-$C$7),0,MIN($C$7,ROW()-1),1)),0))</f>
        <v>0</v>
      </c>
      <c r="BG1173">
        <f t="shared" ca="1" si="512"/>
        <v>0</v>
      </c>
      <c r="BH1173" t="str">
        <f ca="1">IF(BG1173=1,IF(INDEX(分析データ!$A:$A,ROW()+$C$5)&lt;&gt;"",50000*SIGN(BF1173)*(分析データ!D1173-INDEX(分析データ!D:D,ROW()+$C$5)),""),"")</f>
        <v/>
      </c>
      <c r="BI1173">
        <f t="shared" ca="1" si="513"/>
        <v>5570000.0000000205</v>
      </c>
      <c r="BJ1173">
        <f t="shared" ca="1" si="514"/>
        <v>5570000.0000000205</v>
      </c>
      <c r="BK1173">
        <f t="shared" ca="1" si="515"/>
        <v>0</v>
      </c>
      <c r="BL1173">
        <f ca="1">IF(ROW()&lt;($C$7+1),"",IFERROR((分析データ!E1173-AVERAGE(OFFSET(分析データ!E$1,MAX(1,ROW()-$C$7),0,MIN($C$7,ROW()-1),1)))/STDEV(OFFSET(分析データ!E$1,MAX(1,ROW()-$C$7),0,MIN($C$7,ROW()-1),1)),0))</f>
        <v>0</v>
      </c>
      <c r="BM1173">
        <f t="shared" ca="1" si="516"/>
        <v>0</v>
      </c>
      <c r="BN1173" t="str">
        <f ca="1">IF(BM1173=1,IF(INDEX(分析データ!$A:$A,ROW()+$C$5)&lt;&gt;"",40000*SIGN(BL1173)*(分析データ!E1173-INDEX(分析データ!E:E,ROW()+$C$5)),""),"")</f>
        <v/>
      </c>
      <c r="BO1173">
        <f t="shared" ca="1" si="517"/>
        <v>2720000.0000000014</v>
      </c>
      <c r="BP1173">
        <f t="shared" ca="1" si="518"/>
        <v>4280000.0000000028</v>
      </c>
      <c r="BQ1173">
        <f t="shared" ca="1" si="519"/>
        <v>-1560000.0000000014</v>
      </c>
      <c r="BR1173">
        <f ca="1">IF(ROW()&lt;($C$7+1),"",IFERROR((分析データ!F1173-AVERAGE(OFFSET(分析データ!F$1,MAX(1,ROW()-$C$7),0,MIN($C$7,ROW()-1),1)))/STDEV(OFFSET(分析データ!F$1,MAX(1,ROW()-$C$7),0,MIN($C$7,ROW()-1),1)),0))</f>
        <v>0</v>
      </c>
      <c r="BS1173">
        <f t="shared" ca="1" si="520"/>
        <v>0</v>
      </c>
      <c r="BT1173" t="str">
        <f ca="1">IF(BS1173=1,IF(INDEX(分析データ!$A:$A,ROW()+$C$5)&lt;&gt;"",40000*SIGN(BR1173)*(分析データ!F1173-INDEX(分析データ!F:F,ROW()+$C$5)),""),"")</f>
        <v/>
      </c>
      <c r="BU1173">
        <f t="shared" ca="1" si="521"/>
        <v>19816800</v>
      </c>
      <c r="BV1173">
        <f t="shared" ca="1" si="522"/>
        <v>19816800</v>
      </c>
      <c r="BW1173">
        <f t="shared" ca="1" si="523"/>
        <v>0</v>
      </c>
      <c r="BX1173">
        <f ca="1">IF(ROW()&lt;($C$7+1),"",IFERROR((分析データ!G1173-AVERAGE(OFFSET(分析データ!G$1,MAX(1,ROW()-$C$7),0,MIN($C$7,ROW()-1),1)))/STDEV(OFFSET(分析データ!G$1,MAX(1,ROW()-$C$7),0,MIN($C$7,ROW()-1),1)),0))</f>
        <v>0</v>
      </c>
      <c r="BY1173">
        <f t="shared" ca="1" si="524"/>
        <v>0</v>
      </c>
      <c r="BZ1173" t="str">
        <f ca="1">IF(BY1173=1,IF(INDEX(分析データ!$A:$A,ROW()+$C$5)&lt;&gt;"",40000*SIGN(BX1173)*(分析データ!G1173-INDEX(分析データ!G:G,ROW()+$C$5)),""),"")</f>
        <v/>
      </c>
      <c r="CA1173">
        <f t="shared" ca="1" si="525"/>
        <v>-3515452.8662109179</v>
      </c>
      <c r="CB1173">
        <f t="shared" ca="1" si="526"/>
        <v>11327520.000000004</v>
      </c>
      <c r="CC1173">
        <f t="shared" ca="1" si="527"/>
        <v>-14842972.866210923</v>
      </c>
      <c r="CD1173">
        <f t="shared" ca="1" si="528"/>
        <v>0</v>
      </c>
      <c r="CE1173">
        <f t="shared" ca="1" si="529"/>
        <v>23090347.13378913</v>
      </c>
      <c r="CF1173">
        <f t="shared" ca="1" si="530"/>
        <v>23090347.13378913</v>
      </c>
      <c r="CG1173">
        <f t="shared" ca="1" si="531"/>
        <v>0</v>
      </c>
      <c r="CH1173" s="10" t="str">
        <f>分析データ!A1173</f>
        <v/>
      </c>
    </row>
    <row r="1174" spans="46:86">
      <c r="AT1174">
        <f ca="1">IF(ROW()&lt;($C$7+1),"",IFERROR((分析データ!B1174-AVERAGE(OFFSET(分析データ!B$1,MAX(1,ROW()-$C$7),0,MIN($C$7,ROW()-1),1)))/STDEV(OFFSET(分析データ!B$1,MAX(1,ROW()-$C$7),0,MIN($C$7,ROW()-1),1)),0))</f>
        <v>0</v>
      </c>
      <c r="AU1174">
        <f t="shared" ca="1" si="504"/>
        <v>0</v>
      </c>
      <c r="AV1174" t="str">
        <f ca="1">IF(AU1174=1,IF(INDEX(分析データ!$A:$A,ROW()+$C$5)&lt;&gt;"",80000*SIGN(AT1174)*(分析データ!B1174-INDEX(分析データ!B:B,ROW()+$C$5)),""),"")</f>
        <v/>
      </c>
      <c r="AW1174">
        <f t="shared" ca="1" si="505"/>
        <v>-1240000.0000000019</v>
      </c>
      <c r="AX1174">
        <f t="shared" ca="1" si="506"/>
        <v>0</v>
      </c>
      <c r="AY1174">
        <f t="shared" ca="1" si="507"/>
        <v>-1240000.0000000019</v>
      </c>
      <c r="AZ1174">
        <f ca="1">IF(ROW()&lt;($C$7+1),"",IFERROR((分析データ!C1174-AVERAGE(OFFSET(分析データ!C$1,MAX(1,ROW()-$C$7),0,MIN($C$7,ROW()-1),1)))/STDEV(OFFSET(分析データ!C$1,MAX(1,ROW()-$C$7),0,MIN($C$7,ROW()-1),1)),0))</f>
        <v>0</v>
      </c>
      <c r="BA1174">
        <f t="shared" ca="1" si="508"/>
        <v>0</v>
      </c>
      <c r="BB1174" t="str">
        <f ca="1">IF(BA1174=1,IF(INDEX(分析データ!$A:$A,ROW()+$C$5)&lt;&gt;"",60000*SIGN(AZ1174)*(分析データ!C1174-INDEX(分析データ!C:C,ROW()+$C$5)),""),"")</f>
        <v/>
      </c>
      <c r="BC1174">
        <f t="shared" ca="1" si="509"/>
        <v>-260999.9999999851</v>
      </c>
      <c r="BD1174">
        <f t="shared" ca="1" si="510"/>
        <v>3156000.0000000107</v>
      </c>
      <c r="BE1174">
        <f t="shared" ca="1" si="511"/>
        <v>-3416999.9999999958</v>
      </c>
      <c r="BF1174">
        <f ca="1">IF(ROW()&lt;($C$7+1),"",IFERROR((分析データ!D1174-AVERAGE(OFFSET(分析データ!D$1,MAX(1,ROW()-$C$7),0,MIN($C$7,ROW()-1),1)))/STDEV(OFFSET(分析データ!D$1,MAX(1,ROW()-$C$7),0,MIN($C$7,ROW()-1),1)),0))</f>
        <v>0</v>
      </c>
      <c r="BG1174">
        <f t="shared" ca="1" si="512"/>
        <v>0</v>
      </c>
      <c r="BH1174" t="str">
        <f ca="1">IF(BG1174=1,IF(INDEX(分析データ!$A:$A,ROW()+$C$5)&lt;&gt;"",50000*SIGN(BF1174)*(分析データ!D1174-INDEX(分析データ!D:D,ROW()+$C$5)),""),"")</f>
        <v/>
      </c>
      <c r="BI1174">
        <f t="shared" ca="1" si="513"/>
        <v>5570000.0000000205</v>
      </c>
      <c r="BJ1174">
        <f t="shared" ca="1" si="514"/>
        <v>5570000.0000000205</v>
      </c>
      <c r="BK1174">
        <f t="shared" ca="1" si="515"/>
        <v>0</v>
      </c>
      <c r="BL1174">
        <f ca="1">IF(ROW()&lt;($C$7+1),"",IFERROR((分析データ!E1174-AVERAGE(OFFSET(分析データ!E$1,MAX(1,ROW()-$C$7),0,MIN($C$7,ROW()-1),1)))/STDEV(OFFSET(分析データ!E$1,MAX(1,ROW()-$C$7),0,MIN($C$7,ROW()-1),1)),0))</f>
        <v>0</v>
      </c>
      <c r="BM1174">
        <f t="shared" ca="1" si="516"/>
        <v>0</v>
      </c>
      <c r="BN1174" t="str">
        <f ca="1">IF(BM1174=1,IF(INDEX(分析データ!$A:$A,ROW()+$C$5)&lt;&gt;"",40000*SIGN(BL1174)*(分析データ!E1174-INDEX(分析データ!E:E,ROW()+$C$5)),""),"")</f>
        <v/>
      </c>
      <c r="BO1174">
        <f t="shared" ca="1" si="517"/>
        <v>2720000.0000000014</v>
      </c>
      <c r="BP1174">
        <f t="shared" ca="1" si="518"/>
        <v>4280000.0000000028</v>
      </c>
      <c r="BQ1174">
        <f t="shared" ca="1" si="519"/>
        <v>-1560000.0000000014</v>
      </c>
      <c r="BR1174">
        <f ca="1">IF(ROW()&lt;($C$7+1),"",IFERROR((分析データ!F1174-AVERAGE(OFFSET(分析データ!F$1,MAX(1,ROW()-$C$7),0,MIN($C$7,ROW()-1),1)))/STDEV(OFFSET(分析データ!F$1,MAX(1,ROW()-$C$7),0,MIN($C$7,ROW()-1),1)),0))</f>
        <v>0</v>
      </c>
      <c r="BS1174">
        <f t="shared" ca="1" si="520"/>
        <v>0</v>
      </c>
      <c r="BT1174" t="str">
        <f ca="1">IF(BS1174=1,IF(INDEX(分析データ!$A:$A,ROW()+$C$5)&lt;&gt;"",40000*SIGN(BR1174)*(分析データ!F1174-INDEX(分析データ!F:F,ROW()+$C$5)),""),"")</f>
        <v/>
      </c>
      <c r="BU1174">
        <f t="shared" ca="1" si="521"/>
        <v>19816800</v>
      </c>
      <c r="BV1174">
        <f t="shared" ca="1" si="522"/>
        <v>19816800</v>
      </c>
      <c r="BW1174">
        <f t="shared" ca="1" si="523"/>
        <v>0</v>
      </c>
      <c r="BX1174">
        <f ca="1">IF(ROW()&lt;($C$7+1),"",IFERROR((分析データ!G1174-AVERAGE(OFFSET(分析データ!G$1,MAX(1,ROW()-$C$7),0,MIN($C$7,ROW()-1),1)))/STDEV(OFFSET(分析データ!G$1,MAX(1,ROW()-$C$7),0,MIN($C$7,ROW()-1),1)),0))</f>
        <v>0</v>
      </c>
      <c r="BY1174">
        <f t="shared" ca="1" si="524"/>
        <v>0</v>
      </c>
      <c r="BZ1174" t="str">
        <f ca="1">IF(BY1174=1,IF(INDEX(分析データ!$A:$A,ROW()+$C$5)&lt;&gt;"",40000*SIGN(BX1174)*(分析データ!G1174-INDEX(分析データ!G:G,ROW()+$C$5)),""),"")</f>
        <v/>
      </c>
      <c r="CA1174">
        <f t="shared" ca="1" si="525"/>
        <v>-3515452.8662109179</v>
      </c>
      <c r="CB1174">
        <f t="shared" ca="1" si="526"/>
        <v>11327520.000000004</v>
      </c>
      <c r="CC1174">
        <f t="shared" ca="1" si="527"/>
        <v>-14842972.866210923</v>
      </c>
      <c r="CD1174">
        <f t="shared" ca="1" si="528"/>
        <v>0</v>
      </c>
      <c r="CE1174">
        <f t="shared" ca="1" si="529"/>
        <v>23090347.13378913</v>
      </c>
      <c r="CF1174">
        <f t="shared" ca="1" si="530"/>
        <v>23090347.13378913</v>
      </c>
      <c r="CG1174">
        <f t="shared" ca="1" si="531"/>
        <v>0</v>
      </c>
      <c r="CH1174" s="10" t="str">
        <f>分析データ!A1174</f>
        <v/>
      </c>
    </row>
    <row r="1175" spans="46:86">
      <c r="AT1175">
        <f ca="1">IF(ROW()&lt;($C$7+1),"",IFERROR((分析データ!B1175-AVERAGE(OFFSET(分析データ!B$1,MAX(1,ROW()-$C$7),0,MIN($C$7,ROW()-1),1)))/STDEV(OFFSET(分析データ!B$1,MAX(1,ROW()-$C$7),0,MIN($C$7,ROW()-1),1)),0))</f>
        <v>0</v>
      </c>
      <c r="AU1175">
        <f t="shared" ca="1" si="504"/>
        <v>0</v>
      </c>
      <c r="AV1175" t="str">
        <f ca="1">IF(AU1175=1,IF(INDEX(分析データ!$A:$A,ROW()+$C$5)&lt;&gt;"",80000*SIGN(AT1175)*(分析データ!B1175-INDEX(分析データ!B:B,ROW()+$C$5)),""),"")</f>
        <v/>
      </c>
      <c r="AW1175">
        <f t="shared" ca="1" si="505"/>
        <v>-1240000.0000000019</v>
      </c>
      <c r="AX1175">
        <f t="shared" ca="1" si="506"/>
        <v>0</v>
      </c>
      <c r="AY1175">
        <f t="shared" ca="1" si="507"/>
        <v>-1240000.0000000019</v>
      </c>
      <c r="AZ1175">
        <f ca="1">IF(ROW()&lt;($C$7+1),"",IFERROR((分析データ!C1175-AVERAGE(OFFSET(分析データ!C$1,MAX(1,ROW()-$C$7),0,MIN($C$7,ROW()-1),1)))/STDEV(OFFSET(分析データ!C$1,MAX(1,ROW()-$C$7),0,MIN($C$7,ROW()-1),1)),0))</f>
        <v>0</v>
      </c>
      <c r="BA1175">
        <f t="shared" ca="1" si="508"/>
        <v>0</v>
      </c>
      <c r="BB1175" t="str">
        <f ca="1">IF(BA1175=1,IF(INDEX(分析データ!$A:$A,ROW()+$C$5)&lt;&gt;"",60000*SIGN(AZ1175)*(分析データ!C1175-INDEX(分析データ!C:C,ROW()+$C$5)),""),"")</f>
        <v/>
      </c>
      <c r="BC1175">
        <f t="shared" ca="1" si="509"/>
        <v>-260999.9999999851</v>
      </c>
      <c r="BD1175">
        <f t="shared" ca="1" si="510"/>
        <v>3156000.0000000107</v>
      </c>
      <c r="BE1175">
        <f t="shared" ca="1" si="511"/>
        <v>-3416999.9999999958</v>
      </c>
      <c r="BF1175">
        <f ca="1">IF(ROW()&lt;($C$7+1),"",IFERROR((分析データ!D1175-AVERAGE(OFFSET(分析データ!D$1,MAX(1,ROW()-$C$7),0,MIN($C$7,ROW()-1),1)))/STDEV(OFFSET(分析データ!D$1,MAX(1,ROW()-$C$7),0,MIN($C$7,ROW()-1),1)),0))</f>
        <v>0</v>
      </c>
      <c r="BG1175">
        <f t="shared" ca="1" si="512"/>
        <v>0</v>
      </c>
      <c r="BH1175" t="str">
        <f ca="1">IF(BG1175=1,IF(INDEX(分析データ!$A:$A,ROW()+$C$5)&lt;&gt;"",50000*SIGN(BF1175)*(分析データ!D1175-INDEX(分析データ!D:D,ROW()+$C$5)),""),"")</f>
        <v/>
      </c>
      <c r="BI1175">
        <f t="shared" ca="1" si="513"/>
        <v>5570000.0000000205</v>
      </c>
      <c r="BJ1175">
        <f t="shared" ca="1" si="514"/>
        <v>5570000.0000000205</v>
      </c>
      <c r="BK1175">
        <f t="shared" ca="1" si="515"/>
        <v>0</v>
      </c>
      <c r="BL1175">
        <f ca="1">IF(ROW()&lt;($C$7+1),"",IFERROR((分析データ!E1175-AVERAGE(OFFSET(分析データ!E$1,MAX(1,ROW()-$C$7),0,MIN($C$7,ROW()-1),1)))/STDEV(OFFSET(分析データ!E$1,MAX(1,ROW()-$C$7),0,MIN($C$7,ROW()-1),1)),0))</f>
        <v>0</v>
      </c>
      <c r="BM1175">
        <f t="shared" ca="1" si="516"/>
        <v>0</v>
      </c>
      <c r="BN1175" t="str">
        <f ca="1">IF(BM1175=1,IF(INDEX(分析データ!$A:$A,ROW()+$C$5)&lt;&gt;"",40000*SIGN(BL1175)*(分析データ!E1175-INDEX(分析データ!E:E,ROW()+$C$5)),""),"")</f>
        <v/>
      </c>
      <c r="BO1175">
        <f t="shared" ca="1" si="517"/>
        <v>2720000.0000000014</v>
      </c>
      <c r="BP1175">
        <f t="shared" ca="1" si="518"/>
        <v>4280000.0000000028</v>
      </c>
      <c r="BQ1175">
        <f t="shared" ca="1" si="519"/>
        <v>-1560000.0000000014</v>
      </c>
      <c r="BR1175">
        <f ca="1">IF(ROW()&lt;($C$7+1),"",IFERROR((分析データ!F1175-AVERAGE(OFFSET(分析データ!F$1,MAX(1,ROW()-$C$7),0,MIN($C$7,ROW()-1),1)))/STDEV(OFFSET(分析データ!F$1,MAX(1,ROW()-$C$7),0,MIN($C$7,ROW()-1),1)),0))</f>
        <v>0</v>
      </c>
      <c r="BS1175">
        <f t="shared" ca="1" si="520"/>
        <v>0</v>
      </c>
      <c r="BT1175" t="str">
        <f ca="1">IF(BS1175=1,IF(INDEX(分析データ!$A:$A,ROW()+$C$5)&lt;&gt;"",40000*SIGN(BR1175)*(分析データ!F1175-INDEX(分析データ!F:F,ROW()+$C$5)),""),"")</f>
        <v/>
      </c>
      <c r="BU1175">
        <f t="shared" ca="1" si="521"/>
        <v>19816800</v>
      </c>
      <c r="BV1175">
        <f t="shared" ca="1" si="522"/>
        <v>19816800</v>
      </c>
      <c r="BW1175">
        <f t="shared" ca="1" si="523"/>
        <v>0</v>
      </c>
      <c r="BX1175">
        <f ca="1">IF(ROW()&lt;($C$7+1),"",IFERROR((分析データ!G1175-AVERAGE(OFFSET(分析データ!G$1,MAX(1,ROW()-$C$7),0,MIN($C$7,ROW()-1),1)))/STDEV(OFFSET(分析データ!G$1,MAX(1,ROW()-$C$7),0,MIN($C$7,ROW()-1),1)),0))</f>
        <v>0</v>
      </c>
      <c r="BY1175">
        <f t="shared" ca="1" si="524"/>
        <v>0</v>
      </c>
      <c r="BZ1175" t="str">
        <f ca="1">IF(BY1175=1,IF(INDEX(分析データ!$A:$A,ROW()+$C$5)&lt;&gt;"",40000*SIGN(BX1175)*(分析データ!G1175-INDEX(分析データ!G:G,ROW()+$C$5)),""),"")</f>
        <v/>
      </c>
      <c r="CA1175">
        <f t="shared" ca="1" si="525"/>
        <v>-3515452.8662109179</v>
      </c>
      <c r="CB1175">
        <f t="shared" ca="1" si="526"/>
        <v>11327520.000000004</v>
      </c>
      <c r="CC1175">
        <f t="shared" ca="1" si="527"/>
        <v>-14842972.866210923</v>
      </c>
      <c r="CD1175">
        <f t="shared" ca="1" si="528"/>
        <v>0</v>
      </c>
      <c r="CE1175">
        <f t="shared" ca="1" si="529"/>
        <v>23090347.13378913</v>
      </c>
      <c r="CF1175">
        <f t="shared" ca="1" si="530"/>
        <v>23090347.13378913</v>
      </c>
      <c r="CG1175">
        <f t="shared" ca="1" si="531"/>
        <v>0</v>
      </c>
      <c r="CH1175" s="10" t="str">
        <f>分析データ!A1175</f>
        <v/>
      </c>
    </row>
    <row r="1176" spans="46:86">
      <c r="AT1176">
        <f ca="1">IF(ROW()&lt;($C$7+1),"",IFERROR((分析データ!B1176-AVERAGE(OFFSET(分析データ!B$1,MAX(1,ROW()-$C$7),0,MIN($C$7,ROW()-1),1)))/STDEV(OFFSET(分析データ!B$1,MAX(1,ROW()-$C$7),0,MIN($C$7,ROW()-1),1)),0))</f>
        <v>0</v>
      </c>
      <c r="AU1176">
        <f t="shared" ca="1" si="504"/>
        <v>0</v>
      </c>
      <c r="AV1176" t="str">
        <f ca="1">IF(AU1176=1,IF(INDEX(分析データ!$A:$A,ROW()+$C$5)&lt;&gt;"",80000*SIGN(AT1176)*(分析データ!B1176-INDEX(分析データ!B:B,ROW()+$C$5)),""),"")</f>
        <v/>
      </c>
      <c r="AW1176">
        <f t="shared" ca="1" si="505"/>
        <v>-1240000.0000000019</v>
      </c>
      <c r="AX1176">
        <f t="shared" ca="1" si="506"/>
        <v>0</v>
      </c>
      <c r="AY1176">
        <f t="shared" ca="1" si="507"/>
        <v>-1240000.0000000019</v>
      </c>
      <c r="AZ1176">
        <f ca="1">IF(ROW()&lt;($C$7+1),"",IFERROR((分析データ!C1176-AVERAGE(OFFSET(分析データ!C$1,MAX(1,ROW()-$C$7),0,MIN($C$7,ROW()-1),1)))/STDEV(OFFSET(分析データ!C$1,MAX(1,ROW()-$C$7),0,MIN($C$7,ROW()-1),1)),0))</f>
        <v>0</v>
      </c>
      <c r="BA1176">
        <f t="shared" ca="1" si="508"/>
        <v>0</v>
      </c>
      <c r="BB1176" t="str">
        <f ca="1">IF(BA1176=1,IF(INDEX(分析データ!$A:$A,ROW()+$C$5)&lt;&gt;"",60000*SIGN(AZ1176)*(分析データ!C1176-INDEX(分析データ!C:C,ROW()+$C$5)),""),"")</f>
        <v/>
      </c>
      <c r="BC1176">
        <f t="shared" ca="1" si="509"/>
        <v>-260999.9999999851</v>
      </c>
      <c r="BD1176">
        <f t="shared" ca="1" si="510"/>
        <v>3156000.0000000107</v>
      </c>
      <c r="BE1176">
        <f t="shared" ca="1" si="511"/>
        <v>-3416999.9999999958</v>
      </c>
      <c r="BF1176">
        <f ca="1">IF(ROW()&lt;($C$7+1),"",IFERROR((分析データ!D1176-AVERAGE(OFFSET(分析データ!D$1,MAX(1,ROW()-$C$7),0,MIN($C$7,ROW()-1),1)))/STDEV(OFFSET(分析データ!D$1,MAX(1,ROW()-$C$7),0,MIN($C$7,ROW()-1),1)),0))</f>
        <v>0</v>
      </c>
      <c r="BG1176">
        <f t="shared" ca="1" si="512"/>
        <v>0</v>
      </c>
      <c r="BH1176" t="str">
        <f ca="1">IF(BG1176=1,IF(INDEX(分析データ!$A:$A,ROW()+$C$5)&lt;&gt;"",50000*SIGN(BF1176)*(分析データ!D1176-INDEX(分析データ!D:D,ROW()+$C$5)),""),"")</f>
        <v/>
      </c>
      <c r="BI1176">
        <f t="shared" ca="1" si="513"/>
        <v>5570000.0000000205</v>
      </c>
      <c r="BJ1176">
        <f t="shared" ca="1" si="514"/>
        <v>5570000.0000000205</v>
      </c>
      <c r="BK1176">
        <f t="shared" ca="1" si="515"/>
        <v>0</v>
      </c>
      <c r="BL1176">
        <f ca="1">IF(ROW()&lt;($C$7+1),"",IFERROR((分析データ!E1176-AVERAGE(OFFSET(分析データ!E$1,MAX(1,ROW()-$C$7),0,MIN($C$7,ROW()-1),1)))/STDEV(OFFSET(分析データ!E$1,MAX(1,ROW()-$C$7),0,MIN($C$7,ROW()-1),1)),0))</f>
        <v>0</v>
      </c>
      <c r="BM1176">
        <f t="shared" ca="1" si="516"/>
        <v>0</v>
      </c>
      <c r="BN1176" t="str">
        <f ca="1">IF(BM1176=1,IF(INDEX(分析データ!$A:$A,ROW()+$C$5)&lt;&gt;"",40000*SIGN(BL1176)*(分析データ!E1176-INDEX(分析データ!E:E,ROW()+$C$5)),""),"")</f>
        <v/>
      </c>
      <c r="BO1176">
        <f t="shared" ca="1" si="517"/>
        <v>2720000.0000000014</v>
      </c>
      <c r="BP1176">
        <f t="shared" ca="1" si="518"/>
        <v>4280000.0000000028</v>
      </c>
      <c r="BQ1176">
        <f t="shared" ca="1" si="519"/>
        <v>-1560000.0000000014</v>
      </c>
      <c r="BR1176">
        <f ca="1">IF(ROW()&lt;($C$7+1),"",IFERROR((分析データ!F1176-AVERAGE(OFFSET(分析データ!F$1,MAX(1,ROW()-$C$7),0,MIN($C$7,ROW()-1),1)))/STDEV(OFFSET(分析データ!F$1,MAX(1,ROW()-$C$7),0,MIN($C$7,ROW()-1),1)),0))</f>
        <v>0</v>
      </c>
      <c r="BS1176">
        <f t="shared" ca="1" si="520"/>
        <v>0</v>
      </c>
      <c r="BT1176" t="str">
        <f ca="1">IF(BS1176=1,IF(INDEX(分析データ!$A:$A,ROW()+$C$5)&lt;&gt;"",40000*SIGN(BR1176)*(分析データ!F1176-INDEX(分析データ!F:F,ROW()+$C$5)),""),"")</f>
        <v/>
      </c>
      <c r="BU1176">
        <f t="shared" ca="1" si="521"/>
        <v>19816800</v>
      </c>
      <c r="BV1176">
        <f t="shared" ca="1" si="522"/>
        <v>19816800</v>
      </c>
      <c r="BW1176">
        <f t="shared" ca="1" si="523"/>
        <v>0</v>
      </c>
      <c r="BX1176">
        <f ca="1">IF(ROW()&lt;($C$7+1),"",IFERROR((分析データ!G1176-AVERAGE(OFFSET(分析データ!G$1,MAX(1,ROW()-$C$7),0,MIN($C$7,ROW()-1),1)))/STDEV(OFFSET(分析データ!G$1,MAX(1,ROW()-$C$7),0,MIN($C$7,ROW()-1),1)),0))</f>
        <v>0</v>
      </c>
      <c r="BY1176">
        <f t="shared" ca="1" si="524"/>
        <v>0</v>
      </c>
      <c r="BZ1176" t="str">
        <f ca="1">IF(BY1176=1,IF(INDEX(分析データ!$A:$A,ROW()+$C$5)&lt;&gt;"",40000*SIGN(BX1176)*(分析データ!G1176-INDEX(分析データ!G:G,ROW()+$C$5)),""),"")</f>
        <v/>
      </c>
      <c r="CA1176">
        <f t="shared" ca="1" si="525"/>
        <v>-3515452.8662109179</v>
      </c>
      <c r="CB1176">
        <f t="shared" ca="1" si="526"/>
        <v>11327520.000000004</v>
      </c>
      <c r="CC1176">
        <f t="shared" ca="1" si="527"/>
        <v>-14842972.866210923</v>
      </c>
      <c r="CD1176">
        <f t="shared" ca="1" si="528"/>
        <v>0</v>
      </c>
      <c r="CE1176">
        <f t="shared" ca="1" si="529"/>
        <v>23090347.13378913</v>
      </c>
      <c r="CF1176">
        <f t="shared" ca="1" si="530"/>
        <v>23090347.13378913</v>
      </c>
      <c r="CG1176">
        <f t="shared" ca="1" si="531"/>
        <v>0</v>
      </c>
      <c r="CH1176" s="10" t="str">
        <f>分析データ!A1176</f>
        <v/>
      </c>
    </row>
    <row r="1177" spans="46:86">
      <c r="AT1177">
        <f ca="1">IF(ROW()&lt;($C$7+1),"",IFERROR((分析データ!B1177-AVERAGE(OFFSET(分析データ!B$1,MAX(1,ROW()-$C$7),0,MIN($C$7,ROW()-1),1)))/STDEV(OFFSET(分析データ!B$1,MAX(1,ROW()-$C$7),0,MIN($C$7,ROW()-1),1)),0))</f>
        <v>0</v>
      </c>
      <c r="AU1177">
        <f t="shared" ca="1" si="504"/>
        <v>0</v>
      </c>
      <c r="AV1177" t="str">
        <f ca="1">IF(AU1177=1,IF(INDEX(分析データ!$A:$A,ROW()+$C$5)&lt;&gt;"",80000*SIGN(AT1177)*(分析データ!B1177-INDEX(分析データ!B:B,ROW()+$C$5)),""),"")</f>
        <v/>
      </c>
      <c r="AW1177">
        <f t="shared" ca="1" si="505"/>
        <v>-1240000.0000000019</v>
      </c>
      <c r="AX1177">
        <f t="shared" ca="1" si="506"/>
        <v>0</v>
      </c>
      <c r="AY1177">
        <f t="shared" ca="1" si="507"/>
        <v>-1240000.0000000019</v>
      </c>
      <c r="AZ1177">
        <f ca="1">IF(ROW()&lt;($C$7+1),"",IFERROR((分析データ!C1177-AVERAGE(OFFSET(分析データ!C$1,MAX(1,ROW()-$C$7),0,MIN($C$7,ROW()-1),1)))/STDEV(OFFSET(分析データ!C$1,MAX(1,ROW()-$C$7),0,MIN($C$7,ROW()-1),1)),0))</f>
        <v>0</v>
      </c>
      <c r="BA1177">
        <f t="shared" ca="1" si="508"/>
        <v>0</v>
      </c>
      <c r="BB1177" t="str">
        <f ca="1">IF(BA1177=1,IF(INDEX(分析データ!$A:$A,ROW()+$C$5)&lt;&gt;"",60000*SIGN(AZ1177)*(分析データ!C1177-INDEX(分析データ!C:C,ROW()+$C$5)),""),"")</f>
        <v/>
      </c>
      <c r="BC1177">
        <f t="shared" ca="1" si="509"/>
        <v>-260999.9999999851</v>
      </c>
      <c r="BD1177">
        <f t="shared" ca="1" si="510"/>
        <v>3156000.0000000107</v>
      </c>
      <c r="BE1177">
        <f t="shared" ca="1" si="511"/>
        <v>-3416999.9999999958</v>
      </c>
      <c r="BF1177">
        <f ca="1">IF(ROW()&lt;($C$7+1),"",IFERROR((分析データ!D1177-AVERAGE(OFFSET(分析データ!D$1,MAX(1,ROW()-$C$7),0,MIN($C$7,ROW()-1),1)))/STDEV(OFFSET(分析データ!D$1,MAX(1,ROW()-$C$7),0,MIN($C$7,ROW()-1),1)),0))</f>
        <v>0</v>
      </c>
      <c r="BG1177">
        <f t="shared" ca="1" si="512"/>
        <v>0</v>
      </c>
      <c r="BH1177" t="str">
        <f ca="1">IF(BG1177=1,IF(INDEX(分析データ!$A:$A,ROW()+$C$5)&lt;&gt;"",50000*SIGN(BF1177)*(分析データ!D1177-INDEX(分析データ!D:D,ROW()+$C$5)),""),"")</f>
        <v/>
      </c>
      <c r="BI1177">
        <f t="shared" ca="1" si="513"/>
        <v>5570000.0000000205</v>
      </c>
      <c r="BJ1177">
        <f t="shared" ca="1" si="514"/>
        <v>5570000.0000000205</v>
      </c>
      <c r="BK1177">
        <f t="shared" ca="1" si="515"/>
        <v>0</v>
      </c>
      <c r="BL1177">
        <f ca="1">IF(ROW()&lt;($C$7+1),"",IFERROR((分析データ!E1177-AVERAGE(OFFSET(分析データ!E$1,MAX(1,ROW()-$C$7),0,MIN($C$7,ROW()-1),1)))/STDEV(OFFSET(分析データ!E$1,MAX(1,ROW()-$C$7),0,MIN($C$7,ROW()-1),1)),0))</f>
        <v>0</v>
      </c>
      <c r="BM1177">
        <f t="shared" ca="1" si="516"/>
        <v>0</v>
      </c>
      <c r="BN1177" t="str">
        <f ca="1">IF(BM1177=1,IF(INDEX(分析データ!$A:$A,ROW()+$C$5)&lt;&gt;"",40000*SIGN(BL1177)*(分析データ!E1177-INDEX(分析データ!E:E,ROW()+$C$5)),""),"")</f>
        <v/>
      </c>
      <c r="BO1177">
        <f t="shared" ca="1" si="517"/>
        <v>2720000.0000000014</v>
      </c>
      <c r="BP1177">
        <f t="shared" ca="1" si="518"/>
        <v>4280000.0000000028</v>
      </c>
      <c r="BQ1177">
        <f t="shared" ca="1" si="519"/>
        <v>-1560000.0000000014</v>
      </c>
      <c r="BR1177">
        <f ca="1">IF(ROW()&lt;($C$7+1),"",IFERROR((分析データ!F1177-AVERAGE(OFFSET(分析データ!F$1,MAX(1,ROW()-$C$7),0,MIN($C$7,ROW()-1),1)))/STDEV(OFFSET(分析データ!F$1,MAX(1,ROW()-$C$7),0,MIN($C$7,ROW()-1),1)),0))</f>
        <v>0</v>
      </c>
      <c r="BS1177">
        <f t="shared" ca="1" si="520"/>
        <v>0</v>
      </c>
      <c r="BT1177" t="str">
        <f ca="1">IF(BS1177=1,IF(INDEX(分析データ!$A:$A,ROW()+$C$5)&lt;&gt;"",40000*SIGN(BR1177)*(分析データ!F1177-INDEX(分析データ!F:F,ROW()+$C$5)),""),"")</f>
        <v/>
      </c>
      <c r="BU1177">
        <f t="shared" ca="1" si="521"/>
        <v>19816800</v>
      </c>
      <c r="BV1177">
        <f t="shared" ca="1" si="522"/>
        <v>19816800</v>
      </c>
      <c r="BW1177">
        <f t="shared" ca="1" si="523"/>
        <v>0</v>
      </c>
      <c r="BX1177">
        <f ca="1">IF(ROW()&lt;($C$7+1),"",IFERROR((分析データ!G1177-AVERAGE(OFFSET(分析データ!G$1,MAX(1,ROW()-$C$7),0,MIN($C$7,ROW()-1),1)))/STDEV(OFFSET(分析データ!G$1,MAX(1,ROW()-$C$7),0,MIN($C$7,ROW()-1),1)),0))</f>
        <v>0</v>
      </c>
      <c r="BY1177">
        <f t="shared" ca="1" si="524"/>
        <v>0</v>
      </c>
      <c r="BZ1177" t="str">
        <f ca="1">IF(BY1177=1,IF(INDEX(分析データ!$A:$A,ROW()+$C$5)&lt;&gt;"",40000*SIGN(BX1177)*(分析データ!G1177-INDEX(分析データ!G:G,ROW()+$C$5)),""),"")</f>
        <v/>
      </c>
      <c r="CA1177">
        <f t="shared" ca="1" si="525"/>
        <v>-3515452.8662109179</v>
      </c>
      <c r="CB1177">
        <f t="shared" ca="1" si="526"/>
        <v>11327520.000000004</v>
      </c>
      <c r="CC1177">
        <f t="shared" ca="1" si="527"/>
        <v>-14842972.866210923</v>
      </c>
      <c r="CD1177">
        <f t="shared" ca="1" si="528"/>
        <v>0</v>
      </c>
      <c r="CE1177">
        <f t="shared" ca="1" si="529"/>
        <v>23090347.13378913</v>
      </c>
      <c r="CF1177">
        <f t="shared" ca="1" si="530"/>
        <v>23090347.13378913</v>
      </c>
      <c r="CG1177">
        <f t="shared" ca="1" si="531"/>
        <v>0</v>
      </c>
      <c r="CH1177" s="10" t="str">
        <f>分析データ!A1177</f>
        <v/>
      </c>
    </row>
    <row r="1178" spans="46:86">
      <c r="AT1178">
        <f ca="1">IF(ROW()&lt;($C$7+1),"",IFERROR((分析データ!B1178-AVERAGE(OFFSET(分析データ!B$1,MAX(1,ROW()-$C$7),0,MIN($C$7,ROW()-1),1)))/STDEV(OFFSET(分析データ!B$1,MAX(1,ROW()-$C$7),0,MIN($C$7,ROW()-1),1)),0))</f>
        <v>0</v>
      </c>
      <c r="AU1178">
        <f t="shared" ca="1" si="504"/>
        <v>0</v>
      </c>
      <c r="AV1178" t="str">
        <f ca="1">IF(AU1178=1,IF(INDEX(分析データ!$A:$A,ROW()+$C$5)&lt;&gt;"",80000*SIGN(AT1178)*(分析データ!B1178-INDEX(分析データ!B:B,ROW()+$C$5)),""),"")</f>
        <v/>
      </c>
      <c r="AW1178">
        <f t="shared" ca="1" si="505"/>
        <v>-1240000.0000000019</v>
      </c>
      <c r="AX1178">
        <f t="shared" ca="1" si="506"/>
        <v>0</v>
      </c>
      <c r="AY1178">
        <f t="shared" ca="1" si="507"/>
        <v>-1240000.0000000019</v>
      </c>
      <c r="AZ1178">
        <f ca="1">IF(ROW()&lt;($C$7+1),"",IFERROR((分析データ!C1178-AVERAGE(OFFSET(分析データ!C$1,MAX(1,ROW()-$C$7),0,MIN($C$7,ROW()-1),1)))/STDEV(OFFSET(分析データ!C$1,MAX(1,ROW()-$C$7),0,MIN($C$7,ROW()-1),1)),0))</f>
        <v>0</v>
      </c>
      <c r="BA1178">
        <f t="shared" ca="1" si="508"/>
        <v>0</v>
      </c>
      <c r="BB1178" t="str">
        <f ca="1">IF(BA1178=1,IF(INDEX(分析データ!$A:$A,ROW()+$C$5)&lt;&gt;"",60000*SIGN(AZ1178)*(分析データ!C1178-INDEX(分析データ!C:C,ROW()+$C$5)),""),"")</f>
        <v/>
      </c>
      <c r="BC1178">
        <f t="shared" ca="1" si="509"/>
        <v>-260999.9999999851</v>
      </c>
      <c r="BD1178">
        <f t="shared" ca="1" si="510"/>
        <v>3156000.0000000107</v>
      </c>
      <c r="BE1178">
        <f t="shared" ca="1" si="511"/>
        <v>-3416999.9999999958</v>
      </c>
      <c r="BF1178">
        <f ca="1">IF(ROW()&lt;($C$7+1),"",IFERROR((分析データ!D1178-AVERAGE(OFFSET(分析データ!D$1,MAX(1,ROW()-$C$7),0,MIN($C$7,ROW()-1),1)))/STDEV(OFFSET(分析データ!D$1,MAX(1,ROW()-$C$7),0,MIN($C$7,ROW()-1),1)),0))</f>
        <v>0</v>
      </c>
      <c r="BG1178">
        <f t="shared" ca="1" si="512"/>
        <v>0</v>
      </c>
      <c r="BH1178" t="str">
        <f ca="1">IF(BG1178=1,IF(INDEX(分析データ!$A:$A,ROW()+$C$5)&lt;&gt;"",50000*SIGN(BF1178)*(分析データ!D1178-INDEX(分析データ!D:D,ROW()+$C$5)),""),"")</f>
        <v/>
      </c>
      <c r="BI1178">
        <f t="shared" ca="1" si="513"/>
        <v>5570000.0000000205</v>
      </c>
      <c r="BJ1178">
        <f t="shared" ca="1" si="514"/>
        <v>5570000.0000000205</v>
      </c>
      <c r="BK1178">
        <f t="shared" ca="1" si="515"/>
        <v>0</v>
      </c>
      <c r="BL1178">
        <f ca="1">IF(ROW()&lt;($C$7+1),"",IFERROR((分析データ!E1178-AVERAGE(OFFSET(分析データ!E$1,MAX(1,ROW()-$C$7),0,MIN($C$7,ROW()-1),1)))/STDEV(OFFSET(分析データ!E$1,MAX(1,ROW()-$C$7),0,MIN($C$7,ROW()-1),1)),0))</f>
        <v>0</v>
      </c>
      <c r="BM1178">
        <f t="shared" ca="1" si="516"/>
        <v>0</v>
      </c>
      <c r="BN1178" t="str">
        <f ca="1">IF(BM1178=1,IF(INDEX(分析データ!$A:$A,ROW()+$C$5)&lt;&gt;"",40000*SIGN(BL1178)*(分析データ!E1178-INDEX(分析データ!E:E,ROW()+$C$5)),""),"")</f>
        <v/>
      </c>
      <c r="BO1178">
        <f t="shared" ca="1" si="517"/>
        <v>2720000.0000000014</v>
      </c>
      <c r="BP1178">
        <f t="shared" ca="1" si="518"/>
        <v>4280000.0000000028</v>
      </c>
      <c r="BQ1178">
        <f t="shared" ca="1" si="519"/>
        <v>-1560000.0000000014</v>
      </c>
      <c r="BR1178">
        <f ca="1">IF(ROW()&lt;($C$7+1),"",IFERROR((分析データ!F1178-AVERAGE(OFFSET(分析データ!F$1,MAX(1,ROW()-$C$7),0,MIN($C$7,ROW()-1),1)))/STDEV(OFFSET(分析データ!F$1,MAX(1,ROW()-$C$7),0,MIN($C$7,ROW()-1),1)),0))</f>
        <v>0</v>
      </c>
      <c r="BS1178">
        <f t="shared" ca="1" si="520"/>
        <v>0</v>
      </c>
      <c r="BT1178" t="str">
        <f ca="1">IF(BS1178=1,IF(INDEX(分析データ!$A:$A,ROW()+$C$5)&lt;&gt;"",40000*SIGN(BR1178)*(分析データ!F1178-INDEX(分析データ!F:F,ROW()+$C$5)),""),"")</f>
        <v/>
      </c>
      <c r="BU1178">
        <f t="shared" ca="1" si="521"/>
        <v>19816800</v>
      </c>
      <c r="BV1178">
        <f t="shared" ca="1" si="522"/>
        <v>19816800</v>
      </c>
      <c r="BW1178">
        <f t="shared" ca="1" si="523"/>
        <v>0</v>
      </c>
      <c r="BX1178">
        <f ca="1">IF(ROW()&lt;($C$7+1),"",IFERROR((分析データ!G1178-AVERAGE(OFFSET(分析データ!G$1,MAX(1,ROW()-$C$7),0,MIN($C$7,ROW()-1),1)))/STDEV(OFFSET(分析データ!G$1,MAX(1,ROW()-$C$7),0,MIN($C$7,ROW()-1),1)),0))</f>
        <v>0</v>
      </c>
      <c r="BY1178">
        <f t="shared" ca="1" si="524"/>
        <v>0</v>
      </c>
      <c r="BZ1178" t="str">
        <f ca="1">IF(BY1178=1,IF(INDEX(分析データ!$A:$A,ROW()+$C$5)&lt;&gt;"",40000*SIGN(BX1178)*(分析データ!G1178-INDEX(分析データ!G:G,ROW()+$C$5)),""),"")</f>
        <v/>
      </c>
      <c r="CA1178">
        <f t="shared" ca="1" si="525"/>
        <v>-3515452.8662109179</v>
      </c>
      <c r="CB1178">
        <f t="shared" ca="1" si="526"/>
        <v>11327520.000000004</v>
      </c>
      <c r="CC1178">
        <f t="shared" ca="1" si="527"/>
        <v>-14842972.866210923</v>
      </c>
      <c r="CD1178">
        <f t="shared" ca="1" si="528"/>
        <v>0</v>
      </c>
      <c r="CE1178">
        <f t="shared" ca="1" si="529"/>
        <v>23090347.13378913</v>
      </c>
      <c r="CF1178">
        <f t="shared" ca="1" si="530"/>
        <v>23090347.13378913</v>
      </c>
      <c r="CG1178">
        <f t="shared" ca="1" si="531"/>
        <v>0</v>
      </c>
      <c r="CH1178" s="10" t="str">
        <f>分析データ!A1178</f>
        <v/>
      </c>
    </row>
    <row r="1179" spans="46:86">
      <c r="AT1179">
        <f ca="1">IF(ROW()&lt;($C$7+1),"",IFERROR((分析データ!B1179-AVERAGE(OFFSET(分析データ!B$1,MAX(1,ROW()-$C$7),0,MIN($C$7,ROW()-1),1)))/STDEV(OFFSET(分析データ!B$1,MAX(1,ROW()-$C$7),0,MIN($C$7,ROW()-1),1)),0))</f>
        <v>0</v>
      </c>
      <c r="AU1179">
        <f t="shared" ca="1" si="504"/>
        <v>0</v>
      </c>
      <c r="AV1179" t="str">
        <f ca="1">IF(AU1179=1,IF(INDEX(分析データ!$A:$A,ROW()+$C$5)&lt;&gt;"",80000*SIGN(AT1179)*(分析データ!B1179-INDEX(分析データ!B:B,ROW()+$C$5)),""),"")</f>
        <v/>
      </c>
      <c r="AW1179">
        <f t="shared" ca="1" si="505"/>
        <v>-1240000.0000000019</v>
      </c>
      <c r="AX1179">
        <f t="shared" ca="1" si="506"/>
        <v>0</v>
      </c>
      <c r="AY1179">
        <f t="shared" ca="1" si="507"/>
        <v>-1240000.0000000019</v>
      </c>
      <c r="AZ1179">
        <f ca="1">IF(ROW()&lt;($C$7+1),"",IFERROR((分析データ!C1179-AVERAGE(OFFSET(分析データ!C$1,MAX(1,ROW()-$C$7),0,MIN($C$7,ROW()-1),1)))/STDEV(OFFSET(分析データ!C$1,MAX(1,ROW()-$C$7),0,MIN($C$7,ROW()-1),1)),0))</f>
        <v>0</v>
      </c>
      <c r="BA1179">
        <f t="shared" ca="1" si="508"/>
        <v>0</v>
      </c>
      <c r="BB1179" t="str">
        <f ca="1">IF(BA1179=1,IF(INDEX(分析データ!$A:$A,ROW()+$C$5)&lt;&gt;"",60000*SIGN(AZ1179)*(分析データ!C1179-INDEX(分析データ!C:C,ROW()+$C$5)),""),"")</f>
        <v/>
      </c>
      <c r="BC1179">
        <f t="shared" ca="1" si="509"/>
        <v>-260999.9999999851</v>
      </c>
      <c r="BD1179">
        <f t="shared" ca="1" si="510"/>
        <v>3156000.0000000107</v>
      </c>
      <c r="BE1179">
        <f t="shared" ca="1" si="511"/>
        <v>-3416999.9999999958</v>
      </c>
      <c r="BF1179">
        <f ca="1">IF(ROW()&lt;($C$7+1),"",IFERROR((分析データ!D1179-AVERAGE(OFFSET(分析データ!D$1,MAX(1,ROW()-$C$7),0,MIN($C$7,ROW()-1),1)))/STDEV(OFFSET(分析データ!D$1,MAX(1,ROW()-$C$7),0,MIN($C$7,ROW()-1),1)),0))</f>
        <v>0</v>
      </c>
      <c r="BG1179">
        <f t="shared" ca="1" si="512"/>
        <v>0</v>
      </c>
      <c r="BH1179" t="str">
        <f ca="1">IF(BG1179=1,IF(INDEX(分析データ!$A:$A,ROW()+$C$5)&lt;&gt;"",50000*SIGN(BF1179)*(分析データ!D1179-INDEX(分析データ!D:D,ROW()+$C$5)),""),"")</f>
        <v/>
      </c>
      <c r="BI1179">
        <f t="shared" ca="1" si="513"/>
        <v>5570000.0000000205</v>
      </c>
      <c r="BJ1179">
        <f t="shared" ca="1" si="514"/>
        <v>5570000.0000000205</v>
      </c>
      <c r="BK1179">
        <f t="shared" ca="1" si="515"/>
        <v>0</v>
      </c>
      <c r="BL1179">
        <f ca="1">IF(ROW()&lt;($C$7+1),"",IFERROR((分析データ!E1179-AVERAGE(OFFSET(分析データ!E$1,MAX(1,ROW()-$C$7),0,MIN($C$7,ROW()-1),1)))/STDEV(OFFSET(分析データ!E$1,MAX(1,ROW()-$C$7),0,MIN($C$7,ROW()-1),1)),0))</f>
        <v>0</v>
      </c>
      <c r="BM1179">
        <f t="shared" ca="1" si="516"/>
        <v>0</v>
      </c>
      <c r="BN1179" t="str">
        <f ca="1">IF(BM1179=1,IF(INDEX(分析データ!$A:$A,ROW()+$C$5)&lt;&gt;"",40000*SIGN(BL1179)*(分析データ!E1179-INDEX(分析データ!E:E,ROW()+$C$5)),""),"")</f>
        <v/>
      </c>
      <c r="BO1179">
        <f t="shared" ca="1" si="517"/>
        <v>2720000.0000000014</v>
      </c>
      <c r="BP1179">
        <f t="shared" ca="1" si="518"/>
        <v>4280000.0000000028</v>
      </c>
      <c r="BQ1179">
        <f t="shared" ca="1" si="519"/>
        <v>-1560000.0000000014</v>
      </c>
      <c r="BR1179">
        <f ca="1">IF(ROW()&lt;($C$7+1),"",IFERROR((分析データ!F1179-AVERAGE(OFFSET(分析データ!F$1,MAX(1,ROW()-$C$7),0,MIN($C$7,ROW()-1),1)))/STDEV(OFFSET(分析データ!F$1,MAX(1,ROW()-$C$7),0,MIN($C$7,ROW()-1),1)),0))</f>
        <v>0</v>
      </c>
      <c r="BS1179">
        <f t="shared" ca="1" si="520"/>
        <v>0</v>
      </c>
      <c r="BT1179" t="str">
        <f ca="1">IF(BS1179=1,IF(INDEX(分析データ!$A:$A,ROW()+$C$5)&lt;&gt;"",40000*SIGN(BR1179)*(分析データ!F1179-INDEX(分析データ!F:F,ROW()+$C$5)),""),"")</f>
        <v/>
      </c>
      <c r="BU1179">
        <f t="shared" ca="1" si="521"/>
        <v>19816800</v>
      </c>
      <c r="BV1179">
        <f t="shared" ca="1" si="522"/>
        <v>19816800</v>
      </c>
      <c r="BW1179">
        <f t="shared" ca="1" si="523"/>
        <v>0</v>
      </c>
      <c r="BX1179">
        <f ca="1">IF(ROW()&lt;($C$7+1),"",IFERROR((分析データ!G1179-AVERAGE(OFFSET(分析データ!G$1,MAX(1,ROW()-$C$7),0,MIN($C$7,ROW()-1),1)))/STDEV(OFFSET(分析データ!G$1,MAX(1,ROW()-$C$7),0,MIN($C$7,ROW()-1),1)),0))</f>
        <v>0</v>
      </c>
      <c r="BY1179">
        <f t="shared" ca="1" si="524"/>
        <v>0</v>
      </c>
      <c r="BZ1179" t="str">
        <f ca="1">IF(BY1179=1,IF(INDEX(分析データ!$A:$A,ROW()+$C$5)&lt;&gt;"",40000*SIGN(BX1179)*(分析データ!G1179-INDEX(分析データ!G:G,ROW()+$C$5)),""),"")</f>
        <v/>
      </c>
      <c r="CA1179">
        <f t="shared" ca="1" si="525"/>
        <v>-3515452.8662109179</v>
      </c>
      <c r="CB1179">
        <f t="shared" ca="1" si="526"/>
        <v>11327520.000000004</v>
      </c>
      <c r="CC1179">
        <f t="shared" ca="1" si="527"/>
        <v>-14842972.866210923</v>
      </c>
      <c r="CD1179">
        <f t="shared" ca="1" si="528"/>
        <v>0</v>
      </c>
      <c r="CE1179">
        <f t="shared" ca="1" si="529"/>
        <v>23090347.13378913</v>
      </c>
      <c r="CF1179">
        <f t="shared" ca="1" si="530"/>
        <v>23090347.13378913</v>
      </c>
      <c r="CG1179">
        <f t="shared" ca="1" si="531"/>
        <v>0</v>
      </c>
      <c r="CH1179" s="10" t="str">
        <f>分析データ!A1179</f>
        <v/>
      </c>
    </row>
    <row r="1180" spans="46:86">
      <c r="AT1180">
        <f ca="1">IF(ROW()&lt;($C$7+1),"",IFERROR((分析データ!B1180-AVERAGE(OFFSET(分析データ!B$1,MAX(1,ROW()-$C$7),0,MIN($C$7,ROW()-1),1)))/STDEV(OFFSET(分析データ!B$1,MAX(1,ROW()-$C$7),0,MIN($C$7,ROW()-1),1)),0))</f>
        <v>0</v>
      </c>
      <c r="AU1180">
        <f t="shared" ca="1" si="504"/>
        <v>0</v>
      </c>
      <c r="AV1180" t="str">
        <f ca="1">IF(AU1180=1,IF(INDEX(分析データ!$A:$A,ROW()+$C$5)&lt;&gt;"",80000*SIGN(AT1180)*(分析データ!B1180-INDEX(分析データ!B:B,ROW()+$C$5)),""),"")</f>
        <v/>
      </c>
      <c r="AW1180">
        <f t="shared" ca="1" si="505"/>
        <v>-1240000.0000000019</v>
      </c>
      <c r="AX1180">
        <f t="shared" ca="1" si="506"/>
        <v>0</v>
      </c>
      <c r="AY1180">
        <f t="shared" ca="1" si="507"/>
        <v>-1240000.0000000019</v>
      </c>
      <c r="AZ1180">
        <f ca="1">IF(ROW()&lt;($C$7+1),"",IFERROR((分析データ!C1180-AVERAGE(OFFSET(分析データ!C$1,MAX(1,ROW()-$C$7),0,MIN($C$7,ROW()-1),1)))/STDEV(OFFSET(分析データ!C$1,MAX(1,ROW()-$C$7),0,MIN($C$7,ROW()-1),1)),0))</f>
        <v>0</v>
      </c>
      <c r="BA1180">
        <f t="shared" ca="1" si="508"/>
        <v>0</v>
      </c>
      <c r="BB1180" t="str">
        <f ca="1">IF(BA1180=1,IF(INDEX(分析データ!$A:$A,ROW()+$C$5)&lt;&gt;"",60000*SIGN(AZ1180)*(分析データ!C1180-INDEX(分析データ!C:C,ROW()+$C$5)),""),"")</f>
        <v/>
      </c>
      <c r="BC1180">
        <f t="shared" ca="1" si="509"/>
        <v>-260999.9999999851</v>
      </c>
      <c r="BD1180">
        <f t="shared" ca="1" si="510"/>
        <v>3156000.0000000107</v>
      </c>
      <c r="BE1180">
        <f t="shared" ca="1" si="511"/>
        <v>-3416999.9999999958</v>
      </c>
      <c r="BF1180">
        <f ca="1">IF(ROW()&lt;($C$7+1),"",IFERROR((分析データ!D1180-AVERAGE(OFFSET(分析データ!D$1,MAX(1,ROW()-$C$7),0,MIN($C$7,ROW()-1),1)))/STDEV(OFFSET(分析データ!D$1,MAX(1,ROW()-$C$7),0,MIN($C$7,ROW()-1),1)),0))</f>
        <v>0</v>
      </c>
      <c r="BG1180">
        <f t="shared" ca="1" si="512"/>
        <v>0</v>
      </c>
      <c r="BH1180" t="str">
        <f ca="1">IF(BG1180=1,IF(INDEX(分析データ!$A:$A,ROW()+$C$5)&lt;&gt;"",50000*SIGN(BF1180)*(分析データ!D1180-INDEX(分析データ!D:D,ROW()+$C$5)),""),"")</f>
        <v/>
      </c>
      <c r="BI1180">
        <f t="shared" ca="1" si="513"/>
        <v>5570000.0000000205</v>
      </c>
      <c r="BJ1180">
        <f t="shared" ca="1" si="514"/>
        <v>5570000.0000000205</v>
      </c>
      <c r="BK1180">
        <f t="shared" ca="1" si="515"/>
        <v>0</v>
      </c>
      <c r="BL1180">
        <f ca="1">IF(ROW()&lt;($C$7+1),"",IFERROR((分析データ!E1180-AVERAGE(OFFSET(分析データ!E$1,MAX(1,ROW()-$C$7),0,MIN($C$7,ROW()-1),1)))/STDEV(OFFSET(分析データ!E$1,MAX(1,ROW()-$C$7),0,MIN($C$7,ROW()-1),1)),0))</f>
        <v>0</v>
      </c>
      <c r="BM1180">
        <f t="shared" ca="1" si="516"/>
        <v>0</v>
      </c>
      <c r="BN1180" t="str">
        <f ca="1">IF(BM1180=1,IF(INDEX(分析データ!$A:$A,ROW()+$C$5)&lt;&gt;"",40000*SIGN(BL1180)*(分析データ!E1180-INDEX(分析データ!E:E,ROW()+$C$5)),""),"")</f>
        <v/>
      </c>
      <c r="BO1180">
        <f t="shared" ca="1" si="517"/>
        <v>2720000.0000000014</v>
      </c>
      <c r="BP1180">
        <f t="shared" ca="1" si="518"/>
        <v>4280000.0000000028</v>
      </c>
      <c r="BQ1180">
        <f t="shared" ca="1" si="519"/>
        <v>-1560000.0000000014</v>
      </c>
      <c r="BR1180">
        <f ca="1">IF(ROW()&lt;($C$7+1),"",IFERROR((分析データ!F1180-AVERAGE(OFFSET(分析データ!F$1,MAX(1,ROW()-$C$7),0,MIN($C$7,ROW()-1),1)))/STDEV(OFFSET(分析データ!F$1,MAX(1,ROW()-$C$7),0,MIN($C$7,ROW()-1),1)),0))</f>
        <v>0</v>
      </c>
      <c r="BS1180">
        <f t="shared" ca="1" si="520"/>
        <v>0</v>
      </c>
      <c r="BT1180" t="str">
        <f ca="1">IF(BS1180=1,IF(INDEX(分析データ!$A:$A,ROW()+$C$5)&lt;&gt;"",40000*SIGN(BR1180)*(分析データ!F1180-INDEX(分析データ!F:F,ROW()+$C$5)),""),"")</f>
        <v/>
      </c>
      <c r="BU1180">
        <f t="shared" ca="1" si="521"/>
        <v>19816800</v>
      </c>
      <c r="BV1180">
        <f t="shared" ca="1" si="522"/>
        <v>19816800</v>
      </c>
      <c r="BW1180">
        <f t="shared" ca="1" si="523"/>
        <v>0</v>
      </c>
      <c r="BX1180">
        <f ca="1">IF(ROW()&lt;($C$7+1),"",IFERROR((分析データ!G1180-AVERAGE(OFFSET(分析データ!G$1,MAX(1,ROW()-$C$7),0,MIN($C$7,ROW()-1),1)))/STDEV(OFFSET(分析データ!G$1,MAX(1,ROW()-$C$7),0,MIN($C$7,ROW()-1),1)),0))</f>
        <v>0</v>
      </c>
      <c r="BY1180">
        <f t="shared" ca="1" si="524"/>
        <v>0</v>
      </c>
      <c r="BZ1180" t="str">
        <f ca="1">IF(BY1180=1,IF(INDEX(分析データ!$A:$A,ROW()+$C$5)&lt;&gt;"",40000*SIGN(BX1180)*(分析データ!G1180-INDEX(分析データ!G:G,ROW()+$C$5)),""),"")</f>
        <v/>
      </c>
      <c r="CA1180">
        <f t="shared" ca="1" si="525"/>
        <v>-3515452.8662109179</v>
      </c>
      <c r="CB1180">
        <f t="shared" ca="1" si="526"/>
        <v>11327520.000000004</v>
      </c>
      <c r="CC1180">
        <f t="shared" ca="1" si="527"/>
        <v>-14842972.866210923</v>
      </c>
      <c r="CD1180">
        <f t="shared" ca="1" si="528"/>
        <v>0</v>
      </c>
      <c r="CE1180">
        <f t="shared" ca="1" si="529"/>
        <v>23090347.13378913</v>
      </c>
      <c r="CF1180">
        <f t="shared" ca="1" si="530"/>
        <v>23090347.13378913</v>
      </c>
      <c r="CG1180">
        <f t="shared" ca="1" si="531"/>
        <v>0</v>
      </c>
      <c r="CH1180" s="10" t="str">
        <f>分析データ!A1180</f>
        <v/>
      </c>
    </row>
    <row r="1181" spans="46:86">
      <c r="AT1181">
        <f ca="1">IF(ROW()&lt;($C$7+1),"",IFERROR((分析データ!B1181-AVERAGE(OFFSET(分析データ!B$1,MAX(1,ROW()-$C$7),0,MIN($C$7,ROW()-1),1)))/STDEV(OFFSET(分析データ!B$1,MAX(1,ROW()-$C$7),0,MIN($C$7,ROW()-1),1)),0))</f>
        <v>0</v>
      </c>
      <c r="AU1181">
        <f t="shared" ca="1" si="504"/>
        <v>0</v>
      </c>
      <c r="AV1181" t="str">
        <f ca="1">IF(AU1181=1,IF(INDEX(分析データ!$A:$A,ROW()+$C$5)&lt;&gt;"",80000*SIGN(AT1181)*(分析データ!B1181-INDEX(分析データ!B:B,ROW()+$C$5)),""),"")</f>
        <v/>
      </c>
      <c r="AW1181">
        <f t="shared" ca="1" si="505"/>
        <v>-1240000.0000000019</v>
      </c>
      <c r="AX1181">
        <f t="shared" ca="1" si="506"/>
        <v>0</v>
      </c>
      <c r="AY1181">
        <f t="shared" ca="1" si="507"/>
        <v>-1240000.0000000019</v>
      </c>
      <c r="AZ1181">
        <f ca="1">IF(ROW()&lt;($C$7+1),"",IFERROR((分析データ!C1181-AVERAGE(OFFSET(分析データ!C$1,MAX(1,ROW()-$C$7),0,MIN($C$7,ROW()-1),1)))/STDEV(OFFSET(分析データ!C$1,MAX(1,ROW()-$C$7),0,MIN($C$7,ROW()-1),1)),0))</f>
        <v>0</v>
      </c>
      <c r="BA1181">
        <f t="shared" ca="1" si="508"/>
        <v>0</v>
      </c>
      <c r="BB1181" t="str">
        <f ca="1">IF(BA1181=1,IF(INDEX(分析データ!$A:$A,ROW()+$C$5)&lt;&gt;"",60000*SIGN(AZ1181)*(分析データ!C1181-INDEX(分析データ!C:C,ROW()+$C$5)),""),"")</f>
        <v/>
      </c>
      <c r="BC1181">
        <f t="shared" ca="1" si="509"/>
        <v>-260999.9999999851</v>
      </c>
      <c r="BD1181">
        <f t="shared" ca="1" si="510"/>
        <v>3156000.0000000107</v>
      </c>
      <c r="BE1181">
        <f t="shared" ca="1" si="511"/>
        <v>-3416999.9999999958</v>
      </c>
      <c r="BF1181">
        <f ca="1">IF(ROW()&lt;($C$7+1),"",IFERROR((分析データ!D1181-AVERAGE(OFFSET(分析データ!D$1,MAX(1,ROW()-$C$7),0,MIN($C$7,ROW()-1),1)))/STDEV(OFFSET(分析データ!D$1,MAX(1,ROW()-$C$7),0,MIN($C$7,ROW()-1),1)),0))</f>
        <v>0</v>
      </c>
      <c r="BG1181">
        <f t="shared" ca="1" si="512"/>
        <v>0</v>
      </c>
      <c r="BH1181" t="str">
        <f ca="1">IF(BG1181=1,IF(INDEX(分析データ!$A:$A,ROW()+$C$5)&lt;&gt;"",50000*SIGN(BF1181)*(分析データ!D1181-INDEX(分析データ!D:D,ROW()+$C$5)),""),"")</f>
        <v/>
      </c>
      <c r="BI1181">
        <f t="shared" ca="1" si="513"/>
        <v>5570000.0000000205</v>
      </c>
      <c r="BJ1181">
        <f t="shared" ca="1" si="514"/>
        <v>5570000.0000000205</v>
      </c>
      <c r="BK1181">
        <f t="shared" ca="1" si="515"/>
        <v>0</v>
      </c>
      <c r="BL1181">
        <f ca="1">IF(ROW()&lt;($C$7+1),"",IFERROR((分析データ!E1181-AVERAGE(OFFSET(分析データ!E$1,MAX(1,ROW()-$C$7),0,MIN($C$7,ROW()-1),1)))/STDEV(OFFSET(分析データ!E$1,MAX(1,ROW()-$C$7),0,MIN($C$7,ROW()-1),1)),0))</f>
        <v>0</v>
      </c>
      <c r="BM1181">
        <f t="shared" ca="1" si="516"/>
        <v>0</v>
      </c>
      <c r="BN1181" t="str">
        <f ca="1">IF(BM1181=1,IF(INDEX(分析データ!$A:$A,ROW()+$C$5)&lt;&gt;"",40000*SIGN(BL1181)*(分析データ!E1181-INDEX(分析データ!E:E,ROW()+$C$5)),""),"")</f>
        <v/>
      </c>
      <c r="BO1181">
        <f t="shared" ca="1" si="517"/>
        <v>2720000.0000000014</v>
      </c>
      <c r="BP1181">
        <f t="shared" ca="1" si="518"/>
        <v>4280000.0000000028</v>
      </c>
      <c r="BQ1181">
        <f t="shared" ca="1" si="519"/>
        <v>-1560000.0000000014</v>
      </c>
      <c r="BR1181">
        <f ca="1">IF(ROW()&lt;($C$7+1),"",IFERROR((分析データ!F1181-AVERAGE(OFFSET(分析データ!F$1,MAX(1,ROW()-$C$7),0,MIN($C$7,ROW()-1),1)))/STDEV(OFFSET(分析データ!F$1,MAX(1,ROW()-$C$7),0,MIN($C$7,ROW()-1),1)),0))</f>
        <v>0</v>
      </c>
      <c r="BS1181">
        <f t="shared" ca="1" si="520"/>
        <v>0</v>
      </c>
      <c r="BT1181" t="str">
        <f ca="1">IF(BS1181=1,IF(INDEX(分析データ!$A:$A,ROW()+$C$5)&lt;&gt;"",40000*SIGN(BR1181)*(分析データ!F1181-INDEX(分析データ!F:F,ROW()+$C$5)),""),"")</f>
        <v/>
      </c>
      <c r="BU1181">
        <f t="shared" ca="1" si="521"/>
        <v>19816800</v>
      </c>
      <c r="BV1181">
        <f t="shared" ca="1" si="522"/>
        <v>19816800</v>
      </c>
      <c r="BW1181">
        <f t="shared" ca="1" si="523"/>
        <v>0</v>
      </c>
      <c r="BX1181">
        <f ca="1">IF(ROW()&lt;($C$7+1),"",IFERROR((分析データ!G1181-AVERAGE(OFFSET(分析データ!G$1,MAX(1,ROW()-$C$7),0,MIN($C$7,ROW()-1),1)))/STDEV(OFFSET(分析データ!G$1,MAX(1,ROW()-$C$7),0,MIN($C$7,ROW()-1),1)),0))</f>
        <v>0</v>
      </c>
      <c r="BY1181">
        <f t="shared" ca="1" si="524"/>
        <v>0</v>
      </c>
      <c r="BZ1181" t="str">
        <f ca="1">IF(BY1181=1,IF(INDEX(分析データ!$A:$A,ROW()+$C$5)&lt;&gt;"",40000*SIGN(BX1181)*(分析データ!G1181-INDEX(分析データ!G:G,ROW()+$C$5)),""),"")</f>
        <v/>
      </c>
      <c r="CA1181">
        <f t="shared" ca="1" si="525"/>
        <v>-3515452.8662109179</v>
      </c>
      <c r="CB1181">
        <f t="shared" ca="1" si="526"/>
        <v>11327520.000000004</v>
      </c>
      <c r="CC1181">
        <f t="shared" ca="1" si="527"/>
        <v>-14842972.866210923</v>
      </c>
      <c r="CD1181">
        <f t="shared" ca="1" si="528"/>
        <v>0</v>
      </c>
      <c r="CE1181">
        <f t="shared" ca="1" si="529"/>
        <v>23090347.13378913</v>
      </c>
      <c r="CF1181">
        <f t="shared" ca="1" si="530"/>
        <v>23090347.13378913</v>
      </c>
      <c r="CG1181">
        <f t="shared" ca="1" si="531"/>
        <v>0</v>
      </c>
      <c r="CH1181" s="10" t="str">
        <f>分析データ!A1181</f>
        <v/>
      </c>
    </row>
    <row r="1182" spans="46:86">
      <c r="AT1182">
        <f ca="1">IF(ROW()&lt;($C$7+1),"",IFERROR((分析データ!B1182-AVERAGE(OFFSET(分析データ!B$1,MAX(1,ROW()-$C$7),0,MIN($C$7,ROW()-1),1)))/STDEV(OFFSET(分析データ!B$1,MAX(1,ROW()-$C$7),0,MIN($C$7,ROW()-1),1)),0))</f>
        <v>0</v>
      </c>
      <c r="AU1182">
        <f t="shared" ca="1" si="504"/>
        <v>0</v>
      </c>
      <c r="AV1182" t="str">
        <f ca="1">IF(AU1182=1,IF(INDEX(分析データ!$A:$A,ROW()+$C$5)&lt;&gt;"",80000*SIGN(AT1182)*(分析データ!B1182-INDEX(分析データ!B:B,ROW()+$C$5)),""),"")</f>
        <v/>
      </c>
      <c r="AW1182">
        <f t="shared" ca="1" si="505"/>
        <v>-1240000.0000000019</v>
      </c>
      <c r="AX1182">
        <f t="shared" ca="1" si="506"/>
        <v>0</v>
      </c>
      <c r="AY1182">
        <f t="shared" ca="1" si="507"/>
        <v>-1240000.0000000019</v>
      </c>
      <c r="AZ1182">
        <f ca="1">IF(ROW()&lt;($C$7+1),"",IFERROR((分析データ!C1182-AVERAGE(OFFSET(分析データ!C$1,MAX(1,ROW()-$C$7),0,MIN($C$7,ROW()-1),1)))/STDEV(OFFSET(分析データ!C$1,MAX(1,ROW()-$C$7),0,MIN($C$7,ROW()-1),1)),0))</f>
        <v>0</v>
      </c>
      <c r="BA1182">
        <f t="shared" ca="1" si="508"/>
        <v>0</v>
      </c>
      <c r="BB1182" t="str">
        <f ca="1">IF(BA1182=1,IF(INDEX(分析データ!$A:$A,ROW()+$C$5)&lt;&gt;"",60000*SIGN(AZ1182)*(分析データ!C1182-INDEX(分析データ!C:C,ROW()+$C$5)),""),"")</f>
        <v/>
      </c>
      <c r="BC1182">
        <f t="shared" ca="1" si="509"/>
        <v>-260999.9999999851</v>
      </c>
      <c r="BD1182">
        <f t="shared" ca="1" si="510"/>
        <v>3156000.0000000107</v>
      </c>
      <c r="BE1182">
        <f t="shared" ca="1" si="511"/>
        <v>-3416999.9999999958</v>
      </c>
      <c r="BF1182">
        <f ca="1">IF(ROW()&lt;($C$7+1),"",IFERROR((分析データ!D1182-AVERAGE(OFFSET(分析データ!D$1,MAX(1,ROW()-$C$7),0,MIN($C$7,ROW()-1),1)))/STDEV(OFFSET(分析データ!D$1,MAX(1,ROW()-$C$7),0,MIN($C$7,ROW()-1),1)),0))</f>
        <v>0</v>
      </c>
      <c r="BG1182">
        <f t="shared" ca="1" si="512"/>
        <v>0</v>
      </c>
      <c r="BH1182" t="str">
        <f ca="1">IF(BG1182=1,IF(INDEX(分析データ!$A:$A,ROW()+$C$5)&lt;&gt;"",50000*SIGN(BF1182)*(分析データ!D1182-INDEX(分析データ!D:D,ROW()+$C$5)),""),"")</f>
        <v/>
      </c>
      <c r="BI1182">
        <f t="shared" ca="1" si="513"/>
        <v>5570000.0000000205</v>
      </c>
      <c r="BJ1182">
        <f t="shared" ca="1" si="514"/>
        <v>5570000.0000000205</v>
      </c>
      <c r="BK1182">
        <f t="shared" ca="1" si="515"/>
        <v>0</v>
      </c>
      <c r="BL1182">
        <f ca="1">IF(ROW()&lt;($C$7+1),"",IFERROR((分析データ!E1182-AVERAGE(OFFSET(分析データ!E$1,MAX(1,ROW()-$C$7),0,MIN($C$7,ROW()-1),1)))/STDEV(OFFSET(分析データ!E$1,MAX(1,ROW()-$C$7),0,MIN($C$7,ROW()-1),1)),0))</f>
        <v>0</v>
      </c>
      <c r="BM1182">
        <f t="shared" ca="1" si="516"/>
        <v>0</v>
      </c>
      <c r="BN1182" t="str">
        <f ca="1">IF(BM1182=1,IF(INDEX(分析データ!$A:$A,ROW()+$C$5)&lt;&gt;"",40000*SIGN(BL1182)*(分析データ!E1182-INDEX(分析データ!E:E,ROW()+$C$5)),""),"")</f>
        <v/>
      </c>
      <c r="BO1182">
        <f t="shared" ca="1" si="517"/>
        <v>2720000.0000000014</v>
      </c>
      <c r="BP1182">
        <f t="shared" ca="1" si="518"/>
        <v>4280000.0000000028</v>
      </c>
      <c r="BQ1182">
        <f t="shared" ca="1" si="519"/>
        <v>-1560000.0000000014</v>
      </c>
      <c r="BR1182">
        <f ca="1">IF(ROW()&lt;($C$7+1),"",IFERROR((分析データ!F1182-AVERAGE(OFFSET(分析データ!F$1,MAX(1,ROW()-$C$7),0,MIN($C$7,ROW()-1),1)))/STDEV(OFFSET(分析データ!F$1,MAX(1,ROW()-$C$7),0,MIN($C$7,ROW()-1),1)),0))</f>
        <v>0</v>
      </c>
      <c r="BS1182">
        <f t="shared" ca="1" si="520"/>
        <v>0</v>
      </c>
      <c r="BT1182" t="str">
        <f ca="1">IF(BS1182=1,IF(INDEX(分析データ!$A:$A,ROW()+$C$5)&lt;&gt;"",40000*SIGN(BR1182)*(分析データ!F1182-INDEX(分析データ!F:F,ROW()+$C$5)),""),"")</f>
        <v/>
      </c>
      <c r="BU1182">
        <f t="shared" ca="1" si="521"/>
        <v>19816800</v>
      </c>
      <c r="BV1182">
        <f t="shared" ca="1" si="522"/>
        <v>19816800</v>
      </c>
      <c r="BW1182">
        <f t="shared" ca="1" si="523"/>
        <v>0</v>
      </c>
      <c r="BX1182">
        <f ca="1">IF(ROW()&lt;($C$7+1),"",IFERROR((分析データ!G1182-AVERAGE(OFFSET(分析データ!G$1,MAX(1,ROW()-$C$7),0,MIN($C$7,ROW()-1),1)))/STDEV(OFFSET(分析データ!G$1,MAX(1,ROW()-$C$7),0,MIN($C$7,ROW()-1),1)),0))</f>
        <v>0</v>
      </c>
      <c r="BY1182">
        <f t="shared" ca="1" si="524"/>
        <v>0</v>
      </c>
      <c r="BZ1182" t="str">
        <f ca="1">IF(BY1182=1,IF(INDEX(分析データ!$A:$A,ROW()+$C$5)&lt;&gt;"",40000*SIGN(BX1182)*(分析データ!G1182-INDEX(分析データ!G:G,ROW()+$C$5)),""),"")</f>
        <v/>
      </c>
      <c r="CA1182">
        <f t="shared" ca="1" si="525"/>
        <v>-3515452.8662109179</v>
      </c>
      <c r="CB1182">
        <f t="shared" ca="1" si="526"/>
        <v>11327520.000000004</v>
      </c>
      <c r="CC1182">
        <f t="shared" ca="1" si="527"/>
        <v>-14842972.866210923</v>
      </c>
      <c r="CD1182">
        <f t="shared" ca="1" si="528"/>
        <v>0</v>
      </c>
      <c r="CE1182">
        <f t="shared" ca="1" si="529"/>
        <v>23090347.13378913</v>
      </c>
      <c r="CF1182">
        <f t="shared" ca="1" si="530"/>
        <v>23090347.13378913</v>
      </c>
      <c r="CG1182">
        <f t="shared" ca="1" si="531"/>
        <v>0</v>
      </c>
      <c r="CH1182" s="10" t="str">
        <f>分析データ!A1182</f>
        <v/>
      </c>
    </row>
    <row r="1183" spans="46:86">
      <c r="AT1183">
        <f ca="1">IF(ROW()&lt;($C$7+1),"",IFERROR((分析データ!B1183-AVERAGE(OFFSET(分析データ!B$1,MAX(1,ROW()-$C$7),0,MIN($C$7,ROW()-1),1)))/STDEV(OFFSET(分析データ!B$1,MAX(1,ROW()-$C$7),0,MIN($C$7,ROW()-1),1)),0))</f>
        <v>0</v>
      </c>
      <c r="AU1183">
        <f t="shared" ca="1" si="504"/>
        <v>0</v>
      </c>
      <c r="AV1183" t="str">
        <f ca="1">IF(AU1183=1,IF(INDEX(分析データ!$A:$A,ROW()+$C$5)&lt;&gt;"",80000*SIGN(AT1183)*(分析データ!B1183-INDEX(分析データ!B:B,ROW()+$C$5)),""),"")</f>
        <v/>
      </c>
      <c r="AW1183">
        <f t="shared" ca="1" si="505"/>
        <v>-1240000.0000000019</v>
      </c>
      <c r="AX1183">
        <f t="shared" ca="1" si="506"/>
        <v>0</v>
      </c>
      <c r="AY1183">
        <f t="shared" ca="1" si="507"/>
        <v>-1240000.0000000019</v>
      </c>
      <c r="AZ1183">
        <f ca="1">IF(ROW()&lt;($C$7+1),"",IFERROR((分析データ!C1183-AVERAGE(OFFSET(分析データ!C$1,MAX(1,ROW()-$C$7),0,MIN($C$7,ROW()-1),1)))/STDEV(OFFSET(分析データ!C$1,MAX(1,ROW()-$C$7),0,MIN($C$7,ROW()-1),1)),0))</f>
        <v>0</v>
      </c>
      <c r="BA1183">
        <f t="shared" ca="1" si="508"/>
        <v>0</v>
      </c>
      <c r="BB1183" t="str">
        <f ca="1">IF(BA1183=1,IF(INDEX(分析データ!$A:$A,ROW()+$C$5)&lt;&gt;"",60000*SIGN(AZ1183)*(分析データ!C1183-INDEX(分析データ!C:C,ROW()+$C$5)),""),"")</f>
        <v/>
      </c>
      <c r="BC1183">
        <f t="shared" ca="1" si="509"/>
        <v>-260999.9999999851</v>
      </c>
      <c r="BD1183">
        <f t="shared" ca="1" si="510"/>
        <v>3156000.0000000107</v>
      </c>
      <c r="BE1183">
        <f t="shared" ca="1" si="511"/>
        <v>-3416999.9999999958</v>
      </c>
      <c r="BF1183">
        <f ca="1">IF(ROW()&lt;($C$7+1),"",IFERROR((分析データ!D1183-AVERAGE(OFFSET(分析データ!D$1,MAX(1,ROW()-$C$7),0,MIN($C$7,ROW()-1),1)))/STDEV(OFFSET(分析データ!D$1,MAX(1,ROW()-$C$7),0,MIN($C$7,ROW()-1),1)),0))</f>
        <v>0</v>
      </c>
      <c r="BG1183">
        <f t="shared" ca="1" si="512"/>
        <v>0</v>
      </c>
      <c r="BH1183" t="str">
        <f ca="1">IF(BG1183=1,IF(INDEX(分析データ!$A:$A,ROW()+$C$5)&lt;&gt;"",50000*SIGN(BF1183)*(分析データ!D1183-INDEX(分析データ!D:D,ROW()+$C$5)),""),"")</f>
        <v/>
      </c>
      <c r="BI1183">
        <f t="shared" ca="1" si="513"/>
        <v>5570000.0000000205</v>
      </c>
      <c r="BJ1183">
        <f t="shared" ca="1" si="514"/>
        <v>5570000.0000000205</v>
      </c>
      <c r="BK1183">
        <f t="shared" ca="1" si="515"/>
        <v>0</v>
      </c>
      <c r="BL1183">
        <f ca="1">IF(ROW()&lt;($C$7+1),"",IFERROR((分析データ!E1183-AVERAGE(OFFSET(分析データ!E$1,MAX(1,ROW()-$C$7),0,MIN($C$7,ROW()-1),1)))/STDEV(OFFSET(分析データ!E$1,MAX(1,ROW()-$C$7),0,MIN($C$7,ROW()-1),1)),0))</f>
        <v>0</v>
      </c>
      <c r="BM1183">
        <f t="shared" ca="1" si="516"/>
        <v>0</v>
      </c>
      <c r="BN1183" t="str">
        <f ca="1">IF(BM1183=1,IF(INDEX(分析データ!$A:$A,ROW()+$C$5)&lt;&gt;"",40000*SIGN(BL1183)*(分析データ!E1183-INDEX(分析データ!E:E,ROW()+$C$5)),""),"")</f>
        <v/>
      </c>
      <c r="BO1183">
        <f t="shared" ca="1" si="517"/>
        <v>2720000.0000000014</v>
      </c>
      <c r="BP1183">
        <f t="shared" ca="1" si="518"/>
        <v>4280000.0000000028</v>
      </c>
      <c r="BQ1183">
        <f t="shared" ca="1" si="519"/>
        <v>-1560000.0000000014</v>
      </c>
      <c r="BR1183">
        <f ca="1">IF(ROW()&lt;($C$7+1),"",IFERROR((分析データ!F1183-AVERAGE(OFFSET(分析データ!F$1,MAX(1,ROW()-$C$7),0,MIN($C$7,ROW()-1),1)))/STDEV(OFFSET(分析データ!F$1,MAX(1,ROW()-$C$7),0,MIN($C$7,ROW()-1),1)),0))</f>
        <v>0</v>
      </c>
      <c r="BS1183">
        <f t="shared" ca="1" si="520"/>
        <v>0</v>
      </c>
      <c r="BT1183" t="str">
        <f ca="1">IF(BS1183=1,IF(INDEX(分析データ!$A:$A,ROW()+$C$5)&lt;&gt;"",40000*SIGN(BR1183)*(分析データ!F1183-INDEX(分析データ!F:F,ROW()+$C$5)),""),"")</f>
        <v/>
      </c>
      <c r="BU1183">
        <f t="shared" ca="1" si="521"/>
        <v>19816800</v>
      </c>
      <c r="BV1183">
        <f t="shared" ca="1" si="522"/>
        <v>19816800</v>
      </c>
      <c r="BW1183">
        <f t="shared" ca="1" si="523"/>
        <v>0</v>
      </c>
      <c r="BX1183">
        <f ca="1">IF(ROW()&lt;($C$7+1),"",IFERROR((分析データ!G1183-AVERAGE(OFFSET(分析データ!G$1,MAX(1,ROW()-$C$7),0,MIN($C$7,ROW()-1),1)))/STDEV(OFFSET(分析データ!G$1,MAX(1,ROW()-$C$7),0,MIN($C$7,ROW()-1),1)),0))</f>
        <v>0</v>
      </c>
      <c r="BY1183">
        <f t="shared" ca="1" si="524"/>
        <v>0</v>
      </c>
      <c r="BZ1183" t="str">
        <f ca="1">IF(BY1183=1,IF(INDEX(分析データ!$A:$A,ROW()+$C$5)&lt;&gt;"",40000*SIGN(BX1183)*(分析データ!G1183-INDEX(分析データ!G:G,ROW()+$C$5)),""),"")</f>
        <v/>
      </c>
      <c r="CA1183">
        <f t="shared" ca="1" si="525"/>
        <v>-3515452.8662109179</v>
      </c>
      <c r="CB1183">
        <f t="shared" ca="1" si="526"/>
        <v>11327520.000000004</v>
      </c>
      <c r="CC1183">
        <f t="shared" ca="1" si="527"/>
        <v>-14842972.866210923</v>
      </c>
      <c r="CD1183">
        <f t="shared" ca="1" si="528"/>
        <v>0</v>
      </c>
      <c r="CE1183">
        <f t="shared" ca="1" si="529"/>
        <v>23090347.13378913</v>
      </c>
      <c r="CF1183">
        <f t="shared" ca="1" si="530"/>
        <v>23090347.13378913</v>
      </c>
      <c r="CG1183">
        <f t="shared" ca="1" si="531"/>
        <v>0</v>
      </c>
      <c r="CH1183" s="10" t="str">
        <f>分析データ!A1183</f>
        <v/>
      </c>
    </row>
    <row r="1184" spans="46:86">
      <c r="AT1184">
        <f ca="1">IF(ROW()&lt;($C$7+1),"",IFERROR((分析データ!B1184-AVERAGE(OFFSET(分析データ!B$1,MAX(1,ROW()-$C$7),0,MIN($C$7,ROW()-1),1)))/STDEV(OFFSET(分析データ!B$1,MAX(1,ROW()-$C$7),0,MIN($C$7,ROW()-1),1)),0))</f>
        <v>0</v>
      </c>
      <c r="AU1184">
        <f t="shared" ca="1" si="504"/>
        <v>0</v>
      </c>
      <c r="AV1184" t="str">
        <f ca="1">IF(AU1184=1,IF(INDEX(分析データ!$A:$A,ROW()+$C$5)&lt;&gt;"",80000*SIGN(AT1184)*(分析データ!B1184-INDEX(分析データ!B:B,ROW()+$C$5)),""),"")</f>
        <v/>
      </c>
      <c r="AW1184">
        <f t="shared" ca="1" si="505"/>
        <v>-1240000.0000000019</v>
      </c>
      <c r="AX1184">
        <f t="shared" ca="1" si="506"/>
        <v>0</v>
      </c>
      <c r="AY1184">
        <f t="shared" ca="1" si="507"/>
        <v>-1240000.0000000019</v>
      </c>
      <c r="AZ1184">
        <f ca="1">IF(ROW()&lt;($C$7+1),"",IFERROR((分析データ!C1184-AVERAGE(OFFSET(分析データ!C$1,MAX(1,ROW()-$C$7),0,MIN($C$7,ROW()-1),1)))/STDEV(OFFSET(分析データ!C$1,MAX(1,ROW()-$C$7),0,MIN($C$7,ROW()-1),1)),0))</f>
        <v>0</v>
      </c>
      <c r="BA1184">
        <f t="shared" ca="1" si="508"/>
        <v>0</v>
      </c>
      <c r="BB1184" t="str">
        <f ca="1">IF(BA1184=1,IF(INDEX(分析データ!$A:$A,ROW()+$C$5)&lt;&gt;"",60000*SIGN(AZ1184)*(分析データ!C1184-INDEX(分析データ!C:C,ROW()+$C$5)),""),"")</f>
        <v/>
      </c>
      <c r="BC1184">
        <f t="shared" ca="1" si="509"/>
        <v>-260999.9999999851</v>
      </c>
      <c r="BD1184">
        <f t="shared" ca="1" si="510"/>
        <v>3156000.0000000107</v>
      </c>
      <c r="BE1184">
        <f t="shared" ca="1" si="511"/>
        <v>-3416999.9999999958</v>
      </c>
      <c r="BF1184">
        <f ca="1">IF(ROW()&lt;($C$7+1),"",IFERROR((分析データ!D1184-AVERAGE(OFFSET(分析データ!D$1,MAX(1,ROW()-$C$7),0,MIN($C$7,ROW()-1),1)))/STDEV(OFFSET(分析データ!D$1,MAX(1,ROW()-$C$7),0,MIN($C$7,ROW()-1),1)),0))</f>
        <v>0</v>
      </c>
      <c r="BG1184">
        <f t="shared" ca="1" si="512"/>
        <v>0</v>
      </c>
      <c r="BH1184" t="str">
        <f ca="1">IF(BG1184=1,IF(INDEX(分析データ!$A:$A,ROW()+$C$5)&lt;&gt;"",50000*SIGN(BF1184)*(分析データ!D1184-INDEX(分析データ!D:D,ROW()+$C$5)),""),"")</f>
        <v/>
      </c>
      <c r="BI1184">
        <f t="shared" ca="1" si="513"/>
        <v>5570000.0000000205</v>
      </c>
      <c r="BJ1184">
        <f t="shared" ca="1" si="514"/>
        <v>5570000.0000000205</v>
      </c>
      <c r="BK1184">
        <f t="shared" ca="1" si="515"/>
        <v>0</v>
      </c>
      <c r="BL1184">
        <f ca="1">IF(ROW()&lt;($C$7+1),"",IFERROR((分析データ!E1184-AVERAGE(OFFSET(分析データ!E$1,MAX(1,ROW()-$C$7),0,MIN($C$7,ROW()-1),1)))/STDEV(OFFSET(分析データ!E$1,MAX(1,ROW()-$C$7),0,MIN($C$7,ROW()-1),1)),0))</f>
        <v>0</v>
      </c>
      <c r="BM1184">
        <f t="shared" ca="1" si="516"/>
        <v>0</v>
      </c>
      <c r="BN1184" t="str">
        <f ca="1">IF(BM1184=1,IF(INDEX(分析データ!$A:$A,ROW()+$C$5)&lt;&gt;"",40000*SIGN(BL1184)*(分析データ!E1184-INDEX(分析データ!E:E,ROW()+$C$5)),""),"")</f>
        <v/>
      </c>
      <c r="BO1184">
        <f t="shared" ca="1" si="517"/>
        <v>2720000.0000000014</v>
      </c>
      <c r="BP1184">
        <f t="shared" ca="1" si="518"/>
        <v>4280000.0000000028</v>
      </c>
      <c r="BQ1184">
        <f t="shared" ca="1" si="519"/>
        <v>-1560000.0000000014</v>
      </c>
      <c r="BR1184">
        <f ca="1">IF(ROW()&lt;($C$7+1),"",IFERROR((分析データ!F1184-AVERAGE(OFFSET(分析データ!F$1,MAX(1,ROW()-$C$7),0,MIN($C$7,ROW()-1),1)))/STDEV(OFFSET(分析データ!F$1,MAX(1,ROW()-$C$7),0,MIN($C$7,ROW()-1),1)),0))</f>
        <v>0</v>
      </c>
      <c r="BS1184">
        <f t="shared" ca="1" si="520"/>
        <v>0</v>
      </c>
      <c r="BT1184" t="str">
        <f ca="1">IF(BS1184=1,IF(INDEX(分析データ!$A:$A,ROW()+$C$5)&lt;&gt;"",40000*SIGN(BR1184)*(分析データ!F1184-INDEX(分析データ!F:F,ROW()+$C$5)),""),"")</f>
        <v/>
      </c>
      <c r="BU1184">
        <f t="shared" ca="1" si="521"/>
        <v>19816800</v>
      </c>
      <c r="BV1184">
        <f t="shared" ca="1" si="522"/>
        <v>19816800</v>
      </c>
      <c r="BW1184">
        <f t="shared" ca="1" si="523"/>
        <v>0</v>
      </c>
      <c r="BX1184">
        <f ca="1">IF(ROW()&lt;($C$7+1),"",IFERROR((分析データ!G1184-AVERAGE(OFFSET(分析データ!G$1,MAX(1,ROW()-$C$7),0,MIN($C$7,ROW()-1),1)))/STDEV(OFFSET(分析データ!G$1,MAX(1,ROW()-$C$7),0,MIN($C$7,ROW()-1),1)),0))</f>
        <v>0</v>
      </c>
      <c r="BY1184">
        <f t="shared" ca="1" si="524"/>
        <v>0</v>
      </c>
      <c r="BZ1184" t="str">
        <f ca="1">IF(BY1184=1,IF(INDEX(分析データ!$A:$A,ROW()+$C$5)&lt;&gt;"",40000*SIGN(BX1184)*(分析データ!G1184-INDEX(分析データ!G:G,ROW()+$C$5)),""),"")</f>
        <v/>
      </c>
      <c r="CA1184">
        <f t="shared" ca="1" si="525"/>
        <v>-3515452.8662109179</v>
      </c>
      <c r="CB1184">
        <f t="shared" ca="1" si="526"/>
        <v>11327520.000000004</v>
      </c>
      <c r="CC1184">
        <f t="shared" ca="1" si="527"/>
        <v>-14842972.866210923</v>
      </c>
      <c r="CD1184">
        <f t="shared" ca="1" si="528"/>
        <v>0</v>
      </c>
      <c r="CE1184">
        <f t="shared" ca="1" si="529"/>
        <v>23090347.13378913</v>
      </c>
      <c r="CF1184">
        <f t="shared" ca="1" si="530"/>
        <v>23090347.13378913</v>
      </c>
      <c r="CG1184">
        <f t="shared" ca="1" si="531"/>
        <v>0</v>
      </c>
      <c r="CH1184" s="10" t="str">
        <f>分析データ!A1184</f>
        <v/>
      </c>
    </row>
    <row r="1185" spans="46:86">
      <c r="AT1185">
        <f ca="1">IF(ROW()&lt;($C$7+1),"",IFERROR((分析データ!B1185-AVERAGE(OFFSET(分析データ!B$1,MAX(1,ROW()-$C$7),0,MIN($C$7,ROW()-1),1)))/STDEV(OFFSET(分析データ!B$1,MAX(1,ROW()-$C$7),0,MIN($C$7,ROW()-1),1)),0))</f>
        <v>0</v>
      </c>
      <c r="AU1185">
        <f t="shared" ca="1" si="504"/>
        <v>0</v>
      </c>
      <c r="AV1185" t="str">
        <f ca="1">IF(AU1185=1,IF(INDEX(分析データ!$A:$A,ROW()+$C$5)&lt;&gt;"",80000*SIGN(AT1185)*(分析データ!B1185-INDEX(分析データ!B:B,ROW()+$C$5)),""),"")</f>
        <v/>
      </c>
      <c r="AW1185">
        <f t="shared" ca="1" si="505"/>
        <v>-1240000.0000000019</v>
      </c>
      <c r="AX1185">
        <f t="shared" ca="1" si="506"/>
        <v>0</v>
      </c>
      <c r="AY1185">
        <f t="shared" ca="1" si="507"/>
        <v>-1240000.0000000019</v>
      </c>
      <c r="AZ1185">
        <f ca="1">IF(ROW()&lt;($C$7+1),"",IFERROR((分析データ!C1185-AVERAGE(OFFSET(分析データ!C$1,MAX(1,ROW()-$C$7),0,MIN($C$7,ROW()-1),1)))/STDEV(OFFSET(分析データ!C$1,MAX(1,ROW()-$C$7),0,MIN($C$7,ROW()-1),1)),0))</f>
        <v>0</v>
      </c>
      <c r="BA1185">
        <f t="shared" ca="1" si="508"/>
        <v>0</v>
      </c>
      <c r="BB1185" t="str">
        <f ca="1">IF(BA1185=1,IF(INDEX(分析データ!$A:$A,ROW()+$C$5)&lt;&gt;"",60000*SIGN(AZ1185)*(分析データ!C1185-INDEX(分析データ!C:C,ROW()+$C$5)),""),"")</f>
        <v/>
      </c>
      <c r="BC1185">
        <f t="shared" ca="1" si="509"/>
        <v>-260999.9999999851</v>
      </c>
      <c r="BD1185">
        <f t="shared" ca="1" si="510"/>
        <v>3156000.0000000107</v>
      </c>
      <c r="BE1185">
        <f t="shared" ca="1" si="511"/>
        <v>-3416999.9999999958</v>
      </c>
      <c r="BF1185">
        <f ca="1">IF(ROW()&lt;($C$7+1),"",IFERROR((分析データ!D1185-AVERAGE(OFFSET(分析データ!D$1,MAX(1,ROW()-$C$7),0,MIN($C$7,ROW()-1),1)))/STDEV(OFFSET(分析データ!D$1,MAX(1,ROW()-$C$7),0,MIN($C$7,ROW()-1),1)),0))</f>
        <v>0</v>
      </c>
      <c r="BG1185">
        <f t="shared" ca="1" si="512"/>
        <v>0</v>
      </c>
      <c r="BH1185" t="str">
        <f ca="1">IF(BG1185=1,IF(INDEX(分析データ!$A:$A,ROW()+$C$5)&lt;&gt;"",50000*SIGN(BF1185)*(分析データ!D1185-INDEX(分析データ!D:D,ROW()+$C$5)),""),"")</f>
        <v/>
      </c>
      <c r="BI1185">
        <f t="shared" ca="1" si="513"/>
        <v>5570000.0000000205</v>
      </c>
      <c r="BJ1185">
        <f t="shared" ca="1" si="514"/>
        <v>5570000.0000000205</v>
      </c>
      <c r="BK1185">
        <f t="shared" ca="1" si="515"/>
        <v>0</v>
      </c>
      <c r="BL1185">
        <f ca="1">IF(ROW()&lt;($C$7+1),"",IFERROR((分析データ!E1185-AVERAGE(OFFSET(分析データ!E$1,MAX(1,ROW()-$C$7),0,MIN($C$7,ROW()-1),1)))/STDEV(OFFSET(分析データ!E$1,MAX(1,ROW()-$C$7),0,MIN($C$7,ROW()-1),1)),0))</f>
        <v>0</v>
      </c>
      <c r="BM1185">
        <f t="shared" ca="1" si="516"/>
        <v>0</v>
      </c>
      <c r="BN1185" t="str">
        <f ca="1">IF(BM1185=1,IF(INDEX(分析データ!$A:$A,ROW()+$C$5)&lt;&gt;"",40000*SIGN(BL1185)*(分析データ!E1185-INDEX(分析データ!E:E,ROW()+$C$5)),""),"")</f>
        <v/>
      </c>
      <c r="BO1185">
        <f t="shared" ca="1" si="517"/>
        <v>2720000.0000000014</v>
      </c>
      <c r="BP1185">
        <f t="shared" ca="1" si="518"/>
        <v>4280000.0000000028</v>
      </c>
      <c r="BQ1185">
        <f t="shared" ca="1" si="519"/>
        <v>-1560000.0000000014</v>
      </c>
      <c r="BR1185">
        <f ca="1">IF(ROW()&lt;($C$7+1),"",IFERROR((分析データ!F1185-AVERAGE(OFFSET(分析データ!F$1,MAX(1,ROW()-$C$7),0,MIN($C$7,ROW()-1),1)))/STDEV(OFFSET(分析データ!F$1,MAX(1,ROW()-$C$7),0,MIN($C$7,ROW()-1),1)),0))</f>
        <v>0</v>
      </c>
      <c r="BS1185">
        <f t="shared" ca="1" si="520"/>
        <v>0</v>
      </c>
      <c r="BT1185" t="str">
        <f ca="1">IF(BS1185=1,IF(INDEX(分析データ!$A:$A,ROW()+$C$5)&lt;&gt;"",40000*SIGN(BR1185)*(分析データ!F1185-INDEX(分析データ!F:F,ROW()+$C$5)),""),"")</f>
        <v/>
      </c>
      <c r="BU1185">
        <f t="shared" ca="1" si="521"/>
        <v>19816800</v>
      </c>
      <c r="BV1185">
        <f t="shared" ca="1" si="522"/>
        <v>19816800</v>
      </c>
      <c r="BW1185">
        <f t="shared" ca="1" si="523"/>
        <v>0</v>
      </c>
      <c r="BX1185">
        <f ca="1">IF(ROW()&lt;($C$7+1),"",IFERROR((分析データ!G1185-AVERAGE(OFFSET(分析データ!G$1,MAX(1,ROW()-$C$7),0,MIN($C$7,ROW()-1),1)))/STDEV(OFFSET(分析データ!G$1,MAX(1,ROW()-$C$7),0,MIN($C$7,ROW()-1),1)),0))</f>
        <v>0</v>
      </c>
      <c r="BY1185">
        <f t="shared" ca="1" si="524"/>
        <v>0</v>
      </c>
      <c r="BZ1185" t="str">
        <f ca="1">IF(BY1185=1,IF(INDEX(分析データ!$A:$A,ROW()+$C$5)&lt;&gt;"",40000*SIGN(BX1185)*(分析データ!G1185-INDEX(分析データ!G:G,ROW()+$C$5)),""),"")</f>
        <v/>
      </c>
      <c r="CA1185">
        <f t="shared" ca="1" si="525"/>
        <v>-3515452.8662109179</v>
      </c>
      <c r="CB1185">
        <f t="shared" ca="1" si="526"/>
        <v>11327520.000000004</v>
      </c>
      <c r="CC1185">
        <f t="shared" ca="1" si="527"/>
        <v>-14842972.866210923</v>
      </c>
      <c r="CD1185">
        <f t="shared" ca="1" si="528"/>
        <v>0</v>
      </c>
      <c r="CE1185">
        <f t="shared" ca="1" si="529"/>
        <v>23090347.13378913</v>
      </c>
      <c r="CF1185">
        <f t="shared" ca="1" si="530"/>
        <v>23090347.13378913</v>
      </c>
      <c r="CG1185">
        <f t="shared" ca="1" si="531"/>
        <v>0</v>
      </c>
      <c r="CH1185" s="10" t="str">
        <f>分析データ!A1185</f>
        <v/>
      </c>
    </row>
    <row r="1186" spans="46:86">
      <c r="AT1186">
        <f ca="1">IF(ROW()&lt;($C$7+1),"",IFERROR((分析データ!B1186-AVERAGE(OFFSET(分析データ!B$1,MAX(1,ROW()-$C$7),0,MIN($C$7,ROW()-1),1)))/STDEV(OFFSET(分析データ!B$1,MAX(1,ROW()-$C$7),0,MIN($C$7,ROW()-1),1)),0))</f>
        <v>0</v>
      </c>
      <c r="AU1186">
        <f t="shared" ca="1" si="504"/>
        <v>0</v>
      </c>
      <c r="AV1186" t="str">
        <f ca="1">IF(AU1186=1,IF(INDEX(分析データ!$A:$A,ROW()+$C$5)&lt;&gt;"",80000*SIGN(AT1186)*(分析データ!B1186-INDEX(分析データ!B:B,ROW()+$C$5)),""),"")</f>
        <v/>
      </c>
      <c r="AW1186">
        <f t="shared" ca="1" si="505"/>
        <v>-1240000.0000000019</v>
      </c>
      <c r="AX1186">
        <f t="shared" ca="1" si="506"/>
        <v>0</v>
      </c>
      <c r="AY1186">
        <f t="shared" ca="1" si="507"/>
        <v>-1240000.0000000019</v>
      </c>
      <c r="AZ1186">
        <f ca="1">IF(ROW()&lt;($C$7+1),"",IFERROR((分析データ!C1186-AVERAGE(OFFSET(分析データ!C$1,MAX(1,ROW()-$C$7),0,MIN($C$7,ROW()-1),1)))/STDEV(OFFSET(分析データ!C$1,MAX(1,ROW()-$C$7),0,MIN($C$7,ROW()-1),1)),0))</f>
        <v>0</v>
      </c>
      <c r="BA1186">
        <f t="shared" ca="1" si="508"/>
        <v>0</v>
      </c>
      <c r="BB1186" t="str">
        <f ca="1">IF(BA1186=1,IF(INDEX(分析データ!$A:$A,ROW()+$C$5)&lt;&gt;"",60000*SIGN(AZ1186)*(分析データ!C1186-INDEX(分析データ!C:C,ROW()+$C$5)),""),"")</f>
        <v/>
      </c>
      <c r="BC1186">
        <f t="shared" ca="1" si="509"/>
        <v>-260999.9999999851</v>
      </c>
      <c r="BD1186">
        <f t="shared" ca="1" si="510"/>
        <v>3156000.0000000107</v>
      </c>
      <c r="BE1186">
        <f t="shared" ca="1" si="511"/>
        <v>-3416999.9999999958</v>
      </c>
      <c r="BF1186">
        <f ca="1">IF(ROW()&lt;($C$7+1),"",IFERROR((分析データ!D1186-AVERAGE(OFFSET(分析データ!D$1,MAX(1,ROW()-$C$7),0,MIN($C$7,ROW()-1),1)))/STDEV(OFFSET(分析データ!D$1,MAX(1,ROW()-$C$7),0,MIN($C$7,ROW()-1),1)),0))</f>
        <v>0</v>
      </c>
      <c r="BG1186">
        <f t="shared" ca="1" si="512"/>
        <v>0</v>
      </c>
      <c r="BH1186" t="str">
        <f ca="1">IF(BG1186=1,IF(INDEX(分析データ!$A:$A,ROW()+$C$5)&lt;&gt;"",50000*SIGN(BF1186)*(分析データ!D1186-INDEX(分析データ!D:D,ROW()+$C$5)),""),"")</f>
        <v/>
      </c>
      <c r="BI1186">
        <f t="shared" ca="1" si="513"/>
        <v>5570000.0000000205</v>
      </c>
      <c r="BJ1186">
        <f t="shared" ca="1" si="514"/>
        <v>5570000.0000000205</v>
      </c>
      <c r="BK1186">
        <f t="shared" ca="1" si="515"/>
        <v>0</v>
      </c>
      <c r="BL1186">
        <f ca="1">IF(ROW()&lt;($C$7+1),"",IFERROR((分析データ!E1186-AVERAGE(OFFSET(分析データ!E$1,MAX(1,ROW()-$C$7),0,MIN($C$7,ROW()-1),1)))/STDEV(OFFSET(分析データ!E$1,MAX(1,ROW()-$C$7),0,MIN($C$7,ROW()-1),1)),0))</f>
        <v>0</v>
      </c>
      <c r="BM1186">
        <f t="shared" ca="1" si="516"/>
        <v>0</v>
      </c>
      <c r="BN1186" t="str">
        <f ca="1">IF(BM1186=1,IF(INDEX(分析データ!$A:$A,ROW()+$C$5)&lt;&gt;"",40000*SIGN(BL1186)*(分析データ!E1186-INDEX(分析データ!E:E,ROW()+$C$5)),""),"")</f>
        <v/>
      </c>
      <c r="BO1186">
        <f t="shared" ca="1" si="517"/>
        <v>2720000.0000000014</v>
      </c>
      <c r="BP1186">
        <f t="shared" ca="1" si="518"/>
        <v>4280000.0000000028</v>
      </c>
      <c r="BQ1186">
        <f t="shared" ca="1" si="519"/>
        <v>-1560000.0000000014</v>
      </c>
      <c r="BR1186">
        <f ca="1">IF(ROW()&lt;($C$7+1),"",IFERROR((分析データ!F1186-AVERAGE(OFFSET(分析データ!F$1,MAX(1,ROW()-$C$7),0,MIN($C$7,ROW()-1),1)))/STDEV(OFFSET(分析データ!F$1,MAX(1,ROW()-$C$7),0,MIN($C$7,ROW()-1),1)),0))</f>
        <v>0</v>
      </c>
      <c r="BS1186">
        <f t="shared" ca="1" si="520"/>
        <v>0</v>
      </c>
      <c r="BT1186" t="str">
        <f ca="1">IF(BS1186=1,IF(INDEX(分析データ!$A:$A,ROW()+$C$5)&lt;&gt;"",40000*SIGN(BR1186)*(分析データ!F1186-INDEX(分析データ!F:F,ROW()+$C$5)),""),"")</f>
        <v/>
      </c>
      <c r="BU1186">
        <f t="shared" ca="1" si="521"/>
        <v>19816800</v>
      </c>
      <c r="BV1186">
        <f t="shared" ca="1" si="522"/>
        <v>19816800</v>
      </c>
      <c r="BW1186">
        <f t="shared" ca="1" si="523"/>
        <v>0</v>
      </c>
      <c r="BX1186">
        <f ca="1">IF(ROW()&lt;($C$7+1),"",IFERROR((分析データ!G1186-AVERAGE(OFFSET(分析データ!G$1,MAX(1,ROW()-$C$7),0,MIN($C$7,ROW()-1),1)))/STDEV(OFFSET(分析データ!G$1,MAX(1,ROW()-$C$7),0,MIN($C$7,ROW()-1),1)),0))</f>
        <v>0</v>
      </c>
      <c r="BY1186">
        <f t="shared" ca="1" si="524"/>
        <v>0</v>
      </c>
      <c r="BZ1186" t="str">
        <f ca="1">IF(BY1186=1,IF(INDEX(分析データ!$A:$A,ROW()+$C$5)&lt;&gt;"",40000*SIGN(BX1186)*(分析データ!G1186-INDEX(分析データ!G:G,ROW()+$C$5)),""),"")</f>
        <v/>
      </c>
      <c r="CA1186">
        <f t="shared" ca="1" si="525"/>
        <v>-3515452.8662109179</v>
      </c>
      <c r="CB1186">
        <f t="shared" ca="1" si="526"/>
        <v>11327520.000000004</v>
      </c>
      <c r="CC1186">
        <f t="shared" ca="1" si="527"/>
        <v>-14842972.866210923</v>
      </c>
      <c r="CD1186">
        <f t="shared" ca="1" si="528"/>
        <v>0</v>
      </c>
      <c r="CE1186">
        <f t="shared" ca="1" si="529"/>
        <v>23090347.13378913</v>
      </c>
      <c r="CF1186">
        <f t="shared" ca="1" si="530"/>
        <v>23090347.13378913</v>
      </c>
      <c r="CG1186">
        <f t="shared" ca="1" si="531"/>
        <v>0</v>
      </c>
      <c r="CH1186" s="10" t="str">
        <f>分析データ!A1186</f>
        <v/>
      </c>
    </row>
    <row r="1187" spans="46:86">
      <c r="AT1187">
        <f ca="1">IF(ROW()&lt;($C$7+1),"",IFERROR((分析データ!B1187-AVERAGE(OFFSET(分析データ!B$1,MAX(1,ROW()-$C$7),0,MIN($C$7,ROW()-1),1)))/STDEV(OFFSET(分析データ!B$1,MAX(1,ROW()-$C$7),0,MIN($C$7,ROW()-1),1)),0))</f>
        <v>0</v>
      </c>
      <c r="AU1187">
        <f t="shared" ca="1" si="504"/>
        <v>0</v>
      </c>
      <c r="AV1187" t="str">
        <f ca="1">IF(AU1187=1,IF(INDEX(分析データ!$A:$A,ROW()+$C$5)&lt;&gt;"",80000*SIGN(AT1187)*(分析データ!B1187-INDEX(分析データ!B:B,ROW()+$C$5)),""),"")</f>
        <v/>
      </c>
      <c r="AW1187">
        <f t="shared" ca="1" si="505"/>
        <v>-1240000.0000000019</v>
      </c>
      <c r="AX1187">
        <f t="shared" ca="1" si="506"/>
        <v>0</v>
      </c>
      <c r="AY1187">
        <f t="shared" ca="1" si="507"/>
        <v>-1240000.0000000019</v>
      </c>
      <c r="AZ1187">
        <f ca="1">IF(ROW()&lt;($C$7+1),"",IFERROR((分析データ!C1187-AVERAGE(OFFSET(分析データ!C$1,MAX(1,ROW()-$C$7),0,MIN($C$7,ROW()-1),1)))/STDEV(OFFSET(分析データ!C$1,MAX(1,ROW()-$C$7),0,MIN($C$7,ROW()-1),1)),0))</f>
        <v>0</v>
      </c>
      <c r="BA1187">
        <f t="shared" ca="1" si="508"/>
        <v>0</v>
      </c>
      <c r="BB1187" t="str">
        <f ca="1">IF(BA1187=1,IF(INDEX(分析データ!$A:$A,ROW()+$C$5)&lt;&gt;"",60000*SIGN(AZ1187)*(分析データ!C1187-INDEX(分析データ!C:C,ROW()+$C$5)),""),"")</f>
        <v/>
      </c>
      <c r="BC1187">
        <f t="shared" ca="1" si="509"/>
        <v>-260999.9999999851</v>
      </c>
      <c r="BD1187">
        <f t="shared" ca="1" si="510"/>
        <v>3156000.0000000107</v>
      </c>
      <c r="BE1187">
        <f t="shared" ca="1" si="511"/>
        <v>-3416999.9999999958</v>
      </c>
      <c r="BF1187">
        <f ca="1">IF(ROW()&lt;($C$7+1),"",IFERROR((分析データ!D1187-AVERAGE(OFFSET(分析データ!D$1,MAX(1,ROW()-$C$7),0,MIN($C$7,ROW()-1),1)))/STDEV(OFFSET(分析データ!D$1,MAX(1,ROW()-$C$7),0,MIN($C$7,ROW()-1),1)),0))</f>
        <v>0</v>
      </c>
      <c r="BG1187">
        <f t="shared" ca="1" si="512"/>
        <v>0</v>
      </c>
      <c r="BH1187" t="str">
        <f ca="1">IF(BG1187=1,IF(INDEX(分析データ!$A:$A,ROW()+$C$5)&lt;&gt;"",50000*SIGN(BF1187)*(分析データ!D1187-INDEX(分析データ!D:D,ROW()+$C$5)),""),"")</f>
        <v/>
      </c>
      <c r="BI1187">
        <f t="shared" ca="1" si="513"/>
        <v>5570000.0000000205</v>
      </c>
      <c r="BJ1187">
        <f t="shared" ca="1" si="514"/>
        <v>5570000.0000000205</v>
      </c>
      <c r="BK1187">
        <f t="shared" ca="1" si="515"/>
        <v>0</v>
      </c>
      <c r="BL1187">
        <f ca="1">IF(ROW()&lt;($C$7+1),"",IFERROR((分析データ!E1187-AVERAGE(OFFSET(分析データ!E$1,MAX(1,ROW()-$C$7),0,MIN($C$7,ROW()-1),1)))/STDEV(OFFSET(分析データ!E$1,MAX(1,ROW()-$C$7),0,MIN($C$7,ROW()-1),1)),0))</f>
        <v>0</v>
      </c>
      <c r="BM1187">
        <f t="shared" ca="1" si="516"/>
        <v>0</v>
      </c>
      <c r="BN1187" t="str">
        <f ca="1">IF(BM1187=1,IF(INDEX(分析データ!$A:$A,ROW()+$C$5)&lt;&gt;"",40000*SIGN(BL1187)*(分析データ!E1187-INDEX(分析データ!E:E,ROW()+$C$5)),""),"")</f>
        <v/>
      </c>
      <c r="BO1187">
        <f t="shared" ca="1" si="517"/>
        <v>2720000.0000000014</v>
      </c>
      <c r="BP1187">
        <f t="shared" ca="1" si="518"/>
        <v>4280000.0000000028</v>
      </c>
      <c r="BQ1187">
        <f t="shared" ca="1" si="519"/>
        <v>-1560000.0000000014</v>
      </c>
      <c r="BR1187">
        <f ca="1">IF(ROW()&lt;($C$7+1),"",IFERROR((分析データ!F1187-AVERAGE(OFFSET(分析データ!F$1,MAX(1,ROW()-$C$7),0,MIN($C$7,ROW()-1),1)))/STDEV(OFFSET(分析データ!F$1,MAX(1,ROW()-$C$7),0,MIN($C$7,ROW()-1),1)),0))</f>
        <v>0</v>
      </c>
      <c r="BS1187">
        <f t="shared" ca="1" si="520"/>
        <v>0</v>
      </c>
      <c r="BT1187" t="str">
        <f ca="1">IF(BS1187=1,IF(INDEX(分析データ!$A:$A,ROW()+$C$5)&lt;&gt;"",40000*SIGN(BR1187)*(分析データ!F1187-INDEX(分析データ!F:F,ROW()+$C$5)),""),"")</f>
        <v/>
      </c>
      <c r="BU1187">
        <f t="shared" ca="1" si="521"/>
        <v>19816800</v>
      </c>
      <c r="BV1187">
        <f t="shared" ca="1" si="522"/>
        <v>19816800</v>
      </c>
      <c r="BW1187">
        <f t="shared" ca="1" si="523"/>
        <v>0</v>
      </c>
      <c r="BX1187">
        <f ca="1">IF(ROW()&lt;($C$7+1),"",IFERROR((分析データ!G1187-AVERAGE(OFFSET(分析データ!G$1,MAX(1,ROW()-$C$7),0,MIN($C$7,ROW()-1),1)))/STDEV(OFFSET(分析データ!G$1,MAX(1,ROW()-$C$7),0,MIN($C$7,ROW()-1),1)),0))</f>
        <v>0</v>
      </c>
      <c r="BY1187">
        <f t="shared" ca="1" si="524"/>
        <v>0</v>
      </c>
      <c r="BZ1187" t="str">
        <f ca="1">IF(BY1187=1,IF(INDEX(分析データ!$A:$A,ROW()+$C$5)&lt;&gt;"",40000*SIGN(BX1187)*(分析データ!G1187-INDEX(分析データ!G:G,ROW()+$C$5)),""),"")</f>
        <v/>
      </c>
      <c r="CA1187">
        <f t="shared" ca="1" si="525"/>
        <v>-3515452.8662109179</v>
      </c>
      <c r="CB1187">
        <f t="shared" ca="1" si="526"/>
        <v>11327520.000000004</v>
      </c>
      <c r="CC1187">
        <f t="shared" ca="1" si="527"/>
        <v>-14842972.866210923</v>
      </c>
      <c r="CD1187">
        <f t="shared" ca="1" si="528"/>
        <v>0</v>
      </c>
      <c r="CE1187">
        <f t="shared" ca="1" si="529"/>
        <v>23090347.13378913</v>
      </c>
      <c r="CF1187">
        <f t="shared" ca="1" si="530"/>
        <v>23090347.13378913</v>
      </c>
      <c r="CG1187">
        <f t="shared" ca="1" si="531"/>
        <v>0</v>
      </c>
      <c r="CH1187" s="10" t="str">
        <f>分析データ!A1187</f>
        <v/>
      </c>
    </row>
    <row r="1188" spans="46:86">
      <c r="AT1188">
        <f ca="1">IF(ROW()&lt;($C$7+1),"",IFERROR((分析データ!B1188-AVERAGE(OFFSET(分析データ!B$1,MAX(1,ROW()-$C$7),0,MIN($C$7,ROW()-1),1)))/STDEV(OFFSET(分析データ!B$1,MAX(1,ROW()-$C$7),0,MIN($C$7,ROW()-1),1)),0))</f>
        <v>0</v>
      </c>
      <c r="AU1188">
        <f t="shared" ca="1" si="504"/>
        <v>0</v>
      </c>
      <c r="AV1188" t="str">
        <f ca="1">IF(AU1188=1,IF(INDEX(分析データ!$A:$A,ROW()+$C$5)&lt;&gt;"",80000*SIGN(AT1188)*(分析データ!B1188-INDEX(分析データ!B:B,ROW()+$C$5)),""),"")</f>
        <v/>
      </c>
      <c r="AW1188">
        <f t="shared" ca="1" si="505"/>
        <v>-1240000.0000000019</v>
      </c>
      <c r="AX1188">
        <f t="shared" ca="1" si="506"/>
        <v>0</v>
      </c>
      <c r="AY1188">
        <f t="shared" ca="1" si="507"/>
        <v>-1240000.0000000019</v>
      </c>
      <c r="AZ1188">
        <f ca="1">IF(ROW()&lt;($C$7+1),"",IFERROR((分析データ!C1188-AVERAGE(OFFSET(分析データ!C$1,MAX(1,ROW()-$C$7),0,MIN($C$7,ROW()-1),1)))/STDEV(OFFSET(分析データ!C$1,MAX(1,ROW()-$C$7),0,MIN($C$7,ROW()-1),1)),0))</f>
        <v>0</v>
      </c>
      <c r="BA1188">
        <f t="shared" ca="1" si="508"/>
        <v>0</v>
      </c>
      <c r="BB1188" t="str">
        <f ca="1">IF(BA1188=1,IF(INDEX(分析データ!$A:$A,ROW()+$C$5)&lt;&gt;"",60000*SIGN(AZ1188)*(分析データ!C1188-INDEX(分析データ!C:C,ROW()+$C$5)),""),"")</f>
        <v/>
      </c>
      <c r="BC1188">
        <f t="shared" ca="1" si="509"/>
        <v>-260999.9999999851</v>
      </c>
      <c r="BD1188">
        <f t="shared" ca="1" si="510"/>
        <v>3156000.0000000107</v>
      </c>
      <c r="BE1188">
        <f t="shared" ca="1" si="511"/>
        <v>-3416999.9999999958</v>
      </c>
      <c r="BF1188">
        <f ca="1">IF(ROW()&lt;($C$7+1),"",IFERROR((分析データ!D1188-AVERAGE(OFFSET(分析データ!D$1,MAX(1,ROW()-$C$7),0,MIN($C$7,ROW()-1),1)))/STDEV(OFFSET(分析データ!D$1,MAX(1,ROW()-$C$7),0,MIN($C$7,ROW()-1),1)),0))</f>
        <v>0</v>
      </c>
      <c r="BG1188">
        <f t="shared" ca="1" si="512"/>
        <v>0</v>
      </c>
      <c r="BH1188" t="str">
        <f ca="1">IF(BG1188=1,IF(INDEX(分析データ!$A:$A,ROW()+$C$5)&lt;&gt;"",50000*SIGN(BF1188)*(分析データ!D1188-INDEX(分析データ!D:D,ROW()+$C$5)),""),"")</f>
        <v/>
      </c>
      <c r="BI1188">
        <f t="shared" ca="1" si="513"/>
        <v>5570000.0000000205</v>
      </c>
      <c r="BJ1188">
        <f t="shared" ca="1" si="514"/>
        <v>5570000.0000000205</v>
      </c>
      <c r="BK1188">
        <f t="shared" ca="1" si="515"/>
        <v>0</v>
      </c>
      <c r="BL1188">
        <f ca="1">IF(ROW()&lt;($C$7+1),"",IFERROR((分析データ!E1188-AVERAGE(OFFSET(分析データ!E$1,MAX(1,ROW()-$C$7),0,MIN($C$7,ROW()-1),1)))/STDEV(OFFSET(分析データ!E$1,MAX(1,ROW()-$C$7),0,MIN($C$7,ROW()-1),1)),0))</f>
        <v>0</v>
      </c>
      <c r="BM1188">
        <f t="shared" ca="1" si="516"/>
        <v>0</v>
      </c>
      <c r="BN1188" t="str">
        <f ca="1">IF(BM1188=1,IF(INDEX(分析データ!$A:$A,ROW()+$C$5)&lt;&gt;"",40000*SIGN(BL1188)*(分析データ!E1188-INDEX(分析データ!E:E,ROW()+$C$5)),""),"")</f>
        <v/>
      </c>
      <c r="BO1188">
        <f t="shared" ca="1" si="517"/>
        <v>2720000.0000000014</v>
      </c>
      <c r="BP1188">
        <f t="shared" ca="1" si="518"/>
        <v>4280000.0000000028</v>
      </c>
      <c r="BQ1188">
        <f t="shared" ca="1" si="519"/>
        <v>-1560000.0000000014</v>
      </c>
      <c r="BR1188">
        <f ca="1">IF(ROW()&lt;($C$7+1),"",IFERROR((分析データ!F1188-AVERAGE(OFFSET(分析データ!F$1,MAX(1,ROW()-$C$7),0,MIN($C$7,ROW()-1),1)))/STDEV(OFFSET(分析データ!F$1,MAX(1,ROW()-$C$7),0,MIN($C$7,ROW()-1),1)),0))</f>
        <v>0</v>
      </c>
      <c r="BS1188">
        <f t="shared" ca="1" si="520"/>
        <v>0</v>
      </c>
      <c r="BT1188" t="str">
        <f ca="1">IF(BS1188=1,IF(INDEX(分析データ!$A:$A,ROW()+$C$5)&lt;&gt;"",40000*SIGN(BR1188)*(分析データ!F1188-INDEX(分析データ!F:F,ROW()+$C$5)),""),"")</f>
        <v/>
      </c>
      <c r="BU1188">
        <f t="shared" ca="1" si="521"/>
        <v>19816800</v>
      </c>
      <c r="BV1188">
        <f t="shared" ca="1" si="522"/>
        <v>19816800</v>
      </c>
      <c r="BW1188">
        <f t="shared" ca="1" si="523"/>
        <v>0</v>
      </c>
      <c r="BX1188">
        <f ca="1">IF(ROW()&lt;($C$7+1),"",IFERROR((分析データ!G1188-AVERAGE(OFFSET(分析データ!G$1,MAX(1,ROW()-$C$7),0,MIN($C$7,ROW()-1),1)))/STDEV(OFFSET(分析データ!G$1,MAX(1,ROW()-$C$7),0,MIN($C$7,ROW()-1),1)),0))</f>
        <v>0</v>
      </c>
      <c r="BY1188">
        <f t="shared" ca="1" si="524"/>
        <v>0</v>
      </c>
      <c r="BZ1188" t="str">
        <f ca="1">IF(BY1188=1,IF(INDEX(分析データ!$A:$A,ROW()+$C$5)&lt;&gt;"",40000*SIGN(BX1188)*(分析データ!G1188-INDEX(分析データ!G:G,ROW()+$C$5)),""),"")</f>
        <v/>
      </c>
      <c r="CA1188">
        <f t="shared" ca="1" si="525"/>
        <v>-3515452.8662109179</v>
      </c>
      <c r="CB1188">
        <f t="shared" ca="1" si="526"/>
        <v>11327520.000000004</v>
      </c>
      <c r="CC1188">
        <f t="shared" ca="1" si="527"/>
        <v>-14842972.866210923</v>
      </c>
      <c r="CD1188">
        <f t="shared" ca="1" si="528"/>
        <v>0</v>
      </c>
      <c r="CE1188">
        <f t="shared" ca="1" si="529"/>
        <v>23090347.13378913</v>
      </c>
      <c r="CF1188">
        <f t="shared" ca="1" si="530"/>
        <v>23090347.13378913</v>
      </c>
      <c r="CG1188">
        <f t="shared" ca="1" si="531"/>
        <v>0</v>
      </c>
      <c r="CH1188" s="10" t="str">
        <f>分析データ!A1188</f>
        <v/>
      </c>
    </row>
    <row r="1189" spans="46:86">
      <c r="AT1189">
        <f ca="1">IF(ROW()&lt;($C$7+1),"",IFERROR((分析データ!B1189-AVERAGE(OFFSET(分析データ!B$1,MAX(1,ROW()-$C$7),0,MIN($C$7,ROW()-1),1)))/STDEV(OFFSET(分析データ!B$1,MAX(1,ROW()-$C$7),0,MIN($C$7,ROW()-1),1)),0))</f>
        <v>0</v>
      </c>
      <c r="AU1189">
        <f t="shared" ca="1" si="504"/>
        <v>0</v>
      </c>
      <c r="AV1189" t="str">
        <f ca="1">IF(AU1189=1,IF(INDEX(分析データ!$A:$A,ROW()+$C$5)&lt;&gt;"",80000*SIGN(AT1189)*(分析データ!B1189-INDEX(分析データ!B:B,ROW()+$C$5)),""),"")</f>
        <v/>
      </c>
      <c r="AW1189">
        <f t="shared" ca="1" si="505"/>
        <v>-1240000.0000000019</v>
      </c>
      <c r="AX1189">
        <f t="shared" ca="1" si="506"/>
        <v>0</v>
      </c>
      <c r="AY1189">
        <f t="shared" ca="1" si="507"/>
        <v>-1240000.0000000019</v>
      </c>
      <c r="AZ1189">
        <f ca="1">IF(ROW()&lt;($C$7+1),"",IFERROR((分析データ!C1189-AVERAGE(OFFSET(分析データ!C$1,MAX(1,ROW()-$C$7),0,MIN($C$7,ROW()-1),1)))/STDEV(OFFSET(分析データ!C$1,MAX(1,ROW()-$C$7),0,MIN($C$7,ROW()-1),1)),0))</f>
        <v>0</v>
      </c>
      <c r="BA1189">
        <f t="shared" ca="1" si="508"/>
        <v>0</v>
      </c>
      <c r="BB1189" t="str">
        <f ca="1">IF(BA1189=1,IF(INDEX(分析データ!$A:$A,ROW()+$C$5)&lt;&gt;"",60000*SIGN(AZ1189)*(分析データ!C1189-INDEX(分析データ!C:C,ROW()+$C$5)),""),"")</f>
        <v/>
      </c>
      <c r="BC1189">
        <f t="shared" ca="1" si="509"/>
        <v>-260999.9999999851</v>
      </c>
      <c r="BD1189">
        <f t="shared" ca="1" si="510"/>
        <v>3156000.0000000107</v>
      </c>
      <c r="BE1189">
        <f t="shared" ca="1" si="511"/>
        <v>-3416999.9999999958</v>
      </c>
      <c r="BF1189">
        <f ca="1">IF(ROW()&lt;($C$7+1),"",IFERROR((分析データ!D1189-AVERAGE(OFFSET(分析データ!D$1,MAX(1,ROW()-$C$7),0,MIN($C$7,ROW()-1),1)))/STDEV(OFFSET(分析データ!D$1,MAX(1,ROW()-$C$7),0,MIN($C$7,ROW()-1),1)),0))</f>
        <v>0</v>
      </c>
      <c r="BG1189">
        <f t="shared" ca="1" si="512"/>
        <v>0</v>
      </c>
      <c r="BH1189" t="str">
        <f ca="1">IF(BG1189=1,IF(INDEX(分析データ!$A:$A,ROW()+$C$5)&lt;&gt;"",50000*SIGN(BF1189)*(分析データ!D1189-INDEX(分析データ!D:D,ROW()+$C$5)),""),"")</f>
        <v/>
      </c>
      <c r="BI1189">
        <f t="shared" ca="1" si="513"/>
        <v>5570000.0000000205</v>
      </c>
      <c r="BJ1189">
        <f t="shared" ca="1" si="514"/>
        <v>5570000.0000000205</v>
      </c>
      <c r="BK1189">
        <f t="shared" ca="1" si="515"/>
        <v>0</v>
      </c>
      <c r="BL1189">
        <f ca="1">IF(ROW()&lt;($C$7+1),"",IFERROR((分析データ!E1189-AVERAGE(OFFSET(分析データ!E$1,MAX(1,ROW()-$C$7),0,MIN($C$7,ROW()-1),1)))/STDEV(OFFSET(分析データ!E$1,MAX(1,ROW()-$C$7),0,MIN($C$7,ROW()-1),1)),0))</f>
        <v>0</v>
      </c>
      <c r="BM1189">
        <f t="shared" ca="1" si="516"/>
        <v>0</v>
      </c>
      <c r="BN1189" t="str">
        <f ca="1">IF(BM1189=1,IF(INDEX(分析データ!$A:$A,ROW()+$C$5)&lt;&gt;"",40000*SIGN(BL1189)*(分析データ!E1189-INDEX(分析データ!E:E,ROW()+$C$5)),""),"")</f>
        <v/>
      </c>
      <c r="BO1189">
        <f t="shared" ca="1" si="517"/>
        <v>2720000.0000000014</v>
      </c>
      <c r="BP1189">
        <f t="shared" ca="1" si="518"/>
        <v>4280000.0000000028</v>
      </c>
      <c r="BQ1189">
        <f t="shared" ca="1" si="519"/>
        <v>-1560000.0000000014</v>
      </c>
      <c r="BR1189">
        <f ca="1">IF(ROW()&lt;($C$7+1),"",IFERROR((分析データ!F1189-AVERAGE(OFFSET(分析データ!F$1,MAX(1,ROW()-$C$7),0,MIN($C$7,ROW()-1),1)))/STDEV(OFFSET(分析データ!F$1,MAX(1,ROW()-$C$7),0,MIN($C$7,ROW()-1),1)),0))</f>
        <v>0</v>
      </c>
      <c r="BS1189">
        <f t="shared" ca="1" si="520"/>
        <v>0</v>
      </c>
      <c r="BT1189" t="str">
        <f ca="1">IF(BS1189=1,IF(INDEX(分析データ!$A:$A,ROW()+$C$5)&lt;&gt;"",40000*SIGN(BR1189)*(分析データ!F1189-INDEX(分析データ!F:F,ROW()+$C$5)),""),"")</f>
        <v/>
      </c>
      <c r="BU1189">
        <f t="shared" ca="1" si="521"/>
        <v>19816800</v>
      </c>
      <c r="BV1189">
        <f t="shared" ca="1" si="522"/>
        <v>19816800</v>
      </c>
      <c r="BW1189">
        <f t="shared" ca="1" si="523"/>
        <v>0</v>
      </c>
      <c r="BX1189">
        <f ca="1">IF(ROW()&lt;($C$7+1),"",IFERROR((分析データ!G1189-AVERAGE(OFFSET(分析データ!G$1,MAX(1,ROW()-$C$7),0,MIN($C$7,ROW()-1),1)))/STDEV(OFFSET(分析データ!G$1,MAX(1,ROW()-$C$7),0,MIN($C$7,ROW()-1),1)),0))</f>
        <v>0</v>
      </c>
      <c r="BY1189">
        <f t="shared" ca="1" si="524"/>
        <v>0</v>
      </c>
      <c r="BZ1189" t="str">
        <f ca="1">IF(BY1189=1,IF(INDEX(分析データ!$A:$A,ROW()+$C$5)&lt;&gt;"",40000*SIGN(BX1189)*(分析データ!G1189-INDEX(分析データ!G:G,ROW()+$C$5)),""),"")</f>
        <v/>
      </c>
      <c r="CA1189">
        <f t="shared" ca="1" si="525"/>
        <v>-3515452.8662109179</v>
      </c>
      <c r="CB1189">
        <f t="shared" ca="1" si="526"/>
        <v>11327520.000000004</v>
      </c>
      <c r="CC1189">
        <f t="shared" ca="1" si="527"/>
        <v>-14842972.866210923</v>
      </c>
      <c r="CD1189">
        <f t="shared" ca="1" si="528"/>
        <v>0</v>
      </c>
      <c r="CE1189">
        <f t="shared" ca="1" si="529"/>
        <v>23090347.13378913</v>
      </c>
      <c r="CF1189">
        <f t="shared" ca="1" si="530"/>
        <v>23090347.13378913</v>
      </c>
      <c r="CG1189">
        <f t="shared" ca="1" si="531"/>
        <v>0</v>
      </c>
      <c r="CH1189" s="10" t="str">
        <f>分析データ!A1189</f>
        <v/>
      </c>
    </row>
    <row r="1190" spans="46:86">
      <c r="AT1190">
        <f ca="1">IF(ROW()&lt;($C$7+1),"",IFERROR((分析データ!B1190-AVERAGE(OFFSET(分析データ!B$1,MAX(1,ROW()-$C$7),0,MIN($C$7,ROW()-1),1)))/STDEV(OFFSET(分析データ!B$1,MAX(1,ROW()-$C$7),0,MIN($C$7,ROW()-1),1)),0))</f>
        <v>0</v>
      </c>
      <c r="AU1190">
        <f t="shared" ca="1" si="504"/>
        <v>0</v>
      </c>
      <c r="AV1190" t="str">
        <f ca="1">IF(AU1190=1,IF(INDEX(分析データ!$A:$A,ROW()+$C$5)&lt;&gt;"",80000*SIGN(AT1190)*(分析データ!B1190-INDEX(分析データ!B:B,ROW()+$C$5)),""),"")</f>
        <v/>
      </c>
      <c r="AW1190">
        <f t="shared" ca="1" si="505"/>
        <v>-1240000.0000000019</v>
      </c>
      <c r="AX1190">
        <f t="shared" ca="1" si="506"/>
        <v>0</v>
      </c>
      <c r="AY1190">
        <f t="shared" ca="1" si="507"/>
        <v>-1240000.0000000019</v>
      </c>
      <c r="AZ1190">
        <f ca="1">IF(ROW()&lt;($C$7+1),"",IFERROR((分析データ!C1190-AVERAGE(OFFSET(分析データ!C$1,MAX(1,ROW()-$C$7),0,MIN($C$7,ROW()-1),1)))/STDEV(OFFSET(分析データ!C$1,MAX(1,ROW()-$C$7),0,MIN($C$7,ROW()-1),1)),0))</f>
        <v>0</v>
      </c>
      <c r="BA1190">
        <f t="shared" ca="1" si="508"/>
        <v>0</v>
      </c>
      <c r="BB1190" t="str">
        <f ca="1">IF(BA1190=1,IF(INDEX(分析データ!$A:$A,ROW()+$C$5)&lt;&gt;"",60000*SIGN(AZ1190)*(分析データ!C1190-INDEX(分析データ!C:C,ROW()+$C$5)),""),"")</f>
        <v/>
      </c>
      <c r="BC1190">
        <f t="shared" ca="1" si="509"/>
        <v>-260999.9999999851</v>
      </c>
      <c r="BD1190">
        <f t="shared" ca="1" si="510"/>
        <v>3156000.0000000107</v>
      </c>
      <c r="BE1190">
        <f t="shared" ca="1" si="511"/>
        <v>-3416999.9999999958</v>
      </c>
      <c r="BF1190">
        <f ca="1">IF(ROW()&lt;($C$7+1),"",IFERROR((分析データ!D1190-AVERAGE(OFFSET(分析データ!D$1,MAX(1,ROW()-$C$7),0,MIN($C$7,ROW()-1),1)))/STDEV(OFFSET(分析データ!D$1,MAX(1,ROW()-$C$7),0,MIN($C$7,ROW()-1),1)),0))</f>
        <v>0</v>
      </c>
      <c r="BG1190">
        <f t="shared" ca="1" si="512"/>
        <v>0</v>
      </c>
      <c r="BH1190" t="str">
        <f ca="1">IF(BG1190=1,IF(INDEX(分析データ!$A:$A,ROW()+$C$5)&lt;&gt;"",50000*SIGN(BF1190)*(分析データ!D1190-INDEX(分析データ!D:D,ROW()+$C$5)),""),"")</f>
        <v/>
      </c>
      <c r="BI1190">
        <f t="shared" ca="1" si="513"/>
        <v>5570000.0000000205</v>
      </c>
      <c r="BJ1190">
        <f t="shared" ca="1" si="514"/>
        <v>5570000.0000000205</v>
      </c>
      <c r="BK1190">
        <f t="shared" ca="1" si="515"/>
        <v>0</v>
      </c>
      <c r="BL1190">
        <f ca="1">IF(ROW()&lt;($C$7+1),"",IFERROR((分析データ!E1190-AVERAGE(OFFSET(分析データ!E$1,MAX(1,ROW()-$C$7),0,MIN($C$7,ROW()-1),1)))/STDEV(OFFSET(分析データ!E$1,MAX(1,ROW()-$C$7),0,MIN($C$7,ROW()-1),1)),0))</f>
        <v>0</v>
      </c>
      <c r="BM1190">
        <f t="shared" ca="1" si="516"/>
        <v>0</v>
      </c>
      <c r="BN1190" t="str">
        <f ca="1">IF(BM1190=1,IF(INDEX(分析データ!$A:$A,ROW()+$C$5)&lt;&gt;"",40000*SIGN(BL1190)*(分析データ!E1190-INDEX(分析データ!E:E,ROW()+$C$5)),""),"")</f>
        <v/>
      </c>
      <c r="BO1190">
        <f t="shared" ca="1" si="517"/>
        <v>2720000.0000000014</v>
      </c>
      <c r="BP1190">
        <f t="shared" ca="1" si="518"/>
        <v>4280000.0000000028</v>
      </c>
      <c r="BQ1190">
        <f t="shared" ca="1" si="519"/>
        <v>-1560000.0000000014</v>
      </c>
      <c r="BR1190">
        <f ca="1">IF(ROW()&lt;($C$7+1),"",IFERROR((分析データ!F1190-AVERAGE(OFFSET(分析データ!F$1,MAX(1,ROW()-$C$7),0,MIN($C$7,ROW()-1),1)))/STDEV(OFFSET(分析データ!F$1,MAX(1,ROW()-$C$7),0,MIN($C$7,ROW()-1),1)),0))</f>
        <v>0</v>
      </c>
      <c r="BS1190">
        <f t="shared" ca="1" si="520"/>
        <v>0</v>
      </c>
      <c r="BT1190" t="str">
        <f ca="1">IF(BS1190=1,IF(INDEX(分析データ!$A:$A,ROW()+$C$5)&lt;&gt;"",40000*SIGN(BR1190)*(分析データ!F1190-INDEX(分析データ!F:F,ROW()+$C$5)),""),"")</f>
        <v/>
      </c>
      <c r="BU1190">
        <f t="shared" ca="1" si="521"/>
        <v>19816800</v>
      </c>
      <c r="BV1190">
        <f t="shared" ca="1" si="522"/>
        <v>19816800</v>
      </c>
      <c r="BW1190">
        <f t="shared" ca="1" si="523"/>
        <v>0</v>
      </c>
      <c r="BX1190">
        <f ca="1">IF(ROW()&lt;($C$7+1),"",IFERROR((分析データ!G1190-AVERAGE(OFFSET(分析データ!G$1,MAX(1,ROW()-$C$7),0,MIN($C$7,ROW()-1),1)))/STDEV(OFFSET(分析データ!G$1,MAX(1,ROW()-$C$7),0,MIN($C$7,ROW()-1),1)),0))</f>
        <v>0</v>
      </c>
      <c r="BY1190">
        <f t="shared" ca="1" si="524"/>
        <v>0</v>
      </c>
      <c r="BZ1190" t="str">
        <f ca="1">IF(BY1190=1,IF(INDEX(分析データ!$A:$A,ROW()+$C$5)&lt;&gt;"",40000*SIGN(BX1190)*(分析データ!G1190-INDEX(分析データ!G:G,ROW()+$C$5)),""),"")</f>
        <v/>
      </c>
      <c r="CA1190">
        <f t="shared" ca="1" si="525"/>
        <v>-3515452.8662109179</v>
      </c>
      <c r="CB1190">
        <f t="shared" ca="1" si="526"/>
        <v>11327520.000000004</v>
      </c>
      <c r="CC1190">
        <f t="shared" ca="1" si="527"/>
        <v>-14842972.866210923</v>
      </c>
      <c r="CD1190">
        <f t="shared" ca="1" si="528"/>
        <v>0</v>
      </c>
      <c r="CE1190">
        <f t="shared" ca="1" si="529"/>
        <v>23090347.13378913</v>
      </c>
      <c r="CF1190">
        <f t="shared" ca="1" si="530"/>
        <v>23090347.13378913</v>
      </c>
      <c r="CG1190">
        <f t="shared" ca="1" si="531"/>
        <v>0</v>
      </c>
      <c r="CH1190" s="10" t="str">
        <f>分析データ!A1190</f>
        <v/>
      </c>
    </row>
    <row r="1191" spans="46:86">
      <c r="AT1191">
        <f ca="1">IF(ROW()&lt;($C$7+1),"",IFERROR((分析データ!B1191-AVERAGE(OFFSET(分析データ!B$1,MAX(1,ROW()-$C$7),0,MIN($C$7,ROW()-1),1)))/STDEV(OFFSET(分析データ!B$1,MAX(1,ROW()-$C$7),0,MIN($C$7,ROW()-1),1)),0))</f>
        <v>0</v>
      </c>
      <c r="AU1191">
        <f t="shared" ca="1" si="504"/>
        <v>0</v>
      </c>
      <c r="AV1191" t="str">
        <f ca="1">IF(AU1191=1,IF(INDEX(分析データ!$A:$A,ROW()+$C$5)&lt;&gt;"",80000*SIGN(AT1191)*(分析データ!B1191-INDEX(分析データ!B:B,ROW()+$C$5)),""),"")</f>
        <v/>
      </c>
      <c r="AW1191">
        <f t="shared" ca="1" si="505"/>
        <v>-1240000.0000000019</v>
      </c>
      <c r="AX1191">
        <f t="shared" ca="1" si="506"/>
        <v>0</v>
      </c>
      <c r="AY1191">
        <f t="shared" ca="1" si="507"/>
        <v>-1240000.0000000019</v>
      </c>
      <c r="AZ1191">
        <f ca="1">IF(ROW()&lt;($C$7+1),"",IFERROR((分析データ!C1191-AVERAGE(OFFSET(分析データ!C$1,MAX(1,ROW()-$C$7),0,MIN($C$7,ROW()-1),1)))/STDEV(OFFSET(分析データ!C$1,MAX(1,ROW()-$C$7),0,MIN($C$7,ROW()-1),1)),0))</f>
        <v>0</v>
      </c>
      <c r="BA1191">
        <f t="shared" ca="1" si="508"/>
        <v>0</v>
      </c>
      <c r="BB1191" t="str">
        <f ca="1">IF(BA1191=1,IF(INDEX(分析データ!$A:$A,ROW()+$C$5)&lt;&gt;"",60000*SIGN(AZ1191)*(分析データ!C1191-INDEX(分析データ!C:C,ROW()+$C$5)),""),"")</f>
        <v/>
      </c>
      <c r="BC1191">
        <f t="shared" ca="1" si="509"/>
        <v>-260999.9999999851</v>
      </c>
      <c r="BD1191">
        <f t="shared" ca="1" si="510"/>
        <v>3156000.0000000107</v>
      </c>
      <c r="BE1191">
        <f t="shared" ca="1" si="511"/>
        <v>-3416999.9999999958</v>
      </c>
      <c r="BF1191">
        <f ca="1">IF(ROW()&lt;($C$7+1),"",IFERROR((分析データ!D1191-AVERAGE(OFFSET(分析データ!D$1,MAX(1,ROW()-$C$7),0,MIN($C$7,ROW()-1),1)))/STDEV(OFFSET(分析データ!D$1,MAX(1,ROW()-$C$7),0,MIN($C$7,ROW()-1),1)),0))</f>
        <v>0</v>
      </c>
      <c r="BG1191">
        <f t="shared" ca="1" si="512"/>
        <v>0</v>
      </c>
      <c r="BH1191" t="str">
        <f ca="1">IF(BG1191=1,IF(INDEX(分析データ!$A:$A,ROW()+$C$5)&lt;&gt;"",50000*SIGN(BF1191)*(分析データ!D1191-INDEX(分析データ!D:D,ROW()+$C$5)),""),"")</f>
        <v/>
      </c>
      <c r="BI1191">
        <f t="shared" ca="1" si="513"/>
        <v>5570000.0000000205</v>
      </c>
      <c r="BJ1191">
        <f t="shared" ca="1" si="514"/>
        <v>5570000.0000000205</v>
      </c>
      <c r="BK1191">
        <f t="shared" ca="1" si="515"/>
        <v>0</v>
      </c>
      <c r="BL1191">
        <f ca="1">IF(ROW()&lt;($C$7+1),"",IFERROR((分析データ!E1191-AVERAGE(OFFSET(分析データ!E$1,MAX(1,ROW()-$C$7),0,MIN($C$7,ROW()-1),1)))/STDEV(OFFSET(分析データ!E$1,MAX(1,ROW()-$C$7),0,MIN($C$7,ROW()-1),1)),0))</f>
        <v>0</v>
      </c>
      <c r="BM1191">
        <f t="shared" ca="1" si="516"/>
        <v>0</v>
      </c>
      <c r="BN1191" t="str">
        <f ca="1">IF(BM1191=1,IF(INDEX(分析データ!$A:$A,ROW()+$C$5)&lt;&gt;"",40000*SIGN(BL1191)*(分析データ!E1191-INDEX(分析データ!E:E,ROW()+$C$5)),""),"")</f>
        <v/>
      </c>
      <c r="BO1191">
        <f t="shared" ca="1" si="517"/>
        <v>2720000.0000000014</v>
      </c>
      <c r="BP1191">
        <f t="shared" ca="1" si="518"/>
        <v>4280000.0000000028</v>
      </c>
      <c r="BQ1191">
        <f t="shared" ca="1" si="519"/>
        <v>-1560000.0000000014</v>
      </c>
      <c r="BR1191">
        <f ca="1">IF(ROW()&lt;($C$7+1),"",IFERROR((分析データ!F1191-AVERAGE(OFFSET(分析データ!F$1,MAX(1,ROW()-$C$7),0,MIN($C$7,ROW()-1),1)))/STDEV(OFFSET(分析データ!F$1,MAX(1,ROW()-$C$7),0,MIN($C$7,ROW()-1),1)),0))</f>
        <v>0</v>
      </c>
      <c r="BS1191">
        <f t="shared" ca="1" si="520"/>
        <v>0</v>
      </c>
      <c r="BT1191" t="str">
        <f ca="1">IF(BS1191=1,IF(INDEX(分析データ!$A:$A,ROW()+$C$5)&lt;&gt;"",40000*SIGN(BR1191)*(分析データ!F1191-INDEX(分析データ!F:F,ROW()+$C$5)),""),"")</f>
        <v/>
      </c>
      <c r="BU1191">
        <f t="shared" ca="1" si="521"/>
        <v>19816800</v>
      </c>
      <c r="BV1191">
        <f t="shared" ca="1" si="522"/>
        <v>19816800</v>
      </c>
      <c r="BW1191">
        <f t="shared" ca="1" si="523"/>
        <v>0</v>
      </c>
      <c r="BX1191">
        <f ca="1">IF(ROW()&lt;($C$7+1),"",IFERROR((分析データ!G1191-AVERAGE(OFFSET(分析データ!G$1,MAX(1,ROW()-$C$7),0,MIN($C$7,ROW()-1),1)))/STDEV(OFFSET(分析データ!G$1,MAX(1,ROW()-$C$7),0,MIN($C$7,ROW()-1),1)),0))</f>
        <v>0</v>
      </c>
      <c r="BY1191">
        <f t="shared" ca="1" si="524"/>
        <v>0</v>
      </c>
      <c r="BZ1191" t="str">
        <f ca="1">IF(BY1191=1,IF(INDEX(分析データ!$A:$A,ROW()+$C$5)&lt;&gt;"",40000*SIGN(BX1191)*(分析データ!G1191-INDEX(分析データ!G:G,ROW()+$C$5)),""),"")</f>
        <v/>
      </c>
      <c r="CA1191">
        <f t="shared" ca="1" si="525"/>
        <v>-3515452.8662109179</v>
      </c>
      <c r="CB1191">
        <f t="shared" ca="1" si="526"/>
        <v>11327520.000000004</v>
      </c>
      <c r="CC1191">
        <f t="shared" ca="1" si="527"/>
        <v>-14842972.866210923</v>
      </c>
      <c r="CD1191">
        <f t="shared" ca="1" si="528"/>
        <v>0</v>
      </c>
      <c r="CE1191">
        <f t="shared" ca="1" si="529"/>
        <v>23090347.13378913</v>
      </c>
      <c r="CF1191">
        <f t="shared" ca="1" si="530"/>
        <v>23090347.13378913</v>
      </c>
      <c r="CG1191">
        <f t="shared" ca="1" si="531"/>
        <v>0</v>
      </c>
      <c r="CH1191" s="10" t="str">
        <f>分析データ!A1191</f>
        <v/>
      </c>
    </row>
    <row r="1192" spans="46:86">
      <c r="AT1192">
        <f ca="1">IF(ROW()&lt;($C$7+1),"",IFERROR((分析データ!B1192-AVERAGE(OFFSET(分析データ!B$1,MAX(1,ROW()-$C$7),0,MIN($C$7,ROW()-1),1)))/STDEV(OFFSET(分析データ!B$1,MAX(1,ROW()-$C$7),0,MIN($C$7,ROW()-1),1)),0))</f>
        <v>0</v>
      </c>
      <c r="AU1192">
        <f t="shared" ca="1" si="504"/>
        <v>0</v>
      </c>
      <c r="AV1192" t="str">
        <f ca="1">IF(AU1192=1,IF(INDEX(分析データ!$A:$A,ROW()+$C$5)&lt;&gt;"",80000*SIGN(AT1192)*(分析データ!B1192-INDEX(分析データ!B:B,ROW()+$C$5)),""),"")</f>
        <v/>
      </c>
      <c r="AW1192">
        <f t="shared" ca="1" si="505"/>
        <v>-1240000.0000000019</v>
      </c>
      <c r="AX1192">
        <f t="shared" ca="1" si="506"/>
        <v>0</v>
      </c>
      <c r="AY1192">
        <f t="shared" ca="1" si="507"/>
        <v>-1240000.0000000019</v>
      </c>
      <c r="AZ1192">
        <f ca="1">IF(ROW()&lt;($C$7+1),"",IFERROR((分析データ!C1192-AVERAGE(OFFSET(分析データ!C$1,MAX(1,ROW()-$C$7),0,MIN($C$7,ROW()-1),1)))/STDEV(OFFSET(分析データ!C$1,MAX(1,ROW()-$C$7),0,MIN($C$7,ROW()-1),1)),0))</f>
        <v>0</v>
      </c>
      <c r="BA1192">
        <f t="shared" ca="1" si="508"/>
        <v>0</v>
      </c>
      <c r="BB1192" t="str">
        <f ca="1">IF(BA1192=1,IF(INDEX(分析データ!$A:$A,ROW()+$C$5)&lt;&gt;"",60000*SIGN(AZ1192)*(分析データ!C1192-INDEX(分析データ!C:C,ROW()+$C$5)),""),"")</f>
        <v/>
      </c>
      <c r="BC1192">
        <f t="shared" ca="1" si="509"/>
        <v>-260999.9999999851</v>
      </c>
      <c r="BD1192">
        <f t="shared" ca="1" si="510"/>
        <v>3156000.0000000107</v>
      </c>
      <c r="BE1192">
        <f t="shared" ca="1" si="511"/>
        <v>-3416999.9999999958</v>
      </c>
      <c r="BF1192">
        <f ca="1">IF(ROW()&lt;($C$7+1),"",IFERROR((分析データ!D1192-AVERAGE(OFFSET(分析データ!D$1,MAX(1,ROW()-$C$7),0,MIN($C$7,ROW()-1),1)))/STDEV(OFFSET(分析データ!D$1,MAX(1,ROW()-$C$7),0,MIN($C$7,ROW()-1),1)),0))</f>
        <v>0</v>
      </c>
      <c r="BG1192">
        <f t="shared" ca="1" si="512"/>
        <v>0</v>
      </c>
      <c r="BH1192" t="str">
        <f ca="1">IF(BG1192=1,IF(INDEX(分析データ!$A:$A,ROW()+$C$5)&lt;&gt;"",50000*SIGN(BF1192)*(分析データ!D1192-INDEX(分析データ!D:D,ROW()+$C$5)),""),"")</f>
        <v/>
      </c>
      <c r="BI1192">
        <f t="shared" ca="1" si="513"/>
        <v>5570000.0000000205</v>
      </c>
      <c r="BJ1192">
        <f t="shared" ca="1" si="514"/>
        <v>5570000.0000000205</v>
      </c>
      <c r="BK1192">
        <f t="shared" ca="1" si="515"/>
        <v>0</v>
      </c>
      <c r="BL1192">
        <f ca="1">IF(ROW()&lt;($C$7+1),"",IFERROR((分析データ!E1192-AVERAGE(OFFSET(分析データ!E$1,MAX(1,ROW()-$C$7),0,MIN($C$7,ROW()-1),1)))/STDEV(OFFSET(分析データ!E$1,MAX(1,ROW()-$C$7),0,MIN($C$7,ROW()-1),1)),0))</f>
        <v>0</v>
      </c>
      <c r="BM1192">
        <f t="shared" ca="1" si="516"/>
        <v>0</v>
      </c>
      <c r="BN1192" t="str">
        <f ca="1">IF(BM1192=1,IF(INDEX(分析データ!$A:$A,ROW()+$C$5)&lt;&gt;"",40000*SIGN(BL1192)*(分析データ!E1192-INDEX(分析データ!E:E,ROW()+$C$5)),""),"")</f>
        <v/>
      </c>
      <c r="BO1192">
        <f t="shared" ca="1" si="517"/>
        <v>2720000.0000000014</v>
      </c>
      <c r="BP1192">
        <f t="shared" ca="1" si="518"/>
        <v>4280000.0000000028</v>
      </c>
      <c r="BQ1192">
        <f t="shared" ca="1" si="519"/>
        <v>-1560000.0000000014</v>
      </c>
      <c r="BR1192">
        <f ca="1">IF(ROW()&lt;($C$7+1),"",IFERROR((分析データ!F1192-AVERAGE(OFFSET(分析データ!F$1,MAX(1,ROW()-$C$7),0,MIN($C$7,ROW()-1),1)))/STDEV(OFFSET(分析データ!F$1,MAX(1,ROW()-$C$7),0,MIN($C$7,ROW()-1),1)),0))</f>
        <v>0</v>
      </c>
      <c r="BS1192">
        <f t="shared" ca="1" si="520"/>
        <v>0</v>
      </c>
      <c r="BT1192" t="str">
        <f ca="1">IF(BS1192=1,IF(INDEX(分析データ!$A:$A,ROW()+$C$5)&lt;&gt;"",40000*SIGN(BR1192)*(分析データ!F1192-INDEX(分析データ!F:F,ROW()+$C$5)),""),"")</f>
        <v/>
      </c>
      <c r="BU1192">
        <f t="shared" ca="1" si="521"/>
        <v>19816800</v>
      </c>
      <c r="BV1192">
        <f t="shared" ca="1" si="522"/>
        <v>19816800</v>
      </c>
      <c r="BW1192">
        <f t="shared" ca="1" si="523"/>
        <v>0</v>
      </c>
      <c r="BX1192">
        <f ca="1">IF(ROW()&lt;($C$7+1),"",IFERROR((分析データ!G1192-AVERAGE(OFFSET(分析データ!G$1,MAX(1,ROW()-$C$7),0,MIN($C$7,ROW()-1),1)))/STDEV(OFFSET(分析データ!G$1,MAX(1,ROW()-$C$7),0,MIN($C$7,ROW()-1),1)),0))</f>
        <v>0</v>
      </c>
      <c r="BY1192">
        <f t="shared" ca="1" si="524"/>
        <v>0</v>
      </c>
      <c r="BZ1192" t="str">
        <f ca="1">IF(BY1192=1,IF(INDEX(分析データ!$A:$A,ROW()+$C$5)&lt;&gt;"",40000*SIGN(BX1192)*(分析データ!G1192-INDEX(分析データ!G:G,ROW()+$C$5)),""),"")</f>
        <v/>
      </c>
      <c r="CA1192">
        <f t="shared" ca="1" si="525"/>
        <v>-3515452.8662109179</v>
      </c>
      <c r="CB1192">
        <f t="shared" ca="1" si="526"/>
        <v>11327520.000000004</v>
      </c>
      <c r="CC1192">
        <f t="shared" ca="1" si="527"/>
        <v>-14842972.866210923</v>
      </c>
      <c r="CD1192">
        <f t="shared" ca="1" si="528"/>
        <v>0</v>
      </c>
      <c r="CE1192">
        <f t="shared" ca="1" si="529"/>
        <v>23090347.13378913</v>
      </c>
      <c r="CF1192">
        <f t="shared" ca="1" si="530"/>
        <v>23090347.13378913</v>
      </c>
      <c r="CG1192">
        <f t="shared" ca="1" si="531"/>
        <v>0</v>
      </c>
      <c r="CH1192" s="10" t="str">
        <f>分析データ!A1192</f>
        <v/>
      </c>
    </row>
    <row r="1193" spans="46:86">
      <c r="AT1193">
        <f ca="1">IF(ROW()&lt;($C$7+1),"",IFERROR((分析データ!B1193-AVERAGE(OFFSET(分析データ!B$1,MAX(1,ROW()-$C$7),0,MIN($C$7,ROW()-1),1)))/STDEV(OFFSET(分析データ!B$1,MAX(1,ROW()-$C$7),0,MIN($C$7,ROW()-1),1)),0))</f>
        <v>0</v>
      </c>
      <c r="AU1193">
        <f t="shared" ca="1" si="504"/>
        <v>0</v>
      </c>
      <c r="AV1193" t="str">
        <f ca="1">IF(AU1193=1,IF(INDEX(分析データ!$A:$A,ROW()+$C$5)&lt;&gt;"",80000*SIGN(AT1193)*(分析データ!B1193-INDEX(分析データ!B:B,ROW()+$C$5)),""),"")</f>
        <v/>
      </c>
      <c r="AW1193">
        <f t="shared" ca="1" si="505"/>
        <v>-1240000.0000000019</v>
      </c>
      <c r="AX1193">
        <f t="shared" ca="1" si="506"/>
        <v>0</v>
      </c>
      <c r="AY1193">
        <f t="shared" ca="1" si="507"/>
        <v>-1240000.0000000019</v>
      </c>
      <c r="AZ1193">
        <f ca="1">IF(ROW()&lt;($C$7+1),"",IFERROR((分析データ!C1193-AVERAGE(OFFSET(分析データ!C$1,MAX(1,ROW()-$C$7),0,MIN($C$7,ROW()-1),1)))/STDEV(OFFSET(分析データ!C$1,MAX(1,ROW()-$C$7),0,MIN($C$7,ROW()-1),1)),0))</f>
        <v>0</v>
      </c>
      <c r="BA1193">
        <f t="shared" ca="1" si="508"/>
        <v>0</v>
      </c>
      <c r="BB1193" t="str">
        <f ca="1">IF(BA1193=1,IF(INDEX(分析データ!$A:$A,ROW()+$C$5)&lt;&gt;"",60000*SIGN(AZ1193)*(分析データ!C1193-INDEX(分析データ!C:C,ROW()+$C$5)),""),"")</f>
        <v/>
      </c>
      <c r="BC1193">
        <f t="shared" ca="1" si="509"/>
        <v>-260999.9999999851</v>
      </c>
      <c r="BD1193">
        <f t="shared" ca="1" si="510"/>
        <v>3156000.0000000107</v>
      </c>
      <c r="BE1193">
        <f t="shared" ca="1" si="511"/>
        <v>-3416999.9999999958</v>
      </c>
      <c r="BF1193">
        <f ca="1">IF(ROW()&lt;($C$7+1),"",IFERROR((分析データ!D1193-AVERAGE(OFFSET(分析データ!D$1,MAX(1,ROW()-$C$7),0,MIN($C$7,ROW()-1),1)))/STDEV(OFFSET(分析データ!D$1,MAX(1,ROW()-$C$7),0,MIN($C$7,ROW()-1),1)),0))</f>
        <v>0</v>
      </c>
      <c r="BG1193">
        <f t="shared" ca="1" si="512"/>
        <v>0</v>
      </c>
      <c r="BH1193" t="str">
        <f ca="1">IF(BG1193=1,IF(INDEX(分析データ!$A:$A,ROW()+$C$5)&lt;&gt;"",50000*SIGN(BF1193)*(分析データ!D1193-INDEX(分析データ!D:D,ROW()+$C$5)),""),"")</f>
        <v/>
      </c>
      <c r="BI1193">
        <f t="shared" ca="1" si="513"/>
        <v>5570000.0000000205</v>
      </c>
      <c r="BJ1193">
        <f t="shared" ca="1" si="514"/>
        <v>5570000.0000000205</v>
      </c>
      <c r="BK1193">
        <f t="shared" ca="1" si="515"/>
        <v>0</v>
      </c>
      <c r="BL1193">
        <f ca="1">IF(ROW()&lt;($C$7+1),"",IFERROR((分析データ!E1193-AVERAGE(OFFSET(分析データ!E$1,MAX(1,ROW()-$C$7),0,MIN($C$7,ROW()-1),1)))/STDEV(OFFSET(分析データ!E$1,MAX(1,ROW()-$C$7),0,MIN($C$7,ROW()-1),1)),0))</f>
        <v>0</v>
      </c>
      <c r="BM1193">
        <f t="shared" ca="1" si="516"/>
        <v>0</v>
      </c>
      <c r="BN1193" t="str">
        <f ca="1">IF(BM1193=1,IF(INDEX(分析データ!$A:$A,ROW()+$C$5)&lt;&gt;"",40000*SIGN(BL1193)*(分析データ!E1193-INDEX(分析データ!E:E,ROW()+$C$5)),""),"")</f>
        <v/>
      </c>
      <c r="BO1193">
        <f t="shared" ca="1" si="517"/>
        <v>2720000.0000000014</v>
      </c>
      <c r="BP1193">
        <f t="shared" ca="1" si="518"/>
        <v>4280000.0000000028</v>
      </c>
      <c r="BQ1193">
        <f t="shared" ca="1" si="519"/>
        <v>-1560000.0000000014</v>
      </c>
      <c r="BR1193">
        <f ca="1">IF(ROW()&lt;($C$7+1),"",IFERROR((分析データ!F1193-AVERAGE(OFFSET(分析データ!F$1,MAX(1,ROW()-$C$7),0,MIN($C$7,ROW()-1),1)))/STDEV(OFFSET(分析データ!F$1,MAX(1,ROW()-$C$7),0,MIN($C$7,ROW()-1),1)),0))</f>
        <v>0</v>
      </c>
      <c r="BS1193">
        <f t="shared" ca="1" si="520"/>
        <v>0</v>
      </c>
      <c r="BT1193" t="str">
        <f ca="1">IF(BS1193=1,IF(INDEX(分析データ!$A:$A,ROW()+$C$5)&lt;&gt;"",40000*SIGN(BR1193)*(分析データ!F1193-INDEX(分析データ!F:F,ROW()+$C$5)),""),"")</f>
        <v/>
      </c>
      <c r="BU1193">
        <f t="shared" ca="1" si="521"/>
        <v>19816800</v>
      </c>
      <c r="BV1193">
        <f t="shared" ca="1" si="522"/>
        <v>19816800</v>
      </c>
      <c r="BW1193">
        <f t="shared" ca="1" si="523"/>
        <v>0</v>
      </c>
      <c r="BX1193">
        <f ca="1">IF(ROW()&lt;($C$7+1),"",IFERROR((分析データ!G1193-AVERAGE(OFFSET(分析データ!G$1,MAX(1,ROW()-$C$7),0,MIN($C$7,ROW()-1),1)))/STDEV(OFFSET(分析データ!G$1,MAX(1,ROW()-$C$7),0,MIN($C$7,ROW()-1),1)),0))</f>
        <v>0</v>
      </c>
      <c r="BY1193">
        <f t="shared" ca="1" si="524"/>
        <v>0</v>
      </c>
      <c r="BZ1193" t="str">
        <f ca="1">IF(BY1193=1,IF(INDEX(分析データ!$A:$A,ROW()+$C$5)&lt;&gt;"",40000*SIGN(BX1193)*(分析データ!G1193-INDEX(分析データ!G:G,ROW()+$C$5)),""),"")</f>
        <v/>
      </c>
      <c r="CA1193">
        <f t="shared" ca="1" si="525"/>
        <v>-3515452.8662109179</v>
      </c>
      <c r="CB1193">
        <f t="shared" ca="1" si="526"/>
        <v>11327520.000000004</v>
      </c>
      <c r="CC1193">
        <f t="shared" ca="1" si="527"/>
        <v>-14842972.866210923</v>
      </c>
      <c r="CD1193">
        <f t="shared" ca="1" si="528"/>
        <v>0</v>
      </c>
      <c r="CE1193">
        <f t="shared" ca="1" si="529"/>
        <v>23090347.13378913</v>
      </c>
      <c r="CF1193">
        <f t="shared" ca="1" si="530"/>
        <v>23090347.13378913</v>
      </c>
      <c r="CG1193">
        <f t="shared" ca="1" si="531"/>
        <v>0</v>
      </c>
      <c r="CH1193" s="10" t="str">
        <f>分析データ!A1193</f>
        <v/>
      </c>
    </row>
    <row r="1194" spans="46:86">
      <c r="AT1194">
        <f ca="1">IF(ROW()&lt;($C$7+1),"",IFERROR((分析データ!B1194-AVERAGE(OFFSET(分析データ!B$1,MAX(1,ROW()-$C$7),0,MIN($C$7,ROW()-1),1)))/STDEV(OFFSET(分析データ!B$1,MAX(1,ROW()-$C$7),0,MIN($C$7,ROW()-1),1)),0))</f>
        <v>0</v>
      </c>
      <c r="AU1194">
        <f t="shared" ca="1" si="504"/>
        <v>0</v>
      </c>
      <c r="AV1194" t="str">
        <f ca="1">IF(AU1194=1,IF(INDEX(分析データ!$A:$A,ROW()+$C$5)&lt;&gt;"",80000*SIGN(AT1194)*(分析データ!B1194-INDEX(分析データ!B:B,ROW()+$C$5)),""),"")</f>
        <v/>
      </c>
      <c r="AW1194">
        <f t="shared" ca="1" si="505"/>
        <v>-1240000.0000000019</v>
      </c>
      <c r="AX1194">
        <f t="shared" ca="1" si="506"/>
        <v>0</v>
      </c>
      <c r="AY1194">
        <f t="shared" ca="1" si="507"/>
        <v>-1240000.0000000019</v>
      </c>
      <c r="AZ1194">
        <f ca="1">IF(ROW()&lt;($C$7+1),"",IFERROR((分析データ!C1194-AVERAGE(OFFSET(分析データ!C$1,MAX(1,ROW()-$C$7),0,MIN($C$7,ROW()-1),1)))/STDEV(OFFSET(分析データ!C$1,MAX(1,ROW()-$C$7),0,MIN($C$7,ROW()-1),1)),0))</f>
        <v>0</v>
      </c>
      <c r="BA1194">
        <f t="shared" ca="1" si="508"/>
        <v>0</v>
      </c>
      <c r="BB1194" t="str">
        <f ca="1">IF(BA1194=1,IF(INDEX(分析データ!$A:$A,ROW()+$C$5)&lt;&gt;"",60000*SIGN(AZ1194)*(分析データ!C1194-INDEX(分析データ!C:C,ROW()+$C$5)),""),"")</f>
        <v/>
      </c>
      <c r="BC1194">
        <f t="shared" ca="1" si="509"/>
        <v>-260999.9999999851</v>
      </c>
      <c r="BD1194">
        <f t="shared" ca="1" si="510"/>
        <v>3156000.0000000107</v>
      </c>
      <c r="BE1194">
        <f t="shared" ca="1" si="511"/>
        <v>-3416999.9999999958</v>
      </c>
      <c r="BF1194">
        <f ca="1">IF(ROW()&lt;($C$7+1),"",IFERROR((分析データ!D1194-AVERAGE(OFFSET(分析データ!D$1,MAX(1,ROW()-$C$7),0,MIN($C$7,ROW()-1),1)))/STDEV(OFFSET(分析データ!D$1,MAX(1,ROW()-$C$7),0,MIN($C$7,ROW()-1),1)),0))</f>
        <v>0</v>
      </c>
      <c r="BG1194">
        <f t="shared" ca="1" si="512"/>
        <v>0</v>
      </c>
      <c r="BH1194" t="str">
        <f ca="1">IF(BG1194=1,IF(INDEX(分析データ!$A:$A,ROW()+$C$5)&lt;&gt;"",50000*SIGN(BF1194)*(分析データ!D1194-INDEX(分析データ!D:D,ROW()+$C$5)),""),"")</f>
        <v/>
      </c>
      <c r="BI1194">
        <f t="shared" ca="1" si="513"/>
        <v>5570000.0000000205</v>
      </c>
      <c r="BJ1194">
        <f t="shared" ca="1" si="514"/>
        <v>5570000.0000000205</v>
      </c>
      <c r="BK1194">
        <f t="shared" ca="1" si="515"/>
        <v>0</v>
      </c>
      <c r="BL1194">
        <f ca="1">IF(ROW()&lt;($C$7+1),"",IFERROR((分析データ!E1194-AVERAGE(OFFSET(分析データ!E$1,MAX(1,ROW()-$C$7),0,MIN($C$7,ROW()-1),1)))/STDEV(OFFSET(分析データ!E$1,MAX(1,ROW()-$C$7),0,MIN($C$7,ROW()-1),1)),0))</f>
        <v>0</v>
      </c>
      <c r="BM1194">
        <f t="shared" ca="1" si="516"/>
        <v>0</v>
      </c>
      <c r="BN1194" t="str">
        <f ca="1">IF(BM1194=1,IF(INDEX(分析データ!$A:$A,ROW()+$C$5)&lt;&gt;"",40000*SIGN(BL1194)*(分析データ!E1194-INDEX(分析データ!E:E,ROW()+$C$5)),""),"")</f>
        <v/>
      </c>
      <c r="BO1194">
        <f t="shared" ca="1" si="517"/>
        <v>2720000.0000000014</v>
      </c>
      <c r="BP1194">
        <f t="shared" ca="1" si="518"/>
        <v>4280000.0000000028</v>
      </c>
      <c r="BQ1194">
        <f t="shared" ca="1" si="519"/>
        <v>-1560000.0000000014</v>
      </c>
      <c r="BR1194">
        <f ca="1">IF(ROW()&lt;($C$7+1),"",IFERROR((分析データ!F1194-AVERAGE(OFFSET(分析データ!F$1,MAX(1,ROW()-$C$7),0,MIN($C$7,ROW()-1),1)))/STDEV(OFFSET(分析データ!F$1,MAX(1,ROW()-$C$7),0,MIN($C$7,ROW()-1),1)),0))</f>
        <v>0</v>
      </c>
      <c r="BS1194">
        <f t="shared" ca="1" si="520"/>
        <v>0</v>
      </c>
      <c r="BT1194" t="str">
        <f ca="1">IF(BS1194=1,IF(INDEX(分析データ!$A:$A,ROW()+$C$5)&lt;&gt;"",40000*SIGN(BR1194)*(分析データ!F1194-INDEX(分析データ!F:F,ROW()+$C$5)),""),"")</f>
        <v/>
      </c>
      <c r="BU1194">
        <f t="shared" ca="1" si="521"/>
        <v>19816800</v>
      </c>
      <c r="BV1194">
        <f t="shared" ca="1" si="522"/>
        <v>19816800</v>
      </c>
      <c r="BW1194">
        <f t="shared" ca="1" si="523"/>
        <v>0</v>
      </c>
      <c r="BX1194">
        <f ca="1">IF(ROW()&lt;($C$7+1),"",IFERROR((分析データ!G1194-AVERAGE(OFFSET(分析データ!G$1,MAX(1,ROW()-$C$7),0,MIN($C$7,ROW()-1),1)))/STDEV(OFFSET(分析データ!G$1,MAX(1,ROW()-$C$7),0,MIN($C$7,ROW()-1),1)),0))</f>
        <v>0</v>
      </c>
      <c r="BY1194">
        <f t="shared" ca="1" si="524"/>
        <v>0</v>
      </c>
      <c r="BZ1194" t="str">
        <f ca="1">IF(BY1194=1,IF(INDEX(分析データ!$A:$A,ROW()+$C$5)&lt;&gt;"",40000*SIGN(BX1194)*(分析データ!G1194-INDEX(分析データ!G:G,ROW()+$C$5)),""),"")</f>
        <v/>
      </c>
      <c r="CA1194">
        <f t="shared" ca="1" si="525"/>
        <v>-3515452.8662109179</v>
      </c>
      <c r="CB1194">
        <f t="shared" ca="1" si="526"/>
        <v>11327520.000000004</v>
      </c>
      <c r="CC1194">
        <f t="shared" ca="1" si="527"/>
        <v>-14842972.866210923</v>
      </c>
      <c r="CD1194">
        <f t="shared" ca="1" si="528"/>
        <v>0</v>
      </c>
      <c r="CE1194">
        <f t="shared" ca="1" si="529"/>
        <v>23090347.13378913</v>
      </c>
      <c r="CF1194">
        <f t="shared" ca="1" si="530"/>
        <v>23090347.13378913</v>
      </c>
      <c r="CG1194">
        <f t="shared" ca="1" si="531"/>
        <v>0</v>
      </c>
      <c r="CH1194" s="10" t="str">
        <f>分析データ!A1194</f>
        <v/>
      </c>
    </row>
    <row r="1195" spans="46:86">
      <c r="AT1195">
        <f ca="1">IF(ROW()&lt;($C$7+1),"",IFERROR((分析データ!B1195-AVERAGE(OFFSET(分析データ!B$1,MAX(1,ROW()-$C$7),0,MIN($C$7,ROW()-1),1)))/STDEV(OFFSET(分析データ!B$1,MAX(1,ROW()-$C$7),0,MIN($C$7,ROW()-1),1)),0))</f>
        <v>0</v>
      </c>
      <c r="AU1195">
        <f t="shared" ca="1" si="504"/>
        <v>0</v>
      </c>
      <c r="AV1195" t="str">
        <f ca="1">IF(AU1195=1,IF(INDEX(分析データ!$A:$A,ROW()+$C$5)&lt;&gt;"",80000*SIGN(AT1195)*(分析データ!B1195-INDEX(分析データ!B:B,ROW()+$C$5)),""),"")</f>
        <v/>
      </c>
      <c r="AW1195">
        <f t="shared" ca="1" si="505"/>
        <v>-1240000.0000000019</v>
      </c>
      <c r="AX1195">
        <f t="shared" ca="1" si="506"/>
        <v>0</v>
      </c>
      <c r="AY1195">
        <f t="shared" ca="1" si="507"/>
        <v>-1240000.0000000019</v>
      </c>
      <c r="AZ1195">
        <f ca="1">IF(ROW()&lt;($C$7+1),"",IFERROR((分析データ!C1195-AVERAGE(OFFSET(分析データ!C$1,MAX(1,ROW()-$C$7),0,MIN($C$7,ROW()-1),1)))/STDEV(OFFSET(分析データ!C$1,MAX(1,ROW()-$C$7),0,MIN($C$7,ROW()-1),1)),0))</f>
        <v>0</v>
      </c>
      <c r="BA1195">
        <f t="shared" ca="1" si="508"/>
        <v>0</v>
      </c>
      <c r="BB1195" t="str">
        <f ca="1">IF(BA1195=1,IF(INDEX(分析データ!$A:$A,ROW()+$C$5)&lt;&gt;"",60000*SIGN(AZ1195)*(分析データ!C1195-INDEX(分析データ!C:C,ROW()+$C$5)),""),"")</f>
        <v/>
      </c>
      <c r="BC1195">
        <f t="shared" ca="1" si="509"/>
        <v>-260999.9999999851</v>
      </c>
      <c r="BD1195">
        <f t="shared" ca="1" si="510"/>
        <v>3156000.0000000107</v>
      </c>
      <c r="BE1195">
        <f t="shared" ca="1" si="511"/>
        <v>-3416999.9999999958</v>
      </c>
      <c r="BF1195">
        <f ca="1">IF(ROW()&lt;($C$7+1),"",IFERROR((分析データ!D1195-AVERAGE(OFFSET(分析データ!D$1,MAX(1,ROW()-$C$7),0,MIN($C$7,ROW()-1),1)))/STDEV(OFFSET(分析データ!D$1,MAX(1,ROW()-$C$7),0,MIN($C$7,ROW()-1),1)),0))</f>
        <v>0</v>
      </c>
      <c r="BG1195">
        <f t="shared" ca="1" si="512"/>
        <v>0</v>
      </c>
      <c r="BH1195" t="str">
        <f ca="1">IF(BG1195=1,IF(INDEX(分析データ!$A:$A,ROW()+$C$5)&lt;&gt;"",50000*SIGN(BF1195)*(分析データ!D1195-INDEX(分析データ!D:D,ROW()+$C$5)),""),"")</f>
        <v/>
      </c>
      <c r="BI1195">
        <f t="shared" ca="1" si="513"/>
        <v>5570000.0000000205</v>
      </c>
      <c r="BJ1195">
        <f t="shared" ca="1" si="514"/>
        <v>5570000.0000000205</v>
      </c>
      <c r="BK1195">
        <f t="shared" ca="1" si="515"/>
        <v>0</v>
      </c>
      <c r="BL1195">
        <f ca="1">IF(ROW()&lt;($C$7+1),"",IFERROR((分析データ!E1195-AVERAGE(OFFSET(分析データ!E$1,MAX(1,ROW()-$C$7),0,MIN($C$7,ROW()-1),1)))/STDEV(OFFSET(分析データ!E$1,MAX(1,ROW()-$C$7),0,MIN($C$7,ROW()-1),1)),0))</f>
        <v>0</v>
      </c>
      <c r="BM1195">
        <f t="shared" ca="1" si="516"/>
        <v>0</v>
      </c>
      <c r="BN1195" t="str">
        <f ca="1">IF(BM1195=1,IF(INDEX(分析データ!$A:$A,ROW()+$C$5)&lt;&gt;"",40000*SIGN(BL1195)*(分析データ!E1195-INDEX(分析データ!E:E,ROW()+$C$5)),""),"")</f>
        <v/>
      </c>
      <c r="BO1195">
        <f t="shared" ca="1" si="517"/>
        <v>2720000.0000000014</v>
      </c>
      <c r="BP1195">
        <f t="shared" ca="1" si="518"/>
        <v>4280000.0000000028</v>
      </c>
      <c r="BQ1195">
        <f t="shared" ca="1" si="519"/>
        <v>-1560000.0000000014</v>
      </c>
      <c r="BR1195">
        <f ca="1">IF(ROW()&lt;($C$7+1),"",IFERROR((分析データ!F1195-AVERAGE(OFFSET(分析データ!F$1,MAX(1,ROW()-$C$7),0,MIN($C$7,ROW()-1),1)))/STDEV(OFFSET(分析データ!F$1,MAX(1,ROW()-$C$7),0,MIN($C$7,ROW()-1),1)),0))</f>
        <v>0</v>
      </c>
      <c r="BS1195">
        <f t="shared" ca="1" si="520"/>
        <v>0</v>
      </c>
      <c r="BT1195" t="str">
        <f ca="1">IF(BS1195=1,IF(INDEX(分析データ!$A:$A,ROW()+$C$5)&lt;&gt;"",40000*SIGN(BR1195)*(分析データ!F1195-INDEX(分析データ!F:F,ROW()+$C$5)),""),"")</f>
        <v/>
      </c>
      <c r="BU1195">
        <f t="shared" ca="1" si="521"/>
        <v>19816800</v>
      </c>
      <c r="BV1195">
        <f t="shared" ca="1" si="522"/>
        <v>19816800</v>
      </c>
      <c r="BW1195">
        <f t="shared" ca="1" si="523"/>
        <v>0</v>
      </c>
      <c r="BX1195">
        <f ca="1">IF(ROW()&lt;($C$7+1),"",IFERROR((分析データ!G1195-AVERAGE(OFFSET(分析データ!G$1,MAX(1,ROW()-$C$7),0,MIN($C$7,ROW()-1),1)))/STDEV(OFFSET(分析データ!G$1,MAX(1,ROW()-$C$7),0,MIN($C$7,ROW()-1),1)),0))</f>
        <v>0</v>
      </c>
      <c r="BY1195">
        <f t="shared" ca="1" si="524"/>
        <v>0</v>
      </c>
      <c r="BZ1195" t="str">
        <f ca="1">IF(BY1195=1,IF(INDEX(分析データ!$A:$A,ROW()+$C$5)&lt;&gt;"",40000*SIGN(BX1195)*(分析データ!G1195-INDEX(分析データ!G:G,ROW()+$C$5)),""),"")</f>
        <v/>
      </c>
      <c r="CA1195">
        <f t="shared" ca="1" si="525"/>
        <v>-3515452.8662109179</v>
      </c>
      <c r="CB1195">
        <f t="shared" ca="1" si="526"/>
        <v>11327520.000000004</v>
      </c>
      <c r="CC1195">
        <f t="shared" ca="1" si="527"/>
        <v>-14842972.866210923</v>
      </c>
      <c r="CD1195">
        <f t="shared" ca="1" si="528"/>
        <v>0</v>
      </c>
      <c r="CE1195">
        <f t="shared" ca="1" si="529"/>
        <v>23090347.13378913</v>
      </c>
      <c r="CF1195">
        <f t="shared" ca="1" si="530"/>
        <v>23090347.13378913</v>
      </c>
      <c r="CG1195">
        <f t="shared" ca="1" si="531"/>
        <v>0</v>
      </c>
      <c r="CH1195" s="10" t="str">
        <f>分析データ!A1195</f>
        <v/>
      </c>
    </row>
    <row r="1196" spans="46:86">
      <c r="AT1196">
        <f ca="1">IF(ROW()&lt;($C$7+1),"",IFERROR((分析データ!B1196-AVERAGE(OFFSET(分析データ!B$1,MAX(1,ROW()-$C$7),0,MIN($C$7,ROW()-1),1)))/STDEV(OFFSET(分析データ!B$1,MAX(1,ROW()-$C$7),0,MIN($C$7,ROW()-1),1)),0))</f>
        <v>0</v>
      </c>
      <c r="AU1196">
        <f t="shared" ca="1" si="504"/>
        <v>0</v>
      </c>
      <c r="AV1196" t="str">
        <f ca="1">IF(AU1196=1,IF(INDEX(分析データ!$A:$A,ROW()+$C$5)&lt;&gt;"",80000*SIGN(AT1196)*(分析データ!B1196-INDEX(分析データ!B:B,ROW()+$C$5)),""),"")</f>
        <v/>
      </c>
      <c r="AW1196">
        <f t="shared" ca="1" si="505"/>
        <v>-1240000.0000000019</v>
      </c>
      <c r="AX1196">
        <f t="shared" ca="1" si="506"/>
        <v>0</v>
      </c>
      <c r="AY1196">
        <f t="shared" ca="1" si="507"/>
        <v>-1240000.0000000019</v>
      </c>
      <c r="AZ1196">
        <f ca="1">IF(ROW()&lt;($C$7+1),"",IFERROR((分析データ!C1196-AVERAGE(OFFSET(分析データ!C$1,MAX(1,ROW()-$C$7),0,MIN($C$7,ROW()-1),1)))/STDEV(OFFSET(分析データ!C$1,MAX(1,ROW()-$C$7),0,MIN($C$7,ROW()-1),1)),0))</f>
        <v>0</v>
      </c>
      <c r="BA1196">
        <f t="shared" ca="1" si="508"/>
        <v>0</v>
      </c>
      <c r="BB1196" t="str">
        <f ca="1">IF(BA1196=1,IF(INDEX(分析データ!$A:$A,ROW()+$C$5)&lt;&gt;"",60000*SIGN(AZ1196)*(分析データ!C1196-INDEX(分析データ!C:C,ROW()+$C$5)),""),"")</f>
        <v/>
      </c>
      <c r="BC1196">
        <f t="shared" ca="1" si="509"/>
        <v>-260999.9999999851</v>
      </c>
      <c r="BD1196">
        <f t="shared" ca="1" si="510"/>
        <v>3156000.0000000107</v>
      </c>
      <c r="BE1196">
        <f t="shared" ca="1" si="511"/>
        <v>-3416999.9999999958</v>
      </c>
      <c r="BF1196">
        <f ca="1">IF(ROW()&lt;($C$7+1),"",IFERROR((分析データ!D1196-AVERAGE(OFFSET(分析データ!D$1,MAX(1,ROW()-$C$7),0,MIN($C$7,ROW()-1),1)))/STDEV(OFFSET(分析データ!D$1,MAX(1,ROW()-$C$7),0,MIN($C$7,ROW()-1),1)),0))</f>
        <v>0</v>
      </c>
      <c r="BG1196">
        <f t="shared" ca="1" si="512"/>
        <v>0</v>
      </c>
      <c r="BH1196" t="str">
        <f ca="1">IF(BG1196=1,IF(INDEX(分析データ!$A:$A,ROW()+$C$5)&lt;&gt;"",50000*SIGN(BF1196)*(分析データ!D1196-INDEX(分析データ!D:D,ROW()+$C$5)),""),"")</f>
        <v/>
      </c>
      <c r="BI1196">
        <f t="shared" ca="1" si="513"/>
        <v>5570000.0000000205</v>
      </c>
      <c r="BJ1196">
        <f t="shared" ca="1" si="514"/>
        <v>5570000.0000000205</v>
      </c>
      <c r="BK1196">
        <f t="shared" ca="1" si="515"/>
        <v>0</v>
      </c>
      <c r="BL1196">
        <f ca="1">IF(ROW()&lt;($C$7+1),"",IFERROR((分析データ!E1196-AVERAGE(OFFSET(分析データ!E$1,MAX(1,ROW()-$C$7),0,MIN($C$7,ROW()-1),1)))/STDEV(OFFSET(分析データ!E$1,MAX(1,ROW()-$C$7),0,MIN($C$7,ROW()-1),1)),0))</f>
        <v>0</v>
      </c>
      <c r="BM1196">
        <f t="shared" ca="1" si="516"/>
        <v>0</v>
      </c>
      <c r="BN1196" t="str">
        <f ca="1">IF(BM1196=1,IF(INDEX(分析データ!$A:$A,ROW()+$C$5)&lt;&gt;"",40000*SIGN(BL1196)*(分析データ!E1196-INDEX(分析データ!E:E,ROW()+$C$5)),""),"")</f>
        <v/>
      </c>
      <c r="BO1196">
        <f t="shared" ca="1" si="517"/>
        <v>2720000.0000000014</v>
      </c>
      <c r="BP1196">
        <f t="shared" ca="1" si="518"/>
        <v>4280000.0000000028</v>
      </c>
      <c r="BQ1196">
        <f t="shared" ca="1" si="519"/>
        <v>-1560000.0000000014</v>
      </c>
      <c r="BR1196">
        <f ca="1">IF(ROW()&lt;($C$7+1),"",IFERROR((分析データ!F1196-AVERAGE(OFFSET(分析データ!F$1,MAX(1,ROW()-$C$7),0,MIN($C$7,ROW()-1),1)))/STDEV(OFFSET(分析データ!F$1,MAX(1,ROW()-$C$7),0,MIN($C$7,ROW()-1),1)),0))</f>
        <v>0</v>
      </c>
      <c r="BS1196">
        <f t="shared" ca="1" si="520"/>
        <v>0</v>
      </c>
      <c r="BT1196" t="str">
        <f ca="1">IF(BS1196=1,IF(INDEX(分析データ!$A:$A,ROW()+$C$5)&lt;&gt;"",40000*SIGN(BR1196)*(分析データ!F1196-INDEX(分析データ!F:F,ROW()+$C$5)),""),"")</f>
        <v/>
      </c>
      <c r="BU1196">
        <f t="shared" ca="1" si="521"/>
        <v>19816800</v>
      </c>
      <c r="BV1196">
        <f t="shared" ca="1" si="522"/>
        <v>19816800</v>
      </c>
      <c r="BW1196">
        <f t="shared" ca="1" si="523"/>
        <v>0</v>
      </c>
      <c r="BX1196">
        <f ca="1">IF(ROW()&lt;($C$7+1),"",IFERROR((分析データ!G1196-AVERAGE(OFFSET(分析データ!G$1,MAX(1,ROW()-$C$7),0,MIN($C$7,ROW()-1),1)))/STDEV(OFFSET(分析データ!G$1,MAX(1,ROW()-$C$7),0,MIN($C$7,ROW()-1),1)),0))</f>
        <v>0</v>
      </c>
      <c r="BY1196">
        <f t="shared" ca="1" si="524"/>
        <v>0</v>
      </c>
      <c r="BZ1196" t="str">
        <f ca="1">IF(BY1196=1,IF(INDEX(分析データ!$A:$A,ROW()+$C$5)&lt;&gt;"",40000*SIGN(BX1196)*(分析データ!G1196-INDEX(分析データ!G:G,ROW()+$C$5)),""),"")</f>
        <v/>
      </c>
      <c r="CA1196">
        <f t="shared" ca="1" si="525"/>
        <v>-3515452.8662109179</v>
      </c>
      <c r="CB1196">
        <f t="shared" ca="1" si="526"/>
        <v>11327520.000000004</v>
      </c>
      <c r="CC1196">
        <f t="shared" ca="1" si="527"/>
        <v>-14842972.866210923</v>
      </c>
      <c r="CD1196">
        <f t="shared" ca="1" si="528"/>
        <v>0</v>
      </c>
      <c r="CE1196">
        <f t="shared" ca="1" si="529"/>
        <v>23090347.13378913</v>
      </c>
      <c r="CF1196">
        <f t="shared" ca="1" si="530"/>
        <v>23090347.13378913</v>
      </c>
      <c r="CG1196">
        <f t="shared" ca="1" si="531"/>
        <v>0</v>
      </c>
      <c r="CH1196" s="10" t="str">
        <f>分析データ!A1196</f>
        <v/>
      </c>
    </row>
    <row r="1197" spans="46:86">
      <c r="AT1197">
        <f ca="1">IF(ROW()&lt;($C$7+1),"",IFERROR((分析データ!B1197-AVERAGE(OFFSET(分析データ!B$1,MAX(1,ROW()-$C$7),0,MIN($C$7,ROW()-1),1)))/STDEV(OFFSET(分析データ!B$1,MAX(1,ROW()-$C$7),0,MIN($C$7,ROW()-1),1)),0))</f>
        <v>0</v>
      </c>
      <c r="AU1197">
        <f t="shared" ca="1" si="504"/>
        <v>0</v>
      </c>
      <c r="AV1197" t="str">
        <f ca="1">IF(AU1197=1,IF(INDEX(分析データ!$A:$A,ROW()+$C$5)&lt;&gt;"",80000*SIGN(AT1197)*(分析データ!B1197-INDEX(分析データ!B:B,ROW()+$C$5)),""),"")</f>
        <v/>
      </c>
      <c r="AW1197">
        <f t="shared" ca="1" si="505"/>
        <v>-1240000.0000000019</v>
      </c>
      <c r="AX1197">
        <f t="shared" ca="1" si="506"/>
        <v>0</v>
      </c>
      <c r="AY1197">
        <f t="shared" ca="1" si="507"/>
        <v>-1240000.0000000019</v>
      </c>
      <c r="AZ1197">
        <f ca="1">IF(ROW()&lt;($C$7+1),"",IFERROR((分析データ!C1197-AVERAGE(OFFSET(分析データ!C$1,MAX(1,ROW()-$C$7),0,MIN($C$7,ROW()-1),1)))/STDEV(OFFSET(分析データ!C$1,MAX(1,ROW()-$C$7),0,MIN($C$7,ROW()-1),1)),0))</f>
        <v>0</v>
      </c>
      <c r="BA1197">
        <f t="shared" ca="1" si="508"/>
        <v>0</v>
      </c>
      <c r="BB1197" t="str">
        <f ca="1">IF(BA1197=1,IF(INDEX(分析データ!$A:$A,ROW()+$C$5)&lt;&gt;"",60000*SIGN(AZ1197)*(分析データ!C1197-INDEX(分析データ!C:C,ROW()+$C$5)),""),"")</f>
        <v/>
      </c>
      <c r="BC1197">
        <f t="shared" ca="1" si="509"/>
        <v>-260999.9999999851</v>
      </c>
      <c r="BD1197">
        <f t="shared" ca="1" si="510"/>
        <v>3156000.0000000107</v>
      </c>
      <c r="BE1197">
        <f t="shared" ca="1" si="511"/>
        <v>-3416999.9999999958</v>
      </c>
      <c r="BF1197">
        <f ca="1">IF(ROW()&lt;($C$7+1),"",IFERROR((分析データ!D1197-AVERAGE(OFFSET(分析データ!D$1,MAX(1,ROW()-$C$7),0,MIN($C$7,ROW()-1),1)))/STDEV(OFFSET(分析データ!D$1,MAX(1,ROW()-$C$7),0,MIN($C$7,ROW()-1),1)),0))</f>
        <v>0</v>
      </c>
      <c r="BG1197">
        <f t="shared" ca="1" si="512"/>
        <v>0</v>
      </c>
      <c r="BH1197" t="str">
        <f ca="1">IF(BG1197=1,IF(INDEX(分析データ!$A:$A,ROW()+$C$5)&lt;&gt;"",50000*SIGN(BF1197)*(分析データ!D1197-INDEX(分析データ!D:D,ROW()+$C$5)),""),"")</f>
        <v/>
      </c>
      <c r="BI1197">
        <f t="shared" ca="1" si="513"/>
        <v>5570000.0000000205</v>
      </c>
      <c r="BJ1197">
        <f t="shared" ca="1" si="514"/>
        <v>5570000.0000000205</v>
      </c>
      <c r="BK1197">
        <f t="shared" ca="1" si="515"/>
        <v>0</v>
      </c>
      <c r="BL1197">
        <f ca="1">IF(ROW()&lt;($C$7+1),"",IFERROR((分析データ!E1197-AVERAGE(OFFSET(分析データ!E$1,MAX(1,ROW()-$C$7),0,MIN($C$7,ROW()-1),1)))/STDEV(OFFSET(分析データ!E$1,MAX(1,ROW()-$C$7),0,MIN($C$7,ROW()-1),1)),0))</f>
        <v>0</v>
      </c>
      <c r="BM1197">
        <f t="shared" ca="1" si="516"/>
        <v>0</v>
      </c>
      <c r="BN1197" t="str">
        <f ca="1">IF(BM1197=1,IF(INDEX(分析データ!$A:$A,ROW()+$C$5)&lt;&gt;"",40000*SIGN(BL1197)*(分析データ!E1197-INDEX(分析データ!E:E,ROW()+$C$5)),""),"")</f>
        <v/>
      </c>
      <c r="BO1197">
        <f t="shared" ca="1" si="517"/>
        <v>2720000.0000000014</v>
      </c>
      <c r="BP1197">
        <f t="shared" ca="1" si="518"/>
        <v>4280000.0000000028</v>
      </c>
      <c r="BQ1197">
        <f t="shared" ca="1" si="519"/>
        <v>-1560000.0000000014</v>
      </c>
      <c r="BR1197">
        <f ca="1">IF(ROW()&lt;($C$7+1),"",IFERROR((分析データ!F1197-AVERAGE(OFFSET(分析データ!F$1,MAX(1,ROW()-$C$7),0,MIN($C$7,ROW()-1),1)))/STDEV(OFFSET(分析データ!F$1,MAX(1,ROW()-$C$7),0,MIN($C$7,ROW()-1),1)),0))</f>
        <v>0</v>
      </c>
      <c r="BS1197">
        <f t="shared" ca="1" si="520"/>
        <v>0</v>
      </c>
      <c r="BT1197" t="str">
        <f ca="1">IF(BS1197=1,IF(INDEX(分析データ!$A:$A,ROW()+$C$5)&lt;&gt;"",40000*SIGN(BR1197)*(分析データ!F1197-INDEX(分析データ!F:F,ROW()+$C$5)),""),"")</f>
        <v/>
      </c>
      <c r="BU1197">
        <f t="shared" ca="1" si="521"/>
        <v>19816800</v>
      </c>
      <c r="BV1197">
        <f t="shared" ca="1" si="522"/>
        <v>19816800</v>
      </c>
      <c r="BW1197">
        <f t="shared" ca="1" si="523"/>
        <v>0</v>
      </c>
      <c r="BX1197">
        <f ca="1">IF(ROW()&lt;($C$7+1),"",IFERROR((分析データ!G1197-AVERAGE(OFFSET(分析データ!G$1,MAX(1,ROW()-$C$7),0,MIN($C$7,ROW()-1),1)))/STDEV(OFFSET(分析データ!G$1,MAX(1,ROW()-$C$7),0,MIN($C$7,ROW()-1),1)),0))</f>
        <v>0</v>
      </c>
      <c r="BY1197">
        <f t="shared" ca="1" si="524"/>
        <v>0</v>
      </c>
      <c r="BZ1197" t="str">
        <f ca="1">IF(BY1197=1,IF(INDEX(分析データ!$A:$A,ROW()+$C$5)&lt;&gt;"",40000*SIGN(BX1197)*(分析データ!G1197-INDEX(分析データ!G:G,ROW()+$C$5)),""),"")</f>
        <v/>
      </c>
      <c r="CA1197">
        <f t="shared" ca="1" si="525"/>
        <v>-3515452.8662109179</v>
      </c>
      <c r="CB1197">
        <f t="shared" ca="1" si="526"/>
        <v>11327520.000000004</v>
      </c>
      <c r="CC1197">
        <f t="shared" ca="1" si="527"/>
        <v>-14842972.866210923</v>
      </c>
      <c r="CD1197">
        <f t="shared" ca="1" si="528"/>
        <v>0</v>
      </c>
      <c r="CE1197">
        <f t="shared" ca="1" si="529"/>
        <v>23090347.13378913</v>
      </c>
      <c r="CF1197">
        <f t="shared" ca="1" si="530"/>
        <v>23090347.13378913</v>
      </c>
      <c r="CG1197">
        <f t="shared" ca="1" si="531"/>
        <v>0</v>
      </c>
      <c r="CH1197" s="10" t="str">
        <f>分析データ!A1197</f>
        <v/>
      </c>
    </row>
    <row r="1198" spans="46:86">
      <c r="AT1198">
        <f ca="1">IF(ROW()&lt;($C$7+1),"",IFERROR((分析データ!B1198-AVERAGE(OFFSET(分析データ!B$1,MAX(1,ROW()-$C$7),0,MIN($C$7,ROW()-1),1)))/STDEV(OFFSET(分析データ!B$1,MAX(1,ROW()-$C$7),0,MIN($C$7,ROW()-1),1)),0))</f>
        <v>0</v>
      </c>
      <c r="AU1198">
        <f t="shared" ca="1" si="504"/>
        <v>0</v>
      </c>
      <c r="AV1198" t="str">
        <f ca="1">IF(AU1198=1,IF(INDEX(分析データ!$A:$A,ROW()+$C$5)&lt;&gt;"",80000*SIGN(AT1198)*(分析データ!B1198-INDEX(分析データ!B:B,ROW()+$C$5)),""),"")</f>
        <v/>
      </c>
      <c r="AW1198">
        <f t="shared" ca="1" si="505"/>
        <v>-1240000.0000000019</v>
      </c>
      <c r="AX1198">
        <f t="shared" ca="1" si="506"/>
        <v>0</v>
      </c>
      <c r="AY1198">
        <f t="shared" ca="1" si="507"/>
        <v>-1240000.0000000019</v>
      </c>
      <c r="AZ1198">
        <f ca="1">IF(ROW()&lt;($C$7+1),"",IFERROR((分析データ!C1198-AVERAGE(OFFSET(分析データ!C$1,MAX(1,ROW()-$C$7),0,MIN($C$7,ROW()-1),1)))/STDEV(OFFSET(分析データ!C$1,MAX(1,ROW()-$C$7),0,MIN($C$7,ROW()-1),1)),0))</f>
        <v>0</v>
      </c>
      <c r="BA1198">
        <f t="shared" ca="1" si="508"/>
        <v>0</v>
      </c>
      <c r="BB1198" t="str">
        <f ca="1">IF(BA1198=1,IF(INDEX(分析データ!$A:$A,ROW()+$C$5)&lt;&gt;"",60000*SIGN(AZ1198)*(分析データ!C1198-INDEX(分析データ!C:C,ROW()+$C$5)),""),"")</f>
        <v/>
      </c>
      <c r="BC1198">
        <f t="shared" ca="1" si="509"/>
        <v>-260999.9999999851</v>
      </c>
      <c r="BD1198">
        <f t="shared" ca="1" si="510"/>
        <v>3156000.0000000107</v>
      </c>
      <c r="BE1198">
        <f t="shared" ca="1" si="511"/>
        <v>-3416999.9999999958</v>
      </c>
      <c r="BF1198">
        <f ca="1">IF(ROW()&lt;($C$7+1),"",IFERROR((分析データ!D1198-AVERAGE(OFFSET(分析データ!D$1,MAX(1,ROW()-$C$7),0,MIN($C$7,ROW()-1),1)))/STDEV(OFFSET(分析データ!D$1,MAX(1,ROW()-$C$7),0,MIN($C$7,ROW()-1),1)),0))</f>
        <v>0</v>
      </c>
      <c r="BG1198">
        <f t="shared" ca="1" si="512"/>
        <v>0</v>
      </c>
      <c r="BH1198" t="str">
        <f ca="1">IF(BG1198=1,IF(INDEX(分析データ!$A:$A,ROW()+$C$5)&lt;&gt;"",50000*SIGN(BF1198)*(分析データ!D1198-INDEX(分析データ!D:D,ROW()+$C$5)),""),"")</f>
        <v/>
      </c>
      <c r="BI1198">
        <f t="shared" ca="1" si="513"/>
        <v>5570000.0000000205</v>
      </c>
      <c r="BJ1198">
        <f t="shared" ca="1" si="514"/>
        <v>5570000.0000000205</v>
      </c>
      <c r="BK1198">
        <f t="shared" ca="1" si="515"/>
        <v>0</v>
      </c>
      <c r="BL1198">
        <f ca="1">IF(ROW()&lt;($C$7+1),"",IFERROR((分析データ!E1198-AVERAGE(OFFSET(分析データ!E$1,MAX(1,ROW()-$C$7),0,MIN($C$7,ROW()-1),1)))/STDEV(OFFSET(分析データ!E$1,MAX(1,ROW()-$C$7),0,MIN($C$7,ROW()-1),1)),0))</f>
        <v>0</v>
      </c>
      <c r="BM1198">
        <f t="shared" ca="1" si="516"/>
        <v>0</v>
      </c>
      <c r="BN1198" t="str">
        <f ca="1">IF(BM1198=1,IF(INDEX(分析データ!$A:$A,ROW()+$C$5)&lt;&gt;"",40000*SIGN(BL1198)*(分析データ!E1198-INDEX(分析データ!E:E,ROW()+$C$5)),""),"")</f>
        <v/>
      </c>
      <c r="BO1198">
        <f t="shared" ca="1" si="517"/>
        <v>2720000.0000000014</v>
      </c>
      <c r="BP1198">
        <f t="shared" ca="1" si="518"/>
        <v>4280000.0000000028</v>
      </c>
      <c r="BQ1198">
        <f t="shared" ca="1" si="519"/>
        <v>-1560000.0000000014</v>
      </c>
      <c r="BR1198">
        <f ca="1">IF(ROW()&lt;($C$7+1),"",IFERROR((分析データ!F1198-AVERAGE(OFFSET(分析データ!F$1,MAX(1,ROW()-$C$7),0,MIN($C$7,ROW()-1),1)))/STDEV(OFFSET(分析データ!F$1,MAX(1,ROW()-$C$7),0,MIN($C$7,ROW()-1),1)),0))</f>
        <v>0</v>
      </c>
      <c r="BS1198">
        <f t="shared" ca="1" si="520"/>
        <v>0</v>
      </c>
      <c r="BT1198" t="str">
        <f ca="1">IF(BS1198=1,IF(INDEX(分析データ!$A:$A,ROW()+$C$5)&lt;&gt;"",40000*SIGN(BR1198)*(分析データ!F1198-INDEX(分析データ!F:F,ROW()+$C$5)),""),"")</f>
        <v/>
      </c>
      <c r="BU1198">
        <f t="shared" ca="1" si="521"/>
        <v>19816800</v>
      </c>
      <c r="BV1198">
        <f t="shared" ca="1" si="522"/>
        <v>19816800</v>
      </c>
      <c r="BW1198">
        <f t="shared" ca="1" si="523"/>
        <v>0</v>
      </c>
      <c r="BX1198">
        <f ca="1">IF(ROW()&lt;($C$7+1),"",IFERROR((分析データ!G1198-AVERAGE(OFFSET(分析データ!G$1,MAX(1,ROW()-$C$7),0,MIN($C$7,ROW()-1),1)))/STDEV(OFFSET(分析データ!G$1,MAX(1,ROW()-$C$7),0,MIN($C$7,ROW()-1),1)),0))</f>
        <v>0</v>
      </c>
      <c r="BY1198">
        <f t="shared" ca="1" si="524"/>
        <v>0</v>
      </c>
      <c r="BZ1198" t="str">
        <f ca="1">IF(BY1198=1,IF(INDEX(分析データ!$A:$A,ROW()+$C$5)&lt;&gt;"",40000*SIGN(BX1198)*(分析データ!G1198-INDEX(分析データ!G:G,ROW()+$C$5)),""),"")</f>
        <v/>
      </c>
      <c r="CA1198">
        <f t="shared" ca="1" si="525"/>
        <v>-3515452.8662109179</v>
      </c>
      <c r="CB1198">
        <f t="shared" ca="1" si="526"/>
        <v>11327520.000000004</v>
      </c>
      <c r="CC1198">
        <f t="shared" ca="1" si="527"/>
        <v>-14842972.866210923</v>
      </c>
      <c r="CD1198">
        <f t="shared" ca="1" si="528"/>
        <v>0</v>
      </c>
      <c r="CE1198">
        <f t="shared" ca="1" si="529"/>
        <v>23090347.13378913</v>
      </c>
      <c r="CF1198">
        <f t="shared" ca="1" si="530"/>
        <v>23090347.13378913</v>
      </c>
      <c r="CG1198">
        <f t="shared" ca="1" si="531"/>
        <v>0</v>
      </c>
      <c r="CH1198" s="10" t="str">
        <f>分析データ!A1198</f>
        <v/>
      </c>
    </row>
    <row r="1199" spans="46:86">
      <c r="AT1199">
        <f ca="1">IF(ROW()&lt;($C$7+1),"",IFERROR((分析データ!B1199-AVERAGE(OFFSET(分析データ!B$1,MAX(1,ROW()-$C$7),0,MIN($C$7,ROW()-1),1)))/STDEV(OFFSET(分析データ!B$1,MAX(1,ROW()-$C$7),0,MIN($C$7,ROW()-1),1)),0))</f>
        <v>0</v>
      </c>
      <c r="AU1199">
        <f t="shared" ca="1" si="504"/>
        <v>0</v>
      </c>
      <c r="AV1199" t="str">
        <f ca="1">IF(AU1199=1,IF(INDEX(分析データ!$A:$A,ROW()+$C$5)&lt;&gt;"",80000*SIGN(AT1199)*(分析データ!B1199-INDEX(分析データ!B:B,ROW()+$C$5)),""),"")</f>
        <v/>
      </c>
      <c r="AW1199">
        <f t="shared" ca="1" si="505"/>
        <v>-1240000.0000000019</v>
      </c>
      <c r="AX1199">
        <f t="shared" ca="1" si="506"/>
        <v>0</v>
      </c>
      <c r="AY1199">
        <f t="shared" ca="1" si="507"/>
        <v>-1240000.0000000019</v>
      </c>
      <c r="AZ1199">
        <f ca="1">IF(ROW()&lt;($C$7+1),"",IFERROR((分析データ!C1199-AVERAGE(OFFSET(分析データ!C$1,MAX(1,ROW()-$C$7),0,MIN($C$7,ROW()-1),1)))/STDEV(OFFSET(分析データ!C$1,MAX(1,ROW()-$C$7),0,MIN($C$7,ROW()-1),1)),0))</f>
        <v>0</v>
      </c>
      <c r="BA1199">
        <f t="shared" ca="1" si="508"/>
        <v>0</v>
      </c>
      <c r="BB1199" t="str">
        <f ca="1">IF(BA1199=1,IF(INDEX(分析データ!$A:$A,ROW()+$C$5)&lt;&gt;"",60000*SIGN(AZ1199)*(分析データ!C1199-INDEX(分析データ!C:C,ROW()+$C$5)),""),"")</f>
        <v/>
      </c>
      <c r="BC1199">
        <f t="shared" ca="1" si="509"/>
        <v>-260999.9999999851</v>
      </c>
      <c r="BD1199">
        <f t="shared" ca="1" si="510"/>
        <v>3156000.0000000107</v>
      </c>
      <c r="BE1199">
        <f t="shared" ca="1" si="511"/>
        <v>-3416999.9999999958</v>
      </c>
      <c r="BF1199">
        <f ca="1">IF(ROW()&lt;($C$7+1),"",IFERROR((分析データ!D1199-AVERAGE(OFFSET(分析データ!D$1,MAX(1,ROW()-$C$7),0,MIN($C$7,ROW()-1),1)))/STDEV(OFFSET(分析データ!D$1,MAX(1,ROW()-$C$7),0,MIN($C$7,ROW()-1),1)),0))</f>
        <v>0</v>
      </c>
      <c r="BG1199">
        <f t="shared" ca="1" si="512"/>
        <v>0</v>
      </c>
      <c r="BH1199" t="str">
        <f ca="1">IF(BG1199=1,IF(INDEX(分析データ!$A:$A,ROW()+$C$5)&lt;&gt;"",50000*SIGN(BF1199)*(分析データ!D1199-INDEX(分析データ!D:D,ROW()+$C$5)),""),"")</f>
        <v/>
      </c>
      <c r="BI1199">
        <f t="shared" ca="1" si="513"/>
        <v>5570000.0000000205</v>
      </c>
      <c r="BJ1199">
        <f t="shared" ca="1" si="514"/>
        <v>5570000.0000000205</v>
      </c>
      <c r="BK1199">
        <f t="shared" ca="1" si="515"/>
        <v>0</v>
      </c>
      <c r="BL1199">
        <f ca="1">IF(ROW()&lt;($C$7+1),"",IFERROR((分析データ!E1199-AVERAGE(OFFSET(分析データ!E$1,MAX(1,ROW()-$C$7),0,MIN($C$7,ROW()-1),1)))/STDEV(OFFSET(分析データ!E$1,MAX(1,ROW()-$C$7),0,MIN($C$7,ROW()-1),1)),0))</f>
        <v>0</v>
      </c>
      <c r="BM1199">
        <f t="shared" ca="1" si="516"/>
        <v>0</v>
      </c>
      <c r="BN1199" t="str">
        <f ca="1">IF(BM1199=1,IF(INDEX(分析データ!$A:$A,ROW()+$C$5)&lt;&gt;"",40000*SIGN(BL1199)*(分析データ!E1199-INDEX(分析データ!E:E,ROW()+$C$5)),""),"")</f>
        <v/>
      </c>
      <c r="BO1199">
        <f t="shared" ca="1" si="517"/>
        <v>2720000.0000000014</v>
      </c>
      <c r="BP1199">
        <f t="shared" ca="1" si="518"/>
        <v>4280000.0000000028</v>
      </c>
      <c r="BQ1199">
        <f t="shared" ca="1" si="519"/>
        <v>-1560000.0000000014</v>
      </c>
      <c r="BR1199">
        <f ca="1">IF(ROW()&lt;($C$7+1),"",IFERROR((分析データ!F1199-AVERAGE(OFFSET(分析データ!F$1,MAX(1,ROW()-$C$7),0,MIN($C$7,ROW()-1),1)))/STDEV(OFFSET(分析データ!F$1,MAX(1,ROW()-$C$7),0,MIN($C$7,ROW()-1),1)),0))</f>
        <v>0</v>
      </c>
      <c r="BS1199">
        <f t="shared" ca="1" si="520"/>
        <v>0</v>
      </c>
      <c r="BT1199" t="str">
        <f ca="1">IF(BS1199=1,IF(INDEX(分析データ!$A:$A,ROW()+$C$5)&lt;&gt;"",40000*SIGN(BR1199)*(分析データ!F1199-INDEX(分析データ!F:F,ROW()+$C$5)),""),"")</f>
        <v/>
      </c>
      <c r="BU1199">
        <f t="shared" ca="1" si="521"/>
        <v>19816800</v>
      </c>
      <c r="BV1199">
        <f t="shared" ca="1" si="522"/>
        <v>19816800</v>
      </c>
      <c r="BW1199">
        <f t="shared" ca="1" si="523"/>
        <v>0</v>
      </c>
      <c r="BX1199">
        <f ca="1">IF(ROW()&lt;($C$7+1),"",IFERROR((分析データ!G1199-AVERAGE(OFFSET(分析データ!G$1,MAX(1,ROW()-$C$7),0,MIN($C$7,ROW()-1),1)))/STDEV(OFFSET(分析データ!G$1,MAX(1,ROW()-$C$7),0,MIN($C$7,ROW()-1),1)),0))</f>
        <v>0</v>
      </c>
      <c r="BY1199">
        <f t="shared" ca="1" si="524"/>
        <v>0</v>
      </c>
      <c r="BZ1199" t="str">
        <f ca="1">IF(BY1199=1,IF(INDEX(分析データ!$A:$A,ROW()+$C$5)&lt;&gt;"",40000*SIGN(BX1199)*(分析データ!G1199-INDEX(分析データ!G:G,ROW()+$C$5)),""),"")</f>
        <v/>
      </c>
      <c r="CA1199">
        <f t="shared" ca="1" si="525"/>
        <v>-3515452.8662109179</v>
      </c>
      <c r="CB1199">
        <f t="shared" ca="1" si="526"/>
        <v>11327520.000000004</v>
      </c>
      <c r="CC1199">
        <f t="shared" ca="1" si="527"/>
        <v>-14842972.866210923</v>
      </c>
      <c r="CD1199">
        <f t="shared" ca="1" si="528"/>
        <v>0</v>
      </c>
      <c r="CE1199">
        <f t="shared" ca="1" si="529"/>
        <v>23090347.13378913</v>
      </c>
      <c r="CF1199">
        <f t="shared" ca="1" si="530"/>
        <v>23090347.13378913</v>
      </c>
      <c r="CG1199">
        <f t="shared" ca="1" si="531"/>
        <v>0</v>
      </c>
      <c r="CH1199" s="10" t="str">
        <f>分析データ!A1199</f>
        <v/>
      </c>
    </row>
    <row r="1200" spans="46:86">
      <c r="AT1200">
        <f ca="1">IF(ROW()&lt;($C$7+1),"",IFERROR((分析データ!B1200-AVERAGE(OFFSET(分析データ!B$1,MAX(1,ROW()-$C$7),0,MIN($C$7,ROW()-1),1)))/STDEV(OFFSET(分析データ!B$1,MAX(1,ROW()-$C$7),0,MIN($C$7,ROW()-1),1)),0))</f>
        <v>0</v>
      </c>
      <c r="AU1200">
        <f t="shared" ca="1" si="504"/>
        <v>0</v>
      </c>
      <c r="AV1200" t="str">
        <f ca="1">IF(AU1200=1,IF(INDEX(分析データ!$A:$A,ROW()+$C$5)&lt;&gt;"",80000*SIGN(AT1200)*(分析データ!B1200-INDEX(分析データ!B:B,ROW()+$C$5)),""),"")</f>
        <v/>
      </c>
      <c r="AW1200">
        <f t="shared" ca="1" si="505"/>
        <v>-1240000.0000000019</v>
      </c>
      <c r="AX1200">
        <f t="shared" ca="1" si="506"/>
        <v>0</v>
      </c>
      <c r="AY1200">
        <f t="shared" ca="1" si="507"/>
        <v>-1240000.0000000019</v>
      </c>
      <c r="AZ1200">
        <f ca="1">IF(ROW()&lt;($C$7+1),"",IFERROR((分析データ!C1200-AVERAGE(OFFSET(分析データ!C$1,MAX(1,ROW()-$C$7),0,MIN($C$7,ROW()-1),1)))/STDEV(OFFSET(分析データ!C$1,MAX(1,ROW()-$C$7),0,MIN($C$7,ROW()-1),1)),0))</f>
        <v>0</v>
      </c>
      <c r="BA1200">
        <f t="shared" ca="1" si="508"/>
        <v>0</v>
      </c>
      <c r="BB1200" t="str">
        <f ca="1">IF(BA1200=1,IF(INDEX(分析データ!$A:$A,ROW()+$C$5)&lt;&gt;"",60000*SIGN(AZ1200)*(分析データ!C1200-INDEX(分析データ!C:C,ROW()+$C$5)),""),"")</f>
        <v/>
      </c>
      <c r="BC1200">
        <f t="shared" ca="1" si="509"/>
        <v>-260999.9999999851</v>
      </c>
      <c r="BD1200">
        <f t="shared" ca="1" si="510"/>
        <v>3156000.0000000107</v>
      </c>
      <c r="BE1200">
        <f t="shared" ca="1" si="511"/>
        <v>-3416999.9999999958</v>
      </c>
      <c r="BF1200">
        <f ca="1">IF(ROW()&lt;($C$7+1),"",IFERROR((分析データ!D1200-AVERAGE(OFFSET(分析データ!D$1,MAX(1,ROW()-$C$7),0,MIN($C$7,ROW()-1),1)))/STDEV(OFFSET(分析データ!D$1,MAX(1,ROW()-$C$7),0,MIN($C$7,ROW()-1),1)),0))</f>
        <v>0</v>
      </c>
      <c r="BG1200">
        <f t="shared" ca="1" si="512"/>
        <v>0</v>
      </c>
      <c r="BH1200" t="str">
        <f ca="1">IF(BG1200=1,IF(INDEX(分析データ!$A:$A,ROW()+$C$5)&lt;&gt;"",50000*SIGN(BF1200)*(分析データ!D1200-INDEX(分析データ!D:D,ROW()+$C$5)),""),"")</f>
        <v/>
      </c>
      <c r="BI1200">
        <f t="shared" ca="1" si="513"/>
        <v>5570000.0000000205</v>
      </c>
      <c r="BJ1200">
        <f t="shared" ca="1" si="514"/>
        <v>5570000.0000000205</v>
      </c>
      <c r="BK1200">
        <f t="shared" ca="1" si="515"/>
        <v>0</v>
      </c>
      <c r="BL1200">
        <f ca="1">IF(ROW()&lt;($C$7+1),"",IFERROR((分析データ!E1200-AVERAGE(OFFSET(分析データ!E$1,MAX(1,ROW()-$C$7),0,MIN($C$7,ROW()-1),1)))/STDEV(OFFSET(分析データ!E$1,MAX(1,ROW()-$C$7),0,MIN($C$7,ROW()-1),1)),0))</f>
        <v>0</v>
      </c>
      <c r="BM1200">
        <f t="shared" ca="1" si="516"/>
        <v>0</v>
      </c>
      <c r="BN1200" t="str">
        <f ca="1">IF(BM1200=1,IF(INDEX(分析データ!$A:$A,ROW()+$C$5)&lt;&gt;"",40000*SIGN(BL1200)*(分析データ!E1200-INDEX(分析データ!E:E,ROW()+$C$5)),""),"")</f>
        <v/>
      </c>
      <c r="BO1200">
        <f t="shared" ca="1" si="517"/>
        <v>2720000.0000000014</v>
      </c>
      <c r="BP1200">
        <f t="shared" ca="1" si="518"/>
        <v>4280000.0000000028</v>
      </c>
      <c r="BQ1200">
        <f t="shared" ca="1" si="519"/>
        <v>-1560000.0000000014</v>
      </c>
      <c r="BR1200">
        <f ca="1">IF(ROW()&lt;($C$7+1),"",IFERROR((分析データ!F1200-AVERAGE(OFFSET(分析データ!F$1,MAX(1,ROW()-$C$7),0,MIN($C$7,ROW()-1),1)))/STDEV(OFFSET(分析データ!F$1,MAX(1,ROW()-$C$7),0,MIN($C$7,ROW()-1),1)),0))</f>
        <v>0</v>
      </c>
      <c r="BS1200">
        <f t="shared" ca="1" si="520"/>
        <v>0</v>
      </c>
      <c r="BT1200" t="str">
        <f ca="1">IF(BS1200=1,IF(INDEX(分析データ!$A:$A,ROW()+$C$5)&lt;&gt;"",40000*SIGN(BR1200)*(分析データ!F1200-INDEX(分析データ!F:F,ROW()+$C$5)),""),"")</f>
        <v/>
      </c>
      <c r="BU1200">
        <f t="shared" ca="1" si="521"/>
        <v>19816800</v>
      </c>
      <c r="BV1200">
        <f t="shared" ca="1" si="522"/>
        <v>19816800</v>
      </c>
      <c r="BW1200">
        <f t="shared" ca="1" si="523"/>
        <v>0</v>
      </c>
      <c r="BX1200">
        <f ca="1">IF(ROW()&lt;($C$7+1),"",IFERROR((分析データ!G1200-AVERAGE(OFFSET(分析データ!G$1,MAX(1,ROW()-$C$7),0,MIN($C$7,ROW()-1),1)))/STDEV(OFFSET(分析データ!G$1,MAX(1,ROW()-$C$7),0,MIN($C$7,ROW()-1),1)),0))</f>
        <v>0</v>
      </c>
      <c r="BY1200">
        <f t="shared" ca="1" si="524"/>
        <v>0</v>
      </c>
      <c r="BZ1200" t="str">
        <f ca="1">IF(BY1200=1,IF(INDEX(分析データ!$A:$A,ROW()+$C$5)&lt;&gt;"",40000*SIGN(BX1200)*(分析データ!G1200-INDEX(分析データ!G:G,ROW()+$C$5)),""),"")</f>
        <v/>
      </c>
      <c r="CA1200">
        <f t="shared" ca="1" si="525"/>
        <v>-3515452.8662109179</v>
      </c>
      <c r="CB1200">
        <f t="shared" ca="1" si="526"/>
        <v>11327520.000000004</v>
      </c>
      <c r="CC1200">
        <f t="shared" ca="1" si="527"/>
        <v>-14842972.866210923</v>
      </c>
      <c r="CD1200">
        <f t="shared" ca="1" si="528"/>
        <v>0</v>
      </c>
      <c r="CE1200">
        <f t="shared" ca="1" si="529"/>
        <v>23090347.13378913</v>
      </c>
      <c r="CF1200">
        <f t="shared" ca="1" si="530"/>
        <v>23090347.13378913</v>
      </c>
      <c r="CG1200">
        <f t="shared" ca="1" si="531"/>
        <v>0</v>
      </c>
      <c r="CH1200" s="10" t="str">
        <f>分析データ!A1200</f>
        <v/>
      </c>
    </row>
    <row r="1201" spans="46:86">
      <c r="AT1201">
        <f ca="1">IF(ROW()&lt;($C$7+1),"",IFERROR((分析データ!B1201-AVERAGE(OFFSET(分析データ!B$1,MAX(1,ROW()-$C$7),0,MIN($C$7,ROW()-1),1)))/STDEV(OFFSET(分析データ!B$1,MAX(1,ROW()-$C$7),0,MIN($C$7,ROW()-1),1)),0))</f>
        <v>0</v>
      </c>
      <c r="AU1201">
        <f t="shared" ca="1" si="504"/>
        <v>0</v>
      </c>
      <c r="AV1201" t="str">
        <f ca="1">IF(AU1201=1,IF(INDEX(分析データ!$A:$A,ROW()+$C$5)&lt;&gt;"",80000*SIGN(AT1201)*(分析データ!B1201-INDEX(分析データ!B:B,ROW()+$C$5)),""),"")</f>
        <v/>
      </c>
      <c r="AW1201">
        <f t="shared" ca="1" si="505"/>
        <v>-1240000.0000000019</v>
      </c>
      <c r="AX1201">
        <f t="shared" ca="1" si="506"/>
        <v>0</v>
      </c>
      <c r="AY1201">
        <f t="shared" ca="1" si="507"/>
        <v>-1240000.0000000019</v>
      </c>
      <c r="AZ1201">
        <f ca="1">IF(ROW()&lt;($C$7+1),"",IFERROR((分析データ!C1201-AVERAGE(OFFSET(分析データ!C$1,MAX(1,ROW()-$C$7),0,MIN($C$7,ROW()-1),1)))/STDEV(OFFSET(分析データ!C$1,MAX(1,ROW()-$C$7),0,MIN($C$7,ROW()-1),1)),0))</f>
        <v>0</v>
      </c>
      <c r="BA1201">
        <f t="shared" ca="1" si="508"/>
        <v>0</v>
      </c>
      <c r="BB1201" t="str">
        <f ca="1">IF(BA1201=1,IF(INDEX(分析データ!$A:$A,ROW()+$C$5)&lt;&gt;"",60000*SIGN(AZ1201)*(分析データ!C1201-INDEX(分析データ!C:C,ROW()+$C$5)),""),"")</f>
        <v/>
      </c>
      <c r="BC1201">
        <f t="shared" ca="1" si="509"/>
        <v>-260999.9999999851</v>
      </c>
      <c r="BD1201">
        <f t="shared" ca="1" si="510"/>
        <v>3156000.0000000107</v>
      </c>
      <c r="BE1201">
        <f t="shared" ca="1" si="511"/>
        <v>-3416999.9999999958</v>
      </c>
      <c r="BF1201">
        <f ca="1">IF(ROW()&lt;($C$7+1),"",IFERROR((分析データ!D1201-AVERAGE(OFFSET(分析データ!D$1,MAX(1,ROW()-$C$7),0,MIN($C$7,ROW()-1),1)))/STDEV(OFFSET(分析データ!D$1,MAX(1,ROW()-$C$7),0,MIN($C$7,ROW()-1),1)),0))</f>
        <v>0</v>
      </c>
      <c r="BG1201">
        <f t="shared" ca="1" si="512"/>
        <v>0</v>
      </c>
      <c r="BH1201" t="str">
        <f ca="1">IF(BG1201=1,IF(INDEX(分析データ!$A:$A,ROW()+$C$5)&lt;&gt;"",50000*SIGN(BF1201)*(分析データ!D1201-INDEX(分析データ!D:D,ROW()+$C$5)),""),"")</f>
        <v/>
      </c>
      <c r="BI1201">
        <f t="shared" ca="1" si="513"/>
        <v>5570000.0000000205</v>
      </c>
      <c r="BJ1201">
        <f t="shared" ca="1" si="514"/>
        <v>5570000.0000000205</v>
      </c>
      <c r="BK1201">
        <f t="shared" ca="1" si="515"/>
        <v>0</v>
      </c>
      <c r="BL1201">
        <f ca="1">IF(ROW()&lt;($C$7+1),"",IFERROR((分析データ!E1201-AVERAGE(OFFSET(分析データ!E$1,MAX(1,ROW()-$C$7),0,MIN($C$7,ROW()-1),1)))/STDEV(OFFSET(分析データ!E$1,MAX(1,ROW()-$C$7),0,MIN($C$7,ROW()-1),1)),0))</f>
        <v>0</v>
      </c>
      <c r="BM1201">
        <f t="shared" ca="1" si="516"/>
        <v>0</v>
      </c>
      <c r="BN1201" t="str">
        <f ca="1">IF(BM1201=1,IF(INDEX(分析データ!$A:$A,ROW()+$C$5)&lt;&gt;"",40000*SIGN(BL1201)*(分析データ!E1201-INDEX(分析データ!E:E,ROW()+$C$5)),""),"")</f>
        <v/>
      </c>
      <c r="BO1201">
        <f t="shared" ca="1" si="517"/>
        <v>2720000.0000000014</v>
      </c>
      <c r="BP1201">
        <f t="shared" ca="1" si="518"/>
        <v>4280000.0000000028</v>
      </c>
      <c r="BQ1201">
        <f t="shared" ca="1" si="519"/>
        <v>-1560000.0000000014</v>
      </c>
      <c r="BR1201">
        <f ca="1">IF(ROW()&lt;($C$7+1),"",IFERROR((分析データ!F1201-AVERAGE(OFFSET(分析データ!F$1,MAX(1,ROW()-$C$7),0,MIN($C$7,ROW()-1),1)))/STDEV(OFFSET(分析データ!F$1,MAX(1,ROW()-$C$7),0,MIN($C$7,ROW()-1),1)),0))</f>
        <v>0</v>
      </c>
      <c r="BS1201">
        <f t="shared" ca="1" si="520"/>
        <v>0</v>
      </c>
      <c r="BT1201" t="str">
        <f ca="1">IF(BS1201=1,IF(INDEX(分析データ!$A:$A,ROW()+$C$5)&lt;&gt;"",40000*SIGN(BR1201)*(分析データ!F1201-INDEX(分析データ!F:F,ROW()+$C$5)),""),"")</f>
        <v/>
      </c>
      <c r="BU1201">
        <f t="shared" ca="1" si="521"/>
        <v>19816800</v>
      </c>
      <c r="BV1201">
        <f t="shared" ca="1" si="522"/>
        <v>19816800</v>
      </c>
      <c r="BW1201">
        <f t="shared" ca="1" si="523"/>
        <v>0</v>
      </c>
      <c r="BX1201">
        <f ca="1">IF(ROW()&lt;($C$7+1),"",IFERROR((分析データ!G1201-AVERAGE(OFFSET(分析データ!G$1,MAX(1,ROW()-$C$7),0,MIN($C$7,ROW()-1),1)))/STDEV(OFFSET(分析データ!G$1,MAX(1,ROW()-$C$7),0,MIN($C$7,ROW()-1),1)),0))</f>
        <v>0</v>
      </c>
      <c r="BY1201">
        <f t="shared" ca="1" si="524"/>
        <v>0</v>
      </c>
      <c r="BZ1201" t="str">
        <f ca="1">IF(BY1201=1,IF(INDEX(分析データ!$A:$A,ROW()+$C$5)&lt;&gt;"",40000*SIGN(BX1201)*(分析データ!G1201-INDEX(分析データ!G:G,ROW()+$C$5)),""),"")</f>
        <v/>
      </c>
      <c r="CA1201">
        <f t="shared" ca="1" si="525"/>
        <v>-3515452.8662109179</v>
      </c>
      <c r="CB1201">
        <f t="shared" ca="1" si="526"/>
        <v>11327520.000000004</v>
      </c>
      <c r="CC1201">
        <f t="shared" ca="1" si="527"/>
        <v>-14842972.866210923</v>
      </c>
      <c r="CD1201">
        <f t="shared" ca="1" si="528"/>
        <v>0</v>
      </c>
      <c r="CE1201">
        <f t="shared" ca="1" si="529"/>
        <v>23090347.13378913</v>
      </c>
      <c r="CF1201">
        <f t="shared" ca="1" si="530"/>
        <v>23090347.13378913</v>
      </c>
      <c r="CG1201">
        <f t="shared" ca="1" si="531"/>
        <v>0</v>
      </c>
      <c r="CH1201" s="10" t="str">
        <f>分析データ!A1201</f>
        <v/>
      </c>
    </row>
    <row r="1202" spans="46:86">
      <c r="AT1202">
        <f ca="1">IF(ROW()&lt;($C$7+1),"",IFERROR((分析データ!B1202-AVERAGE(OFFSET(分析データ!B$1,MAX(1,ROW()-$C$7),0,MIN($C$7,ROW()-1),1)))/STDEV(OFFSET(分析データ!B$1,MAX(1,ROW()-$C$7),0,MIN($C$7,ROW()-1),1)),0))</f>
        <v>0</v>
      </c>
      <c r="AU1202">
        <f t="shared" ca="1" si="504"/>
        <v>0</v>
      </c>
      <c r="AV1202" t="str">
        <f ca="1">IF(AU1202=1,IF(INDEX(分析データ!$A:$A,ROW()+$C$5)&lt;&gt;"",80000*SIGN(AT1202)*(分析データ!B1202-INDEX(分析データ!B:B,ROW()+$C$5)),""),"")</f>
        <v/>
      </c>
      <c r="AW1202">
        <f t="shared" ca="1" si="505"/>
        <v>-1240000.0000000019</v>
      </c>
      <c r="AX1202">
        <f t="shared" ca="1" si="506"/>
        <v>0</v>
      </c>
      <c r="AY1202">
        <f t="shared" ca="1" si="507"/>
        <v>-1240000.0000000019</v>
      </c>
      <c r="AZ1202">
        <f ca="1">IF(ROW()&lt;($C$7+1),"",IFERROR((分析データ!C1202-AVERAGE(OFFSET(分析データ!C$1,MAX(1,ROW()-$C$7),0,MIN($C$7,ROW()-1),1)))/STDEV(OFFSET(分析データ!C$1,MAX(1,ROW()-$C$7),0,MIN($C$7,ROW()-1),1)),0))</f>
        <v>0</v>
      </c>
      <c r="BA1202">
        <f t="shared" ca="1" si="508"/>
        <v>0</v>
      </c>
      <c r="BB1202" t="str">
        <f ca="1">IF(BA1202=1,IF(INDEX(分析データ!$A:$A,ROW()+$C$5)&lt;&gt;"",60000*SIGN(AZ1202)*(分析データ!C1202-INDEX(分析データ!C:C,ROW()+$C$5)),""),"")</f>
        <v/>
      </c>
      <c r="BC1202">
        <f t="shared" ca="1" si="509"/>
        <v>-260999.9999999851</v>
      </c>
      <c r="BD1202">
        <f t="shared" ca="1" si="510"/>
        <v>3156000.0000000107</v>
      </c>
      <c r="BE1202">
        <f t="shared" ca="1" si="511"/>
        <v>-3416999.9999999958</v>
      </c>
      <c r="BF1202">
        <f ca="1">IF(ROW()&lt;($C$7+1),"",IFERROR((分析データ!D1202-AVERAGE(OFFSET(分析データ!D$1,MAX(1,ROW()-$C$7),0,MIN($C$7,ROW()-1),1)))/STDEV(OFFSET(分析データ!D$1,MAX(1,ROW()-$C$7),0,MIN($C$7,ROW()-1),1)),0))</f>
        <v>0</v>
      </c>
      <c r="BG1202">
        <f t="shared" ca="1" si="512"/>
        <v>0</v>
      </c>
      <c r="BH1202" t="str">
        <f ca="1">IF(BG1202=1,IF(INDEX(分析データ!$A:$A,ROW()+$C$5)&lt;&gt;"",50000*SIGN(BF1202)*(分析データ!D1202-INDEX(分析データ!D:D,ROW()+$C$5)),""),"")</f>
        <v/>
      </c>
      <c r="BI1202">
        <f t="shared" ca="1" si="513"/>
        <v>5570000.0000000205</v>
      </c>
      <c r="BJ1202">
        <f t="shared" ca="1" si="514"/>
        <v>5570000.0000000205</v>
      </c>
      <c r="BK1202">
        <f t="shared" ca="1" si="515"/>
        <v>0</v>
      </c>
      <c r="BL1202">
        <f ca="1">IF(ROW()&lt;($C$7+1),"",IFERROR((分析データ!E1202-AVERAGE(OFFSET(分析データ!E$1,MAX(1,ROW()-$C$7),0,MIN($C$7,ROW()-1),1)))/STDEV(OFFSET(分析データ!E$1,MAX(1,ROW()-$C$7),0,MIN($C$7,ROW()-1),1)),0))</f>
        <v>0</v>
      </c>
      <c r="BM1202">
        <f t="shared" ca="1" si="516"/>
        <v>0</v>
      </c>
      <c r="BN1202" t="str">
        <f ca="1">IF(BM1202=1,IF(INDEX(分析データ!$A:$A,ROW()+$C$5)&lt;&gt;"",40000*SIGN(BL1202)*(分析データ!E1202-INDEX(分析データ!E:E,ROW()+$C$5)),""),"")</f>
        <v/>
      </c>
      <c r="BO1202">
        <f t="shared" ca="1" si="517"/>
        <v>2720000.0000000014</v>
      </c>
      <c r="BP1202">
        <f t="shared" ca="1" si="518"/>
        <v>4280000.0000000028</v>
      </c>
      <c r="BQ1202">
        <f t="shared" ca="1" si="519"/>
        <v>-1560000.0000000014</v>
      </c>
      <c r="BR1202">
        <f ca="1">IF(ROW()&lt;($C$7+1),"",IFERROR((分析データ!F1202-AVERAGE(OFFSET(分析データ!F$1,MAX(1,ROW()-$C$7),0,MIN($C$7,ROW()-1),1)))/STDEV(OFFSET(分析データ!F$1,MAX(1,ROW()-$C$7),0,MIN($C$7,ROW()-1),1)),0))</f>
        <v>0</v>
      </c>
      <c r="BS1202">
        <f t="shared" ca="1" si="520"/>
        <v>0</v>
      </c>
      <c r="BT1202" t="str">
        <f ca="1">IF(BS1202=1,IF(INDEX(分析データ!$A:$A,ROW()+$C$5)&lt;&gt;"",40000*SIGN(BR1202)*(分析データ!F1202-INDEX(分析データ!F:F,ROW()+$C$5)),""),"")</f>
        <v/>
      </c>
      <c r="BU1202">
        <f t="shared" ca="1" si="521"/>
        <v>19816800</v>
      </c>
      <c r="BV1202">
        <f t="shared" ca="1" si="522"/>
        <v>19816800</v>
      </c>
      <c r="BW1202">
        <f t="shared" ca="1" si="523"/>
        <v>0</v>
      </c>
      <c r="BX1202">
        <f ca="1">IF(ROW()&lt;($C$7+1),"",IFERROR((分析データ!G1202-AVERAGE(OFFSET(分析データ!G$1,MAX(1,ROW()-$C$7),0,MIN($C$7,ROW()-1),1)))/STDEV(OFFSET(分析データ!G$1,MAX(1,ROW()-$C$7),0,MIN($C$7,ROW()-1),1)),0))</f>
        <v>0</v>
      </c>
      <c r="BY1202">
        <f t="shared" ca="1" si="524"/>
        <v>0</v>
      </c>
      <c r="BZ1202" t="str">
        <f ca="1">IF(BY1202=1,IF(INDEX(分析データ!$A:$A,ROW()+$C$5)&lt;&gt;"",40000*SIGN(BX1202)*(分析データ!G1202-INDEX(分析データ!G:G,ROW()+$C$5)),""),"")</f>
        <v/>
      </c>
      <c r="CA1202">
        <f t="shared" ca="1" si="525"/>
        <v>-3515452.8662109179</v>
      </c>
      <c r="CB1202">
        <f t="shared" ca="1" si="526"/>
        <v>11327520.000000004</v>
      </c>
      <c r="CC1202">
        <f t="shared" ca="1" si="527"/>
        <v>-14842972.866210923</v>
      </c>
      <c r="CD1202">
        <f t="shared" ca="1" si="528"/>
        <v>0</v>
      </c>
      <c r="CE1202">
        <f t="shared" ca="1" si="529"/>
        <v>23090347.13378913</v>
      </c>
      <c r="CF1202">
        <f t="shared" ca="1" si="530"/>
        <v>23090347.13378913</v>
      </c>
      <c r="CG1202">
        <f t="shared" ca="1" si="531"/>
        <v>0</v>
      </c>
      <c r="CH1202" s="10" t="str">
        <f>分析データ!A1202</f>
        <v/>
      </c>
    </row>
    <row r="1203" spans="46:86">
      <c r="AT1203">
        <f ca="1">IF(ROW()&lt;($C$7+1),"",IFERROR((分析データ!B1203-AVERAGE(OFFSET(分析データ!B$1,MAX(1,ROW()-$C$7),0,MIN($C$7,ROW()-1),1)))/STDEV(OFFSET(分析データ!B$1,MAX(1,ROW()-$C$7),0,MIN($C$7,ROW()-1),1)),0))</f>
        <v>0</v>
      </c>
      <c r="AU1203">
        <f t="shared" ca="1" si="504"/>
        <v>0</v>
      </c>
      <c r="AV1203" t="str">
        <f ca="1">IF(AU1203=1,IF(INDEX(分析データ!$A:$A,ROW()+$C$5)&lt;&gt;"",80000*SIGN(AT1203)*(分析データ!B1203-INDEX(分析データ!B:B,ROW()+$C$5)),""),"")</f>
        <v/>
      </c>
      <c r="AW1203">
        <f t="shared" ca="1" si="505"/>
        <v>-1240000.0000000019</v>
      </c>
      <c r="AX1203">
        <f t="shared" ca="1" si="506"/>
        <v>0</v>
      </c>
      <c r="AY1203">
        <f t="shared" ca="1" si="507"/>
        <v>-1240000.0000000019</v>
      </c>
      <c r="AZ1203">
        <f ca="1">IF(ROW()&lt;($C$7+1),"",IFERROR((分析データ!C1203-AVERAGE(OFFSET(分析データ!C$1,MAX(1,ROW()-$C$7),0,MIN($C$7,ROW()-1),1)))/STDEV(OFFSET(分析データ!C$1,MAX(1,ROW()-$C$7),0,MIN($C$7,ROW()-1),1)),0))</f>
        <v>0</v>
      </c>
      <c r="BA1203">
        <f t="shared" ca="1" si="508"/>
        <v>0</v>
      </c>
      <c r="BB1203" t="str">
        <f ca="1">IF(BA1203=1,IF(INDEX(分析データ!$A:$A,ROW()+$C$5)&lt;&gt;"",60000*SIGN(AZ1203)*(分析データ!C1203-INDEX(分析データ!C:C,ROW()+$C$5)),""),"")</f>
        <v/>
      </c>
      <c r="BC1203">
        <f t="shared" ca="1" si="509"/>
        <v>-260999.9999999851</v>
      </c>
      <c r="BD1203">
        <f t="shared" ca="1" si="510"/>
        <v>3156000.0000000107</v>
      </c>
      <c r="BE1203">
        <f t="shared" ca="1" si="511"/>
        <v>-3416999.9999999958</v>
      </c>
      <c r="BF1203">
        <f ca="1">IF(ROW()&lt;($C$7+1),"",IFERROR((分析データ!D1203-AVERAGE(OFFSET(分析データ!D$1,MAX(1,ROW()-$C$7),0,MIN($C$7,ROW()-1),1)))/STDEV(OFFSET(分析データ!D$1,MAX(1,ROW()-$C$7),0,MIN($C$7,ROW()-1),1)),0))</f>
        <v>0</v>
      </c>
      <c r="BG1203">
        <f t="shared" ca="1" si="512"/>
        <v>0</v>
      </c>
      <c r="BH1203" t="str">
        <f ca="1">IF(BG1203=1,IF(INDEX(分析データ!$A:$A,ROW()+$C$5)&lt;&gt;"",50000*SIGN(BF1203)*(分析データ!D1203-INDEX(分析データ!D:D,ROW()+$C$5)),""),"")</f>
        <v/>
      </c>
      <c r="BI1203">
        <f t="shared" ca="1" si="513"/>
        <v>5570000.0000000205</v>
      </c>
      <c r="BJ1203">
        <f t="shared" ca="1" si="514"/>
        <v>5570000.0000000205</v>
      </c>
      <c r="BK1203">
        <f t="shared" ca="1" si="515"/>
        <v>0</v>
      </c>
      <c r="BL1203">
        <f ca="1">IF(ROW()&lt;($C$7+1),"",IFERROR((分析データ!E1203-AVERAGE(OFFSET(分析データ!E$1,MAX(1,ROW()-$C$7),0,MIN($C$7,ROW()-1),1)))/STDEV(OFFSET(分析データ!E$1,MAX(1,ROW()-$C$7),0,MIN($C$7,ROW()-1),1)),0))</f>
        <v>0</v>
      </c>
      <c r="BM1203">
        <f t="shared" ca="1" si="516"/>
        <v>0</v>
      </c>
      <c r="BN1203" t="str">
        <f ca="1">IF(BM1203=1,IF(INDEX(分析データ!$A:$A,ROW()+$C$5)&lt;&gt;"",40000*SIGN(BL1203)*(分析データ!E1203-INDEX(分析データ!E:E,ROW()+$C$5)),""),"")</f>
        <v/>
      </c>
      <c r="BO1203">
        <f t="shared" ca="1" si="517"/>
        <v>2720000.0000000014</v>
      </c>
      <c r="BP1203">
        <f t="shared" ca="1" si="518"/>
        <v>4280000.0000000028</v>
      </c>
      <c r="BQ1203">
        <f t="shared" ca="1" si="519"/>
        <v>-1560000.0000000014</v>
      </c>
      <c r="BR1203">
        <f ca="1">IF(ROW()&lt;($C$7+1),"",IFERROR((分析データ!F1203-AVERAGE(OFFSET(分析データ!F$1,MAX(1,ROW()-$C$7),0,MIN($C$7,ROW()-1),1)))/STDEV(OFFSET(分析データ!F$1,MAX(1,ROW()-$C$7),0,MIN($C$7,ROW()-1),1)),0))</f>
        <v>0</v>
      </c>
      <c r="BS1203">
        <f t="shared" ca="1" si="520"/>
        <v>0</v>
      </c>
      <c r="BT1203" t="str">
        <f ca="1">IF(BS1203=1,IF(INDEX(分析データ!$A:$A,ROW()+$C$5)&lt;&gt;"",40000*SIGN(BR1203)*(分析データ!F1203-INDEX(分析データ!F:F,ROW()+$C$5)),""),"")</f>
        <v/>
      </c>
      <c r="BU1203">
        <f t="shared" ca="1" si="521"/>
        <v>19816800</v>
      </c>
      <c r="BV1203">
        <f t="shared" ca="1" si="522"/>
        <v>19816800</v>
      </c>
      <c r="BW1203">
        <f t="shared" ca="1" si="523"/>
        <v>0</v>
      </c>
      <c r="BX1203">
        <f ca="1">IF(ROW()&lt;($C$7+1),"",IFERROR((分析データ!G1203-AVERAGE(OFFSET(分析データ!G$1,MAX(1,ROW()-$C$7),0,MIN($C$7,ROW()-1),1)))/STDEV(OFFSET(分析データ!G$1,MAX(1,ROW()-$C$7),0,MIN($C$7,ROW()-1),1)),0))</f>
        <v>0</v>
      </c>
      <c r="BY1203">
        <f t="shared" ca="1" si="524"/>
        <v>0</v>
      </c>
      <c r="BZ1203" t="str">
        <f ca="1">IF(BY1203=1,IF(INDEX(分析データ!$A:$A,ROW()+$C$5)&lt;&gt;"",40000*SIGN(BX1203)*(分析データ!G1203-INDEX(分析データ!G:G,ROW()+$C$5)),""),"")</f>
        <v/>
      </c>
      <c r="CA1203">
        <f t="shared" ca="1" si="525"/>
        <v>-3515452.8662109179</v>
      </c>
      <c r="CB1203">
        <f t="shared" ca="1" si="526"/>
        <v>11327520.000000004</v>
      </c>
      <c r="CC1203">
        <f t="shared" ca="1" si="527"/>
        <v>-14842972.866210923</v>
      </c>
      <c r="CD1203">
        <f t="shared" ca="1" si="528"/>
        <v>0</v>
      </c>
      <c r="CE1203">
        <f t="shared" ca="1" si="529"/>
        <v>23090347.13378913</v>
      </c>
      <c r="CF1203">
        <f t="shared" ca="1" si="530"/>
        <v>23090347.13378913</v>
      </c>
      <c r="CG1203">
        <f t="shared" ca="1" si="531"/>
        <v>0</v>
      </c>
      <c r="CH1203" s="10" t="str">
        <f>分析データ!A1203</f>
        <v/>
      </c>
    </row>
    <row r="1204" spans="46:86">
      <c r="AT1204">
        <f ca="1">IF(ROW()&lt;($C$7+1),"",IFERROR((分析データ!B1204-AVERAGE(OFFSET(分析データ!B$1,MAX(1,ROW()-$C$7),0,MIN($C$7,ROW()-1),1)))/STDEV(OFFSET(分析データ!B$1,MAX(1,ROW()-$C$7),0,MIN($C$7,ROW()-1),1)),0))</f>
        <v>0</v>
      </c>
      <c r="AU1204">
        <f t="shared" ca="1" si="504"/>
        <v>0</v>
      </c>
      <c r="AV1204" t="str">
        <f ca="1">IF(AU1204=1,IF(INDEX(分析データ!$A:$A,ROW()+$C$5)&lt;&gt;"",80000*SIGN(AT1204)*(分析データ!B1204-INDEX(分析データ!B:B,ROW()+$C$5)),""),"")</f>
        <v/>
      </c>
      <c r="AW1204">
        <f t="shared" ca="1" si="505"/>
        <v>-1240000.0000000019</v>
      </c>
      <c r="AX1204">
        <f t="shared" ca="1" si="506"/>
        <v>0</v>
      </c>
      <c r="AY1204">
        <f t="shared" ca="1" si="507"/>
        <v>-1240000.0000000019</v>
      </c>
      <c r="AZ1204">
        <f ca="1">IF(ROW()&lt;($C$7+1),"",IFERROR((分析データ!C1204-AVERAGE(OFFSET(分析データ!C$1,MAX(1,ROW()-$C$7),0,MIN($C$7,ROW()-1),1)))/STDEV(OFFSET(分析データ!C$1,MAX(1,ROW()-$C$7),0,MIN($C$7,ROW()-1),1)),0))</f>
        <v>0</v>
      </c>
      <c r="BA1204">
        <f t="shared" ca="1" si="508"/>
        <v>0</v>
      </c>
      <c r="BB1204" t="str">
        <f ca="1">IF(BA1204=1,IF(INDEX(分析データ!$A:$A,ROW()+$C$5)&lt;&gt;"",60000*SIGN(AZ1204)*(分析データ!C1204-INDEX(分析データ!C:C,ROW()+$C$5)),""),"")</f>
        <v/>
      </c>
      <c r="BC1204">
        <f t="shared" ca="1" si="509"/>
        <v>-260999.9999999851</v>
      </c>
      <c r="BD1204">
        <f t="shared" ca="1" si="510"/>
        <v>3156000.0000000107</v>
      </c>
      <c r="BE1204">
        <f t="shared" ca="1" si="511"/>
        <v>-3416999.9999999958</v>
      </c>
      <c r="BF1204">
        <f ca="1">IF(ROW()&lt;($C$7+1),"",IFERROR((分析データ!D1204-AVERAGE(OFFSET(分析データ!D$1,MAX(1,ROW()-$C$7),0,MIN($C$7,ROW()-1),1)))/STDEV(OFFSET(分析データ!D$1,MAX(1,ROW()-$C$7),0,MIN($C$7,ROW()-1),1)),0))</f>
        <v>0</v>
      </c>
      <c r="BG1204">
        <f t="shared" ca="1" si="512"/>
        <v>0</v>
      </c>
      <c r="BH1204" t="str">
        <f ca="1">IF(BG1204=1,IF(INDEX(分析データ!$A:$A,ROW()+$C$5)&lt;&gt;"",50000*SIGN(BF1204)*(分析データ!D1204-INDEX(分析データ!D:D,ROW()+$C$5)),""),"")</f>
        <v/>
      </c>
      <c r="BI1204">
        <f t="shared" ca="1" si="513"/>
        <v>5570000.0000000205</v>
      </c>
      <c r="BJ1204">
        <f t="shared" ca="1" si="514"/>
        <v>5570000.0000000205</v>
      </c>
      <c r="BK1204">
        <f t="shared" ca="1" si="515"/>
        <v>0</v>
      </c>
      <c r="BL1204">
        <f ca="1">IF(ROW()&lt;($C$7+1),"",IFERROR((分析データ!E1204-AVERAGE(OFFSET(分析データ!E$1,MAX(1,ROW()-$C$7),0,MIN($C$7,ROW()-1),1)))/STDEV(OFFSET(分析データ!E$1,MAX(1,ROW()-$C$7),0,MIN($C$7,ROW()-1),1)),0))</f>
        <v>0</v>
      </c>
      <c r="BM1204">
        <f t="shared" ca="1" si="516"/>
        <v>0</v>
      </c>
      <c r="BN1204" t="str">
        <f ca="1">IF(BM1204=1,IF(INDEX(分析データ!$A:$A,ROW()+$C$5)&lt;&gt;"",40000*SIGN(BL1204)*(分析データ!E1204-INDEX(分析データ!E:E,ROW()+$C$5)),""),"")</f>
        <v/>
      </c>
      <c r="BO1204">
        <f t="shared" ca="1" si="517"/>
        <v>2720000.0000000014</v>
      </c>
      <c r="BP1204">
        <f t="shared" ca="1" si="518"/>
        <v>4280000.0000000028</v>
      </c>
      <c r="BQ1204">
        <f t="shared" ca="1" si="519"/>
        <v>-1560000.0000000014</v>
      </c>
      <c r="BR1204">
        <f ca="1">IF(ROW()&lt;($C$7+1),"",IFERROR((分析データ!F1204-AVERAGE(OFFSET(分析データ!F$1,MAX(1,ROW()-$C$7),0,MIN($C$7,ROW()-1),1)))/STDEV(OFFSET(分析データ!F$1,MAX(1,ROW()-$C$7),0,MIN($C$7,ROW()-1),1)),0))</f>
        <v>0</v>
      </c>
      <c r="BS1204">
        <f t="shared" ca="1" si="520"/>
        <v>0</v>
      </c>
      <c r="BT1204" t="str">
        <f ca="1">IF(BS1204=1,IF(INDEX(分析データ!$A:$A,ROW()+$C$5)&lt;&gt;"",40000*SIGN(BR1204)*(分析データ!F1204-INDEX(分析データ!F:F,ROW()+$C$5)),""),"")</f>
        <v/>
      </c>
      <c r="BU1204">
        <f t="shared" ca="1" si="521"/>
        <v>19816800</v>
      </c>
      <c r="BV1204">
        <f t="shared" ca="1" si="522"/>
        <v>19816800</v>
      </c>
      <c r="BW1204">
        <f t="shared" ca="1" si="523"/>
        <v>0</v>
      </c>
      <c r="BX1204">
        <f ca="1">IF(ROW()&lt;($C$7+1),"",IFERROR((分析データ!G1204-AVERAGE(OFFSET(分析データ!G$1,MAX(1,ROW()-$C$7),0,MIN($C$7,ROW()-1),1)))/STDEV(OFFSET(分析データ!G$1,MAX(1,ROW()-$C$7),0,MIN($C$7,ROW()-1),1)),0))</f>
        <v>0</v>
      </c>
      <c r="BY1204">
        <f t="shared" ca="1" si="524"/>
        <v>0</v>
      </c>
      <c r="BZ1204" t="str">
        <f ca="1">IF(BY1204=1,IF(INDEX(分析データ!$A:$A,ROW()+$C$5)&lt;&gt;"",40000*SIGN(BX1204)*(分析データ!G1204-INDEX(分析データ!G:G,ROW()+$C$5)),""),"")</f>
        <v/>
      </c>
      <c r="CA1204">
        <f t="shared" ca="1" si="525"/>
        <v>-3515452.8662109179</v>
      </c>
      <c r="CB1204">
        <f t="shared" ca="1" si="526"/>
        <v>11327520.000000004</v>
      </c>
      <c r="CC1204">
        <f t="shared" ca="1" si="527"/>
        <v>-14842972.866210923</v>
      </c>
      <c r="CD1204">
        <f t="shared" ca="1" si="528"/>
        <v>0</v>
      </c>
      <c r="CE1204">
        <f t="shared" ca="1" si="529"/>
        <v>23090347.13378913</v>
      </c>
      <c r="CF1204">
        <f t="shared" ca="1" si="530"/>
        <v>23090347.13378913</v>
      </c>
      <c r="CG1204">
        <f t="shared" ca="1" si="531"/>
        <v>0</v>
      </c>
      <c r="CH1204" s="10" t="str">
        <f>分析データ!A1204</f>
        <v/>
      </c>
    </row>
    <row r="1205" spans="46:86">
      <c r="AT1205">
        <f ca="1">IF(ROW()&lt;($C$7+1),"",IFERROR((分析データ!B1205-AVERAGE(OFFSET(分析データ!B$1,MAX(1,ROW()-$C$7),0,MIN($C$7,ROW()-1),1)))/STDEV(OFFSET(分析データ!B$1,MAX(1,ROW()-$C$7),0,MIN($C$7,ROW()-1),1)),0))</f>
        <v>0</v>
      </c>
      <c r="AU1205">
        <f t="shared" ca="1" si="504"/>
        <v>0</v>
      </c>
      <c r="AV1205" t="str">
        <f ca="1">IF(AU1205=1,IF(INDEX(分析データ!$A:$A,ROW()+$C$5)&lt;&gt;"",80000*SIGN(AT1205)*(分析データ!B1205-INDEX(分析データ!B:B,ROW()+$C$5)),""),"")</f>
        <v/>
      </c>
      <c r="AW1205">
        <f t="shared" ca="1" si="505"/>
        <v>-1240000.0000000019</v>
      </c>
      <c r="AX1205">
        <f t="shared" ca="1" si="506"/>
        <v>0</v>
      </c>
      <c r="AY1205">
        <f t="shared" ca="1" si="507"/>
        <v>-1240000.0000000019</v>
      </c>
      <c r="AZ1205">
        <f ca="1">IF(ROW()&lt;($C$7+1),"",IFERROR((分析データ!C1205-AVERAGE(OFFSET(分析データ!C$1,MAX(1,ROW()-$C$7),0,MIN($C$7,ROW()-1),1)))/STDEV(OFFSET(分析データ!C$1,MAX(1,ROW()-$C$7),0,MIN($C$7,ROW()-1),1)),0))</f>
        <v>0</v>
      </c>
      <c r="BA1205">
        <f t="shared" ca="1" si="508"/>
        <v>0</v>
      </c>
      <c r="BB1205" t="str">
        <f ca="1">IF(BA1205=1,IF(INDEX(分析データ!$A:$A,ROW()+$C$5)&lt;&gt;"",60000*SIGN(AZ1205)*(分析データ!C1205-INDEX(分析データ!C:C,ROW()+$C$5)),""),"")</f>
        <v/>
      </c>
      <c r="BC1205">
        <f t="shared" ca="1" si="509"/>
        <v>-260999.9999999851</v>
      </c>
      <c r="BD1205">
        <f t="shared" ca="1" si="510"/>
        <v>3156000.0000000107</v>
      </c>
      <c r="BE1205">
        <f t="shared" ca="1" si="511"/>
        <v>-3416999.9999999958</v>
      </c>
      <c r="BF1205">
        <f ca="1">IF(ROW()&lt;($C$7+1),"",IFERROR((分析データ!D1205-AVERAGE(OFFSET(分析データ!D$1,MAX(1,ROW()-$C$7),0,MIN($C$7,ROW()-1),1)))/STDEV(OFFSET(分析データ!D$1,MAX(1,ROW()-$C$7),0,MIN($C$7,ROW()-1),1)),0))</f>
        <v>0</v>
      </c>
      <c r="BG1205">
        <f t="shared" ca="1" si="512"/>
        <v>0</v>
      </c>
      <c r="BH1205" t="str">
        <f ca="1">IF(BG1205=1,IF(INDEX(分析データ!$A:$A,ROW()+$C$5)&lt;&gt;"",50000*SIGN(BF1205)*(分析データ!D1205-INDEX(分析データ!D:D,ROW()+$C$5)),""),"")</f>
        <v/>
      </c>
      <c r="BI1205">
        <f t="shared" ca="1" si="513"/>
        <v>5570000.0000000205</v>
      </c>
      <c r="BJ1205">
        <f t="shared" ca="1" si="514"/>
        <v>5570000.0000000205</v>
      </c>
      <c r="BK1205">
        <f t="shared" ca="1" si="515"/>
        <v>0</v>
      </c>
      <c r="BL1205">
        <f ca="1">IF(ROW()&lt;($C$7+1),"",IFERROR((分析データ!E1205-AVERAGE(OFFSET(分析データ!E$1,MAX(1,ROW()-$C$7),0,MIN($C$7,ROW()-1),1)))/STDEV(OFFSET(分析データ!E$1,MAX(1,ROW()-$C$7),0,MIN($C$7,ROW()-1),1)),0))</f>
        <v>0</v>
      </c>
      <c r="BM1205">
        <f t="shared" ca="1" si="516"/>
        <v>0</v>
      </c>
      <c r="BN1205" t="str">
        <f ca="1">IF(BM1205=1,IF(INDEX(分析データ!$A:$A,ROW()+$C$5)&lt;&gt;"",40000*SIGN(BL1205)*(分析データ!E1205-INDEX(分析データ!E:E,ROW()+$C$5)),""),"")</f>
        <v/>
      </c>
      <c r="BO1205">
        <f t="shared" ca="1" si="517"/>
        <v>2720000.0000000014</v>
      </c>
      <c r="BP1205">
        <f t="shared" ca="1" si="518"/>
        <v>4280000.0000000028</v>
      </c>
      <c r="BQ1205">
        <f t="shared" ca="1" si="519"/>
        <v>-1560000.0000000014</v>
      </c>
      <c r="BR1205">
        <f ca="1">IF(ROW()&lt;($C$7+1),"",IFERROR((分析データ!F1205-AVERAGE(OFFSET(分析データ!F$1,MAX(1,ROW()-$C$7),0,MIN($C$7,ROW()-1),1)))/STDEV(OFFSET(分析データ!F$1,MAX(1,ROW()-$C$7),0,MIN($C$7,ROW()-1),1)),0))</f>
        <v>0</v>
      </c>
      <c r="BS1205">
        <f t="shared" ca="1" si="520"/>
        <v>0</v>
      </c>
      <c r="BT1205" t="str">
        <f ca="1">IF(BS1205=1,IF(INDEX(分析データ!$A:$A,ROW()+$C$5)&lt;&gt;"",40000*SIGN(BR1205)*(分析データ!F1205-INDEX(分析データ!F:F,ROW()+$C$5)),""),"")</f>
        <v/>
      </c>
      <c r="BU1205">
        <f t="shared" ca="1" si="521"/>
        <v>19816800</v>
      </c>
      <c r="BV1205">
        <f t="shared" ca="1" si="522"/>
        <v>19816800</v>
      </c>
      <c r="BW1205">
        <f t="shared" ca="1" si="523"/>
        <v>0</v>
      </c>
      <c r="BX1205">
        <f ca="1">IF(ROW()&lt;($C$7+1),"",IFERROR((分析データ!G1205-AVERAGE(OFFSET(分析データ!G$1,MAX(1,ROW()-$C$7),0,MIN($C$7,ROW()-1),1)))/STDEV(OFFSET(分析データ!G$1,MAX(1,ROW()-$C$7),0,MIN($C$7,ROW()-1),1)),0))</f>
        <v>0</v>
      </c>
      <c r="BY1205">
        <f t="shared" ca="1" si="524"/>
        <v>0</v>
      </c>
      <c r="BZ1205" t="str">
        <f ca="1">IF(BY1205=1,IF(INDEX(分析データ!$A:$A,ROW()+$C$5)&lt;&gt;"",40000*SIGN(BX1205)*(分析データ!G1205-INDEX(分析データ!G:G,ROW()+$C$5)),""),"")</f>
        <v/>
      </c>
      <c r="CA1205">
        <f t="shared" ca="1" si="525"/>
        <v>-3515452.8662109179</v>
      </c>
      <c r="CB1205">
        <f t="shared" ca="1" si="526"/>
        <v>11327520.000000004</v>
      </c>
      <c r="CC1205">
        <f t="shared" ca="1" si="527"/>
        <v>-14842972.866210923</v>
      </c>
      <c r="CD1205">
        <f t="shared" ca="1" si="528"/>
        <v>0</v>
      </c>
      <c r="CE1205">
        <f t="shared" ca="1" si="529"/>
        <v>23090347.13378913</v>
      </c>
      <c r="CF1205">
        <f t="shared" ca="1" si="530"/>
        <v>23090347.13378913</v>
      </c>
      <c r="CG1205">
        <f t="shared" ca="1" si="531"/>
        <v>0</v>
      </c>
      <c r="CH1205" s="10" t="str">
        <f>分析データ!A1205</f>
        <v/>
      </c>
    </row>
    <row r="1206" spans="46:86">
      <c r="AT1206">
        <f ca="1">IF(ROW()&lt;($C$7+1),"",IFERROR((分析データ!B1206-AVERAGE(OFFSET(分析データ!B$1,MAX(1,ROW()-$C$7),0,MIN($C$7,ROW()-1),1)))/STDEV(OFFSET(分析データ!B$1,MAX(1,ROW()-$C$7),0,MIN($C$7,ROW()-1),1)),0))</f>
        <v>0</v>
      </c>
      <c r="AU1206">
        <f t="shared" ca="1" si="504"/>
        <v>0</v>
      </c>
      <c r="AV1206" t="str">
        <f ca="1">IF(AU1206=1,IF(INDEX(分析データ!$A:$A,ROW()+$C$5)&lt;&gt;"",80000*SIGN(AT1206)*(分析データ!B1206-INDEX(分析データ!B:B,ROW()+$C$5)),""),"")</f>
        <v/>
      </c>
      <c r="AW1206">
        <f t="shared" ca="1" si="505"/>
        <v>-1240000.0000000019</v>
      </c>
      <c r="AX1206">
        <f t="shared" ca="1" si="506"/>
        <v>0</v>
      </c>
      <c r="AY1206">
        <f t="shared" ca="1" si="507"/>
        <v>-1240000.0000000019</v>
      </c>
      <c r="AZ1206">
        <f ca="1">IF(ROW()&lt;($C$7+1),"",IFERROR((分析データ!C1206-AVERAGE(OFFSET(分析データ!C$1,MAX(1,ROW()-$C$7),0,MIN($C$7,ROW()-1),1)))/STDEV(OFFSET(分析データ!C$1,MAX(1,ROW()-$C$7),0,MIN($C$7,ROW()-1),1)),0))</f>
        <v>0</v>
      </c>
      <c r="BA1206">
        <f t="shared" ca="1" si="508"/>
        <v>0</v>
      </c>
      <c r="BB1206" t="str">
        <f ca="1">IF(BA1206=1,IF(INDEX(分析データ!$A:$A,ROW()+$C$5)&lt;&gt;"",60000*SIGN(AZ1206)*(分析データ!C1206-INDEX(分析データ!C:C,ROW()+$C$5)),""),"")</f>
        <v/>
      </c>
      <c r="BC1206">
        <f t="shared" ca="1" si="509"/>
        <v>-260999.9999999851</v>
      </c>
      <c r="BD1206">
        <f t="shared" ca="1" si="510"/>
        <v>3156000.0000000107</v>
      </c>
      <c r="BE1206">
        <f t="shared" ca="1" si="511"/>
        <v>-3416999.9999999958</v>
      </c>
      <c r="BF1206">
        <f ca="1">IF(ROW()&lt;($C$7+1),"",IFERROR((分析データ!D1206-AVERAGE(OFFSET(分析データ!D$1,MAX(1,ROW()-$C$7),0,MIN($C$7,ROW()-1),1)))/STDEV(OFFSET(分析データ!D$1,MAX(1,ROW()-$C$7),0,MIN($C$7,ROW()-1),1)),0))</f>
        <v>0</v>
      </c>
      <c r="BG1206">
        <f t="shared" ca="1" si="512"/>
        <v>0</v>
      </c>
      <c r="BH1206" t="str">
        <f ca="1">IF(BG1206=1,IF(INDEX(分析データ!$A:$A,ROW()+$C$5)&lt;&gt;"",50000*SIGN(BF1206)*(分析データ!D1206-INDEX(分析データ!D:D,ROW()+$C$5)),""),"")</f>
        <v/>
      </c>
      <c r="BI1206">
        <f t="shared" ca="1" si="513"/>
        <v>5570000.0000000205</v>
      </c>
      <c r="BJ1206">
        <f t="shared" ca="1" si="514"/>
        <v>5570000.0000000205</v>
      </c>
      <c r="BK1206">
        <f t="shared" ca="1" si="515"/>
        <v>0</v>
      </c>
      <c r="BL1206">
        <f ca="1">IF(ROW()&lt;($C$7+1),"",IFERROR((分析データ!E1206-AVERAGE(OFFSET(分析データ!E$1,MAX(1,ROW()-$C$7),0,MIN($C$7,ROW()-1),1)))/STDEV(OFFSET(分析データ!E$1,MAX(1,ROW()-$C$7),0,MIN($C$7,ROW()-1),1)),0))</f>
        <v>0</v>
      </c>
      <c r="BM1206">
        <f t="shared" ca="1" si="516"/>
        <v>0</v>
      </c>
      <c r="BN1206" t="str">
        <f ca="1">IF(BM1206=1,IF(INDEX(分析データ!$A:$A,ROW()+$C$5)&lt;&gt;"",40000*SIGN(BL1206)*(分析データ!E1206-INDEX(分析データ!E:E,ROW()+$C$5)),""),"")</f>
        <v/>
      </c>
      <c r="BO1206">
        <f t="shared" ca="1" si="517"/>
        <v>2720000.0000000014</v>
      </c>
      <c r="BP1206">
        <f t="shared" ca="1" si="518"/>
        <v>4280000.0000000028</v>
      </c>
      <c r="BQ1206">
        <f t="shared" ca="1" si="519"/>
        <v>-1560000.0000000014</v>
      </c>
      <c r="BR1206">
        <f ca="1">IF(ROW()&lt;($C$7+1),"",IFERROR((分析データ!F1206-AVERAGE(OFFSET(分析データ!F$1,MAX(1,ROW()-$C$7),0,MIN($C$7,ROW()-1),1)))/STDEV(OFFSET(分析データ!F$1,MAX(1,ROW()-$C$7),0,MIN($C$7,ROW()-1),1)),0))</f>
        <v>0</v>
      </c>
      <c r="BS1206">
        <f t="shared" ca="1" si="520"/>
        <v>0</v>
      </c>
      <c r="BT1206" t="str">
        <f ca="1">IF(BS1206=1,IF(INDEX(分析データ!$A:$A,ROW()+$C$5)&lt;&gt;"",40000*SIGN(BR1206)*(分析データ!F1206-INDEX(分析データ!F:F,ROW()+$C$5)),""),"")</f>
        <v/>
      </c>
      <c r="BU1206">
        <f t="shared" ca="1" si="521"/>
        <v>19816800</v>
      </c>
      <c r="BV1206">
        <f t="shared" ca="1" si="522"/>
        <v>19816800</v>
      </c>
      <c r="BW1206">
        <f t="shared" ca="1" si="523"/>
        <v>0</v>
      </c>
      <c r="BX1206">
        <f ca="1">IF(ROW()&lt;($C$7+1),"",IFERROR((分析データ!G1206-AVERAGE(OFFSET(分析データ!G$1,MAX(1,ROW()-$C$7),0,MIN($C$7,ROW()-1),1)))/STDEV(OFFSET(分析データ!G$1,MAX(1,ROW()-$C$7),0,MIN($C$7,ROW()-1),1)),0))</f>
        <v>0</v>
      </c>
      <c r="BY1206">
        <f t="shared" ca="1" si="524"/>
        <v>0</v>
      </c>
      <c r="BZ1206" t="str">
        <f ca="1">IF(BY1206=1,IF(INDEX(分析データ!$A:$A,ROW()+$C$5)&lt;&gt;"",40000*SIGN(BX1206)*(分析データ!G1206-INDEX(分析データ!G:G,ROW()+$C$5)),""),"")</f>
        <v/>
      </c>
      <c r="CA1206">
        <f t="shared" ca="1" si="525"/>
        <v>-3515452.8662109179</v>
      </c>
      <c r="CB1206">
        <f t="shared" ca="1" si="526"/>
        <v>11327520.000000004</v>
      </c>
      <c r="CC1206">
        <f t="shared" ca="1" si="527"/>
        <v>-14842972.866210923</v>
      </c>
      <c r="CD1206">
        <f t="shared" ca="1" si="528"/>
        <v>0</v>
      </c>
      <c r="CE1206">
        <f t="shared" ca="1" si="529"/>
        <v>23090347.13378913</v>
      </c>
      <c r="CF1206">
        <f t="shared" ca="1" si="530"/>
        <v>23090347.13378913</v>
      </c>
      <c r="CG1206">
        <f t="shared" ca="1" si="531"/>
        <v>0</v>
      </c>
      <c r="CH1206" s="10" t="str">
        <f>分析データ!A1206</f>
        <v/>
      </c>
    </row>
    <row r="1207" spans="46:86">
      <c r="AT1207">
        <f ca="1">IF(ROW()&lt;($C$7+1),"",IFERROR((分析データ!B1207-AVERAGE(OFFSET(分析データ!B$1,MAX(1,ROW()-$C$7),0,MIN($C$7,ROW()-1),1)))/STDEV(OFFSET(分析データ!B$1,MAX(1,ROW()-$C$7),0,MIN($C$7,ROW()-1),1)),0))</f>
        <v>0</v>
      </c>
      <c r="AU1207">
        <f t="shared" ca="1" si="504"/>
        <v>0</v>
      </c>
      <c r="AV1207" t="str">
        <f ca="1">IF(AU1207=1,IF(INDEX(分析データ!$A:$A,ROW()+$C$5)&lt;&gt;"",80000*SIGN(AT1207)*(分析データ!B1207-INDEX(分析データ!B:B,ROW()+$C$5)),""),"")</f>
        <v/>
      </c>
      <c r="AW1207">
        <f t="shared" ca="1" si="505"/>
        <v>-1240000.0000000019</v>
      </c>
      <c r="AX1207">
        <f t="shared" ca="1" si="506"/>
        <v>0</v>
      </c>
      <c r="AY1207">
        <f t="shared" ca="1" si="507"/>
        <v>-1240000.0000000019</v>
      </c>
      <c r="AZ1207">
        <f ca="1">IF(ROW()&lt;($C$7+1),"",IFERROR((分析データ!C1207-AVERAGE(OFFSET(分析データ!C$1,MAX(1,ROW()-$C$7),0,MIN($C$7,ROW()-1),1)))/STDEV(OFFSET(分析データ!C$1,MAX(1,ROW()-$C$7),0,MIN($C$7,ROW()-1),1)),0))</f>
        <v>0</v>
      </c>
      <c r="BA1207">
        <f t="shared" ca="1" si="508"/>
        <v>0</v>
      </c>
      <c r="BB1207" t="str">
        <f ca="1">IF(BA1207=1,IF(INDEX(分析データ!$A:$A,ROW()+$C$5)&lt;&gt;"",60000*SIGN(AZ1207)*(分析データ!C1207-INDEX(分析データ!C:C,ROW()+$C$5)),""),"")</f>
        <v/>
      </c>
      <c r="BC1207">
        <f t="shared" ca="1" si="509"/>
        <v>-260999.9999999851</v>
      </c>
      <c r="BD1207">
        <f t="shared" ca="1" si="510"/>
        <v>3156000.0000000107</v>
      </c>
      <c r="BE1207">
        <f t="shared" ca="1" si="511"/>
        <v>-3416999.9999999958</v>
      </c>
      <c r="BF1207">
        <f ca="1">IF(ROW()&lt;($C$7+1),"",IFERROR((分析データ!D1207-AVERAGE(OFFSET(分析データ!D$1,MAX(1,ROW()-$C$7),0,MIN($C$7,ROW()-1),1)))/STDEV(OFFSET(分析データ!D$1,MAX(1,ROW()-$C$7),0,MIN($C$7,ROW()-1),1)),0))</f>
        <v>0</v>
      </c>
      <c r="BG1207">
        <f t="shared" ca="1" si="512"/>
        <v>0</v>
      </c>
      <c r="BH1207" t="str">
        <f ca="1">IF(BG1207=1,IF(INDEX(分析データ!$A:$A,ROW()+$C$5)&lt;&gt;"",50000*SIGN(BF1207)*(分析データ!D1207-INDEX(分析データ!D:D,ROW()+$C$5)),""),"")</f>
        <v/>
      </c>
      <c r="BI1207">
        <f t="shared" ca="1" si="513"/>
        <v>5570000.0000000205</v>
      </c>
      <c r="BJ1207">
        <f t="shared" ca="1" si="514"/>
        <v>5570000.0000000205</v>
      </c>
      <c r="BK1207">
        <f t="shared" ca="1" si="515"/>
        <v>0</v>
      </c>
      <c r="BL1207">
        <f ca="1">IF(ROW()&lt;($C$7+1),"",IFERROR((分析データ!E1207-AVERAGE(OFFSET(分析データ!E$1,MAX(1,ROW()-$C$7),0,MIN($C$7,ROW()-1),1)))/STDEV(OFFSET(分析データ!E$1,MAX(1,ROW()-$C$7),0,MIN($C$7,ROW()-1),1)),0))</f>
        <v>0</v>
      </c>
      <c r="BM1207">
        <f t="shared" ca="1" si="516"/>
        <v>0</v>
      </c>
      <c r="BN1207" t="str">
        <f ca="1">IF(BM1207=1,IF(INDEX(分析データ!$A:$A,ROW()+$C$5)&lt;&gt;"",40000*SIGN(BL1207)*(分析データ!E1207-INDEX(分析データ!E:E,ROW()+$C$5)),""),"")</f>
        <v/>
      </c>
      <c r="BO1207">
        <f t="shared" ca="1" si="517"/>
        <v>2720000.0000000014</v>
      </c>
      <c r="BP1207">
        <f t="shared" ca="1" si="518"/>
        <v>4280000.0000000028</v>
      </c>
      <c r="BQ1207">
        <f t="shared" ca="1" si="519"/>
        <v>-1560000.0000000014</v>
      </c>
      <c r="BR1207">
        <f ca="1">IF(ROW()&lt;($C$7+1),"",IFERROR((分析データ!F1207-AVERAGE(OFFSET(分析データ!F$1,MAX(1,ROW()-$C$7),0,MIN($C$7,ROW()-1),1)))/STDEV(OFFSET(分析データ!F$1,MAX(1,ROW()-$C$7),0,MIN($C$7,ROW()-1),1)),0))</f>
        <v>0</v>
      </c>
      <c r="BS1207">
        <f t="shared" ca="1" si="520"/>
        <v>0</v>
      </c>
      <c r="BT1207" t="str">
        <f ca="1">IF(BS1207=1,IF(INDEX(分析データ!$A:$A,ROW()+$C$5)&lt;&gt;"",40000*SIGN(BR1207)*(分析データ!F1207-INDEX(分析データ!F:F,ROW()+$C$5)),""),"")</f>
        <v/>
      </c>
      <c r="BU1207">
        <f t="shared" ca="1" si="521"/>
        <v>19816800</v>
      </c>
      <c r="BV1207">
        <f t="shared" ca="1" si="522"/>
        <v>19816800</v>
      </c>
      <c r="BW1207">
        <f t="shared" ca="1" si="523"/>
        <v>0</v>
      </c>
      <c r="BX1207">
        <f ca="1">IF(ROW()&lt;($C$7+1),"",IFERROR((分析データ!G1207-AVERAGE(OFFSET(分析データ!G$1,MAX(1,ROW()-$C$7),0,MIN($C$7,ROW()-1),1)))/STDEV(OFFSET(分析データ!G$1,MAX(1,ROW()-$C$7),0,MIN($C$7,ROW()-1),1)),0))</f>
        <v>0</v>
      </c>
      <c r="BY1207">
        <f t="shared" ca="1" si="524"/>
        <v>0</v>
      </c>
      <c r="BZ1207" t="str">
        <f ca="1">IF(BY1207=1,IF(INDEX(分析データ!$A:$A,ROW()+$C$5)&lt;&gt;"",40000*SIGN(BX1207)*(分析データ!G1207-INDEX(分析データ!G:G,ROW()+$C$5)),""),"")</f>
        <v/>
      </c>
      <c r="CA1207">
        <f t="shared" ca="1" si="525"/>
        <v>-3515452.8662109179</v>
      </c>
      <c r="CB1207">
        <f t="shared" ca="1" si="526"/>
        <v>11327520.000000004</v>
      </c>
      <c r="CC1207">
        <f t="shared" ca="1" si="527"/>
        <v>-14842972.866210923</v>
      </c>
      <c r="CD1207">
        <f t="shared" ca="1" si="528"/>
        <v>0</v>
      </c>
      <c r="CE1207">
        <f t="shared" ca="1" si="529"/>
        <v>23090347.13378913</v>
      </c>
      <c r="CF1207">
        <f t="shared" ca="1" si="530"/>
        <v>23090347.13378913</v>
      </c>
      <c r="CG1207">
        <f t="shared" ca="1" si="531"/>
        <v>0</v>
      </c>
      <c r="CH1207" s="10" t="str">
        <f>分析データ!A1207</f>
        <v/>
      </c>
    </row>
    <row r="1208" spans="46:86">
      <c r="AT1208">
        <f ca="1">IF(ROW()&lt;($C$7+1),"",IFERROR((分析データ!B1208-AVERAGE(OFFSET(分析データ!B$1,MAX(1,ROW()-$C$7),0,MIN($C$7,ROW()-1),1)))/STDEV(OFFSET(分析データ!B$1,MAX(1,ROW()-$C$7),0,MIN($C$7,ROW()-1),1)),0))</f>
        <v>0</v>
      </c>
      <c r="AU1208">
        <f t="shared" ca="1" si="504"/>
        <v>0</v>
      </c>
      <c r="AV1208" t="str">
        <f ca="1">IF(AU1208=1,IF(INDEX(分析データ!$A:$A,ROW()+$C$5)&lt;&gt;"",80000*SIGN(AT1208)*(分析データ!B1208-INDEX(分析データ!B:B,ROW()+$C$5)),""),"")</f>
        <v/>
      </c>
      <c r="AW1208">
        <f t="shared" ca="1" si="505"/>
        <v>-1240000.0000000019</v>
      </c>
      <c r="AX1208">
        <f t="shared" ca="1" si="506"/>
        <v>0</v>
      </c>
      <c r="AY1208">
        <f t="shared" ca="1" si="507"/>
        <v>-1240000.0000000019</v>
      </c>
      <c r="AZ1208">
        <f ca="1">IF(ROW()&lt;($C$7+1),"",IFERROR((分析データ!C1208-AVERAGE(OFFSET(分析データ!C$1,MAX(1,ROW()-$C$7),0,MIN($C$7,ROW()-1),1)))/STDEV(OFFSET(分析データ!C$1,MAX(1,ROW()-$C$7),0,MIN($C$7,ROW()-1),1)),0))</f>
        <v>0</v>
      </c>
      <c r="BA1208">
        <f t="shared" ca="1" si="508"/>
        <v>0</v>
      </c>
      <c r="BB1208" t="str">
        <f ca="1">IF(BA1208=1,IF(INDEX(分析データ!$A:$A,ROW()+$C$5)&lt;&gt;"",60000*SIGN(AZ1208)*(分析データ!C1208-INDEX(分析データ!C:C,ROW()+$C$5)),""),"")</f>
        <v/>
      </c>
      <c r="BC1208">
        <f t="shared" ca="1" si="509"/>
        <v>-260999.9999999851</v>
      </c>
      <c r="BD1208">
        <f t="shared" ca="1" si="510"/>
        <v>3156000.0000000107</v>
      </c>
      <c r="BE1208">
        <f t="shared" ca="1" si="511"/>
        <v>-3416999.9999999958</v>
      </c>
      <c r="BF1208">
        <f ca="1">IF(ROW()&lt;($C$7+1),"",IFERROR((分析データ!D1208-AVERAGE(OFFSET(分析データ!D$1,MAX(1,ROW()-$C$7),0,MIN($C$7,ROW()-1),1)))/STDEV(OFFSET(分析データ!D$1,MAX(1,ROW()-$C$7),0,MIN($C$7,ROW()-1),1)),0))</f>
        <v>0</v>
      </c>
      <c r="BG1208">
        <f t="shared" ca="1" si="512"/>
        <v>0</v>
      </c>
      <c r="BH1208" t="str">
        <f ca="1">IF(BG1208=1,IF(INDEX(分析データ!$A:$A,ROW()+$C$5)&lt;&gt;"",50000*SIGN(BF1208)*(分析データ!D1208-INDEX(分析データ!D:D,ROW()+$C$5)),""),"")</f>
        <v/>
      </c>
      <c r="BI1208">
        <f t="shared" ca="1" si="513"/>
        <v>5570000.0000000205</v>
      </c>
      <c r="BJ1208">
        <f t="shared" ca="1" si="514"/>
        <v>5570000.0000000205</v>
      </c>
      <c r="BK1208">
        <f t="shared" ca="1" si="515"/>
        <v>0</v>
      </c>
      <c r="BL1208">
        <f ca="1">IF(ROW()&lt;($C$7+1),"",IFERROR((分析データ!E1208-AVERAGE(OFFSET(分析データ!E$1,MAX(1,ROW()-$C$7),0,MIN($C$7,ROW()-1),1)))/STDEV(OFFSET(分析データ!E$1,MAX(1,ROW()-$C$7),0,MIN($C$7,ROW()-1),1)),0))</f>
        <v>0</v>
      </c>
      <c r="BM1208">
        <f t="shared" ca="1" si="516"/>
        <v>0</v>
      </c>
      <c r="BN1208" t="str">
        <f ca="1">IF(BM1208=1,IF(INDEX(分析データ!$A:$A,ROW()+$C$5)&lt;&gt;"",40000*SIGN(BL1208)*(分析データ!E1208-INDEX(分析データ!E:E,ROW()+$C$5)),""),"")</f>
        <v/>
      </c>
      <c r="BO1208">
        <f t="shared" ca="1" si="517"/>
        <v>2720000.0000000014</v>
      </c>
      <c r="BP1208">
        <f t="shared" ca="1" si="518"/>
        <v>4280000.0000000028</v>
      </c>
      <c r="BQ1208">
        <f t="shared" ca="1" si="519"/>
        <v>-1560000.0000000014</v>
      </c>
      <c r="BR1208">
        <f ca="1">IF(ROW()&lt;($C$7+1),"",IFERROR((分析データ!F1208-AVERAGE(OFFSET(分析データ!F$1,MAX(1,ROW()-$C$7),0,MIN($C$7,ROW()-1),1)))/STDEV(OFFSET(分析データ!F$1,MAX(1,ROW()-$C$7),0,MIN($C$7,ROW()-1),1)),0))</f>
        <v>0</v>
      </c>
      <c r="BS1208">
        <f t="shared" ca="1" si="520"/>
        <v>0</v>
      </c>
      <c r="BT1208" t="str">
        <f ca="1">IF(BS1208=1,IF(INDEX(分析データ!$A:$A,ROW()+$C$5)&lt;&gt;"",40000*SIGN(BR1208)*(分析データ!F1208-INDEX(分析データ!F:F,ROW()+$C$5)),""),"")</f>
        <v/>
      </c>
      <c r="BU1208">
        <f t="shared" ca="1" si="521"/>
        <v>19816800</v>
      </c>
      <c r="BV1208">
        <f t="shared" ca="1" si="522"/>
        <v>19816800</v>
      </c>
      <c r="BW1208">
        <f t="shared" ca="1" si="523"/>
        <v>0</v>
      </c>
      <c r="BX1208">
        <f ca="1">IF(ROW()&lt;($C$7+1),"",IFERROR((分析データ!G1208-AVERAGE(OFFSET(分析データ!G$1,MAX(1,ROW()-$C$7),0,MIN($C$7,ROW()-1),1)))/STDEV(OFFSET(分析データ!G$1,MAX(1,ROW()-$C$7),0,MIN($C$7,ROW()-1),1)),0))</f>
        <v>0</v>
      </c>
      <c r="BY1208">
        <f t="shared" ca="1" si="524"/>
        <v>0</v>
      </c>
      <c r="BZ1208" t="str">
        <f ca="1">IF(BY1208=1,IF(INDEX(分析データ!$A:$A,ROW()+$C$5)&lt;&gt;"",40000*SIGN(BX1208)*(分析データ!G1208-INDEX(分析データ!G:G,ROW()+$C$5)),""),"")</f>
        <v/>
      </c>
      <c r="CA1208">
        <f t="shared" ca="1" si="525"/>
        <v>-3515452.8662109179</v>
      </c>
      <c r="CB1208">
        <f t="shared" ca="1" si="526"/>
        <v>11327520.000000004</v>
      </c>
      <c r="CC1208">
        <f t="shared" ca="1" si="527"/>
        <v>-14842972.866210923</v>
      </c>
      <c r="CD1208">
        <f t="shared" ca="1" si="528"/>
        <v>0</v>
      </c>
      <c r="CE1208">
        <f t="shared" ca="1" si="529"/>
        <v>23090347.13378913</v>
      </c>
      <c r="CF1208">
        <f t="shared" ca="1" si="530"/>
        <v>23090347.13378913</v>
      </c>
      <c r="CG1208">
        <f t="shared" ca="1" si="531"/>
        <v>0</v>
      </c>
      <c r="CH1208" s="10" t="str">
        <f>分析データ!A1208</f>
        <v/>
      </c>
    </row>
    <row r="1209" spans="46:86">
      <c r="AT1209">
        <f ca="1">IF(ROW()&lt;($C$7+1),"",IFERROR((分析データ!B1209-AVERAGE(OFFSET(分析データ!B$1,MAX(1,ROW()-$C$7),0,MIN($C$7,ROW()-1),1)))/STDEV(OFFSET(分析データ!B$1,MAX(1,ROW()-$C$7),0,MIN($C$7,ROW()-1),1)),0))</f>
        <v>0</v>
      </c>
      <c r="AU1209">
        <f t="shared" ca="1" si="504"/>
        <v>0</v>
      </c>
      <c r="AV1209" t="str">
        <f ca="1">IF(AU1209=1,IF(INDEX(分析データ!$A:$A,ROW()+$C$5)&lt;&gt;"",80000*SIGN(AT1209)*(分析データ!B1209-INDEX(分析データ!B:B,ROW()+$C$5)),""),"")</f>
        <v/>
      </c>
      <c r="AW1209">
        <f t="shared" ca="1" si="505"/>
        <v>-1240000.0000000019</v>
      </c>
      <c r="AX1209">
        <f t="shared" ca="1" si="506"/>
        <v>0</v>
      </c>
      <c r="AY1209">
        <f t="shared" ca="1" si="507"/>
        <v>-1240000.0000000019</v>
      </c>
      <c r="AZ1209">
        <f ca="1">IF(ROW()&lt;($C$7+1),"",IFERROR((分析データ!C1209-AVERAGE(OFFSET(分析データ!C$1,MAX(1,ROW()-$C$7),0,MIN($C$7,ROW()-1),1)))/STDEV(OFFSET(分析データ!C$1,MAX(1,ROW()-$C$7),0,MIN($C$7,ROW()-1),1)),0))</f>
        <v>0</v>
      </c>
      <c r="BA1209">
        <f t="shared" ca="1" si="508"/>
        <v>0</v>
      </c>
      <c r="BB1209" t="str">
        <f ca="1">IF(BA1209=1,IF(INDEX(分析データ!$A:$A,ROW()+$C$5)&lt;&gt;"",60000*SIGN(AZ1209)*(分析データ!C1209-INDEX(分析データ!C:C,ROW()+$C$5)),""),"")</f>
        <v/>
      </c>
      <c r="BC1209">
        <f t="shared" ca="1" si="509"/>
        <v>-260999.9999999851</v>
      </c>
      <c r="BD1209">
        <f t="shared" ca="1" si="510"/>
        <v>3156000.0000000107</v>
      </c>
      <c r="BE1209">
        <f t="shared" ca="1" si="511"/>
        <v>-3416999.9999999958</v>
      </c>
      <c r="BF1209">
        <f ca="1">IF(ROW()&lt;($C$7+1),"",IFERROR((分析データ!D1209-AVERAGE(OFFSET(分析データ!D$1,MAX(1,ROW()-$C$7),0,MIN($C$7,ROW()-1),1)))/STDEV(OFFSET(分析データ!D$1,MAX(1,ROW()-$C$7),0,MIN($C$7,ROW()-1),1)),0))</f>
        <v>0</v>
      </c>
      <c r="BG1209">
        <f t="shared" ca="1" si="512"/>
        <v>0</v>
      </c>
      <c r="BH1209" t="str">
        <f ca="1">IF(BG1209=1,IF(INDEX(分析データ!$A:$A,ROW()+$C$5)&lt;&gt;"",50000*SIGN(BF1209)*(分析データ!D1209-INDEX(分析データ!D:D,ROW()+$C$5)),""),"")</f>
        <v/>
      </c>
      <c r="BI1209">
        <f t="shared" ca="1" si="513"/>
        <v>5570000.0000000205</v>
      </c>
      <c r="BJ1209">
        <f t="shared" ca="1" si="514"/>
        <v>5570000.0000000205</v>
      </c>
      <c r="BK1209">
        <f t="shared" ca="1" si="515"/>
        <v>0</v>
      </c>
      <c r="BL1209">
        <f ca="1">IF(ROW()&lt;($C$7+1),"",IFERROR((分析データ!E1209-AVERAGE(OFFSET(分析データ!E$1,MAX(1,ROW()-$C$7),0,MIN($C$7,ROW()-1),1)))/STDEV(OFFSET(分析データ!E$1,MAX(1,ROW()-$C$7),0,MIN($C$7,ROW()-1),1)),0))</f>
        <v>0</v>
      </c>
      <c r="BM1209">
        <f t="shared" ca="1" si="516"/>
        <v>0</v>
      </c>
      <c r="BN1209" t="str">
        <f ca="1">IF(BM1209=1,IF(INDEX(分析データ!$A:$A,ROW()+$C$5)&lt;&gt;"",40000*SIGN(BL1209)*(分析データ!E1209-INDEX(分析データ!E:E,ROW()+$C$5)),""),"")</f>
        <v/>
      </c>
      <c r="BO1209">
        <f t="shared" ca="1" si="517"/>
        <v>2720000.0000000014</v>
      </c>
      <c r="BP1209">
        <f t="shared" ca="1" si="518"/>
        <v>4280000.0000000028</v>
      </c>
      <c r="BQ1209">
        <f t="shared" ca="1" si="519"/>
        <v>-1560000.0000000014</v>
      </c>
      <c r="BR1209">
        <f ca="1">IF(ROW()&lt;($C$7+1),"",IFERROR((分析データ!F1209-AVERAGE(OFFSET(分析データ!F$1,MAX(1,ROW()-$C$7),0,MIN($C$7,ROW()-1),1)))/STDEV(OFFSET(分析データ!F$1,MAX(1,ROW()-$C$7),0,MIN($C$7,ROW()-1),1)),0))</f>
        <v>0</v>
      </c>
      <c r="BS1209">
        <f t="shared" ca="1" si="520"/>
        <v>0</v>
      </c>
      <c r="BT1209" t="str">
        <f ca="1">IF(BS1209=1,IF(INDEX(分析データ!$A:$A,ROW()+$C$5)&lt;&gt;"",40000*SIGN(BR1209)*(分析データ!F1209-INDEX(分析データ!F:F,ROW()+$C$5)),""),"")</f>
        <v/>
      </c>
      <c r="BU1209">
        <f t="shared" ca="1" si="521"/>
        <v>19816800</v>
      </c>
      <c r="BV1209">
        <f t="shared" ca="1" si="522"/>
        <v>19816800</v>
      </c>
      <c r="BW1209">
        <f t="shared" ca="1" si="523"/>
        <v>0</v>
      </c>
      <c r="BX1209">
        <f ca="1">IF(ROW()&lt;($C$7+1),"",IFERROR((分析データ!G1209-AVERAGE(OFFSET(分析データ!G$1,MAX(1,ROW()-$C$7),0,MIN($C$7,ROW()-1),1)))/STDEV(OFFSET(分析データ!G$1,MAX(1,ROW()-$C$7),0,MIN($C$7,ROW()-1),1)),0))</f>
        <v>0</v>
      </c>
      <c r="BY1209">
        <f t="shared" ca="1" si="524"/>
        <v>0</v>
      </c>
      <c r="BZ1209" t="str">
        <f ca="1">IF(BY1209=1,IF(INDEX(分析データ!$A:$A,ROW()+$C$5)&lt;&gt;"",40000*SIGN(BX1209)*(分析データ!G1209-INDEX(分析データ!G:G,ROW()+$C$5)),""),"")</f>
        <v/>
      </c>
      <c r="CA1209">
        <f t="shared" ca="1" si="525"/>
        <v>-3515452.8662109179</v>
      </c>
      <c r="CB1209">
        <f t="shared" ca="1" si="526"/>
        <v>11327520.000000004</v>
      </c>
      <c r="CC1209">
        <f t="shared" ca="1" si="527"/>
        <v>-14842972.866210923</v>
      </c>
      <c r="CD1209">
        <f t="shared" ca="1" si="528"/>
        <v>0</v>
      </c>
      <c r="CE1209">
        <f t="shared" ca="1" si="529"/>
        <v>23090347.13378913</v>
      </c>
      <c r="CF1209">
        <f t="shared" ca="1" si="530"/>
        <v>23090347.13378913</v>
      </c>
      <c r="CG1209">
        <f t="shared" ca="1" si="531"/>
        <v>0</v>
      </c>
      <c r="CH1209" s="10" t="str">
        <f>分析データ!A1209</f>
        <v/>
      </c>
    </row>
    <row r="1210" spans="46:86">
      <c r="AT1210">
        <f ca="1">IF(ROW()&lt;($C$7+1),"",IFERROR((分析データ!B1210-AVERAGE(OFFSET(分析データ!B$1,MAX(1,ROW()-$C$7),0,MIN($C$7,ROW()-1),1)))/STDEV(OFFSET(分析データ!B$1,MAX(1,ROW()-$C$7),0,MIN($C$7,ROW()-1),1)),0))</f>
        <v>0</v>
      </c>
      <c r="AU1210">
        <f t="shared" ca="1" si="504"/>
        <v>0</v>
      </c>
      <c r="AV1210" t="str">
        <f ca="1">IF(AU1210=1,IF(INDEX(分析データ!$A:$A,ROW()+$C$5)&lt;&gt;"",80000*SIGN(AT1210)*(分析データ!B1210-INDEX(分析データ!B:B,ROW()+$C$5)),""),"")</f>
        <v/>
      </c>
      <c r="AW1210">
        <f t="shared" ca="1" si="505"/>
        <v>-1240000.0000000019</v>
      </c>
      <c r="AX1210">
        <f t="shared" ca="1" si="506"/>
        <v>0</v>
      </c>
      <c r="AY1210">
        <f t="shared" ca="1" si="507"/>
        <v>-1240000.0000000019</v>
      </c>
      <c r="AZ1210">
        <f ca="1">IF(ROW()&lt;($C$7+1),"",IFERROR((分析データ!C1210-AVERAGE(OFFSET(分析データ!C$1,MAX(1,ROW()-$C$7),0,MIN($C$7,ROW()-1),1)))/STDEV(OFFSET(分析データ!C$1,MAX(1,ROW()-$C$7),0,MIN($C$7,ROW()-1),1)),0))</f>
        <v>0</v>
      </c>
      <c r="BA1210">
        <f t="shared" ca="1" si="508"/>
        <v>0</v>
      </c>
      <c r="BB1210" t="str">
        <f ca="1">IF(BA1210=1,IF(INDEX(分析データ!$A:$A,ROW()+$C$5)&lt;&gt;"",60000*SIGN(AZ1210)*(分析データ!C1210-INDEX(分析データ!C:C,ROW()+$C$5)),""),"")</f>
        <v/>
      </c>
      <c r="BC1210">
        <f t="shared" ca="1" si="509"/>
        <v>-260999.9999999851</v>
      </c>
      <c r="BD1210">
        <f t="shared" ca="1" si="510"/>
        <v>3156000.0000000107</v>
      </c>
      <c r="BE1210">
        <f t="shared" ca="1" si="511"/>
        <v>-3416999.9999999958</v>
      </c>
      <c r="BF1210">
        <f ca="1">IF(ROW()&lt;($C$7+1),"",IFERROR((分析データ!D1210-AVERAGE(OFFSET(分析データ!D$1,MAX(1,ROW()-$C$7),0,MIN($C$7,ROW()-1),1)))/STDEV(OFFSET(分析データ!D$1,MAX(1,ROW()-$C$7),0,MIN($C$7,ROW()-1),1)),0))</f>
        <v>0</v>
      </c>
      <c r="BG1210">
        <f t="shared" ca="1" si="512"/>
        <v>0</v>
      </c>
      <c r="BH1210" t="str">
        <f ca="1">IF(BG1210=1,IF(INDEX(分析データ!$A:$A,ROW()+$C$5)&lt;&gt;"",50000*SIGN(BF1210)*(分析データ!D1210-INDEX(分析データ!D:D,ROW()+$C$5)),""),"")</f>
        <v/>
      </c>
      <c r="BI1210">
        <f t="shared" ca="1" si="513"/>
        <v>5570000.0000000205</v>
      </c>
      <c r="BJ1210">
        <f t="shared" ca="1" si="514"/>
        <v>5570000.0000000205</v>
      </c>
      <c r="BK1210">
        <f t="shared" ca="1" si="515"/>
        <v>0</v>
      </c>
      <c r="BL1210">
        <f ca="1">IF(ROW()&lt;($C$7+1),"",IFERROR((分析データ!E1210-AVERAGE(OFFSET(分析データ!E$1,MAX(1,ROW()-$C$7),0,MIN($C$7,ROW()-1),1)))/STDEV(OFFSET(分析データ!E$1,MAX(1,ROW()-$C$7),0,MIN($C$7,ROW()-1),1)),0))</f>
        <v>0</v>
      </c>
      <c r="BM1210">
        <f t="shared" ca="1" si="516"/>
        <v>0</v>
      </c>
      <c r="BN1210" t="str">
        <f ca="1">IF(BM1210=1,IF(INDEX(分析データ!$A:$A,ROW()+$C$5)&lt;&gt;"",40000*SIGN(BL1210)*(分析データ!E1210-INDEX(分析データ!E:E,ROW()+$C$5)),""),"")</f>
        <v/>
      </c>
      <c r="BO1210">
        <f t="shared" ca="1" si="517"/>
        <v>2720000.0000000014</v>
      </c>
      <c r="BP1210">
        <f t="shared" ca="1" si="518"/>
        <v>4280000.0000000028</v>
      </c>
      <c r="BQ1210">
        <f t="shared" ca="1" si="519"/>
        <v>-1560000.0000000014</v>
      </c>
      <c r="BR1210">
        <f ca="1">IF(ROW()&lt;($C$7+1),"",IFERROR((分析データ!F1210-AVERAGE(OFFSET(分析データ!F$1,MAX(1,ROW()-$C$7),0,MIN($C$7,ROW()-1),1)))/STDEV(OFFSET(分析データ!F$1,MAX(1,ROW()-$C$7),0,MIN($C$7,ROW()-1),1)),0))</f>
        <v>0</v>
      </c>
      <c r="BS1210">
        <f t="shared" ca="1" si="520"/>
        <v>0</v>
      </c>
      <c r="BT1210" t="str">
        <f ca="1">IF(BS1210=1,IF(INDEX(分析データ!$A:$A,ROW()+$C$5)&lt;&gt;"",40000*SIGN(BR1210)*(分析データ!F1210-INDEX(分析データ!F:F,ROW()+$C$5)),""),"")</f>
        <v/>
      </c>
      <c r="BU1210">
        <f t="shared" ca="1" si="521"/>
        <v>19816800</v>
      </c>
      <c r="BV1210">
        <f t="shared" ca="1" si="522"/>
        <v>19816800</v>
      </c>
      <c r="BW1210">
        <f t="shared" ca="1" si="523"/>
        <v>0</v>
      </c>
      <c r="BX1210">
        <f ca="1">IF(ROW()&lt;($C$7+1),"",IFERROR((分析データ!G1210-AVERAGE(OFFSET(分析データ!G$1,MAX(1,ROW()-$C$7),0,MIN($C$7,ROW()-1),1)))/STDEV(OFFSET(分析データ!G$1,MAX(1,ROW()-$C$7),0,MIN($C$7,ROW()-1),1)),0))</f>
        <v>0</v>
      </c>
      <c r="BY1210">
        <f t="shared" ca="1" si="524"/>
        <v>0</v>
      </c>
      <c r="BZ1210" t="str">
        <f ca="1">IF(BY1210=1,IF(INDEX(分析データ!$A:$A,ROW()+$C$5)&lt;&gt;"",40000*SIGN(BX1210)*(分析データ!G1210-INDEX(分析データ!G:G,ROW()+$C$5)),""),"")</f>
        <v/>
      </c>
      <c r="CA1210">
        <f t="shared" ca="1" si="525"/>
        <v>-3515452.8662109179</v>
      </c>
      <c r="CB1210">
        <f t="shared" ca="1" si="526"/>
        <v>11327520.000000004</v>
      </c>
      <c r="CC1210">
        <f t="shared" ca="1" si="527"/>
        <v>-14842972.866210923</v>
      </c>
      <c r="CD1210">
        <f t="shared" ca="1" si="528"/>
        <v>0</v>
      </c>
      <c r="CE1210">
        <f t="shared" ca="1" si="529"/>
        <v>23090347.13378913</v>
      </c>
      <c r="CF1210">
        <f t="shared" ca="1" si="530"/>
        <v>23090347.13378913</v>
      </c>
      <c r="CG1210">
        <f t="shared" ca="1" si="531"/>
        <v>0</v>
      </c>
      <c r="CH1210" s="10" t="str">
        <f>分析データ!A1210</f>
        <v/>
      </c>
    </row>
    <row r="1211" spans="46:86">
      <c r="AT1211">
        <f ca="1">IF(ROW()&lt;($C$7+1),"",IFERROR((分析データ!B1211-AVERAGE(OFFSET(分析データ!B$1,MAX(1,ROW()-$C$7),0,MIN($C$7,ROW()-1),1)))/STDEV(OFFSET(分析データ!B$1,MAX(1,ROW()-$C$7),0,MIN($C$7,ROW()-1),1)),0))</f>
        <v>0</v>
      </c>
      <c r="AU1211">
        <f t="shared" ca="1" si="504"/>
        <v>0</v>
      </c>
      <c r="AV1211" t="str">
        <f ca="1">IF(AU1211=1,IF(INDEX(分析データ!$A:$A,ROW()+$C$5)&lt;&gt;"",80000*SIGN(AT1211)*(分析データ!B1211-INDEX(分析データ!B:B,ROW()+$C$5)),""),"")</f>
        <v/>
      </c>
      <c r="AW1211">
        <f t="shared" ca="1" si="505"/>
        <v>-1240000.0000000019</v>
      </c>
      <c r="AX1211">
        <f t="shared" ca="1" si="506"/>
        <v>0</v>
      </c>
      <c r="AY1211">
        <f t="shared" ca="1" si="507"/>
        <v>-1240000.0000000019</v>
      </c>
      <c r="AZ1211">
        <f ca="1">IF(ROW()&lt;($C$7+1),"",IFERROR((分析データ!C1211-AVERAGE(OFFSET(分析データ!C$1,MAX(1,ROW()-$C$7),0,MIN($C$7,ROW()-1),1)))/STDEV(OFFSET(分析データ!C$1,MAX(1,ROW()-$C$7),0,MIN($C$7,ROW()-1),1)),0))</f>
        <v>0</v>
      </c>
      <c r="BA1211">
        <f t="shared" ca="1" si="508"/>
        <v>0</v>
      </c>
      <c r="BB1211" t="str">
        <f ca="1">IF(BA1211=1,IF(INDEX(分析データ!$A:$A,ROW()+$C$5)&lt;&gt;"",60000*SIGN(AZ1211)*(分析データ!C1211-INDEX(分析データ!C:C,ROW()+$C$5)),""),"")</f>
        <v/>
      </c>
      <c r="BC1211">
        <f t="shared" ca="1" si="509"/>
        <v>-260999.9999999851</v>
      </c>
      <c r="BD1211">
        <f t="shared" ca="1" si="510"/>
        <v>3156000.0000000107</v>
      </c>
      <c r="BE1211">
        <f t="shared" ca="1" si="511"/>
        <v>-3416999.9999999958</v>
      </c>
      <c r="BF1211">
        <f ca="1">IF(ROW()&lt;($C$7+1),"",IFERROR((分析データ!D1211-AVERAGE(OFFSET(分析データ!D$1,MAX(1,ROW()-$C$7),0,MIN($C$7,ROW()-1),1)))/STDEV(OFFSET(分析データ!D$1,MAX(1,ROW()-$C$7),0,MIN($C$7,ROW()-1),1)),0))</f>
        <v>0</v>
      </c>
      <c r="BG1211">
        <f t="shared" ca="1" si="512"/>
        <v>0</v>
      </c>
      <c r="BH1211" t="str">
        <f ca="1">IF(BG1211=1,IF(INDEX(分析データ!$A:$A,ROW()+$C$5)&lt;&gt;"",50000*SIGN(BF1211)*(分析データ!D1211-INDEX(分析データ!D:D,ROW()+$C$5)),""),"")</f>
        <v/>
      </c>
      <c r="BI1211">
        <f t="shared" ca="1" si="513"/>
        <v>5570000.0000000205</v>
      </c>
      <c r="BJ1211">
        <f t="shared" ca="1" si="514"/>
        <v>5570000.0000000205</v>
      </c>
      <c r="BK1211">
        <f t="shared" ca="1" si="515"/>
        <v>0</v>
      </c>
      <c r="BL1211">
        <f ca="1">IF(ROW()&lt;($C$7+1),"",IFERROR((分析データ!E1211-AVERAGE(OFFSET(分析データ!E$1,MAX(1,ROW()-$C$7),0,MIN($C$7,ROW()-1),1)))/STDEV(OFFSET(分析データ!E$1,MAX(1,ROW()-$C$7),0,MIN($C$7,ROW()-1),1)),0))</f>
        <v>0</v>
      </c>
      <c r="BM1211">
        <f t="shared" ca="1" si="516"/>
        <v>0</v>
      </c>
      <c r="BN1211" t="str">
        <f ca="1">IF(BM1211=1,IF(INDEX(分析データ!$A:$A,ROW()+$C$5)&lt;&gt;"",40000*SIGN(BL1211)*(分析データ!E1211-INDEX(分析データ!E:E,ROW()+$C$5)),""),"")</f>
        <v/>
      </c>
      <c r="BO1211">
        <f t="shared" ca="1" si="517"/>
        <v>2720000.0000000014</v>
      </c>
      <c r="BP1211">
        <f t="shared" ca="1" si="518"/>
        <v>4280000.0000000028</v>
      </c>
      <c r="BQ1211">
        <f t="shared" ca="1" si="519"/>
        <v>-1560000.0000000014</v>
      </c>
      <c r="BR1211">
        <f ca="1">IF(ROW()&lt;($C$7+1),"",IFERROR((分析データ!F1211-AVERAGE(OFFSET(分析データ!F$1,MAX(1,ROW()-$C$7),0,MIN($C$7,ROW()-1),1)))/STDEV(OFFSET(分析データ!F$1,MAX(1,ROW()-$C$7),0,MIN($C$7,ROW()-1),1)),0))</f>
        <v>0</v>
      </c>
      <c r="BS1211">
        <f t="shared" ca="1" si="520"/>
        <v>0</v>
      </c>
      <c r="BT1211" t="str">
        <f ca="1">IF(BS1211=1,IF(INDEX(分析データ!$A:$A,ROW()+$C$5)&lt;&gt;"",40000*SIGN(BR1211)*(分析データ!F1211-INDEX(分析データ!F:F,ROW()+$C$5)),""),"")</f>
        <v/>
      </c>
      <c r="BU1211">
        <f t="shared" ca="1" si="521"/>
        <v>19816800</v>
      </c>
      <c r="BV1211">
        <f t="shared" ca="1" si="522"/>
        <v>19816800</v>
      </c>
      <c r="BW1211">
        <f t="shared" ca="1" si="523"/>
        <v>0</v>
      </c>
      <c r="BX1211">
        <f ca="1">IF(ROW()&lt;($C$7+1),"",IFERROR((分析データ!G1211-AVERAGE(OFFSET(分析データ!G$1,MAX(1,ROW()-$C$7),0,MIN($C$7,ROW()-1),1)))/STDEV(OFFSET(分析データ!G$1,MAX(1,ROW()-$C$7),0,MIN($C$7,ROW()-1),1)),0))</f>
        <v>0</v>
      </c>
      <c r="BY1211">
        <f t="shared" ca="1" si="524"/>
        <v>0</v>
      </c>
      <c r="BZ1211" t="str">
        <f ca="1">IF(BY1211=1,IF(INDEX(分析データ!$A:$A,ROW()+$C$5)&lt;&gt;"",40000*SIGN(BX1211)*(分析データ!G1211-INDEX(分析データ!G:G,ROW()+$C$5)),""),"")</f>
        <v/>
      </c>
      <c r="CA1211">
        <f t="shared" ca="1" si="525"/>
        <v>-3515452.8662109179</v>
      </c>
      <c r="CB1211">
        <f t="shared" ca="1" si="526"/>
        <v>11327520.000000004</v>
      </c>
      <c r="CC1211">
        <f t="shared" ca="1" si="527"/>
        <v>-14842972.866210923</v>
      </c>
      <c r="CD1211">
        <f t="shared" ca="1" si="528"/>
        <v>0</v>
      </c>
      <c r="CE1211">
        <f t="shared" ca="1" si="529"/>
        <v>23090347.13378913</v>
      </c>
      <c r="CF1211">
        <f t="shared" ca="1" si="530"/>
        <v>23090347.13378913</v>
      </c>
      <c r="CG1211">
        <f t="shared" ca="1" si="531"/>
        <v>0</v>
      </c>
      <c r="CH1211" s="10" t="str">
        <f>分析データ!A1211</f>
        <v/>
      </c>
    </row>
    <row r="1212" spans="46:86">
      <c r="AT1212">
        <f ca="1">IF(ROW()&lt;($C$7+1),"",IFERROR((分析データ!B1212-AVERAGE(OFFSET(分析データ!B$1,MAX(1,ROW()-$C$7),0,MIN($C$7,ROW()-1),1)))/STDEV(OFFSET(分析データ!B$1,MAX(1,ROW()-$C$7),0,MIN($C$7,ROW()-1),1)),0))</f>
        <v>0</v>
      </c>
      <c r="AU1212">
        <f t="shared" ca="1" si="504"/>
        <v>0</v>
      </c>
      <c r="AV1212" t="str">
        <f ca="1">IF(AU1212=1,IF(INDEX(分析データ!$A:$A,ROW()+$C$5)&lt;&gt;"",80000*SIGN(AT1212)*(分析データ!B1212-INDEX(分析データ!B:B,ROW()+$C$5)),""),"")</f>
        <v/>
      </c>
      <c r="AW1212">
        <f t="shared" ca="1" si="505"/>
        <v>-1240000.0000000019</v>
      </c>
      <c r="AX1212">
        <f t="shared" ca="1" si="506"/>
        <v>0</v>
      </c>
      <c r="AY1212">
        <f t="shared" ca="1" si="507"/>
        <v>-1240000.0000000019</v>
      </c>
      <c r="AZ1212">
        <f ca="1">IF(ROW()&lt;($C$7+1),"",IFERROR((分析データ!C1212-AVERAGE(OFFSET(分析データ!C$1,MAX(1,ROW()-$C$7),0,MIN($C$7,ROW()-1),1)))/STDEV(OFFSET(分析データ!C$1,MAX(1,ROW()-$C$7),0,MIN($C$7,ROW()-1),1)),0))</f>
        <v>0</v>
      </c>
      <c r="BA1212">
        <f t="shared" ca="1" si="508"/>
        <v>0</v>
      </c>
      <c r="BB1212" t="str">
        <f ca="1">IF(BA1212=1,IF(INDEX(分析データ!$A:$A,ROW()+$C$5)&lt;&gt;"",60000*SIGN(AZ1212)*(分析データ!C1212-INDEX(分析データ!C:C,ROW()+$C$5)),""),"")</f>
        <v/>
      </c>
      <c r="BC1212">
        <f t="shared" ca="1" si="509"/>
        <v>-260999.9999999851</v>
      </c>
      <c r="BD1212">
        <f t="shared" ca="1" si="510"/>
        <v>3156000.0000000107</v>
      </c>
      <c r="BE1212">
        <f t="shared" ca="1" si="511"/>
        <v>-3416999.9999999958</v>
      </c>
      <c r="BF1212">
        <f ca="1">IF(ROW()&lt;($C$7+1),"",IFERROR((分析データ!D1212-AVERAGE(OFFSET(分析データ!D$1,MAX(1,ROW()-$C$7),0,MIN($C$7,ROW()-1),1)))/STDEV(OFFSET(分析データ!D$1,MAX(1,ROW()-$C$7),0,MIN($C$7,ROW()-1),1)),0))</f>
        <v>0</v>
      </c>
      <c r="BG1212">
        <f t="shared" ca="1" si="512"/>
        <v>0</v>
      </c>
      <c r="BH1212" t="str">
        <f ca="1">IF(BG1212=1,IF(INDEX(分析データ!$A:$A,ROW()+$C$5)&lt;&gt;"",50000*SIGN(BF1212)*(分析データ!D1212-INDEX(分析データ!D:D,ROW()+$C$5)),""),"")</f>
        <v/>
      </c>
      <c r="BI1212">
        <f t="shared" ca="1" si="513"/>
        <v>5570000.0000000205</v>
      </c>
      <c r="BJ1212">
        <f t="shared" ca="1" si="514"/>
        <v>5570000.0000000205</v>
      </c>
      <c r="BK1212">
        <f t="shared" ca="1" si="515"/>
        <v>0</v>
      </c>
      <c r="BL1212">
        <f ca="1">IF(ROW()&lt;($C$7+1),"",IFERROR((分析データ!E1212-AVERAGE(OFFSET(分析データ!E$1,MAX(1,ROW()-$C$7),0,MIN($C$7,ROW()-1),1)))/STDEV(OFFSET(分析データ!E$1,MAX(1,ROW()-$C$7),0,MIN($C$7,ROW()-1),1)),0))</f>
        <v>0</v>
      </c>
      <c r="BM1212">
        <f t="shared" ca="1" si="516"/>
        <v>0</v>
      </c>
      <c r="BN1212" t="str">
        <f ca="1">IF(BM1212=1,IF(INDEX(分析データ!$A:$A,ROW()+$C$5)&lt;&gt;"",40000*SIGN(BL1212)*(分析データ!E1212-INDEX(分析データ!E:E,ROW()+$C$5)),""),"")</f>
        <v/>
      </c>
      <c r="BO1212">
        <f t="shared" ca="1" si="517"/>
        <v>2720000.0000000014</v>
      </c>
      <c r="BP1212">
        <f t="shared" ca="1" si="518"/>
        <v>4280000.0000000028</v>
      </c>
      <c r="BQ1212">
        <f t="shared" ca="1" si="519"/>
        <v>-1560000.0000000014</v>
      </c>
      <c r="BR1212">
        <f ca="1">IF(ROW()&lt;($C$7+1),"",IFERROR((分析データ!F1212-AVERAGE(OFFSET(分析データ!F$1,MAX(1,ROW()-$C$7),0,MIN($C$7,ROW()-1),1)))/STDEV(OFFSET(分析データ!F$1,MAX(1,ROW()-$C$7),0,MIN($C$7,ROW()-1),1)),0))</f>
        <v>0</v>
      </c>
      <c r="BS1212">
        <f t="shared" ca="1" si="520"/>
        <v>0</v>
      </c>
      <c r="BT1212" t="str">
        <f ca="1">IF(BS1212=1,IF(INDEX(分析データ!$A:$A,ROW()+$C$5)&lt;&gt;"",40000*SIGN(BR1212)*(分析データ!F1212-INDEX(分析データ!F:F,ROW()+$C$5)),""),"")</f>
        <v/>
      </c>
      <c r="BU1212">
        <f t="shared" ca="1" si="521"/>
        <v>19816800</v>
      </c>
      <c r="BV1212">
        <f t="shared" ca="1" si="522"/>
        <v>19816800</v>
      </c>
      <c r="BW1212">
        <f t="shared" ca="1" si="523"/>
        <v>0</v>
      </c>
      <c r="BX1212">
        <f ca="1">IF(ROW()&lt;($C$7+1),"",IFERROR((分析データ!G1212-AVERAGE(OFFSET(分析データ!G$1,MAX(1,ROW()-$C$7),0,MIN($C$7,ROW()-1),1)))/STDEV(OFFSET(分析データ!G$1,MAX(1,ROW()-$C$7),0,MIN($C$7,ROW()-1),1)),0))</f>
        <v>0</v>
      </c>
      <c r="BY1212">
        <f t="shared" ca="1" si="524"/>
        <v>0</v>
      </c>
      <c r="BZ1212" t="str">
        <f ca="1">IF(BY1212=1,IF(INDEX(分析データ!$A:$A,ROW()+$C$5)&lt;&gt;"",40000*SIGN(BX1212)*(分析データ!G1212-INDEX(分析データ!G:G,ROW()+$C$5)),""),"")</f>
        <v/>
      </c>
      <c r="CA1212">
        <f t="shared" ca="1" si="525"/>
        <v>-3515452.8662109179</v>
      </c>
      <c r="CB1212">
        <f t="shared" ca="1" si="526"/>
        <v>11327520.000000004</v>
      </c>
      <c r="CC1212">
        <f t="shared" ca="1" si="527"/>
        <v>-14842972.866210923</v>
      </c>
      <c r="CD1212">
        <f t="shared" ca="1" si="528"/>
        <v>0</v>
      </c>
      <c r="CE1212">
        <f t="shared" ca="1" si="529"/>
        <v>23090347.13378913</v>
      </c>
      <c r="CF1212">
        <f t="shared" ca="1" si="530"/>
        <v>23090347.13378913</v>
      </c>
      <c r="CG1212">
        <f t="shared" ca="1" si="531"/>
        <v>0</v>
      </c>
      <c r="CH1212" s="10" t="str">
        <f>分析データ!A1212</f>
        <v/>
      </c>
    </row>
    <row r="1213" spans="46:86">
      <c r="AT1213">
        <f ca="1">IF(ROW()&lt;($C$7+1),"",IFERROR((分析データ!B1213-AVERAGE(OFFSET(分析データ!B$1,MAX(1,ROW()-$C$7),0,MIN($C$7,ROW()-1),1)))/STDEV(OFFSET(分析データ!B$1,MAX(1,ROW()-$C$7),0,MIN($C$7,ROW()-1),1)),0))</f>
        <v>0</v>
      </c>
      <c r="AU1213">
        <f t="shared" ca="1" si="504"/>
        <v>0</v>
      </c>
      <c r="AV1213" t="str">
        <f ca="1">IF(AU1213=1,IF(INDEX(分析データ!$A:$A,ROW()+$C$5)&lt;&gt;"",80000*SIGN(AT1213)*(分析データ!B1213-INDEX(分析データ!B:B,ROW()+$C$5)),""),"")</f>
        <v/>
      </c>
      <c r="AW1213">
        <f t="shared" ca="1" si="505"/>
        <v>-1240000.0000000019</v>
      </c>
      <c r="AX1213">
        <f t="shared" ca="1" si="506"/>
        <v>0</v>
      </c>
      <c r="AY1213">
        <f t="shared" ca="1" si="507"/>
        <v>-1240000.0000000019</v>
      </c>
      <c r="AZ1213">
        <f ca="1">IF(ROW()&lt;($C$7+1),"",IFERROR((分析データ!C1213-AVERAGE(OFFSET(分析データ!C$1,MAX(1,ROW()-$C$7),0,MIN($C$7,ROW()-1),1)))/STDEV(OFFSET(分析データ!C$1,MAX(1,ROW()-$C$7),0,MIN($C$7,ROW()-1),1)),0))</f>
        <v>0</v>
      </c>
      <c r="BA1213">
        <f t="shared" ca="1" si="508"/>
        <v>0</v>
      </c>
      <c r="BB1213" t="str">
        <f ca="1">IF(BA1213=1,IF(INDEX(分析データ!$A:$A,ROW()+$C$5)&lt;&gt;"",60000*SIGN(AZ1213)*(分析データ!C1213-INDEX(分析データ!C:C,ROW()+$C$5)),""),"")</f>
        <v/>
      </c>
      <c r="BC1213">
        <f t="shared" ca="1" si="509"/>
        <v>-260999.9999999851</v>
      </c>
      <c r="BD1213">
        <f t="shared" ca="1" si="510"/>
        <v>3156000.0000000107</v>
      </c>
      <c r="BE1213">
        <f t="shared" ca="1" si="511"/>
        <v>-3416999.9999999958</v>
      </c>
      <c r="BF1213">
        <f ca="1">IF(ROW()&lt;($C$7+1),"",IFERROR((分析データ!D1213-AVERAGE(OFFSET(分析データ!D$1,MAX(1,ROW()-$C$7),0,MIN($C$7,ROW()-1),1)))/STDEV(OFFSET(分析データ!D$1,MAX(1,ROW()-$C$7),0,MIN($C$7,ROW()-1),1)),0))</f>
        <v>0</v>
      </c>
      <c r="BG1213">
        <f t="shared" ca="1" si="512"/>
        <v>0</v>
      </c>
      <c r="BH1213" t="str">
        <f ca="1">IF(BG1213=1,IF(INDEX(分析データ!$A:$A,ROW()+$C$5)&lt;&gt;"",50000*SIGN(BF1213)*(分析データ!D1213-INDEX(分析データ!D:D,ROW()+$C$5)),""),"")</f>
        <v/>
      </c>
      <c r="BI1213">
        <f t="shared" ca="1" si="513"/>
        <v>5570000.0000000205</v>
      </c>
      <c r="BJ1213">
        <f t="shared" ca="1" si="514"/>
        <v>5570000.0000000205</v>
      </c>
      <c r="BK1213">
        <f t="shared" ca="1" si="515"/>
        <v>0</v>
      </c>
      <c r="BL1213">
        <f ca="1">IF(ROW()&lt;($C$7+1),"",IFERROR((分析データ!E1213-AVERAGE(OFFSET(分析データ!E$1,MAX(1,ROW()-$C$7),0,MIN($C$7,ROW()-1),1)))/STDEV(OFFSET(分析データ!E$1,MAX(1,ROW()-$C$7),0,MIN($C$7,ROW()-1),1)),0))</f>
        <v>0</v>
      </c>
      <c r="BM1213">
        <f t="shared" ca="1" si="516"/>
        <v>0</v>
      </c>
      <c r="BN1213" t="str">
        <f ca="1">IF(BM1213=1,IF(INDEX(分析データ!$A:$A,ROW()+$C$5)&lt;&gt;"",40000*SIGN(BL1213)*(分析データ!E1213-INDEX(分析データ!E:E,ROW()+$C$5)),""),"")</f>
        <v/>
      </c>
      <c r="BO1213">
        <f t="shared" ca="1" si="517"/>
        <v>2720000.0000000014</v>
      </c>
      <c r="BP1213">
        <f t="shared" ca="1" si="518"/>
        <v>4280000.0000000028</v>
      </c>
      <c r="BQ1213">
        <f t="shared" ca="1" si="519"/>
        <v>-1560000.0000000014</v>
      </c>
      <c r="BR1213">
        <f ca="1">IF(ROW()&lt;($C$7+1),"",IFERROR((分析データ!F1213-AVERAGE(OFFSET(分析データ!F$1,MAX(1,ROW()-$C$7),0,MIN($C$7,ROW()-1),1)))/STDEV(OFFSET(分析データ!F$1,MAX(1,ROW()-$C$7),0,MIN($C$7,ROW()-1),1)),0))</f>
        <v>0</v>
      </c>
      <c r="BS1213">
        <f t="shared" ca="1" si="520"/>
        <v>0</v>
      </c>
      <c r="BT1213" t="str">
        <f ca="1">IF(BS1213=1,IF(INDEX(分析データ!$A:$A,ROW()+$C$5)&lt;&gt;"",40000*SIGN(BR1213)*(分析データ!F1213-INDEX(分析データ!F:F,ROW()+$C$5)),""),"")</f>
        <v/>
      </c>
      <c r="BU1213">
        <f t="shared" ca="1" si="521"/>
        <v>19816800</v>
      </c>
      <c r="BV1213">
        <f t="shared" ca="1" si="522"/>
        <v>19816800</v>
      </c>
      <c r="BW1213">
        <f t="shared" ca="1" si="523"/>
        <v>0</v>
      </c>
      <c r="BX1213">
        <f ca="1">IF(ROW()&lt;($C$7+1),"",IFERROR((分析データ!G1213-AVERAGE(OFFSET(分析データ!G$1,MAX(1,ROW()-$C$7),0,MIN($C$7,ROW()-1),1)))/STDEV(OFFSET(分析データ!G$1,MAX(1,ROW()-$C$7),0,MIN($C$7,ROW()-1),1)),0))</f>
        <v>0</v>
      </c>
      <c r="BY1213">
        <f t="shared" ca="1" si="524"/>
        <v>0</v>
      </c>
      <c r="BZ1213" t="str">
        <f ca="1">IF(BY1213=1,IF(INDEX(分析データ!$A:$A,ROW()+$C$5)&lt;&gt;"",40000*SIGN(BX1213)*(分析データ!G1213-INDEX(分析データ!G:G,ROW()+$C$5)),""),"")</f>
        <v/>
      </c>
      <c r="CA1213">
        <f t="shared" ca="1" si="525"/>
        <v>-3515452.8662109179</v>
      </c>
      <c r="CB1213">
        <f t="shared" ca="1" si="526"/>
        <v>11327520.000000004</v>
      </c>
      <c r="CC1213">
        <f t="shared" ca="1" si="527"/>
        <v>-14842972.866210923</v>
      </c>
      <c r="CD1213">
        <f t="shared" ca="1" si="528"/>
        <v>0</v>
      </c>
      <c r="CE1213">
        <f t="shared" ca="1" si="529"/>
        <v>23090347.13378913</v>
      </c>
      <c r="CF1213">
        <f t="shared" ca="1" si="530"/>
        <v>23090347.13378913</v>
      </c>
      <c r="CG1213">
        <f t="shared" ca="1" si="531"/>
        <v>0</v>
      </c>
      <c r="CH1213" s="10" t="str">
        <f>分析データ!A1213</f>
        <v/>
      </c>
    </row>
    <row r="1214" spans="46:86">
      <c r="AT1214">
        <f ca="1">IF(ROW()&lt;($C$7+1),"",IFERROR((分析データ!B1214-AVERAGE(OFFSET(分析データ!B$1,MAX(1,ROW()-$C$7),0,MIN($C$7,ROW()-1),1)))/STDEV(OFFSET(分析データ!B$1,MAX(1,ROW()-$C$7),0,MIN($C$7,ROW()-1),1)),0))</f>
        <v>0</v>
      </c>
      <c r="AU1214">
        <f t="shared" ca="1" si="504"/>
        <v>0</v>
      </c>
      <c r="AV1214" t="str">
        <f ca="1">IF(AU1214=1,IF(INDEX(分析データ!$A:$A,ROW()+$C$5)&lt;&gt;"",80000*SIGN(AT1214)*(分析データ!B1214-INDEX(分析データ!B:B,ROW()+$C$5)),""),"")</f>
        <v/>
      </c>
      <c r="AW1214">
        <f t="shared" ca="1" si="505"/>
        <v>-1240000.0000000019</v>
      </c>
      <c r="AX1214">
        <f t="shared" ca="1" si="506"/>
        <v>0</v>
      </c>
      <c r="AY1214">
        <f t="shared" ca="1" si="507"/>
        <v>-1240000.0000000019</v>
      </c>
      <c r="AZ1214">
        <f ca="1">IF(ROW()&lt;($C$7+1),"",IFERROR((分析データ!C1214-AVERAGE(OFFSET(分析データ!C$1,MAX(1,ROW()-$C$7),0,MIN($C$7,ROW()-1),1)))/STDEV(OFFSET(分析データ!C$1,MAX(1,ROW()-$C$7),0,MIN($C$7,ROW()-1),1)),0))</f>
        <v>0</v>
      </c>
      <c r="BA1214">
        <f t="shared" ca="1" si="508"/>
        <v>0</v>
      </c>
      <c r="BB1214" t="str">
        <f ca="1">IF(BA1214=1,IF(INDEX(分析データ!$A:$A,ROW()+$C$5)&lt;&gt;"",60000*SIGN(AZ1214)*(分析データ!C1214-INDEX(分析データ!C:C,ROW()+$C$5)),""),"")</f>
        <v/>
      </c>
      <c r="BC1214">
        <f t="shared" ca="1" si="509"/>
        <v>-260999.9999999851</v>
      </c>
      <c r="BD1214">
        <f t="shared" ca="1" si="510"/>
        <v>3156000.0000000107</v>
      </c>
      <c r="BE1214">
        <f t="shared" ca="1" si="511"/>
        <v>-3416999.9999999958</v>
      </c>
      <c r="BF1214">
        <f ca="1">IF(ROW()&lt;($C$7+1),"",IFERROR((分析データ!D1214-AVERAGE(OFFSET(分析データ!D$1,MAX(1,ROW()-$C$7),0,MIN($C$7,ROW()-1),1)))/STDEV(OFFSET(分析データ!D$1,MAX(1,ROW()-$C$7),0,MIN($C$7,ROW()-1),1)),0))</f>
        <v>0</v>
      </c>
      <c r="BG1214">
        <f t="shared" ca="1" si="512"/>
        <v>0</v>
      </c>
      <c r="BH1214" t="str">
        <f ca="1">IF(BG1214=1,IF(INDEX(分析データ!$A:$A,ROW()+$C$5)&lt;&gt;"",50000*SIGN(BF1214)*(分析データ!D1214-INDEX(分析データ!D:D,ROW()+$C$5)),""),"")</f>
        <v/>
      </c>
      <c r="BI1214">
        <f t="shared" ca="1" si="513"/>
        <v>5570000.0000000205</v>
      </c>
      <c r="BJ1214">
        <f t="shared" ca="1" si="514"/>
        <v>5570000.0000000205</v>
      </c>
      <c r="BK1214">
        <f t="shared" ca="1" si="515"/>
        <v>0</v>
      </c>
      <c r="BL1214">
        <f ca="1">IF(ROW()&lt;($C$7+1),"",IFERROR((分析データ!E1214-AVERAGE(OFFSET(分析データ!E$1,MAX(1,ROW()-$C$7),0,MIN($C$7,ROW()-1),1)))/STDEV(OFFSET(分析データ!E$1,MAX(1,ROW()-$C$7),0,MIN($C$7,ROW()-1),1)),0))</f>
        <v>0</v>
      </c>
      <c r="BM1214">
        <f t="shared" ca="1" si="516"/>
        <v>0</v>
      </c>
      <c r="BN1214" t="str">
        <f ca="1">IF(BM1214=1,IF(INDEX(分析データ!$A:$A,ROW()+$C$5)&lt;&gt;"",40000*SIGN(BL1214)*(分析データ!E1214-INDEX(分析データ!E:E,ROW()+$C$5)),""),"")</f>
        <v/>
      </c>
      <c r="BO1214">
        <f t="shared" ca="1" si="517"/>
        <v>2720000.0000000014</v>
      </c>
      <c r="BP1214">
        <f t="shared" ca="1" si="518"/>
        <v>4280000.0000000028</v>
      </c>
      <c r="BQ1214">
        <f t="shared" ca="1" si="519"/>
        <v>-1560000.0000000014</v>
      </c>
      <c r="BR1214">
        <f ca="1">IF(ROW()&lt;($C$7+1),"",IFERROR((分析データ!F1214-AVERAGE(OFFSET(分析データ!F$1,MAX(1,ROW()-$C$7),0,MIN($C$7,ROW()-1),1)))/STDEV(OFFSET(分析データ!F$1,MAX(1,ROW()-$C$7),0,MIN($C$7,ROW()-1),1)),0))</f>
        <v>0</v>
      </c>
      <c r="BS1214">
        <f t="shared" ca="1" si="520"/>
        <v>0</v>
      </c>
      <c r="BT1214" t="str">
        <f ca="1">IF(BS1214=1,IF(INDEX(分析データ!$A:$A,ROW()+$C$5)&lt;&gt;"",40000*SIGN(BR1214)*(分析データ!F1214-INDEX(分析データ!F:F,ROW()+$C$5)),""),"")</f>
        <v/>
      </c>
      <c r="BU1214">
        <f t="shared" ca="1" si="521"/>
        <v>19816800</v>
      </c>
      <c r="BV1214">
        <f t="shared" ca="1" si="522"/>
        <v>19816800</v>
      </c>
      <c r="BW1214">
        <f t="shared" ca="1" si="523"/>
        <v>0</v>
      </c>
      <c r="BX1214">
        <f ca="1">IF(ROW()&lt;($C$7+1),"",IFERROR((分析データ!G1214-AVERAGE(OFFSET(分析データ!G$1,MAX(1,ROW()-$C$7),0,MIN($C$7,ROW()-1),1)))/STDEV(OFFSET(分析データ!G$1,MAX(1,ROW()-$C$7),0,MIN($C$7,ROW()-1),1)),0))</f>
        <v>0</v>
      </c>
      <c r="BY1214">
        <f t="shared" ca="1" si="524"/>
        <v>0</v>
      </c>
      <c r="BZ1214" t="str">
        <f ca="1">IF(BY1214=1,IF(INDEX(分析データ!$A:$A,ROW()+$C$5)&lt;&gt;"",40000*SIGN(BX1214)*(分析データ!G1214-INDEX(分析データ!G:G,ROW()+$C$5)),""),"")</f>
        <v/>
      </c>
      <c r="CA1214">
        <f t="shared" ca="1" si="525"/>
        <v>-3515452.8662109179</v>
      </c>
      <c r="CB1214">
        <f t="shared" ca="1" si="526"/>
        <v>11327520.000000004</v>
      </c>
      <c r="CC1214">
        <f t="shared" ca="1" si="527"/>
        <v>-14842972.866210923</v>
      </c>
      <c r="CD1214">
        <f t="shared" ca="1" si="528"/>
        <v>0</v>
      </c>
      <c r="CE1214">
        <f t="shared" ca="1" si="529"/>
        <v>23090347.13378913</v>
      </c>
      <c r="CF1214">
        <f t="shared" ca="1" si="530"/>
        <v>23090347.13378913</v>
      </c>
      <c r="CG1214">
        <f t="shared" ca="1" si="531"/>
        <v>0</v>
      </c>
      <c r="CH1214" s="10" t="str">
        <f>分析データ!A1214</f>
        <v/>
      </c>
    </row>
    <row r="1215" spans="46:86">
      <c r="AT1215">
        <f ca="1">IF(ROW()&lt;($C$7+1),"",IFERROR((分析データ!B1215-AVERAGE(OFFSET(分析データ!B$1,MAX(1,ROW()-$C$7),0,MIN($C$7,ROW()-1),1)))/STDEV(OFFSET(分析データ!B$1,MAX(1,ROW()-$C$7),0,MIN($C$7,ROW()-1),1)),0))</f>
        <v>0</v>
      </c>
      <c r="AU1215">
        <f t="shared" ca="1" si="504"/>
        <v>0</v>
      </c>
      <c r="AV1215" t="str">
        <f ca="1">IF(AU1215=1,IF(INDEX(分析データ!$A:$A,ROW()+$C$5)&lt;&gt;"",80000*SIGN(AT1215)*(分析データ!B1215-INDEX(分析データ!B:B,ROW()+$C$5)),""),"")</f>
        <v/>
      </c>
      <c r="AW1215">
        <f t="shared" ca="1" si="505"/>
        <v>-1240000.0000000019</v>
      </c>
      <c r="AX1215">
        <f t="shared" ca="1" si="506"/>
        <v>0</v>
      </c>
      <c r="AY1215">
        <f t="shared" ca="1" si="507"/>
        <v>-1240000.0000000019</v>
      </c>
      <c r="AZ1215">
        <f ca="1">IF(ROW()&lt;($C$7+1),"",IFERROR((分析データ!C1215-AVERAGE(OFFSET(分析データ!C$1,MAX(1,ROW()-$C$7),0,MIN($C$7,ROW()-1),1)))/STDEV(OFFSET(分析データ!C$1,MAX(1,ROW()-$C$7),0,MIN($C$7,ROW()-1),1)),0))</f>
        <v>0</v>
      </c>
      <c r="BA1215">
        <f t="shared" ca="1" si="508"/>
        <v>0</v>
      </c>
      <c r="BB1215" t="str">
        <f ca="1">IF(BA1215=1,IF(INDEX(分析データ!$A:$A,ROW()+$C$5)&lt;&gt;"",60000*SIGN(AZ1215)*(分析データ!C1215-INDEX(分析データ!C:C,ROW()+$C$5)),""),"")</f>
        <v/>
      </c>
      <c r="BC1215">
        <f t="shared" ca="1" si="509"/>
        <v>-260999.9999999851</v>
      </c>
      <c r="BD1215">
        <f t="shared" ca="1" si="510"/>
        <v>3156000.0000000107</v>
      </c>
      <c r="BE1215">
        <f t="shared" ca="1" si="511"/>
        <v>-3416999.9999999958</v>
      </c>
      <c r="BF1215">
        <f ca="1">IF(ROW()&lt;($C$7+1),"",IFERROR((分析データ!D1215-AVERAGE(OFFSET(分析データ!D$1,MAX(1,ROW()-$C$7),0,MIN($C$7,ROW()-1),1)))/STDEV(OFFSET(分析データ!D$1,MAX(1,ROW()-$C$7),0,MIN($C$7,ROW()-1),1)),0))</f>
        <v>0</v>
      </c>
      <c r="BG1215">
        <f t="shared" ca="1" si="512"/>
        <v>0</v>
      </c>
      <c r="BH1215" t="str">
        <f ca="1">IF(BG1215=1,IF(INDEX(分析データ!$A:$A,ROW()+$C$5)&lt;&gt;"",50000*SIGN(BF1215)*(分析データ!D1215-INDEX(分析データ!D:D,ROW()+$C$5)),""),"")</f>
        <v/>
      </c>
      <c r="BI1215">
        <f t="shared" ca="1" si="513"/>
        <v>5570000.0000000205</v>
      </c>
      <c r="BJ1215">
        <f t="shared" ca="1" si="514"/>
        <v>5570000.0000000205</v>
      </c>
      <c r="BK1215">
        <f t="shared" ca="1" si="515"/>
        <v>0</v>
      </c>
      <c r="BL1215">
        <f ca="1">IF(ROW()&lt;($C$7+1),"",IFERROR((分析データ!E1215-AVERAGE(OFFSET(分析データ!E$1,MAX(1,ROW()-$C$7),0,MIN($C$7,ROW()-1),1)))/STDEV(OFFSET(分析データ!E$1,MAX(1,ROW()-$C$7),0,MIN($C$7,ROW()-1),1)),0))</f>
        <v>0</v>
      </c>
      <c r="BM1215">
        <f t="shared" ca="1" si="516"/>
        <v>0</v>
      </c>
      <c r="BN1215" t="str">
        <f ca="1">IF(BM1215=1,IF(INDEX(分析データ!$A:$A,ROW()+$C$5)&lt;&gt;"",40000*SIGN(BL1215)*(分析データ!E1215-INDEX(分析データ!E:E,ROW()+$C$5)),""),"")</f>
        <v/>
      </c>
      <c r="BO1215">
        <f t="shared" ca="1" si="517"/>
        <v>2720000.0000000014</v>
      </c>
      <c r="BP1215">
        <f t="shared" ca="1" si="518"/>
        <v>4280000.0000000028</v>
      </c>
      <c r="BQ1215">
        <f t="shared" ca="1" si="519"/>
        <v>-1560000.0000000014</v>
      </c>
      <c r="BR1215">
        <f ca="1">IF(ROW()&lt;($C$7+1),"",IFERROR((分析データ!F1215-AVERAGE(OFFSET(分析データ!F$1,MAX(1,ROW()-$C$7),0,MIN($C$7,ROW()-1),1)))/STDEV(OFFSET(分析データ!F$1,MAX(1,ROW()-$C$7),0,MIN($C$7,ROW()-1),1)),0))</f>
        <v>0</v>
      </c>
      <c r="BS1215">
        <f t="shared" ca="1" si="520"/>
        <v>0</v>
      </c>
      <c r="BT1215" t="str">
        <f ca="1">IF(BS1215=1,IF(INDEX(分析データ!$A:$A,ROW()+$C$5)&lt;&gt;"",40000*SIGN(BR1215)*(分析データ!F1215-INDEX(分析データ!F:F,ROW()+$C$5)),""),"")</f>
        <v/>
      </c>
      <c r="BU1215">
        <f t="shared" ca="1" si="521"/>
        <v>19816800</v>
      </c>
      <c r="BV1215">
        <f t="shared" ca="1" si="522"/>
        <v>19816800</v>
      </c>
      <c r="BW1215">
        <f t="shared" ca="1" si="523"/>
        <v>0</v>
      </c>
      <c r="BX1215">
        <f ca="1">IF(ROW()&lt;($C$7+1),"",IFERROR((分析データ!G1215-AVERAGE(OFFSET(分析データ!G$1,MAX(1,ROW()-$C$7),0,MIN($C$7,ROW()-1),1)))/STDEV(OFFSET(分析データ!G$1,MAX(1,ROW()-$C$7),0,MIN($C$7,ROW()-1),1)),0))</f>
        <v>0</v>
      </c>
      <c r="BY1215">
        <f t="shared" ca="1" si="524"/>
        <v>0</v>
      </c>
      <c r="BZ1215" t="str">
        <f ca="1">IF(BY1215=1,IF(INDEX(分析データ!$A:$A,ROW()+$C$5)&lt;&gt;"",40000*SIGN(BX1215)*(分析データ!G1215-INDEX(分析データ!G:G,ROW()+$C$5)),""),"")</f>
        <v/>
      </c>
      <c r="CA1215">
        <f t="shared" ca="1" si="525"/>
        <v>-3515452.8662109179</v>
      </c>
      <c r="CB1215">
        <f t="shared" ca="1" si="526"/>
        <v>11327520.000000004</v>
      </c>
      <c r="CC1215">
        <f t="shared" ca="1" si="527"/>
        <v>-14842972.866210923</v>
      </c>
      <c r="CD1215">
        <f t="shared" ca="1" si="528"/>
        <v>0</v>
      </c>
      <c r="CE1215">
        <f t="shared" ca="1" si="529"/>
        <v>23090347.13378913</v>
      </c>
      <c r="CF1215">
        <f t="shared" ca="1" si="530"/>
        <v>23090347.13378913</v>
      </c>
      <c r="CG1215">
        <f t="shared" ca="1" si="531"/>
        <v>0</v>
      </c>
      <c r="CH1215" s="10" t="str">
        <f>分析データ!A1215</f>
        <v/>
      </c>
    </row>
    <row r="1216" spans="46:86">
      <c r="AT1216">
        <f ca="1">IF(ROW()&lt;($C$7+1),"",IFERROR((分析データ!B1216-AVERAGE(OFFSET(分析データ!B$1,MAX(1,ROW()-$C$7),0,MIN($C$7,ROW()-1),1)))/STDEV(OFFSET(分析データ!B$1,MAX(1,ROW()-$C$7),0,MIN($C$7,ROW()-1),1)),0))</f>
        <v>0</v>
      </c>
      <c r="AU1216">
        <f t="shared" ca="1" si="504"/>
        <v>0</v>
      </c>
      <c r="AV1216" t="str">
        <f ca="1">IF(AU1216=1,IF(INDEX(分析データ!$A:$A,ROW()+$C$5)&lt;&gt;"",80000*SIGN(AT1216)*(分析データ!B1216-INDEX(分析データ!B:B,ROW()+$C$5)),""),"")</f>
        <v/>
      </c>
      <c r="AW1216">
        <f t="shared" ca="1" si="505"/>
        <v>-1240000.0000000019</v>
      </c>
      <c r="AX1216">
        <f t="shared" ca="1" si="506"/>
        <v>0</v>
      </c>
      <c r="AY1216">
        <f t="shared" ca="1" si="507"/>
        <v>-1240000.0000000019</v>
      </c>
      <c r="AZ1216">
        <f ca="1">IF(ROW()&lt;($C$7+1),"",IFERROR((分析データ!C1216-AVERAGE(OFFSET(分析データ!C$1,MAX(1,ROW()-$C$7),0,MIN($C$7,ROW()-1),1)))/STDEV(OFFSET(分析データ!C$1,MAX(1,ROW()-$C$7),0,MIN($C$7,ROW()-1),1)),0))</f>
        <v>0</v>
      </c>
      <c r="BA1216">
        <f t="shared" ca="1" si="508"/>
        <v>0</v>
      </c>
      <c r="BB1216" t="str">
        <f ca="1">IF(BA1216=1,IF(INDEX(分析データ!$A:$A,ROW()+$C$5)&lt;&gt;"",60000*SIGN(AZ1216)*(分析データ!C1216-INDEX(分析データ!C:C,ROW()+$C$5)),""),"")</f>
        <v/>
      </c>
      <c r="BC1216">
        <f t="shared" ca="1" si="509"/>
        <v>-260999.9999999851</v>
      </c>
      <c r="BD1216">
        <f t="shared" ca="1" si="510"/>
        <v>3156000.0000000107</v>
      </c>
      <c r="BE1216">
        <f t="shared" ca="1" si="511"/>
        <v>-3416999.9999999958</v>
      </c>
      <c r="BF1216">
        <f ca="1">IF(ROW()&lt;($C$7+1),"",IFERROR((分析データ!D1216-AVERAGE(OFFSET(分析データ!D$1,MAX(1,ROW()-$C$7),0,MIN($C$7,ROW()-1),1)))/STDEV(OFFSET(分析データ!D$1,MAX(1,ROW()-$C$7),0,MIN($C$7,ROW()-1),1)),0))</f>
        <v>0</v>
      </c>
      <c r="BG1216">
        <f t="shared" ca="1" si="512"/>
        <v>0</v>
      </c>
      <c r="BH1216" t="str">
        <f ca="1">IF(BG1216=1,IF(INDEX(分析データ!$A:$A,ROW()+$C$5)&lt;&gt;"",50000*SIGN(BF1216)*(分析データ!D1216-INDEX(分析データ!D:D,ROW()+$C$5)),""),"")</f>
        <v/>
      </c>
      <c r="BI1216">
        <f t="shared" ca="1" si="513"/>
        <v>5570000.0000000205</v>
      </c>
      <c r="BJ1216">
        <f t="shared" ca="1" si="514"/>
        <v>5570000.0000000205</v>
      </c>
      <c r="BK1216">
        <f t="shared" ca="1" si="515"/>
        <v>0</v>
      </c>
      <c r="BL1216">
        <f ca="1">IF(ROW()&lt;($C$7+1),"",IFERROR((分析データ!E1216-AVERAGE(OFFSET(分析データ!E$1,MAX(1,ROW()-$C$7),0,MIN($C$7,ROW()-1),1)))/STDEV(OFFSET(分析データ!E$1,MAX(1,ROW()-$C$7),0,MIN($C$7,ROW()-1),1)),0))</f>
        <v>0</v>
      </c>
      <c r="BM1216">
        <f t="shared" ca="1" si="516"/>
        <v>0</v>
      </c>
      <c r="BN1216" t="str">
        <f ca="1">IF(BM1216=1,IF(INDEX(分析データ!$A:$A,ROW()+$C$5)&lt;&gt;"",40000*SIGN(BL1216)*(分析データ!E1216-INDEX(分析データ!E:E,ROW()+$C$5)),""),"")</f>
        <v/>
      </c>
      <c r="BO1216">
        <f t="shared" ca="1" si="517"/>
        <v>2720000.0000000014</v>
      </c>
      <c r="BP1216">
        <f t="shared" ca="1" si="518"/>
        <v>4280000.0000000028</v>
      </c>
      <c r="BQ1216">
        <f t="shared" ca="1" si="519"/>
        <v>-1560000.0000000014</v>
      </c>
      <c r="BR1216">
        <f ca="1">IF(ROW()&lt;($C$7+1),"",IFERROR((分析データ!F1216-AVERAGE(OFFSET(分析データ!F$1,MAX(1,ROW()-$C$7),0,MIN($C$7,ROW()-1),1)))/STDEV(OFFSET(分析データ!F$1,MAX(1,ROW()-$C$7),0,MIN($C$7,ROW()-1),1)),0))</f>
        <v>0</v>
      </c>
      <c r="BS1216">
        <f t="shared" ca="1" si="520"/>
        <v>0</v>
      </c>
      <c r="BT1216" t="str">
        <f ca="1">IF(BS1216=1,IF(INDEX(分析データ!$A:$A,ROW()+$C$5)&lt;&gt;"",40000*SIGN(BR1216)*(分析データ!F1216-INDEX(分析データ!F:F,ROW()+$C$5)),""),"")</f>
        <v/>
      </c>
      <c r="BU1216">
        <f t="shared" ca="1" si="521"/>
        <v>19816800</v>
      </c>
      <c r="BV1216">
        <f t="shared" ca="1" si="522"/>
        <v>19816800</v>
      </c>
      <c r="BW1216">
        <f t="shared" ca="1" si="523"/>
        <v>0</v>
      </c>
      <c r="BX1216">
        <f ca="1">IF(ROW()&lt;($C$7+1),"",IFERROR((分析データ!G1216-AVERAGE(OFFSET(分析データ!G$1,MAX(1,ROW()-$C$7),0,MIN($C$7,ROW()-1),1)))/STDEV(OFFSET(分析データ!G$1,MAX(1,ROW()-$C$7),0,MIN($C$7,ROW()-1),1)),0))</f>
        <v>0</v>
      </c>
      <c r="BY1216">
        <f t="shared" ca="1" si="524"/>
        <v>0</v>
      </c>
      <c r="BZ1216" t="str">
        <f ca="1">IF(BY1216=1,IF(INDEX(分析データ!$A:$A,ROW()+$C$5)&lt;&gt;"",40000*SIGN(BX1216)*(分析データ!G1216-INDEX(分析データ!G:G,ROW()+$C$5)),""),"")</f>
        <v/>
      </c>
      <c r="CA1216">
        <f t="shared" ca="1" si="525"/>
        <v>-3515452.8662109179</v>
      </c>
      <c r="CB1216">
        <f t="shared" ca="1" si="526"/>
        <v>11327520.000000004</v>
      </c>
      <c r="CC1216">
        <f t="shared" ca="1" si="527"/>
        <v>-14842972.866210923</v>
      </c>
      <c r="CD1216">
        <f t="shared" ca="1" si="528"/>
        <v>0</v>
      </c>
      <c r="CE1216">
        <f t="shared" ca="1" si="529"/>
        <v>23090347.13378913</v>
      </c>
      <c r="CF1216">
        <f t="shared" ca="1" si="530"/>
        <v>23090347.13378913</v>
      </c>
      <c r="CG1216">
        <f t="shared" ca="1" si="531"/>
        <v>0</v>
      </c>
      <c r="CH1216" s="10" t="str">
        <f>分析データ!A1216</f>
        <v/>
      </c>
    </row>
    <row r="1217" spans="46:86">
      <c r="AT1217">
        <f ca="1">IF(ROW()&lt;($C$7+1),"",IFERROR((分析データ!B1217-AVERAGE(OFFSET(分析データ!B$1,MAX(1,ROW()-$C$7),0,MIN($C$7,ROW()-1),1)))/STDEV(OFFSET(分析データ!B$1,MAX(1,ROW()-$C$7),0,MIN($C$7,ROW()-1),1)),0))</f>
        <v>0</v>
      </c>
      <c r="AU1217">
        <f t="shared" ca="1" si="504"/>
        <v>0</v>
      </c>
      <c r="AV1217" t="str">
        <f ca="1">IF(AU1217=1,IF(INDEX(分析データ!$A:$A,ROW()+$C$5)&lt;&gt;"",80000*SIGN(AT1217)*(分析データ!B1217-INDEX(分析データ!B:B,ROW()+$C$5)),""),"")</f>
        <v/>
      </c>
      <c r="AW1217">
        <f t="shared" ca="1" si="505"/>
        <v>-1240000.0000000019</v>
      </c>
      <c r="AX1217">
        <f t="shared" ca="1" si="506"/>
        <v>0</v>
      </c>
      <c r="AY1217">
        <f t="shared" ca="1" si="507"/>
        <v>-1240000.0000000019</v>
      </c>
      <c r="AZ1217">
        <f ca="1">IF(ROW()&lt;($C$7+1),"",IFERROR((分析データ!C1217-AVERAGE(OFFSET(分析データ!C$1,MAX(1,ROW()-$C$7),0,MIN($C$7,ROW()-1),1)))/STDEV(OFFSET(分析データ!C$1,MAX(1,ROW()-$C$7),0,MIN($C$7,ROW()-1),1)),0))</f>
        <v>0</v>
      </c>
      <c r="BA1217">
        <f t="shared" ca="1" si="508"/>
        <v>0</v>
      </c>
      <c r="BB1217" t="str">
        <f ca="1">IF(BA1217=1,IF(INDEX(分析データ!$A:$A,ROW()+$C$5)&lt;&gt;"",60000*SIGN(AZ1217)*(分析データ!C1217-INDEX(分析データ!C:C,ROW()+$C$5)),""),"")</f>
        <v/>
      </c>
      <c r="BC1217">
        <f t="shared" ca="1" si="509"/>
        <v>-260999.9999999851</v>
      </c>
      <c r="BD1217">
        <f t="shared" ca="1" si="510"/>
        <v>3156000.0000000107</v>
      </c>
      <c r="BE1217">
        <f t="shared" ca="1" si="511"/>
        <v>-3416999.9999999958</v>
      </c>
      <c r="BF1217">
        <f ca="1">IF(ROW()&lt;($C$7+1),"",IFERROR((分析データ!D1217-AVERAGE(OFFSET(分析データ!D$1,MAX(1,ROW()-$C$7),0,MIN($C$7,ROW()-1),1)))/STDEV(OFFSET(分析データ!D$1,MAX(1,ROW()-$C$7),0,MIN($C$7,ROW()-1),1)),0))</f>
        <v>0</v>
      </c>
      <c r="BG1217">
        <f t="shared" ca="1" si="512"/>
        <v>0</v>
      </c>
      <c r="BH1217" t="str">
        <f ca="1">IF(BG1217=1,IF(INDEX(分析データ!$A:$A,ROW()+$C$5)&lt;&gt;"",50000*SIGN(BF1217)*(分析データ!D1217-INDEX(分析データ!D:D,ROW()+$C$5)),""),"")</f>
        <v/>
      </c>
      <c r="BI1217">
        <f t="shared" ca="1" si="513"/>
        <v>5570000.0000000205</v>
      </c>
      <c r="BJ1217">
        <f t="shared" ca="1" si="514"/>
        <v>5570000.0000000205</v>
      </c>
      <c r="BK1217">
        <f t="shared" ca="1" si="515"/>
        <v>0</v>
      </c>
      <c r="BL1217">
        <f ca="1">IF(ROW()&lt;($C$7+1),"",IFERROR((分析データ!E1217-AVERAGE(OFFSET(分析データ!E$1,MAX(1,ROW()-$C$7),0,MIN($C$7,ROW()-1),1)))/STDEV(OFFSET(分析データ!E$1,MAX(1,ROW()-$C$7),0,MIN($C$7,ROW()-1),1)),0))</f>
        <v>0</v>
      </c>
      <c r="BM1217">
        <f t="shared" ca="1" si="516"/>
        <v>0</v>
      </c>
      <c r="BN1217" t="str">
        <f ca="1">IF(BM1217=1,IF(INDEX(分析データ!$A:$A,ROW()+$C$5)&lt;&gt;"",40000*SIGN(BL1217)*(分析データ!E1217-INDEX(分析データ!E:E,ROW()+$C$5)),""),"")</f>
        <v/>
      </c>
      <c r="BO1217">
        <f t="shared" ca="1" si="517"/>
        <v>2720000.0000000014</v>
      </c>
      <c r="BP1217">
        <f t="shared" ca="1" si="518"/>
        <v>4280000.0000000028</v>
      </c>
      <c r="BQ1217">
        <f t="shared" ca="1" si="519"/>
        <v>-1560000.0000000014</v>
      </c>
      <c r="BR1217">
        <f ca="1">IF(ROW()&lt;($C$7+1),"",IFERROR((分析データ!F1217-AVERAGE(OFFSET(分析データ!F$1,MAX(1,ROW()-$C$7),0,MIN($C$7,ROW()-1),1)))/STDEV(OFFSET(分析データ!F$1,MAX(1,ROW()-$C$7),0,MIN($C$7,ROW()-1),1)),0))</f>
        <v>0</v>
      </c>
      <c r="BS1217">
        <f t="shared" ca="1" si="520"/>
        <v>0</v>
      </c>
      <c r="BT1217" t="str">
        <f ca="1">IF(BS1217=1,IF(INDEX(分析データ!$A:$A,ROW()+$C$5)&lt;&gt;"",40000*SIGN(BR1217)*(分析データ!F1217-INDEX(分析データ!F:F,ROW()+$C$5)),""),"")</f>
        <v/>
      </c>
      <c r="BU1217">
        <f t="shared" ca="1" si="521"/>
        <v>19816800</v>
      </c>
      <c r="BV1217">
        <f t="shared" ca="1" si="522"/>
        <v>19816800</v>
      </c>
      <c r="BW1217">
        <f t="shared" ca="1" si="523"/>
        <v>0</v>
      </c>
      <c r="BX1217">
        <f ca="1">IF(ROW()&lt;($C$7+1),"",IFERROR((分析データ!G1217-AVERAGE(OFFSET(分析データ!G$1,MAX(1,ROW()-$C$7),0,MIN($C$7,ROW()-1),1)))/STDEV(OFFSET(分析データ!G$1,MAX(1,ROW()-$C$7),0,MIN($C$7,ROW()-1),1)),0))</f>
        <v>0</v>
      </c>
      <c r="BY1217">
        <f t="shared" ca="1" si="524"/>
        <v>0</v>
      </c>
      <c r="BZ1217" t="str">
        <f ca="1">IF(BY1217=1,IF(INDEX(分析データ!$A:$A,ROW()+$C$5)&lt;&gt;"",40000*SIGN(BX1217)*(分析データ!G1217-INDEX(分析データ!G:G,ROW()+$C$5)),""),"")</f>
        <v/>
      </c>
      <c r="CA1217">
        <f t="shared" ca="1" si="525"/>
        <v>-3515452.8662109179</v>
      </c>
      <c r="CB1217">
        <f t="shared" ca="1" si="526"/>
        <v>11327520.000000004</v>
      </c>
      <c r="CC1217">
        <f t="shared" ca="1" si="527"/>
        <v>-14842972.866210923</v>
      </c>
      <c r="CD1217">
        <f t="shared" ca="1" si="528"/>
        <v>0</v>
      </c>
      <c r="CE1217">
        <f t="shared" ca="1" si="529"/>
        <v>23090347.13378913</v>
      </c>
      <c r="CF1217">
        <f t="shared" ca="1" si="530"/>
        <v>23090347.13378913</v>
      </c>
      <c r="CG1217">
        <f t="shared" ca="1" si="531"/>
        <v>0</v>
      </c>
      <c r="CH1217" s="10" t="str">
        <f>分析データ!A1217</f>
        <v/>
      </c>
    </row>
    <row r="1218" spans="46:86">
      <c r="AT1218">
        <f ca="1">IF(ROW()&lt;($C$7+1),"",IFERROR((分析データ!B1218-AVERAGE(OFFSET(分析データ!B$1,MAX(1,ROW()-$C$7),0,MIN($C$7,ROW()-1),1)))/STDEV(OFFSET(分析データ!B$1,MAX(1,ROW()-$C$7),0,MIN($C$7,ROW()-1),1)),0))</f>
        <v>0</v>
      </c>
      <c r="AU1218">
        <f t="shared" ref="AU1218:AU1281" ca="1" si="532">IF(ISNUMBER(AT1218),IF(ABS(AT1218)&gt;=$C$6,1,0),0)</f>
        <v>0</v>
      </c>
      <c r="AV1218" t="str">
        <f ca="1">IF(AU1218=1,IF(INDEX(分析データ!$A:$A,ROW()+$C$5)&lt;&gt;"",80000*SIGN(AT1218)*(分析データ!B1218-INDEX(分析データ!B:B,ROW()+$C$5)),""),"")</f>
        <v/>
      </c>
      <c r="AW1218">
        <f t="shared" ref="AW1218:AW1281" ca="1" si="533">AW1217+IF(AND(AU1218=1,ISNUMBER(AV1218)),AV1218,0)</f>
        <v>-1240000.0000000019</v>
      </c>
      <c r="AX1218">
        <f t="shared" ref="AX1218:AX1281" ca="1" si="534">MAX(AX1217,AW1218)</f>
        <v>0</v>
      </c>
      <c r="AY1218">
        <f t="shared" ref="AY1218:AY1281" ca="1" si="535">AW1218-AX1218</f>
        <v>-1240000.0000000019</v>
      </c>
      <c r="AZ1218">
        <f ca="1">IF(ROW()&lt;($C$7+1),"",IFERROR((分析データ!C1218-AVERAGE(OFFSET(分析データ!C$1,MAX(1,ROW()-$C$7),0,MIN($C$7,ROW()-1),1)))/STDEV(OFFSET(分析データ!C$1,MAX(1,ROW()-$C$7),0,MIN($C$7,ROW()-1),1)),0))</f>
        <v>0</v>
      </c>
      <c r="BA1218">
        <f t="shared" ref="BA1218:BA1281" ca="1" si="536">IF(ISNUMBER(AZ1218),IF(ABS(AZ1218)&gt;=$C$6,1,0),0)</f>
        <v>0</v>
      </c>
      <c r="BB1218" t="str">
        <f ca="1">IF(BA1218=1,IF(INDEX(分析データ!$A:$A,ROW()+$C$5)&lt;&gt;"",60000*SIGN(AZ1218)*(分析データ!C1218-INDEX(分析データ!C:C,ROW()+$C$5)),""),"")</f>
        <v/>
      </c>
      <c r="BC1218">
        <f t="shared" ref="BC1218:BC1281" ca="1" si="537">BC1217+IF(AND(BA1218=1,ISNUMBER(BB1218)),BB1218,0)</f>
        <v>-260999.9999999851</v>
      </c>
      <c r="BD1218">
        <f t="shared" ref="BD1218:BD1281" ca="1" si="538">MAX(BD1217,BC1218)</f>
        <v>3156000.0000000107</v>
      </c>
      <c r="BE1218">
        <f t="shared" ref="BE1218:BE1281" ca="1" si="539">BC1218-BD1218</f>
        <v>-3416999.9999999958</v>
      </c>
      <c r="BF1218">
        <f ca="1">IF(ROW()&lt;($C$7+1),"",IFERROR((分析データ!D1218-AVERAGE(OFFSET(分析データ!D$1,MAX(1,ROW()-$C$7),0,MIN($C$7,ROW()-1),1)))/STDEV(OFFSET(分析データ!D$1,MAX(1,ROW()-$C$7),0,MIN($C$7,ROW()-1),1)),0))</f>
        <v>0</v>
      </c>
      <c r="BG1218">
        <f t="shared" ref="BG1218:BG1281" ca="1" si="540">IF(ISNUMBER(BF1218),IF(ABS(BF1218)&gt;=$C$6,1,0),0)</f>
        <v>0</v>
      </c>
      <c r="BH1218" t="str">
        <f ca="1">IF(BG1218=1,IF(INDEX(分析データ!$A:$A,ROW()+$C$5)&lt;&gt;"",50000*SIGN(BF1218)*(分析データ!D1218-INDEX(分析データ!D:D,ROW()+$C$5)),""),"")</f>
        <v/>
      </c>
      <c r="BI1218">
        <f t="shared" ref="BI1218:BI1281" ca="1" si="541">BI1217+IF(AND(BG1218=1,ISNUMBER(BH1218)),BH1218,0)</f>
        <v>5570000.0000000205</v>
      </c>
      <c r="BJ1218">
        <f t="shared" ref="BJ1218:BJ1281" ca="1" si="542">MAX(BJ1217,BI1218)</f>
        <v>5570000.0000000205</v>
      </c>
      <c r="BK1218">
        <f t="shared" ref="BK1218:BK1281" ca="1" si="543">BI1218-BJ1218</f>
        <v>0</v>
      </c>
      <c r="BL1218">
        <f ca="1">IF(ROW()&lt;($C$7+1),"",IFERROR((分析データ!E1218-AVERAGE(OFFSET(分析データ!E$1,MAX(1,ROW()-$C$7),0,MIN($C$7,ROW()-1),1)))/STDEV(OFFSET(分析データ!E$1,MAX(1,ROW()-$C$7),0,MIN($C$7,ROW()-1),1)),0))</f>
        <v>0</v>
      </c>
      <c r="BM1218">
        <f t="shared" ref="BM1218:BM1281" ca="1" si="544">IF(ISNUMBER(BL1218),IF(ABS(BL1218)&gt;=$C$6,1,0),0)</f>
        <v>0</v>
      </c>
      <c r="BN1218" t="str">
        <f ca="1">IF(BM1218=1,IF(INDEX(分析データ!$A:$A,ROW()+$C$5)&lt;&gt;"",40000*SIGN(BL1218)*(分析データ!E1218-INDEX(分析データ!E:E,ROW()+$C$5)),""),"")</f>
        <v/>
      </c>
      <c r="BO1218">
        <f t="shared" ref="BO1218:BO1281" ca="1" si="545">BO1217+IF(AND(BM1218=1,ISNUMBER(BN1218)),BN1218,0)</f>
        <v>2720000.0000000014</v>
      </c>
      <c r="BP1218">
        <f t="shared" ref="BP1218:BP1281" ca="1" si="546">MAX(BP1217,BO1218)</f>
        <v>4280000.0000000028</v>
      </c>
      <c r="BQ1218">
        <f t="shared" ref="BQ1218:BQ1281" ca="1" si="547">BO1218-BP1218</f>
        <v>-1560000.0000000014</v>
      </c>
      <c r="BR1218">
        <f ca="1">IF(ROW()&lt;($C$7+1),"",IFERROR((分析データ!F1218-AVERAGE(OFFSET(分析データ!F$1,MAX(1,ROW()-$C$7),0,MIN($C$7,ROW()-1),1)))/STDEV(OFFSET(分析データ!F$1,MAX(1,ROW()-$C$7),0,MIN($C$7,ROW()-1),1)),0))</f>
        <v>0</v>
      </c>
      <c r="BS1218">
        <f t="shared" ref="BS1218:BS1281" ca="1" si="548">IF(ISNUMBER(BR1218),IF(ABS(BR1218)&gt;=$C$6,1,0),0)</f>
        <v>0</v>
      </c>
      <c r="BT1218" t="str">
        <f ca="1">IF(BS1218=1,IF(INDEX(分析データ!$A:$A,ROW()+$C$5)&lt;&gt;"",40000*SIGN(BR1218)*(分析データ!F1218-INDEX(分析データ!F:F,ROW()+$C$5)),""),"")</f>
        <v/>
      </c>
      <c r="BU1218">
        <f t="shared" ref="BU1218:BU1281" ca="1" si="549">BU1217+IF(AND(BS1218=1,ISNUMBER(BT1218)),BT1218,0)</f>
        <v>19816800</v>
      </c>
      <c r="BV1218">
        <f t="shared" ref="BV1218:BV1281" ca="1" si="550">MAX(BV1217,BU1218)</f>
        <v>19816800</v>
      </c>
      <c r="BW1218">
        <f t="shared" ref="BW1218:BW1281" ca="1" si="551">BU1218-BV1218</f>
        <v>0</v>
      </c>
      <c r="BX1218">
        <f ca="1">IF(ROW()&lt;($C$7+1),"",IFERROR((分析データ!G1218-AVERAGE(OFFSET(分析データ!G$1,MAX(1,ROW()-$C$7),0,MIN($C$7,ROW()-1),1)))/STDEV(OFFSET(分析データ!G$1,MAX(1,ROW()-$C$7),0,MIN($C$7,ROW()-1),1)),0))</f>
        <v>0</v>
      </c>
      <c r="BY1218">
        <f t="shared" ref="BY1218:BY1281" ca="1" si="552">IF(ISNUMBER(BX1218),IF(ABS(BX1218)&gt;=$C$6,1,0),0)</f>
        <v>0</v>
      </c>
      <c r="BZ1218" t="str">
        <f ca="1">IF(BY1218=1,IF(INDEX(分析データ!$A:$A,ROW()+$C$5)&lt;&gt;"",40000*SIGN(BX1218)*(分析データ!G1218-INDEX(分析データ!G:G,ROW()+$C$5)),""),"")</f>
        <v/>
      </c>
      <c r="CA1218">
        <f t="shared" ref="CA1218:CA1281" ca="1" si="553">CA1217+IF(AND(BY1218=1,ISNUMBER(BZ1218)),BZ1218,0)</f>
        <v>-3515452.8662109179</v>
      </c>
      <c r="CB1218">
        <f t="shared" ref="CB1218:CB1281" ca="1" si="554">MAX(CB1217,CA1218)</f>
        <v>11327520.000000004</v>
      </c>
      <c r="CC1218">
        <f t="shared" ref="CC1218:CC1281" ca="1" si="555">CA1218-CB1218</f>
        <v>-14842972.866210923</v>
      </c>
      <c r="CD1218">
        <f t="shared" ref="CD1218:CD1281" ca="1" si="556">N(AV1218)+N(BB1218)+N(BH1218)+N(BN1218)+N(BT1218)+N(BZ1218)</f>
        <v>0</v>
      </c>
      <c r="CE1218">
        <f t="shared" ref="CE1218:CE1281" ca="1" si="557">CE1217+CD1218</f>
        <v>23090347.13378913</v>
      </c>
      <c r="CF1218">
        <f t="shared" ref="CF1218:CF1281" ca="1" si="558">MAX(CF1217,CE1218)</f>
        <v>23090347.13378913</v>
      </c>
      <c r="CG1218">
        <f t="shared" ref="CG1218:CG1281" ca="1" si="559">CE1218-CF1218</f>
        <v>0</v>
      </c>
      <c r="CH1218" s="10" t="str">
        <f>分析データ!A1218</f>
        <v/>
      </c>
    </row>
    <row r="1219" spans="46:86">
      <c r="AT1219">
        <f ca="1">IF(ROW()&lt;($C$7+1),"",IFERROR((分析データ!B1219-AVERAGE(OFFSET(分析データ!B$1,MAX(1,ROW()-$C$7),0,MIN($C$7,ROW()-1),1)))/STDEV(OFFSET(分析データ!B$1,MAX(1,ROW()-$C$7),0,MIN($C$7,ROW()-1),1)),0))</f>
        <v>0</v>
      </c>
      <c r="AU1219">
        <f t="shared" ca="1" si="532"/>
        <v>0</v>
      </c>
      <c r="AV1219" t="str">
        <f ca="1">IF(AU1219=1,IF(INDEX(分析データ!$A:$A,ROW()+$C$5)&lt;&gt;"",80000*SIGN(AT1219)*(分析データ!B1219-INDEX(分析データ!B:B,ROW()+$C$5)),""),"")</f>
        <v/>
      </c>
      <c r="AW1219">
        <f t="shared" ca="1" si="533"/>
        <v>-1240000.0000000019</v>
      </c>
      <c r="AX1219">
        <f t="shared" ca="1" si="534"/>
        <v>0</v>
      </c>
      <c r="AY1219">
        <f t="shared" ca="1" si="535"/>
        <v>-1240000.0000000019</v>
      </c>
      <c r="AZ1219">
        <f ca="1">IF(ROW()&lt;($C$7+1),"",IFERROR((分析データ!C1219-AVERAGE(OFFSET(分析データ!C$1,MAX(1,ROW()-$C$7),0,MIN($C$7,ROW()-1),1)))/STDEV(OFFSET(分析データ!C$1,MAX(1,ROW()-$C$7),0,MIN($C$7,ROW()-1),1)),0))</f>
        <v>0</v>
      </c>
      <c r="BA1219">
        <f t="shared" ca="1" si="536"/>
        <v>0</v>
      </c>
      <c r="BB1219" t="str">
        <f ca="1">IF(BA1219=1,IF(INDEX(分析データ!$A:$A,ROW()+$C$5)&lt;&gt;"",60000*SIGN(AZ1219)*(分析データ!C1219-INDEX(分析データ!C:C,ROW()+$C$5)),""),"")</f>
        <v/>
      </c>
      <c r="BC1219">
        <f t="shared" ca="1" si="537"/>
        <v>-260999.9999999851</v>
      </c>
      <c r="BD1219">
        <f t="shared" ca="1" si="538"/>
        <v>3156000.0000000107</v>
      </c>
      <c r="BE1219">
        <f t="shared" ca="1" si="539"/>
        <v>-3416999.9999999958</v>
      </c>
      <c r="BF1219">
        <f ca="1">IF(ROW()&lt;($C$7+1),"",IFERROR((分析データ!D1219-AVERAGE(OFFSET(分析データ!D$1,MAX(1,ROW()-$C$7),0,MIN($C$7,ROW()-1),1)))/STDEV(OFFSET(分析データ!D$1,MAX(1,ROW()-$C$7),0,MIN($C$7,ROW()-1),1)),0))</f>
        <v>0</v>
      </c>
      <c r="BG1219">
        <f t="shared" ca="1" si="540"/>
        <v>0</v>
      </c>
      <c r="BH1219" t="str">
        <f ca="1">IF(BG1219=1,IF(INDEX(分析データ!$A:$A,ROW()+$C$5)&lt;&gt;"",50000*SIGN(BF1219)*(分析データ!D1219-INDEX(分析データ!D:D,ROW()+$C$5)),""),"")</f>
        <v/>
      </c>
      <c r="BI1219">
        <f t="shared" ca="1" si="541"/>
        <v>5570000.0000000205</v>
      </c>
      <c r="BJ1219">
        <f t="shared" ca="1" si="542"/>
        <v>5570000.0000000205</v>
      </c>
      <c r="BK1219">
        <f t="shared" ca="1" si="543"/>
        <v>0</v>
      </c>
      <c r="BL1219">
        <f ca="1">IF(ROW()&lt;($C$7+1),"",IFERROR((分析データ!E1219-AVERAGE(OFFSET(分析データ!E$1,MAX(1,ROW()-$C$7),0,MIN($C$7,ROW()-1),1)))/STDEV(OFFSET(分析データ!E$1,MAX(1,ROW()-$C$7),0,MIN($C$7,ROW()-1),1)),0))</f>
        <v>0</v>
      </c>
      <c r="BM1219">
        <f t="shared" ca="1" si="544"/>
        <v>0</v>
      </c>
      <c r="BN1219" t="str">
        <f ca="1">IF(BM1219=1,IF(INDEX(分析データ!$A:$A,ROW()+$C$5)&lt;&gt;"",40000*SIGN(BL1219)*(分析データ!E1219-INDEX(分析データ!E:E,ROW()+$C$5)),""),"")</f>
        <v/>
      </c>
      <c r="BO1219">
        <f t="shared" ca="1" si="545"/>
        <v>2720000.0000000014</v>
      </c>
      <c r="BP1219">
        <f t="shared" ca="1" si="546"/>
        <v>4280000.0000000028</v>
      </c>
      <c r="BQ1219">
        <f t="shared" ca="1" si="547"/>
        <v>-1560000.0000000014</v>
      </c>
      <c r="BR1219">
        <f ca="1">IF(ROW()&lt;($C$7+1),"",IFERROR((分析データ!F1219-AVERAGE(OFFSET(分析データ!F$1,MAX(1,ROW()-$C$7),0,MIN($C$7,ROW()-1),1)))/STDEV(OFFSET(分析データ!F$1,MAX(1,ROW()-$C$7),0,MIN($C$7,ROW()-1),1)),0))</f>
        <v>0</v>
      </c>
      <c r="BS1219">
        <f t="shared" ca="1" si="548"/>
        <v>0</v>
      </c>
      <c r="BT1219" t="str">
        <f ca="1">IF(BS1219=1,IF(INDEX(分析データ!$A:$A,ROW()+$C$5)&lt;&gt;"",40000*SIGN(BR1219)*(分析データ!F1219-INDEX(分析データ!F:F,ROW()+$C$5)),""),"")</f>
        <v/>
      </c>
      <c r="BU1219">
        <f t="shared" ca="1" si="549"/>
        <v>19816800</v>
      </c>
      <c r="BV1219">
        <f t="shared" ca="1" si="550"/>
        <v>19816800</v>
      </c>
      <c r="BW1219">
        <f t="shared" ca="1" si="551"/>
        <v>0</v>
      </c>
      <c r="BX1219">
        <f ca="1">IF(ROW()&lt;($C$7+1),"",IFERROR((分析データ!G1219-AVERAGE(OFFSET(分析データ!G$1,MAX(1,ROW()-$C$7),0,MIN($C$7,ROW()-1),1)))/STDEV(OFFSET(分析データ!G$1,MAX(1,ROW()-$C$7),0,MIN($C$7,ROW()-1),1)),0))</f>
        <v>0</v>
      </c>
      <c r="BY1219">
        <f t="shared" ca="1" si="552"/>
        <v>0</v>
      </c>
      <c r="BZ1219" t="str">
        <f ca="1">IF(BY1219=1,IF(INDEX(分析データ!$A:$A,ROW()+$C$5)&lt;&gt;"",40000*SIGN(BX1219)*(分析データ!G1219-INDEX(分析データ!G:G,ROW()+$C$5)),""),"")</f>
        <v/>
      </c>
      <c r="CA1219">
        <f t="shared" ca="1" si="553"/>
        <v>-3515452.8662109179</v>
      </c>
      <c r="CB1219">
        <f t="shared" ca="1" si="554"/>
        <v>11327520.000000004</v>
      </c>
      <c r="CC1219">
        <f t="shared" ca="1" si="555"/>
        <v>-14842972.866210923</v>
      </c>
      <c r="CD1219">
        <f t="shared" ca="1" si="556"/>
        <v>0</v>
      </c>
      <c r="CE1219">
        <f t="shared" ca="1" si="557"/>
        <v>23090347.13378913</v>
      </c>
      <c r="CF1219">
        <f t="shared" ca="1" si="558"/>
        <v>23090347.13378913</v>
      </c>
      <c r="CG1219">
        <f t="shared" ca="1" si="559"/>
        <v>0</v>
      </c>
      <c r="CH1219" s="10" t="str">
        <f>分析データ!A1219</f>
        <v/>
      </c>
    </row>
    <row r="1220" spans="46:86">
      <c r="AT1220">
        <f ca="1">IF(ROW()&lt;($C$7+1),"",IFERROR((分析データ!B1220-AVERAGE(OFFSET(分析データ!B$1,MAX(1,ROW()-$C$7),0,MIN($C$7,ROW()-1),1)))/STDEV(OFFSET(分析データ!B$1,MAX(1,ROW()-$C$7),0,MIN($C$7,ROW()-1),1)),0))</f>
        <v>0</v>
      </c>
      <c r="AU1220">
        <f t="shared" ca="1" si="532"/>
        <v>0</v>
      </c>
      <c r="AV1220" t="str">
        <f ca="1">IF(AU1220=1,IF(INDEX(分析データ!$A:$A,ROW()+$C$5)&lt;&gt;"",80000*SIGN(AT1220)*(分析データ!B1220-INDEX(分析データ!B:B,ROW()+$C$5)),""),"")</f>
        <v/>
      </c>
      <c r="AW1220">
        <f t="shared" ca="1" si="533"/>
        <v>-1240000.0000000019</v>
      </c>
      <c r="AX1220">
        <f t="shared" ca="1" si="534"/>
        <v>0</v>
      </c>
      <c r="AY1220">
        <f t="shared" ca="1" si="535"/>
        <v>-1240000.0000000019</v>
      </c>
      <c r="AZ1220">
        <f ca="1">IF(ROW()&lt;($C$7+1),"",IFERROR((分析データ!C1220-AVERAGE(OFFSET(分析データ!C$1,MAX(1,ROW()-$C$7),0,MIN($C$7,ROW()-1),1)))/STDEV(OFFSET(分析データ!C$1,MAX(1,ROW()-$C$7),0,MIN($C$7,ROW()-1),1)),0))</f>
        <v>0</v>
      </c>
      <c r="BA1220">
        <f t="shared" ca="1" si="536"/>
        <v>0</v>
      </c>
      <c r="BB1220" t="str">
        <f ca="1">IF(BA1220=1,IF(INDEX(分析データ!$A:$A,ROW()+$C$5)&lt;&gt;"",60000*SIGN(AZ1220)*(分析データ!C1220-INDEX(分析データ!C:C,ROW()+$C$5)),""),"")</f>
        <v/>
      </c>
      <c r="BC1220">
        <f t="shared" ca="1" si="537"/>
        <v>-260999.9999999851</v>
      </c>
      <c r="BD1220">
        <f t="shared" ca="1" si="538"/>
        <v>3156000.0000000107</v>
      </c>
      <c r="BE1220">
        <f t="shared" ca="1" si="539"/>
        <v>-3416999.9999999958</v>
      </c>
      <c r="BF1220">
        <f ca="1">IF(ROW()&lt;($C$7+1),"",IFERROR((分析データ!D1220-AVERAGE(OFFSET(分析データ!D$1,MAX(1,ROW()-$C$7),0,MIN($C$7,ROW()-1),1)))/STDEV(OFFSET(分析データ!D$1,MAX(1,ROW()-$C$7),0,MIN($C$7,ROW()-1),1)),0))</f>
        <v>0</v>
      </c>
      <c r="BG1220">
        <f t="shared" ca="1" si="540"/>
        <v>0</v>
      </c>
      <c r="BH1220" t="str">
        <f ca="1">IF(BG1220=1,IF(INDEX(分析データ!$A:$A,ROW()+$C$5)&lt;&gt;"",50000*SIGN(BF1220)*(分析データ!D1220-INDEX(分析データ!D:D,ROW()+$C$5)),""),"")</f>
        <v/>
      </c>
      <c r="BI1220">
        <f t="shared" ca="1" si="541"/>
        <v>5570000.0000000205</v>
      </c>
      <c r="BJ1220">
        <f t="shared" ca="1" si="542"/>
        <v>5570000.0000000205</v>
      </c>
      <c r="BK1220">
        <f t="shared" ca="1" si="543"/>
        <v>0</v>
      </c>
      <c r="BL1220">
        <f ca="1">IF(ROW()&lt;($C$7+1),"",IFERROR((分析データ!E1220-AVERAGE(OFFSET(分析データ!E$1,MAX(1,ROW()-$C$7),0,MIN($C$7,ROW()-1),1)))/STDEV(OFFSET(分析データ!E$1,MAX(1,ROW()-$C$7),0,MIN($C$7,ROW()-1),1)),0))</f>
        <v>0</v>
      </c>
      <c r="BM1220">
        <f t="shared" ca="1" si="544"/>
        <v>0</v>
      </c>
      <c r="BN1220" t="str">
        <f ca="1">IF(BM1220=1,IF(INDEX(分析データ!$A:$A,ROW()+$C$5)&lt;&gt;"",40000*SIGN(BL1220)*(分析データ!E1220-INDEX(分析データ!E:E,ROW()+$C$5)),""),"")</f>
        <v/>
      </c>
      <c r="BO1220">
        <f t="shared" ca="1" si="545"/>
        <v>2720000.0000000014</v>
      </c>
      <c r="BP1220">
        <f t="shared" ca="1" si="546"/>
        <v>4280000.0000000028</v>
      </c>
      <c r="BQ1220">
        <f t="shared" ca="1" si="547"/>
        <v>-1560000.0000000014</v>
      </c>
      <c r="BR1220">
        <f ca="1">IF(ROW()&lt;($C$7+1),"",IFERROR((分析データ!F1220-AVERAGE(OFFSET(分析データ!F$1,MAX(1,ROW()-$C$7),0,MIN($C$7,ROW()-1),1)))/STDEV(OFFSET(分析データ!F$1,MAX(1,ROW()-$C$7),0,MIN($C$7,ROW()-1),1)),0))</f>
        <v>0</v>
      </c>
      <c r="BS1220">
        <f t="shared" ca="1" si="548"/>
        <v>0</v>
      </c>
      <c r="BT1220" t="str">
        <f ca="1">IF(BS1220=1,IF(INDEX(分析データ!$A:$A,ROW()+$C$5)&lt;&gt;"",40000*SIGN(BR1220)*(分析データ!F1220-INDEX(分析データ!F:F,ROW()+$C$5)),""),"")</f>
        <v/>
      </c>
      <c r="BU1220">
        <f t="shared" ca="1" si="549"/>
        <v>19816800</v>
      </c>
      <c r="BV1220">
        <f t="shared" ca="1" si="550"/>
        <v>19816800</v>
      </c>
      <c r="BW1220">
        <f t="shared" ca="1" si="551"/>
        <v>0</v>
      </c>
      <c r="BX1220">
        <f ca="1">IF(ROW()&lt;($C$7+1),"",IFERROR((分析データ!G1220-AVERAGE(OFFSET(分析データ!G$1,MAX(1,ROW()-$C$7),0,MIN($C$7,ROW()-1),1)))/STDEV(OFFSET(分析データ!G$1,MAX(1,ROW()-$C$7),0,MIN($C$7,ROW()-1),1)),0))</f>
        <v>0</v>
      </c>
      <c r="BY1220">
        <f t="shared" ca="1" si="552"/>
        <v>0</v>
      </c>
      <c r="BZ1220" t="str">
        <f ca="1">IF(BY1220=1,IF(INDEX(分析データ!$A:$A,ROW()+$C$5)&lt;&gt;"",40000*SIGN(BX1220)*(分析データ!G1220-INDEX(分析データ!G:G,ROW()+$C$5)),""),"")</f>
        <v/>
      </c>
      <c r="CA1220">
        <f t="shared" ca="1" si="553"/>
        <v>-3515452.8662109179</v>
      </c>
      <c r="CB1220">
        <f t="shared" ca="1" si="554"/>
        <v>11327520.000000004</v>
      </c>
      <c r="CC1220">
        <f t="shared" ca="1" si="555"/>
        <v>-14842972.866210923</v>
      </c>
      <c r="CD1220">
        <f t="shared" ca="1" si="556"/>
        <v>0</v>
      </c>
      <c r="CE1220">
        <f t="shared" ca="1" si="557"/>
        <v>23090347.13378913</v>
      </c>
      <c r="CF1220">
        <f t="shared" ca="1" si="558"/>
        <v>23090347.13378913</v>
      </c>
      <c r="CG1220">
        <f t="shared" ca="1" si="559"/>
        <v>0</v>
      </c>
      <c r="CH1220" s="10" t="str">
        <f>分析データ!A1220</f>
        <v/>
      </c>
    </row>
    <row r="1221" spans="46:86">
      <c r="AT1221">
        <f ca="1">IF(ROW()&lt;($C$7+1),"",IFERROR((分析データ!B1221-AVERAGE(OFFSET(分析データ!B$1,MAX(1,ROW()-$C$7),0,MIN($C$7,ROW()-1),1)))/STDEV(OFFSET(分析データ!B$1,MAX(1,ROW()-$C$7),0,MIN($C$7,ROW()-1),1)),0))</f>
        <v>0</v>
      </c>
      <c r="AU1221">
        <f t="shared" ca="1" si="532"/>
        <v>0</v>
      </c>
      <c r="AV1221" t="str">
        <f ca="1">IF(AU1221=1,IF(INDEX(分析データ!$A:$A,ROW()+$C$5)&lt;&gt;"",80000*SIGN(AT1221)*(分析データ!B1221-INDEX(分析データ!B:B,ROW()+$C$5)),""),"")</f>
        <v/>
      </c>
      <c r="AW1221">
        <f t="shared" ca="1" si="533"/>
        <v>-1240000.0000000019</v>
      </c>
      <c r="AX1221">
        <f t="shared" ca="1" si="534"/>
        <v>0</v>
      </c>
      <c r="AY1221">
        <f t="shared" ca="1" si="535"/>
        <v>-1240000.0000000019</v>
      </c>
      <c r="AZ1221">
        <f ca="1">IF(ROW()&lt;($C$7+1),"",IFERROR((分析データ!C1221-AVERAGE(OFFSET(分析データ!C$1,MAX(1,ROW()-$C$7),0,MIN($C$7,ROW()-1),1)))/STDEV(OFFSET(分析データ!C$1,MAX(1,ROW()-$C$7),0,MIN($C$7,ROW()-1),1)),0))</f>
        <v>0</v>
      </c>
      <c r="BA1221">
        <f t="shared" ca="1" si="536"/>
        <v>0</v>
      </c>
      <c r="BB1221" t="str">
        <f ca="1">IF(BA1221=1,IF(INDEX(分析データ!$A:$A,ROW()+$C$5)&lt;&gt;"",60000*SIGN(AZ1221)*(分析データ!C1221-INDEX(分析データ!C:C,ROW()+$C$5)),""),"")</f>
        <v/>
      </c>
      <c r="BC1221">
        <f t="shared" ca="1" si="537"/>
        <v>-260999.9999999851</v>
      </c>
      <c r="BD1221">
        <f t="shared" ca="1" si="538"/>
        <v>3156000.0000000107</v>
      </c>
      <c r="BE1221">
        <f t="shared" ca="1" si="539"/>
        <v>-3416999.9999999958</v>
      </c>
      <c r="BF1221">
        <f ca="1">IF(ROW()&lt;($C$7+1),"",IFERROR((分析データ!D1221-AVERAGE(OFFSET(分析データ!D$1,MAX(1,ROW()-$C$7),0,MIN($C$7,ROW()-1),1)))/STDEV(OFFSET(分析データ!D$1,MAX(1,ROW()-$C$7),0,MIN($C$7,ROW()-1),1)),0))</f>
        <v>0</v>
      </c>
      <c r="BG1221">
        <f t="shared" ca="1" si="540"/>
        <v>0</v>
      </c>
      <c r="BH1221" t="str">
        <f ca="1">IF(BG1221=1,IF(INDEX(分析データ!$A:$A,ROW()+$C$5)&lt;&gt;"",50000*SIGN(BF1221)*(分析データ!D1221-INDEX(分析データ!D:D,ROW()+$C$5)),""),"")</f>
        <v/>
      </c>
      <c r="BI1221">
        <f t="shared" ca="1" si="541"/>
        <v>5570000.0000000205</v>
      </c>
      <c r="BJ1221">
        <f t="shared" ca="1" si="542"/>
        <v>5570000.0000000205</v>
      </c>
      <c r="BK1221">
        <f t="shared" ca="1" si="543"/>
        <v>0</v>
      </c>
      <c r="BL1221">
        <f ca="1">IF(ROW()&lt;($C$7+1),"",IFERROR((分析データ!E1221-AVERAGE(OFFSET(分析データ!E$1,MAX(1,ROW()-$C$7),0,MIN($C$7,ROW()-1),1)))/STDEV(OFFSET(分析データ!E$1,MAX(1,ROW()-$C$7),0,MIN($C$7,ROW()-1),1)),0))</f>
        <v>0</v>
      </c>
      <c r="BM1221">
        <f t="shared" ca="1" si="544"/>
        <v>0</v>
      </c>
      <c r="BN1221" t="str">
        <f ca="1">IF(BM1221=1,IF(INDEX(分析データ!$A:$A,ROW()+$C$5)&lt;&gt;"",40000*SIGN(BL1221)*(分析データ!E1221-INDEX(分析データ!E:E,ROW()+$C$5)),""),"")</f>
        <v/>
      </c>
      <c r="BO1221">
        <f t="shared" ca="1" si="545"/>
        <v>2720000.0000000014</v>
      </c>
      <c r="BP1221">
        <f t="shared" ca="1" si="546"/>
        <v>4280000.0000000028</v>
      </c>
      <c r="BQ1221">
        <f t="shared" ca="1" si="547"/>
        <v>-1560000.0000000014</v>
      </c>
      <c r="BR1221">
        <f ca="1">IF(ROW()&lt;($C$7+1),"",IFERROR((分析データ!F1221-AVERAGE(OFFSET(分析データ!F$1,MAX(1,ROW()-$C$7),0,MIN($C$7,ROW()-1),1)))/STDEV(OFFSET(分析データ!F$1,MAX(1,ROW()-$C$7),0,MIN($C$7,ROW()-1),1)),0))</f>
        <v>0</v>
      </c>
      <c r="BS1221">
        <f t="shared" ca="1" si="548"/>
        <v>0</v>
      </c>
      <c r="BT1221" t="str">
        <f ca="1">IF(BS1221=1,IF(INDEX(分析データ!$A:$A,ROW()+$C$5)&lt;&gt;"",40000*SIGN(BR1221)*(分析データ!F1221-INDEX(分析データ!F:F,ROW()+$C$5)),""),"")</f>
        <v/>
      </c>
      <c r="BU1221">
        <f t="shared" ca="1" si="549"/>
        <v>19816800</v>
      </c>
      <c r="BV1221">
        <f t="shared" ca="1" si="550"/>
        <v>19816800</v>
      </c>
      <c r="BW1221">
        <f t="shared" ca="1" si="551"/>
        <v>0</v>
      </c>
      <c r="BX1221">
        <f ca="1">IF(ROW()&lt;($C$7+1),"",IFERROR((分析データ!G1221-AVERAGE(OFFSET(分析データ!G$1,MAX(1,ROW()-$C$7),0,MIN($C$7,ROW()-1),1)))/STDEV(OFFSET(分析データ!G$1,MAX(1,ROW()-$C$7),0,MIN($C$7,ROW()-1),1)),0))</f>
        <v>0</v>
      </c>
      <c r="BY1221">
        <f t="shared" ca="1" si="552"/>
        <v>0</v>
      </c>
      <c r="BZ1221" t="str">
        <f ca="1">IF(BY1221=1,IF(INDEX(分析データ!$A:$A,ROW()+$C$5)&lt;&gt;"",40000*SIGN(BX1221)*(分析データ!G1221-INDEX(分析データ!G:G,ROW()+$C$5)),""),"")</f>
        <v/>
      </c>
      <c r="CA1221">
        <f t="shared" ca="1" si="553"/>
        <v>-3515452.8662109179</v>
      </c>
      <c r="CB1221">
        <f t="shared" ca="1" si="554"/>
        <v>11327520.000000004</v>
      </c>
      <c r="CC1221">
        <f t="shared" ca="1" si="555"/>
        <v>-14842972.866210923</v>
      </c>
      <c r="CD1221">
        <f t="shared" ca="1" si="556"/>
        <v>0</v>
      </c>
      <c r="CE1221">
        <f t="shared" ca="1" si="557"/>
        <v>23090347.13378913</v>
      </c>
      <c r="CF1221">
        <f t="shared" ca="1" si="558"/>
        <v>23090347.13378913</v>
      </c>
      <c r="CG1221">
        <f t="shared" ca="1" si="559"/>
        <v>0</v>
      </c>
      <c r="CH1221" s="10" t="str">
        <f>分析データ!A1221</f>
        <v/>
      </c>
    </row>
    <row r="1222" spans="46:86">
      <c r="AT1222">
        <f ca="1">IF(ROW()&lt;($C$7+1),"",IFERROR((分析データ!B1222-AVERAGE(OFFSET(分析データ!B$1,MAX(1,ROW()-$C$7),0,MIN($C$7,ROW()-1),1)))/STDEV(OFFSET(分析データ!B$1,MAX(1,ROW()-$C$7),0,MIN($C$7,ROW()-1),1)),0))</f>
        <v>0</v>
      </c>
      <c r="AU1222">
        <f t="shared" ca="1" si="532"/>
        <v>0</v>
      </c>
      <c r="AV1222" t="str">
        <f ca="1">IF(AU1222=1,IF(INDEX(分析データ!$A:$A,ROW()+$C$5)&lt;&gt;"",80000*SIGN(AT1222)*(分析データ!B1222-INDEX(分析データ!B:B,ROW()+$C$5)),""),"")</f>
        <v/>
      </c>
      <c r="AW1222">
        <f t="shared" ca="1" si="533"/>
        <v>-1240000.0000000019</v>
      </c>
      <c r="AX1222">
        <f t="shared" ca="1" si="534"/>
        <v>0</v>
      </c>
      <c r="AY1222">
        <f t="shared" ca="1" si="535"/>
        <v>-1240000.0000000019</v>
      </c>
      <c r="AZ1222">
        <f ca="1">IF(ROW()&lt;($C$7+1),"",IFERROR((分析データ!C1222-AVERAGE(OFFSET(分析データ!C$1,MAX(1,ROW()-$C$7),0,MIN($C$7,ROW()-1),1)))/STDEV(OFFSET(分析データ!C$1,MAX(1,ROW()-$C$7),0,MIN($C$7,ROW()-1),1)),0))</f>
        <v>0</v>
      </c>
      <c r="BA1222">
        <f t="shared" ca="1" si="536"/>
        <v>0</v>
      </c>
      <c r="BB1222" t="str">
        <f ca="1">IF(BA1222=1,IF(INDEX(分析データ!$A:$A,ROW()+$C$5)&lt;&gt;"",60000*SIGN(AZ1222)*(分析データ!C1222-INDEX(分析データ!C:C,ROW()+$C$5)),""),"")</f>
        <v/>
      </c>
      <c r="BC1222">
        <f t="shared" ca="1" si="537"/>
        <v>-260999.9999999851</v>
      </c>
      <c r="BD1222">
        <f t="shared" ca="1" si="538"/>
        <v>3156000.0000000107</v>
      </c>
      <c r="BE1222">
        <f t="shared" ca="1" si="539"/>
        <v>-3416999.9999999958</v>
      </c>
      <c r="BF1222">
        <f ca="1">IF(ROW()&lt;($C$7+1),"",IFERROR((分析データ!D1222-AVERAGE(OFFSET(分析データ!D$1,MAX(1,ROW()-$C$7),0,MIN($C$7,ROW()-1),1)))/STDEV(OFFSET(分析データ!D$1,MAX(1,ROW()-$C$7),0,MIN($C$7,ROW()-1),1)),0))</f>
        <v>0</v>
      </c>
      <c r="BG1222">
        <f t="shared" ca="1" si="540"/>
        <v>0</v>
      </c>
      <c r="BH1222" t="str">
        <f ca="1">IF(BG1222=1,IF(INDEX(分析データ!$A:$A,ROW()+$C$5)&lt;&gt;"",50000*SIGN(BF1222)*(分析データ!D1222-INDEX(分析データ!D:D,ROW()+$C$5)),""),"")</f>
        <v/>
      </c>
      <c r="BI1222">
        <f t="shared" ca="1" si="541"/>
        <v>5570000.0000000205</v>
      </c>
      <c r="BJ1222">
        <f t="shared" ca="1" si="542"/>
        <v>5570000.0000000205</v>
      </c>
      <c r="BK1222">
        <f t="shared" ca="1" si="543"/>
        <v>0</v>
      </c>
      <c r="BL1222">
        <f ca="1">IF(ROW()&lt;($C$7+1),"",IFERROR((分析データ!E1222-AVERAGE(OFFSET(分析データ!E$1,MAX(1,ROW()-$C$7),0,MIN($C$7,ROW()-1),1)))/STDEV(OFFSET(分析データ!E$1,MAX(1,ROW()-$C$7),0,MIN($C$7,ROW()-1),1)),0))</f>
        <v>0</v>
      </c>
      <c r="BM1222">
        <f t="shared" ca="1" si="544"/>
        <v>0</v>
      </c>
      <c r="BN1222" t="str">
        <f ca="1">IF(BM1222=1,IF(INDEX(分析データ!$A:$A,ROW()+$C$5)&lt;&gt;"",40000*SIGN(BL1222)*(分析データ!E1222-INDEX(分析データ!E:E,ROW()+$C$5)),""),"")</f>
        <v/>
      </c>
      <c r="BO1222">
        <f t="shared" ca="1" si="545"/>
        <v>2720000.0000000014</v>
      </c>
      <c r="BP1222">
        <f t="shared" ca="1" si="546"/>
        <v>4280000.0000000028</v>
      </c>
      <c r="BQ1222">
        <f t="shared" ca="1" si="547"/>
        <v>-1560000.0000000014</v>
      </c>
      <c r="BR1222">
        <f ca="1">IF(ROW()&lt;($C$7+1),"",IFERROR((分析データ!F1222-AVERAGE(OFFSET(分析データ!F$1,MAX(1,ROW()-$C$7),0,MIN($C$7,ROW()-1),1)))/STDEV(OFFSET(分析データ!F$1,MAX(1,ROW()-$C$7),0,MIN($C$7,ROW()-1),1)),0))</f>
        <v>0</v>
      </c>
      <c r="BS1222">
        <f t="shared" ca="1" si="548"/>
        <v>0</v>
      </c>
      <c r="BT1222" t="str">
        <f ca="1">IF(BS1222=1,IF(INDEX(分析データ!$A:$A,ROW()+$C$5)&lt;&gt;"",40000*SIGN(BR1222)*(分析データ!F1222-INDEX(分析データ!F:F,ROW()+$C$5)),""),"")</f>
        <v/>
      </c>
      <c r="BU1222">
        <f t="shared" ca="1" si="549"/>
        <v>19816800</v>
      </c>
      <c r="BV1222">
        <f t="shared" ca="1" si="550"/>
        <v>19816800</v>
      </c>
      <c r="BW1222">
        <f t="shared" ca="1" si="551"/>
        <v>0</v>
      </c>
      <c r="BX1222">
        <f ca="1">IF(ROW()&lt;($C$7+1),"",IFERROR((分析データ!G1222-AVERAGE(OFFSET(分析データ!G$1,MAX(1,ROW()-$C$7),0,MIN($C$7,ROW()-1),1)))/STDEV(OFFSET(分析データ!G$1,MAX(1,ROW()-$C$7),0,MIN($C$7,ROW()-1),1)),0))</f>
        <v>0</v>
      </c>
      <c r="BY1222">
        <f t="shared" ca="1" si="552"/>
        <v>0</v>
      </c>
      <c r="BZ1222" t="str">
        <f ca="1">IF(BY1222=1,IF(INDEX(分析データ!$A:$A,ROW()+$C$5)&lt;&gt;"",40000*SIGN(BX1222)*(分析データ!G1222-INDEX(分析データ!G:G,ROW()+$C$5)),""),"")</f>
        <v/>
      </c>
      <c r="CA1222">
        <f t="shared" ca="1" si="553"/>
        <v>-3515452.8662109179</v>
      </c>
      <c r="CB1222">
        <f t="shared" ca="1" si="554"/>
        <v>11327520.000000004</v>
      </c>
      <c r="CC1222">
        <f t="shared" ca="1" si="555"/>
        <v>-14842972.866210923</v>
      </c>
      <c r="CD1222">
        <f t="shared" ca="1" si="556"/>
        <v>0</v>
      </c>
      <c r="CE1222">
        <f t="shared" ca="1" si="557"/>
        <v>23090347.13378913</v>
      </c>
      <c r="CF1222">
        <f t="shared" ca="1" si="558"/>
        <v>23090347.13378913</v>
      </c>
      <c r="CG1222">
        <f t="shared" ca="1" si="559"/>
        <v>0</v>
      </c>
      <c r="CH1222" s="10" t="str">
        <f>分析データ!A1222</f>
        <v/>
      </c>
    </row>
    <row r="1223" spans="46:86">
      <c r="AT1223">
        <f ca="1">IF(ROW()&lt;($C$7+1),"",IFERROR((分析データ!B1223-AVERAGE(OFFSET(分析データ!B$1,MAX(1,ROW()-$C$7),0,MIN($C$7,ROW()-1),1)))/STDEV(OFFSET(分析データ!B$1,MAX(1,ROW()-$C$7),0,MIN($C$7,ROW()-1),1)),0))</f>
        <v>0</v>
      </c>
      <c r="AU1223">
        <f t="shared" ca="1" si="532"/>
        <v>0</v>
      </c>
      <c r="AV1223" t="str">
        <f ca="1">IF(AU1223=1,IF(INDEX(分析データ!$A:$A,ROW()+$C$5)&lt;&gt;"",80000*SIGN(AT1223)*(分析データ!B1223-INDEX(分析データ!B:B,ROW()+$C$5)),""),"")</f>
        <v/>
      </c>
      <c r="AW1223">
        <f t="shared" ca="1" si="533"/>
        <v>-1240000.0000000019</v>
      </c>
      <c r="AX1223">
        <f t="shared" ca="1" si="534"/>
        <v>0</v>
      </c>
      <c r="AY1223">
        <f t="shared" ca="1" si="535"/>
        <v>-1240000.0000000019</v>
      </c>
      <c r="AZ1223">
        <f ca="1">IF(ROW()&lt;($C$7+1),"",IFERROR((分析データ!C1223-AVERAGE(OFFSET(分析データ!C$1,MAX(1,ROW()-$C$7),0,MIN($C$7,ROW()-1),1)))/STDEV(OFFSET(分析データ!C$1,MAX(1,ROW()-$C$7),0,MIN($C$7,ROW()-1),1)),0))</f>
        <v>0</v>
      </c>
      <c r="BA1223">
        <f t="shared" ca="1" si="536"/>
        <v>0</v>
      </c>
      <c r="BB1223" t="str">
        <f ca="1">IF(BA1223=1,IF(INDEX(分析データ!$A:$A,ROW()+$C$5)&lt;&gt;"",60000*SIGN(AZ1223)*(分析データ!C1223-INDEX(分析データ!C:C,ROW()+$C$5)),""),"")</f>
        <v/>
      </c>
      <c r="BC1223">
        <f t="shared" ca="1" si="537"/>
        <v>-260999.9999999851</v>
      </c>
      <c r="BD1223">
        <f t="shared" ca="1" si="538"/>
        <v>3156000.0000000107</v>
      </c>
      <c r="BE1223">
        <f t="shared" ca="1" si="539"/>
        <v>-3416999.9999999958</v>
      </c>
      <c r="BF1223">
        <f ca="1">IF(ROW()&lt;($C$7+1),"",IFERROR((分析データ!D1223-AVERAGE(OFFSET(分析データ!D$1,MAX(1,ROW()-$C$7),0,MIN($C$7,ROW()-1),1)))/STDEV(OFFSET(分析データ!D$1,MAX(1,ROW()-$C$7),0,MIN($C$7,ROW()-1),1)),0))</f>
        <v>0</v>
      </c>
      <c r="BG1223">
        <f t="shared" ca="1" si="540"/>
        <v>0</v>
      </c>
      <c r="BH1223" t="str">
        <f ca="1">IF(BG1223=1,IF(INDEX(分析データ!$A:$A,ROW()+$C$5)&lt;&gt;"",50000*SIGN(BF1223)*(分析データ!D1223-INDEX(分析データ!D:D,ROW()+$C$5)),""),"")</f>
        <v/>
      </c>
      <c r="BI1223">
        <f t="shared" ca="1" si="541"/>
        <v>5570000.0000000205</v>
      </c>
      <c r="BJ1223">
        <f t="shared" ca="1" si="542"/>
        <v>5570000.0000000205</v>
      </c>
      <c r="BK1223">
        <f t="shared" ca="1" si="543"/>
        <v>0</v>
      </c>
      <c r="BL1223">
        <f ca="1">IF(ROW()&lt;($C$7+1),"",IFERROR((分析データ!E1223-AVERAGE(OFFSET(分析データ!E$1,MAX(1,ROW()-$C$7),0,MIN($C$7,ROW()-1),1)))/STDEV(OFFSET(分析データ!E$1,MAX(1,ROW()-$C$7),0,MIN($C$7,ROW()-1),1)),0))</f>
        <v>0</v>
      </c>
      <c r="BM1223">
        <f t="shared" ca="1" si="544"/>
        <v>0</v>
      </c>
      <c r="BN1223" t="str">
        <f ca="1">IF(BM1223=1,IF(INDEX(分析データ!$A:$A,ROW()+$C$5)&lt;&gt;"",40000*SIGN(BL1223)*(分析データ!E1223-INDEX(分析データ!E:E,ROW()+$C$5)),""),"")</f>
        <v/>
      </c>
      <c r="BO1223">
        <f t="shared" ca="1" si="545"/>
        <v>2720000.0000000014</v>
      </c>
      <c r="BP1223">
        <f t="shared" ca="1" si="546"/>
        <v>4280000.0000000028</v>
      </c>
      <c r="BQ1223">
        <f t="shared" ca="1" si="547"/>
        <v>-1560000.0000000014</v>
      </c>
      <c r="BR1223">
        <f ca="1">IF(ROW()&lt;($C$7+1),"",IFERROR((分析データ!F1223-AVERAGE(OFFSET(分析データ!F$1,MAX(1,ROW()-$C$7),0,MIN($C$7,ROW()-1),1)))/STDEV(OFFSET(分析データ!F$1,MAX(1,ROW()-$C$7),0,MIN($C$7,ROW()-1),1)),0))</f>
        <v>0</v>
      </c>
      <c r="BS1223">
        <f t="shared" ca="1" si="548"/>
        <v>0</v>
      </c>
      <c r="BT1223" t="str">
        <f ca="1">IF(BS1223=1,IF(INDEX(分析データ!$A:$A,ROW()+$C$5)&lt;&gt;"",40000*SIGN(BR1223)*(分析データ!F1223-INDEX(分析データ!F:F,ROW()+$C$5)),""),"")</f>
        <v/>
      </c>
      <c r="BU1223">
        <f t="shared" ca="1" si="549"/>
        <v>19816800</v>
      </c>
      <c r="BV1223">
        <f t="shared" ca="1" si="550"/>
        <v>19816800</v>
      </c>
      <c r="BW1223">
        <f t="shared" ca="1" si="551"/>
        <v>0</v>
      </c>
      <c r="BX1223">
        <f ca="1">IF(ROW()&lt;($C$7+1),"",IFERROR((分析データ!G1223-AVERAGE(OFFSET(分析データ!G$1,MAX(1,ROW()-$C$7),0,MIN($C$7,ROW()-1),1)))/STDEV(OFFSET(分析データ!G$1,MAX(1,ROW()-$C$7),0,MIN($C$7,ROW()-1),1)),0))</f>
        <v>0</v>
      </c>
      <c r="BY1223">
        <f t="shared" ca="1" si="552"/>
        <v>0</v>
      </c>
      <c r="BZ1223" t="str">
        <f ca="1">IF(BY1223=1,IF(INDEX(分析データ!$A:$A,ROW()+$C$5)&lt;&gt;"",40000*SIGN(BX1223)*(分析データ!G1223-INDEX(分析データ!G:G,ROW()+$C$5)),""),"")</f>
        <v/>
      </c>
      <c r="CA1223">
        <f t="shared" ca="1" si="553"/>
        <v>-3515452.8662109179</v>
      </c>
      <c r="CB1223">
        <f t="shared" ca="1" si="554"/>
        <v>11327520.000000004</v>
      </c>
      <c r="CC1223">
        <f t="shared" ca="1" si="555"/>
        <v>-14842972.866210923</v>
      </c>
      <c r="CD1223">
        <f t="shared" ca="1" si="556"/>
        <v>0</v>
      </c>
      <c r="CE1223">
        <f t="shared" ca="1" si="557"/>
        <v>23090347.13378913</v>
      </c>
      <c r="CF1223">
        <f t="shared" ca="1" si="558"/>
        <v>23090347.13378913</v>
      </c>
      <c r="CG1223">
        <f t="shared" ca="1" si="559"/>
        <v>0</v>
      </c>
      <c r="CH1223" s="10" t="str">
        <f>分析データ!A1223</f>
        <v/>
      </c>
    </row>
    <row r="1224" spans="46:86">
      <c r="AT1224">
        <f ca="1">IF(ROW()&lt;($C$7+1),"",IFERROR((分析データ!B1224-AVERAGE(OFFSET(分析データ!B$1,MAX(1,ROW()-$C$7),0,MIN($C$7,ROW()-1),1)))/STDEV(OFFSET(分析データ!B$1,MAX(1,ROW()-$C$7),0,MIN($C$7,ROW()-1),1)),0))</f>
        <v>0</v>
      </c>
      <c r="AU1224">
        <f t="shared" ca="1" si="532"/>
        <v>0</v>
      </c>
      <c r="AV1224" t="str">
        <f ca="1">IF(AU1224=1,IF(INDEX(分析データ!$A:$A,ROW()+$C$5)&lt;&gt;"",80000*SIGN(AT1224)*(分析データ!B1224-INDEX(分析データ!B:B,ROW()+$C$5)),""),"")</f>
        <v/>
      </c>
      <c r="AW1224">
        <f t="shared" ca="1" si="533"/>
        <v>-1240000.0000000019</v>
      </c>
      <c r="AX1224">
        <f t="shared" ca="1" si="534"/>
        <v>0</v>
      </c>
      <c r="AY1224">
        <f t="shared" ca="1" si="535"/>
        <v>-1240000.0000000019</v>
      </c>
      <c r="AZ1224">
        <f ca="1">IF(ROW()&lt;($C$7+1),"",IFERROR((分析データ!C1224-AVERAGE(OFFSET(分析データ!C$1,MAX(1,ROW()-$C$7),0,MIN($C$7,ROW()-1),1)))/STDEV(OFFSET(分析データ!C$1,MAX(1,ROW()-$C$7),0,MIN($C$7,ROW()-1),1)),0))</f>
        <v>0</v>
      </c>
      <c r="BA1224">
        <f t="shared" ca="1" si="536"/>
        <v>0</v>
      </c>
      <c r="BB1224" t="str">
        <f ca="1">IF(BA1224=1,IF(INDEX(分析データ!$A:$A,ROW()+$C$5)&lt;&gt;"",60000*SIGN(AZ1224)*(分析データ!C1224-INDEX(分析データ!C:C,ROW()+$C$5)),""),"")</f>
        <v/>
      </c>
      <c r="BC1224">
        <f t="shared" ca="1" si="537"/>
        <v>-260999.9999999851</v>
      </c>
      <c r="BD1224">
        <f t="shared" ca="1" si="538"/>
        <v>3156000.0000000107</v>
      </c>
      <c r="BE1224">
        <f t="shared" ca="1" si="539"/>
        <v>-3416999.9999999958</v>
      </c>
      <c r="BF1224">
        <f ca="1">IF(ROW()&lt;($C$7+1),"",IFERROR((分析データ!D1224-AVERAGE(OFFSET(分析データ!D$1,MAX(1,ROW()-$C$7),0,MIN($C$7,ROW()-1),1)))/STDEV(OFFSET(分析データ!D$1,MAX(1,ROW()-$C$7),0,MIN($C$7,ROW()-1),1)),0))</f>
        <v>0</v>
      </c>
      <c r="BG1224">
        <f t="shared" ca="1" si="540"/>
        <v>0</v>
      </c>
      <c r="BH1224" t="str">
        <f ca="1">IF(BG1224=1,IF(INDEX(分析データ!$A:$A,ROW()+$C$5)&lt;&gt;"",50000*SIGN(BF1224)*(分析データ!D1224-INDEX(分析データ!D:D,ROW()+$C$5)),""),"")</f>
        <v/>
      </c>
      <c r="BI1224">
        <f t="shared" ca="1" si="541"/>
        <v>5570000.0000000205</v>
      </c>
      <c r="BJ1224">
        <f t="shared" ca="1" si="542"/>
        <v>5570000.0000000205</v>
      </c>
      <c r="BK1224">
        <f t="shared" ca="1" si="543"/>
        <v>0</v>
      </c>
      <c r="BL1224">
        <f ca="1">IF(ROW()&lt;($C$7+1),"",IFERROR((分析データ!E1224-AVERAGE(OFFSET(分析データ!E$1,MAX(1,ROW()-$C$7),0,MIN($C$7,ROW()-1),1)))/STDEV(OFFSET(分析データ!E$1,MAX(1,ROW()-$C$7),0,MIN($C$7,ROW()-1),1)),0))</f>
        <v>0</v>
      </c>
      <c r="BM1224">
        <f t="shared" ca="1" si="544"/>
        <v>0</v>
      </c>
      <c r="BN1224" t="str">
        <f ca="1">IF(BM1224=1,IF(INDEX(分析データ!$A:$A,ROW()+$C$5)&lt;&gt;"",40000*SIGN(BL1224)*(分析データ!E1224-INDEX(分析データ!E:E,ROW()+$C$5)),""),"")</f>
        <v/>
      </c>
      <c r="BO1224">
        <f t="shared" ca="1" si="545"/>
        <v>2720000.0000000014</v>
      </c>
      <c r="BP1224">
        <f t="shared" ca="1" si="546"/>
        <v>4280000.0000000028</v>
      </c>
      <c r="BQ1224">
        <f t="shared" ca="1" si="547"/>
        <v>-1560000.0000000014</v>
      </c>
      <c r="BR1224">
        <f ca="1">IF(ROW()&lt;($C$7+1),"",IFERROR((分析データ!F1224-AVERAGE(OFFSET(分析データ!F$1,MAX(1,ROW()-$C$7),0,MIN($C$7,ROW()-1),1)))/STDEV(OFFSET(分析データ!F$1,MAX(1,ROW()-$C$7),0,MIN($C$7,ROW()-1),1)),0))</f>
        <v>0</v>
      </c>
      <c r="BS1224">
        <f t="shared" ca="1" si="548"/>
        <v>0</v>
      </c>
      <c r="BT1224" t="str">
        <f ca="1">IF(BS1224=1,IF(INDEX(分析データ!$A:$A,ROW()+$C$5)&lt;&gt;"",40000*SIGN(BR1224)*(分析データ!F1224-INDEX(分析データ!F:F,ROW()+$C$5)),""),"")</f>
        <v/>
      </c>
      <c r="BU1224">
        <f t="shared" ca="1" si="549"/>
        <v>19816800</v>
      </c>
      <c r="BV1224">
        <f t="shared" ca="1" si="550"/>
        <v>19816800</v>
      </c>
      <c r="BW1224">
        <f t="shared" ca="1" si="551"/>
        <v>0</v>
      </c>
      <c r="BX1224">
        <f ca="1">IF(ROW()&lt;($C$7+1),"",IFERROR((分析データ!G1224-AVERAGE(OFFSET(分析データ!G$1,MAX(1,ROW()-$C$7),0,MIN($C$7,ROW()-1),1)))/STDEV(OFFSET(分析データ!G$1,MAX(1,ROW()-$C$7),0,MIN($C$7,ROW()-1),1)),0))</f>
        <v>0</v>
      </c>
      <c r="BY1224">
        <f t="shared" ca="1" si="552"/>
        <v>0</v>
      </c>
      <c r="BZ1224" t="str">
        <f ca="1">IF(BY1224=1,IF(INDEX(分析データ!$A:$A,ROW()+$C$5)&lt;&gt;"",40000*SIGN(BX1224)*(分析データ!G1224-INDEX(分析データ!G:G,ROW()+$C$5)),""),"")</f>
        <v/>
      </c>
      <c r="CA1224">
        <f t="shared" ca="1" si="553"/>
        <v>-3515452.8662109179</v>
      </c>
      <c r="CB1224">
        <f t="shared" ca="1" si="554"/>
        <v>11327520.000000004</v>
      </c>
      <c r="CC1224">
        <f t="shared" ca="1" si="555"/>
        <v>-14842972.866210923</v>
      </c>
      <c r="CD1224">
        <f t="shared" ca="1" si="556"/>
        <v>0</v>
      </c>
      <c r="CE1224">
        <f t="shared" ca="1" si="557"/>
        <v>23090347.13378913</v>
      </c>
      <c r="CF1224">
        <f t="shared" ca="1" si="558"/>
        <v>23090347.13378913</v>
      </c>
      <c r="CG1224">
        <f t="shared" ca="1" si="559"/>
        <v>0</v>
      </c>
      <c r="CH1224" s="10" t="str">
        <f>分析データ!A1224</f>
        <v/>
      </c>
    </row>
    <row r="1225" spans="46:86">
      <c r="AT1225">
        <f ca="1">IF(ROW()&lt;($C$7+1),"",IFERROR((分析データ!B1225-AVERAGE(OFFSET(分析データ!B$1,MAX(1,ROW()-$C$7),0,MIN($C$7,ROW()-1),1)))/STDEV(OFFSET(分析データ!B$1,MAX(1,ROW()-$C$7),0,MIN($C$7,ROW()-1),1)),0))</f>
        <v>0</v>
      </c>
      <c r="AU1225">
        <f t="shared" ca="1" si="532"/>
        <v>0</v>
      </c>
      <c r="AV1225" t="str">
        <f ca="1">IF(AU1225=1,IF(INDEX(分析データ!$A:$A,ROW()+$C$5)&lt;&gt;"",80000*SIGN(AT1225)*(分析データ!B1225-INDEX(分析データ!B:B,ROW()+$C$5)),""),"")</f>
        <v/>
      </c>
      <c r="AW1225">
        <f t="shared" ca="1" si="533"/>
        <v>-1240000.0000000019</v>
      </c>
      <c r="AX1225">
        <f t="shared" ca="1" si="534"/>
        <v>0</v>
      </c>
      <c r="AY1225">
        <f t="shared" ca="1" si="535"/>
        <v>-1240000.0000000019</v>
      </c>
      <c r="AZ1225">
        <f ca="1">IF(ROW()&lt;($C$7+1),"",IFERROR((分析データ!C1225-AVERAGE(OFFSET(分析データ!C$1,MAX(1,ROW()-$C$7),0,MIN($C$7,ROW()-1),1)))/STDEV(OFFSET(分析データ!C$1,MAX(1,ROW()-$C$7),0,MIN($C$7,ROW()-1),1)),0))</f>
        <v>0</v>
      </c>
      <c r="BA1225">
        <f t="shared" ca="1" si="536"/>
        <v>0</v>
      </c>
      <c r="BB1225" t="str">
        <f ca="1">IF(BA1225=1,IF(INDEX(分析データ!$A:$A,ROW()+$C$5)&lt;&gt;"",60000*SIGN(AZ1225)*(分析データ!C1225-INDEX(分析データ!C:C,ROW()+$C$5)),""),"")</f>
        <v/>
      </c>
      <c r="BC1225">
        <f t="shared" ca="1" si="537"/>
        <v>-260999.9999999851</v>
      </c>
      <c r="BD1225">
        <f t="shared" ca="1" si="538"/>
        <v>3156000.0000000107</v>
      </c>
      <c r="BE1225">
        <f t="shared" ca="1" si="539"/>
        <v>-3416999.9999999958</v>
      </c>
      <c r="BF1225">
        <f ca="1">IF(ROW()&lt;($C$7+1),"",IFERROR((分析データ!D1225-AVERAGE(OFFSET(分析データ!D$1,MAX(1,ROW()-$C$7),0,MIN($C$7,ROW()-1),1)))/STDEV(OFFSET(分析データ!D$1,MAX(1,ROW()-$C$7),0,MIN($C$7,ROW()-1),1)),0))</f>
        <v>0</v>
      </c>
      <c r="BG1225">
        <f t="shared" ca="1" si="540"/>
        <v>0</v>
      </c>
      <c r="BH1225" t="str">
        <f ca="1">IF(BG1225=1,IF(INDEX(分析データ!$A:$A,ROW()+$C$5)&lt;&gt;"",50000*SIGN(BF1225)*(分析データ!D1225-INDEX(分析データ!D:D,ROW()+$C$5)),""),"")</f>
        <v/>
      </c>
      <c r="BI1225">
        <f t="shared" ca="1" si="541"/>
        <v>5570000.0000000205</v>
      </c>
      <c r="BJ1225">
        <f t="shared" ca="1" si="542"/>
        <v>5570000.0000000205</v>
      </c>
      <c r="BK1225">
        <f t="shared" ca="1" si="543"/>
        <v>0</v>
      </c>
      <c r="BL1225">
        <f ca="1">IF(ROW()&lt;($C$7+1),"",IFERROR((分析データ!E1225-AVERAGE(OFFSET(分析データ!E$1,MAX(1,ROW()-$C$7),0,MIN($C$7,ROW()-1),1)))/STDEV(OFFSET(分析データ!E$1,MAX(1,ROW()-$C$7),0,MIN($C$7,ROW()-1),1)),0))</f>
        <v>0</v>
      </c>
      <c r="BM1225">
        <f t="shared" ca="1" si="544"/>
        <v>0</v>
      </c>
      <c r="BN1225" t="str">
        <f ca="1">IF(BM1225=1,IF(INDEX(分析データ!$A:$A,ROW()+$C$5)&lt;&gt;"",40000*SIGN(BL1225)*(分析データ!E1225-INDEX(分析データ!E:E,ROW()+$C$5)),""),"")</f>
        <v/>
      </c>
      <c r="BO1225">
        <f t="shared" ca="1" si="545"/>
        <v>2720000.0000000014</v>
      </c>
      <c r="BP1225">
        <f t="shared" ca="1" si="546"/>
        <v>4280000.0000000028</v>
      </c>
      <c r="BQ1225">
        <f t="shared" ca="1" si="547"/>
        <v>-1560000.0000000014</v>
      </c>
      <c r="BR1225">
        <f ca="1">IF(ROW()&lt;($C$7+1),"",IFERROR((分析データ!F1225-AVERAGE(OFFSET(分析データ!F$1,MAX(1,ROW()-$C$7),0,MIN($C$7,ROW()-1),1)))/STDEV(OFFSET(分析データ!F$1,MAX(1,ROW()-$C$7),0,MIN($C$7,ROW()-1),1)),0))</f>
        <v>0</v>
      </c>
      <c r="BS1225">
        <f t="shared" ca="1" si="548"/>
        <v>0</v>
      </c>
      <c r="BT1225" t="str">
        <f ca="1">IF(BS1225=1,IF(INDEX(分析データ!$A:$A,ROW()+$C$5)&lt;&gt;"",40000*SIGN(BR1225)*(分析データ!F1225-INDEX(分析データ!F:F,ROW()+$C$5)),""),"")</f>
        <v/>
      </c>
      <c r="BU1225">
        <f t="shared" ca="1" si="549"/>
        <v>19816800</v>
      </c>
      <c r="BV1225">
        <f t="shared" ca="1" si="550"/>
        <v>19816800</v>
      </c>
      <c r="BW1225">
        <f t="shared" ca="1" si="551"/>
        <v>0</v>
      </c>
      <c r="BX1225">
        <f ca="1">IF(ROW()&lt;($C$7+1),"",IFERROR((分析データ!G1225-AVERAGE(OFFSET(分析データ!G$1,MAX(1,ROW()-$C$7),0,MIN($C$7,ROW()-1),1)))/STDEV(OFFSET(分析データ!G$1,MAX(1,ROW()-$C$7),0,MIN($C$7,ROW()-1),1)),0))</f>
        <v>0</v>
      </c>
      <c r="BY1225">
        <f t="shared" ca="1" si="552"/>
        <v>0</v>
      </c>
      <c r="BZ1225" t="str">
        <f ca="1">IF(BY1225=1,IF(INDEX(分析データ!$A:$A,ROW()+$C$5)&lt;&gt;"",40000*SIGN(BX1225)*(分析データ!G1225-INDEX(分析データ!G:G,ROW()+$C$5)),""),"")</f>
        <v/>
      </c>
      <c r="CA1225">
        <f t="shared" ca="1" si="553"/>
        <v>-3515452.8662109179</v>
      </c>
      <c r="CB1225">
        <f t="shared" ca="1" si="554"/>
        <v>11327520.000000004</v>
      </c>
      <c r="CC1225">
        <f t="shared" ca="1" si="555"/>
        <v>-14842972.866210923</v>
      </c>
      <c r="CD1225">
        <f t="shared" ca="1" si="556"/>
        <v>0</v>
      </c>
      <c r="CE1225">
        <f t="shared" ca="1" si="557"/>
        <v>23090347.13378913</v>
      </c>
      <c r="CF1225">
        <f t="shared" ca="1" si="558"/>
        <v>23090347.13378913</v>
      </c>
      <c r="CG1225">
        <f t="shared" ca="1" si="559"/>
        <v>0</v>
      </c>
      <c r="CH1225" s="10" t="str">
        <f>分析データ!A1225</f>
        <v/>
      </c>
    </row>
    <row r="1226" spans="46:86">
      <c r="AT1226">
        <f ca="1">IF(ROW()&lt;($C$7+1),"",IFERROR((分析データ!B1226-AVERAGE(OFFSET(分析データ!B$1,MAX(1,ROW()-$C$7),0,MIN($C$7,ROW()-1),1)))/STDEV(OFFSET(分析データ!B$1,MAX(1,ROW()-$C$7),0,MIN($C$7,ROW()-1),1)),0))</f>
        <v>0</v>
      </c>
      <c r="AU1226">
        <f t="shared" ca="1" si="532"/>
        <v>0</v>
      </c>
      <c r="AV1226" t="str">
        <f ca="1">IF(AU1226=1,IF(INDEX(分析データ!$A:$A,ROW()+$C$5)&lt;&gt;"",80000*SIGN(AT1226)*(分析データ!B1226-INDEX(分析データ!B:B,ROW()+$C$5)),""),"")</f>
        <v/>
      </c>
      <c r="AW1226">
        <f t="shared" ca="1" si="533"/>
        <v>-1240000.0000000019</v>
      </c>
      <c r="AX1226">
        <f t="shared" ca="1" si="534"/>
        <v>0</v>
      </c>
      <c r="AY1226">
        <f t="shared" ca="1" si="535"/>
        <v>-1240000.0000000019</v>
      </c>
      <c r="AZ1226">
        <f ca="1">IF(ROW()&lt;($C$7+1),"",IFERROR((分析データ!C1226-AVERAGE(OFFSET(分析データ!C$1,MAX(1,ROW()-$C$7),0,MIN($C$7,ROW()-1),1)))/STDEV(OFFSET(分析データ!C$1,MAX(1,ROW()-$C$7),0,MIN($C$7,ROW()-1),1)),0))</f>
        <v>0</v>
      </c>
      <c r="BA1226">
        <f t="shared" ca="1" si="536"/>
        <v>0</v>
      </c>
      <c r="BB1226" t="str">
        <f ca="1">IF(BA1226=1,IF(INDEX(分析データ!$A:$A,ROW()+$C$5)&lt;&gt;"",60000*SIGN(AZ1226)*(分析データ!C1226-INDEX(分析データ!C:C,ROW()+$C$5)),""),"")</f>
        <v/>
      </c>
      <c r="BC1226">
        <f t="shared" ca="1" si="537"/>
        <v>-260999.9999999851</v>
      </c>
      <c r="BD1226">
        <f t="shared" ca="1" si="538"/>
        <v>3156000.0000000107</v>
      </c>
      <c r="BE1226">
        <f t="shared" ca="1" si="539"/>
        <v>-3416999.9999999958</v>
      </c>
      <c r="BF1226">
        <f ca="1">IF(ROW()&lt;($C$7+1),"",IFERROR((分析データ!D1226-AVERAGE(OFFSET(分析データ!D$1,MAX(1,ROW()-$C$7),0,MIN($C$7,ROW()-1),1)))/STDEV(OFFSET(分析データ!D$1,MAX(1,ROW()-$C$7),0,MIN($C$7,ROW()-1),1)),0))</f>
        <v>0</v>
      </c>
      <c r="BG1226">
        <f t="shared" ca="1" si="540"/>
        <v>0</v>
      </c>
      <c r="BH1226" t="str">
        <f ca="1">IF(BG1226=1,IF(INDEX(分析データ!$A:$A,ROW()+$C$5)&lt;&gt;"",50000*SIGN(BF1226)*(分析データ!D1226-INDEX(分析データ!D:D,ROW()+$C$5)),""),"")</f>
        <v/>
      </c>
      <c r="BI1226">
        <f t="shared" ca="1" si="541"/>
        <v>5570000.0000000205</v>
      </c>
      <c r="BJ1226">
        <f t="shared" ca="1" si="542"/>
        <v>5570000.0000000205</v>
      </c>
      <c r="BK1226">
        <f t="shared" ca="1" si="543"/>
        <v>0</v>
      </c>
      <c r="BL1226">
        <f ca="1">IF(ROW()&lt;($C$7+1),"",IFERROR((分析データ!E1226-AVERAGE(OFFSET(分析データ!E$1,MAX(1,ROW()-$C$7),0,MIN($C$7,ROW()-1),1)))/STDEV(OFFSET(分析データ!E$1,MAX(1,ROW()-$C$7),0,MIN($C$7,ROW()-1),1)),0))</f>
        <v>0</v>
      </c>
      <c r="BM1226">
        <f t="shared" ca="1" si="544"/>
        <v>0</v>
      </c>
      <c r="BN1226" t="str">
        <f ca="1">IF(BM1226=1,IF(INDEX(分析データ!$A:$A,ROW()+$C$5)&lt;&gt;"",40000*SIGN(BL1226)*(分析データ!E1226-INDEX(分析データ!E:E,ROW()+$C$5)),""),"")</f>
        <v/>
      </c>
      <c r="BO1226">
        <f t="shared" ca="1" si="545"/>
        <v>2720000.0000000014</v>
      </c>
      <c r="BP1226">
        <f t="shared" ca="1" si="546"/>
        <v>4280000.0000000028</v>
      </c>
      <c r="BQ1226">
        <f t="shared" ca="1" si="547"/>
        <v>-1560000.0000000014</v>
      </c>
      <c r="BR1226">
        <f ca="1">IF(ROW()&lt;($C$7+1),"",IFERROR((分析データ!F1226-AVERAGE(OFFSET(分析データ!F$1,MAX(1,ROW()-$C$7),0,MIN($C$7,ROW()-1),1)))/STDEV(OFFSET(分析データ!F$1,MAX(1,ROW()-$C$7),0,MIN($C$7,ROW()-1),1)),0))</f>
        <v>0</v>
      </c>
      <c r="BS1226">
        <f t="shared" ca="1" si="548"/>
        <v>0</v>
      </c>
      <c r="BT1226" t="str">
        <f ca="1">IF(BS1226=1,IF(INDEX(分析データ!$A:$A,ROW()+$C$5)&lt;&gt;"",40000*SIGN(BR1226)*(分析データ!F1226-INDEX(分析データ!F:F,ROW()+$C$5)),""),"")</f>
        <v/>
      </c>
      <c r="BU1226">
        <f t="shared" ca="1" si="549"/>
        <v>19816800</v>
      </c>
      <c r="BV1226">
        <f t="shared" ca="1" si="550"/>
        <v>19816800</v>
      </c>
      <c r="BW1226">
        <f t="shared" ca="1" si="551"/>
        <v>0</v>
      </c>
      <c r="BX1226">
        <f ca="1">IF(ROW()&lt;($C$7+1),"",IFERROR((分析データ!G1226-AVERAGE(OFFSET(分析データ!G$1,MAX(1,ROW()-$C$7),0,MIN($C$7,ROW()-1),1)))/STDEV(OFFSET(分析データ!G$1,MAX(1,ROW()-$C$7),0,MIN($C$7,ROW()-1),1)),0))</f>
        <v>0</v>
      </c>
      <c r="BY1226">
        <f t="shared" ca="1" si="552"/>
        <v>0</v>
      </c>
      <c r="BZ1226" t="str">
        <f ca="1">IF(BY1226=1,IF(INDEX(分析データ!$A:$A,ROW()+$C$5)&lt;&gt;"",40000*SIGN(BX1226)*(分析データ!G1226-INDEX(分析データ!G:G,ROW()+$C$5)),""),"")</f>
        <v/>
      </c>
      <c r="CA1226">
        <f t="shared" ca="1" si="553"/>
        <v>-3515452.8662109179</v>
      </c>
      <c r="CB1226">
        <f t="shared" ca="1" si="554"/>
        <v>11327520.000000004</v>
      </c>
      <c r="CC1226">
        <f t="shared" ca="1" si="555"/>
        <v>-14842972.866210923</v>
      </c>
      <c r="CD1226">
        <f t="shared" ca="1" si="556"/>
        <v>0</v>
      </c>
      <c r="CE1226">
        <f t="shared" ca="1" si="557"/>
        <v>23090347.13378913</v>
      </c>
      <c r="CF1226">
        <f t="shared" ca="1" si="558"/>
        <v>23090347.13378913</v>
      </c>
      <c r="CG1226">
        <f t="shared" ca="1" si="559"/>
        <v>0</v>
      </c>
      <c r="CH1226" s="10" t="str">
        <f>分析データ!A1226</f>
        <v/>
      </c>
    </row>
    <row r="1227" spans="46:86">
      <c r="AT1227">
        <f ca="1">IF(ROW()&lt;($C$7+1),"",IFERROR((分析データ!B1227-AVERAGE(OFFSET(分析データ!B$1,MAX(1,ROW()-$C$7),0,MIN($C$7,ROW()-1),1)))/STDEV(OFFSET(分析データ!B$1,MAX(1,ROW()-$C$7),0,MIN($C$7,ROW()-1),1)),0))</f>
        <v>0</v>
      </c>
      <c r="AU1227">
        <f t="shared" ca="1" si="532"/>
        <v>0</v>
      </c>
      <c r="AV1227" t="str">
        <f ca="1">IF(AU1227=1,IF(INDEX(分析データ!$A:$A,ROW()+$C$5)&lt;&gt;"",80000*SIGN(AT1227)*(分析データ!B1227-INDEX(分析データ!B:B,ROW()+$C$5)),""),"")</f>
        <v/>
      </c>
      <c r="AW1227">
        <f t="shared" ca="1" si="533"/>
        <v>-1240000.0000000019</v>
      </c>
      <c r="AX1227">
        <f t="shared" ca="1" si="534"/>
        <v>0</v>
      </c>
      <c r="AY1227">
        <f t="shared" ca="1" si="535"/>
        <v>-1240000.0000000019</v>
      </c>
      <c r="AZ1227">
        <f ca="1">IF(ROW()&lt;($C$7+1),"",IFERROR((分析データ!C1227-AVERAGE(OFFSET(分析データ!C$1,MAX(1,ROW()-$C$7),0,MIN($C$7,ROW()-1),1)))/STDEV(OFFSET(分析データ!C$1,MAX(1,ROW()-$C$7),0,MIN($C$7,ROW()-1),1)),0))</f>
        <v>0</v>
      </c>
      <c r="BA1227">
        <f t="shared" ca="1" si="536"/>
        <v>0</v>
      </c>
      <c r="BB1227" t="str">
        <f ca="1">IF(BA1227=1,IF(INDEX(分析データ!$A:$A,ROW()+$C$5)&lt;&gt;"",60000*SIGN(AZ1227)*(分析データ!C1227-INDEX(分析データ!C:C,ROW()+$C$5)),""),"")</f>
        <v/>
      </c>
      <c r="BC1227">
        <f t="shared" ca="1" si="537"/>
        <v>-260999.9999999851</v>
      </c>
      <c r="BD1227">
        <f t="shared" ca="1" si="538"/>
        <v>3156000.0000000107</v>
      </c>
      <c r="BE1227">
        <f t="shared" ca="1" si="539"/>
        <v>-3416999.9999999958</v>
      </c>
      <c r="BF1227">
        <f ca="1">IF(ROW()&lt;($C$7+1),"",IFERROR((分析データ!D1227-AVERAGE(OFFSET(分析データ!D$1,MAX(1,ROW()-$C$7),0,MIN($C$7,ROW()-1),1)))/STDEV(OFFSET(分析データ!D$1,MAX(1,ROW()-$C$7),0,MIN($C$7,ROW()-1),1)),0))</f>
        <v>0</v>
      </c>
      <c r="BG1227">
        <f t="shared" ca="1" si="540"/>
        <v>0</v>
      </c>
      <c r="BH1227" t="str">
        <f ca="1">IF(BG1227=1,IF(INDEX(分析データ!$A:$A,ROW()+$C$5)&lt;&gt;"",50000*SIGN(BF1227)*(分析データ!D1227-INDEX(分析データ!D:D,ROW()+$C$5)),""),"")</f>
        <v/>
      </c>
      <c r="BI1227">
        <f t="shared" ca="1" si="541"/>
        <v>5570000.0000000205</v>
      </c>
      <c r="BJ1227">
        <f t="shared" ca="1" si="542"/>
        <v>5570000.0000000205</v>
      </c>
      <c r="BK1227">
        <f t="shared" ca="1" si="543"/>
        <v>0</v>
      </c>
      <c r="BL1227">
        <f ca="1">IF(ROW()&lt;($C$7+1),"",IFERROR((分析データ!E1227-AVERAGE(OFFSET(分析データ!E$1,MAX(1,ROW()-$C$7),0,MIN($C$7,ROW()-1),1)))/STDEV(OFFSET(分析データ!E$1,MAX(1,ROW()-$C$7),0,MIN($C$7,ROW()-1),1)),0))</f>
        <v>0</v>
      </c>
      <c r="BM1227">
        <f t="shared" ca="1" si="544"/>
        <v>0</v>
      </c>
      <c r="BN1227" t="str">
        <f ca="1">IF(BM1227=1,IF(INDEX(分析データ!$A:$A,ROW()+$C$5)&lt;&gt;"",40000*SIGN(BL1227)*(分析データ!E1227-INDEX(分析データ!E:E,ROW()+$C$5)),""),"")</f>
        <v/>
      </c>
      <c r="BO1227">
        <f t="shared" ca="1" si="545"/>
        <v>2720000.0000000014</v>
      </c>
      <c r="BP1227">
        <f t="shared" ca="1" si="546"/>
        <v>4280000.0000000028</v>
      </c>
      <c r="BQ1227">
        <f t="shared" ca="1" si="547"/>
        <v>-1560000.0000000014</v>
      </c>
      <c r="BR1227">
        <f ca="1">IF(ROW()&lt;($C$7+1),"",IFERROR((分析データ!F1227-AVERAGE(OFFSET(分析データ!F$1,MAX(1,ROW()-$C$7),0,MIN($C$7,ROW()-1),1)))/STDEV(OFFSET(分析データ!F$1,MAX(1,ROW()-$C$7),0,MIN($C$7,ROW()-1),1)),0))</f>
        <v>0</v>
      </c>
      <c r="BS1227">
        <f t="shared" ca="1" si="548"/>
        <v>0</v>
      </c>
      <c r="BT1227" t="str">
        <f ca="1">IF(BS1227=1,IF(INDEX(分析データ!$A:$A,ROW()+$C$5)&lt;&gt;"",40000*SIGN(BR1227)*(分析データ!F1227-INDEX(分析データ!F:F,ROW()+$C$5)),""),"")</f>
        <v/>
      </c>
      <c r="BU1227">
        <f t="shared" ca="1" si="549"/>
        <v>19816800</v>
      </c>
      <c r="BV1227">
        <f t="shared" ca="1" si="550"/>
        <v>19816800</v>
      </c>
      <c r="BW1227">
        <f t="shared" ca="1" si="551"/>
        <v>0</v>
      </c>
      <c r="BX1227">
        <f ca="1">IF(ROW()&lt;($C$7+1),"",IFERROR((分析データ!G1227-AVERAGE(OFFSET(分析データ!G$1,MAX(1,ROW()-$C$7),0,MIN($C$7,ROW()-1),1)))/STDEV(OFFSET(分析データ!G$1,MAX(1,ROW()-$C$7),0,MIN($C$7,ROW()-1),1)),0))</f>
        <v>0</v>
      </c>
      <c r="BY1227">
        <f t="shared" ca="1" si="552"/>
        <v>0</v>
      </c>
      <c r="BZ1227" t="str">
        <f ca="1">IF(BY1227=1,IF(INDEX(分析データ!$A:$A,ROW()+$C$5)&lt;&gt;"",40000*SIGN(BX1227)*(分析データ!G1227-INDEX(分析データ!G:G,ROW()+$C$5)),""),"")</f>
        <v/>
      </c>
      <c r="CA1227">
        <f t="shared" ca="1" si="553"/>
        <v>-3515452.8662109179</v>
      </c>
      <c r="CB1227">
        <f t="shared" ca="1" si="554"/>
        <v>11327520.000000004</v>
      </c>
      <c r="CC1227">
        <f t="shared" ca="1" si="555"/>
        <v>-14842972.866210923</v>
      </c>
      <c r="CD1227">
        <f t="shared" ca="1" si="556"/>
        <v>0</v>
      </c>
      <c r="CE1227">
        <f t="shared" ca="1" si="557"/>
        <v>23090347.13378913</v>
      </c>
      <c r="CF1227">
        <f t="shared" ca="1" si="558"/>
        <v>23090347.13378913</v>
      </c>
      <c r="CG1227">
        <f t="shared" ca="1" si="559"/>
        <v>0</v>
      </c>
      <c r="CH1227" s="10" t="str">
        <f>分析データ!A1227</f>
        <v/>
      </c>
    </row>
    <row r="1228" spans="46:86">
      <c r="AT1228">
        <f ca="1">IF(ROW()&lt;($C$7+1),"",IFERROR((分析データ!B1228-AVERAGE(OFFSET(分析データ!B$1,MAX(1,ROW()-$C$7),0,MIN($C$7,ROW()-1),1)))/STDEV(OFFSET(分析データ!B$1,MAX(1,ROW()-$C$7),0,MIN($C$7,ROW()-1),1)),0))</f>
        <v>0</v>
      </c>
      <c r="AU1228">
        <f t="shared" ca="1" si="532"/>
        <v>0</v>
      </c>
      <c r="AV1228" t="str">
        <f ca="1">IF(AU1228=1,IF(INDEX(分析データ!$A:$A,ROW()+$C$5)&lt;&gt;"",80000*SIGN(AT1228)*(分析データ!B1228-INDEX(分析データ!B:B,ROW()+$C$5)),""),"")</f>
        <v/>
      </c>
      <c r="AW1228">
        <f t="shared" ca="1" si="533"/>
        <v>-1240000.0000000019</v>
      </c>
      <c r="AX1228">
        <f t="shared" ca="1" si="534"/>
        <v>0</v>
      </c>
      <c r="AY1228">
        <f t="shared" ca="1" si="535"/>
        <v>-1240000.0000000019</v>
      </c>
      <c r="AZ1228">
        <f ca="1">IF(ROW()&lt;($C$7+1),"",IFERROR((分析データ!C1228-AVERAGE(OFFSET(分析データ!C$1,MAX(1,ROW()-$C$7),0,MIN($C$7,ROW()-1),1)))/STDEV(OFFSET(分析データ!C$1,MAX(1,ROW()-$C$7),0,MIN($C$7,ROW()-1),1)),0))</f>
        <v>0</v>
      </c>
      <c r="BA1228">
        <f t="shared" ca="1" si="536"/>
        <v>0</v>
      </c>
      <c r="BB1228" t="str">
        <f ca="1">IF(BA1228=1,IF(INDEX(分析データ!$A:$A,ROW()+$C$5)&lt;&gt;"",60000*SIGN(AZ1228)*(分析データ!C1228-INDEX(分析データ!C:C,ROW()+$C$5)),""),"")</f>
        <v/>
      </c>
      <c r="BC1228">
        <f t="shared" ca="1" si="537"/>
        <v>-260999.9999999851</v>
      </c>
      <c r="BD1228">
        <f t="shared" ca="1" si="538"/>
        <v>3156000.0000000107</v>
      </c>
      <c r="BE1228">
        <f t="shared" ca="1" si="539"/>
        <v>-3416999.9999999958</v>
      </c>
      <c r="BF1228">
        <f ca="1">IF(ROW()&lt;($C$7+1),"",IFERROR((分析データ!D1228-AVERAGE(OFFSET(分析データ!D$1,MAX(1,ROW()-$C$7),0,MIN($C$7,ROW()-1),1)))/STDEV(OFFSET(分析データ!D$1,MAX(1,ROW()-$C$7),0,MIN($C$7,ROW()-1),1)),0))</f>
        <v>0</v>
      </c>
      <c r="BG1228">
        <f t="shared" ca="1" si="540"/>
        <v>0</v>
      </c>
      <c r="BH1228" t="str">
        <f ca="1">IF(BG1228=1,IF(INDEX(分析データ!$A:$A,ROW()+$C$5)&lt;&gt;"",50000*SIGN(BF1228)*(分析データ!D1228-INDEX(分析データ!D:D,ROW()+$C$5)),""),"")</f>
        <v/>
      </c>
      <c r="BI1228">
        <f t="shared" ca="1" si="541"/>
        <v>5570000.0000000205</v>
      </c>
      <c r="BJ1228">
        <f t="shared" ca="1" si="542"/>
        <v>5570000.0000000205</v>
      </c>
      <c r="BK1228">
        <f t="shared" ca="1" si="543"/>
        <v>0</v>
      </c>
      <c r="BL1228">
        <f ca="1">IF(ROW()&lt;($C$7+1),"",IFERROR((分析データ!E1228-AVERAGE(OFFSET(分析データ!E$1,MAX(1,ROW()-$C$7),0,MIN($C$7,ROW()-1),1)))/STDEV(OFFSET(分析データ!E$1,MAX(1,ROW()-$C$7),0,MIN($C$7,ROW()-1),1)),0))</f>
        <v>0</v>
      </c>
      <c r="BM1228">
        <f t="shared" ca="1" si="544"/>
        <v>0</v>
      </c>
      <c r="BN1228" t="str">
        <f ca="1">IF(BM1228=1,IF(INDEX(分析データ!$A:$A,ROW()+$C$5)&lt;&gt;"",40000*SIGN(BL1228)*(分析データ!E1228-INDEX(分析データ!E:E,ROW()+$C$5)),""),"")</f>
        <v/>
      </c>
      <c r="BO1228">
        <f t="shared" ca="1" si="545"/>
        <v>2720000.0000000014</v>
      </c>
      <c r="BP1228">
        <f t="shared" ca="1" si="546"/>
        <v>4280000.0000000028</v>
      </c>
      <c r="BQ1228">
        <f t="shared" ca="1" si="547"/>
        <v>-1560000.0000000014</v>
      </c>
      <c r="BR1228">
        <f ca="1">IF(ROW()&lt;($C$7+1),"",IFERROR((分析データ!F1228-AVERAGE(OFFSET(分析データ!F$1,MAX(1,ROW()-$C$7),0,MIN($C$7,ROW()-1),1)))/STDEV(OFFSET(分析データ!F$1,MAX(1,ROW()-$C$7),0,MIN($C$7,ROW()-1),1)),0))</f>
        <v>0</v>
      </c>
      <c r="BS1228">
        <f t="shared" ca="1" si="548"/>
        <v>0</v>
      </c>
      <c r="BT1228" t="str">
        <f ca="1">IF(BS1228=1,IF(INDEX(分析データ!$A:$A,ROW()+$C$5)&lt;&gt;"",40000*SIGN(BR1228)*(分析データ!F1228-INDEX(分析データ!F:F,ROW()+$C$5)),""),"")</f>
        <v/>
      </c>
      <c r="BU1228">
        <f t="shared" ca="1" si="549"/>
        <v>19816800</v>
      </c>
      <c r="BV1228">
        <f t="shared" ca="1" si="550"/>
        <v>19816800</v>
      </c>
      <c r="BW1228">
        <f t="shared" ca="1" si="551"/>
        <v>0</v>
      </c>
      <c r="BX1228">
        <f ca="1">IF(ROW()&lt;($C$7+1),"",IFERROR((分析データ!G1228-AVERAGE(OFFSET(分析データ!G$1,MAX(1,ROW()-$C$7),0,MIN($C$7,ROW()-1),1)))/STDEV(OFFSET(分析データ!G$1,MAX(1,ROW()-$C$7),0,MIN($C$7,ROW()-1),1)),0))</f>
        <v>0</v>
      </c>
      <c r="BY1228">
        <f t="shared" ca="1" si="552"/>
        <v>0</v>
      </c>
      <c r="BZ1228" t="str">
        <f ca="1">IF(BY1228=1,IF(INDEX(分析データ!$A:$A,ROW()+$C$5)&lt;&gt;"",40000*SIGN(BX1228)*(分析データ!G1228-INDEX(分析データ!G:G,ROW()+$C$5)),""),"")</f>
        <v/>
      </c>
      <c r="CA1228">
        <f t="shared" ca="1" si="553"/>
        <v>-3515452.8662109179</v>
      </c>
      <c r="CB1228">
        <f t="shared" ca="1" si="554"/>
        <v>11327520.000000004</v>
      </c>
      <c r="CC1228">
        <f t="shared" ca="1" si="555"/>
        <v>-14842972.866210923</v>
      </c>
      <c r="CD1228">
        <f t="shared" ca="1" si="556"/>
        <v>0</v>
      </c>
      <c r="CE1228">
        <f t="shared" ca="1" si="557"/>
        <v>23090347.13378913</v>
      </c>
      <c r="CF1228">
        <f t="shared" ca="1" si="558"/>
        <v>23090347.13378913</v>
      </c>
      <c r="CG1228">
        <f t="shared" ca="1" si="559"/>
        <v>0</v>
      </c>
      <c r="CH1228" s="10" t="str">
        <f>分析データ!A1228</f>
        <v/>
      </c>
    </row>
    <row r="1229" spans="46:86">
      <c r="AT1229">
        <f ca="1">IF(ROW()&lt;($C$7+1),"",IFERROR((分析データ!B1229-AVERAGE(OFFSET(分析データ!B$1,MAX(1,ROW()-$C$7),0,MIN($C$7,ROW()-1),1)))/STDEV(OFFSET(分析データ!B$1,MAX(1,ROW()-$C$7),0,MIN($C$7,ROW()-1),1)),0))</f>
        <v>0</v>
      </c>
      <c r="AU1229">
        <f t="shared" ca="1" si="532"/>
        <v>0</v>
      </c>
      <c r="AV1229" t="str">
        <f ca="1">IF(AU1229=1,IF(INDEX(分析データ!$A:$A,ROW()+$C$5)&lt;&gt;"",80000*SIGN(AT1229)*(分析データ!B1229-INDEX(分析データ!B:B,ROW()+$C$5)),""),"")</f>
        <v/>
      </c>
      <c r="AW1229">
        <f t="shared" ca="1" si="533"/>
        <v>-1240000.0000000019</v>
      </c>
      <c r="AX1229">
        <f t="shared" ca="1" si="534"/>
        <v>0</v>
      </c>
      <c r="AY1229">
        <f t="shared" ca="1" si="535"/>
        <v>-1240000.0000000019</v>
      </c>
      <c r="AZ1229">
        <f ca="1">IF(ROW()&lt;($C$7+1),"",IFERROR((分析データ!C1229-AVERAGE(OFFSET(分析データ!C$1,MAX(1,ROW()-$C$7),0,MIN($C$7,ROW()-1),1)))/STDEV(OFFSET(分析データ!C$1,MAX(1,ROW()-$C$7),0,MIN($C$7,ROW()-1),1)),0))</f>
        <v>0</v>
      </c>
      <c r="BA1229">
        <f t="shared" ca="1" si="536"/>
        <v>0</v>
      </c>
      <c r="BB1229" t="str">
        <f ca="1">IF(BA1229=1,IF(INDEX(分析データ!$A:$A,ROW()+$C$5)&lt;&gt;"",60000*SIGN(AZ1229)*(分析データ!C1229-INDEX(分析データ!C:C,ROW()+$C$5)),""),"")</f>
        <v/>
      </c>
      <c r="BC1229">
        <f t="shared" ca="1" si="537"/>
        <v>-260999.9999999851</v>
      </c>
      <c r="BD1229">
        <f t="shared" ca="1" si="538"/>
        <v>3156000.0000000107</v>
      </c>
      <c r="BE1229">
        <f t="shared" ca="1" si="539"/>
        <v>-3416999.9999999958</v>
      </c>
      <c r="BF1229">
        <f ca="1">IF(ROW()&lt;($C$7+1),"",IFERROR((分析データ!D1229-AVERAGE(OFFSET(分析データ!D$1,MAX(1,ROW()-$C$7),0,MIN($C$7,ROW()-1),1)))/STDEV(OFFSET(分析データ!D$1,MAX(1,ROW()-$C$7),0,MIN($C$7,ROW()-1),1)),0))</f>
        <v>0</v>
      </c>
      <c r="BG1229">
        <f t="shared" ca="1" si="540"/>
        <v>0</v>
      </c>
      <c r="BH1229" t="str">
        <f ca="1">IF(BG1229=1,IF(INDEX(分析データ!$A:$A,ROW()+$C$5)&lt;&gt;"",50000*SIGN(BF1229)*(分析データ!D1229-INDEX(分析データ!D:D,ROW()+$C$5)),""),"")</f>
        <v/>
      </c>
      <c r="BI1229">
        <f t="shared" ca="1" si="541"/>
        <v>5570000.0000000205</v>
      </c>
      <c r="BJ1229">
        <f t="shared" ca="1" si="542"/>
        <v>5570000.0000000205</v>
      </c>
      <c r="BK1229">
        <f t="shared" ca="1" si="543"/>
        <v>0</v>
      </c>
      <c r="BL1229">
        <f ca="1">IF(ROW()&lt;($C$7+1),"",IFERROR((分析データ!E1229-AVERAGE(OFFSET(分析データ!E$1,MAX(1,ROW()-$C$7),0,MIN($C$7,ROW()-1),1)))/STDEV(OFFSET(分析データ!E$1,MAX(1,ROW()-$C$7),0,MIN($C$7,ROW()-1),1)),0))</f>
        <v>0</v>
      </c>
      <c r="BM1229">
        <f t="shared" ca="1" si="544"/>
        <v>0</v>
      </c>
      <c r="BN1229" t="str">
        <f ca="1">IF(BM1229=1,IF(INDEX(分析データ!$A:$A,ROW()+$C$5)&lt;&gt;"",40000*SIGN(BL1229)*(分析データ!E1229-INDEX(分析データ!E:E,ROW()+$C$5)),""),"")</f>
        <v/>
      </c>
      <c r="BO1229">
        <f t="shared" ca="1" si="545"/>
        <v>2720000.0000000014</v>
      </c>
      <c r="BP1229">
        <f t="shared" ca="1" si="546"/>
        <v>4280000.0000000028</v>
      </c>
      <c r="BQ1229">
        <f t="shared" ca="1" si="547"/>
        <v>-1560000.0000000014</v>
      </c>
      <c r="BR1229">
        <f ca="1">IF(ROW()&lt;($C$7+1),"",IFERROR((分析データ!F1229-AVERAGE(OFFSET(分析データ!F$1,MAX(1,ROW()-$C$7),0,MIN($C$7,ROW()-1),1)))/STDEV(OFFSET(分析データ!F$1,MAX(1,ROW()-$C$7),0,MIN($C$7,ROW()-1),1)),0))</f>
        <v>0</v>
      </c>
      <c r="BS1229">
        <f t="shared" ca="1" si="548"/>
        <v>0</v>
      </c>
      <c r="BT1229" t="str">
        <f ca="1">IF(BS1229=1,IF(INDEX(分析データ!$A:$A,ROW()+$C$5)&lt;&gt;"",40000*SIGN(BR1229)*(分析データ!F1229-INDEX(分析データ!F:F,ROW()+$C$5)),""),"")</f>
        <v/>
      </c>
      <c r="BU1229">
        <f t="shared" ca="1" si="549"/>
        <v>19816800</v>
      </c>
      <c r="BV1229">
        <f t="shared" ca="1" si="550"/>
        <v>19816800</v>
      </c>
      <c r="BW1229">
        <f t="shared" ca="1" si="551"/>
        <v>0</v>
      </c>
      <c r="BX1229">
        <f ca="1">IF(ROW()&lt;($C$7+1),"",IFERROR((分析データ!G1229-AVERAGE(OFFSET(分析データ!G$1,MAX(1,ROW()-$C$7),0,MIN($C$7,ROW()-1),1)))/STDEV(OFFSET(分析データ!G$1,MAX(1,ROW()-$C$7),0,MIN($C$7,ROW()-1),1)),0))</f>
        <v>0</v>
      </c>
      <c r="BY1229">
        <f t="shared" ca="1" si="552"/>
        <v>0</v>
      </c>
      <c r="BZ1229" t="str">
        <f ca="1">IF(BY1229=1,IF(INDEX(分析データ!$A:$A,ROW()+$C$5)&lt;&gt;"",40000*SIGN(BX1229)*(分析データ!G1229-INDEX(分析データ!G:G,ROW()+$C$5)),""),"")</f>
        <v/>
      </c>
      <c r="CA1229">
        <f t="shared" ca="1" si="553"/>
        <v>-3515452.8662109179</v>
      </c>
      <c r="CB1229">
        <f t="shared" ca="1" si="554"/>
        <v>11327520.000000004</v>
      </c>
      <c r="CC1229">
        <f t="shared" ca="1" si="555"/>
        <v>-14842972.866210923</v>
      </c>
      <c r="CD1229">
        <f t="shared" ca="1" si="556"/>
        <v>0</v>
      </c>
      <c r="CE1229">
        <f t="shared" ca="1" si="557"/>
        <v>23090347.13378913</v>
      </c>
      <c r="CF1229">
        <f t="shared" ca="1" si="558"/>
        <v>23090347.13378913</v>
      </c>
      <c r="CG1229">
        <f t="shared" ca="1" si="559"/>
        <v>0</v>
      </c>
      <c r="CH1229" s="10" t="str">
        <f>分析データ!A1229</f>
        <v/>
      </c>
    </row>
    <row r="1230" spans="46:86">
      <c r="AT1230">
        <f ca="1">IF(ROW()&lt;($C$7+1),"",IFERROR((分析データ!B1230-AVERAGE(OFFSET(分析データ!B$1,MAX(1,ROW()-$C$7),0,MIN($C$7,ROW()-1),1)))/STDEV(OFFSET(分析データ!B$1,MAX(1,ROW()-$C$7),0,MIN($C$7,ROW()-1),1)),0))</f>
        <v>0</v>
      </c>
      <c r="AU1230">
        <f t="shared" ca="1" si="532"/>
        <v>0</v>
      </c>
      <c r="AV1230" t="str">
        <f ca="1">IF(AU1230=1,IF(INDEX(分析データ!$A:$A,ROW()+$C$5)&lt;&gt;"",80000*SIGN(AT1230)*(分析データ!B1230-INDEX(分析データ!B:B,ROW()+$C$5)),""),"")</f>
        <v/>
      </c>
      <c r="AW1230">
        <f t="shared" ca="1" si="533"/>
        <v>-1240000.0000000019</v>
      </c>
      <c r="AX1230">
        <f t="shared" ca="1" si="534"/>
        <v>0</v>
      </c>
      <c r="AY1230">
        <f t="shared" ca="1" si="535"/>
        <v>-1240000.0000000019</v>
      </c>
      <c r="AZ1230">
        <f ca="1">IF(ROW()&lt;($C$7+1),"",IFERROR((分析データ!C1230-AVERAGE(OFFSET(分析データ!C$1,MAX(1,ROW()-$C$7),0,MIN($C$7,ROW()-1),1)))/STDEV(OFFSET(分析データ!C$1,MAX(1,ROW()-$C$7),0,MIN($C$7,ROW()-1),1)),0))</f>
        <v>0</v>
      </c>
      <c r="BA1230">
        <f t="shared" ca="1" si="536"/>
        <v>0</v>
      </c>
      <c r="BB1230" t="str">
        <f ca="1">IF(BA1230=1,IF(INDEX(分析データ!$A:$A,ROW()+$C$5)&lt;&gt;"",60000*SIGN(AZ1230)*(分析データ!C1230-INDEX(分析データ!C:C,ROW()+$C$5)),""),"")</f>
        <v/>
      </c>
      <c r="BC1230">
        <f t="shared" ca="1" si="537"/>
        <v>-260999.9999999851</v>
      </c>
      <c r="BD1230">
        <f t="shared" ca="1" si="538"/>
        <v>3156000.0000000107</v>
      </c>
      <c r="BE1230">
        <f t="shared" ca="1" si="539"/>
        <v>-3416999.9999999958</v>
      </c>
      <c r="BF1230">
        <f ca="1">IF(ROW()&lt;($C$7+1),"",IFERROR((分析データ!D1230-AVERAGE(OFFSET(分析データ!D$1,MAX(1,ROW()-$C$7),0,MIN($C$7,ROW()-1),1)))/STDEV(OFFSET(分析データ!D$1,MAX(1,ROW()-$C$7),0,MIN($C$7,ROW()-1),1)),0))</f>
        <v>0</v>
      </c>
      <c r="BG1230">
        <f t="shared" ca="1" si="540"/>
        <v>0</v>
      </c>
      <c r="BH1230" t="str">
        <f ca="1">IF(BG1230=1,IF(INDEX(分析データ!$A:$A,ROW()+$C$5)&lt;&gt;"",50000*SIGN(BF1230)*(分析データ!D1230-INDEX(分析データ!D:D,ROW()+$C$5)),""),"")</f>
        <v/>
      </c>
      <c r="BI1230">
        <f t="shared" ca="1" si="541"/>
        <v>5570000.0000000205</v>
      </c>
      <c r="BJ1230">
        <f t="shared" ca="1" si="542"/>
        <v>5570000.0000000205</v>
      </c>
      <c r="BK1230">
        <f t="shared" ca="1" si="543"/>
        <v>0</v>
      </c>
      <c r="BL1230">
        <f ca="1">IF(ROW()&lt;($C$7+1),"",IFERROR((分析データ!E1230-AVERAGE(OFFSET(分析データ!E$1,MAX(1,ROW()-$C$7),0,MIN($C$7,ROW()-1),1)))/STDEV(OFFSET(分析データ!E$1,MAX(1,ROW()-$C$7),0,MIN($C$7,ROW()-1),1)),0))</f>
        <v>0</v>
      </c>
      <c r="BM1230">
        <f t="shared" ca="1" si="544"/>
        <v>0</v>
      </c>
      <c r="BN1230" t="str">
        <f ca="1">IF(BM1230=1,IF(INDEX(分析データ!$A:$A,ROW()+$C$5)&lt;&gt;"",40000*SIGN(BL1230)*(分析データ!E1230-INDEX(分析データ!E:E,ROW()+$C$5)),""),"")</f>
        <v/>
      </c>
      <c r="BO1230">
        <f t="shared" ca="1" si="545"/>
        <v>2720000.0000000014</v>
      </c>
      <c r="BP1230">
        <f t="shared" ca="1" si="546"/>
        <v>4280000.0000000028</v>
      </c>
      <c r="BQ1230">
        <f t="shared" ca="1" si="547"/>
        <v>-1560000.0000000014</v>
      </c>
      <c r="BR1230">
        <f ca="1">IF(ROW()&lt;($C$7+1),"",IFERROR((分析データ!F1230-AVERAGE(OFFSET(分析データ!F$1,MAX(1,ROW()-$C$7),0,MIN($C$7,ROW()-1),1)))/STDEV(OFFSET(分析データ!F$1,MAX(1,ROW()-$C$7),0,MIN($C$7,ROW()-1),1)),0))</f>
        <v>0</v>
      </c>
      <c r="BS1230">
        <f t="shared" ca="1" si="548"/>
        <v>0</v>
      </c>
      <c r="BT1230" t="str">
        <f ca="1">IF(BS1230=1,IF(INDEX(分析データ!$A:$A,ROW()+$C$5)&lt;&gt;"",40000*SIGN(BR1230)*(分析データ!F1230-INDEX(分析データ!F:F,ROW()+$C$5)),""),"")</f>
        <v/>
      </c>
      <c r="BU1230">
        <f t="shared" ca="1" si="549"/>
        <v>19816800</v>
      </c>
      <c r="BV1230">
        <f t="shared" ca="1" si="550"/>
        <v>19816800</v>
      </c>
      <c r="BW1230">
        <f t="shared" ca="1" si="551"/>
        <v>0</v>
      </c>
      <c r="BX1230">
        <f ca="1">IF(ROW()&lt;($C$7+1),"",IFERROR((分析データ!G1230-AVERAGE(OFFSET(分析データ!G$1,MAX(1,ROW()-$C$7),0,MIN($C$7,ROW()-1),1)))/STDEV(OFFSET(分析データ!G$1,MAX(1,ROW()-$C$7),0,MIN($C$7,ROW()-1),1)),0))</f>
        <v>0</v>
      </c>
      <c r="BY1230">
        <f t="shared" ca="1" si="552"/>
        <v>0</v>
      </c>
      <c r="BZ1230" t="str">
        <f ca="1">IF(BY1230=1,IF(INDEX(分析データ!$A:$A,ROW()+$C$5)&lt;&gt;"",40000*SIGN(BX1230)*(分析データ!G1230-INDEX(分析データ!G:G,ROW()+$C$5)),""),"")</f>
        <v/>
      </c>
      <c r="CA1230">
        <f t="shared" ca="1" si="553"/>
        <v>-3515452.8662109179</v>
      </c>
      <c r="CB1230">
        <f t="shared" ca="1" si="554"/>
        <v>11327520.000000004</v>
      </c>
      <c r="CC1230">
        <f t="shared" ca="1" si="555"/>
        <v>-14842972.866210923</v>
      </c>
      <c r="CD1230">
        <f t="shared" ca="1" si="556"/>
        <v>0</v>
      </c>
      <c r="CE1230">
        <f t="shared" ca="1" si="557"/>
        <v>23090347.13378913</v>
      </c>
      <c r="CF1230">
        <f t="shared" ca="1" si="558"/>
        <v>23090347.13378913</v>
      </c>
      <c r="CG1230">
        <f t="shared" ca="1" si="559"/>
        <v>0</v>
      </c>
      <c r="CH1230" s="10" t="str">
        <f>分析データ!A1230</f>
        <v/>
      </c>
    </row>
    <row r="1231" spans="46:86">
      <c r="AT1231">
        <f ca="1">IF(ROW()&lt;($C$7+1),"",IFERROR((分析データ!B1231-AVERAGE(OFFSET(分析データ!B$1,MAX(1,ROW()-$C$7),0,MIN($C$7,ROW()-1),1)))/STDEV(OFFSET(分析データ!B$1,MAX(1,ROW()-$C$7),0,MIN($C$7,ROW()-1),1)),0))</f>
        <v>0</v>
      </c>
      <c r="AU1231">
        <f t="shared" ca="1" si="532"/>
        <v>0</v>
      </c>
      <c r="AV1231" t="str">
        <f ca="1">IF(AU1231=1,IF(INDEX(分析データ!$A:$A,ROW()+$C$5)&lt;&gt;"",80000*SIGN(AT1231)*(分析データ!B1231-INDEX(分析データ!B:B,ROW()+$C$5)),""),"")</f>
        <v/>
      </c>
      <c r="AW1231">
        <f t="shared" ca="1" si="533"/>
        <v>-1240000.0000000019</v>
      </c>
      <c r="AX1231">
        <f t="shared" ca="1" si="534"/>
        <v>0</v>
      </c>
      <c r="AY1231">
        <f t="shared" ca="1" si="535"/>
        <v>-1240000.0000000019</v>
      </c>
      <c r="AZ1231">
        <f ca="1">IF(ROW()&lt;($C$7+1),"",IFERROR((分析データ!C1231-AVERAGE(OFFSET(分析データ!C$1,MAX(1,ROW()-$C$7),0,MIN($C$7,ROW()-1),1)))/STDEV(OFFSET(分析データ!C$1,MAX(1,ROW()-$C$7),0,MIN($C$7,ROW()-1),1)),0))</f>
        <v>0</v>
      </c>
      <c r="BA1231">
        <f t="shared" ca="1" si="536"/>
        <v>0</v>
      </c>
      <c r="BB1231" t="str">
        <f ca="1">IF(BA1231=1,IF(INDEX(分析データ!$A:$A,ROW()+$C$5)&lt;&gt;"",60000*SIGN(AZ1231)*(分析データ!C1231-INDEX(分析データ!C:C,ROW()+$C$5)),""),"")</f>
        <v/>
      </c>
      <c r="BC1231">
        <f t="shared" ca="1" si="537"/>
        <v>-260999.9999999851</v>
      </c>
      <c r="BD1231">
        <f t="shared" ca="1" si="538"/>
        <v>3156000.0000000107</v>
      </c>
      <c r="BE1231">
        <f t="shared" ca="1" si="539"/>
        <v>-3416999.9999999958</v>
      </c>
      <c r="BF1231">
        <f ca="1">IF(ROW()&lt;($C$7+1),"",IFERROR((分析データ!D1231-AVERAGE(OFFSET(分析データ!D$1,MAX(1,ROW()-$C$7),0,MIN($C$7,ROW()-1),1)))/STDEV(OFFSET(分析データ!D$1,MAX(1,ROW()-$C$7),0,MIN($C$7,ROW()-1),1)),0))</f>
        <v>0</v>
      </c>
      <c r="BG1231">
        <f t="shared" ca="1" si="540"/>
        <v>0</v>
      </c>
      <c r="BH1231" t="str">
        <f ca="1">IF(BG1231=1,IF(INDEX(分析データ!$A:$A,ROW()+$C$5)&lt;&gt;"",50000*SIGN(BF1231)*(分析データ!D1231-INDEX(分析データ!D:D,ROW()+$C$5)),""),"")</f>
        <v/>
      </c>
      <c r="BI1231">
        <f t="shared" ca="1" si="541"/>
        <v>5570000.0000000205</v>
      </c>
      <c r="BJ1231">
        <f t="shared" ca="1" si="542"/>
        <v>5570000.0000000205</v>
      </c>
      <c r="BK1231">
        <f t="shared" ca="1" si="543"/>
        <v>0</v>
      </c>
      <c r="BL1231">
        <f ca="1">IF(ROW()&lt;($C$7+1),"",IFERROR((分析データ!E1231-AVERAGE(OFFSET(分析データ!E$1,MAX(1,ROW()-$C$7),0,MIN($C$7,ROW()-1),1)))/STDEV(OFFSET(分析データ!E$1,MAX(1,ROW()-$C$7),0,MIN($C$7,ROW()-1),1)),0))</f>
        <v>0</v>
      </c>
      <c r="BM1231">
        <f t="shared" ca="1" si="544"/>
        <v>0</v>
      </c>
      <c r="BN1231" t="str">
        <f ca="1">IF(BM1231=1,IF(INDEX(分析データ!$A:$A,ROW()+$C$5)&lt;&gt;"",40000*SIGN(BL1231)*(分析データ!E1231-INDEX(分析データ!E:E,ROW()+$C$5)),""),"")</f>
        <v/>
      </c>
      <c r="BO1231">
        <f t="shared" ca="1" si="545"/>
        <v>2720000.0000000014</v>
      </c>
      <c r="BP1231">
        <f t="shared" ca="1" si="546"/>
        <v>4280000.0000000028</v>
      </c>
      <c r="BQ1231">
        <f t="shared" ca="1" si="547"/>
        <v>-1560000.0000000014</v>
      </c>
      <c r="BR1231">
        <f ca="1">IF(ROW()&lt;($C$7+1),"",IFERROR((分析データ!F1231-AVERAGE(OFFSET(分析データ!F$1,MAX(1,ROW()-$C$7),0,MIN($C$7,ROW()-1),1)))/STDEV(OFFSET(分析データ!F$1,MAX(1,ROW()-$C$7),0,MIN($C$7,ROW()-1),1)),0))</f>
        <v>0</v>
      </c>
      <c r="BS1231">
        <f t="shared" ca="1" si="548"/>
        <v>0</v>
      </c>
      <c r="BT1231" t="str">
        <f ca="1">IF(BS1231=1,IF(INDEX(分析データ!$A:$A,ROW()+$C$5)&lt;&gt;"",40000*SIGN(BR1231)*(分析データ!F1231-INDEX(分析データ!F:F,ROW()+$C$5)),""),"")</f>
        <v/>
      </c>
      <c r="BU1231">
        <f t="shared" ca="1" si="549"/>
        <v>19816800</v>
      </c>
      <c r="BV1231">
        <f t="shared" ca="1" si="550"/>
        <v>19816800</v>
      </c>
      <c r="BW1231">
        <f t="shared" ca="1" si="551"/>
        <v>0</v>
      </c>
      <c r="BX1231">
        <f ca="1">IF(ROW()&lt;($C$7+1),"",IFERROR((分析データ!G1231-AVERAGE(OFFSET(分析データ!G$1,MAX(1,ROW()-$C$7),0,MIN($C$7,ROW()-1),1)))/STDEV(OFFSET(分析データ!G$1,MAX(1,ROW()-$C$7),0,MIN($C$7,ROW()-1),1)),0))</f>
        <v>0</v>
      </c>
      <c r="BY1231">
        <f t="shared" ca="1" si="552"/>
        <v>0</v>
      </c>
      <c r="BZ1231" t="str">
        <f ca="1">IF(BY1231=1,IF(INDEX(分析データ!$A:$A,ROW()+$C$5)&lt;&gt;"",40000*SIGN(BX1231)*(分析データ!G1231-INDEX(分析データ!G:G,ROW()+$C$5)),""),"")</f>
        <v/>
      </c>
      <c r="CA1231">
        <f t="shared" ca="1" si="553"/>
        <v>-3515452.8662109179</v>
      </c>
      <c r="CB1231">
        <f t="shared" ca="1" si="554"/>
        <v>11327520.000000004</v>
      </c>
      <c r="CC1231">
        <f t="shared" ca="1" si="555"/>
        <v>-14842972.866210923</v>
      </c>
      <c r="CD1231">
        <f t="shared" ca="1" si="556"/>
        <v>0</v>
      </c>
      <c r="CE1231">
        <f t="shared" ca="1" si="557"/>
        <v>23090347.13378913</v>
      </c>
      <c r="CF1231">
        <f t="shared" ca="1" si="558"/>
        <v>23090347.13378913</v>
      </c>
      <c r="CG1231">
        <f t="shared" ca="1" si="559"/>
        <v>0</v>
      </c>
      <c r="CH1231" s="10" t="str">
        <f>分析データ!A1231</f>
        <v/>
      </c>
    </row>
    <row r="1232" spans="46:86">
      <c r="AT1232">
        <f ca="1">IF(ROW()&lt;($C$7+1),"",IFERROR((分析データ!B1232-AVERAGE(OFFSET(分析データ!B$1,MAX(1,ROW()-$C$7),0,MIN($C$7,ROW()-1),1)))/STDEV(OFFSET(分析データ!B$1,MAX(1,ROW()-$C$7),0,MIN($C$7,ROW()-1),1)),0))</f>
        <v>0</v>
      </c>
      <c r="AU1232">
        <f t="shared" ca="1" si="532"/>
        <v>0</v>
      </c>
      <c r="AV1232" t="str">
        <f ca="1">IF(AU1232=1,IF(INDEX(分析データ!$A:$A,ROW()+$C$5)&lt;&gt;"",80000*SIGN(AT1232)*(分析データ!B1232-INDEX(分析データ!B:B,ROW()+$C$5)),""),"")</f>
        <v/>
      </c>
      <c r="AW1232">
        <f t="shared" ca="1" si="533"/>
        <v>-1240000.0000000019</v>
      </c>
      <c r="AX1232">
        <f t="shared" ca="1" si="534"/>
        <v>0</v>
      </c>
      <c r="AY1232">
        <f t="shared" ca="1" si="535"/>
        <v>-1240000.0000000019</v>
      </c>
      <c r="AZ1232">
        <f ca="1">IF(ROW()&lt;($C$7+1),"",IFERROR((分析データ!C1232-AVERAGE(OFFSET(分析データ!C$1,MAX(1,ROW()-$C$7),0,MIN($C$7,ROW()-1),1)))/STDEV(OFFSET(分析データ!C$1,MAX(1,ROW()-$C$7),0,MIN($C$7,ROW()-1),1)),0))</f>
        <v>0</v>
      </c>
      <c r="BA1232">
        <f t="shared" ca="1" si="536"/>
        <v>0</v>
      </c>
      <c r="BB1232" t="str">
        <f ca="1">IF(BA1232=1,IF(INDEX(分析データ!$A:$A,ROW()+$C$5)&lt;&gt;"",60000*SIGN(AZ1232)*(分析データ!C1232-INDEX(分析データ!C:C,ROW()+$C$5)),""),"")</f>
        <v/>
      </c>
      <c r="BC1232">
        <f t="shared" ca="1" si="537"/>
        <v>-260999.9999999851</v>
      </c>
      <c r="BD1232">
        <f t="shared" ca="1" si="538"/>
        <v>3156000.0000000107</v>
      </c>
      <c r="BE1232">
        <f t="shared" ca="1" si="539"/>
        <v>-3416999.9999999958</v>
      </c>
      <c r="BF1232">
        <f ca="1">IF(ROW()&lt;($C$7+1),"",IFERROR((分析データ!D1232-AVERAGE(OFFSET(分析データ!D$1,MAX(1,ROW()-$C$7),0,MIN($C$7,ROW()-1),1)))/STDEV(OFFSET(分析データ!D$1,MAX(1,ROW()-$C$7),0,MIN($C$7,ROW()-1),1)),0))</f>
        <v>0</v>
      </c>
      <c r="BG1232">
        <f t="shared" ca="1" si="540"/>
        <v>0</v>
      </c>
      <c r="BH1232" t="str">
        <f ca="1">IF(BG1232=1,IF(INDEX(分析データ!$A:$A,ROW()+$C$5)&lt;&gt;"",50000*SIGN(BF1232)*(分析データ!D1232-INDEX(分析データ!D:D,ROW()+$C$5)),""),"")</f>
        <v/>
      </c>
      <c r="BI1232">
        <f t="shared" ca="1" si="541"/>
        <v>5570000.0000000205</v>
      </c>
      <c r="BJ1232">
        <f t="shared" ca="1" si="542"/>
        <v>5570000.0000000205</v>
      </c>
      <c r="BK1232">
        <f t="shared" ca="1" si="543"/>
        <v>0</v>
      </c>
      <c r="BL1232">
        <f ca="1">IF(ROW()&lt;($C$7+1),"",IFERROR((分析データ!E1232-AVERAGE(OFFSET(分析データ!E$1,MAX(1,ROW()-$C$7),0,MIN($C$7,ROW()-1),1)))/STDEV(OFFSET(分析データ!E$1,MAX(1,ROW()-$C$7),0,MIN($C$7,ROW()-1),1)),0))</f>
        <v>0</v>
      </c>
      <c r="BM1232">
        <f t="shared" ca="1" si="544"/>
        <v>0</v>
      </c>
      <c r="BN1232" t="str">
        <f ca="1">IF(BM1232=1,IF(INDEX(分析データ!$A:$A,ROW()+$C$5)&lt;&gt;"",40000*SIGN(BL1232)*(分析データ!E1232-INDEX(分析データ!E:E,ROW()+$C$5)),""),"")</f>
        <v/>
      </c>
      <c r="BO1232">
        <f t="shared" ca="1" si="545"/>
        <v>2720000.0000000014</v>
      </c>
      <c r="BP1232">
        <f t="shared" ca="1" si="546"/>
        <v>4280000.0000000028</v>
      </c>
      <c r="BQ1232">
        <f t="shared" ca="1" si="547"/>
        <v>-1560000.0000000014</v>
      </c>
      <c r="BR1232">
        <f ca="1">IF(ROW()&lt;($C$7+1),"",IFERROR((分析データ!F1232-AVERAGE(OFFSET(分析データ!F$1,MAX(1,ROW()-$C$7),0,MIN($C$7,ROW()-1),1)))/STDEV(OFFSET(分析データ!F$1,MAX(1,ROW()-$C$7),0,MIN($C$7,ROW()-1),1)),0))</f>
        <v>0</v>
      </c>
      <c r="BS1232">
        <f t="shared" ca="1" si="548"/>
        <v>0</v>
      </c>
      <c r="BT1232" t="str">
        <f ca="1">IF(BS1232=1,IF(INDEX(分析データ!$A:$A,ROW()+$C$5)&lt;&gt;"",40000*SIGN(BR1232)*(分析データ!F1232-INDEX(分析データ!F:F,ROW()+$C$5)),""),"")</f>
        <v/>
      </c>
      <c r="BU1232">
        <f t="shared" ca="1" si="549"/>
        <v>19816800</v>
      </c>
      <c r="BV1232">
        <f t="shared" ca="1" si="550"/>
        <v>19816800</v>
      </c>
      <c r="BW1232">
        <f t="shared" ca="1" si="551"/>
        <v>0</v>
      </c>
      <c r="BX1232">
        <f ca="1">IF(ROW()&lt;($C$7+1),"",IFERROR((分析データ!G1232-AVERAGE(OFFSET(分析データ!G$1,MAX(1,ROW()-$C$7),0,MIN($C$7,ROW()-1),1)))/STDEV(OFFSET(分析データ!G$1,MAX(1,ROW()-$C$7),0,MIN($C$7,ROW()-1),1)),0))</f>
        <v>0</v>
      </c>
      <c r="BY1232">
        <f t="shared" ca="1" si="552"/>
        <v>0</v>
      </c>
      <c r="BZ1232" t="str">
        <f ca="1">IF(BY1232=1,IF(INDEX(分析データ!$A:$A,ROW()+$C$5)&lt;&gt;"",40000*SIGN(BX1232)*(分析データ!G1232-INDEX(分析データ!G:G,ROW()+$C$5)),""),"")</f>
        <v/>
      </c>
      <c r="CA1232">
        <f t="shared" ca="1" si="553"/>
        <v>-3515452.8662109179</v>
      </c>
      <c r="CB1232">
        <f t="shared" ca="1" si="554"/>
        <v>11327520.000000004</v>
      </c>
      <c r="CC1232">
        <f t="shared" ca="1" si="555"/>
        <v>-14842972.866210923</v>
      </c>
      <c r="CD1232">
        <f t="shared" ca="1" si="556"/>
        <v>0</v>
      </c>
      <c r="CE1232">
        <f t="shared" ca="1" si="557"/>
        <v>23090347.13378913</v>
      </c>
      <c r="CF1232">
        <f t="shared" ca="1" si="558"/>
        <v>23090347.13378913</v>
      </c>
      <c r="CG1232">
        <f t="shared" ca="1" si="559"/>
        <v>0</v>
      </c>
      <c r="CH1232" s="10" t="str">
        <f>分析データ!A1232</f>
        <v/>
      </c>
    </row>
    <row r="1233" spans="46:86">
      <c r="AT1233">
        <f ca="1">IF(ROW()&lt;($C$7+1),"",IFERROR((分析データ!B1233-AVERAGE(OFFSET(分析データ!B$1,MAX(1,ROW()-$C$7),0,MIN($C$7,ROW()-1),1)))/STDEV(OFFSET(分析データ!B$1,MAX(1,ROW()-$C$7),0,MIN($C$7,ROW()-1),1)),0))</f>
        <v>0</v>
      </c>
      <c r="AU1233">
        <f t="shared" ca="1" si="532"/>
        <v>0</v>
      </c>
      <c r="AV1233" t="str">
        <f ca="1">IF(AU1233=1,IF(INDEX(分析データ!$A:$A,ROW()+$C$5)&lt;&gt;"",80000*SIGN(AT1233)*(分析データ!B1233-INDEX(分析データ!B:B,ROW()+$C$5)),""),"")</f>
        <v/>
      </c>
      <c r="AW1233">
        <f t="shared" ca="1" si="533"/>
        <v>-1240000.0000000019</v>
      </c>
      <c r="AX1233">
        <f t="shared" ca="1" si="534"/>
        <v>0</v>
      </c>
      <c r="AY1233">
        <f t="shared" ca="1" si="535"/>
        <v>-1240000.0000000019</v>
      </c>
      <c r="AZ1233">
        <f ca="1">IF(ROW()&lt;($C$7+1),"",IFERROR((分析データ!C1233-AVERAGE(OFFSET(分析データ!C$1,MAX(1,ROW()-$C$7),0,MIN($C$7,ROW()-1),1)))/STDEV(OFFSET(分析データ!C$1,MAX(1,ROW()-$C$7),0,MIN($C$7,ROW()-1),1)),0))</f>
        <v>0</v>
      </c>
      <c r="BA1233">
        <f t="shared" ca="1" si="536"/>
        <v>0</v>
      </c>
      <c r="BB1233" t="str">
        <f ca="1">IF(BA1233=1,IF(INDEX(分析データ!$A:$A,ROW()+$C$5)&lt;&gt;"",60000*SIGN(AZ1233)*(分析データ!C1233-INDEX(分析データ!C:C,ROW()+$C$5)),""),"")</f>
        <v/>
      </c>
      <c r="BC1233">
        <f t="shared" ca="1" si="537"/>
        <v>-260999.9999999851</v>
      </c>
      <c r="BD1233">
        <f t="shared" ca="1" si="538"/>
        <v>3156000.0000000107</v>
      </c>
      <c r="BE1233">
        <f t="shared" ca="1" si="539"/>
        <v>-3416999.9999999958</v>
      </c>
      <c r="BF1233">
        <f ca="1">IF(ROW()&lt;($C$7+1),"",IFERROR((分析データ!D1233-AVERAGE(OFFSET(分析データ!D$1,MAX(1,ROW()-$C$7),0,MIN($C$7,ROW()-1),1)))/STDEV(OFFSET(分析データ!D$1,MAX(1,ROW()-$C$7),0,MIN($C$7,ROW()-1),1)),0))</f>
        <v>0</v>
      </c>
      <c r="BG1233">
        <f t="shared" ca="1" si="540"/>
        <v>0</v>
      </c>
      <c r="BH1233" t="str">
        <f ca="1">IF(BG1233=1,IF(INDEX(分析データ!$A:$A,ROW()+$C$5)&lt;&gt;"",50000*SIGN(BF1233)*(分析データ!D1233-INDEX(分析データ!D:D,ROW()+$C$5)),""),"")</f>
        <v/>
      </c>
      <c r="BI1233">
        <f t="shared" ca="1" si="541"/>
        <v>5570000.0000000205</v>
      </c>
      <c r="BJ1233">
        <f t="shared" ca="1" si="542"/>
        <v>5570000.0000000205</v>
      </c>
      <c r="BK1233">
        <f t="shared" ca="1" si="543"/>
        <v>0</v>
      </c>
      <c r="BL1233">
        <f ca="1">IF(ROW()&lt;($C$7+1),"",IFERROR((分析データ!E1233-AVERAGE(OFFSET(分析データ!E$1,MAX(1,ROW()-$C$7),0,MIN($C$7,ROW()-1),1)))/STDEV(OFFSET(分析データ!E$1,MAX(1,ROW()-$C$7),0,MIN($C$7,ROW()-1),1)),0))</f>
        <v>0</v>
      </c>
      <c r="BM1233">
        <f t="shared" ca="1" si="544"/>
        <v>0</v>
      </c>
      <c r="BN1233" t="str">
        <f ca="1">IF(BM1233=1,IF(INDEX(分析データ!$A:$A,ROW()+$C$5)&lt;&gt;"",40000*SIGN(BL1233)*(分析データ!E1233-INDEX(分析データ!E:E,ROW()+$C$5)),""),"")</f>
        <v/>
      </c>
      <c r="BO1233">
        <f t="shared" ca="1" si="545"/>
        <v>2720000.0000000014</v>
      </c>
      <c r="BP1233">
        <f t="shared" ca="1" si="546"/>
        <v>4280000.0000000028</v>
      </c>
      <c r="BQ1233">
        <f t="shared" ca="1" si="547"/>
        <v>-1560000.0000000014</v>
      </c>
      <c r="BR1233">
        <f ca="1">IF(ROW()&lt;($C$7+1),"",IFERROR((分析データ!F1233-AVERAGE(OFFSET(分析データ!F$1,MAX(1,ROW()-$C$7),0,MIN($C$7,ROW()-1),1)))/STDEV(OFFSET(分析データ!F$1,MAX(1,ROW()-$C$7),0,MIN($C$7,ROW()-1),1)),0))</f>
        <v>0</v>
      </c>
      <c r="BS1233">
        <f t="shared" ca="1" si="548"/>
        <v>0</v>
      </c>
      <c r="BT1233" t="str">
        <f ca="1">IF(BS1233=1,IF(INDEX(分析データ!$A:$A,ROW()+$C$5)&lt;&gt;"",40000*SIGN(BR1233)*(分析データ!F1233-INDEX(分析データ!F:F,ROW()+$C$5)),""),"")</f>
        <v/>
      </c>
      <c r="BU1233">
        <f t="shared" ca="1" si="549"/>
        <v>19816800</v>
      </c>
      <c r="BV1233">
        <f t="shared" ca="1" si="550"/>
        <v>19816800</v>
      </c>
      <c r="BW1233">
        <f t="shared" ca="1" si="551"/>
        <v>0</v>
      </c>
      <c r="BX1233">
        <f ca="1">IF(ROW()&lt;($C$7+1),"",IFERROR((分析データ!G1233-AVERAGE(OFFSET(分析データ!G$1,MAX(1,ROW()-$C$7),0,MIN($C$7,ROW()-1),1)))/STDEV(OFFSET(分析データ!G$1,MAX(1,ROW()-$C$7),0,MIN($C$7,ROW()-1),1)),0))</f>
        <v>0</v>
      </c>
      <c r="BY1233">
        <f t="shared" ca="1" si="552"/>
        <v>0</v>
      </c>
      <c r="BZ1233" t="str">
        <f ca="1">IF(BY1233=1,IF(INDEX(分析データ!$A:$A,ROW()+$C$5)&lt;&gt;"",40000*SIGN(BX1233)*(分析データ!G1233-INDEX(分析データ!G:G,ROW()+$C$5)),""),"")</f>
        <v/>
      </c>
      <c r="CA1233">
        <f t="shared" ca="1" si="553"/>
        <v>-3515452.8662109179</v>
      </c>
      <c r="CB1233">
        <f t="shared" ca="1" si="554"/>
        <v>11327520.000000004</v>
      </c>
      <c r="CC1233">
        <f t="shared" ca="1" si="555"/>
        <v>-14842972.866210923</v>
      </c>
      <c r="CD1233">
        <f t="shared" ca="1" si="556"/>
        <v>0</v>
      </c>
      <c r="CE1233">
        <f t="shared" ca="1" si="557"/>
        <v>23090347.13378913</v>
      </c>
      <c r="CF1233">
        <f t="shared" ca="1" si="558"/>
        <v>23090347.13378913</v>
      </c>
      <c r="CG1233">
        <f t="shared" ca="1" si="559"/>
        <v>0</v>
      </c>
      <c r="CH1233" s="10" t="str">
        <f>分析データ!A1233</f>
        <v/>
      </c>
    </row>
    <row r="1234" spans="46:86">
      <c r="AT1234">
        <f ca="1">IF(ROW()&lt;($C$7+1),"",IFERROR((分析データ!B1234-AVERAGE(OFFSET(分析データ!B$1,MAX(1,ROW()-$C$7),0,MIN($C$7,ROW()-1),1)))/STDEV(OFFSET(分析データ!B$1,MAX(1,ROW()-$C$7),0,MIN($C$7,ROW()-1),1)),0))</f>
        <v>0</v>
      </c>
      <c r="AU1234">
        <f t="shared" ca="1" si="532"/>
        <v>0</v>
      </c>
      <c r="AV1234" t="str">
        <f ca="1">IF(AU1234=1,IF(INDEX(分析データ!$A:$A,ROW()+$C$5)&lt;&gt;"",80000*SIGN(AT1234)*(分析データ!B1234-INDEX(分析データ!B:B,ROW()+$C$5)),""),"")</f>
        <v/>
      </c>
      <c r="AW1234">
        <f t="shared" ca="1" si="533"/>
        <v>-1240000.0000000019</v>
      </c>
      <c r="AX1234">
        <f t="shared" ca="1" si="534"/>
        <v>0</v>
      </c>
      <c r="AY1234">
        <f t="shared" ca="1" si="535"/>
        <v>-1240000.0000000019</v>
      </c>
      <c r="AZ1234">
        <f ca="1">IF(ROW()&lt;($C$7+1),"",IFERROR((分析データ!C1234-AVERAGE(OFFSET(分析データ!C$1,MAX(1,ROW()-$C$7),0,MIN($C$7,ROW()-1),1)))/STDEV(OFFSET(分析データ!C$1,MAX(1,ROW()-$C$7),0,MIN($C$7,ROW()-1),1)),0))</f>
        <v>0</v>
      </c>
      <c r="BA1234">
        <f t="shared" ca="1" si="536"/>
        <v>0</v>
      </c>
      <c r="BB1234" t="str">
        <f ca="1">IF(BA1234=1,IF(INDEX(分析データ!$A:$A,ROW()+$C$5)&lt;&gt;"",60000*SIGN(AZ1234)*(分析データ!C1234-INDEX(分析データ!C:C,ROW()+$C$5)),""),"")</f>
        <v/>
      </c>
      <c r="BC1234">
        <f t="shared" ca="1" si="537"/>
        <v>-260999.9999999851</v>
      </c>
      <c r="BD1234">
        <f t="shared" ca="1" si="538"/>
        <v>3156000.0000000107</v>
      </c>
      <c r="BE1234">
        <f t="shared" ca="1" si="539"/>
        <v>-3416999.9999999958</v>
      </c>
      <c r="BF1234">
        <f ca="1">IF(ROW()&lt;($C$7+1),"",IFERROR((分析データ!D1234-AVERAGE(OFFSET(分析データ!D$1,MAX(1,ROW()-$C$7),0,MIN($C$7,ROW()-1),1)))/STDEV(OFFSET(分析データ!D$1,MAX(1,ROW()-$C$7),0,MIN($C$7,ROW()-1),1)),0))</f>
        <v>0</v>
      </c>
      <c r="BG1234">
        <f t="shared" ca="1" si="540"/>
        <v>0</v>
      </c>
      <c r="BH1234" t="str">
        <f ca="1">IF(BG1234=1,IF(INDEX(分析データ!$A:$A,ROW()+$C$5)&lt;&gt;"",50000*SIGN(BF1234)*(分析データ!D1234-INDEX(分析データ!D:D,ROW()+$C$5)),""),"")</f>
        <v/>
      </c>
      <c r="BI1234">
        <f t="shared" ca="1" si="541"/>
        <v>5570000.0000000205</v>
      </c>
      <c r="BJ1234">
        <f t="shared" ca="1" si="542"/>
        <v>5570000.0000000205</v>
      </c>
      <c r="BK1234">
        <f t="shared" ca="1" si="543"/>
        <v>0</v>
      </c>
      <c r="BL1234">
        <f ca="1">IF(ROW()&lt;($C$7+1),"",IFERROR((分析データ!E1234-AVERAGE(OFFSET(分析データ!E$1,MAX(1,ROW()-$C$7),0,MIN($C$7,ROW()-1),1)))/STDEV(OFFSET(分析データ!E$1,MAX(1,ROW()-$C$7),0,MIN($C$7,ROW()-1),1)),0))</f>
        <v>0</v>
      </c>
      <c r="BM1234">
        <f t="shared" ca="1" si="544"/>
        <v>0</v>
      </c>
      <c r="BN1234" t="str">
        <f ca="1">IF(BM1234=1,IF(INDEX(分析データ!$A:$A,ROW()+$C$5)&lt;&gt;"",40000*SIGN(BL1234)*(分析データ!E1234-INDEX(分析データ!E:E,ROW()+$C$5)),""),"")</f>
        <v/>
      </c>
      <c r="BO1234">
        <f t="shared" ca="1" si="545"/>
        <v>2720000.0000000014</v>
      </c>
      <c r="BP1234">
        <f t="shared" ca="1" si="546"/>
        <v>4280000.0000000028</v>
      </c>
      <c r="BQ1234">
        <f t="shared" ca="1" si="547"/>
        <v>-1560000.0000000014</v>
      </c>
      <c r="BR1234">
        <f ca="1">IF(ROW()&lt;($C$7+1),"",IFERROR((分析データ!F1234-AVERAGE(OFFSET(分析データ!F$1,MAX(1,ROW()-$C$7),0,MIN($C$7,ROW()-1),1)))/STDEV(OFFSET(分析データ!F$1,MAX(1,ROW()-$C$7),0,MIN($C$7,ROW()-1),1)),0))</f>
        <v>0</v>
      </c>
      <c r="BS1234">
        <f t="shared" ca="1" si="548"/>
        <v>0</v>
      </c>
      <c r="BT1234" t="str">
        <f ca="1">IF(BS1234=1,IF(INDEX(分析データ!$A:$A,ROW()+$C$5)&lt;&gt;"",40000*SIGN(BR1234)*(分析データ!F1234-INDEX(分析データ!F:F,ROW()+$C$5)),""),"")</f>
        <v/>
      </c>
      <c r="BU1234">
        <f t="shared" ca="1" si="549"/>
        <v>19816800</v>
      </c>
      <c r="BV1234">
        <f t="shared" ca="1" si="550"/>
        <v>19816800</v>
      </c>
      <c r="BW1234">
        <f t="shared" ca="1" si="551"/>
        <v>0</v>
      </c>
      <c r="BX1234">
        <f ca="1">IF(ROW()&lt;($C$7+1),"",IFERROR((分析データ!G1234-AVERAGE(OFFSET(分析データ!G$1,MAX(1,ROW()-$C$7),0,MIN($C$7,ROW()-1),1)))/STDEV(OFFSET(分析データ!G$1,MAX(1,ROW()-$C$7),0,MIN($C$7,ROW()-1),1)),0))</f>
        <v>0</v>
      </c>
      <c r="BY1234">
        <f t="shared" ca="1" si="552"/>
        <v>0</v>
      </c>
      <c r="BZ1234" t="str">
        <f ca="1">IF(BY1234=1,IF(INDEX(分析データ!$A:$A,ROW()+$C$5)&lt;&gt;"",40000*SIGN(BX1234)*(分析データ!G1234-INDEX(分析データ!G:G,ROW()+$C$5)),""),"")</f>
        <v/>
      </c>
      <c r="CA1234">
        <f t="shared" ca="1" si="553"/>
        <v>-3515452.8662109179</v>
      </c>
      <c r="CB1234">
        <f t="shared" ca="1" si="554"/>
        <v>11327520.000000004</v>
      </c>
      <c r="CC1234">
        <f t="shared" ca="1" si="555"/>
        <v>-14842972.866210923</v>
      </c>
      <c r="CD1234">
        <f t="shared" ca="1" si="556"/>
        <v>0</v>
      </c>
      <c r="CE1234">
        <f t="shared" ca="1" si="557"/>
        <v>23090347.13378913</v>
      </c>
      <c r="CF1234">
        <f t="shared" ca="1" si="558"/>
        <v>23090347.13378913</v>
      </c>
      <c r="CG1234">
        <f t="shared" ca="1" si="559"/>
        <v>0</v>
      </c>
      <c r="CH1234" s="10" t="str">
        <f>分析データ!A1234</f>
        <v/>
      </c>
    </row>
    <row r="1235" spans="46:86">
      <c r="AT1235">
        <f ca="1">IF(ROW()&lt;($C$7+1),"",IFERROR((分析データ!B1235-AVERAGE(OFFSET(分析データ!B$1,MAX(1,ROW()-$C$7),0,MIN($C$7,ROW()-1),1)))/STDEV(OFFSET(分析データ!B$1,MAX(1,ROW()-$C$7),0,MIN($C$7,ROW()-1),1)),0))</f>
        <v>0</v>
      </c>
      <c r="AU1235">
        <f t="shared" ca="1" si="532"/>
        <v>0</v>
      </c>
      <c r="AV1235" t="str">
        <f ca="1">IF(AU1235=1,IF(INDEX(分析データ!$A:$A,ROW()+$C$5)&lt;&gt;"",80000*SIGN(AT1235)*(分析データ!B1235-INDEX(分析データ!B:B,ROW()+$C$5)),""),"")</f>
        <v/>
      </c>
      <c r="AW1235">
        <f t="shared" ca="1" si="533"/>
        <v>-1240000.0000000019</v>
      </c>
      <c r="AX1235">
        <f t="shared" ca="1" si="534"/>
        <v>0</v>
      </c>
      <c r="AY1235">
        <f t="shared" ca="1" si="535"/>
        <v>-1240000.0000000019</v>
      </c>
      <c r="AZ1235">
        <f ca="1">IF(ROW()&lt;($C$7+1),"",IFERROR((分析データ!C1235-AVERAGE(OFFSET(分析データ!C$1,MAX(1,ROW()-$C$7),0,MIN($C$7,ROW()-1),1)))/STDEV(OFFSET(分析データ!C$1,MAX(1,ROW()-$C$7),0,MIN($C$7,ROW()-1),1)),0))</f>
        <v>0</v>
      </c>
      <c r="BA1235">
        <f t="shared" ca="1" si="536"/>
        <v>0</v>
      </c>
      <c r="BB1235" t="str">
        <f ca="1">IF(BA1235=1,IF(INDEX(分析データ!$A:$A,ROW()+$C$5)&lt;&gt;"",60000*SIGN(AZ1235)*(分析データ!C1235-INDEX(分析データ!C:C,ROW()+$C$5)),""),"")</f>
        <v/>
      </c>
      <c r="BC1235">
        <f t="shared" ca="1" si="537"/>
        <v>-260999.9999999851</v>
      </c>
      <c r="BD1235">
        <f t="shared" ca="1" si="538"/>
        <v>3156000.0000000107</v>
      </c>
      <c r="BE1235">
        <f t="shared" ca="1" si="539"/>
        <v>-3416999.9999999958</v>
      </c>
      <c r="BF1235">
        <f ca="1">IF(ROW()&lt;($C$7+1),"",IFERROR((分析データ!D1235-AVERAGE(OFFSET(分析データ!D$1,MAX(1,ROW()-$C$7),0,MIN($C$7,ROW()-1),1)))/STDEV(OFFSET(分析データ!D$1,MAX(1,ROW()-$C$7),0,MIN($C$7,ROW()-1),1)),0))</f>
        <v>0</v>
      </c>
      <c r="BG1235">
        <f t="shared" ca="1" si="540"/>
        <v>0</v>
      </c>
      <c r="BH1235" t="str">
        <f ca="1">IF(BG1235=1,IF(INDEX(分析データ!$A:$A,ROW()+$C$5)&lt;&gt;"",50000*SIGN(BF1235)*(分析データ!D1235-INDEX(分析データ!D:D,ROW()+$C$5)),""),"")</f>
        <v/>
      </c>
      <c r="BI1235">
        <f t="shared" ca="1" si="541"/>
        <v>5570000.0000000205</v>
      </c>
      <c r="BJ1235">
        <f t="shared" ca="1" si="542"/>
        <v>5570000.0000000205</v>
      </c>
      <c r="BK1235">
        <f t="shared" ca="1" si="543"/>
        <v>0</v>
      </c>
      <c r="BL1235">
        <f ca="1">IF(ROW()&lt;($C$7+1),"",IFERROR((分析データ!E1235-AVERAGE(OFFSET(分析データ!E$1,MAX(1,ROW()-$C$7),0,MIN($C$7,ROW()-1),1)))/STDEV(OFFSET(分析データ!E$1,MAX(1,ROW()-$C$7),0,MIN($C$7,ROW()-1),1)),0))</f>
        <v>0</v>
      </c>
      <c r="BM1235">
        <f t="shared" ca="1" si="544"/>
        <v>0</v>
      </c>
      <c r="BN1235" t="str">
        <f ca="1">IF(BM1235=1,IF(INDEX(分析データ!$A:$A,ROW()+$C$5)&lt;&gt;"",40000*SIGN(BL1235)*(分析データ!E1235-INDEX(分析データ!E:E,ROW()+$C$5)),""),"")</f>
        <v/>
      </c>
      <c r="BO1235">
        <f t="shared" ca="1" si="545"/>
        <v>2720000.0000000014</v>
      </c>
      <c r="BP1235">
        <f t="shared" ca="1" si="546"/>
        <v>4280000.0000000028</v>
      </c>
      <c r="BQ1235">
        <f t="shared" ca="1" si="547"/>
        <v>-1560000.0000000014</v>
      </c>
      <c r="BR1235">
        <f ca="1">IF(ROW()&lt;($C$7+1),"",IFERROR((分析データ!F1235-AVERAGE(OFFSET(分析データ!F$1,MAX(1,ROW()-$C$7),0,MIN($C$7,ROW()-1),1)))/STDEV(OFFSET(分析データ!F$1,MAX(1,ROW()-$C$7),0,MIN($C$7,ROW()-1),1)),0))</f>
        <v>0</v>
      </c>
      <c r="BS1235">
        <f t="shared" ca="1" si="548"/>
        <v>0</v>
      </c>
      <c r="BT1235" t="str">
        <f ca="1">IF(BS1235=1,IF(INDEX(分析データ!$A:$A,ROW()+$C$5)&lt;&gt;"",40000*SIGN(BR1235)*(分析データ!F1235-INDEX(分析データ!F:F,ROW()+$C$5)),""),"")</f>
        <v/>
      </c>
      <c r="BU1235">
        <f t="shared" ca="1" si="549"/>
        <v>19816800</v>
      </c>
      <c r="BV1235">
        <f t="shared" ca="1" si="550"/>
        <v>19816800</v>
      </c>
      <c r="BW1235">
        <f t="shared" ca="1" si="551"/>
        <v>0</v>
      </c>
      <c r="BX1235">
        <f ca="1">IF(ROW()&lt;($C$7+1),"",IFERROR((分析データ!G1235-AVERAGE(OFFSET(分析データ!G$1,MAX(1,ROW()-$C$7),0,MIN($C$7,ROW()-1),1)))/STDEV(OFFSET(分析データ!G$1,MAX(1,ROW()-$C$7),0,MIN($C$7,ROW()-1),1)),0))</f>
        <v>0</v>
      </c>
      <c r="BY1235">
        <f t="shared" ca="1" si="552"/>
        <v>0</v>
      </c>
      <c r="BZ1235" t="str">
        <f ca="1">IF(BY1235=1,IF(INDEX(分析データ!$A:$A,ROW()+$C$5)&lt;&gt;"",40000*SIGN(BX1235)*(分析データ!G1235-INDEX(分析データ!G:G,ROW()+$C$5)),""),"")</f>
        <v/>
      </c>
      <c r="CA1235">
        <f t="shared" ca="1" si="553"/>
        <v>-3515452.8662109179</v>
      </c>
      <c r="CB1235">
        <f t="shared" ca="1" si="554"/>
        <v>11327520.000000004</v>
      </c>
      <c r="CC1235">
        <f t="shared" ca="1" si="555"/>
        <v>-14842972.866210923</v>
      </c>
      <c r="CD1235">
        <f t="shared" ca="1" si="556"/>
        <v>0</v>
      </c>
      <c r="CE1235">
        <f t="shared" ca="1" si="557"/>
        <v>23090347.13378913</v>
      </c>
      <c r="CF1235">
        <f t="shared" ca="1" si="558"/>
        <v>23090347.13378913</v>
      </c>
      <c r="CG1235">
        <f t="shared" ca="1" si="559"/>
        <v>0</v>
      </c>
      <c r="CH1235" s="10" t="str">
        <f>分析データ!A1235</f>
        <v/>
      </c>
    </row>
    <row r="1236" spans="46:86">
      <c r="AT1236">
        <f ca="1">IF(ROW()&lt;($C$7+1),"",IFERROR((分析データ!B1236-AVERAGE(OFFSET(分析データ!B$1,MAX(1,ROW()-$C$7),0,MIN($C$7,ROW()-1),1)))/STDEV(OFFSET(分析データ!B$1,MAX(1,ROW()-$C$7),0,MIN($C$7,ROW()-1),1)),0))</f>
        <v>0</v>
      </c>
      <c r="AU1236">
        <f t="shared" ca="1" si="532"/>
        <v>0</v>
      </c>
      <c r="AV1236" t="str">
        <f ca="1">IF(AU1236=1,IF(INDEX(分析データ!$A:$A,ROW()+$C$5)&lt;&gt;"",80000*SIGN(AT1236)*(分析データ!B1236-INDEX(分析データ!B:B,ROW()+$C$5)),""),"")</f>
        <v/>
      </c>
      <c r="AW1236">
        <f t="shared" ca="1" si="533"/>
        <v>-1240000.0000000019</v>
      </c>
      <c r="AX1236">
        <f t="shared" ca="1" si="534"/>
        <v>0</v>
      </c>
      <c r="AY1236">
        <f t="shared" ca="1" si="535"/>
        <v>-1240000.0000000019</v>
      </c>
      <c r="AZ1236">
        <f ca="1">IF(ROW()&lt;($C$7+1),"",IFERROR((分析データ!C1236-AVERAGE(OFFSET(分析データ!C$1,MAX(1,ROW()-$C$7),0,MIN($C$7,ROW()-1),1)))/STDEV(OFFSET(分析データ!C$1,MAX(1,ROW()-$C$7),0,MIN($C$7,ROW()-1),1)),0))</f>
        <v>0</v>
      </c>
      <c r="BA1236">
        <f t="shared" ca="1" si="536"/>
        <v>0</v>
      </c>
      <c r="BB1236" t="str">
        <f ca="1">IF(BA1236=1,IF(INDEX(分析データ!$A:$A,ROW()+$C$5)&lt;&gt;"",60000*SIGN(AZ1236)*(分析データ!C1236-INDEX(分析データ!C:C,ROW()+$C$5)),""),"")</f>
        <v/>
      </c>
      <c r="BC1236">
        <f t="shared" ca="1" si="537"/>
        <v>-260999.9999999851</v>
      </c>
      <c r="BD1236">
        <f t="shared" ca="1" si="538"/>
        <v>3156000.0000000107</v>
      </c>
      <c r="BE1236">
        <f t="shared" ca="1" si="539"/>
        <v>-3416999.9999999958</v>
      </c>
      <c r="BF1236">
        <f ca="1">IF(ROW()&lt;($C$7+1),"",IFERROR((分析データ!D1236-AVERAGE(OFFSET(分析データ!D$1,MAX(1,ROW()-$C$7),0,MIN($C$7,ROW()-1),1)))/STDEV(OFFSET(分析データ!D$1,MAX(1,ROW()-$C$7),0,MIN($C$7,ROW()-1),1)),0))</f>
        <v>0</v>
      </c>
      <c r="BG1236">
        <f t="shared" ca="1" si="540"/>
        <v>0</v>
      </c>
      <c r="BH1236" t="str">
        <f ca="1">IF(BG1236=1,IF(INDEX(分析データ!$A:$A,ROW()+$C$5)&lt;&gt;"",50000*SIGN(BF1236)*(分析データ!D1236-INDEX(分析データ!D:D,ROW()+$C$5)),""),"")</f>
        <v/>
      </c>
      <c r="BI1236">
        <f t="shared" ca="1" si="541"/>
        <v>5570000.0000000205</v>
      </c>
      <c r="BJ1236">
        <f t="shared" ca="1" si="542"/>
        <v>5570000.0000000205</v>
      </c>
      <c r="BK1236">
        <f t="shared" ca="1" si="543"/>
        <v>0</v>
      </c>
      <c r="BL1236">
        <f ca="1">IF(ROW()&lt;($C$7+1),"",IFERROR((分析データ!E1236-AVERAGE(OFFSET(分析データ!E$1,MAX(1,ROW()-$C$7),0,MIN($C$7,ROW()-1),1)))/STDEV(OFFSET(分析データ!E$1,MAX(1,ROW()-$C$7),0,MIN($C$7,ROW()-1),1)),0))</f>
        <v>0</v>
      </c>
      <c r="BM1236">
        <f t="shared" ca="1" si="544"/>
        <v>0</v>
      </c>
      <c r="BN1236" t="str">
        <f ca="1">IF(BM1236=1,IF(INDEX(分析データ!$A:$A,ROW()+$C$5)&lt;&gt;"",40000*SIGN(BL1236)*(分析データ!E1236-INDEX(分析データ!E:E,ROW()+$C$5)),""),"")</f>
        <v/>
      </c>
      <c r="BO1236">
        <f t="shared" ca="1" si="545"/>
        <v>2720000.0000000014</v>
      </c>
      <c r="BP1236">
        <f t="shared" ca="1" si="546"/>
        <v>4280000.0000000028</v>
      </c>
      <c r="BQ1236">
        <f t="shared" ca="1" si="547"/>
        <v>-1560000.0000000014</v>
      </c>
      <c r="BR1236">
        <f ca="1">IF(ROW()&lt;($C$7+1),"",IFERROR((分析データ!F1236-AVERAGE(OFFSET(分析データ!F$1,MAX(1,ROW()-$C$7),0,MIN($C$7,ROW()-1),1)))/STDEV(OFFSET(分析データ!F$1,MAX(1,ROW()-$C$7),0,MIN($C$7,ROW()-1),1)),0))</f>
        <v>0</v>
      </c>
      <c r="BS1236">
        <f t="shared" ca="1" si="548"/>
        <v>0</v>
      </c>
      <c r="BT1236" t="str">
        <f ca="1">IF(BS1236=1,IF(INDEX(分析データ!$A:$A,ROW()+$C$5)&lt;&gt;"",40000*SIGN(BR1236)*(分析データ!F1236-INDEX(分析データ!F:F,ROW()+$C$5)),""),"")</f>
        <v/>
      </c>
      <c r="BU1236">
        <f t="shared" ca="1" si="549"/>
        <v>19816800</v>
      </c>
      <c r="BV1236">
        <f t="shared" ca="1" si="550"/>
        <v>19816800</v>
      </c>
      <c r="BW1236">
        <f t="shared" ca="1" si="551"/>
        <v>0</v>
      </c>
      <c r="BX1236">
        <f ca="1">IF(ROW()&lt;($C$7+1),"",IFERROR((分析データ!G1236-AVERAGE(OFFSET(分析データ!G$1,MAX(1,ROW()-$C$7),0,MIN($C$7,ROW()-1),1)))/STDEV(OFFSET(分析データ!G$1,MAX(1,ROW()-$C$7),0,MIN($C$7,ROW()-1),1)),0))</f>
        <v>0</v>
      </c>
      <c r="BY1236">
        <f t="shared" ca="1" si="552"/>
        <v>0</v>
      </c>
      <c r="BZ1236" t="str">
        <f ca="1">IF(BY1236=1,IF(INDEX(分析データ!$A:$A,ROW()+$C$5)&lt;&gt;"",40000*SIGN(BX1236)*(分析データ!G1236-INDEX(分析データ!G:G,ROW()+$C$5)),""),"")</f>
        <v/>
      </c>
      <c r="CA1236">
        <f t="shared" ca="1" si="553"/>
        <v>-3515452.8662109179</v>
      </c>
      <c r="CB1236">
        <f t="shared" ca="1" si="554"/>
        <v>11327520.000000004</v>
      </c>
      <c r="CC1236">
        <f t="shared" ca="1" si="555"/>
        <v>-14842972.866210923</v>
      </c>
      <c r="CD1236">
        <f t="shared" ca="1" si="556"/>
        <v>0</v>
      </c>
      <c r="CE1236">
        <f t="shared" ca="1" si="557"/>
        <v>23090347.13378913</v>
      </c>
      <c r="CF1236">
        <f t="shared" ca="1" si="558"/>
        <v>23090347.13378913</v>
      </c>
      <c r="CG1236">
        <f t="shared" ca="1" si="559"/>
        <v>0</v>
      </c>
      <c r="CH1236" s="10" t="str">
        <f>分析データ!A1236</f>
        <v/>
      </c>
    </row>
    <row r="1237" spans="46:86">
      <c r="AT1237">
        <f ca="1">IF(ROW()&lt;($C$7+1),"",IFERROR((分析データ!B1237-AVERAGE(OFFSET(分析データ!B$1,MAX(1,ROW()-$C$7),0,MIN($C$7,ROW()-1),1)))/STDEV(OFFSET(分析データ!B$1,MAX(1,ROW()-$C$7),0,MIN($C$7,ROW()-1),1)),0))</f>
        <v>0</v>
      </c>
      <c r="AU1237">
        <f t="shared" ca="1" si="532"/>
        <v>0</v>
      </c>
      <c r="AV1237" t="str">
        <f ca="1">IF(AU1237=1,IF(INDEX(分析データ!$A:$A,ROW()+$C$5)&lt;&gt;"",80000*SIGN(AT1237)*(分析データ!B1237-INDEX(分析データ!B:B,ROW()+$C$5)),""),"")</f>
        <v/>
      </c>
      <c r="AW1237">
        <f t="shared" ca="1" si="533"/>
        <v>-1240000.0000000019</v>
      </c>
      <c r="AX1237">
        <f t="shared" ca="1" si="534"/>
        <v>0</v>
      </c>
      <c r="AY1237">
        <f t="shared" ca="1" si="535"/>
        <v>-1240000.0000000019</v>
      </c>
      <c r="AZ1237">
        <f ca="1">IF(ROW()&lt;($C$7+1),"",IFERROR((分析データ!C1237-AVERAGE(OFFSET(分析データ!C$1,MAX(1,ROW()-$C$7),0,MIN($C$7,ROW()-1),1)))/STDEV(OFFSET(分析データ!C$1,MAX(1,ROW()-$C$7),0,MIN($C$7,ROW()-1),1)),0))</f>
        <v>0</v>
      </c>
      <c r="BA1237">
        <f t="shared" ca="1" si="536"/>
        <v>0</v>
      </c>
      <c r="BB1237" t="str">
        <f ca="1">IF(BA1237=1,IF(INDEX(分析データ!$A:$A,ROW()+$C$5)&lt;&gt;"",60000*SIGN(AZ1237)*(分析データ!C1237-INDEX(分析データ!C:C,ROW()+$C$5)),""),"")</f>
        <v/>
      </c>
      <c r="BC1237">
        <f t="shared" ca="1" si="537"/>
        <v>-260999.9999999851</v>
      </c>
      <c r="BD1237">
        <f t="shared" ca="1" si="538"/>
        <v>3156000.0000000107</v>
      </c>
      <c r="BE1237">
        <f t="shared" ca="1" si="539"/>
        <v>-3416999.9999999958</v>
      </c>
      <c r="BF1237">
        <f ca="1">IF(ROW()&lt;($C$7+1),"",IFERROR((分析データ!D1237-AVERAGE(OFFSET(分析データ!D$1,MAX(1,ROW()-$C$7),0,MIN($C$7,ROW()-1),1)))/STDEV(OFFSET(分析データ!D$1,MAX(1,ROW()-$C$7),0,MIN($C$7,ROW()-1),1)),0))</f>
        <v>0</v>
      </c>
      <c r="BG1237">
        <f t="shared" ca="1" si="540"/>
        <v>0</v>
      </c>
      <c r="BH1237" t="str">
        <f ca="1">IF(BG1237=1,IF(INDEX(分析データ!$A:$A,ROW()+$C$5)&lt;&gt;"",50000*SIGN(BF1237)*(分析データ!D1237-INDEX(分析データ!D:D,ROW()+$C$5)),""),"")</f>
        <v/>
      </c>
      <c r="BI1237">
        <f t="shared" ca="1" si="541"/>
        <v>5570000.0000000205</v>
      </c>
      <c r="BJ1237">
        <f t="shared" ca="1" si="542"/>
        <v>5570000.0000000205</v>
      </c>
      <c r="BK1237">
        <f t="shared" ca="1" si="543"/>
        <v>0</v>
      </c>
      <c r="BL1237">
        <f ca="1">IF(ROW()&lt;($C$7+1),"",IFERROR((分析データ!E1237-AVERAGE(OFFSET(分析データ!E$1,MAX(1,ROW()-$C$7),0,MIN($C$7,ROW()-1),1)))/STDEV(OFFSET(分析データ!E$1,MAX(1,ROW()-$C$7),0,MIN($C$7,ROW()-1),1)),0))</f>
        <v>0</v>
      </c>
      <c r="BM1237">
        <f t="shared" ca="1" si="544"/>
        <v>0</v>
      </c>
      <c r="BN1237" t="str">
        <f ca="1">IF(BM1237=1,IF(INDEX(分析データ!$A:$A,ROW()+$C$5)&lt;&gt;"",40000*SIGN(BL1237)*(分析データ!E1237-INDEX(分析データ!E:E,ROW()+$C$5)),""),"")</f>
        <v/>
      </c>
      <c r="BO1237">
        <f t="shared" ca="1" si="545"/>
        <v>2720000.0000000014</v>
      </c>
      <c r="BP1237">
        <f t="shared" ca="1" si="546"/>
        <v>4280000.0000000028</v>
      </c>
      <c r="BQ1237">
        <f t="shared" ca="1" si="547"/>
        <v>-1560000.0000000014</v>
      </c>
      <c r="BR1237">
        <f ca="1">IF(ROW()&lt;($C$7+1),"",IFERROR((分析データ!F1237-AVERAGE(OFFSET(分析データ!F$1,MAX(1,ROW()-$C$7),0,MIN($C$7,ROW()-1),1)))/STDEV(OFFSET(分析データ!F$1,MAX(1,ROW()-$C$7),0,MIN($C$7,ROW()-1),1)),0))</f>
        <v>0</v>
      </c>
      <c r="BS1237">
        <f t="shared" ca="1" si="548"/>
        <v>0</v>
      </c>
      <c r="BT1237" t="str">
        <f ca="1">IF(BS1237=1,IF(INDEX(分析データ!$A:$A,ROW()+$C$5)&lt;&gt;"",40000*SIGN(BR1237)*(分析データ!F1237-INDEX(分析データ!F:F,ROW()+$C$5)),""),"")</f>
        <v/>
      </c>
      <c r="BU1237">
        <f t="shared" ca="1" si="549"/>
        <v>19816800</v>
      </c>
      <c r="BV1237">
        <f t="shared" ca="1" si="550"/>
        <v>19816800</v>
      </c>
      <c r="BW1237">
        <f t="shared" ca="1" si="551"/>
        <v>0</v>
      </c>
      <c r="BX1237">
        <f ca="1">IF(ROW()&lt;($C$7+1),"",IFERROR((分析データ!G1237-AVERAGE(OFFSET(分析データ!G$1,MAX(1,ROW()-$C$7),0,MIN($C$7,ROW()-1),1)))/STDEV(OFFSET(分析データ!G$1,MAX(1,ROW()-$C$7),0,MIN($C$7,ROW()-1),1)),0))</f>
        <v>0</v>
      </c>
      <c r="BY1237">
        <f t="shared" ca="1" si="552"/>
        <v>0</v>
      </c>
      <c r="BZ1237" t="str">
        <f ca="1">IF(BY1237=1,IF(INDEX(分析データ!$A:$A,ROW()+$C$5)&lt;&gt;"",40000*SIGN(BX1237)*(分析データ!G1237-INDEX(分析データ!G:G,ROW()+$C$5)),""),"")</f>
        <v/>
      </c>
      <c r="CA1237">
        <f t="shared" ca="1" si="553"/>
        <v>-3515452.8662109179</v>
      </c>
      <c r="CB1237">
        <f t="shared" ca="1" si="554"/>
        <v>11327520.000000004</v>
      </c>
      <c r="CC1237">
        <f t="shared" ca="1" si="555"/>
        <v>-14842972.866210923</v>
      </c>
      <c r="CD1237">
        <f t="shared" ca="1" si="556"/>
        <v>0</v>
      </c>
      <c r="CE1237">
        <f t="shared" ca="1" si="557"/>
        <v>23090347.13378913</v>
      </c>
      <c r="CF1237">
        <f t="shared" ca="1" si="558"/>
        <v>23090347.13378913</v>
      </c>
      <c r="CG1237">
        <f t="shared" ca="1" si="559"/>
        <v>0</v>
      </c>
      <c r="CH1237" s="10" t="str">
        <f>分析データ!A1237</f>
        <v/>
      </c>
    </row>
    <row r="1238" spans="46:86">
      <c r="AT1238">
        <f ca="1">IF(ROW()&lt;($C$7+1),"",IFERROR((分析データ!B1238-AVERAGE(OFFSET(分析データ!B$1,MAX(1,ROW()-$C$7),0,MIN($C$7,ROW()-1),1)))/STDEV(OFFSET(分析データ!B$1,MAX(1,ROW()-$C$7),0,MIN($C$7,ROW()-1),1)),0))</f>
        <v>0</v>
      </c>
      <c r="AU1238">
        <f t="shared" ca="1" si="532"/>
        <v>0</v>
      </c>
      <c r="AV1238" t="str">
        <f ca="1">IF(AU1238=1,IF(INDEX(分析データ!$A:$A,ROW()+$C$5)&lt;&gt;"",80000*SIGN(AT1238)*(分析データ!B1238-INDEX(分析データ!B:B,ROW()+$C$5)),""),"")</f>
        <v/>
      </c>
      <c r="AW1238">
        <f t="shared" ca="1" si="533"/>
        <v>-1240000.0000000019</v>
      </c>
      <c r="AX1238">
        <f t="shared" ca="1" si="534"/>
        <v>0</v>
      </c>
      <c r="AY1238">
        <f t="shared" ca="1" si="535"/>
        <v>-1240000.0000000019</v>
      </c>
      <c r="AZ1238">
        <f ca="1">IF(ROW()&lt;($C$7+1),"",IFERROR((分析データ!C1238-AVERAGE(OFFSET(分析データ!C$1,MAX(1,ROW()-$C$7),0,MIN($C$7,ROW()-1),1)))/STDEV(OFFSET(分析データ!C$1,MAX(1,ROW()-$C$7),0,MIN($C$7,ROW()-1),1)),0))</f>
        <v>0</v>
      </c>
      <c r="BA1238">
        <f t="shared" ca="1" si="536"/>
        <v>0</v>
      </c>
      <c r="BB1238" t="str">
        <f ca="1">IF(BA1238=1,IF(INDEX(分析データ!$A:$A,ROW()+$C$5)&lt;&gt;"",60000*SIGN(AZ1238)*(分析データ!C1238-INDEX(分析データ!C:C,ROW()+$C$5)),""),"")</f>
        <v/>
      </c>
      <c r="BC1238">
        <f t="shared" ca="1" si="537"/>
        <v>-260999.9999999851</v>
      </c>
      <c r="BD1238">
        <f t="shared" ca="1" si="538"/>
        <v>3156000.0000000107</v>
      </c>
      <c r="BE1238">
        <f t="shared" ca="1" si="539"/>
        <v>-3416999.9999999958</v>
      </c>
      <c r="BF1238">
        <f ca="1">IF(ROW()&lt;($C$7+1),"",IFERROR((分析データ!D1238-AVERAGE(OFFSET(分析データ!D$1,MAX(1,ROW()-$C$7),0,MIN($C$7,ROW()-1),1)))/STDEV(OFFSET(分析データ!D$1,MAX(1,ROW()-$C$7),0,MIN($C$7,ROW()-1),1)),0))</f>
        <v>0</v>
      </c>
      <c r="BG1238">
        <f t="shared" ca="1" si="540"/>
        <v>0</v>
      </c>
      <c r="BH1238" t="str">
        <f ca="1">IF(BG1238=1,IF(INDEX(分析データ!$A:$A,ROW()+$C$5)&lt;&gt;"",50000*SIGN(BF1238)*(分析データ!D1238-INDEX(分析データ!D:D,ROW()+$C$5)),""),"")</f>
        <v/>
      </c>
      <c r="BI1238">
        <f t="shared" ca="1" si="541"/>
        <v>5570000.0000000205</v>
      </c>
      <c r="BJ1238">
        <f t="shared" ca="1" si="542"/>
        <v>5570000.0000000205</v>
      </c>
      <c r="BK1238">
        <f t="shared" ca="1" si="543"/>
        <v>0</v>
      </c>
      <c r="BL1238">
        <f ca="1">IF(ROW()&lt;($C$7+1),"",IFERROR((分析データ!E1238-AVERAGE(OFFSET(分析データ!E$1,MAX(1,ROW()-$C$7),0,MIN($C$7,ROW()-1),1)))/STDEV(OFFSET(分析データ!E$1,MAX(1,ROW()-$C$7),0,MIN($C$7,ROW()-1),1)),0))</f>
        <v>0</v>
      </c>
      <c r="BM1238">
        <f t="shared" ca="1" si="544"/>
        <v>0</v>
      </c>
      <c r="BN1238" t="str">
        <f ca="1">IF(BM1238=1,IF(INDEX(分析データ!$A:$A,ROW()+$C$5)&lt;&gt;"",40000*SIGN(BL1238)*(分析データ!E1238-INDEX(分析データ!E:E,ROW()+$C$5)),""),"")</f>
        <v/>
      </c>
      <c r="BO1238">
        <f t="shared" ca="1" si="545"/>
        <v>2720000.0000000014</v>
      </c>
      <c r="BP1238">
        <f t="shared" ca="1" si="546"/>
        <v>4280000.0000000028</v>
      </c>
      <c r="BQ1238">
        <f t="shared" ca="1" si="547"/>
        <v>-1560000.0000000014</v>
      </c>
      <c r="BR1238">
        <f ca="1">IF(ROW()&lt;($C$7+1),"",IFERROR((分析データ!F1238-AVERAGE(OFFSET(分析データ!F$1,MAX(1,ROW()-$C$7),0,MIN($C$7,ROW()-1),1)))/STDEV(OFFSET(分析データ!F$1,MAX(1,ROW()-$C$7),0,MIN($C$7,ROW()-1),1)),0))</f>
        <v>0</v>
      </c>
      <c r="BS1238">
        <f t="shared" ca="1" si="548"/>
        <v>0</v>
      </c>
      <c r="BT1238" t="str">
        <f ca="1">IF(BS1238=1,IF(INDEX(分析データ!$A:$A,ROW()+$C$5)&lt;&gt;"",40000*SIGN(BR1238)*(分析データ!F1238-INDEX(分析データ!F:F,ROW()+$C$5)),""),"")</f>
        <v/>
      </c>
      <c r="BU1238">
        <f t="shared" ca="1" si="549"/>
        <v>19816800</v>
      </c>
      <c r="BV1238">
        <f t="shared" ca="1" si="550"/>
        <v>19816800</v>
      </c>
      <c r="BW1238">
        <f t="shared" ca="1" si="551"/>
        <v>0</v>
      </c>
      <c r="BX1238">
        <f ca="1">IF(ROW()&lt;($C$7+1),"",IFERROR((分析データ!G1238-AVERAGE(OFFSET(分析データ!G$1,MAX(1,ROW()-$C$7),0,MIN($C$7,ROW()-1),1)))/STDEV(OFFSET(分析データ!G$1,MAX(1,ROW()-$C$7),0,MIN($C$7,ROW()-1),1)),0))</f>
        <v>0</v>
      </c>
      <c r="BY1238">
        <f t="shared" ca="1" si="552"/>
        <v>0</v>
      </c>
      <c r="BZ1238" t="str">
        <f ca="1">IF(BY1238=1,IF(INDEX(分析データ!$A:$A,ROW()+$C$5)&lt;&gt;"",40000*SIGN(BX1238)*(分析データ!G1238-INDEX(分析データ!G:G,ROW()+$C$5)),""),"")</f>
        <v/>
      </c>
      <c r="CA1238">
        <f t="shared" ca="1" si="553"/>
        <v>-3515452.8662109179</v>
      </c>
      <c r="CB1238">
        <f t="shared" ca="1" si="554"/>
        <v>11327520.000000004</v>
      </c>
      <c r="CC1238">
        <f t="shared" ca="1" si="555"/>
        <v>-14842972.866210923</v>
      </c>
      <c r="CD1238">
        <f t="shared" ca="1" si="556"/>
        <v>0</v>
      </c>
      <c r="CE1238">
        <f t="shared" ca="1" si="557"/>
        <v>23090347.13378913</v>
      </c>
      <c r="CF1238">
        <f t="shared" ca="1" si="558"/>
        <v>23090347.13378913</v>
      </c>
      <c r="CG1238">
        <f t="shared" ca="1" si="559"/>
        <v>0</v>
      </c>
      <c r="CH1238" s="10" t="str">
        <f>分析データ!A1238</f>
        <v/>
      </c>
    </row>
    <row r="1239" spans="46:86">
      <c r="AT1239">
        <f ca="1">IF(ROW()&lt;($C$7+1),"",IFERROR((分析データ!B1239-AVERAGE(OFFSET(分析データ!B$1,MAX(1,ROW()-$C$7),0,MIN($C$7,ROW()-1),1)))/STDEV(OFFSET(分析データ!B$1,MAX(1,ROW()-$C$7),0,MIN($C$7,ROW()-1),1)),0))</f>
        <v>0</v>
      </c>
      <c r="AU1239">
        <f t="shared" ca="1" si="532"/>
        <v>0</v>
      </c>
      <c r="AV1239" t="str">
        <f ca="1">IF(AU1239=1,IF(INDEX(分析データ!$A:$A,ROW()+$C$5)&lt;&gt;"",80000*SIGN(AT1239)*(分析データ!B1239-INDEX(分析データ!B:B,ROW()+$C$5)),""),"")</f>
        <v/>
      </c>
      <c r="AW1239">
        <f t="shared" ca="1" si="533"/>
        <v>-1240000.0000000019</v>
      </c>
      <c r="AX1239">
        <f t="shared" ca="1" si="534"/>
        <v>0</v>
      </c>
      <c r="AY1239">
        <f t="shared" ca="1" si="535"/>
        <v>-1240000.0000000019</v>
      </c>
      <c r="AZ1239">
        <f ca="1">IF(ROW()&lt;($C$7+1),"",IFERROR((分析データ!C1239-AVERAGE(OFFSET(分析データ!C$1,MAX(1,ROW()-$C$7),0,MIN($C$7,ROW()-1),1)))/STDEV(OFFSET(分析データ!C$1,MAX(1,ROW()-$C$7),0,MIN($C$7,ROW()-1),1)),0))</f>
        <v>0</v>
      </c>
      <c r="BA1239">
        <f t="shared" ca="1" si="536"/>
        <v>0</v>
      </c>
      <c r="BB1239" t="str">
        <f ca="1">IF(BA1239=1,IF(INDEX(分析データ!$A:$A,ROW()+$C$5)&lt;&gt;"",60000*SIGN(AZ1239)*(分析データ!C1239-INDEX(分析データ!C:C,ROW()+$C$5)),""),"")</f>
        <v/>
      </c>
      <c r="BC1239">
        <f t="shared" ca="1" si="537"/>
        <v>-260999.9999999851</v>
      </c>
      <c r="BD1239">
        <f t="shared" ca="1" si="538"/>
        <v>3156000.0000000107</v>
      </c>
      <c r="BE1239">
        <f t="shared" ca="1" si="539"/>
        <v>-3416999.9999999958</v>
      </c>
      <c r="BF1239">
        <f ca="1">IF(ROW()&lt;($C$7+1),"",IFERROR((分析データ!D1239-AVERAGE(OFFSET(分析データ!D$1,MAX(1,ROW()-$C$7),0,MIN($C$7,ROW()-1),1)))/STDEV(OFFSET(分析データ!D$1,MAX(1,ROW()-$C$7),0,MIN($C$7,ROW()-1),1)),0))</f>
        <v>0</v>
      </c>
      <c r="BG1239">
        <f t="shared" ca="1" si="540"/>
        <v>0</v>
      </c>
      <c r="BH1239" t="str">
        <f ca="1">IF(BG1239=1,IF(INDEX(分析データ!$A:$A,ROW()+$C$5)&lt;&gt;"",50000*SIGN(BF1239)*(分析データ!D1239-INDEX(分析データ!D:D,ROW()+$C$5)),""),"")</f>
        <v/>
      </c>
      <c r="BI1239">
        <f t="shared" ca="1" si="541"/>
        <v>5570000.0000000205</v>
      </c>
      <c r="BJ1239">
        <f t="shared" ca="1" si="542"/>
        <v>5570000.0000000205</v>
      </c>
      <c r="BK1239">
        <f t="shared" ca="1" si="543"/>
        <v>0</v>
      </c>
      <c r="BL1239">
        <f ca="1">IF(ROW()&lt;($C$7+1),"",IFERROR((分析データ!E1239-AVERAGE(OFFSET(分析データ!E$1,MAX(1,ROW()-$C$7),0,MIN($C$7,ROW()-1),1)))/STDEV(OFFSET(分析データ!E$1,MAX(1,ROW()-$C$7),0,MIN($C$7,ROW()-1),1)),0))</f>
        <v>0</v>
      </c>
      <c r="BM1239">
        <f t="shared" ca="1" si="544"/>
        <v>0</v>
      </c>
      <c r="BN1239" t="str">
        <f ca="1">IF(BM1239=1,IF(INDEX(分析データ!$A:$A,ROW()+$C$5)&lt;&gt;"",40000*SIGN(BL1239)*(分析データ!E1239-INDEX(分析データ!E:E,ROW()+$C$5)),""),"")</f>
        <v/>
      </c>
      <c r="BO1239">
        <f t="shared" ca="1" si="545"/>
        <v>2720000.0000000014</v>
      </c>
      <c r="BP1239">
        <f t="shared" ca="1" si="546"/>
        <v>4280000.0000000028</v>
      </c>
      <c r="BQ1239">
        <f t="shared" ca="1" si="547"/>
        <v>-1560000.0000000014</v>
      </c>
      <c r="BR1239">
        <f ca="1">IF(ROW()&lt;($C$7+1),"",IFERROR((分析データ!F1239-AVERAGE(OFFSET(分析データ!F$1,MAX(1,ROW()-$C$7),0,MIN($C$7,ROW()-1),1)))/STDEV(OFFSET(分析データ!F$1,MAX(1,ROW()-$C$7),0,MIN($C$7,ROW()-1),1)),0))</f>
        <v>0</v>
      </c>
      <c r="BS1239">
        <f t="shared" ca="1" si="548"/>
        <v>0</v>
      </c>
      <c r="BT1239" t="str">
        <f ca="1">IF(BS1239=1,IF(INDEX(分析データ!$A:$A,ROW()+$C$5)&lt;&gt;"",40000*SIGN(BR1239)*(分析データ!F1239-INDEX(分析データ!F:F,ROW()+$C$5)),""),"")</f>
        <v/>
      </c>
      <c r="BU1239">
        <f t="shared" ca="1" si="549"/>
        <v>19816800</v>
      </c>
      <c r="BV1239">
        <f t="shared" ca="1" si="550"/>
        <v>19816800</v>
      </c>
      <c r="BW1239">
        <f t="shared" ca="1" si="551"/>
        <v>0</v>
      </c>
      <c r="BX1239">
        <f ca="1">IF(ROW()&lt;($C$7+1),"",IFERROR((分析データ!G1239-AVERAGE(OFFSET(分析データ!G$1,MAX(1,ROW()-$C$7),0,MIN($C$7,ROW()-1),1)))/STDEV(OFFSET(分析データ!G$1,MAX(1,ROW()-$C$7),0,MIN($C$7,ROW()-1),1)),0))</f>
        <v>0</v>
      </c>
      <c r="BY1239">
        <f t="shared" ca="1" si="552"/>
        <v>0</v>
      </c>
      <c r="BZ1239" t="str">
        <f ca="1">IF(BY1239=1,IF(INDEX(分析データ!$A:$A,ROW()+$C$5)&lt;&gt;"",40000*SIGN(BX1239)*(分析データ!G1239-INDEX(分析データ!G:G,ROW()+$C$5)),""),"")</f>
        <v/>
      </c>
      <c r="CA1239">
        <f t="shared" ca="1" si="553"/>
        <v>-3515452.8662109179</v>
      </c>
      <c r="CB1239">
        <f t="shared" ca="1" si="554"/>
        <v>11327520.000000004</v>
      </c>
      <c r="CC1239">
        <f t="shared" ca="1" si="555"/>
        <v>-14842972.866210923</v>
      </c>
      <c r="CD1239">
        <f t="shared" ca="1" si="556"/>
        <v>0</v>
      </c>
      <c r="CE1239">
        <f t="shared" ca="1" si="557"/>
        <v>23090347.13378913</v>
      </c>
      <c r="CF1239">
        <f t="shared" ca="1" si="558"/>
        <v>23090347.13378913</v>
      </c>
      <c r="CG1239">
        <f t="shared" ca="1" si="559"/>
        <v>0</v>
      </c>
      <c r="CH1239" s="10" t="str">
        <f>分析データ!A1239</f>
        <v/>
      </c>
    </row>
    <row r="1240" spans="46:86">
      <c r="AT1240">
        <f ca="1">IF(ROW()&lt;($C$7+1),"",IFERROR((分析データ!B1240-AVERAGE(OFFSET(分析データ!B$1,MAX(1,ROW()-$C$7),0,MIN($C$7,ROW()-1),1)))/STDEV(OFFSET(分析データ!B$1,MAX(1,ROW()-$C$7),0,MIN($C$7,ROW()-1),1)),0))</f>
        <v>0</v>
      </c>
      <c r="AU1240">
        <f t="shared" ca="1" si="532"/>
        <v>0</v>
      </c>
      <c r="AV1240" t="str">
        <f ca="1">IF(AU1240=1,IF(INDEX(分析データ!$A:$A,ROW()+$C$5)&lt;&gt;"",80000*SIGN(AT1240)*(分析データ!B1240-INDEX(分析データ!B:B,ROW()+$C$5)),""),"")</f>
        <v/>
      </c>
      <c r="AW1240">
        <f t="shared" ca="1" si="533"/>
        <v>-1240000.0000000019</v>
      </c>
      <c r="AX1240">
        <f t="shared" ca="1" si="534"/>
        <v>0</v>
      </c>
      <c r="AY1240">
        <f t="shared" ca="1" si="535"/>
        <v>-1240000.0000000019</v>
      </c>
      <c r="AZ1240">
        <f ca="1">IF(ROW()&lt;($C$7+1),"",IFERROR((分析データ!C1240-AVERAGE(OFFSET(分析データ!C$1,MAX(1,ROW()-$C$7),0,MIN($C$7,ROW()-1),1)))/STDEV(OFFSET(分析データ!C$1,MAX(1,ROW()-$C$7),0,MIN($C$7,ROW()-1),1)),0))</f>
        <v>0</v>
      </c>
      <c r="BA1240">
        <f t="shared" ca="1" si="536"/>
        <v>0</v>
      </c>
      <c r="BB1240" t="str">
        <f ca="1">IF(BA1240=1,IF(INDEX(分析データ!$A:$A,ROW()+$C$5)&lt;&gt;"",60000*SIGN(AZ1240)*(分析データ!C1240-INDEX(分析データ!C:C,ROW()+$C$5)),""),"")</f>
        <v/>
      </c>
      <c r="BC1240">
        <f t="shared" ca="1" si="537"/>
        <v>-260999.9999999851</v>
      </c>
      <c r="BD1240">
        <f t="shared" ca="1" si="538"/>
        <v>3156000.0000000107</v>
      </c>
      <c r="BE1240">
        <f t="shared" ca="1" si="539"/>
        <v>-3416999.9999999958</v>
      </c>
      <c r="BF1240">
        <f ca="1">IF(ROW()&lt;($C$7+1),"",IFERROR((分析データ!D1240-AVERAGE(OFFSET(分析データ!D$1,MAX(1,ROW()-$C$7),0,MIN($C$7,ROW()-1),1)))/STDEV(OFFSET(分析データ!D$1,MAX(1,ROW()-$C$7),0,MIN($C$7,ROW()-1),1)),0))</f>
        <v>0</v>
      </c>
      <c r="BG1240">
        <f t="shared" ca="1" si="540"/>
        <v>0</v>
      </c>
      <c r="BH1240" t="str">
        <f ca="1">IF(BG1240=1,IF(INDEX(分析データ!$A:$A,ROW()+$C$5)&lt;&gt;"",50000*SIGN(BF1240)*(分析データ!D1240-INDEX(分析データ!D:D,ROW()+$C$5)),""),"")</f>
        <v/>
      </c>
      <c r="BI1240">
        <f t="shared" ca="1" si="541"/>
        <v>5570000.0000000205</v>
      </c>
      <c r="BJ1240">
        <f t="shared" ca="1" si="542"/>
        <v>5570000.0000000205</v>
      </c>
      <c r="BK1240">
        <f t="shared" ca="1" si="543"/>
        <v>0</v>
      </c>
      <c r="BL1240">
        <f ca="1">IF(ROW()&lt;($C$7+1),"",IFERROR((分析データ!E1240-AVERAGE(OFFSET(分析データ!E$1,MAX(1,ROW()-$C$7),0,MIN($C$7,ROW()-1),1)))/STDEV(OFFSET(分析データ!E$1,MAX(1,ROW()-$C$7),0,MIN($C$7,ROW()-1),1)),0))</f>
        <v>0</v>
      </c>
      <c r="BM1240">
        <f t="shared" ca="1" si="544"/>
        <v>0</v>
      </c>
      <c r="BN1240" t="str">
        <f ca="1">IF(BM1240=1,IF(INDEX(分析データ!$A:$A,ROW()+$C$5)&lt;&gt;"",40000*SIGN(BL1240)*(分析データ!E1240-INDEX(分析データ!E:E,ROW()+$C$5)),""),"")</f>
        <v/>
      </c>
      <c r="BO1240">
        <f t="shared" ca="1" si="545"/>
        <v>2720000.0000000014</v>
      </c>
      <c r="BP1240">
        <f t="shared" ca="1" si="546"/>
        <v>4280000.0000000028</v>
      </c>
      <c r="BQ1240">
        <f t="shared" ca="1" si="547"/>
        <v>-1560000.0000000014</v>
      </c>
      <c r="BR1240">
        <f ca="1">IF(ROW()&lt;($C$7+1),"",IFERROR((分析データ!F1240-AVERAGE(OFFSET(分析データ!F$1,MAX(1,ROW()-$C$7),0,MIN($C$7,ROW()-1),1)))/STDEV(OFFSET(分析データ!F$1,MAX(1,ROW()-$C$7),0,MIN($C$7,ROW()-1),1)),0))</f>
        <v>0</v>
      </c>
      <c r="BS1240">
        <f t="shared" ca="1" si="548"/>
        <v>0</v>
      </c>
      <c r="BT1240" t="str">
        <f ca="1">IF(BS1240=1,IF(INDEX(分析データ!$A:$A,ROW()+$C$5)&lt;&gt;"",40000*SIGN(BR1240)*(分析データ!F1240-INDEX(分析データ!F:F,ROW()+$C$5)),""),"")</f>
        <v/>
      </c>
      <c r="BU1240">
        <f t="shared" ca="1" si="549"/>
        <v>19816800</v>
      </c>
      <c r="BV1240">
        <f t="shared" ca="1" si="550"/>
        <v>19816800</v>
      </c>
      <c r="BW1240">
        <f t="shared" ca="1" si="551"/>
        <v>0</v>
      </c>
      <c r="BX1240">
        <f ca="1">IF(ROW()&lt;($C$7+1),"",IFERROR((分析データ!G1240-AVERAGE(OFFSET(分析データ!G$1,MAX(1,ROW()-$C$7),0,MIN($C$7,ROW()-1),1)))/STDEV(OFFSET(分析データ!G$1,MAX(1,ROW()-$C$7),0,MIN($C$7,ROW()-1),1)),0))</f>
        <v>0</v>
      </c>
      <c r="BY1240">
        <f t="shared" ca="1" si="552"/>
        <v>0</v>
      </c>
      <c r="BZ1240" t="str">
        <f ca="1">IF(BY1240=1,IF(INDEX(分析データ!$A:$A,ROW()+$C$5)&lt;&gt;"",40000*SIGN(BX1240)*(分析データ!G1240-INDEX(分析データ!G:G,ROW()+$C$5)),""),"")</f>
        <v/>
      </c>
      <c r="CA1240">
        <f t="shared" ca="1" si="553"/>
        <v>-3515452.8662109179</v>
      </c>
      <c r="CB1240">
        <f t="shared" ca="1" si="554"/>
        <v>11327520.000000004</v>
      </c>
      <c r="CC1240">
        <f t="shared" ca="1" si="555"/>
        <v>-14842972.866210923</v>
      </c>
      <c r="CD1240">
        <f t="shared" ca="1" si="556"/>
        <v>0</v>
      </c>
      <c r="CE1240">
        <f t="shared" ca="1" si="557"/>
        <v>23090347.13378913</v>
      </c>
      <c r="CF1240">
        <f t="shared" ca="1" si="558"/>
        <v>23090347.13378913</v>
      </c>
      <c r="CG1240">
        <f t="shared" ca="1" si="559"/>
        <v>0</v>
      </c>
      <c r="CH1240" s="10" t="str">
        <f>分析データ!A1240</f>
        <v/>
      </c>
    </row>
    <row r="1241" spans="46:86">
      <c r="AT1241">
        <f ca="1">IF(ROW()&lt;($C$7+1),"",IFERROR((分析データ!B1241-AVERAGE(OFFSET(分析データ!B$1,MAX(1,ROW()-$C$7),0,MIN($C$7,ROW()-1),1)))/STDEV(OFFSET(分析データ!B$1,MAX(1,ROW()-$C$7),0,MIN($C$7,ROW()-1),1)),0))</f>
        <v>0</v>
      </c>
      <c r="AU1241">
        <f t="shared" ca="1" si="532"/>
        <v>0</v>
      </c>
      <c r="AV1241" t="str">
        <f ca="1">IF(AU1241=1,IF(INDEX(分析データ!$A:$A,ROW()+$C$5)&lt;&gt;"",80000*SIGN(AT1241)*(分析データ!B1241-INDEX(分析データ!B:B,ROW()+$C$5)),""),"")</f>
        <v/>
      </c>
      <c r="AW1241">
        <f t="shared" ca="1" si="533"/>
        <v>-1240000.0000000019</v>
      </c>
      <c r="AX1241">
        <f t="shared" ca="1" si="534"/>
        <v>0</v>
      </c>
      <c r="AY1241">
        <f t="shared" ca="1" si="535"/>
        <v>-1240000.0000000019</v>
      </c>
      <c r="AZ1241">
        <f ca="1">IF(ROW()&lt;($C$7+1),"",IFERROR((分析データ!C1241-AVERAGE(OFFSET(分析データ!C$1,MAX(1,ROW()-$C$7),0,MIN($C$7,ROW()-1),1)))/STDEV(OFFSET(分析データ!C$1,MAX(1,ROW()-$C$7),0,MIN($C$7,ROW()-1),1)),0))</f>
        <v>0</v>
      </c>
      <c r="BA1241">
        <f t="shared" ca="1" si="536"/>
        <v>0</v>
      </c>
      <c r="BB1241" t="str">
        <f ca="1">IF(BA1241=1,IF(INDEX(分析データ!$A:$A,ROW()+$C$5)&lt;&gt;"",60000*SIGN(AZ1241)*(分析データ!C1241-INDEX(分析データ!C:C,ROW()+$C$5)),""),"")</f>
        <v/>
      </c>
      <c r="BC1241">
        <f t="shared" ca="1" si="537"/>
        <v>-260999.9999999851</v>
      </c>
      <c r="BD1241">
        <f t="shared" ca="1" si="538"/>
        <v>3156000.0000000107</v>
      </c>
      <c r="BE1241">
        <f t="shared" ca="1" si="539"/>
        <v>-3416999.9999999958</v>
      </c>
      <c r="BF1241">
        <f ca="1">IF(ROW()&lt;($C$7+1),"",IFERROR((分析データ!D1241-AVERAGE(OFFSET(分析データ!D$1,MAX(1,ROW()-$C$7),0,MIN($C$7,ROW()-1),1)))/STDEV(OFFSET(分析データ!D$1,MAX(1,ROW()-$C$7),0,MIN($C$7,ROW()-1),1)),0))</f>
        <v>0</v>
      </c>
      <c r="BG1241">
        <f t="shared" ca="1" si="540"/>
        <v>0</v>
      </c>
      <c r="BH1241" t="str">
        <f ca="1">IF(BG1241=1,IF(INDEX(分析データ!$A:$A,ROW()+$C$5)&lt;&gt;"",50000*SIGN(BF1241)*(分析データ!D1241-INDEX(分析データ!D:D,ROW()+$C$5)),""),"")</f>
        <v/>
      </c>
      <c r="BI1241">
        <f t="shared" ca="1" si="541"/>
        <v>5570000.0000000205</v>
      </c>
      <c r="BJ1241">
        <f t="shared" ca="1" si="542"/>
        <v>5570000.0000000205</v>
      </c>
      <c r="BK1241">
        <f t="shared" ca="1" si="543"/>
        <v>0</v>
      </c>
      <c r="BL1241">
        <f ca="1">IF(ROW()&lt;($C$7+1),"",IFERROR((分析データ!E1241-AVERAGE(OFFSET(分析データ!E$1,MAX(1,ROW()-$C$7),0,MIN($C$7,ROW()-1),1)))/STDEV(OFFSET(分析データ!E$1,MAX(1,ROW()-$C$7),0,MIN($C$7,ROW()-1),1)),0))</f>
        <v>0</v>
      </c>
      <c r="BM1241">
        <f t="shared" ca="1" si="544"/>
        <v>0</v>
      </c>
      <c r="BN1241" t="str">
        <f ca="1">IF(BM1241=1,IF(INDEX(分析データ!$A:$A,ROW()+$C$5)&lt;&gt;"",40000*SIGN(BL1241)*(分析データ!E1241-INDEX(分析データ!E:E,ROW()+$C$5)),""),"")</f>
        <v/>
      </c>
      <c r="BO1241">
        <f t="shared" ca="1" si="545"/>
        <v>2720000.0000000014</v>
      </c>
      <c r="BP1241">
        <f t="shared" ca="1" si="546"/>
        <v>4280000.0000000028</v>
      </c>
      <c r="BQ1241">
        <f t="shared" ca="1" si="547"/>
        <v>-1560000.0000000014</v>
      </c>
      <c r="BR1241">
        <f ca="1">IF(ROW()&lt;($C$7+1),"",IFERROR((分析データ!F1241-AVERAGE(OFFSET(分析データ!F$1,MAX(1,ROW()-$C$7),0,MIN($C$7,ROW()-1),1)))/STDEV(OFFSET(分析データ!F$1,MAX(1,ROW()-$C$7),0,MIN($C$7,ROW()-1),1)),0))</f>
        <v>0</v>
      </c>
      <c r="BS1241">
        <f t="shared" ca="1" si="548"/>
        <v>0</v>
      </c>
      <c r="BT1241" t="str">
        <f ca="1">IF(BS1241=1,IF(INDEX(分析データ!$A:$A,ROW()+$C$5)&lt;&gt;"",40000*SIGN(BR1241)*(分析データ!F1241-INDEX(分析データ!F:F,ROW()+$C$5)),""),"")</f>
        <v/>
      </c>
      <c r="BU1241">
        <f t="shared" ca="1" si="549"/>
        <v>19816800</v>
      </c>
      <c r="BV1241">
        <f t="shared" ca="1" si="550"/>
        <v>19816800</v>
      </c>
      <c r="BW1241">
        <f t="shared" ca="1" si="551"/>
        <v>0</v>
      </c>
      <c r="BX1241">
        <f ca="1">IF(ROW()&lt;($C$7+1),"",IFERROR((分析データ!G1241-AVERAGE(OFFSET(分析データ!G$1,MAX(1,ROW()-$C$7),0,MIN($C$7,ROW()-1),1)))/STDEV(OFFSET(分析データ!G$1,MAX(1,ROW()-$C$7),0,MIN($C$7,ROW()-1),1)),0))</f>
        <v>0</v>
      </c>
      <c r="BY1241">
        <f t="shared" ca="1" si="552"/>
        <v>0</v>
      </c>
      <c r="BZ1241" t="str">
        <f ca="1">IF(BY1241=1,IF(INDEX(分析データ!$A:$A,ROW()+$C$5)&lt;&gt;"",40000*SIGN(BX1241)*(分析データ!G1241-INDEX(分析データ!G:G,ROW()+$C$5)),""),"")</f>
        <v/>
      </c>
      <c r="CA1241">
        <f t="shared" ca="1" si="553"/>
        <v>-3515452.8662109179</v>
      </c>
      <c r="CB1241">
        <f t="shared" ca="1" si="554"/>
        <v>11327520.000000004</v>
      </c>
      <c r="CC1241">
        <f t="shared" ca="1" si="555"/>
        <v>-14842972.866210923</v>
      </c>
      <c r="CD1241">
        <f t="shared" ca="1" si="556"/>
        <v>0</v>
      </c>
      <c r="CE1241">
        <f t="shared" ca="1" si="557"/>
        <v>23090347.13378913</v>
      </c>
      <c r="CF1241">
        <f t="shared" ca="1" si="558"/>
        <v>23090347.13378913</v>
      </c>
      <c r="CG1241">
        <f t="shared" ca="1" si="559"/>
        <v>0</v>
      </c>
      <c r="CH1241" s="10" t="str">
        <f>分析データ!A1241</f>
        <v/>
      </c>
    </row>
    <row r="1242" spans="46:86">
      <c r="AT1242">
        <f ca="1">IF(ROW()&lt;($C$7+1),"",IFERROR((分析データ!B1242-AVERAGE(OFFSET(分析データ!B$1,MAX(1,ROW()-$C$7),0,MIN($C$7,ROW()-1),1)))/STDEV(OFFSET(分析データ!B$1,MAX(1,ROW()-$C$7),0,MIN($C$7,ROW()-1),1)),0))</f>
        <v>0</v>
      </c>
      <c r="AU1242">
        <f t="shared" ca="1" si="532"/>
        <v>0</v>
      </c>
      <c r="AV1242" t="str">
        <f ca="1">IF(AU1242=1,IF(INDEX(分析データ!$A:$A,ROW()+$C$5)&lt;&gt;"",80000*SIGN(AT1242)*(分析データ!B1242-INDEX(分析データ!B:B,ROW()+$C$5)),""),"")</f>
        <v/>
      </c>
      <c r="AW1242">
        <f t="shared" ca="1" si="533"/>
        <v>-1240000.0000000019</v>
      </c>
      <c r="AX1242">
        <f t="shared" ca="1" si="534"/>
        <v>0</v>
      </c>
      <c r="AY1242">
        <f t="shared" ca="1" si="535"/>
        <v>-1240000.0000000019</v>
      </c>
      <c r="AZ1242">
        <f ca="1">IF(ROW()&lt;($C$7+1),"",IFERROR((分析データ!C1242-AVERAGE(OFFSET(分析データ!C$1,MAX(1,ROW()-$C$7),0,MIN($C$7,ROW()-1),1)))/STDEV(OFFSET(分析データ!C$1,MAX(1,ROW()-$C$7),0,MIN($C$7,ROW()-1),1)),0))</f>
        <v>0</v>
      </c>
      <c r="BA1242">
        <f t="shared" ca="1" si="536"/>
        <v>0</v>
      </c>
      <c r="BB1242" t="str">
        <f ca="1">IF(BA1242=1,IF(INDEX(分析データ!$A:$A,ROW()+$C$5)&lt;&gt;"",60000*SIGN(AZ1242)*(分析データ!C1242-INDEX(分析データ!C:C,ROW()+$C$5)),""),"")</f>
        <v/>
      </c>
      <c r="BC1242">
        <f t="shared" ca="1" si="537"/>
        <v>-260999.9999999851</v>
      </c>
      <c r="BD1242">
        <f t="shared" ca="1" si="538"/>
        <v>3156000.0000000107</v>
      </c>
      <c r="BE1242">
        <f t="shared" ca="1" si="539"/>
        <v>-3416999.9999999958</v>
      </c>
      <c r="BF1242">
        <f ca="1">IF(ROW()&lt;($C$7+1),"",IFERROR((分析データ!D1242-AVERAGE(OFFSET(分析データ!D$1,MAX(1,ROW()-$C$7),0,MIN($C$7,ROW()-1),1)))/STDEV(OFFSET(分析データ!D$1,MAX(1,ROW()-$C$7),0,MIN($C$7,ROW()-1),1)),0))</f>
        <v>0</v>
      </c>
      <c r="BG1242">
        <f t="shared" ca="1" si="540"/>
        <v>0</v>
      </c>
      <c r="BH1242" t="str">
        <f ca="1">IF(BG1242=1,IF(INDEX(分析データ!$A:$A,ROW()+$C$5)&lt;&gt;"",50000*SIGN(BF1242)*(分析データ!D1242-INDEX(分析データ!D:D,ROW()+$C$5)),""),"")</f>
        <v/>
      </c>
      <c r="BI1242">
        <f t="shared" ca="1" si="541"/>
        <v>5570000.0000000205</v>
      </c>
      <c r="BJ1242">
        <f t="shared" ca="1" si="542"/>
        <v>5570000.0000000205</v>
      </c>
      <c r="BK1242">
        <f t="shared" ca="1" si="543"/>
        <v>0</v>
      </c>
      <c r="BL1242">
        <f ca="1">IF(ROW()&lt;($C$7+1),"",IFERROR((分析データ!E1242-AVERAGE(OFFSET(分析データ!E$1,MAX(1,ROW()-$C$7),0,MIN($C$7,ROW()-1),1)))/STDEV(OFFSET(分析データ!E$1,MAX(1,ROW()-$C$7),0,MIN($C$7,ROW()-1),1)),0))</f>
        <v>0</v>
      </c>
      <c r="BM1242">
        <f t="shared" ca="1" si="544"/>
        <v>0</v>
      </c>
      <c r="BN1242" t="str">
        <f ca="1">IF(BM1242=1,IF(INDEX(分析データ!$A:$A,ROW()+$C$5)&lt;&gt;"",40000*SIGN(BL1242)*(分析データ!E1242-INDEX(分析データ!E:E,ROW()+$C$5)),""),"")</f>
        <v/>
      </c>
      <c r="BO1242">
        <f t="shared" ca="1" si="545"/>
        <v>2720000.0000000014</v>
      </c>
      <c r="BP1242">
        <f t="shared" ca="1" si="546"/>
        <v>4280000.0000000028</v>
      </c>
      <c r="BQ1242">
        <f t="shared" ca="1" si="547"/>
        <v>-1560000.0000000014</v>
      </c>
      <c r="BR1242">
        <f ca="1">IF(ROW()&lt;($C$7+1),"",IFERROR((分析データ!F1242-AVERAGE(OFFSET(分析データ!F$1,MAX(1,ROW()-$C$7),0,MIN($C$7,ROW()-1),1)))/STDEV(OFFSET(分析データ!F$1,MAX(1,ROW()-$C$7),0,MIN($C$7,ROW()-1),1)),0))</f>
        <v>0</v>
      </c>
      <c r="BS1242">
        <f t="shared" ca="1" si="548"/>
        <v>0</v>
      </c>
      <c r="BT1242" t="str">
        <f ca="1">IF(BS1242=1,IF(INDEX(分析データ!$A:$A,ROW()+$C$5)&lt;&gt;"",40000*SIGN(BR1242)*(分析データ!F1242-INDEX(分析データ!F:F,ROW()+$C$5)),""),"")</f>
        <v/>
      </c>
      <c r="BU1242">
        <f t="shared" ca="1" si="549"/>
        <v>19816800</v>
      </c>
      <c r="BV1242">
        <f t="shared" ca="1" si="550"/>
        <v>19816800</v>
      </c>
      <c r="BW1242">
        <f t="shared" ca="1" si="551"/>
        <v>0</v>
      </c>
      <c r="BX1242">
        <f ca="1">IF(ROW()&lt;($C$7+1),"",IFERROR((分析データ!G1242-AVERAGE(OFFSET(分析データ!G$1,MAX(1,ROW()-$C$7),0,MIN($C$7,ROW()-1),1)))/STDEV(OFFSET(分析データ!G$1,MAX(1,ROW()-$C$7),0,MIN($C$7,ROW()-1),1)),0))</f>
        <v>0</v>
      </c>
      <c r="BY1242">
        <f t="shared" ca="1" si="552"/>
        <v>0</v>
      </c>
      <c r="BZ1242" t="str">
        <f ca="1">IF(BY1242=1,IF(INDEX(分析データ!$A:$A,ROW()+$C$5)&lt;&gt;"",40000*SIGN(BX1242)*(分析データ!G1242-INDEX(分析データ!G:G,ROW()+$C$5)),""),"")</f>
        <v/>
      </c>
      <c r="CA1242">
        <f t="shared" ca="1" si="553"/>
        <v>-3515452.8662109179</v>
      </c>
      <c r="CB1242">
        <f t="shared" ca="1" si="554"/>
        <v>11327520.000000004</v>
      </c>
      <c r="CC1242">
        <f t="shared" ca="1" si="555"/>
        <v>-14842972.866210923</v>
      </c>
      <c r="CD1242">
        <f t="shared" ca="1" si="556"/>
        <v>0</v>
      </c>
      <c r="CE1242">
        <f t="shared" ca="1" si="557"/>
        <v>23090347.13378913</v>
      </c>
      <c r="CF1242">
        <f t="shared" ca="1" si="558"/>
        <v>23090347.13378913</v>
      </c>
      <c r="CG1242">
        <f t="shared" ca="1" si="559"/>
        <v>0</v>
      </c>
      <c r="CH1242" s="10" t="str">
        <f>分析データ!A1242</f>
        <v/>
      </c>
    </row>
    <row r="1243" spans="46:86">
      <c r="AT1243">
        <f ca="1">IF(ROW()&lt;($C$7+1),"",IFERROR((分析データ!B1243-AVERAGE(OFFSET(分析データ!B$1,MAX(1,ROW()-$C$7),0,MIN($C$7,ROW()-1),1)))/STDEV(OFFSET(分析データ!B$1,MAX(1,ROW()-$C$7),0,MIN($C$7,ROW()-1),1)),0))</f>
        <v>0</v>
      </c>
      <c r="AU1243">
        <f t="shared" ca="1" si="532"/>
        <v>0</v>
      </c>
      <c r="AV1243" t="str">
        <f ca="1">IF(AU1243=1,IF(INDEX(分析データ!$A:$A,ROW()+$C$5)&lt;&gt;"",80000*SIGN(AT1243)*(分析データ!B1243-INDEX(分析データ!B:B,ROW()+$C$5)),""),"")</f>
        <v/>
      </c>
      <c r="AW1243">
        <f t="shared" ca="1" si="533"/>
        <v>-1240000.0000000019</v>
      </c>
      <c r="AX1243">
        <f t="shared" ca="1" si="534"/>
        <v>0</v>
      </c>
      <c r="AY1243">
        <f t="shared" ca="1" si="535"/>
        <v>-1240000.0000000019</v>
      </c>
      <c r="AZ1243">
        <f ca="1">IF(ROW()&lt;($C$7+1),"",IFERROR((分析データ!C1243-AVERAGE(OFFSET(分析データ!C$1,MAX(1,ROW()-$C$7),0,MIN($C$7,ROW()-1),1)))/STDEV(OFFSET(分析データ!C$1,MAX(1,ROW()-$C$7),0,MIN($C$7,ROW()-1),1)),0))</f>
        <v>0</v>
      </c>
      <c r="BA1243">
        <f t="shared" ca="1" si="536"/>
        <v>0</v>
      </c>
      <c r="BB1243" t="str">
        <f ca="1">IF(BA1243=1,IF(INDEX(分析データ!$A:$A,ROW()+$C$5)&lt;&gt;"",60000*SIGN(AZ1243)*(分析データ!C1243-INDEX(分析データ!C:C,ROW()+$C$5)),""),"")</f>
        <v/>
      </c>
      <c r="BC1243">
        <f t="shared" ca="1" si="537"/>
        <v>-260999.9999999851</v>
      </c>
      <c r="BD1243">
        <f t="shared" ca="1" si="538"/>
        <v>3156000.0000000107</v>
      </c>
      <c r="BE1243">
        <f t="shared" ca="1" si="539"/>
        <v>-3416999.9999999958</v>
      </c>
      <c r="BF1243">
        <f ca="1">IF(ROW()&lt;($C$7+1),"",IFERROR((分析データ!D1243-AVERAGE(OFFSET(分析データ!D$1,MAX(1,ROW()-$C$7),0,MIN($C$7,ROW()-1),1)))/STDEV(OFFSET(分析データ!D$1,MAX(1,ROW()-$C$7),0,MIN($C$7,ROW()-1),1)),0))</f>
        <v>0</v>
      </c>
      <c r="BG1243">
        <f t="shared" ca="1" si="540"/>
        <v>0</v>
      </c>
      <c r="BH1243" t="str">
        <f ca="1">IF(BG1243=1,IF(INDEX(分析データ!$A:$A,ROW()+$C$5)&lt;&gt;"",50000*SIGN(BF1243)*(分析データ!D1243-INDEX(分析データ!D:D,ROW()+$C$5)),""),"")</f>
        <v/>
      </c>
      <c r="BI1243">
        <f t="shared" ca="1" si="541"/>
        <v>5570000.0000000205</v>
      </c>
      <c r="BJ1243">
        <f t="shared" ca="1" si="542"/>
        <v>5570000.0000000205</v>
      </c>
      <c r="BK1243">
        <f t="shared" ca="1" si="543"/>
        <v>0</v>
      </c>
      <c r="BL1243">
        <f ca="1">IF(ROW()&lt;($C$7+1),"",IFERROR((分析データ!E1243-AVERAGE(OFFSET(分析データ!E$1,MAX(1,ROW()-$C$7),0,MIN($C$7,ROW()-1),1)))/STDEV(OFFSET(分析データ!E$1,MAX(1,ROW()-$C$7),0,MIN($C$7,ROW()-1),1)),0))</f>
        <v>0</v>
      </c>
      <c r="BM1243">
        <f t="shared" ca="1" si="544"/>
        <v>0</v>
      </c>
      <c r="BN1243" t="str">
        <f ca="1">IF(BM1243=1,IF(INDEX(分析データ!$A:$A,ROW()+$C$5)&lt;&gt;"",40000*SIGN(BL1243)*(分析データ!E1243-INDEX(分析データ!E:E,ROW()+$C$5)),""),"")</f>
        <v/>
      </c>
      <c r="BO1243">
        <f t="shared" ca="1" si="545"/>
        <v>2720000.0000000014</v>
      </c>
      <c r="BP1243">
        <f t="shared" ca="1" si="546"/>
        <v>4280000.0000000028</v>
      </c>
      <c r="BQ1243">
        <f t="shared" ca="1" si="547"/>
        <v>-1560000.0000000014</v>
      </c>
      <c r="BR1243">
        <f ca="1">IF(ROW()&lt;($C$7+1),"",IFERROR((分析データ!F1243-AVERAGE(OFFSET(分析データ!F$1,MAX(1,ROW()-$C$7),0,MIN($C$7,ROW()-1),1)))/STDEV(OFFSET(分析データ!F$1,MAX(1,ROW()-$C$7),0,MIN($C$7,ROW()-1),1)),0))</f>
        <v>0</v>
      </c>
      <c r="BS1243">
        <f t="shared" ca="1" si="548"/>
        <v>0</v>
      </c>
      <c r="BT1243" t="str">
        <f ca="1">IF(BS1243=1,IF(INDEX(分析データ!$A:$A,ROW()+$C$5)&lt;&gt;"",40000*SIGN(BR1243)*(分析データ!F1243-INDEX(分析データ!F:F,ROW()+$C$5)),""),"")</f>
        <v/>
      </c>
      <c r="BU1243">
        <f t="shared" ca="1" si="549"/>
        <v>19816800</v>
      </c>
      <c r="BV1243">
        <f t="shared" ca="1" si="550"/>
        <v>19816800</v>
      </c>
      <c r="BW1243">
        <f t="shared" ca="1" si="551"/>
        <v>0</v>
      </c>
      <c r="BX1243">
        <f ca="1">IF(ROW()&lt;($C$7+1),"",IFERROR((分析データ!G1243-AVERAGE(OFFSET(分析データ!G$1,MAX(1,ROW()-$C$7),0,MIN($C$7,ROW()-1),1)))/STDEV(OFFSET(分析データ!G$1,MAX(1,ROW()-$C$7),0,MIN($C$7,ROW()-1),1)),0))</f>
        <v>0</v>
      </c>
      <c r="BY1243">
        <f t="shared" ca="1" si="552"/>
        <v>0</v>
      </c>
      <c r="BZ1243" t="str">
        <f ca="1">IF(BY1243=1,IF(INDEX(分析データ!$A:$A,ROW()+$C$5)&lt;&gt;"",40000*SIGN(BX1243)*(分析データ!G1243-INDEX(分析データ!G:G,ROW()+$C$5)),""),"")</f>
        <v/>
      </c>
      <c r="CA1243">
        <f t="shared" ca="1" si="553"/>
        <v>-3515452.8662109179</v>
      </c>
      <c r="CB1243">
        <f t="shared" ca="1" si="554"/>
        <v>11327520.000000004</v>
      </c>
      <c r="CC1243">
        <f t="shared" ca="1" si="555"/>
        <v>-14842972.866210923</v>
      </c>
      <c r="CD1243">
        <f t="shared" ca="1" si="556"/>
        <v>0</v>
      </c>
      <c r="CE1243">
        <f t="shared" ca="1" si="557"/>
        <v>23090347.13378913</v>
      </c>
      <c r="CF1243">
        <f t="shared" ca="1" si="558"/>
        <v>23090347.13378913</v>
      </c>
      <c r="CG1243">
        <f t="shared" ca="1" si="559"/>
        <v>0</v>
      </c>
      <c r="CH1243" s="10" t="str">
        <f>分析データ!A1243</f>
        <v/>
      </c>
    </row>
    <row r="1244" spans="46:86">
      <c r="AT1244">
        <f ca="1">IF(ROW()&lt;($C$7+1),"",IFERROR((分析データ!B1244-AVERAGE(OFFSET(分析データ!B$1,MAX(1,ROW()-$C$7),0,MIN($C$7,ROW()-1),1)))/STDEV(OFFSET(分析データ!B$1,MAX(1,ROW()-$C$7),0,MIN($C$7,ROW()-1),1)),0))</f>
        <v>0</v>
      </c>
      <c r="AU1244">
        <f t="shared" ca="1" si="532"/>
        <v>0</v>
      </c>
      <c r="AV1244" t="str">
        <f ca="1">IF(AU1244=1,IF(INDEX(分析データ!$A:$A,ROW()+$C$5)&lt;&gt;"",80000*SIGN(AT1244)*(分析データ!B1244-INDEX(分析データ!B:B,ROW()+$C$5)),""),"")</f>
        <v/>
      </c>
      <c r="AW1244">
        <f t="shared" ca="1" si="533"/>
        <v>-1240000.0000000019</v>
      </c>
      <c r="AX1244">
        <f t="shared" ca="1" si="534"/>
        <v>0</v>
      </c>
      <c r="AY1244">
        <f t="shared" ca="1" si="535"/>
        <v>-1240000.0000000019</v>
      </c>
      <c r="AZ1244">
        <f ca="1">IF(ROW()&lt;($C$7+1),"",IFERROR((分析データ!C1244-AVERAGE(OFFSET(分析データ!C$1,MAX(1,ROW()-$C$7),0,MIN($C$7,ROW()-1),1)))/STDEV(OFFSET(分析データ!C$1,MAX(1,ROW()-$C$7),0,MIN($C$7,ROW()-1),1)),0))</f>
        <v>0</v>
      </c>
      <c r="BA1244">
        <f t="shared" ca="1" si="536"/>
        <v>0</v>
      </c>
      <c r="BB1244" t="str">
        <f ca="1">IF(BA1244=1,IF(INDEX(分析データ!$A:$A,ROW()+$C$5)&lt;&gt;"",60000*SIGN(AZ1244)*(分析データ!C1244-INDEX(分析データ!C:C,ROW()+$C$5)),""),"")</f>
        <v/>
      </c>
      <c r="BC1244">
        <f t="shared" ca="1" si="537"/>
        <v>-260999.9999999851</v>
      </c>
      <c r="BD1244">
        <f t="shared" ca="1" si="538"/>
        <v>3156000.0000000107</v>
      </c>
      <c r="BE1244">
        <f t="shared" ca="1" si="539"/>
        <v>-3416999.9999999958</v>
      </c>
      <c r="BF1244">
        <f ca="1">IF(ROW()&lt;($C$7+1),"",IFERROR((分析データ!D1244-AVERAGE(OFFSET(分析データ!D$1,MAX(1,ROW()-$C$7),0,MIN($C$7,ROW()-1),1)))/STDEV(OFFSET(分析データ!D$1,MAX(1,ROW()-$C$7),0,MIN($C$7,ROW()-1),1)),0))</f>
        <v>0</v>
      </c>
      <c r="BG1244">
        <f t="shared" ca="1" si="540"/>
        <v>0</v>
      </c>
      <c r="BH1244" t="str">
        <f ca="1">IF(BG1244=1,IF(INDEX(分析データ!$A:$A,ROW()+$C$5)&lt;&gt;"",50000*SIGN(BF1244)*(分析データ!D1244-INDEX(分析データ!D:D,ROW()+$C$5)),""),"")</f>
        <v/>
      </c>
      <c r="BI1244">
        <f t="shared" ca="1" si="541"/>
        <v>5570000.0000000205</v>
      </c>
      <c r="BJ1244">
        <f t="shared" ca="1" si="542"/>
        <v>5570000.0000000205</v>
      </c>
      <c r="BK1244">
        <f t="shared" ca="1" si="543"/>
        <v>0</v>
      </c>
      <c r="BL1244">
        <f ca="1">IF(ROW()&lt;($C$7+1),"",IFERROR((分析データ!E1244-AVERAGE(OFFSET(分析データ!E$1,MAX(1,ROW()-$C$7),0,MIN($C$7,ROW()-1),1)))/STDEV(OFFSET(分析データ!E$1,MAX(1,ROW()-$C$7),0,MIN($C$7,ROW()-1),1)),0))</f>
        <v>0</v>
      </c>
      <c r="BM1244">
        <f t="shared" ca="1" si="544"/>
        <v>0</v>
      </c>
      <c r="BN1244" t="str">
        <f ca="1">IF(BM1244=1,IF(INDEX(分析データ!$A:$A,ROW()+$C$5)&lt;&gt;"",40000*SIGN(BL1244)*(分析データ!E1244-INDEX(分析データ!E:E,ROW()+$C$5)),""),"")</f>
        <v/>
      </c>
      <c r="BO1244">
        <f t="shared" ca="1" si="545"/>
        <v>2720000.0000000014</v>
      </c>
      <c r="BP1244">
        <f t="shared" ca="1" si="546"/>
        <v>4280000.0000000028</v>
      </c>
      <c r="BQ1244">
        <f t="shared" ca="1" si="547"/>
        <v>-1560000.0000000014</v>
      </c>
      <c r="BR1244">
        <f ca="1">IF(ROW()&lt;($C$7+1),"",IFERROR((分析データ!F1244-AVERAGE(OFFSET(分析データ!F$1,MAX(1,ROW()-$C$7),0,MIN($C$7,ROW()-1),1)))/STDEV(OFFSET(分析データ!F$1,MAX(1,ROW()-$C$7),0,MIN($C$7,ROW()-1),1)),0))</f>
        <v>0</v>
      </c>
      <c r="BS1244">
        <f t="shared" ca="1" si="548"/>
        <v>0</v>
      </c>
      <c r="BT1244" t="str">
        <f ca="1">IF(BS1244=1,IF(INDEX(分析データ!$A:$A,ROW()+$C$5)&lt;&gt;"",40000*SIGN(BR1244)*(分析データ!F1244-INDEX(分析データ!F:F,ROW()+$C$5)),""),"")</f>
        <v/>
      </c>
      <c r="BU1244">
        <f t="shared" ca="1" si="549"/>
        <v>19816800</v>
      </c>
      <c r="BV1244">
        <f t="shared" ca="1" si="550"/>
        <v>19816800</v>
      </c>
      <c r="BW1244">
        <f t="shared" ca="1" si="551"/>
        <v>0</v>
      </c>
      <c r="BX1244">
        <f ca="1">IF(ROW()&lt;($C$7+1),"",IFERROR((分析データ!G1244-AVERAGE(OFFSET(分析データ!G$1,MAX(1,ROW()-$C$7),0,MIN($C$7,ROW()-1),1)))/STDEV(OFFSET(分析データ!G$1,MAX(1,ROW()-$C$7),0,MIN($C$7,ROW()-1),1)),0))</f>
        <v>0</v>
      </c>
      <c r="BY1244">
        <f t="shared" ca="1" si="552"/>
        <v>0</v>
      </c>
      <c r="BZ1244" t="str">
        <f ca="1">IF(BY1244=1,IF(INDEX(分析データ!$A:$A,ROW()+$C$5)&lt;&gt;"",40000*SIGN(BX1244)*(分析データ!G1244-INDEX(分析データ!G:G,ROW()+$C$5)),""),"")</f>
        <v/>
      </c>
      <c r="CA1244">
        <f t="shared" ca="1" si="553"/>
        <v>-3515452.8662109179</v>
      </c>
      <c r="CB1244">
        <f t="shared" ca="1" si="554"/>
        <v>11327520.000000004</v>
      </c>
      <c r="CC1244">
        <f t="shared" ca="1" si="555"/>
        <v>-14842972.866210923</v>
      </c>
      <c r="CD1244">
        <f t="shared" ca="1" si="556"/>
        <v>0</v>
      </c>
      <c r="CE1244">
        <f t="shared" ca="1" si="557"/>
        <v>23090347.13378913</v>
      </c>
      <c r="CF1244">
        <f t="shared" ca="1" si="558"/>
        <v>23090347.13378913</v>
      </c>
      <c r="CG1244">
        <f t="shared" ca="1" si="559"/>
        <v>0</v>
      </c>
      <c r="CH1244" s="10" t="str">
        <f>分析データ!A1244</f>
        <v/>
      </c>
    </row>
    <row r="1245" spans="46:86">
      <c r="AT1245">
        <f ca="1">IF(ROW()&lt;($C$7+1),"",IFERROR((分析データ!B1245-AVERAGE(OFFSET(分析データ!B$1,MAX(1,ROW()-$C$7),0,MIN($C$7,ROW()-1),1)))/STDEV(OFFSET(分析データ!B$1,MAX(1,ROW()-$C$7),0,MIN($C$7,ROW()-1),1)),0))</f>
        <v>0</v>
      </c>
      <c r="AU1245">
        <f t="shared" ca="1" si="532"/>
        <v>0</v>
      </c>
      <c r="AV1245" t="str">
        <f ca="1">IF(AU1245=1,IF(INDEX(分析データ!$A:$A,ROW()+$C$5)&lt;&gt;"",80000*SIGN(AT1245)*(分析データ!B1245-INDEX(分析データ!B:B,ROW()+$C$5)),""),"")</f>
        <v/>
      </c>
      <c r="AW1245">
        <f t="shared" ca="1" si="533"/>
        <v>-1240000.0000000019</v>
      </c>
      <c r="AX1245">
        <f t="shared" ca="1" si="534"/>
        <v>0</v>
      </c>
      <c r="AY1245">
        <f t="shared" ca="1" si="535"/>
        <v>-1240000.0000000019</v>
      </c>
      <c r="AZ1245">
        <f ca="1">IF(ROW()&lt;($C$7+1),"",IFERROR((分析データ!C1245-AVERAGE(OFFSET(分析データ!C$1,MAX(1,ROW()-$C$7),0,MIN($C$7,ROW()-1),1)))/STDEV(OFFSET(分析データ!C$1,MAX(1,ROW()-$C$7),0,MIN($C$7,ROW()-1),1)),0))</f>
        <v>0</v>
      </c>
      <c r="BA1245">
        <f t="shared" ca="1" si="536"/>
        <v>0</v>
      </c>
      <c r="BB1245" t="str">
        <f ca="1">IF(BA1245=1,IF(INDEX(分析データ!$A:$A,ROW()+$C$5)&lt;&gt;"",60000*SIGN(AZ1245)*(分析データ!C1245-INDEX(分析データ!C:C,ROW()+$C$5)),""),"")</f>
        <v/>
      </c>
      <c r="BC1245">
        <f t="shared" ca="1" si="537"/>
        <v>-260999.9999999851</v>
      </c>
      <c r="BD1245">
        <f t="shared" ca="1" si="538"/>
        <v>3156000.0000000107</v>
      </c>
      <c r="BE1245">
        <f t="shared" ca="1" si="539"/>
        <v>-3416999.9999999958</v>
      </c>
      <c r="BF1245">
        <f ca="1">IF(ROW()&lt;($C$7+1),"",IFERROR((分析データ!D1245-AVERAGE(OFFSET(分析データ!D$1,MAX(1,ROW()-$C$7),0,MIN($C$7,ROW()-1),1)))/STDEV(OFFSET(分析データ!D$1,MAX(1,ROW()-$C$7),0,MIN($C$7,ROW()-1),1)),0))</f>
        <v>0</v>
      </c>
      <c r="BG1245">
        <f t="shared" ca="1" si="540"/>
        <v>0</v>
      </c>
      <c r="BH1245" t="str">
        <f ca="1">IF(BG1245=1,IF(INDEX(分析データ!$A:$A,ROW()+$C$5)&lt;&gt;"",50000*SIGN(BF1245)*(分析データ!D1245-INDEX(分析データ!D:D,ROW()+$C$5)),""),"")</f>
        <v/>
      </c>
      <c r="BI1245">
        <f t="shared" ca="1" si="541"/>
        <v>5570000.0000000205</v>
      </c>
      <c r="BJ1245">
        <f t="shared" ca="1" si="542"/>
        <v>5570000.0000000205</v>
      </c>
      <c r="BK1245">
        <f t="shared" ca="1" si="543"/>
        <v>0</v>
      </c>
      <c r="BL1245">
        <f ca="1">IF(ROW()&lt;($C$7+1),"",IFERROR((分析データ!E1245-AVERAGE(OFFSET(分析データ!E$1,MAX(1,ROW()-$C$7),0,MIN($C$7,ROW()-1),1)))/STDEV(OFFSET(分析データ!E$1,MAX(1,ROW()-$C$7),0,MIN($C$7,ROW()-1),1)),0))</f>
        <v>0</v>
      </c>
      <c r="BM1245">
        <f t="shared" ca="1" si="544"/>
        <v>0</v>
      </c>
      <c r="BN1245" t="str">
        <f ca="1">IF(BM1245=1,IF(INDEX(分析データ!$A:$A,ROW()+$C$5)&lt;&gt;"",40000*SIGN(BL1245)*(分析データ!E1245-INDEX(分析データ!E:E,ROW()+$C$5)),""),"")</f>
        <v/>
      </c>
      <c r="BO1245">
        <f t="shared" ca="1" si="545"/>
        <v>2720000.0000000014</v>
      </c>
      <c r="BP1245">
        <f t="shared" ca="1" si="546"/>
        <v>4280000.0000000028</v>
      </c>
      <c r="BQ1245">
        <f t="shared" ca="1" si="547"/>
        <v>-1560000.0000000014</v>
      </c>
      <c r="BR1245">
        <f ca="1">IF(ROW()&lt;($C$7+1),"",IFERROR((分析データ!F1245-AVERAGE(OFFSET(分析データ!F$1,MAX(1,ROW()-$C$7),0,MIN($C$7,ROW()-1),1)))/STDEV(OFFSET(分析データ!F$1,MAX(1,ROW()-$C$7),0,MIN($C$7,ROW()-1),1)),0))</f>
        <v>0</v>
      </c>
      <c r="BS1245">
        <f t="shared" ca="1" si="548"/>
        <v>0</v>
      </c>
      <c r="BT1245" t="str">
        <f ca="1">IF(BS1245=1,IF(INDEX(分析データ!$A:$A,ROW()+$C$5)&lt;&gt;"",40000*SIGN(BR1245)*(分析データ!F1245-INDEX(分析データ!F:F,ROW()+$C$5)),""),"")</f>
        <v/>
      </c>
      <c r="BU1245">
        <f t="shared" ca="1" si="549"/>
        <v>19816800</v>
      </c>
      <c r="BV1245">
        <f t="shared" ca="1" si="550"/>
        <v>19816800</v>
      </c>
      <c r="BW1245">
        <f t="shared" ca="1" si="551"/>
        <v>0</v>
      </c>
      <c r="BX1245">
        <f ca="1">IF(ROW()&lt;($C$7+1),"",IFERROR((分析データ!G1245-AVERAGE(OFFSET(分析データ!G$1,MAX(1,ROW()-$C$7),0,MIN($C$7,ROW()-1),1)))/STDEV(OFFSET(分析データ!G$1,MAX(1,ROW()-$C$7),0,MIN($C$7,ROW()-1),1)),0))</f>
        <v>0</v>
      </c>
      <c r="BY1245">
        <f t="shared" ca="1" si="552"/>
        <v>0</v>
      </c>
      <c r="BZ1245" t="str">
        <f ca="1">IF(BY1245=1,IF(INDEX(分析データ!$A:$A,ROW()+$C$5)&lt;&gt;"",40000*SIGN(BX1245)*(分析データ!G1245-INDEX(分析データ!G:G,ROW()+$C$5)),""),"")</f>
        <v/>
      </c>
      <c r="CA1245">
        <f t="shared" ca="1" si="553"/>
        <v>-3515452.8662109179</v>
      </c>
      <c r="CB1245">
        <f t="shared" ca="1" si="554"/>
        <v>11327520.000000004</v>
      </c>
      <c r="CC1245">
        <f t="shared" ca="1" si="555"/>
        <v>-14842972.866210923</v>
      </c>
      <c r="CD1245">
        <f t="shared" ca="1" si="556"/>
        <v>0</v>
      </c>
      <c r="CE1245">
        <f t="shared" ca="1" si="557"/>
        <v>23090347.13378913</v>
      </c>
      <c r="CF1245">
        <f t="shared" ca="1" si="558"/>
        <v>23090347.13378913</v>
      </c>
      <c r="CG1245">
        <f t="shared" ca="1" si="559"/>
        <v>0</v>
      </c>
      <c r="CH1245" s="10" t="str">
        <f>分析データ!A1245</f>
        <v/>
      </c>
    </row>
    <row r="1246" spans="46:86">
      <c r="AT1246">
        <f ca="1">IF(ROW()&lt;($C$7+1),"",IFERROR((分析データ!B1246-AVERAGE(OFFSET(分析データ!B$1,MAX(1,ROW()-$C$7),0,MIN($C$7,ROW()-1),1)))/STDEV(OFFSET(分析データ!B$1,MAX(1,ROW()-$C$7),0,MIN($C$7,ROW()-1),1)),0))</f>
        <v>0</v>
      </c>
      <c r="AU1246">
        <f t="shared" ca="1" si="532"/>
        <v>0</v>
      </c>
      <c r="AV1246" t="str">
        <f ca="1">IF(AU1246=1,IF(INDEX(分析データ!$A:$A,ROW()+$C$5)&lt;&gt;"",80000*SIGN(AT1246)*(分析データ!B1246-INDEX(分析データ!B:B,ROW()+$C$5)),""),"")</f>
        <v/>
      </c>
      <c r="AW1246">
        <f t="shared" ca="1" si="533"/>
        <v>-1240000.0000000019</v>
      </c>
      <c r="AX1246">
        <f t="shared" ca="1" si="534"/>
        <v>0</v>
      </c>
      <c r="AY1246">
        <f t="shared" ca="1" si="535"/>
        <v>-1240000.0000000019</v>
      </c>
      <c r="AZ1246">
        <f ca="1">IF(ROW()&lt;($C$7+1),"",IFERROR((分析データ!C1246-AVERAGE(OFFSET(分析データ!C$1,MAX(1,ROW()-$C$7),0,MIN($C$7,ROW()-1),1)))/STDEV(OFFSET(分析データ!C$1,MAX(1,ROW()-$C$7),0,MIN($C$7,ROW()-1),1)),0))</f>
        <v>0</v>
      </c>
      <c r="BA1246">
        <f t="shared" ca="1" si="536"/>
        <v>0</v>
      </c>
      <c r="BB1246" t="str">
        <f ca="1">IF(BA1246=1,IF(INDEX(分析データ!$A:$A,ROW()+$C$5)&lt;&gt;"",60000*SIGN(AZ1246)*(分析データ!C1246-INDEX(分析データ!C:C,ROW()+$C$5)),""),"")</f>
        <v/>
      </c>
      <c r="BC1246">
        <f t="shared" ca="1" si="537"/>
        <v>-260999.9999999851</v>
      </c>
      <c r="BD1246">
        <f t="shared" ca="1" si="538"/>
        <v>3156000.0000000107</v>
      </c>
      <c r="BE1246">
        <f t="shared" ca="1" si="539"/>
        <v>-3416999.9999999958</v>
      </c>
      <c r="BF1246">
        <f ca="1">IF(ROW()&lt;($C$7+1),"",IFERROR((分析データ!D1246-AVERAGE(OFFSET(分析データ!D$1,MAX(1,ROW()-$C$7),0,MIN($C$7,ROW()-1),1)))/STDEV(OFFSET(分析データ!D$1,MAX(1,ROW()-$C$7),0,MIN($C$7,ROW()-1),1)),0))</f>
        <v>0</v>
      </c>
      <c r="BG1246">
        <f t="shared" ca="1" si="540"/>
        <v>0</v>
      </c>
      <c r="BH1246" t="str">
        <f ca="1">IF(BG1246=1,IF(INDEX(分析データ!$A:$A,ROW()+$C$5)&lt;&gt;"",50000*SIGN(BF1246)*(分析データ!D1246-INDEX(分析データ!D:D,ROW()+$C$5)),""),"")</f>
        <v/>
      </c>
      <c r="BI1246">
        <f t="shared" ca="1" si="541"/>
        <v>5570000.0000000205</v>
      </c>
      <c r="BJ1246">
        <f t="shared" ca="1" si="542"/>
        <v>5570000.0000000205</v>
      </c>
      <c r="BK1246">
        <f t="shared" ca="1" si="543"/>
        <v>0</v>
      </c>
      <c r="BL1246">
        <f ca="1">IF(ROW()&lt;($C$7+1),"",IFERROR((分析データ!E1246-AVERAGE(OFFSET(分析データ!E$1,MAX(1,ROW()-$C$7),0,MIN($C$7,ROW()-1),1)))/STDEV(OFFSET(分析データ!E$1,MAX(1,ROW()-$C$7),0,MIN($C$7,ROW()-1),1)),0))</f>
        <v>0</v>
      </c>
      <c r="BM1246">
        <f t="shared" ca="1" si="544"/>
        <v>0</v>
      </c>
      <c r="BN1246" t="str">
        <f ca="1">IF(BM1246=1,IF(INDEX(分析データ!$A:$A,ROW()+$C$5)&lt;&gt;"",40000*SIGN(BL1246)*(分析データ!E1246-INDEX(分析データ!E:E,ROW()+$C$5)),""),"")</f>
        <v/>
      </c>
      <c r="BO1246">
        <f t="shared" ca="1" si="545"/>
        <v>2720000.0000000014</v>
      </c>
      <c r="BP1246">
        <f t="shared" ca="1" si="546"/>
        <v>4280000.0000000028</v>
      </c>
      <c r="BQ1246">
        <f t="shared" ca="1" si="547"/>
        <v>-1560000.0000000014</v>
      </c>
      <c r="BR1246">
        <f ca="1">IF(ROW()&lt;($C$7+1),"",IFERROR((分析データ!F1246-AVERAGE(OFFSET(分析データ!F$1,MAX(1,ROW()-$C$7),0,MIN($C$7,ROW()-1),1)))/STDEV(OFFSET(分析データ!F$1,MAX(1,ROW()-$C$7),0,MIN($C$7,ROW()-1),1)),0))</f>
        <v>0</v>
      </c>
      <c r="BS1246">
        <f t="shared" ca="1" si="548"/>
        <v>0</v>
      </c>
      <c r="BT1246" t="str">
        <f ca="1">IF(BS1246=1,IF(INDEX(分析データ!$A:$A,ROW()+$C$5)&lt;&gt;"",40000*SIGN(BR1246)*(分析データ!F1246-INDEX(分析データ!F:F,ROW()+$C$5)),""),"")</f>
        <v/>
      </c>
      <c r="BU1246">
        <f t="shared" ca="1" si="549"/>
        <v>19816800</v>
      </c>
      <c r="BV1246">
        <f t="shared" ca="1" si="550"/>
        <v>19816800</v>
      </c>
      <c r="BW1246">
        <f t="shared" ca="1" si="551"/>
        <v>0</v>
      </c>
      <c r="BX1246">
        <f ca="1">IF(ROW()&lt;($C$7+1),"",IFERROR((分析データ!G1246-AVERAGE(OFFSET(分析データ!G$1,MAX(1,ROW()-$C$7),0,MIN($C$7,ROW()-1),1)))/STDEV(OFFSET(分析データ!G$1,MAX(1,ROW()-$C$7),0,MIN($C$7,ROW()-1),1)),0))</f>
        <v>0</v>
      </c>
      <c r="BY1246">
        <f t="shared" ca="1" si="552"/>
        <v>0</v>
      </c>
      <c r="BZ1246" t="str">
        <f ca="1">IF(BY1246=1,IF(INDEX(分析データ!$A:$A,ROW()+$C$5)&lt;&gt;"",40000*SIGN(BX1246)*(分析データ!G1246-INDEX(分析データ!G:G,ROW()+$C$5)),""),"")</f>
        <v/>
      </c>
      <c r="CA1246">
        <f t="shared" ca="1" si="553"/>
        <v>-3515452.8662109179</v>
      </c>
      <c r="CB1246">
        <f t="shared" ca="1" si="554"/>
        <v>11327520.000000004</v>
      </c>
      <c r="CC1246">
        <f t="shared" ca="1" si="555"/>
        <v>-14842972.866210923</v>
      </c>
      <c r="CD1246">
        <f t="shared" ca="1" si="556"/>
        <v>0</v>
      </c>
      <c r="CE1246">
        <f t="shared" ca="1" si="557"/>
        <v>23090347.13378913</v>
      </c>
      <c r="CF1246">
        <f t="shared" ca="1" si="558"/>
        <v>23090347.13378913</v>
      </c>
      <c r="CG1246">
        <f t="shared" ca="1" si="559"/>
        <v>0</v>
      </c>
      <c r="CH1246" s="10" t="str">
        <f>分析データ!A1246</f>
        <v/>
      </c>
    </row>
    <row r="1247" spans="46:86">
      <c r="AT1247">
        <f ca="1">IF(ROW()&lt;($C$7+1),"",IFERROR((分析データ!B1247-AVERAGE(OFFSET(分析データ!B$1,MAX(1,ROW()-$C$7),0,MIN($C$7,ROW()-1),1)))/STDEV(OFFSET(分析データ!B$1,MAX(1,ROW()-$C$7),0,MIN($C$7,ROW()-1),1)),0))</f>
        <v>0</v>
      </c>
      <c r="AU1247">
        <f t="shared" ca="1" si="532"/>
        <v>0</v>
      </c>
      <c r="AV1247" t="str">
        <f ca="1">IF(AU1247=1,IF(INDEX(分析データ!$A:$A,ROW()+$C$5)&lt;&gt;"",80000*SIGN(AT1247)*(分析データ!B1247-INDEX(分析データ!B:B,ROW()+$C$5)),""),"")</f>
        <v/>
      </c>
      <c r="AW1247">
        <f t="shared" ca="1" si="533"/>
        <v>-1240000.0000000019</v>
      </c>
      <c r="AX1247">
        <f t="shared" ca="1" si="534"/>
        <v>0</v>
      </c>
      <c r="AY1247">
        <f t="shared" ca="1" si="535"/>
        <v>-1240000.0000000019</v>
      </c>
      <c r="AZ1247">
        <f ca="1">IF(ROW()&lt;($C$7+1),"",IFERROR((分析データ!C1247-AVERAGE(OFFSET(分析データ!C$1,MAX(1,ROW()-$C$7),0,MIN($C$7,ROW()-1),1)))/STDEV(OFFSET(分析データ!C$1,MAX(1,ROW()-$C$7),0,MIN($C$7,ROW()-1),1)),0))</f>
        <v>0</v>
      </c>
      <c r="BA1247">
        <f t="shared" ca="1" si="536"/>
        <v>0</v>
      </c>
      <c r="BB1247" t="str">
        <f ca="1">IF(BA1247=1,IF(INDEX(分析データ!$A:$A,ROW()+$C$5)&lt;&gt;"",60000*SIGN(AZ1247)*(分析データ!C1247-INDEX(分析データ!C:C,ROW()+$C$5)),""),"")</f>
        <v/>
      </c>
      <c r="BC1247">
        <f t="shared" ca="1" si="537"/>
        <v>-260999.9999999851</v>
      </c>
      <c r="BD1247">
        <f t="shared" ca="1" si="538"/>
        <v>3156000.0000000107</v>
      </c>
      <c r="BE1247">
        <f t="shared" ca="1" si="539"/>
        <v>-3416999.9999999958</v>
      </c>
      <c r="BF1247">
        <f ca="1">IF(ROW()&lt;($C$7+1),"",IFERROR((分析データ!D1247-AVERAGE(OFFSET(分析データ!D$1,MAX(1,ROW()-$C$7),0,MIN($C$7,ROW()-1),1)))/STDEV(OFFSET(分析データ!D$1,MAX(1,ROW()-$C$7),0,MIN($C$7,ROW()-1),1)),0))</f>
        <v>0</v>
      </c>
      <c r="BG1247">
        <f t="shared" ca="1" si="540"/>
        <v>0</v>
      </c>
      <c r="BH1247" t="str">
        <f ca="1">IF(BG1247=1,IF(INDEX(分析データ!$A:$A,ROW()+$C$5)&lt;&gt;"",50000*SIGN(BF1247)*(分析データ!D1247-INDEX(分析データ!D:D,ROW()+$C$5)),""),"")</f>
        <v/>
      </c>
      <c r="BI1247">
        <f t="shared" ca="1" si="541"/>
        <v>5570000.0000000205</v>
      </c>
      <c r="BJ1247">
        <f t="shared" ca="1" si="542"/>
        <v>5570000.0000000205</v>
      </c>
      <c r="BK1247">
        <f t="shared" ca="1" si="543"/>
        <v>0</v>
      </c>
      <c r="BL1247">
        <f ca="1">IF(ROW()&lt;($C$7+1),"",IFERROR((分析データ!E1247-AVERAGE(OFFSET(分析データ!E$1,MAX(1,ROW()-$C$7),0,MIN($C$7,ROW()-1),1)))/STDEV(OFFSET(分析データ!E$1,MAX(1,ROW()-$C$7),0,MIN($C$7,ROW()-1),1)),0))</f>
        <v>0</v>
      </c>
      <c r="BM1247">
        <f t="shared" ca="1" si="544"/>
        <v>0</v>
      </c>
      <c r="BN1247" t="str">
        <f ca="1">IF(BM1247=1,IF(INDEX(分析データ!$A:$A,ROW()+$C$5)&lt;&gt;"",40000*SIGN(BL1247)*(分析データ!E1247-INDEX(分析データ!E:E,ROW()+$C$5)),""),"")</f>
        <v/>
      </c>
      <c r="BO1247">
        <f t="shared" ca="1" si="545"/>
        <v>2720000.0000000014</v>
      </c>
      <c r="BP1247">
        <f t="shared" ca="1" si="546"/>
        <v>4280000.0000000028</v>
      </c>
      <c r="BQ1247">
        <f t="shared" ca="1" si="547"/>
        <v>-1560000.0000000014</v>
      </c>
      <c r="BR1247">
        <f ca="1">IF(ROW()&lt;($C$7+1),"",IFERROR((分析データ!F1247-AVERAGE(OFFSET(分析データ!F$1,MAX(1,ROW()-$C$7),0,MIN($C$7,ROW()-1),1)))/STDEV(OFFSET(分析データ!F$1,MAX(1,ROW()-$C$7),0,MIN($C$7,ROW()-1),1)),0))</f>
        <v>0</v>
      </c>
      <c r="BS1247">
        <f t="shared" ca="1" si="548"/>
        <v>0</v>
      </c>
      <c r="BT1247" t="str">
        <f ca="1">IF(BS1247=1,IF(INDEX(分析データ!$A:$A,ROW()+$C$5)&lt;&gt;"",40000*SIGN(BR1247)*(分析データ!F1247-INDEX(分析データ!F:F,ROW()+$C$5)),""),"")</f>
        <v/>
      </c>
      <c r="BU1247">
        <f t="shared" ca="1" si="549"/>
        <v>19816800</v>
      </c>
      <c r="BV1247">
        <f t="shared" ca="1" si="550"/>
        <v>19816800</v>
      </c>
      <c r="BW1247">
        <f t="shared" ca="1" si="551"/>
        <v>0</v>
      </c>
      <c r="BX1247">
        <f ca="1">IF(ROW()&lt;($C$7+1),"",IFERROR((分析データ!G1247-AVERAGE(OFFSET(分析データ!G$1,MAX(1,ROW()-$C$7),0,MIN($C$7,ROW()-1),1)))/STDEV(OFFSET(分析データ!G$1,MAX(1,ROW()-$C$7),0,MIN($C$7,ROW()-1),1)),0))</f>
        <v>0</v>
      </c>
      <c r="BY1247">
        <f t="shared" ca="1" si="552"/>
        <v>0</v>
      </c>
      <c r="BZ1247" t="str">
        <f ca="1">IF(BY1247=1,IF(INDEX(分析データ!$A:$A,ROW()+$C$5)&lt;&gt;"",40000*SIGN(BX1247)*(分析データ!G1247-INDEX(分析データ!G:G,ROW()+$C$5)),""),"")</f>
        <v/>
      </c>
      <c r="CA1247">
        <f t="shared" ca="1" si="553"/>
        <v>-3515452.8662109179</v>
      </c>
      <c r="CB1247">
        <f t="shared" ca="1" si="554"/>
        <v>11327520.000000004</v>
      </c>
      <c r="CC1247">
        <f t="shared" ca="1" si="555"/>
        <v>-14842972.866210923</v>
      </c>
      <c r="CD1247">
        <f t="shared" ca="1" si="556"/>
        <v>0</v>
      </c>
      <c r="CE1247">
        <f t="shared" ca="1" si="557"/>
        <v>23090347.13378913</v>
      </c>
      <c r="CF1247">
        <f t="shared" ca="1" si="558"/>
        <v>23090347.13378913</v>
      </c>
      <c r="CG1247">
        <f t="shared" ca="1" si="559"/>
        <v>0</v>
      </c>
      <c r="CH1247" s="10" t="str">
        <f>分析データ!A1247</f>
        <v/>
      </c>
    </row>
    <row r="1248" spans="46:86">
      <c r="AT1248">
        <f ca="1">IF(ROW()&lt;($C$7+1),"",IFERROR((分析データ!B1248-AVERAGE(OFFSET(分析データ!B$1,MAX(1,ROW()-$C$7),0,MIN($C$7,ROW()-1),1)))/STDEV(OFFSET(分析データ!B$1,MAX(1,ROW()-$C$7),0,MIN($C$7,ROW()-1),1)),0))</f>
        <v>0</v>
      </c>
      <c r="AU1248">
        <f t="shared" ca="1" si="532"/>
        <v>0</v>
      </c>
      <c r="AV1248" t="str">
        <f ca="1">IF(AU1248=1,IF(INDEX(分析データ!$A:$A,ROW()+$C$5)&lt;&gt;"",80000*SIGN(AT1248)*(分析データ!B1248-INDEX(分析データ!B:B,ROW()+$C$5)),""),"")</f>
        <v/>
      </c>
      <c r="AW1248">
        <f t="shared" ca="1" si="533"/>
        <v>-1240000.0000000019</v>
      </c>
      <c r="AX1248">
        <f t="shared" ca="1" si="534"/>
        <v>0</v>
      </c>
      <c r="AY1248">
        <f t="shared" ca="1" si="535"/>
        <v>-1240000.0000000019</v>
      </c>
      <c r="AZ1248">
        <f ca="1">IF(ROW()&lt;($C$7+1),"",IFERROR((分析データ!C1248-AVERAGE(OFFSET(分析データ!C$1,MAX(1,ROW()-$C$7),0,MIN($C$7,ROW()-1),1)))/STDEV(OFFSET(分析データ!C$1,MAX(1,ROW()-$C$7),0,MIN($C$7,ROW()-1),1)),0))</f>
        <v>0</v>
      </c>
      <c r="BA1248">
        <f t="shared" ca="1" si="536"/>
        <v>0</v>
      </c>
      <c r="BB1248" t="str">
        <f ca="1">IF(BA1248=1,IF(INDEX(分析データ!$A:$A,ROW()+$C$5)&lt;&gt;"",60000*SIGN(AZ1248)*(分析データ!C1248-INDEX(分析データ!C:C,ROW()+$C$5)),""),"")</f>
        <v/>
      </c>
      <c r="BC1248">
        <f t="shared" ca="1" si="537"/>
        <v>-260999.9999999851</v>
      </c>
      <c r="BD1248">
        <f t="shared" ca="1" si="538"/>
        <v>3156000.0000000107</v>
      </c>
      <c r="BE1248">
        <f t="shared" ca="1" si="539"/>
        <v>-3416999.9999999958</v>
      </c>
      <c r="BF1248">
        <f ca="1">IF(ROW()&lt;($C$7+1),"",IFERROR((分析データ!D1248-AVERAGE(OFFSET(分析データ!D$1,MAX(1,ROW()-$C$7),0,MIN($C$7,ROW()-1),1)))/STDEV(OFFSET(分析データ!D$1,MAX(1,ROW()-$C$7),0,MIN($C$7,ROW()-1),1)),0))</f>
        <v>0</v>
      </c>
      <c r="BG1248">
        <f t="shared" ca="1" si="540"/>
        <v>0</v>
      </c>
      <c r="BH1248" t="str">
        <f ca="1">IF(BG1248=1,IF(INDEX(分析データ!$A:$A,ROW()+$C$5)&lt;&gt;"",50000*SIGN(BF1248)*(分析データ!D1248-INDEX(分析データ!D:D,ROW()+$C$5)),""),"")</f>
        <v/>
      </c>
      <c r="BI1248">
        <f t="shared" ca="1" si="541"/>
        <v>5570000.0000000205</v>
      </c>
      <c r="BJ1248">
        <f t="shared" ca="1" si="542"/>
        <v>5570000.0000000205</v>
      </c>
      <c r="BK1248">
        <f t="shared" ca="1" si="543"/>
        <v>0</v>
      </c>
      <c r="BL1248">
        <f ca="1">IF(ROW()&lt;($C$7+1),"",IFERROR((分析データ!E1248-AVERAGE(OFFSET(分析データ!E$1,MAX(1,ROW()-$C$7),0,MIN($C$7,ROW()-1),1)))/STDEV(OFFSET(分析データ!E$1,MAX(1,ROW()-$C$7),0,MIN($C$7,ROW()-1),1)),0))</f>
        <v>0</v>
      </c>
      <c r="BM1248">
        <f t="shared" ca="1" si="544"/>
        <v>0</v>
      </c>
      <c r="BN1248" t="str">
        <f ca="1">IF(BM1248=1,IF(INDEX(分析データ!$A:$A,ROW()+$C$5)&lt;&gt;"",40000*SIGN(BL1248)*(分析データ!E1248-INDEX(分析データ!E:E,ROW()+$C$5)),""),"")</f>
        <v/>
      </c>
      <c r="BO1248">
        <f t="shared" ca="1" si="545"/>
        <v>2720000.0000000014</v>
      </c>
      <c r="BP1248">
        <f t="shared" ca="1" si="546"/>
        <v>4280000.0000000028</v>
      </c>
      <c r="BQ1248">
        <f t="shared" ca="1" si="547"/>
        <v>-1560000.0000000014</v>
      </c>
      <c r="BR1248">
        <f ca="1">IF(ROW()&lt;($C$7+1),"",IFERROR((分析データ!F1248-AVERAGE(OFFSET(分析データ!F$1,MAX(1,ROW()-$C$7),0,MIN($C$7,ROW()-1),1)))/STDEV(OFFSET(分析データ!F$1,MAX(1,ROW()-$C$7),0,MIN($C$7,ROW()-1),1)),0))</f>
        <v>0</v>
      </c>
      <c r="BS1248">
        <f t="shared" ca="1" si="548"/>
        <v>0</v>
      </c>
      <c r="BT1248" t="str">
        <f ca="1">IF(BS1248=1,IF(INDEX(分析データ!$A:$A,ROW()+$C$5)&lt;&gt;"",40000*SIGN(BR1248)*(分析データ!F1248-INDEX(分析データ!F:F,ROW()+$C$5)),""),"")</f>
        <v/>
      </c>
      <c r="BU1248">
        <f t="shared" ca="1" si="549"/>
        <v>19816800</v>
      </c>
      <c r="BV1248">
        <f t="shared" ca="1" si="550"/>
        <v>19816800</v>
      </c>
      <c r="BW1248">
        <f t="shared" ca="1" si="551"/>
        <v>0</v>
      </c>
      <c r="BX1248">
        <f ca="1">IF(ROW()&lt;($C$7+1),"",IFERROR((分析データ!G1248-AVERAGE(OFFSET(分析データ!G$1,MAX(1,ROW()-$C$7),0,MIN($C$7,ROW()-1),1)))/STDEV(OFFSET(分析データ!G$1,MAX(1,ROW()-$C$7),0,MIN($C$7,ROW()-1),1)),0))</f>
        <v>0</v>
      </c>
      <c r="BY1248">
        <f t="shared" ca="1" si="552"/>
        <v>0</v>
      </c>
      <c r="BZ1248" t="str">
        <f ca="1">IF(BY1248=1,IF(INDEX(分析データ!$A:$A,ROW()+$C$5)&lt;&gt;"",40000*SIGN(BX1248)*(分析データ!G1248-INDEX(分析データ!G:G,ROW()+$C$5)),""),"")</f>
        <v/>
      </c>
      <c r="CA1248">
        <f t="shared" ca="1" si="553"/>
        <v>-3515452.8662109179</v>
      </c>
      <c r="CB1248">
        <f t="shared" ca="1" si="554"/>
        <v>11327520.000000004</v>
      </c>
      <c r="CC1248">
        <f t="shared" ca="1" si="555"/>
        <v>-14842972.866210923</v>
      </c>
      <c r="CD1248">
        <f t="shared" ca="1" si="556"/>
        <v>0</v>
      </c>
      <c r="CE1248">
        <f t="shared" ca="1" si="557"/>
        <v>23090347.13378913</v>
      </c>
      <c r="CF1248">
        <f t="shared" ca="1" si="558"/>
        <v>23090347.13378913</v>
      </c>
      <c r="CG1248">
        <f t="shared" ca="1" si="559"/>
        <v>0</v>
      </c>
      <c r="CH1248" s="10" t="str">
        <f>分析データ!A1248</f>
        <v/>
      </c>
    </row>
    <row r="1249" spans="46:86">
      <c r="AT1249">
        <f ca="1">IF(ROW()&lt;($C$7+1),"",IFERROR((分析データ!B1249-AVERAGE(OFFSET(分析データ!B$1,MAX(1,ROW()-$C$7),0,MIN($C$7,ROW()-1),1)))/STDEV(OFFSET(分析データ!B$1,MAX(1,ROW()-$C$7),0,MIN($C$7,ROW()-1),1)),0))</f>
        <v>0</v>
      </c>
      <c r="AU1249">
        <f t="shared" ca="1" si="532"/>
        <v>0</v>
      </c>
      <c r="AV1249" t="str">
        <f ca="1">IF(AU1249=1,IF(INDEX(分析データ!$A:$A,ROW()+$C$5)&lt;&gt;"",80000*SIGN(AT1249)*(分析データ!B1249-INDEX(分析データ!B:B,ROW()+$C$5)),""),"")</f>
        <v/>
      </c>
      <c r="AW1249">
        <f t="shared" ca="1" si="533"/>
        <v>-1240000.0000000019</v>
      </c>
      <c r="AX1249">
        <f t="shared" ca="1" si="534"/>
        <v>0</v>
      </c>
      <c r="AY1249">
        <f t="shared" ca="1" si="535"/>
        <v>-1240000.0000000019</v>
      </c>
      <c r="AZ1249">
        <f ca="1">IF(ROW()&lt;($C$7+1),"",IFERROR((分析データ!C1249-AVERAGE(OFFSET(分析データ!C$1,MAX(1,ROW()-$C$7),0,MIN($C$7,ROW()-1),1)))/STDEV(OFFSET(分析データ!C$1,MAX(1,ROW()-$C$7),0,MIN($C$7,ROW()-1),1)),0))</f>
        <v>0</v>
      </c>
      <c r="BA1249">
        <f t="shared" ca="1" si="536"/>
        <v>0</v>
      </c>
      <c r="BB1249" t="str">
        <f ca="1">IF(BA1249=1,IF(INDEX(分析データ!$A:$A,ROW()+$C$5)&lt;&gt;"",60000*SIGN(AZ1249)*(分析データ!C1249-INDEX(分析データ!C:C,ROW()+$C$5)),""),"")</f>
        <v/>
      </c>
      <c r="BC1249">
        <f t="shared" ca="1" si="537"/>
        <v>-260999.9999999851</v>
      </c>
      <c r="BD1249">
        <f t="shared" ca="1" si="538"/>
        <v>3156000.0000000107</v>
      </c>
      <c r="BE1249">
        <f t="shared" ca="1" si="539"/>
        <v>-3416999.9999999958</v>
      </c>
      <c r="BF1249">
        <f ca="1">IF(ROW()&lt;($C$7+1),"",IFERROR((分析データ!D1249-AVERAGE(OFFSET(分析データ!D$1,MAX(1,ROW()-$C$7),0,MIN($C$7,ROW()-1),1)))/STDEV(OFFSET(分析データ!D$1,MAX(1,ROW()-$C$7),0,MIN($C$7,ROW()-1),1)),0))</f>
        <v>0</v>
      </c>
      <c r="BG1249">
        <f t="shared" ca="1" si="540"/>
        <v>0</v>
      </c>
      <c r="BH1249" t="str">
        <f ca="1">IF(BG1249=1,IF(INDEX(分析データ!$A:$A,ROW()+$C$5)&lt;&gt;"",50000*SIGN(BF1249)*(分析データ!D1249-INDEX(分析データ!D:D,ROW()+$C$5)),""),"")</f>
        <v/>
      </c>
      <c r="BI1249">
        <f t="shared" ca="1" si="541"/>
        <v>5570000.0000000205</v>
      </c>
      <c r="BJ1249">
        <f t="shared" ca="1" si="542"/>
        <v>5570000.0000000205</v>
      </c>
      <c r="BK1249">
        <f t="shared" ca="1" si="543"/>
        <v>0</v>
      </c>
      <c r="BL1249">
        <f ca="1">IF(ROW()&lt;($C$7+1),"",IFERROR((分析データ!E1249-AVERAGE(OFFSET(分析データ!E$1,MAX(1,ROW()-$C$7),0,MIN($C$7,ROW()-1),1)))/STDEV(OFFSET(分析データ!E$1,MAX(1,ROW()-$C$7),0,MIN($C$7,ROW()-1),1)),0))</f>
        <v>0</v>
      </c>
      <c r="BM1249">
        <f t="shared" ca="1" si="544"/>
        <v>0</v>
      </c>
      <c r="BN1249" t="str">
        <f ca="1">IF(BM1249=1,IF(INDEX(分析データ!$A:$A,ROW()+$C$5)&lt;&gt;"",40000*SIGN(BL1249)*(分析データ!E1249-INDEX(分析データ!E:E,ROW()+$C$5)),""),"")</f>
        <v/>
      </c>
      <c r="BO1249">
        <f t="shared" ca="1" si="545"/>
        <v>2720000.0000000014</v>
      </c>
      <c r="BP1249">
        <f t="shared" ca="1" si="546"/>
        <v>4280000.0000000028</v>
      </c>
      <c r="BQ1249">
        <f t="shared" ca="1" si="547"/>
        <v>-1560000.0000000014</v>
      </c>
      <c r="BR1249">
        <f ca="1">IF(ROW()&lt;($C$7+1),"",IFERROR((分析データ!F1249-AVERAGE(OFFSET(分析データ!F$1,MAX(1,ROW()-$C$7),0,MIN($C$7,ROW()-1),1)))/STDEV(OFFSET(分析データ!F$1,MAX(1,ROW()-$C$7),0,MIN($C$7,ROW()-1),1)),0))</f>
        <v>0</v>
      </c>
      <c r="BS1249">
        <f t="shared" ca="1" si="548"/>
        <v>0</v>
      </c>
      <c r="BT1249" t="str">
        <f ca="1">IF(BS1249=1,IF(INDEX(分析データ!$A:$A,ROW()+$C$5)&lt;&gt;"",40000*SIGN(BR1249)*(分析データ!F1249-INDEX(分析データ!F:F,ROW()+$C$5)),""),"")</f>
        <v/>
      </c>
      <c r="BU1249">
        <f t="shared" ca="1" si="549"/>
        <v>19816800</v>
      </c>
      <c r="BV1249">
        <f t="shared" ca="1" si="550"/>
        <v>19816800</v>
      </c>
      <c r="BW1249">
        <f t="shared" ca="1" si="551"/>
        <v>0</v>
      </c>
      <c r="BX1249">
        <f ca="1">IF(ROW()&lt;($C$7+1),"",IFERROR((分析データ!G1249-AVERAGE(OFFSET(分析データ!G$1,MAX(1,ROW()-$C$7),0,MIN($C$7,ROW()-1),1)))/STDEV(OFFSET(分析データ!G$1,MAX(1,ROW()-$C$7),0,MIN($C$7,ROW()-1),1)),0))</f>
        <v>0</v>
      </c>
      <c r="BY1249">
        <f t="shared" ca="1" si="552"/>
        <v>0</v>
      </c>
      <c r="BZ1249" t="str">
        <f ca="1">IF(BY1249=1,IF(INDEX(分析データ!$A:$A,ROW()+$C$5)&lt;&gt;"",40000*SIGN(BX1249)*(分析データ!G1249-INDEX(分析データ!G:G,ROW()+$C$5)),""),"")</f>
        <v/>
      </c>
      <c r="CA1249">
        <f t="shared" ca="1" si="553"/>
        <v>-3515452.8662109179</v>
      </c>
      <c r="CB1249">
        <f t="shared" ca="1" si="554"/>
        <v>11327520.000000004</v>
      </c>
      <c r="CC1249">
        <f t="shared" ca="1" si="555"/>
        <v>-14842972.866210923</v>
      </c>
      <c r="CD1249">
        <f t="shared" ca="1" si="556"/>
        <v>0</v>
      </c>
      <c r="CE1249">
        <f t="shared" ca="1" si="557"/>
        <v>23090347.13378913</v>
      </c>
      <c r="CF1249">
        <f t="shared" ca="1" si="558"/>
        <v>23090347.13378913</v>
      </c>
      <c r="CG1249">
        <f t="shared" ca="1" si="559"/>
        <v>0</v>
      </c>
      <c r="CH1249" s="10" t="str">
        <f>分析データ!A1249</f>
        <v/>
      </c>
    </row>
    <row r="1250" spans="46:86">
      <c r="AT1250">
        <f ca="1">IF(ROW()&lt;($C$7+1),"",IFERROR((分析データ!B1250-AVERAGE(OFFSET(分析データ!B$1,MAX(1,ROW()-$C$7),0,MIN($C$7,ROW()-1),1)))/STDEV(OFFSET(分析データ!B$1,MAX(1,ROW()-$C$7),0,MIN($C$7,ROW()-1),1)),0))</f>
        <v>0</v>
      </c>
      <c r="AU1250">
        <f t="shared" ca="1" si="532"/>
        <v>0</v>
      </c>
      <c r="AV1250" t="str">
        <f ca="1">IF(AU1250=1,IF(INDEX(分析データ!$A:$A,ROW()+$C$5)&lt;&gt;"",80000*SIGN(AT1250)*(分析データ!B1250-INDEX(分析データ!B:B,ROW()+$C$5)),""),"")</f>
        <v/>
      </c>
      <c r="AW1250">
        <f t="shared" ca="1" si="533"/>
        <v>-1240000.0000000019</v>
      </c>
      <c r="AX1250">
        <f t="shared" ca="1" si="534"/>
        <v>0</v>
      </c>
      <c r="AY1250">
        <f t="shared" ca="1" si="535"/>
        <v>-1240000.0000000019</v>
      </c>
      <c r="AZ1250">
        <f ca="1">IF(ROW()&lt;($C$7+1),"",IFERROR((分析データ!C1250-AVERAGE(OFFSET(分析データ!C$1,MAX(1,ROW()-$C$7),0,MIN($C$7,ROW()-1),1)))/STDEV(OFFSET(分析データ!C$1,MAX(1,ROW()-$C$7),0,MIN($C$7,ROW()-1),1)),0))</f>
        <v>0</v>
      </c>
      <c r="BA1250">
        <f t="shared" ca="1" si="536"/>
        <v>0</v>
      </c>
      <c r="BB1250" t="str">
        <f ca="1">IF(BA1250=1,IF(INDEX(分析データ!$A:$A,ROW()+$C$5)&lt;&gt;"",60000*SIGN(AZ1250)*(分析データ!C1250-INDEX(分析データ!C:C,ROW()+$C$5)),""),"")</f>
        <v/>
      </c>
      <c r="BC1250">
        <f t="shared" ca="1" si="537"/>
        <v>-260999.9999999851</v>
      </c>
      <c r="BD1250">
        <f t="shared" ca="1" si="538"/>
        <v>3156000.0000000107</v>
      </c>
      <c r="BE1250">
        <f t="shared" ca="1" si="539"/>
        <v>-3416999.9999999958</v>
      </c>
      <c r="BF1250">
        <f ca="1">IF(ROW()&lt;($C$7+1),"",IFERROR((分析データ!D1250-AVERAGE(OFFSET(分析データ!D$1,MAX(1,ROW()-$C$7),0,MIN($C$7,ROW()-1),1)))/STDEV(OFFSET(分析データ!D$1,MAX(1,ROW()-$C$7),0,MIN($C$7,ROW()-1),1)),0))</f>
        <v>0</v>
      </c>
      <c r="BG1250">
        <f t="shared" ca="1" si="540"/>
        <v>0</v>
      </c>
      <c r="BH1250" t="str">
        <f ca="1">IF(BG1250=1,IF(INDEX(分析データ!$A:$A,ROW()+$C$5)&lt;&gt;"",50000*SIGN(BF1250)*(分析データ!D1250-INDEX(分析データ!D:D,ROW()+$C$5)),""),"")</f>
        <v/>
      </c>
      <c r="BI1250">
        <f t="shared" ca="1" si="541"/>
        <v>5570000.0000000205</v>
      </c>
      <c r="BJ1250">
        <f t="shared" ca="1" si="542"/>
        <v>5570000.0000000205</v>
      </c>
      <c r="BK1250">
        <f t="shared" ca="1" si="543"/>
        <v>0</v>
      </c>
      <c r="BL1250">
        <f ca="1">IF(ROW()&lt;($C$7+1),"",IFERROR((分析データ!E1250-AVERAGE(OFFSET(分析データ!E$1,MAX(1,ROW()-$C$7),0,MIN($C$7,ROW()-1),1)))/STDEV(OFFSET(分析データ!E$1,MAX(1,ROW()-$C$7),0,MIN($C$7,ROW()-1),1)),0))</f>
        <v>0</v>
      </c>
      <c r="BM1250">
        <f t="shared" ca="1" si="544"/>
        <v>0</v>
      </c>
      <c r="BN1250" t="str">
        <f ca="1">IF(BM1250=1,IF(INDEX(分析データ!$A:$A,ROW()+$C$5)&lt;&gt;"",40000*SIGN(BL1250)*(分析データ!E1250-INDEX(分析データ!E:E,ROW()+$C$5)),""),"")</f>
        <v/>
      </c>
      <c r="BO1250">
        <f t="shared" ca="1" si="545"/>
        <v>2720000.0000000014</v>
      </c>
      <c r="BP1250">
        <f t="shared" ca="1" si="546"/>
        <v>4280000.0000000028</v>
      </c>
      <c r="BQ1250">
        <f t="shared" ca="1" si="547"/>
        <v>-1560000.0000000014</v>
      </c>
      <c r="BR1250">
        <f ca="1">IF(ROW()&lt;($C$7+1),"",IFERROR((分析データ!F1250-AVERAGE(OFFSET(分析データ!F$1,MAX(1,ROW()-$C$7),0,MIN($C$7,ROW()-1),1)))/STDEV(OFFSET(分析データ!F$1,MAX(1,ROW()-$C$7),0,MIN($C$7,ROW()-1),1)),0))</f>
        <v>0</v>
      </c>
      <c r="BS1250">
        <f t="shared" ca="1" si="548"/>
        <v>0</v>
      </c>
      <c r="BT1250" t="str">
        <f ca="1">IF(BS1250=1,IF(INDEX(分析データ!$A:$A,ROW()+$C$5)&lt;&gt;"",40000*SIGN(BR1250)*(分析データ!F1250-INDEX(分析データ!F:F,ROW()+$C$5)),""),"")</f>
        <v/>
      </c>
      <c r="BU1250">
        <f t="shared" ca="1" si="549"/>
        <v>19816800</v>
      </c>
      <c r="BV1250">
        <f t="shared" ca="1" si="550"/>
        <v>19816800</v>
      </c>
      <c r="BW1250">
        <f t="shared" ca="1" si="551"/>
        <v>0</v>
      </c>
      <c r="BX1250">
        <f ca="1">IF(ROW()&lt;($C$7+1),"",IFERROR((分析データ!G1250-AVERAGE(OFFSET(分析データ!G$1,MAX(1,ROW()-$C$7),0,MIN($C$7,ROW()-1),1)))/STDEV(OFFSET(分析データ!G$1,MAX(1,ROW()-$C$7),0,MIN($C$7,ROW()-1),1)),0))</f>
        <v>0</v>
      </c>
      <c r="BY1250">
        <f t="shared" ca="1" si="552"/>
        <v>0</v>
      </c>
      <c r="BZ1250" t="str">
        <f ca="1">IF(BY1250=1,IF(INDEX(分析データ!$A:$A,ROW()+$C$5)&lt;&gt;"",40000*SIGN(BX1250)*(分析データ!G1250-INDEX(分析データ!G:G,ROW()+$C$5)),""),"")</f>
        <v/>
      </c>
      <c r="CA1250">
        <f t="shared" ca="1" si="553"/>
        <v>-3515452.8662109179</v>
      </c>
      <c r="CB1250">
        <f t="shared" ca="1" si="554"/>
        <v>11327520.000000004</v>
      </c>
      <c r="CC1250">
        <f t="shared" ca="1" si="555"/>
        <v>-14842972.866210923</v>
      </c>
      <c r="CD1250">
        <f t="shared" ca="1" si="556"/>
        <v>0</v>
      </c>
      <c r="CE1250">
        <f t="shared" ca="1" si="557"/>
        <v>23090347.13378913</v>
      </c>
      <c r="CF1250">
        <f t="shared" ca="1" si="558"/>
        <v>23090347.13378913</v>
      </c>
      <c r="CG1250">
        <f t="shared" ca="1" si="559"/>
        <v>0</v>
      </c>
      <c r="CH1250" s="10" t="str">
        <f>分析データ!A1250</f>
        <v/>
      </c>
    </row>
    <row r="1251" spans="46:86">
      <c r="AT1251">
        <f ca="1">IF(ROW()&lt;($C$7+1),"",IFERROR((分析データ!B1251-AVERAGE(OFFSET(分析データ!B$1,MAX(1,ROW()-$C$7),0,MIN($C$7,ROW()-1),1)))/STDEV(OFFSET(分析データ!B$1,MAX(1,ROW()-$C$7),0,MIN($C$7,ROW()-1),1)),0))</f>
        <v>0</v>
      </c>
      <c r="AU1251">
        <f t="shared" ca="1" si="532"/>
        <v>0</v>
      </c>
      <c r="AV1251" t="str">
        <f ca="1">IF(AU1251=1,IF(INDEX(分析データ!$A:$A,ROW()+$C$5)&lt;&gt;"",80000*SIGN(AT1251)*(分析データ!B1251-INDEX(分析データ!B:B,ROW()+$C$5)),""),"")</f>
        <v/>
      </c>
      <c r="AW1251">
        <f t="shared" ca="1" si="533"/>
        <v>-1240000.0000000019</v>
      </c>
      <c r="AX1251">
        <f t="shared" ca="1" si="534"/>
        <v>0</v>
      </c>
      <c r="AY1251">
        <f t="shared" ca="1" si="535"/>
        <v>-1240000.0000000019</v>
      </c>
      <c r="AZ1251">
        <f ca="1">IF(ROW()&lt;($C$7+1),"",IFERROR((分析データ!C1251-AVERAGE(OFFSET(分析データ!C$1,MAX(1,ROW()-$C$7),0,MIN($C$7,ROW()-1),1)))/STDEV(OFFSET(分析データ!C$1,MAX(1,ROW()-$C$7),0,MIN($C$7,ROW()-1),1)),0))</f>
        <v>0</v>
      </c>
      <c r="BA1251">
        <f t="shared" ca="1" si="536"/>
        <v>0</v>
      </c>
      <c r="BB1251" t="str">
        <f ca="1">IF(BA1251=1,IF(INDEX(分析データ!$A:$A,ROW()+$C$5)&lt;&gt;"",60000*SIGN(AZ1251)*(分析データ!C1251-INDEX(分析データ!C:C,ROW()+$C$5)),""),"")</f>
        <v/>
      </c>
      <c r="BC1251">
        <f t="shared" ca="1" si="537"/>
        <v>-260999.9999999851</v>
      </c>
      <c r="BD1251">
        <f t="shared" ca="1" si="538"/>
        <v>3156000.0000000107</v>
      </c>
      <c r="BE1251">
        <f t="shared" ca="1" si="539"/>
        <v>-3416999.9999999958</v>
      </c>
      <c r="BF1251">
        <f ca="1">IF(ROW()&lt;($C$7+1),"",IFERROR((分析データ!D1251-AVERAGE(OFFSET(分析データ!D$1,MAX(1,ROW()-$C$7),0,MIN($C$7,ROW()-1),1)))/STDEV(OFFSET(分析データ!D$1,MAX(1,ROW()-$C$7),0,MIN($C$7,ROW()-1),1)),0))</f>
        <v>0</v>
      </c>
      <c r="BG1251">
        <f t="shared" ca="1" si="540"/>
        <v>0</v>
      </c>
      <c r="BH1251" t="str">
        <f ca="1">IF(BG1251=1,IF(INDEX(分析データ!$A:$A,ROW()+$C$5)&lt;&gt;"",50000*SIGN(BF1251)*(分析データ!D1251-INDEX(分析データ!D:D,ROW()+$C$5)),""),"")</f>
        <v/>
      </c>
      <c r="BI1251">
        <f t="shared" ca="1" si="541"/>
        <v>5570000.0000000205</v>
      </c>
      <c r="BJ1251">
        <f t="shared" ca="1" si="542"/>
        <v>5570000.0000000205</v>
      </c>
      <c r="BK1251">
        <f t="shared" ca="1" si="543"/>
        <v>0</v>
      </c>
      <c r="BL1251">
        <f ca="1">IF(ROW()&lt;($C$7+1),"",IFERROR((分析データ!E1251-AVERAGE(OFFSET(分析データ!E$1,MAX(1,ROW()-$C$7),0,MIN($C$7,ROW()-1),1)))/STDEV(OFFSET(分析データ!E$1,MAX(1,ROW()-$C$7),0,MIN($C$7,ROW()-1),1)),0))</f>
        <v>0</v>
      </c>
      <c r="BM1251">
        <f t="shared" ca="1" si="544"/>
        <v>0</v>
      </c>
      <c r="BN1251" t="str">
        <f ca="1">IF(BM1251=1,IF(INDEX(分析データ!$A:$A,ROW()+$C$5)&lt;&gt;"",40000*SIGN(BL1251)*(分析データ!E1251-INDEX(分析データ!E:E,ROW()+$C$5)),""),"")</f>
        <v/>
      </c>
      <c r="BO1251">
        <f t="shared" ca="1" si="545"/>
        <v>2720000.0000000014</v>
      </c>
      <c r="BP1251">
        <f t="shared" ca="1" si="546"/>
        <v>4280000.0000000028</v>
      </c>
      <c r="BQ1251">
        <f t="shared" ca="1" si="547"/>
        <v>-1560000.0000000014</v>
      </c>
      <c r="BR1251">
        <f ca="1">IF(ROW()&lt;($C$7+1),"",IFERROR((分析データ!F1251-AVERAGE(OFFSET(分析データ!F$1,MAX(1,ROW()-$C$7),0,MIN($C$7,ROW()-1),1)))/STDEV(OFFSET(分析データ!F$1,MAX(1,ROW()-$C$7),0,MIN($C$7,ROW()-1),1)),0))</f>
        <v>0</v>
      </c>
      <c r="BS1251">
        <f t="shared" ca="1" si="548"/>
        <v>0</v>
      </c>
      <c r="BT1251" t="str">
        <f ca="1">IF(BS1251=1,IF(INDEX(分析データ!$A:$A,ROW()+$C$5)&lt;&gt;"",40000*SIGN(BR1251)*(分析データ!F1251-INDEX(分析データ!F:F,ROW()+$C$5)),""),"")</f>
        <v/>
      </c>
      <c r="BU1251">
        <f t="shared" ca="1" si="549"/>
        <v>19816800</v>
      </c>
      <c r="BV1251">
        <f t="shared" ca="1" si="550"/>
        <v>19816800</v>
      </c>
      <c r="BW1251">
        <f t="shared" ca="1" si="551"/>
        <v>0</v>
      </c>
      <c r="BX1251">
        <f ca="1">IF(ROW()&lt;($C$7+1),"",IFERROR((分析データ!G1251-AVERAGE(OFFSET(分析データ!G$1,MAX(1,ROW()-$C$7),0,MIN($C$7,ROW()-1),1)))/STDEV(OFFSET(分析データ!G$1,MAX(1,ROW()-$C$7),0,MIN($C$7,ROW()-1),1)),0))</f>
        <v>0</v>
      </c>
      <c r="BY1251">
        <f t="shared" ca="1" si="552"/>
        <v>0</v>
      </c>
      <c r="BZ1251" t="str">
        <f ca="1">IF(BY1251=1,IF(INDEX(分析データ!$A:$A,ROW()+$C$5)&lt;&gt;"",40000*SIGN(BX1251)*(分析データ!G1251-INDEX(分析データ!G:G,ROW()+$C$5)),""),"")</f>
        <v/>
      </c>
      <c r="CA1251">
        <f t="shared" ca="1" si="553"/>
        <v>-3515452.8662109179</v>
      </c>
      <c r="CB1251">
        <f t="shared" ca="1" si="554"/>
        <v>11327520.000000004</v>
      </c>
      <c r="CC1251">
        <f t="shared" ca="1" si="555"/>
        <v>-14842972.866210923</v>
      </c>
      <c r="CD1251">
        <f t="shared" ca="1" si="556"/>
        <v>0</v>
      </c>
      <c r="CE1251">
        <f t="shared" ca="1" si="557"/>
        <v>23090347.13378913</v>
      </c>
      <c r="CF1251">
        <f t="shared" ca="1" si="558"/>
        <v>23090347.13378913</v>
      </c>
      <c r="CG1251">
        <f t="shared" ca="1" si="559"/>
        <v>0</v>
      </c>
      <c r="CH1251" s="10" t="str">
        <f>分析データ!A1251</f>
        <v/>
      </c>
    </row>
    <row r="1252" spans="46:86">
      <c r="AT1252">
        <f ca="1">IF(ROW()&lt;($C$7+1),"",IFERROR((分析データ!B1252-AVERAGE(OFFSET(分析データ!B$1,MAX(1,ROW()-$C$7),0,MIN($C$7,ROW()-1),1)))/STDEV(OFFSET(分析データ!B$1,MAX(1,ROW()-$C$7),0,MIN($C$7,ROW()-1),1)),0))</f>
        <v>0</v>
      </c>
      <c r="AU1252">
        <f t="shared" ca="1" si="532"/>
        <v>0</v>
      </c>
      <c r="AV1252" t="str">
        <f ca="1">IF(AU1252=1,IF(INDEX(分析データ!$A:$A,ROW()+$C$5)&lt;&gt;"",80000*SIGN(AT1252)*(分析データ!B1252-INDEX(分析データ!B:B,ROW()+$C$5)),""),"")</f>
        <v/>
      </c>
      <c r="AW1252">
        <f t="shared" ca="1" si="533"/>
        <v>-1240000.0000000019</v>
      </c>
      <c r="AX1252">
        <f t="shared" ca="1" si="534"/>
        <v>0</v>
      </c>
      <c r="AY1252">
        <f t="shared" ca="1" si="535"/>
        <v>-1240000.0000000019</v>
      </c>
      <c r="AZ1252">
        <f ca="1">IF(ROW()&lt;($C$7+1),"",IFERROR((分析データ!C1252-AVERAGE(OFFSET(分析データ!C$1,MAX(1,ROW()-$C$7),0,MIN($C$7,ROW()-1),1)))/STDEV(OFFSET(分析データ!C$1,MAX(1,ROW()-$C$7),0,MIN($C$7,ROW()-1),1)),0))</f>
        <v>0</v>
      </c>
      <c r="BA1252">
        <f t="shared" ca="1" si="536"/>
        <v>0</v>
      </c>
      <c r="BB1252" t="str">
        <f ca="1">IF(BA1252=1,IF(INDEX(分析データ!$A:$A,ROW()+$C$5)&lt;&gt;"",60000*SIGN(AZ1252)*(分析データ!C1252-INDEX(分析データ!C:C,ROW()+$C$5)),""),"")</f>
        <v/>
      </c>
      <c r="BC1252">
        <f t="shared" ca="1" si="537"/>
        <v>-260999.9999999851</v>
      </c>
      <c r="BD1252">
        <f t="shared" ca="1" si="538"/>
        <v>3156000.0000000107</v>
      </c>
      <c r="BE1252">
        <f t="shared" ca="1" si="539"/>
        <v>-3416999.9999999958</v>
      </c>
      <c r="BF1252">
        <f ca="1">IF(ROW()&lt;($C$7+1),"",IFERROR((分析データ!D1252-AVERAGE(OFFSET(分析データ!D$1,MAX(1,ROW()-$C$7),0,MIN($C$7,ROW()-1),1)))/STDEV(OFFSET(分析データ!D$1,MAX(1,ROW()-$C$7),0,MIN($C$7,ROW()-1),1)),0))</f>
        <v>0</v>
      </c>
      <c r="BG1252">
        <f t="shared" ca="1" si="540"/>
        <v>0</v>
      </c>
      <c r="BH1252" t="str">
        <f ca="1">IF(BG1252=1,IF(INDEX(分析データ!$A:$A,ROW()+$C$5)&lt;&gt;"",50000*SIGN(BF1252)*(分析データ!D1252-INDEX(分析データ!D:D,ROW()+$C$5)),""),"")</f>
        <v/>
      </c>
      <c r="BI1252">
        <f t="shared" ca="1" si="541"/>
        <v>5570000.0000000205</v>
      </c>
      <c r="BJ1252">
        <f t="shared" ca="1" si="542"/>
        <v>5570000.0000000205</v>
      </c>
      <c r="BK1252">
        <f t="shared" ca="1" si="543"/>
        <v>0</v>
      </c>
      <c r="BL1252">
        <f ca="1">IF(ROW()&lt;($C$7+1),"",IFERROR((分析データ!E1252-AVERAGE(OFFSET(分析データ!E$1,MAX(1,ROW()-$C$7),0,MIN($C$7,ROW()-1),1)))/STDEV(OFFSET(分析データ!E$1,MAX(1,ROW()-$C$7),0,MIN($C$7,ROW()-1),1)),0))</f>
        <v>0</v>
      </c>
      <c r="BM1252">
        <f t="shared" ca="1" si="544"/>
        <v>0</v>
      </c>
      <c r="BN1252" t="str">
        <f ca="1">IF(BM1252=1,IF(INDEX(分析データ!$A:$A,ROW()+$C$5)&lt;&gt;"",40000*SIGN(BL1252)*(分析データ!E1252-INDEX(分析データ!E:E,ROW()+$C$5)),""),"")</f>
        <v/>
      </c>
      <c r="BO1252">
        <f t="shared" ca="1" si="545"/>
        <v>2720000.0000000014</v>
      </c>
      <c r="BP1252">
        <f t="shared" ca="1" si="546"/>
        <v>4280000.0000000028</v>
      </c>
      <c r="BQ1252">
        <f t="shared" ca="1" si="547"/>
        <v>-1560000.0000000014</v>
      </c>
      <c r="BR1252">
        <f ca="1">IF(ROW()&lt;($C$7+1),"",IFERROR((分析データ!F1252-AVERAGE(OFFSET(分析データ!F$1,MAX(1,ROW()-$C$7),0,MIN($C$7,ROW()-1),1)))/STDEV(OFFSET(分析データ!F$1,MAX(1,ROW()-$C$7),0,MIN($C$7,ROW()-1),1)),0))</f>
        <v>0</v>
      </c>
      <c r="BS1252">
        <f t="shared" ca="1" si="548"/>
        <v>0</v>
      </c>
      <c r="BT1252" t="str">
        <f ca="1">IF(BS1252=1,IF(INDEX(分析データ!$A:$A,ROW()+$C$5)&lt;&gt;"",40000*SIGN(BR1252)*(分析データ!F1252-INDEX(分析データ!F:F,ROW()+$C$5)),""),"")</f>
        <v/>
      </c>
      <c r="BU1252">
        <f t="shared" ca="1" si="549"/>
        <v>19816800</v>
      </c>
      <c r="BV1252">
        <f t="shared" ca="1" si="550"/>
        <v>19816800</v>
      </c>
      <c r="BW1252">
        <f t="shared" ca="1" si="551"/>
        <v>0</v>
      </c>
      <c r="BX1252">
        <f ca="1">IF(ROW()&lt;($C$7+1),"",IFERROR((分析データ!G1252-AVERAGE(OFFSET(分析データ!G$1,MAX(1,ROW()-$C$7),0,MIN($C$7,ROW()-1),1)))/STDEV(OFFSET(分析データ!G$1,MAX(1,ROW()-$C$7),0,MIN($C$7,ROW()-1),1)),0))</f>
        <v>0</v>
      </c>
      <c r="BY1252">
        <f t="shared" ca="1" si="552"/>
        <v>0</v>
      </c>
      <c r="BZ1252" t="str">
        <f ca="1">IF(BY1252=1,IF(INDEX(分析データ!$A:$A,ROW()+$C$5)&lt;&gt;"",40000*SIGN(BX1252)*(分析データ!G1252-INDEX(分析データ!G:G,ROW()+$C$5)),""),"")</f>
        <v/>
      </c>
      <c r="CA1252">
        <f t="shared" ca="1" si="553"/>
        <v>-3515452.8662109179</v>
      </c>
      <c r="CB1252">
        <f t="shared" ca="1" si="554"/>
        <v>11327520.000000004</v>
      </c>
      <c r="CC1252">
        <f t="shared" ca="1" si="555"/>
        <v>-14842972.866210923</v>
      </c>
      <c r="CD1252">
        <f t="shared" ca="1" si="556"/>
        <v>0</v>
      </c>
      <c r="CE1252">
        <f t="shared" ca="1" si="557"/>
        <v>23090347.13378913</v>
      </c>
      <c r="CF1252">
        <f t="shared" ca="1" si="558"/>
        <v>23090347.13378913</v>
      </c>
      <c r="CG1252">
        <f t="shared" ca="1" si="559"/>
        <v>0</v>
      </c>
      <c r="CH1252" s="10" t="str">
        <f>分析データ!A1252</f>
        <v/>
      </c>
    </row>
    <row r="1253" spans="46:86">
      <c r="AT1253">
        <f ca="1">IF(ROW()&lt;($C$7+1),"",IFERROR((分析データ!B1253-AVERAGE(OFFSET(分析データ!B$1,MAX(1,ROW()-$C$7),0,MIN($C$7,ROW()-1),1)))/STDEV(OFFSET(分析データ!B$1,MAX(1,ROW()-$C$7),0,MIN($C$7,ROW()-1),1)),0))</f>
        <v>0</v>
      </c>
      <c r="AU1253">
        <f t="shared" ca="1" si="532"/>
        <v>0</v>
      </c>
      <c r="AV1253" t="str">
        <f ca="1">IF(AU1253=1,IF(INDEX(分析データ!$A:$A,ROW()+$C$5)&lt;&gt;"",80000*SIGN(AT1253)*(分析データ!B1253-INDEX(分析データ!B:B,ROW()+$C$5)),""),"")</f>
        <v/>
      </c>
      <c r="AW1253">
        <f t="shared" ca="1" si="533"/>
        <v>-1240000.0000000019</v>
      </c>
      <c r="AX1253">
        <f t="shared" ca="1" si="534"/>
        <v>0</v>
      </c>
      <c r="AY1253">
        <f t="shared" ca="1" si="535"/>
        <v>-1240000.0000000019</v>
      </c>
      <c r="AZ1253">
        <f ca="1">IF(ROW()&lt;($C$7+1),"",IFERROR((分析データ!C1253-AVERAGE(OFFSET(分析データ!C$1,MAX(1,ROW()-$C$7),0,MIN($C$7,ROW()-1),1)))/STDEV(OFFSET(分析データ!C$1,MAX(1,ROW()-$C$7),0,MIN($C$7,ROW()-1),1)),0))</f>
        <v>0</v>
      </c>
      <c r="BA1253">
        <f t="shared" ca="1" si="536"/>
        <v>0</v>
      </c>
      <c r="BB1253" t="str">
        <f ca="1">IF(BA1253=1,IF(INDEX(分析データ!$A:$A,ROW()+$C$5)&lt;&gt;"",60000*SIGN(AZ1253)*(分析データ!C1253-INDEX(分析データ!C:C,ROW()+$C$5)),""),"")</f>
        <v/>
      </c>
      <c r="BC1253">
        <f t="shared" ca="1" si="537"/>
        <v>-260999.9999999851</v>
      </c>
      <c r="BD1253">
        <f t="shared" ca="1" si="538"/>
        <v>3156000.0000000107</v>
      </c>
      <c r="BE1253">
        <f t="shared" ca="1" si="539"/>
        <v>-3416999.9999999958</v>
      </c>
      <c r="BF1253">
        <f ca="1">IF(ROW()&lt;($C$7+1),"",IFERROR((分析データ!D1253-AVERAGE(OFFSET(分析データ!D$1,MAX(1,ROW()-$C$7),0,MIN($C$7,ROW()-1),1)))/STDEV(OFFSET(分析データ!D$1,MAX(1,ROW()-$C$7),0,MIN($C$7,ROW()-1),1)),0))</f>
        <v>0</v>
      </c>
      <c r="BG1253">
        <f t="shared" ca="1" si="540"/>
        <v>0</v>
      </c>
      <c r="BH1253" t="str">
        <f ca="1">IF(BG1253=1,IF(INDEX(分析データ!$A:$A,ROW()+$C$5)&lt;&gt;"",50000*SIGN(BF1253)*(分析データ!D1253-INDEX(分析データ!D:D,ROW()+$C$5)),""),"")</f>
        <v/>
      </c>
      <c r="BI1253">
        <f t="shared" ca="1" si="541"/>
        <v>5570000.0000000205</v>
      </c>
      <c r="BJ1253">
        <f t="shared" ca="1" si="542"/>
        <v>5570000.0000000205</v>
      </c>
      <c r="BK1253">
        <f t="shared" ca="1" si="543"/>
        <v>0</v>
      </c>
      <c r="BL1253">
        <f ca="1">IF(ROW()&lt;($C$7+1),"",IFERROR((分析データ!E1253-AVERAGE(OFFSET(分析データ!E$1,MAX(1,ROW()-$C$7),0,MIN($C$7,ROW()-1),1)))/STDEV(OFFSET(分析データ!E$1,MAX(1,ROW()-$C$7),0,MIN($C$7,ROW()-1),1)),0))</f>
        <v>0</v>
      </c>
      <c r="BM1253">
        <f t="shared" ca="1" si="544"/>
        <v>0</v>
      </c>
      <c r="BN1253" t="str">
        <f ca="1">IF(BM1253=1,IF(INDEX(分析データ!$A:$A,ROW()+$C$5)&lt;&gt;"",40000*SIGN(BL1253)*(分析データ!E1253-INDEX(分析データ!E:E,ROW()+$C$5)),""),"")</f>
        <v/>
      </c>
      <c r="BO1253">
        <f t="shared" ca="1" si="545"/>
        <v>2720000.0000000014</v>
      </c>
      <c r="BP1253">
        <f t="shared" ca="1" si="546"/>
        <v>4280000.0000000028</v>
      </c>
      <c r="BQ1253">
        <f t="shared" ca="1" si="547"/>
        <v>-1560000.0000000014</v>
      </c>
      <c r="BR1253">
        <f ca="1">IF(ROW()&lt;($C$7+1),"",IFERROR((分析データ!F1253-AVERAGE(OFFSET(分析データ!F$1,MAX(1,ROW()-$C$7),0,MIN($C$7,ROW()-1),1)))/STDEV(OFFSET(分析データ!F$1,MAX(1,ROW()-$C$7),0,MIN($C$7,ROW()-1),1)),0))</f>
        <v>0</v>
      </c>
      <c r="BS1253">
        <f t="shared" ca="1" si="548"/>
        <v>0</v>
      </c>
      <c r="BT1253" t="str">
        <f ca="1">IF(BS1253=1,IF(INDEX(分析データ!$A:$A,ROW()+$C$5)&lt;&gt;"",40000*SIGN(BR1253)*(分析データ!F1253-INDEX(分析データ!F:F,ROW()+$C$5)),""),"")</f>
        <v/>
      </c>
      <c r="BU1253">
        <f t="shared" ca="1" si="549"/>
        <v>19816800</v>
      </c>
      <c r="BV1253">
        <f t="shared" ca="1" si="550"/>
        <v>19816800</v>
      </c>
      <c r="BW1253">
        <f t="shared" ca="1" si="551"/>
        <v>0</v>
      </c>
      <c r="BX1253">
        <f ca="1">IF(ROW()&lt;($C$7+1),"",IFERROR((分析データ!G1253-AVERAGE(OFFSET(分析データ!G$1,MAX(1,ROW()-$C$7),0,MIN($C$7,ROW()-1),1)))/STDEV(OFFSET(分析データ!G$1,MAX(1,ROW()-$C$7),0,MIN($C$7,ROW()-1),1)),0))</f>
        <v>0</v>
      </c>
      <c r="BY1253">
        <f t="shared" ca="1" si="552"/>
        <v>0</v>
      </c>
      <c r="BZ1253" t="str">
        <f ca="1">IF(BY1253=1,IF(INDEX(分析データ!$A:$A,ROW()+$C$5)&lt;&gt;"",40000*SIGN(BX1253)*(分析データ!G1253-INDEX(分析データ!G:G,ROW()+$C$5)),""),"")</f>
        <v/>
      </c>
      <c r="CA1253">
        <f t="shared" ca="1" si="553"/>
        <v>-3515452.8662109179</v>
      </c>
      <c r="CB1253">
        <f t="shared" ca="1" si="554"/>
        <v>11327520.000000004</v>
      </c>
      <c r="CC1253">
        <f t="shared" ca="1" si="555"/>
        <v>-14842972.866210923</v>
      </c>
      <c r="CD1253">
        <f t="shared" ca="1" si="556"/>
        <v>0</v>
      </c>
      <c r="CE1253">
        <f t="shared" ca="1" si="557"/>
        <v>23090347.13378913</v>
      </c>
      <c r="CF1253">
        <f t="shared" ca="1" si="558"/>
        <v>23090347.13378913</v>
      </c>
      <c r="CG1253">
        <f t="shared" ca="1" si="559"/>
        <v>0</v>
      </c>
      <c r="CH1253" s="10" t="str">
        <f>分析データ!A1253</f>
        <v/>
      </c>
    </row>
    <row r="1254" spans="46:86">
      <c r="AT1254">
        <f ca="1">IF(ROW()&lt;($C$7+1),"",IFERROR((分析データ!B1254-AVERAGE(OFFSET(分析データ!B$1,MAX(1,ROW()-$C$7),0,MIN($C$7,ROW()-1),1)))/STDEV(OFFSET(分析データ!B$1,MAX(1,ROW()-$C$7),0,MIN($C$7,ROW()-1),1)),0))</f>
        <v>0</v>
      </c>
      <c r="AU1254">
        <f t="shared" ca="1" si="532"/>
        <v>0</v>
      </c>
      <c r="AV1254" t="str">
        <f ca="1">IF(AU1254=1,IF(INDEX(分析データ!$A:$A,ROW()+$C$5)&lt;&gt;"",80000*SIGN(AT1254)*(分析データ!B1254-INDEX(分析データ!B:B,ROW()+$C$5)),""),"")</f>
        <v/>
      </c>
      <c r="AW1254">
        <f t="shared" ca="1" si="533"/>
        <v>-1240000.0000000019</v>
      </c>
      <c r="AX1254">
        <f t="shared" ca="1" si="534"/>
        <v>0</v>
      </c>
      <c r="AY1254">
        <f t="shared" ca="1" si="535"/>
        <v>-1240000.0000000019</v>
      </c>
      <c r="AZ1254">
        <f ca="1">IF(ROW()&lt;($C$7+1),"",IFERROR((分析データ!C1254-AVERAGE(OFFSET(分析データ!C$1,MAX(1,ROW()-$C$7),0,MIN($C$7,ROW()-1),1)))/STDEV(OFFSET(分析データ!C$1,MAX(1,ROW()-$C$7),0,MIN($C$7,ROW()-1),1)),0))</f>
        <v>0</v>
      </c>
      <c r="BA1254">
        <f t="shared" ca="1" si="536"/>
        <v>0</v>
      </c>
      <c r="BB1254" t="str">
        <f ca="1">IF(BA1254=1,IF(INDEX(分析データ!$A:$A,ROW()+$C$5)&lt;&gt;"",60000*SIGN(AZ1254)*(分析データ!C1254-INDEX(分析データ!C:C,ROW()+$C$5)),""),"")</f>
        <v/>
      </c>
      <c r="BC1254">
        <f t="shared" ca="1" si="537"/>
        <v>-260999.9999999851</v>
      </c>
      <c r="BD1254">
        <f t="shared" ca="1" si="538"/>
        <v>3156000.0000000107</v>
      </c>
      <c r="BE1254">
        <f t="shared" ca="1" si="539"/>
        <v>-3416999.9999999958</v>
      </c>
      <c r="BF1254">
        <f ca="1">IF(ROW()&lt;($C$7+1),"",IFERROR((分析データ!D1254-AVERAGE(OFFSET(分析データ!D$1,MAX(1,ROW()-$C$7),0,MIN($C$7,ROW()-1),1)))/STDEV(OFFSET(分析データ!D$1,MAX(1,ROW()-$C$7),0,MIN($C$7,ROW()-1),1)),0))</f>
        <v>0</v>
      </c>
      <c r="BG1254">
        <f t="shared" ca="1" si="540"/>
        <v>0</v>
      </c>
      <c r="BH1254" t="str">
        <f ca="1">IF(BG1254=1,IF(INDEX(分析データ!$A:$A,ROW()+$C$5)&lt;&gt;"",50000*SIGN(BF1254)*(分析データ!D1254-INDEX(分析データ!D:D,ROW()+$C$5)),""),"")</f>
        <v/>
      </c>
      <c r="BI1254">
        <f t="shared" ca="1" si="541"/>
        <v>5570000.0000000205</v>
      </c>
      <c r="BJ1254">
        <f t="shared" ca="1" si="542"/>
        <v>5570000.0000000205</v>
      </c>
      <c r="BK1254">
        <f t="shared" ca="1" si="543"/>
        <v>0</v>
      </c>
      <c r="BL1254">
        <f ca="1">IF(ROW()&lt;($C$7+1),"",IFERROR((分析データ!E1254-AVERAGE(OFFSET(分析データ!E$1,MAX(1,ROW()-$C$7),0,MIN($C$7,ROW()-1),1)))/STDEV(OFFSET(分析データ!E$1,MAX(1,ROW()-$C$7),0,MIN($C$7,ROW()-1),1)),0))</f>
        <v>0</v>
      </c>
      <c r="BM1254">
        <f t="shared" ca="1" si="544"/>
        <v>0</v>
      </c>
      <c r="BN1254" t="str">
        <f ca="1">IF(BM1254=1,IF(INDEX(分析データ!$A:$A,ROW()+$C$5)&lt;&gt;"",40000*SIGN(BL1254)*(分析データ!E1254-INDEX(分析データ!E:E,ROW()+$C$5)),""),"")</f>
        <v/>
      </c>
      <c r="BO1254">
        <f t="shared" ca="1" si="545"/>
        <v>2720000.0000000014</v>
      </c>
      <c r="BP1254">
        <f t="shared" ca="1" si="546"/>
        <v>4280000.0000000028</v>
      </c>
      <c r="BQ1254">
        <f t="shared" ca="1" si="547"/>
        <v>-1560000.0000000014</v>
      </c>
      <c r="BR1254">
        <f ca="1">IF(ROW()&lt;($C$7+1),"",IFERROR((分析データ!F1254-AVERAGE(OFFSET(分析データ!F$1,MAX(1,ROW()-$C$7),0,MIN($C$7,ROW()-1),1)))/STDEV(OFFSET(分析データ!F$1,MAX(1,ROW()-$C$7),0,MIN($C$7,ROW()-1),1)),0))</f>
        <v>0</v>
      </c>
      <c r="BS1254">
        <f t="shared" ca="1" si="548"/>
        <v>0</v>
      </c>
      <c r="BT1254" t="str">
        <f ca="1">IF(BS1254=1,IF(INDEX(分析データ!$A:$A,ROW()+$C$5)&lt;&gt;"",40000*SIGN(BR1254)*(分析データ!F1254-INDEX(分析データ!F:F,ROW()+$C$5)),""),"")</f>
        <v/>
      </c>
      <c r="BU1254">
        <f t="shared" ca="1" si="549"/>
        <v>19816800</v>
      </c>
      <c r="BV1254">
        <f t="shared" ca="1" si="550"/>
        <v>19816800</v>
      </c>
      <c r="BW1254">
        <f t="shared" ca="1" si="551"/>
        <v>0</v>
      </c>
      <c r="BX1254">
        <f ca="1">IF(ROW()&lt;($C$7+1),"",IFERROR((分析データ!G1254-AVERAGE(OFFSET(分析データ!G$1,MAX(1,ROW()-$C$7),0,MIN($C$7,ROW()-1),1)))/STDEV(OFFSET(分析データ!G$1,MAX(1,ROW()-$C$7),0,MIN($C$7,ROW()-1),1)),0))</f>
        <v>0</v>
      </c>
      <c r="BY1254">
        <f t="shared" ca="1" si="552"/>
        <v>0</v>
      </c>
      <c r="BZ1254" t="str">
        <f ca="1">IF(BY1254=1,IF(INDEX(分析データ!$A:$A,ROW()+$C$5)&lt;&gt;"",40000*SIGN(BX1254)*(分析データ!G1254-INDEX(分析データ!G:G,ROW()+$C$5)),""),"")</f>
        <v/>
      </c>
      <c r="CA1254">
        <f t="shared" ca="1" si="553"/>
        <v>-3515452.8662109179</v>
      </c>
      <c r="CB1254">
        <f t="shared" ca="1" si="554"/>
        <v>11327520.000000004</v>
      </c>
      <c r="CC1254">
        <f t="shared" ca="1" si="555"/>
        <v>-14842972.866210923</v>
      </c>
      <c r="CD1254">
        <f t="shared" ca="1" si="556"/>
        <v>0</v>
      </c>
      <c r="CE1254">
        <f t="shared" ca="1" si="557"/>
        <v>23090347.13378913</v>
      </c>
      <c r="CF1254">
        <f t="shared" ca="1" si="558"/>
        <v>23090347.13378913</v>
      </c>
      <c r="CG1254">
        <f t="shared" ca="1" si="559"/>
        <v>0</v>
      </c>
      <c r="CH1254" s="10" t="str">
        <f>分析データ!A1254</f>
        <v/>
      </c>
    </row>
    <row r="1255" spans="46:86">
      <c r="AT1255">
        <f ca="1">IF(ROW()&lt;($C$7+1),"",IFERROR((分析データ!B1255-AVERAGE(OFFSET(分析データ!B$1,MAX(1,ROW()-$C$7),0,MIN($C$7,ROW()-1),1)))/STDEV(OFFSET(分析データ!B$1,MAX(1,ROW()-$C$7),0,MIN($C$7,ROW()-1),1)),0))</f>
        <v>0</v>
      </c>
      <c r="AU1255">
        <f t="shared" ca="1" si="532"/>
        <v>0</v>
      </c>
      <c r="AV1255" t="str">
        <f ca="1">IF(AU1255=1,IF(INDEX(分析データ!$A:$A,ROW()+$C$5)&lt;&gt;"",80000*SIGN(AT1255)*(分析データ!B1255-INDEX(分析データ!B:B,ROW()+$C$5)),""),"")</f>
        <v/>
      </c>
      <c r="AW1255">
        <f t="shared" ca="1" si="533"/>
        <v>-1240000.0000000019</v>
      </c>
      <c r="AX1255">
        <f t="shared" ca="1" si="534"/>
        <v>0</v>
      </c>
      <c r="AY1255">
        <f t="shared" ca="1" si="535"/>
        <v>-1240000.0000000019</v>
      </c>
      <c r="AZ1255">
        <f ca="1">IF(ROW()&lt;($C$7+1),"",IFERROR((分析データ!C1255-AVERAGE(OFFSET(分析データ!C$1,MAX(1,ROW()-$C$7),0,MIN($C$7,ROW()-1),1)))/STDEV(OFFSET(分析データ!C$1,MAX(1,ROW()-$C$7),0,MIN($C$7,ROW()-1),1)),0))</f>
        <v>0</v>
      </c>
      <c r="BA1255">
        <f t="shared" ca="1" si="536"/>
        <v>0</v>
      </c>
      <c r="BB1255" t="str">
        <f ca="1">IF(BA1255=1,IF(INDEX(分析データ!$A:$A,ROW()+$C$5)&lt;&gt;"",60000*SIGN(AZ1255)*(分析データ!C1255-INDEX(分析データ!C:C,ROW()+$C$5)),""),"")</f>
        <v/>
      </c>
      <c r="BC1255">
        <f t="shared" ca="1" si="537"/>
        <v>-260999.9999999851</v>
      </c>
      <c r="BD1255">
        <f t="shared" ca="1" si="538"/>
        <v>3156000.0000000107</v>
      </c>
      <c r="BE1255">
        <f t="shared" ca="1" si="539"/>
        <v>-3416999.9999999958</v>
      </c>
      <c r="BF1255">
        <f ca="1">IF(ROW()&lt;($C$7+1),"",IFERROR((分析データ!D1255-AVERAGE(OFFSET(分析データ!D$1,MAX(1,ROW()-$C$7),0,MIN($C$7,ROW()-1),1)))/STDEV(OFFSET(分析データ!D$1,MAX(1,ROW()-$C$7),0,MIN($C$7,ROW()-1),1)),0))</f>
        <v>0</v>
      </c>
      <c r="BG1255">
        <f t="shared" ca="1" si="540"/>
        <v>0</v>
      </c>
      <c r="BH1255" t="str">
        <f ca="1">IF(BG1255=1,IF(INDEX(分析データ!$A:$A,ROW()+$C$5)&lt;&gt;"",50000*SIGN(BF1255)*(分析データ!D1255-INDEX(分析データ!D:D,ROW()+$C$5)),""),"")</f>
        <v/>
      </c>
      <c r="BI1255">
        <f t="shared" ca="1" si="541"/>
        <v>5570000.0000000205</v>
      </c>
      <c r="BJ1255">
        <f t="shared" ca="1" si="542"/>
        <v>5570000.0000000205</v>
      </c>
      <c r="BK1255">
        <f t="shared" ca="1" si="543"/>
        <v>0</v>
      </c>
      <c r="BL1255">
        <f ca="1">IF(ROW()&lt;($C$7+1),"",IFERROR((分析データ!E1255-AVERAGE(OFFSET(分析データ!E$1,MAX(1,ROW()-$C$7),0,MIN($C$7,ROW()-1),1)))/STDEV(OFFSET(分析データ!E$1,MAX(1,ROW()-$C$7),0,MIN($C$7,ROW()-1),1)),0))</f>
        <v>0</v>
      </c>
      <c r="BM1255">
        <f t="shared" ca="1" si="544"/>
        <v>0</v>
      </c>
      <c r="BN1255" t="str">
        <f ca="1">IF(BM1255=1,IF(INDEX(分析データ!$A:$A,ROW()+$C$5)&lt;&gt;"",40000*SIGN(BL1255)*(分析データ!E1255-INDEX(分析データ!E:E,ROW()+$C$5)),""),"")</f>
        <v/>
      </c>
      <c r="BO1255">
        <f t="shared" ca="1" si="545"/>
        <v>2720000.0000000014</v>
      </c>
      <c r="BP1255">
        <f t="shared" ca="1" si="546"/>
        <v>4280000.0000000028</v>
      </c>
      <c r="BQ1255">
        <f t="shared" ca="1" si="547"/>
        <v>-1560000.0000000014</v>
      </c>
      <c r="BR1255">
        <f ca="1">IF(ROW()&lt;($C$7+1),"",IFERROR((分析データ!F1255-AVERAGE(OFFSET(分析データ!F$1,MAX(1,ROW()-$C$7),0,MIN($C$7,ROW()-1),1)))/STDEV(OFFSET(分析データ!F$1,MAX(1,ROW()-$C$7),0,MIN($C$7,ROW()-1),1)),0))</f>
        <v>0</v>
      </c>
      <c r="BS1255">
        <f t="shared" ca="1" si="548"/>
        <v>0</v>
      </c>
      <c r="BT1255" t="str">
        <f ca="1">IF(BS1255=1,IF(INDEX(分析データ!$A:$A,ROW()+$C$5)&lt;&gt;"",40000*SIGN(BR1255)*(分析データ!F1255-INDEX(分析データ!F:F,ROW()+$C$5)),""),"")</f>
        <v/>
      </c>
      <c r="BU1255">
        <f t="shared" ca="1" si="549"/>
        <v>19816800</v>
      </c>
      <c r="BV1255">
        <f t="shared" ca="1" si="550"/>
        <v>19816800</v>
      </c>
      <c r="BW1255">
        <f t="shared" ca="1" si="551"/>
        <v>0</v>
      </c>
      <c r="BX1255">
        <f ca="1">IF(ROW()&lt;($C$7+1),"",IFERROR((分析データ!G1255-AVERAGE(OFFSET(分析データ!G$1,MAX(1,ROW()-$C$7),0,MIN($C$7,ROW()-1),1)))/STDEV(OFFSET(分析データ!G$1,MAX(1,ROW()-$C$7),0,MIN($C$7,ROW()-1),1)),0))</f>
        <v>0</v>
      </c>
      <c r="BY1255">
        <f t="shared" ca="1" si="552"/>
        <v>0</v>
      </c>
      <c r="BZ1255" t="str">
        <f ca="1">IF(BY1255=1,IF(INDEX(分析データ!$A:$A,ROW()+$C$5)&lt;&gt;"",40000*SIGN(BX1255)*(分析データ!G1255-INDEX(分析データ!G:G,ROW()+$C$5)),""),"")</f>
        <v/>
      </c>
      <c r="CA1255">
        <f t="shared" ca="1" si="553"/>
        <v>-3515452.8662109179</v>
      </c>
      <c r="CB1255">
        <f t="shared" ca="1" si="554"/>
        <v>11327520.000000004</v>
      </c>
      <c r="CC1255">
        <f t="shared" ca="1" si="555"/>
        <v>-14842972.866210923</v>
      </c>
      <c r="CD1255">
        <f t="shared" ca="1" si="556"/>
        <v>0</v>
      </c>
      <c r="CE1255">
        <f t="shared" ca="1" si="557"/>
        <v>23090347.13378913</v>
      </c>
      <c r="CF1255">
        <f t="shared" ca="1" si="558"/>
        <v>23090347.13378913</v>
      </c>
      <c r="CG1255">
        <f t="shared" ca="1" si="559"/>
        <v>0</v>
      </c>
      <c r="CH1255" s="10" t="str">
        <f>分析データ!A1255</f>
        <v/>
      </c>
    </row>
    <row r="1256" spans="46:86">
      <c r="AT1256">
        <f ca="1">IF(ROW()&lt;($C$7+1),"",IFERROR((分析データ!B1256-AVERAGE(OFFSET(分析データ!B$1,MAX(1,ROW()-$C$7),0,MIN($C$7,ROW()-1),1)))/STDEV(OFFSET(分析データ!B$1,MAX(1,ROW()-$C$7),0,MIN($C$7,ROW()-1),1)),0))</f>
        <v>0</v>
      </c>
      <c r="AU1256">
        <f t="shared" ca="1" si="532"/>
        <v>0</v>
      </c>
      <c r="AV1256" t="str">
        <f ca="1">IF(AU1256=1,IF(INDEX(分析データ!$A:$A,ROW()+$C$5)&lt;&gt;"",80000*SIGN(AT1256)*(分析データ!B1256-INDEX(分析データ!B:B,ROW()+$C$5)),""),"")</f>
        <v/>
      </c>
      <c r="AW1256">
        <f t="shared" ca="1" si="533"/>
        <v>-1240000.0000000019</v>
      </c>
      <c r="AX1256">
        <f t="shared" ca="1" si="534"/>
        <v>0</v>
      </c>
      <c r="AY1256">
        <f t="shared" ca="1" si="535"/>
        <v>-1240000.0000000019</v>
      </c>
      <c r="AZ1256">
        <f ca="1">IF(ROW()&lt;($C$7+1),"",IFERROR((分析データ!C1256-AVERAGE(OFFSET(分析データ!C$1,MAX(1,ROW()-$C$7),0,MIN($C$7,ROW()-1),1)))/STDEV(OFFSET(分析データ!C$1,MAX(1,ROW()-$C$7),0,MIN($C$7,ROW()-1),1)),0))</f>
        <v>0</v>
      </c>
      <c r="BA1256">
        <f t="shared" ca="1" si="536"/>
        <v>0</v>
      </c>
      <c r="BB1256" t="str">
        <f ca="1">IF(BA1256=1,IF(INDEX(分析データ!$A:$A,ROW()+$C$5)&lt;&gt;"",60000*SIGN(AZ1256)*(分析データ!C1256-INDEX(分析データ!C:C,ROW()+$C$5)),""),"")</f>
        <v/>
      </c>
      <c r="BC1256">
        <f t="shared" ca="1" si="537"/>
        <v>-260999.9999999851</v>
      </c>
      <c r="BD1256">
        <f t="shared" ca="1" si="538"/>
        <v>3156000.0000000107</v>
      </c>
      <c r="BE1256">
        <f t="shared" ca="1" si="539"/>
        <v>-3416999.9999999958</v>
      </c>
      <c r="BF1256">
        <f ca="1">IF(ROW()&lt;($C$7+1),"",IFERROR((分析データ!D1256-AVERAGE(OFFSET(分析データ!D$1,MAX(1,ROW()-$C$7),0,MIN($C$7,ROW()-1),1)))/STDEV(OFFSET(分析データ!D$1,MAX(1,ROW()-$C$7),0,MIN($C$7,ROW()-1),1)),0))</f>
        <v>0</v>
      </c>
      <c r="BG1256">
        <f t="shared" ca="1" si="540"/>
        <v>0</v>
      </c>
      <c r="BH1256" t="str">
        <f ca="1">IF(BG1256=1,IF(INDEX(分析データ!$A:$A,ROW()+$C$5)&lt;&gt;"",50000*SIGN(BF1256)*(分析データ!D1256-INDEX(分析データ!D:D,ROW()+$C$5)),""),"")</f>
        <v/>
      </c>
      <c r="BI1256">
        <f t="shared" ca="1" si="541"/>
        <v>5570000.0000000205</v>
      </c>
      <c r="BJ1256">
        <f t="shared" ca="1" si="542"/>
        <v>5570000.0000000205</v>
      </c>
      <c r="BK1256">
        <f t="shared" ca="1" si="543"/>
        <v>0</v>
      </c>
      <c r="BL1256">
        <f ca="1">IF(ROW()&lt;($C$7+1),"",IFERROR((分析データ!E1256-AVERAGE(OFFSET(分析データ!E$1,MAX(1,ROW()-$C$7),0,MIN($C$7,ROW()-1),1)))/STDEV(OFFSET(分析データ!E$1,MAX(1,ROW()-$C$7),0,MIN($C$7,ROW()-1),1)),0))</f>
        <v>0</v>
      </c>
      <c r="BM1256">
        <f t="shared" ca="1" si="544"/>
        <v>0</v>
      </c>
      <c r="BN1256" t="str">
        <f ca="1">IF(BM1256=1,IF(INDEX(分析データ!$A:$A,ROW()+$C$5)&lt;&gt;"",40000*SIGN(BL1256)*(分析データ!E1256-INDEX(分析データ!E:E,ROW()+$C$5)),""),"")</f>
        <v/>
      </c>
      <c r="BO1256">
        <f t="shared" ca="1" si="545"/>
        <v>2720000.0000000014</v>
      </c>
      <c r="BP1256">
        <f t="shared" ca="1" si="546"/>
        <v>4280000.0000000028</v>
      </c>
      <c r="BQ1256">
        <f t="shared" ca="1" si="547"/>
        <v>-1560000.0000000014</v>
      </c>
      <c r="BR1256">
        <f ca="1">IF(ROW()&lt;($C$7+1),"",IFERROR((分析データ!F1256-AVERAGE(OFFSET(分析データ!F$1,MAX(1,ROW()-$C$7),0,MIN($C$7,ROW()-1),1)))/STDEV(OFFSET(分析データ!F$1,MAX(1,ROW()-$C$7),0,MIN($C$7,ROW()-1),1)),0))</f>
        <v>0</v>
      </c>
      <c r="BS1256">
        <f t="shared" ca="1" si="548"/>
        <v>0</v>
      </c>
      <c r="BT1256" t="str">
        <f ca="1">IF(BS1256=1,IF(INDEX(分析データ!$A:$A,ROW()+$C$5)&lt;&gt;"",40000*SIGN(BR1256)*(分析データ!F1256-INDEX(分析データ!F:F,ROW()+$C$5)),""),"")</f>
        <v/>
      </c>
      <c r="BU1256">
        <f t="shared" ca="1" si="549"/>
        <v>19816800</v>
      </c>
      <c r="BV1256">
        <f t="shared" ca="1" si="550"/>
        <v>19816800</v>
      </c>
      <c r="BW1256">
        <f t="shared" ca="1" si="551"/>
        <v>0</v>
      </c>
      <c r="BX1256">
        <f ca="1">IF(ROW()&lt;($C$7+1),"",IFERROR((分析データ!G1256-AVERAGE(OFFSET(分析データ!G$1,MAX(1,ROW()-$C$7),0,MIN($C$7,ROW()-1),1)))/STDEV(OFFSET(分析データ!G$1,MAX(1,ROW()-$C$7),0,MIN($C$7,ROW()-1),1)),0))</f>
        <v>0</v>
      </c>
      <c r="BY1256">
        <f t="shared" ca="1" si="552"/>
        <v>0</v>
      </c>
      <c r="BZ1256" t="str">
        <f ca="1">IF(BY1256=1,IF(INDEX(分析データ!$A:$A,ROW()+$C$5)&lt;&gt;"",40000*SIGN(BX1256)*(分析データ!G1256-INDEX(分析データ!G:G,ROW()+$C$5)),""),"")</f>
        <v/>
      </c>
      <c r="CA1256">
        <f t="shared" ca="1" si="553"/>
        <v>-3515452.8662109179</v>
      </c>
      <c r="CB1256">
        <f t="shared" ca="1" si="554"/>
        <v>11327520.000000004</v>
      </c>
      <c r="CC1256">
        <f t="shared" ca="1" si="555"/>
        <v>-14842972.866210923</v>
      </c>
      <c r="CD1256">
        <f t="shared" ca="1" si="556"/>
        <v>0</v>
      </c>
      <c r="CE1256">
        <f t="shared" ca="1" si="557"/>
        <v>23090347.13378913</v>
      </c>
      <c r="CF1256">
        <f t="shared" ca="1" si="558"/>
        <v>23090347.13378913</v>
      </c>
      <c r="CG1256">
        <f t="shared" ca="1" si="559"/>
        <v>0</v>
      </c>
      <c r="CH1256" s="10" t="str">
        <f>分析データ!A1256</f>
        <v/>
      </c>
    </row>
    <row r="1257" spans="46:86">
      <c r="AT1257">
        <f ca="1">IF(ROW()&lt;($C$7+1),"",IFERROR((分析データ!B1257-AVERAGE(OFFSET(分析データ!B$1,MAX(1,ROW()-$C$7),0,MIN($C$7,ROW()-1),1)))/STDEV(OFFSET(分析データ!B$1,MAX(1,ROW()-$C$7),0,MIN($C$7,ROW()-1),1)),0))</f>
        <v>0</v>
      </c>
      <c r="AU1257">
        <f t="shared" ca="1" si="532"/>
        <v>0</v>
      </c>
      <c r="AV1257" t="str">
        <f ca="1">IF(AU1257=1,IF(INDEX(分析データ!$A:$A,ROW()+$C$5)&lt;&gt;"",80000*SIGN(AT1257)*(分析データ!B1257-INDEX(分析データ!B:B,ROW()+$C$5)),""),"")</f>
        <v/>
      </c>
      <c r="AW1257">
        <f t="shared" ca="1" si="533"/>
        <v>-1240000.0000000019</v>
      </c>
      <c r="AX1257">
        <f t="shared" ca="1" si="534"/>
        <v>0</v>
      </c>
      <c r="AY1257">
        <f t="shared" ca="1" si="535"/>
        <v>-1240000.0000000019</v>
      </c>
      <c r="AZ1257">
        <f ca="1">IF(ROW()&lt;($C$7+1),"",IFERROR((分析データ!C1257-AVERAGE(OFFSET(分析データ!C$1,MAX(1,ROW()-$C$7),0,MIN($C$7,ROW()-1),1)))/STDEV(OFFSET(分析データ!C$1,MAX(1,ROW()-$C$7),0,MIN($C$7,ROW()-1),1)),0))</f>
        <v>0</v>
      </c>
      <c r="BA1257">
        <f t="shared" ca="1" si="536"/>
        <v>0</v>
      </c>
      <c r="BB1257" t="str">
        <f ca="1">IF(BA1257=1,IF(INDEX(分析データ!$A:$A,ROW()+$C$5)&lt;&gt;"",60000*SIGN(AZ1257)*(分析データ!C1257-INDEX(分析データ!C:C,ROW()+$C$5)),""),"")</f>
        <v/>
      </c>
      <c r="BC1257">
        <f t="shared" ca="1" si="537"/>
        <v>-260999.9999999851</v>
      </c>
      <c r="BD1257">
        <f t="shared" ca="1" si="538"/>
        <v>3156000.0000000107</v>
      </c>
      <c r="BE1257">
        <f t="shared" ca="1" si="539"/>
        <v>-3416999.9999999958</v>
      </c>
      <c r="BF1257">
        <f ca="1">IF(ROW()&lt;($C$7+1),"",IFERROR((分析データ!D1257-AVERAGE(OFFSET(分析データ!D$1,MAX(1,ROW()-$C$7),0,MIN($C$7,ROW()-1),1)))/STDEV(OFFSET(分析データ!D$1,MAX(1,ROW()-$C$7),0,MIN($C$7,ROW()-1),1)),0))</f>
        <v>0</v>
      </c>
      <c r="BG1257">
        <f t="shared" ca="1" si="540"/>
        <v>0</v>
      </c>
      <c r="BH1257" t="str">
        <f ca="1">IF(BG1257=1,IF(INDEX(分析データ!$A:$A,ROW()+$C$5)&lt;&gt;"",50000*SIGN(BF1257)*(分析データ!D1257-INDEX(分析データ!D:D,ROW()+$C$5)),""),"")</f>
        <v/>
      </c>
      <c r="BI1257">
        <f t="shared" ca="1" si="541"/>
        <v>5570000.0000000205</v>
      </c>
      <c r="BJ1257">
        <f t="shared" ca="1" si="542"/>
        <v>5570000.0000000205</v>
      </c>
      <c r="BK1257">
        <f t="shared" ca="1" si="543"/>
        <v>0</v>
      </c>
      <c r="BL1257">
        <f ca="1">IF(ROW()&lt;($C$7+1),"",IFERROR((分析データ!E1257-AVERAGE(OFFSET(分析データ!E$1,MAX(1,ROW()-$C$7),0,MIN($C$7,ROW()-1),1)))/STDEV(OFFSET(分析データ!E$1,MAX(1,ROW()-$C$7),0,MIN($C$7,ROW()-1),1)),0))</f>
        <v>0</v>
      </c>
      <c r="BM1257">
        <f t="shared" ca="1" si="544"/>
        <v>0</v>
      </c>
      <c r="BN1257" t="str">
        <f ca="1">IF(BM1257=1,IF(INDEX(分析データ!$A:$A,ROW()+$C$5)&lt;&gt;"",40000*SIGN(BL1257)*(分析データ!E1257-INDEX(分析データ!E:E,ROW()+$C$5)),""),"")</f>
        <v/>
      </c>
      <c r="BO1257">
        <f t="shared" ca="1" si="545"/>
        <v>2720000.0000000014</v>
      </c>
      <c r="BP1257">
        <f t="shared" ca="1" si="546"/>
        <v>4280000.0000000028</v>
      </c>
      <c r="BQ1257">
        <f t="shared" ca="1" si="547"/>
        <v>-1560000.0000000014</v>
      </c>
      <c r="BR1257">
        <f ca="1">IF(ROW()&lt;($C$7+1),"",IFERROR((分析データ!F1257-AVERAGE(OFFSET(分析データ!F$1,MAX(1,ROW()-$C$7),0,MIN($C$7,ROW()-1),1)))/STDEV(OFFSET(分析データ!F$1,MAX(1,ROW()-$C$7),0,MIN($C$7,ROW()-1),1)),0))</f>
        <v>0</v>
      </c>
      <c r="BS1257">
        <f t="shared" ca="1" si="548"/>
        <v>0</v>
      </c>
      <c r="BT1257" t="str">
        <f ca="1">IF(BS1257=1,IF(INDEX(分析データ!$A:$A,ROW()+$C$5)&lt;&gt;"",40000*SIGN(BR1257)*(分析データ!F1257-INDEX(分析データ!F:F,ROW()+$C$5)),""),"")</f>
        <v/>
      </c>
      <c r="BU1257">
        <f t="shared" ca="1" si="549"/>
        <v>19816800</v>
      </c>
      <c r="BV1257">
        <f t="shared" ca="1" si="550"/>
        <v>19816800</v>
      </c>
      <c r="BW1257">
        <f t="shared" ca="1" si="551"/>
        <v>0</v>
      </c>
      <c r="BX1257">
        <f ca="1">IF(ROW()&lt;($C$7+1),"",IFERROR((分析データ!G1257-AVERAGE(OFFSET(分析データ!G$1,MAX(1,ROW()-$C$7),0,MIN($C$7,ROW()-1),1)))/STDEV(OFFSET(分析データ!G$1,MAX(1,ROW()-$C$7),0,MIN($C$7,ROW()-1),1)),0))</f>
        <v>0</v>
      </c>
      <c r="BY1257">
        <f t="shared" ca="1" si="552"/>
        <v>0</v>
      </c>
      <c r="BZ1257" t="str">
        <f ca="1">IF(BY1257=1,IF(INDEX(分析データ!$A:$A,ROW()+$C$5)&lt;&gt;"",40000*SIGN(BX1257)*(分析データ!G1257-INDEX(分析データ!G:G,ROW()+$C$5)),""),"")</f>
        <v/>
      </c>
      <c r="CA1257">
        <f t="shared" ca="1" si="553"/>
        <v>-3515452.8662109179</v>
      </c>
      <c r="CB1257">
        <f t="shared" ca="1" si="554"/>
        <v>11327520.000000004</v>
      </c>
      <c r="CC1257">
        <f t="shared" ca="1" si="555"/>
        <v>-14842972.866210923</v>
      </c>
      <c r="CD1257">
        <f t="shared" ca="1" si="556"/>
        <v>0</v>
      </c>
      <c r="CE1257">
        <f t="shared" ca="1" si="557"/>
        <v>23090347.13378913</v>
      </c>
      <c r="CF1257">
        <f t="shared" ca="1" si="558"/>
        <v>23090347.13378913</v>
      </c>
      <c r="CG1257">
        <f t="shared" ca="1" si="559"/>
        <v>0</v>
      </c>
      <c r="CH1257" s="10" t="str">
        <f>分析データ!A1257</f>
        <v/>
      </c>
    </row>
    <row r="1258" spans="46:86">
      <c r="AT1258">
        <f ca="1">IF(ROW()&lt;($C$7+1),"",IFERROR((分析データ!B1258-AVERAGE(OFFSET(分析データ!B$1,MAX(1,ROW()-$C$7),0,MIN($C$7,ROW()-1),1)))/STDEV(OFFSET(分析データ!B$1,MAX(1,ROW()-$C$7),0,MIN($C$7,ROW()-1),1)),0))</f>
        <v>0</v>
      </c>
      <c r="AU1258">
        <f t="shared" ca="1" si="532"/>
        <v>0</v>
      </c>
      <c r="AV1258" t="str">
        <f ca="1">IF(AU1258=1,IF(INDEX(分析データ!$A:$A,ROW()+$C$5)&lt;&gt;"",80000*SIGN(AT1258)*(分析データ!B1258-INDEX(分析データ!B:B,ROW()+$C$5)),""),"")</f>
        <v/>
      </c>
      <c r="AW1258">
        <f t="shared" ca="1" si="533"/>
        <v>-1240000.0000000019</v>
      </c>
      <c r="AX1258">
        <f t="shared" ca="1" si="534"/>
        <v>0</v>
      </c>
      <c r="AY1258">
        <f t="shared" ca="1" si="535"/>
        <v>-1240000.0000000019</v>
      </c>
      <c r="AZ1258">
        <f ca="1">IF(ROW()&lt;($C$7+1),"",IFERROR((分析データ!C1258-AVERAGE(OFFSET(分析データ!C$1,MAX(1,ROW()-$C$7),0,MIN($C$7,ROW()-1),1)))/STDEV(OFFSET(分析データ!C$1,MAX(1,ROW()-$C$7),0,MIN($C$7,ROW()-1),1)),0))</f>
        <v>0</v>
      </c>
      <c r="BA1258">
        <f t="shared" ca="1" si="536"/>
        <v>0</v>
      </c>
      <c r="BB1258" t="str">
        <f ca="1">IF(BA1258=1,IF(INDEX(分析データ!$A:$A,ROW()+$C$5)&lt;&gt;"",60000*SIGN(AZ1258)*(分析データ!C1258-INDEX(分析データ!C:C,ROW()+$C$5)),""),"")</f>
        <v/>
      </c>
      <c r="BC1258">
        <f t="shared" ca="1" si="537"/>
        <v>-260999.9999999851</v>
      </c>
      <c r="BD1258">
        <f t="shared" ca="1" si="538"/>
        <v>3156000.0000000107</v>
      </c>
      <c r="BE1258">
        <f t="shared" ca="1" si="539"/>
        <v>-3416999.9999999958</v>
      </c>
      <c r="BF1258">
        <f ca="1">IF(ROW()&lt;($C$7+1),"",IFERROR((分析データ!D1258-AVERAGE(OFFSET(分析データ!D$1,MAX(1,ROW()-$C$7),0,MIN($C$7,ROW()-1),1)))/STDEV(OFFSET(分析データ!D$1,MAX(1,ROW()-$C$7),0,MIN($C$7,ROW()-1),1)),0))</f>
        <v>0</v>
      </c>
      <c r="BG1258">
        <f t="shared" ca="1" si="540"/>
        <v>0</v>
      </c>
      <c r="BH1258" t="str">
        <f ca="1">IF(BG1258=1,IF(INDEX(分析データ!$A:$A,ROW()+$C$5)&lt;&gt;"",50000*SIGN(BF1258)*(分析データ!D1258-INDEX(分析データ!D:D,ROW()+$C$5)),""),"")</f>
        <v/>
      </c>
      <c r="BI1258">
        <f t="shared" ca="1" si="541"/>
        <v>5570000.0000000205</v>
      </c>
      <c r="BJ1258">
        <f t="shared" ca="1" si="542"/>
        <v>5570000.0000000205</v>
      </c>
      <c r="BK1258">
        <f t="shared" ca="1" si="543"/>
        <v>0</v>
      </c>
      <c r="BL1258">
        <f ca="1">IF(ROW()&lt;($C$7+1),"",IFERROR((分析データ!E1258-AVERAGE(OFFSET(分析データ!E$1,MAX(1,ROW()-$C$7),0,MIN($C$7,ROW()-1),1)))/STDEV(OFFSET(分析データ!E$1,MAX(1,ROW()-$C$7),0,MIN($C$7,ROW()-1),1)),0))</f>
        <v>0</v>
      </c>
      <c r="BM1258">
        <f t="shared" ca="1" si="544"/>
        <v>0</v>
      </c>
      <c r="BN1258" t="str">
        <f ca="1">IF(BM1258=1,IF(INDEX(分析データ!$A:$A,ROW()+$C$5)&lt;&gt;"",40000*SIGN(BL1258)*(分析データ!E1258-INDEX(分析データ!E:E,ROW()+$C$5)),""),"")</f>
        <v/>
      </c>
      <c r="BO1258">
        <f t="shared" ca="1" si="545"/>
        <v>2720000.0000000014</v>
      </c>
      <c r="BP1258">
        <f t="shared" ca="1" si="546"/>
        <v>4280000.0000000028</v>
      </c>
      <c r="BQ1258">
        <f t="shared" ca="1" si="547"/>
        <v>-1560000.0000000014</v>
      </c>
      <c r="BR1258">
        <f ca="1">IF(ROW()&lt;($C$7+1),"",IFERROR((分析データ!F1258-AVERAGE(OFFSET(分析データ!F$1,MAX(1,ROW()-$C$7),0,MIN($C$7,ROW()-1),1)))/STDEV(OFFSET(分析データ!F$1,MAX(1,ROW()-$C$7),0,MIN($C$7,ROW()-1),1)),0))</f>
        <v>0</v>
      </c>
      <c r="BS1258">
        <f t="shared" ca="1" si="548"/>
        <v>0</v>
      </c>
      <c r="BT1258" t="str">
        <f ca="1">IF(BS1258=1,IF(INDEX(分析データ!$A:$A,ROW()+$C$5)&lt;&gt;"",40000*SIGN(BR1258)*(分析データ!F1258-INDEX(分析データ!F:F,ROW()+$C$5)),""),"")</f>
        <v/>
      </c>
      <c r="BU1258">
        <f t="shared" ca="1" si="549"/>
        <v>19816800</v>
      </c>
      <c r="BV1258">
        <f t="shared" ca="1" si="550"/>
        <v>19816800</v>
      </c>
      <c r="BW1258">
        <f t="shared" ca="1" si="551"/>
        <v>0</v>
      </c>
      <c r="BX1258">
        <f ca="1">IF(ROW()&lt;($C$7+1),"",IFERROR((分析データ!G1258-AVERAGE(OFFSET(分析データ!G$1,MAX(1,ROW()-$C$7),0,MIN($C$7,ROW()-1),1)))/STDEV(OFFSET(分析データ!G$1,MAX(1,ROW()-$C$7),0,MIN($C$7,ROW()-1),1)),0))</f>
        <v>0</v>
      </c>
      <c r="BY1258">
        <f t="shared" ca="1" si="552"/>
        <v>0</v>
      </c>
      <c r="BZ1258" t="str">
        <f ca="1">IF(BY1258=1,IF(INDEX(分析データ!$A:$A,ROW()+$C$5)&lt;&gt;"",40000*SIGN(BX1258)*(分析データ!G1258-INDEX(分析データ!G:G,ROW()+$C$5)),""),"")</f>
        <v/>
      </c>
      <c r="CA1258">
        <f t="shared" ca="1" si="553"/>
        <v>-3515452.8662109179</v>
      </c>
      <c r="CB1258">
        <f t="shared" ca="1" si="554"/>
        <v>11327520.000000004</v>
      </c>
      <c r="CC1258">
        <f t="shared" ca="1" si="555"/>
        <v>-14842972.866210923</v>
      </c>
      <c r="CD1258">
        <f t="shared" ca="1" si="556"/>
        <v>0</v>
      </c>
      <c r="CE1258">
        <f t="shared" ca="1" si="557"/>
        <v>23090347.13378913</v>
      </c>
      <c r="CF1258">
        <f t="shared" ca="1" si="558"/>
        <v>23090347.13378913</v>
      </c>
      <c r="CG1258">
        <f t="shared" ca="1" si="559"/>
        <v>0</v>
      </c>
      <c r="CH1258" s="10" t="str">
        <f>分析データ!A1258</f>
        <v/>
      </c>
    </row>
    <row r="1259" spans="46:86">
      <c r="AT1259">
        <f ca="1">IF(ROW()&lt;($C$7+1),"",IFERROR((分析データ!B1259-AVERAGE(OFFSET(分析データ!B$1,MAX(1,ROW()-$C$7),0,MIN($C$7,ROW()-1),1)))/STDEV(OFFSET(分析データ!B$1,MAX(1,ROW()-$C$7),0,MIN($C$7,ROW()-1),1)),0))</f>
        <v>0</v>
      </c>
      <c r="AU1259">
        <f t="shared" ca="1" si="532"/>
        <v>0</v>
      </c>
      <c r="AV1259" t="str">
        <f ca="1">IF(AU1259=1,IF(INDEX(分析データ!$A:$A,ROW()+$C$5)&lt;&gt;"",80000*SIGN(AT1259)*(分析データ!B1259-INDEX(分析データ!B:B,ROW()+$C$5)),""),"")</f>
        <v/>
      </c>
      <c r="AW1259">
        <f t="shared" ca="1" si="533"/>
        <v>-1240000.0000000019</v>
      </c>
      <c r="AX1259">
        <f t="shared" ca="1" si="534"/>
        <v>0</v>
      </c>
      <c r="AY1259">
        <f t="shared" ca="1" si="535"/>
        <v>-1240000.0000000019</v>
      </c>
      <c r="AZ1259">
        <f ca="1">IF(ROW()&lt;($C$7+1),"",IFERROR((分析データ!C1259-AVERAGE(OFFSET(分析データ!C$1,MAX(1,ROW()-$C$7),0,MIN($C$7,ROW()-1),1)))/STDEV(OFFSET(分析データ!C$1,MAX(1,ROW()-$C$7),0,MIN($C$7,ROW()-1),1)),0))</f>
        <v>0</v>
      </c>
      <c r="BA1259">
        <f t="shared" ca="1" si="536"/>
        <v>0</v>
      </c>
      <c r="BB1259" t="str">
        <f ca="1">IF(BA1259=1,IF(INDEX(分析データ!$A:$A,ROW()+$C$5)&lt;&gt;"",60000*SIGN(AZ1259)*(分析データ!C1259-INDEX(分析データ!C:C,ROW()+$C$5)),""),"")</f>
        <v/>
      </c>
      <c r="BC1259">
        <f t="shared" ca="1" si="537"/>
        <v>-260999.9999999851</v>
      </c>
      <c r="BD1259">
        <f t="shared" ca="1" si="538"/>
        <v>3156000.0000000107</v>
      </c>
      <c r="BE1259">
        <f t="shared" ca="1" si="539"/>
        <v>-3416999.9999999958</v>
      </c>
      <c r="BF1259">
        <f ca="1">IF(ROW()&lt;($C$7+1),"",IFERROR((分析データ!D1259-AVERAGE(OFFSET(分析データ!D$1,MAX(1,ROW()-$C$7),0,MIN($C$7,ROW()-1),1)))/STDEV(OFFSET(分析データ!D$1,MAX(1,ROW()-$C$7),0,MIN($C$7,ROW()-1),1)),0))</f>
        <v>0</v>
      </c>
      <c r="BG1259">
        <f t="shared" ca="1" si="540"/>
        <v>0</v>
      </c>
      <c r="BH1259" t="str">
        <f ca="1">IF(BG1259=1,IF(INDEX(分析データ!$A:$A,ROW()+$C$5)&lt;&gt;"",50000*SIGN(BF1259)*(分析データ!D1259-INDEX(分析データ!D:D,ROW()+$C$5)),""),"")</f>
        <v/>
      </c>
      <c r="BI1259">
        <f t="shared" ca="1" si="541"/>
        <v>5570000.0000000205</v>
      </c>
      <c r="BJ1259">
        <f t="shared" ca="1" si="542"/>
        <v>5570000.0000000205</v>
      </c>
      <c r="BK1259">
        <f t="shared" ca="1" si="543"/>
        <v>0</v>
      </c>
      <c r="BL1259">
        <f ca="1">IF(ROW()&lt;($C$7+1),"",IFERROR((分析データ!E1259-AVERAGE(OFFSET(分析データ!E$1,MAX(1,ROW()-$C$7),0,MIN($C$7,ROW()-1),1)))/STDEV(OFFSET(分析データ!E$1,MAX(1,ROW()-$C$7),0,MIN($C$7,ROW()-1),1)),0))</f>
        <v>0</v>
      </c>
      <c r="BM1259">
        <f t="shared" ca="1" si="544"/>
        <v>0</v>
      </c>
      <c r="BN1259" t="str">
        <f ca="1">IF(BM1259=1,IF(INDEX(分析データ!$A:$A,ROW()+$C$5)&lt;&gt;"",40000*SIGN(BL1259)*(分析データ!E1259-INDEX(分析データ!E:E,ROW()+$C$5)),""),"")</f>
        <v/>
      </c>
      <c r="BO1259">
        <f t="shared" ca="1" si="545"/>
        <v>2720000.0000000014</v>
      </c>
      <c r="BP1259">
        <f t="shared" ca="1" si="546"/>
        <v>4280000.0000000028</v>
      </c>
      <c r="BQ1259">
        <f t="shared" ca="1" si="547"/>
        <v>-1560000.0000000014</v>
      </c>
      <c r="BR1259">
        <f ca="1">IF(ROW()&lt;($C$7+1),"",IFERROR((分析データ!F1259-AVERAGE(OFFSET(分析データ!F$1,MAX(1,ROW()-$C$7),0,MIN($C$7,ROW()-1),1)))/STDEV(OFFSET(分析データ!F$1,MAX(1,ROW()-$C$7),0,MIN($C$7,ROW()-1),1)),0))</f>
        <v>0</v>
      </c>
      <c r="BS1259">
        <f t="shared" ca="1" si="548"/>
        <v>0</v>
      </c>
      <c r="BT1259" t="str">
        <f ca="1">IF(BS1259=1,IF(INDEX(分析データ!$A:$A,ROW()+$C$5)&lt;&gt;"",40000*SIGN(BR1259)*(分析データ!F1259-INDEX(分析データ!F:F,ROW()+$C$5)),""),"")</f>
        <v/>
      </c>
      <c r="BU1259">
        <f t="shared" ca="1" si="549"/>
        <v>19816800</v>
      </c>
      <c r="BV1259">
        <f t="shared" ca="1" si="550"/>
        <v>19816800</v>
      </c>
      <c r="BW1259">
        <f t="shared" ca="1" si="551"/>
        <v>0</v>
      </c>
      <c r="BX1259">
        <f ca="1">IF(ROW()&lt;($C$7+1),"",IFERROR((分析データ!G1259-AVERAGE(OFFSET(分析データ!G$1,MAX(1,ROW()-$C$7),0,MIN($C$7,ROW()-1),1)))/STDEV(OFFSET(分析データ!G$1,MAX(1,ROW()-$C$7),0,MIN($C$7,ROW()-1),1)),0))</f>
        <v>0</v>
      </c>
      <c r="BY1259">
        <f t="shared" ca="1" si="552"/>
        <v>0</v>
      </c>
      <c r="BZ1259" t="str">
        <f ca="1">IF(BY1259=1,IF(INDEX(分析データ!$A:$A,ROW()+$C$5)&lt;&gt;"",40000*SIGN(BX1259)*(分析データ!G1259-INDEX(分析データ!G:G,ROW()+$C$5)),""),"")</f>
        <v/>
      </c>
      <c r="CA1259">
        <f t="shared" ca="1" si="553"/>
        <v>-3515452.8662109179</v>
      </c>
      <c r="CB1259">
        <f t="shared" ca="1" si="554"/>
        <v>11327520.000000004</v>
      </c>
      <c r="CC1259">
        <f t="shared" ca="1" si="555"/>
        <v>-14842972.866210923</v>
      </c>
      <c r="CD1259">
        <f t="shared" ca="1" si="556"/>
        <v>0</v>
      </c>
      <c r="CE1259">
        <f t="shared" ca="1" si="557"/>
        <v>23090347.13378913</v>
      </c>
      <c r="CF1259">
        <f t="shared" ca="1" si="558"/>
        <v>23090347.13378913</v>
      </c>
      <c r="CG1259">
        <f t="shared" ca="1" si="559"/>
        <v>0</v>
      </c>
      <c r="CH1259" s="10" t="str">
        <f>分析データ!A1259</f>
        <v/>
      </c>
    </row>
    <row r="1260" spans="46:86">
      <c r="AT1260">
        <f ca="1">IF(ROW()&lt;($C$7+1),"",IFERROR((分析データ!B1260-AVERAGE(OFFSET(分析データ!B$1,MAX(1,ROW()-$C$7),0,MIN($C$7,ROW()-1),1)))/STDEV(OFFSET(分析データ!B$1,MAX(1,ROW()-$C$7),0,MIN($C$7,ROW()-1),1)),0))</f>
        <v>0</v>
      </c>
      <c r="AU1260">
        <f t="shared" ca="1" si="532"/>
        <v>0</v>
      </c>
      <c r="AV1260" t="str">
        <f ca="1">IF(AU1260=1,IF(INDEX(分析データ!$A:$A,ROW()+$C$5)&lt;&gt;"",80000*SIGN(AT1260)*(分析データ!B1260-INDEX(分析データ!B:B,ROW()+$C$5)),""),"")</f>
        <v/>
      </c>
      <c r="AW1260">
        <f t="shared" ca="1" si="533"/>
        <v>-1240000.0000000019</v>
      </c>
      <c r="AX1260">
        <f t="shared" ca="1" si="534"/>
        <v>0</v>
      </c>
      <c r="AY1260">
        <f t="shared" ca="1" si="535"/>
        <v>-1240000.0000000019</v>
      </c>
      <c r="AZ1260">
        <f ca="1">IF(ROW()&lt;($C$7+1),"",IFERROR((分析データ!C1260-AVERAGE(OFFSET(分析データ!C$1,MAX(1,ROW()-$C$7),0,MIN($C$7,ROW()-1),1)))/STDEV(OFFSET(分析データ!C$1,MAX(1,ROW()-$C$7),0,MIN($C$7,ROW()-1),1)),0))</f>
        <v>0</v>
      </c>
      <c r="BA1260">
        <f t="shared" ca="1" si="536"/>
        <v>0</v>
      </c>
      <c r="BB1260" t="str">
        <f ca="1">IF(BA1260=1,IF(INDEX(分析データ!$A:$A,ROW()+$C$5)&lt;&gt;"",60000*SIGN(AZ1260)*(分析データ!C1260-INDEX(分析データ!C:C,ROW()+$C$5)),""),"")</f>
        <v/>
      </c>
      <c r="BC1260">
        <f t="shared" ca="1" si="537"/>
        <v>-260999.9999999851</v>
      </c>
      <c r="BD1260">
        <f t="shared" ca="1" si="538"/>
        <v>3156000.0000000107</v>
      </c>
      <c r="BE1260">
        <f t="shared" ca="1" si="539"/>
        <v>-3416999.9999999958</v>
      </c>
      <c r="BF1260">
        <f ca="1">IF(ROW()&lt;($C$7+1),"",IFERROR((分析データ!D1260-AVERAGE(OFFSET(分析データ!D$1,MAX(1,ROW()-$C$7),0,MIN($C$7,ROW()-1),1)))/STDEV(OFFSET(分析データ!D$1,MAX(1,ROW()-$C$7),0,MIN($C$7,ROW()-1),1)),0))</f>
        <v>0</v>
      </c>
      <c r="BG1260">
        <f t="shared" ca="1" si="540"/>
        <v>0</v>
      </c>
      <c r="BH1260" t="str">
        <f ca="1">IF(BG1260=1,IF(INDEX(分析データ!$A:$A,ROW()+$C$5)&lt;&gt;"",50000*SIGN(BF1260)*(分析データ!D1260-INDEX(分析データ!D:D,ROW()+$C$5)),""),"")</f>
        <v/>
      </c>
      <c r="BI1260">
        <f t="shared" ca="1" si="541"/>
        <v>5570000.0000000205</v>
      </c>
      <c r="BJ1260">
        <f t="shared" ca="1" si="542"/>
        <v>5570000.0000000205</v>
      </c>
      <c r="BK1260">
        <f t="shared" ca="1" si="543"/>
        <v>0</v>
      </c>
      <c r="BL1260">
        <f ca="1">IF(ROW()&lt;($C$7+1),"",IFERROR((分析データ!E1260-AVERAGE(OFFSET(分析データ!E$1,MAX(1,ROW()-$C$7),0,MIN($C$7,ROW()-1),1)))/STDEV(OFFSET(分析データ!E$1,MAX(1,ROW()-$C$7),0,MIN($C$7,ROW()-1),1)),0))</f>
        <v>0</v>
      </c>
      <c r="BM1260">
        <f t="shared" ca="1" si="544"/>
        <v>0</v>
      </c>
      <c r="BN1260" t="str">
        <f ca="1">IF(BM1260=1,IF(INDEX(分析データ!$A:$A,ROW()+$C$5)&lt;&gt;"",40000*SIGN(BL1260)*(分析データ!E1260-INDEX(分析データ!E:E,ROW()+$C$5)),""),"")</f>
        <v/>
      </c>
      <c r="BO1260">
        <f t="shared" ca="1" si="545"/>
        <v>2720000.0000000014</v>
      </c>
      <c r="BP1260">
        <f t="shared" ca="1" si="546"/>
        <v>4280000.0000000028</v>
      </c>
      <c r="BQ1260">
        <f t="shared" ca="1" si="547"/>
        <v>-1560000.0000000014</v>
      </c>
      <c r="BR1260">
        <f ca="1">IF(ROW()&lt;($C$7+1),"",IFERROR((分析データ!F1260-AVERAGE(OFFSET(分析データ!F$1,MAX(1,ROW()-$C$7),0,MIN($C$7,ROW()-1),1)))/STDEV(OFFSET(分析データ!F$1,MAX(1,ROW()-$C$7),0,MIN($C$7,ROW()-1),1)),0))</f>
        <v>0</v>
      </c>
      <c r="BS1260">
        <f t="shared" ca="1" si="548"/>
        <v>0</v>
      </c>
      <c r="BT1260" t="str">
        <f ca="1">IF(BS1260=1,IF(INDEX(分析データ!$A:$A,ROW()+$C$5)&lt;&gt;"",40000*SIGN(BR1260)*(分析データ!F1260-INDEX(分析データ!F:F,ROW()+$C$5)),""),"")</f>
        <v/>
      </c>
      <c r="BU1260">
        <f t="shared" ca="1" si="549"/>
        <v>19816800</v>
      </c>
      <c r="BV1260">
        <f t="shared" ca="1" si="550"/>
        <v>19816800</v>
      </c>
      <c r="BW1260">
        <f t="shared" ca="1" si="551"/>
        <v>0</v>
      </c>
      <c r="BX1260">
        <f ca="1">IF(ROW()&lt;($C$7+1),"",IFERROR((分析データ!G1260-AVERAGE(OFFSET(分析データ!G$1,MAX(1,ROW()-$C$7),0,MIN($C$7,ROW()-1),1)))/STDEV(OFFSET(分析データ!G$1,MAX(1,ROW()-$C$7),0,MIN($C$7,ROW()-1),1)),0))</f>
        <v>0</v>
      </c>
      <c r="BY1260">
        <f t="shared" ca="1" si="552"/>
        <v>0</v>
      </c>
      <c r="BZ1260" t="str">
        <f ca="1">IF(BY1260=1,IF(INDEX(分析データ!$A:$A,ROW()+$C$5)&lt;&gt;"",40000*SIGN(BX1260)*(分析データ!G1260-INDEX(分析データ!G:G,ROW()+$C$5)),""),"")</f>
        <v/>
      </c>
      <c r="CA1260">
        <f t="shared" ca="1" si="553"/>
        <v>-3515452.8662109179</v>
      </c>
      <c r="CB1260">
        <f t="shared" ca="1" si="554"/>
        <v>11327520.000000004</v>
      </c>
      <c r="CC1260">
        <f t="shared" ca="1" si="555"/>
        <v>-14842972.866210923</v>
      </c>
      <c r="CD1260">
        <f t="shared" ca="1" si="556"/>
        <v>0</v>
      </c>
      <c r="CE1260">
        <f t="shared" ca="1" si="557"/>
        <v>23090347.13378913</v>
      </c>
      <c r="CF1260">
        <f t="shared" ca="1" si="558"/>
        <v>23090347.13378913</v>
      </c>
      <c r="CG1260">
        <f t="shared" ca="1" si="559"/>
        <v>0</v>
      </c>
      <c r="CH1260" s="10" t="str">
        <f>分析データ!A1260</f>
        <v/>
      </c>
    </row>
    <row r="1261" spans="46:86">
      <c r="AT1261">
        <f ca="1">IF(ROW()&lt;($C$7+1),"",IFERROR((分析データ!B1261-AVERAGE(OFFSET(分析データ!B$1,MAX(1,ROW()-$C$7),0,MIN($C$7,ROW()-1),1)))/STDEV(OFFSET(分析データ!B$1,MAX(1,ROW()-$C$7),0,MIN($C$7,ROW()-1),1)),0))</f>
        <v>0</v>
      </c>
      <c r="AU1261">
        <f t="shared" ca="1" si="532"/>
        <v>0</v>
      </c>
      <c r="AV1261" t="str">
        <f ca="1">IF(AU1261=1,IF(INDEX(分析データ!$A:$A,ROW()+$C$5)&lt;&gt;"",80000*SIGN(AT1261)*(分析データ!B1261-INDEX(分析データ!B:B,ROW()+$C$5)),""),"")</f>
        <v/>
      </c>
      <c r="AW1261">
        <f t="shared" ca="1" si="533"/>
        <v>-1240000.0000000019</v>
      </c>
      <c r="AX1261">
        <f t="shared" ca="1" si="534"/>
        <v>0</v>
      </c>
      <c r="AY1261">
        <f t="shared" ca="1" si="535"/>
        <v>-1240000.0000000019</v>
      </c>
      <c r="AZ1261">
        <f ca="1">IF(ROW()&lt;($C$7+1),"",IFERROR((分析データ!C1261-AVERAGE(OFFSET(分析データ!C$1,MAX(1,ROW()-$C$7),0,MIN($C$7,ROW()-1),1)))/STDEV(OFFSET(分析データ!C$1,MAX(1,ROW()-$C$7),0,MIN($C$7,ROW()-1),1)),0))</f>
        <v>0</v>
      </c>
      <c r="BA1261">
        <f t="shared" ca="1" si="536"/>
        <v>0</v>
      </c>
      <c r="BB1261" t="str">
        <f ca="1">IF(BA1261=1,IF(INDEX(分析データ!$A:$A,ROW()+$C$5)&lt;&gt;"",60000*SIGN(AZ1261)*(分析データ!C1261-INDEX(分析データ!C:C,ROW()+$C$5)),""),"")</f>
        <v/>
      </c>
      <c r="BC1261">
        <f t="shared" ca="1" si="537"/>
        <v>-260999.9999999851</v>
      </c>
      <c r="BD1261">
        <f t="shared" ca="1" si="538"/>
        <v>3156000.0000000107</v>
      </c>
      <c r="BE1261">
        <f t="shared" ca="1" si="539"/>
        <v>-3416999.9999999958</v>
      </c>
      <c r="BF1261">
        <f ca="1">IF(ROW()&lt;($C$7+1),"",IFERROR((分析データ!D1261-AVERAGE(OFFSET(分析データ!D$1,MAX(1,ROW()-$C$7),0,MIN($C$7,ROW()-1),1)))/STDEV(OFFSET(分析データ!D$1,MAX(1,ROW()-$C$7),0,MIN($C$7,ROW()-1),1)),0))</f>
        <v>0</v>
      </c>
      <c r="BG1261">
        <f t="shared" ca="1" si="540"/>
        <v>0</v>
      </c>
      <c r="BH1261" t="str">
        <f ca="1">IF(BG1261=1,IF(INDEX(分析データ!$A:$A,ROW()+$C$5)&lt;&gt;"",50000*SIGN(BF1261)*(分析データ!D1261-INDEX(分析データ!D:D,ROW()+$C$5)),""),"")</f>
        <v/>
      </c>
      <c r="BI1261">
        <f t="shared" ca="1" si="541"/>
        <v>5570000.0000000205</v>
      </c>
      <c r="BJ1261">
        <f t="shared" ca="1" si="542"/>
        <v>5570000.0000000205</v>
      </c>
      <c r="BK1261">
        <f t="shared" ca="1" si="543"/>
        <v>0</v>
      </c>
      <c r="BL1261">
        <f ca="1">IF(ROW()&lt;($C$7+1),"",IFERROR((分析データ!E1261-AVERAGE(OFFSET(分析データ!E$1,MAX(1,ROW()-$C$7),0,MIN($C$7,ROW()-1),1)))/STDEV(OFFSET(分析データ!E$1,MAX(1,ROW()-$C$7),0,MIN($C$7,ROW()-1),1)),0))</f>
        <v>0</v>
      </c>
      <c r="BM1261">
        <f t="shared" ca="1" si="544"/>
        <v>0</v>
      </c>
      <c r="BN1261" t="str">
        <f ca="1">IF(BM1261=1,IF(INDEX(分析データ!$A:$A,ROW()+$C$5)&lt;&gt;"",40000*SIGN(BL1261)*(分析データ!E1261-INDEX(分析データ!E:E,ROW()+$C$5)),""),"")</f>
        <v/>
      </c>
      <c r="BO1261">
        <f t="shared" ca="1" si="545"/>
        <v>2720000.0000000014</v>
      </c>
      <c r="BP1261">
        <f t="shared" ca="1" si="546"/>
        <v>4280000.0000000028</v>
      </c>
      <c r="BQ1261">
        <f t="shared" ca="1" si="547"/>
        <v>-1560000.0000000014</v>
      </c>
      <c r="BR1261">
        <f ca="1">IF(ROW()&lt;($C$7+1),"",IFERROR((分析データ!F1261-AVERAGE(OFFSET(分析データ!F$1,MAX(1,ROW()-$C$7),0,MIN($C$7,ROW()-1),1)))/STDEV(OFFSET(分析データ!F$1,MAX(1,ROW()-$C$7),0,MIN($C$7,ROW()-1),1)),0))</f>
        <v>0</v>
      </c>
      <c r="BS1261">
        <f t="shared" ca="1" si="548"/>
        <v>0</v>
      </c>
      <c r="BT1261" t="str">
        <f ca="1">IF(BS1261=1,IF(INDEX(分析データ!$A:$A,ROW()+$C$5)&lt;&gt;"",40000*SIGN(BR1261)*(分析データ!F1261-INDEX(分析データ!F:F,ROW()+$C$5)),""),"")</f>
        <v/>
      </c>
      <c r="BU1261">
        <f t="shared" ca="1" si="549"/>
        <v>19816800</v>
      </c>
      <c r="BV1261">
        <f t="shared" ca="1" si="550"/>
        <v>19816800</v>
      </c>
      <c r="BW1261">
        <f t="shared" ca="1" si="551"/>
        <v>0</v>
      </c>
      <c r="BX1261">
        <f ca="1">IF(ROW()&lt;($C$7+1),"",IFERROR((分析データ!G1261-AVERAGE(OFFSET(分析データ!G$1,MAX(1,ROW()-$C$7),0,MIN($C$7,ROW()-1),1)))/STDEV(OFFSET(分析データ!G$1,MAX(1,ROW()-$C$7),0,MIN($C$7,ROW()-1),1)),0))</f>
        <v>0</v>
      </c>
      <c r="BY1261">
        <f t="shared" ca="1" si="552"/>
        <v>0</v>
      </c>
      <c r="BZ1261" t="str">
        <f ca="1">IF(BY1261=1,IF(INDEX(分析データ!$A:$A,ROW()+$C$5)&lt;&gt;"",40000*SIGN(BX1261)*(分析データ!G1261-INDEX(分析データ!G:G,ROW()+$C$5)),""),"")</f>
        <v/>
      </c>
      <c r="CA1261">
        <f t="shared" ca="1" si="553"/>
        <v>-3515452.8662109179</v>
      </c>
      <c r="CB1261">
        <f t="shared" ca="1" si="554"/>
        <v>11327520.000000004</v>
      </c>
      <c r="CC1261">
        <f t="shared" ca="1" si="555"/>
        <v>-14842972.866210923</v>
      </c>
      <c r="CD1261">
        <f t="shared" ca="1" si="556"/>
        <v>0</v>
      </c>
      <c r="CE1261">
        <f t="shared" ca="1" si="557"/>
        <v>23090347.13378913</v>
      </c>
      <c r="CF1261">
        <f t="shared" ca="1" si="558"/>
        <v>23090347.13378913</v>
      </c>
      <c r="CG1261">
        <f t="shared" ca="1" si="559"/>
        <v>0</v>
      </c>
      <c r="CH1261" s="10" t="str">
        <f>分析データ!A1261</f>
        <v/>
      </c>
    </row>
    <row r="1262" spans="46:86">
      <c r="AT1262">
        <f ca="1">IF(ROW()&lt;($C$7+1),"",IFERROR((分析データ!B1262-AVERAGE(OFFSET(分析データ!B$1,MAX(1,ROW()-$C$7),0,MIN($C$7,ROW()-1),1)))/STDEV(OFFSET(分析データ!B$1,MAX(1,ROW()-$C$7),0,MIN($C$7,ROW()-1),1)),0))</f>
        <v>0</v>
      </c>
      <c r="AU1262">
        <f t="shared" ca="1" si="532"/>
        <v>0</v>
      </c>
      <c r="AV1262" t="str">
        <f ca="1">IF(AU1262=1,IF(INDEX(分析データ!$A:$A,ROW()+$C$5)&lt;&gt;"",80000*SIGN(AT1262)*(分析データ!B1262-INDEX(分析データ!B:B,ROW()+$C$5)),""),"")</f>
        <v/>
      </c>
      <c r="AW1262">
        <f t="shared" ca="1" si="533"/>
        <v>-1240000.0000000019</v>
      </c>
      <c r="AX1262">
        <f t="shared" ca="1" si="534"/>
        <v>0</v>
      </c>
      <c r="AY1262">
        <f t="shared" ca="1" si="535"/>
        <v>-1240000.0000000019</v>
      </c>
      <c r="AZ1262">
        <f ca="1">IF(ROW()&lt;($C$7+1),"",IFERROR((分析データ!C1262-AVERAGE(OFFSET(分析データ!C$1,MAX(1,ROW()-$C$7),0,MIN($C$7,ROW()-1),1)))/STDEV(OFFSET(分析データ!C$1,MAX(1,ROW()-$C$7),0,MIN($C$7,ROW()-1),1)),0))</f>
        <v>0</v>
      </c>
      <c r="BA1262">
        <f t="shared" ca="1" si="536"/>
        <v>0</v>
      </c>
      <c r="BB1262" t="str">
        <f ca="1">IF(BA1262=1,IF(INDEX(分析データ!$A:$A,ROW()+$C$5)&lt;&gt;"",60000*SIGN(AZ1262)*(分析データ!C1262-INDEX(分析データ!C:C,ROW()+$C$5)),""),"")</f>
        <v/>
      </c>
      <c r="BC1262">
        <f t="shared" ca="1" si="537"/>
        <v>-260999.9999999851</v>
      </c>
      <c r="BD1262">
        <f t="shared" ca="1" si="538"/>
        <v>3156000.0000000107</v>
      </c>
      <c r="BE1262">
        <f t="shared" ca="1" si="539"/>
        <v>-3416999.9999999958</v>
      </c>
      <c r="BF1262">
        <f ca="1">IF(ROW()&lt;($C$7+1),"",IFERROR((分析データ!D1262-AVERAGE(OFFSET(分析データ!D$1,MAX(1,ROW()-$C$7),0,MIN($C$7,ROW()-1),1)))/STDEV(OFFSET(分析データ!D$1,MAX(1,ROW()-$C$7),0,MIN($C$7,ROW()-1),1)),0))</f>
        <v>0</v>
      </c>
      <c r="BG1262">
        <f t="shared" ca="1" si="540"/>
        <v>0</v>
      </c>
      <c r="BH1262" t="str">
        <f ca="1">IF(BG1262=1,IF(INDEX(分析データ!$A:$A,ROW()+$C$5)&lt;&gt;"",50000*SIGN(BF1262)*(分析データ!D1262-INDEX(分析データ!D:D,ROW()+$C$5)),""),"")</f>
        <v/>
      </c>
      <c r="BI1262">
        <f t="shared" ca="1" si="541"/>
        <v>5570000.0000000205</v>
      </c>
      <c r="BJ1262">
        <f t="shared" ca="1" si="542"/>
        <v>5570000.0000000205</v>
      </c>
      <c r="BK1262">
        <f t="shared" ca="1" si="543"/>
        <v>0</v>
      </c>
      <c r="BL1262">
        <f ca="1">IF(ROW()&lt;($C$7+1),"",IFERROR((分析データ!E1262-AVERAGE(OFFSET(分析データ!E$1,MAX(1,ROW()-$C$7),0,MIN($C$7,ROW()-1),1)))/STDEV(OFFSET(分析データ!E$1,MAX(1,ROW()-$C$7),0,MIN($C$7,ROW()-1),1)),0))</f>
        <v>0</v>
      </c>
      <c r="BM1262">
        <f t="shared" ca="1" si="544"/>
        <v>0</v>
      </c>
      <c r="BN1262" t="str">
        <f ca="1">IF(BM1262=1,IF(INDEX(分析データ!$A:$A,ROW()+$C$5)&lt;&gt;"",40000*SIGN(BL1262)*(分析データ!E1262-INDEX(分析データ!E:E,ROW()+$C$5)),""),"")</f>
        <v/>
      </c>
      <c r="BO1262">
        <f t="shared" ca="1" si="545"/>
        <v>2720000.0000000014</v>
      </c>
      <c r="BP1262">
        <f t="shared" ca="1" si="546"/>
        <v>4280000.0000000028</v>
      </c>
      <c r="BQ1262">
        <f t="shared" ca="1" si="547"/>
        <v>-1560000.0000000014</v>
      </c>
      <c r="BR1262">
        <f ca="1">IF(ROW()&lt;($C$7+1),"",IFERROR((分析データ!F1262-AVERAGE(OFFSET(分析データ!F$1,MAX(1,ROW()-$C$7),0,MIN($C$7,ROW()-1),1)))/STDEV(OFFSET(分析データ!F$1,MAX(1,ROW()-$C$7),0,MIN($C$7,ROW()-1),1)),0))</f>
        <v>0</v>
      </c>
      <c r="BS1262">
        <f t="shared" ca="1" si="548"/>
        <v>0</v>
      </c>
      <c r="BT1262" t="str">
        <f ca="1">IF(BS1262=1,IF(INDEX(分析データ!$A:$A,ROW()+$C$5)&lt;&gt;"",40000*SIGN(BR1262)*(分析データ!F1262-INDEX(分析データ!F:F,ROW()+$C$5)),""),"")</f>
        <v/>
      </c>
      <c r="BU1262">
        <f t="shared" ca="1" si="549"/>
        <v>19816800</v>
      </c>
      <c r="BV1262">
        <f t="shared" ca="1" si="550"/>
        <v>19816800</v>
      </c>
      <c r="BW1262">
        <f t="shared" ca="1" si="551"/>
        <v>0</v>
      </c>
      <c r="BX1262">
        <f ca="1">IF(ROW()&lt;($C$7+1),"",IFERROR((分析データ!G1262-AVERAGE(OFFSET(分析データ!G$1,MAX(1,ROW()-$C$7),0,MIN($C$7,ROW()-1),1)))/STDEV(OFFSET(分析データ!G$1,MAX(1,ROW()-$C$7),0,MIN($C$7,ROW()-1),1)),0))</f>
        <v>0</v>
      </c>
      <c r="BY1262">
        <f t="shared" ca="1" si="552"/>
        <v>0</v>
      </c>
      <c r="BZ1262" t="str">
        <f ca="1">IF(BY1262=1,IF(INDEX(分析データ!$A:$A,ROW()+$C$5)&lt;&gt;"",40000*SIGN(BX1262)*(分析データ!G1262-INDEX(分析データ!G:G,ROW()+$C$5)),""),"")</f>
        <v/>
      </c>
      <c r="CA1262">
        <f t="shared" ca="1" si="553"/>
        <v>-3515452.8662109179</v>
      </c>
      <c r="CB1262">
        <f t="shared" ca="1" si="554"/>
        <v>11327520.000000004</v>
      </c>
      <c r="CC1262">
        <f t="shared" ca="1" si="555"/>
        <v>-14842972.866210923</v>
      </c>
      <c r="CD1262">
        <f t="shared" ca="1" si="556"/>
        <v>0</v>
      </c>
      <c r="CE1262">
        <f t="shared" ca="1" si="557"/>
        <v>23090347.13378913</v>
      </c>
      <c r="CF1262">
        <f t="shared" ca="1" si="558"/>
        <v>23090347.13378913</v>
      </c>
      <c r="CG1262">
        <f t="shared" ca="1" si="559"/>
        <v>0</v>
      </c>
      <c r="CH1262" s="10" t="str">
        <f>分析データ!A1262</f>
        <v/>
      </c>
    </row>
    <row r="1263" spans="46:86">
      <c r="AT1263">
        <f ca="1">IF(ROW()&lt;($C$7+1),"",IFERROR((分析データ!B1263-AVERAGE(OFFSET(分析データ!B$1,MAX(1,ROW()-$C$7),0,MIN($C$7,ROW()-1),1)))/STDEV(OFFSET(分析データ!B$1,MAX(1,ROW()-$C$7),0,MIN($C$7,ROW()-1),1)),0))</f>
        <v>0</v>
      </c>
      <c r="AU1263">
        <f t="shared" ca="1" si="532"/>
        <v>0</v>
      </c>
      <c r="AV1263" t="str">
        <f ca="1">IF(AU1263=1,IF(INDEX(分析データ!$A:$A,ROW()+$C$5)&lt;&gt;"",80000*SIGN(AT1263)*(分析データ!B1263-INDEX(分析データ!B:B,ROW()+$C$5)),""),"")</f>
        <v/>
      </c>
      <c r="AW1263">
        <f t="shared" ca="1" si="533"/>
        <v>-1240000.0000000019</v>
      </c>
      <c r="AX1263">
        <f t="shared" ca="1" si="534"/>
        <v>0</v>
      </c>
      <c r="AY1263">
        <f t="shared" ca="1" si="535"/>
        <v>-1240000.0000000019</v>
      </c>
      <c r="AZ1263">
        <f ca="1">IF(ROW()&lt;($C$7+1),"",IFERROR((分析データ!C1263-AVERAGE(OFFSET(分析データ!C$1,MAX(1,ROW()-$C$7),0,MIN($C$7,ROW()-1),1)))/STDEV(OFFSET(分析データ!C$1,MAX(1,ROW()-$C$7),0,MIN($C$7,ROW()-1),1)),0))</f>
        <v>0</v>
      </c>
      <c r="BA1263">
        <f t="shared" ca="1" si="536"/>
        <v>0</v>
      </c>
      <c r="BB1263" t="str">
        <f ca="1">IF(BA1263=1,IF(INDEX(分析データ!$A:$A,ROW()+$C$5)&lt;&gt;"",60000*SIGN(AZ1263)*(分析データ!C1263-INDEX(分析データ!C:C,ROW()+$C$5)),""),"")</f>
        <v/>
      </c>
      <c r="BC1263">
        <f t="shared" ca="1" si="537"/>
        <v>-260999.9999999851</v>
      </c>
      <c r="BD1263">
        <f t="shared" ca="1" si="538"/>
        <v>3156000.0000000107</v>
      </c>
      <c r="BE1263">
        <f t="shared" ca="1" si="539"/>
        <v>-3416999.9999999958</v>
      </c>
      <c r="BF1263">
        <f ca="1">IF(ROW()&lt;($C$7+1),"",IFERROR((分析データ!D1263-AVERAGE(OFFSET(分析データ!D$1,MAX(1,ROW()-$C$7),0,MIN($C$7,ROW()-1),1)))/STDEV(OFFSET(分析データ!D$1,MAX(1,ROW()-$C$7),0,MIN($C$7,ROW()-1),1)),0))</f>
        <v>0</v>
      </c>
      <c r="BG1263">
        <f t="shared" ca="1" si="540"/>
        <v>0</v>
      </c>
      <c r="BH1263" t="str">
        <f ca="1">IF(BG1263=1,IF(INDEX(分析データ!$A:$A,ROW()+$C$5)&lt;&gt;"",50000*SIGN(BF1263)*(分析データ!D1263-INDEX(分析データ!D:D,ROW()+$C$5)),""),"")</f>
        <v/>
      </c>
      <c r="BI1263">
        <f t="shared" ca="1" si="541"/>
        <v>5570000.0000000205</v>
      </c>
      <c r="BJ1263">
        <f t="shared" ca="1" si="542"/>
        <v>5570000.0000000205</v>
      </c>
      <c r="BK1263">
        <f t="shared" ca="1" si="543"/>
        <v>0</v>
      </c>
      <c r="BL1263">
        <f ca="1">IF(ROW()&lt;($C$7+1),"",IFERROR((分析データ!E1263-AVERAGE(OFFSET(分析データ!E$1,MAX(1,ROW()-$C$7),0,MIN($C$7,ROW()-1),1)))/STDEV(OFFSET(分析データ!E$1,MAX(1,ROW()-$C$7),0,MIN($C$7,ROW()-1),1)),0))</f>
        <v>0</v>
      </c>
      <c r="BM1263">
        <f t="shared" ca="1" si="544"/>
        <v>0</v>
      </c>
      <c r="BN1263" t="str">
        <f ca="1">IF(BM1263=1,IF(INDEX(分析データ!$A:$A,ROW()+$C$5)&lt;&gt;"",40000*SIGN(BL1263)*(分析データ!E1263-INDEX(分析データ!E:E,ROW()+$C$5)),""),"")</f>
        <v/>
      </c>
      <c r="BO1263">
        <f t="shared" ca="1" si="545"/>
        <v>2720000.0000000014</v>
      </c>
      <c r="BP1263">
        <f t="shared" ca="1" si="546"/>
        <v>4280000.0000000028</v>
      </c>
      <c r="BQ1263">
        <f t="shared" ca="1" si="547"/>
        <v>-1560000.0000000014</v>
      </c>
      <c r="BR1263">
        <f ca="1">IF(ROW()&lt;($C$7+1),"",IFERROR((分析データ!F1263-AVERAGE(OFFSET(分析データ!F$1,MAX(1,ROW()-$C$7),0,MIN($C$7,ROW()-1),1)))/STDEV(OFFSET(分析データ!F$1,MAX(1,ROW()-$C$7),0,MIN($C$7,ROW()-1),1)),0))</f>
        <v>0</v>
      </c>
      <c r="BS1263">
        <f t="shared" ca="1" si="548"/>
        <v>0</v>
      </c>
      <c r="BT1263" t="str">
        <f ca="1">IF(BS1263=1,IF(INDEX(分析データ!$A:$A,ROW()+$C$5)&lt;&gt;"",40000*SIGN(BR1263)*(分析データ!F1263-INDEX(分析データ!F:F,ROW()+$C$5)),""),"")</f>
        <v/>
      </c>
      <c r="BU1263">
        <f t="shared" ca="1" si="549"/>
        <v>19816800</v>
      </c>
      <c r="BV1263">
        <f t="shared" ca="1" si="550"/>
        <v>19816800</v>
      </c>
      <c r="BW1263">
        <f t="shared" ca="1" si="551"/>
        <v>0</v>
      </c>
      <c r="BX1263">
        <f ca="1">IF(ROW()&lt;($C$7+1),"",IFERROR((分析データ!G1263-AVERAGE(OFFSET(分析データ!G$1,MAX(1,ROW()-$C$7),0,MIN($C$7,ROW()-1),1)))/STDEV(OFFSET(分析データ!G$1,MAX(1,ROW()-$C$7),0,MIN($C$7,ROW()-1),1)),0))</f>
        <v>0</v>
      </c>
      <c r="BY1263">
        <f t="shared" ca="1" si="552"/>
        <v>0</v>
      </c>
      <c r="BZ1263" t="str">
        <f ca="1">IF(BY1263=1,IF(INDEX(分析データ!$A:$A,ROW()+$C$5)&lt;&gt;"",40000*SIGN(BX1263)*(分析データ!G1263-INDEX(分析データ!G:G,ROW()+$C$5)),""),"")</f>
        <v/>
      </c>
      <c r="CA1263">
        <f t="shared" ca="1" si="553"/>
        <v>-3515452.8662109179</v>
      </c>
      <c r="CB1263">
        <f t="shared" ca="1" si="554"/>
        <v>11327520.000000004</v>
      </c>
      <c r="CC1263">
        <f t="shared" ca="1" si="555"/>
        <v>-14842972.866210923</v>
      </c>
      <c r="CD1263">
        <f t="shared" ca="1" si="556"/>
        <v>0</v>
      </c>
      <c r="CE1263">
        <f t="shared" ca="1" si="557"/>
        <v>23090347.13378913</v>
      </c>
      <c r="CF1263">
        <f t="shared" ca="1" si="558"/>
        <v>23090347.13378913</v>
      </c>
      <c r="CG1263">
        <f t="shared" ca="1" si="559"/>
        <v>0</v>
      </c>
      <c r="CH1263" s="10" t="str">
        <f>分析データ!A1263</f>
        <v/>
      </c>
    </row>
    <row r="1264" spans="46:86">
      <c r="AT1264">
        <f ca="1">IF(ROW()&lt;($C$7+1),"",IFERROR((分析データ!B1264-AVERAGE(OFFSET(分析データ!B$1,MAX(1,ROW()-$C$7),0,MIN($C$7,ROW()-1),1)))/STDEV(OFFSET(分析データ!B$1,MAX(1,ROW()-$C$7),0,MIN($C$7,ROW()-1),1)),0))</f>
        <v>0</v>
      </c>
      <c r="AU1264">
        <f t="shared" ca="1" si="532"/>
        <v>0</v>
      </c>
      <c r="AV1264" t="str">
        <f ca="1">IF(AU1264=1,IF(INDEX(分析データ!$A:$A,ROW()+$C$5)&lt;&gt;"",80000*SIGN(AT1264)*(分析データ!B1264-INDEX(分析データ!B:B,ROW()+$C$5)),""),"")</f>
        <v/>
      </c>
      <c r="AW1264">
        <f t="shared" ca="1" si="533"/>
        <v>-1240000.0000000019</v>
      </c>
      <c r="AX1264">
        <f t="shared" ca="1" si="534"/>
        <v>0</v>
      </c>
      <c r="AY1264">
        <f t="shared" ca="1" si="535"/>
        <v>-1240000.0000000019</v>
      </c>
      <c r="AZ1264">
        <f ca="1">IF(ROW()&lt;($C$7+1),"",IFERROR((分析データ!C1264-AVERAGE(OFFSET(分析データ!C$1,MAX(1,ROW()-$C$7),0,MIN($C$7,ROW()-1),1)))/STDEV(OFFSET(分析データ!C$1,MAX(1,ROW()-$C$7),0,MIN($C$7,ROW()-1),1)),0))</f>
        <v>0</v>
      </c>
      <c r="BA1264">
        <f t="shared" ca="1" si="536"/>
        <v>0</v>
      </c>
      <c r="BB1264" t="str">
        <f ca="1">IF(BA1264=1,IF(INDEX(分析データ!$A:$A,ROW()+$C$5)&lt;&gt;"",60000*SIGN(AZ1264)*(分析データ!C1264-INDEX(分析データ!C:C,ROW()+$C$5)),""),"")</f>
        <v/>
      </c>
      <c r="BC1264">
        <f t="shared" ca="1" si="537"/>
        <v>-260999.9999999851</v>
      </c>
      <c r="BD1264">
        <f t="shared" ca="1" si="538"/>
        <v>3156000.0000000107</v>
      </c>
      <c r="BE1264">
        <f t="shared" ca="1" si="539"/>
        <v>-3416999.9999999958</v>
      </c>
      <c r="BF1264">
        <f ca="1">IF(ROW()&lt;($C$7+1),"",IFERROR((分析データ!D1264-AVERAGE(OFFSET(分析データ!D$1,MAX(1,ROW()-$C$7),0,MIN($C$7,ROW()-1),1)))/STDEV(OFFSET(分析データ!D$1,MAX(1,ROW()-$C$7),0,MIN($C$7,ROW()-1),1)),0))</f>
        <v>0</v>
      </c>
      <c r="BG1264">
        <f t="shared" ca="1" si="540"/>
        <v>0</v>
      </c>
      <c r="BH1264" t="str">
        <f ca="1">IF(BG1264=1,IF(INDEX(分析データ!$A:$A,ROW()+$C$5)&lt;&gt;"",50000*SIGN(BF1264)*(分析データ!D1264-INDEX(分析データ!D:D,ROW()+$C$5)),""),"")</f>
        <v/>
      </c>
      <c r="BI1264">
        <f t="shared" ca="1" si="541"/>
        <v>5570000.0000000205</v>
      </c>
      <c r="BJ1264">
        <f t="shared" ca="1" si="542"/>
        <v>5570000.0000000205</v>
      </c>
      <c r="BK1264">
        <f t="shared" ca="1" si="543"/>
        <v>0</v>
      </c>
      <c r="BL1264">
        <f ca="1">IF(ROW()&lt;($C$7+1),"",IFERROR((分析データ!E1264-AVERAGE(OFFSET(分析データ!E$1,MAX(1,ROW()-$C$7),0,MIN($C$7,ROW()-1),1)))/STDEV(OFFSET(分析データ!E$1,MAX(1,ROW()-$C$7),0,MIN($C$7,ROW()-1),1)),0))</f>
        <v>0</v>
      </c>
      <c r="BM1264">
        <f t="shared" ca="1" si="544"/>
        <v>0</v>
      </c>
      <c r="BN1264" t="str">
        <f ca="1">IF(BM1264=1,IF(INDEX(分析データ!$A:$A,ROW()+$C$5)&lt;&gt;"",40000*SIGN(BL1264)*(分析データ!E1264-INDEX(分析データ!E:E,ROW()+$C$5)),""),"")</f>
        <v/>
      </c>
      <c r="BO1264">
        <f t="shared" ca="1" si="545"/>
        <v>2720000.0000000014</v>
      </c>
      <c r="BP1264">
        <f t="shared" ca="1" si="546"/>
        <v>4280000.0000000028</v>
      </c>
      <c r="BQ1264">
        <f t="shared" ca="1" si="547"/>
        <v>-1560000.0000000014</v>
      </c>
      <c r="BR1264">
        <f ca="1">IF(ROW()&lt;($C$7+1),"",IFERROR((分析データ!F1264-AVERAGE(OFFSET(分析データ!F$1,MAX(1,ROW()-$C$7),0,MIN($C$7,ROW()-1),1)))/STDEV(OFFSET(分析データ!F$1,MAX(1,ROW()-$C$7),0,MIN($C$7,ROW()-1),1)),0))</f>
        <v>0</v>
      </c>
      <c r="BS1264">
        <f t="shared" ca="1" si="548"/>
        <v>0</v>
      </c>
      <c r="BT1264" t="str">
        <f ca="1">IF(BS1264=1,IF(INDEX(分析データ!$A:$A,ROW()+$C$5)&lt;&gt;"",40000*SIGN(BR1264)*(分析データ!F1264-INDEX(分析データ!F:F,ROW()+$C$5)),""),"")</f>
        <v/>
      </c>
      <c r="BU1264">
        <f t="shared" ca="1" si="549"/>
        <v>19816800</v>
      </c>
      <c r="BV1264">
        <f t="shared" ca="1" si="550"/>
        <v>19816800</v>
      </c>
      <c r="BW1264">
        <f t="shared" ca="1" si="551"/>
        <v>0</v>
      </c>
      <c r="BX1264">
        <f ca="1">IF(ROW()&lt;($C$7+1),"",IFERROR((分析データ!G1264-AVERAGE(OFFSET(分析データ!G$1,MAX(1,ROW()-$C$7),0,MIN($C$7,ROW()-1),1)))/STDEV(OFFSET(分析データ!G$1,MAX(1,ROW()-$C$7),0,MIN($C$7,ROW()-1),1)),0))</f>
        <v>0</v>
      </c>
      <c r="BY1264">
        <f t="shared" ca="1" si="552"/>
        <v>0</v>
      </c>
      <c r="BZ1264" t="str">
        <f ca="1">IF(BY1264=1,IF(INDEX(分析データ!$A:$A,ROW()+$C$5)&lt;&gt;"",40000*SIGN(BX1264)*(分析データ!G1264-INDEX(分析データ!G:G,ROW()+$C$5)),""),"")</f>
        <v/>
      </c>
      <c r="CA1264">
        <f t="shared" ca="1" si="553"/>
        <v>-3515452.8662109179</v>
      </c>
      <c r="CB1264">
        <f t="shared" ca="1" si="554"/>
        <v>11327520.000000004</v>
      </c>
      <c r="CC1264">
        <f t="shared" ca="1" si="555"/>
        <v>-14842972.866210923</v>
      </c>
      <c r="CD1264">
        <f t="shared" ca="1" si="556"/>
        <v>0</v>
      </c>
      <c r="CE1264">
        <f t="shared" ca="1" si="557"/>
        <v>23090347.13378913</v>
      </c>
      <c r="CF1264">
        <f t="shared" ca="1" si="558"/>
        <v>23090347.13378913</v>
      </c>
      <c r="CG1264">
        <f t="shared" ca="1" si="559"/>
        <v>0</v>
      </c>
      <c r="CH1264" s="10" t="str">
        <f>分析データ!A1264</f>
        <v/>
      </c>
    </row>
    <row r="1265" spans="46:86">
      <c r="AT1265">
        <f ca="1">IF(ROW()&lt;($C$7+1),"",IFERROR((分析データ!B1265-AVERAGE(OFFSET(分析データ!B$1,MAX(1,ROW()-$C$7),0,MIN($C$7,ROW()-1),1)))/STDEV(OFFSET(分析データ!B$1,MAX(1,ROW()-$C$7),0,MIN($C$7,ROW()-1),1)),0))</f>
        <v>0</v>
      </c>
      <c r="AU1265">
        <f t="shared" ca="1" si="532"/>
        <v>0</v>
      </c>
      <c r="AV1265" t="str">
        <f ca="1">IF(AU1265=1,IF(INDEX(分析データ!$A:$A,ROW()+$C$5)&lt;&gt;"",80000*SIGN(AT1265)*(分析データ!B1265-INDEX(分析データ!B:B,ROW()+$C$5)),""),"")</f>
        <v/>
      </c>
      <c r="AW1265">
        <f t="shared" ca="1" si="533"/>
        <v>-1240000.0000000019</v>
      </c>
      <c r="AX1265">
        <f t="shared" ca="1" si="534"/>
        <v>0</v>
      </c>
      <c r="AY1265">
        <f t="shared" ca="1" si="535"/>
        <v>-1240000.0000000019</v>
      </c>
      <c r="AZ1265">
        <f ca="1">IF(ROW()&lt;($C$7+1),"",IFERROR((分析データ!C1265-AVERAGE(OFFSET(分析データ!C$1,MAX(1,ROW()-$C$7),0,MIN($C$7,ROW()-1),1)))/STDEV(OFFSET(分析データ!C$1,MAX(1,ROW()-$C$7),0,MIN($C$7,ROW()-1),1)),0))</f>
        <v>0</v>
      </c>
      <c r="BA1265">
        <f t="shared" ca="1" si="536"/>
        <v>0</v>
      </c>
      <c r="BB1265" t="str">
        <f ca="1">IF(BA1265=1,IF(INDEX(分析データ!$A:$A,ROW()+$C$5)&lt;&gt;"",60000*SIGN(AZ1265)*(分析データ!C1265-INDEX(分析データ!C:C,ROW()+$C$5)),""),"")</f>
        <v/>
      </c>
      <c r="BC1265">
        <f t="shared" ca="1" si="537"/>
        <v>-260999.9999999851</v>
      </c>
      <c r="BD1265">
        <f t="shared" ca="1" si="538"/>
        <v>3156000.0000000107</v>
      </c>
      <c r="BE1265">
        <f t="shared" ca="1" si="539"/>
        <v>-3416999.9999999958</v>
      </c>
      <c r="BF1265">
        <f ca="1">IF(ROW()&lt;($C$7+1),"",IFERROR((分析データ!D1265-AVERAGE(OFFSET(分析データ!D$1,MAX(1,ROW()-$C$7),0,MIN($C$7,ROW()-1),1)))/STDEV(OFFSET(分析データ!D$1,MAX(1,ROW()-$C$7),0,MIN($C$7,ROW()-1),1)),0))</f>
        <v>0</v>
      </c>
      <c r="BG1265">
        <f t="shared" ca="1" si="540"/>
        <v>0</v>
      </c>
      <c r="BH1265" t="str">
        <f ca="1">IF(BG1265=1,IF(INDEX(分析データ!$A:$A,ROW()+$C$5)&lt;&gt;"",50000*SIGN(BF1265)*(分析データ!D1265-INDEX(分析データ!D:D,ROW()+$C$5)),""),"")</f>
        <v/>
      </c>
      <c r="BI1265">
        <f t="shared" ca="1" si="541"/>
        <v>5570000.0000000205</v>
      </c>
      <c r="BJ1265">
        <f t="shared" ca="1" si="542"/>
        <v>5570000.0000000205</v>
      </c>
      <c r="BK1265">
        <f t="shared" ca="1" si="543"/>
        <v>0</v>
      </c>
      <c r="BL1265">
        <f ca="1">IF(ROW()&lt;($C$7+1),"",IFERROR((分析データ!E1265-AVERAGE(OFFSET(分析データ!E$1,MAX(1,ROW()-$C$7),0,MIN($C$7,ROW()-1),1)))/STDEV(OFFSET(分析データ!E$1,MAX(1,ROW()-$C$7),0,MIN($C$7,ROW()-1),1)),0))</f>
        <v>0</v>
      </c>
      <c r="BM1265">
        <f t="shared" ca="1" si="544"/>
        <v>0</v>
      </c>
      <c r="BN1265" t="str">
        <f ca="1">IF(BM1265=1,IF(INDEX(分析データ!$A:$A,ROW()+$C$5)&lt;&gt;"",40000*SIGN(BL1265)*(分析データ!E1265-INDEX(分析データ!E:E,ROW()+$C$5)),""),"")</f>
        <v/>
      </c>
      <c r="BO1265">
        <f t="shared" ca="1" si="545"/>
        <v>2720000.0000000014</v>
      </c>
      <c r="BP1265">
        <f t="shared" ca="1" si="546"/>
        <v>4280000.0000000028</v>
      </c>
      <c r="BQ1265">
        <f t="shared" ca="1" si="547"/>
        <v>-1560000.0000000014</v>
      </c>
      <c r="BR1265">
        <f ca="1">IF(ROW()&lt;($C$7+1),"",IFERROR((分析データ!F1265-AVERAGE(OFFSET(分析データ!F$1,MAX(1,ROW()-$C$7),0,MIN($C$7,ROW()-1),1)))/STDEV(OFFSET(分析データ!F$1,MAX(1,ROW()-$C$7),0,MIN($C$7,ROW()-1),1)),0))</f>
        <v>0</v>
      </c>
      <c r="BS1265">
        <f t="shared" ca="1" si="548"/>
        <v>0</v>
      </c>
      <c r="BT1265" t="str">
        <f ca="1">IF(BS1265=1,IF(INDEX(分析データ!$A:$A,ROW()+$C$5)&lt;&gt;"",40000*SIGN(BR1265)*(分析データ!F1265-INDEX(分析データ!F:F,ROW()+$C$5)),""),"")</f>
        <v/>
      </c>
      <c r="BU1265">
        <f t="shared" ca="1" si="549"/>
        <v>19816800</v>
      </c>
      <c r="BV1265">
        <f t="shared" ca="1" si="550"/>
        <v>19816800</v>
      </c>
      <c r="BW1265">
        <f t="shared" ca="1" si="551"/>
        <v>0</v>
      </c>
      <c r="BX1265">
        <f ca="1">IF(ROW()&lt;($C$7+1),"",IFERROR((分析データ!G1265-AVERAGE(OFFSET(分析データ!G$1,MAX(1,ROW()-$C$7),0,MIN($C$7,ROW()-1),1)))/STDEV(OFFSET(分析データ!G$1,MAX(1,ROW()-$C$7),0,MIN($C$7,ROW()-1),1)),0))</f>
        <v>0</v>
      </c>
      <c r="BY1265">
        <f t="shared" ca="1" si="552"/>
        <v>0</v>
      </c>
      <c r="BZ1265" t="str">
        <f ca="1">IF(BY1265=1,IF(INDEX(分析データ!$A:$A,ROW()+$C$5)&lt;&gt;"",40000*SIGN(BX1265)*(分析データ!G1265-INDEX(分析データ!G:G,ROW()+$C$5)),""),"")</f>
        <v/>
      </c>
      <c r="CA1265">
        <f t="shared" ca="1" si="553"/>
        <v>-3515452.8662109179</v>
      </c>
      <c r="CB1265">
        <f t="shared" ca="1" si="554"/>
        <v>11327520.000000004</v>
      </c>
      <c r="CC1265">
        <f t="shared" ca="1" si="555"/>
        <v>-14842972.866210923</v>
      </c>
      <c r="CD1265">
        <f t="shared" ca="1" si="556"/>
        <v>0</v>
      </c>
      <c r="CE1265">
        <f t="shared" ca="1" si="557"/>
        <v>23090347.13378913</v>
      </c>
      <c r="CF1265">
        <f t="shared" ca="1" si="558"/>
        <v>23090347.13378913</v>
      </c>
      <c r="CG1265">
        <f t="shared" ca="1" si="559"/>
        <v>0</v>
      </c>
      <c r="CH1265" s="10" t="str">
        <f>分析データ!A1265</f>
        <v/>
      </c>
    </row>
    <row r="1266" spans="46:86">
      <c r="AT1266">
        <f ca="1">IF(ROW()&lt;($C$7+1),"",IFERROR((分析データ!B1266-AVERAGE(OFFSET(分析データ!B$1,MAX(1,ROW()-$C$7),0,MIN($C$7,ROW()-1),1)))/STDEV(OFFSET(分析データ!B$1,MAX(1,ROW()-$C$7),0,MIN($C$7,ROW()-1),1)),0))</f>
        <v>0</v>
      </c>
      <c r="AU1266">
        <f t="shared" ca="1" si="532"/>
        <v>0</v>
      </c>
      <c r="AV1266" t="str">
        <f ca="1">IF(AU1266=1,IF(INDEX(分析データ!$A:$A,ROW()+$C$5)&lt;&gt;"",80000*SIGN(AT1266)*(分析データ!B1266-INDEX(分析データ!B:B,ROW()+$C$5)),""),"")</f>
        <v/>
      </c>
      <c r="AW1266">
        <f t="shared" ca="1" si="533"/>
        <v>-1240000.0000000019</v>
      </c>
      <c r="AX1266">
        <f t="shared" ca="1" si="534"/>
        <v>0</v>
      </c>
      <c r="AY1266">
        <f t="shared" ca="1" si="535"/>
        <v>-1240000.0000000019</v>
      </c>
      <c r="AZ1266">
        <f ca="1">IF(ROW()&lt;($C$7+1),"",IFERROR((分析データ!C1266-AVERAGE(OFFSET(分析データ!C$1,MAX(1,ROW()-$C$7),0,MIN($C$7,ROW()-1),1)))/STDEV(OFFSET(分析データ!C$1,MAX(1,ROW()-$C$7),0,MIN($C$7,ROW()-1),1)),0))</f>
        <v>0</v>
      </c>
      <c r="BA1266">
        <f t="shared" ca="1" si="536"/>
        <v>0</v>
      </c>
      <c r="BB1266" t="str">
        <f ca="1">IF(BA1266=1,IF(INDEX(分析データ!$A:$A,ROW()+$C$5)&lt;&gt;"",60000*SIGN(AZ1266)*(分析データ!C1266-INDEX(分析データ!C:C,ROW()+$C$5)),""),"")</f>
        <v/>
      </c>
      <c r="BC1266">
        <f t="shared" ca="1" si="537"/>
        <v>-260999.9999999851</v>
      </c>
      <c r="BD1266">
        <f t="shared" ca="1" si="538"/>
        <v>3156000.0000000107</v>
      </c>
      <c r="BE1266">
        <f t="shared" ca="1" si="539"/>
        <v>-3416999.9999999958</v>
      </c>
      <c r="BF1266">
        <f ca="1">IF(ROW()&lt;($C$7+1),"",IFERROR((分析データ!D1266-AVERAGE(OFFSET(分析データ!D$1,MAX(1,ROW()-$C$7),0,MIN($C$7,ROW()-1),1)))/STDEV(OFFSET(分析データ!D$1,MAX(1,ROW()-$C$7),0,MIN($C$7,ROW()-1),1)),0))</f>
        <v>0</v>
      </c>
      <c r="BG1266">
        <f t="shared" ca="1" si="540"/>
        <v>0</v>
      </c>
      <c r="BH1266" t="str">
        <f ca="1">IF(BG1266=1,IF(INDEX(分析データ!$A:$A,ROW()+$C$5)&lt;&gt;"",50000*SIGN(BF1266)*(分析データ!D1266-INDEX(分析データ!D:D,ROW()+$C$5)),""),"")</f>
        <v/>
      </c>
      <c r="BI1266">
        <f t="shared" ca="1" si="541"/>
        <v>5570000.0000000205</v>
      </c>
      <c r="BJ1266">
        <f t="shared" ca="1" si="542"/>
        <v>5570000.0000000205</v>
      </c>
      <c r="BK1266">
        <f t="shared" ca="1" si="543"/>
        <v>0</v>
      </c>
      <c r="BL1266">
        <f ca="1">IF(ROW()&lt;($C$7+1),"",IFERROR((分析データ!E1266-AVERAGE(OFFSET(分析データ!E$1,MAX(1,ROW()-$C$7),0,MIN($C$7,ROW()-1),1)))/STDEV(OFFSET(分析データ!E$1,MAX(1,ROW()-$C$7),0,MIN($C$7,ROW()-1),1)),0))</f>
        <v>0</v>
      </c>
      <c r="BM1266">
        <f t="shared" ca="1" si="544"/>
        <v>0</v>
      </c>
      <c r="BN1266" t="str">
        <f ca="1">IF(BM1266=1,IF(INDEX(分析データ!$A:$A,ROW()+$C$5)&lt;&gt;"",40000*SIGN(BL1266)*(分析データ!E1266-INDEX(分析データ!E:E,ROW()+$C$5)),""),"")</f>
        <v/>
      </c>
      <c r="BO1266">
        <f t="shared" ca="1" si="545"/>
        <v>2720000.0000000014</v>
      </c>
      <c r="BP1266">
        <f t="shared" ca="1" si="546"/>
        <v>4280000.0000000028</v>
      </c>
      <c r="BQ1266">
        <f t="shared" ca="1" si="547"/>
        <v>-1560000.0000000014</v>
      </c>
      <c r="BR1266">
        <f ca="1">IF(ROW()&lt;($C$7+1),"",IFERROR((分析データ!F1266-AVERAGE(OFFSET(分析データ!F$1,MAX(1,ROW()-$C$7),0,MIN($C$7,ROW()-1),1)))/STDEV(OFFSET(分析データ!F$1,MAX(1,ROW()-$C$7),0,MIN($C$7,ROW()-1),1)),0))</f>
        <v>0</v>
      </c>
      <c r="BS1266">
        <f t="shared" ca="1" si="548"/>
        <v>0</v>
      </c>
      <c r="BT1266" t="str">
        <f ca="1">IF(BS1266=1,IF(INDEX(分析データ!$A:$A,ROW()+$C$5)&lt;&gt;"",40000*SIGN(BR1266)*(分析データ!F1266-INDEX(分析データ!F:F,ROW()+$C$5)),""),"")</f>
        <v/>
      </c>
      <c r="BU1266">
        <f t="shared" ca="1" si="549"/>
        <v>19816800</v>
      </c>
      <c r="BV1266">
        <f t="shared" ca="1" si="550"/>
        <v>19816800</v>
      </c>
      <c r="BW1266">
        <f t="shared" ca="1" si="551"/>
        <v>0</v>
      </c>
      <c r="BX1266">
        <f ca="1">IF(ROW()&lt;($C$7+1),"",IFERROR((分析データ!G1266-AVERAGE(OFFSET(分析データ!G$1,MAX(1,ROW()-$C$7),0,MIN($C$7,ROW()-1),1)))/STDEV(OFFSET(分析データ!G$1,MAX(1,ROW()-$C$7),0,MIN($C$7,ROW()-1),1)),0))</f>
        <v>0</v>
      </c>
      <c r="BY1266">
        <f t="shared" ca="1" si="552"/>
        <v>0</v>
      </c>
      <c r="BZ1266" t="str">
        <f ca="1">IF(BY1266=1,IF(INDEX(分析データ!$A:$A,ROW()+$C$5)&lt;&gt;"",40000*SIGN(BX1266)*(分析データ!G1266-INDEX(分析データ!G:G,ROW()+$C$5)),""),"")</f>
        <v/>
      </c>
      <c r="CA1266">
        <f t="shared" ca="1" si="553"/>
        <v>-3515452.8662109179</v>
      </c>
      <c r="CB1266">
        <f t="shared" ca="1" si="554"/>
        <v>11327520.000000004</v>
      </c>
      <c r="CC1266">
        <f t="shared" ca="1" si="555"/>
        <v>-14842972.866210923</v>
      </c>
      <c r="CD1266">
        <f t="shared" ca="1" si="556"/>
        <v>0</v>
      </c>
      <c r="CE1266">
        <f t="shared" ca="1" si="557"/>
        <v>23090347.13378913</v>
      </c>
      <c r="CF1266">
        <f t="shared" ca="1" si="558"/>
        <v>23090347.13378913</v>
      </c>
      <c r="CG1266">
        <f t="shared" ca="1" si="559"/>
        <v>0</v>
      </c>
      <c r="CH1266" s="10" t="str">
        <f>分析データ!A1266</f>
        <v/>
      </c>
    </row>
    <row r="1267" spans="46:86">
      <c r="AT1267">
        <f ca="1">IF(ROW()&lt;($C$7+1),"",IFERROR((分析データ!B1267-AVERAGE(OFFSET(分析データ!B$1,MAX(1,ROW()-$C$7),0,MIN($C$7,ROW()-1),1)))/STDEV(OFFSET(分析データ!B$1,MAX(1,ROW()-$C$7),0,MIN($C$7,ROW()-1),1)),0))</f>
        <v>0</v>
      </c>
      <c r="AU1267">
        <f t="shared" ca="1" si="532"/>
        <v>0</v>
      </c>
      <c r="AV1267" t="str">
        <f ca="1">IF(AU1267=1,IF(INDEX(分析データ!$A:$A,ROW()+$C$5)&lt;&gt;"",80000*SIGN(AT1267)*(分析データ!B1267-INDEX(分析データ!B:B,ROW()+$C$5)),""),"")</f>
        <v/>
      </c>
      <c r="AW1267">
        <f t="shared" ca="1" si="533"/>
        <v>-1240000.0000000019</v>
      </c>
      <c r="AX1267">
        <f t="shared" ca="1" si="534"/>
        <v>0</v>
      </c>
      <c r="AY1267">
        <f t="shared" ca="1" si="535"/>
        <v>-1240000.0000000019</v>
      </c>
      <c r="AZ1267">
        <f ca="1">IF(ROW()&lt;($C$7+1),"",IFERROR((分析データ!C1267-AVERAGE(OFFSET(分析データ!C$1,MAX(1,ROW()-$C$7),0,MIN($C$7,ROW()-1),1)))/STDEV(OFFSET(分析データ!C$1,MAX(1,ROW()-$C$7),0,MIN($C$7,ROW()-1),1)),0))</f>
        <v>0</v>
      </c>
      <c r="BA1267">
        <f t="shared" ca="1" si="536"/>
        <v>0</v>
      </c>
      <c r="BB1267" t="str">
        <f ca="1">IF(BA1267=1,IF(INDEX(分析データ!$A:$A,ROW()+$C$5)&lt;&gt;"",60000*SIGN(AZ1267)*(分析データ!C1267-INDEX(分析データ!C:C,ROW()+$C$5)),""),"")</f>
        <v/>
      </c>
      <c r="BC1267">
        <f t="shared" ca="1" si="537"/>
        <v>-260999.9999999851</v>
      </c>
      <c r="BD1267">
        <f t="shared" ca="1" si="538"/>
        <v>3156000.0000000107</v>
      </c>
      <c r="BE1267">
        <f t="shared" ca="1" si="539"/>
        <v>-3416999.9999999958</v>
      </c>
      <c r="BF1267">
        <f ca="1">IF(ROW()&lt;($C$7+1),"",IFERROR((分析データ!D1267-AVERAGE(OFFSET(分析データ!D$1,MAX(1,ROW()-$C$7),0,MIN($C$7,ROW()-1),1)))/STDEV(OFFSET(分析データ!D$1,MAX(1,ROW()-$C$7),0,MIN($C$7,ROW()-1),1)),0))</f>
        <v>0</v>
      </c>
      <c r="BG1267">
        <f t="shared" ca="1" si="540"/>
        <v>0</v>
      </c>
      <c r="BH1267" t="str">
        <f ca="1">IF(BG1267=1,IF(INDEX(分析データ!$A:$A,ROW()+$C$5)&lt;&gt;"",50000*SIGN(BF1267)*(分析データ!D1267-INDEX(分析データ!D:D,ROW()+$C$5)),""),"")</f>
        <v/>
      </c>
      <c r="BI1267">
        <f t="shared" ca="1" si="541"/>
        <v>5570000.0000000205</v>
      </c>
      <c r="BJ1267">
        <f t="shared" ca="1" si="542"/>
        <v>5570000.0000000205</v>
      </c>
      <c r="BK1267">
        <f t="shared" ca="1" si="543"/>
        <v>0</v>
      </c>
      <c r="BL1267">
        <f ca="1">IF(ROW()&lt;($C$7+1),"",IFERROR((分析データ!E1267-AVERAGE(OFFSET(分析データ!E$1,MAX(1,ROW()-$C$7),0,MIN($C$7,ROW()-1),1)))/STDEV(OFFSET(分析データ!E$1,MAX(1,ROW()-$C$7),0,MIN($C$7,ROW()-1),1)),0))</f>
        <v>0</v>
      </c>
      <c r="BM1267">
        <f t="shared" ca="1" si="544"/>
        <v>0</v>
      </c>
      <c r="BN1267" t="str">
        <f ca="1">IF(BM1267=1,IF(INDEX(分析データ!$A:$A,ROW()+$C$5)&lt;&gt;"",40000*SIGN(BL1267)*(分析データ!E1267-INDEX(分析データ!E:E,ROW()+$C$5)),""),"")</f>
        <v/>
      </c>
      <c r="BO1267">
        <f t="shared" ca="1" si="545"/>
        <v>2720000.0000000014</v>
      </c>
      <c r="BP1267">
        <f t="shared" ca="1" si="546"/>
        <v>4280000.0000000028</v>
      </c>
      <c r="BQ1267">
        <f t="shared" ca="1" si="547"/>
        <v>-1560000.0000000014</v>
      </c>
      <c r="BR1267">
        <f ca="1">IF(ROW()&lt;($C$7+1),"",IFERROR((分析データ!F1267-AVERAGE(OFFSET(分析データ!F$1,MAX(1,ROW()-$C$7),0,MIN($C$7,ROW()-1),1)))/STDEV(OFFSET(分析データ!F$1,MAX(1,ROW()-$C$7),0,MIN($C$7,ROW()-1),1)),0))</f>
        <v>0</v>
      </c>
      <c r="BS1267">
        <f t="shared" ca="1" si="548"/>
        <v>0</v>
      </c>
      <c r="BT1267" t="str">
        <f ca="1">IF(BS1267=1,IF(INDEX(分析データ!$A:$A,ROW()+$C$5)&lt;&gt;"",40000*SIGN(BR1267)*(分析データ!F1267-INDEX(分析データ!F:F,ROW()+$C$5)),""),"")</f>
        <v/>
      </c>
      <c r="BU1267">
        <f t="shared" ca="1" si="549"/>
        <v>19816800</v>
      </c>
      <c r="BV1267">
        <f t="shared" ca="1" si="550"/>
        <v>19816800</v>
      </c>
      <c r="BW1267">
        <f t="shared" ca="1" si="551"/>
        <v>0</v>
      </c>
      <c r="BX1267">
        <f ca="1">IF(ROW()&lt;($C$7+1),"",IFERROR((分析データ!G1267-AVERAGE(OFFSET(分析データ!G$1,MAX(1,ROW()-$C$7),0,MIN($C$7,ROW()-1),1)))/STDEV(OFFSET(分析データ!G$1,MAX(1,ROW()-$C$7),0,MIN($C$7,ROW()-1),1)),0))</f>
        <v>0</v>
      </c>
      <c r="BY1267">
        <f t="shared" ca="1" si="552"/>
        <v>0</v>
      </c>
      <c r="BZ1267" t="str">
        <f ca="1">IF(BY1267=1,IF(INDEX(分析データ!$A:$A,ROW()+$C$5)&lt;&gt;"",40000*SIGN(BX1267)*(分析データ!G1267-INDEX(分析データ!G:G,ROW()+$C$5)),""),"")</f>
        <v/>
      </c>
      <c r="CA1267">
        <f t="shared" ca="1" si="553"/>
        <v>-3515452.8662109179</v>
      </c>
      <c r="CB1267">
        <f t="shared" ca="1" si="554"/>
        <v>11327520.000000004</v>
      </c>
      <c r="CC1267">
        <f t="shared" ca="1" si="555"/>
        <v>-14842972.866210923</v>
      </c>
      <c r="CD1267">
        <f t="shared" ca="1" si="556"/>
        <v>0</v>
      </c>
      <c r="CE1267">
        <f t="shared" ca="1" si="557"/>
        <v>23090347.13378913</v>
      </c>
      <c r="CF1267">
        <f t="shared" ca="1" si="558"/>
        <v>23090347.13378913</v>
      </c>
      <c r="CG1267">
        <f t="shared" ca="1" si="559"/>
        <v>0</v>
      </c>
      <c r="CH1267" s="10" t="str">
        <f>分析データ!A1267</f>
        <v/>
      </c>
    </row>
    <row r="1268" spans="46:86">
      <c r="AT1268">
        <f ca="1">IF(ROW()&lt;($C$7+1),"",IFERROR((分析データ!B1268-AVERAGE(OFFSET(分析データ!B$1,MAX(1,ROW()-$C$7),0,MIN($C$7,ROW()-1),1)))/STDEV(OFFSET(分析データ!B$1,MAX(1,ROW()-$C$7),0,MIN($C$7,ROW()-1),1)),0))</f>
        <v>0</v>
      </c>
      <c r="AU1268">
        <f t="shared" ca="1" si="532"/>
        <v>0</v>
      </c>
      <c r="AV1268" t="str">
        <f ca="1">IF(AU1268=1,IF(INDEX(分析データ!$A:$A,ROW()+$C$5)&lt;&gt;"",80000*SIGN(AT1268)*(分析データ!B1268-INDEX(分析データ!B:B,ROW()+$C$5)),""),"")</f>
        <v/>
      </c>
      <c r="AW1268">
        <f t="shared" ca="1" si="533"/>
        <v>-1240000.0000000019</v>
      </c>
      <c r="AX1268">
        <f t="shared" ca="1" si="534"/>
        <v>0</v>
      </c>
      <c r="AY1268">
        <f t="shared" ca="1" si="535"/>
        <v>-1240000.0000000019</v>
      </c>
      <c r="AZ1268">
        <f ca="1">IF(ROW()&lt;($C$7+1),"",IFERROR((分析データ!C1268-AVERAGE(OFFSET(分析データ!C$1,MAX(1,ROW()-$C$7),0,MIN($C$7,ROW()-1),1)))/STDEV(OFFSET(分析データ!C$1,MAX(1,ROW()-$C$7),0,MIN($C$7,ROW()-1),1)),0))</f>
        <v>0</v>
      </c>
      <c r="BA1268">
        <f t="shared" ca="1" si="536"/>
        <v>0</v>
      </c>
      <c r="BB1268" t="str">
        <f ca="1">IF(BA1268=1,IF(INDEX(分析データ!$A:$A,ROW()+$C$5)&lt;&gt;"",60000*SIGN(AZ1268)*(分析データ!C1268-INDEX(分析データ!C:C,ROW()+$C$5)),""),"")</f>
        <v/>
      </c>
      <c r="BC1268">
        <f t="shared" ca="1" si="537"/>
        <v>-260999.9999999851</v>
      </c>
      <c r="BD1268">
        <f t="shared" ca="1" si="538"/>
        <v>3156000.0000000107</v>
      </c>
      <c r="BE1268">
        <f t="shared" ca="1" si="539"/>
        <v>-3416999.9999999958</v>
      </c>
      <c r="BF1268">
        <f ca="1">IF(ROW()&lt;($C$7+1),"",IFERROR((分析データ!D1268-AVERAGE(OFFSET(分析データ!D$1,MAX(1,ROW()-$C$7),0,MIN($C$7,ROW()-1),1)))/STDEV(OFFSET(分析データ!D$1,MAX(1,ROW()-$C$7),0,MIN($C$7,ROW()-1),1)),0))</f>
        <v>0</v>
      </c>
      <c r="BG1268">
        <f t="shared" ca="1" si="540"/>
        <v>0</v>
      </c>
      <c r="BH1268" t="str">
        <f ca="1">IF(BG1268=1,IF(INDEX(分析データ!$A:$A,ROW()+$C$5)&lt;&gt;"",50000*SIGN(BF1268)*(分析データ!D1268-INDEX(分析データ!D:D,ROW()+$C$5)),""),"")</f>
        <v/>
      </c>
      <c r="BI1268">
        <f t="shared" ca="1" si="541"/>
        <v>5570000.0000000205</v>
      </c>
      <c r="BJ1268">
        <f t="shared" ca="1" si="542"/>
        <v>5570000.0000000205</v>
      </c>
      <c r="BK1268">
        <f t="shared" ca="1" si="543"/>
        <v>0</v>
      </c>
      <c r="BL1268">
        <f ca="1">IF(ROW()&lt;($C$7+1),"",IFERROR((分析データ!E1268-AVERAGE(OFFSET(分析データ!E$1,MAX(1,ROW()-$C$7),0,MIN($C$7,ROW()-1),1)))/STDEV(OFFSET(分析データ!E$1,MAX(1,ROW()-$C$7),0,MIN($C$7,ROW()-1),1)),0))</f>
        <v>0</v>
      </c>
      <c r="BM1268">
        <f t="shared" ca="1" si="544"/>
        <v>0</v>
      </c>
      <c r="BN1268" t="str">
        <f ca="1">IF(BM1268=1,IF(INDEX(分析データ!$A:$A,ROW()+$C$5)&lt;&gt;"",40000*SIGN(BL1268)*(分析データ!E1268-INDEX(分析データ!E:E,ROW()+$C$5)),""),"")</f>
        <v/>
      </c>
      <c r="BO1268">
        <f t="shared" ca="1" si="545"/>
        <v>2720000.0000000014</v>
      </c>
      <c r="BP1268">
        <f t="shared" ca="1" si="546"/>
        <v>4280000.0000000028</v>
      </c>
      <c r="BQ1268">
        <f t="shared" ca="1" si="547"/>
        <v>-1560000.0000000014</v>
      </c>
      <c r="BR1268">
        <f ca="1">IF(ROW()&lt;($C$7+1),"",IFERROR((分析データ!F1268-AVERAGE(OFFSET(分析データ!F$1,MAX(1,ROW()-$C$7),0,MIN($C$7,ROW()-1),1)))/STDEV(OFFSET(分析データ!F$1,MAX(1,ROW()-$C$7),0,MIN($C$7,ROW()-1),1)),0))</f>
        <v>0</v>
      </c>
      <c r="BS1268">
        <f t="shared" ca="1" si="548"/>
        <v>0</v>
      </c>
      <c r="BT1268" t="str">
        <f ca="1">IF(BS1268=1,IF(INDEX(分析データ!$A:$A,ROW()+$C$5)&lt;&gt;"",40000*SIGN(BR1268)*(分析データ!F1268-INDEX(分析データ!F:F,ROW()+$C$5)),""),"")</f>
        <v/>
      </c>
      <c r="BU1268">
        <f t="shared" ca="1" si="549"/>
        <v>19816800</v>
      </c>
      <c r="BV1268">
        <f t="shared" ca="1" si="550"/>
        <v>19816800</v>
      </c>
      <c r="BW1268">
        <f t="shared" ca="1" si="551"/>
        <v>0</v>
      </c>
      <c r="BX1268">
        <f ca="1">IF(ROW()&lt;($C$7+1),"",IFERROR((分析データ!G1268-AVERAGE(OFFSET(分析データ!G$1,MAX(1,ROW()-$C$7),0,MIN($C$7,ROW()-1),1)))/STDEV(OFFSET(分析データ!G$1,MAX(1,ROW()-$C$7),0,MIN($C$7,ROW()-1),1)),0))</f>
        <v>0</v>
      </c>
      <c r="BY1268">
        <f t="shared" ca="1" si="552"/>
        <v>0</v>
      </c>
      <c r="BZ1268" t="str">
        <f ca="1">IF(BY1268=1,IF(INDEX(分析データ!$A:$A,ROW()+$C$5)&lt;&gt;"",40000*SIGN(BX1268)*(分析データ!G1268-INDEX(分析データ!G:G,ROW()+$C$5)),""),"")</f>
        <v/>
      </c>
      <c r="CA1268">
        <f t="shared" ca="1" si="553"/>
        <v>-3515452.8662109179</v>
      </c>
      <c r="CB1268">
        <f t="shared" ca="1" si="554"/>
        <v>11327520.000000004</v>
      </c>
      <c r="CC1268">
        <f t="shared" ca="1" si="555"/>
        <v>-14842972.866210923</v>
      </c>
      <c r="CD1268">
        <f t="shared" ca="1" si="556"/>
        <v>0</v>
      </c>
      <c r="CE1268">
        <f t="shared" ca="1" si="557"/>
        <v>23090347.13378913</v>
      </c>
      <c r="CF1268">
        <f t="shared" ca="1" si="558"/>
        <v>23090347.13378913</v>
      </c>
      <c r="CG1268">
        <f t="shared" ca="1" si="559"/>
        <v>0</v>
      </c>
      <c r="CH1268" s="10" t="str">
        <f>分析データ!A1268</f>
        <v/>
      </c>
    </row>
    <row r="1269" spans="46:86">
      <c r="AT1269">
        <f ca="1">IF(ROW()&lt;($C$7+1),"",IFERROR((分析データ!B1269-AVERAGE(OFFSET(分析データ!B$1,MAX(1,ROW()-$C$7),0,MIN($C$7,ROW()-1),1)))/STDEV(OFFSET(分析データ!B$1,MAX(1,ROW()-$C$7),0,MIN($C$7,ROW()-1),1)),0))</f>
        <v>0</v>
      </c>
      <c r="AU1269">
        <f t="shared" ca="1" si="532"/>
        <v>0</v>
      </c>
      <c r="AV1269" t="str">
        <f ca="1">IF(AU1269=1,IF(INDEX(分析データ!$A:$A,ROW()+$C$5)&lt;&gt;"",80000*SIGN(AT1269)*(分析データ!B1269-INDEX(分析データ!B:B,ROW()+$C$5)),""),"")</f>
        <v/>
      </c>
      <c r="AW1269">
        <f t="shared" ca="1" si="533"/>
        <v>-1240000.0000000019</v>
      </c>
      <c r="AX1269">
        <f t="shared" ca="1" si="534"/>
        <v>0</v>
      </c>
      <c r="AY1269">
        <f t="shared" ca="1" si="535"/>
        <v>-1240000.0000000019</v>
      </c>
      <c r="AZ1269">
        <f ca="1">IF(ROW()&lt;($C$7+1),"",IFERROR((分析データ!C1269-AVERAGE(OFFSET(分析データ!C$1,MAX(1,ROW()-$C$7),0,MIN($C$7,ROW()-1),1)))/STDEV(OFFSET(分析データ!C$1,MAX(1,ROW()-$C$7),0,MIN($C$7,ROW()-1),1)),0))</f>
        <v>0</v>
      </c>
      <c r="BA1269">
        <f t="shared" ca="1" si="536"/>
        <v>0</v>
      </c>
      <c r="BB1269" t="str">
        <f ca="1">IF(BA1269=1,IF(INDEX(分析データ!$A:$A,ROW()+$C$5)&lt;&gt;"",60000*SIGN(AZ1269)*(分析データ!C1269-INDEX(分析データ!C:C,ROW()+$C$5)),""),"")</f>
        <v/>
      </c>
      <c r="BC1269">
        <f t="shared" ca="1" si="537"/>
        <v>-260999.9999999851</v>
      </c>
      <c r="BD1269">
        <f t="shared" ca="1" si="538"/>
        <v>3156000.0000000107</v>
      </c>
      <c r="BE1269">
        <f t="shared" ca="1" si="539"/>
        <v>-3416999.9999999958</v>
      </c>
      <c r="BF1269">
        <f ca="1">IF(ROW()&lt;($C$7+1),"",IFERROR((分析データ!D1269-AVERAGE(OFFSET(分析データ!D$1,MAX(1,ROW()-$C$7),0,MIN($C$7,ROW()-1),1)))/STDEV(OFFSET(分析データ!D$1,MAX(1,ROW()-$C$7),0,MIN($C$7,ROW()-1),1)),0))</f>
        <v>0</v>
      </c>
      <c r="BG1269">
        <f t="shared" ca="1" si="540"/>
        <v>0</v>
      </c>
      <c r="BH1269" t="str">
        <f ca="1">IF(BG1269=1,IF(INDEX(分析データ!$A:$A,ROW()+$C$5)&lt;&gt;"",50000*SIGN(BF1269)*(分析データ!D1269-INDEX(分析データ!D:D,ROW()+$C$5)),""),"")</f>
        <v/>
      </c>
      <c r="BI1269">
        <f t="shared" ca="1" si="541"/>
        <v>5570000.0000000205</v>
      </c>
      <c r="BJ1269">
        <f t="shared" ca="1" si="542"/>
        <v>5570000.0000000205</v>
      </c>
      <c r="BK1269">
        <f t="shared" ca="1" si="543"/>
        <v>0</v>
      </c>
      <c r="BL1269">
        <f ca="1">IF(ROW()&lt;($C$7+1),"",IFERROR((分析データ!E1269-AVERAGE(OFFSET(分析データ!E$1,MAX(1,ROW()-$C$7),0,MIN($C$7,ROW()-1),1)))/STDEV(OFFSET(分析データ!E$1,MAX(1,ROW()-$C$7),0,MIN($C$7,ROW()-1),1)),0))</f>
        <v>0</v>
      </c>
      <c r="BM1269">
        <f t="shared" ca="1" si="544"/>
        <v>0</v>
      </c>
      <c r="BN1269" t="str">
        <f ca="1">IF(BM1269=1,IF(INDEX(分析データ!$A:$A,ROW()+$C$5)&lt;&gt;"",40000*SIGN(BL1269)*(分析データ!E1269-INDEX(分析データ!E:E,ROW()+$C$5)),""),"")</f>
        <v/>
      </c>
      <c r="BO1269">
        <f t="shared" ca="1" si="545"/>
        <v>2720000.0000000014</v>
      </c>
      <c r="BP1269">
        <f t="shared" ca="1" si="546"/>
        <v>4280000.0000000028</v>
      </c>
      <c r="BQ1269">
        <f t="shared" ca="1" si="547"/>
        <v>-1560000.0000000014</v>
      </c>
      <c r="BR1269">
        <f ca="1">IF(ROW()&lt;($C$7+1),"",IFERROR((分析データ!F1269-AVERAGE(OFFSET(分析データ!F$1,MAX(1,ROW()-$C$7),0,MIN($C$7,ROW()-1),1)))/STDEV(OFFSET(分析データ!F$1,MAX(1,ROW()-$C$7),0,MIN($C$7,ROW()-1),1)),0))</f>
        <v>0</v>
      </c>
      <c r="BS1269">
        <f t="shared" ca="1" si="548"/>
        <v>0</v>
      </c>
      <c r="BT1269" t="str">
        <f ca="1">IF(BS1269=1,IF(INDEX(分析データ!$A:$A,ROW()+$C$5)&lt;&gt;"",40000*SIGN(BR1269)*(分析データ!F1269-INDEX(分析データ!F:F,ROW()+$C$5)),""),"")</f>
        <v/>
      </c>
      <c r="BU1269">
        <f t="shared" ca="1" si="549"/>
        <v>19816800</v>
      </c>
      <c r="BV1269">
        <f t="shared" ca="1" si="550"/>
        <v>19816800</v>
      </c>
      <c r="BW1269">
        <f t="shared" ca="1" si="551"/>
        <v>0</v>
      </c>
      <c r="BX1269">
        <f ca="1">IF(ROW()&lt;($C$7+1),"",IFERROR((分析データ!G1269-AVERAGE(OFFSET(分析データ!G$1,MAX(1,ROW()-$C$7),0,MIN($C$7,ROW()-1),1)))/STDEV(OFFSET(分析データ!G$1,MAX(1,ROW()-$C$7),0,MIN($C$7,ROW()-1),1)),0))</f>
        <v>0</v>
      </c>
      <c r="BY1269">
        <f t="shared" ca="1" si="552"/>
        <v>0</v>
      </c>
      <c r="BZ1269" t="str">
        <f ca="1">IF(BY1269=1,IF(INDEX(分析データ!$A:$A,ROW()+$C$5)&lt;&gt;"",40000*SIGN(BX1269)*(分析データ!G1269-INDEX(分析データ!G:G,ROW()+$C$5)),""),"")</f>
        <v/>
      </c>
      <c r="CA1269">
        <f t="shared" ca="1" si="553"/>
        <v>-3515452.8662109179</v>
      </c>
      <c r="CB1269">
        <f t="shared" ca="1" si="554"/>
        <v>11327520.000000004</v>
      </c>
      <c r="CC1269">
        <f t="shared" ca="1" si="555"/>
        <v>-14842972.866210923</v>
      </c>
      <c r="CD1269">
        <f t="shared" ca="1" si="556"/>
        <v>0</v>
      </c>
      <c r="CE1269">
        <f t="shared" ca="1" si="557"/>
        <v>23090347.13378913</v>
      </c>
      <c r="CF1269">
        <f t="shared" ca="1" si="558"/>
        <v>23090347.13378913</v>
      </c>
      <c r="CG1269">
        <f t="shared" ca="1" si="559"/>
        <v>0</v>
      </c>
      <c r="CH1269" s="10" t="str">
        <f>分析データ!A1269</f>
        <v/>
      </c>
    </row>
    <row r="1270" spans="46:86">
      <c r="AT1270">
        <f ca="1">IF(ROW()&lt;($C$7+1),"",IFERROR((分析データ!B1270-AVERAGE(OFFSET(分析データ!B$1,MAX(1,ROW()-$C$7),0,MIN($C$7,ROW()-1),1)))/STDEV(OFFSET(分析データ!B$1,MAX(1,ROW()-$C$7),0,MIN($C$7,ROW()-1),1)),0))</f>
        <v>0</v>
      </c>
      <c r="AU1270">
        <f t="shared" ca="1" si="532"/>
        <v>0</v>
      </c>
      <c r="AV1270" t="str">
        <f ca="1">IF(AU1270=1,IF(INDEX(分析データ!$A:$A,ROW()+$C$5)&lt;&gt;"",80000*SIGN(AT1270)*(分析データ!B1270-INDEX(分析データ!B:B,ROW()+$C$5)),""),"")</f>
        <v/>
      </c>
      <c r="AW1270">
        <f t="shared" ca="1" si="533"/>
        <v>-1240000.0000000019</v>
      </c>
      <c r="AX1270">
        <f t="shared" ca="1" si="534"/>
        <v>0</v>
      </c>
      <c r="AY1270">
        <f t="shared" ca="1" si="535"/>
        <v>-1240000.0000000019</v>
      </c>
      <c r="AZ1270">
        <f ca="1">IF(ROW()&lt;($C$7+1),"",IFERROR((分析データ!C1270-AVERAGE(OFFSET(分析データ!C$1,MAX(1,ROW()-$C$7),0,MIN($C$7,ROW()-1),1)))/STDEV(OFFSET(分析データ!C$1,MAX(1,ROW()-$C$7),0,MIN($C$7,ROW()-1),1)),0))</f>
        <v>0</v>
      </c>
      <c r="BA1270">
        <f t="shared" ca="1" si="536"/>
        <v>0</v>
      </c>
      <c r="BB1270" t="str">
        <f ca="1">IF(BA1270=1,IF(INDEX(分析データ!$A:$A,ROW()+$C$5)&lt;&gt;"",60000*SIGN(AZ1270)*(分析データ!C1270-INDEX(分析データ!C:C,ROW()+$C$5)),""),"")</f>
        <v/>
      </c>
      <c r="BC1270">
        <f t="shared" ca="1" si="537"/>
        <v>-260999.9999999851</v>
      </c>
      <c r="BD1270">
        <f t="shared" ca="1" si="538"/>
        <v>3156000.0000000107</v>
      </c>
      <c r="BE1270">
        <f t="shared" ca="1" si="539"/>
        <v>-3416999.9999999958</v>
      </c>
      <c r="BF1270">
        <f ca="1">IF(ROW()&lt;($C$7+1),"",IFERROR((分析データ!D1270-AVERAGE(OFFSET(分析データ!D$1,MAX(1,ROW()-$C$7),0,MIN($C$7,ROW()-1),1)))/STDEV(OFFSET(分析データ!D$1,MAX(1,ROW()-$C$7),0,MIN($C$7,ROW()-1),1)),0))</f>
        <v>0</v>
      </c>
      <c r="BG1270">
        <f t="shared" ca="1" si="540"/>
        <v>0</v>
      </c>
      <c r="BH1270" t="str">
        <f ca="1">IF(BG1270=1,IF(INDEX(分析データ!$A:$A,ROW()+$C$5)&lt;&gt;"",50000*SIGN(BF1270)*(分析データ!D1270-INDEX(分析データ!D:D,ROW()+$C$5)),""),"")</f>
        <v/>
      </c>
      <c r="BI1270">
        <f t="shared" ca="1" si="541"/>
        <v>5570000.0000000205</v>
      </c>
      <c r="BJ1270">
        <f t="shared" ca="1" si="542"/>
        <v>5570000.0000000205</v>
      </c>
      <c r="BK1270">
        <f t="shared" ca="1" si="543"/>
        <v>0</v>
      </c>
      <c r="BL1270">
        <f ca="1">IF(ROW()&lt;($C$7+1),"",IFERROR((分析データ!E1270-AVERAGE(OFFSET(分析データ!E$1,MAX(1,ROW()-$C$7),0,MIN($C$7,ROW()-1),1)))/STDEV(OFFSET(分析データ!E$1,MAX(1,ROW()-$C$7),0,MIN($C$7,ROW()-1),1)),0))</f>
        <v>0</v>
      </c>
      <c r="BM1270">
        <f t="shared" ca="1" si="544"/>
        <v>0</v>
      </c>
      <c r="BN1270" t="str">
        <f ca="1">IF(BM1270=1,IF(INDEX(分析データ!$A:$A,ROW()+$C$5)&lt;&gt;"",40000*SIGN(BL1270)*(分析データ!E1270-INDEX(分析データ!E:E,ROW()+$C$5)),""),"")</f>
        <v/>
      </c>
      <c r="BO1270">
        <f t="shared" ca="1" si="545"/>
        <v>2720000.0000000014</v>
      </c>
      <c r="BP1270">
        <f t="shared" ca="1" si="546"/>
        <v>4280000.0000000028</v>
      </c>
      <c r="BQ1270">
        <f t="shared" ca="1" si="547"/>
        <v>-1560000.0000000014</v>
      </c>
      <c r="BR1270">
        <f ca="1">IF(ROW()&lt;($C$7+1),"",IFERROR((分析データ!F1270-AVERAGE(OFFSET(分析データ!F$1,MAX(1,ROW()-$C$7),0,MIN($C$7,ROW()-1),1)))/STDEV(OFFSET(分析データ!F$1,MAX(1,ROW()-$C$7),0,MIN($C$7,ROW()-1),1)),0))</f>
        <v>0</v>
      </c>
      <c r="BS1270">
        <f t="shared" ca="1" si="548"/>
        <v>0</v>
      </c>
      <c r="BT1270" t="str">
        <f ca="1">IF(BS1270=1,IF(INDEX(分析データ!$A:$A,ROW()+$C$5)&lt;&gt;"",40000*SIGN(BR1270)*(分析データ!F1270-INDEX(分析データ!F:F,ROW()+$C$5)),""),"")</f>
        <v/>
      </c>
      <c r="BU1270">
        <f t="shared" ca="1" si="549"/>
        <v>19816800</v>
      </c>
      <c r="BV1270">
        <f t="shared" ca="1" si="550"/>
        <v>19816800</v>
      </c>
      <c r="BW1270">
        <f t="shared" ca="1" si="551"/>
        <v>0</v>
      </c>
      <c r="BX1270">
        <f ca="1">IF(ROW()&lt;($C$7+1),"",IFERROR((分析データ!G1270-AVERAGE(OFFSET(分析データ!G$1,MAX(1,ROW()-$C$7),0,MIN($C$7,ROW()-1),1)))/STDEV(OFFSET(分析データ!G$1,MAX(1,ROW()-$C$7),0,MIN($C$7,ROW()-1),1)),0))</f>
        <v>0</v>
      </c>
      <c r="BY1270">
        <f t="shared" ca="1" si="552"/>
        <v>0</v>
      </c>
      <c r="BZ1270" t="str">
        <f ca="1">IF(BY1270=1,IF(INDEX(分析データ!$A:$A,ROW()+$C$5)&lt;&gt;"",40000*SIGN(BX1270)*(分析データ!G1270-INDEX(分析データ!G:G,ROW()+$C$5)),""),"")</f>
        <v/>
      </c>
      <c r="CA1270">
        <f t="shared" ca="1" si="553"/>
        <v>-3515452.8662109179</v>
      </c>
      <c r="CB1270">
        <f t="shared" ca="1" si="554"/>
        <v>11327520.000000004</v>
      </c>
      <c r="CC1270">
        <f t="shared" ca="1" si="555"/>
        <v>-14842972.866210923</v>
      </c>
      <c r="CD1270">
        <f t="shared" ca="1" si="556"/>
        <v>0</v>
      </c>
      <c r="CE1270">
        <f t="shared" ca="1" si="557"/>
        <v>23090347.13378913</v>
      </c>
      <c r="CF1270">
        <f t="shared" ca="1" si="558"/>
        <v>23090347.13378913</v>
      </c>
      <c r="CG1270">
        <f t="shared" ca="1" si="559"/>
        <v>0</v>
      </c>
      <c r="CH1270" s="10" t="str">
        <f>分析データ!A1270</f>
        <v/>
      </c>
    </row>
    <row r="1271" spans="46:86">
      <c r="AT1271">
        <f ca="1">IF(ROW()&lt;($C$7+1),"",IFERROR((分析データ!B1271-AVERAGE(OFFSET(分析データ!B$1,MAX(1,ROW()-$C$7),0,MIN($C$7,ROW()-1),1)))/STDEV(OFFSET(分析データ!B$1,MAX(1,ROW()-$C$7),0,MIN($C$7,ROW()-1),1)),0))</f>
        <v>0</v>
      </c>
      <c r="AU1271">
        <f t="shared" ca="1" si="532"/>
        <v>0</v>
      </c>
      <c r="AV1271" t="str">
        <f ca="1">IF(AU1271=1,IF(INDEX(分析データ!$A:$A,ROW()+$C$5)&lt;&gt;"",80000*SIGN(AT1271)*(分析データ!B1271-INDEX(分析データ!B:B,ROW()+$C$5)),""),"")</f>
        <v/>
      </c>
      <c r="AW1271">
        <f t="shared" ca="1" si="533"/>
        <v>-1240000.0000000019</v>
      </c>
      <c r="AX1271">
        <f t="shared" ca="1" si="534"/>
        <v>0</v>
      </c>
      <c r="AY1271">
        <f t="shared" ca="1" si="535"/>
        <v>-1240000.0000000019</v>
      </c>
      <c r="AZ1271">
        <f ca="1">IF(ROW()&lt;($C$7+1),"",IFERROR((分析データ!C1271-AVERAGE(OFFSET(分析データ!C$1,MAX(1,ROW()-$C$7),0,MIN($C$7,ROW()-1),1)))/STDEV(OFFSET(分析データ!C$1,MAX(1,ROW()-$C$7),0,MIN($C$7,ROW()-1),1)),0))</f>
        <v>0</v>
      </c>
      <c r="BA1271">
        <f t="shared" ca="1" si="536"/>
        <v>0</v>
      </c>
      <c r="BB1271" t="str">
        <f ca="1">IF(BA1271=1,IF(INDEX(分析データ!$A:$A,ROW()+$C$5)&lt;&gt;"",60000*SIGN(AZ1271)*(分析データ!C1271-INDEX(分析データ!C:C,ROW()+$C$5)),""),"")</f>
        <v/>
      </c>
      <c r="BC1271">
        <f t="shared" ca="1" si="537"/>
        <v>-260999.9999999851</v>
      </c>
      <c r="BD1271">
        <f t="shared" ca="1" si="538"/>
        <v>3156000.0000000107</v>
      </c>
      <c r="BE1271">
        <f t="shared" ca="1" si="539"/>
        <v>-3416999.9999999958</v>
      </c>
      <c r="BF1271">
        <f ca="1">IF(ROW()&lt;($C$7+1),"",IFERROR((分析データ!D1271-AVERAGE(OFFSET(分析データ!D$1,MAX(1,ROW()-$C$7),0,MIN($C$7,ROW()-1),1)))/STDEV(OFFSET(分析データ!D$1,MAX(1,ROW()-$C$7),0,MIN($C$7,ROW()-1),1)),0))</f>
        <v>0</v>
      </c>
      <c r="BG1271">
        <f t="shared" ca="1" si="540"/>
        <v>0</v>
      </c>
      <c r="BH1271" t="str">
        <f ca="1">IF(BG1271=1,IF(INDEX(分析データ!$A:$A,ROW()+$C$5)&lt;&gt;"",50000*SIGN(BF1271)*(分析データ!D1271-INDEX(分析データ!D:D,ROW()+$C$5)),""),"")</f>
        <v/>
      </c>
      <c r="BI1271">
        <f t="shared" ca="1" si="541"/>
        <v>5570000.0000000205</v>
      </c>
      <c r="BJ1271">
        <f t="shared" ca="1" si="542"/>
        <v>5570000.0000000205</v>
      </c>
      <c r="BK1271">
        <f t="shared" ca="1" si="543"/>
        <v>0</v>
      </c>
      <c r="BL1271">
        <f ca="1">IF(ROW()&lt;($C$7+1),"",IFERROR((分析データ!E1271-AVERAGE(OFFSET(分析データ!E$1,MAX(1,ROW()-$C$7),0,MIN($C$7,ROW()-1),1)))/STDEV(OFFSET(分析データ!E$1,MAX(1,ROW()-$C$7),0,MIN($C$7,ROW()-1),1)),0))</f>
        <v>0</v>
      </c>
      <c r="BM1271">
        <f t="shared" ca="1" si="544"/>
        <v>0</v>
      </c>
      <c r="BN1271" t="str">
        <f ca="1">IF(BM1271=1,IF(INDEX(分析データ!$A:$A,ROW()+$C$5)&lt;&gt;"",40000*SIGN(BL1271)*(分析データ!E1271-INDEX(分析データ!E:E,ROW()+$C$5)),""),"")</f>
        <v/>
      </c>
      <c r="BO1271">
        <f t="shared" ca="1" si="545"/>
        <v>2720000.0000000014</v>
      </c>
      <c r="BP1271">
        <f t="shared" ca="1" si="546"/>
        <v>4280000.0000000028</v>
      </c>
      <c r="BQ1271">
        <f t="shared" ca="1" si="547"/>
        <v>-1560000.0000000014</v>
      </c>
      <c r="BR1271">
        <f ca="1">IF(ROW()&lt;($C$7+1),"",IFERROR((分析データ!F1271-AVERAGE(OFFSET(分析データ!F$1,MAX(1,ROW()-$C$7),0,MIN($C$7,ROW()-1),1)))/STDEV(OFFSET(分析データ!F$1,MAX(1,ROW()-$C$7),0,MIN($C$7,ROW()-1),1)),0))</f>
        <v>0</v>
      </c>
      <c r="BS1271">
        <f t="shared" ca="1" si="548"/>
        <v>0</v>
      </c>
      <c r="BT1271" t="str">
        <f ca="1">IF(BS1271=1,IF(INDEX(分析データ!$A:$A,ROW()+$C$5)&lt;&gt;"",40000*SIGN(BR1271)*(分析データ!F1271-INDEX(分析データ!F:F,ROW()+$C$5)),""),"")</f>
        <v/>
      </c>
      <c r="BU1271">
        <f t="shared" ca="1" si="549"/>
        <v>19816800</v>
      </c>
      <c r="BV1271">
        <f t="shared" ca="1" si="550"/>
        <v>19816800</v>
      </c>
      <c r="BW1271">
        <f t="shared" ca="1" si="551"/>
        <v>0</v>
      </c>
      <c r="BX1271">
        <f ca="1">IF(ROW()&lt;($C$7+1),"",IFERROR((分析データ!G1271-AVERAGE(OFFSET(分析データ!G$1,MAX(1,ROW()-$C$7),0,MIN($C$7,ROW()-1),1)))/STDEV(OFFSET(分析データ!G$1,MAX(1,ROW()-$C$7),0,MIN($C$7,ROW()-1),1)),0))</f>
        <v>0</v>
      </c>
      <c r="BY1271">
        <f t="shared" ca="1" si="552"/>
        <v>0</v>
      </c>
      <c r="BZ1271" t="str">
        <f ca="1">IF(BY1271=1,IF(INDEX(分析データ!$A:$A,ROW()+$C$5)&lt;&gt;"",40000*SIGN(BX1271)*(分析データ!G1271-INDEX(分析データ!G:G,ROW()+$C$5)),""),"")</f>
        <v/>
      </c>
      <c r="CA1271">
        <f t="shared" ca="1" si="553"/>
        <v>-3515452.8662109179</v>
      </c>
      <c r="CB1271">
        <f t="shared" ca="1" si="554"/>
        <v>11327520.000000004</v>
      </c>
      <c r="CC1271">
        <f t="shared" ca="1" si="555"/>
        <v>-14842972.866210923</v>
      </c>
      <c r="CD1271">
        <f t="shared" ca="1" si="556"/>
        <v>0</v>
      </c>
      <c r="CE1271">
        <f t="shared" ca="1" si="557"/>
        <v>23090347.13378913</v>
      </c>
      <c r="CF1271">
        <f t="shared" ca="1" si="558"/>
        <v>23090347.13378913</v>
      </c>
      <c r="CG1271">
        <f t="shared" ca="1" si="559"/>
        <v>0</v>
      </c>
      <c r="CH1271" s="10" t="str">
        <f>分析データ!A1271</f>
        <v/>
      </c>
    </row>
    <row r="1272" spans="46:86">
      <c r="AT1272">
        <f ca="1">IF(ROW()&lt;($C$7+1),"",IFERROR((分析データ!B1272-AVERAGE(OFFSET(分析データ!B$1,MAX(1,ROW()-$C$7),0,MIN($C$7,ROW()-1),1)))/STDEV(OFFSET(分析データ!B$1,MAX(1,ROW()-$C$7),0,MIN($C$7,ROW()-1),1)),0))</f>
        <v>0</v>
      </c>
      <c r="AU1272">
        <f t="shared" ca="1" si="532"/>
        <v>0</v>
      </c>
      <c r="AV1272" t="str">
        <f ca="1">IF(AU1272=1,IF(INDEX(分析データ!$A:$A,ROW()+$C$5)&lt;&gt;"",80000*SIGN(AT1272)*(分析データ!B1272-INDEX(分析データ!B:B,ROW()+$C$5)),""),"")</f>
        <v/>
      </c>
      <c r="AW1272">
        <f t="shared" ca="1" si="533"/>
        <v>-1240000.0000000019</v>
      </c>
      <c r="AX1272">
        <f t="shared" ca="1" si="534"/>
        <v>0</v>
      </c>
      <c r="AY1272">
        <f t="shared" ca="1" si="535"/>
        <v>-1240000.0000000019</v>
      </c>
      <c r="AZ1272">
        <f ca="1">IF(ROW()&lt;($C$7+1),"",IFERROR((分析データ!C1272-AVERAGE(OFFSET(分析データ!C$1,MAX(1,ROW()-$C$7),0,MIN($C$7,ROW()-1),1)))/STDEV(OFFSET(分析データ!C$1,MAX(1,ROW()-$C$7),0,MIN($C$7,ROW()-1),1)),0))</f>
        <v>0</v>
      </c>
      <c r="BA1272">
        <f t="shared" ca="1" si="536"/>
        <v>0</v>
      </c>
      <c r="BB1272" t="str">
        <f ca="1">IF(BA1272=1,IF(INDEX(分析データ!$A:$A,ROW()+$C$5)&lt;&gt;"",60000*SIGN(AZ1272)*(分析データ!C1272-INDEX(分析データ!C:C,ROW()+$C$5)),""),"")</f>
        <v/>
      </c>
      <c r="BC1272">
        <f t="shared" ca="1" si="537"/>
        <v>-260999.9999999851</v>
      </c>
      <c r="BD1272">
        <f t="shared" ca="1" si="538"/>
        <v>3156000.0000000107</v>
      </c>
      <c r="BE1272">
        <f t="shared" ca="1" si="539"/>
        <v>-3416999.9999999958</v>
      </c>
      <c r="BF1272">
        <f ca="1">IF(ROW()&lt;($C$7+1),"",IFERROR((分析データ!D1272-AVERAGE(OFFSET(分析データ!D$1,MAX(1,ROW()-$C$7),0,MIN($C$7,ROW()-1),1)))/STDEV(OFFSET(分析データ!D$1,MAX(1,ROW()-$C$7),0,MIN($C$7,ROW()-1),1)),0))</f>
        <v>0</v>
      </c>
      <c r="BG1272">
        <f t="shared" ca="1" si="540"/>
        <v>0</v>
      </c>
      <c r="BH1272" t="str">
        <f ca="1">IF(BG1272=1,IF(INDEX(分析データ!$A:$A,ROW()+$C$5)&lt;&gt;"",50000*SIGN(BF1272)*(分析データ!D1272-INDEX(分析データ!D:D,ROW()+$C$5)),""),"")</f>
        <v/>
      </c>
      <c r="BI1272">
        <f t="shared" ca="1" si="541"/>
        <v>5570000.0000000205</v>
      </c>
      <c r="BJ1272">
        <f t="shared" ca="1" si="542"/>
        <v>5570000.0000000205</v>
      </c>
      <c r="BK1272">
        <f t="shared" ca="1" si="543"/>
        <v>0</v>
      </c>
      <c r="BL1272">
        <f ca="1">IF(ROW()&lt;($C$7+1),"",IFERROR((分析データ!E1272-AVERAGE(OFFSET(分析データ!E$1,MAX(1,ROW()-$C$7),0,MIN($C$7,ROW()-1),1)))/STDEV(OFFSET(分析データ!E$1,MAX(1,ROW()-$C$7),0,MIN($C$7,ROW()-1),1)),0))</f>
        <v>0</v>
      </c>
      <c r="BM1272">
        <f t="shared" ca="1" si="544"/>
        <v>0</v>
      </c>
      <c r="BN1272" t="str">
        <f ca="1">IF(BM1272=1,IF(INDEX(分析データ!$A:$A,ROW()+$C$5)&lt;&gt;"",40000*SIGN(BL1272)*(分析データ!E1272-INDEX(分析データ!E:E,ROW()+$C$5)),""),"")</f>
        <v/>
      </c>
      <c r="BO1272">
        <f t="shared" ca="1" si="545"/>
        <v>2720000.0000000014</v>
      </c>
      <c r="BP1272">
        <f t="shared" ca="1" si="546"/>
        <v>4280000.0000000028</v>
      </c>
      <c r="BQ1272">
        <f t="shared" ca="1" si="547"/>
        <v>-1560000.0000000014</v>
      </c>
      <c r="BR1272">
        <f ca="1">IF(ROW()&lt;($C$7+1),"",IFERROR((分析データ!F1272-AVERAGE(OFFSET(分析データ!F$1,MAX(1,ROW()-$C$7),0,MIN($C$7,ROW()-1),1)))/STDEV(OFFSET(分析データ!F$1,MAX(1,ROW()-$C$7),0,MIN($C$7,ROW()-1),1)),0))</f>
        <v>0</v>
      </c>
      <c r="BS1272">
        <f t="shared" ca="1" si="548"/>
        <v>0</v>
      </c>
      <c r="BT1272" t="str">
        <f ca="1">IF(BS1272=1,IF(INDEX(分析データ!$A:$A,ROW()+$C$5)&lt;&gt;"",40000*SIGN(BR1272)*(分析データ!F1272-INDEX(分析データ!F:F,ROW()+$C$5)),""),"")</f>
        <v/>
      </c>
      <c r="BU1272">
        <f t="shared" ca="1" si="549"/>
        <v>19816800</v>
      </c>
      <c r="BV1272">
        <f t="shared" ca="1" si="550"/>
        <v>19816800</v>
      </c>
      <c r="BW1272">
        <f t="shared" ca="1" si="551"/>
        <v>0</v>
      </c>
      <c r="BX1272">
        <f ca="1">IF(ROW()&lt;($C$7+1),"",IFERROR((分析データ!G1272-AVERAGE(OFFSET(分析データ!G$1,MAX(1,ROW()-$C$7),0,MIN($C$7,ROW()-1),1)))/STDEV(OFFSET(分析データ!G$1,MAX(1,ROW()-$C$7),0,MIN($C$7,ROW()-1),1)),0))</f>
        <v>0</v>
      </c>
      <c r="BY1272">
        <f t="shared" ca="1" si="552"/>
        <v>0</v>
      </c>
      <c r="BZ1272" t="str">
        <f ca="1">IF(BY1272=1,IF(INDEX(分析データ!$A:$A,ROW()+$C$5)&lt;&gt;"",40000*SIGN(BX1272)*(分析データ!G1272-INDEX(分析データ!G:G,ROW()+$C$5)),""),"")</f>
        <v/>
      </c>
      <c r="CA1272">
        <f t="shared" ca="1" si="553"/>
        <v>-3515452.8662109179</v>
      </c>
      <c r="CB1272">
        <f t="shared" ca="1" si="554"/>
        <v>11327520.000000004</v>
      </c>
      <c r="CC1272">
        <f t="shared" ca="1" si="555"/>
        <v>-14842972.866210923</v>
      </c>
      <c r="CD1272">
        <f t="shared" ca="1" si="556"/>
        <v>0</v>
      </c>
      <c r="CE1272">
        <f t="shared" ca="1" si="557"/>
        <v>23090347.13378913</v>
      </c>
      <c r="CF1272">
        <f t="shared" ca="1" si="558"/>
        <v>23090347.13378913</v>
      </c>
      <c r="CG1272">
        <f t="shared" ca="1" si="559"/>
        <v>0</v>
      </c>
      <c r="CH1272" s="10" t="str">
        <f>分析データ!A1272</f>
        <v/>
      </c>
    </row>
    <row r="1273" spans="46:86">
      <c r="AT1273">
        <f ca="1">IF(ROW()&lt;($C$7+1),"",IFERROR((分析データ!B1273-AVERAGE(OFFSET(分析データ!B$1,MAX(1,ROW()-$C$7),0,MIN($C$7,ROW()-1),1)))/STDEV(OFFSET(分析データ!B$1,MAX(1,ROW()-$C$7),0,MIN($C$7,ROW()-1),1)),0))</f>
        <v>0</v>
      </c>
      <c r="AU1273">
        <f t="shared" ca="1" si="532"/>
        <v>0</v>
      </c>
      <c r="AV1273" t="str">
        <f ca="1">IF(AU1273=1,IF(INDEX(分析データ!$A:$A,ROW()+$C$5)&lt;&gt;"",80000*SIGN(AT1273)*(分析データ!B1273-INDEX(分析データ!B:B,ROW()+$C$5)),""),"")</f>
        <v/>
      </c>
      <c r="AW1273">
        <f t="shared" ca="1" si="533"/>
        <v>-1240000.0000000019</v>
      </c>
      <c r="AX1273">
        <f t="shared" ca="1" si="534"/>
        <v>0</v>
      </c>
      <c r="AY1273">
        <f t="shared" ca="1" si="535"/>
        <v>-1240000.0000000019</v>
      </c>
      <c r="AZ1273">
        <f ca="1">IF(ROW()&lt;($C$7+1),"",IFERROR((分析データ!C1273-AVERAGE(OFFSET(分析データ!C$1,MAX(1,ROW()-$C$7),0,MIN($C$7,ROW()-1),1)))/STDEV(OFFSET(分析データ!C$1,MAX(1,ROW()-$C$7),0,MIN($C$7,ROW()-1),1)),0))</f>
        <v>0</v>
      </c>
      <c r="BA1273">
        <f t="shared" ca="1" si="536"/>
        <v>0</v>
      </c>
      <c r="BB1273" t="str">
        <f ca="1">IF(BA1273=1,IF(INDEX(分析データ!$A:$A,ROW()+$C$5)&lt;&gt;"",60000*SIGN(AZ1273)*(分析データ!C1273-INDEX(分析データ!C:C,ROW()+$C$5)),""),"")</f>
        <v/>
      </c>
      <c r="BC1273">
        <f t="shared" ca="1" si="537"/>
        <v>-260999.9999999851</v>
      </c>
      <c r="BD1273">
        <f t="shared" ca="1" si="538"/>
        <v>3156000.0000000107</v>
      </c>
      <c r="BE1273">
        <f t="shared" ca="1" si="539"/>
        <v>-3416999.9999999958</v>
      </c>
      <c r="BF1273">
        <f ca="1">IF(ROW()&lt;($C$7+1),"",IFERROR((分析データ!D1273-AVERAGE(OFFSET(分析データ!D$1,MAX(1,ROW()-$C$7),0,MIN($C$7,ROW()-1),1)))/STDEV(OFFSET(分析データ!D$1,MAX(1,ROW()-$C$7),0,MIN($C$7,ROW()-1),1)),0))</f>
        <v>0</v>
      </c>
      <c r="BG1273">
        <f t="shared" ca="1" si="540"/>
        <v>0</v>
      </c>
      <c r="BH1273" t="str">
        <f ca="1">IF(BG1273=1,IF(INDEX(分析データ!$A:$A,ROW()+$C$5)&lt;&gt;"",50000*SIGN(BF1273)*(分析データ!D1273-INDEX(分析データ!D:D,ROW()+$C$5)),""),"")</f>
        <v/>
      </c>
      <c r="BI1273">
        <f t="shared" ca="1" si="541"/>
        <v>5570000.0000000205</v>
      </c>
      <c r="BJ1273">
        <f t="shared" ca="1" si="542"/>
        <v>5570000.0000000205</v>
      </c>
      <c r="BK1273">
        <f t="shared" ca="1" si="543"/>
        <v>0</v>
      </c>
      <c r="BL1273">
        <f ca="1">IF(ROW()&lt;($C$7+1),"",IFERROR((分析データ!E1273-AVERAGE(OFFSET(分析データ!E$1,MAX(1,ROW()-$C$7),0,MIN($C$7,ROW()-1),1)))/STDEV(OFFSET(分析データ!E$1,MAX(1,ROW()-$C$7),0,MIN($C$7,ROW()-1),1)),0))</f>
        <v>0</v>
      </c>
      <c r="BM1273">
        <f t="shared" ca="1" si="544"/>
        <v>0</v>
      </c>
      <c r="BN1273" t="str">
        <f ca="1">IF(BM1273=1,IF(INDEX(分析データ!$A:$A,ROW()+$C$5)&lt;&gt;"",40000*SIGN(BL1273)*(分析データ!E1273-INDEX(分析データ!E:E,ROW()+$C$5)),""),"")</f>
        <v/>
      </c>
      <c r="BO1273">
        <f t="shared" ca="1" si="545"/>
        <v>2720000.0000000014</v>
      </c>
      <c r="BP1273">
        <f t="shared" ca="1" si="546"/>
        <v>4280000.0000000028</v>
      </c>
      <c r="BQ1273">
        <f t="shared" ca="1" si="547"/>
        <v>-1560000.0000000014</v>
      </c>
      <c r="BR1273">
        <f ca="1">IF(ROW()&lt;($C$7+1),"",IFERROR((分析データ!F1273-AVERAGE(OFFSET(分析データ!F$1,MAX(1,ROW()-$C$7),0,MIN($C$7,ROW()-1),1)))/STDEV(OFFSET(分析データ!F$1,MAX(1,ROW()-$C$7),0,MIN($C$7,ROW()-1),1)),0))</f>
        <v>0</v>
      </c>
      <c r="BS1273">
        <f t="shared" ca="1" si="548"/>
        <v>0</v>
      </c>
      <c r="BT1273" t="str">
        <f ca="1">IF(BS1273=1,IF(INDEX(分析データ!$A:$A,ROW()+$C$5)&lt;&gt;"",40000*SIGN(BR1273)*(分析データ!F1273-INDEX(分析データ!F:F,ROW()+$C$5)),""),"")</f>
        <v/>
      </c>
      <c r="BU1273">
        <f t="shared" ca="1" si="549"/>
        <v>19816800</v>
      </c>
      <c r="BV1273">
        <f t="shared" ca="1" si="550"/>
        <v>19816800</v>
      </c>
      <c r="BW1273">
        <f t="shared" ca="1" si="551"/>
        <v>0</v>
      </c>
      <c r="BX1273">
        <f ca="1">IF(ROW()&lt;($C$7+1),"",IFERROR((分析データ!G1273-AVERAGE(OFFSET(分析データ!G$1,MAX(1,ROW()-$C$7),0,MIN($C$7,ROW()-1),1)))/STDEV(OFFSET(分析データ!G$1,MAX(1,ROW()-$C$7),0,MIN($C$7,ROW()-1),1)),0))</f>
        <v>0</v>
      </c>
      <c r="BY1273">
        <f t="shared" ca="1" si="552"/>
        <v>0</v>
      </c>
      <c r="BZ1273" t="str">
        <f ca="1">IF(BY1273=1,IF(INDEX(分析データ!$A:$A,ROW()+$C$5)&lt;&gt;"",40000*SIGN(BX1273)*(分析データ!G1273-INDEX(分析データ!G:G,ROW()+$C$5)),""),"")</f>
        <v/>
      </c>
      <c r="CA1273">
        <f t="shared" ca="1" si="553"/>
        <v>-3515452.8662109179</v>
      </c>
      <c r="CB1273">
        <f t="shared" ca="1" si="554"/>
        <v>11327520.000000004</v>
      </c>
      <c r="CC1273">
        <f t="shared" ca="1" si="555"/>
        <v>-14842972.866210923</v>
      </c>
      <c r="CD1273">
        <f t="shared" ca="1" si="556"/>
        <v>0</v>
      </c>
      <c r="CE1273">
        <f t="shared" ca="1" si="557"/>
        <v>23090347.13378913</v>
      </c>
      <c r="CF1273">
        <f t="shared" ca="1" si="558"/>
        <v>23090347.13378913</v>
      </c>
      <c r="CG1273">
        <f t="shared" ca="1" si="559"/>
        <v>0</v>
      </c>
      <c r="CH1273" s="10" t="str">
        <f>分析データ!A1273</f>
        <v/>
      </c>
    </row>
    <row r="1274" spans="46:86">
      <c r="AT1274">
        <f ca="1">IF(ROW()&lt;($C$7+1),"",IFERROR((分析データ!B1274-AVERAGE(OFFSET(分析データ!B$1,MAX(1,ROW()-$C$7),0,MIN($C$7,ROW()-1),1)))/STDEV(OFFSET(分析データ!B$1,MAX(1,ROW()-$C$7),0,MIN($C$7,ROW()-1),1)),0))</f>
        <v>0</v>
      </c>
      <c r="AU1274">
        <f t="shared" ca="1" si="532"/>
        <v>0</v>
      </c>
      <c r="AV1274" t="str">
        <f ca="1">IF(AU1274=1,IF(INDEX(分析データ!$A:$A,ROW()+$C$5)&lt;&gt;"",80000*SIGN(AT1274)*(分析データ!B1274-INDEX(分析データ!B:B,ROW()+$C$5)),""),"")</f>
        <v/>
      </c>
      <c r="AW1274">
        <f t="shared" ca="1" si="533"/>
        <v>-1240000.0000000019</v>
      </c>
      <c r="AX1274">
        <f t="shared" ca="1" si="534"/>
        <v>0</v>
      </c>
      <c r="AY1274">
        <f t="shared" ca="1" si="535"/>
        <v>-1240000.0000000019</v>
      </c>
      <c r="AZ1274">
        <f ca="1">IF(ROW()&lt;($C$7+1),"",IFERROR((分析データ!C1274-AVERAGE(OFFSET(分析データ!C$1,MAX(1,ROW()-$C$7),0,MIN($C$7,ROW()-1),1)))/STDEV(OFFSET(分析データ!C$1,MAX(1,ROW()-$C$7),0,MIN($C$7,ROW()-1),1)),0))</f>
        <v>0</v>
      </c>
      <c r="BA1274">
        <f t="shared" ca="1" si="536"/>
        <v>0</v>
      </c>
      <c r="BB1274" t="str">
        <f ca="1">IF(BA1274=1,IF(INDEX(分析データ!$A:$A,ROW()+$C$5)&lt;&gt;"",60000*SIGN(AZ1274)*(分析データ!C1274-INDEX(分析データ!C:C,ROW()+$C$5)),""),"")</f>
        <v/>
      </c>
      <c r="BC1274">
        <f t="shared" ca="1" si="537"/>
        <v>-260999.9999999851</v>
      </c>
      <c r="BD1274">
        <f t="shared" ca="1" si="538"/>
        <v>3156000.0000000107</v>
      </c>
      <c r="BE1274">
        <f t="shared" ca="1" si="539"/>
        <v>-3416999.9999999958</v>
      </c>
      <c r="BF1274">
        <f ca="1">IF(ROW()&lt;($C$7+1),"",IFERROR((分析データ!D1274-AVERAGE(OFFSET(分析データ!D$1,MAX(1,ROW()-$C$7),0,MIN($C$7,ROW()-1),1)))/STDEV(OFFSET(分析データ!D$1,MAX(1,ROW()-$C$7),0,MIN($C$7,ROW()-1),1)),0))</f>
        <v>0</v>
      </c>
      <c r="BG1274">
        <f t="shared" ca="1" si="540"/>
        <v>0</v>
      </c>
      <c r="BH1274" t="str">
        <f ca="1">IF(BG1274=1,IF(INDEX(分析データ!$A:$A,ROW()+$C$5)&lt;&gt;"",50000*SIGN(BF1274)*(分析データ!D1274-INDEX(分析データ!D:D,ROW()+$C$5)),""),"")</f>
        <v/>
      </c>
      <c r="BI1274">
        <f t="shared" ca="1" si="541"/>
        <v>5570000.0000000205</v>
      </c>
      <c r="BJ1274">
        <f t="shared" ca="1" si="542"/>
        <v>5570000.0000000205</v>
      </c>
      <c r="BK1274">
        <f t="shared" ca="1" si="543"/>
        <v>0</v>
      </c>
      <c r="BL1274">
        <f ca="1">IF(ROW()&lt;($C$7+1),"",IFERROR((分析データ!E1274-AVERAGE(OFFSET(分析データ!E$1,MAX(1,ROW()-$C$7),0,MIN($C$7,ROW()-1),1)))/STDEV(OFFSET(分析データ!E$1,MAX(1,ROW()-$C$7),0,MIN($C$7,ROW()-1),1)),0))</f>
        <v>0</v>
      </c>
      <c r="BM1274">
        <f t="shared" ca="1" si="544"/>
        <v>0</v>
      </c>
      <c r="BN1274" t="str">
        <f ca="1">IF(BM1274=1,IF(INDEX(分析データ!$A:$A,ROW()+$C$5)&lt;&gt;"",40000*SIGN(BL1274)*(分析データ!E1274-INDEX(分析データ!E:E,ROW()+$C$5)),""),"")</f>
        <v/>
      </c>
      <c r="BO1274">
        <f t="shared" ca="1" si="545"/>
        <v>2720000.0000000014</v>
      </c>
      <c r="BP1274">
        <f t="shared" ca="1" si="546"/>
        <v>4280000.0000000028</v>
      </c>
      <c r="BQ1274">
        <f t="shared" ca="1" si="547"/>
        <v>-1560000.0000000014</v>
      </c>
      <c r="BR1274">
        <f ca="1">IF(ROW()&lt;($C$7+1),"",IFERROR((分析データ!F1274-AVERAGE(OFFSET(分析データ!F$1,MAX(1,ROW()-$C$7),0,MIN($C$7,ROW()-1),1)))/STDEV(OFFSET(分析データ!F$1,MAX(1,ROW()-$C$7),0,MIN($C$7,ROW()-1),1)),0))</f>
        <v>0</v>
      </c>
      <c r="BS1274">
        <f t="shared" ca="1" si="548"/>
        <v>0</v>
      </c>
      <c r="BT1274" t="str">
        <f ca="1">IF(BS1274=1,IF(INDEX(分析データ!$A:$A,ROW()+$C$5)&lt;&gt;"",40000*SIGN(BR1274)*(分析データ!F1274-INDEX(分析データ!F:F,ROW()+$C$5)),""),"")</f>
        <v/>
      </c>
      <c r="BU1274">
        <f t="shared" ca="1" si="549"/>
        <v>19816800</v>
      </c>
      <c r="BV1274">
        <f t="shared" ca="1" si="550"/>
        <v>19816800</v>
      </c>
      <c r="BW1274">
        <f t="shared" ca="1" si="551"/>
        <v>0</v>
      </c>
      <c r="BX1274">
        <f ca="1">IF(ROW()&lt;($C$7+1),"",IFERROR((分析データ!G1274-AVERAGE(OFFSET(分析データ!G$1,MAX(1,ROW()-$C$7),0,MIN($C$7,ROW()-1),1)))/STDEV(OFFSET(分析データ!G$1,MAX(1,ROW()-$C$7),0,MIN($C$7,ROW()-1),1)),0))</f>
        <v>0</v>
      </c>
      <c r="BY1274">
        <f t="shared" ca="1" si="552"/>
        <v>0</v>
      </c>
      <c r="BZ1274" t="str">
        <f ca="1">IF(BY1274=1,IF(INDEX(分析データ!$A:$A,ROW()+$C$5)&lt;&gt;"",40000*SIGN(BX1274)*(分析データ!G1274-INDEX(分析データ!G:G,ROW()+$C$5)),""),"")</f>
        <v/>
      </c>
      <c r="CA1274">
        <f t="shared" ca="1" si="553"/>
        <v>-3515452.8662109179</v>
      </c>
      <c r="CB1274">
        <f t="shared" ca="1" si="554"/>
        <v>11327520.000000004</v>
      </c>
      <c r="CC1274">
        <f t="shared" ca="1" si="555"/>
        <v>-14842972.866210923</v>
      </c>
      <c r="CD1274">
        <f t="shared" ca="1" si="556"/>
        <v>0</v>
      </c>
      <c r="CE1274">
        <f t="shared" ca="1" si="557"/>
        <v>23090347.13378913</v>
      </c>
      <c r="CF1274">
        <f t="shared" ca="1" si="558"/>
        <v>23090347.13378913</v>
      </c>
      <c r="CG1274">
        <f t="shared" ca="1" si="559"/>
        <v>0</v>
      </c>
      <c r="CH1274" s="10" t="str">
        <f>分析データ!A1274</f>
        <v/>
      </c>
    </row>
    <row r="1275" spans="46:86">
      <c r="AT1275">
        <f ca="1">IF(ROW()&lt;($C$7+1),"",IFERROR((分析データ!B1275-AVERAGE(OFFSET(分析データ!B$1,MAX(1,ROW()-$C$7),0,MIN($C$7,ROW()-1),1)))/STDEV(OFFSET(分析データ!B$1,MAX(1,ROW()-$C$7),0,MIN($C$7,ROW()-1),1)),0))</f>
        <v>0</v>
      </c>
      <c r="AU1275">
        <f t="shared" ca="1" si="532"/>
        <v>0</v>
      </c>
      <c r="AV1275" t="str">
        <f ca="1">IF(AU1275=1,IF(INDEX(分析データ!$A:$A,ROW()+$C$5)&lt;&gt;"",80000*SIGN(AT1275)*(分析データ!B1275-INDEX(分析データ!B:B,ROW()+$C$5)),""),"")</f>
        <v/>
      </c>
      <c r="AW1275">
        <f t="shared" ca="1" si="533"/>
        <v>-1240000.0000000019</v>
      </c>
      <c r="AX1275">
        <f t="shared" ca="1" si="534"/>
        <v>0</v>
      </c>
      <c r="AY1275">
        <f t="shared" ca="1" si="535"/>
        <v>-1240000.0000000019</v>
      </c>
      <c r="AZ1275">
        <f ca="1">IF(ROW()&lt;($C$7+1),"",IFERROR((分析データ!C1275-AVERAGE(OFFSET(分析データ!C$1,MAX(1,ROW()-$C$7),0,MIN($C$7,ROW()-1),1)))/STDEV(OFFSET(分析データ!C$1,MAX(1,ROW()-$C$7),0,MIN($C$7,ROW()-1),1)),0))</f>
        <v>0</v>
      </c>
      <c r="BA1275">
        <f t="shared" ca="1" si="536"/>
        <v>0</v>
      </c>
      <c r="BB1275" t="str">
        <f ca="1">IF(BA1275=1,IF(INDEX(分析データ!$A:$A,ROW()+$C$5)&lt;&gt;"",60000*SIGN(AZ1275)*(分析データ!C1275-INDEX(分析データ!C:C,ROW()+$C$5)),""),"")</f>
        <v/>
      </c>
      <c r="BC1275">
        <f t="shared" ca="1" si="537"/>
        <v>-260999.9999999851</v>
      </c>
      <c r="BD1275">
        <f t="shared" ca="1" si="538"/>
        <v>3156000.0000000107</v>
      </c>
      <c r="BE1275">
        <f t="shared" ca="1" si="539"/>
        <v>-3416999.9999999958</v>
      </c>
      <c r="BF1275">
        <f ca="1">IF(ROW()&lt;($C$7+1),"",IFERROR((分析データ!D1275-AVERAGE(OFFSET(分析データ!D$1,MAX(1,ROW()-$C$7),0,MIN($C$7,ROW()-1),1)))/STDEV(OFFSET(分析データ!D$1,MAX(1,ROW()-$C$7),0,MIN($C$7,ROW()-1),1)),0))</f>
        <v>0</v>
      </c>
      <c r="BG1275">
        <f t="shared" ca="1" si="540"/>
        <v>0</v>
      </c>
      <c r="BH1275" t="str">
        <f ca="1">IF(BG1275=1,IF(INDEX(分析データ!$A:$A,ROW()+$C$5)&lt;&gt;"",50000*SIGN(BF1275)*(分析データ!D1275-INDEX(分析データ!D:D,ROW()+$C$5)),""),"")</f>
        <v/>
      </c>
      <c r="BI1275">
        <f t="shared" ca="1" si="541"/>
        <v>5570000.0000000205</v>
      </c>
      <c r="BJ1275">
        <f t="shared" ca="1" si="542"/>
        <v>5570000.0000000205</v>
      </c>
      <c r="BK1275">
        <f t="shared" ca="1" si="543"/>
        <v>0</v>
      </c>
      <c r="BL1275">
        <f ca="1">IF(ROW()&lt;($C$7+1),"",IFERROR((分析データ!E1275-AVERAGE(OFFSET(分析データ!E$1,MAX(1,ROW()-$C$7),0,MIN($C$7,ROW()-1),1)))/STDEV(OFFSET(分析データ!E$1,MAX(1,ROW()-$C$7),0,MIN($C$7,ROW()-1),1)),0))</f>
        <v>0</v>
      </c>
      <c r="BM1275">
        <f t="shared" ca="1" si="544"/>
        <v>0</v>
      </c>
      <c r="BN1275" t="str">
        <f ca="1">IF(BM1275=1,IF(INDEX(分析データ!$A:$A,ROW()+$C$5)&lt;&gt;"",40000*SIGN(BL1275)*(分析データ!E1275-INDEX(分析データ!E:E,ROW()+$C$5)),""),"")</f>
        <v/>
      </c>
      <c r="BO1275">
        <f t="shared" ca="1" si="545"/>
        <v>2720000.0000000014</v>
      </c>
      <c r="BP1275">
        <f t="shared" ca="1" si="546"/>
        <v>4280000.0000000028</v>
      </c>
      <c r="BQ1275">
        <f t="shared" ca="1" si="547"/>
        <v>-1560000.0000000014</v>
      </c>
      <c r="BR1275">
        <f ca="1">IF(ROW()&lt;($C$7+1),"",IFERROR((分析データ!F1275-AVERAGE(OFFSET(分析データ!F$1,MAX(1,ROW()-$C$7),0,MIN($C$7,ROW()-1),1)))/STDEV(OFFSET(分析データ!F$1,MAX(1,ROW()-$C$7),0,MIN($C$7,ROW()-1),1)),0))</f>
        <v>0</v>
      </c>
      <c r="BS1275">
        <f t="shared" ca="1" si="548"/>
        <v>0</v>
      </c>
      <c r="BT1275" t="str">
        <f ca="1">IF(BS1275=1,IF(INDEX(分析データ!$A:$A,ROW()+$C$5)&lt;&gt;"",40000*SIGN(BR1275)*(分析データ!F1275-INDEX(分析データ!F:F,ROW()+$C$5)),""),"")</f>
        <v/>
      </c>
      <c r="BU1275">
        <f t="shared" ca="1" si="549"/>
        <v>19816800</v>
      </c>
      <c r="BV1275">
        <f t="shared" ca="1" si="550"/>
        <v>19816800</v>
      </c>
      <c r="BW1275">
        <f t="shared" ca="1" si="551"/>
        <v>0</v>
      </c>
      <c r="BX1275">
        <f ca="1">IF(ROW()&lt;($C$7+1),"",IFERROR((分析データ!G1275-AVERAGE(OFFSET(分析データ!G$1,MAX(1,ROW()-$C$7),0,MIN($C$7,ROW()-1),1)))/STDEV(OFFSET(分析データ!G$1,MAX(1,ROW()-$C$7),0,MIN($C$7,ROW()-1),1)),0))</f>
        <v>0</v>
      </c>
      <c r="BY1275">
        <f t="shared" ca="1" si="552"/>
        <v>0</v>
      </c>
      <c r="BZ1275" t="str">
        <f ca="1">IF(BY1275=1,IF(INDEX(分析データ!$A:$A,ROW()+$C$5)&lt;&gt;"",40000*SIGN(BX1275)*(分析データ!G1275-INDEX(分析データ!G:G,ROW()+$C$5)),""),"")</f>
        <v/>
      </c>
      <c r="CA1275">
        <f t="shared" ca="1" si="553"/>
        <v>-3515452.8662109179</v>
      </c>
      <c r="CB1275">
        <f t="shared" ca="1" si="554"/>
        <v>11327520.000000004</v>
      </c>
      <c r="CC1275">
        <f t="shared" ca="1" si="555"/>
        <v>-14842972.866210923</v>
      </c>
      <c r="CD1275">
        <f t="shared" ca="1" si="556"/>
        <v>0</v>
      </c>
      <c r="CE1275">
        <f t="shared" ca="1" si="557"/>
        <v>23090347.13378913</v>
      </c>
      <c r="CF1275">
        <f t="shared" ca="1" si="558"/>
        <v>23090347.13378913</v>
      </c>
      <c r="CG1275">
        <f t="shared" ca="1" si="559"/>
        <v>0</v>
      </c>
      <c r="CH1275" s="10" t="str">
        <f>分析データ!A1275</f>
        <v/>
      </c>
    </row>
    <row r="1276" spans="46:86">
      <c r="AT1276">
        <f ca="1">IF(ROW()&lt;($C$7+1),"",IFERROR((分析データ!B1276-AVERAGE(OFFSET(分析データ!B$1,MAX(1,ROW()-$C$7),0,MIN($C$7,ROW()-1),1)))/STDEV(OFFSET(分析データ!B$1,MAX(1,ROW()-$C$7),0,MIN($C$7,ROW()-1),1)),0))</f>
        <v>0</v>
      </c>
      <c r="AU1276">
        <f t="shared" ca="1" si="532"/>
        <v>0</v>
      </c>
      <c r="AV1276" t="str">
        <f ca="1">IF(AU1276=1,IF(INDEX(分析データ!$A:$A,ROW()+$C$5)&lt;&gt;"",80000*SIGN(AT1276)*(分析データ!B1276-INDEX(分析データ!B:B,ROW()+$C$5)),""),"")</f>
        <v/>
      </c>
      <c r="AW1276">
        <f t="shared" ca="1" si="533"/>
        <v>-1240000.0000000019</v>
      </c>
      <c r="AX1276">
        <f t="shared" ca="1" si="534"/>
        <v>0</v>
      </c>
      <c r="AY1276">
        <f t="shared" ca="1" si="535"/>
        <v>-1240000.0000000019</v>
      </c>
      <c r="AZ1276">
        <f ca="1">IF(ROW()&lt;($C$7+1),"",IFERROR((分析データ!C1276-AVERAGE(OFFSET(分析データ!C$1,MAX(1,ROW()-$C$7),0,MIN($C$7,ROW()-1),1)))/STDEV(OFFSET(分析データ!C$1,MAX(1,ROW()-$C$7),0,MIN($C$7,ROW()-1),1)),0))</f>
        <v>0</v>
      </c>
      <c r="BA1276">
        <f t="shared" ca="1" si="536"/>
        <v>0</v>
      </c>
      <c r="BB1276" t="str">
        <f ca="1">IF(BA1276=1,IF(INDEX(分析データ!$A:$A,ROW()+$C$5)&lt;&gt;"",60000*SIGN(AZ1276)*(分析データ!C1276-INDEX(分析データ!C:C,ROW()+$C$5)),""),"")</f>
        <v/>
      </c>
      <c r="BC1276">
        <f t="shared" ca="1" si="537"/>
        <v>-260999.9999999851</v>
      </c>
      <c r="BD1276">
        <f t="shared" ca="1" si="538"/>
        <v>3156000.0000000107</v>
      </c>
      <c r="BE1276">
        <f t="shared" ca="1" si="539"/>
        <v>-3416999.9999999958</v>
      </c>
      <c r="BF1276">
        <f ca="1">IF(ROW()&lt;($C$7+1),"",IFERROR((分析データ!D1276-AVERAGE(OFFSET(分析データ!D$1,MAX(1,ROW()-$C$7),0,MIN($C$7,ROW()-1),1)))/STDEV(OFFSET(分析データ!D$1,MAX(1,ROW()-$C$7),0,MIN($C$7,ROW()-1),1)),0))</f>
        <v>0</v>
      </c>
      <c r="BG1276">
        <f t="shared" ca="1" si="540"/>
        <v>0</v>
      </c>
      <c r="BH1276" t="str">
        <f ca="1">IF(BG1276=1,IF(INDEX(分析データ!$A:$A,ROW()+$C$5)&lt;&gt;"",50000*SIGN(BF1276)*(分析データ!D1276-INDEX(分析データ!D:D,ROW()+$C$5)),""),"")</f>
        <v/>
      </c>
      <c r="BI1276">
        <f t="shared" ca="1" si="541"/>
        <v>5570000.0000000205</v>
      </c>
      <c r="BJ1276">
        <f t="shared" ca="1" si="542"/>
        <v>5570000.0000000205</v>
      </c>
      <c r="BK1276">
        <f t="shared" ca="1" si="543"/>
        <v>0</v>
      </c>
      <c r="BL1276">
        <f ca="1">IF(ROW()&lt;($C$7+1),"",IFERROR((分析データ!E1276-AVERAGE(OFFSET(分析データ!E$1,MAX(1,ROW()-$C$7),0,MIN($C$7,ROW()-1),1)))/STDEV(OFFSET(分析データ!E$1,MAX(1,ROW()-$C$7),0,MIN($C$7,ROW()-1),1)),0))</f>
        <v>0</v>
      </c>
      <c r="BM1276">
        <f t="shared" ca="1" si="544"/>
        <v>0</v>
      </c>
      <c r="BN1276" t="str">
        <f ca="1">IF(BM1276=1,IF(INDEX(分析データ!$A:$A,ROW()+$C$5)&lt;&gt;"",40000*SIGN(BL1276)*(分析データ!E1276-INDEX(分析データ!E:E,ROW()+$C$5)),""),"")</f>
        <v/>
      </c>
      <c r="BO1276">
        <f t="shared" ca="1" si="545"/>
        <v>2720000.0000000014</v>
      </c>
      <c r="BP1276">
        <f t="shared" ca="1" si="546"/>
        <v>4280000.0000000028</v>
      </c>
      <c r="BQ1276">
        <f t="shared" ca="1" si="547"/>
        <v>-1560000.0000000014</v>
      </c>
      <c r="BR1276">
        <f ca="1">IF(ROW()&lt;($C$7+1),"",IFERROR((分析データ!F1276-AVERAGE(OFFSET(分析データ!F$1,MAX(1,ROW()-$C$7),0,MIN($C$7,ROW()-1),1)))/STDEV(OFFSET(分析データ!F$1,MAX(1,ROW()-$C$7),0,MIN($C$7,ROW()-1),1)),0))</f>
        <v>0</v>
      </c>
      <c r="BS1276">
        <f t="shared" ca="1" si="548"/>
        <v>0</v>
      </c>
      <c r="BT1276" t="str">
        <f ca="1">IF(BS1276=1,IF(INDEX(分析データ!$A:$A,ROW()+$C$5)&lt;&gt;"",40000*SIGN(BR1276)*(分析データ!F1276-INDEX(分析データ!F:F,ROW()+$C$5)),""),"")</f>
        <v/>
      </c>
      <c r="BU1276">
        <f t="shared" ca="1" si="549"/>
        <v>19816800</v>
      </c>
      <c r="BV1276">
        <f t="shared" ca="1" si="550"/>
        <v>19816800</v>
      </c>
      <c r="BW1276">
        <f t="shared" ca="1" si="551"/>
        <v>0</v>
      </c>
      <c r="BX1276">
        <f ca="1">IF(ROW()&lt;($C$7+1),"",IFERROR((分析データ!G1276-AVERAGE(OFFSET(分析データ!G$1,MAX(1,ROW()-$C$7),0,MIN($C$7,ROW()-1),1)))/STDEV(OFFSET(分析データ!G$1,MAX(1,ROW()-$C$7),0,MIN($C$7,ROW()-1),1)),0))</f>
        <v>0</v>
      </c>
      <c r="BY1276">
        <f t="shared" ca="1" si="552"/>
        <v>0</v>
      </c>
      <c r="BZ1276" t="str">
        <f ca="1">IF(BY1276=1,IF(INDEX(分析データ!$A:$A,ROW()+$C$5)&lt;&gt;"",40000*SIGN(BX1276)*(分析データ!G1276-INDEX(分析データ!G:G,ROW()+$C$5)),""),"")</f>
        <v/>
      </c>
      <c r="CA1276">
        <f t="shared" ca="1" si="553"/>
        <v>-3515452.8662109179</v>
      </c>
      <c r="CB1276">
        <f t="shared" ca="1" si="554"/>
        <v>11327520.000000004</v>
      </c>
      <c r="CC1276">
        <f t="shared" ca="1" si="555"/>
        <v>-14842972.866210923</v>
      </c>
      <c r="CD1276">
        <f t="shared" ca="1" si="556"/>
        <v>0</v>
      </c>
      <c r="CE1276">
        <f t="shared" ca="1" si="557"/>
        <v>23090347.13378913</v>
      </c>
      <c r="CF1276">
        <f t="shared" ca="1" si="558"/>
        <v>23090347.13378913</v>
      </c>
      <c r="CG1276">
        <f t="shared" ca="1" si="559"/>
        <v>0</v>
      </c>
      <c r="CH1276" s="10" t="str">
        <f>分析データ!A1276</f>
        <v/>
      </c>
    </row>
    <row r="1277" spans="46:86">
      <c r="AT1277">
        <f ca="1">IF(ROW()&lt;($C$7+1),"",IFERROR((分析データ!B1277-AVERAGE(OFFSET(分析データ!B$1,MAX(1,ROW()-$C$7),0,MIN($C$7,ROW()-1),1)))/STDEV(OFFSET(分析データ!B$1,MAX(1,ROW()-$C$7),0,MIN($C$7,ROW()-1),1)),0))</f>
        <v>0</v>
      </c>
      <c r="AU1277">
        <f t="shared" ca="1" si="532"/>
        <v>0</v>
      </c>
      <c r="AV1277" t="str">
        <f ca="1">IF(AU1277=1,IF(INDEX(分析データ!$A:$A,ROW()+$C$5)&lt;&gt;"",80000*SIGN(AT1277)*(分析データ!B1277-INDEX(分析データ!B:B,ROW()+$C$5)),""),"")</f>
        <v/>
      </c>
      <c r="AW1277">
        <f t="shared" ca="1" si="533"/>
        <v>-1240000.0000000019</v>
      </c>
      <c r="AX1277">
        <f t="shared" ca="1" si="534"/>
        <v>0</v>
      </c>
      <c r="AY1277">
        <f t="shared" ca="1" si="535"/>
        <v>-1240000.0000000019</v>
      </c>
      <c r="AZ1277">
        <f ca="1">IF(ROW()&lt;($C$7+1),"",IFERROR((分析データ!C1277-AVERAGE(OFFSET(分析データ!C$1,MAX(1,ROW()-$C$7),0,MIN($C$7,ROW()-1),1)))/STDEV(OFFSET(分析データ!C$1,MAX(1,ROW()-$C$7),0,MIN($C$7,ROW()-1),1)),0))</f>
        <v>0</v>
      </c>
      <c r="BA1277">
        <f t="shared" ca="1" si="536"/>
        <v>0</v>
      </c>
      <c r="BB1277" t="str">
        <f ca="1">IF(BA1277=1,IF(INDEX(分析データ!$A:$A,ROW()+$C$5)&lt;&gt;"",60000*SIGN(AZ1277)*(分析データ!C1277-INDEX(分析データ!C:C,ROW()+$C$5)),""),"")</f>
        <v/>
      </c>
      <c r="BC1277">
        <f t="shared" ca="1" si="537"/>
        <v>-260999.9999999851</v>
      </c>
      <c r="BD1277">
        <f t="shared" ca="1" si="538"/>
        <v>3156000.0000000107</v>
      </c>
      <c r="BE1277">
        <f t="shared" ca="1" si="539"/>
        <v>-3416999.9999999958</v>
      </c>
      <c r="BF1277">
        <f ca="1">IF(ROW()&lt;($C$7+1),"",IFERROR((分析データ!D1277-AVERAGE(OFFSET(分析データ!D$1,MAX(1,ROW()-$C$7),0,MIN($C$7,ROW()-1),1)))/STDEV(OFFSET(分析データ!D$1,MAX(1,ROW()-$C$7),0,MIN($C$7,ROW()-1),1)),0))</f>
        <v>0</v>
      </c>
      <c r="BG1277">
        <f t="shared" ca="1" si="540"/>
        <v>0</v>
      </c>
      <c r="BH1277" t="str">
        <f ca="1">IF(BG1277=1,IF(INDEX(分析データ!$A:$A,ROW()+$C$5)&lt;&gt;"",50000*SIGN(BF1277)*(分析データ!D1277-INDEX(分析データ!D:D,ROW()+$C$5)),""),"")</f>
        <v/>
      </c>
      <c r="BI1277">
        <f t="shared" ca="1" si="541"/>
        <v>5570000.0000000205</v>
      </c>
      <c r="BJ1277">
        <f t="shared" ca="1" si="542"/>
        <v>5570000.0000000205</v>
      </c>
      <c r="BK1277">
        <f t="shared" ca="1" si="543"/>
        <v>0</v>
      </c>
      <c r="BL1277">
        <f ca="1">IF(ROW()&lt;($C$7+1),"",IFERROR((分析データ!E1277-AVERAGE(OFFSET(分析データ!E$1,MAX(1,ROW()-$C$7),0,MIN($C$7,ROW()-1),1)))/STDEV(OFFSET(分析データ!E$1,MAX(1,ROW()-$C$7),0,MIN($C$7,ROW()-1),1)),0))</f>
        <v>0</v>
      </c>
      <c r="BM1277">
        <f t="shared" ca="1" si="544"/>
        <v>0</v>
      </c>
      <c r="BN1277" t="str">
        <f ca="1">IF(BM1277=1,IF(INDEX(分析データ!$A:$A,ROW()+$C$5)&lt;&gt;"",40000*SIGN(BL1277)*(分析データ!E1277-INDEX(分析データ!E:E,ROW()+$C$5)),""),"")</f>
        <v/>
      </c>
      <c r="BO1277">
        <f t="shared" ca="1" si="545"/>
        <v>2720000.0000000014</v>
      </c>
      <c r="BP1277">
        <f t="shared" ca="1" si="546"/>
        <v>4280000.0000000028</v>
      </c>
      <c r="BQ1277">
        <f t="shared" ca="1" si="547"/>
        <v>-1560000.0000000014</v>
      </c>
      <c r="BR1277">
        <f ca="1">IF(ROW()&lt;($C$7+1),"",IFERROR((分析データ!F1277-AVERAGE(OFFSET(分析データ!F$1,MAX(1,ROW()-$C$7),0,MIN($C$7,ROW()-1),1)))/STDEV(OFFSET(分析データ!F$1,MAX(1,ROW()-$C$7),0,MIN($C$7,ROW()-1),1)),0))</f>
        <v>0</v>
      </c>
      <c r="BS1277">
        <f t="shared" ca="1" si="548"/>
        <v>0</v>
      </c>
      <c r="BT1277" t="str">
        <f ca="1">IF(BS1277=1,IF(INDEX(分析データ!$A:$A,ROW()+$C$5)&lt;&gt;"",40000*SIGN(BR1277)*(分析データ!F1277-INDEX(分析データ!F:F,ROW()+$C$5)),""),"")</f>
        <v/>
      </c>
      <c r="BU1277">
        <f t="shared" ca="1" si="549"/>
        <v>19816800</v>
      </c>
      <c r="BV1277">
        <f t="shared" ca="1" si="550"/>
        <v>19816800</v>
      </c>
      <c r="BW1277">
        <f t="shared" ca="1" si="551"/>
        <v>0</v>
      </c>
      <c r="BX1277">
        <f ca="1">IF(ROW()&lt;($C$7+1),"",IFERROR((分析データ!G1277-AVERAGE(OFFSET(分析データ!G$1,MAX(1,ROW()-$C$7),0,MIN($C$7,ROW()-1),1)))/STDEV(OFFSET(分析データ!G$1,MAX(1,ROW()-$C$7),0,MIN($C$7,ROW()-1),1)),0))</f>
        <v>0</v>
      </c>
      <c r="BY1277">
        <f t="shared" ca="1" si="552"/>
        <v>0</v>
      </c>
      <c r="BZ1277" t="str">
        <f ca="1">IF(BY1277=1,IF(INDEX(分析データ!$A:$A,ROW()+$C$5)&lt;&gt;"",40000*SIGN(BX1277)*(分析データ!G1277-INDEX(分析データ!G:G,ROW()+$C$5)),""),"")</f>
        <v/>
      </c>
      <c r="CA1277">
        <f t="shared" ca="1" si="553"/>
        <v>-3515452.8662109179</v>
      </c>
      <c r="CB1277">
        <f t="shared" ca="1" si="554"/>
        <v>11327520.000000004</v>
      </c>
      <c r="CC1277">
        <f t="shared" ca="1" si="555"/>
        <v>-14842972.866210923</v>
      </c>
      <c r="CD1277">
        <f t="shared" ca="1" si="556"/>
        <v>0</v>
      </c>
      <c r="CE1277">
        <f t="shared" ca="1" si="557"/>
        <v>23090347.13378913</v>
      </c>
      <c r="CF1277">
        <f t="shared" ca="1" si="558"/>
        <v>23090347.13378913</v>
      </c>
      <c r="CG1277">
        <f t="shared" ca="1" si="559"/>
        <v>0</v>
      </c>
      <c r="CH1277" s="10" t="str">
        <f>分析データ!A1277</f>
        <v/>
      </c>
    </row>
    <row r="1278" spans="46:86">
      <c r="AT1278">
        <f ca="1">IF(ROW()&lt;($C$7+1),"",IFERROR((分析データ!B1278-AVERAGE(OFFSET(分析データ!B$1,MAX(1,ROW()-$C$7),0,MIN($C$7,ROW()-1),1)))/STDEV(OFFSET(分析データ!B$1,MAX(1,ROW()-$C$7),0,MIN($C$7,ROW()-1),1)),0))</f>
        <v>0</v>
      </c>
      <c r="AU1278">
        <f t="shared" ca="1" si="532"/>
        <v>0</v>
      </c>
      <c r="AV1278" t="str">
        <f ca="1">IF(AU1278=1,IF(INDEX(分析データ!$A:$A,ROW()+$C$5)&lt;&gt;"",80000*SIGN(AT1278)*(分析データ!B1278-INDEX(分析データ!B:B,ROW()+$C$5)),""),"")</f>
        <v/>
      </c>
      <c r="AW1278">
        <f t="shared" ca="1" si="533"/>
        <v>-1240000.0000000019</v>
      </c>
      <c r="AX1278">
        <f t="shared" ca="1" si="534"/>
        <v>0</v>
      </c>
      <c r="AY1278">
        <f t="shared" ca="1" si="535"/>
        <v>-1240000.0000000019</v>
      </c>
      <c r="AZ1278">
        <f ca="1">IF(ROW()&lt;($C$7+1),"",IFERROR((分析データ!C1278-AVERAGE(OFFSET(分析データ!C$1,MAX(1,ROW()-$C$7),0,MIN($C$7,ROW()-1),1)))/STDEV(OFFSET(分析データ!C$1,MAX(1,ROW()-$C$7),0,MIN($C$7,ROW()-1),1)),0))</f>
        <v>0</v>
      </c>
      <c r="BA1278">
        <f t="shared" ca="1" si="536"/>
        <v>0</v>
      </c>
      <c r="BB1278" t="str">
        <f ca="1">IF(BA1278=1,IF(INDEX(分析データ!$A:$A,ROW()+$C$5)&lt;&gt;"",60000*SIGN(AZ1278)*(分析データ!C1278-INDEX(分析データ!C:C,ROW()+$C$5)),""),"")</f>
        <v/>
      </c>
      <c r="BC1278">
        <f t="shared" ca="1" si="537"/>
        <v>-260999.9999999851</v>
      </c>
      <c r="BD1278">
        <f t="shared" ca="1" si="538"/>
        <v>3156000.0000000107</v>
      </c>
      <c r="BE1278">
        <f t="shared" ca="1" si="539"/>
        <v>-3416999.9999999958</v>
      </c>
      <c r="BF1278">
        <f ca="1">IF(ROW()&lt;($C$7+1),"",IFERROR((分析データ!D1278-AVERAGE(OFFSET(分析データ!D$1,MAX(1,ROW()-$C$7),0,MIN($C$7,ROW()-1),1)))/STDEV(OFFSET(分析データ!D$1,MAX(1,ROW()-$C$7),0,MIN($C$7,ROW()-1),1)),0))</f>
        <v>0</v>
      </c>
      <c r="BG1278">
        <f t="shared" ca="1" si="540"/>
        <v>0</v>
      </c>
      <c r="BH1278" t="str">
        <f ca="1">IF(BG1278=1,IF(INDEX(分析データ!$A:$A,ROW()+$C$5)&lt;&gt;"",50000*SIGN(BF1278)*(分析データ!D1278-INDEX(分析データ!D:D,ROW()+$C$5)),""),"")</f>
        <v/>
      </c>
      <c r="BI1278">
        <f t="shared" ca="1" si="541"/>
        <v>5570000.0000000205</v>
      </c>
      <c r="BJ1278">
        <f t="shared" ca="1" si="542"/>
        <v>5570000.0000000205</v>
      </c>
      <c r="BK1278">
        <f t="shared" ca="1" si="543"/>
        <v>0</v>
      </c>
      <c r="BL1278">
        <f ca="1">IF(ROW()&lt;($C$7+1),"",IFERROR((分析データ!E1278-AVERAGE(OFFSET(分析データ!E$1,MAX(1,ROW()-$C$7),0,MIN($C$7,ROW()-1),1)))/STDEV(OFFSET(分析データ!E$1,MAX(1,ROW()-$C$7),0,MIN($C$7,ROW()-1),1)),0))</f>
        <v>0</v>
      </c>
      <c r="BM1278">
        <f t="shared" ca="1" si="544"/>
        <v>0</v>
      </c>
      <c r="BN1278" t="str">
        <f ca="1">IF(BM1278=1,IF(INDEX(分析データ!$A:$A,ROW()+$C$5)&lt;&gt;"",40000*SIGN(BL1278)*(分析データ!E1278-INDEX(分析データ!E:E,ROW()+$C$5)),""),"")</f>
        <v/>
      </c>
      <c r="BO1278">
        <f t="shared" ca="1" si="545"/>
        <v>2720000.0000000014</v>
      </c>
      <c r="BP1278">
        <f t="shared" ca="1" si="546"/>
        <v>4280000.0000000028</v>
      </c>
      <c r="BQ1278">
        <f t="shared" ca="1" si="547"/>
        <v>-1560000.0000000014</v>
      </c>
      <c r="BR1278">
        <f ca="1">IF(ROW()&lt;($C$7+1),"",IFERROR((分析データ!F1278-AVERAGE(OFFSET(分析データ!F$1,MAX(1,ROW()-$C$7),0,MIN($C$7,ROW()-1),1)))/STDEV(OFFSET(分析データ!F$1,MAX(1,ROW()-$C$7),0,MIN($C$7,ROW()-1),1)),0))</f>
        <v>0</v>
      </c>
      <c r="BS1278">
        <f t="shared" ca="1" si="548"/>
        <v>0</v>
      </c>
      <c r="BT1278" t="str">
        <f ca="1">IF(BS1278=1,IF(INDEX(分析データ!$A:$A,ROW()+$C$5)&lt;&gt;"",40000*SIGN(BR1278)*(分析データ!F1278-INDEX(分析データ!F:F,ROW()+$C$5)),""),"")</f>
        <v/>
      </c>
      <c r="BU1278">
        <f t="shared" ca="1" si="549"/>
        <v>19816800</v>
      </c>
      <c r="BV1278">
        <f t="shared" ca="1" si="550"/>
        <v>19816800</v>
      </c>
      <c r="BW1278">
        <f t="shared" ca="1" si="551"/>
        <v>0</v>
      </c>
      <c r="BX1278">
        <f ca="1">IF(ROW()&lt;($C$7+1),"",IFERROR((分析データ!G1278-AVERAGE(OFFSET(分析データ!G$1,MAX(1,ROW()-$C$7),0,MIN($C$7,ROW()-1),1)))/STDEV(OFFSET(分析データ!G$1,MAX(1,ROW()-$C$7),0,MIN($C$7,ROW()-1),1)),0))</f>
        <v>0</v>
      </c>
      <c r="BY1278">
        <f t="shared" ca="1" si="552"/>
        <v>0</v>
      </c>
      <c r="BZ1278" t="str">
        <f ca="1">IF(BY1278=1,IF(INDEX(分析データ!$A:$A,ROW()+$C$5)&lt;&gt;"",40000*SIGN(BX1278)*(分析データ!G1278-INDEX(分析データ!G:G,ROW()+$C$5)),""),"")</f>
        <v/>
      </c>
      <c r="CA1278">
        <f t="shared" ca="1" si="553"/>
        <v>-3515452.8662109179</v>
      </c>
      <c r="CB1278">
        <f t="shared" ca="1" si="554"/>
        <v>11327520.000000004</v>
      </c>
      <c r="CC1278">
        <f t="shared" ca="1" si="555"/>
        <v>-14842972.866210923</v>
      </c>
      <c r="CD1278">
        <f t="shared" ca="1" si="556"/>
        <v>0</v>
      </c>
      <c r="CE1278">
        <f t="shared" ca="1" si="557"/>
        <v>23090347.13378913</v>
      </c>
      <c r="CF1278">
        <f t="shared" ca="1" si="558"/>
        <v>23090347.13378913</v>
      </c>
      <c r="CG1278">
        <f t="shared" ca="1" si="559"/>
        <v>0</v>
      </c>
      <c r="CH1278" s="10" t="str">
        <f>分析データ!A1278</f>
        <v/>
      </c>
    </row>
    <row r="1279" spans="46:86">
      <c r="AT1279">
        <f ca="1">IF(ROW()&lt;($C$7+1),"",IFERROR((分析データ!B1279-AVERAGE(OFFSET(分析データ!B$1,MAX(1,ROW()-$C$7),0,MIN($C$7,ROW()-1),1)))/STDEV(OFFSET(分析データ!B$1,MAX(1,ROW()-$C$7),0,MIN($C$7,ROW()-1),1)),0))</f>
        <v>0</v>
      </c>
      <c r="AU1279">
        <f t="shared" ca="1" si="532"/>
        <v>0</v>
      </c>
      <c r="AV1279" t="str">
        <f ca="1">IF(AU1279=1,IF(INDEX(分析データ!$A:$A,ROW()+$C$5)&lt;&gt;"",80000*SIGN(AT1279)*(分析データ!B1279-INDEX(分析データ!B:B,ROW()+$C$5)),""),"")</f>
        <v/>
      </c>
      <c r="AW1279">
        <f t="shared" ca="1" si="533"/>
        <v>-1240000.0000000019</v>
      </c>
      <c r="AX1279">
        <f t="shared" ca="1" si="534"/>
        <v>0</v>
      </c>
      <c r="AY1279">
        <f t="shared" ca="1" si="535"/>
        <v>-1240000.0000000019</v>
      </c>
      <c r="AZ1279">
        <f ca="1">IF(ROW()&lt;($C$7+1),"",IFERROR((分析データ!C1279-AVERAGE(OFFSET(分析データ!C$1,MAX(1,ROW()-$C$7),0,MIN($C$7,ROW()-1),1)))/STDEV(OFFSET(分析データ!C$1,MAX(1,ROW()-$C$7),0,MIN($C$7,ROW()-1),1)),0))</f>
        <v>0</v>
      </c>
      <c r="BA1279">
        <f t="shared" ca="1" si="536"/>
        <v>0</v>
      </c>
      <c r="BB1279" t="str">
        <f ca="1">IF(BA1279=1,IF(INDEX(分析データ!$A:$A,ROW()+$C$5)&lt;&gt;"",60000*SIGN(AZ1279)*(分析データ!C1279-INDEX(分析データ!C:C,ROW()+$C$5)),""),"")</f>
        <v/>
      </c>
      <c r="BC1279">
        <f t="shared" ca="1" si="537"/>
        <v>-260999.9999999851</v>
      </c>
      <c r="BD1279">
        <f t="shared" ca="1" si="538"/>
        <v>3156000.0000000107</v>
      </c>
      <c r="BE1279">
        <f t="shared" ca="1" si="539"/>
        <v>-3416999.9999999958</v>
      </c>
      <c r="BF1279">
        <f ca="1">IF(ROW()&lt;($C$7+1),"",IFERROR((分析データ!D1279-AVERAGE(OFFSET(分析データ!D$1,MAX(1,ROW()-$C$7),0,MIN($C$7,ROW()-1),1)))/STDEV(OFFSET(分析データ!D$1,MAX(1,ROW()-$C$7),0,MIN($C$7,ROW()-1),1)),0))</f>
        <v>0</v>
      </c>
      <c r="BG1279">
        <f t="shared" ca="1" si="540"/>
        <v>0</v>
      </c>
      <c r="BH1279" t="str">
        <f ca="1">IF(BG1279=1,IF(INDEX(分析データ!$A:$A,ROW()+$C$5)&lt;&gt;"",50000*SIGN(BF1279)*(分析データ!D1279-INDEX(分析データ!D:D,ROW()+$C$5)),""),"")</f>
        <v/>
      </c>
      <c r="BI1279">
        <f t="shared" ca="1" si="541"/>
        <v>5570000.0000000205</v>
      </c>
      <c r="BJ1279">
        <f t="shared" ca="1" si="542"/>
        <v>5570000.0000000205</v>
      </c>
      <c r="BK1279">
        <f t="shared" ca="1" si="543"/>
        <v>0</v>
      </c>
      <c r="BL1279">
        <f ca="1">IF(ROW()&lt;($C$7+1),"",IFERROR((分析データ!E1279-AVERAGE(OFFSET(分析データ!E$1,MAX(1,ROW()-$C$7),0,MIN($C$7,ROW()-1),1)))/STDEV(OFFSET(分析データ!E$1,MAX(1,ROW()-$C$7),0,MIN($C$7,ROW()-1),1)),0))</f>
        <v>0</v>
      </c>
      <c r="BM1279">
        <f t="shared" ca="1" si="544"/>
        <v>0</v>
      </c>
      <c r="BN1279" t="str">
        <f ca="1">IF(BM1279=1,IF(INDEX(分析データ!$A:$A,ROW()+$C$5)&lt;&gt;"",40000*SIGN(BL1279)*(分析データ!E1279-INDEX(分析データ!E:E,ROW()+$C$5)),""),"")</f>
        <v/>
      </c>
      <c r="BO1279">
        <f t="shared" ca="1" si="545"/>
        <v>2720000.0000000014</v>
      </c>
      <c r="BP1279">
        <f t="shared" ca="1" si="546"/>
        <v>4280000.0000000028</v>
      </c>
      <c r="BQ1279">
        <f t="shared" ca="1" si="547"/>
        <v>-1560000.0000000014</v>
      </c>
      <c r="BR1279">
        <f ca="1">IF(ROW()&lt;($C$7+1),"",IFERROR((分析データ!F1279-AVERAGE(OFFSET(分析データ!F$1,MAX(1,ROW()-$C$7),0,MIN($C$7,ROW()-1),1)))/STDEV(OFFSET(分析データ!F$1,MAX(1,ROW()-$C$7),0,MIN($C$7,ROW()-1),1)),0))</f>
        <v>0</v>
      </c>
      <c r="BS1279">
        <f t="shared" ca="1" si="548"/>
        <v>0</v>
      </c>
      <c r="BT1279" t="str">
        <f ca="1">IF(BS1279=1,IF(INDEX(分析データ!$A:$A,ROW()+$C$5)&lt;&gt;"",40000*SIGN(BR1279)*(分析データ!F1279-INDEX(分析データ!F:F,ROW()+$C$5)),""),"")</f>
        <v/>
      </c>
      <c r="BU1279">
        <f t="shared" ca="1" si="549"/>
        <v>19816800</v>
      </c>
      <c r="BV1279">
        <f t="shared" ca="1" si="550"/>
        <v>19816800</v>
      </c>
      <c r="BW1279">
        <f t="shared" ca="1" si="551"/>
        <v>0</v>
      </c>
      <c r="BX1279">
        <f ca="1">IF(ROW()&lt;($C$7+1),"",IFERROR((分析データ!G1279-AVERAGE(OFFSET(分析データ!G$1,MAX(1,ROW()-$C$7),0,MIN($C$7,ROW()-1),1)))/STDEV(OFFSET(分析データ!G$1,MAX(1,ROW()-$C$7),0,MIN($C$7,ROW()-1),1)),0))</f>
        <v>0</v>
      </c>
      <c r="BY1279">
        <f t="shared" ca="1" si="552"/>
        <v>0</v>
      </c>
      <c r="BZ1279" t="str">
        <f ca="1">IF(BY1279=1,IF(INDEX(分析データ!$A:$A,ROW()+$C$5)&lt;&gt;"",40000*SIGN(BX1279)*(分析データ!G1279-INDEX(分析データ!G:G,ROW()+$C$5)),""),"")</f>
        <v/>
      </c>
      <c r="CA1279">
        <f t="shared" ca="1" si="553"/>
        <v>-3515452.8662109179</v>
      </c>
      <c r="CB1279">
        <f t="shared" ca="1" si="554"/>
        <v>11327520.000000004</v>
      </c>
      <c r="CC1279">
        <f t="shared" ca="1" si="555"/>
        <v>-14842972.866210923</v>
      </c>
      <c r="CD1279">
        <f t="shared" ca="1" si="556"/>
        <v>0</v>
      </c>
      <c r="CE1279">
        <f t="shared" ca="1" si="557"/>
        <v>23090347.13378913</v>
      </c>
      <c r="CF1279">
        <f t="shared" ca="1" si="558"/>
        <v>23090347.13378913</v>
      </c>
      <c r="CG1279">
        <f t="shared" ca="1" si="559"/>
        <v>0</v>
      </c>
      <c r="CH1279" s="10" t="str">
        <f>分析データ!A1279</f>
        <v/>
      </c>
    </row>
    <row r="1280" spans="46:86">
      <c r="AT1280">
        <f ca="1">IF(ROW()&lt;($C$7+1),"",IFERROR((分析データ!B1280-AVERAGE(OFFSET(分析データ!B$1,MAX(1,ROW()-$C$7),0,MIN($C$7,ROW()-1),1)))/STDEV(OFFSET(分析データ!B$1,MAX(1,ROW()-$C$7),0,MIN($C$7,ROW()-1),1)),0))</f>
        <v>0</v>
      </c>
      <c r="AU1280">
        <f t="shared" ca="1" si="532"/>
        <v>0</v>
      </c>
      <c r="AV1280" t="str">
        <f ca="1">IF(AU1280=1,IF(INDEX(分析データ!$A:$A,ROW()+$C$5)&lt;&gt;"",80000*SIGN(AT1280)*(分析データ!B1280-INDEX(分析データ!B:B,ROW()+$C$5)),""),"")</f>
        <v/>
      </c>
      <c r="AW1280">
        <f t="shared" ca="1" si="533"/>
        <v>-1240000.0000000019</v>
      </c>
      <c r="AX1280">
        <f t="shared" ca="1" si="534"/>
        <v>0</v>
      </c>
      <c r="AY1280">
        <f t="shared" ca="1" si="535"/>
        <v>-1240000.0000000019</v>
      </c>
      <c r="AZ1280">
        <f ca="1">IF(ROW()&lt;($C$7+1),"",IFERROR((分析データ!C1280-AVERAGE(OFFSET(分析データ!C$1,MAX(1,ROW()-$C$7),0,MIN($C$7,ROW()-1),1)))/STDEV(OFFSET(分析データ!C$1,MAX(1,ROW()-$C$7),0,MIN($C$7,ROW()-1),1)),0))</f>
        <v>0</v>
      </c>
      <c r="BA1280">
        <f t="shared" ca="1" si="536"/>
        <v>0</v>
      </c>
      <c r="BB1280" t="str">
        <f ca="1">IF(BA1280=1,IF(INDEX(分析データ!$A:$A,ROW()+$C$5)&lt;&gt;"",60000*SIGN(AZ1280)*(分析データ!C1280-INDEX(分析データ!C:C,ROW()+$C$5)),""),"")</f>
        <v/>
      </c>
      <c r="BC1280">
        <f t="shared" ca="1" si="537"/>
        <v>-260999.9999999851</v>
      </c>
      <c r="BD1280">
        <f t="shared" ca="1" si="538"/>
        <v>3156000.0000000107</v>
      </c>
      <c r="BE1280">
        <f t="shared" ca="1" si="539"/>
        <v>-3416999.9999999958</v>
      </c>
      <c r="BF1280">
        <f ca="1">IF(ROW()&lt;($C$7+1),"",IFERROR((分析データ!D1280-AVERAGE(OFFSET(分析データ!D$1,MAX(1,ROW()-$C$7),0,MIN($C$7,ROW()-1),1)))/STDEV(OFFSET(分析データ!D$1,MAX(1,ROW()-$C$7),0,MIN($C$7,ROW()-1),1)),0))</f>
        <v>0</v>
      </c>
      <c r="BG1280">
        <f t="shared" ca="1" si="540"/>
        <v>0</v>
      </c>
      <c r="BH1280" t="str">
        <f ca="1">IF(BG1280=1,IF(INDEX(分析データ!$A:$A,ROW()+$C$5)&lt;&gt;"",50000*SIGN(BF1280)*(分析データ!D1280-INDEX(分析データ!D:D,ROW()+$C$5)),""),"")</f>
        <v/>
      </c>
      <c r="BI1280">
        <f t="shared" ca="1" si="541"/>
        <v>5570000.0000000205</v>
      </c>
      <c r="BJ1280">
        <f t="shared" ca="1" si="542"/>
        <v>5570000.0000000205</v>
      </c>
      <c r="BK1280">
        <f t="shared" ca="1" si="543"/>
        <v>0</v>
      </c>
      <c r="BL1280">
        <f ca="1">IF(ROW()&lt;($C$7+1),"",IFERROR((分析データ!E1280-AVERAGE(OFFSET(分析データ!E$1,MAX(1,ROW()-$C$7),0,MIN($C$7,ROW()-1),1)))/STDEV(OFFSET(分析データ!E$1,MAX(1,ROW()-$C$7),0,MIN($C$7,ROW()-1),1)),0))</f>
        <v>0</v>
      </c>
      <c r="BM1280">
        <f t="shared" ca="1" si="544"/>
        <v>0</v>
      </c>
      <c r="BN1280" t="str">
        <f ca="1">IF(BM1280=1,IF(INDEX(分析データ!$A:$A,ROW()+$C$5)&lt;&gt;"",40000*SIGN(BL1280)*(分析データ!E1280-INDEX(分析データ!E:E,ROW()+$C$5)),""),"")</f>
        <v/>
      </c>
      <c r="BO1280">
        <f t="shared" ca="1" si="545"/>
        <v>2720000.0000000014</v>
      </c>
      <c r="BP1280">
        <f t="shared" ca="1" si="546"/>
        <v>4280000.0000000028</v>
      </c>
      <c r="BQ1280">
        <f t="shared" ca="1" si="547"/>
        <v>-1560000.0000000014</v>
      </c>
      <c r="BR1280">
        <f ca="1">IF(ROW()&lt;($C$7+1),"",IFERROR((分析データ!F1280-AVERAGE(OFFSET(分析データ!F$1,MAX(1,ROW()-$C$7),0,MIN($C$7,ROW()-1),1)))/STDEV(OFFSET(分析データ!F$1,MAX(1,ROW()-$C$7),0,MIN($C$7,ROW()-1),1)),0))</f>
        <v>0</v>
      </c>
      <c r="BS1280">
        <f t="shared" ca="1" si="548"/>
        <v>0</v>
      </c>
      <c r="BT1280" t="str">
        <f ca="1">IF(BS1280=1,IF(INDEX(分析データ!$A:$A,ROW()+$C$5)&lt;&gt;"",40000*SIGN(BR1280)*(分析データ!F1280-INDEX(分析データ!F:F,ROW()+$C$5)),""),"")</f>
        <v/>
      </c>
      <c r="BU1280">
        <f t="shared" ca="1" si="549"/>
        <v>19816800</v>
      </c>
      <c r="BV1280">
        <f t="shared" ca="1" si="550"/>
        <v>19816800</v>
      </c>
      <c r="BW1280">
        <f t="shared" ca="1" si="551"/>
        <v>0</v>
      </c>
      <c r="BX1280">
        <f ca="1">IF(ROW()&lt;($C$7+1),"",IFERROR((分析データ!G1280-AVERAGE(OFFSET(分析データ!G$1,MAX(1,ROW()-$C$7),0,MIN($C$7,ROW()-1),1)))/STDEV(OFFSET(分析データ!G$1,MAX(1,ROW()-$C$7),0,MIN($C$7,ROW()-1),1)),0))</f>
        <v>0</v>
      </c>
      <c r="BY1280">
        <f t="shared" ca="1" si="552"/>
        <v>0</v>
      </c>
      <c r="BZ1280" t="str">
        <f ca="1">IF(BY1280=1,IF(INDEX(分析データ!$A:$A,ROW()+$C$5)&lt;&gt;"",40000*SIGN(BX1280)*(分析データ!G1280-INDEX(分析データ!G:G,ROW()+$C$5)),""),"")</f>
        <v/>
      </c>
      <c r="CA1280">
        <f t="shared" ca="1" si="553"/>
        <v>-3515452.8662109179</v>
      </c>
      <c r="CB1280">
        <f t="shared" ca="1" si="554"/>
        <v>11327520.000000004</v>
      </c>
      <c r="CC1280">
        <f t="shared" ca="1" si="555"/>
        <v>-14842972.866210923</v>
      </c>
      <c r="CD1280">
        <f t="shared" ca="1" si="556"/>
        <v>0</v>
      </c>
      <c r="CE1280">
        <f t="shared" ca="1" si="557"/>
        <v>23090347.13378913</v>
      </c>
      <c r="CF1280">
        <f t="shared" ca="1" si="558"/>
        <v>23090347.13378913</v>
      </c>
      <c r="CG1280">
        <f t="shared" ca="1" si="559"/>
        <v>0</v>
      </c>
      <c r="CH1280" s="10" t="str">
        <f>分析データ!A1280</f>
        <v/>
      </c>
    </row>
    <row r="1281" spans="46:86">
      <c r="AT1281">
        <f ca="1">IF(ROW()&lt;($C$7+1),"",IFERROR((分析データ!B1281-AVERAGE(OFFSET(分析データ!B$1,MAX(1,ROW()-$C$7),0,MIN($C$7,ROW()-1),1)))/STDEV(OFFSET(分析データ!B$1,MAX(1,ROW()-$C$7),0,MIN($C$7,ROW()-1),1)),0))</f>
        <v>0</v>
      </c>
      <c r="AU1281">
        <f t="shared" ca="1" si="532"/>
        <v>0</v>
      </c>
      <c r="AV1281" t="str">
        <f ca="1">IF(AU1281=1,IF(INDEX(分析データ!$A:$A,ROW()+$C$5)&lt;&gt;"",80000*SIGN(AT1281)*(分析データ!B1281-INDEX(分析データ!B:B,ROW()+$C$5)),""),"")</f>
        <v/>
      </c>
      <c r="AW1281">
        <f t="shared" ca="1" si="533"/>
        <v>-1240000.0000000019</v>
      </c>
      <c r="AX1281">
        <f t="shared" ca="1" si="534"/>
        <v>0</v>
      </c>
      <c r="AY1281">
        <f t="shared" ca="1" si="535"/>
        <v>-1240000.0000000019</v>
      </c>
      <c r="AZ1281">
        <f ca="1">IF(ROW()&lt;($C$7+1),"",IFERROR((分析データ!C1281-AVERAGE(OFFSET(分析データ!C$1,MAX(1,ROW()-$C$7),0,MIN($C$7,ROW()-1),1)))/STDEV(OFFSET(分析データ!C$1,MAX(1,ROW()-$C$7),0,MIN($C$7,ROW()-1),1)),0))</f>
        <v>0</v>
      </c>
      <c r="BA1281">
        <f t="shared" ca="1" si="536"/>
        <v>0</v>
      </c>
      <c r="BB1281" t="str">
        <f ca="1">IF(BA1281=1,IF(INDEX(分析データ!$A:$A,ROW()+$C$5)&lt;&gt;"",60000*SIGN(AZ1281)*(分析データ!C1281-INDEX(分析データ!C:C,ROW()+$C$5)),""),"")</f>
        <v/>
      </c>
      <c r="BC1281">
        <f t="shared" ca="1" si="537"/>
        <v>-260999.9999999851</v>
      </c>
      <c r="BD1281">
        <f t="shared" ca="1" si="538"/>
        <v>3156000.0000000107</v>
      </c>
      <c r="BE1281">
        <f t="shared" ca="1" si="539"/>
        <v>-3416999.9999999958</v>
      </c>
      <c r="BF1281">
        <f ca="1">IF(ROW()&lt;($C$7+1),"",IFERROR((分析データ!D1281-AVERAGE(OFFSET(分析データ!D$1,MAX(1,ROW()-$C$7),0,MIN($C$7,ROW()-1),1)))/STDEV(OFFSET(分析データ!D$1,MAX(1,ROW()-$C$7),0,MIN($C$7,ROW()-1),1)),0))</f>
        <v>0</v>
      </c>
      <c r="BG1281">
        <f t="shared" ca="1" si="540"/>
        <v>0</v>
      </c>
      <c r="BH1281" t="str">
        <f ca="1">IF(BG1281=1,IF(INDEX(分析データ!$A:$A,ROW()+$C$5)&lt;&gt;"",50000*SIGN(BF1281)*(分析データ!D1281-INDEX(分析データ!D:D,ROW()+$C$5)),""),"")</f>
        <v/>
      </c>
      <c r="BI1281">
        <f t="shared" ca="1" si="541"/>
        <v>5570000.0000000205</v>
      </c>
      <c r="BJ1281">
        <f t="shared" ca="1" si="542"/>
        <v>5570000.0000000205</v>
      </c>
      <c r="BK1281">
        <f t="shared" ca="1" si="543"/>
        <v>0</v>
      </c>
      <c r="BL1281">
        <f ca="1">IF(ROW()&lt;($C$7+1),"",IFERROR((分析データ!E1281-AVERAGE(OFFSET(分析データ!E$1,MAX(1,ROW()-$C$7),0,MIN($C$7,ROW()-1),1)))/STDEV(OFFSET(分析データ!E$1,MAX(1,ROW()-$C$7),0,MIN($C$7,ROW()-1),1)),0))</f>
        <v>0</v>
      </c>
      <c r="BM1281">
        <f t="shared" ca="1" si="544"/>
        <v>0</v>
      </c>
      <c r="BN1281" t="str">
        <f ca="1">IF(BM1281=1,IF(INDEX(分析データ!$A:$A,ROW()+$C$5)&lt;&gt;"",40000*SIGN(BL1281)*(分析データ!E1281-INDEX(分析データ!E:E,ROW()+$C$5)),""),"")</f>
        <v/>
      </c>
      <c r="BO1281">
        <f t="shared" ca="1" si="545"/>
        <v>2720000.0000000014</v>
      </c>
      <c r="BP1281">
        <f t="shared" ca="1" si="546"/>
        <v>4280000.0000000028</v>
      </c>
      <c r="BQ1281">
        <f t="shared" ca="1" si="547"/>
        <v>-1560000.0000000014</v>
      </c>
      <c r="BR1281">
        <f ca="1">IF(ROW()&lt;($C$7+1),"",IFERROR((分析データ!F1281-AVERAGE(OFFSET(分析データ!F$1,MAX(1,ROW()-$C$7),0,MIN($C$7,ROW()-1),1)))/STDEV(OFFSET(分析データ!F$1,MAX(1,ROW()-$C$7),0,MIN($C$7,ROW()-1),1)),0))</f>
        <v>0</v>
      </c>
      <c r="BS1281">
        <f t="shared" ca="1" si="548"/>
        <v>0</v>
      </c>
      <c r="BT1281" t="str">
        <f ca="1">IF(BS1281=1,IF(INDEX(分析データ!$A:$A,ROW()+$C$5)&lt;&gt;"",40000*SIGN(BR1281)*(分析データ!F1281-INDEX(分析データ!F:F,ROW()+$C$5)),""),"")</f>
        <v/>
      </c>
      <c r="BU1281">
        <f t="shared" ca="1" si="549"/>
        <v>19816800</v>
      </c>
      <c r="BV1281">
        <f t="shared" ca="1" si="550"/>
        <v>19816800</v>
      </c>
      <c r="BW1281">
        <f t="shared" ca="1" si="551"/>
        <v>0</v>
      </c>
      <c r="BX1281">
        <f ca="1">IF(ROW()&lt;($C$7+1),"",IFERROR((分析データ!G1281-AVERAGE(OFFSET(分析データ!G$1,MAX(1,ROW()-$C$7),0,MIN($C$7,ROW()-1),1)))/STDEV(OFFSET(分析データ!G$1,MAX(1,ROW()-$C$7),0,MIN($C$7,ROW()-1),1)),0))</f>
        <v>0</v>
      </c>
      <c r="BY1281">
        <f t="shared" ca="1" si="552"/>
        <v>0</v>
      </c>
      <c r="BZ1281" t="str">
        <f ca="1">IF(BY1281=1,IF(INDEX(分析データ!$A:$A,ROW()+$C$5)&lt;&gt;"",40000*SIGN(BX1281)*(分析データ!G1281-INDEX(分析データ!G:G,ROW()+$C$5)),""),"")</f>
        <v/>
      </c>
      <c r="CA1281">
        <f t="shared" ca="1" si="553"/>
        <v>-3515452.8662109179</v>
      </c>
      <c r="CB1281">
        <f t="shared" ca="1" si="554"/>
        <v>11327520.000000004</v>
      </c>
      <c r="CC1281">
        <f t="shared" ca="1" si="555"/>
        <v>-14842972.866210923</v>
      </c>
      <c r="CD1281">
        <f t="shared" ca="1" si="556"/>
        <v>0</v>
      </c>
      <c r="CE1281">
        <f t="shared" ca="1" si="557"/>
        <v>23090347.13378913</v>
      </c>
      <c r="CF1281">
        <f t="shared" ca="1" si="558"/>
        <v>23090347.13378913</v>
      </c>
      <c r="CG1281">
        <f t="shared" ca="1" si="559"/>
        <v>0</v>
      </c>
      <c r="CH1281" s="10" t="str">
        <f>分析データ!A1281</f>
        <v/>
      </c>
    </row>
    <row r="1282" spans="46:86">
      <c r="AT1282">
        <f ca="1">IF(ROW()&lt;($C$7+1),"",IFERROR((分析データ!B1282-AVERAGE(OFFSET(分析データ!B$1,MAX(1,ROW()-$C$7),0,MIN($C$7,ROW()-1),1)))/STDEV(OFFSET(分析データ!B$1,MAX(1,ROW()-$C$7),0,MIN($C$7,ROW()-1),1)),0))</f>
        <v>0</v>
      </c>
      <c r="AU1282">
        <f t="shared" ref="AU1282:AU1307" ca="1" si="560">IF(ISNUMBER(AT1282),IF(ABS(AT1282)&gt;=$C$6,1,0),0)</f>
        <v>0</v>
      </c>
      <c r="AV1282" t="str">
        <f ca="1">IF(AU1282=1,IF(INDEX(分析データ!$A:$A,ROW()+$C$5)&lt;&gt;"",80000*SIGN(AT1282)*(分析データ!B1282-INDEX(分析データ!B:B,ROW()+$C$5)),""),"")</f>
        <v/>
      </c>
      <c r="AW1282">
        <f t="shared" ref="AW1282:AW1307" ca="1" si="561">AW1281+IF(AND(AU1282=1,ISNUMBER(AV1282)),AV1282,0)</f>
        <v>-1240000.0000000019</v>
      </c>
      <c r="AX1282">
        <f t="shared" ref="AX1282:AX1307" ca="1" si="562">MAX(AX1281,AW1282)</f>
        <v>0</v>
      </c>
      <c r="AY1282">
        <f t="shared" ref="AY1282:AY1307" ca="1" si="563">AW1282-AX1282</f>
        <v>-1240000.0000000019</v>
      </c>
      <c r="AZ1282">
        <f ca="1">IF(ROW()&lt;($C$7+1),"",IFERROR((分析データ!C1282-AVERAGE(OFFSET(分析データ!C$1,MAX(1,ROW()-$C$7),0,MIN($C$7,ROW()-1),1)))/STDEV(OFFSET(分析データ!C$1,MAX(1,ROW()-$C$7),0,MIN($C$7,ROW()-1),1)),0))</f>
        <v>0</v>
      </c>
      <c r="BA1282">
        <f t="shared" ref="BA1282:BA1307" ca="1" si="564">IF(ISNUMBER(AZ1282),IF(ABS(AZ1282)&gt;=$C$6,1,0),0)</f>
        <v>0</v>
      </c>
      <c r="BB1282" t="str">
        <f ca="1">IF(BA1282=1,IF(INDEX(分析データ!$A:$A,ROW()+$C$5)&lt;&gt;"",60000*SIGN(AZ1282)*(分析データ!C1282-INDEX(分析データ!C:C,ROW()+$C$5)),""),"")</f>
        <v/>
      </c>
      <c r="BC1282">
        <f t="shared" ref="BC1282:BC1307" ca="1" si="565">BC1281+IF(AND(BA1282=1,ISNUMBER(BB1282)),BB1282,0)</f>
        <v>-260999.9999999851</v>
      </c>
      <c r="BD1282">
        <f t="shared" ref="BD1282:BD1307" ca="1" si="566">MAX(BD1281,BC1282)</f>
        <v>3156000.0000000107</v>
      </c>
      <c r="BE1282">
        <f t="shared" ref="BE1282:BE1307" ca="1" si="567">BC1282-BD1282</f>
        <v>-3416999.9999999958</v>
      </c>
      <c r="BF1282">
        <f ca="1">IF(ROW()&lt;($C$7+1),"",IFERROR((分析データ!D1282-AVERAGE(OFFSET(分析データ!D$1,MAX(1,ROW()-$C$7),0,MIN($C$7,ROW()-1),1)))/STDEV(OFFSET(分析データ!D$1,MAX(1,ROW()-$C$7),0,MIN($C$7,ROW()-1),1)),0))</f>
        <v>0</v>
      </c>
      <c r="BG1282">
        <f t="shared" ref="BG1282:BG1307" ca="1" si="568">IF(ISNUMBER(BF1282),IF(ABS(BF1282)&gt;=$C$6,1,0),0)</f>
        <v>0</v>
      </c>
      <c r="BH1282" t="str">
        <f ca="1">IF(BG1282=1,IF(INDEX(分析データ!$A:$A,ROW()+$C$5)&lt;&gt;"",50000*SIGN(BF1282)*(分析データ!D1282-INDEX(分析データ!D:D,ROW()+$C$5)),""),"")</f>
        <v/>
      </c>
      <c r="BI1282">
        <f t="shared" ref="BI1282:BI1307" ca="1" si="569">BI1281+IF(AND(BG1282=1,ISNUMBER(BH1282)),BH1282,0)</f>
        <v>5570000.0000000205</v>
      </c>
      <c r="BJ1282">
        <f t="shared" ref="BJ1282:BJ1307" ca="1" si="570">MAX(BJ1281,BI1282)</f>
        <v>5570000.0000000205</v>
      </c>
      <c r="BK1282">
        <f t="shared" ref="BK1282:BK1307" ca="1" si="571">BI1282-BJ1282</f>
        <v>0</v>
      </c>
      <c r="BL1282">
        <f ca="1">IF(ROW()&lt;($C$7+1),"",IFERROR((分析データ!E1282-AVERAGE(OFFSET(分析データ!E$1,MAX(1,ROW()-$C$7),0,MIN($C$7,ROW()-1),1)))/STDEV(OFFSET(分析データ!E$1,MAX(1,ROW()-$C$7),0,MIN($C$7,ROW()-1),1)),0))</f>
        <v>0</v>
      </c>
      <c r="BM1282">
        <f t="shared" ref="BM1282:BM1307" ca="1" si="572">IF(ISNUMBER(BL1282),IF(ABS(BL1282)&gt;=$C$6,1,0),0)</f>
        <v>0</v>
      </c>
      <c r="BN1282" t="str">
        <f ca="1">IF(BM1282=1,IF(INDEX(分析データ!$A:$A,ROW()+$C$5)&lt;&gt;"",40000*SIGN(BL1282)*(分析データ!E1282-INDEX(分析データ!E:E,ROW()+$C$5)),""),"")</f>
        <v/>
      </c>
      <c r="BO1282">
        <f t="shared" ref="BO1282:BO1307" ca="1" si="573">BO1281+IF(AND(BM1282=1,ISNUMBER(BN1282)),BN1282,0)</f>
        <v>2720000.0000000014</v>
      </c>
      <c r="BP1282">
        <f t="shared" ref="BP1282:BP1307" ca="1" si="574">MAX(BP1281,BO1282)</f>
        <v>4280000.0000000028</v>
      </c>
      <c r="BQ1282">
        <f t="shared" ref="BQ1282:BQ1307" ca="1" si="575">BO1282-BP1282</f>
        <v>-1560000.0000000014</v>
      </c>
      <c r="BR1282">
        <f ca="1">IF(ROW()&lt;($C$7+1),"",IFERROR((分析データ!F1282-AVERAGE(OFFSET(分析データ!F$1,MAX(1,ROW()-$C$7),0,MIN($C$7,ROW()-1),1)))/STDEV(OFFSET(分析データ!F$1,MAX(1,ROW()-$C$7),0,MIN($C$7,ROW()-1),1)),0))</f>
        <v>0</v>
      </c>
      <c r="BS1282">
        <f t="shared" ref="BS1282:BS1307" ca="1" si="576">IF(ISNUMBER(BR1282),IF(ABS(BR1282)&gt;=$C$6,1,0),0)</f>
        <v>0</v>
      </c>
      <c r="BT1282" t="str">
        <f ca="1">IF(BS1282=1,IF(INDEX(分析データ!$A:$A,ROW()+$C$5)&lt;&gt;"",40000*SIGN(BR1282)*(分析データ!F1282-INDEX(分析データ!F:F,ROW()+$C$5)),""),"")</f>
        <v/>
      </c>
      <c r="BU1282">
        <f t="shared" ref="BU1282:BU1307" ca="1" si="577">BU1281+IF(AND(BS1282=1,ISNUMBER(BT1282)),BT1282,0)</f>
        <v>19816800</v>
      </c>
      <c r="BV1282">
        <f t="shared" ref="BV1282:BV1307" ca="1" si="578">MAX(BV1281,BU1282)</f>
        <v>19816800</v>
      </c>
      <c r="BW1282">
        <f t="shared" ref="BW1282:BW1307" ca="1" si="579">BU1282-BV1282</f>
        <v>0</v>
      </c>
      <c r="BX1282">
        <f ca="1">IF(ROW()&lt;($C$7+1),"",IFERROR((分析データ!G1282-AVERAGE(OFFSET(分析データ!G$1,MAX(1,ROW()-$C$7),0,MIN($C$7,ROW()-1),1)))/STDEV(OFFSET(分析データ!G$1,MAX(1,ROW()-$C$7),0,MIN($C$7,ROW()-1),1)),0))</f>
        <v>0</v>
      </c>
      <c r="BY1282">
        <f t="shared" ref="BY1282:BY1307" ca="1" si="580">IF(ISNUMBER(BX1282),IF(ABS(BX1282)&gt;=$C$6,1,0),0)</f>
        <v>0</v>
      </c>
      <c r="BZ1282" t="str">
        <f ca="1">IF(BY1282=1,IF(INDEX(分析データ!$A:$A,ROW()+$C$5)&lt;&gt;"",40000*SIGN(BX1282)*(分析データ!G1282-INDEX(分析データ!G:G,ROW()+$C$5)),""),"")</f>
        <v/>
      </c>
      <c r="CA1282">
        <f t="shared" ref="CA1282:CA1307" ca="1" si="581">CA1281+IF(AND(BY1282=1,ISNUMBER(BZ1282)),BZ1282,0)</f>
        <v>-3515452.8662109179</v>
      </c>
      <c r="CB1282">
        <f t="shared" ref="CB1282:CB1307" ca="1" si="582">MAX(CB1281,CA1282)</f>
        <v>11327520.000000004</v>
      </c>
      <c r="CC1282">
        <f t="shared" ref="CC1282:CC1307" ca="1" si="583">CA1282-CB1282</f>
        <v>-14842972.866210923</v>
      </c>
      <c r="CD1282">
        <f t="shared" ref="CD1282:CD1307" ca="1" si="584">N(AV1282)+N(BB1282)+N(BH1282)+N(BN1282)+N(BT1282)+N(BZ1282)</f>
        <v>0</v>
      </c>
      <c r="CE1282">
        <f t="shared" ref="CE1282:CE1307" ca="1" si="585">CE1281+CD1282</f>
        <v>23090347.13378913</v>
      </c>
      <c r="CF1282">
        <f t="shared" ref="CF1282:CF1307" ca="1" si="586">MAX(CF1281,CE1282)</f>
        <v>23090347.13378913</v>
      </c>
      <c r="CG1282">
        <f t="shared" ref="CG1282:CG1307" ca="1" si="587">CE1282-CF1282</f>
        <v>0</v>
      </c>
      <c r="CH1282" s="10" t="str">
        <f>分析データ!A1282</f>
        <v/>
      </c>
    </row>
    <row r="1283" spans="46:86">
      <c r="AT1283">
        <f ca="1">IF(ROW()&lt;($C$7+1),"",IFERROR((分析データ!B1283-AVERAGE(OFFSET(分析データ!B$1,MAX(1,ROW()-$C$7),0,MIN($C$7,ROW()-1),1)))/STDEV(OFFSET(分析データ!B$1,MAX(1,ROW()-$C$7),0,MIN($C$7,ROW()-1),1)),0))</f>
        <v>0</v>
      </c>
      <c r="AU1283">
        <f t="shared" ca="1" si="560"/>
        <v>0</v>
      </c>
      <c r="AV1283" t="str">
        <f ca="1">IF(AU1283=1,IF(INDEX(分析データ!$A:$A,ROW()+$C$5)&lt;&gt;"",80000*SIGN(AT1283)*(分析データ!B1283-INDEX(分析データ!B:B,ROW()+$C$5)),""),"")</f>
        <v/>
      </c>
      <c r="AW1283">
        <f t="shared" ca="1" si="561"/>
        <v>-1240000.0000000019</v>
      </c>
      <c r="AX1283">
        <f t="shared" ca="1" si="562"/>
        <v>0</v>
      </c>
      <c r="AY1283">
        <f t="shared" ca="1" si="563"/>
        <v>-1240000.0000000019</v>
      </c>
      <c r="AZ1283">
        <f ca="1">IF(ROW()&lt;($C$7+1),"",IFERROR((分析データ!C1283-AVERAGE(OFFSET(分析データ!C$1,MAX(1,ROW()-$C$7),0,MIN($C$7,ROW()-1),1)))/STDEV(OFFSET(分析データ!C$1,MAX(1,ROW()-$C$7),0,MIN($C$7,ROW()-1),1)),0))</f>
        <v>0</v>
      </c>
      <c r="BA1283">
        <f t="shared" ca="1" si="564"/>
        <v>0</v>
      </c>
      <c r="BB1283" t="str">
        <f ca="1">IF(BA1283=1,IF(INDEX(分析データ!$A:$A,ROW()+$C$5)&lt;&gt;"",60000*SIGN(AZ1283)*(分析データ!C1283-INDEX(分析データ!C:C,ROW()+$C$5)),""),"")</f>
        <v/>
      </c>
      <c r="BC1283">
        <f t="shared" ca="1" si="565"/>
        <v>-260999.9999999851</v>
      </c>
      <c r="BD1283">
        <f t="shared" ca="1" si="566"/>
        <v>3156000.0000000107</v>
      </c>
      <c r="BE1283">
        <f t="shared" ca="1" si="567"/>
        <v>-3416999.9999999958</v>
      </c>
      <c r="BF1283">
        <f ca="1">IF(ROW()&lt;($C$7+1),"",IFERROR((分析データ!D1283-AVERAGE(OFFSET(分析データ!D$1,MAX(1,ROW()-$C$7),0,MIN($C$7,ROW()-1),1)))/STDEV(OFFSET(分析データ!D$1,MAX(1,ROW()-$C$7),0,MIN($C$7,ROW()-1),1)),0))</f>
        <v>0</v>
      </c>
      <c r="BG1283">
        <f t="shared" ca="1" si="568"/>
        <v>0</v>
      </c>
      <c r="BH1283" t="str">
        <f ca="1">IF(BG1283=1,IF(INDEX(分析データ!$A:$A,ROW()+$C$5)&lt;&gt;"",50000*SIGN(BF1283)*(分析データ!D1283-INDEX(分析データ!D:D,ROW()+$C$5)),""),"")</f>
        <v/>
      </c>
      <c r="BI1283">
        <f t="shared" ca="1" si="569"/>
        <v>5570000.0000000205</v>
      </c>
      <c r="BJ1283">
        <f t="shared" ca="1" si="570"/>
        <v>5570000.0000000205</v>
      </c>
      <c r="BK1283">
        <f t="shared" ca="1" si="571"/>
        <v>0</v>
      </c>
      <c r="BL1283">
        <f ca="1">IF(ROW()&lt;($C$7+1),"",IFERROR((分析データ!E1283-AVERAGE(OFFSET(分析データ!E$1,MAX(1,ROW()-$C$7),0,MIN($C$7,ROW()-1),1)))/STDEV(OFFSET(分析データ!E$1,MAX(1,ROW()-$C$7),0,MIN($C$7,ROW()-1),1)),0))</f>
        <v>0</v>
      </c>
      <c r="BM1283">
        <f t="shared" ca="1" si="572"/>
        <v>0</v>
      </c>
      <c r="BN1283" t="str">
        <f ca="1">IF(BM1283=1,IF(INDEX(分析データ!$A:$A,ROW()+$C$5)&lt;&gt;"",40000*SIGN(BL1283)*(分析データ!E1283-INDEX(分析データ!E:E,ROW()+$C$5)),""),"")</f>
        <v/>
      </c>
      <c r="BO1283">
        <f t="shared" ca="1" si="573"/>
        <v>2720000.0000000014</v>
      </c>
      <c r="BP1283">
        <f t="shared" ca="1" si="574"/>
        <v>4280000.0000000028</v>
      </c>
      <c r="BQ1283">
        <f t="shared" ca="1" si="575"/>
        <v>-1560000.0000000014</v>
      </c>
      <c r="BR1283">
        <f ca="1">IF(ROW()&lt;($C$7+1),"",IFERROR((分析データ!F1283-AVERAGE(OFFSET(分析データ!F$1,MAX(1,ROW()-$C$7),0,MIN($C$7,ROW()-1),1)))/STDEV(OFFSET(分析データ!F$1,MAX(1,ROW()-$C$7),0,MIN($C$7,ROW()-1),1)),0))</f>
        <v>0</v>
      </c>
      <c r="BS1283">
        <f t="shared" ca="1" si="576"/>
        <v>0</v>
      </c>
      <c r="BT1283" t="str">
        <f ca="1">IF(BS1283=1,IF(INDEX(分析データ!$A:$A,ROW()+$C$5)&lt;&gt;"",40000*SIGN(BR1283)*(分析データ!F1283-INDEX(分析データ!F:F,ROW()+$C$5)),""),"")</f>
        <v/>
      </c>
      <c r="BU1283">
        <f t="shared" ca="1" si="577"/>
        <v>19816800</v>
      </c>
      <c r="BV1283">
        <f t="shared" ca="1" si="578"/>
        <v>19816800</v>
      </c>
      <c r="BW1283">
        <f t="shared" ca="1" si="579"/>
        <v>0</v>
      </c>
      <c r="BX1283">
        <f ca="1">IF(ROW()&lt;($C$7+1),"",IFERROR((分析データ!G1283-AVERAGE(OFFSET(分析データ!G$1,MAX(1,ROW()-$C$7),0,MIN($C$7,ROW()-1),1)))/STDEV(OFFSET(分析データ!G$1,MAX(1,ROW()-$C$7),0,MIN($C$7,ROW()-1),1)),0))</f>
        <v>0</v>
      </c>
      <c r="BY1283">
        <f t="shared" ca="1" si="580"/>
        <v>0</v>
      </c>
      <c r="BZ1283" t="str">
        <f ca="1">IF(BY1283=1,IF(INDEX(分析データ!$A:$A,ROW()+$C$5)&lt;&gt;"",40000*SIGN(BX1283)*(分析データ!G1283-INDEX(分析データ!G:G,ROW()+$C$5)),""),"")</f>
        <v/>
      </c>
      <c r="CA1283">
        <f t="shared" ca="1" si="581"/>
        <v>-3515452.8662109179</v>
      </c>
      <c r="CB1283">
        <f t="shared" ca="1" si="582"/>
        <v>11327520.000000004</v>
      </c>
      <c r="CC1283">
        <f t="shared" ca="1" si="583"/>
        <v>-14842972.866210923</v>
      </c>
      <c r="CD1283">
        <f t="shared" ca="1" si="584"/>
        <v>0</v>
      </c>
      <c r="CE1283">
        <f t="shared" ca="1" si="585"/>
        <v>23090347.13378913</v>
      </c>
      <c r="CF1283">
        <f t="shared" ca="1" si="586"/>
        <v>23090347.13378913</v>
      </c>
      <c r="CG1283">
        <f t="shared" ca="1" si="587"/>
        <v>0</v>
      </c>
      <c r="CH1283" s="10" t="str">
        <f>分析データ!A1283</f>
        <v/>
      </c>
    </row>
    <row r="1284" spans="46:86">
      <c r="AT1284">
        <f ca="1">IF(ROW()&lt;($C$7+1),"",IFERROR((分析データ!B1284-AVERAGE(OFFSET(分析データ!B$1,MAX(1,ROW()-$C$7),0,MIN($C$7,ROW()-1),1)))/STDEV(OFFSET(分析データ!B$1,MAX(1,ROW()-$C$7),0,MIN($C$7,ROW()-1),1)),0))</f>
        <v>0</v>
      </c>
      <c r="AU1284">
        <f t="shared" ca="1" si="560"/>
        <v>0</v>
      </c>
      <c r="AV1284" t="str">
        <f ca="1">IF(AU1284=1,IF(INDEX(分析データ!$A:$A,ROW()+$C$5)&lt;&gt;"",80000*SIGN(AT1284)*(分析データ!B1284-INDEX(分析データ!B:B,ROW()+$C$5)),""),"")</f>
        <v/>
      </c>
      <c r="AW1284">
        <f t="shared" ca="1" si="561"/>
        <v>-1240000.0000000019</v>
      </c>
      <c r="AX1284">
        <f t="shared" ca="1" si="562"/>
        <v>0</v>
      </c>
      <c r="AY1284">
        <f t="shared" ca="1" si="563"/>
        <v>-1240000.0000000019</v>
      </c>
      <c r="AZ1284">
        <f ca="1">IF(ROW()&lt;($C$7+1),"",IFERROR((分析データ!C1284-AVERAGE(OFFSET(分析データ!C$1,MAX(1,ROW()-$C$7),0,MIN($C$7,ROW()-1),1)))/STDEV(OFFSET(分析データ!C$1,MAX(1,ROW()-$C$7),0,MIN($C$7,ROW()-1),1)),0))</f>
        <v>0</v>
      </c>
      <c r="BA1284">
        <f t="shared" ca="1" si="564"/>
        <v>0</v>
      </c>
      <c r="BB1284" t="str">
        <f ca="1">IF(BA1284=1,IF(INDEX(分析データ!$A:$A,ROW()+$C$5)&lt;&gt;"",60000*SIGN(AZ1284)*(分析データ!C1284-INDEX(分析データ!C:C,ROW()+$C$5)),""),"")</f>
        <v/>
      </c>
      <c r="BC1284">
        <f t="shared" ca="1" si="565"/>
        <v>-260999.9999999851</v>
      </c>
      <c r="BD1284">
        <f t="shared" ca="1" si="566"/>
        <v>3156000.0000000107</v>
      </c>
      <c r="BE1284">
        <f t="shared" ca="1" si="567"/>
        <v>-3416999.9999999958</v>
      </c>
      <c r="BF1284">
        <f ca="1">IF(ROW()&lt;($C$7+1),"",IFERROR((分析データ!D1284-AVERAGE(OFFSET(分析データ!D$1,MAX(1,ROW()-$C$7),0,MIN($C$7,ROW()-1),1)))/STDEV(OFFSET(分析データ!D$1,MAX(1,ROW()-$C$7),0,MIN($C$7,ROW()-1),1)),0))</f>
        <v>0</v>
      </c>
      <c r="BG1284">
        <f t="shared" ca="1" si="568"/>
        <v>0</v>
      </c>
      <c r="BH1284" t="str">
        <f ca="1">IF(BG1284=1,IF(INDEX(分析データ!$A:$A,ROW()+$C$5)&lt;&gt;"",50000*SIGN(BF1284)*(分析データ!D1284-INDEX(分析データ!D:D,ROW()+$C$5)),""),"")</f>
        <v/>
      </c>
      <c r="BI1284">
        <f t="shared" ca="1" si="569"/>
        <v>5570000.0000000205</v>
      </c>
      <c r="BJ1284">
        <f t="shared" ca="1" si="570"/>
        <v>5570000.0000000205</v>
      </c>
      <c r="BK1284">
        <f t="shared" ca="1" si="571"/>
        <v>0</v>
      </c>
      <c r="BL1284">
        <f ca="1">IF(ROW()&lt;($C$7+1),"",IFERROR((分析データ!E1284-AVERAGE(OFFSET(分析データ!E$1,MAX(1,ROW()-$C$7),0,MIN($C$7,ROW()-1),1)))/STDEV(OFFSET(分析データ!E$1,MAX(1,ROW()-$C$7),0,MIN($C$7,ROW()-1),1)),0))</f>
        <v>0</v>
      </c>
      <c r="BM1284">
        <f t="shared" ca="1" si="572"/>
        <v>0</v>
      </c>
      <c r="BN1284" t="str">
        <f ca="1">IF(BM1284=1,IF(INDEX(分析データ!$A:$A,ROW()+$C$5)&lt;&gt;"",40000*SIGN(BL1284)*(分析データ!E1284-INDEX(分析データ!E:E,ROW()+$C$5)),""),"")</f>
        <v/>
      </c>
      <c r="BO1284">
        <f t="shared" ca="1" si="573"/>
        <v>2720000.0000000014</v>
      </c>
      <c r="BP1284">
        <f t="shared" ca="1" si="574"/>
        <v>4280000.0000000028</v>
      </c>
      <c r="BQ1284">
        <f t="shared" ca="1" si="575"/>
        <v>-1560000.0000000014</v>
      </c>
      <c r="BR1284">
        <f ca="1">IF(ROW()&lt;($C$7+1),"",IFERROR((分析データ!F1284-AVERAGE(OFFSET(分析データ!F$1,MAX(1,ROW()-$C$7),0,MIN($C$7,ROW()-1),1)))/STDEV(OFFSET(分析データ!F$1,MAX(1,ROW()-$C$7),0,MIN($C$7,ROW()-1),1)),0))</f>
        <v>0</v>
      </c>
      <c r="BS1284">
        <f t="shared" ca="1" si="576"/>
        <v>0</v>
      </c>
      <c r="BT1284" t="str">
        <f ca="1">IF(BS1284=1,IF(INDEX(分析データ!$A:$A,ROW()+$C$5)&lt;&gt;"",40000*SIGN(BR1284)*(分析データ!F1284-INDEX(分析データ!F:F,ROW()+$C$5)),""),"")</f>
        <v/>
      </c>
      <c r="BU1284">
        <f t="shared" ca="1" si="577"/>
        <v>19816800</v>
      </c>
      <c r="BV1284">
        <f t="shared" ca="1" si="578"/>
        <v>19816800</v>
      </c>
      <c r="BW1284">
        <f t="shared" ca="1" si="579"/>
        <v>0</v>
      </c>
      <c r="BX1284">
        <f ca="1">IF(ROW()&lt;($C$7+1),"",IFERROR((分析データ!G1284-AVERAGE(OFFSET(分析データ!G$1,MAX(1,ROW()-$C$7),0,MIN($C$7,ROW()-1),1)))/STDEV(OFFSET(分析データ!G$1,MAX(1,ROW()-$C$7),0,MIN($C$7,ROW()-1),1)),0))</f>
        <v>0</v>
      </c>
      <c r="BY1284">
        <f t="shared" ca="1" si="580"/>
        <v>0</v>
      </c>
      <c r="BZ1284" t="str">
        <f ca="1">IF(BY1284=1,IF(INDEX(分析データ!$A:$A,ROW()+$C$5)&lt;&gt;"",40000*SIGN(BX1284)*(分析データ!G1284-INDEX(分析データ!G:G,ROW()+$C$5)),""),"")</f>
        <v/>
      </c>
      <c r="CA1284">
        <f t="shared" ca="1" si="581"/>
        <v>-3515452.8662109179</v>
      </c>
      <c r="CB1284">
        <f t="shared" ca="1" si="582"/>
        <v>11327520.000000004</v>
      </c>
      <c r="CC1284">
        <f t="shared" ca="1" si="583"/>
        <v>-14842972.866210923</v>
      </c>
      <c r="CD1284">
        <f t="shared" ca="1" si="584"/>
        <v>0</v>
      </c>
      <c r="CE1284">
        <f t="shared" ca="1" si="585"/>
        <v>23090347.13378913</v>
      </c>
      <c r="CF1284">
        <f t="shared" ca="1" si="586"/>
        <v>23090347.13378913</v>
      </c>
      <c r="CG1284">
        <f t="shared" ca="1" si="587"/>
        <v>0</v>
      </c>
      <c r="CH1284" s="10" t="str">
        <f>分析データ!A1284</f>
        <v/>
      </c>
    </row>
    <row r="1285" spans="46:86">
      <c r="AT1285">
        <f ca="1">IF(ROW()&lt;($C$7+1),"",IFERROR((分析データ!B1285-AVERAGE(OFFSET(分析データ!B$1,MAX(1,ROW()-$C$7),0,MIN($C$7,ROW()-1),1)))/STDEV(OFFSET(分析データ!B$1,MAX(1,ROW()-$C$7),0,MIN($C$7,ROW()-1),1)),0))</f>
        <v>0</v>
      </c>
      <c r="AU1285">
        <f t="shared" ca="1" si="560"/>
        <v>0</v>
      </c>
      <c r="AV1285" t="str">
        <f ca="1">IF(AU1285=1,IF(INDEX(分析データ!$A:$A,ROW()+$C$5)&lt;&gt;"",80000*SIGN(AT1285)*(分析データ!B1285-INDEX(分析データ!B:B,ROW()+$C$5)),""),"")</f>
        <v/>
      </c>
      <c r="AW1285">
        <f t="shared" ca="1" si="561"/>
        <v>-1240000.0000000019</v>
      </c>
      <c r="AX1285">
        <f t="shared" ca="1" si="562"/>
        <v>0</v>
      </c>
      <c r="AY1285">
        <f t="shared" ca="1" si="563"/>
        <v>-1240000.0000000019</v>
      </c>
      <c r="AZ1285">
        <f ca="1">IF(ROW()&lt;($C$7+1),"",IFERROR((分析データ!C1285-AVERAGE(OFFSET(分析データ!C$1,MAX(1,ROW()-$C$7),0,MIN($C$7,ROW()-1),1)))/STDEV(OFFSET(分析データ!C$1,MAX(1,ROW()-$C$7),0,MIN($C$7,ROW()-1),1)),0))</f>
        <v>0</v>
      </c>
      <c r="BA1285">
        <f t="shared" ca="1" si="564"/>
        <v>0</v>
      </c>
      <c r="BB1285" t="str">
        <f ca="1">IF(BA1285=1,IF(INDEX(分析データ!$A:$A,ROW()+$C$5)&lt;&gt;"",60000*SIGN(AZ1285)*(分析データ!C1285-INDEX(分析データ!C:C,ROW()+$C$5)),""),"")</f>
        <v/>
      </c>
      <c r="BC1285">
        <f t="shared" ca="1" si="565"/>
        <v>-260999.9999999851</v>
      </c>
      <c r="BD1285">
        <f t="shared" ca="1" si="566"/>
        <v>3156000.0000000107</v>
      </c>
      <c r="BE1285">
        <f t="shared" ca="1" si="567"/>
        <v>-3416999.9999999958</v>
      </c>
      <c r="BF1285">
        <f ca="1">IF(ROW()&lt;($C$7+1),"",IFERROR((分析データ!D1285-AVERAGE(OFFSET(分析データ!D$1,MAX(1,ROW()-$C$7),0,MIN($C$7,ROW()-1),1)))/STDEV(OFFSET(分析データ!D$1,MAX(1,ROW()-$C$7),0,MIN($C$7,ROW()-1),1)),0))</f>
        <v>0</v>
      </c>
      <c r="BG1285">
        <f t="shared" ca="1" si="568"/>
        <v>0</v>
      </c>
      <c r="BH1285" t="str">
        <f ca="1">IF(BG1285=1,IF(INDEX(分析データ!$A:$A,ROW()+$C$5)&lt;&gt;"",50000*SIGN(BF1285)*(分析データ!D1285-INDEX(分析データ!D:D,ROW()+$C$5)),""),"")</f>
        <v/>
      </c>
      <c r="BI1285">
        <f t="shared" ca="1" si="569"/>
        <v>5570000.0000000205</v>
      </c>
      <c r="BJ1285">
        <f t="shared" ca="1" si="570"/>
        <v>5570000.0000000205</v>
      </c>
      <c r="BK1285">
        <f t="shared" ca="1" si="571"/>
        <v>0</v>
      </c>
      <c r="BL1285">
        <f ca="1">IF(ROW()&lt;($C$7+1),"",IFERROR((分析データ!E1285-AVERAGE(OFFSET(分析データ!E$1,MAX(1,ROW()-$C$7),0,MIN($C$7,ROW()-1),1)))/STDEV(OFFSET(分析データ!E$1,MAX(1,ROW()-$C$7),0,MIN($C$7,ROW()-1),1)),0))</f>
        <v>0</v>
      </c>
      <c r="BM1285">
        <f t="shared" ca="1" si="572"/>
        <v>0</v>
      </c>
      <c r="BN1285" t="str">
        <f ca="1">IF(BM1285=1,IF(INDEX(分析データ!$A:$A,ROW()+$C$5)&lt;&gt;"",40000*SIGN(BL1285)*(分析データ!E1285-INDEX(分析データ!E:E,ROW()+$C$5)),""),"")</f>
        <v/>
      </c>
      <c r="BO1285">
        <f t="shared" ca="1" si="573"/>
        <v>2720000.0000000014</v>
      </c>
      <c r="BP1285">
        <f t="shared" ca="1" si="574"/>
        <v>4280000.0000000028</v>
      </c>
      <c r="BQ1285">
        <f t="shared" ca="1" si="575"/>
        <v>-1560000.0000000014</v>
      </c>
      <c r="BR1285">
        <f ca="1">IF(ROW()&lt;($C$7+1),"",IFERROR((分析データ!F1285-AVERAGE(OFFSET(分析データ!F$1,MAX(1,ROW()-$C$7),0,MIN($C$7,ROW()-1),1)))/STDEV(OFFSET(分析データ!F$1,MAX(1,ROW()-$C$7),0,MIN($C$7,ROW()-1),1)),0))</f>
        <v>0</v>
      </c>
      <c r="BS1285">
        <f t="shared" ca="1" si="576"/>
        <v>0</v>
      </c>
      <c r="BT1285" t="str">
        <f ca="1">IF(BS1285=1,IF(INDEX(分析データ!$A:$A,ROW()+$C$5)&lt;&gt;"",40000*SIGN(BR1285)*(分析データ!F1285-INDEX(分析データ!F:F,ROW()+$C$5)),""),"")</f>
        <v/>
      </c>
      <c r="BU1285">
        <f t="shared" ca="1" si="577"/>
        <v>19816800</v>
      </c>
      <c r="BV1285">
        <f t="shared" ca="1" si="578"/>
        <v>19816800</v>
      </c>
      <c r="BW1285">
        <f t="shared" ca="1" si="579"/>
        <v>0</v>
      </c>
      <c r="BX1285">
        <f ca="1">IF(ROW()&lt;($C$7+1),"",IFERROR((分析データ!G1285-AVERAGE(OFFSET(分析データ!G$1,MAX(1,ROW()-$C$7),0,MIN($C$7,ROW()-1),1)))/STDEV(OFFSET(分析データ!G$1,MAX(1,ROW()-$C$7),0,MIN($C$7,ROW()-1),1)),0))</f>
        <v>0</v>
      </c>
      <c r="BY1285">
        <f t="shared" ca="1" si="580"/>
        <v>0</v>
      </c>
      <c r="BZ1285" t="str">
        <f ca="1">IF(BY1285=1,IF(INDEX(分析データ!$A:$A,ROW()+$C$5)&lt;&gt;"",40000*SIGN(BX1285)*(分析データ!G1285-INDEX(分析データ!G:G,ROW()+$C$5)),""),"")</f>
        <v/>
      </c>
      <c r="CA1285">
        <f t="shared" ca="1" si="581"/>
        <v>-3515452.8662109179</v>
      </c>
      <c r="CB1285">
        <f t="shared" ca="1" si="582"/>
        <v>11327520.000000004</v>
      </c>
      <c r="CC1285">
        <f t="shared" ca="1" si="583"/>
        <v>-14842972.866210923</v>
      </c>
      <c r="CD1285">
        <f t="shared" ca="1" si="584"/>
        <v>0</v>
      </c>
      <c r="CE1285">
        <f t="shared" ca="1" si="585"/>
        <v>23090347.13378913</v>
      </c>
      <c r="CF1285">
        <f t="shared" ca="1" si="586"/>
        <v>23090347.13378913</v>
      </c>
      <c r="CG1285">
        <f t="shared" ca="1" si="587"/>
        <v>0</v>
      </c>
      <c r="CH1285" s="10" t="str">
        <f>分析データ!A1285</f>
        <v/>
      </c>
    </row>
    <row r="1286" spans="46:86">
      <c r="AT1286">
        <f ca="1">IF(ROW()&lt;($C$7+1),"",IFERROR((分析データ!B1286-AVERAGE(OFFSET(分析データ!B$1,MAX(1,ROW()-$C$7),0,MIN($C$7,ROW()-1),1)))/STDEV(OFFSET(分析データ!B$1,MAX(1,ROW()-$C$7),0,MIN($C$7,ROW()-1),1)),0))</f>
        <v>0</v>
      </c>
      <c r="AU1286">
        <f t="shared" ca="1" si="560"/>
        <v>0</v>
      </c>
      <c r="AV1286" t="str">
        <f ca="1">IF(AU1286=1,IF(INDEX(分析データ!$A:$A,ROW()+$C$5)&lt;&gt;"",80000*SIGN(AT1286)*(分析データ!B1286-INDEX(分析データ!B:B,ROW()+$C$5)),""),"")</f>
        <v/>
      </c>
      <c r="AW1286">
        <f t="shared" ca="1" si="561"/>
        <v>-1240000.0000000019</v>
      </c>
      <c r="AX1286">
        <f t="shared" ca="1" si="562"/>
        <v>0</v>
      </c>
      <c r="AY1286">
        <f t="shared" ca="1" si="563"/>
        <v>-1240000.0000000019</v>
      </c>
      <c r="AZ1286">
        <f ca="1">IF(ROW()&lt;($C$7+1),"",IFERROR((分析データ!C1286-AVERAGE(OFFSET(分析データ!C$1,MAX(1,ROW()-$C$7),0,MIN($C$7,ROW()-1),1)))/STDEV(OFFSET(分析データ!C$1,MAX(1,ROW()-$C$7),0,MIN($C$7,ROW()-1),1)),0))</f>
        <v>0</v>
      </c>
      <c r="BA1286">
        <f t="shared" ca="1" si="564"/>
        <v>0</v>
      </c>
      <c r="BB1286" t="str">
        <f ca="1">IF(BA1286=1,IF(INDEX(分析データ!$A:$A,ROW()+$C$5)&lt;&gt;"",60000*SIGN(AZ1286)*(分析データ!C1286-INDEX(分析データ!C:C,ROW()+$C$5)),""),"")</f>
        <v/>
      </c>
      <c r="BC1286">
        <f t="shared" ca="1" si="565"/>
        <v>-260999.9999999851</v>
      </c>
      <c r="BD1286">
        <f t="shared" ca="1" si="566"/>
        <v>3156000.0000000107</v>
      </c>
      <c r="BE1286">
        <f t="shared" ca="1" si="567"/>
        <v>-3416999.9999999958</v>
      </c>
      <c r="BF1286">
        <f ca="1">IF(ROW()&lt;($C$7+1),"",IFERROR((分析データ!D1286-AVERAGE(OFFSET(分析データ!D$1,MAX(1,ROW()-$C$7),0,MIN($C$7,ROW()-1),1)))/STDEV(OFFSET(分析データ!D$1,MAX(1,ROW()-$C$7),0,MIN($C$7,ROW()-1),1)),0))</f>
        <v>0</v>
      </c>
      <c r="BG1286">
        <f t="shared" ca="1" si="568"/>
        <v>0</v>
      </c>
      <c r="BH1286" t="str">
        <f ca="1">IF(BG1286=1,IF(INDEX(分析データ!$A:$A,ROW()+$C$5)&lt;&gt;"",50000*SIGN(BF1286)*(分析データ!D1286-INDEX(分析データ!D:D,ROW()+$C$5)),""),"")</f>
        <v/>
      </c>
      <c r="BI1286">
        <f t="shared" ca="1" si="569"/>
        <v>5570000.0000000205</v>
      </c>
      <c r="BJ1286">
        <f t="shared" ca="1" si="570"/>
        <v>5570000.0000000205</v>
      </c>
      <c r="BK1286">
        <f t="shared" ca="1" si="571"/>
        <v>0</v>
      </c>
      <c r="BL1286">
        <f ca="1">IF(ROW()&lt;($C$7+1),"",IFERROR((分析データ!E1286-AVERAGE(OFFSET(分析データ!E$1,MAX(1,ROW()-$C$7),0,MIN($C$7,ROW()-1),1)))/STDEV(OFFSET(分析データ!E$1,MAX(1,ROW()-$C$7),0,MIN($C$7,ROW()-1),1)),0))</f>
        <v>0</v>
      </c>
      <c r="BM1286">
        <f t="shared" ca="1" si="572"/>
        <v>0</v>
      </c>
      <c r="BN1286" t="str">
        <f ca="1">IF(BM1286=1,IF(INDEX(分析データ!$A:$A,ROW()+$C$5)&lt;&gt;"",40000*SIGN(BL1286)*(分析データ!E1286-INDEX(分析データ!E:E,ROW()+$C$5)),""),"")</f>
        <v/>
      </c>
      <c r="BO1286">
        <f t="shared" ca="1" si="573"/>
        <v>2720000.0000000014</v>
      </c>
      <c r="BP1286">
        <f t="shared" ca="1" si="574"/>
        <v>4280000.0000000028</v>
      </c>
      <c r="BQ1286">
        <f t="shared" ca="1" si="575"/>
        <v>-1560000.0000000014</v>
      </c>
      <c r="BR1286">
        <f ca="1">IF(ROW()&lt;($C$7+1),"",IFERROR((分析データ!F1286-AVERAGE(OFFSET(分析データ!F$1,MAX(1,ROW()-$C$7),0,MIN($C$7,ROW()-1),1)))/STDEV(OFFSET(分析データ!F$1,MAX(1,ROW()-$C$7),0,MIN($C$7,ROW()-1),1)),0))</f>
        <v>0</v>
      </c>
      <c r="BS1286">
        <f t="shared" ca="1" si="576"/>
        <v>0</v>
      </c>
      <c r="BT1286" t="str">
        <f ca="1">IF(BS1286=1,IF(INDEX(分析データ!$A:$A,ROW()+$C$5)&lt;&gt;"",40000*SIGN(BR1286)*(分析データ!F1286-INDEX(分析データ!F:F,ROW()+$C$5)),""),"")</f>
        <v/>
      </c>
      <c r="BU1286">
        <f t="shared" ca="1" si="577"/>
        <v>19816800</v>
      </c>
      <c r="BV1286">
        <f t="shared" ca="1" si="578"/>
        <v>19816800</v>
      </c>
      <c r="BW1286">
        <f t="shared" ca="1" si="579"/>
        <v>0</v>
      </c>
      <c r="BX1286">
        <f ca="1">IF(ROW()&lt;($C$7+1),"",IFERROR((分析データ!G1286-AVERAGE(OFFSET(分析データ!G$1,MAX(1,ROW()-$C$7),0,MIN($C$7,ROW()-1),1)))/STDEV(OFFSET(分析データ!G$1,MAX(1,ROW()-$C$7),0,MIN($C$7,ROW()-1),1)),0))</f>
        <v>0</v>
      </c>
      <c r="BY1286">
        <f t="shared" ca="1" si="580"/>
        <v>0</v>
      </c>
      <c r="BZ1286" t="str">
        <f ca="1">IF(BY1286=1,IF(INDEX(分析データ!$A:$A,ROW()+$C$5)&lt;&gt;"",40000*SIGN(BX1286)*(分析データ!G1286-INDEX(分析データ!G:G,ROW()+$C$5)),""),"")</f>
        <v/>
      </c>
      <c r="CA1286">
        <f t="shared" ca="1" si="581"/>
        <v>-3515452.8662109179</v>
      </c>
      <c r="CB1286">
        <f t="shared" ca="1" si="582"/>
        <v>11327520.000000004</v>
      </c>
      <c r="CC1286">
        <f t="shared" ca="1" si="583"/>
        <v>-14842972.866210923</v>
      </c>
      <c r="CD1286">
        <f t="shared" ca="1" si="584"/>
        <v>0</v>
      </c>
      <c r="CE1286">
        <f t="shared" ca="1" si="585"/>
        <v>23090347.13378913</v>
      </c>
      <c r="CF1286">
        <f t="shared" ca="1" si="586"/>
        <v>23090347.13378913</v>
      </c>
      <c r="CG1286">
        <f t="shared" ca="1" si="587"/>
        <v>0</v>
      </c>
      <c r="CH1286" s="10" t="str">
        <f>分析データ!A1286</f>
        <v/>
      </c>
    </row>
    <row r="1287" spans="46:86">
      <c r="AT1287">
        <f ca="1">IF(ROW()&lt;($C$7+1),"",IFERROR((分析データ!B1287-AVERAGE(OFFSET(分析データ!B$1,MAX(1,ROW()-$C$7),0,MIN($C$7,ROW()-1),1)))/STDEV(OFFSET(分析データ!B$1,MAX(1,ROW()-$C$7),0,MIN($C$7,ROW()-1),1)),0))</f>
        <v>0</v>
      </c>
      <c r="AU1287">
        <f t="shared" ca="1" si="560"/>
        <v>0</v>
      </c>
      <c r="AV1287" t="str">
        <f ca="1">IF(AU1287=1,IF(INDEX(分析データ!$A:$A,ROW()+$C$5)&lt;&gt;"",80000*SIGN(AT1287)*(分析データ!B1287-INDEX(分析データ!B:B,ROW()+$C$5)),""),"")</f>
        <v/>
      </c>
      <c r="AW1287">
        <f t="shared" ca="1" si="561"/>
        <v>-1240000.0000000019</v>
      </c>
      <c r="AX1287">
        <f t="shared" ca="1" si="562"/>
        <v>0</v>
      </c>
      <c r="AY1287">
        <f t="shared" ca="1" si="563"/>
        <v>-1240000.0000000019</v>
      </c>
      <c r="AZ1287">
        <f ca="1">IF(ROW()&lt;($C$7+1),"",IFERROR((分析データ!C1287-AVERAGE(OFFSET(分析データ!C$1,MAX(1,ROW()-$C$7),0,MIN($C$7,ROW()-1),1)))/STDEV(OFFSET(分析データ!C$1,MAX(1,ROW()-$C$7),0,MIN($C$7,ROW()-1),1)),0))</f>
        <v>0</v>
      </c>
      <c r="BA1287">
        <f t="shared" ca="1" si="564"/>
        <v>0</v>
      </c>
      <c r="BB1287" t="str">
        <f ca="1">IF(BA1287=1,IF(INDEX(分析データ!$A:$A,ROW()+$C$5)&lt;&gt;"",60000*SIGN(AZ1287)*(分析データ!C1287-INDEX(分析データ!C:C,ROW()+$C$5)),""),"")</f>
        <v/>
      </c>
      <c r="BC1287">
        <f t="shared" ca="1" si="565"/>
        <v>-260999.9999999851</v>
      </c>
      <c r="BD1287">
        <f t="shared" ca="1" si="566"/>
        <v>3156000.0000000107</v>
      </c>
      <c r="BE1287">
        <f t="shared" ca="1" si="567"/>
        <v>-3416999.9999999958</v>
      </c>
      <c r="BF1287">
        <f ca="1">IF(ROW()&lt;($C$7+1),"",IFERROR((分析データ!D1287-AVERAGE(OFFSET(分析データ!D$1,MAX(1,ROW()-$C$7),0,MIN($C$7,ROW()-1),1)))/STDEV(OFFSET(分析データ!D$1,MAX(1,ROW()-$C$7),0,MIN($C$7,ROW()-1),1)),0))</f>
        <v>0</v>
      </c>
      <c r="BG1287">
        <f t="shared" ca="1" si="568"/>
        <v>0</v>
      </c>
      <c r="BH1287" t="str">
        <f ca="1">IF(BG1287=1,IF(INDEX(分析データ!$A:$A,ROW()+$C$5)&lt;&gt;"",50000*SIGN(BF1287)*(分析データ!D1287-INDEX(分析データ!D:D,ROW()+$C$5)),""),"")</f>
        <v/>
      </c>
      <c r="BI1287">
        <f t="shared" ca="1" si="569"/>
        <v>5570000.0000000205</v>
      </c>
      <c r="BJ1287">
        <f t="shared" ca="1" si="570"/>
        <v>5570000.0000000205</v>
      </c>
      <c r="BK1287">
        <f t="shared" ca="1" si="571"/>
        <v>0</v>
      </c>
      <c r="BL1287">
        <f ca="1">IF(ROW()&lt;($C$7+1),"",IFERROR((分析データ!E1287-AVERAGE(OFFSET(分析データ!E$1,MAX(1,ROW()-$C$7),0,MIN($C$7,ROW()-1),1)))/STDEV(OFFSET(分析データ!E$1,MAX(1,ROW()-$C$7),0,MIN($C$7,ROW()-1),1)),0))</f>
        <v>0</v>
      </c>
      <c r="BM1287">
        <f t="shared" ca="1" si="572"/>
        <v>0</v>
      </c>
      <c r="BN1287" t="str">
        <f ca="1">IF(BM1287=1,IF(INDEX(分析データ!$A:$A,ROW()+$C$5)&lt;&gt;"",40000*SIGN(BL1287)*(分析データ!E1287-INDEX(分析データ!E:E,ROW()+$C$5)),""),"")</f>
        <v/>
      </c>
      <c r="BO1287">
        <f t="shared" ca="1" si="573"/>
        <v>2720000.0000000014</v>
      </c>
      <c r="BP1287">
        <f t="shared" ca="1" si="574"/>
        <v>4280000.0000000028</v>
      </c>
      <c r="BQ1287">
        <f t="shared" ca="1" si="575"/>
        <v>-1560000.0000000014</v>
      </c>
      <c r="BR1287">
        <f ca="1">IF(ROW()&lt;($C$7+1),"",IFERROR((分析データ!F1287-AVERAGE(OFFSET(分析データ!F$1,MAX(1,ROW()-$C$7),0,MIN($C$7,ROW()-1),1)))/STDEV(OFFSET(分析データ!F$1,MAX(1,ROW()-$C$7),0,MIN($C$7,ROW()-1),1)),0))</f>
        <v>0</v>
      </c>
      <c r="BS1287">
        <f t="shared" ca="1" si="576"/>
        <v>0</v>
      </c>
      <c r="BT1287" t="str">
        <f ca="1">IF(BS1287=1,IF(INDEX(分析データ!$A:$A,ROW()+$C$5)&lt;&gt;"",40000*SIGN(BR1287)*(分析データ!F1287-INDEX(分析データ!F:F,ROW()+$C$5)),""),"")</f>
        <v/>
      </c>
      <c r="BU1287">
        <f t="shared" ca="1" si="577"/>
        <v>19816800</v>
      </c>
      <c r="BV1287">
        <f t="shared" ca="1" si="578"/>
        <v>19816800</v>
      </c>
      <c r="BW1287">
        <f t="shared" ca="1" si="579"/>
        <v>0</v>
      </c>
      <c r="BX1287">
        <f ca="1">IF(ROW()&lt;($C$7+1),"",IFERROR((分析データ!G1287-AVERAGE(OFFSET(分析データ!G$1,MAX(1,ROW()-$C$7),0,MIN($C$7,ROW()-1),1)))/STDEV(OFFSET(分析データ!G$1,MAX(1,ROW()-$C$7),0,MIN($C$7,ROW()-1),1)),0))</f>
        <v>0</v>
      </c>
      <c r="BY1287">
        <f t="shared" ca="1" si="580"/>
        <v>0</v>
      </c>
      <c r="BZ1287" t="str">
        <f ca="1">IF(BY1287=1,IF(INDEX(分析データ!$A:$A,ROW()+$C$5)&lt;&gt;"",40000*SIGN(BX1287)*(分析データ!G1287-INDEX(分析データ!G:G,ROW()+$C$5)),""),"")</f>
        <v/>
      </c>
      <c r="CA1287">
        <f t="shared" ca="1" si="581"/>
        <v>-3515452.8662109179</v>
      </c>
      <c r="CB1287">
        <f t="shared" ca="1" si="582"/>
        <v>11327520.000000004</v>
      </c>
      <c r="CC1287">
        <f t="shared" ca="1" si="583"/>
        <v>-14842972.866210923</v>
      </c>
      <c r="CD1287">
        <f t="shared" ca="1" si="584"/>
        <v>0</v>
      </c>
      <c r="CE1287">
        <f t="shared" ca="1" si="585"/>
        <v>23090347.13378913</v>
      </c>
      <c r="CF1287">
        <f t="shared" ca="1" si="586"/>
        <v>23090347.13378913</v>
      </c>
      <c r="CG1287">
        <f t="shared" ca="1" si="587"/>
        <v>0</v>
      </c>
      <c r="CH1287" s="10" t="str">
        <f>分析データ!A1287</f>
        <v/>
      </c>
    </row>
    <row r="1288" spans="46:86">
      <c r="AT1288">
        <f ca="1">IF(ROW()&lt;($C$7+1),"",IFERROR((分析データ!B1288-AVERAGE(OFFSET(分析データ!B$1,MAX(1,ROW()-$C$7),0,MIN($C$7,ROW()-1),1)))/STDEV(OFFSET(分析データ!B$1,MAX(1,ROW()-$C$7),0,MIN($C$7,ROW()-1),1)),0))</f>
        <v>0</v>
      </c>
      <c r="AU1288">
        <f t="shared" ca="1" si="560"/>
        <v>0</v>
      </c>
      <c r="AV1288" t="str">
        <f ca="1">IF(AU1288=1,IF(INDEX(分析データ!$A:$A,ROW()+$C$5)&lt;&gt;"",80000*SIGN(AT1288)*(分析データ!B1288-INDEX(分析データ!B:B,ROW()+$C$5)),""),"")</f>
        <v/>
      </c>
      <c r="AW1288">
        <f t="shared" ca="1" si="561"/>
        <v>-1240000.0000000019</v>
      </c>
      <c r="AX1288">
        <f t="shared" ca="1" si="562"/>
        <v>0</v>
      </c>
      <c r="AY1288">
        <f t="shared" ca="1" si="563"/>
        <v>-1240000.0000000019</v>
      </c>
      <c r="AZ1288">
        <f ca="1">IF(ROW()&lt;($C$7+1),"",IFERROR((分析データ!C1288-AVERAGE(OFFSET(分析データ!C$1,MAX(1,ROW()-$C$7),0,MIN($C$7,ROW()-1),1)))/STDEV(OFFSET(分析データ!C$1,MAX(1,ROW()-$C$7),0,MIN($C$7,ROW()-1),1)),0))</f>
        <v>0</v>
      </c>
      <c r="BA1288">
        <f t="shared" ca="1" si="564"/>
        <v>0</v>
      </c>
      <c r="BB1288" t="str">
        <f ca="1">IF(BA1288=1,IF(INDEX(分析データ!$A:$A,ROW()+$C$5)&lt;&gt;"",60000*SIGN(AZ1288)*(分析データ!C1288-INDEX(分析データ!C:C,ROW()+$C$5)),""),"")</f>
        <v/>
      </c>
      <c r="BC1288">
        <f t="shared" ca="1" si="565"/>
        <v>-260999.9999999851</v>
      </c>
      <c r="BD1288">
        <f t="shared" ca="1" si="566"/>
        <v>3156000.0000000107</v>
      </c>
      <c r="BE1288">
        <f t="shared" ca="1" si="567"/>
        <v>-3416999.9999999958</v>
      </c>
      <c r="BF1288">
        <f ca="1">IF(ROW()&lt;($C$7+1),"",IFERROR((分析データ!D1288-AVERAGE(OFFSET(分析データ!D$1,MAX(1,ROW()-$C$7),0,MIN($C$7,ROW()-1),1)))/STDEV(OFFSET(分析データ!D$1,MAX(1,ROW()-$C$7),0,MIN($C$7,ROW()-1),1)),0))</f>
        <v>0</v>
      </c>
      <c r="BG1288">
        <f t="shared" ca="1" si="568"/>
        <v>0</v>
      </c>
      <c r="BH1288" t="str">
        <f ca="1">IF(BG1288=1,IF(INDEX(分析データ!$A:$A,ROW()+$C$5)&lt;&gt;"",50000*SIGN(BF1288)*(分析データ!D1288-INDEX(分析データ!D:D,ROW()+$C$5)),""),"")</f>
        <v/>
      </c>
      <c r="BI1288">
        <f t="shared" ca="1" si="569"/>
        <v>5570000.0000000205</v>
      </c>
      <c r="BJ1288">
        <f t="shared" ca="1" si="570"/>
        <v>5570000.0000000205</v>
      </c>
      <c r="BK1288">
        <f t="shared" ca="1" si="571"/>
        <v>0</v>
      </c>
      <c r="BL1288">
        <f ca="1">IF(ROW()&lt;($C$7+1),"",IFERROR((分析データ!E1288-AVERAGE(OFFSET(分析データ!E$1,MAX(1,ROW()-$C$7),0,MIN($C$7,ROW()-1),1)))/STDEV(OFFSET(分析データ!E$1,MAX(1,ROW()-$C$7),0,MIN($C$7,ROW()-1),1)),0))</f>
        <v>0</v>
      </c>
      <c r="BM1288">
        <f t="shared" ca="1" si="572"/>
        <v>0</v>
      </c>
      <c r="BN1288" t="str">
        <f ca="1">IF(BM1288=1,IF(INDEX(分析データ!$A:$A,ROW()+$C$5)&lt;&gt;"",40000*SIGN(BL1288)*(分析データ!E1288-INDEX(分析データ!E:E,ROW()+$C$5)),""),"")</f>
        <v/>
      </c>
      <c r="BO1288">
        <f t="shared" ca="1" si="573"/>
        <v>2720000.0000000014</v>
      </c>
      <c r="BP1288">
        <f t="shared" ca="1" si="574"/>
        <v>4280000.0000000028</v>
      </c>
      <c r="BQ1288">
        <f t="shared" ca="1" si="575"/>
        <v>-1560000.0000000014</v>
      </c>
      <c r="BR1288">
        <f ca="1">IF(ROW()&lt;($C$7+1),"",IFERROR((分析データ!F1288-AVERAGE(OFFSET(分析データ!F$1,MAX(1,ROW()-$C$7),0,MIN($C$7,ROW()-1),1)))/STDEV(OFFSET(分析データ!F$1,MAX(1,ROW()-$C$7),0,MIN($C$7,ROW()-1),1)),0))</f>
        <v>0</v>
      </c>
      <c r="BS1288">
        <f t="shared" ca="1" si="576"/>
        <v>0</v>
      </c>
      <c r="BT1288" t="str">
        <f ca="1">IF(BS1288=1,IF(INDEX(分析データ!$A:$A,ROW()+$C$5)&lt;&gt;"",40000*SIGN(BR1288)*(分析データ!F1288-INDEX(分析データ!F:F,ROW()+$C$5)),""),"")</f>
        <v/>
      </c>
      <c r="BU1288">
        <f t="shared" ca="1" si="577"/>
        <v>19816800</v>
      </c>
      <c r="BV1288">
        <f t="shared" ca="1" si="578"/>
        <v>19816800</v>
      </c>
      <c r="BW1288">
        <f t="shared" ca="1" si="579"/>
        <v>0</v>
      </c>
      <c r="BX1288">
        <f ca="1">IF(ROW()&lt;($C$7+1),"",IFERROR((分析データ!G1288-AVERAGE(OFFSET(分析データ!G$1,MAX(1,ROW()-$C$7),0,MIN($C$7,ROW()-1),1)))/STDEV(OFFSET(分析データ!G$1,MAX(1,ROW()-$C$7),0,MIN($C$7,ROW()-1),1)),0))</f>
        <v>0</v>
      </c>
      <c r="BY1288">
        <f t="shared" ca="1" si="580"/>
        <v>0</v>
      </c>
      <c r="BZ1288" t="str">
        <f ca="1">IF(BY1288=1,IF(INDEX(分析データ!$A:$A,ROW()+$C$5)&lt;&gt;"",40000*SIGN(BX1288)*(分析データ!G1288-INDEX(分析データ!G:G,ROW()+$C$5)),""),"")</f>
        <v/>
      </c>
      <c r="CA1288">
        <f t="shared" ca="1" si="581"/>
        <v>-3515452.8662109179</v>
      </c>
      <c r="CB1288">
        <f t="shared" ca="1" si="582"/>
        <v>11327520.000000004</v>
      </c>
      <c r="CC1288">
        <f t="shared" ca="1" si="583"/>
        <v>-14842972.866210923</v>
      </c>
      <c r="CD1288">
        <f t="shared" ca="1" si="584"/>
        <v>0</v>
      </c>
      <c r="CE1288">
        <f t="shared" ca="1" si="585"/>
        <v>23090347.13378913</v>
      </c>
      <c r="CF1288">
        <f t="shared" ca="1" si="586"/>
        <v>23090347.13378913</v>
      </c>
      <c r="CG1288">
        <f t="shared" ca="1" si="587"/>
        <v>0</v>
      </c>
      <c r="CH1288" s="10" t="str">
        <f>分析データ!A1288</f>
        <v/>
      </c>
    </row>
    <row r="1289" spans="46:86">
      <c r="AT1289">
        <f ca="1">IF(ROW()&lt;($C$7+1),"",IFERROR((分析データ!B1289-AVERAGE(OFFSET(分析データ!B$1,MAX(1,ROW()-$C$7),0,MIN($C$7,ROW()-1),1)))/STDEV(OFFSET(分析データ!B$1,MAX(1,ROW()-$C$7),0,MIN($C$7,ROW()-1),1)),0))</f>
        <v>0</v>
      </c>
      <c r="AU1289">
        <f t="shared" ca="1" si="560"/>
        <v>0</v>
      </c>
      <c r="AV1289" t="str">
        <f ca="1">IF(AU1289=1,IF(INDEX(分析データ!$A:$A,ROW()+$C$5)&lt;&gt;"",80000*SIGN(AT1289)*(分析データ!B1289-INDEX(分析データ!B:B,ROW()+$C$5)),""),"")</f>
        <v/>
      </c>
      <c r="AW1289">
        <f t="shared" ca="1" si="561"/>
        <v>-1240000.0000000019</v>
      </c>
      <c r="AX1289">
        <f t="shared" ca="1" si="562"/>
        <v>0</v>
      </c>
      <c r="AY1289">
        <f t="shared" ca="1" si="563"/>
        <v>-1240000.0000000019</v>
      </c>
      <c r="AZ1289">
        <f ca="1">IF(ROW()&lt;($C$7+1),"",IFERROR((分析データ!C1289-AVERAGE(OFFSET(分析データ!C$1,MAX(1,ROW()-$C$7),0,MIN($C$7,ROW()-1),1)))/STDEV(OFFSET(分析データ!C$1,MAX(1,ROW()-$C$7),0,MIN($C$7,ROW()-1),1)),0))</f>
        <v>0</v>
      </c>
      <c r="BA1289">
        <f t="shared" ca="1" si="564"/>
        <v>0</v>
      </c>
      <c r="BB1289" t="str">
        <f ca="1">IF(BA1289=1,IF(INDEX(分析データ!$A:$A,ROW()+$C$5)&lt;&gt;"",60000*SIGN(AZ1289)*(分析データ!C1289-INDEX(分析データ!C:C,ROW()+$C$5)),""),"")</f>
        <v/>
      </c>
      <c r="BC1289">
        <f t="shared" ca="1" si="565"/>
        <v>-260999.9999999851</v>
      </c>
      <c r="BD1289">
        <f t="shared" ca="1" si="566"/>
        <v>3156000.0000000107</v>
      </c>
      <c r="BE1289">
        <f t="shared" ca="1" si="567"/>
        <v>-3416999.9999999958</v>
      </c>
      <c r="BF1289">
        <f ca="1">IF(ROW()&lt;($C$7+1),"",IFERROR((分析データ!D1289-AVERAGE(OFFSET(分析データ!D$1,MAX(1,ROW()-$C$7),0,MIN($C$7,ROW()-1),1)))/STDEV(OFFSET(分析データ!D$1,MAX(1,ROW()-$C$7),0,MIN($C$7,ROW()-1),1)),0))</f>
        <v>0</v>
      </c>
      <c r="BG1289">
        <f t="shared" ca="1" si="568"/>
        <v>0</v>
      </c>
      <c r="BH1289" t="str">
        <f ca="1">IF(BG1289=1,IF(INDEX(分析データ!$A:$A,ROW()+$C$5)&lt;&gt;"",50000*SIGN(BF1289)*(分析データ!D1289-INDEX(分析データ!D:D,ROW()+$C$5)),""),"")</f>
        <v/>
      </c>
      <c r="BI1289">
        <f t="shared" ca="1" si="569"/>
        <v>5570000.0000000205</v>
      </c>
      <c r="BJ1289">
        <f t="shared" ca="1" si="570"/>
        <v>5570000.0000000205</v>
      </c>
      <c r="BK1289">
        <f t="shared" ca="1" si="571"/>
        <v>0</v>
      </c>
      <c r="BL1289">
        <f ca="1">IF(ROW()&lt;($C$7+1),"",IFERROR((分析データ!E1289-AVERAGE(OFFSET(分析データ!E$1,MAX(1,ROW()-$C$7),0,MIN($C$7,ROW()-1),1)))/STDEV(OFFSET(分析データ!E$1,MAX(1,ROW()-$C$7),0,MIN($C$7,ROW()-1),1)),0))</f>
        <v>0</v>
      </c>
      <c r="BM1289">
        <f t="shared" ca="1" si="572"/>
        <v>0</v>
      </c>
      <c r="BN1289" t="str">
        <f ca="1">IF(BM1289=1,IF(INDEX(分析データ!$A:$A,ROW()+$C$5)&lt;&gt;"",40000*SIGN(BL1289)*(分析データ!E1289-INDEX(分析データ!E:E,ROW()+$C$5)),""),"")</f>
        <v/>
      </c>
      <c r="BO1289">
        <f t="shared" ca="1" si="573"/>
        <v>2720000.0000000014</v>
      </c>
      <c r="BP1289">
        <f t="shared" ca="1" si="574"/>
        <v>4280000.0000000028</v>
      </c>
      <c r="BQ1289">
        <f t="shared" ca="1" si="575"/>
        <v>-1560000.0000000014</v>
      </c>
      <c r="BR1289">
        <f ca="1">IF(ROW()&lt;($C$7+1),"",IFERROR((分析データ!F1289-AVERAGE(OFFSET(分析データ!F$1,MAX(1,ROW()-$C$7),0,MIN($C$7,ROW()-1),1)))/STDEV(OFFSET(分析データ!F$1,MAX(1,ROW()-$C$7),0,MIN($C$7,ROW()-1),1)),0))</f>
        <v>0</v>
      </c>
      <c r="BS1289">
        <f t="shared" ca="1" si="576"/>
        <v>0</v>
      </c>
      <c r="BT1289" t="str">
        <f ca="1">IF(BS1289=1,IF(INDEX(分析データ!$A:$A,ROW()+$C$5)&lt;&gt;"",40000*SIGN(BR1289)*(分析データ!F1289-INDEX(分析データ!F:F,ROW()+$C$5)),""),"")</f>
        <v/>
      </c>
      <c r="BU1289">
        <f t="shared" ca="1" si="577"/>
        <v>19816800</v>
      </c>
      <c r="BV1289">
        <f t="shared" ca="1" si="578"/>
        <v>19816800</v>
      </c>
      <c r="BW1289">
        <f t="shared" ca="1" si="579"/>
        <v>0</v>
      </c>
      <c r="BX1289">
        <f ca="1">IF(ROW()&lt;($C$7+1),"",IFERROR((分析データ!G1289-AVERAGE(OFFSET(分析データ!G$1,MAX(1,ROW()-$C$7),0,MIN($C$7,ROW()-1),1)))/STDEV(OFFSET(分析データ!G$1,MAX(1,ROW()-$C$7),0,MIN($C$7,ROW()-1),1)),0))</f>
        <v>0</v>
      </c>
      <c r="BY1289">
        <f t="shared" ca="1" si="580"/>
        <v>0</v>
      </c>
      <c r="BZ1289" t="str">
        <f ca="1">IF(BY1289=1,IF(INDEX(分析データ!$A:$A,ROW()+$C$5)&lt;&gt;"",40000*SIGN(BX1289)*(分析データ!G1289-INDEX(分析データ!G:G,ROW()+$C$5)),""),"")</f>
        <v/>
      </c>
      <c r="CA1289">
        <f t="shared" ca="1" si="581"/>
        <v>-3515452.8662109179</v>
      </c>
      <c r="CB1289">
        <f t="shared" ca="1" si="582"/>
        <v>11327520.000000004</v>
      </c>
      <c r="CC1289">
        <f t="shared" ca="1" si="583"/>
        <v>-14842972.866210923</v>
      </c>
      <c r="CD1289">
        <f t="shared" ca="1" si="584"/>
        <v>0</v>
      </c>
      <c r="CE1289">
        <f t="shared" ca="1" si="585"/>
        <v>23090347.13378913</v>
      </c>
      <c r="CF1289">
        <f t="shared" ca="1" si="586"/>
        <v>23090347.13378913</v>
      </c>
      <c r="CG1289">
        <f t="shared" ca="1" si="587"/>
        <v>0</v>
      </c>
      <c r="CH1289" s="10" t="str">
        <f>分析データ!A1289</f>
        <v/>
      </c>
    </row>
    <row r="1290" spans="46:86">
      <c r="AT1290">
        <f ca="1">IF(ROW()&lt;($C$7+1),"",IFERROR((分析データ!B1290-AVERAGE(OFFSET(分析データ!B$1,MAX(1,ROW()-$C$7),0,MIN($C$7,ROW()-1),1)))/STDEV(OFFSET(分析データ!B$1,MAX(1,ROW()-$C$7),0,MIN($C$7,ROW()-1),1)),0))</f>
        <v>0</v>
      </c>
      <c r="AU1290">
        <f t="shared" ca="1" si="560"/>
        <v>0</v>
      </c>
      <c r="AV1290" t="str">
        <f ca="1">IF(AU1290=1,IF(INDEX(分析データ!$A:$A,ROW()+$C$5)&lt;&gt;"",80000*SIGN(AT1290)*(分析データ!B1290-INDEX(分析データ!B:B,ROW()+$C$5)),""),"")</f>
        <v/>
      </c>
      <c r="AW1290">
        <f t="shared" ca="1" si="561"/>
        <v>-1240000.0000000019</v>
      </c>
      <c r="AX1290">
        <f t="shared" ca="1" si="562"/>
        <v>0</v>
      </c>
      <c r="AY1290">
        <f t="shared" ca="1" si="563"/>
        <v>-1240000.0000000019</v>
      </c>
      <c r="AZ1290">
        <f ca="1">IF(ROW()&lt;($C$7+1),"",IFERROR((分析データ!C1290-AVERAGE(OFFSET(分析データ!C$1,MAX(1,ROW()-$C$7),0,MIN($C$7,ROW()-1),1)))/STDEV(OFFSET(分析データ!C$1,MAX(1,ROW()-$C$7),0,MIN($C$7,ROW()-1),1)),0))</f>
        <v>0</v>
      </c>
      <c r="BA1290">
        <f t="shared" ca="1" si="564"/>
        <v>0</v>
      </c>
      <c r="BB1290" t="str">
        <f ca="1">IF(BA1290=1,IF(INDEX(分析データ!$A:$A,ROW()+$C$5)&lt;&gt;"",60000*SIGN(AZ1290)*(分析データ!C1290-INDEX(分析データ!C:C,ROW()+$C$5)),""),"")</f>
        <v/>
      </c>
      <c r="BC1290">
        <f t="shared" ca="1" si="565"/>
        <v>-260999.9999999851</v>
      </c>
      <c r="BD1290">
        <f t="shared" ca="1" si="566"/>
        <v>3156000.0000000107</v>
      </c>
      <c r="BE1290">
        <f t="shared" ca="1" si="567"/>
        <v>-3416999.9999999958</v>
      </c>
      <c r="BF1290">
        <f ca="1">IF(ROW()&lt;($C$7+1),"",IFERROR((分析データ!D1290-AVERAGE(OFFSET(分析データ!D$1,MAX(1,ROW()-$C$7),0,MIN($C$7,ROW()-1),1)))/STDEV(OFFSET(分析データ!D$1,MAX(1,ROW()-$C$7),0,MIN($C$7,ROW()-1),1)),0))</f>
        <v>0</v>
      </c>
      <c r="BG1290">
        <f t="shared" ca="1" si="568"/>
        <v>0</v>
      </c>
      <c r="BH1290" t="str">
        <f ca="1">IF(BG1290=1,IF(INDEX(分析データ!$A:$A,ROW()+$C$5)&lt;&gt;"",50000*SIGN(BF1290)*(分析データ!D1290-INDEX(分析データ!D:D,ROW()+$C$5)),""),"")</f>
        <v/>
      </c>
      <c r="BI1290">
        <f t="shared" ca="1" si="569"/>
        <v>5570000.0000000205</v>
      </c>
      <c r="BJ1290">
        <f t="shared" ca="1" si="570"/>
        <v>5570000.0000000205</v>
      </c>
      <c r="BK1290">
        <f t="shared" ca="1" si="571"/>
        <v>0</v>
      </c>
      <c r="BL1290">
        <f ca="1">IF(ROW()&lt;($C$7+1),"",IFERROR((分析データ!E1290-AVERAGE(OFFSET(分析データ!E$1,MAX(1,ROW()-$C$7),0,MIN($C$7,ROW()-1),1)))/STDEV(OFFSET(分析データ!E$1,MAX(1,ROW()-$C$7),0,MIN($C$7,ROW()-1),1)),0))</f>
        <v>0</v>
      </c>
      <c r="BM1290">
        <f t="shared" ca="1" si="572"/>
        <v>0</v>
      </c>
      <c r="BN1290" t="str">
        <f ca="1">IF(BM1290=1,IF(INDEX(分析データ!$A:$A,ROW()+$C$5)&lt;&gt;"",40000*SIGN(BL1290)*(分析データ!E1290-INDEX(分析データ!E:E,ROW()+$C$5)),""),"")</f>
        <v/>
      </c>
      <c r="BO1290">
        <f t="shared" ca="1" si="573"/>
        <v>2720000.0000000014</v>
      </c>
      <c r="BP1290">
        <f t="shared" ca="1" si="574"/>
        <v>4280000.0000000028</v>
      </c>
      <c r="BQ1290">
        <f t="shared" ca="1" si="575"/>
        <v>-1560000.0000000014</v>
      </c>
      <c r="BR1290">
        <f ca="1">IF(ROW()&lt;($C$7+1),"",IFERROR((分析データ!F1290-AVERAGE(OFFSET(分析データ!F$1,MAX(1,ROW()-$C$7),0,MIN($C$7,ROW()-1),1)))/STDEV(OFFSET(分析データ!F$1,MAX(1,ROW()-$C$7),0,MIN($C$7,ROW()-1),1)),0))</f>
        <v>0</v>
      </c>
      <c r="BS1290">
        <f t="shared" ca="1" si="576"/>
        <v>0</v>
      </c>
      <c r="BT1290" t="str">
        <f ca="1">IF(BS1290=1,IF(INDEX(分析データ!$A:$A,ROW()+$C$5)&lt;&gt;"",40000*SIGN(BR1290)*(分析データ!F1290-INDEX(分析データ!F:F,ROW()+$C$5)),""),"")</f>
        <v/>
      </c>
      <c r="BU1290">
        <f t="shared" ca="1" si="577"/>
        <v>19816800</v>
      </c>
      <c r="BV1290">
        <f t="shared" ca="1" si="578"/>
        <v>19816800</v>
      </c>
      <c r="BW1290">
        <f t="shared" ca="1" si="579"/>
        <v>0</v>
      </c>
      <c r="BX1290">
        <f ca="1">IF(ROW()&lt;($C$7+1),"",IFERROR((分析データ!G1290-AVERAGE(OFFSET(分析データ!G$1,MAX(1,ROW()-$C$7),0,MIN($C$7,ROW()-1),1)))/STDEV(OFFSET(分析データ!G$1,MAX(1,ROW()-$C$7),0,MIN($C$7,ROW()-1),1)),0))</f>
        <v>0</v>
      </c>
      <c r="BY1290">
        <f t="shared" ca="1" si="580"/>
        <v>0</v>
      </c>
      <c r="BZ1290" t="str">
        <f ca="1">IF(BY1290=1,IF(INDEX(分析データ!$A:$A,ROW()+$C$5)&lt;&gt;"",40000*SIGN(BX1290)*(分析データ!G1290-INDEX(分析データ!G:G,ROW()+$C$5)),""),"")</f>
        <v/>
      </c>
      <c r="CA1290">
        <f t="shared" ca="1" si="581"/>
        <v>-3515452.8662109179</v>
      </c>
      <c r="CB1290">
        <f t="shared" ca="1" si="582"/>
        <v>11327520.000000004</v>
      </c>
      <c r="CC1290">
        <f t="shared" ca="1" si="583"/>
        <v>-14842972.866210923</v>
      </c>
      <c r="CD1290">
        <f t="shared" ca="1" si="584"/>
        <v>0</v>
      </c>
      <c r="CE1290">
        <f t="shared" ca="1" si="585"/>
        <v>23090347.13378913</v>
      </c>
      <c r="CF1290">
        <f t="shared" ca="1" si="586"/>
        <v>23090347.13378913</v>
      </c>
      <c r="CG1290">
        <f t="shared" ca="1" si="587"/>
        <v>0</v>
      </c>
      <c r="CH1290" s="10" t="str">
        <f>分析データ!A1290</f>
        <v/>
      </c>
    </row>
    <row r="1291" spans="46:86">
      <c r="AT1291">
        <f ca="1">IF(ROW()&lt;($C$7+1),"",IFERROR((分析データ!B1291-AVERAGE(OFFSET(分析データ!B$1,MAX(1,ROW()-$C$7),0,MIN($C$7,ROW()-1),1)))/STDEV(OFFSET(分析データ!B$1,MAX(1,ROW()-$C$7),0,MIN($C$7,ROW()-1),1)),0))</f>
        <v>0</v>
      </c>
      <c r="AU1291">
        <f t="shared" ca="1" si="560"/>
        <v>0</v>
      </c>
      <c r="AV1291" t="str">
        <f ca="1">IF(AU1291=1,IF(INDEX(分析データ!$A:$A,ROW()+$C$5)&lt;&gt;"",80000*SIGN(AT1291)*(分析データ!B1291-INDEX(分析データ!B:B,ROW()+$C$5)),""),"")</f>
        <v/>
      </c>
      <c r="AW1291">
        <f t="shared" ca="1" si="561"/>
        <v>-1240000.0000000019</v>
      </c>
      <c r="AX1291">
        <f t="shared" ca="1" si="562"/>
        <v>0</v>
      </c>
      <c r="AY1291">
        <f t="shared" ca="1" si="563"/>
        <v>-1240000.0000000019</v>
      </c>
      <c r="AZ1291">
        <f ca="1">IF(ROW()&lt;($C$7+1),"",IFERROR((分析データ!C1291-AVERAGE(OFFSET(分析データ!C$1,MAX(1,ROW()-$C$7),0,MIN($C$7,ROW()-1),1)))/STDEV(OFFSET(分析データ!C$1,MAX(1,ROW()-$C$7),0,MIN($C$7,ROW()-1),1)),0))</f>
        <v>0</v>
      </c>
      <c r="BA1291">
        <f t="shared" ca="1" si="564"/>
        <v>0</v>
      </c>
      <c r="BB1291" t="str">
        <f ca="1">IF(BA1291=1,IF(INDEX(分析データ!$A:$A,ROW()+$C$5)&lt;&gt;"",60000*SIGN(AZ1291)*(分析データ!C1291-INDEX(分析データ!C:C,ROW()+$C$5)),""),"")</f>
        <v/>
      </c>
      <c r="BC1291">
        <f t="shared" ca="1" si="565"/>
        <v>-260999.9999999851</v>
      </c>
      <c r="BD1291">
        <f t="shared" ca="1" si="566"/>
        <v>3156000.0000000107</v>
      </c>
      <c r="BE1291">
        <f t="shared" ca="1" si="567"/>
        <v>-3416999.9999999958</v>
      </c>
      <c r="BF1291">
        <f ca="1">IF(ROW()&lt;($C$7+1),"",IFERROR((分析データ!D1291-AVERAGE(OFFSET(分析データ!D$1,MAX(1,ROW()-$C$7),0,MIN($C$7,ROW()-1),1)))/STDEV(OFFSET(分析データ!D$1,MAX(1,ROW()-$C$7),0,MIN($C$7,ROW()-1),1)),0))</f>
        <v>0</v>
      </c>
      <c r="BG1291">
        <f t="shared" ca="1" si="568"/>
        <v>0</v>
      </c>
      <c r="BH1291" t="str">
        <f ca="1">IF(BG1291=1,IF(INDEX(分析データ!$A:$A,ROW()+$C$5)&lt;&gt;"",50000*SIGN(BF1291)*(分析データ!D1291-INDEX(分析データ!D:D,ROW()+$C$5)),""),"")</f>
        <v/>
      </c>
      <c r="BI1291">
        <f t="shared" ca="1" si="569"/>
        <v>5570000.0000000205</v>
      </c>
      <c r="BJ1291">
        <f t="shared" ca="1" si="570"/>
        <v>5570000.0000000205</v>
      </c>
      <c r="BK1291">
        <f t="shared" ca="1" si="571"/>
        <v>0</v>
      </c>
      <c r="BL1291">
        <f ca="1">IF(ROW()&lt;($C$7+1),"",IFERROR((分析データ!E1291-AVERAGE(OFFSET(分析データ!E$1,MAX(1,ROW()-$C$7),0,MIN($C$7,ROW()-1),1)))/STDEV(OFFSET(分析データ!E$1,MAX(1,ROW()-$C$7),0,MIN($C$7,ROW()-1),1)),0))</f>
        <v>0</v>
      </c>
      <c r="BM1291">
        <f t="shared" ca="1" si="572"/>
        <v>0</v>
      </c>
      <c r="BN1291" t="str">
        <f ca="1">IF(BM1291=1,IF(INDEX(分析データ!$A:$A,ROW()+$C$5)&lt;&gt;"",40000*SIGN(BL1291)*(分析データ!E1291-INDEX(分析データ!E:E,ROW()+$C$5)),""),"")</f>
        <v/>
      </c>
      <c r="BO1291">
        <f t="shared" ca="1" si="573"/>
        <v>2720000.0000000014</v>
      </c>
      <c r="BP1291">
        <f t="shared" ca="1" si="574"/>
        <v>4280000.0000000028</v>
      </c>
      <c r="BQ1291">
        <f t="shared" ca="1" si="575"/>
        <v>-1560000.0000000014</v>
      </c>
      <c r="BR1291">
        <f ca="1">IF(ROW()&lt;($C$7+1),"",IFERROR((分析データ!F1291-AVERAGE(OFFSET(分析データ!F$1,MAX(1,ROW()-$C$7),0,MIN($C$7,ROW()-1),1)))/STDEV(OFFSET(分析データ!F$1,MAX(1,ROW()-$C$7),0,MIN($C$7,ROW()-1),1)),0))</f>
        <v>0</v>
      </c>
      <c r="BS1291">
        <f t="shared" ca="1" si="576"/>
        <v>0</v>
      </c>
      <c r="BT1291" t="str">
        <f ca="1">IF(BS1291=1,IF(INDEX(分析データ!$A:$A,ROW()+$C$5)&lt;&gt;"",40000*SIGN(BR1291)*(分析データ!F1291-INDEX(分析データ!F:F,ROW()+$C$5)),""),"")</f>
        <v/>
      </c>
      <c r="BU1291">
        <f t="shared" ca="1" si="577"/>
        <v>19816800</v>
      </c>
      <c r="BV1291">
        <f t="shared" ca="1" si="578"/>
        <v>19816800</v>
      </c>
      <c r="BW1291">
        <f t="shared" ca="1" si="579"/>
        <v>0</v>
      </c>
      <c r="BX1291">
        <f ca="1">IF(ROW()&lt;($C$7+1),"",IFERROR((分析データ!G1291-AVERAGE(OFFSET(分析データ!G$1,MAX(1,ROW()-$C$7),0,MIN($C$7,ROW()-1),1)))/STDEV(OFFSET(分析データ!G$1,MAX(1,ROW()-$C$7),0,MIN($C$7,ROW()-1),1)),0))</f>
        <v>0</v>
      </c>
      <c r="BY1291">
        <f t="shared" ca="1" si="580"/>
        <v>0</v>
      </c>
      <c r="BZ1291" t="str">
        <f ca="1">IF(BY1291=1,IF(INDEX(分析データ!$A:$A,ROW()+$C$5)&lt;&gt;"",40000*SIGN(BX1291)*(分析データ!G1291-INDEX(分析データ!G:G,ROW()+$C$5)),""),"")</f>
        <v/>
      </c>
      <c r="CA1291">
        <f t="shared" ca="1" si="581"/>
        <v>-3515452.8662109179</v>
      </c>
      <c r="CB1291">
        <f t="shared" ca="1" si="582"/>
        <v>11327520.000000004</v>
      </c>
      <c r="CC1291">
        <f t="shared" ca="1" si="583"/>
        <v>-14842972.866210923</v>
      </c>
      <c r="CD1291">
        <f t="shared" ca="1" si="584"/>
        <v>0</v>
      </c>
      <c r="CE1291">
        <f t="shared" ca="1" si="585"/>
        <v>23090347.13378913</v>
      </c>
      <c r="CF1291">
        <f t="shared" ca="1" si="586"/>
        <v>23090347.13378913</v>
      </c>
      <c r="CG1291">
        <f t="shared" ca="1" si="587"/>
        <v>0</v>
      </c>
      <c r="CH1291" s="10" t="str">
        <f>分析データ!A1291</f>
        <v/>
      </c>
    </row>
    <row r="1292" spans="46:86">
      <c r="AT1292">
        <f ca="1">IF(ROW()&lt;($C$7+1),"",IFERROR((分析データ!B1292-AVERAGE(OFFSET(分析データ!B$1,MAX(1,ROW()-$C$7),0,MIN($C$7,ROW()-1),1)))/STDEV(OFFSET(分析データ!B$1,MAX(1,ROW()-$C$7),0,MIN($C$7,ROW()-1),1)),0))</f>
        <v>0</v>
      </c>
      <c r="AU1292">
        <f t="shared" ca="1" si="560"/>
        <v>0</v>
      </c>
      <c r="AV1292" t="str">
        <f ca="1">IF(AU1292=1,IF(INDEX(分析データ!$A:$A,ROW()+$C$5)&lt;&gt;"",80000*SIGN(AT1292)*(分析データ!B1292-INDEX(分析データ!B:B,ROW()+$C$5)),""),"")</f>
        <v/>
      </c>
      <c r="AW1292">
        <f t="shared" ca="1" si="561"/>
        <v>-1240000.0000000019</v>
      </c>
      <c r="AX1292">
        <f t="shared" ca="1" si="562"/>
        <v>0</v>
      </c>
      <c r="AY1292">
        <f t="shared" ca="1" si="563"/>
        <v>-1240000.0000000019</v>
      </c>
      <c r="AZ1292">
        <f ca="1">IF(ROW()&lt;($C$7+1),"",IFERROR((分析データ!C1292-AVERAGE(OFFSET(分析データ!C$1,MAX(1,ROW()-$C$7),0,MIN($C$7,ROW()-1),1)))/STDEV(OFFSET(分析データ!C$1,MAX(1,ROW()-$C$7),0,MIN($C$7,ROW()-1),1)),0))</f>
        <v>0</v>
      </c>
      <c r="BA1292">
        <f t="shared" ca="1" si="564"/>
        <v>0</v>
      </c>
      <c r="BB1292" t="str">
        <f ca="1">IF(BA1292=1,IF(INDEX(分析データ!$A:$A,ROW()+$C$5)&lt;&gt;"",60000*SIGN(AZ1292)*(分析データ!C1292-INDEX(分析データ!C:C,ROW()+$C$5)),""),"")</f>
        <v/>
      </c>
      <c r="BC1292">
        <f t="shared" ca="1" si="565"/>
        <v>-260999.9999999851</v>
      </c>
      <c r="BD1292">
        <f t="shared" ca="1" si="566"/>
        <v>3156000.0000000107</v>
      </c>
      <c r="BE1292">
        <f t="shared" ca="1" si="567"/>
        <v>-3416999.9999999958</v>
      </c>
      <c r="BF1292">
        <f ca="1">IF(ROW()&lt;($C$7+1),"",IFERROR((分析データ!D1292-AVERAGE(OFFSET(分析データ!D$1,MAX(1,ROW()-$C$7),0,MIN($C$7,ROW()-1),1)))/STDEV(OFFSET(分析データ!D$1,MAX(1,ROW()-$C$7),0,MIN($C$7,ROW()-1),1)),0))</f>
        <v>0</v>
      </c>
      <c r="BG1292">
        <f t="shared" ca="1" si="568"/>
        <v>0</v>
      </c>
      <c r="BH1292" t="str">
        <f ca="1">IF(BG1292=1,IF(INDEX(分析データ!$A:$A,ROW()+$C$5)&lt;&gt;"",50000*SIGN(BF1292)*(分析データ!D1292-INDEX(分析データ!D:D,ROW()+$C$5)),""),"")</f>
        <v/>
      </c>
      <c r="BI1292">
        <f t="shared" ca="1" si="569"/>
        <v>5570000.0000000205</v>
      </c>
      <c r="BJ1292">
        <f t="shared" ca="1" si="570"/>
        <v>5570000.0000000205</v>
      </c>
      <c r="BK1292">
        <f t="shared" ca="1" si="571"/>
        <v>0</v>
      </c>
      <c r="BL1292">
        <f ca="1">IF(ROW()&lt;($C$7+1),"",IFERROR((分析データ!E1292-AVERAGE(OFFSET(分析データ!E$1,MAX(1,ROW()-$C$7),0,MIN($C$7,ROW()-1),1)))/STDEV(OFFSET(分析データ!E$1,MAX(1,ROW()-$C$7),0,MIN($C$7,ROW()-1),1)),0))</f>
        <v>0</v>
      </c>
      <c r="BM1292">
        <f t="shared" ca="1" si="572"/>
        <v>0</v>
      </c>
      <c r="BN1292" t="str">
        <f ca="1">IF(BM1292=1,IF(INDEX(分析データ!$A:$A,ROW()+$C$5)&lt;&gt;"",40000*SIGN(BL1292)*(分析データ!E1292-INDEX(分析データ!E:E,ROW()+$C$5)),""),"")</f>
        <v/>
      </c>
      <c r="BO1292">
        <f t="shared" ca="1" si="573"/>
        <v>2720000.0000000014</v>
      </c>
      <c r="BP1292">
        <f t="shared" ca="1" si="574"/>
        <v>4280000.0000000028</v>
      </c>
      <c r="BQ1292">
        <f t="shared" ca="1" si="575"/>
        <v>-1560000.0000000014</v>
      </c>
      <c r="BR1292">
        <f ca="1">IF(ROW()&lt;($C$7+1),"",IFERROR((分析データ!F1292-AVERAGE(OFFSET(分析データ!F$1,MAX(1,ROW()-$C$7),0,MIN($C$7,ROW()-1),1)))/STDEV(OFFSET(分析データ!F$1,MAX(1,ROW()-$C$7),0,MIN($C$7,ROW()-1),1)),0))</f>
        <v>0</v>
      </c>
      <c r="BS1292">
        <f t="shared" ca="1" si="576"/>
        <v>0</v>
      </c>
      <c r="BT1292" t="str">
        <f ca="1">IF(BS1292=1,IF(INDEX(分析データ!$A:$A,ROW()+$C$5)&lt;&gt;"",40000*SIGN(BR1292)*(分析データ!F1292-INDEX(分析データ!F:F,ROW()+$C$5)),""),"")</f>
        <v/>
      </c>
      <c r="BU1292">
        <f t="shared" ca="1" si="577"/>
        <v>19816800</v>
      </c>
      <c r="BV1292">
        <f t="shared" ca="1" si="578"/>
        <v>19816800</v>
      </c>
      <c r="BW1292">
        <f t="shared" ca="1" si="579"/>
        <v>0</v>
      </c>
      <c r="BX1292">
        <f ca="1">IF(ROW()&lt;($C$7+1),"",IFERROR((分析データ!G1292-AVERAGE(OFFSET(分析データ!G$1,MAX(1,ROW()-$C$7),0,MIN($C$7,ROW()-1),1)))/STDEV(OFFSET(分析データ!G$1,MAX(1,ROW()-$C$7),0,MIN($C$7,ROW()-1),1)),0))</f>
        <v>0</v>
      </c>
      <c r="BY1292">
        <f t="shared" ca="1" si="580"/>
        <v>0</v>
      </c>
      <c r="BZ1292" t="str">
        <f ca="1">IF(BY1292=1,IF(INDEX(分析データ!$A:$A,ROW()+$C$5)&lt;&gt;"",40000*SIGN(BX1292)*(分析データ!G1292-INDEX(分析データ!G:G,ROW()+$C$5)),""),"")</f>
        <v/>
      </c>
      <c r="CA1292">
        <f t="shared" ca="1" si="581"/>
        <v>-3515452.8662109179</v>
      </c>
      <c r="CB1292">
        <f t="shared" ca="1" si="582"/>
        <v>11327520.000000004</v>
      </c>
      <c r="CC1292">
        <f t="shared" ca="1" si="583"/>
        <v>-14842972.866210923</v>
      </c>
      <c r="CD1292">
        <f t="shared" ca="1" si="584"/>
        <v>0</v>
      </c>
      <c r="CE1292">
        <f t="shared" ca="1" si="585"/>
        <v>23090347.13378913</v>
      </c>
      <c r="CF1292">
        <f t="shared" ca="1" si="586"/>
        <v>23090347.13378913</v>
      </c>
      <c r="CG1292">
        <f t="shared" ca="1" si="587"/>
        <v>0</v>
      </c>
      <c r="CH1292" s="10" t="str">
        <f>分析データ!A1292</f>
        <v/>
      </c>
    </row>
    <row r="1293" spans="46:86">
      <c r="AT1293">
        <f ca="1">IF(ROW()&lt;($C$7+1),"",IFERROR((分析データ!B1293-AVERAGE(OFFSET(分析データ!B$1,MAX(1,ROW()-$C$7),0,MIN($C$7,ROW()-1),1)))/STDEV(OFFSET(分析データ!B$1,MAX(1,ROW()-$C$7),0,MIN($C$7,ROW()-1),1)),0))</f>
        <v>0</v>
      </c>
      <c r="AU1293">
        <f t="shared" ca="1" si="560"/>
        <v>0</v>
      </c>
      <c r="AV1293" t="str">
        <f ca="1">IF(AU1293=1,IF(INDEX(分析データ!$A:$A,ROW()+$C$5)&lt;&gt;"",80000*SIGN(AT1293)*(分析データ!B1293-INDEX(分析データ!B:B,ROW()+$C$5)),""),"")</f>
        <v/>
      </c>
      <c r="AW1293">
        <f t="shared" ca="1" si="561"/>
        <v>-1240000.0000000019</v>
      </c>
      <c r="AX1293">
        <f t="shared" ca="1" si="562"/>
        <v>0</v>
      </c>
      <c r="AY1293">
        <f t="shared" ca="1" si="563"/>
        <v>-1240000.0000000019</v>
      </c>
      <c r="AZ1293">
        <f ca="1">IF(ROW()&lt;($C$7+1),"",IFERROR((分析データ!C1293-AVERAGE(OFFSET(分析データ!C$1,MAX(1,ROW()-$C$7),0,MIN($C$7,ROW()-1),1)))/STDEV(OFFSET(分析データ!C$1,MAX(1,ROW()-$C$7),0,MIN($C$7,ROW()-1),1)),0))</f>
        <v>0</v>
      </c>
      <c r="BA1293">
        <f t="shared" ca="1" si="564"/>
        <v>0</v>
      </c>
      <c r="BB1293" t="str">
        <f ca="1">IF(BA1293=1,IF(INDEX(分析データ!$A:$A,ROW()+$C$5)&lt;&gt;"",60000*SIGN(AZ1293)*(分析データ!C1293-INDEX(分析データ!C:C,ROW()+$C$5)),""),"")</f>
        <v/>
      </c>
      <c r="BC1293">
        <f t="shared" ca="1" si="565"/>
        <v>-260999.9999999851</v>
      </c>
      <c r="BD1293">
        <f t="shared" ca="1" si="566"/>
        <v>3156000.0000000107</v>
      </c>
      <c r="BE1293">
        <f t="shared" ca="1" si="567"/>
        <v>-3416999.9999999958</v>
      </c>
      <c r="BF1293">
        <f ca="1">IF(ROW()&lt;($C$7+1),"",IFERROR((分析データ!D1293-AVERAGE(OFFSET(分析データ!D$1,MAX(1,ROW()-$C$7),0,MIN($C$7,ROW()-1),1)))/STDEV(OFFSET(分析データ!D$1,MAX(1,ROW()-$C$7),0,MIN($C$7,ROW()-1),1)),0))</f>
        <v>0</v>
      </c>
      <c r="BG1293">
        <f t="shared" ca="1" si="568"/>
        <v>0</v>
      </c>
      <c r="BH1293" t="str">
        <f ca="1">IF(BG1293=1,IF(INDEX(分析データ!$A:$A,ROW()+$C$5)&lt;&gt;"",50000*SIGN(BF1293)*(分析データ!D1293-INDEX(分析データ!D:D,ROW()+$C$5)),""),"")</f>
        <v/>
      </c>
      <c r="BI1293">
        <f t="shared" ca="1" si="569"/>
        <v>5570000.0000000205</v>
      </c>
      <c r="BJ1293">
        <f t="shared" ca="1" si="570"/>
        <v>5570000.0000000205</v>
      </c>
      <c r="BK1293">
        <f t="shared" ca="1" si="571"/>
        <v>0</v>
      </c>
      <c r="BL1293">
        <f ca="1">IF(ROW()&lt;($C$7+1),"",IFERROR((分析データ!E1293-AVERAGE(OFFSET(分析データ!E$1,MAX(1,ROW()-$C$7),0,MIN($C$7,ROW()-1),1)))/STDEV(OFFSET(分析データ!E$1,MAX(1,ROW()-$C$7),0,MIN($C$7,ROW()-1),1)),0))</f>
        <v>0</v>
      </c>
      <c r="BM1293">
        <f t="shared" ca="1" si="572"/>
        <v>0</v>
      </c>
      <c r="BN1293" t="str">
        <f ca="1">IF(BM1293=1,IF(INDEX(分析データ!$A:$A,ROW()+$C$5)&lt;&gt;"",40000*SIGN(BL1293)*(分析データ!E1293-INDEX(分析データ!E:E,ROW()+$C$5)),""),"")</f>
        <v/>
      </c>
      <c r="BO1293">
        <f t="shared" ca="1" si="573"/>
        <v>2720000.0000000014</v>
      </c>
      <c r="BP1293">
        <f t="shared" ca="1" si="574"/>
        <v>4280000.0000000028</v>
      </c>
      <c r="BQ1293">
        <f t="shared" ca="1" si="575"/>
        <v>-1560000.0000000014</v>
      </c>
      <c r="BR1293">
        <f ca="1">IF(ROW()&lt;($C$7+1),"",IFERROR((分析データ!F1293-AVERAGE(OFFSET(分析データ!F$1,MAX(1,ROW()-$C$7),0,MIN($C$7,ROW()-1),1)))/STDEV(OFFSET(分析データ!F$1,MAX(1,ROW()-$C$7),0,MIN($C$7,ROW()-1),1)),0))</f>
        <v>0</v>
      </c>
      <c r="BS1293">
        <f t="shared" ca="1" si="576"/>
        <v>0</v>
      </c>
      <c r="BT1293" t="str">
        <f ca="1">IF(BS1293=1,IF(INDEX(分析データ!$A:$A,ROW()+$C$5)&lt;&gt;"",40000*SIGN(BR1293)*(分析データ!F1293-INDEX(分析データ!F:F,ROW()+$C$5)),""),"")</f>
        <v/>
      </c>
      <c r="BU1293">
        <f t="shared" ca="1" si="577"/>
        <v>19816800</v>
      </c>
      <c r="BV1293">
        <f t="shared" ca="1" si="578"/>
        <v>19816800</v>
      </c>
      <c r="BW1293">
        <f t="shared" ca="1" si="579"/>
        <v>0</v>
      </c>
      <c r="BX1293">
        <f ca="1">IF(ROW()&lt;($C$7+1),"",IFERROR((分析データ!G1293-AVERAGE(OFFSET(分析データ!G$1,MAX(1,ROW()-$C$7),0,MIN($C$7,ROW()-1),1)))/STDEV(OFFSET(分析データ!G$1,MAX(1,ROW()-$C$7),0,MIN($C$7,ROW()-1),1)),0))</f>
        <v>0</v>
      </c>
      <c r="BY1293">
        <f t="shared" ca="1" si="580"/>
        <v>0</v>
      </c>
      <c r="BZ1293" t="str">
        <f ca="1">IF(BY1293=1,IF(INDEX(分析データ!$A:$A,ROW()+$C$5)&lt;&gt;"",40000*SIGN(BX1293)*(分析データ!G1293-INDEX(分析データ!G:G,ROW()+$C$5)),""),"")</f>
        <v/>
      </c>
      <c r="CA1293">
        <f t="shared" ca="1" si="581"/>
        <v>-3515452.8662109179</v>
      </c>
      <c r="CB1293">
        <f t="shared" ca="1" si="582"/>
        <v>11327520.000000004</v>
      </c>
      <c r="CC1293">
        <f t="shared" ca="1" si="583"/>
        <v>-14842972.866210923</v>
      </c>
      <c r="CD1293">
        <f t="shared" ca="1" si="584"/>
        <v>0</v>
      </c>
      <c r="CE1293">
        <f t="shared" ca="1" si="585"/>
        <v>23090347.13378913</v>
      </c>
      <c r="CF1293">
        <f t="shared" ca="1" si="586"/>
        <v>23090347.13378913</v>
      </c>
      <c r="CG1293">
        <f t="shared" ca="1" si="587"/>
        <v>0</v>
      </c>
      <c r="CH1293" s="10" t="str">
        <f>分析データ!A1293</f>
        <v/>
      </c>
    </row>
    <row r="1294" spans="46:86">
      <c r="AT1294">
        <f ca="1">IF(ROW()&lt;($C$7+1),"",IFERROR((分析データ!B1294-AVERAGE(OFFSET(分析データ!B$1,MAX(1,ROW()-$C$7),0,MIN($C$7,ROW()-1),1)))/STDEV(OFFSET(分析データ!B$1,MAX(1,ROW()-$C$7),0,MIN($C$7,ROW()-1),1)),0))</f>
        <v>0</v>
      </c>
      <c r="AU1294">
        <f t="shared" ca="1" si="560"/>
        <v>0</v>
      </c>
      <c r="AV1294" t="str">
        <f ca="1">IF(AU1294=1,IF(INDEX(分析データ!$A:$A,ROW()+$C$5)&lt;&gt;"",80000*SIGN(AT1294)*(分析データ!B1294-INDEX(分析データ!B:B,ROW()+$C$5)),""),"")</f>
        <v/>
      </c>
      <c r="AW1294">
        <f t="shared" ca="1" si="561"/>
        <v>-1240000.0000000019</v>
      </c>
      <c r="AX1294">
        <f t="shared" ca="1" si="562"/>
        <v>0</v>
      </c>
      <c r="AY1294">
        <f t="shared" ca="1" si="563"/>
        <v>-1240000.0000000019</v>
      </c>
      <c r="AZ1294">
        <f ca="1">IF(ROW()&lt;($C$7+1),"",IFERROR((分析データ!C1294-AVERAGE(OFFSET(分析データ!C$1,MAX(1,ROW()-$C$7),0,MIN($C$7,ROW()-1),1)))/STDEV(OFFSET(分析データ!C$1,MAX(1,ROW()-$C$7),0,MIN($C$7,ROW()-1),1)),0))</f>
        <v>0</v>
      </c>
      <c r="BA1294">
        <f t="shared" ca="1" si="564"/>
        <v>0</v>
      </c>
      <c r="BB1294" t="str">
        <f ca="1">IF(BA1294=1,IF(INDEX(分析データ!$A:$A,ROW()+$C$5)&lt;&gt;"",60000*SIGN(AZ1294)*(分析データ!C1294-INDEX(分析データ!C:C,ROW()+$C$5)),""),"")</f>
        <v/>
      </c>
      <c r="BC1294">
        <f t="shared" ca="1" si="565"/>
        <v>-260999.9999999851</v>
      </c>
      <c r="BD1294">
        <f t="shared" ca="1" si="566"/>
        <v>3156000.0000000107</v>
      </c>
      <c r="BE1294">
        <f t="shared" ca="1" si="567"/>
        <v>-3416999.9999999958</v>
      </c>
      <c r="BF1294">
        <f ca="1">IF(ROW()&lt;($C$7+1),"",IFERROR((分析データ!D1294-AVERAGE(OFFSET(分析データ!D$1,MAX(1,ROW()-$C$7),0,MIN($C$7,ROW()-1),1)))/STDEV(OFFSET(分析データ!D$1,MAX(1,ROW()-$C$7),0,MIN($C$7,ROW()-1),1)),0))</f>
        <v>0</v>
      </c>
      <c r="BG1294">
        <f t="shared" ca="1" si="568"/>
        <v>0</v>
      </c>
      <c r="BH1294" t="str">
        <f ca="1">IF(BG1294=1,IF(INDEX(分析データ!$A:$A,ROW()+$C$5)&lt;&gt;"",50000*SIGN(BF1294)*(分析データ!D1294-INDEX(分析データ!D:D,ROW()+$C$5)),""),"")</f>
        <v/>
      </c>
      <c r="BI1294">
        <f t="shared" ca="1" si="569"/>
        <v>5570000.0000000205</v>
      </c>
      <c r="BJ1294">
        <f t="shared" ca="1" si="570"/>
        <v>5570000.0000000205</v>
      </c>
      <c r="BK1294">
        <f t="shared" ca="1" si="571"/>
        <v>0</v>
      </c>
      <c r="BL1294">
        <f ca="1">IF(ROW()&lt;($C$7+1),"",IFERROR((分析データ!E1294-AVERAGE(OFFSET(分析データ!E$1,MAX(1,ROW()-$C$7),0,MIN($C$7,ROW()-1),1)))/STDEV(OFFSET(分析データ!E$1,MAX(1,ROW()-$C$7),0,MIN($C$7,ROW()-1),1)),0))</f>
        <v>0</v>
      </c>
      <c r="BM1294">
        <f t="shared" ca="1" si="572"/>
        <v>0</v>
      </c>
      <c r="BN1294" t="str">
        <f ca="1">IF(BM1294=1,IF(INDEX(分析データ!$A:$A,ROW()+$C$5)&lt;&gt;"",40000*SIGN(BL1294)*(分析データ!E1294-INDEX(分析データ!E:E,ROW()+$C$5)),""),"")</f>
        <v/>
      </c>
      <c r="BO1294">
        <f t="shared" ca="1" si="573"/>
        <v>2720000.0000000014</v>
      </c>
      <c r="BP1294">
        <f t="shared" ca="1" si="574"/>
        <v>4280000.0000000028</v>
      </c>
      <c r="BQ1294">
        <f t="shared" ca="1" si="575"/>
        <v>-1560000.0000000014</v>
      </c>
      <c r="BR1294">
        <f ca="1">IF(ROW()&lt;($C$7+1),"",IFERROR((分析データ!F1294-AVERAGE(OFFSET(分析データ!F$1,MAX(1,ROW()-$C$7),0,MIN($C$7,ROW()-1),1)))/STDEV(OFFSET(分析データ!F$1,MAX(1,ROW()-$C$7),0,MIN($C$7,ROW()-1),1)),0))</f>
        <v>0</v>
      </c>
      <c r="BS1294">
        <f t="shared" ca="1" si="576"/>
        <v>0</v>
      </c>
      <c r="BT1294" t="str">
        <f ca="1">IF(BS1294=1,IF(INDEX(分析データ!$A:$A,ROW()+$C$5)&lt;&gt;"",40000*SIGN(BR1294)*(分析データ!F1294-INDEX(分析データ!F:F,ROW()+$C$5)),""),"")</f>
        <v/>
      </c>
      <c r="BU1294">
        <f t="shared" ca="1" si="577"/>
        <v>19816800</v>
      </c>
      <c r="BV1294">
        <f t="shared" ca="1" si="578"/>
        <v>19816800</v>
      </c>
      <c r="BW1294">
        <f t="shared" ca="1" si="579"/>
        <v>0</v>
      </c>
      <c r="BX1294">
        <f ca="1">IF(ROW()&lt;($C$7+1),"",IFERROR((分析データ!G1294-AVERAGE(OFFSET(分析データ!G$1,MAX(1,ROW()-$C$7),0,MIN($C$7,ROW()-1),1)))/STDEV(OFFSET(分析データ!G$1,MAX(1,ROW()-$C$7),0,MIN($C$7,ROW()-1),1)),0))</f>
        <v>0</v>
      </c>
      <c r="BY1294">
        <f t="shared" ca="1" si="580"/>
        <v>0</v>
      </c>
      <c r="BZ1294" t="str">
        <f ca="1">IF(BY1294=1,IF(INDEX(分析データ!$A:$A,ROW()+$C$5)&lt;&gt;"",40000*SIGN(BX1294)*(分析データ!G1294-INDEX(分析データ!G:G,ROW()+$C$5)),""),"")</f>
        <v/>
      </c>
      <c r="CA1294">
        <f t="shared" ca="1" si="581"/>
        <v>-3515452.8662109179</v>
      </c>
      <c r="CB1294">
        <f t="shared" ca="1" si="582"/>
        <v>11327520.000000004</v>
      </c>
      <c r="CC1294">
        <f t="shared" ca="1" si="583"/>
        <v>-14842972.866210923</v>
      </c>
      <c r="CD1294">
        <f t="shared" ca="1" si="584"/>
        <v>0</v>
      </c>
      <c r="CE1294">
        <f t="shared" ca="1" si="585"/>
        <v>23090347.13378913</v>
      </c>
      <c r="CF1294">
        <f t="shared" ca="1" si="586"/>
        <v>23090347.13378913</v>
      </c>
      <c r="CG1294">
        <f t="shared" ca="1" si="587"/>
        <v>0</v>
      </c>
      <c r="CH1294" s="10" t="str">
        <f>分析データ!A1294</f>
        <v/>
      </c>
    </row>
    <row r="1295" spans="46:86">
      <c r="AT1295">
        <f ca="1">IF(ROW()&lt;($C$7+1),"",IFERROR((分析データ!B1295-AVERAGE(OFFSET(分析データ!B$1,MAX(1,ROW()-$C$7),0,MIN($C$7,ROW()-1),1)))/STDEV(OFFSET(分析データ!B$1,MAX(1,ROW()-$C$7),0,MIN($C$7,ROW()-1),1)),0))</f>
        <v>0</v>
      </c>
      <c r="AU1295">
        <f t="shared" ca="1" si="560"/>
        <v>0</v>
      </c>
      <c r="AV1295" t="str">
        <f ca="1">IF(AU1295=1,IF(INDEX(分析データ!$A:$A,ROW()+$C$5)&lt;&gt;"",80000*SIGN(AT1295)*(分析データ!B1295-INDEX(分析データ!B:B,ROW()+$C$5)),""),"")</f>
        <v/>
      </c>
      <c r="AW1295">
        <f t="shared" ca="1" si="561"/>
        <v>-1240000.0000000019</v>
      </c>
      <c r="AX1295">
        <f t="shared" ca="1" si="562"/>
        <v>0</v>
      </c>
      <c r="AY1295">
        <f t="shared" ca="1" si="563"/>
        <v>-1240000.0000000019</v>
      </c>
      <c r="AZ1295">
        <f ca="1">IF(ROW()&lt;($C$7+1),"",IFERROR((分析データ!C1295-AVERAGE(OFFSET(分析データ!C$1,MAX(1,ROW()-$C$7),0,MIN($C$7,ROW()-1),1)))/STDEV(OFFSET(分析データ!C$1,MAX(1,ROW()-$C$7),0,MIN($C$7,ROW()-1),1)),0))</f>
        <v>0</v>
      </c>
      <c r="BA1295">
        <f t="shared" ca="1" si="564"/>
        <v>0</v>
      </c>
      <c r="BB1295" t="str">
        <f ca="1">IF(BA1295=1,IF(INDEX(分析データ!$A:$A,ROW()+$C$5)&lt;&gt;"",60000*SIGN(AZ1295)*(分析データ!C1295-INDEX(分析データ!C:C,ROW()+$C$5)),""),"")</f>
        <v/>
      </c>
      <c r="BC1295">
        <f t="shared" ca="1" si="565"/>
        <v>-260999.9999999851</v>
      </c>
      <c r="BD1295">
        <f t="shared" ca="1" si="566"/>
        <v>3156000.0000000107</v>
      </c>
      <c r="BE1295">
        <f t="shared" ca="1" si="567"/>
        <v>-3416999.9999999958</v>
      </c>
      <c r="BF1295">
        <f ca="1">IF(ROW()&lt;($C$7+1),"",IFERROR((分析データ!D1295-AVERAGE(OFFSET(分析データ!D$1,MAX(1,ROW()-$C$7),0,MIN($C$7,ROW()-1),1)))/STDEV(OFFSET(分析データ!D$1,MAX(1,ROW()-$C$7),0,MIN($C$7,ROW()-1),1)),0))</f>
        <v>0</v>
      </c>
      <c r="BG1295">
        <f t="shared" ca="1" si="568"/>
        <v>0</v>
      </c>
      <c r="BH1295" t="str">
        <f ca="1">IF(BG1295=1,IF(INDEX(分析データ!$A:$A,ROW()+$C$5)&lt;&gt;"",50000*SIGN(BF1295)*(分析データ!D1295-INDEX(分析データ!D:D,ROW()+$C$5)),""),"")</f>
        <v/>
      </c>
      <c r="BI1295">
        <f t="shared" ca="1" si="569"/>
        <v>5570000.0000000205</v>
      </c>
      <c r="BJ1295">
        <f t="shared" ca="1" si="570"/>
        <v>5570000.0000000205</v>
      </c>
      <c r="BK1295">
        <f t="shared" ca="1" si="571"/>
        <v>0</v>
      </c>
      <c r="BL1295">
        <f ca="1">IF(ROW()&lt;($C$7+1),"",IFERROR((分析データ!E1295-AVERAGE(OFFSET(分析データ!E$1,MAX(1,ROW()-$C$7),0,MIN($C$7,ROW()-1),1)))/STDEV(OFFSET(分析データ!E$1,MAX(1,ROW()-$C$7),0,MIN($C$7,ROW()-1),1)),0))</f>
        <v>0</v>
      </c>
      <c r="BM1295">
        <f t="shared" ca="1" si="572"/>
        <v>0</v>
      </c>
      <c r="BN1295" t="str">
        <f ca="1">IF(BM1295=1,IF(INDEX(分析データ!$A:$A,ROW()+$C$5)&lt;&gt;"",40000*SIGN(BL1295)*(分析データ!E1295-INDEX(分析データ!E:E,ROW()+$C$5)),""),"")</f>
        <v/>
      </c>
      <c r="BO1295">
        <f t="shared" ca="1" si="573"/>
        <v>2720000.0000000014</v>
      </c>
      <c r="BP1295">
        <f t="shared" ca="1" si="574"/>
        <v>4280000.0000000028</v>
      </c>
      <c r="BQ1295">
        <f t="shared" ca="1" si="575"/>
        <v>-1560000.0000000014</v>
      </c>
      <c r="BR1295">
        <f ca="1">IF(ROW()&lt;($C$7+1),"",IFERROR((分析データ!F1295-AVERAGE(OFFSET(分析データ!F$1,MAX(1,ROW()-$C$7),0,MIN($C$7,ROW()-1),1)))/STDEV(OFFSET(分析データ!F$1,MAX(1,ROW()-$C$7),0,MIN($C$7,ROW()-1),1)),0))</f>
        <v>0</v>
      </c>
      <c r="BS1295">
        <f t="shared" ca="1" si="576"/>
        <v>0</v>
      </c>
      <c r="BT1295" t="str">
        <f ca="1">IF(BS1295=1,IF(INDEX(分析データ!$A:$A,ROW()+$C$5)&lt;&gt;"",40000*SIGN(BR1295)*(分析データ!F1295-INDEX(分析データ!F:F,ROW()+$C$5)),""),"")</f>
        <v/>
      </c>
      <c r="BU1295">
        <f t="shared" ca="1" si="577"/>
        <v>19816800</v>
      </c>
      <c r="BV1295">
        <f t="shared" ca="1" si="578"/>
        <v>19816800</v>
      </c>
      <c r="BW1295">
        <f t="shared" ca="1" si="579"/>
        <v>0</v>
      </c>
      <c r="BX1295">
        <f ca="1">IF(ROW()&lt;($C$7+1),"",IFERROR((分析データ!G1295-AVERAGE(OFFSET(分析データ!G$1,MAX(1,ROW()-$C$7),0,MIN($C$7,ROW()-1),1)))/STDEV(OFFSET(分析データ!G$1,MAX(1,ROW()-$C$7),0,MIN($C$7,ROW()-1),1)),0))</f>
        <v>0</v>
      </c>
      <c r="BY1295">
        <f t="shared" ca="1" si="580"/>
        <v>0</v>
      </c>
      <c r="BZ1295" t="str">
        <f ca="1">IF(BY1295=1,IF(INDEX(分析データ!$A:$A,ROW()+$C$5)&lt;&gt;"",40000*SIGN(BX1295)*(分析データ!G1295-INDEX(分析データ!G:G,ROW()+$C$5)),""),"")</f>
        <v/>
      </c>
      <c r="CA1295">
        <f t="shared" ca="1" si="581"/>
        <v>-3515452.8662109179</v>
      </c>
      <c r="CB1295">
        <f t="shared" ca="1" si="582"/>
        <v>11327520.000000004</v>
      </c>
      <c r="CC1295">
        <f t="shared" ca="1" si="583"/>
        <v>-14842972.866210923</v>
      </c>
      <c r="CD1295">
        <f t="shared" ca="1" si="584"/>
        <v>0</v>
      </c>
      <c r="CE1295">
        <f t="shared" ca="1" si="585"/>
        <v>23090347.13378913</v>
      </c>
      <c r="CF1295">
        <f t="shared" ca="1" si="586"/>
        <v>23090347.13378913</v>
      </c>
      <c r="CG1295">
        <f t="shared" ca="1" si="587"/>
        <v>0</v>
      </c>
      <c r="CH1295" s="10" t="str">
        <f>分析データ!A1295</f>
        <v/>
      </c>
    </row>
    <row r="1296" spans="46:86">
      <c r="AT1296">
        <f ca="1">IF(ROW()&lt;($C$7+1),"",IFERROR((分析データ!B1296-AVERAGE(OFFSET(分析データ!B$1,MAX(1,ROW()-$C$7),0,MIN($C$7,ROW()-1),1)))/STDEV(OFFSET(分析データ!B$1,MAX(1,ROW()-$C$7),0,MIN($C$7,ROW()-1),1)),0))</f>
        <v>0</v>
      </c>
      <c r="AU1296">
        <f t="shared" ca="1" si="560"/>
        <v>0</v>
      </c>
      <c r="AV1296" t="str">
        <f ca="1">IF(AU1296=1,IF(INDEX(分析データ!$A:$A,ROW()+$C$5)&lt;&gt;"",80000*SIGN(AT1296)*(分析データ!B1296-INDEX(分析データ!B:B,ROW()+$C$5)),""),"")</f>
        <v/>
      </c>
      <c r="AW1296">
        <f t="shared" ca="1" si="561"/>
        <v>-1240000.0000000019</v>
      </c>
      <c r="AX1296">
        <f t="shared" ca="1" si="562"/>
        <v>0</v>
      </c>
      <c r="AY1296">
        <f t="shared" ca="1" si="563"/>
        <v>-1240000.0000000019</v>
      </c>
      <c r="AZ1296">
        <f ca="1">IF(ROW()&lt;($C$7+1),"",IFERROR((分析データ!C1296-AVERAGE(OFFSET(分析データ!C$1,MAX(1,ROW()-$C$7),0,MIN($C$7,ROW()-1),1)))/STDEV(OFFSET(分析データ!C$1,MAX(1,ROW()-$C$7),0,MIN($C$7,ROW()-1),1)),0))</f>
        <v>0</v>
      </c>
      <c r="BA1296">
        <f t="shared" ca="1" si="564"/>
        <v>0</v>
      </c>
      <c r="BB1296" t="str">
        <f ca="1">IF(BA1296=1,IF(INDEX(分析データ!$A:$A,ROW()+$C$5)&lt;&gt;"",60000*SIGN(AZ1296)*(分析データ!C1296-INDEX(分析データ!C:C,ROW()+$C$5)),""),"")</f>
        <v/>
      </c>
      <c r="BC1296">
        <f t="shared" ca="1" si="565"/>
        <v>-260999.9999999851</v>
      </c>
      <c r="BD1296">
        <f t="shared" ca="1" si="566"/>
        <v>3156000.0000000107</v>
      </c>
      <c r="BE1296">
        <f t="shared" ca="1" si="567"/>
        <v>-3416999.9999999958</v>
      </c>
      <c r="BF1296">
        <f ca="1">IF(ROW()&lt;($C$7+1),"",IFERROR((分析データ!D1296-AVERAGE(OFFSET(分析データ!D$1,MAX(1,ROW()-$C$7),0,MIN($C$7,ROW()-1),1)))/STDEV(OFFSET(分析データ!D$1,MAX(1,ROW()-$C$7),0,MIN($C$7,ROW()-1),1)),0))</f>
        <v>0</v>
      </c>
      <c r="BG1296">
        <f t="shared" ca="1" si="568"/>
        <v>0</v>
      </c>
      <c r="BH1296" t="str">
        <f ca="1">IF(BG1296=1,IF(INDEX(分析データ!$A:$A,ROW()+$C$5)&lt;&gt;"",50000*SIGN(BF1296)*(分析データ!D1296-INDEX(分析データ!D:D,ROW()+$C$5)),""),"")</f>
        <v/>
      </c>
      <c r="BI1296">
        <f t="shared" ca="1" si="569"/>
        <v>5570000.0000000205</v>
      </c>
      <c r="BJ1296">
        <f t="shared" ca="1" si="570"/>
        <v>5570000.0000000205</v>
      </c>
      <c r="BK1296">
        <f t="shared" ca="1" si="571"/>
        <v>0</v>
      </c>
      <c r="BL1296">
        <f ca="1">IF(ROW()&lt;($C$7+1),"",IFERROR((分析データ!E1296-AVERAGE(OFFSET(分析データ!E$1,MAX(1,ROW()-$C$7),0,MIN($C$7,ROW()-1),1)))/STDEV(OFFSET(分析データ!E$1,MAX(1,ROW()-$C$7),0,MIN($C$7,ROW()-1),1)),0))</f>
        <v>0</v>
      </c>
      <c r="BM1296">
        <f t="shared" ca="1" si="572"/>
        <v>0</v>
      </c>
      <c r="BN1296" t="str">
        <f ca="1">IF(BM1296=1,IF(INDEX(分析データ!$A:$A,ROW()+$C$5)&lt;&gt;"",40000*SIGN(BL1296)*(分析データ!E1296-INDEX(分析データ!E:E,ROW()+$C$5)),""),"")</f>
        <v/>
      </c>
      <c r="BO1296">
        <f t="shared" ca="1" si="573"/>
        <v>2720000.0000000014</v>
      </c>
      <c r="BP1296">
        <f t="shared" ca="1" si="574"/>
        <v>4280000.0000000028</v>
      </c>
      <c r="BQ1296">
        <f t="shared" ca="1" si="575"/>
        <v>-1560000.0000000014</v>
      </c>
      <c r="BR1296">
        <f ca="1">IF(ROW()&lt;($C$7+1),"",IFERROR((分析データ!F1296-AVERAGE(OFFSET(分析データ!F$1,MAX(1,ROW()-$C$7),0,MIN($C$7,ROW()-1),1)))/STDEV(OFFSET(分析データ!F$1,MAX(1,ROW()-$C$7),0,MIN($C$7,ROW()-1),1)),0))</f>
        <v>0</v>
      </c>
      <c r="BS1296">
        <f t="shared" ca="1" si="576"/>
        <v>0</v>
      </c>
      <c r="BT1296" t="str">
        <f ca="1">IF(BS1296=1,IF(INDEX(分析データ!$A:$A,ROW()+$C$5)&lt;&gt;"",40000*SIGN(BR1296)*(分析データ!F1296-INDEX(分析データ!F:F,ROW()+$C$5)),""),"")</f>
        <v/>
      </c>
      <c r="BU1296">
        <f t="shared" ca="1" si="577"/>
        <v>19816800</v>
      </c>
      <c r="BV1296">
        <f t="shared" ca="1" si="578"/>
        <v>19816800</v>
      </c>
      <c r="BW1296">
        <f t="shared" ca="1" si="579"/>
        <v>0</v>
      </c>
      <c r="BX1296">
        <f ca="1">IF(ROW()&lt;($C$7+1),"",IFERROR((分析データ!G1296-AVERAGE(OFFSET(分析データ!G$1,MAX(1,ROW()-$C$7),0,MIN($C$7,ROW()-1),1)))/STDEV(OFFSET(分析データ!G$1,MAX(1,ROW()-$C$7),0,MIN($C$7,ROW()-1),1)),0))</f>
        <v>0</v>
      </c>
      <c r="BY1296">
        <f t="shared" ca="1" si="580"/>
        <v>0</v>
      </c>
      <c r="BZ1296" t="str">
        <f ca="1">IF(BY1296=1,IF(INDEX(分析データ!$A:$A,ROW()+$C$5)&lt;&gt;"",40000*SIGN(BX1296)*(分析データ!G1296-INDEX(分析データ!G:G,ROW()+$C$5)),""),"")</f>
        <v/>
      </c>
      <c r="CA1296">
        <f t="shared" ca="1" si="581"/>
        <v>-3515452.8662109179</v>
      </c>
      <c r="CB1296">
        <f t="shared" ca="1" si="582"/>
        <v>11327520.000000004</v>
      </c>
      <c r="CC1296">
        <f t="shared" ca="1" si="583"/>
        <v>-14842972.866210923</v>
      </c>
      <c r="CD1296">
        <f t="shared" ca="1" si="584"/>
        <v>0</v>
      </c>
      <c r="CE1296">
        <f t="shared" ca="1" si="585"/>
        <v>23090347.13378913</v>
      </c>
      <c r="CF1296">
        <f t="shared" ca="1" si="586"/>
        <v>23090347.13378913</v>
      </c>
      <c r="CG1296">
        <f t="shared" ca="1" si="587"/>
        <v>0</v>
      </c>
      <c r="CH1296" s="10" t="str">
        <f>分析データ!A1296</f>
        <v/>
      </c>
    </row>
    <row r="1297" spans="46:86">
      <c r="AT1297">
        <f ca="1">IF(ROW()&lt;($C$7+1),"",IFERROR((分析データ!B1297-AVERAGE(OFFSET(分析データ!B$1,MAX(1,ROW()-$C$7),0,MIN($C$7,ROW()-1),1)))/STDEV(OFFSET(分析データ!B$1,MAX(1,ROW()-$C$7),0,MIN($C$7,ROW()-1),1)),0))</f>
        <v>0</v>
      </c>
      <c r="AU1297">
        <f t="shared" ca="1" si="560"/>
        <v>0</v>
      </c>
      <c r="AV1297" t="str">
        <f ca="1">IF(AU1297=1,IF(INDEX(分析データ!$A:$A,ROW()+$C$5)&lt;&gt;"",80000*SIGN(AT1297)*(分析データ!B1297-INDEX(分析データ!B:B,ROW()+$C$5)),""),"")</f>
        <v/>
      </c>
      <c r="AW1297">
        <f t="shared" ca="1" si="561"/>
        <v>-1240000.0000000019</v>
      </c>
      <c r="AX1297">
        <f t="shared" ca="1" si="562"/>
        <v>0</v>
      </c>
      <c r="AY1297">
        <f t="shared" ca="1" si="563"/>
        <v>-1240000.0000000019</v>
      </c>
      <c r="AZ1297">
        <f ca="1">IF(ROW()&lt;($C$7+1),"",IFERROR((分析データ!C1297-AVERAGE(OFFSET(分析データ!C$1,MAX(1,ROW()-$C$7),0,MIN($C$7,ROW()-1),1)))/STDEV(OFFSET(分析データ!C$1,MAX(1,ROW()-$C$7),0,MIN($C$7,ROW()-1),1)),0))</f>
        <v>0</v>
      </c>
      <c r="BA1297">
        <f t="shared" ca="1" si="564"/>
        <v>0</v>
      </c>
      <c r="BB1297" t="str">
        <f ca="1">IF(BA1297=1,IF(INDEX(分析データ!$A:$A,ROW()+$C$5)&lt;&gt;"",60000*SIGN(AZ1297)*(分析データ!C1297-INDEX(分析データ!C:C,ROW()+$C$5)),""),"")</f>
        <v/>
      </c>
      <c r="BC1297">
        <f t="shared" ca="1" si="565"/>
        <v>-260999.9999999851</v>
      </c>
      <c r="BD1297">
        <f t="shared" ca="1" si="566"/>
        <v>3156000.0000000107</v>
      </c>
      <c r="BE1297">
        <f t="shared" ca="1" si="567"/>
        <v>-3416999.9999999958</v>
      </c>
      <c r="BF1297">
        <f ca="1">IF(ROW()&lt;($C$7+1),"",IFERROR((分析データ!D1297-AVERAGE(OFFSET(分析データ!D$1,MAX(1,ROW()-$C$7),0,MIN($C$7,ROW()-1),1)))/STDEV(OFFSET(分析データ!D$1,MAX(1,ROW()-$C$7),0,MIN($C$7,ROW()-1),1)),0))</f>
        <v>0</v>
      </c>
      <c r="BG1297">
        <f t="shared" ca="1" si="568"/>
        <v>0</v>
      </c>
      <c r="BH1297" t="str">
        <f ca="1">IF(BG1297=1,IF(INDEX(分析データ!$A:$A,ROW()+$C$5)&lt;&gt;"",50000*SIGN(BF1297)*(分析データ!D1297-INDEX(分析データ!D:D,ROW()+$C$5)),""),"")</f>
        <v/>
      </c>
      <c r="BI1297">
        <f t="shared" ca="1" si="569"/>
        <v>5570000.0000000205</v>
      </c>
      <c r="BJ1297">
        <f t="shared" ca="1" si="570"/>
        <v>5570000.0000000205</v>
      </c>
      <c r="BK1297">
        <f t="shared" ca="1" si="571"/>
        <v>0</v>
      </c>
      <c r="BL1297">
        <f ca="1">IF(ROW()&lt;($C$7+1),"",IFERROR((分析データ!E1297-AVERAGE(OFFSET(分析データ!E$1,MAX(1,ROW()-$C$7),0,MIN($C$7,ROW()-1),1)))/STDEV(OFFSET(分析データ!E$1,MAX(1,ROW()-$C$7),0,MIN($C$7,ROW()-1),1)),0))</f>
        <v>0</v>
      </c>
      <c r="BM1297">
        <f t="shared" ca="1" si="572"/>
        <v>0</v>
      </c>
      <c r="BN1297" t="str">
        <f ca="1">IF(BM1297=1,IF(INDEX(分析データ!$A:$A,ROW()+$C$5)&lt;&gt;"",40000*SIGN(BL1297)*(分析データ!E1297-INDEX(分析データ!E:E,ROW()+$C$5)),""),"")</f>
        <v/>
      </c>
      <c r="BO1297">
        <f t="shared" ca="1" si="573"/>
        <v>2720000.0000000014</v>
      </c>
      <c r="BP1297">
        <f t="shared" ca="1" si="574"/>
        <v>4280000.0000000028</v>
      </c>
      <c r="BQ1297">
        <f t="shared" ca="1" si="575"/>
        <v>-1560000.0000000014</v>
      </c>
      <c r="BR1297">
        <f ca="1">IF(ROW()&lt;($C$7+1),"",IFERROR((分析データ!F1297-AVERAGE(OFFSET(分析データ!F$1,MAX(1,ROW()-$C$7),0,MIN($C$7,ROW()-1),1)))/STDEV(OFFSET(分析データ!F$1,MAX(1,ROW()-$C$7),0,MIN($C$7,ROW()-1),1)),0))</f>
        <v>0</v>
      </c>
      <c r="BS1297">
        <f t="shared" ca="1" si="576"/>
        <v>0</v>
      </c>
      <c r="BT1297" t="str">
        <f ca="1">IF(BS1297=1,IF(INDEX(分析データ!$A:$A,ROW()+$C$5)&lt;&gt;"",40000*SIGN(BR1297)*(分析データ!F1297-INDEX(分析データ!F:F,ROW()+$C$5)),""),"")</f>
        <v/>
      </c>
      <c r="BU1297">
        <f t="shared" ca="1" si="577"/>
        <v>19816800</v>
      </c>
      <c r="BV1297">
        <f t="shared" ca="1" si="578"/>
        <v>19816800</v>
      </c>
      <c r="BW1297">
        <f t="shared" ca="1" si="579"/>
        <v>0</v>
      </c>
      <c r="BX1297">
        <f ca="1">IF(ROW()&lt;($C$7+1),"",IFERROR((分析データ!G1297-AVERAGE(OFFSET(分析データ!G$1,MAX(1,ROW()-$C$7),0,MIN($C$7,ROW()-1),1)))/STDEV(OFFSET(分析データ!G$1,MAX(1,ROW()-$C$7),0,MIN($C$7,ROW()-1),1)),0))</f>
        <v>0</v>
      </c>
      <c r="BY1297">
        <f t="shared" ca="1" si="580"/>
        <v>0</v>
      </c>
      <c r="BZ1297" t="str">
        <f ca="1">IF(BY1297=1,IF(INDEX(分析データ!$A:$A,ROW()+$C$5)&lt;&gt;"",40000*SIGN(BX1297)*(分析データ!G1297-INDEX(分析データ!G:G,ROW()+$C$5)),""),"")</f>
        <v/>
      </c>
      <c r="CA1297">
        <f t="shared" ca="1" si="581"/>
        <v>-3515452.8662109179</v>
      </c>
      <c r="CB1297">
        <f t="shared" ca="1" si="582"/>
        <v>11327520.000000004</v>
      </c>
      <c r="CC1297">
        <f t="shared" ca="1" si="583"/>
        <v>-14842972.866210923</v>
      </c>
      <c r="CD1297">
        <f t="shared" ca="1" si="584"/>
        <v>0</v>
      </c>
      <c r="CE1297">
        <f t="shared" ca="1" si="585"/>
        <v>23090347.13378913</v>
      </c>
      <c r="CF1297">
        <f t="shared" ca="1" si="586"/>
        <v>23090347.13378913</v>
      </c>
      <c r="CG1297">
        <f t="shared" ca="1" si="587"/>
        <v>0</v>
      </c>
      <c r="CH1297" s="10" t="str">
        <f>分析データ!A1297</f>
        <v/>
      </c>
    </row>
    <row r="1298" spans="46:86">
      <c r="AT1298">
        <f ca="1">IF(ROW()&lt;($C$7+1),"",IFERROR((分析データ!B1298-AVERAGE(OFFSET(分析データ!B$1,MAX(1,ROW()-$C$7),0,MIN($C$7,ROW()-1),1)))/STDEV(OFFSET(分析データ!B$1,MAX(1,ROW()-$C$7),0,MIN($C$7,ROW()-1),1)),0))</f>
        <v>0</v>
      </c>
      <c r="AU1298">
        <f t="shared" ca="1" si="560"/>
        <v>0</v>
      </c>
      <c r="AV1298" t="str">
        <f ca="1">IF(AU1298=1,IF(INDEX(分析データ!$A:$A,ROW()+$C$5)&lt;&gt;"",80000*SIGN(AT1298)*(分析データ!B1298-INDEX(分析データ!B:B,ROW()+$C$5)),""),"")</f>
        <v/>
      </c>
      <c r="AW1298">
        <f t="shared" ca="1" si="561"/>
        <v>-1240000.0000000019</v>
      </c>
      <c r="AX1298">
        <f t="shared" ca="1" si="562"/>
        <v>0</v>
      </c>
      <c r="AY1298">
        <f t="shared" ca="1" si="563"/>
        <v>-1240000.0000000019</v>
      </c>
      <c r="AZ1298">
        <f ca="1">IF(ROW()&lt;($C$7+1),"",IFERROR((分析データ!C1298-AVERAGE(OFFSET(分析データ!C$1,MAX(1,ROW()-$C$7),0,MIN($C$7,ROW()-1),1)))/STDEV(OFFSET(分析データ!C$1,MAX(1,ROW()-$C$7),0,MIN($C$7,ROW()-1),1)),0))</f>
        <v>0</v>
      </c>
      <c r="BA1298">
        <f t="shared" ca="1" si="564"/>
        <v>0</v>
      </c>
      <c r="BB1298" t="str">
        <f ca="1">IF(BA1298=1,IF(INDEX(分析データ!$A:$A,ROW()+$C$5)&lt;&gt;"",60000*SIGN(AZ1298)*(分析データ!C1298-INDEX(分析データ!C:C,ROW()+$C$5)),""),"")</f>
        <v/>
      </c>
      <c r="BC1298">
        <f t="shared" ca="1" si="565"/>
        <v>-260999.9999999851</v>
      </c>
      <c r="BD1298">
        <f t="shared" ca="1" si="566"/>
        <v>3156000.0000000107</v>
      </c>
      <c r="BE1298">
        <f t="shared" ca="1" si="567"/>
        <v>-3416999.9999999958</v>
      </c>
      <c r="BF1298">
        <f ca="1">IF(ROW()&lt;($C$7+1),"",IFERROR((分析データ!D1298-AVERAGE(OFFSET(分析データ!D$1,MAX(1,ROW()-$C$7),0,MIN($C$7,ROW()-1),1)))/STDEV(OFFSET(分析データ!D$1,MAX(1,ROW()-$C$7),0,MIN($C$7,ROW()-1),1)),0))</f>
        <v>0</v>
      </c>
      <c r="BG1298">
        <f t="shared" ca="1" si="568"/>
        <v>0</v>
      </c>
      <c r="BH1298" t="str">
        <f ca="1">IF(BG1298=1,IF(INDEX(分析データ!$A:$A,ROW()+$C$5)&lt;&gt;"",50000*SIGN(BF1298)*(分析データ!D1298-INDEX(分析データ!D:D,ROW()+$C$5)),""),"")</f>
        <v/>
      </c>
      <c r="BI1298">
        <f t="shared" ca="1" si="569"/>
        <v>5570000.0000000205</v>
      </c>
      <c r="BJ1298">
        <f t="shared" ca="1" si="570"/>
        <v>5570000.0000000205</v>
      </c>
      <c r="BK1298">
        <f t="shared" ca="1" si="571"/>
        <v>0</v>
      </c>
      <c r="BL1298">
        <f ca="1">IF(ROW()&lt;($C$7+1),"",IFERROR((分析データ!E1298-AVERAGE(OFFSET(分析データ!E$1,MAX(1,ROW()-$C$7),0,MIN($C$7,ROW()-1),1)))/STDEV(OFFSET(分析データ!E$1,MAX(1,ROW()-$C$7),0,MIN($C$7,ROW()-1),1)),0))</f>
        <v>0</v>
      </c>
      <c r="BM1298">
        <f t="shared" ca="1" si="572"/>
        <v>0</v>
      </c>
      <c r="BN1298" t="str">
        <f ca="1">IF(BM1298=1,IF(INDEX(分析データ!$A:$A,ROW()+$C$5)&lt;&gt;"",40000*SIGN(BL1298)*(分析データ!E1298-INDEX(分析データ!E:E,ROW()+$C$5)),""),"")</f>
        <v/>
      </c>
      <c r="BO1298">
        <f t="shared" ca="1" si="573"/>
        <v>2720000.0000000014</v>
      </c>
      <c r="BP1298">
        <f t="shared" ca="1" si="574"/>
        <v>4280000.0000000028</v>
      </c>
      <c r="BQ1298">
        <f t="shared" ca="1" si="575"/>
        <v>-1560000.0000000014</v>
      </c>
      <c r="BR1298">
        <f ca="1">IF(ROW()&lt;($C$7+1),"",IFERROR((分析データ!F1298-AVERAGE(OFFSET(分析データ!F$1,MAX(1,ROW()-$C$7),0,MIN($C$7,ROW()-1),1)))/STDEV(OFFSET(分析データ!F$1,MAX(1,ROW()-$C$7),0,MIN($C$7,ROW()-1),1)),0))</f>
        <v>0</v>
      </c>
      <c r="BS1298">
        <f t="shared" ca="1" si="576"/>
        <v>0</v>
      </c>
      <c r="BT1298" t="str">
        <f ca="1">IF(BS1298=1,IF(INDEX(分析データ!$A:$A,ROW()+$C$5)&lt;&gt;"",40000*SIGN(BR1298)*(分析データ!F1298-INDEX(分析データ!F:F,ROW()+$C$5)),""),"")</f>
        <v/>
      </c>
      <c r="BU1298">
        <f t="shared" ca="1" si="577"/>
        <v>19816800</v>
      </c>
      <c r="BV1298">
        <f t="shared" ca="1" si="578"/>
        <v>19816800</v>
      </c>
      <c r="BW1298">
        <f t="shared" ca="1" si="579"/>
        <v>0</v>
      </c>
      <c r="BX1298">
        <f ca="1">IF(ROW()&lt;($C$7+1),"",IFERROR((分析データ!G1298-AVERAGE(OFFSET(分析データ!G$1,MAX(1,ROW()-$C$7),0,MIN($C$7,ROW()-1),1)))/STDEV(OFFSET(分析データ!G$1,MAX(1,ROW()-$C$7),0,MIN($C$7,ROW()-1),1)),0))</f>
        <v>0</v>
      </c>
      <c r="BY1298">
        <f t="shared" ca="1" si="580"/>
        <v>0</v>
      </c>
      <c r="BZ1298" t="str">
        <f ca="1">IF(BY1298=1,IF(INDEX(分析データ!$A:$A,ROW()+$C$5)&lt;&gt;"",40000*SIGN(BX1298)*(分析データ!G1298-INDEX(分析データ!G:G,ROW()+$C$5)),""),"")</f>
        <v/>
      </c>
      <c r="CA1298">
        <f t="shared" ca="1" si="581"/>
        <v>-3515452.8662109179</v>
      </c>
      <c r="CB1298">
        <f t="shared" ca="1" si="582"/>
        <v>11327520.000000004</v>
      </c>
      <c r="CC1298">
        <f t="shared" ca="1" si="583"/>
        <v>-14842972.866210923</v>
      </c>
      <c r="CD1298">
        <f t="shared" ca="1" si="584"/>
        <v>0</v>
      </c>
      <c r="CE1298">
        <f t="shared" ca="1" si="585"/>
        <v>23090347.13378913</v>
      </c>
      <c r="CF1298">
        <f t="shared" ca="1" si="586"/>
        <v>23090347.13378913</v>
      </c>
      <c r="CG1298">
        <f t="shared" ca="1" si="587"/>
        <v>0</v>
      </c>
      <c r="CH1298" s="10" t="str">
        <f>分析データ!A1298</f>
        <v/>
      </c>
    </row>
    <row r="1299" spans="46:86">
      <c r="AT1299">
        <f ca="1">IF(ROW()&lt;($C$7+1),"",IFERROR((分析データ!B1299-AVERAGE(OFFSET(分析データ!B$1,MAX(1,ROW()-$C$7),0,MIN($C$7,ROW()-1),1)))/STDEV(OFFSET(分析データ!B$1,MAX(1,ROW()-$C$7),0,MIN($C$7,ROW()-1),1)),0))</f>
        <v>0</v>
      </c>
      <c r="AU1299">
        <f t="shared" ca="1" si="560"/>
        <v>0</v>
      </c>
      <c r="AV1299" t="str">
        <f ca="1">IF(AU1299=1,IF(INDEX(分析データ!$A:$A,ROW()+$C$5)&lt;&gt;"",80000*SIGN(AT1299)*(分析データ!B1299-INDEX(分析データ!B:B,ROW()+$C$5)),""),"")</f>
        <v/>
      </c>
      <c r="AW1299">
        <f t="shared" ca="1" si="561"/>
        <v>-1240000.0000000019</v>
      </c>
      <c r="AX1299">
        <f t="shared" ca="1" si="562"/>
        <v>0</v>
      </c>
      <c r="AY1299">
        <f t="shared" ca="1" si="563"/>
        <v>-1240000.0000000019</v>
      </c>
      <c r="AZ1299">
        <f ca="1">IF(ROW()&lt;($C$7+1),"",IFERROR((分析データ!C1299-AVERAGE(OFFSET(分析データ!C$1,MAX(1,ROW()-$C$7),0,MIN($C$7,ROW()-1),1)))/STDEV(OFFSET(分析データ!C$1,MAX(1,ROW()-$C$7),0,MIN($C$7,ROW()-1),1)),0))</f>
        <v>0</v>
      </c>
      <c r="BA1299">
        <f t="shared" ca="1" si="564"/>
        <v>0</v>
      </c>
      <c r="BB1299" t="str">
        <f ca="1">IF(BA1299=1,IF(INDEX(分析データ!$A:$A,ROW()+$C$5)&lt;&gt;"",60000*SIGN(AZ1299)*(分析データ!C1299-INDEX(分析データ!C:C,ROW()+$C$5)),""),"")</f>
        <v/>
      </c>
      <c r="BC1299">
        <f t="shared" ca="1" si="565"/>
        <v>-260999.9999999851</v>
      </c>
      <c r="BD1299">
        <f t="shared" ca="1" si="566"/>
        <v>3156000.0000000107</v>
      </c>
      <c r="BE1299">
        <f t="shared" ca="1" si="567"/>
        <v>-3416999.9999999958</v>
      </c>
      <c r="BF1299">
        <f ca="1">IF(ROW()&lt;($C$7+1),"",IFERROR((分析データ!D1299-AVERAGE(OFFSET(分析データ!D$1,MAX(1,ROW()-$C$7),0,MIN($C$7,ROW()-1),1)))/STDEV(OFFSET(分析データ!D$1,MAX(1,ROW()-$C$7),0,MIN($C$7,ROW()-1),1)),0))</f>
        <v>0</v>
      </c>
      <c r="BG1299">
        <f t="shared" ca="1" si="568"/>
        <v>0</v>
      </c>
      <c r="BH1299" t="str">
        <f ca="1">IF(BG1299=1,IF(INDEX(分析データ!$A:$A,ROW()+$C$5)&lt;&gt;"",50000*SIGN(BF1299)*(分析データ!D1299-INDEX(分析データ!D:D,ROW()+$C$5)),""),"")</f>
        <v/>
      </c>
      <c r="BI1299">
        <f t="shared" ca="1" si="569"/>
        <v>5570000.0000000205</v>
      </c>
      <c r="BJ1299">
        <f t="shared" ca="1" si="570"/>
        <v>5570000.0000000205</v>
      </c>
      <c r="BK1299">
        <f t="shared" ca="1" si="571"/>
        <v>0</v>
      </c>
      <c r="BL1299">
        <f ca="1">IF(ROW()&lt;($C$7+1),"",IFERROR((分析データ!E1299-AVERAGE(OFFSET(分析データ!E$1,MAX(1,ROW()-$C$7),0,MIN($C$7,ROW()-1),1)))/STDEV(OFFSET(分析データ!E$1,MAX(1,ROW()-$C$7),0,MIN($C$7,ROW()-1),1)),0))</f>
        <v>0</v>
      </c>
      <c r="BM1299">
        <f t="shared" ca="1" si="572"/>
        <v>0</v>
      </c>
      <c r="BN1299" t="str">
        <f ca="1">IF(BM1299=1,IF(INDEX(分析データ!$A:$A,ROW()+$C$5)&lt;&gt;"",40000*SIGN(BL1299)*(分析データ!E1299-INDEX(分析データ!E:E,ROW()+$C$5)),""),"")</f>
        <v/>
      </c>
      <c r="BO1299">
        <f t="shared" ca="1" si="573"/>
        <v>2720000.0000000014</v>
      </c>
      <c r="BP1299">
        <f t="shared" ca="1" si="574"/>
        <v>4280000.0000000028</v>
      </c>
      <c r="BQ1299">
        <f t="shared" ca="1" si="575"/>
        <v>-1560000.0000000014</v>
      </c>
      <c r="BR1299">
        <f ca="1">IF(ROW()&lt;($C$7+1),"",IFERROR((分析データ!F1299-AVERAGE(OFFSET(分析データ!F$1,MAX(1,ROW()-$C$7),0,MIN($C$7,ROW()-1),1)))/STDEV(OFFSET(分析データ!F$1,MAX(1,ROW()-$C$7),0,MIN($C$7,ROW()-1),1)),0))</f>
        <v>0</v>
      </c>
      <c r="BS1299">
        <f t="shared" ca="1" si="576"/>
        <v>0</v>
      </c>
      <c r="BT1299" t="str">
        <f ca="1">IF(BS1299=1,IF(INDEX(分析データ!$A:$A,ROW()+$C$5)&lt;&gt;"",40000*SIGN(BR1299)*(分析データ!F1299-INDEX(分析データ!F:F,ROW()+$C$5)),""),"")</f>
        <v/>
      </c>
      <c r="BU1299">
        <f t="shared" ca="1" si="577"/>
        <v>19816800</v>
      </c>
      <c r="BV1299">
        <f t="shared" ca="1" si="578"/>
        <v>19816800</v>
      </c>
      <c r="BW1299">
        <f t="shared" ca="1" si="579"/>
        <v>0</v>
      </c>
      <c r="BX1299">
        <f ca="1">IF(ROW()&lt;($C$7+1),"",IFERROR((分析データ!G1299-AVERAGE(OFFSET(分析データ!G$1,MAX(1,ROW()-$C$7),0,MIN($C$7,ROW()-1),1)))/STDEV(OFFSET(分析データ!G$1,MAX(1,ROW()-$C$7),0,MIN($C$7,ROW()-1),1)),0))</f>
        <v>0</v>
      </c>
      <c r="BY1299">
        <f t="shared" ca="1" si="580"/>
        <v>0</v>
      </c>
      <c r="BZ1299" t="str">
        <f ca="1">IF(BY1299=1,IF(INDEX(分析データ!$A:$A,ROW()+$C$5)&lt;&gt;"",40000*SIGN(BX1299)*(分析データ!G1299-INDEX(分析データ!G:G,ROW()+$C$5)),""),"")</f>
        <v/>
      </c>
      <c r="CA1299">
        <f t="shared" ca="1" si="581"/>
        <v>-3515452.8662109179</v>
      </c>
      <c r="CB1299">
        <f t="shared" ca="1" si="582"/>
        <v>11327520.000000004</v>
      </c>
      <c r="CC1299">
        <f t="shared" ca="1" si="583"/>
        <v>-14842972.866210923</v>
      </c>
      <c r="CD1299">
        <f t="shared" ca="1" si="584"/>
        <v>0</v>
      </c>
      <c r="CE1299">
        <f t="shared" ca="1" si="585"/>
        <v>23090347.13378913</v>
      </c>
      <c r="CF1299">
        <f t="shared" ca="1" si="586"/>
        <v>23090347.13378913</v>
      </c>
      <c r="CG1299">
        <f t="shared" ca="1" si="587"/>
        <v>0</v>
      </c>
      <c r="CH1299" s="10" t="str">
        <f>分析データ!A1299</f>
        <v/>
      </c>
    </row>
    <row r="1300" spans="46:86">
      <c r="AT1300">
        <f ca="1">IF(ROW()&lt;($C$7+1),"",IFERROR((分析データ!B1300-AVERAGE(OFFSET(分析データ!B$1,MAX(1,ROW()-$C$7),0,MIN($C$7,ROW()-1),1)))/STDEV(OFFSET(分析データ!B$1,MAX(1,ROW()-$C$7),0,MIN($C$7,ROW()-1),1)),0))</f>
        <v>0</v>
      </c>
      <c r="AU1300">
        <f t="shared" ca="1" si="560"/>
        <v>0</v>
      </c>
      <c r="AV1300" t="str">
        <f ca="1">IF(AU1300=1,IF(INDEX(分析データ!$A:$A,ROW()+$C$5)&lt;&gt;"",80000*SIGN(AT1300)*(分析データ!B1300-INDEX(分析データ!B:B,ROW()+$C$5)),""),"")</f>
        <v/>
      </c>
      <c r="AW1300">
        <f t="shared" ca="1" si="561"/>
        <v>-1240000.0000000019</v>
      </c>
      <c r="AX1300">
        <f t="shared" ca="1" si="562"/>
        <v>0</v>
      </c>
      <c r="AY1300">
        <f t="shared" ca="1" si="563"/>
        <v>-1240000.0000000019</v>
      </c>
      <c r="AZ1300">
        <f ca="1">IF(ROW()&lt;($C$7+1),"",IFERROR((分析データ!C1300-AVERAGE(OFFSET(分析データ!C$1,MAX(1,ROW()-$C$7),0,MIN($C$7,ROW()-1),1)))/STDEV(OFFSET(分析データ!C$1,MAX(1,ROW()-$C$7),0,MIN($C$7,ROW()-1),1)),0))</f>
        <v>0</v>
      </c>
      <c r="BA1300">
        <f t="shared" ca="1" si="564"/>
        <v>0</v>
      </c>
      <c r="BB1300" t="str">
        <f ca="1">IF(BA1300=1,IF(INDEX(分析データ!$A:$A,ROW()+$C$5)&lt;&gt;"",60000*SIGN(AZ1300)*(分析データ!C1300-INDEX(分析データ!C:C,ROW()+$C$5)),""),"")</f>
        <v/>
      </c>
      <c r="BC1300">
        <f t="shared" ca="1" si="565"/>
        <v>-260999.9999999851</v>
      </c>
      <c r="BD1300">
        <f t="shared" ca="1" si="566"/>
        <v>3156000.0000000107</v>
      </c>
      <c r="BE1300">
        <f t="shared" ca="1" si="567"/>
        <v>-3416999.9999999958</v>
      </c>
      <c r="BF1300">
        <f ca="1">IF(ROW()&lt;($C$7+1),"",IFERROR((分析データ!D1300-AVERAGE(OFFSET(分析データ!D$1,MAX(1,ROW()-$C$7),0,MIN($C$7,ROW()-1),1)))/STDEV(OFFSET(分析データ!D$1,MAX(1,ROW()-$C$7),0,MIN($C$7,ROW()-1),1)),0))</f>
        <v>0</v>
      </c>
      <c r="BG1300">
        <f t="shared" ca="1" si="568"/>
        <v>0</v>
      </c>
      <c r="BH1300" t="str">
        <f ca="1">IF(BG1300=1,IF(INDEX(分析データ!$A:$A,ROW()+$C$5)&lt;&gt;"",50000*SIGN(BF1300)*(分析データ!D1300-INDEX(分析データ!D:D,ROW()+$C$5)),""),"")</f>
        <v/>
      </c>
      <c r="BI1300">
        <f t="shared" ca="1" si="569"/>
        <v>5570000.0000000205</v>
      </c>
      <c r="BJ1300">
        <f t="shared" ca="1" si="570"/>
        <v>5570000.0000000205</v>
      </c>
      <c r="BK1300">
        <f t="shared" ca="1" si="571"/>
        <v>0</v>
      </c>
      <c r="BL1300">
        <f ca="1">IF(ROW()&lt;($C$7+1),"",IFERROR((分析データ!E1300-AVERAGE(OFFSET(分析データ!E$1,MAX(1,ROW()-$C$7),0,MIN($C$7,ROW()-1),1)))/STDEV(OFFSET(分析データ!E$1,MAX(1,ROW()-$C$7),0,MIN($C$7,ROW()-1),1)),0))</f>
        <v>0</v>
      </c>
      <c r="BM1300">
        <f t="shared" ca="1" si="572"/>
        <v>0</v>
      </c>
      <c r="BN1300" t="str">
        <f ca="1">IF(BM1300=1,IF(INDEX(分析データ!$A:$A,ROW()+$C$5)&lt;&gt;"",40000*SIGN(BL1300)*(分析データ!E1300-INDEX(分析データ!E:E,ROW()+$C$5)),""),"")</f>
        <v/>
      </c>
      <c r="BO1300">
        <f t="shared" ca="1" si="573"/>
        <v>2720000.0000000014</v>
      </c>
      <c r="BP1300">
        <f t="shared" ca="1" si="574"/>
        <v>4280000.0000000028</v>
      </c>
      <c r="BQ1300">
        <f t="shared" ca="1" si="575"/>
        <v>-1560000.0000000014</v>
      </c>
      <c r="BR1300">
        <f ca="1">IF(ROW()&lt;($C$7+1),"",IFERROR((分析データ!F1300-AVERAGE(OFFSET(分析データ!F$1,MAX(1,ROW()-$C$7),0,MIN($C$7,ROW()-1),1)))/STDEV(OFFSET(分析データ!F$1,MAX(1,ROW()-$C$7),0,MIN($C$7,ROW()-1),1)),0))</f>
        <v>0</v>
      </c>
      <c r="BS1300">
        <f t="shared" ca="1" si="576"/>
        <v>0</v>
      </c>
      <c r="BT1300" t="str">
        <f ca="1">IF(BS1300=1,IF(INDEX(分析データ!$A:$A,ROW()+$C$5)&lt;&gt;"",40000*SIGN(BR1300)*(分析データ!F1300-INDEX(分析データ!F:F,ROW()+$C$5)),""),"")</f>
        <v/>
      </c>
      <c r="BU1300">
        <f t="shared" ca="1" si="577"/>
        <v>19816800</v>
      </c>
      <c r="BV1300">
        <f t="shared" ca="1" si="578"/>
        <v>19816800</v>
      </c>
      <c r="BW1300">
        <f t="shared" ca="1" si="579"/>
        <v>0</v>
      </c>
      <c r="BX1300">
        <f ca="1">IF(ROW()&lt;($C$7+1),"",IFERROR((分析データ!G1300-AVERAGE(OFFSET(分析データ!G$1,MAX(1,ROW()-$C$7),0,MIN($C$7,ROW()-1),1)))/STDEV(OFFSET(分析データ!G$1,MAX(1,ROW()-$C$7),0,MIN($C$7,ROW()-1),1)),0))</f>
        <v>0</v>
      </c>
      <c r="BY1300">
        <f t="shared" ca="1" si="580"/>
        <v>0</v>
      </c>
      <c r="BZ1300" t="str">
        <f ca="1">IF(BY1300=1,IF(INDEX(分析データ!$A:$A,ROW()+$C$5)&lt;&gt;"",40000*SIGN(BX1300)*(分析データ!G1300-INDEX(分析データ!G:G,ROW()+$C$5)),""),"")</f>
        <v/>
      </c>
      <c r="CA1300">
        <f t="shared" ca="1" si="581"/>
        <v>-3515452.8662109179</v>
      </c>
      <c r="CB1300">
        <f t="shared" ca="1" si="582"/>
        <v>11327520.000000004</v>
      </c>
      <c r="CC1300">
        <f t="shared" ca="1" si="583"/>
        <v>-14842972.866210923</v>
      </c>
      <c r="CD1300">
        <f t="shared" ca="1" si="584"/>
        <v>0</v>
      </c>
      <c r="CE1300">
        <f t="shared" ca="1" si="585"/>
        <v>23090347.13378913</v>
      </c>
      <c r="CF1300">
        <f t="shared" ca="1" si="586"/>
        <v>23090347.13378913</v>
      </c>
      <c r="CG1300">
        <f t="shared" ca="1" si="587"/>
        <v>0</v>
      </c>
      <c r="CH1300" s="10" t="str">
        <f>分析データ!A1300</f>
        <v/>
      </c>
    </row>
    <row r="1301" spans="46:86">
      <c r="AT1301">
        <f ca="1">IF(ROW()&lt;($C$7+1),"",IFERROR((分析データ!B1301-AVERAGE(OFFSET(分析データ!B$1,MAX(1,ROW()-$C$7),0,MIN($C$7,ROW()-1),1)))/STDEV(OFFSET(分析データ!B$1,MAX(1,ROW()-$C$7),0,MIN($C$7,ROW()-1),1)),0))</f>
        <v>0</v>
      </c>
      <c r="AU1301">
        <f t="shared" ca="1" si="560"/>
        <v>0</v>
      </c>
      <c r="AV1301" t="str">
        <f ca="1">IF(AU1301=1,IF(INDEX(分析データ!$A:$A,ROW()+$C$5)&lt;&gt;"",80000*SIGN(AT1301)*(分析データ!B1301-INDEX(分析データ!B:B,ROW()+$C$5)),""),"")</f>
        <v/>
      </c>
      <c r="AW1301">
        <f t="shared" ca="1" si="561"/>
        <v>-1240000.0000000019</v>
      </c>
      <c r="AX1301">
        <f t="shared" ca="1" si="562"/>
        <v>0</v>
      </c>
      <c r="AY1301">
        <f t="shared" ca="1" si="563"/>
        <v>-1240000.0000000019</v>
      </c>
      <c r="AZ1301">
        <f ca="1">IF(ROW()&lt;($C$7+1),"",IFERROR((分析データ!C1301-AVERAGE(OFFSET(分析データ!C$1,MAX(1,ROW()-$C$7),0,MIN($C$7,ROW()-1),1)))/STDEV(OFFSET(分析データ!C$1,MAX(1,ROW()-$C$7),0,MIN($C$7,ROW()-1),1)),0))</f>
        <v>0</v>
      </c>
      <c r="BA1301">
        <f t="shared" ca="1" si="564"/>
        <v>0</v>
      </c>
      <c r="BB1301" t="str">
        <f ca="1">IF(BA1301=1,IF(INDEX(分析データ!$A:$A,ROW()+$C$5)&lt;&gt;"",60000*SIGN(AZ1301)*(分析データ!C1301-INDEX(分析データ!C:C,ROW()+$C$5)),""),"")</f>
        <v/>
      </c>
      <c r="BC1301">
        <f t="shared" ca="1" si="565"/>
        <v>-260999.9999999851</v>
      </c>
      <c r="BD1301">
        <f t="shared" ca="1" si="566"/>
        <v>3156000.0000000107</v>
      </c>
      <c r="BE1301">
        <f t="shared" ca="1" si="567"/>
        <v>-3416999.9999999958</v>
      </c>
      <c r="BF1301">
        <f ca="1">IF(ROW()&lt;($C$7+1),"",IFERROR((分析データ!D1301-AVERAGE(OFFSET(分析データ!D$1,MAX(1,ROW()-$C$7),0,MIN($C$7,ROW()-1),1)))/STDEV(OFFSET(分析データ!D$1,MAX(1,ROW()-$C$7),0,MIN($C$7,ROW()-1),1)),0))</f>
        <v>0</v>
      </c>
      <c r="BG1301">
        <f t="shared" ca="1" si="568"/>
        <v>0</v>
      </c>
      <c r="BH1301" t="str">
        <f ca="1">IF(BG1301=1,IF(INDEX(分析データ!$A:$A,ROW()+$C$5)&lt;&gt;"",50000*SIGN(BF1301)*(分析データ!D1301-INDEX(分析データ!D:D,ROW()+$C$5)),""),"")</f>
        <v/>
      </c>
      <c r="BI1301">
        <f t="shared" ca="1" si="569"/>
        <v>5570000.0000000205</v>
      </c>
      <c r="BJ1301">
        <f t="shared" ca="1" si="570"/>
        <v>5570000.0000000205</v>
      </c>
      <c r="BK1301">
        <f t="shared" ca="1" si="571"/>
        <v>0</v>
      </c>
      <c r="BL1301">
        <f ca="1">IF(ROW()&lt;($C$7+1),"",IFERROR((分析データ!E1301-AVERAGE(OFFSET(分析データ!E$1,MAX(1,ROW()-$C$7),0,MIN($C$7,ROW()-1),1)))/STDEV(OFFSET(分析データ!E$1,MAX(1,ROW()-$C$7),0,MIN($C$7,ROW()-1),1)),0))</f>
        <v>0</v>
      </c>
      <c r="BM1301">
        <f t="shared" ca="1" si="572"/>
        <v>0</v>
      </c>
      <c r="BN1301" t="str">
        <f ca="1">IF(BM1301=1,IF(INDEX(分析データ!$A:$A,ROW()+$C$5)&lt;&gt;"",40000*SIGN(BL1301)*(分析データ!E1301-INDEX(分析データ!E:E,ROW()+$C$5)),""),"")</f>
        <v/>
      </c>
      <c r="BO1301">
        <f t="shared" ca="1" si="573"/>
        <v>2720000.0000000014</v>
      </c>
      <c r="BP1301">
        <f t="shared" ca="1" si="574"/>
        <v>4280000.0000000028</v>
      </c>
      <c r="BQ1301">
        <f t="shared" ca="1" si="575"/>
        <v>-1560000.0000000014</v>
      </c>
      <c r="BR1301">
        <f ca="1">IF(ROW()&lt;($C$7+1),"",IFERROR((分析データ!F1301-AVERAGE(OFFSET(分析データ!F$1,MAX(1,ROW()-$C$7),0,MIN($C$7,ROW()-1),1)))/STDEV(OFFSET(分析データ!F$1,MAX(1,ROW()-$C$7),0,MIN($C$7,ROW()-1),1)),0))</f>
        <v>0</v>
      </c>
      <c r="BS1301">
        <f t="shared" ca="1" si="576"/>
        <v>0</v>
      </c>
      <c r="BT1301" t="str">
        <f ca="1">IF(BS1301=1,IF(INDEX(分析データ!$A:$A,ROW()+$C$5)&lt;&gt;"",40000*SIGN(BR1301)*(分析データ!F1301-INDEX(分析データ!F:F,ROW()+$C$5)),""),"")</f>
        <v/>
      </c>
      <c r="BU1301">
        <f t="shared" ca="1" si="577"/>
        <v>19816800</v>
      </c>
      <c r="BV1301">
        <f t="shared" ca="1" si="578"/>
        <v>19816800</v>
      </c>
      <c r="BW1301">
        <f t="shared" ca="1" si="579"/>
        <v>0</v>
      </c>
      <c r="BX1301">
        <f ca="1">IF(ROW()&lt;($C$7+1),"",IFERROR((分析データ!G1301-AVERAGE(OFFSET(分析データ!G$1,MAX(1,ROW()-$C$7),0,MIN($C$7,ROW()-1),1)))/STDEV(OFFSET(分析データ!G$1,MAX(1,ROW()-$C$7),0,MIN($C$7,ROW()-1),1)),0))</f>
        <v>0</v>
      </c>
      <c r="BY1301">
        <f t="shared" ca="1" si="580"/>
        <v>0</v>
      </c>
      <c r="BZ1301" t="str">
        <f ca="1">IF(BY1301=1,IF(INDEX(分析データ!$A:$A,ROW()+$C$5)&lt;&gt;"",40000*SIGN(BX1301)*(分析データ!G1301-INDEX(分析データ!G:G,ROW()+$C$5)),""),"")</f>
        <v/>
      </c>
      <c r="CA1301">
        <f t="shared" ca="1" si="581"/>
        <v>-3515452.8662109179</v>
      </c>
      <c r="CB1301">
        <f t="shared" ca="1" si="582"/>
        <v>11327520.000000004</v>
      </c>
      <c r="CC1301">
        <f t="shared" ca="1" si="583"/>
        <v>-14842972.866210923</v>
      </c>
      <c r="CD1301">
        <f t="shared" ca="1" si="584"/>
        <v>0</v>
      </c>
      <c r="CE1301">
        <f t="shared" ca="1" si="585"/>
        <v>23090347.13378913</v>
      </c>
      <c r="CF1301">
        <f t="shared" ca="1" si="586"/>
        <v>23090347.13378913</v>
      </c>
      <c r="CG1301">
        <f t="shared" ca="1" si="587"/>
        <v>0</v>
      </c>
      <c r="CH1301" s="10" t="str">
        <f>分析データ!A1301</f>
        <v/>
      </c>
    </row>
    <row r="1302" spans="46:86">
      <c r="AT1302">
        <f ca="1">IF(ROW()&lt;($C$7+1),"",IFERROR((分析データ!B1302-AVERAGE(OFFSET(分析データ!B$1,MAX(1,ROW()-$C$7),0,MIN($C$7,ROW()-1),1)))/STDEV(OFFSET(分析データ!B$1,MAX(1,ROW()-$C$7),0,MIN($C$7,ROW()-1),1)),0))</f>
        <v>0</v>
      </c>
      <c r="AU1302">
        <f t="shared" ca="1" si="560"/>
        <v>0</v>
      </c>
      <c r="AV1302" t="str">
        <f ca="1">IF(AU1302=1,IF(INDEX(分析データ!$A:$A,ROW()+$C$5)&lt;&gt;"",80000*SIGN(AT1302)*(分析データ!B1302-INDEX(分析データ!B:B,ROW()+$C$5)),""),"")</f>
        <v/>
      </c>
      <c r="AW1302">
        <f t="shared" ca="1" si="561"/>
        <v>-1240000.0000000019</v>
      </c>
      <c r="AX1302">
        <f t="shared" ca="1" si="562"/>
        <v>0</v>
      </c>
      <c r="AY1302">
        <f t="shared" ca="1" si="563"/>
        <v>-1240000.0000000019</v>
      </c>
      <c r="AZ1302">
        <f ca="1">IF(ROW()&lt;($C$7+1),"",IFERROR((分析データ!C1302-AVERAGE(OFFSET(分析データ!C$1,MAX(1,ROW()-$C$7),0,MIN($C$7,ROW()-1),1)))/STDEV(OFFSET(分析データ!C$1,MAX(1,ROW()-$C$7),0,MIN($C$7,ROW()-1),1)),0))</f>
        <v>0</v>
      </c>
      <c r="BA1302">
        <f t="shared" ca="1" si="564"/>
        <v>0</v>
      </c>
      <c r="BB1302" t="str">
        <f ca="1">IF(BA1302=1,IF(INDEX(分析データ!$A:$A,ROW()+$C$5)&lt;&gt;"",60000*SIGN(AZ1302)*(分析データ!C1302-INDEX(分析データ!C:C,ROW()+$C$5)),""),"")</f>
        <v/>
      </c>
      <c r="BC1302">
        <f t="shared" ca="1" si="565"/>
        <v>-260999.9999999851</v>
      </c>
      <c r="BD1302">
        <f t="shared" ca="1" si="566"/>
        <v>3156000.0000000107</v>
      </c>
      <c r="BE1302">
        <f t="shared" ca="1" si="567"/>
        <v>-3416999.9999999958</v>
      </c>
      <c r="BF1302">
        <f ca="1">IF(ROW()&lt;($C$7+1),"",IFERROR((分析データ!D1302-AVERAGE(OFFSET(分析データ!D$1,MAX(1,ROW()-$C$7),0,MIN($C$7,ROW()-1),1)))/STDEV(OFFSET(分析データ!D$1,MAX(1,ROW()-$C$7),0,MIN($C$7,ROW()-1),1)),0))</f>
        <v>0</v>
      </c>
      <c r="BG1302">
        <f t="shared" ca="1" si="568"/>
        <v>0</v>
      </c>
      <c r="BH1302" t="str">
        <f ca="1">IF(BG1302=1,IF(INDEX(分析データ!$A:$A,ROW()+$C$5)&lt;&gt;"",50000*SIGN(BF1302)*(分析データ!D1302-INDEX(分析データ!D:D,ROW()+$C$5)),""),"")</f>
        <v/>
      </c>
      <c r="BI1302">
        <f t="shared" ca="1" si="569"/>
        <v>5570000.0000000205</v>
      </c>
      <c r="BJ1302">
        <f t="shared" ca="1" si="570"/>
        <v>5570000.0000000205</v>
      </c>
      <c r="BK1302">
        <f t="shared" ca="1" si="571"/>
        <v>0</v>
      </c>
      <c r="BL1302">
        <f ca="1">IF(ROW()&lt;($C$7+1),"",IFERROR((分析データ!E1302-AVERAGE(OFFSET(分析データ!E$1,MAX(1,ROW()-$C$7),0,MIN($C$7,ROW()-1),1)))/STDEV(OFFSET(分析データ!E$1,MAX(1,ROW()-$C$7),0,MIN($C$7,ROW()-1),1)),0))</f>
        <v>0</v>
      </c>
      <c r="BM1302">
        <f t="shared" ca="1" si="572"/>
        <v>0</v>
      </c>
      <c r="BN1302" t="str">
        <f ca="1">IF(BM1302=1,IF(INDEX(分析データ!$A:$A,ROW()+$C$5)&lt;&gt;"",40000*SIGN(BL1302)*(分析データ!E1302-INDEX(分析データ!E:E,ROW()+$C$5)),""),"")</f>
        <v/>
      </c>
      <c r="BO1302">
        <f t="shared" ca="1" si="573"/>
        <v>2720000.0000000014</v>
      </c>
      <c r="BP1302">
        <f t="shared" ca="1" si="574"/>
        <v>4280000.0000000028</v>
      </c>
      <c r="BQ1302">
        <f t="shared" ca="1" si="575"/>
        <v>-1560000.0000000014</v>
      </c>
      <c r="BR1302">
        <f ca="1">IF(ROW()&lt;($C$7+1),"",IFERROR((分析データ!F1302-AVERAGE(OFFSET(分析データ!F$1,MAX(1,ROW()-$C$7),0,MIN($C$7,ROW()-1),1)))/STDEV(OFFSET(分析データ!F$1,MAX(1,ROW()-$C$7),0,MIN($C$7,ROW()-1),1)),0))</f>
        <v>0</v>
      </c>
      <c r="BS1302">
        <f t="shared" ca="1" si="576"/>
        <v>0</v>
      </c>
      <c r="BT1302" t="str">
        <f ca="1">IF(BS1302=1,IF(INDEX(分析データ!$A:$A,ROW()+$C$5)&lt;&gt;"",40000*SIGN(BR1302)*(分析データ!F1302-INDEX(分析データ!F:F,ROW()+$C$5)),""),"")</f>
        <v/>
      </c>
      <c r="BU1302">
        <f t="shared" ca="1" si="577"/>
        <v>19816800</v>
      </c>
      <c r="BV1302">
        <f t="shared" ca="1" si="578"/>
        <v>19816800</v>
      </c>
      <c r="BW1302">
        <f t="shared" ca="1" si="579"/>
        <v>0</v>
      </c>
      <c r="BX1302">
        <f ca="1">IF(ROW()&lt;($C$7+1),"",IFERROR((分析データ!G1302-AVERAGE(OFFSET(分析データ!G$1,MAX(1,ROW()-$C$7),0,MIN($C$7,ROW()-1),1)))/STDEV(OFFSET(分析データ!G$1,MAX(1,ROW()-$C$7),0,MIN($C$7,ROW()-1),1)),0))</f>
        <v>0</v>
      </c>
      <c r="BY1302">
        <f t="shared" ca="1" si="580"/>
        <v>0</v>
      </c>
      <c r="BZ1302" t="str">
        <f ca="1">IF(BY1302=1,IF(INDEX(分析データ!$A:$A,ROW()+$C$5)&lt;&gt;"",40000*SIGN(BX1302)*(分析データ!G1302-INDEX(分析データ!G:G,ROW()+$C$5)),""),"")</f>
        <v/>
      </c>
      <c r="CA1302">
        <f t="shared" ca="1" si="581"/>
        <v>-3515452.8662109179</v>
      </c>
      <c r="CB1302">
        <f t="shared" ca="1" si="582"/>
        <v>11327520.000000004</v>
      </c>
      <c r="CC1302">
        <f t="shared" ca="1" si="583"/>
        <v>-14842972.866210923</v>
      </c>
      <c r="CD1302">
        <f t="shared" ca="1" si="584"/>
        <v>0</v>
      </c>
      <c r="CE1302">
        <f t="shared" ca="1" si="585"/>
        <v>23090347.13378913</v>
      </c>
      <c r="CF1302">
        <f t="shared" ca="1" si="586"/>
        <v>23090347.13378913</v>
      </c>
      <c r="CG1302">
        <f t="shared" ca="1" si="587"/>
        <v>0</v>
      </c>
      <c r="CH1302" s="10" t="str">
        <f>分析データ!A1302</f>
        <v/>
      </c>
    </row>
    <row r="1303" spans="46:86">
      <c r="AT1303">
        <f ca="1">IF(ROW()&lt;($C$7+1),"",IFERROR((分析データ!B1303-AVERAGE(OFFSET(分析データ!B$1,MAX(1,ROW()-$C$7),0,MIN($C$7,ROW()-1),1)))/STDEV(OFFSET(分析データ!B$1,MAX(1,ROW()-$C$7),0,MIN($C$7,ROW()-1),1)),0))</f>
        <v>0</v>
      </c>
      <c r="AU1303">
        <f t="shared" ca="1" si="560"/>
        <v>0</v>
      </c>
      <c r="AV1303" t="str">
        <f ca="1">IF(AU1303=1,IF(INDEX(分析データ!$A:$A,ROW()+$C$5)&lt;&gt;"",80000*SIGN(AT1303)*(分析データ!B1303-INDEX(分析データ!B:B,ROW()+$C$5)),""),"")</f>
        <v/>
      </c>
      <c r="AW1303">
        <f t="shared" ca="1" si="561"/>
        <v>-1240000.0000000019</v>
      </c>
      <c r="AX1303">
        <f t="shared" ca="1" si="562"/>
        <v>0</v>
      </c>
      <c r="AY1303">
        <f t="shared" ca="1" si="563"/>
        <v>-1240000.0000000019</v>
      </c>
      <c r="AZ1303">
        <f ca="1">IF(ROW()&lt;($C$7+1),"",IFERROR((分析データ!C1303-AVERAGE(OFFSET(分析データ!C$1,MAX(1,ROW()-$C$7),0,MIN($C$7,ROW()-1),1)))/STDEV(OFFSET(分析データ!C$1,MAX(1,ROW()-$C$7),0,MIN($C$7,ROW()-1),1)),0))</f>
        <v>0</v>
      </c>
      <c r="BA1303">
        <f t="shared" ca="1" si="564"/>
        <v>0</v>
      </c>
      <c r="BB1303" t="str">
        <f ca="1">IF(BA1303=1,IF(INDEX(分析データ!$A:$A,ROW()+$C$5)&lt;&gt;"",60000*SIGN(AZ1303)*(分析データ!C1303-INDEX(分析データ!C:C,ROW()+$C$5)),""),"")</f>
        <v/>
      </c>
      <c r="BC1303">
        <f t="shared" ca="1" si="565"/>
        <v>-260999.9999999851</v>
      </c>
      <c r="BD1303">
        <f t="shared" ca="1" si="566"/>
        <v>3156000.0000000107</v>
      </c>
      <c r="BE1303">
        <f t="shared" ca="1" si="567"/>
        <v>-3416999.9999999958</v>
      </c>
      <c r="BF1303">
        <f ca="1">IF(ROW()&lt;($C$7+1),"",IFERROR((分析データ!D1303-AVERAGE(OFFSET(分析データ!D$1,MAX(1,ROW()-$C$7),0,MIN($C$7,ROW()-1),1)))/STDEV(OFFSET(分析データ!D$1,MAX(1,ROW()-$C$7),0,MIN($C$7,ROW()-1),1)),0))</f>
        <v>0</v>
      </c>
      <c r="BG1303">
        <f t="shared" ca="1" si="568"/>
        <v>0</v>
      </c>
      <c r="BH1303" t="str">
        <f ca="1">IF(BG1303=1,IF(INDEX(分析データ!$A:$A,ROW()+$C$5)&lt;&gt;"",50000*SIGN(BF1303)*(分析データ!D1303-INDEX(分析データ!D:D,ROW()+$C$5)),""),"")</f>
        <v/>
      </c>
      <c r="BI1303">
        <f t="shared" ca="1" si="569"/>
        <v>5570000.0000000205</v>
      </c>
      <c r="BJ1303">
        <f t="shared" ca="1" si="570"/>
        <v>5570000.0000000205</v>
      </c>
      <c r="BK1303">
        <f t="shared" ca="1" si="571"/>
        <v>0</v>
      </c>
      <c r="BL1303">
        <f ca="1">IF(ROW()&lt;($C$7+1),"",IFERROR((分析データ!E1303-AVERAGE(OFFSET(分析データ!E$1,MAX(1,ROW()-$C$7),0,MIN($C$7,ROW()-1),1)))/STDEV(OFFSET(分析データ!E$1,MAX(1,ROW()-$C$7),0,MIN($C$7,ROW()-1),1)),0))</f>
        <v>0</v>
      </c>
      <c r="BM1303">
        <f t="shared" ca="1" si="572"/>
        <v>0</v>
      </c>
      <c r="BN1303" t="str">
        <f ca="1">IF(BM1303=1,IF(INDEX(分析データ!$A:$A,ROW()+$C$5)&lt;&gt;"",40000*SIGN(BL1303)*(分析データ!E1303-INDEX(分析データ!E:E,ROW()+$C$5)),""),"")</f>
        <v/>
      </c>
      <c r="BO1303">
        <f t="shared" ca="1" si="573"/>
        <v>2720000.0000000014</v>
      </c>
      <c r="BP1303">
        <f t="shared" ca="1" si="574"/>
        <v>4280000.0000000028</v>
      </c>
      <c r="BQ1303">
        <f t="shared" ca="1" si="575"/>
        <v>-1560000.0000000014</v>
      </c>
      <c r="BR1303">
        <f ca="1">IF(ROW()&lt;($C$7+1),"",IFERROR((分析データ!F1303-AVERAGE(OFFSET(分析データ!F$1,MAX(1,ROW()-$C$7),0,MIN($C$7,ROW()-1),1)))/STDEV(OFFSET(分析データ!F$1,MAX(1,ROW()-$C$7),0,MIN($C$7,ROW()-1),1)),0))</f>
        <v>0</v>
      </c>
      <c r="BS1303">
        <f t="shared" ca="1" si="576"/>
        <v>0</v>
      </c>
      <c r="BT1303" t="str">
        <f ca="1">IF(BS1303=1,IF(INDEX(分析データ!$A:$A,ROW()+$C$5)&lt;&gt;"",40000*SIGN(BR1303)*(分析データ!F1303-INDEX(分析データ!F:F,ROW()+$C$5)),""),"")</f>
        <v/>
      </c>
      <c r="BU1303">
        <f t="shared" ca="1" si="577"/>
        <v>19816800</v>
      </c>
      <c r="BV1303">
        <f t="shared" ca="1" si="578"/>
        <v>19816800</v>
      </c>
      <c r="BW1303">
        <f t="shared" ca="1" si="579"/>
        <v>0</v>
      </c>
      <c r="BX1303">
        <f ca="1">IF(ROW()&lt;($C$7+1),"",IFERROR((分析データ!G1303-AVERAGE(OFFSET(分析データ!G$1,MAX(1,ROW()-$C$7),0,MIN($C$7,ROW()-1),1)))/STDEV(OFFSET(分析データ!G$1,MAX(1,ROW()-$C$7),0,MIN($C$7,ROW()-1),1)),0))</f>
        <v>0</v>
      </c>
      <c r="BY1303">
        <f t="shared" ca="1" si="580"/>
        <v>0</v>
      </c>
      <c r="BZ1303" t="str">
        <f ca="1">IF(BY1303=1,IF(INDEX(分析データ!$A:$A,ROW()+$C$5)&lt;&gt;"",40000*SIGN(BX1303)*(分析データ!G1303-INDEX(分析データ!G:G,ROW()+$C$5)),""),"")</f>
        <v/>
      </c>
      <c r="CA1303">
        <f t="shared" ca="1" si="581"/>
        <v>-3515452.8662109179</v>
      </c>
      <c r="CB1303">
        <f t="shared" ca="1" si="582"/>
        <v>11327520.000000004</v>
      </c>
      <c r="CC1303">
        <f t="shared" ca="1" si="583"/>
        <v>-14842972.866210923</v>
      </c>
      <c r="CD1303">
        <f t="shared" ca="1" si="584"/>
        <v>0</v>
      </c>
      <c r="CE1303">
        <f t="shared" ca="1" si="585"/>
        <v>23090347.13378913</v>
      </c>
      <c r="CF1303">
        <f t="shared" ca="1" si="586"/>
        <v>23090347.13378913</v>
      </c>
      <c r="CG1303">
        <f t="shared" ca="1" si="587"/>
        <v>0</v>
      </c>
      <c r="CH1303" s="10" t="str">
        <f>分析データ!A1303</f>
        <v/>
      </c>
    </row>
    <row r="1304" spans="46:86">
      <c r="AT1304">
        <f ca="1">IF(ROW()&lt;($C$7+1),"",IFERROR((分析データ!B1304-AVERAGE(OFFSET(分析データ!B$1,MAX(1,ROW()-$C$7),0,MIN($C$7,ROW()-1),1)))/STDEV(OFFSET(分析データ!B$1,MAX(1,ROW()-$C$7),0,MIN($C$7,ROW()-1),1)),0))</f>
        <v>0</v>
      </c>
      <c r="AU1304">
        <f t="shared" ca="1" si="560"/>
        <v>0</v>
      </c>
      <c r="AV1304" t="str">
        <f ca="1">IF(AU1304=1,IF(INDEX(分析データ!$A:$A,ROW()+$C$5)&lt;&gt;"",80000*SIGN(AT1304)*(分析データ!B1304-INDEX(分析データ!B:B,ROW()+$C$5)),""),"")</f>
        <v/>
      </c>
      <c r="AW1304">
        <f t="shared" ca="1" si="561"/>
        <v>-1240000.0000000019</v>
      </c>
      <c r="AX1304">
        <f t="shared" ca="1" si="562"/>
        <v>0</v>
      </c>
      <c r="AY1304">
        <f t="shared" ca="1" si="563"/>
        <v>-1240000.0000000019</v>
      </c>
      <c r="AZ1304">
        <f ca="1">IF(ROW()&lt;($C$7+1),"",IFERROR((分析データ!C1304-AVERAGE(OFFSET(分析データ!C$1,MAX(1,ROW()-$C$7),0,MIN($C$7,ROW()-1),1)))/STDEV(OFFSET(分析データ!C$1,MAX(1,ROW()-$C$7),0,MIN($C$7,ROW()-1),1)),0))</f>
        <v>0</v>
      </c>
      <c r="BA1304">
        <f t="shared" ca="1" si="564"/>
        <v>0</v>
      </c>
      <c r="BB1304" t="str">
        <f ca="1">IF(BA1304=1,IF(INDEX(分析データ!$A:$A,ROW()+$C$5)&lt;&gt;"",60000*SIGN(AZ1304)*(分析データ!C1304-INDEX(分析データ!C:C,ROW()+$C$5)),""),"")</f>
        <v/>
      </c>
      <c r="BC1304">
        <f t="shared" ca="1" si="565"/>
        <v>-260999.9999999851</v>
      </c>
      <c r="BD1304">
        <f t="shared" ca="1" si="566"/>
        <v>3156000.0000000107</v>
      </c>
      <c r="BE1304">
        <f t="shared" ca="1" si="567"/>
        <v>-3416999.9999999958</v>
      </c>
      <c r="BF1304">
        <f ca="1">IF(ROW()&lt;($C$7+1),"",IFERROR((分析データ!D1304-AVERAGE(OFFSET(分析データ!D$1,MAX(1,ROW()-$C$7),0,MIN($C$7,ROW()-1),1)))/STDEV(OFFSET(分析データ!D$1,MAX(1,ROW()-$C$7),0,MIN($C$7,ROW()-1),1)),0))</f>
        <v>0</v>
      </c>
      <c r="BG1304">
        <f t="shared" ca="1" si="568"/>
        <v>0</v>
      </c>
      <c r="BH1304" t="str">
        <f ca="1">IF(BG1304=1,IF(INDEX(分析データ!$A:$A,ROW()+$C$5)&lt;&gt;"",50000*SIGN(BF1304)*(分析データ!D1304-INDEX(分析データ!D:D,ROW()+$C$5)),""),"")</f>
        <v/>
      </c>
      <c r="BI1304">
        <f t="shared" ca="1" si="569"/>
        <v>5570000.0000000205</v>
      </c>
      <c r="BJ1304">
        <f t="shared" ca="1" si="570"/>
        <v>5570000.0000000205</v>
      </c>
      <c r="BK1304">
        <f t="shared" ca="1" si="571"/>
        <v>0</v>
      </c>
      <c r="BL1304">
        <f ca="1">IF(ROW()&lt;($C$7+1),"",IFERROR((分析データ!E1304-AVERAGE(OFFSET(分析データ!E$1,MAX(1,ROW()-$C$7),0,MIN($C$7,ROW()-1),1)))/STDEV(OFFSET(分析データ!E$1,MAX(1,ROW()-$C$7),0,MIN($C$7,ROW()-1),1)),0))</f>
        <v>0</v>
      </c>
      <c r="BM1304">
        <f t="shared" ca="1" si="572"/>
        <v>0</v>
      </c>
      <c r="BN1304" t="str">
        <f ca="1">IF(BM1304=1,IF(INDEX(分析データ!$A:$A,ROW()+$C$5)&lt;&gt;"",40000*SIGN(BL1304)*(分析データ!E1304-INDEX(分析データ!E:E,ROW()+$C$5)),""),"")</f>
        <v/>
      </c>
      <c r="BO1304">
        <f t="shared" ca="1" si="573"/>
        <v>2720000.0000000014</v>
      </c>
      <c r="BP1304">
        <f t="shared" ca="1" si="574"/>
        <v>4280000.0000000028</v>
      </c>
      <c r="BQ1304">
        <f t="shared" ca="1" si="575"/>
        <v>-1560000.0000000014</v>
      </c>
      <c r="BR1304">
        <f ca="1">IF(ROW()&lt;($C$7+1),"",IFERROR((分析データ!F1304-AVERAGE(OFFSET(分析データ!F$1,MAX(1,ROW()-$C$7),0,MIN($C$7,ROW()-1),1)))/STDEV(OFFSET(分析データ!F$1,MAX(1,ROW()-$C$7),0,MIN($C$7,ROW()-1),1)),0))</f>
        <v>0</v>
      </c>
      <c r="BS1304">
        <f t="shared" ca="1" si="576"/>
        <v>0</v>
      </c>
      <c r="BT1304" t="str">
        <f ca="1">IF(BS1304=1,IF(INDEX(分析データ!$A:$A,ROW()+$C$5)&lt;&gt;"",40000*SIGN(BR1304)*(分析データ!F1304-INDEX(分析データ!F:F,ROW()+$C$5)),""),"")</f>
        <v/>
      </c>
      <c r="BU1304">
        <f t="shared" ca="1" si="577"/>
        <v>19816800</v>
      </c>
      <c r="BV1304">
        <f t="shared" ca="1" si="578"/>
        <v>19816800</v>
      </c>
      <c r="BW1304">
        <f t="shared" ca="1" si="579"/>
        <v>0</v>
      </c>
      <c r="BX1304">
        <f ca="1">IF(ROW()&lt;($C$7+1),"",IFERROR((分析データ!G1304-AVERAGE(OFFSET(分析データ!G$1,MAX(1,ROW()-$C$7),0,MIN($C$7,ROW()-1),1)))/STDEV(OFFSET(分析データ!G$1,MAX(1,ROW()-$C$7),0,MIN($C$7,ROW()-1),1)),0))</f>
        <v>0</v>
      </c>
      <c r="BY1304">
        <f t="shared" ca="1" si="580"/>
        <v>0</v>
      </c>
      <c r="BZ1304" t="str">
        <f ca="1">IF(BY1304=1,IF(INDEX(分析データ!$A:$A,ROW()+$C$5)&lt;&gt;"",40000*SIGN(BX1304)*(分析データ!G1304-INDEX(分析データ!G:G,ROW()+$C$5)),""),"")</f>
        <v/>
      </c>
      <c r="CA1304">
        <f t="shared" ca="1" si="581"/>
        <v>-3515452.8662109179</v>
      </c>
      <c r="CB1304">
        <f t="shared" ca="1" si="582"/>
        <v>11327520.000000004</v>
      </c>
      <c r="CC1304">
        <f t="shared" ca="1" si="583"/>
        <v>-14842972.866210923</v>
      </c>
      <c r="CD1304">
        <f t="shared" ca="1" si="584"/>
        <v>0</v>
      </c>
      <c r="CE1304">
        <f t="shared" ca="1" si="585"/>
        <v>23090347.13378913</v>
      </c>
      <c r="CF1304">
        <f t="shared" ca="1" si="586"/>
        <v>23090347.13378913</v>
      </c>
      <c r="CG1304">
        <f t="shared" ca="1" si="587"/>
        <v>0</v>
      </c>
      <c r="CH1304" s="10" t="str">
        <f>分析データ!A1304</f>
        <v/>
      </c>
    </row>
    <row r="1305" spans="46:86">
      <c r="AT1305">
        <f ca="1">IF(ROW()&lt;($C$7+1),"",IFERROR((分析データ!B1305-AVERAGE(OFFSET(分析データ!B$1,MAX(1,ROW()-$C$7),0,MIN($C$7,ROW()-1),1)))/STDEV(OFFSET(分析データ!B$1,MAX(1,ROW()-$C$7),0,MIN($C$7,ROW()-1),1)),0))</f>
        <v>0</v>
      </c>
      <c r="AU1305">
        <f t="shared" ca="1" si="560"/>
        <v>0</v>
      </c>
      <c r="AV1305" t="str">
        <f ca="1">IF(AU1305=1,IF(INDEX(分析データ!$A:$A,ROW()+$C$5)&lt;&gt;"",80000*SIGN(AT1305)*(分析データ!B1305-INDEX(分析データ!B:B,ROW()+$C$5)),""),"")</f>
        <v/>
      </c>
      <c r="AW1305">
        <f t="shared" ca="1" si="561"/>
        <v>-1240000.0000000019</v>
      </c>
      <c r="AX1305">
        <f t="shared" ca="1" si="562"/>
        <v>0</v>
      </c>
      <c r="AY1305">
        <f t="shared" ca="1" si="563"/>
        <v>-1240000.0000000019</v>
      </c>
      <c r="AZ1305">
        <f ca="1">IF(ROW()&lt;($C$7+1),"",IFERROR((分析データ!C1305-AVERAGE(OFFSET(分析データ!C$1,MAX(1,ROW()-$C$7),0,MIN($C$7,ROW()-1),1)))/STDEV(OFFSET(分析データ!C$1,MAX(1,ROW()-$C$7),0,MIN($C$7,ROW()-1),1)),0))</f>
        <v>0</v>
      </c>
      <c r="BA1305">
        <f t="shared" ca="1" si="564"/>
        <v>0</v>
      </c>
      <c r="BB1305" t="str">
        <f ca="1">IF(BA1305=1,IF(INDEX(分析データ!$A:$A,ROW()+$C$5)&lt;&gt;"",60000*SIGN(AZ1305)*(分析データ!C1305-INDEX(分析データ!C:C,ROW()+$C$5)),""),"")</f>
        <v/>
      </c>
      <c r="BC1305">
        <f t="shared" ca="1" si="565"/>
        <v>-260999.9999999851</v>
      </c>
      <c r="BD1305">
        <f t="shared" ca="1" si="566"/>
        <v>3156000.0000000107</v>
      </c>
      <c r="BE1305">
        <f t="shared" ca="1" si="567"/>
        <v>-3416999.9999999958</v>
      </c>
      <c r="BF1305">
        <f ca="1">IF(ROW()&lt;($C$7+1),"",IFERROR((分析データ!D1305-AVERAGE(OFFSET(分析データ!D$1,MAX(1,ROW()-$C$7),0,MIN($C$7,ROW()-1),1)))/STDEV(OFFSET(分析データ!D$1,MAX(1,ROW()-$C$7),0,MIN($C$7,ROW()-1),1)),0))</f>
        <v>0</v>
      </c>
      <c r="BG1305">
        <f t="shared" ca="1" si="568"/>
        <v>0</v>
      </c>
      <c r="BH1305" t="str">
        <f ca="1">IF(BG1305=1,IF(INDEX(分析データ!$A:$A,ROW()+$C$5)&lt;&gt;"",50000*SIGN(BF1305)*(分析データ!D1305-INDEX(分析データ!D:D,ROW()+$C$5)),""),"")</f>
        <v/>
      </c>
      <c r="BI1305">
        <f t="shared" ca="1" si="569"/>
        <v>5570000.0000000205</v>
      </c>
      <c r="BJ1305">
        <f t="shared" ca="1" si="570"/>
        <v>5570000.0000000205</v>
      </c>
      <c r="BK1305">
        <f t="shared" ca="1" si="571"/>
        <v>0</v>
      </c>
      <c r="BL1305">
        <f ca="1">IF(ROW()&lt;($C$7+1),"",IFERROR((分析データ!E1305-AVERAGE(OFFSET(分析データ!E$1,MAX(1,ROW()-$C$7),0,MIN($C$7,ROW()-1),1)))/STDEV(OFFSET(分析データ!E$1,MAX(1,ROW()-$C$7),0,MIN($C$7,ROW()-1),1)),0))</f>
        <v>0</v>
      </c>
      <c r="BM1305">
        <f t="shared" ca="1" si="572"/>
        <v>0</v>
      </c>
      <c r="BN1305" t="str">
        <f ca="1">IF(BM1305=1,IF(INDEX(分析データ!$A:$A,ROW()+$C$5)&lt;&gt;"",40000*SIGN(BL1305)*(分析データ!E1305-INDEX(分析データ!E:E,ROW()+$C$5)),""),"")</f>
        <v/>
      </c>
      <c r="BO1305">
        <f t="shared" ca="1" si="573"/>
        <v>2720000.0000000014</v>
      </c>
      <c r="BP1305">
        <f t="shared" ca="1" si="574"/>
        <v>4280000.0000000028</v>
      </c>
      <c r="BQ1305">
        <f t="shared" ca="1" si="575"/>
        <v>-1560000.0000000014</v>
      </c>
      <c r="BR1305">
        <f ca="1">IF(ROW()&lt;($C$7+1),"",IFERROR((分析データ!F1305-AVERAGE(OFFSET(分析データ!F$1,MAX(1,ROW()-$C$7),0,MIN($C$7,ROW()-1),1)))/STDEV(OFFSET(分析データ!F$1,MAX(1,ROW()-$C$7),0,MIN($C$7,ROW()-1),1)),0))</f>
        <v>0</v>
      </c>
      <c r="BS1305">
        <f t="shared" ca="1" si="576"/>
        <v>0</v>
      </c>
      <c r="BT1305" t="str">
        <f ca="1">IF(BS1305=1,IF(INDEX(分析データ!$A:$A,ROW()+$C$5)&lt;&gt;"",40000*SIGN(BR1305)*(分析データ!F1305-INDEX(分析データ!F:F,ROW()+$C$5)),""),"")</f>
        <v/>
      </c>
      <c r="BU1305">
        <f t="shared" ca="1" si="577"/>
        <v>19816800</v>
      </c>
      <c r="BV1305">
        <f t="shared" ca="1" si="578"/>
        <v>19816800</v>
      </c>
      <c r="BW1305">
        <f t="shared" ca="1" si="579"/>
        <v>0</v>
      </c>
      <c r="BX1305">
        <f ca="1">IF(ROW()&lt;($C$7+1),"",IFERROR((分析データ!G1305-AVERAGE(OFFSET(分析データ!G$1,MAX(1,ROW()-$C$7),0,MIN($C$7,ROW()-1),1)))/STDEV(OFFSET(分析データ!G$1,MAX(1,ROW()-$C$7),0,MIN($C$7,ROW()-1),1)),0))</f>
        <v>0</v>
      </c>
      <c r="BY1305">
        <f t="shared" ca="1" si="580"/>
        <v>0</v>
      </c>
      <c r="BZ1305" t="str">
        <f ca="1">IF(BY1305=1,IF(INDEX(分析データ!$A:$A,ROW()+$C$5)&lt;&gt;"",40000*SIGN(BX1305)*(分析データ!G1305-INDEX(分析データ!G:G,ROW()+$C$5)),""),"")</f>
        <v/>
      </c>
      <c r="CA1305">
        <f t="shared" ca="1" si="581"/>
        <v>-3515452.8662109179</v>
      </c>
      <c r="CB1305">
        <f t="shared" ca="1" si="582"/>
        <v>11327520.000000004</v>
      </c>
      <c r="CC1305">
        <f t="shared" ca="1" si="583"/>
        <v>-14842972.866210923</v>
      </c>
      <c r="CD1305">
        <f t="shared" ca="1" si="584"/>
        <v>0</v>
      </c>
      <c r="CE1305">
        <f t="shared" ca="1" si="585"/>
        <v>23090347.13378913</v>
      </c>
      <c r="CF1305">
        <f t="shared" ca="1" si="586"/>
        <v>23090347.13378913</v>
      </c>
      <c r="CG1305">
        <f t="shared" ca="1" si="587"/>
        <v>0</v>
      </c>
      <c r="CH1305" s="10" t="str">
        <f>分析データ!A1305</f>
        <v/>
      </c>
    </row>
    <row r="1306" spans="46:86">
      <c r="AT1306">
        <f ca="1">IF(ROW()&lt;($C$7+1),"",IFERROR((分析データ!B1306-AVERAGE(OFFSET(分析データ!B$1,MAX(1,ROW()-$C$7),0,MIN($C$7,ROW()-1),1)))/STDEV(OFFSET(分析データ!B$1,MAX(1,ROW()-$C$7),0,MIN($C$7,ROW()-1),1)),0))</f>
        <v>0</v>
      </c>
      <c r="AU1306">
        <f t="shared" ca="1" si="560"/>
        <v>0</v>
      </c>
      <c r="AV1306" t="str">
        <f ca="1">IF(AU1306=1,IF(INDEX(分析データ!$A:$A,ROW()+$C$5)&lt;&gt;"",80000*SIGN(AT1306)*(分析データ!B1306-INDEX(分析データ!B:B,ROW()+$C$5)),""),"")</f>
        <v/>
      </c>
      <c r="AW1306">
        <f t="shared" ca="1" si="561"/>
        <v>-1240000.0000000019</v>
      </c>
      <c r="AX1306">
        <f t="shared" ca="1" si="562"/>
        <v>0</v>
      </c>
      <c r="AY1306">
        <f t="shared" ca="1" si="563"/>
        <v>-1240000.0000000019</v>
      </c>
      <c r="AZ1306">
        <f ca="1">IF(ROW()&lt;($C$7+1),"",IFERROR((分析データ!C1306-AVERAGE(OFFSET(分析データ!C$1,MAX(1,ROW()-$C$7),0,MIN($C$7,ROW()-1),1)))/STDEV(OFFSET(分析データ!C$1,MAX(1,ROW()-$C$7),0,MIN($C$7,ROW()-1),1)),0))</f>
        <v>0</v>
      </c>
      <c r="BA1306">
        <f t="shared" ca="1" si="564"/>
        <v>0</v>
      </c>
      <c r="BB1306" t="str">
        <f ca="1">IF(BA1306=1,IF(INDEX(分析データ!$A:$A,ROW()+$C$5)&lt;&gt;"",60000*SIGN(AZ1306)*(分析データ!C1306-INDEX(分析データ!C:C,ROW()+$C$5)),""),"")</f>
        <v/>
      </c>
      <c r="BC1306">
        <f t="shared" ca="1" si="565"/>
        <v>-260999.9999999851</v>
      </c>
      <c r="BD1306">
        <f t="shared" ca="1" si="566"/>
        <v>3156000.0000000107</v>
      </c>
      <c r="BE1306">
        <f t="shared" ca="1" si="567"/>
        <v>-3416999.9999999958</v>
      </c>
      <c r="BF1306">
        <f ca="1">IF(ROW()&lt;($C$7+1),"",IFERROR((分析データ!D1306-AVERAGE(OFFSET(分析データ!D$1,MAX(1,ROW()-$C$7),0,MIN($C$7,ROW()-1),1)))/STDEV(OFFSET(分析データ!D$1,MAX(1,ROW()-$C$7),0,MIN($C$7,ROW()-1),1)),0))</f>
        <v>0</v>
      </c>
      <c r="BG1306">
        <f t="shared" ca="1" si="568"/>
        <v>0</v>
      </c>
      <c r="BH1306" t="str">
        <f ca="1">IF(BG1306=1,IF(INDEX(分析データ!$A:$A,ROW()+$C$5)&lt;&gt;"",50000*SIGN(BF1306)*(分析データ!D1306-INDEX(分析データ!D:D,ROW()+$C$5)),""),"")</f>
        <v/>
      </c>
      <c r="BI1306">
        <f t="shared" ca="1" si="569"/>
        <v>5570000.0000000205</v>
      </c>
      <c r="BJ1306">
        <f t="shared" ca="1" si="570"/>
        <v>5570000.0000000205</v>
      </c>
      <c r="BK1306">
        <f t="shared" ca="1" si="571"/>
        <v>0</v>
      </c>
      <c r="BL1306">
        <f ca="1">IF(ROW()&lt;($C$7+1),"",IFERROR((分析データ!E1306-AVERAGE(OFFSET(分析データ!E$1,MAX(1,ROW()-$C$7),0,MIN($C$7,ROW()-1),1)))/STDEV(OFFSET(分析データ!E$1,MAX(1,ROW()-$C$7),0,MIN($C$7,ROW()-1),1)),0))</f>
        <v>0</v>
      </c>
      <c r="BM1306">
        <f t="shared" ca="1" si="572"/>
        <v>0</v>
      </c>
      <c r="BN1306" t="str">
        <f ca="1">IF(BM1306=1,IF(INDEX(分析データ!$A:$A,ROW()+$C$5)&lt;&gt;"",40000*SIGN(BL1306)*(分析データ!E1306-INDEX(分析データ!E:E,ROW()+$C$5)),""),"")</f>
        <v/>
      </c>
      <c r="BO1306">
        <f t="shared" ca="1" si="573"/>
        <v>2720000.0000000014</v>
      </c>
      <c r="BP1306">
        <f t="shared" ca="1" si="574"/>
        <v>4280000.0000000028</v>
      </c>
      <c r="BQ1306">
        <f t="shared" ca="1" si="575"/>
        <v>-1560000.0000000014</v>
      </c>
      <c r="BR1306">
        <f ca="1">IF(ROW()&lt;($C$7+1),"",IFERROR((分析データ!F1306-AVERAGE(OFFSET(分析データ!F$1,MAX(1,ROW()-$C$7),0,MIN($C$7,ROW()-1),1)))/STDEV(OFFSET(分析データ!F$1,MAX(1,ROW()-$C$7),0,MIN($C$7,ROW()-1),1)),0))</f>
        <v>0</v>
      </c>
      <c r="BS1306">
        <f t="shared" ca="1" si="576"/>
        <v>0</v>
      </c>
      <c r="BT1306" t="str">
        <f ca="1">IF(BS1306=1,IF(INDEX(分析データ!$A:$A,ROW()+$C$5)&lt;&gt;"",40000*SIGN(BR1306)*(分析データ!F1306-INDEX(分析データ!F:F,ROW()+$C$5)),""),"")</f>
        <v/>
      </c>
      <c r="BU1306">
        <f t="shared" ca="1" si="577"/>
        <v>19816800</v>
      </c>
      <c r="BV1306">
        <f t="shared" ca="1" si="578"/>
        <v>19816800</v>
      </c>
      <c r="BW1306">
        <f t="shared" ca="1" si="579"/>
        <v>0</v>
      </c>
      <c r="BX1306">
        <f ca="1">IF(ROW()&lt;($C$7+1),"",IFERROR((分析データ!G1306-AVERAGE(OFFSET(分析データ!G$1,MAX(1,ROW()-$C$7),0,MIN($C$7,ROW()-1),1)))/STDEV(OFFSET(分析データ!G$1,MAX(1,ROW()-$C$7),0,MIN($C$7,ROW()-1),1)),0))</f>
        <v>0</v>
      </c>
      <c r="BY1306">
        <f t="shared" ca="1" si="580"/>
        <v>0</v>
      </c>
      <c r="BZ1306" t="str">
        <f ca="1">IF(BY1306=1,IF(INDEX(分析データ!$A:$A,ROW()+$C$5)&lt;&gt;"",40000*SIGN(BX1306)*(分析データ!G1306-INDEX(分析データ!G:G,ROW()+$C$5)),""),"")</f>
        <v/>
      </c>
      <c r="CA1306">
        <f t="shared" ca="1" si="581"/>
        <v>-3515452.8662109179</v>
      </c>
      <c r="CB1306">
        <f t="shared" ca="1" si="582"/>
        <v>11327520.000000004</v>
      </c>
      <c r="CC1306">
        <f t="shared" ca="1" si="583"/>
        <v>-14842972.866210923</v>
      </c>
      <c r="CD1306">
        <f t="shared" ca="1" si="584"/>
        <v>0</v>
      </c>
      <c r="CE1306">
        <f t="shared" ca="1" si="585"/>
        <v>23090347.13378913</v>
      </c>
      <c r="CF1306">
        <f t="shared" ca="1" si="586"/>
        <v>23090347.13378913</v>
      </c>
      <c r="CG1306">
        <f t="shared" ca="1" si="587"/>
        <v>0</v>
      </c>
      <c r="CH1306" s="10" t="str">
        <f>分析データ!A1306</f>
        <v/>
      </c>
    </row>
    <row r="1307" spans="46:86">
      <c r="AT1307">
        <f ca="1">IF(ROW()&lt;($C$7+1),"",IFERROR((分析データ!B1307-AVERAGE(OFFSET(分析データ!B$1,MAX(1,ROW()-$C$7),0,MIN($C$7,ROW()-1),1)))/STDEV(OFFSET(分析データ!B$1,MAX(1,ROW()-$C$7),0,MIN($C$7,ROW()-1),1)),0))</f>
        <v>0</v>
      </c>
      <c r="AU1307">
        <f t="shared" ca="1" si="560"/>
        <v>0</v>
      </c>
      <c r="AV1307" t="str">
        <f ca="1">IF(AU1307=1,IF(INDEX(分析データ!$A:$A,ROW()+$C$5)&lt;&gt;"",80000*SIGN(AT1307)*(分析データ!B1307-INDEX(分析データ!B:B,ROW()+$C$5)),""),"")</f>
        <v/>
      </c>
      <c r="AW1307">
        <f t="shared" ca="1" si="561"/>
        <v>-1240000.0000000019</v>
      </c>
      <c r="AX1307">
        <f t="shared" ca="1" si="562"/>
        <v>0</v>
      </c>
      <c r="AY1307">
        <f t="shared" ca="1" si="563"/>
        <v>-1240000.0000000019</v>
      </c>
      <c r="AZ1307">
        <f ca="1">IF(ROW()&lt;($C$7+1),"",IFERROR((分析データ!C1307-AVERAGE(OFFSET(分析データ!C$1,MAX(1,ROW()-$C$7),0,MIN($C$7,ROW()-1),1)))/STDEV(OFFSET(分析データ!C$1,MAX(1,ROW()-$C$7),0,MIN($C$7,ROW()-1),1)),0))</f>
        <v>0</v>
      </c>
      <c r="BA1307">
        <f t="shared" ca="1" si="564"/>
        <v>0</v>
      </c>
      <c r="BB1307" t="str">
        <f ca="1">IF(BA1307=1,IF(INDEX(分析データ!$A:$A,ROW()+$C$5)&lt;&gt;"",60000*SIGN(AZ1307)*(分析データ!C1307-INDEX(分析データ!C:C,ROW()+$C$5)),""),"")</f>
        <v/>
      </c>
      <c r="BC1307">
        <f t="shared" ca="1" si="565"/>
        <v>-260999.9999999851</v>
      </c>
      <c r="BD1307">
        <f t="shared" ca="1" si="566"/>
        <v>3156000.0000000107</v>
      </c>
      <c r="BE1307">
        <f t="shared" ca="1" si="567"/>
        <v>-3416999.9999999958</v>
      </c>
      <c r="BF1307">
        <f ca="1">IF(ROW()&lt;($C$7+1),"",IFERROR((分析データ!D1307-AVERAGE(OFFSET(分析データ!D$1,MAX(1,ROW()-$C$7),0,MIN($C$7,ROW()-1),1)))/STDEV(OFFSET(分析データ!D$1,MAX(1,ROW()-$C$7),0,MIN($C$7,ROW()-1),1)),0))</f>
        <v>0</v>
      </c>
      <c r="BG1307">
        <f t="shared" ca="1" si="568"/>
        <v>0</v>
      </c>
      <c r="BH1307" t="str">
        <f ca="1">IF(BG1307=1,IF(INDEX(分析データ!$A:$A,ROW()+$C$5)&lt;&gt;"",50000*SIGN(BF1307)*(分析データ!D1307-INDEX(分析データ!D:D,ROW()+$C$5)),""),"")</f>
        <v/>
      </c>
      <c r="BI1307">
        <f t="shared" ca="1" si="569"/>
        <v>5570000.0000000205</v>
      </c>
      <c r="BJ1307">
        <f t="shared" ca="1" si="570"/>
        <v>5570000.0000000205</v>
      </c>
      <c r="BK1307">
        <f t="shared" ca="1" si="571"/>
        <v>0</v>
      </c>
      <c r="BL1307">
        <f ca="1">IF(ROW()&lt;($C$7+1),"",IFERROR((分析データ!E1307-AVERAGE(OFFSET(分析データ!E$1,MAX(1,ROW()-$C$7),0,MIN($C$7,ROW()-1),1)))/STDEV(OFFSET(分析データ!E$1,MAX(1,ROW()-$C$7),0,MIN($C$7,ROW()-1),1)),0))</f>
        <v>0</v>
      </c>
      <c r="BM1307">
        <f t="shared" ca="1" si="572"/>
        <v>0</v>
      </c>
      <c r="BN1307" t="str">
        <f ca="1">IF(BM1307=1,IF(INDEX(分析データ!$A:$A,ROW()+$C$5)&lt;&gt;"",40000*SIGN(BL1307)*(分析データ!E1307-INDEX(分析データ!E:E,ROW()+$C$5)),""),"")</f>
        <v/>
      </c>
      <c r="BO1307">
        <f t="shared" ca="1" si="573"/>
        <v>2720000.0000000014</v>
      </c>
      <c r="BP1307">
        <f t="shared" ca="1" si="574"/>
        <v>4280000.0000000028</v>
      </c>
      <c r="BQ1307">
        <f t="shared" ca="1" si="575"/>
        <v>-1560000.0000000014</v>
      </c>
      <c r="BR1307">
        <f ca="1">IF(ROW()&lt;($C$7+1),"",IFERROR((分析データ!F1307-AVERAGE(OFFSET(分析データ!F$1,MAX(1,ROW()-$C$7),0,MIN($C$7,ROW()-1),1)))/STDEV(OFFSET(分析データ!F$1,MAX(1,ROW()-$C$7),0,MIN($C$7,ROW()-1),1)),0))</f>
        <v>0</v>
      </c>
      <c r="BS1307">
        <f t="shared" ca="1" si="576"/>
        <v>0</v>
      </c>
      <c r="BT1307" t="str">
        <f ca="1">IF(BS1307=1,IF(INDEX(分析データ!$A:$A,ROW()+$C$5)&lt;&gt;"",40000*SIGN(BR1307)*(分析データ!F1307-INDEX(分析データ!F:F,ROW()+$C$5)),""),"")</f>
        <v/>
      </c>
      <c r="BU1307">
        <f t="shared" ca="1" si="577"/>
        <v>19816800</v>
      </c>
      <c r="BV1307">
        <f t="shared" ca="1" si="578"/>
        <v>19816800</v>
      </c>
      <c r="BW1307">
        <f t="shared" ca="1" si="579"/>
        <v>0</v>
      </c>
      <c r="BX1307">
        <f ca="1">IF(ROW()&lt;($C$7+1),"",IFERROR((分析データ!G1307-AVERAGE(OFFSET(分析データ!G$1,MAX(1,ROW()-$C$7),0,MIN($C$7,ROW()-1),1)))/STDEV(OFFSET(分析データ!G$1,MAX(1,ROW()-$C$7),0,MIN($C$7,ROW()-1),1)),0))</f>
        <v>0</v>
      </c>
      <c r="BY1307">
        <f t="shared" ca="1" si="580"/>
        <v>0</v>
      </c>
      <c r="BZ1307" t="str">
        <f ca="1">IF(BY1307=1,IF(INDEX(分析データ!$A:$A,ROW()+$C$5)&lt;&gt;"",40000*SIGN(BX1307)*(分析データ!G1307-INDEX(分析データ!G:G,ROW()+$C$5)),""),"")</f>
        <v/>
      </c>
      <c r="CA1307">
        <f t="shared" ca="1" si="581"/>
        <v>-3515452.8662109179</v>
      </c>
      <c r="CB1307">
        <f t="shared" ca="1" si="582"/>
        <v>11327520.000000004</v>
      </c>
      <c r="CC1307">
        <f t="shared" ca="1" si="583"/>
        <v>-14842972.866210923</v>
      </c>
      <c r="CD1307">
        <f t="shared" ca="1" si="584"/>
        <v>0</v>
      </c>
      <c r="CE1307">
        <f t="shared" ca="1" si="585"/>
        <v>23090347.13378913</v>
      </c>
      <c r="CF1307">
        <f t="shared" ca="1" si="586"/>
        <v>23090347.13378913</v>
      </c>
      <c r="CG1307">
        <f t="shared" ca="1" si="587"/>
        <v>0</v>
      </c>
      <c r="CH1307" s="10" t="str">
        <f>分析データ!A1307</f>
        <v/>
      </c>
    </row>
  </sheetData>
  <phoneticPr fontId="1"/>
  <conditionalFormatting sqref="E10:G16">
    <cfRule type="cellIs" dxfId="11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538135"/>
  </sheetPr>
  <dimension ref="A1:L37"/>
  <sheetViews>
    <sheetView showGridLines="0" workbookViewId="0">
      <pane ySplit="5" topLeftCell="A6" activePane="bottomLeft" state="frozenSplit"/>
      <selection pane="bottomLeft" sqref="A1:L1"/>
    </sheetView>
  </sheetViews>
  <sheetFormatPr defaultRowHeight="14.4"/>
  <cols>
    <col min="1" max="1" width="2.81640625" customWidth="1"/>
    <col min="2" max="2" width="25.81640625" customWidth="1"/>
    <col min="3" max="6" width="11.81640625" customWidth="1"/>
    <col min="7" max="11" width="12.81640625" customWidth="1"/>
    <col min="12" max="12" width="29.81640625" customWidth="1"/>
  </cols>
  <sheetData>
    <row r="1" spans="1:12" ht="25.95" customHeight="1">
      <c r="A1" s="175" t="s">
        <v>85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</row>
    <row r="2" spans="1:12" ht="15" customHeight="1">
      <c r="A2" s="172" t="s">
        <v>86</v>
      </c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</row>
    <row r="3" spans="1:12" ht="18" customHeight="1">
      <c r="B3" s="57" t="s">
        <v>87</v>
      </c>
      <c r="C3" s="57"/>
      <c r="D3" s="57"/>
      <c r="E3" s="57"/>
      <c r="F3" s="57"/>
      <c r="G3" s="57"/>
      <c r="H3" s="57"/>
      <c r="I3" s="57"/>
      <c r="J3" s="57"/>
      <c r="K3" s="57"/>
    </row>
    <row r="5" spans="1:12" ht="28.8">
      <c r="A5" s="1"/>
      <c r="B5" s="58" t="s">
        <v>25</v>
      </c>
      <c r="C5" s="58" t="s">
        <v>88</v>
      </c>
      <c r="D5" s="58" t="s">
        <v>89</v>
      </c>
      <c r="E5" s="58" t="s">
        <v>90</v>
      </c>
      <c r="F5" s="58" t="s">
        <v>91</v>
      </c>
      <c r="G5" s="58" t="s">
        <v>92</v>
      </c>
      <c r="H5" s="58" t="s">
        <v>525</v>
      </c>
      <c r="I5" s="58" t="s">
        <v>93</v>
      </c>
      <c r="J5" s="58" t="s">
        <v>94</v>
      </c>
    </row>
    <row r="6" spans="1:12" ht="15">
      <c r="B6" s="2" t="s">
        <v>31</v>
      </c>
      <c r="C6" s="102">
        <f>SUM(分析データ!$T$2:$T$1307)</f>
        <v>-2680000.0000000121</v>
      </c>
      <c r="D6" s="102">
        <v>-18407</v>
      </c>
      <c r="E6" s="119">
        <f t="shared" ref="E6:E13" si="0">C6+D6</f>
        <v>-2698407.0000000121</v>
      </c>
      <c r="F6" s="15">
        <f>COUNTIF(分析データ!$T$2:$T$1307,"&gt;0")/COUNT(分析データ!$T$2:$T$1307)</f>
        <v>0.46703296703296704</v>
      </c>
      <c r="G6" s="13">
        <v>905</v>
      </c>
      <c r="H6" s="4">
        <f>IFERROR(AVERAGE(分析データ!$T$2:$T$1307)/STDEV(分析データ!$T$2:$T$1307)*SQRT(252),0)</f>
        <v>-0.33983620145586563</v>
      </c>
      <c r="I6" s="102"/>
      <c r="J6" s="16" t="s">
        <v>95</v>
      </c>
    </row>
    <row r="7" spans="1:12" ht="15">
      <c r="B7" s="66" t="s">
        <v>33</v>
      </c>
      <c r="C7" s="103">
        <f>SUM(分析データ!$U$2:$U$1307)</f>
        <v>339000.00000000634</v>
      </c>
      <c r="D7" s="103">
        <v>41392</v>
      </c>
      <c r="E7" s="120">
        <f t="shared" si="0"/>
        <v>380392.00000000634</v>
      </c>
      <c r="F7" s="100">
        <f>COUNTIF(分析データ!$U$2:$U$1307,"&gt;0")/COUNT(分析データ!$U$2:$U$1307)</f>
        <v>0.47142857142857142</v>
      </c>
      <c r="G7" s="101">
        <v>905</v>
      </c>
      <c r="H7" s="68">
        <f>IFERROR(AVERAGE(分析データ!$U$2:$U$1307)/STDEV(分析データ!$U$2:$U$1307)*SQRT(252),0)</f>
        <v>5.1702336456902094E-2</v>
      </c>
      <c r="I7" s="103"/>
      <c r="J7" s="118" t="s">
        <v>95</v>
      </c>
    </row>
    <row r="8" spans="1:12" ht="15">
      <c r="B8" s="2" t="s">
        <v>35</v>
      </c>
      <c r="C8" s="102">
        <f>SUM(分析データ!$V$2:$V$1307)</f>
        <v>9255000.0000000037</v>
      </c>
      <c r="D8" s="102">
        <v>35576</v>
      </c>
      <c r="E8" s="119">
        <f t="shared" si="0"/>
        <v>9290576.0000000037</v>
      </c>
      <c r="F8" s="15">
        <f>COUNTIF(分析データ!$V$2:$V$1307,"&gt;0")/COUNT(分析データ!$V$2:$V$1307)</f>
        <v>0.52197802197802201</v>
      </c>
      <c r="G8" s="13">
        <v>905</v>
      </c>
      <c r="H8" s="4">
        <f>IFERROR(AVERAGE(分析データ!$V$2:$V$1307)/STDEV(分析データ!$V$2:$V$1307)*SQRT(252),0)</f>
        <v>0.51044557347662345</v>
      </c>
      <c r="I8" s="102"/>
      <c r="J8" s="16" t="s">
        <v>95</v>
      </c>
    </row>
    <row r="9" spans="1:12" ht="15">
      <c r="B9" s="66" t="s">
        <v>37</v>
      </c>
      <c r="C9" s="103">
        <f>SUM(分析データ!$W$2:$W$1307)</f>
        <v>-1840000.0000000019</v>
      </c>
      <c r="D9" s="103">
        <v>4267</v>
      </c>
      <c r="E9" s="120">
        <f t="shared" si="0"/>
        <v>-1835733.0000000019</v>
      </c>
      <c r="F9" s="100">
        <f>COUNTIF(分析データ!$W$2:$W$1307,"&gt;0")/COUNT(分析データ!$W$2:$W$1307)</f>
        <v>0.42637362637362636</v>
      </c>
      <c r="G9" s="101">
        <v>905</v>
      </c>
      <c r="H9" s="68">
        <f>IFERROR(AVERAGE(分析データ!$W$2:$W$1307)/STDEV(分析データ!$W$2:$W$1307)*SQRT(252),0)</f>
        <v>-0.36074857933497356</v>
      </c>
      <c r="I9" s="103"/>
      <c r="J9" s="118" t="s">
        <v>95</v>
      </c>
    </row>
    <row r="10" spans="1:12" ht="15">
      <c r="B10" s="2" t="s">
        <v>39</v>
      </c>
      <c r="C10" s="102">
        <f>SUM(分析データ!$X$2:$X$1307)</f>
        <v>-25336111.130613916</v>
      </c>
      <c r="D10" s="102">
        <v>0</v>
      </c>
      <c r="E10" s="119">
        <f t="shared" si="0"/>
        <v>-25336111.130613916</v>
      </c>
      <c r="F10" s="15">
        <f>COUNTIF(分析データ!$X$2:$X$1307,"&gt;0")/COUNT(分析データ!$X$2:$X$1307)</f>
        <v>0.3802197802197802</v>
      </c>
      <c r="G10" s="13">
        <v>905</v>
      </c>
      <c r="H10" s="4">
        <f>IFERROR(AVERAGE(分析データ!$X$2:$X$1307)/STDEV(分析データ!$X$2:$X$1307)*SQRT(252),0)</f>
        <v>-0.61026532983447468</v>
      </c>
      <c r="I10" s="102"/>
      <c r="J10" s="16" t="s">
        <v>95</v>
      </c>
    </row>
    <row r="11" spans="1:12" ht="15">
      <c r="B11" s="66" t="s">
        <v>41</v>
      </c>
      <c r="C11" s="103">
        <f>SUM(分析データ!$Y$2:$Y$1307)</f>
        <v>-1584937.4999999998</v>
      </c>
      <c r="D11" s="103">
        <v>19663</v>
      </c>
      <c r="E11" s="120">
        <f t="shared" si="0"/>
        <v>-1565274.4999999998</v>
      </c>
      <c r="F11" s="100">
        <f>COUNTIF(分析データ!$Y$2:$Y$1307,"&gt;0")/COUNT(分析データ!$Y$2:$Y$1307)</f>
        <v>0.49010989010989009</v>
      </c>
      <c r="G11" s="101">
        <v>905</v>
      </c>
      <c r="H11" s="68">
        <f>IFERROR(AVERAGE(分析データ!$Y$2:$Y$1307)/STDEV(分析データ!$Y$2:$Y$1307)*SQRT(252),0)</f>
        <v>-0.35553749659828582</v>
      </c>
      <c r="I11" s="103"/>
      <c r="J11" s="118" t="s">
        <v>95</v>
      </c>
    </row>
    <row r="12" spans="1:12" ht="15">
      <c r="B12" s="2" t="s">
        <v>42</v>
      </c>
      <c r="C12" s="102">
        <f>SUM(分析データ!$Z$2:$Z$1307)</f>
        <v>-1516000.0000000042</v>
      </c>
      <c r="D12" s="102">
        <v>-26149</v>
      </c>
      <c r="E12" s="119">
        <f t="shared" si="0"/>
        <v>-1542149.0000000042</v>
      </c>
      <c r="F12" s="15">
        <f>COUNTIF(分析データ!$Z$2:$Z$1307,"&gt;0")/COUNT(分析データ!$Z$2:$Z$1307)</f>
        <v>0.48571428571428571</v>
      </c>
      <c r="G12" s="13">
        <v>905</v>
      </c>
      <c r="H12" s="4">
        <f>IFERROR(AVERAGE(分析データ!$Z$2:$Z$1307)/STDEV(分析データ!$Z$2:$Z$1307)*SQRT(252),0)</f>
        <v>-5.5272169358384735E-2</v>
      </c>
      <c r="I12" s="102"/>
      <c r="J12" s="16" t="s">
        <v>95</v>
      </c>
    </row>
    <row r="13" spans="1:12" ht="15.6" thickBot="1">
      <c r="B13" s="121" t="s">
        <v>43</v>
      </c>
      <c r="C13" s="107">
        <f>SUM(分析データ!$AA$2:$AA$1307)</f>
        <v>-5792407.14355468</v>
      </c>
      <c r="D13" s="107">
        <v>55376</v>
      </c>
      <c r="E13" s="122">
        <f t="shared" si="0"/>
        <v>-5737031.14355468</v>
      </c>
      <c r="F13" s="106">
        <f>COUNTIF(分析データ!$AA$2:$AA$1307,"&gt;0")/COUNT(分析データ!$AA$2:$AA$1307)</f>
        <v>0.46813186813186813</v>
      </c>
      <c r="G13" s="105">
        <v>905</v>
      </c>
      <c r="H13" s="123">
        <f>IFERROR(AVERAGE(分析データ!$AA$2:$AA$1307)/STDEV(分析データ!$AA$2:$AA$1307)*SQRT(252),0)</f>
        <v>-0.23405092236786348</v>
      </c>
      <c r="I13" s="107"/>
      <c r="J13" s="124" t="s">
        <v>95</v>
      </c>
    </row>
    <row r="14" spans="1:12" ht="15">
      <c r="B14" s="125" t="s">
        <v>96</v>
      </c>
      <c r="C14" s="126">
        <f>SUM(C6:C13)</f>
        <v>-29155455.774168603</v>
      </c>
      <c r="D14" s="126">
        <f>SUM(D6:D13)</f>
        <v>111718</v>
      </c>
      <c r="E14" s="126">
        <f>SUM(E6:E13)</f>
        <v>-29043737.774168603</v>
      </c>
      <c r="F14" s="125"/>
      <c r="G14" s="125"/>
      <c r="H14" s="125"/>
      <c r="I14" s="125"/>
      <c r="J14" s="125"/>
    </row>
    <row r="16" spans="1:12" ht="18" customHeight="1">
      <c r="B16" s="57" t="s">
        <v>97</v>
      </c>
      <c r="C16" s="57"/>
      <c r="D16" s="57"/>
      <c r="E16" s="57"/>
      <c r="F16" s="57"/>
      <c r="G16" s="57"/>
      <c r="H16" s="57"/>
      <c r="I16" s="57"/>
      <c r="J16" s="57"/>
      <c r="K16" s="57"/>
    </row>
    <row r="17" spans="1:11" ht="28.8">
      <c r="A17" s="1"/>
      <c r="B17" s="58" t="s">
        <v>25</v>
      </c>
      <c r="C17" s="58" t="s">
        <v>98</v>
      </c>
      <c r="D17" s="58" t="s">
        <v>99</v>
      </c>
      <c r="E17" s="58" t="s">
        <v>100</v>
      </c>
      <c r="F17" s="58" t="s">
        <v>101</v>
      </c>
      <c r="G17" s="58" t="s">
        <v>102</v>
      </c>
      <c r="H17" s="58" t="s">
        <v>103</v>
      </c>
      <c r="I17" s="58" t="s">
        <v>104</v>
      </c>
      <c r="J17" s="1"/>
    </row>
    <row r="18" spans="1:11">
      <c r="B18" s="2" t="s">
        <v>31</v>
      </c>
      <c r="C18" s="128" t="s">
        <v>105</v>
      </c>
      <c r="D18" s="24">
        <f>INDEX(分析データ!$B:$B,MATCH(MAX(履歴データ!$A:$A),履歴データ!$A:$A,0))</f>
        <v>-1.499999999999968</v>
      </c>
      <c r="E18" s="102" t="str">
        <f>IF(ISNUMBER(C18),1*80000*(D18-C18),"")</f>
        <v/>
      </c>
      <c r="F18" s="13">
        <v>80000</v>
      </c>
      <c r="G18" s="2" t="s">
        <v>106</v>
      </c>
      <c r="H18" s="19"/>
      <c r="I18" s="2" t="s">
        <v>107</v>
      </c>
      <c r="J18" s="16" t="s">
        <v>108</v>
      </c>
    </row>
    <row r="19" spans="1:11">
      <c r="B19" s="66" t="s">
        <v>33</v>
      </c>
      <c r="C19" s="128" t="s">
        <v>105</v>
      </c>
      <c r="D19" s="83">
        <f>INDEX(分析データ!$C:$C,MATCH(MAX(履歴データ!$A:$A),履歴データ!$A:$A,0))</f>
        <v>5.6500000000000217</v>
      </c>
      <c r="E19" s="103" t="str">
        <f>IF(ISNUMBER(C19),-1*60000*(D19-C19),"")</f>
        <v/>
      </c>
      <c r="F19" s="101">
        <v>60000</v>
      </c>
      <c r="G19" s="66" t="s">
        <v>109</v>
      </c>
      <c r="H19" s="66"/>
      <c r="I19" s="66" t="s">
        <v>107</v>
      </c>
      <c r="J19" s="16" t="s">
        <v>110</v>
      </c>
    </row>
    <row r="20" spans="1:11">
      <c r="B20" s="2" t="s">
        <v>35</v>
      </c>
      <c r="C20" s="128" t="s">
        <v>105</v>
      </c>
      <c r="D20" s="24">
        <f>INDEX(分析データ!$D:$D,MATCH(MAX(履歴データ!$A:$A),履歴データ!$A:$A,0))</f>
        <v>193.9</v>
      </c>
      <c r="E20" s="102" t="str">
        <f>IF(ISNUMBER(C20),-1*50000*(D20-C20),"")</f>
        <v/>
      </c>
      <c r="F20" s="13">
        <v>50000</v>
      </c>
      <c r="G20" s="2" t="s">
        <v>109</v>
      </c>
      <c r="H20" s="19"/>
      <c r="I20" s="2" t="s">
        <v>107</v>
      </c>
      <c r="J20" s="16" t="s">
        <v>110</v>
      </c>
    </row>
    <row r="21" spans="1:11">
      <c r="B21" s="66" t="s">
        <v>37</v>
      </c>
      <c r="C21" s="128" t="s">
        <v>105</v>
      </c>
      <c r="D21" s="83">
        <f>INDEX(分析データ!$E:$E,MATCH(MAX(履歴データ!$A:$A),履歴データ!$A:$A,0))</f>
        <v>31.00000000000005</v>
      </c>
      <c r="E21" s="103" t="str">
        <f>IF(ISNUMBER(C21),1*40000*(D21-C21),"")</f>
        <v/>
      </c>
      <c r="F21" s="101">
        <v>40000</v>
      </c>
      <c r="G21" s="66" t="s">
        <v>106</v>
      </c>
      <c r="H21" s="66"/>
      <c r="I21" s="66" t="s">
        <v>107</v>
      </c>
      <c r="J21" s="16" t="s">
        <v>111</v>
      </c>
    </row>
    <row r="22" spans="1:11">
      <c r="B22" s="2" t="s">
        <v>41</v>
      </c>
      <c r="C22" s="128" t="s">
        <v>105</v>
      </c>
      <c r="D22" s="24">
        <f>INDEX(分析データ!$I:$I,MATCH(MAX(履歴データ!$A:$A),履歴データ!$A:$A,0))</f>
        <v>108.265625</v>
      </c>
      <c r="E22" s="102" t="str">
        <f>IF(ISNUMBER(C22),1*40000*(D22-C22),"")</f>
        <v/>
      </c>
      <c r="F22" s="13">
        <v>40000</v>
      </c>
      <c r="G22" s="2" t="s">
        <v>106</v>
      </c>
      <c r="H22" s="19"/>
      <c r="I22" s="2" t="s">
        <v>107</v>
      </c>
      <c r="J22" s="16" t="s">
        <v>112</v>
      </c>
    </row>
    <row r="23" spans="1:11">
      <c r="B23" s="66" t="s">
        <v>42</v>
      </c>
      <c r="C23" s="128" t="s">
        <v>105</v>
      </c>
      <c r="D23" s="83">
        <f>INDEX(分析データ!$F:$F,MATCH(MAX(履歴データ!$A:$A),履歴データ!$A:$A,0))</f>
        <v>-341.1</v>
      </c>
      <c r="E23" s="103" t="str">
        <f>IF(ISNUMBER(C23),-1*40000*(D23-C23),"")</f>
        <v/>
      </c>
      <c r="F23" s="101">
        <v>40000</v>
      </c>
      <c r="G23" s="66" t="s">
        <v>109</v>
      </c>
      <c r="H23" s="66"/>
      <c r="I23" s="66" t="s">
        <v>107</v>
      </c>
      <c r="J23" s="16" t="s">
        <v>113</v>
      </c>
    </row>
    <row r="24" spans="1:11">
      <c r="B24" s="2" t="s">
        <v>43</v>
      </c>
      <c r="C24" s="128" t="s">
        <v>105</v>
      </c>
      <c r="D24" s="24">
        <f>INDEX(分析データ!$G:$G,MATCH(MAX(履歴データ!$A:$A),履歴データ!$A:$A,0))</f>
        <v>144.81017858886699</v>
      </c>
      <c r="E24" s="102" t="str">
        <f>IF(ISNUMBER(C24),-1*40000*(D24-C24),"")</f>
        <v/>
      </c>
      <c r="F24" s="13">
        <v>40000</v>
      </c>
      <c r="G24" s="2" t="s">
        <v>109</v>
      </c>
      <c r="H24" s="19"/>
      <c r="I24" s="2" t="s">
        <v>107</v>
      </c>
      <c r="J24" s="16" t="s">
        <v>113</v>
      </c>
    </row>
    <row r="26" spans="1:11" ht="18" customHeight="1">
      <c r="B26" s="57" t="s">
        <v>114</v>
      </c>
      <c r="C26" s="57"/>
      <c r="D26" s="57"/>
      <c r="E26" s="57"/>
      <c r="F26" s="57"/>
      <c r="G26" s="57"/>
      <c r="H26" s="57"/>
      <c r="I26" s="57"/>
      <c r="J26" s="57"/>
      <c r="K26" s="57"/>
    </row>
    <row r="27" spans="1:11" ht="15">
      <c r="A27" s="1"/>
      <c r="B27" s="58" t="s">
        <v>25</v>
      </c>
      <c r="C27" s="58" t="s">
        <v>103</v>
      </c>
      <c r="D27" s="58" t="s">
        <v>115</v>
      </c>
      <c r="E27" s="58" t="s">
        <v>116</v>
      </c>
      <c r="F27" s="58" t="s">
        <v>117</v>
      </c>
      <c r="G27" s="58" t="s">
        <v>101</v>
      </c>
      <c r="H27" s="58" t="s">
        <v>118</v>
      </c>
      <c r="I27" s="58" t="s">
        <v>119</v>
      </c>
      <c r="J27" s="58" t="s">
        <v>120</v>
      </c>
      <c r="K27" s="58" t="s">
        <v>121</v>
      </c>
    </row>
    <row r="28" spans="1:11">
      <c r="B28" s="127"/>
      <c r="C28" s="127"/>
      <c r="D28" s="127"/>
      <c r="E28" s="127"/>
      <c r="F28" s="127"/>
      <c r="G28" s="127"/>
      <c r="H28" s="129" t="str">
        <f t="shared" ref="H28:H35" si="1">IF(AND(ISNUMBER(E28),ISNUMBER(F28),ISNUMBER(G28)),G28*(F28-E28),"")</f>
        <v/>
      </c>
      <c r="I28" s="129"/>
      <c r="J28" s="129" t="str">
        <f t="shared" ref="J28:J35" si="2">IF(ISNUMBER(H28),H28+IF(ISNUMBER(I28),I28,0),"")</f>
        <v/>
      </c>
      <c r="K28" s="127"/>
    </row>
    <row r="29" spans="1:11">
      <c r="B29" s="127"/>
      <c r="C29" s="127"/>
      <c r="D29" s="127"/>
      <c r="E29" s="127"/>
      <c r="F29" s="127"/>
      <c r="G29" s="127"/>
      <c r="H29" s="129" t="str">
        <f t="shared" si="1"/>
        <v/>
      </c>
      <c r="I29" s="129"/>
      <c r="J29" s="129" t="str">
        <f t="shared" si="2"/>
        <v/>
      </c>
      <c r="K29" s="127"/>
    </row>
    <row r="30" spans="1:11">
      <c r="B30" s="127"/>
      <c r="C30" s="127"/>
      <c r="D30" s="127"/>
      <c r="E30" s="127"/>
      <c r="F30" s="127"/>
      <c r="G30" s="127"/>
      <c r="H30" s="129" t="str">
        <f t="shared" si="1"/>
        <v/>
      </c>
      <c r="I30" s="129"/>
      <c r="J30" s="129" t="str">
        <f t="shared" si="2"/>
        <v/>
      </c>
      <c r="K30" s="127"/>
    </row>
    <row r="31" spans="1:11">
      <c r="B31" s="127"/>
      <c r="C31" s="127"/>
      <c r="D31" s="127"/>
      <c r="E31" s="127"/>
      <c r="F31" s="127"/>
      <c r="G31" s="127"/>
      <c r="H31" s="129" t="str">
        <f t="shared" si="1"/>
        <v/>
      </c>
      <c r="I31" s="129"/>
      <c r="J31" s="129" t="str">
        <f t="shared" si="2"/>
        <v/>
      </c>
      <c r="K31" s="127"/>
    </row>
    <row r="32" spans="1:11">
      <c r="B32" s="127"/>
      <c r="C32" s="127"/>
      <c r="D32" s="127"/>
      <c r="E32" s="127"/>
      <c r="F32" s="127"/>
      <c r="G32" s="127"/>
      <c r="H32" s="129" t="str">
        <f t="shared" si="1"/>
        <v/>
      </c>
      <c r="I32" s="129"/>
      <c r="J32" s="129" t="str">
        <f t="shared" si="2"/>
        <v/>
      </c>
      <c r="K32" s="127"/>
    </row>
    <row r="33" spans="2:11">
      <c r="B33" s="127"/>
      <c r="C33" s="127"/>
      <c r="D33" s="127"/>
      <c r="E33" s="127"/>
      <c r="F33" s="127"/>
      <c r="G33" s="127"/>
      <c r="H33" s="129" t="str">
        <f t="shared" si="1"/>
        <v/>
      </c>
      <c r="I33" s="129"/>
      <c r="J33" s="129" t="str">
        <f t="shared" si="2"/>
        <v/>
      </c>
      <c r="K33" s="127"/>
    </row>
    <row r="34" spans="2:11">
      <c r="B34" s="127"/>
      <c r="C34" s="127"/>
      <c r="D34" s="127"/>
      <c r="E34" s="127"/>
      <c r="F34" s="127"/>
      <c r="G34" s="127"/>
      <c r="H34" s="129" t="str">
        <f t="shared" si="1"/>
        <v/>
      </c>
      <c r="I34" s="129"/>
      <c r="J34" s="129" t="str">
        <f t="shared" si="2"/>
        <v/>
      </c>
      <c r="K34" s="127"/>
    </row>
    <row r="35" spans="2:11">
      <c r="B35" s="127"/>
      <c r="C35" s="127"/>
      <c r="D35" s="127"/>
      <c r="E35" s="127"/>
      <c r="F35" s="127"/>
      <c r="G35" s="127"/>
      <c r="H35" s="129" t="str">
        <f t="shared" si="1"/>
        <v/>
      </c>
      <c r="I35" s="129"/>
      <c r="J35" s="129" t="str">
        <f t="shared" si="2"/>
        <v/>
      </c>
      <c r="K35" s="127"/>
    </row>
    <row r="36" spans="2:11">
      <c r="B36" s="127"/>
      <c r="C36" s="127"/>
      <c r="D36" s="127"/>
      <c r="E36" s="127"/>
      <c r="F36" s="127"/>
      <c r="G36" s="127"/>
      <c r="H36" s="129"/>
      <c r="I36" s="129"/>
      <c r="J36" s="129"/>
      <c r="K36" s="127"/>
    </row>
    <row r="37" spans="2:11">
      <c r="B37" s="53" t="s">
        <v>122</v>
      </c>
    </row>
  </sheetData>
  <mergeCells count="2">
    <mergeCell ref="A2:L2"/>
    <mergeCell ref="A1:L1"/>
  </mergeCells>
  <phoneticPr fontId="1"/>
  <conditionalFormatting sqref="C6:E14">
    <cfRule type="cellIs" dxfId="10" priority="1" stopIfTrue="1" operator="lessThan">
      <formula>0</formula>
    </cfRule>
  </conditionalFormatting>
  <conditionalFormatting sqref="I6:I13">
    <cfRule type="cellIs" dxfId="9" priority="2" stopIfTrue="1" operator="lessThan">
      <formula>0</formula>
    </cfRule>
  </conditionalFormatting>
  <conditionalFormatting sqref="E18:E24">
    <cfRule type="cellIs" dxfId="8" priority="3" stopIfTrue="1" operator="lessThan">
      <formula>0</formula>
    </cfRule>
  </conditionalFormatting>
  <conditionalFormatting sqref="H28:J36">
    <cfRule type="cellIs" dxfId="7" priority="4" stopIfTrue="1" operator="lessThan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70AD47"/>
  </sheetPr>
  <dimension ref="A1:J23"/>
  <sheetViews>
    <sheetView showGridLines="0" workbookViewId="0">
      <pane ySplit="3" topLeftCell="A4" activePane="bottomLeft" state="frozenSplit"/>
      <selection pane="bottomLeft" sqref="A1:J1"/>
    </sheetView>
  </sheetViews>
  <sheetFormatPr defaultRowHeight="14.4"/>
  <cols>
    <col min="1" max="1" width="2.6328125" customWidth="1"/>
    <col min="2" max="2" width="26.6328125" customWidth="1"/>
    <col min="3" max="3" width="12.6328125" customWidth="1"/>
    <col min="4" max="4" width="26.6328125" customWidth="1"/>
    <col min="5" max="5" width="7.6328125" customWidth="1"/>
    <col min="6" max="7" width="9.6328125" customWidth="1"/>
    <col min="8" max="8" width="10.6328125" customWidth="1"/>
    <col min="9" max="9" width="11.6328125" customWidth="1"/>
    <col min="10" max="10" width="22.6328125" customWidth="1"/>
  </cols>
  <sheetData>
    <row r="1" spans="1:10" ht="25.95" customHeight="1">
      <c r="A1" s="175" t="s">
        <v>123</v>
      </c>
      <c r="B1" s="170"/>
      <c r="C1" s="170"/>
      <c r="D1" s="170"/>
      <c r="E1" s="170"/>
      <c r="F1" s="170"/>
      <c r="G1" s="170"/>
      <c r="H1" s="170"/>
      <c r="I1" s="170"/>
      <c r="J1" s="170"/>
    </row>
    <row r="2" spans="1:10" ht="15" customHeight="1">
      <c r="A2" s="172" t="s">
        <v>124</v>
      </c>
      <c r="B2" s="170"/>
      <c r="C2" s="170"/>
      <c r="D2" s="170"/>
      <c r="E2" s="170"/>
      <c r="F2" s="170"/>
      <c r="G2" s="170"/>
      <c r="H2" s="170"/>
      <c r="I2" s="170"/>
      <c r="J2" s="170"/>
    </row>
    <row r="3" spans="1:10" ht="15">
      <c r="A3" s="1"/>
      <c r="B3" s="58" t="s">
        <v>25</v>
      </c>
      <c r="C3" s="58" t="s">
        <v>526</v>
      </c>
      <c r="D3" s="58" t="s">
        <v>527</v>
      </c>
      <c r="E3" s="58" t="s">
        <v>102</v>
      </c>
      <c r="F3" s="58" t="s">
        <v>528</v>
      </c>
      <c r="G3" s="58" t="s">
        <v>529</v>
      </c>
      <c r="H3" s="58" t="s">
        <v>101</v>
      </c>
      <c r="I3" s="58" t="s">
        <v>530</v>
      </c>
      <c r="J3" s="58" t="s">
        <v>488</v>
      </c>
    </row>
    <row r="4" spans="1:10" ht="15">
      <c r="B4" s="130" t="s">
        <v>31</v>
      </c>
      <c r="C4" s="131" t="s">
        <v>125</v>
      </c>
      <c r="D4" s="20" t="s">
        <v>126</v>
      </c>
      <c r="E4" s="137" t="s">
        <v>106</v>
      </c>
      <c r="F4" s="21">
        <v>101.3</v>
      </c>
      <c r="G4" s="21">
        <v>4.72</v>
      </c>
      <c r="H4" s="22">
        <v>790</v>
      </c>
      <c r="I4" s="134">
        <v>80027</v>
      </c>
      <c r="J4" s="23" t="s">
        <v>127</v>
      </c>
    </row>
    <row r="5" spans="1:10" ht="15">
      <c r="B5" s="60" t="s">
        <v>31</v>
      </c>
      <c r="C5" s="132" t="s">
        <v>128</v>
      </c>
      <c r="D5" s="2" t="s">
        <v>129</v>
      </c>
      <c r="E5" s="138" t="s">
        <v>109</v>
      </c>
      <c r="F5" s="25">
        <v>210.6</v>
      </c>
      <c r="G5" s="25">
        <v>4.1900000000000004</v>
      </c>
      <c r="H5" s="13">
        <v>190</v>
      </c>
      <c r="I5" s="87">
        <v>-40014</v>
      </c>
      <c r="J5" s="5" t="s">
        <v>130</v>
      </c>
    </row>
    <row r="6" spans="1:10" ht="15">
      <c r="B6" s="130" t="s">
        <v>31</v>
      </c>
      <c r="C6" s="131" t="s">
        <v>131</v>
      </c>
      <c r="D6" s="20" t="s">
        <v>132</v>
      </c>
      <c r="E6" s="139" t="s">
        <v>109</v>
      </c>
      <c r="F6" s="21">
        <v>26.8</v>
      </c>
      <c r="G6" s="21">
        <v>5.31</v>
      </c>
      <c r="H6" s="22">
        <v>1492</v>
      </c>
      <c r="I6" s="135">
        <v>-39986</v>
      </c>
      <c r="J6" s="23" t="s">
        <v>133</v>
      </c>
    </row>
    <row r="7" spans="1:10" ht="15">
      <c r="B7" s="63" t="s">
        <v>33</v>
      </c>
      <c r="C7" s="133" t="s">
        <v>134</v>
      </c>
      <c r="D7" s="66" t="s">
        <v>135</v>
      </c>
      <c r="E7" s="140" t="s">
        <v>109</v>
      </c>
      <c r="F7" s="82">
        <v>69.2</v>
      </c>
      <c r="G7" s="82">
        <v>2.8010000000000002</v>
      </c>
      <c r="H7" s="101">
        <v>867</v>
      </c>
      <c r="I7" s="136">
        <v>-59996</v>
      </c>
      <c r="J7" s="69" t="s">
        <v>136</v>
      </c>
    </row>
    <row r="8" spans="1:10" ht="15">
      <c r="B8" s="63" t="s">
        <v>33</v>
      </c>
      <c r="C8" s="133" t="s">
        <v>137</v>
      </c>
      <c r="D8" s="66" t="s">
        <v>138</v>
      </c>
      <c r="E8" s="141" t="s">
        <v>106</v>
      </c>
      <c r="F8" s="82">
        <v>152.80000000000001</v>
      </c>
      <c r="G8" s="82">
        <v>1.5069999999999999</v>
      </c>
      <c r="H8" s="101">
        <v>196</v>
      </c>
      <c r="I8" s="88">
        <v>29949</v>
      </c>
      <c r="J8" s="69" t="s">
        <v>139</v>
      </c>
    </row>
    <row r="9" spans="1:10" ht="15">
      <c r="B9" s="63" t="s">
        <v>33</v>
      </c>
      <c r="C9" s="133" t="s">
        <v>140</v>
      </c>
      <c r="D9" s="66" t="s">
        <v>141</v>
      </c>
      <c r="E9" s="141" t="s">
        <v>106</v>
      </c>
      <c r="F9" s="82">
        <v>17.2</v>
      </c>
      <c r="G9" s="82">
        <v>3.9820000000000002</v>
      </c>
      <c r="H9" s="101">
        <v>1742</v>
      </c>
      <c r="I9" s="88">
        <v>29962</v>
      </c>
      <c r="J9" s="69" t="s">
        <v>139</v>
      </c>
    </row>
    <row r="10" spans="1:10" ht="15">
      <c r="B10" s="130" t="s">
        <v>35</v>
      </c>
      <c r="C10" s="131" t="s">
        <v>134</v>
      </c>
      <c r="D10" s="20" t="s">
        <v>142</v>
      </c>
      <c r="E10" s="137" t="s">
        <v>106</v>
      </c>
      <c r="F10" s="21">
        <v>57.7</v>
      </c>
      <c r="G10" s="21">
        <v>2.8010000000000002</v>
      </c>
      <c r="H10" s="22">
        <v>867</v>
      </c>
      <c r="I10" s="134">
        <v>50026</v>
      </c>
      <c r="J10" s="23" t="s">
        <v>143</v>
      </c>
    </row>
    <row r="11" spans="1:10" ht="15">
      <c r="B11" s="60" t="s">
        <v>35</v>
      </c>
      <c r="C11" s="132" t="s">
        <v>125</v>
      </c>
      <c r="D11" s="2" t="s">
        <v>144</v>
      </c>
      <c r="E11" s="138" t="s">
        <v>109</v>
      </c>
      <c r="F11" s="25">
        <v>63.3</v>
      </c>
      <c r="G11" s="25">
        <v>4.72</v>
      </c>
      <c r="H11" s="13">
        <v>790</v>
      </c>
      <c r="I11" s="87">
        <v>-50007</v>
      </c>
      <c r="J11" s="5" t="s">
        <v>145</v>
      </c>
    </row>
    <row r="12" spans="1:10" ht="15">
      <c r="B12" s="63" t="s">
        <v>37</v>
      </c>
      <c r="C12" s="133" t="s">
        <v>146</v>
      </c>
      <c r="D12" s="66" t="s">
        <v>147</v>
      </c>
      <c r="E12" s="141" t="s">
        <v>106</v>
      </c>
      <c r="F12" s="82">
        <v>89.9</v>
      </c>
      <c r="G12" s="82">
        <v>4.38</v>
      </c>
      <c r="H12" s="101">
        <v>445</v>
      </c>
      <c r="I12" s="88">
        <v>40006</v>
      </c>
      <c r="J12" s="69" t="s">
        <v>148</v>
      </c>
    </row>
    <row r="13" spans="1:10" ht="15">
      <c r="B13" s="63" t="s">
        <v>37</v>
      </c>
      <c r="C13" s="133" t="s">
        <v>125</v>
      </c>
      <c r="D13" s="66" t="s">
        <v>149</v>
      </c>
      <c r="E13" s="140" t="s">
        <v>109</v>
      </c>
      <c r="F13" s="82">
        <v>50.6</v>
      </c>
      <c r="G13" s="82">
        <v>4.72</v>
      </c>
      <c r="H13" s="101">
        <v>790</v>
      </c>
      <c r="I13" s="136">
        <v>-39974</v>
      </c>
      <c r="J13" s="69" t="s">
        <v>150</v>
      </c>
    </row>
    <row r="14" spans="1:10" ht="15">
      <c r="B14" s="130" t="s">
        <v>39</v>
      </c>
      <c r="C14" s="131" t="s">
        <v>151</v>
      </c>
      <c r="D14" s="20" t="s">
        <v>152</v>
      </c>
      <c r="E14" s="139" t="s">
        <v>109</v>
      </c>
      <c r="F14" s="21">
        <v>120</v>
      </c>
      <c r="G14" s="21">
        <v>159.34</v>
      </c>
      <c r="H14" s="22">
        <v>0</v>
      </c>
      <c r="I14" s="135">
        <v>0</v>
      </c>
      <c r="J14" s="23" t="s">
        <v>153</v>
      </c>
    </row>
    <row r="15" spans="1:10" ht="15">
      <c r="B15" s="63" t="s">
        <v>41</v>
      </c>
      <c r="C15" s="133" t="s">
        <v>125</v>
      </c>
      <c r="D15" s="66" t="s">
        <v>154</v>
      </c>
      <c r="E15" s="141" t="s">
        <v>106</v>
      </c>
      <c r="F15" s="82">
        <v>50.6</v>
      </c>
      <c r="G15" s="82">
        <v>4.72</v>
      </c>
      <c r="H15" s="101">
        <v>790</v>
      </c>
      <c r="I15" s="88">
        <v>39974</v>
      </c>
      <c r="J15" s="69" t="s">
        <v>155</v>
      </c>
    </row>
    <row r="16" spans="1:10" ht="15">
      <c r="B16" s="63" t="s">
        <v>41</v>
      </c>
      <c r="C16" s="133" t="s">
        <v>156</v>
      </c>
      <c r="D16" s="66" t="s">
        <v>157</v>
      </c>
      <c r="E16" s="140" t="s">
        <v>109</v>
      </c>
      <c r="F16" s="82">
        <v>506.32911392405072</v>
      </c>
      <c r="G16" s="82">
        <v>0</v>
      </c>
      <c r="H16" s="101">
        <v>79</v>
      </c>
      <c r="I16" s="136">
        <v>-40000</v>
      </c>
      <c r="J16" s="69" t="s">
        <v>158</v>
      </c>
    </row>
    <row r="17" spans="2:10" ht="15">
      <c r="B17" s="60" t="s">
        <v>42</v>
      </c>
      <c r="C17" s="132" t="s">
        <v>159</v>
      </c>
      <c r="D17" s="2" t="s">
        <v>160</v>
      </c>
      <c r="E17" s="142" t="s">
        <v>106</v>
      </c>
      <c r="F17" s="25">
        <v>42.8</v>
      </c>
      <c r="G17" s="25">
        <v>1.329</v>
      </c>
      <c r="H17" s="13">
        <v>934</v>
      </c>
      <c r="I17" s="89">
        <v>39975</v>
      </c>
      <c r="J17" s="5" t="s">
        <v>161</v>
      </c>
    </row>
    <row r="18" spans="2:10" ht="15">
      <c r="B18" s="130" t="s">
        <v>42</v>
      </c>
      <c r="C18" s="131" t="s">
        <v>125</v>
      </c>
      <c r="D18" s="20" t="s">
        <v>144</v>
      </c>
      <c r="E18" s="139" t="s">
        <v>109</v>
      </c>
      <c r="F18" s="21">
        <v>50.6</v>
      </c>
      <c r="G18" s="21">
        <v>4.72</v>
      </c>
      <c r="H18" s="22">
        <v>790</v>
      </c>
      <c r="I18" s="135">
        <v>-39974</v>
      </c>
      <c r="J18" s="23" t="s">
        <v>145</v>
      </c>
    </row>
    <row r="19" spans="2:10" ht="15">
      <c r="B19" s="63" t="s">
        <v>43</v>
      </c>
      <c r="C19" s="133" t="s">
        <v>162</v>
      </c>
      <c r="D19" s="66" t="s">
        <v>163</v>
      </c>
      <c r="E19" s="141" t="s">
        <v>106</v>
      </c>
      <c r="F19" s="82">
        <v>46.2</v>
      </c>
      <c r="G19" s="82">
        <v>2.8413416856492009</v>
      </c>
      <c r="H19" s="101">
        <v>865</v>
      </c>
      <c r="I19" s="88">
        <v>39963</v>
      </c>
      <c r="J19" s="69" t="s">
        <v>164</v>
      </c>
    </row>
    <row r="20" spans="2:10" ht="15">
      <c r="B20" s="63" t="s">
        <v>43</v>
      </c>
      <c r="C20" s="133" t="s">
        <v>159</v>
      </c>
      <c r="D20" s="66" t="s">
        <v>160</v>
      </c>
      <c r="E20" s="140" t="s">
        <v>109</v>
      </c>
      <c r="F20" s="82">
        <v>42.8</v>
      </c>
      <c r="G20" s="82">
        <v>1.329</v>
      </c>
      <c r="H20" s="101">
        <v>934</v>
      </c>
      <c r="I20" s="136">
        <v>-39975</v>
      </c>
      <c r="J20" s="69" t="s">
        <v>165</v>
      </c>
    </row>
    <row r="21" spans="2:10" ht="15">
      <c r="B21" s="17" t="s">
        <v>166</v>
      </c>
      <c r="C21" s="26"/>
      <c r="D21" s="26"/>
      <c r="E21" s="26"/>
      <c r="F21" s="27">
        <v>1698.7</v>
      </c>
      <c r="G21" s="26"/>
      <c r="H21" s="26"/>
      <c r="I21" s="26"/>
      <c r="J21" s="26"/>
    </row>
    <row r="23" spans="2:10">
      <c r="B23" s="6" t="s">
        <v>167</v>
      </c>
    </row>
  </sheetData>
  <mergeCells count="2">
    <mergeCell ref="A1:J1"/>
    <mergeCell ref="A2:J2"/>
  </mergeCells>
  <phoneticPr fontId="1"/>
  <conditionalFormatting sqref="I4:I20">
    <cfRule type="cellIs" dxfId="6" priority="1" stopIfTrue="1" operator="lessThan">
      <formula>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8496B0"/>
  </sheetPr>
  <dimension ref="A1:AK1308"/>
  <sheetViews>
    <sheetView showGridLines="0" workbookViewId="0">
      <pane xSplit="1" ySplit="1" topLeftCell="B2" activePane="bottomRight" state="frozenSplit"/>
      <selection pane="topRight"/>
      <selection pane="bottomLeft"/>
      <selection pane="bottomRight"/>
    </sheetView>
  </sheetViews>
  <sheetFormatPr defaultRowHeight="14.4"/>
  <cols>
    <col min="1" max="1" width="11.81640625" customWidth="1"/>
    <col min="2" max="34" width="10.81640625" customWidth="1"/>
  </cols>
  <sheetData>
    <row r="1" spans="1:37" ht="30">
      <c r="A1" s="65" t="s">
        <v>168</v>
      </c>
      <c r="B1" s="65" t="s">
        <v>169</v>
      </c>
      <c r="C1" s="65" t="s">
        <v>170</v>
      </c>
      <c r="D1" s="65" t="s">
        <v>171</v>
      </c>
      <c r="E1" s="65" t="s">
        <v>172</v>
      </c>
      <c r="F1" s="65" t="s">
        <v>173</v>
      </c>
      <c r="G1" s="65" t="s">
        <v>174</v>
      </c>
      <c r="H1" s="65" t="s">
        <v>151</v>
      </c>
      <c r="I1" s="65" t="s">
        <v>175</v>
      </c>
      <c r="J1" s="65" t="s">
        <v>176</v>
      </c>
      <c r="K1" s="65" t="s">
        <v>177</v>
      </c>
      <c r="L1" s="65" t="s">
        <v>178</v>
      </c>
      <c r="M1" s="65" t="s">
        <v>179</v>
      </c>
      <c r="N1" s="65" t="s">
        <v>180</v>
      </c>
      <c r="O1" s="65" t="s">
        <v>181</v>
      </c>
      <c r="P1" s="65" t="s">
        <v>182</v>
      </c>
      <c r="Q1" s="65" t="s">
        <v>183</v>
      </c>
      <c r="R1" s="65" t="s">
        <v>184</v>
      </c>
      <c r="S1" s="65" t="s">
        <v>185</v>
      </c>
      <c r="T1" s="65" t="s">
        <v>186</v>
      </c>
      <c r="U1" s="65" t="s">
        <v>187</v>
      </c>
      <c r="V1" s="65" t="s">
        <v>188</v>
      </c>
      <c r="W1" s="65" t="s">
        <v>189</v>
      </c>
      <c r="X1" s="65" t="s">
        <v>190</v>
      </c>
      <c r="Y1" s="65" t="s">
        <v>191</v>
      </c>
      <c r="Z1" s="65" t="s">
        <v>192</v>
      </c>
      <c r="AA1" s="65" t="s">
        <v>193</v>
      </c>
      <c r="AB1" s="65" t="s">
        <v>194</v>
      </c>
      <c r="AC1" s="65" t="s">
        <v>195</v>
      </c>
      <c r="AD1" s="65" t="s">
        <v>196</v>
      </c>
      <c r="AE1" s="65" t="s">
        <v>19</v>
      </c>
      <c r="AF1" s="65" t="s">
        <v>197</v>
      </c>
      <c r="AG1" s="65" t="s">
        <v>198</v>
      </c>
      <c r="AH1" s="65" t="s">
        <v>199</v>
      </c>
      <c r="AI1" s="56"/>
      <c r="AJ1" s="56" t="s">
        <v>200</v>
      </c>
      <c r="AK1" s="56" t="s">
        <v>201</v>
      </c>
    </row>
    <row r="2" spans="1:37">
      <c r="A2" s="10">
        <f>IF(履歴データ!$A$2="","",履歴データ!$A$2)</f>
        <v>44929</v>
      </c>
      <c r="B2" s="28">
        <f>IF(履歴データ!$A$2="","",(履歴データ!$D$2-(履歴データ!$B$2+履歴データ!$F$2)/2)*100)</f>
        <v>-35.000000000000057</v>
      </c>
      <c r="C2" s="28">
        <f>IF(履歴データ!$A$2="","",(履歴データ!$H$2-(履歴データ!$G$2+履歴データ!$J$2)/2)*100)</f>
        <v>0</v>
      </c>
      <c r="D2" s="28">
        <f>IF(履歴データ!$A$2="","",(履歴データ!$D$2-履歴データ!$H$2)*100)</f>
        <v>379</v>
      </c>
      <c r="E2" s="28">
        <f>IF(履歴データ!$A$2="","",(履歴データ!$D$2-履歴データ!$C$2)*100)</f>
        <v>-14.999999999999991</v>
      </c>
      <c r="F2" s="28">
        <f>IF(履歴データ!$A$2="","",(履歴データ!$R$2-履歴データ!$D$2)*100)</f>
        <v>-379</v>
      </c>
      <c r="G2" s="28">
        <f>IF(履歴データ!$A$2="","",(履歴データ!$S$2-履歴データ!$R$2)*100)</f>
        <v>0</v>
      </c>
      <c r="H2" s="29">
        <f>IF(履歴データ!$A$2="","",履歴データ!$O$2)</f>
        <v>130.79400634765625</v>
      </c>
      <c r="I2" s="29">
        <f>IF(履歴データ!$A$2="","",履歴データ!$Q$2)</f>
        <v>112.640625</v>
      </c>
      <c r="J2" s="29">
        <f>IF(履歴データ!$A$2="","",履歴データ!$D$2)</f>
        <v>3.79</v>
      </c>
      <c r="K2" s="28"/>
      <c r="L2" s="28"/>
      <c r="M2" s="28"/>
      <c r="N2" s="28"/>
      <c r="O2" s="28"/>
      <c r="P2" s="28"/>
      <c r="Q2" s="29"/>
      <c r="R2" s="29"/>
      <c r="S2" s="28"/>
      <c r="T2" s="11">
        <v>0</v>
      </c>
      <c r="U2" s="11">
        <v>0</v>
      </c>
      <c r="V2" s="11">
        <v>0</v>
      </c>
      <c r="W2" s="11">
        <v>0</v>
      </c>
      <c r="X2" s="11">
        <v>0</v>
      </c>
      <c r="Y2" s="11">
        <v>0</v>
      </c>
      <c r="Z2" s="11">
        <v>0</v>
      </c>
      <c r="AA2" s="11">
        <v>0</v>
      </c>
      <c r="AB2" s="11">
        <f>IF(履歴データ!$A$2="",0,123.3)</f>
        <v>123.3</v>
      </c>
      <c r="AC2">
        <f>SUM(T2:AA2)</f>
        <v>0</v>
      </c>
      <c r="AD2" s="29">
        <f>IF(履歴データ!$A$2="","",AC2/1000000)</f>
        <v>0</v>
      </c>
      <c r="AE2" s="29">
        <v>100</v>
      </c>
      <c r="AF2" s="12">
        <v>0</v>
      </c>
      <c r="AG2" s="29">
        <v>100</v>
      </c>
      <c r="AH2" s="12">
        <v>0</v>
      </c>
      <c r="AJ2" s="28" t="str">
        <f t="shared" ref="AJ2:AJ65" ca="1" si="0">IF(ROW()-1&lt;2,"",IFERROR(AVERAGE(OFFSET($B$1,MAX(1,ROW()-252),0,MIN(252,ROW()-1),1))+2*STDEV(OFFSET($B$1,MAX(1,ROW()-252),0,MIN(252,ROW()-1),1)),""))</f>
        <v/>
      </c>
      <c r="AK2" s="28" t="str">
        <f t="shared" ref="AK2:AK65" ca="1" si="1">IF(ROW()-1&lt;2,"",IFERROR(AVERAGE(OFFSET($B$1,MAX(1,ROW()-252),0,MIN(252,ROW()-1),1))-2*STDEV(OFFSET($B$1,MAX(1,ROW()-252),0,MIN(252,ROW()-1),1)),""))</f>
        <v/>
      </c>
    </row>
    <row r="3" spans="1:37">
      <c r="A3" s="10">
        <f>IF(履歴データ!$A$3="","",履歴データ!$A$3)</f>
        <v>44930</v>
      </c>
      <c r="B3" s="28">
        <f>IF(履歴データ!$A$3="","",(履歴データ!$D$3-(履歴データ!$B$3+履歴データ!$F$3)/2)*100)</f>
        <v>-39.5</v>
      </c>
      <c r="C3" s="28">
        <f>IF(履歴データ!$A$3="","",(履歴データ!$H$3-(履歴データ!$G$3+履歴データ!$J$3)/2)*100)</f>
        <v>-32.65</v>
      </c>
      <c r="D3" s="28">
        <f>IF(履歴データ!$A$3="","",(履歴データ!$D$3-履歴データ!$H$3)*100)</f>
        <v>319.89999999999998</v>
      </c>
      <c r="E3" s="28">
        <f>IF(履歴データ!$A$3="","",(履歴データ!$D$3-履歴データ!$C$3)*100)</f>
        <v>-16.000000000000014</v>
      </c>
      <c r="F3" s="28">
        <f>IF(履歴データ!$A$3="","",(履歴データ!$R$3-履歴データ!$D$3)*100)</f>
        <v>-139</v>
      </c>
      <c r="G3" s="28">
        <f>IF(履歴データ!$A$3="","",(履歴データ!$S$3-履歴データ!$R$3)*100)</f>
        <v>-181.01135717773457</v>
      </c>
      <c r="H3" s="29">
        <f>IF(履歴データ!$A$3="","",履歴データ!$O$3)</f>
        <v>131.24800109863281</v>
      </c>
      <c r="I3" s="29">
        <f>IF(履歴データ!$A$3="","",履歴データ!$Q$3)</f>
        <v>113.1875</v>
      </c>
      <c r="J3" s="29">
        <f>IF(履歴データ!$A$3="","",履歴データ!$D$3)</f>
        <v>3.69</v>
      </c>
      <c r="K3" s="28">
        <f>IF(OR(履歴データ!$A$3="",履歴データ!$A$2=""),"",B3-B2)</f>
        <v>-4.4999999999999432</v>
      </c>
      <c r="L3" s="28">
        <f>IF(OR(履歴データ!$A$3="",履歴データ!$A$2=""),"",C3-C2)</f>
        <v>-32.65</v>
      </c>
      <c r="M3" s="28">
        <f>IF(OR(履歴データ!$A$3="",履歴データ!$A$2=""),"",D3-D2)</f>
        <v>-59.100000000000023</v>
      </c>
      <c r="N3" s="28">
        <f>IF(OR(履歴データ!$A$3="",履歴データ!$A$2=""),"",E3-E2)</f>
        <v>-1.0000000000000231</v>
      </c>
      <c r="O3" s="28">
        <f>IF(OR(履歴データ!$A$3="",履歴データ!$A$2=""),"",F3-F2)</f>
        <v>240</v>
      </c>
      <c r="P3" s="28">
        <f>IF(OR(履歴データ!$A$3="",履歴データ!$A$2=""),"",G3-G2)</f>
        <v>-181.01135717773457</v>
      </c>
      <c r="Q3" s="29">
        <f>IF(OR(履歴データ!$A$3="",履歴データ!$A$2=""),"",H3-H2)</f>
        <v>0.4539947509765625</v>
      </c>
      <c r="R3" s="29">
        <f>IF(OR(履歴データ!$A$3="",履歴データ!$A$2=""),"",I3-I2)</f>
        <v>0.546875</v>
      </c>
      <c r="S3" s="28">
        <f>IF(OR(履歴データ!$A$3="",履歴データ!$A$2=""),"",(J3-J2)*100)</f>
        <v>-10.000000000000009</v>
      </c>
      <c r="T3" s="11">
        <f>IF(OR(履歴データ!$A$3="",履歴データ!$A$2=""),"",-80000*K3)</f>
        <v>359999.99999999546</v>
      </c>
      <c r="U3" s="11">
        <f>IF(OR(履歴データ!$A$3="",履歴データ!$A$2=""),"",60000*L3)</f>
        <v>-1959000</v>
      </c>
      <c r="V3" s="11">
        <f>IF(OR(履歴データ!$A$3="",履歴データ!$A$2=""),"",-50000*M3)</f>
        <v>2955000.0000000009</v>
      </c>
      <c r="W3" s="11">
        <f>IF(OR(履歴データ!$A$3="",履歴データ!$A$2=""),"",-40000*N3)</f>
        <v>40000.000000000924</v>
      </c>
      <c r="X3" s="11">
        <f>IF(OR(履歴データ!$A$3="",履歴データ!$A$2=""),"",120*1000000*(-Q3/H2))</f>
        <v>-416528.03242664598</v>
      </c>
      <c r="Y3" s="11">
        <f>IF(OR(履歴データ!$A$3="",履歴データ!$A$2=""),"",40000*(-S3)+(-506.3)*R3*1000)</f>
        <v>123117.18750000035</v>
      </c>
      <c r="Z3" s="11">
        <f>IF(OR(履歴データ!$A$3="",履歴データ!$A$2=""),"",-40000*O3)</f>
        <v>-9600000</v>
      </c>
      <c r="AA3" s="11">
        <f>IF(OR(履歴データ!$A$3="",履歴データ!$A$2=""),"",-40000*P3)</f>
        <v>7240454.2871093825</v>
      </c>
      <c r="AB3" s="11">
        <f>IF(履歴データ!$A$3="","",123.3)</f>
        <v>123.3</v>
      </c>
      <c r="AC3">
        <f>IF(履歴データ!$A$3="","",SUM(T3:AA3))</f>
        <v>-1256956.5578172654</v>
      </c>
      <c r="AD3" s="29">
        <f>IF(履歴データ!$A$3="","",AC3/1000000)</f>
        <v>-1.2569565578172655</v>
      </c>
      <c r="AE3" s="29">
        <f>IF(履歴データ!$A$3="",AE2,AE2+AC3/1000000)</f>
        <v>98.743043442182739</v>
      </c>
      <c r="AF3" s="12">
        <f>IF(OR(履歴データ!$A$3="",AE2=0),"",(AE3-AE2)/AE2)</f>
        <v>-1.2569565578172615E-2</v>
      </c>
      <c r="AG3" s="29">
        <f t="shared" ref="AG3:AG66" si="2">MAX(AG2,AE3)</f>
        <v>100</v>
      </c>
      <c r="AH3" s="12">
        <f>IF(OR(履歴データ!$A$3="",AG3=0),"",AE3/AG3-1)</f>
        <v>-1.256956557817257E-2</v>
      </c>
      <c r="AJ3" s="28">
        <f t="shared" ca="1" si="0"/>
        <v>-30.886038969321181</v>
      </c>
      <c r="AK3" s="28">
        <f t="shared" ca="1" si="1"/>
        <v>-43.61396103067888</v>
      </c>
    </row>
    <row r="4" spans="1:37">
      <c r="A4" s="10">
        <f>IF(履歴データ!$A$4="","",履歴データ!$A$4)</f>
        <v>44931</v>
      </c>
      <c r="B4" s="28">
        <f>IF(履歴データ!$A$4="","",(履歴データ!$D$4-(履歴データ!$B$4+履歴データ!$F$4)/2)*100)</f>
        <v>-40.500000000000028</v>
      </c>
      <c r="C4" s="28">
        <f>IF(履歴データ!$A$4="","",(履歴データ!$H$4-(履歴データ!$G$4+履歴データ!$J$4)/2)*100)</f>
        <v>-29.25</v>
      </c>
      <c r="D4" s="28">
        <f>IF(履歴データ!$A$4="","",(履歴データ!$D$4-履歴データ!$H$4)*100)</f>
        <v>320.2</v>
      </c>
      <c r="E4" s="28">
        <f>IF(履歴データ!$A$4="","",(履歴データ!$D$4-履歴データ!$C$4)*100)</f>
        <v>-18.999999999999993</v>
      </c>
      <c r="F4" s="28">
        <f>IF(履歴データ!$A$4="","",(履歴データ!$R$4-履歴データ!$D$4)*100)</f>
        <v>-156.70999999999998</v>
      </c>
      <c r="G4" s="28">
        <f>IF(履歴データ!$A$4="","",(履歴データ!$S$4-履歴データ!$R$4)*100)</f>
        <v>-165.82764282226589</v>
      </c>
      <c r="H4" s="29">
        <f>IF(履歴データ!$A$4="","",履歴データ!$O$4)</f>
        <v>132.24600219726563</v>
      </c>
      <c r="I4" s="29">
        <f>IF(履歴データ!$A$4="","",履歴データ!$Q$4)</f>
        <v>113.015625</v>
      </c>
      <c r="J4" s="29">
        <f>IF(履歴データ!$A$4="","",履歴データ!$D$4)</f>
        <v>3.71</v>
      </c>
      <c r="K4" s="28">
        <f>IF(OR(履歴データ!$A$4="",履歴データ!$A$3=""),"",B4-B3)</f>
        <v>-1.0000000000000284</v>
      </c>
      <c r="L4" s="28">
        <f>IF(OR(履歴データ!$A$4="",履歴データ!$A$3=""),"",C4-C3)</f>
        <v>3.3999999999999986</v>
      </c>
      <c r="M4" s="28">
        <f>IF(OR(履歴データ!$A$4="",履歴データ!$A$3=""),"",D4-D3)</f>
        <v>0.30000000000001137</v>
      </c>
      <c r="N4" s="28">
        <f>IF(OR(履歴データ!$A$4="",履歴データ!$A$3=""),"",E4-E3)</f>
        <v>-2.9999999999999787</v>
      </c>
      <c r="O4" s="28">
        <f>IF(OR(履歴データ!$A$4="",履歴データ!$A$3=""),"",F4-F3)</f>
        <v>-17.70999999999998</v>
      </c>
      <c r="P4" s="28">
        <f>IF(OR(履歴データ!$A$4="",履歴データ!$A$3=""),"",G4-G3)</f>
        <v>15.18371435546868</v>
      </c>
      <c r="Q4" s="29">
        <f>IF(OR(履歴データ!$A$4="",履歴データ!$A$3=""),"",H4-H3)</f>
        <v>0.9980010986328125</v>
      </c>
      <c r="R4" s="29">
        <f>IF(OR(履歴データ!$A$4="",履歴データ!$A$3=""),"",I4-I3)</f>
        <v>-0.171875</v>
      </c>
      <c r="S4" s="28">
        <f>IF(OR(履歴データ!$A$4="",履歴データ!$A$3=""),"",(J4-J3)*100)</f>
        <v>2.0000000000000018</v>
      </c>
      <c r="T4" s="11">
        <f>IF(OR(履歴データ!$A$4="",履歴データ!$A$3=""),"",-80000*K4)</f>
        <v>80000.00000000227</v>
      </c>
      <c r="U4" s="11">
        <f>IF(OR(履歴データ!$A$4="",履歴データ!$A$3=""),"",60000*L4)</f>
        <v>203999.99999999991</v>
      </c>
      <c r="V4" s="11">
        <f>IF(OR(履歴データ!$A$4="",履歴データ!$A$3=""),"",-50000*M4)</f>
        <v>-15000.000000000568</v>
      </c>
      <c r="W4" s="11">
        <f>IF(OR(履歴データ!$A$4="",履歴データ!$A$3=""),"",-40000*N4)</f>
        <v>119999.99999999914</v>
      </c>
      <c r="X4" s="11">
        <f>IF(OR(履歴データ!$A$4="",履歴データ!$A$3=""),"",120*1000000*(-Q4/H3))</f>
        <v>-912472.04401945753</v>
      </c>
      <c r="Y4" s="11">
        <f>IF(OR(履歴データ!$A$4="",履歴データ!$A$3=""),"",40000*(-S4)+(-506.3)*R4*1000)</f>
        <v>7020.3124999999272</v>
      </c>
      <c r="Z4" s="11">
        <f>IF(OR(履歴データ!$A$4="",履歴データ!$A$3=""),"",-40000*O4)</f>
        <v>708399.99999999919</v>
      </c>
      <c r="AA4" s="11">
        <f>IF(OR(履歴データ!$A$4="",履歴データ!$A$3=""),"",-40000*P4)</f>
        <v>-607348.57421874721</v>
      </c>
      <c r="AB4" s="11">
        <f>IF(履歴データ!$A$4="","",123.3)</f>
        <v>123.3</v>
      </c>
      <c r="AC4">
        <f>IF(履歴データ!$A$4="","",SUM(T4:AA4))</f>
        <v>-415400.30573820486</v>
      </c>
      <c r="AD4" s="29">
        <f>IF(履歴データ!$A$4="","",AC4/1000000)</f>
        <v>-0.41540030573820486</v>
      </c>
      <c r="AE4" s="29">
        <f>IF(履歴データ!$A$4="",AE3,AE3+AC4/1000000)</f>
        <v>98.327643136444536</v>
      </c>
      <c r="AF4" s="12">
        <f>IF(OR(履歴データ!$A$4="",AE3=0),"",(AE4-AE3)/AE3)</f>
        <v>-4.206881733207192E-3</v>
      </c>
      <c r="AG4" s="29">
        <f t="shared" si="2"/>
        <v>100</v>
      </c>
      <c r="AH4" s="12">
        <f>IF(OR(履歴データ!$A$4="",AG4=0),"",AE4/AG4-1)</f>
        <v>-1.6723568635554686E-2</v>
      </c>
      <c r="AJ4" s="28">
        <f t="shared" ca="1" si="0"/>
        <v>-32.473868056251092</v>
      </c>
      <c r="AK4" s="28">
        <f t="shared" ca="1" si="1"/>
        <v>-44.192798610415636</v>
      </c>
    </row>
    <row r="5" spans="1:37">
      <c r="A5" s="10">
        <f>IF(履歴データ!$A$5="","",履歴データ!$A$5)</f>
        <v>44932</v>
      </c>
      <c r="B5" s="28">
        <f>IF(履歴データ!$A$5="","",(履歴データ!$D$5-(履歴データ!$B$5+履歴データ!$F$5)/2)*100)</f>
        <v>-40.500000000000028</v>
      </c>
      <c r="C5" s="28">
        <f>IF(履歴データ!$A$5="","",(履歴データ!$H$5-(履歴データ!$G$5+履歴データ!$J$5)/2)*100)</f>
        <v>-28.399999999999991</v>
      </c>
      <c r="D5" s="28">
        <f>IF(履歴データ!$A$5="","",(履歴データ!$D$5-履歴データ!$H$5)*100)</f>
        <v>304.2</v>
      </c>
      <c r="E5" s="28">
        <f>IF(履歴データ!$A$5="","",(履歴データ!$D$5-履歴データ!$C$5)*100)</f>
        <v>-14.000000000000012</v>
      </c>
      <c r="F5" s="28">
        <f>IF(履歴データ!$A$5="","",(履歴データ!$R$5-履歴データ!$D$5)*100)</f>
        <v>-140.78999999999996</v>
      </c>
      <c r="G5" s="28">
        <f>IF(履歴データ!$A$5="","",(履歴データ!$S$5-履歴データ!$R$5)*100)</f>
        <v>-166.09835717773444</v>
      </c>
      <c r="H5" s="29">
        <f>IF(履歴データ!$A$5="","",履歴データ!$O$5)</f>
        <v>133.3070068359375</v>
      </c>
      <c r="I5" s="29">
        <f>IF(履歴データ!$A$5="","",履歴データ!$Q$5)</f>
        <v>114.21875</v>
      </c>
      <c r="J5" s="29">
        <f>IF(履歴データ!$A$5="","",履歴データ!$D$5)</f>
        <v>3.55</v>
      </c>
      <c r="K5" s="28">
        <f>IF(OR(履歴データ!$A$5="",履歴データ!$A$4=""),"",B5-B4)</f>
        <v>0</v>
      </c>
      <c r="L5" s="28">
        <f>IF(OR(履歴データ!$A$5="",履歴データ!$A$4=""),"",C5-C4)</f>
        <v>0.85000000000000853</v>
      </c>
      <c r="M5" s="28">
        <f>IF(OR(履歴データ!$A$5="",履歴データ!$A$4=""),"",D5-D4)</f>
        <v>-16</v>
      </c>
      <c r="N5" s="28">
        <f>IF(OR(履歴データ!$A$5="",履歴データ!$A$4=""),"",E5-E4)</f>
        <v>4.9999999999999805</v>
      </c>
      <c r="O5" s="28">
        <f>IF(OR(履歴データ!$A$5="",履歴データ!$A$4=""),"",F5-F4)</f>
        <v>15.920000000000016</v>
      </c>
      <c r="P5" s="28">
        <f>IF(OR(履歴データ!$A$5="",履歴データ!$A$4=""),"",G5-G4)</f>
        <v>-0.27071435546855582</v>
      </c>
      <c r="Q5" s="29">
        <f>IF(OR(履歴データ!$A$5="",履歴データ!$A$4=""),"",H5-H4)</f>
        <v>1.061004638671875</v>
      </c>
      <c r="R5" s="29">
        <f>IF(OR(履歴データ!$A$5="",履歴データ!$A$4=""),"",I5-I4)</f>
        <v>1.203125</v>
      </c>
      <c r="S5" s="28">
        <f>IF(OR(履歴データ!$A$5="",履歴データ!$A$4=""),"",(J5-J4)*100)</f>
        <v>-16.000000000000014</v>
      </c>
      <c r="T5" s="11">
        <f>IF(OR(履歴データ!$A$5="",履歴データ!$A$4=""),"",-80000*K5)</f>
        <v>0</v>
      </c>
      <c r="U5" s="11">
        <f>IF(OR(履歴データ!$A$5="",履歴データ!$A$4=""),"",60000*L5)</f>
        <v>51000.000000000509</v>
      </c>
      <c r="V5" s="11">
        <f>IF(OR(履歴データ!$A$5="",履歴データ!$A$4=""),"",-50000*M5)</f>
        <v>800000</v>
      </c>
      <c r="W5" s="11">
        <f>IF(OR(履歴データ!$A$5="",履歴データ!$A$4=""),"",-40000*N5)</f>
        <v>-199999.99999999921</v>
      </c>
      <c r="X5" s="11">
        <f>IF(OR(履歴データ!$A$5="",履歴データ!$A$4=""),"",120*1000000*(-Q5/H4))</f>
        <v>-962755.42946626421</v>
      </c>
      <c r="Y5" s="11">
        <f>IF(OR(履歴データ!$A$5="",履歴データ!$A$4=""),"",40000*(-S5)+(-506.3)*R5*1000)</f>
        <v>30857.812500000582</v>
      </c>
      <c r="Z5" s="11">
        <f>IF(OR(履歴データ!$A$5="",履歴データ!$A$4=""),"",-40000*O5)</f>
        <v>-636800.00000000058</v>
      </c>
      <c r="AA5" s="11">
        <f>IF(OR(履歴データ!$A$5="",履歴データ!$A$4=""),"",-40000*P5)</f>
        <v>10828.574218742233</v>
      </c>
      <c r="AB5" s="11">
        <f>IF(履歴データ!$A$5="","",123.3)</f>
        <v>123.3</v>
      </c>
      <c r="AC5">
        <f>IF(履歴データ!$A$5="","",SUM(T5:AA5))</f>
        <v>-906869.04274752073</v>
      </c>
      <c r="AD5" s="29">
        <f>IF(履歴データ!$A$5="","",AC5/1000000)</f>
        <v>-0.90686904274752067</v>
      </c>
      <c r="AE5" s="29">
        <f>IF(履歴データ!$A$5="",AE4,AE4+AC5/1000000)</f>
        <v>97.42077409369702</v>
      </c>
      <c r="AF5" s="12">
        <f>IF(OR(履歴データ!$A$5="",AE4=0),"",(AE5-AE4)/AE4)</f>
        <v>-9.2229307427728908E-3</v>
      </c>
      <c r="AG5" s="29">
        <f t="shared" si="2"/>
        <v>100</v>
      </c>
      <c r="AH5" s="12">
        <f>IF(OR(履歴データ!$A$5="",AG5=0),"",AE5/AG5-1)</f>
        <v>-2.5792259063029843E-2</v>
      </c>
      <c r="AJ5" s="28">
        <f t="shared" ca="1" si="0"/>
        <v>-33.623016247803818</v>
      </c>
      <c r="AK5" s="28">
        <f t="shared" ca="1" si="1"/>
        <v>-44.126983752196239</v>
      </c>
    </row>
    <row r="6" spans="1:37">
      <c r="A6" s="10">
        <f>IF(履歴データ!$A$6="","",履歴データ!$A$6)</f>
        <v>44935</v>
      </c>
      <c r="B6" s="28">
        <f>IF(履歴データ!$A$6="","",(履歴データ!$D$6-(履歴データ!$B$6+履歴データ!$F$6)/2)*100)</f>
        <v>-39.500000000000043</v>
      </c>
      <c r="C6" s="28">
        <f>IF(履歴データ!$A$6="","",(履歴データ!$H$6-(履歴データ!$G$6+履歴データ!$J$6)/2)*100)</f>
        <v>-28.399999999999991</v>
      </c>
      <c r="D6" s="28">
        <f>IF(履歴データ!$A$6="","",(履歴データ!$D$6-履歴データ!$H$6)*100)</f>
        <v>302.2</v>
      </c>
      <c r="E6" s="28">
        <f>IF(履歴データ!$A$6="","",(履歴データ!$D$6-履歴データ!$C$6)*100)</f>
        <v>-13.000000000000034</v>
      </c>
      <c r="F6" s="28">
        <f>IF(履歴データ!$A$6="","",(履歴データ!$R$6-履歴データ!$D$6)*100)</f>
        <v>-144.19</v>
      </c>
      <c r="G6" s="28">
        <f>IF(履歴データ!$A$6="","",(履歴データ!$S$6-履歴データ!$R$6)*100)</f>
        <v>-160.69835717773441</v>
      </c>
      <c r="H6" s="29">
        <f>IF(履歴データ!$A$6="","",履歴データ!$O$6)</f>
        <v>131.86199951171875</v>
      </c>
      <c r="I6" s="29">
        <f>IF(履歴データ!$A$6="","",履歴データ!$Q$6)</f>
        <v>114.625</v>
      </c>
      <c r="J6" s="29">
        <f>IF(履歴データ!$A$6="","",履歴データ!$D$6)</f>
        <v>3.53</v>
      </c>
      <c r="K6" s="28">
        <f>IF(OR(履歴データ!$A$6="",履歴データ!$A$5=""),"",B6-B5)</f>
        <v>0.99999999999998579</v>
      </c>
      <c r="L6" s="28">
        <f>IF(OR(履歴データ!$A$6="",履歴データ!$A$5=""),"",C6-C5)</f>
        <v>0</v>
      </c>
      <c r="M6" s="28">
        <f>IF(OR(履歴データ!$A$6="",履歴データ!$A$5=""),"",D6-D5)</f>
        <v>-2</v>
      </c>
      <c r="N6" s="28">
        <f>IF(OR(履歴データ!$A$6="",履歴データ!$A$5=""),"",E6-E5)</f>
        <v>0.99999999999997868</v>
      </c>
      <c r="O6" s="28">
        <f>IF(OR(履歴データ!$A$6="",履歴データ!$A$5=""),"",F6-F5)</f>
        <v>-3.4000000000000341</v>
      </c>
      <c r="P6" s="28">
        <f>IF(OR(履歴データ!$A$6="",履歴データ!$A$5=""),"",G6-G5)</f>
        <v>5.4000000000000341</v>
      </c>
      <c r="Q6" s="29">
        <f>IF(OR(履歴データ!$A$6="",履歴データ!$A$5=""),"",H6-H5)</f>
        <v>-1.44500732421875</v>
      </c>
      <c r="R6" s="29">
        <f>IF(OR(履歴データ!$A$6="",履歴データ!$A$5=""),"",I6-I5)</f>
        <v>0.40625</v>
      </c>
      <c r="S6" s="28">
        <f>IF(OR(履歴データ!$A$6="",履歴データ!$A$5=""),"",(J6-J5)*100)</f>
        <v>-2.0000000000000018</v>
      </c>
      <c r="T6" s="11">
        <f>IF(OR(履歴データ!$A$6="",履歴データ!$A$5=""),"",-80000*K6)</f>
        <v>-79999.999999998865</v>
      </c>
      <c r="U6" s="11">
        <f>IF(OR(履歴データ!$A$6="",履歴データ!$A$5=""),"",60000*L6)</f>
        <v>0</v>
      </c>
      <c r="V6" s="11">
        <f>IF(OR(履歴データ!$A$6="",履歴データ!$A$5=""),"",-50000*M6)</f>
        <v>100000</v>
      </c>
      <c r="W6" s="11">
        <f>IF(OR(履歴データ!$A$6="",履歴データ!$A$5=""),"",-40000*N6)</f>
        <v>-39999.999999999149</v>
      </c>
      <c r="X6" s="11">
        <f>IF(OR(履歴データ!$A$6="",履歴データ!$A$5=""),"",120*1000000*(-Q6/H5))</f>
        <v>1300763.425883956</v>
      </c>
      <c r="Y6" s="11">
        <f>IF(OR(履歴データ!$A$6="",履歴データ!$A$5=""),"",40000*(-S6)+(-506.3)*R6*1000)</f>
        <v>-125684.37499999996</v>
      </c>
      <c r="Z6" s="11">
        <f>IF(OR(履歴データ!$A$6="",履歴データ!$A$5=""),"",-40000*O6)</f>
        <v>136000.00000000137</v>
      </c>
      <c r="AA6" s="11">
        <f>IF(OR(履歴データ!$A$6="",履歴データ!$A$5=""),"",-40000*P6)</f>
        <v>-216000.00000000137</v>
      </c>
      <c r="AB6" s="11">
        <f>IF(履歴データ!$A$6="","",123.3)</f>
        <v>123.3</v>
      </c>
      <c r="AC6">
        <f>IF(履歴データ!$A$6="","",SUM(T6:AA6))</f>
        <v>1075079.0508839581</v>
      </c>
      <c r="AD6" s="29">
        <f>IF(履歴データ!$A$6="","",AC6/1000000)</f>
        <v>1.0750790508839581</v>
      </c>
      <c r="AE6" s="29">
        <f>IF(履歴データ!$A$6="",AE5,AE5+AC6/1000000)</f>
        <v>98.495853144580977</v>
      </c>
      <c r="AF6" s="12">
        <f>IF(OR(履歴データ!$A$6="",AE5=0),"",(AE6-AE5)/AE5)</f>
        <v>1.1035418891765028E-2</v>
      </c>
      <c r="AG6" s="29">
        <f t="shared" si="2"/>
        <v>100</v>
      </c>
      <c r="AH6" s="12">
        <f>IF(OR(履歴データ!$A$6="",AG6=0),"",AE6/AG6-1)</f>
        <v>-1.5041468554190196E-2</v>
      </c>
      <c r="AJ6" s="28">
        <f t="shared" ca="1" si="0"/>
        <v>-34.417424305044221</v>
      </c>
      <c r="AK6" s="28">
        <f t="shared" ca="1" si="1"/>
        <v>-43.58257569495585</v>
      </c>
    </row>
    <row r="7" spans="1:37">
      <c r="A7" s="10">
        <f>IF(履歴データ!$A$7="","",履歴データ!$A$7)</f>
        <v>44936</v>
      </c>
      <c r="B7" s="28">
        <f>IF(履歴データ!$A$7="","",(履歴データ!$D$7-(履歴データ!$B$7+履歴データ!$F$7)/2)*100)</f>
        <v>-38.000000000000036</v>
      </c>
      <c r="C7" s="28">
        <f>IF(履歴データ!$A$7="","",(履歴データ!$H$7-(履歴データ!$G$7+履歴データ!$J$7)/2)*100)</f>
        <v>-31.25</v>
      </c>
      <c r="D7" s="28">
        <f>IF(履歴データ!$A$7="","",(履歴データ!$D$7-履歴データ!$H$7)*100)</f>
        <v>310.10000000000002</v>
      </c>
      <c r="E7" s="28">
        <f>IF(履歴データ!$A$7="","",(履歴データ!$D$7-履歴データ!$C$7)*100)</f>
        <v>-11.000000000000032</v>
      </c>
      <c r="F7" s="28">
        <f>IF(履歴データ!$A$7="","",(履歴データ!$R$7-履歴データ!$D$7)*100)</f>
        <v>-155.09</v>
      </c>
      <c r="G7" s="28">
        <f>IF(履歴データ!$A$7="","",(履歴データ!$S$7-履歴データ!$R$7)*100)</f>
        <v>-153.41335717773453</v>
      </c>
      <c r="H7" s="29">
        <f>IF(履歴データ!$A$7="","",履歴データ!$O$7)</f>
        <v>131.72900390625</v>
      </c>
      <c r="I7" s="29">
        <f>IF(履歴データ!$A$7="","",履歴データ!$Q$7)</f>
        <v>114</v>
      </c>
      <c r="J7" s="29">
        <f>IF(履歴データ!$A$7="","",履歴データ!$D$7)</f>
        <v>3.61</v>
      </c>
      <c r="K7" s="28">
        <f>IF(OR(履歴データ!$A$7="",履歴データ!$A$6=""),"",B7-B6)</f>
        <v>1.5000000000000071</v>
      </c>
      <c r="L7" s="28">
        <f>IF(OR(履歴データ!$A$7="",履歴データ!$A$6=""),"",C7-C6)</f>
        <v>-2.8500000000000085</v>
      </c>
      <c r="M7" s="28">
        <f>IF(OR(履歴データ!$A$7="",履歴データ!$A$6=""),"",D7-D6)</f>
        <v>7.9000000000000341</v>
      </c>
      <c r="N7" s="28">
        <f>IF(OR(履歴データ!$A$7="",履歴データ!$A$6=""),"",E7-E6)</f>
        <v>2.0000000000000018</v>
      </c>
      <c r="O7" s="28">
        <f>IF(OR(履歴データ!$A$7="",履歴データ!$A$6=""),"",F7-F6)</f>
        <v>-10.900000000000006</v>
      </c>
      <c r="P7" s="28">
        <f>IF(OR(履歴データ!$A$7="",履歴データ!$A$6=""),"",G7-G6)</f>
        <v>7.2849999999998829</v>
      </c>
      <c r="Q7" s="29">
        <f>IF(OR(履歴データ!$A$7="",履歴データ!$A$6=""),"",H7-H6)</f>
        <v>-0.13299560546875</v>
      </c>
      <c r="R7" s="29">
        <f>IF(OR(履歴データ!$A$7="",履歴データ!$A$6=""),"",I7-I6)</f>
        <v>-0.625</v>
      </c>
      <c r="S7" s="28">
        <f>IF(OR(履歴データ!$A$7="",履歴データ!$A$6=""),"",(J7-J6)*100)</f>
        <v>8.0000000000000071</v>
      </c>
      <c r="T7" s="11">
        <f>IF(OR(履歴データ!$A$7="",履歴データ!$A$6=""),"",-80000*K7)</f>
        <v>-120000.00000000057</v>
      </c>
      <c r="U7" s="11">
        <f>IF(OR(履歴データ!$A$7="",履歴データ!$A$6=""),"",60000*L7)</f>
        <v>-171000.00000000052</v>
      </c>
      <c r="V7" s="11">
        <f>IF(OR(履歴データ!$A$7="",履歴データ!$A$6=""),"",-50000*M7)</f>
        <v>-395000.00000000169</v>
      </c>
      <c r="W7" s="11">
        <f>IF(OR(履歴データ!$A$7="",履歴データ!$A$6=""),"",-40000*N7)</f>
        <v>-80000.000000000073</v>
      </c>
      <c r="X7" s="11">
        <f>IF(OR(履歴データ!$A$7="",履歴データ!$A$6=""),"",120*1000000*(-Q7/H6))</f>
        <v>121031.62939548526</v>
      </c>
      <c r="Y7" s="11">
        <f>IF(OR(履歴データ!$A$7="",履歴データ!$A$6=""),"",40000*(-S7)+(-506.3)*R7*1000)</f>
        <v>-3562.500000000291</v>
      </c>
      <c r="Z7" s="11">
        <f>IF(OR(履歴データ!$A$7="",履歴データ!$A$6=""),"",-40000*O7)</f>
        <v>436000.00000000023</v>
      </c>
      <c r="AA7" s="11">
        <f>IF(OR(履歴データ!$A$7="",履歴データ!$A$6=""),"",-40000*P7)</f>
        <v>-291399.99999999534</v>
      </c>
      <c r="AB7" s="11">
        <f>IF(履歴データ!$A$7="","",123.3)</f>
        <v>123.3</v>
      </c>
      <c r="AC7">
        <f>IF(履歴データ!$A$7="","",SUM(T7:AA7))</f>
        <v>-503930.87060451298</v>
      </c>
      <c r="AD7" s="29">
        <f>IF(履歴データ!$A$7="","",AC7/1000000)</f>
        <v>-0.50393087060451303</v>
      </c>
      <c r="AE7" s="29">
        <f>IF(履歴データ!$A$7="",AE6,AE6+AC7/1000000)</f>
        <v>97.991922273976471</v>
      </c>
      <c r="AF7" s="12">
        <f>IF(OR(履歴データ!$A$7="",AE6=0),"",(AE7-AE6)/AE6)</f>
        <v>-5.1162648427928404E-3</v>
      </c>
      <c r="AG7" s="29">
        <f t="shared" si="2"/>
        <v>100</v>
      </c>
      <c r="AH7" s="12">
        <f>IF(OR(履歴データ!$A$7="",AG7=0),"",AE7/AG7-1)</f>
        <v>-2.0080777260235272E-2</v>
      </c>
      <c r="AJ7" s="28">
        <f t="shared" ca="1" si="0"/>
        <v>-34.65401919502473</v>
      </c>
      <c r="AK7" s="28">
        <f t="shared" ca="1" si="1"/>
        <v>-43.012647471641998</v>
      </c>
    </row>
    <row r="8" spans="1:37">
      <c r="A8" s="10">
        <f>IF(履歴データ!$A$8="","",履歴データ!$A$8)</f>
        <v>44937</v>
      </c>
      <c r="B8" s="28">
        <f>IF(履歴データ!$A$8="","",(履歴データ!$D$8-(履歴データ!$B$8+履歴データ!$F$8)/2)*100)</f>
        <v>-39.5</v>
      </c>
      <c r="C8" s="28">
        <f>IF(履歴データ!$A$8="","",(履歴データ!$H$8-(履歴データ!$G$8+履歴データ!$J$8)/2)*100)</f>
        <v>-30.85</v>
      </c>
      <c r="D8" s="28">
        <f>IF(履歴データ!$A$8="","",(履歴データ!$D$8-履歴データ!$H$8)*100)</f>
        <v>303.10000000000002</v>
      </c>
      <c r="E8" s="28">
        <f>IF(履歴データ!$A$8="","",(履歴データ!$D$8-履歴データ!$C$8)*100)</f>
        <v>-12.000000000000011</v>
      </c>
      <c r="F8" s="28">
        <f>IF(履歴データ!$A$8="","",(履歴データ!$R$8-履歴データ!$D$8)*100)</f>
        <v>-142.85000000000002</v>
      </c>
      <c r="G8" s="28">
        <f>IF(履歴データ!$A$8="","",(履歴データ!$S$8-履歴データ!$R$8)*100)</f>
        <v>-158.47800000000026</v>
      </c>
      <c r="H8" s="29">
        <f>IF(履歴データ!$A$8="","",履歴データ!$O$8)</f>
        <v>132.10099792480469</v>
      </c>
      <c r="I8" s="29">
        <f>IF(履歴データ!$A$8="","",履歴データ!$Q$8)</f>
        <v>114.4375</v>
      </c>
      <c r="J8" s="29">
        <f>IF(履歴データ!$A$8="","",履歴データ!$D$8)</f>
        <v>3.54</v>
      </c>
      <c r="K8" s="28">
        <f>IF(OR(履歴データ!$A$8="",履歴データ!$A$7=""),"",B8-B7)</f>
        <v>-1.4999999999999645</v>
      </c>
      <c r="L8" s="28">
        <f>IF(OR(履歴データ!$A$8="",履歴データ!$A$7=""),"",C8-C7)</f>
        <v>0.39999999999999858</v>
      </c>
      <c r="M8" s="28">
        <f>IF(OR(履歴データ!$A$8="",履歴データ!$A$7=""),"",D8-D7)</f>
        <v>-7</v>
      </c>
      <c r="N8" s="28">
        <f>IF(OR(履歴データ!$A$8="",履歴データ!$A$7=""),"",E8-E7)</f>
        <v>-0.99999999999997868</v>
      </c>
      <c r="O8" s="28">
        <f>IF(OR(履歴データ!$A$8="",履歴データ!$A$7=""),"",F8-F7)</f>
        <v>12.239999999999981</v>
      </c>
      <c r="P8" s="28">
        <f>IF(OR(履歴データ!$A$8="",履歴データ!$A$7=""),"",G8-G7)</f>
        <v>-5.0646428222657391</v>
      </c>
      <c r="Q8" s="29">
        <f>IF(OR(履歴データ!$A$8="",履歴データ!$A$7=""),"",H8-H7)</f>
        <v>0.3719940185546875</v>
      </c>
      <c r="R8" s="29">
        <f>IF(OR(履歴データ!$A$8="",履歴データ!$A$7=""),"",I8-I7)</f>
        <v>0.4375</v>
      </c>
      <c r="S8" s="28">
        <f>IF(OR(履歴データ!$A$8="",履歴データ!$A$7=""),"",(J8-J7)*100)</f>
        <v>-6.999999999999984</v>
      </c>
      <c r="T8" s="11">
        <f>IF(OR(履歴データ!$A$8="",履歴データ!$A$7=""),"",-80000*K8)</f>
        <v>119999.99999999716</v>
      </c>
      <c r="U8" s="11">
        <f>IF(OR(履歴データ!$A$8="",履歴データ!$A$7=""),"",60000*L8)</f>
        <v>23999.999999999916</v>
      </c>
      <c r="V8" s="11">
        <f>IF(OR(履歴データ!$A$8="",履歴データ!$A$7=""),"",-50000*M8)</f>
        <v>350000</v>
      </c>
      <c r="W8" s="11">
        <f>IF(OR(履歴データ!$A$8="",履歴データ!$A$7=""),"",-40000*N8)</f>
        <v>39999.999999999149</v>
      </c>
      <c r="X8" s="11">
        <f>IF(OR(履歴データ!$A$8="",履歴データ!$A$7=""),"",120*1000000*(-Q8/H7))</f>
        <v>-338872.08513572119</v>
      </c>
      <c r="Y8" s="11">
        <f>IF(OR(履歴データ!$A$8="",履歴データ!$A$7=""),"",40000*(-S8)+(-506.3)*R8*1000)</f>
        <v>58493.74999999936</v>
      </c>
      <c r="Z8" s="11">
        <f>IF(OR(履歴データ!$A$8="",履歴データ!$A$7=""),"",-40000*O8)</f>
        <v>-489599.99999999924</v>
      </c>
      <c r="AA8" s="11">
        <f>IF(OR(履歴データ!$A$8="",履歴データ!$A$7=""),"",-40000*P8)</f>
        <v>202585.71289062957</v>
      </c>
      <c r="AB8" s="11">
        <f>IF(履歴データ!$A$8="","",123.3)</f>
        <v>123.3</v>
      </c>
      <c r="AC8">
        <f>IF(履歴データ!$A$8="","",SUM(T8:AA8))</f>
        <v>-33392.622245095234</v>
      </c>
      <c r="AD8" s="29">
        <f>IF(履歴データ!$A$8="","",AC8/1000000)</f>
        <v>-3.3392622245095233E-2</v>
      </c>
      <c r="AE8" s="29">
        <f>IF(履歴データ!$A$8="",AE7,AE7+AC8/1000000)</f>
        <v>97.958529651731382</v>
      </c>
      <c r="AF8" s="12">
        <f>IF(OR(履歴データ!$A$8="",AE7=0),"",(AE8-AE7)/AE7)</f>
        <v>-3.4076913147724266E-4</v>
      </c>
      <c r="AG8" s="29">
        <f t="shared" si="2"/>
        <v>100</v>
      </c>
      <c r="AH8" s="12">
        <f>IF(OR(履歴データ!$A$8="",AG8=0),"",AE8/AG8-1)</f>
        <v>-2.0414703482686147E-2</v>
      </c>
      <c r="AJ8" s="28">
        <f t="shared" ca="1" si="0"/>
        <v>-35.080257017101985</v>
      </c>
      <c r="AK8" s="28">
        <f t="shared" ca="1" si="1"/>
        <v>-42.776885840040933</v>
      </c>
    </row>
    <row r="9" spans="1:37">
      <c r="A9" s="10">
        <f>IF(履歴データ!$A$9="","",履歴データ!$A$9)</f>
        <v>44938</v>
      </c>
      <c r="B9" s="28">
        <f>IF(履歴データ!$A$9="","",(履歴データ!$D$9-(履歴データ!$B$9+履歴データ!$F$9)/2)*100)</f>
        <v>-40.999999999999972</v>
      </c>
      <c r="C9" s="28">
        <f>IF(履歴データ!$A$9="","",(履歴データ!$H$9-(履歴データ!$G$9+履歴データ!$J$9)/2)*100)</f>
        <v>-33.599999999999994</v>
      </c>
      <c r="D9" s="28">
        <f>IF(履歴データ!$A$9="","",(履歴データ!$D$9-履歴データ!$H$9)*100)</f>
        <v>292.10000000000002</v>
      </c>
      <c r="E9" s="28">
        <f>IF(履歴データ!$A$9="","",(履歴データ!$D$9-履歴データ!$C$9)*100)</f>
        <v>-9.9999999999999645</v>
      </c>
      <c r="F9" s="28">
        <f>IF(履歴データ!$A$9="","",(履歴データ!$R$9-履歴データ!$D$9)*100)</f>
        <v>-151.68</v>
      </c>
      <c r="G9" s="28">
        <f>IF(履歴データ!$A$9="","",(履歴データ!$S$9-履歴データ!$R$9)*100)</f>
        <v>-135.14000000000019</v>
      </c>
      <c r="H9" s="29">
        <f>IF(履歴データ!$A$9="","",履歴データ!$O$9)</f>
        <v>131.90199279785156</v>
      </c>
      <c r="I9" s="29">
        <f>IF(履歴データ!$A$9="","",履歴データ!$Q$9)</f>
        <v>115.234375</v>
      </c>
      <c r="J9" s="29">
        <f>IF(履歴データ!$A$9="","",履歴データ!$D$9)</f>
        <v>3.43</v>
      </c>
      <c r="K9" s="28">
        <f>IF(OR(履歴データ!$A$9="",履歴データ!$A$8=""),"",B9-B8)</f>
        <v>-1.4999999999999716</v>
      </c>
      <c r="L9" s="28">
        <f>IF(OR(履歴データ!$A$9="",履歴データ!$A$8=""),"",C9-C8)</f>
        <v>-2.7499999999999929</v>
      </c>
      <c r="M9" s="28">
        <f>IF(OR(履歴データ!$A$9="",履歴データ!$A$8=""),"",D9-D8)</f>
        <v>-11</v>
      </c>
      <c r="N9" s="28">
        <f>IF(OR(履歴データ!$A$9="",履歴データ!$A$8=""),"",E9-E8)</f>
        <v>2.0000000000000462</v>
      </c>
      <c r="O9" s="28">
        <f>IF(OR(履歴データ!$A$9="",履歴データ!$A$8=""),"",F9-F8)</f>
        <v>-8.8299999999999841</v>
      </c>
      <c r="P9" s="28">
        <f>IF(OR(履歴データ!$A$9="",履歴データ!$A$8=""),"",G9-G8)</f>
        <v>23.338000000000079</v>
      </c>
      <c r="Q9" s="29">
        <f>IF(OR(履歴データ!$A$9="",履歴データ!$A$8=""),"",H9-H8)</f>
        <v>-0.199005126953125</v>
      </c>
      <c r="R9" s="29">
        <f>IF(OR(履歴データ!$A$9="",履歴データ!$A$8=""),"",I9-I8)</f>
        <v>0.796875</v>
      </c>
      <c r="S9" s="28">
        <f>IF(OR(履歴データ!$A$9="",履歴データ!$A$8=""),"",(J9-J8)*100)</f>
        <v>-10.999999999999988</v>
      </c>
      <c r="T9" s="11">
        <f>IF(OR(履歴データ!$A$9="",履歴データ!$A$8=""),"",-80000*K9)</f>
        <v>119999.99999999773</v>
      </c>
      <c r="U9" s="11">
        <f>IF(OR(履歴データ!$A$9="",履歴データ!$A$8=""),"",60000*L9)</f>
        <v>-164999.99999999956</v>
      </c>
      <c r="V9" s="11">
        <f>IF(OR(履歴データ!$A$9="",履歴データ!$A$8=""),"",-50000*M9)</f>
        <v>550000</v>
      </c>
      <c r="W9" s="11">
        <f>IF(OR(履歴データ!$A$9="",履歴データ!$A$8=""),"",-40000*N9)</f>
        <v>-80000.000000001848</v>
      </c>
      <c r="X9" s="11">
        <f>IF(OR(履歴データ!$A$9="",履歴データ!$A$8=""),"",120*1000000*(-Q9/H8))</f>
        <v>180775.4340203279</v>
      </c>
      <c r="Y9" s="11">
        <f>IF(OR(履歴データ!$A$9="",履歴データ!$A$8=""),"",40000*(-S9)+(-506.3)*R9*1000)</f>
        <v>36542.187499999476</v>
      </c>
      <c r="Z9" s="11">
        <f>IF(OR(履歴データ!$A$9="",履歴データ!$A$8=""),"",-40000*O9)</f>
        <v>353199.99999999936</v>
      </c>
      <c r="AA9" s="11">
        <f>IF(OR(履歴データ!$A$9="",履歴データ!$A$8=""),"",-40000*P9)</f>
        <v>-933520.00000000314</v>
      </c>
      <c r="AB9" s="11">
        <f>IF(履歴データ!$A$9="","",123.3)</f>
        <v>123.3</v>
      </c>
      <c r="AC9">
        <f>IF(履歴データ!$A$9="","",SUM(T9:AA9))</f>
        <v>61997.621520319837</v>
      </c>
      <c r="AD9" s="29">
        <f>IF(履歴データ!$A$9="","",AC9/1000000)</f>
        <v>6.1997621520319839E-2</v>
      </c>
      <c r="AE9" s="29">
        <f>IF(履歴データ!$A$9="",AE8,AE8+AC9/1000000)</f>
        <v>98.020527273251702</v>
      </c>
      <c r="AF9" s="12">
        <f>IF(OR(履歴データ!$A$9="",AE8=0),"",(AE9-AE8)/AE8)</f>
        <v>6.3289661186971199E-4</v>
      </c>
      <c r="AG9" s="29">
        <f t="shared" si="2"/>
        <v>100</v>
      </c>
      <c r="AH9" s="12">
        <f>IF(OR(履歴データ!$A$9="",AG9=0),"",AE9/AG9-1)</f>
        <v>-1.9794727267482992E-2</v>
      </c>
      <c r="AJ9" s="28">
        <f t="shared" ca="1" si="0"/>
        <v>-35.335320653930403</v>
      </c>
      <c r="AK9" s="28">
        <f t="shared" ca="1" si="1"/>
        <v>-43.039679346069654</v>
      </c>
    </row>
    <row r="10" spans="1:37">
      <c r="A10" s="10">
        <f>IF(履歴データ!$A$10="","",履歴データ!$A$10)</f>
        <v>44939</v>
      </c>
      <c r="B10" s="28">
        <f>IF(履歴データ!$A$10="","",(履歴データ!$D$10-(履歴データ!$B$10+履歴データ!$F$10)/2)*100)</f>
        <v>-42.499999999999986</v>
      </c>
      <c r="C10" s="28">
        <f>IF(履歴データ!$A$10="","",(履歴データ!$H$10-(履歴データ!$G$10+履歴データ!$J$10)/2)*100)</f>
        <v>-31.300000000000004</v>
      </c>
      <c r="D10" s="28">
        <f>IF(履歴データ!$A$10="","",(履歴データ!$D$10-履歴データ!$H$10)*100)</f>
        <v>298.20000000000005</v>
      </c>
      <c r="E10" s="28">
        <f>IF(履歴データ!$A$10="","",(履歴データ!$D$10-履歴データ!$C$10)*100)</f>
        <v>-10.999999999999988</v>
      </c>
      <c r="F10" s="28">
        <f>IF(履歴データ!$A$10="","",(履歴データ!$R$10-履歴データ!$D$10)*100)</f>
        <v>-166.98000000000002</v>
      </c>
      <c r="G10" s="28">
        <f>IF(履歴データ!$A$10="","",(履歴データ!$S$10-履歴データ!$R$10)*100)</f>
        <v>-121.63035717773457</v>
      </c>
      <c r="H10" s="29">
        <f>IF(履歴データ!$A$10="","",履歴データ!$O$10)</f>
        <v>129.1719970703125</v>
      </c>
      <c r="I10" s="29">
        <f>IF(履歴データ!$A$10="","",履歴データ!$Q$10)</f>
        <v>114.765625</v>
      </c>
      <c r="J10" s="29">
        <f>IF(履歴データ!$A$10="","",履歴データ!$D$10)</f>
        <v>3.49</v>
      </c>
      <c r="K10" s="28">
        <f>IF(OR(履歴データ!$A$10="",履歴データ!$A$9=""),"",B10-B9)</f>
        <v>-1.5000000000000142</v>
      </c>
      <c r="L10" s="28">
        <f>IF(OR(履歴データ!$A$10="",履歴データ!$A$9=""),"",C10-C9)</f>
        <v>2.2999999999999901</v>
      </c>
      <c r="M10" s="28">
        <f>IF(OR(履歴データ!$A$10="",履歴データ!$A$9=""),"",D10-D9)</f>
        <v>6.1000000000000227</v>
      </c>
      <c r="N10" s="28">
        <f>IF(OR(履歴データ!$A$10="",履歴データ!$A$9=""),"",E10-E9)</f>
        <v>-1.0000000000000231</v>
      </c>
      <c r="O10" s="28">
        <f>IF(OR(履歴データ!$A$10="",履歴データ!$A$9=""),"",F10-F9)</f>
        <v>-15.300000000000011</v>
      </c>
      <c r="P10" s="28">
        <f>IF(OR(履歴データ!$A$10="",履歴データ!$A$9=""),"",G10-G9)</f>
        <v>13.509642822265619</v>
      </c>
      <c r="Q10" s="29">
        <f>IF(OR(履歴データ!$A$10="",履歴データ!$A$9=""),"",H10-H9)</f>
        <v>-2.7299957275390625</v>
      </c>
      <c r="R10" s="29">
        <f>IF(OR(履歴データ!$A$10="",履歴データ!$A$9=""),"",I10-I9)</f>
        <v>-0.46875</v>
      </c>
      <c r="S10" s="28">
        <f>IF(OR(履歴データ!$A$10="",履歴データ!$A$9=""),"",(J10-J9)*100)</f>
        <v>6.0000000000000053</v>
      </c>
      <c r="T10" s="11">
        <f>IF(OR(履歴データ!$A$10="",履歴データ!$A$9=""),"",-80000*K10)</f>
        <v>120000.00000000114</v>
      </c>
      <c r="U10" s="11">
        <f>IF(OR(履歴データ!$A$10="",履歴データ!$A$9=""),"",60000*L10)</f>
        <v>137999.99999999939</v>
      </c>
      <c r="V10" s="11">
        <f>IF(OR(履歴データ!$A$10="",履歴データ!$A$9=""),"",-50000*M10)</f>
        <v>-305000.00000000116</v>
      </c>
      <c r="W10" s="11">
        <f>IF(OR(履歴データ!$A$10="",履歴データ!$A$9=""),"",-40000*N10)</f>
        <v>40000.000000000924</v>
      </c>
      <c r="X10" s="11">
        <f>IF(OR(履歴データ!$A$10="",履歴データ!$A$9=""),"",120*1000000*(-Q10/H9))</f>
        <v>2483658.361452925</v>
      </c>
      <c r="Y10" s="11">
        <f>IF(OR(履歴データ!$A$10="",履歴データ!$A$9=""),"",40000*(-S10)+(-506.3)*R10*1000)</f>
        <v>-2671.8750000002037</v>
      </c>
      <c r="Z10" s="11">
        <f>IF(OR(履歴データ!$A$10="",履歴データ!$A$9=""),"",-40000*O10)</f>
        <v>612000.00000000047</v>
      </c>
      <c r="AA10" s="11">
        <f>IF(OR(履歴データ!$A$10="",履歴データ!$A$9=""),"",-40000*P10)</f>
        <v>-540385.71289062477</v>
      </c>
      <c r="AB10" s="11">
        <f>IF(履歴データ!$A$10="","",123.3)</f>
        <v>123.3</v>
      </c>
      <c r="AC10">
        <f>IF(履歴データ!$A$10="","",SUM(T10:AA10))</f>
        <v>2545600.773562301</v>
      </c>
      <c r="AD10" s="29">
        <f>IF(履歴データ!$A$10="","",AC10/1000000)</f>
        <v>2.5456007735623007</v>
      </c>
      <c r="AE10" s="29">
        <f>IF(履歴データ!$A$10="",AE9,AE9+AC10/1000000)</f>
        <v>100.566128046814</v>
      </c>
      <c r="AF10" s="12">
        <f>IF(OR(履歴データ!$A$10="",AE9=0),"",(AE10-AE9)/AE9)</f>
        <v>2.5970078353750647E-2</v>
      </c>
      <c r="AG10" s="29">
        <f t="shared" si="2"/>
        <v>100.566128046814</v>
      </c>
      <c r="AH10" s="12">
        <f>IF(OR(履歴データ!$A$10="",AG10=0),"",AE10/AG10-1)</f>
        <v>0</v>
      </c>
      <c r="AJ10" s="28">
        <f t="shared" ca="1" si="0"/>
        <v>-35.329314777853632</v>
      </c>
      <c r="AK10" s="28">
        <f t="shared" ca="1" si="1"/>
        <v>-43.781796333257525</v>
      </c>
    </row>
    <row r="11" spans="1:37">
      <c r="A11" s="10">
        <f>IF(履歴データ!$A$11="","",履歴データ!$A$11)</f>
        <v>44943</v>
      </c>
      <c r="B11" s="28">
        <f>IF(履歴データ!$A$11="","",(履歴データ!$D$11-(履歴データ!$B$11+履歴データ!$F$11)/2)*100)</f>
        <v>-38.000000000000036</v>
      </c>
      <c r="C11" s="28">
        <f>IF(履歴データ!$A$11="","",(履歴データ!$H$11-(履歴データ!$G$11+履歴データ!$J$11)/2)*100)</f>
        <v>-28.15</v>
      </c>
      <c r="D11" s="28">
        <f>IF(履歴データ!$A$11="","",(履歴データ!$D$11-履歴データ!$H$11)*100)</f>
        <v>301.79999999999995</v>
      </c>
      <c r="E11" s="28">
        <f>IF(履歴データ!$A$11="","",(履歴データ!$D$11-履歴データ!$C$11)*100)</f>
        <v>-7.0000000000000284</v>
      </c>
      <c r="F11" s="28">
        <f>IF(履歴データ!$A$11="","",(履歴データ!$R$11-履歴データ!$D$11)*100)</f>
        <v>-168.29999999999998</v>
      </c>
      <c r="G11" s="28">
        <f>IF(履歴データ!$A$11="","",(履歴データ!$S$11-履歴データ!$R$11)*100)</f>
        <v>-131.15100000000007</v>
      </c>
      <c r="H11" s="29">
        <f>IF(履歴データ!$A$11="","",履歴データ!$O$11)</f>
        <v>128.32099914550781</v>
      </c>
      <c r="I11" s="29">
        <f>IF(履歴データ!$A$11="","",履歴データ!$Q$11)</f>
        <v>114.671875</v>
      </c>
      <c r="J11" s="29">
        <f>IF(履歴データ!$A$11="","",履歴データ!$D$11)</f>
        <v>3.53</v>
      </c>
      <c r="K11" s="28">
        <f>IF(OR(履歴データ!$A$11="",履歴データ!$A$10=""),"",B11-B10)</f>
        <v>4.4999999999999503</v>
      </c>
      <c r="L11" s="28">
        <f>IF(OR(履歴データ!$A$11="",履歴データ!$A$10=""),"",C11-C10)</f>
        <v>3.1500000000000057</v>
      </c>
      <c r="M11" s="28">
        <f>IF(OR(履歴データ!$A$11="",履歴データ!$A$10=""),"",D11-D10)</f>
        <v>3.5999999999999091</v>
      </c>
      <c r="N11" s="28">
        <f>IF(OR(履歴データ!$A$11="",履歴データ!$A$10=""),"",E11-E10)</f>
        <v>3.9999999999999591</v>
      </c>
      <c r="O11" s="28">
        <f>IF(OR(履歴データ!$A$11="",履歴データ!$A$10=""),"",F11-F10)</f>
        <v>-1.3199999999999648</v>
      </c>
      <c r="P11" s="28">
        <f>IF(OR(履歴データ!$A$11="",履歴データ!$A$10=""),"",G11-G10)</f>
        <v>-9.5206428222655006</v>
      </c>
      <c r="Q11" s="29">
        <f>IF(OR(履歴データ!$A$11="",履歴データ!$A$10=""),"",H11-H10)</f>
        <v>-0.8509979248046875</v>
      </c>
      <c r="R11" s="29">
        <f>IF(OR(履歴データ!$A$11="",履歴データ!$A$10=""),"",I11-I10)</f>
        <v>-9.375E-2</v>
      </c>
      <c r="S11" s="28">
        <f>IF(OR(履歴データ!$A$11="",履歴データ!$A$10=""),"",(J11-J10)*100)</f>
        <v>3.9999999999999591</v>
      </c>
      <c r="T11" s="11">
        <f>IF(OR(履歴データ!$A$11="",履歴データ!$A$10=""),"",-80000*K11)</f>
        <v>-359999.99999999604</v>
      </c>
      <c r="U11" s="11">
        <f>IF(OR(履歴データ!$A$11="",履歴データ!$A$10=""),"",60000*L11)</f>
        <v>189000.00000000035</v>
      </c>
      <c r="V11" s="11">
        <f>IF(OR(履歴データ!$A$11="",履歴データ!$A$10=""),"",-50000*M11)</f>
        <v>-179999.99999999546</v>
      </c>
      <c r="W11" s="11">
        <f>IF(OR(履歴データ!$A$11="",履歴データ!$A$10=""),"",-40000*N11)</f>
        <v>-159999.99999999837</v>
      </c>
      <c r="X11" s="11">
        <f>IF(OR(履歴データ!$A$11="",履歴データ!$A$10=""),"",120*1000000*(-Q11/H10))</f>
        <v>790571.89865211595</v>
      </c>
      <c r="Y11" s="11">
        <f>IF(OR(履歴データ!$A$11="",履歴データ!$A$10=""),"",40000*(-S11)+(-506.3)*R11*1000)</f>
        <v>-112534.37499999837</v>
      </c>
      <c r="Z11" s="11">
        <f>IF(OR(履歴データ!$A$11="",履歴データ!$A$10=""),"",-40000*O11)</f>
        <v>52799.999999998588</v>
      </c>
      <c r="AA11" s="11">
        <f>IF(OR(履歴データ!$A$11="",履歴データ!$A$10=""),"",-40000*P11)</f>
        <v>380825.71289062005</v>
      </c>
      <c r="AB11" s="11">
        <f>IF(履歴データ!$A$11="","",123.3)</f>
        <v>123.3</v>
      </c>
      <c r="AC11">
        <f>IF(履歴データ!$A$11="","",SUM(T11:AA11))</f>
        <v>600663.23654274666</v>
      </c>
      <c r="AD11" s="29">
        <f>IF(履歴データ!$A$11="","",AC11/1000000)</f>
        <v>0.60066323654274667</v>
      </c>
      <c r="AE11" s="29">
        <f>IF(履歴データ!$A$11="",AE10,AE10+AC11/1000000)</f>
        <v>101.16679128335674</v>
      </c>
      <c r="AF11" s="12">
        <f>IF(OR(履歴データ!$A$11="",AE10=0),"",(AE11-AE10)/AE10)</f>
        <v>5.9728185643493402E-3</v>
      </c>
      <c r="AG11" s="29">
        <f t="shared" si="2"/>
        <v>101.16679128335674</v>
      </c>
      <c r="AH11" s="12">
        <f>IF(OR(履歴データ!$A$11="",AG11=0),"",AE11/AG11-1)</f>
        <v>0</v>
      </c>
      <c r="AJ11" s="28">
        <f t="shared" ca="1" si="0"/>
        <v>-35.295801607567697</v>
      </c>
      <c r="AK11" s="28">
        <f t="shared" ca="1" si="1"/>
        <v>-43.504198392432357</v>
      </c>
    </row>
    <row r="12" spans="1:37">
      <c r="A12" s="10">
        <f>IF(履歴データ!$A$12="","",履歴データ!$A$12)</f>
        <v>44944</v>
      </c>
      <c r="B12" s="28">
        <f>IF(履歴データ!$A$12="","",(履歴データ!$D$12-(履歴データ!$B$12+履歴データ!$F$12)/2)*100)</f>
        <v>-42.999999999999972</v>
      </c>
      <c r="C12" s="28">
        <f>IF(履歴データ!$A$12="","",(履歴データ!$H$12-(履歴データ!$G$12+履歴データ!$J$12)/2)*100)</f>
        <v>-34</v>
      </c>
      <c r="D12" s="28">
        <f>IF(履歴データ!$A$12="","",(履歴データ!$D$12-履歴データ!$H$12)*100)</f>
        <v>294</v>
      </c>
      <c r="E12" s="28">
        <f>IF(履歴データ!$A$12="","",(履歴データ!$D$12-履歴データ!$C$12)*100)</f>
        <v>-6.0000000000000053</v>
      </c>
      <c r="F12" s="28">
        <f>IF(履歴データ!$A$12="","",(履歴データ!$R$12-履歴データ!$D$12)*100)</f>
        <v>-152.46</v>
      </c>
      <c r="G12" s="28">
        <f>IF(履歴データ!$A$12="","",(履歴データ!$S$12-履歴データ!$R$12)*100)</f>
        <v>-136.77917858886721</v>
      </c>
      <c r="H12" s="29">
        <f>IF(履歴データ!$A$12="","",履歴データ!$O$12)</f>
        <v>128.281005859375</v>
      </c>
      <c r="I12" s="29">
        <f>IF(履歴データ!$A$12="","",履歴データ!$Q$12)</f>
        <v>115.90625</v>
      </c>
      <c r="J12" s="29">
        <f>IF(履歴データ!$A$12="","",履歴データ!$D$12)</f>
        <v>3.37</v>
      </c>
      <c r="K12" s="28">
        <f>IF(OR(履歴データ!$A$12="",履歴データ!$A$11=""),"",B12-B11)</f>
        <v>-4.9999999999999361</v>
      </c>
      <c r="L12" s="28">
        <f>IF(OR(履歴データ!$A$12="",履歴データ!$A$11=""),"",C12-C11)</f>
        <v>-5.8500000000000014</v>
      </c>
      <c r="M12" s="28">
        <f>IF(OR(履歴データ!$A$12="",履歴データ!$A$11=""),"",D12-D11)</f>
        <v>-7.7999999999999545</v>
      </c>
      <c r="N12" s="28">
        <f>IF(OR(履歴データ!$A$12="",履歴データ!$A$11=""),"",E12-E11)</f>
        <v>1.0000000000000231</v>
      </c>
      <c r="O12" s="28">
        <f>IF(OR(履歴データ!$A$12="",履歴データ!$A$11=""),"",F12-F11)</f>
        <v>15.839999999999975</v>
      </c>
      <c r="P12" s="28">
        <f>IF(OR(履歴データ!$A$12="",履歴データ!$A$11=""),"",G12-G11)</f>
        <v>-5.6281785888671436</v>
      </c>
      <c r="Q12" s="29">
        <f>IF(OR(履歴データ!$A$12="",履歴データ!$A$11=""),"",H12-H11)</f>
        <v>-3.99932861328125E-2</v>
      </c>
      <c r="R12" s="29">
        <f>IF(OR(履歴データ!$A$12="",履歴データ!$A$11=""),"",I12-I11)</f>
        <v>1.234375</v>
      </c>
      <c r="S12" s="28">
        <f>IF(OR(履歴データ!$A$12="",履歴データ!$A$11=""),"",(J12-J11)*100)</f>
        <v>-15.99999999999997</v>
      </c>
      <c r="T12" s="11">
        <f>IF(OR(履歴データ!$A$12="",履歴データ!$A$11=""),"",-80000*K12)</f>
        <v>399999.99999999488</v>
      </c>
      <c r="U12" s="11">
        <f>IF(OR(履歴データ!$A$12="",履歴データ!$A$11=""),"",60000*L12)</f>
        <v>-351000.00000000006</v>
      </c>
      <c r="V12" s="11">
        <f>IF(OR(履歴データ!$A$12="",履歴データ!$A$11=""),"",-50000*M12)</f>
        <v>389999.99999999773</v>
      </c>
      <c r="W12" s="11">
        <f>IF(OR(履歴データ!$A$12="",履歴データ!$A$11=""),"",-40000*N12)</f>
        <v>-40000.000000000924</v>
      </c>
      <c r="X12" s="11">
        <f>IF(OR(履歴データ!$A$12="",履歴データ!$A$11=""),"",120*1000000*(-Q12/H11))</f>
        <v>37399.914027286526</v>
      </c>
      <c r="Y12" s="11">
        <f>IF(OR(履歴データ!$A$12="",履歴データ!$A$11=""),"",40000*(-S12)+(-506.3)*R12*1000)</f>
        <v>15035.937499998719</v>
      </c>
      <c r="Z12" s="11">
        <f>IF(OR(履歴データ!$A$12="",履歴データ!$A$11=""),"",-40000*O12)</f>
        <v>-633599.99999999895</v>
      </c>
      <c r="AA12" s="11">
        <f>IF(OR(履歴データ!$A$12="",履歴データ!$A$11=""),"",-40000*P12)</f>
        <v>225127.14355468575</v>
      </c>
      <c r="AB12" s="11">
        <f>IF(履歴データ!$A$12="","",123.3)</f>
        <v>123.3</v>
      </c>
      <c r="AC12">
        <f>IF(履歴データ!$A$12="","",SUM(T12:AA12))</f>
        <v>42962.995081963658</v>
      </c>
      <c r="AD12" s="29">
        <f>IF(履歴データ!$A$12="","",AC12/1000000)</f>
        <v>4.2962995081963655E-2</v>
      </c>
      <c r="AE12" s="29">
        <f>IF(履歴データ!$A$12="",AE11,AE11+AC12/1000000)</f>
        <v>101.20975427843871</v>
      </c>
      <c r="AF12" s="12">
        <f>IF(OR(履歴データ!$A$12="",AE11=0),"",(AE12-AE11)/AE11)</f>
        <v>4.2467488132177738E-4</v>
      </c>
      <c r="AG12" s="29">
        <f t="shared" si="2"/>
        <v>101.20975427843871</v>
      </c>
      <c r="AH12" s="12">
        <f>IF(OR(履歴データ!$A$12="",AG12=0),"",AE12/AG12-1)</f>
        <v>0</v>
      </c>
      <c r="AJ12" s="28">
        <f t="shared" ca="1" si="0"/>
        <v>-35.269389005962054</v>
      </c>
      <c r="AK12" s="28">
        <f t="shared" ca="1" si="1"/>
        <v>-44.185156448583442</v>
      </c>
    </row>
    <row r="13" spans="1:37">
      <c r="A13" s="10">
        <f>IF(履歴データ!$A$13="","",履歴データ!$A$13)</f>
        <v>44945</v>
      </c>
      <c r="B13" s="28">
        <f>IF(履歴データ!$A$13="","",(履歴データ!$D$13-(履歴データ!$B$13+履歴データ!$F$13)/2)*100)</f>
        <v>-43.999999999999993</v>
      </c>
      <c r="C13" s="28">
        <f>IF(履歴データ!$A$13="","",(履歴データ!$H$13-(履歴データ!$G$13+履歴データ!$J$13)/2)*100)</f>
        <v>-35.500000000000007</v>
      </c>
      <c r="D13" s="28">
        <f>IF(履歴データ!$A$13="","",(履歴データ!$D$13-履歴データ!$H$13)*100)</f>
        <v>296.8</v>
      </c>
      <c r="E13" s="28">
        <f>IF(履歴データ!$A$13="","",(履歴データ!$D$13-履歴データ!$C$13)*100)</f>
        <v>-8.9999999999999858</v>
      </c>
      <c r="F13" s="28">
        <f>IF(履歴データ!$A$13="","",(履歴データ!$R$13-履歴データ!$D$13)*100)</f>
        <v>-157.36000000000001</v>
      </c>
      <c r="G13" s="28">
        <f>IF(履歴データ!$A$13="","",(履歴データ!$S$13-履歴データ!$R$13)*100)</f>
        <v>-135.1070000000002</v>
      </c>
      <c r="H13" s="29">
        <f>IF(履歴データ!$A$13="","",履歴データ!$O$13)</f>
        <v>128.53900146484375</v>
      </c>
      <c r="I13" s="29">
        <f>IF(履歴データ!$A$13="","",履歴データ!$Q$13)</f>
        <v>115.640625</v>
      </c>
      <c r="J13" s="29">
        <f>IF(履歴データ!$A$13="","",履歴データ!$D$13)</f>
        <v>3.39</v>
      </c>
      <c r="K13" s="28">
        <f>IF(OR(履歴データ!$A$13="",履歴データ!$A$12=""),"",B13-B12)</f>
        <v>-1.0000000000000213</v>
      </c>
      <c r="L13" s="28">
        <f>IF(OR(履歴データ!$A$13="",履歴データ!$A$12=""),"",C13-C12)</f>
        <v>-1.5000000000000071</v>
      </c>
      <c r="M13" s="28">
        <f>IF(OR(履歴データ!$A$13="",履歴データ!$A$12=""),"",D13-D12)</f>
        <v>2.8000000000000114</v>
      </c>
      <c r="N13" s="28">
        <f>IF(OR(履歴データ!$A$13="",履歴データ!$A$12=""),"",E13-E12)</f>
        <v>-2.9999999999999805</v>
      </c>
      <c r="O13" s="28">
        <f>IF(OR(履歴データ!$A$13="",履歴データ!$A$12=""),"",F13-F12)</f>
        <v>-4.9000000000000057</v>
      </c>
      <c r="P13" s="28">
        <f>IF(OR(履歴データ!$A$13="",履歴データ!$A$12=""),"",G13-G12)</f>
        <v>1.6721785888670126</v>
      </c>
      <c r="Q13" s="29">
        <f>IF(OR(履歴データ!$A$13="",履歴データ!$A$12=""),"",H13-H12)</f>
        <v>0.25799560546875</v>
      </c>
      <c r="R13" s="29">
        <f>IF(OR(履歴データ!$A$13="",履歴データ!$A$12=""),"",I13-I12)</f>
        <v>-0.265625</v>
      </c>
      <c r="S13" s="28">
        <f>IF(OR(履歴データ!$A$13="",履歴データ!$A$12=""),"",(J13-J12)*100)</f>
        <v>2.0000000000000018</v>
      </c>
      <c r="T13" s="11">
        <f>IF(OR(履歴データ!$A$13="",履歴データ!$A$12=""),"",-80000*K13)</f>
        <v>80000.000000001703</v>
      </c>
      <c r="U13" s="11">
        <f>IF(OR(履歴データ!$A$13="",履歴データ!$A$12=""),"",60000*L13)</f>
        <v>-90000.000000000422</v>
      </c>
      <c r="V13" s="11">
        <f>IF(OR(履歴データ!$A$13="",履歴データ!$A$12=""),"",-50000*M13)</f>
        <v>-140000.00000000058</v>
      </c>
      <c r="W13" s="11">
        <f>IF(OR(履歴データ!$A$13="",履歴データ!$A$12=""),"",-40000*N13)</f>
        <v>119999.99999999921</v>
      </c>
      <c r="X13" s="11">
        <f>IF(OR(履歴データ!$A$13="",履歴データ!$A$12=""),"",120*1000000*(-Q13/H12))</f>
        <v>-241341.05005528711</v>
      </c>
      <c r="Y13" s="11">
        <f>IF(OR(履歴データ!$A$13="",履歴データ!$A$12=""),"",40000*(-S13)+(-506.3)*R13*1000)</f>
        <v>54485.937499999927</v>
      </c>
      <c r="Z13" s="11">
        <f>IF(OR(履歴データ!$A$13="",履歴データ!$A$12=""),"",-40000*O13)</f>
        <v>196000.00000000023</v>
      </c>
      <c r="AA13" s="11">
        <f>IF(OR(履歴データ!$A$13="",履歴データ!$A$12=""),"",-40000*P13)</f>
        <v>-66887.143554680501</v>
      </c>
      <c r="AB13" s="11">
        <f>IF(履歴データ!$A$13="","",123.3)</f>
        <v>123.3</v>
      </c>
      <c r="AC13">
        <f>IF(履歴データ!$A$13="","",SUM(T13:AA13))</f>
        <v>-87742.256109967522</v>
      </c>
      <c r="AD13" s="29">
        <f>IF(履歴データ!$A$13="","",AC13/1000000)</f>
        <v>-8.7742256109967526E-2</v>
      </c>
      <c r="AE13" s="29">
        <f>IF(履歴データ!$A$13="",AE12,AE12+AC13/1000000)</f>
        <v>101.12201202232875</v>
      </c>
      <c r="AF13" s="12">
        <f>IF(OR(履歴データ!$A$13="",AE12=0),"",(AE13-AE12)/AE12)</f>
        <v>-8.6693478050123426E-4</v>
      </c>
      <c r="AG13" s="29">
        <f t="shared" si="2"/>
        <v>101.20975427843871</v>
      </c>
      <c r="AH13" s="12">
        <f>IF(OR(履歴データ!$A$13="",AG13=0),"",AE13/AG13-1)</f>
        <v>-8.669347805012606E-4</v>
      </c>
      <c r="AJ13" s="28">
        <f t="shared" ca="1" si="0"/>
        <v>-35.168914227120013</v>
      </c>
      <c r="AK13" s="28">
        <f t="shared" ca="1" si="1"/>
        <v>-44.997752439546687</v>
      </c>
    </row>
    <row r="14" spans="1:37">
      <c r="A14" s="10">
        <f>IF(履歴データ!$A$14="","",履歴データ!$A$14)</f>
        <v>44946</v>
      </c>
      <c r="B14" s="28">
        <f>IF(履歴データ!$A$14="","",(履歴データ!$D$14-(履歴データ!$B$14+履歴データ!$F$14)/2)*100)</f>
        <v>-41.999999999999993</v>
      </c>
      <c r="C14" s="28">
        <f>IF(履歴データ!$A$14="","",(履歴データ!$H$14-(履歴データ!$G$14+履歴データ!$J$14)/2)*100)</f>
        <v>-36.000000000000007</v>
      </c>
      <c r="D14" s="28">
        <f>IF(履歴データ!$A$14="","",(履歴データ!$D$14-履歴データ!$H$14)*100)</f>
        <v>306.2</v>
      </c>
      <c r="E14" s="28">
        <f>IF(履歴データ!$A$14="","",(履歴データ!$D$14-履歴データ!$C$14)*100)</f>
        <v>-8.0000000000000071</v>
      </c>
      <c r="F14" s="28">
        <f>IF(履歴データ!$A$14="","",(履歴データ!$R$14-履歴データ!$D$14)*100)</f>
        <v>-159.60000000000002</v>
      </c>
      <c r="G14" s="28">
        <f>IF(履歴データ!$A$14="","",(履歴データ!$S$14-履歴データ!$R$14)*100)</f>
        <v>-143.97182141113299</v>
      </c>
      <c r="H14" s="29">
        <f>IF(履歴データ!$A$14="","",履歴データ!$O$14)</f>
        <v>128.3699951171875</v>
      </c>
      <c r="I14" s="29">
        <f>IF(履歴データ!$A$14="","",履歴データ!$Q$14)</f>
        <v>115.0625</v>
      </c>
      <c r="J14" s="29">
        <f>IF(履歴データ!$A$14="","",履歴データ!$D$14)</f>
        <v>3.48</v>
      </c>
      <c r="K14" s="28">
        <f>IF(OR(履歴データ!$A$14="",履歴データ!$A$13=""),"",B14-B13)</f>
        <v>2</v>
      </c>
      <c r="L14" s="28">
        <f>IF(OR(履歴データ!$A$14="",履歴データ!$A$13=""),"",C14-C13)</f>
        <v>-0.5</v>
      </c>
      <c r="M14" s="28">
        <f>IF(OR(履歴データ!$A$14="",履歴データ!$A$13=""),"",D14-D13)</f>
        <v>9.3999999999999773</v>
      </c>
      <c r="N14" s="28">
        <f>IF(OR(履歴データ!$A$14="",履歴データ!$A$13=""),"",E14-E13)</f>
        <v>0.99999999999997868</v>
      </c>
      <c r="O14" s="28">
        <f>IF(OR(履歴データ!$A$14="",履歴データ!$A$13=""),"",F14-F13)</f>
        <v>-2.2400000000000091</v>
      </c>
      <c r="P14" s="28">
        <f>IF(OR(履歴データ!$A$14="",履歴データ!$A$13=""),"",G14-G13)</f>
        <v>-8.8648214111327945</v>
      </c>
      <c r="Q14" s="29">
        <f>IF(OR(履歴データ!$A$14="",履歴データ!$A$13=""),"",H14-H13)</f>
        <v>-0.16900634765625</v>
      </c>
      <c r="R14" s="29">
        <f>IF(OR(履歴データ!$A$14="",履歴データ!$A$13=""),"",I14-I13)</f>
        <v>-0.578125</v>
      </c>
      <c r="S14" s="28">
        <f>IF(OR(履歴データ!$A$14="",履歴データ!$A$13=""),"",(J14-J13)*100)</f>
        <v>8.9999999999999858</v>
      </c>
      <c r="T14" s="11">
        <f>IF(OR(履歴データ!$A$14="",履歴データ!$A$13=""),"",-80000*K14)</f>
        <v>-160000</v>
      </c>
      <c r="U14" s="11">
        <f>IF(OR(履歴データ!$A$14="",履歴データ!$A$13=""),"",60000*L14)</f>
        <v>-30000</v>
      </c>
      <c r="V14" s="11">
        <f>IF(OR(履歴データ!$A$14="",履歴データ!$A$13=""),"",-50000*M14)</f>
        <v>-469999.99999999884</v>
      </c>
      <c r="W14" s="11">
        <f>IF(OR(履歴データ!$A$14="",履歴データ!$A$13=""),"",-40000*N14)</f>
        <v>-39999.999999999149</v>
      </c>
      <c r="X14" s="11">
        <f>IF(OR(履歴データ!$A$14="",履歴データ!$A$13=""),"",120*1000000*(-Q14/H13))</f>
        <v>157779.0513978508</v>
      </c>
      <c r="Y14" s="11">
        <f>IF(OR(履歴データ!$A$14="",履歴データ!$A$13=""),"",40000*(-S14)+(-506.3)*R14*1000)</f>
        <v>-67295.31249999936</v>
      </c>
      <c r="Z14" s="11">
        <f>IF(OR(履歴データ!$A$14="",履歴データ!$A$13=""),"",-40000*O14)</f>
        <v>89600.000000000364</v>
      </c>
      <c r="AA14" s="11">
        <f>IF(OR(履歴データ!$A$14="",履歴データ!$A$13=""),"",-40000*P14)</f>
        <v>354592.8564453118</v>
      </c>
      <c r="AB14" s="11">
        <f>IF(履歴データ!$A$14="","",123.3)</f>
        <v>123.3</v>
      </c>
      <c r="AC14">
        <f>IF(履歴データ!$A$14="","",SUM(T14:AA14))</f>
        <v>-165323.40465683432</v>
      </c>
      <c r="AD14" s="29">
        <f>IF(履歴データ!$A$14="","",AC14/1000000)</f>
        <v>-0.16532340465683432</v>
      </c>
      <c r="AE14" s="29">
        <f>IF(履歴データ!$A$14="",AE13,AE13+AC14/1000000)</f>
        <v>100.95668861767192</v>
      </c>
      <c r="AF14" s="12">
        <f>IF(OR(履歴データ!$A$14="",AE13=0),"",(AE14-AE13)/AE13)</f>
        <v>-1.6348903799533422E-3</v>
      </c>
      <c r="AG14" s="29">
        <f t="shared" si="2"/>
        <v>101.20975427843871</v>
      </c>
      <c r="AH14" s="12">
        <f>IF(OR(履歴データ!$A$14="",AG14=0),"",AE14/AG14-1)</f>
        <v>-2.500407817121908E-3</v>
      </c>
      <c r="AJ14" s="28">
        <f t="shared" ca="1" si="0"/>
        <v>-35.406950124580632</v>
      </c>
      <c r="AK14" s="28">
        <f t="shared" ca="1" si="1"/>
        <v>-45.054588336957863</v>
      </c>
    </row>
    <row r="15" spans="1:37">
      <c r="A15" s="10">
        <f>IF(履歴データ!$A$15="","",履歴データ!$A$15)</f>
        <v>44949</v>
      </c>
      <c r="B15" s="28">
        <f>IF(履歴データ!$A$15="","",(履歴データ!$D$15-(履歴データ!$B$15+履歴データ!$F$15)/2)*100)</f>
        <v>-43.000000000000014</v>
      </c>
      <c r="C15" s="28">
        <f>IF(履歴データ!$A$15="","",(履歴データ!$H$15-(履歴データ!$G$15+履歴データ!$J$15)/2)*100)</f>
        <v>-37.700000000000003</v>
      </c>
      <c r="D15" s="28">
        <f>IF(履歴データ!$A$15="","",(履歴データ!$D$15-履歴データ!$H$15)*100)</f>
        <v>312.40000000000003</v>
      </c>
      <c r="E15" s="28">
        <f>IF(履歴データ!$A$15="","",(履歴データ!$D$15-履歴データ!$C$15)*100)</f>
        <v>-8.9999999999999858</v>
      </c>
      <c r="F15" s="28">
        <f>IF(履歴データ!$A$15="","",(履歴データ!$R$15-履歴データ!$D$15)*100)</f>
        <v>-152</v>
      </c>
      <c r="G15" s="28">
        <f>IF(履歴データ!$A$15="","",(履歴データ!$S$15-履歴データ!$R$15)*100)</f>
        <v>-159.43064282226587</v>
      </c>
      <c r="H15" s="29">
        <f>IF(履歴データ!$A$15="","",履歴データ!$O$15)</f>
        <v>129.35400390625</v>
      </c>
      <c r="I15" s="29">
        <f>IF(履歴データ!$A$15="","",履歴データ!$Q$15)</f>
        <v>114.6875</v>
      </c>
      <c r="J15" s="29">
        <f>IF(履歴データ!$A$15="","",履歴データ!$D$15)</f>
        <v>3.52</v>
      </c>
      <c r="K15" s="28">
        <f>IF(OR(履歴データ!$A$15="",履歴データ!$A$14=""),"",B15-B14)</f>
        <v>-1.0000000000000213</v>
      </c>
      <c r="L15" s="28">
        <f>IF(OR(履歴データ!$A$15="",履歴データ!$A$14=""),"",C15-C14)</f>
        <v>-1.6999999999999957</v>
      </c>
      <c r="M15" s="28">
        <f>IF(OR(履歴データ!$A$15="",履歴データ!$A$14=""),"",D15-D14)</f>
        <v>6.2000000000000455</v>
      </c>
      <c r="N15" s="28">
        <f>IF(OR(履歴データ!$A$15="",履歴データ!$A$14=""),"",E15-E14)</f>
        <v>-0.99999999999997868</v>
      </c>
      <c r="O15" s="28">
        <f>IF(OR(履歴データ!$A$15="",履歴データ!$A$14=""),"",F15-F14)</f>
        <v>7.6000000000000227</v>
      </c>
      <c r="P15" s="28">
        <f>IF(OR(履歴データ!$A$15="",履歴データ!$A$14=""),"",G15-G14)</f>
        <v>-15.458821411132874</v>
      </c>
      <c r="Q15" s="29">
        <f>IF(OR(履歴データ!$A$15="",履歴データ!$A$14=""),"",H15-H14)</f>
        <v>0.9840087890625</v>
      </c>
      <c r="R15" s="29">
        <f>IF(OR(履歴データ!$A$15="",履歴データ!$A$14=""),"",I15-I14)</f>
        <v>-0.375</v>
      </c>
      <c r="S15" s="28">
        <f>IF(OR(履歴データ!$A$15="",履歴データ!$A$14=""),"",(J15-J14)*100)</f>
        <v>4.0000000000000036</v>
      </c>
      <c r="T15" s="11">
        <f>IF(OR(履歴データ!$A$15="",履歴データ!$A$14=""),"",-80000*K15)</f>
        <v>80000.000000001703</v>
      </c>
      <c r="U15" s="11">
        <f>IF(OR(履歴データ!$A$15="",履歴データ!$A$14=""),"",60000*L15)</f>
        <v>-101999.99999999974</v>
      </c>
      <c r="V15" s="11">
        <f>IF(OR(履歴データ!$A$15="",履歴データ!$A$14=""),"",-50000*M15)</f>
        <v>-310000.00000000227</v>
      </c>
      <c r="W15" s="11">
        <f>IF(OR(履歴データ!$A$15="",履歴データ!$A$14=""),"",-40000*N15)</f>
        <v>39999.999999999149</v>
      </c>
      <c r="X15" s="11">
        <f>IF(OR(履歴データ!$A$15="",履歴データ!$A$14=""),"",120*1000000*(-Q15/H14))</f>
        <v>-919849.33535056352</v>
      </c>
      <c r="Y15" s="11">
        <f>IF(OR(履歴データ!$A$15="",履歴データ!$A$14=""),"",40000*(-S15)+(-506.3)*R15*1000)</f>
        <v>29862.499999999854</v>
      </c>
      <c r="Z15" s="11">
        <f>IF(OR(履歴データ!$A$15="",履歴データ!$A$14=""),"",-40000*O15)</f>
        <v>-304000.00000000093</v>
      </c>
      <c r="AA15" s="11">
        <f>IF(OR(履歴データ!$A$15="",履歴データ!$A$14=""),"",-40000*P15)</f>
        <v>618352.85644531494</v>
      </c>
      <c r="AB15" s="11">
        <f>IF(履歴データ!$A$15="","",123.3)</f>
        <v>123.3</v>
      </c>
      <c r="AC15">
        <f>IF(履歴データ!$A$15="","",SUM(T15:AA15))</f>
        <v>-867633.9789052509</v>
      </c>
      <c r="AD15" s="29">
        <f>IF(履歴データ!$A$15="","",AC15/1000000)</f>
        <v>-0.86763397890525085</v>
      </c>
      <c r="AE15" s="29">
        <f>IF(履歴データ!$A$15="",AE14,AE14+AC15/1000000)</f>
        <v>100.08905463876667</v>
      </c>
      <c r="AF15" s="12">
        <f>IF(OR(履歴データ!$A$15="",AE14=0),"",(AE15-AE14)/AE14)</f>
        <v>-8.5941208134412972E-3</v>
      </c>
      <c r="AG15" s="29">
        <f t="shared" si="2"/>
        <v>101.20975427843871</v>
      </c>
      <c r="AH15" s="12">
        <f>IF(OR(履歴データ!$A$15="",AG15=0),"",AE15/AG15-1)</f>
        <v>-1.1073039823700004E-2</v>
      </c>
      <c r="AJ15" s="28">
        <f t="shared" ca="1" si="0"/>
        <v>-35.563355126049089</v>
      </c>
      <c r="AK15" s="28">
        <f t="shared" ca="1" si="1"/>
        <v>-45.293787731093801</v>
      </c>
    </row>
    <row r="16" spans="1:37">
      <c r="A16" s="10">
        <f>IF(履歴データ!$A$16="","",履歴データ!$A$16)</f>
        <v>44950</v>
      </c>
      <c r="B16" s="28">
        <f>IF(履歴データ!$A$16="","",(履歴データ!$D$16-(履歴データ!$B$16+履歴データ!$F$16)/2)*100)</f>
        <v>-41.000000000000014</v>
      </c>
      <c r="C16" s="28">
        <f>IF(履歴データ!$A$16="","",(履歴データ!$H$16-(履歴データ!$G$16+履歴データ!$J$16)/2)*100)</f>
        <v>-34.150000000000006</v>
      </c>
      <c r="D16" s="28">
        <f>IF(履歴データ!$A$16="","",(履歴データ!$D$16-履歴データ!$H$16)*100)</f>
        <v>303.3</v>
      </c>
      <c r="E16" s="28">
        <f>IF(履歴データ!$A$16="","",(履歴データ!$D$16-履歴データ!$C$16)*100)</f>
        <v>-12.000000000000011</v>
      </c>
      <c r="F16" s="28">
        <f>IF(履歴データ!$A$16="","",(履歴データ!$R$16-履歴データ!$D$16)*100)</f>
        <v>-145.92000000000002</v>
      </c>
      <c r="G16" s="28">
        <f>IF(履歴データ!$A$16="","",(履歴データ!$S$16-履歴データ!$R$16)*100)</f>
        <v>-158.98435717773455</v>
      </c>
      <c r="H16" s="29">
        <f>IF(履歴データ!$A$16="","",履歴データ!$O$16)</f>
        <v>130.59700012207031</v>
      </c>
      <c r="I16" s="29">
        <f>IF(履歴データ!$A$16="","",履歴データ!$Q$16)</f>
        <v>115.03125</v>
      </c>
      <c r="J16" s="29">
        <f>IF(履歴データ!$A$16="","",履歴データ!$D$16)</f>
        <v>3.46</v>
      </c>
      <c r="K16" s="28">
        <f>IF(OR(履歴データ!$A$16="",履歴データ!$A$15=""),"",B16-B15)</f>
        <v>2</v>
      </c>
      <c r="L16" s="28">
        <f>IF(OR(履歴データ!$A$16="",履歴データ!$A$15=""),"",C16-C15)</f>
        <v>3.5499999999999972</v>
      </c>
      <c r="M16" s="28">
        <f>IF(OR(履歴データ!$A$16="",履歴データ!$A$15=""),"",D16-D15)</f>
        <v>-9.1000000000000227</v>
      </c>
      <c r="N16" s="28">
        <f>IF(OR(履歴データ!$A$16="",履歴データ!$A$15=""),"",E16-E15)</f>
        <v>-3.0000000000000249</v>
      </c>
      <c r="O16" s="28">
        <f>IF(OR(履歴データ!$A$16="",履歴データ!$A$15=""),"",F16-F15)</f>
        <v>6.0799999999999841</v>
      </c>
      <c r="P16" s="28">
        <f>IF(OR(履歴データ!$A$16="",履歴データ!$A$15=""),"",G16-G15)</f>
        <v>0.44628564453131503</v>
      </c>
      <c r="Q16" s="29">
        <f>IF(OR(履歴データ!$A$16="",履歴データ!$A$15=""),"",H16-H15)</f>
        <v>1.2429962158203125</v>
      </c>
      <c r="R16" s="29">
        <f>IF(OR(履歴データ!$A$16="",履歴データ!$A$15=""),"",I16-I15)</f>
        <v>0.34375</v>
      </c>
      <c r="S16" s="28">
        <f>IF(OR(履歴データ!$A$16="",履歴データ!$A$15=""),"",(J16-J15)*100)</f>
        <v>-6.0000000000000053</v>
      </c>
      <c r="T16" s="11">
        <f>IF(OR(履歴データ!$A$16="",履歴データ!$A$15=""),"",-80000*K16)</f>
        <v>-160000</v>
      </c>
      <c r="U16" s="11">
        <f>IF(OR(履歴データ!$A$16="",履歴データ!$A$15=""),"",60000*L16)</f>
        <v>212999.99999999983</v>
      </c>
      <c r="V16" s="11">
        <f>IF(OR(履歴データ!$A$16="",履歴データ!$A$15=""),"",-50000*M16)</f>
        <v>455000.00000000116</v>
      </c>
      <c r="W16" s="11">
        <f>IF(OR(履歴データ!$A$16="",履歴データ!$A$15=""),"",-40000*N16)</f>
        <v>120000.00000000099</v>
      </c>
      <c r="X16" s="11">
        <f>IF(OR(履歴データ!$A$16="",履歴データ!$A$15=""),"",120*1000000*(-Q16/H15))</f>
        <v>-1153111.1631190146</v>
      </c>
      <c r="Y16" s="11">
        <f>IF(OR(履歴データ!$A$16="",履歴データ!$A$15=""),"",40000*(-S16)+(-506.3)*R16*1000)</f>
        <v>65959.375000000204</v>
      </c>
      <c r="Z16" s="11">
        <f>IF(OR(履歴データ!$A$16="",履歴データ!$A$15=""),"",-40000*O16)</f>
        <v>-243199.99999999936</v>
      </c>
      <c r="AA16" s="11">
        <f>IF(OR(履歴データ!$A$16="",履歴データ!$A$15=""),"",-40000*P16)</f>
        <v>-17851.425781252601</v>
      </c>
      <c r="AB16" s="11">
        <f>IF(履歴データ!$A$16="","",123.3)</f>
        <v>123.3</v>
      </c>
      <c r="AC16">
        <f>IF(履歴データ!$A$16="","",SUM(T16:AA16))</f>
        <v>-720203.21390026435</v>
      </c>
      <c r="AD16" s="29">
        <f>IF(履歴データ!$A$16="","",AC16/1000000)</f>
        <v>-0.72020321390026432</v>
      </c>
      <c r="AE16" s="29">
        <f>IF(履歴データ!$A$16="",AE15,AE15+AC16/1000000)</f>
        <v>99.368851424866406</v>
      </c>
      <c r="AF16" s="12">
        <f>IF(OR(履歴データ!$A$16="",AE15=0),"",(AE16-AE15)/AE15)</f>
        <v>-7.1956241019516254E-3</v>
      </c>
      <c r="AG16" s="29">
        <f t="shared" si="2"/>
        <v>101.20975427843871</v>
      </c>
      <c r="AH16" s="12">
        <f>IF(OR(履歴データ!$A$16="",AG16=0),"",AE16/AG16-1)</f>
        <v>-1.8188986493414272E-2</v>
      </c>
      <c r="AJ16" s="28">
        <f t="shared" ca="1" si="0"/>
        <v>-35.769149592012639</v>
      </c>
      <c r="AK16" s="28">
        <f t="shared" ca="1" si="1"/>
        <v>-45.164183741320727</v>
      </c>
    </row>
    <row r="17" spans="1:37">
      <c r="A17" s="10">
        <f>IF(履歴データ!$A$17="","",履歴データ!$A$17)</f>
        <v>44951</v>
      </c>
      <c r="B17" s="28">
        <f>IF(履歴データ!$A$17="","",(履歴データ!$D$17-(履歴データ!$B$17+履歴データ!$F$17)/2)*100)</f>
        <v>-40.500000000000028</v>
      </c>
      <c r="C17" s="28">
        <f>IF(履歴データ!$A$17="","",(履歴データ!$H$17-(履歴データ!$G$17+履歴データ!$J$17)/2)*100)</f>
        <v>-30.549999999999994</v>
      </c>
      <c r="D17" s="28">
        <f>IF(履歴データ!$A$17="","",(履歴データ!$D$17-履歴データ!$H$17)*100)</f>
        <v>300.3</v>
      </c>
      <c r="E17" s="28">
        <f>IF(履歴データ!$A$17="","",(履歴データ!$D$17-履歴データ!$C$17)*100)</f>
        <v>-8.0000000000000071</v>
      </c>
      <c r="F17" s="28">
        <f>IF(履歴データ!$A$17="","",(履歴データ!$R$17-履歴データ!$D$17)*100)</f>
        <v>-159.44999999999999</v>
      </c>
      <c r="G17" s="28">
        <f>IF(履歴データ!$A$17="","",(履歴データ!$S$17-履歴データ!$R$17)*100)</f>
        <v>-147.2083571777346</v>
      </c>
      <c r="H17" s="29">
        <f>IF(履歴データ!$A$17="","",履歴データ!$O$17)</f>
        <v>130.23899841308594</v>
      </c>
      <c r="I17" s="29">
        <f>IF(履歴データ!$A$17="","",履歴データ!$Q$17)</f>
        <v>115.140625</v>
      </c>
      <c r="J17" s="29">
        <f>IF(履歴データ!$A$17="","",履歴データ!$D$17)</f>
        <v>3.46</v>
      </c>
      <c r="K17" s="28">
        <f>IF(OR(履歴データ!$A$17="",履歴データ!$A$16=""),"",B17-B16)</f>
        <v>0.49999999999998579</v>
      </c>
      <c r="L17" s="28">
        <f>IF(OR(履歴データ!$A$17="",履歴データ!$A$16=""),"",C17-C16)</f>
        <v>3.6000000000000121</v>
      </c>
      <c r="M17" s="28">
        <f>IF(OR(履歴データ!$A$17="",履歴データ!$A$16=""),"",D17-D16)</f>
        <v>-3</v>
      </c>
      <c r="N17" s="28">
        <f>IF(OR(履歴データ!$A$17="",履歴データ!$A$16=""),"",E17-E16)</f>
        <v>4.0000000000000036</v>
      </c>
      <c r="O17" s="28">
        <f>IF(OR(履歴データ!$A$17="",履歴データ!$A$16=""),"",F17-F16)</f>
        <v>-13.529999999999973</v>
      </c>
      <c r="P17" s="28">
        <f>IF(OR(履歴データ!$A$17="",履歴データ!$A$16=""),"",G17-G16)</f>
        <v>11.775999999999954</v>
      </c>
      <c r="Q17" s="29">
        <f>IF(OR(履歴データ!$A$17="",履歴データ!$A$16=""),"",H17-H16)</f>
        <v>-0.358001708984375</v>
      </c>
      <c r="R17" s="29">
        <f>IF(OR(履歴データ!$A$17="",履歴データ!$A$16=""),"",I17-I16)</f>
        <v>0.109375</v>
      </c>
      <c r="S17" s="28">
        <f>IF(OR(履歴データ!$A$17="",履歴データ!$A$16=""),"",(J17-J16)*100)</f>
        <v>0</v>
      </c>
      <c r="T17" s="11">
        <f>IF(OR(履歴データ!$A$17="",履歴データ!$A$16=""),"",-80000*K17)</f>
        <v>-39999.999999998865</v>
      </c>
      <c r="U17" s="11">
        <f>IF(OR(履歴データ!$A$17="",履歴データ!$A$16=""),"",60000*L17)</f>
        <v>216000.00000000073</v>
      </c>
      <c r="V17" s="11">
        <f>IF(OR(履歴データ!$A$17="",履歴データ!$A$16=""),"",-50000*M17)</f>
        <v>150000</v>
      </c>
      <c r="W17" s="11">
        <f>IF(OR(履歴データ!$A$17="",履歴データ!$A$16=""),"",-40000*N17)</f>
        <v>-160000.00000000015</v>
      </c>
      <c r="X17" s="11">
        <f>IF(OR(履歴データ!$A$17="",履歴データ!$A$16=""),"",120*1000000*(-Q17/H16))</f>
        <v>328952.4647424494</v>
      </c>
      <c r="Y17" s="11">
        <f>IF(OR(履歴データ!$A$17="",履歴データ!$A$16=""),"",40000*(-S17)+(-506.3)*R17*1000)</f>
        <v>-55376.5625</v>
      </c>
      <c r="Z17" s="11">
        <f>IF(OR(履歴データ!$A$17="",履歴データ!$A$16=""),"",-40000*O17)</f>
        <v>541199.99999999895</v>
      </c>
      <c r="AA17" s="11">
        <f>IF(OR(履歴データ!$A$17="",履歴データ!$A$16=""),"",-40000*P17)</f>
        <v>-471039.99999999814</v>
      </c>
      <c r="AB17" s="11">
        <f>IF(履歴データ!$A$17="","",123.3)</f>
        <v>123.3</v>
      </c>
      <c r="AC17">
        <f>IF(履歴データ!$A$17="","",SUM(T17:AA17))</f>
        <v>509735.90224245191</v>
      </c>
      <c r="AD17" s="29">
        <f>IF(履歴データ!$A$17="","",AC17/1000000)</f>
        <v>0.50973590224245191</v>
      </c>
      <c r="AE17" s="29">
        <f>IF(履歴データ!$A$17="",AE16,AE16+AC17/1000000)</f>
        <v>99.87858732710886</v>
      </c>
      <c r="AF17" s="12">
        <f>IF(OR(履歴データ!$A$17="",AE16=0),"",(AE17-AE16)/AE16)</f>
        <v>5.1297352735114338E-3</v>
      </c>
      <c r="AG17" s="29">
        <f t="shared" si="2"/>
        <v>101.20975427843871</v>
      </c>
      <c r="AH17" s="12">
        <f>IF(OR(履歴データ!$A$17="",AG17=0),"",AE17/AG17-1)</f>
        <v>-1.3152555905507568E-2</v>
      </c>
      <c r="AJ17" s="28">
        <f t="shared" ca="1" si="0"/>
        <v>-35.930486749225224</v>
      </c>
      <c r="AK17" s="28">
        <f t="shared" ca="1" si="1"/>
        <v>-45.007013250774804</v>
      </c>
    </row>
    <row r="18" spans="1:37">
      <c r="A18" s="10">
        <f>IF(履歴データ!$A$18="","",履歴データ!$A$18)</f>
        <v>44952</v>
      </c>
      <c r="B18" s="28">
        <f>IF(履歴データ!$A$18="","",(履歴データ!$D$18-(履歴データ!$B$18+履歴データ!$F$18)/2)*100)</f>
        <v>-40.499999999999979</v>
      </c>
      <c r="C18" s="28">
        <f>IF(履歴データ!$A$18="","",(履歴データ!$H$18-(履歴データ!$G$18+履歴データ!$J$18)/2)*100)</f>
        <v>-27.550000000000008</v>
      </c>
      <c r="D18" s="28">
        <f>IF(履歴データ!$A$18="","",(履歴データ!$D$18-履歴データ!$H$18)*100)</f>
        <v>300.7</v>
      </c>
      <c r="E18" s="28">
        <f>IF(履歴データ!$A$18="","",(履歴データ!$D$18-履歴データ!$C$18)*100)</f>
        <v>-8.9999999999999858</v>
      </c>
      <c r="F18" s="28">
        <f>IF(履歴データ!$A$18="","",(履歴データ!$R$18-履歴データ!$D$18)*100)</f>
        <v>-158.07000000000002</v>
      </c>
      <c r="G18" s="28">
        <f>IF(履歴データ!$A$18="","",(履歴データ!$S$18-履歴データ!$R$18)*100)</f>
        <v>-150.36064282226587</v>
      </c>
      <c r="H18" s="29">
        <f>IF(履歴データ!$A$18="","",履歴データ!$O$18)</f>
        <v>129.23699951171875</v>
      </c>
      <c r="I18" s="29">
        <f>IF(履歴データ!$A$18="","",履歴データ!$Q$18)</f>
        <v>114.859375</v>
      </c>
      <c r="J18" s="29">
        <f>IF(履歴データ!$A$18="","",履歴データ!$D$18)</f>
        <v>3.49</v>
      </c>
      <c r="K18" s="28">
        <f>IF(OR(履歴データ!$A$18="",履歴データ!$A$17=""),"",B18-B17)</f>
        <v>4.9737991503207013E-14</v>
      </c>
      <c r="L18" s="28">
        <f>IF(OR(履歴データ!$A$18="",履歴データ!$A$17=""),"",C18-C17)</f>
        <v>2.9999999999999858</v>
      </c>
      <c r="M18" s="28">
        <f>IF(OR(履歴データ!$A$18="",履歴データ!$A$17=""),"",D18-D17)</f>
        <v>0.39999999999997726</v>
      </c>
      <c r="N18" s="28">
        <f>IF(OR(履歴データ!$A$18="",履歴データ!$A$17=""),"",E18-E17)</f>
        <v>-0.99999999999997868</v>
      </c>
      <c r="O18" s="28">
        <f>IF(OR(履歴データ!$A$18="",履歴データ!$A$17=""),"",F18-F17)</f>
        <v>1.379999999999967</v>
      </c>
      <c r="P18" s="28">
        <f>IF(OR(履歴データ!$A$18="",履歴データ!$A$17=""),"",G18-G17)</f>
        <v>-3.1522856445312755</v>
      </c>
      <c r="Q18" s="29">
        <f>IF(OR(履歴データ!$A$18="",履歴データ!$A$17=""),"",H18-H17)</f>
        <v>-1.0019989013671875</v>
      </c>
      <c r="R18" s="29">
        <f>IF(OR(履歴データ!$A$18="",履歴データ!$A$17=""),"",I18-I17)</f>
        <v>-0.28125</v>
      </c>
      <c r="S18" s="28">
        <f>IF(OR(履歴データ!$A$18="",履歴データ!$A$17=""),"",(J18-J17)*100)</f>
        <v>3.0000000000000249</v>
      </c>
      <c r="T18" s="11">
        <f>IF(OR(履歴データ!$A$18="",履歴データ!$A$17=""),"",-80000*K18)</f>
        <v>-3.979039320256561E-9</v>
      </c>
      <c r="U18" s="11">
        <f>IF(OR(履歴データ!$A$18="",履歴データ!$A$17=""),"",60000*L18)</f>
        <v>179999.99999999916</v>
      </c>
      <c r="V18" s="11">
        <f>IF(OR(履歴データ!$A$18="",履歴データ!$A$17=""),"",-50000*M18)</f>
        <v>-19999.999999998865</v>
      </c>
      <c r="W18" s="11">
        <f>IF(OR(履歴データ!$A$18="",履歴データ!$A$17=""),"",-40000*N18)</f>
        <v>39999.999999999149</v>
      </c>
      <c r="X18" s="11">
        <f>IF(OR(履歴データ!$A$18="",履歴データ!$A$17=""),"",120*1000000*(-Q18/H17))</f>
        <v>923224.76085612492</v>
      </c>
      <c r="Y18" s="11">
        <f>IF(OR(履歴データ!$A$18="",履歴データ!$A$17=""),"",40000*(-S18)+(-506.3)*R18*1000)</f>
        <v>22396.87499999901</v>
      </c>
      <c r="Z18" s="11">
        <f>IF(OR(履歴データ!$A$18="",履歴データ!$A$17=""),"",-40000*O18)</f>
        <v>-55199.999999998683</v>
      </c>
      <c r="AA18" s="11">
        <f>IF(OR(履歴データ!$A$18="",履歴データ!$A$17=""),"",-40000*P18)</f>
        <v>126091.42578125102</v>
      </c>
      <c r="AB18" s="11">
        <f>IF(履歴データ!$A$18="","",123.3)</f>
        <v>123.3</v>
      </c>
      <c r="AC18">
        <f>IF(履歴データ!$A$18="","",SUM(T18:AA18))</f>
        <v>1216513.0616373718</v>
      </c>
      <c r="AD18" s="29">
        <f>IF(履歴データ!$A$18="","",AC18/1000000)</f>
        <v>1.2165130616373718</v>
      </c>
      <c r="AE18" s="29">
        <f>IF(履歴データ!$A$18="",AE17,AE17+AC18/1000000)</f>
        <v>101.09510038874623</v>
      </c>
      <c r="AF18" s="12">
        <f>IF(OR(履歴データ!$A$18="",AE17=0),"",(AE18-AE17)/AE17)</f>
        <v>1.2179918581078969E-2</v>
      </c>
      <c r="AG18" s="29">
        <f t="shared" si="2"/>
        <v>101.20975427843871</v>
      </c>
      <c r="AH18" s="12">
        <f>IF(OR(履歴データ!$A$18="",AG18=0),"",AE18/AG18-1)</f>
        <v>-1.132834384490744E-3</v>
      </c>
      <c r="AJ18" s="28">
        <f t="shared" ca="1" si="0"/>
        <v>-36.076407591600535</v>
      </c>
      <c r="AK18" s="28">
        <f t="shared" ca="1" si="1"/>
        <v>-44.864768878987725</v>
      </c>
    </row>
    <row r="19" spans="1:37">
      <c r="A19" s="10">
        <f>IF(履歴データ!$A$19="","",履歴データ!$A$19)</f>
        <v>44953</v>
      </c>
      <c r="B19" s="28">
        <f>IF(履歴データ!$A$19="","",(履歴データ!$D$19-(履歴データ!$B$19+履歴データ!$F$19)/2)*100)</f>
        <v>-39.5</v>
      </c>
      <c r="C19" s="28">
        <f>IF(履歴データ!$A$19="","",(履歴データ!$H$19-(履歴データ!$G$19+履歴データ!$J$19)/2)*100)</f>
        <v>-29.049999999999997</v>
      </c>
      <c r="D19" s="28">
        <f>IF(履歴データ!$A$19="","",(履歴データ!$D$19-履歴データ!$H$19)*100)</f>
        <v>302.3</v>
      </c>
      <c r="E19" s="28">
        <f>IF(履歴データ!$A$19="","",(履歴データ!$D$19-履歴データ!$C$19)*100)</f>
        <v>-10.000000000000009</v>
      </c>
      <c r="F19" s="28">
        <f>IF(履歴データ!$A$19="","",(履歴データ!$R$19-履歴データ!$D$19)*100)</f>
        <v>-151.14999999999998</v>
      </c>
      <c r="G19" s="28">
        <f>IF(履歴データ!$A$19="","",(履歴データ!$S$19-履歴データ!$R$19)*100)</f>
        <v>-151.68599999999998</v>
      </c>
      <c r="H19" s="29">
        <f>IF(履歴データ!$A$19="","",履歴データ!$O$19)</f>
        <v>129.80000305175781</v>
      </c>
      <c r="I19" s="29">
        <f>IF(履歴データ!$A$19="","",履歴データ!$Q$19)</f>
        <v>114.609375</v>
      </c>
      <c r="J19" s="29">
        <f>IF(履歴データ!$A$19="","",履歴データ!$D$19)</f>
        <v>3.52</v>
      </c>
      <c r="K19" s="28">
        <f>IF(OR(履歴データ!$A$19="",履歴データ!$A$18=""),"",B19-B18)</f>
        <v>0.99999999999997868</v>
      </c>
      <c r="L19" s="28">
        <f>IF(OR(履歴データ!$A$19="",履歴データ!$A$18=""),"",C19-C18)</f>
        <v>-1.4999999999999893</v>
      </c>
      <c r="M19" s="28">
        <f>IF(OR(履歴データ!$A$19="",履歴データ!$A$18=""),"",D19-D18)</f>
        <v>1.6000000000000227</v>
      </c>
      <c r="N19" s="28">
        <f>IF(OR(履歴データ!$A$19="",履歴データ!$A$18=""),"",E19-E18)</f>
        <v>-1.0000000000000231</v>
      </c>
      <c r="O19" s="28">
        <f>IF(OR(履歴データ!$A$19="",履歴データ!$A$18=""),"",F19-F18)</f>
        <v>6.9200000000000443</v>
      </c>
      <c r="P19" s="28">
        <f>IF(OR(履歴データ!$A$19="",履歴データ!$A$18=""),"",G19-G18)</f>
        <v>-1.3253571777341051</v>
      </c>
      <c r="Q19" s="29">
        <f>IF(OR(履歴データ!$A$19="",履歴データ!$A$18=""),"",H19-H18)</f>
        <v>0.5630035400390625</v>
      </c>
      <c r="R19" s="29">
        <f>IF(OR(履歴データ!$A$19="",履歴データ!$A$18=""),"",I19-I18)</f>
        <v>-0.25</v>
      </c>
      <c r="S19" s="28">
        <f>IF(OR(履歴データ!$A$19="",履歴データ!$A$18=""),"",(J19-J18)*100)</f>
        <v>2.9999999999999805</v>
      </c>
      <c r="T19" s="11">
        <f>IF(OR(履歴データ!$A$19="",履歴データ!$A$18=""),"",-80000*K19)</f>
        <v>-79999.999999998297</v>
      </c>
      <c r="U19" s="11">
        <f>IF(OR(履歴データ!$A$19="",履歴データ!$A$18=""),"",60000*L19)</f>
        <v>-89999.99999999936</v>
      </c>
      <c r="V19" s="11">
        <f>IF(OR(履歴データ!$A$19="",履歴データ!$A$18=""),"",-50000*M19)</f>
        <v>-80000.000000001135</v>
      </c>
      <c r="W19" s="11">
        <f>IF(OR(履歴データ!$A$19="",履歴データ!$A$18=""),"",-40000*N19)</f>
        <v>40000.000000000924</v>
      </c>
      <c r="X19" s="11">
        <f>IF(OR(履歴データ!$A$19="",履歴データ!$A$18=""),"",120*1000000*(-Q19/H18))</f>
        <v>-522763.79875688284</v>
      </c>
      <c r="Y19" s="11">
        <f>IF(OR(履歴データ!$A$19="",履歴データ!$A$18=""),"",40000*(-S19)+(-506.3)*R19*1000)</f>
        <v>6575.0000000007858</v>
      </c>
      <c r="Z19" s="11">
        <f>IF(OR(履歴データ!$A$19="",履歴データ!$A$18=""),"",-40000*O19)</f>
        <v>-276800.00000000175</v>
      </c>
      <c r="AA19" s="11">
        <f>IF(OR(履歴データ!$A$19="",履歴データ!$A$18=""),"",-40000*P19)</f>
        <v>53014.287109364202</v>
      </c>
      <c r="AB19" s="11">
        <f>IF(履歴データ!$A$19="","",123.3)</f>
        <v>123.3</v>
      </c>
      <c r="AC19">
        <f>IF(履歴データ!$A$19="","",SUM(T19:AA19))</f>
        <v>-949974.51164751744</v>
      </c>
      <c r="AD19" s="29">
        <f>IF(履歴データ!$A$19="","",AC19/1000000)</f>
        <v>-0.94997451164751745</v>
      </c>
      <c r="AE19" s="29">
        <f>IF(履歴データ!$A$19="",AE18,AE18+AC19/1000000)</f>
        <v>100.14512587709872</v>
      </c>
      <c r="AF19" s="12">
        <f>IF(OR(履歴データ!$A$19="",AE18=0),"",(AE19-AE18)/AE18)</f>
        <v>-9.3968402820168821E-3</v>
      </c>
      <c r="AG19" s="29">
        <f t="shared" si="2"/>
        <v>101.20975427843871</v>
      </c>
      <c r="AH19" s="12">
        <f>IF(OR(履歴データ!$A$19="",AG19=0),"",AE19/AG19-1)</f>
        <v>-1.0519029602730656E-2</v>
      </c>
      <c r="AJ19" s="28">
        <f t="shared" ca="1" si="0"/>
        <v>-36.12920203810399</v>
      </c>
      <c r="AK19" s="28">
        <f t="shared" ca="1" si="1"/>
        <v>-44.704131295229367</v>
      </c>
    </row>
    <row r="20" spans="1:37">
      <c r="A20" s="10">
        <f>IF(履歴データ!$A$20="","",履歴データ!$A$20)</f>
        <v>44956</v>
      </c>
      <c r="B20" s="28">
        <f>IF(履歴データ!$A$20="","",(履歴データ!$D$20-(履歴データ!$B$20+履歴データ!$F$20)/2)*100)</f>
        <v>-40.500000000000028</v>
      </c>
      <c r="C20" s="28">
        <f>IF(履歴データ!$A$20="","",(履歴データ!$H$20-(履歴データ!$G$20+履歴データ!$J$20)/2)*100)</f>
        <v>-29.900000000000006</v>
      </c>
      <c r="D20" s="28">
        <f>IF(履歴データ!$A$20="","",(履歴データ!$D$20-履歴データ!$H$20)*100)</f>
        <v>305.3</v>
      </c>
      <c r="E20" s="28">
        <f>IF(履歴データ!$A$20="","",(履歴データ!$D$20-履歴データ!$C$20)*100)</f>
        <v>-13.000000000000034</v>
      </c>
      <c r="F20" s="28">
        <f>IF(履歴データ!$A$20="","",(履歴データ!$R$20-履歴データ!$D$20)*100)</f>
        <v>-147.07999999999996</v>
      </c>
      <c r="G20" s="28">
        <f>IF(履歴データ!$A$20="","",(履歴データ!$S$20-履歴データ!$R$20)*100)</f>
        <v>-160.8608214111328</v>
      </c>
      <c r="H20" s="29">
        <f>IF(履歴データ!$A$20="","",履歴データ!$O$20)</f>
        <v>129.85400390625</v>
      </c>
      <c r="I20" s="29">
        <f>IF(履歴データ!$A$20="","",履歴データ!$Q$20)</f>
        <v>114.28125</v>
      </c>
      <c r="J20" s="29">
        <f>IF(履歴データ!$A$20="","",履歴データ!$D$20)</f>
        <v>3.55</v>
      </c>
      <c r="K20" s="28">
        <f>IF(OR(履歴データ!$A$20="",履歴データ!$A$19=""),"",B20-B19)</f>
        <v>-1.0000000000000284</v>
      </c>
      <c r="L20" s="28">
        <f>IF(OR(履歴データ!$A$20="",履歴データ!$A$19=""),"",C20-C19)</f>
        <v>-0.85000000000000853</v>
      </c>
      <c r="M20" s="28">
        <f>IF(OR(履歴データ!$A$20="",履歴データ!$A$19=""),"",D20-D19)</f>
        <v>3</v>
      </c>
      <c r="N20" s="28">
        <f>IF(OR(履歴データ!$A$20="",履歴データ!$A$19=""),"",E20-E19)</f>
        <v>-3.0000000000000249</v>
      </c>
      <c r="O20" s="28">
        <f>IF(OR(履歴データ!$A$20="",履歴データ!$A$19=""),"",F20-F19)</f>
        <v>4.0700000000000216</v>
      </c>
      <c r="P20" s="28">
        <f>IF(OR(履歴データ!$A$20="",履歴データ!$A$19=""),"",G20-G19)</f>
        <v>-9.1748214111328252</v>
      </c>
      <c r="Q20" s="29">
        <f>IF(OR(履歴データ!$A$20="",履歴データ!$A$19=""),"",H20-H19)</f>
        <v>5.40008544921875E-2</v>
      </c>
      <c r="R20" s="29">
        <f>IF(OR(履歴データ!$A$20="",履歴データ!$A$19=""),"",I20-I19)</f>
        <v>-0.328125</v>
      </c>
      <c r="S20" s="28">
        <f>IF(OR(履歴データ!$A$20="",履歴データ!$A$19=""),"",(J20-J19)*100)</f>
        <v>2.9999999999999805</v>
      </c>
      <c r="T20" s="11">
        <f>IF(OR(履歴データ!$A$20="",履歴データ!$A$19=""),"",-80000*K20)</f>
        <v>80000.00000000227</v>
      </c>
      <c r="U20" s="11">
        <f>IF(OR(履歴データ!$A$20="",履歴データ!$A$19=""),"",60000*L20)</f>
        <v>-51000.000000000509</v>
      </c>
      <c r="V20" s="11">
        <f>IF(OR(履歴データ!$A$20="",履歴データ!$A$19=""),"",-50000*M20)</f>
        <v>-150000</v>
      </c>
      <c r="W20" s="11">
        <f>IF(OR(履歴データ!$A$20="",履歴データ!$A$19=""),"",-40000*N20)</f>
        <v>120000.00000000099</v>
      </c>
      <c r="X20" s="11">
        <f>IF(OR(履歴データ!$A$20="",履歴データ!$A$19=""),"",120*1000000*(-Q20/H19))</f>
        <v>-49923.747201134938</v>
      </c>
      <c r="Y20" s="11">
        <f>IF(OR(履歴データ!$A$20="",履歴データ!$A$19=""),"",40000*(-S20)+(-506.3)*R20*1000)</f>
        <v>46129.687500000815</v>
      </c>
      <c r="Z20" s="11">
        <f>IF(OR(履歴データ!$A$20="",履歴データ!$A$19=""),"",-40000*O20)</f>
        <v>-162800.00000000087</v>
      </c>
      <c r="AA20" s="11">
        <f>IF(OR(履歴データ!$A$20="",履歴データ!$A$19=""),"",-40000*P20)</f>
        <v>366992.85644531302</v>
      </c>
      <c r="AB20" s="11">
        <f>IF(履歴データ!$A$20="","",123.3)</f>
        <v>123.3</v>
      </c>
      <c r="AC20">
        <f>IF(履歴データ!$A$20="","",SUM(T20:AA20))</f>
        <v>199398.79674418079</v>
      </c>
      <c r="AD20" s="29">
        <f>IF(履歴データ!$A$20="","",AC20/1000000)</f>
        <v>0.19939879674418079</v>
      </c>
      <c r="AE20" s="29">
        <f>IF(履歴データ!$A$20="",AE19,AE19+AC20/1000000)</f>
        <v>100.3445246738429</v>
      </c>
      <c r="AF20" s="12">
        <f>IF(OR(履歴データ!$A$20="",AE19=0),"",(AE20-AE19)/AE19)</f>
        <v>1.991098368470627E-3</v>
      </c>
      <c r="AG20" s="29">
        <f t="shared" si="2"/>
        <v>101.20975427843871</v>
      </c>
      <c r="AH20" s="12">
        <f>IF(OR(履歴データ!$A$20="",AG20=0),"",AE20/AG20-1)</f>
        <v>-8.5488756569398472E-3</v>
      </c>
      <c r="AJ20" s="28">
        <f t="shared" ca="1" si="0"/>
        <v>-36.254210530009125</v>
      </c>
      <c r="AK20" s="28">
        <f t="shared" ca="1" si="1"/>
        <v>-44.587894733148794</v>
      </c>
    </row>
    <row r="21" spans="1:37">
      <c r="A21" s="10">
        <f>IF(履歴データ!$A$21="","",履歴データ!$A$21)</f>
        <v>44957</v>
      </c>
      <c r="B21" s="28">
        <f>IF(履歴データ!$A$21="","",(履歴データ!$D$21-(履歴データ!$B$21+履歴データ!$F$21)/2)*100)</f>
        <v>-40.999999999999972</v>
      </c>
      <c r="C21" s="28">
        <f>IF(履歴データ!$A$21="","",(履歴データ!$H$21-(履歴データ!$G$21+履歴データ!$J$21)/2)*100)</f>
        <v>-28.400000000000002</v>
      </c>
      <c r="D21" s="28">
        <f>IF(履歴データ!$A$21="","",(履歴データ!$D$21-履歴データ!$H$21)*100)</f>
        <v>300.89999999999998</v>
      </c>
      <c r="E21" s="28">
        <f>IF(履歴データ!$A$21="","",(履歴データ!$D$21-履歴データ!$C$21)*100)</f>
        <v>-10.999999999999988</v>
      </c>
      <c r="F21" s="28">
        <f>IF(履歴データ!$A$21="","",(履歴データ!$R$21-履歴データ!$D$21)*100)</f>
        <v>-137.78</v>
      </c>
      <c r="G21" s="28">
        <f>IF(履歴データ!$A$21="","",(履歴データ!$S$21-履歴データ!$R$21)*100)</f>
        <v>-161.72335717773453</v>
      </c>
      <c r="H21" s="29">
        <f>IF(履歴データ!$A$21="","",履歴データ!$O$21)</f>
        <v>130.47900390625</v>
      </c>
      <c r="I21" s="29">
        <f>IF(履歴データ!$A$21="","",履歴データ!$Q$21)</f>
        <v>114.515625</v>
      </c>
      <c r="J21" s="29">
        <f>IF(履歴データ!$A$21="","",履歴データ!$D$21)</f>
        <v>3.52</v>
      </c>
      <c r="K21" s="28">
        <f>IF(OR(履歴データ!$A$21="",履歴データ!$A$20=""),"",B21-B20)</f>
        <v>-0.49999999999994316</v>
      </c>
      <c r="L21" s="28">
        <f>IF(OR(履歴データ!$A$21="",履歴データ!$A$20=""),"",C21-C20)</f>
        <v>1.5000000000000036</v>
      </c>
      <c r="M21" s="28">
        <f>IF(OR(履歴データ!$A$21="",履歴データ!$A$20=""),"",D21-D20)</f>
        <v>-4.4000000000000341</v>
      </c>
      <c r="N21" s="28">
        <f>IF(OR(履歴データ!$A$21="",履歴データ!$A$20=""),"",E21-E20)</f>
        <v>2.0000000000000462</v>
      </c>
      <c r="O21" s="28">
        <f>IF(OR(履歴データ!$A$21="",履歴データ!$A$20=""),"",F21-F20)</f>
        <v>9.2999999999999545</v>
      </c>
      <c r="P21" s="28">
        <f>IF(OR(履歴データ!$A$21="",履歴データ!$A$20=""),"",G21-G20)</f>
        <v>-0.86253576660172371</v>
      </c>
      <c r="Q21" s="29">
        <f>IF(OR(履歴データ!$A$21="",履歴データ!$A$20=""),"",H21-H20)</f>
        <v>0.625</v>
      </c>
      <c r="R21" s="29">
        <f>IF(OR(履歴データ!$A$21="",履歴データ!$A$20=""),"",I21-I20)</f>
        <v>0.234375</v>
      </c>
      <c r="S21" s="28">
        <f>IF(OR(履歴データ!$A$21="",履歴データ!$A$20=""),"",(J21-J20)*100)</f>
        <v>-2.9999999999999805</v>
      </c>
      <c r="T21" s="11">
        <f>IF(OR(履歴データ!$A$21="",履歴データ!$A$20=""),"",-80000*K21)</f>
        <v>39999.999999995453</v>
      </c>
      <c r="U21" s="11">
        <f>IF(OR(履歴データ!$A$21="",履歴データ!$A$20=""),"",60000*L21)</f>
        <v>90000.000000000218</v>
      </c>
      <c r="V21" s="11">
        <f>IF(OR(履歴データ!$A$21="",履歴データ!$A$20=""),"",-50000*M21)</f>
        <v>220000.00000000172</v>
      </c>
      <c r="W21" s="11">
        <f>IF(OR(履歴データ!$A$21="",履歴データ!$A$20=""),"",-40000*N21)</f>
        <v>-80000.000000001848</v>
      </c>
      <c r="X21" s="11">
        <f>IF(OR(履歴データ!$A$21="",履歴データ!$A$20=""),"",120*1000000*(-Q21/H20))</f>
        <v>-577571.71703498147</v>
      </c>
      <c r="Y21" s="11">
        <f>IF(OR(履歴データ!$A$21="",履歴データ!$A$20=""),"",40000*(-S21)+(-506.3)*R21*1000)</f>
        <v>1335.9374999992142</v>
      </c>
      <c r="Z21" s="11">
        <f>IF(OR(履歴データ!$A$21="",履歴データ!$A$20=""),"",-40000*O21)</f>
        <v>-371999.9999999982</v>
      </c>
      <c r="AA21" s="11">
        <f>IF(OR(履歴データ!$A$21="",履歴データ!$A$20=""),"",-40000*P21)</f>
        <v>34501.430664068946</v>
      </c>
      <c r="AB21" s="11">
        <f>IF(履歴データ!$A$21="","",123.3)</f>
        <v>123.3</v>
      </c>
      <c r="AC21">
        <f>IF(履歴データ!$A$21="","",SUM(T21:AA21))</f>
        <v>-643734.34887091594</v>
      </c>
      <c r="AD21" s="29">
        <f>IF(履歴データ!$A$21="","",AC21/1000000)</f>
        <v>-0.64373434887091596</v>
      </c>
      <c r="AE21" s="29">
        <f>IF(履歴データ!$A$21="",AE20,AE20+AC21/1000000)</f>
        <v>99.700790324971976</v>
      </c>
      <c r="AF21" s="12">
        <f>IF(OR(履歴データ!$A$21="",AE20=0),"",(AE21-AE20)/AE20)</f>
        <v>-6.4152413992023807E-3</v>
      </c>
      <c r="AG21" s="29">
        <f t="shared" si="2"/>
        <v>101.20975427843871</v>
      </c>
      <c r="AH21" s="12">
        <f>IF(OR(履歴データ!$A$21="",AG21=0),"",AE21/AG21-1)</f>
        <v>-1.4909273955111213E-2</v>
      </c>
      <c r="AJ21" s="28">
        <f t="shared" ca="1" si="0"/>
        <v>-36.386037712566235</v>
      </c>
      <c r="AK21" s="28">
        <f t="shared" ca="1" si="1"/>
        <v>-44.513962287433785</v>
      </c>
    </row>
    <row r="22" spans="1:37">
      <c r="A22" s="10">
        <f>IF(履歴データ!$A$22="","",履歴データ!$A$22)</f>
        <v>44958</v>
      </c>
      <c r="B22" s="28">
        <f>IF(履歴データ!$A$22="","",(履歴データ!$D$22-(履歴データ!$B$22+履歴データ!$F$22)/2)*100)</f>
        <v>-42.999999999999972</v>
      </c>
      <c r="C22" s="28">
        <f>IF(履歴データ!$A$22="","",(履歴データ!$H$22-(履歴データ!$G$22+履歴データ!$J$22)/2)*100)</f>
        <v>-27.500000000000004</v>
      </c>
      <c r="D22" s="28">
        <f>IF(履歴データ!$A$22="","",(履歴データ!$D$22-履歴データ!$H$22)*100)</f>
        <v>289</v>
      </c>
      <c r="E22" s="28">
        <f>IF(履歴データ!$A$22="","",(履歴データ!$D$22-履歴データ!$C$22)*100)</f>
        <v>-8.9999999999999858</v>
      </c>
      <c r="F22" s="28">
        <f>IF(履歴データ!$A$22="","",(履歴データ!$R$22-履歴データ!$D$22)*100)</f>
        <v>-134.07</v>
      </c>
      <c r="G22" s="28">
        <f>IF(履歴データ!$A$22="","",(履歴データ!$S$22-履歴データ!$R$22)*100)</f>
        <v>-156.81835717773444</v>
      </c>
      <c r="H22" s="29">
        <f>IF(履歴データ!$A$22="","",履歴データ!$O$22)</f>
        <v>130.11000061035156</v>
      </c>
      <c r="I22" s="29">
        <f>IF(履歴データ!$A$22="","",履歴データ!$Q$22)</f>
        <v>115.484375</v>
      </c>
      <c r="J22" s="29">
        <f>IF(履歴データ!$A$22="","",履歴データ!$D$22)</f>
        <v>3.39</v>
      </c>
      <c r="K22" s="28">
        <f>IF(OR(履歴データ!$A$22="",履歴データ!$A$21=""),"",B22-B21)</f>
        <v>-2</v>
      </c>
      <c r="L22" s="28">
        <f>IF(OR(履歴データ!$A$22="",履歴データ!$A$21=""),"",C22-C21)</f>
        <v>0.89999999999999858</v>
      </c>
      <c r="M22" s="28">
        <f>IF(OR(履歴データ!$A$22="",履歴データ!$A$21=""),"",D22-D21)</f>
        <v>-11.899999999999977</v>
      </c>
      <c r="N22" s="28">
        <f>IF(OR(履歴データ!$A$22="",履歴データ!$A$21=""),"",E22-E21)</f>
        <v>2.0000000000000018</v>
      </c>
      <c r="O22" s="28">
        <f>IF(OR(履歴データ!$A$22="",履歴データ!$A$21=""),"",F22-F21)</f>
        <v>3.710000000000008</v>
      </c>
      <c r="P22" s="28">
        <f>IF(OR(履歴データ!$A$22="",履歴データ!$A$21=""),"",G22-G21)</f>
        <v>4.9050000000000864</v>
      </c>
      <c r="Q22" s="29">
        <f>IF(OR(履歴データ!$A$22="",履歴データ!$A$21=""),"",H22-H21)</f>
        <v>-0.3690032958984375</v>
      </c>
      <c r="R22" s="29">
        <f>IF(OR(履歴データ!$A$22="",履歴データ!$A$21=""),"",I22-I21)</f>
        <v>0.96875</v>
      </c>
      <c r="S22" s="28">
        <f>IF(OR(履歴データ!$A$22="",履歴データ!$A$21=""),"",(J22-J21)*100)</f>
        <v>-12.999999999999989</v>
      </c>
      <c r="T22" s="11">
        <f>IF(OR(履歴データ!$A$22="",履歴データ!$A$21=""),"",-80000*K22)</f>
        <v>160000</v>
      </c>
      <c r="U22" s="11">
        <f>IF(OR(履歴データ!$A$22="",履歴データ!$A$21=""),"",60000*L22)</f>
        <v>53999.999999999913</v>
      </c>
      <c r="V22" s="11">
        <f>IF(OR(履歴データ!$A$22="",履歴データ!$A$21=""),"",-50000*M22)</f>
        <v>594999.99999999884</v>
      </c>
      <c r="W22" s="11">
        <f>IF(OR(履歴データ!$A$22="",履歴データ!$A$21=""),"",-40000*N22)</f>
        <v>-80000.000000000073</v>
      </c>
      <c r="X22" s="11">
        <f>IF(OR(履歴データ!$A$22="",履歴データ!$A$21=""),"",120*1000000*(-Q22/H21))</f>
        <v>339367.97631922638</v>
      </c>
      <c r="Y22" s="11">
        <f>IF(OR(履歴データ!$A$22="",履歴データ!$A$21=""),"",40000*(-S22)+(-506.3)*R22*1000)</f>
        <v>29521.874999999534</v>
      </c>
      <c r="Z22" s="11">
        <f>IF(OR(履歴データ!$A$22="",履歴データ!$A$21=""),"",-40000*O22)</f>
        <v>-148400.00000000032</v>
      </c>
      <c r="AA22" s="11">
        <f>IF(OR(履歴データ!$A$22="",履歴データ!$A$21=""),"",-40000*P22)</f>
        <v>-196200.00000000346</v>
      </c>
      <c r="AB22" s="11">
        <f>IF(履歴データ!$A$22="","",123.3)</f>
        <v>123.3</v>
      </c>
      <c r="AC22">
        <f>IF(履歴データ!$A$22="","",SUM(T22:AA22))</f>
        <v>753289.85131922073</v>
      </c>
      <c r="AD22" s="29">
        <f>IF(履歴データ!$A$22="","",AC22/1000000)</f>
        <v>0.75328985131922077</v>
      </c>
      <c r="AE22" s="29">
        <f>IF(履歴データ!$A$22="",AE21,AE21+AC22/1000000)</f>
        <v>100.4540801762912</v>
      </c>
      <c r="AF22" s="12">
        <f>IF(OR(履歴データ!$A$22="",AE21=0),"",(AE22-AE21)/AE21)</f>
        <v>7.5555053160952504E-3</v>
      </c>
      <c r="AG22" s="29">
        <f t="shared" si="2"/>
        <v>101.20975427843871</v>
      </c>
      <c r="AH22" s="12">
        <f>IF(OR(履歴データ!$A$22="",AG22=0),"",AE22/AG22-1)</f>
        <v>-7.4664157376429507E-3</v>
      </c>
      <c r="AJ22" s="28">
        <f t="shared" ca="1" si="0"/>
        <v>-36.456994050310144</v>
      </c>
      <c r="AK22" s="28">
        <f t="shared" ca="1" si="1"/>
        <v>-44.685863092547024</v>
      </c>
    </row>
    <row r="23" spans="1:37">
      <c r="A23" s="10">
        <f>IF(履歴データ!$A$23="","",履歴データ!$A$23)</f>
        <v>44959</v>
      </c>
      <c r="B23" s="28">
        <f>IF(履歴データ!$A$23="","",(履歴データ!$D$23-(履歴データ!$B$23+履歴データ!$F$23)/2)*100)</f>
        <v>-41.999999999999993</v>
      </c>
      <c r="C23" s="28">
        <f>IF(履歴データ!$A$23="","",(履歴データ!$H$23-(履歴データ!$G$23+履歴データ!$J$23)/2)*100)</f>
        <v>-24.049999999999994</v>
      </c>
      <c r="D23" s="28">
        <f>IF(履歴データ!$A$23="","",(履歴データ!$D$23-履歴データ!$H$23)*100)</f>
        <v>288.5</v>
      </c>
      <c r="E23" s="28">
        <f>IF(履歴データ!$A$23="","",(履歴データ!$D$23-履歴データ!$C$23)*100)</f>
        <v>-9.0000000000000302</v>
      </c>
      <c r="F23" s="28">
        <f>IF(履歴データ!$A$23="","",(履歴データ!$R$23-履歴データ!$D$23)*100)</f>
        <v>-142.03</v>
      </c>
      <c r="G23" s="28">
        <f>IF(履歴データ!$A$23="","",(履歴データ!$S$23-履歴データ!$R$23)*100)</f>
        <v>-154.06800000000007</v>
      </c>
      <c r="H23" s="29">
        <f>IF(履歴データ!$A$23="","",履歴データ!$O$23)</f>
        <v>128.62199401855469</v>
      </c>
      <c r="I23" s="29">
        <f>IF(履歴データ!$A$23="","",履歴データ!$Q$23)</f>
        <v>115.546875</v>
      </c>
      <c r="J23" s="29">
        <f>IF(履歴データ!$A$23="","",履歴データ!$D$23)</f>
        <v>3.4</v>
      </c>
      <c r="K23" s="28">
        <f>IF(OR(履歴データ!$A$23="",履歴データ!$A$22=""),"",B23-B22)</f>
        <v>0.99999999999997868</v>
      </c>
      <c r="L23" s="28">
        <f>IF(OR(履歴データ!$A$23="",履歴データ!$A$22=""),"",C23-C22)</f>
        <v>3.4500000000000099</v>
      </c>
      <c r="M23" s="28">
        <f>IF(OR(履歴データ!$A$23="",履歴データ!$A$22=""),"",D23-D22)</f>
        <v>-0.5</v>
      </c>
      <c r="N23" s="28">
        <f>IF(OR(履歴データ!$A$23="",履歴データ!$A$22=""),"",E23-E22)</f>
        <v>-4.4408920985006262E-14</v>
      </c>
      <c r="O23" s="28">
        <f>IF(OR(履歴データ!$A$23="",履歴データ!$A$22=""),"",F23-F22)</f>
        <v>-7.960000000000008</v>
      </c>
      <c r="P23" s="28">
        <f>IF(OR(履歴データ!$A$23="",履歴データ!$A$22=""),"",G23-G22)</f>
        <v>2.7503571777343723</v>
      </c>
      <c r="Q23" s="29">
        <f>IF(OR(履歴データ!$A$23="",履歴データ!$A$22=""),"",H23-H22)</f>
        <v>-1.488006591796875</v>
      </c>
      <c r="R23" s="29">
        <f>IF(OR(履歴データ!$A$23="",履歴データ!$A$22=""),"",I23-I22)</f>
        <v>6.25E-2</v>
      </c>
      <c r="S23" s="28">
        <f>IF(OR(履歴データ!$A$23="",履歴データ!$A$22=""),"",(J23-J22)*100)</f>
        <v>0.99999999999997868</v>
      </c>
      <c r="T23" s="11">
        <f>IF(OR(履歴データ!$A$23="",履歴データ!$A$22=""),"",-80000*K23)</f>
        <v>-79999.999999998297</v>
      </c>
      <c r="U23" s="11">
        <f>IF(OR(履歴データ!$A$23="",履歴データ!$A$22=""),"",60000*L23)</f>
        <v>207000.00000000061</v>
      </c>
      <c r="V23" s="11">
        <f>IF(OR(履歴データ!$A$23="",履歴データ!$A$22=""),"",-50000*M23)</f>
        <v>25000</v>
      </c>
      <c r="W23" s="11">
        <f>IF(OR(履歴データ!$A$23="",履歴データ!$A$22=""),"",-40000*N23)</f>
        <v>1.7763568394002505E-9</v>
      </c>
      <c r="X23" s="11">
        <f>IF(OR(履歴データ!$A$23="",履歴データ!$A$22=""),"",120*1000000*(-Q23/H22))</f>
        <v>1372383.292429396</v>
      </c>
      <c r="Y23" s="11">
        <f>IF(OR(履歴データ!$A$23="",履歴データ!$A$22=""),"",40000*(-S23)+(-506.3)*R23*1000)</f>
        <v>-71643.749999999156</v>
      </c>
      <c r="Z23" s="11">
        <f>IF(OR(履歴データ!$A$23="",履歴データ!$A$22=""),"",-40000*O23)</f>
        <v>318400.00000000029</v>
      </c>
      <c r="AA23" s="11">
        <f>IF(OR(履歴データ!$A$23="",履歴データ!$A$22=""),"",-40000*P23)</f>
        <v>-110014.28710937488</v>
      </c>
      <c r="AB23" s="11">
        <f>IF(履歴データ!$A$23="","",123.3)</f>
        <v>123.3</v>
      </c>
      <c r="AC23">
        <f>IF(履歴データ!$A$23="","",SUM(T23:AA23))</f>
        <v>1661125.2553200265</v>
      </c>
      <c r="AD23" s="29">
        <f>IF(履歴データ!$A$23="","",AC23/1000000)</f>
        <v>1.6611252553200266</v>
      </c>
      <c r="AE23" s="29">
        <f>IF(履歴データ!$A$23="",AE22,AE22+AC23/1000000)</f>
        <v>102.11520543161123</v>
      </c>
      <c r="AF23" s="12">
        <f>IF(OR(履歴データ!$A$23="",AE22=0),"",(AE23-AE22)/AE22)</f>
        <v>1.6536165105537275E-2</v>
      </c>
      <c r="AG23" s="29">
        <f t="shared" si="2"/>
        <v>102.11520543161123</v>
      </c>
      <c r="AH23" s="12">
        <f>IF(OR(履歴データ!$A$23="",AG23=0),"",AE23/AG23-1)</f>
        <v>0</v>
      </c>
      <c r="AJ23" s="28">
        <f t="shared" ca="1" si="0"/>
        <v>-36.575143808096996</v>
      </c>
      <c r="AK23" s="28">
        <f t="shared" ca="1" si="1"/>
        <v>-44.697583464630299</v>
      </c>
    </row>
    <row r="24" spans="1:37">
      <c r="A24" s="10">
        <f>IF(履歴データ!$A$24="","",履歴データ!$A$24)</f>
        <v>44960</v>
      </c>
      <c r="B24" s="28">
        <f>IF(履歴データ!$A$24="","",(履歴データ!$D$24-(履歴データ!$B$24+履歴データ!$F$24)/2)*100)</f>
        <v>-43.500000000000007</v>
      </c>
      <c r="C24" s="28">
        <f>IF(履歴データ!$A$24="","",(履歴データ!$H$24-(履歴データ!$G$24+履歴データ!$J$24)/2)*100)</f>
        <v>-24.749999999999993</v>
      </c>
      <c r="D24" s="28">
        <f>IF(履歴データ!$A$24="","",(履歴データ!$D$24-履歴データ!$H$24)*100)</f>
        <v>302.7</v>
      </c>
      <c r="E24" s="28">
        <f>IF(履歴データ!$A$24="","",(履歴データ!$D$24-履歴データ!$C$24)*100)</f>
        <v>-14.000000000000012</v>
      </c>
      <c r="F24" s="28">
        <f>IF(履歴データ!$A$24="","",(履歴データ!$R$24-履歴データ!$D$24)*100)</f>
        <v>-192.39999999999998</v>
      </c>
      <c r="G24" s="28">
        <f>IF(履歴データ!$A$24="","",(履歴データ!$S$24-履歴データ!$R$24)*100)</f>
        <v>-117.57500000000027</v>
      </c>
      <c r="H24" s="29">
        <f>IF(履歴データ!$A$24="","",履歴データ!$O$24)</f>
        <v>128.74600219726563</v>
      </c>
      <c r="I24" s="29">
        <f>IF(履歴データ!$A$24="","",履歴データ!$Q$24)</f>
        <v>114.421875</v>
      </c>
      <c r="J24" s="29">
        <f>IF(履歴データ!$A$24="","",履歴データ!$D$24)</f>
        <v>3.53</v>
      </c>
      <c r="K24" s="28">
        <f>IF(OR(履歴データ!$A$24="",履歴データ!$A$23=""),"",B24-B23)</f>
        <v>-1.5000000000000142</v>
      </c>
      <c r="L24" s="28">
        <f>IF(OR(履歴データ!$A$24="",履歴データ!$A$23=""),"",C24-C23)</f>
        <v>-0.69999999999999929</v>
      </c>
      <c r="M24" s="28">
        <f>IF(OR(履歴データ!$A$24="",履歴データ!$A$23=""),"",D24-D23)</f>
        <v>14.199999999999989</v>
      </c>
      <c r="N24" s="28">
        <f>IF(OR(履歴データ!$A$24="",履歴データ!$A$23=""),"",E24-E23)</f>
        <v>-4.9999999999999822</v>
      </c>
      <c r="O24" s="28">
        <f>IF(OR(履歴データ!$A$24="",履歴データ!$A$23=""),"",F24-F23)</f>
        <v>-50.369999999999976</v>
      </c>
      <c r="P24" s="28">
        <f>IF(OR(履歴データ!$A$24="",履歴データ!$A$23=""),"",G24-G23)</f>
        <v>36.492999999999796</v>
      </c>
      <c r="Q24" s="29">
        <f>IF(OR(履歴データ!$A$24="",履歴データ!$A$23=""),"",H24-H23)</f>
        <v>0.1240081787109375</v>
      </c>
      <c r="R24" s="29">
        <f>IF(OR(履歴データ!$A$24="",履歴データ!$A$23=""),"",I24-I23)</f>
        <v>-1.125</v>
      </c>
      <c r="S24" s="28">
        <f>IF(OR(履歴データ!$A$24="",履歴データ!$A$23=""),"",(J24-J23)*100)</f>
        <v>12.999999999999989</v>
      </c>
      <c r="T24" s="11">
        <f>IF(OR(履歴データ!$A$24="",履歴データ!$A$23=""),"",-80000*K24)</f>
        <v>120000.00000000114</v>
      </c>
      <c r="U24" s="11">
        <f>IF(OR(履歴データ!$A$24="",履歴データ!$A$23=""),"",60000*L24)</f>
        <v>-41999.999999999956</v>
      </c>
      <c r="V24" s="11">
        <f>IF(OR(履歴データ!$A$24="",履歴データ!$A$23=""),"",-50000*M24)</f>
        <v>-709999.99999999942</v>
      </c>
      <c r="W24" s="11">
        <f>IF(OR(履歴データ!$A$24="",履歴データ!$A$23=""),"",-40000*N24)</f>
        <v>199999.9999999993</v>
      </c>
      <c r="X24" s="11">
        <f>IF(OR(履歴データ!$A$24="",履歴データ!$A$23=""),"",120*1000000*(-Q24/H23))</f>
        <v>-115695.46529628367</v>
      </c>
      <c r="Y24" s="11">
        <f>IF(OR(履歴データ!$A$24="",履歴データ!$A$23=""),"",40000*(-S24)+(-506.3)*R24*1000)</f>
        <v>49587.500000000407</v>
      </c>
      <c r="Z24" s="11">
        <f>IF(OR(履歴データ!$A$24="",履歴データ!$A$23=""),"",-40000*O24)</f>
        <v>2014799.9999999991</v>
      </c>
      <c r="AA24" s="11">
        <f>IF(OR(履歴データ!$A$24="",履歴データ!$A$23=""),"",-40000*P24)</f>
        <v>-1459719.9999999919</v>
      </c>
      <c r="AB24" s="11">
        <f>IF(履歴データ!$A$24="","",123.3)</f>
        <v>123.3</v>
      </c>
      <c r="AC24">
        <f>IF(履歴データ!$A$24="","",SUM(T24:AA24))</f>
        <v>56972.034703725018</v>
      </c>
      <c r="AD24" s="29">
        <f>IF(履歴データ!$A$24="","",AC24/1000000)</f>
        <v>5.697203470372502E-2</v>
      </c>
      <c r="AE24" s="29">
        <f>IF(履歴データ!$A$24="",AE23,AE23+AC24/1000000)</f>
        <v>102.17217746631495</v>
      </c>
      <c r="AF24" s="12">
        <f>IF(OR(履歴データ!$A$24="",AE23=0),"",(AE24-AE23)/AE23)</f>
        <v>5.5791920961148576E-4</v>
      </c>
      <c r="AG24" s="29">
        <f t="shared" si="2"/>
        <v>102.17217746631495</v>
      </c>
      <c r="AH24" s="12">
        <f>IF(OR(履歴データ!$A$24="",AG24=0),"",AE24/AG24-1)</f>
        <v>0</v>
      </c>
      <c r="AJ24" s="28">
        <f t="shared" ca="1" si="0"/>
        <v>-36.617204463606505</v>
      </c>
      <c r="AK24" s="28">
        <f t="shared" ca="1" si="1"/>
        <v>-44.90453466682829</v>
      </c>
    </row>
    <row r="25" spans="1:37">
      <c r="A25" s="10">
        <f>IF(履歴データ!$A$25="","",履歴データ!$A$25)</f>
        <v>44963</v>
      </c>
      <c r="B25" s="28">
        <f>IF(履歴データ!$A$25="","",(履歴データ!$D$25-(履歴データ!$B$25+履歴データ!$F$25)/2)*100)</f>
        <v>-42.499999999999986</v>
      </c>
      <c r="C25" s="28">
        <f>IF(履歴データ!$A$25="","",(履歴データ!$H$25-(履歴データ!$G$25+履歴データ!$J$25)/2)*100)</f>
        <v>-24.6</v>
      </c>
      <c r="D25" s="28">
        <f>IF(履歴データ!$A$25="","",(履歴データ!$D$25-履歴データ!$H$25)*100)</f>
        <v>311.89999999999998</v>
      </c>
      <c r="E25" s="28">
        <f>IF(履歴データ!$A$25="","",(履歴データ!$D$25-履歴データ!$C$25)*100)</f>
        <v>-18.000000000000014</v>
      </c>
      <c r="F25" s="28">
        <f>IF(履歴データ!$A$25="","",(履歴データ!$R$25-履歴データ!$D$25)*100)</f>
        <v>-197.89999999999998</v>
      </c>
      <c r="G25" s="28">
        <f>IF(履歴データ!$A$25="","",(履歴データ!$S$25-履歴データ!$R$25)*100)</f>
        <v>-119.26864282226578</v>
      </c>
      <c r="H25" s="29">
        <f>IF(履歴データ!$A$25="","",履歴データ!$O$25)</f>
        <v>132.00900268554688</v>
      </c>
      <c r="I25" s="29">
        <f>IF(履歴データ!$A$25="","",履歴データ!$Q$25)</f>
        <v>113.5</v>
      </c>
      <c r="J25" s="29">
        <f>IF(履歴データ!$A$25="","",履歴データ!$D$25)</f>
        <v>3.63</v>
      </c>
      <c r="K25" s="28">
        <f>IF(OR(履歴データ!$A$25="",履歴データ!$A$24=""),"",B25-B24)</f>
        <v>1.0000000000000213</v>
      </c>
      <c r="L25" s="28">
        <f>IF(OR(履歴データ!$A$25="",履歴データ!$A$24=""),"",C25-C24)</f>
        <v>0.14999999999999147</v>
      </c>
      <c r="M25" s="28">
        <f>IF(OR(履歴データ!$A$25="",履歴データ!$A$24=""),"",D25-D24)</f>
        <v>9.1999999999999886</v>
      </c>
      <c r="N25" s="28">
        <f>IF(OR(履歴データ!$A$25="",履歴データ!$A$24=""),"",E25-E24)</f>
        <v>-4.0000000000000018</v>
      </c>
      <c r="O25" s="28">
        <f>IF(OR(履歴データ!$A$25="",履歴データ!$A$24=""),"",F25-F24)</f>
        <v>-5.5</v>
      </c>
      <c r="P25" s="28">
        <f>IF(OR(履歴データ!$A$25="",履歴データ!$A$24=""),"",G25-G24)</f>
        <v>-1.6936428222655024</v>
      </c>
      <c r="Q25" s="29">
        <f>IF(OR(履歴データ!$A$25="",履歴データ!$A$24=""),"",H25-H24)</f>
        <v>3.26300048828125</v>
      </c>
      <c r="R25" s="29">
        <f>IF(OR(履歴データ!$A$25="",履歴データ!$A$24=""),"",I25-I24)</f>
        <v>-0.921875</v>
      </c>
      <c r="S25" s="28">
        <f>IF(OR(履歴データ!$A$25="",履歴データ!$A$24=""),"",(J25-J24)*100)</f>
        <v>10.000000000000009</v>
      </c>
      <c r="T25" s="11">
        <f>IF(OR(履歴データ!$A$25="",履歴データ!$A$24=""),"",-80000*K25)</f>
        <v>-80000.000000001703</v>
      </c>
      <c r="U25" s="11">
        <f>IF(OR(履歴データ!$A$25="",履歴データ!$A$24=""),"",60000*L25)</f>
        <v>8999.9999999994889</v>
      </c>
      <c r="V25" s="11">
        <f>IF(OR(履歴データ!$A$25="",履歴データ!$A$24=""),"",-50000*M25)</f>
        <v>-459999.99999999942</v>
      </c>
      <c r="W25" s="11">
        <f>IF(OR(履歴データ!$A$25="",履歴データ!$A$24=""),"",-40000*N25)</f>
        <v>160000.00000000006</v>
      </c>
      <c r="X25" s="11">
        <f>IF(OR(履歴データ!$A$25="",履歴データ!$A$24=""),"",120*1000000*(-Q25/H24))</f>
        <v>-3041337.6097985446</v>
      </c>
      <c r="Y25" s="11">
        <f>IF(OR(履歴データ!$A$25="",履歴データ!$A$24=""),"",40000*(-S25)+(-506.3)*R25*1000)</f>
        <v>66745.312499999651</v>
      </c>
      <c r="Z25" s="11">
        <f>IF(OR(履歴データ!$A$25="",履歴データ!$A$24=""),"",-40000*O25)</f>
        <v>220000</v>
      </c>
      <c r="AA25" s="11">
        <f>IF(OR(履歴データ!$A$25="",履歴データ!$A$24=""),"",-40000*P25)</f>
        <v>67745.712890620096</v>
      </c>
      <c r="AB25" s="11">
        <f>IF(履歴データ!$A$25="","",123.3)</f>
        <v>123.3</v>
      </c>
      <c r="AC25">
        <f>IF(履歴データ!$A$25="","",SUM(T25:AA25))</f>
        <v>-3057846.5844079265</v>
      </c>
      <c r="AD25" s="29">
        <f>IF(履歴データ!$A$25="","",AC25/1000000)</f>
        <v>-3.0578465844079266</v>
      </c>
      <c r="AE25" s="29">
        <f>IF(履歴データ!$A$25="",AE24,AE24+AC25/1000000)</f>
        <v>99.114330881907023</v>
      </c>
      <c r="AF25" s="12">
        <f>IF(OR(履歴データ!$A$25="",AE24=0),"",(AE25-AE24)/AE24)</f>
        <v>-2.9928368566051796E-2</v>
      </c>
      <c r="AG25" s="29">
        <f t="shared" si="2"/>
        <v>102.17217746631495</v>
      </c>
      <c r="AH25" s="12">
        <f>IF(OR(履歴データ!$A$25="",AG25=0),"",AE25/AG25-1)</f>
        <v>-2.9928368566051744E-2</v>
      </c>
      <c r="AJ25" s="28">
        <f t="shared" ca="1" si="0"/>
        <v>-36.719024614741144</v>
      </c>
      <c r="AK25" s="28">
        <f t="shared" ca="1" si="1"/>
        <v>-44.947642051925541</v>
      </c>
    </row>
    <row r="26" spans="1:37">
      <c r="A26" s="10">
        <f>IF(履歴データ!$A$26="","",履歴データ!$A$26)</f>
        <v>44964</v>
      </c>
      <c r="B26" s="28">
        <f>IF(履歴データ!$A$26="","",(履歴データ!$D$26-(履歴データ!$B$26+履歴データ!$F$26)/2)*100)</f>
        <v>-42.499999999999986</v>
      </c>
      <c r="C26" s="28">
        <f>IF(履歴データ!$A$26="","",(履歴データ!$H$26-(履歴データ!$G$26+履歴データ!$J$26)/2)*100)</f>
        <v>-25.5</v>
      </c>
      <c r="D26" s="28">
        <f>IF(履歴データ!$A$26="","",(履歴データ!$D$26-履歴データ!$H$26)*100)</f>
        <v>315.89999999999998</v>
      </c>
      <c r="E26" s="28">
        <f>IF(履歴データ!$A$26="","",(履歴データ!$D$26-履歴データ!$C$26)*100)</f>
        <v>-18.000000000000014</v>
      </c>
      <c r="F26" s="28">
        <f>IF(履歴データ!$A$26="","",(履歴データ!$R$26-履歴データ!$D$26)*100)</f>
        <v>-186.09</v>
      </c>
      <c r="G26" s="28">
        <f>IF(履歴データ!$A$26="","",(履歴データ!$S$26-履歴データ!$R$26)*100)</f>
        <v>-135.6048214111328</v>
      </c>
      <c r="H26" s="29">
        <f>IF(履歴データ!$A$26="","",履歴データ!$O$26)</f>
        <v>132.62300109863281</v>
      </c>
      <c r="I26" s="29">
        <f>IF(履歴データ!$A$26="","",履歴データ!$Q$26)</f>
        <v>113.234375</v>
      </c>
      <c r="J26" s="29">
        <f>IF(履歴データ!$A$26="","",履歴データ!$D$26)</f>
        <v>3.67</v>
      </c>
      <c r="K26" s="28">
        <f>IF(OR(履歴データ!$A$26="",履歴データ!$A$25=""),"",B26-B25)</f>
        <v>0</v>
      </c>
      <c r="L26" s="28">
        <f>IF(OR(履歴データ!$A$26="",履歴データ!$A$25=""),"",C26-C25)</f>
        <v>-0.89999999999999858</v>
      </c>
      <c r="M26" s="28">
        <f>IF(OR(履歴データ!$A$26="",履歴データ!$A$25=""),"",D26-D25)</f>
        <v>4</v>
      </c>
      <c r="N26" s="28">
        <f>IF(OR(履歴データ!$A$26="",履歴データ!$A$25=""),"",E26-E25)</f>
        <v>0</v>
      </c>
      <c r="O26" s="28">
        <f>IF(OR(履歴データ!$A$26="",履歴データ!$A$25=""),"",F26-F25)</f>
        <v>11.809999999999974</v>
      </c>
      <c r="P26" s="28">
        <f>IF(OR(履歴データ!$A$26="",履歴データ!$A$25=""),"",G26-G25)</f>
        <v>-16.336178588867028</v>
      </c>
      <c r="Q26" s="29">
        <f>IF(OR(履歴データ!$A$26="",履歴データ!$A$25=""),"",H26-H25)</f>
        <v>0.6139984130859375</v>
      </c>
      <c r="R26" s="29">
        <f>IF(OR(履歴データ!$A$26="",履歴データ!$A$25=""),"",I26-I25)</f>
        <v>-0.265625</v>
      </c>
      <c r="S26" s="28">
        <f>IF(OR(履歴データ!$A$26="",履歴データ!$A$25=""),"",(J26-J25)*100)</f>
        <v>4.0000000000000036</v>
      </c>
      <c r="T26" s="11">
        <f>IF(OR(履歴データ!$A$26="",履歴データ!$A$25=""),"",-80000*K26)</f>
        <v>0</v>
      </c>
      <c r="U26" s="11">
        <f>IF(OR(履歴データ!$A$26="",履歴データ!$A$25=""),"",60000*L26)</f>
        <v>-53999.999999999913</v>
      </c>
      <c r="V26" s="11">
        <f>IF(OR(履歴データ!$A$26="",履歴データ!$A$25=""),"",-50000*M26)</f>
        <v>-200000</v>
      </c>
      <c r="W26" s="11">
        <f>IF(OR(履歴データ!$A$26="",履歴データ!$A$25=""),"",-40000*N26)</f>
        <v>0</v>
      </c>
      <c r="X26" s="11">
        <f>IF(OR(履歴データ!$A$26="",履歴データ!$A$25=""),"",120*1000000*(-Q26/H25))</f>
        <v>-558142.30901980295</v>
      </c>
      <c r="Y26" s="11">
        <f>IF(OR(履歴データ!$A$26="",履歴データ!$A$25=""),"",40000*(-S26)+(-506.3)*R26*1000)</f>
        <v>-25514.062500000146</v>
      </c>
      <c r="Z26" s="11">
        <f>IF(OR(履歴データ!$A$26="",履歴データ!$A$25=""),"",-40000*O26)</f>
        <v>-472399.99999999895</v>
      </c>
      <c r="AA26" s="11">
        <f>IF(OR(履歴データ!$A$26="",履歴データ!$A$25=""),"",-40000*P26)</f>
        <v>653447.1435546811</v>
      </c>
      <c r="AB26" s="11">
        <f>IF(履歴データ!$A$26="","",123.3)</f>
        <v>123.3</v>
      </c>
      <c r="AC26">
        <f>IF(履歴データ!$A$26="","",SUM(T26:AA26))</f>
        <v>-656609.22796512081</v>
      </c>
      <c r="AD26" s="29">
        <f>IF(履歴データ!$A$26="","",AC26/1000000)</f>
        <v>-0.65660922796512078</v>
      </c>
      <c r="AE26" s="29">
        <f>IF(履歴データ!$A$26="",AE25,AE25+AC26/1000000)</f>
        <v>98.457721653941903</v>
      </c>
      <c r="AF26" s="12">
        <f>IF(OR(履歴データ!$A$26="",AE25=0),"",(AE26-AE25)/AE25)</f>
        <v>-6.6247657843491719E-3</v>
      </c>
      <c r="AG26" s="29">
        <f t="shared" si="2"/>
        <v>102.17217746631495</v>
      </c>
      <c r="AH26" s="12">
        <f>IF(OR(履歴データ!$A$26="",AG26=0),"",AE26/AG26-1)</f>
        <v>-3.6354865918343249E-2</v>
      </c>
      <c r="AJ26" s="28">
        <f t="shared" ca="1" si="0"/>
        <v>-36.81751709536141</v>
      </c>
      <c r="AK26" s="28">
        <f t="shared" ca="1" si="1"/>
        <v>-44.982482904638601</v>
      </c>
    </row>
    <row r="27" spans="1:37">
      <c r="A27" s="10">
        <f>IF(履歴データ!$A$27="","",履歴データ!$A$27)</f>
        <v>44965</v>
      </c>
      <c r="B27" s="28">
        <f>IF(履歴データ!$A$27="","",(履歴データ!$D$27-(履歴データ!$B$27+履歴データ!$F$27)/2)*100)</f>
        <v>-44.500000000000028</v>
      </c>
      <c r="C27" s="28">
        <f>IF(履歴データ!$A$27="","",(履歴データ!$H$27-(履歴データ!$G$27+履歴データ!$J$27)/2)*100)</f>
        <v>-24.650000000000006</v>
      </c>
      <c r="D27" s="28">
        <f>IF(履歴データ!$A$27="","",(履歴データ!$D$27-履歴データ!$H$27)*100)</f>
        <v>311.89999999999998</v>
      </c>
      <c r="E27" s="28">
        <f>IF(履歴データ!$A$27="","",(履歴データ!$D$27-履歴データ!$C$27)*100)</f>
        <v>-18.999999999999993</v>
      </c>
      <c r="F27" s="28">
        <f>IF(履歴データ!$A$27="","",(履歴データ!$R$27-履歴データ!$D$27)*100)</f>
        <v>-173.64</v>
      </c>
      <c r="G27" s="28">
        <f>IF(履歴データ!$A$27="","",(履歴データ!$S$27-履歴データ!$R$27)*100)</f>
        <v>-144.75635717773449</v>
      </c>
      <c r="H27" s="29">
        <f>IF(履歴データ!$A$27="","",履歴データ!$O$27)</f>
        <v>131.04200744628906</v>
      </c>
      <c r="I27" s="29">
        <f>IF(履歴データ!$A$27="","",履歴データ!$Q$27)</f>
        <v>113.40625</v>
      </c>
      <c r="J27" s="29">
        <f>IF(履歴データ!$A$27="","",履歴データ!$D$27)</f>
        <v>3.63</v>
      </c>
      <c r="K27" s="28">
        <f>IF(OR(履歴データ!$A$27="",履歴データ!$A$26=""),"",B27-B26)</f>
        <v>-2.0000000000000426</v>
      </c>
      <c r="L27" s="28">
        <f>IF(OR(履歴データ!$A$27="",履歴データ!$A$26=""),"",C27-C26)</f>
        <v>0.84999999999999432</v>
      </c>
      <c r="M27" s="28">
        <f>IF(OR(履歴データ!$A$27="",履歴データ!$A$26=""),"",D27-D26)</f>
        <v>-4</v>
      </c>
      <c r="N27" s="28">
        <f>IF(OR(履歴データ!$A$27="",履歴データ!$A$26=""),"",E27-E26)</f>
        <v>-0.99999999999997868</v>
      </c>
      <c r="O27" s="28">
        <f>IF(OR(履歴データ!$A$27="",履歴データ!$A$26=""),"",F27-F26)</f>
        <v>12.450000000000017</v>
      </c>
      <c r="P27" s="28">
        <f>IF(OR(履歴データ!$A$27="",履歴データ!$A$26=""),"",G27-G26)</f>
        <v>-9.1515357666016826</v>
      </c>
      <c r="Q27" s="29">
        <f>IF(OR(履歴データ!$A$27="",履歴データ!$A$26=""),"",H27-H26)</f>
        <v>-1.58099365234375</v>
      </c>
      <c r="R27" s="29">
        <f>IF(OR(履歴データ!$A$27="",履歴データ!$A$26=""),"",I27-I26)</f>
        <v>0.171875</v>
      </c>
      <c r="S27" s="28">
        <f>IF(OR(履歴データ!$A$27="",履歴データ!$A$26=""),"",(J27-J26)*100)</f>
        <v>-4.0000000000000036</v>
      </c>
      <c r="T27" s="11">
        <f>IF(OR(履歴データ!$A$27="",履歴データ!$A$26=""),"",-80000*K27)</f>
        <v>160000.00000000341</v>
      </c>
      <c r="U27" s="11">
        <f>IF(OR(履歴データ!$A$27="",履歴データ!$A$26=""),"",60000*L27)</f>
        <v>50999.999999999658</v>
      </c>
      <c r="V27" s="11">
        <f>IF(OR(履歴データ!$A$27="",履歴データ!$A$26=""),"",-50000*M27)</f>
        <v>200000</v>
      </c>
      <c r="W27" s="11">
        <f>IF(OR(履歴データ!$A$27="",履歴データ!$A$26=""),"",-40000*N27)</f>
        <v>39999.999999999149</v>
      </c>
      <c r="X27" s="11">
        <f>IF(OR(履歴データ!$A$27="",履歴データ!$A$26=""),"",120*1000000*(-Q27/H26))</f>
        <v>1430515.345827186</v>
      </c>
      <c r="Y27" s="11">
        <f>IF(OR(履歴データ!$A$27="",履歴データ!$A$26=""),"",40000*(-S27)+(-506.3)*R27*1000)</f>
        <v>72979.687500000146</v>
      </c>
      <c r="Z27" s="11">
        <f>IF(OR(履歴データ!$A$27="",履歴データ!$A$26=""),"",-40000*O27)</f>
        <v>-498000.0000000007</v>
      </c>
      <c r="AA27" s="11">
        <f>IF(OR(履歴データ!$A$27="",履歴データ!$A$26=""),"",-40000*P27)</f>
        <v>366061.43066406727</v>
      </c>
      <c r="AB27" s="11">
        <f>IF(履歴データ!$A$27="","",123.3)</f>
        <v>123.3</v>
      </c>
      <c r="AC27">
        <f>IF(履歴データ!$A$27="","",SUM(T27:AA27))</f>
        <v>1822556.463991255</v>
      </c>
      <c r="AD27" s="29">
        <f>IF(履歴データ!$A$27="","",AC27/1000000)</f>
        <v>1.822556463991255</v>
      </c>
      <c r="AE27" s="29">
        <f>IF(履歴データ!$A$27="",AE26,AE26+AC27/1000000)</f>
        <v>100.28027811793316</v>
      </c>
      <c r="AF27" s="12">
        <f>IF(OR(履歴データ!$A$27="",AE26=0),"",(AE27-AE26)/AE26)</f>
        <v>1.8511056658381382E-2</v>
      </c>
      <c r="AG27" s="29">
        <f t="shared" si="2"/>
        <v>102.17217746631495</v>
      </c>
      <c r="AH27" s="12">
        <f>IF(OR(履歴データ!$A$27="",AG27=0),"",AE27/AG27-1)</f>
        <v>-1.8516776242784139E-2</v>
      </c>
      <c r="AJ27" s="28">
        <f t="shared" ca="1" si="0"/>
        <v>-36.796546151063311</v>
      </c>
      <c r="AK27" s="28">
        <f t="shared" ca="1" si="1"/>
        <v>-45.280376925859784</v>
      </c>
    </row>
    <row r="28" spans="1:37">
      <c r="A28" s="10">
        <f>IF(履歴データ!$A$28="","",履歴データ!$A$28)</f>
        <v>44966</v>
      </c>
      <c r="B28" s="28">
        <f>IF(履歴データ!$A$28="","",(履歴データ!$D$28-(履歴データ!$B$28+履歴データ!$F$28)/2)*100)</f>
        <v>-44.500000000000028</v>
      </c>
      <c r="C28" s="28">
        <f>IF(履歴データ!$A$28="","",(履歴データ!$H$28-(履歴データ!$G$28+履歴データ!$J$28)/2)*100)</f>
        <v>-24.350000000000005</v>
      </c>
      <c r="D28" s="28">
        <f>IF(履歴データ!$A$28="","",(履歴データ!$D$28-履歴データ!$H$28)*100)</f>
        <v>315.89999999999998</v>
      </c>
      <c r="E28" s="28">
        <f>IF(履歴データ!$A$28="","",(履歴データ!$D$28-履歴データ!$C$28)*100)</f>
        <v>-20.000000000000018</v>
      </c>
      <c r="F28" s="28">
        <f>IF(履歴データ!$A$28="","",(履歴データ!$R$28-履歴データ!$D$28)*100)</f>
        <v>-169.35</v>
      </c>
      <c r="G28" s="28">
        <f>IF(履歴データ!$A$28="","",(履歴データ!$S$28-履歴データ!$R$28)*100)</f>
        <v>-151.64317858886724</v>
      </c>
      <c r="H28" s="29">
        <f>IF(履歴データ!$A$28="","",履歴データ!$O$28)</f>
        <v>131.38699340820313</v>
      </c>
      <c r="I28" s="29">
        <f>IF(履歴データ!$A$28="","",履歴データ!$Q$28)</f>
        <v>113.03125</v>
      </c>
      <c r="J28" s="29">
        <f>IF(履歴データ!$A$28="","",履歴データ!$D$28)</f>
        <v>3.67</v>
      </c>
      <c r="K28" s="28">
        <f>IF(OR(履歴データ!$A$28="",履歴データ!$A$27=""),"",B28-B27)</f>
        <v>0</v>
      </c>
      <c r="L28" s="28">
        <f>IF(OR(履歴データ!$A$28="",履歴データ!$A$27=""),"",C28-C27)</f>
        <v>0.30000000000000071</v>
      </c>
      <c r="M28" s="28">
        <f>IF(OR(履歴データ!$A$28="",履歴データ!$A$27=""),"",D28-D27)</f>
        <v>4</v>
      </c>
      <c r="N28" s="28">
        <f>IF(OR(履歴データ!$A$28="",履歴データ!$A$27=""),"",E28-E27)</f>
        <v>-1.0000000000000249</v>
      </c>
      <c r="O28" s="28">
        <f>IF(OR(履歴データ!$A$28="",履歴データ!$A$27=""),"",F28-F27)</f>
        <v>4.289999999999992</v>
      </c>
      <c r="P28" s="28">
        <f>IF(OR(履歴データ!$A$28="",履歴データ!$A$27=""),"",G28-G27)</f>
        <v>-6.8868214111327575</v>
      </c>
      <c r="Q28" s="29">
        <f>IF(OR(履歴データ!$A$28="",履歴データ!$A$27=""),"",H28-H27)</f>
        <v>0.3449859619140625</v>
      </c>
      <c r="R28" s="29">
        <f>IF(OR(履歴データ!$A$28="",履歴データ!$A$27=""),"",I28-I27)</f>
        <v>-0.375</v>
      </c>
      <c r="S28" s="28">
        <f>IF(OR(履歴データ!$A$28="",履歴データ!$A$27=""),"",(J28-J27)*100)</f>
        <v>4.0000000000000036</v>
      </c>
      <c r="T28" s="11">
        <f>IF(OR(履歴データ!$A$28="",履歴データ!$A$27=""),"",-80000*K28)</f>
        <v>0</v>
      </c>
      <c r="U28" s="11">
        <f>IF(OR(履歴データ!$A$28="",履歴データ!$A$27=""),"",60000*L28)</f>
        <v>18000.000000000044</v>
      </c>
      <c r="V28" s="11">
        <f>IF(OR(履歴データ!$A$28="",履歴データ!$A$27=""),"",-50000*M28)</f>
        <v>-200000</v>
      </c>
      <c r="W28" s="11">
        <f>IF(OR(履歴データ!$A$28="",履歴データ!$A$27=""),"",-40000*N28)</f>
        <v>40000.000000000997</v>
      </c>
      <c r="X28" s="11">
        <f>IF(OR(履歴データ!$A$28="",履歴データ!$A$27=""),"",120*1000000*(-Q28/H27))</f>
        <v>-315916.37091377482</v>
      </c>
      <c r="Y28" s="11">
        <f>IF(OR(履歴データ!$A$28="",履歴データ!$A$27=""),"",40000*(-S28)+(-506.3)*R28*1000)</f>
        <v>29862.499999999854</v>
      </c>
      <c r="Z28" s="11">
        <f>IF(OR(履歴データ!$A$28="",履歴データ!$A$27=""),"",-40000*O28)</f>
        <v>-171599.99999999968</v>
      </c>
      <c r="AA28" s="11">
        <f>IF(OR(履歴データ!$A$28="",履歴データ!$A$27=""),"",-40000*P28)</f>
        <v>275472.85644531029</v>
      </c>
      <c r="AB28" s="11">
        <f>IF(履歴データ!$A$28="","",123.3)</f>
        <v>123.3</v>
      </c>
      <c r="AC28">
        <f>IF(履歴データ!$A$28="","",SUM(T28:AA28))</f>
        <v>-324181.01446846325</v>
      </c>
      <c r="AD28" s="29">
        <f>IF(履歴データ!$A$28="","",AC28/1000000)</f>
        <v>-0.32418101446846326</v>
      </c>
      <c r="AE28" s="29">
        <f>IF(履歴データ!$A$28="",AE27,AE27+AC28/1000000)</f>
        <v>99.9560971034647</v>
      </c>
      <c r="AF28" s="12">
        <f>IF(OR(履歴データ!$A$28="",AE27=0),"",(AE28-AE27)/AE27)</f>
        <v>-3.2327494553536893E-3</v>
      </c>
      <c r="AG28" s="29">
        <f t="shared" si="2"/>
        <v>102.17217746631495</v>
      </c>
      <c r="AH28" s="12">
        <f>IF(OR(履歴データ!$A$28="",AG28=0),"",AE28/AG28-1)</f>
        <v>-2.1689665599824104E-2</v>
      </c>
      <c r="AJ28" s="28">
        <f t="shared" ca="1" si="0"/>
        <v>-36.798952953873354</v>
      </c>
      <c r="AK28" s="28">
        <f t="shared" ca="1" si="1"/>
        <v>-45.534380379460003</v>
      </c>
    </row>
    <row r="29" spans="1:37">
      <c r="A29" s="10">
        <f>IF(履歴データ!$A$29="","",履歴データ!$A$29)</f>
        <v>44967</v>
      </c>
      <c r="B29" s="28">
        <f>IF(履歴データ!$A$29="","",(履歴データ!$D$29-(履歴データ!$B$29+履歴データ!$F$29)/2)*100)</f>
        <v>-42.499999999999986</v>
      </c>
      <c r="C29" s="28">
        <f>IF(履歴データ!$A$29="","",(履歴データ!$H$29-(履歴データ!$G$29+履歴データ!$J$29)/2)*100)</f>
        <v>-24.450000000000006</v>
      </c>
      <c r="D29" s="28">
        <f>IF(履歴データ!$A$29="","",(履歴データ!$D$29-履歴データ!$H$29)*100)</f>
        <v>322.60000000000002</v>
      </c>
      <c r="E29" s="28">
        <f>IF(履歴データ!$A$29="","",(履歴データ!$D$29-履歴データ!$C$29)*100)</f>
        <v>-18.999999999999993</v>
      </c>
      <c r="F29" s="28">
        <f>IF(履歴データ!$A$29="","",(履歴データ!$R$29-履歴データ!$D$29)*100)</f>
        <v>-177.39000000000001</v>
      </c>
      <c r="G29" s="28">
        <f>IF(履歴データ!$A$29="","",(履歴データ!$S$29-履歴データ!$R$29)*100)</f>
        <v>-150.25235717773447</v>
      </c>
      <c r="H29" s="29">
        <f>IF(履歴データ!$A$29="","",履歴データ!$O$29)</f>
        <v>131.51899719238281</v>
      </c>
      <c r="I29" s="29">
        <f>IF(履歴データ!$A$29="","",履歴データ!$Q$29)</f>
        <v>112.6875</v>
      </c>
      <c r="J29" s="29">
        <f>IF(履歴データ!$A$29="","",履歴データ!$D$29)</f>
        <v>3.74</v>
      </c>
      <c r="K29" s="28">
        <f>IF(OR(履歴データ!$A$29="",履歴データ!$A$28=""),"",B29-B28)</f>
        <v>2.0000000000000426</v>
      </c>
      <c r="L29" s="28">
        <f>IF(OR(履歴データ!$A$29="",履歴データ!$A$28=""),"",C29-C28)</f>
        <v>-0.10000000000000142</v>
      </c>
      <c r="M29" s="28">
        <f>IF(OR(履歴データ!$A$29="",履歴データ!$A$28=""),"",D29-D28)</f>
        <v>6.7000000000000455</v>
      </c>
      <c r="N29" s="28">
        <f>IF(OR(履歴データ!$A$29="",履歴データ!$A$28=""),"",E29-E28)</f>
        <v>1.0000000000000249</v>
      </c>
      <c r="O29" s="28">
        <f>IF(OR(履歴データ!$A$29="",履歴データ!$A$28=""),"",F29-F28)</f>
        <v>-8.0400000000000205</v>
      </c>
      <c r="P29" s="28">
        <f>IF(OR(履歴データ!$A$29="",履歴データ!$A$28=""),"",G29-G28)</f>
        <v>1.3908214111327766</v>
      </c>
      <c r="Q29" s="29">
        <f>IF(OR(履歴データ!$A$29="",履歴データ!$A$28=""),"",H29-H28)</f>
        <v>0.1320037841796875</v>
      </c>
      <c r="R29" s="29">
        <f>IF(OR(履歴データ!$A$29="",履歴データ!$A$28=""),"",I29-I28)</f>
        <v>-0.34375</v>
      </c>
      <c r="S29" s="28">
        <f>IF(OR(履歴データ!$A$29="",履歴データ!$A$28=""),"",(J29-J28)*100)</f>
        <v>7.0000000000000284</v>
      </c>
      <c r="T29" s="11">
        <f>IF(OR(履歴データ!$A$29="",履歴データ!$A$28=""),"",-80000*K29)</f>
        <v>-160000.00000000341</v>
      </c>
      <c r="U29" s="11">
        <f>IF(OR(履歴データ!$A$29="",履歴データ!$A$28=""),"",60000*L29)</f>
        <v>-6000.0000000000855</v>
      </c>
      <c r="V29" s="11">
        <f>IF(OR(履歴データ!$A$29="",履歴データ!$A$28=""),"",-50000*M29)</f>
        <v>-335000.00000000227</v>
      </c>
      <c r="W29" s="11">
        <f>IF(OR(履歴データ!$A$29="",履歴データ!$A$28=""),"",-40000*N29)</f>
        <v>-40000.000000000997</v>
      </c>
      <c r="X29" s="11">
        <f>IF(OR(履歴データ!$A$29="",履歴データ!$A$28=""),"",120*1000000*(-Q29/H28))</f>
        <v>-120563.33500492069</v>
      </c>
      <c r="Y29" s="11">
        <f>IF(OR(履歴データ!$A$29="",履歴データ!$A$28=""),"",40000*(-S29)+(-506.3)*R29*1000)</f>
        <v>-105959.37500000116</v>
      </c>
      <c r="Z29" s="11">
        <f>IF(OR(履歴データ!$A$29="",履歴データ!$A$28=""),"",-40000*O29)</f>
        <v>321600.00000000081</v>
      </c>
      <c r="AA29" s="11">
        <f>IF(OR(履歴データ!$A$29="",履歴データ!$A$28=""),"",-40000*P29)</f>
        <v>-55632.856445311059</v>
      </c>
      <c r="AB29" s="11">
        <f>IF(履歴データ!$A$29="","",123.3)</f>
        <v>123.3</v>
      </c>
      <c r="AC29">
        <f>IF(履歴データ!$A$29="","",SUM(T29:AA29))</f>
        <v>-501555.56645023887</v>
      </c>
      <c r="AD29" s="29">
        <f>IF(履歴データ!$A$29="","",AC29/1000000)</f>
        <v>-0.50155556645023891</v>
      </c>
      <c r="AE29" s="29">
        <f>IF(履歴データ!$A$29="",AE28,AE28+AC29/1000000)</f>
        <v>99.454541537014464</v>
      </c>
      <c r="AF29" s="12">
        <f>IF(OR(履歴データ!$A$29="",AE28=0),"",(AE29-AE28)/AE28)</f>
        <v>-5.0177586058714847E-3</v>
      </c>
      <c r="AG29" s="29">
        <f t="shared" si="2"/>
        <v>102.17217746631495</v>
      </c>
      <c r="AH29" s="12">
        <f>IF(OR(履歴データ!$A$29="",AG29=0),"",AE29/AG29-1)</f>
        <v>-2.6598590699473568E-2</v>
      </c>
      <c r="AJ29" s="28">
        <f t="shared" ca="1" si="0"/>
        <v>-36.898693214484751</v>
      </c>
      <c r="AK29" s="28">
        <f t="shared" ca="1" si="1"/>
        <v>-45.529878214086693</v>
      </c>
    </row>
    <row r="30" spans="1:37">
      <c r="A30" s="10">
        <f>IF(履歴データ!$A$30="","",履歴データ!$A$30)</f>
        <v>44970</v>
      </c>
      <c r="B30" s="28">
        <f>IF(履歴データ!$A$30="","",(履歴データ!$D$30-(履歴データ!$B$30+履歴データ!$F$30)/2)*100)</f>
        <v>-43.499999999999915</v>
      </c>
      <c r="C30" s="28">
        <f>IF(履歴データ!$A$30="","",(履歴データ!$H$30-(履歴データ!$G$30+履歴データ!$J$30)/2)*100)</f>
        <v>-20.299999999999997</v>
      </c>
      <c r="D30" s="28">
        <f>IF(履歴データ!$A$30="","",(履歴データ!$D$30-履歴データ!$H$30)*100)</f>
        <v>319.60000000000002</v>
      </c>
      <c r="E30" s="28">
        <f>IF(履歴データ!$A$30="","",(履歴データ!$D$30-履歴データ!$C$30)*100)</f>
        <v>-20.999999999999996</v>
      </c>
      <c r="F30" s="28">
        <f>IF(履歴データ!$A$30="","",(履歴データ!$R$30-履歴データ!$D$30)*100)</f>
        <v>-167.88000000000002</v>
      </c>
      <c r="G30" s="28">
        <f>IF(履歴データ!$A$30="","",(履歴データ!$S$30-履歴データ!$R$30)*100)</f>
        <v>-159.86717858886726</v>
      </c>
      <c r="H30" s="29">
        <f>IF(履歴データ!$A$30="","",履歴データ!$O$30)</f>
        <v>131.55099487304688</v>
      </c>
      <c r="I30" s="29">
        <f>IF(履歴データ!$A$30="","",履歴データ!$Q$30)</f>
        <v>112.78125</v>
      </c>
      <c r="J30" s="29">
        <f>IF(履歴データ!$A$30="","",履歴データ!$D$30)</f>
        <v>3.72</v>
      </c>
      <c r="K30" s="28">
        <f>IF(OR(履歴データ!$A$30="",履歴データ!$A$29=""),"",B30-B29)</f>
        <v>-0.99999999999992895</v>
      </c>
      <c r="L30" s="28">
        <f>IF(OR(履歴データ!$A$30="",履歴データ!$A$29=""),"",C30-C29)</f>
        <v>4.1500000000000092</v>
      </c>
      <c r="M30" s="28">
        <f>IF(OR(履歴データ!$A$30="",履歴データ!$A$29=""),"",D30-D29)</f>
        <v>-3</v>
      </c>
      <c r="N30" s="28">
        <f>IF(OR(履歴データ!$A$30="",履歴データ!$A$29=""),"",E30-E29)</f>
        <v>-2.0000000000000036</v>
      </c>
      <c r="O30" s="28">
        <f>IF(OR(履歴データ!$A$30="",履歴データ!$A$29=""),"",F30-F29)</f>
        <v>9.5099999999999909</v>
      </c>
      <c r="P30" s="28">
        <f>IF(OR(履歴データ!$A$30="",履歴データ!$A$29=""),"",G30-G29)</f>
        <v>-9.6148214111327945</v>
      </c>
      <c r="Q30" s="29">
        <f>IF(OR(履歴データ!$A$30="",履歴データ!$A$29=""),"",H30-H29)</f>
        <v>3.19976806640625E-2</v>
      </c>
      <c r="R30" s="29">
        <f>IF(OR(履歴データ!$A$30="",履歴データ!$A$29=""),"",I30-I29)</f>
        <v>9.375E-2</v>
      </c>
      <c r="S30" s="28">
        <f>IF(OR(履歴データ!$A$30="",履歴データ!$A$29=""),"",(J30-J29)*100)</f>
        <v>-2.0000000000000018</v>
      </c>
      <c r="T30" s="11">
        <f>IF(OR(履歴データ!$A$30="",履歴データ!$A$29=""),"",-80000*K30)</f>
        <v>79999.99999999431</v>
      </c>
      <c r="U30" s="11">
        <f>IF(OR(履歴データ!$A$30="",履歴データ!$A$29=""),"",60000*L30)</f>
        <v>249000.00000000055</v>
      </c>
      <c r="V30" s="11">
        <f>IF(OR(履歴データ!$A$30="",履歴データ!$A$29=""),"",-50000*M30)</f>
        <v>150000</v>
      </c>
      <c r="W30" s="11">
        <f>IF(OR(履歴データ!$A$30="",履歴データ!$A$29=""),"",-40000*N30)</f>
        <v>80000.000000000146</v>
      </c>
      <c r="X30" s="11">
        <f>IF(OR(履歴データ!$A$30="",履歴データ!$A$29=""),"",120*1000000*(-Q30/H29))</f>
        <v>-29195.186715656353</v>
      </c>
      <c r="Y30" s="11">
        <f>IF(OR(履歴データ!$A$30="",履歴データ!$A$29=""),"",40000*(-S30)+(-506.3)*R30*1000)</f>
        <v>32534.375000000073</v>
      </c>
      <c r="Z30" s="11">
        <f>IF(OR(履歴データ!$A$30="",履歴データ!$A$29=""),"",-40000*O30)</f>
        <v>-380399.99999999965</v>
      </c>
      <c r="AA30" s="11">
        <f>IF(OR(履歴データ!$A$30="",履歴データ!$A$29=""),"",-40000*P30)</f>
        <v>384592.8564453118</v>
      </c>
      <c r="AB30" s="11">
        <f>IF(履歴データ!$A$30="","",123.3)</f>
        <v>123.3</v>
      </c>
      <c r="AC30">
        <f>IF(履歴データ!$A$30="","",SUM(T30:AA30))</f>
        <v>566532.04472965095</v>
      </c>
      <c r="AD30" s="29">
        <f>IF(履歴データ!$A$30="","",AC30/1000000)</f>
        <v>0.56653204472965091</v>
      </c>
      <c r="AE30" s="29">
        <f>IF(履歴データ!$A$30="",AE29,AE29+AC30/1000000)</f>
        <v>100.02107358174412</v>
      </c>
      <c r="AF30" s="12">
        <f>IF(OR(履歴データ!$A$30="",AE29=0),"",(AE30-AE29)/AE29)</f>
        <v>5.6963918989944391E-3</v>
      </c>
      <c r="AG30" s="29">
        <f t="shared" si="2"/>
        <v>102.17217746631495</v>
      </c>
      <c r="AH30" s="12">
        <f>IF(OR(履歴データ!$A$30="",AG30=0),"",AE30/AG30-1)</f>
        <v>-2.1053714797064305E-2</v>
      </c>
      <c r="AJ30" s="28">
        <f t="shared" ca="1" si="0"/>
        <v>-36.971089686652157</v>
      </c>
      <c r="AK30" s="28">
        <f t="shared" ca="1" si="1"/>
        <v>-45.615117209899587</v>
      </c>
    </row>
    <row r="31" spans="1:37">
      <c r="A31" s="10">
        <f>IF(履歴データ!$A$31="","",履歴データ!$A$31)</f>
        <v>44971</v>
      </c>
      <c r="B31" s="28">
        <f>IF(履歴データ!$A$31="","",(履歴データ!$D$31-(履歴データ!$B$31+履歴データ!$F$31)/2)*100)</f>
        <v>-43.500000000000007</v>
      </c>
      <c r="C31" s="28">
        <f>IF(履歴データ!$A$31="","",(履歴データ!$H$31-(履歴データ!$G$31+履歴データ!$J$31)/2)*100)</f>
        <v>-20.04999999999999</v>
      </c>
      <c r="D31" s="28">
        <f>IF(履歴データ!$A$31="","",(履歴データ!$D$31-履歴データ!$H$31)*100)</f>
        <v>324.60000000000002</v>
      </c>
      <c r="E31" s="28">
        <f>IF(履歴データ!$A$31="","",(履歴データ!$D$31-履歴データ!$C$31)*100)</f>
        <v>-23</v>
      </c>
      <c r="F31" s="28">
        <f>IF(履歴データ!$A$31="","",(履歴データ!$R$31-履歴データ!$D$31)*100)</f>
        <v>-171.32999999999998</v>
      </c>
      <c r="G31" s="28">
        <f>IF(履歴データ!$A$31="","",(履歴データ!$S$31-履歴データ!$R$31)*100)</f>
        <v>-162.46964282226566</v>
      </c>
      <c r="H31" s="29">
        <f>IF(履歴データ!$A$31="","",履歴データ!$O$31)</f>
        <v>132.33700561523438</v>
      </c>
      <c r="I31" s="29">
        <f>IF(履歴データ!$A$31="","",履歴データ!$Q$31)</f>
        <v>112.328125</v>
      </c>
      <c r="J31" s="29">
        <f>IF(履歴データ!$A$31="","",履歴データ!$D$31)</f>
        <v>3.77</v>
      </c>
      <c r="K31" s="28">
        <f>IF(OR(履歴データ!$A$31="",履歴データ!$A$30=""),"",B31-B30)</f>
        <v>-9.2370555648813024E-14</v>
      </c>
      <c r="L31" s="28">
        <f>IF(OR(履歴データ!$A$31="",履歴データ!$A$30=""),"",C31-C30)</f>
        <v>0.25000000000000711</v>
      </c>
      <c r="M31" s="28">
        <f>IF(OR(履歴データ!$A$31="",履歴データ!$A$30=""),"",D31-D30)</f>
        <v>5</v>
      </c>
      <c r="N31" s="28">
        <f>IF(OR(履歴データ!$A$31="",履歴データ!$A$30=""),"",E31-E30)</f>
        <v>-2.0000000000000036</v>
      </c>
      <c r="O31" s="28">
        <f>IF(OR(履歴データ!$A$31="",履歴データ!$A$30=""),"",F31-F30)</f>
        <v>-3.4499999999999602</v>
      </c>
      <c r="P31" s="28">
        <f>IF(OR(履歴データ!$A$31="",履歴データ!$A$30=""),"",G31-G30)</f>
        <v>-2.6024642333983934</v>
      </c>
      <c r="Q31" s="29">
        <f>IF(OR(履歴データ!$A$31="",履歴データ!$A$30=""),"",H31-H30)</f>
        <v>0.7860107421875</v>
      </c>
      <c r="R31" s="29">
        <f>IF(OR(履歴データ!$A$31="",履歴データ!$A$30=""),"",I31-I30)</f>
        <v>-0.453125</v>
      </c>
      <c r="S31" s="28">
        <f>IF(OR(履歴データ!$A$31="",履歴データ!$A$30=""),"",(J31-J30)*100)</f>
        <v>4.9999999999999822</v>
      </c>
      <c r="T31" s="11">
        <f>IF(OR(履歴データ!$A$31="",履歴データ!$A$30=""),"",-80000*K31)</f>
        <v>7.3896444519050419E-9</v>
      </c>
      <c r="U31" s="11">
        <f>IF(OR(履歴データ!$A$31="",履歴データ!$A$30=""),"",60000*L31)</f>
        <v>15000.000000000426</v>
      </c>
      <c r="V31" s="11">
        <f>IF(OR(履歴データ!$A$31="",履歴データ!$A$30=""),"",-50000*M31)</f>
        <v>-250000</v>
      </c>
      <c r="W31" s="11">
        <f>IF(OR(履歴データ!$A$31="",履歴データ!$A$30=""),"",-40000*N31)</f>
        <v>80000.000000000146</v>
      </c>
      <c r="X31" s="11">
        <f>IF(OR(履歴データ!$A$31="",履歴データ!$A$30=""),"",120*1000000*(-Q31/H30))</f>
        <v>-716994.11436245427</v>
      </c>
      <c r="Y31" s="11">
        <f>IF(OR(履歴データ!$A$31="",履歴データ!$A$30=""),"",40000*(-S31)+(-506.3)*R31*1000)</f>
        <v>29417.187500000698</v>
      </c>
      <c r="Z31" s="11">
        <f>IF(OR(履歴データ!$A$31="",履歴データ!$A$30=""),"",-40000*O31)</f>
        <v>137999.9999999984</v>
      </c>
      <c r="AA31" s="11">
        <f>IF(OR(履歴データ!$A$31="",履歴データ!$A$30=""),"",-40000*P31)</f>
        <v>104098.56933593574</v>
      </c>
      <c r="AB31" s="11">
        <f>IF(履歴データ!$A$31="","",123.3)</f>
        <v>123.3</v>
      </c>
      <c r="AC31">
        <f>IF(履歴データ!$A$31="","",SUM(T31:AA31))</f>
        <v>-600478.35752651154</v>
      </c>
      <c r="AD31" s="29">
        <f>IF(履歴データ!$A$31="","",AC31/1000000)</f>
        <v>-0.60047835752651157</v>
      </c>
      <c r="AE31" s="29">
        <f>IF(履歴データ!$A$31="",AE30,AE30+AC31/1000000)</f>
        <v>99.420595224217607</v>
      </c>
      <c r="AF31" s="12">
        <f>IF(OR(履歴データ!$A$31="",AE30=0),"",(AE31-AE30)/AE30)</f>
        <v>-6.0035184189035917E-3</v>
      </c>
      <c r="AG31" s="29">
        <f t="shared" si="2"/>
        <v>102.17217746631495</v>
      </c>
      <c r="AH31" s="12">
        <f>IF(OR(履歴データ!$A$31="",AG31=0),"",AE31/AG31-1)</f>
        <v>-2.69308368513973E-2</v>
      </c>
      <c r="AJ31" s="28">
        <f t="shared" ca="1" si="0"/>
        <v>-37.044045069618868</v>
      </c>
      <c r="AK31" s="28">
        <f t="shared" ca="1" si="1"/>
        <v>-45.689288263714481</v>
      </c>
    </row>
    <row r="32" spans="1:37">
      <c r="A32" s="10">
        <f>IF(履歴データ!$A$32="","",履歴データ!$A$32)</f>
        <v>44972</v>
      </c>
      <c r="B32" s="28">
        <f>IF(履歴データ!$A$32="","",(履歴データ!$D$32-(履歴データ!$B$32+履歴データ!$F$32)/2)*100)</f>
        <v>-42.500000000000028</v>
      </c>
      <c r="C32" s="28">
        <f>IF(履歴データ!$A$32="","",(履歴データ!$H$32-(履歴データ!$G$32+履歴データ!$J$32)/2)*100)</f>
        <v>-19.05</v>
      </c>
      <c r="D32" s="28">
        <f>IF(履歴データ!$A$32="","",(履歴データ!$D$32-履歴データ!$H$32)*100)</f>
        <v>328.5</v>
      </c>
      <c r="E32" s="28">
        <f>IF(履歴データ!$A$32="","",(履歴データ!$D$32-履歴データ!$C$32)*100)</f>
        <v>-23</v>
      </c>
      <c r="F32" s="28">
        <f>IF(履歴データ!$A$32="","",(履歴データ!$R$32-履歴データ!$D$32)*100)</f>
        <v>-165.39000000000001</v>
      </c>
      <c r="G32" s="28">
        <f>IF(履歴データ!$A$32="","",(履歴データ!$S$32-履歴データ!$R$32)*100)</f>
        <v>-172.40964282226562</v>
      </c>
      <c r="H32" s="29">
        <f>IF(履歴データ!$A$32="","",履歴データ!$O$32)</f>
        <v>132.99099731445313</v>
      </c>
      <c r="I32" s="29">
        <f>IF(履歴データ!$A$32="","",履歴データ!$Q$32)</f>
        <v>112.046875</v>
      </c>
      <c r="J32" s="29">
        <f>IF(履歴データ!$A$32="","",履歴データ!$D$32)</f>
        <v>3.81</v>
      </c>
      <c r="K32" s="28">
        <f>IF(OR(履歴データ!$A$32="",履歴データ!$A$31=""),"",B32-B31)</f>
        <v>0.99999999999997868</v>
      </c>
      <c r="L32" s="28">
        <f>IF(OR(履歴データ!$A$32="",履歴データ!$A$31=""),"",C32-C31)</f>
        <v>0.99999999999998934</v>
      </c>
      <c r="M32" s="28">
        <f>IF(OR(履歴データ!$A$32="",履歴データ!$A$31=""),"",D32-D31)</f>
        <v>3.8999999999999773</v>
      </c>
      <c r="N32" s="28">
        <f>IF(OR(履歴データ!$A$32="",履歴データ!$A$31=""),"",E32-E31)</f>
        <v>0</v>
      </c>
      <c r="O32" s="28">
        <f>IF(OR(履歴データ!$A$32="",履歴データ!$A$31=""),"",F32-F31)</f>
        <v>5.9399999999999693</v>
      </c>
      <c r="P32" s="28">
        <f>IF(OR(履歴データ!$A$32="",履歴データ!$A$31=""),"",G32-G31)</f>
        <v>-9.9399999999999693</v>
      </c>
      <c r="Q32" s="29">
        <f>IF(OR(履歴データ!$A$32="",履歴データ!$A$31=""),"",H32-H31)</f>
        <v>0.65399169921875</v>
      </c>
      <c r="R32" s="29">
        <f>IF(OR(履歴データ!$A$32="",履歴データ!$A$31=""),"",I32-I31)</f>
        <v>-0.28125</v>
      </c>
      <c r="S32" s="28">
        <f>IF(OR(履歴データ!$A$32="",履歴データ!$A$31=""),"",(J32-J31)*100)</f>
        <v>4.0000000000000036</v>
      </c>
      <c r="T32" s="11">
        <f>IF(OR(履歴データ!$A$32="",履歴データ!$A$31=""),"",-80000*K32)</f>
        <v>-79999.999999998297</v>
      </c>
      <c r="U32" s="11">
        <f>IF(OR(履歴データ!$A$32="",履歴データ!$A$31=""),"",60000*L32)</f>
        <v>59999.99999999936</v>
      </c>
      <c r="V32" s="11">
        <f>IF(OR(履歴データ!$A$32="",履歴データ!$A$31=""),"",-50000*M32)</f>
        <v>-194999.99999999886</v>
      </c>
      <c r="W32" s="11">
        <f>IF(OR(履歴データ!$A$32="",履歴データ!$A$31=""),"",-40000*N32)</f>
        <v>0</v>
      </c>
      <c r="X32" s="11">
        <f>IF(OR(履歴データ!$A$32="",履歴データ!$A$31=""),"",120*1000000*(-Q32/H31))</f>
        <v>-593023.87522976915</v>
      </c>
      <c r="Y32" s="11">
        <f>IF(OR(履歴データ!$A$32="",履歴データ!$A$31=""),"",40000*(-S32)+(-506.3)*R32*1000)</f>
        <v>-17603.125000000146</v>
      </c>
      <c r="Z32" s="11">
        <f>IF(OR(履歴データ!$A$32="",履歴データ!$A$31=""),"",-40000*O32)</f>
        <v>-237599.99999999878</v>
      </c>
      <c r="AA32" s="11">
        <f>IF(OR(履歴データ!$A$32="",履歴データ!$A$31=""),"",-40000*P32)</f>
        <v>397599.99999999878</v>
      </c>
      <c r="AB32" s="11">
        <f>IF(履歴データ!$A$32="","",123.3)</f>
        <v>123.3</v>
      </c>
      <c r="AC32">
        <f>IF(履歴データ!$A$32="","",SUM(T32:AA32))</f>
        <v>-665627.00022976706</v>
      </c>
      <c r="AD32" s="29">
        <f>IF(履歴データ!$A$32="","",AC32/1000000)</f>
        <v>-0.66562700022976706</v>
      </c>
      <c r="AE32" s="29">
        <f>IF(履歴データ!$A$32="",AE31,AE31+AC32/1000000)</f>
        <v>98.754968223987845</v>
      </c>
      <c r="AF32" s="12">
        <f>IF(OR(履歴データ!$A$32="",AE31=0),"",(AE32-AE31)/AE31)</f>
        <v>-6.6950615084189653E-3</v>
      </c>
      <c r="AG32" s="29">
        <f t="shared" si="2"/>
        <v>102.17217746631495</v>
      </c>
      <c r="AH32" s="12">
        <f>IF(OR(履歴データ!$A$32="",AG32=0),"",AE32/AG32-1)</f>
        <v>-3.3445594750623031E-2</v>
      </c>
      <c r="AJ32" s="28">
        <f t="shared" ca="1" si="0"/>
        <v>-37.133804652565878</v>
      </c>
      <c r="AK32" s="28">
        <f t="shared" ca="1" si="1"/>
        <v>-45.672646960337367</v>
      </c>
    </row>
    <row r="33" spans="1:37">
      <c r="A33" s="10">
        <f>IF(履歴データ!$A$33="","",履歴データ!$A$33)</f>
        <v>44973</v>
      </c>
      <c r="B33" s="28">
        <f>IF(履歴データ!$A$33="","",(履歴データ!$D$33-(履歴データ!$B$33+履歴データ!$F$33)/2)*100)</f>
        <v>-40.999999999999972</v>
      </c>
      <c r="C33" s="28">
        <f>IF(履歴データ!$A$33="","",(履歴データ!$H$33-(履歴データ!$G$33+履歴データ!$J$33)/2)*100)</f>
        <v>-19.350000000000001</v>
      </c>
      <c r="D33" s="28">
        <f>IF(履歴データ!$A$33="","",(履歴データ!$D$33-履歴データ!$H$33)*100)</f>
        <v>333.4</v>
      </c>
      <c r="E33" s="28">
        <f>IF(履歴データ!$A$33="","",(履歴データ!$D$33-履歴データ!$C$33)*100)</f>
        <v>-19.999999999999972</v>
      </c>
      <c r="F33" s="28">
        <f>IF(履歴データ!$A$33="","",(履歴データ!$R$33-履歴データ!$D$33)*100)</f>
        <v>-173.89999999999998</v>
      </c>
      <c r="G33" s="28">
        <f>IF(履歴データ!$A$33="","",(履歴データ!$S$33-履歴データ!$R$33)*100)</f>
        <v>-167.67182141113301</v>
      </c>
      <c r="H33" s="29">
        <f>IF(履歴データ!$A$33="","",履歴データ!$O$33)</f>
        <v>133.90299987792969</v>
      </c>
      <c r="I33" s="29">
        <f>IF(履歴データ!$A$33="","",履歴データ!$Q$33)</f>
        <v>111.890625</v>
      </c>
      <c r="J33" s="29">
        <f>IF(履歴データ!$A$33="","",履歴データ!$D$33)</f>
        <v>3.86</v>
      </c>
      <c r="K33" s="28">
        <f>IF(OR(履歴データ!$A$33="",履歴データ!$A$32=""),"",B33-B32)</f>
        <v>1.5000000000000568</v>
      </c>
      <c r="L33" s="28">
        <f>IF(OR(履歴データ!$A$33="",履歴データ!$A$32=""),"",C33-C32)</f>
        <v>-0.30000000000000071</v>
      </c>
      <c r="M33" s="28">
        <f>IF(OR(履歴データ!$A$33="",履歴データ!$A$32=""),"",D33-D32)</f>
        <v>4.8999999999999773</v>
      </c>
      <c r="N33" s="28">
        <f>IF(OR(履歴データ!$A$33="",履歴データ!$A$32=""),"",E33-E32)</f>
        <v>3.0000000000000284</v>
      </c>
      <c r="O33" s="28">
        <f>IF(OR(履歴データ!$A$33="",履歴データ!$A$32=""),"",F33-F32)</f>
        <v>-8.5099999999999625</v>
      </c>
      <c r="P33" s="28">
        <f>IF(OR(履歴データ!$A$33="",履歴データ!$A$32=""),"",G33-G32)</f>
        <v>4.7378214111326145</v>
      </c>
      <c r="Q33" s="29">
        <f>IF(OR(履歴データ!$A$33="",履歴データ!$A$32=""),"",H33-H32)</f>
        <v>0.9120025634765625</v>
      </c>
      <c r="R33" s="29">
        <f>IF(OR(履歴データ!$A$33="",履歴データ!$A$32=""),"",I33-I32)</f>
        <v>-0.15625</v>
      </c>
      <c r="S33" s="28">
        <f>IF(OR(履歴データ!$A$33="",履歴データ!$A$32=""),"",(J33-J32)*100)</f>
        <v>4.9999999999999822</v>
      </c>
      <c r="T33" s="11">
        <f>IF(OR(履歴データ!$A$33="",履歴データ!$A$32=""),"",-80000*K33)</f>
        <v>-120000.00000000454</v>
      </c>
      <c r="U33" s="11">
        <f>IF(OR(履歴データ!$A$33="",履歴データ!$A$32=""),"",60000*L33)</f>
        <v>-18000.000000000044</v>
      </c>
      <c r="V33" s="11">
        <f>IF(OR(履歴データ!$A$33="",履歴データ!$A$32=""),"",-50000*M33)</f>
        <v>-244999.99999999886</v>
      </c>
      <c r="W33" s="11">
        <f>IF(OR(履歴データ!$A$33="",履歴データ!$A$32=""),"",-40000*N33)</f>
        <v>-120000.00000000114</v>
      </c>
      <c r="X33" s="11">
        <f>IF(OR(履歴データ!$A$33="",履歴データ!$A$32=""),"",120*1000000*(-Q33/H32))</f>
        <v>-822915.15837285784</v>
      </c>
      <c r="Y33" s="11">
        <f>IF(OR(履歴データ!$A$33="",履歴データ!$A$32=""),"",40000*(-S33)+(-506.3)*R33*1000)</f>
        <v>-120890.6249999993</v>
      </c>
      <c r="Z33" s="11">
        <f>IF(OR(履歴データ!$A$33="",履歴データ!$A$32=""),"",-40000*O33)</f>
        <v>340399.99999999849</v>
      </c>
      <c r="AA33" s="11">
        <f>IF(OR(履歴データ!$A$33="",履歴データ!$A$32=""),"",-40000*P33)</f>
        <v>-189512.85644530458</v>
      </c>
      <c r="AB33" s="11">
        <f>IF(履歴データ!$A$33="","",123.3)</f>
        <v>123.3</v>
      </c>
      <c r="AC33">
        <f>IF(履歴データ!$A$33="","",SUM(T33:AA33))</f>
        <v>-1295918.6398181678</v>
      </c>
      <c r="AD33" s="29">
        <f>IF(履歴データ!$A$33="","",AC33/1000000)</f>
        <v>-1.2959186398181677</v>
      </c>
      <c r="AE33" s="29">
        <f>IF(履歴データ!$A$33="",AE32,AE32+AC33/1000000)</f>
        <v>97.459049584169676</v>
      </c>
      <c r="AF33" s="12">
        <f>IF(OR(履歴データ!$A$33="",AE32=0),"",(AE33-AE32)/AE32)</f>
        <v>-1.3122566521198946E-2</v>
      </c>
      <c r="AG33" s="29">
        <f t="shared" si="2"/>
        <v>102.17217746631495</v>
      </c>
      <c r="AH33" s="12">
        <f>IF(OR(履歴データ!$A$33="",AG33=0),"",AE33/AG33-1)</f>
        <v>-4.6129269229865821E-2</v>
      </c>
      <c r="AJ33" s="28">
        <f t="shared" ca="1" si="0"/>
        <v>-37.188211139126196</v>
      </c>
      <c r="AK33" s="28">
        <f t="shared" ca="1" si="1"/>
        <v>-45.593038860873818</v>
      </c>
    </row>
    <row r="34" spans="1:37">
      <c r="A34" s="10">
        <f>IF(履歴データ!$A$34="","",履歴データ!$A$34)</f>
        <v>44974</v>
      </c>
      <c r="B34" s="28">
        <f>IF(履歴データ!$A$34="","",(履歴データ!$D$34-(履歴データ!$B$34+履歴データ!$F$34)/2)*100)</f>
        <v>-42.000000000000036</v>
      </c>
      <c r="C34" s="28">
        <f>IF(履歴データ!$A$34="","",(履歴データ!$H$34-(履歴データ!$G$34+履歴データ!$J$34)/2)*100)</f>
        <v>-19.999999999999996</v>
      </c>
      <c r="D34" s="28">
        <f>IF(履歴データ!$A$34="","",(履歴データ!$D$34-履歴データ!$H$34)*100)</f>
        <v>329.2</v>
      </c>
      <c r="E34" s="28">
        <f>IF(履歴データ!$A$34="","",(履歴データ!$D$34-履歴データ!$C$34)*100)</f>
        <v>-21.000000000000043</v>
      </c>
      <c r="F34" s="28">
        <f>IF(履歴データ!$A$34="","",(履歴データ!$R$34-履歴データ!$D$34)*100)</f>
        <v>-172.04999999999998</v>
      </c>
      <c r="G34" s="28">
        <f>IF(履歴データ!$A$34="","",(履歴データ!$S$34-履歴データ!$R$34)*100)</f>
        <v>-164.82017858886744</v>
      </c>
      <c r="H34" s="29">
        <f>IF(履歴データ!$A$34="","",履歴データ!$O$34)</f>
        <v>134.07400512695313</v>
      </c>
      <c r="I34" s="29">
        <f>IF(履歴データ!$A$34="","",履歴データ!$Q$34)</f>
        <v>112</v>
      </c>
      <c r="J34" s="29">
        <f>IF(履歴データ!$A$34="","",履歴データ!$D$34)</f>
        <v>3.82</v>
      </c>
      <c r="K34" s="28">
        <f>IF(OR(履歴データ!$A$34="",履歴データ!$A$33=""),"",B34-B33)</f>
        <v>-1.0000000000000639</v>
      </c>
      <c r="L34" s="28">
        <f>IF(OR(履歴データ!$A$34="",履歴データ!$A$33=""),"",C34-C33)</f>
        <v>-0.64999999999999503</v>
      </c>
      <c r="M34" s="28">
        <f>IF(OR(履歴データ!$A$34="",履歴データ!$A$33=""),"",D34-D33)</f>
        <v>-4.1999999999999886</v>
      </c>
      <c r="N34" s="28">
        <f>IF(OR(履歴データ!$A$34="",履歴データ!$A$33=""),"",E34-E33)</f>
        <v>-1.0000000000000711</v>
      </c>
      <c r="O34" s="28">
        <f>IF(OR(履歴データ!$A$34="",履歴データ!$A$33=""),"",F34-F33)</f>
        <v>1.8499999999999943</v>
      </c>
      <c r="P34" s="28">
        <f>IF(OR(履歴データ!$A$34="",履歴データ!$A$33=""),"",G34-G33)</f>
        <v>2.8516428222655748</v>
      </c>
      <c r="Q34" s="29">
        <f>IF(OR(履歴データ!$A$34="",履歴データ!$A$33=""),"",H34-H33)</f>
        <v>0.1710052490234375</v>
      </c>
      <c r="R34" s="29">
        <f>IF(OR(履歴データ!$A$34="",履歴データ!$A$33=""),"",I34-I33)</f>
        <v>0.109375</v>
      </c>
      <c r="S34" s="28">
        <f>IF(OR(履歴データ!$A$34="",履歴データ!$A$33=""),"",(J34-J33)*100)</f>
        <v>-4.0000000000000036</v>
      </c>
      <c r="T34" s="11">
        <f>IF(OR(履歴データ!$A$34="",履歴データ!$A$33=""),"",-80000*K34)</f>
        <v>80000.000000005122</v>
      </c>
      <c r="U34" s="11">
        <f>IF(OR(履歴データ!$A$34="",履歴データ!$A$33=""),"",60000*L34)</f>
        <v>-38999.999999999702</v>
      </c>
      <c r="V34" s="11">
        <f>IF(OR(履歴データ!$A$34="",履歴データ!$A$33=""),"",-50000*M34)</f>
        <v>209999.99999999942</v>
      </c>
      <c r="W34" s="11">
        <f>IF(OR(履歴データ!$A$34="",履歴データ!$A$33=""),"",-40000*N34)</f>
        <v>40000.000000002845</v>
      </c>
      <c r="X34" s="11">
        <f>IF(OR(履歴データ!$A$34="",履歴データ!$A$33=""),"",120*1000000*(-Q34/H33))</f>
        <v>-153249.9637911008</v>
      </c>
      <c r="Y34" s="11">
        <f>IF(OR(履歴データ!$A$34="",履歴データ!$A$33=""),"",40000*(-S34)+(-506.3)*R34*1000)</f>
        <v>104623.43750000015</v>
      </c>
      <c r="Z34" s="11">
        <f>IF(OR(履歴データ!$A$34="",履歴データ!$A$33=""),"",-40000*O34)</f>
        <v>-73999.999999999767</v>
      </c>
      <c r="AA34" s="11">
        <f>IF(OR(履歴データ!$A$34="",履歴データ!$A$33=""),"",-40000*P34)</f>
        <v>-114065.71289062299</v>
      </c>
      <c r="AB34" s="11">
        <f>IF(履歴データ!$A$34="","",123.3)</f>
        <v>123.3</v>
      </c>
      <c r="AC34">
        <f>IF(履歴データ!$A$34="","",SUM(T34:AA34))</f>
        <v>54307.760818284267</v>
      </c>
      <c r="AD34" s="29">
        <f>IF(履歴データ!$A$34="","",AC34/1000000)</f>
        <v>5.430776081828427E-2</v>
      </c>
      <c r="AE34" s="29">
        <f>IF(履歴データ!$A$34="",AE33,AE33+AC34/1000000)</f>
        <v>97.513357344987966</v>
      </c>
      <c r="AF34" s="12">
        <f>IF(OR(履歴データ!$A$34="",AE33=0),"",(AE34-AE33)/AE33)</f>
        <v>5.572367168570362E-4</v>
      </c>
      <c r="AG34" s="29">
        <f t="shared" si="2"/>
        <v>102.17217746631495</v>
      </c>
      <c r="AH34" s="12">
        <f>IF(OR(履歴データ!$A$34="",AG34=0),"",AE34/AG34-1)</f>
        <v>-4.5597737435545405E-2</v>
      </c>
      <c r="AJ34" s="28">
        <f t="shared" ca="1" si="0"/>
        <v>-37.267423480275696</v>
      </c>
      <c r="AK34" s="28">
        <f t="shared" ca="1" si="1"/>
        <v>-45.550758337906132</v>
      </c>
    </row>
    <row r="35" spans="1:37">
      <c r="A35" s="10">
        <f>IF(履歴データ!$A$35="","",履歴データ!$A$35)</f>
        <v>44978</v>
      </c>
      <c r="B35" s="28">
        <f>IF(履歴データ!$A$35="","",(履歴データ!$D$35-(履歴データ!$B$35+履歴データ!$F$35)/2)*100)</f>
        <v>-37.5</v>
      </c>
      <c r="C35" s="28">
        <f>IF(履歴データ!$A$35="","",(履歴データ!$H$35-(履歴データ!$G$35+履歴データ!$J$35)/2)*100)</f>
        <v>-20.650000000000002</v>
      </c>
      <c r="D35" s="28">
        <f>IF(履歴データ!$A$35="","",(履歴データ!$D$35-履歴データ!$H$35)*100)</f>
        <v>341.9</v>
      </c>
      <c r="E35" s="28">
        <f>IF(履歴データ!$A$35="","",(履歴データ!$D$35-履歴データ!$C$35)*100)</f>
        <v>-20.999999999999996</v>
      </c>
      <c r="F35" s="28">
        <f>IF(履歴データ!$A$35="","",(履歴データ!$R$35-履歴データ!$D$35)*100)</f>
        <v>-186.65000000000003</v>
      </c>
      <c r="G35" s="28">
        <f>IF(履歴データ!$A$35="","",(履歴データ!$S$35-履歴データ!$R$35)*100)</f>
        <v>-160.94</v>
      </c>
      <c r="H35" s="29">
        <f>IF(履歴データ!$A$35="","",履歴データ!$O$35)</f>
        <v>134.33599853515625</v>
      </c>
      <c r="I35" s="29">
        <f>IF(履歴データ!$A$35="","",履歴データ!$Q$35)</f>
        <v>111.0625</v>
      </c>
      <c r="J35" s="29">
        <f>IF(履歴データ!$A$35="","",履歴データ!$D$35)</f>
        <v>3.95</v>
      </c>
      <c r="K35" s="28">
        <f>IF(OR(履歴データ!$A$35="",履歴データ!$A$34=""),"",B35-B34)</f>
        <v>4.5000000000000355</v>
      </c>
      <c r="L35" s="28">
        <f>IF(OR(履歴データ!$A$35="",履歴データ!$A$34=""),"",C35-C34)</f>
        <v>-0.65000000000000568</v>
      </c>
      <c r="M35" s="28">
        <f>IF(OR(履歴データ!$A$35="",履歴データ!$A$34=""),"",D35-D34)</f>
        <v>12.699999999999989</v>
      </c>
      <c r="N35" s="28">
        <f>IF(OR(履歴データ!$A$35="",履歴データ!$A$34=""),"",E35-E34)</f>
        <v>4.6185277824406512E-14</v>
      </c>
      <c r="O35" s="28">
        <f>IF(OR(履歴データ!$A$35="",履歴データ!$A$34=""),"",F35-F34)</f>
        <v>-14.600000000000051</v>
      </c>
      <c r="P35" s="28">
        <f>IF(OR(履歴データ!$A$35="",履歴データ!$A$34=""),"",G35-G34)</f>
        <v>3.8801785888674374</v>
      </c>
      <c r="Q35" s="29">
        <f>IF(OR(履歴データ!$A$35="",履歴データ!$A$34=""),"",H35-H34)</f>
        <v>0.261993408203125</v>
      </c>
      <c r="R35" s="29">
        <f>IF(OR(履歴データ!$A$35="",履歴データ!$A$34=""),"",I35-I34)</f>
        <v>-0.9375</v>
      </c>
      <c r="S35" s="28">
        <f>IF(OR(履歴データ!$A$35="",履歴データ!$A$34=""),"",(J35-J34)*100)</f>
        <v>13.000000000000034</v>
      </c>
      <c r="T35" s="11">
        <f>IF(OR(履歴データ!$A$35="",履歴データ!$A$34=""),"",-80000*K35)</f>
        <v>-360000.00000000285</v>
      </c>
      <c r="U35" s="11">
        <f>IF(OR(履歴データ!$A$35="",履歴データ!$A$34=""),"",60000*L35)</f>
        <v>-39000.000000000342</v>
      </c>
      <c r="V35" s="11">
        <f>IF(OR(履歴データ!$A$35="",履歴データ!$A$34=""),"",-50000*M35)</f>
        <v>-634999.99999999942</v>
      </c>
      <c r="W35" s="11">
        <f>IF(OR(履歴データ!$A$35="",履歴データ!$A$34=""),"",-40000*N35)</f>
        <v>-1.8474111129762605E-9</v>
      </c>
      <c r="X35" s="11">
        <f>IF(OR(履歴データ!$A$35="",履歴データ!$A$34=""),"",120*1000000*(-Q35/H34))</f>
        <v>-234491.45831517139</v>
      </c>
      <c r="Y35" s="11">
        <f>IF(OR(履歴データ!$A$35="",履歴データ!$A$34=""),"",40000*(-S35)+(-506.3)*R35*1000)</f>
        <v>-45343.750000001339</v>
      </c>
      <c r="Z35" s="11">
        <f>IF(OR(履歴データ!$A$35="",履歴データ!$A$34=""),"",-40000*O35)</f>
        <v>584000.0000000021</v>
      </c>
      <c r="AA35" s="11">
        <f>IF(OR(履歴データ!$A$35="",履歴データ!$A$34=""),"",-40000*P35)</f>
        <v>-155207.14355469748</v>
      </c>
      <c r="AB35" s="11">
        <f>IF(履歴データ!$A$35="","",123.3)</f>
        <v>123.3</v>
      </c>
      <c r="AC35">
        <f>IF(履歴データ!$A$35="","",SUM(T35:AA35))</f>
        <v>-885042.35186987254</v>
      </c>
      <c r="AD35" s="29">
        <f>IF(履歴データ!$A$35="","",AC35/1000000)</f>
        <v>-0.88504235186987257</v>
      </c>
      <c r="AE35" s="29">
        <f>IF(履歴データ!$A$35="",AE34,AE34+AC35/1000000)</f>
        <v>96.628314993118096</v>
      </c>
      <c r="AF35" s="12">
        <f>IF(OR(履歴データ!$A$35="",AE34=0),"",(AE35-AE34)/AE34)</f>
        <v>-9.0761140418816715E-3</v>
      </c>
      <c r="AG35" s="29">
        <f t="shared" si="2"/>
        <v>102.17217746631495</v>
      </c>
      <c r="AH35" s="12">
        <f>IF(OR(履歴データ!$A$35="",AG35=0),"",AE35/AG35-1)</f>
        <v>-5.4260001212410369E-2</v>
      </c>
      <c r="AJ35" s="28">
        <f t="shared" ca="1" si="0"/>
        <v>-37.000940204998066</v>
      </c>
      <c r="AK35" s="28">
        <f t="shared" ca="1" si="1"/>
        <v>-45.5872950891196</v>
      </c>
    </row>
    <row r="36" spans="1:37">
      <c r="A36" s="10">
        <f>IF(履歴データ!$A$36="","",履歴データ!$A$36)</f>
        <v>44979</v>
      </c>
      <c r="B36" s="28">
        <f>IF(履歴データ!$A$36="","",(履歴データ!$D$36-(履歴データ!$B$36+履歴データ!$F$36)/2)*100)</f>
        <v>-36.999999999999964</v>
      </c>
      <c r="C36" s="28">
        <f>IF(履歴データ!$A$36="","",(履歴データ!$H$36-(履歴データ!$G$36+履歴データ!$J$36)/2)*100)</f>
        <v>-19.100000000000005</v>
      </c>
      <c r="D36" s="28">
        <f>IF(履歴データ!$A$36="","",(履歴データ!$D$36-履歴データ!$H$36)*100)</f>
        <v>339.9</v>
      </c>
      <c r="E36" s="28">
        <f>IF(履歴データ!$A$36="","",(履歴データ!$D$36-履歴データ!$C$36)*100)</f>
        <v>-19.999999999999972</v>
      </c>
      <c r="F36" s="28">
        <f>IF(履歴データ!$A$36="","",(履歴データ!$R$36-履歴データ!$D$36)*100)</f>
        <v>-160.77000000000004</v>
      </c>
      <c r="G36" s="28">
        <f>IF(履歴データ!$A$36="","",(履歴データ!$S$36-履歴データ!$R$36)*100)</f>
        <v>-185.5216428222659</v>
      </c>
      <c r="H36" s="29">
        <f>IF(履歴データ!$A$36="","",履歴データ!$O$36)</f>
        <v>134.97599792480469</v>
      </c>
      <c r="I36" s="29">
        <f>IF(履歴データ!$A$36="","",履歴データ!$Q$36)</f>
        <v>111.203125</v>
      </c>
      <c r="J36" s="29">
        <f>IF(履歴データ!$A$36="","",履歴データ!$D$36)</f>
        <v>3.93</v>
      </c>
      <c r="K36" s="28">
        <f>IF(OR(履歴データ!$A$36="",履歴データ!$A$35=""),"",B36-B35)</f>
        <v>0.50000000000003553</v>
      </c>
      <c r="L36" s="28">
        <f>IF(OR(履歴データ!$A$36="",履歴データ!$A$35=""),"",C36-C35)</f>
        <v>1.5499999999999972</v>
      </c>
      <c r="M36" s="28">
        <f>IF(OR(履歴データ!$A$36="",履歴データ!$A$35=""),"",D36-D35)</f>
        <v>-2</v>
      </c>
      <c r="N36" s="28">
        <f>IF(OR(履歴データ!$A$36="",履歴データ!$A$35=""),"",E36-E35)</f>
        <v>1.0000000000000249</v>
      </c>
      <c r="O36" s="28">
        <f>IF(OR(履歴データ!$A$36="",履歴データ!$A$35=""),"",F36-F35)</f>
        <v>25.879999999999995</v>
      </c>
      <c r="P36" s="28">
        <f>IF(OR(履歴データ!$A$36="",履歴データ!$A$35=""),"",G36-G35)</f>
        <v>-24.581642822265906</v>
      </c>
      <c r="Q36" s="29">
        <f>IF(OR(履歴データ!$A$36="",履歴データ!$A$35=""),"",H36-H35)</f>
        <v>0.6399993896484375</v>
      </c>
      <c r="R36" s="29">
        <f>IF(OR(履歴データ!$A$36="",履歴データ!$A$35=""),"",I36-I35)</f>
        <v>0.140625</v>
      </c>
      <c r="S36" s="28">
        <f>IF(OR(履歴データ!$A$36="",履歴データ!$A$35=""),"",(J36-J35)*100)</f>
        <v>-2.0000000000000018</v>
      </c>
      <c r="T36" s="11">
        <f>IF(OR(履歴データ!$A$36="",履歴データ!$A$35=""),"",-80000*K36)</f>
        <v>-40000.000000002845</v>
      </c>
      <c r="U36" s="11">
        <f>IF(OR(履歴データ!$A$36="",履歴データ!$A$35=""),"",60000*L36)</f>
        <v>92999.999999999825</v>
      </c>
      <c r="V36" s="11">
        <f>IF(OR(履歴データ!$A$36="",履歴データ!$A$35=""),"",-50000*M36)</f>
        <v>100000</v>
      </c>
      <c r="W36" s="11">
        <f>IF(OR(履歴データ!$A$36="",履歴データ!$A$35=""),"",-40000*N36)</f>
        <v>-40000.000000000997</v>
      </c>
      <c r="X36" s="11">
        <f>IF(OR(履歴データ!$A$36="",履歴データ!$A$35=""),"",120*1000000*(-Q36/H35))</f>
        <v>-571700.27092710871</v>
      </c>
      <c r="Y36" s="11">
        <f>IF(OR(履歴データ!$A$36="",履歴データ!$A$35=""),"",40000*(-S36)+(-506.3)*R36*1000)</f>
        <v>8801.5625000000728</v>
      </c>
      <c r="Z36" s="11">
        <f>IF(OR(履歴データ!$A$36="",履歴データ!$A$35=""),"",-40000*O36)</f>
        <v>-1035199.9999999998</v>
      </c>
      <c r="AA36" s="11">
        <f>IF(OR(履歴データ!$A$36="",履歴データ!$A$35=""),"",-40000*P36)</f>
        <v>983265.71289063618</v>
      </c>
      <c r="AB36" s="11">
        <f>IF(履歴データ!$A$36="","",123.3)</f>
        <v>123.3</v>
      </c>
      <c r="AC36">
        <f>IF(履歴データ!$A$36="","",SUM(T36:AA36))</f>
        <v>-501832.99553647637</v>
      </c>
      <c r="AD36" s="29">
        <f>IF(履歴データ!$A$36="","",AC36/1000000)</f>
        <v>-0.50183299553647642</v>
      </c>
      <c r="AE36" s="29">
        <f>IF(履歴データ!$A$36="",AE35,AE35+AC36/1000000)</f>
        <v>96.126481997581621</v>
      </c>
      <c r="AF36" s="12">
        <f>IF(OR(履歴データ!$A$36="",AE35=0),"",(AE36-AE35)/AE35)</f>
        <v>-5.1934362673323612E-3</v>
      </c>
      <c r="AG36" s="29">
        <f t="shared" si="2"/>
        <v>102.17217746631495</v>
      </c>
      <c r="AH36" s="12">
        <f>IF(OR(履歴データ!$A$36="",AG36=0),"",AE36/AG36-1)</f>
        <v>-5.9171641621580617E-2</v>
      </c>
      <c r="AJ36" s="28">
        <f t="shared" ca="1" si="0"/>
        <v>-36.699668441964789</v>
      </c>
      <c r="AK36" s="28">
        <f t="shared" ca="1" si="1"/>
        <v>-45.643188700892367</v>
      </c>
    </row>
    <row r="37" spans="1:37">
      <c r="A37" s="10">
        <f>IF(履歴データ!$A$37="","",履歴データ!$A$37)</f>
        <v>44980</v>
      </c>
      <c r="B37" s="28">
        <f>IF(履歴データ!$A$37="","",(履歴データ!$D$37-(履歴データ!$B$37+履歴データ!$F$37)/2)*100)</f>
        <v>-38.999999999999972</v>
      </c>
      <c r="C37" s="28">
        <f>IF(履歴データ!$A$37="","",(履歴データ!$H$37-(履歴データ!$G$37+履歴データ!$J$37)/2)*100)</f>
        <v>-19.100000000000005</v>
      </c>
      <c r="D37" s="28">
        <f>IF(履歴データ!$A$37="","",(履歴データ!$D$37-履歴データ!$H$37)*100)</f>
        <v>334.9</v>
      </c>
      <c r="E37" s="28">
        <f>IF(履歴データ!$A$37="","",(履歴データ!$D$37-履歴データ!$C$37)*100)</f>
        <v>-20.999999999999996</v>
      </c>
      <c r="F37" s="28">
        <f>IF(履歴データ!$A$37="","",(履歴データ!$R$37-履歴データ!$D$37)*100)</f>
        <v>-157.98999999999998</v>
      </c>
      <c r="G37" s="28">
        <f>IF(履歴データ!$A$37="","",(履歴データ!$S$37-履歴データ!$R$37)*100)</f>
        <v>-183.30164282226593</v>
      </c>
      <c r="H37" s="29">
        <f>IF(履歴データ!$A$37="","",履歴データ!$O$37)</f>
        <v>134.9320068359375</v>
      </c>
      <c r="I37" s="29">
        <f>IF(履歴データ!$A$37="","",履歴データ!$Q$37)</f>
        <v>111.4375</v>
      </c>
      <c r="J37" s="29">
        <f>IF(履歴データ!$A$37="","",履歴データ!$D$37)</f>
        <v>3.88</v>
      </c>
      <c r="K37" s="28">
        <f>IF(OR(履歴データ!$A$37="",履歴データ!$A$36=""),"",B37-B36)</f>
        <v>-2.0000000000000071</v>
      </c>
      <c r="L37" s="28">
        <f>IF(OR(履歴データ!$A$37="",履歴データ!$A$36=""),"",C37-C36)</f>
        <v>0</v>
      </c>
      <c r="M37" s="28">
        <f>IF(OR(履歴データ!$A$37="",履歴データ!$A$36=""),"",D37-D36)</f>
        <v>-5</v>
      </c>
      <c r="N37" s="28">
        <f>IF(OR(履歴データ!$A$37="",履歴データ!$A$36=""),"",E37-E36)</f>
        <v>-1.0000000000000249</v>
      </c>
      <c r="O37" s="28">
        <f>IF(OR(履歴データ!$A$37="",履歴データ!$A$36=""),"",F37-F36)</f>
        <v>2.780000000000058</v>
      </c>
      <c r="P37" s="28">
        <f>IF(OR(履歴データ!$A$37="",履歴データ!$A$36=""),"",G37-G36)</f>
        <v>2.2199999999999704</v>
      </c>
      <c r="Q37" s="29">
        <f>IF(OR(履歴データ!$A$37="",履歴データ!$A$36=""),"",H37-H36)</f>
        <v>-4.39910888671875E-2</v>
      </c>
      <c r="R37" s="29">
        <f>IF(OR(履歴データ!$A$37="",履歴データ!$A$36=""),"",I37-I36)</f>
        <v>0.234375</v>
      </c>
      <c r="S37" s="28">
        <f>IF(OR(履歴データ!$A$37="",履歴データ!$A$36=""),"",(J37-J36)*100)</f>
        <v>-5.0000000000000266</v>
      </c>
      <c r="T37" s="11">
        <f>IF(OR(履歴データ!$A$37="",履歴データ!$A$36=""),"",-80000*K37)</f>
        <v>160000.00000000058</v>
      </c>
      <c r="U37" s="11">
        <f>IF(OR(履歴データ!$A$37="",履歴データ!$A$36=""),"",60000*L37)</f>
        <v>0</v>
      </c>
      <c r="V37" s="11">
        <f>IF(OR(履歴データ!$A$37="",履歴データ!$A$36=""),"",-50000*M37)</f>
        <v>250000</v>
      </c>
      <c r="W37" s="11">
        <f>IF(OR(履歴データ!$A$37="",履歴データ!$A$36=""),"",-40000*N37)</f>
        <v>40000.000000000997</v>
      </c>
      <c r="X37" s="11">
        <f>IF(OR(履歴データ!$A$37="",履歴データ!$A$36=""),"",120*1000000*(-Q37/H36))</f>
        <v>39110.143619781935</v>
      </c>
      <c r="Y37" s="11">
        <f>IF(OR(履歴データ!$A$37="",履歴データ!$A$36=""),"",40000*(-S37)+(-506.3)*R37*1000)</f>
        <v>81335.937500001077</v>
      </c>
      <c r="Z37" s="11">
        <f>IF(OR(履歴データ!$A$37="",履歴データ!$A$36=""),"",-40000*O37)</f>
        <v>-111200.00000000231</v>
      </c>
      <c r="AA37" s="11">
        <f>IF(OR(履歴データ!$A$37="",履歴データ!$A$36=""),"",-40000*P37)</f>
        <v>-88799.999999998821</v>
      </c>
      <c r="AB37" s="11">
        <f>IF(履歴データ!$A$37="","",123.3)</f>
        <v>123.3</v>
      </c>
      <c r="AC37">
        <f>IF(履歴データ!$A$37="","",SUM(T37:AA37))</f>
        <v>370446.08111978346</v>
      </c>
      <c r="AD37" s="29">
        <f>IF(履歴データ!$A$37="","",AC37/1000000)</f>
        <v>0.37044608111978344</v>
      </c>
      <c r="AE37" s="29">
        <f>IF(履歴データ!$A$37="",AE36,AE36+AC37/1000000)</f>
        <v>96.496928078701401</v>
      </c>
      <c r="AF37" s="12">
        <f>IF(OR(履歴データ!$A$37="",AE36=0),"",(AE37-AE36)/AE36)</f>
        <v>3.8537359676712219E-3</v>
      </c>
      <c r="AG37" s="29">
        <f t="shared" si="2"/>
        <v>102.17217746631495</v>
      </c>
      <c r="AH37" s="12">
        <f>IF(OR(履歴データ!$A$37="",AG37=0),"",AE37/AG37-1)</f>
        <v>-5.5545937537492707E-2</v>
      </c>
      <c r="AJ37" s="28">
        <f t="shared" ca="1" si="0"/>
        <v>-36.644657669150007</v>
      </c>
      <c r="AK37" s="28">
        <f t="shared" ca="1" si="1"/>
        <v>-45.577564553072222</v>
      </c>
    </row>
    <row r="38" spans="1:37">
      <c r="A38" s="10">
        <f>IF(履歴データ!$A$38="","",履歴データ!$A$38)</f>
        <v>44981</v>
      </c>
      <c r="B38" s="28">
        <f>IF(履歴データ!$A$38="","",(履歴データ!$D$38-(履歴データ!$B$38+履歴データ!$F$38)/2)*100)</f>
        <v>-40.500000000000028</v>
      </c>
      <c r="C38" s="28">
        <f>IF(履歴データ!$A$38="","",(履歴データ!$H$38-(履歴データ!$G$38+履歴データ!$J$38)/2)*100)</f>
        <v>-18.75</v>
      </c>
      <c r="D38" s="28">
        <f>IF(履歴データ!$A$38="","",(履歴データ!$D$38-履歴データ!$H$38)*100)</f>
        <v>342</v>
      </c>
      <c r="E38" s="28">
        <f>IF(履歴データ!$A$38="","",(履歴データ!$D$38-履歴データ!$C$38)*100)</f>
        <v>-24.000000000000021</v>
      </c>
      <c r="F38" s="28">
        <f>IF(履歴データ!$A$38="","",(履歴データ!$R$38-履歴データ!$D$38)*100)</f>
        <v>-171.96000000000004</v>
      </c>
      <c r="G38" s="28">
        <f>IF(履歴データ!$A$38="","",(履歴データ!$S$38-履歴データ!$R$38)*100)</f>
        <v>-178.61182141113301</v>
      </c>
      <c r="H38" s="29">
        <f>IF(履歴データ!$A$38="","",履歴データ!$O$38)</f>
        <v>134.62800598144531</v>
      </c>
      <c r="I38" s="29">
        <f>IF(履歴データ!$A$38="","",履歴データ!$Q$38)</f>
        <v>110.921875</v>
      </c>
      <c r="J38" s="29">
        <f>IF(履歴データ!$A$38="","",履歴データ!$D$38)</f>
        <v>3.95</v>
      </c>
      <c r="K38" s="28">
        <f>IF(OR(履歴データ!$A$38="",履歴データ!$A$37=""),"",B38-B37)</f>
        <v>-1.5000000000000568</v>
      </c>
      <c r="L38" s="28">
        <f>IF(OR(履歴データ!$A$38="",履歴データ!$A$37=""),"",C38-C37)</f>
        <v>0.35000000000000497</v>
      </c>
      <c r="M38" s="28">
        <f>IF(OR(履歴データ!$A$38="",履歴データ!$A$37=""),"",D38-D37)</f>
        <v>7.1000000000000227</v>
      </c>
      <c r="N38" s="28">
        <f>IF(OR(履歴データ!$A$38="",履歴データ!$A$37=""),"",E38-E37)</f>
        <v>-3.0000000000000249</v>
      </c>
      <c r="O38" s="28">
        <f>IF(OR(履歴データ!$A$38="",履歴データ!$A$37=""),"",F38-F37)</f>
        <v>-13.970000000000056</v>
      </c>
      <c r="P38" s="28">
        <f>IF(OR(履歴データ!$A$38="",履歴データ!$A$37=""),"",G38-G37)</f>
        <v>4.6898214111329253</v>
      </c>
      <c r="Q38" s="29">
        <f>IF(OR(履歴データ!$A$38="",履歴データ!$A$37=""),"",H38-H37)</f>
        <v>-0.3040008544921875</v>
      </c>
      <c r="R38" s="29">
        <f>IF(OR(履歴データ!$A$38="",履歴データ!$A$37=""),"",I38-I37)</f>
        <v>-0.515625</v>
      </c>
      <c r="S38" s="28">
        <f>IF(OR(履歴データ!$A$38="",履歴データ!$A$37=""),"",(J38-J37)*100)</f>
        <v>7.0000000000000284</v>
      </c>
      <c r="T38" s="11">
        <f>IF(OR(履歴データ!$A$38="",履歴データ!$A$37=""),"",-80000*K38)</f>
        <v>120000.00000000454</v>
      </c>
      <c r="U38" s="11">
        <f>IF(OR(履歴データ!$A$38="",履歴データ!$A$37=""),"",60000*L38)</f>
        <v>21000.000000000298</v>
      </c>
      <c r="V38" s="11">
        <f>IF(OR(履歴データ!$A$38="",履歴データ!$A$37=""),"",-50000*M38)</f>
        <v>-355000.00000000116</v>
      </c>
      <c r="W38" s="11">
        <f>IF(OR(履歴データ!$A$38="",履歴データ!$A$37=""),"",-40000*N38)</f>
        <v>120000.00000000099</v>
      </c>
      <c r="X38" s="11">
        <f>IF(OR(履歴データ!$A$38="",履歴データ!$A$37=""),"",120*1000000*(-Q38/H37))</f>
        <v>270359.14898544643</v>
      </c>
      <c r="Y38" s="11">
        <f>IF(OR(履歴データ!$A$38="",履歴データ!$A$37=""),"",40000*(-S38)+(-506.3)*R38*1000)</f>
        <v>-18939.062500001135</v>
      </c>
      <c r="Z38" s="11">
        <f>IF(OR(履歴データ!$A$38="",履歴データ!$A$37=""),"",-40000*O38)</f>
        <v>558800.00000000221</v>
      </c>
      <c r="AA38" s="11">
        <f>IF(OR(履歴データ!$A$38="",履歴データ!$A$37=""),"",-40000*P38)</f>
        <v>-187592.85644531701</v>
      </c>
      <c r="AB38" s="11">
        <f>IF(履歴データ!$A$38="","",123.3)</f>
        <v>123.3</v>
      </c>
      <c r="AC38">
        <f>IF(履歴データ!$A$38="","",SUM(T38:AA38))</f>
        <v>528627.23004013509</v>
      </c>
      <c r="AD38" s="29">
        <f>IF(履歴データ!$A$38="","",AC38/1000000)</f>
        <v>0.52862723004013512</v>
      </c>
      <c r="AE38" s="29">
        <f>IF(履歴データ!$A$38="",AE37,AE37+AC38/1000000)</f>
        <v>97.025555308741531</v>
      </c>
      <c r="AF38" s="12">
        <f>IF(OR(履歴データ!$A$38="",AE37=0),"",(AE38-AE37)/AE37)</f>
        <v>5.478176772725751E-3</v>
      </c>
      <c r="AG38" s="29">
        <f t="shared" si="2"/>
        <v>102.17217746631495</v>
      </c>
      <c r="AH38" s="12">
        <f>IF(OR(履歴データ!$A$38="",AG38=0),"",AE38/AG38-1)</f>
        <v>-5.0372051229604087E-2</v>
      </c>
      <c r="AJ38" s="28">
        <f t="shared" ca="1" si="0"/>
        <v>-36.686030720107212</v>
      </c>
      <c r="AK38" s="28">
        <f t="shared" ca="1" si="1"/>
        <v>-45.503158469081995</v>
      </c>
    </row>
    <row r="39" spans="1:37">
      <c r="A39" s="10">
        <f>IF(履歴データ!$A$39="","",履歴データ!$A$39)</f>
        <v>44984</v>
      </c>
      <c r="B39" s="28">
        <f>IF(履歴データ!$A$39="","",(履歴データ!$D$39-(履歴データ!$B$39+履歴データ!$F$39)/2)*100)</f>
        <v>-43.50000000000005</v>
      </c>
      <c r="C39" s="28">
        <f>IF(履歴データ!$A$39="","",(履歴データ!$H$39-(履歴データ!$G$39+履歴データ!$J$39)/2)*100)</f>
        <v>-18.149999999999999</v>
      </c>
      <c r="D39" s="28">
        <f>IF(履歴データ!$A$39="","",(履歴データ!$D$39-履歴データ!$H$39)*100)</f>
        <v>338.8</v>
      </c>
      <c r="E39" s="28">
        <f>IF(履歴データ!$A$39="","",(履歴データ!$D$39-履歴データ!$C$39)*100)</f>
        <v>-25</v>
      </c>
      <c r="F39" s="28">
        <f>IF(履歴データ!$A$39="","",(履歴データ!$R$39-履歴データ!$D$39)*100)</f>
        <v>-165.05</v>
      </c>
      <c r="G39" s="28">
        <f>IF(履歴データ!$A$39="","",(履歴データ!$S$39-履歴データ!$R$39)*100)</f>
        <v>-183.22335717773433</v>
      </c>
      <c r="H39" s="29">
        <f>IF(履歴データ!$A$39="","",履歴データ!$O$39)</f>
        <v>136.39500427246094</v>
      </c>
      <c r="I39" s="29">
        <f>IF(履歴データ!$A$39="","",履歴データ!$Q$39)</f>
        <v>111.140625</v>
      </c>
      <c r="J39" s="29">
        <f>IF(履歴データ!$A$39="","",履歴データ!$D$39)</f>
        <v>3.92</v>
      </c>
      <c r="K39" s="28">
        <f>IF(OR(履歴データ!$A$39="",履歴データ!$A$38=""),"",B39-B38)</f>
        <v>-3.0000000000000213</v>
      </c>
      <c r="L39" s="28">
        <f>IF(OR(履歴データ!$A$39="",履歴データ!$A$38=""),"",C39-C38)</f>
        <v>0.60000000000000142</v>
      </c>
      <c r="M39" s="28">
        <f>IF(OR(履歴データ!$A$39="",履歴データ!$A$38=""),"",D39-D38)</f>
        <v>-3.1999999999999886</v>
      </c>
      <c r="N39" s="28">
        <f>IF(OR(履歴データ!$A$39="",履歴データ!$A$38=""),"",E39-E38)</f>
        <v>-0.99999999999997868</v>
      </c>
      <c r="O39" s="28">
        <f>IF(OR(履歴データ!$A$39="",履歴データ!$A$38=""),"",F39-F38)</f>
        <v>6.910000000000025</v>
      </c>
      <c r="P39" s="28">
        <f>IF(OR(履歴データ!$A$39="",履歴データ!$A$38=""),"",G39-G38)</f>
        <v>-4.611535766601321</v>
      </c>
      <c r="Q39" s="29">
        <f>IF(OR(履歴データ!$A$39="",履歴データ!$A$38=""),"",H39-H38)</f>
        <v>1.766998291015625</v>
      </c>
      <c r="R39" s="29">
        <f>IF(OR(履歴データ!$A$39="",履歴データ!$A$38=""),"",I39-I38)</f>
        <v>0.21875</v>
      </c>
      <c r="S39" s="28">
        <f>IF(OR(履歴データ!$A$39="",履歴データ!$A$38=""),"",(J39-J38)*100)</f>
        <v>-3.0000000000000249</v>
      </c>
      <c r="T39" s="11">
        <f>IF(OR(履歴データ!$A$39="",履歴データ!$A$38=""),"",-80000*K39)</f>
        <v>240000.00000000172</v>
      </c>
      <c r="U39" s="11">
        <f>IF(OR(履歴データ!$A$39="",履歴データ!$A$38=""),"",60000*L39)</f>
        <v>36000.000000000087</v>
      </c>
      <c r="V39" s="11">
        <f>IF(OR(履歴データ!$A$39="",履歴データ!$A$38=""),"",-50000*M39)</f>
        <v>159999.99999999942</v>
      </c>
      <c r="W39" s="11">
        <f>IF(OR(履歴データ!$A$39="",履歴データ!$A$38=""),"",-40000*N39)</f>
        <v>39999.999999999149</v>
      </c>
      <c r="X39" s="11">
        <f>IF(OR(履歴データ!$A$39="",履歴データ!$A$38=""),"",120*1000000*(-Q39/H38))</f>
        <v>-1575005.0918164733</v>
      </c>
      <c r="Y39" s="11">
        <f>IF(OR(履歴データ!$A$39="",履歴データ!$A$38=""),"",40000*(-S39)+(-506.3)*R39*1000)</f>
        <v>9246.8750000009895</v>
      </c>
      <c r="Z39" s="11">
        <f>IF(OR(履歴データ!$A$39="",履歴データ!$A$38=""),"",-40000*O39)</f>
        <v>-276400.00000000099</v>
      </c>
      <c r="AA39" s="11">
        <f>IF(OR(履歴データ!$A$39="",履歴データ!$A$38=""),"",-40000*P39)</f>
        <v>184461.43066405284</v>
      </c>
      <c r="AB39" s="11">
        <f>IF(履歴データ!$A$39="","",123.3)</f>
        <v>123.3</v>
      </c>
      <c r="AC39">
        <f>IF(履歴データ!$A$39="","",SUM(T39:AA39))</f>
        <v>-1181696.7861524201</v>
      </c>
      <c r="AD39" s="29">
        <f>IF(履歴データ!$A$39="","",AC39/1000000)</f>
        <v>-1.1816967861524201</v>
      </c>
      <c r="AE39" s="29">
        <f>IF(履歴データ!$A$39="",AE38,AE38+AC39/1000000)</f>
        <v>95.843858522589116</v>
      </c>
      <c r="AF39" s="12">
        <f>IF(OR(履歴データ!$A$39="",AE38=0),"",(AE39-AE38)/AE38)</f>
        <v>-1.2179232392869898E-2</v>
      </c>
      <c r="AG39" s="29">
        <f t="shared" si="2"/>
        <v>102.17217746631495</v>
      </c>
      <c r="AH39" s="12">
        <f>IF(OR(履歴データ!$A$39="",AG39=0),"",AE39/AG39-1)</f>
        <v>-6.1937790704443052E-2</v>
      </c>
      <c r="AJ39" s="28">
        <f t="shared" ca="1" si="0"/>
        <v>-36.739840480278467</v>
      </c>
      <c r="AK39" s="28">
        <f t="shared" ca="1" si="1"/>
        <v>-45.575948993405753</v>
      </c>
    </row>
    <row r="40" spans="1:37">
      <c r="A40" s="10">
        <f>IF(履歴データ!$A$40="","",履歴データ!$A$40)</f>
        <v>44985</v>
      </c>
      <c r="B40" s="28">
        <f>IF(履歴データ!$A$40="","",(履歴データ!$D$40-(履歴データ!$B$40+履歴データ!$F$40)/2)*100)</f>
        <v>-45.000000000000014</v>
      </c>
      <c r="C40" s="28">
        <f>IF(履歴データ!$A$40="","",(履歴データ!$H$40-(履歴データ!$G$40+履歴データ!$J$40)/2)*100)</f>
        <v>-15.949999999999998</v>
      </c>
      <c r="D40" s="28">
        <f>IF(履歴データ!$A$40="","",(履歴データ!$D$40-履歴データ!$H$40)*100)</f>
        <v>339.59999999999997</v>
      </c>
      <c r="E40" s="28">
        <f>IF(履歴データ!$A$40="","",(履歴データ!$D$40-履歴データ!$C$40)*100)</f>
        <v>-25.999999999999979</v>
      </c>
      <c r="F40" s="28">
        <f>IF(履歴データ!$A$40="","",(履歴データ!$R$40-履歴データ!$D$40)*100)</f>
        <v>-157.41999999999999</v>
      </c>
      <c r="G40" s="28">
        <f>IF(履歴データ!$A$40="","",(履歴データ!$S$40-履歴データ!$R$40)*100)</f>
        <v>-194.53682141113293</v>
      </c>
      <c r="H40" s="29">
        <f>IF(履歴データ!$A$40="","",履歴データ!$O$40)</f>
        <v>136.31700134277344</v>
      </c>
      <c r="I40" s="29">
        <f>IF(履歴データ!$A$40="","",履歴データ!$Q$40)</f>
        <v>111.171875</v>
      </c>
      <c r="J40" s="29">
        <f>IF(履歴データ!$A$40="","",履歴データ!$D$40)</f>
        <v>3.92</v>
      </c>
      <c r="K40" s="28">
        <f>IF(OR(履歴データ!$A$40="",履歴データ!$A$39=""),"",B40-B39)</f>
        <v>-1.4999999999999645</v>
      </c>
      <c r="L40" s="28">
        <f>IF(OR(履歴データ!$A$40="",履歴データ!$A$39=""),"",C40-C39)</f>
        <v>2.2000000000000011</v>
      </c>
      <c r="M40" s="28">
        <f>IF(OR(履歴データ!$A$40="",履歴データ!$A$39=""),"",D40-D39)</f>
        <v>0.79999999999995453</v>
      </c>
      <c r="N40" s="28">
        <f>IF(OR(履歴データ!$A$40="",履歴データ!$A$39=""),"",E40-E39)</f>
        <v>-0.99999999999997868</v>
      </c>
      <c r="O40" s="28">
        <f>IF(OR(履歴データ!$A$40="",履歴データ!$A$39=""),"",F40-F39)</f>
        <v>7.6300000000000239</v>
      </c>
      <c r="P40" s="28">
        <f>IF(OR(履歴データ!$A$40="",履歴データ!$A$39=""),"",G40-G39)</f>
        <v>-11.313464233398605</v>
      </c>
      <c r="Q40" s="29">
        <f>IF(OR(履歴データ!$A$40="",履歴データ!$A$39=""),"",H40-H39)</f>
        <v>-7.80029296875E-2</v>
      </c>
      <c r="R40" s="29">
        <f>IF(OR(履歴データ!$A$40="",履歴データ!$A$39=""),"",I40-I39)</f>
        <v>3.125E-2</v>
      </c>
      <c r="S40" s="28">
        <f>IF(OR(履歴データ!$A$40="",履歴データ!$A$39=""),"",(J40-J39)*100)</f>
        <v>0</v>
      </c>
      <c r="T40" s="11">
        <f>IF(OR(履歴データ!$A$40="",履歴データ!$A$39=""),"",-80000*K40)</f>
        <v>119999.99999999716</v>
      </c>
      <c r="U40" s="11">
        <f>IF(OR(履歴データ!$A$40="",履歴データ!$A$39=""),"",60000*L40)</f>
        <v>132000.00000000006</v>
      </c>
      <c r="V40" s="11">
        <f>IF(OR(履歴データ!$A$40="",履歴データ!$A$39=""),"",-50000*M40)</f>
        <v>-39999.99999999773</v>
      </c>
      <c r="W40" s="11">
        <f>IF(OR(履歴データ!$A$40="",履歴データ!$A$39=""),"",-40000*N40)</f>
        <v>39999.999999999149</v>
      </c>
      <c r="X40" s="11">
        <f>IF(OR(履歴データ!$A$40="",履歴データ!$A$39=""),"",120*1000000*(-Q40/H39))</f>
        <v>68626.791812710973</v>
      </c>
      <c r="Y40" s="11">
        <f>IF(OR(履歴データ!$A$40="",履歴データ!$A$39=""),"",40000*(-S40)+(-506.3)*R40*1000)</f>
        <v>-15821.875</v>
      </c>
      <c r="Z40" s="11">
        <f>IF(OR(履歴データ!$A$40="",履歴データ!$A$39=""),"",-40000*O40)</f>
        <v>-305200.00000000093</v>
      </c>
      <c r="AA40" s="11">
        <f>IF(OR(履歴データ!$A$40="",履歴データ!$A$39=""),"",-40000*P40)</f>
        <v>452538.56933594419</v>
      </c>
      <c r="AB40" s="11">
        <f>IF(履歴データ!$A$40="","",123.3)</f>
        <v>123.3</v>
      </c>
      <c r="AC40">
        <f>IF(履歴データ!$A$40="","",SUM(T40:AA40))</f>
        <v>452143.48614865285</v>
      </c>
      <c r="AD40" s="29">
        <f>IF(履歴データ!$A$40="","",AC40/1000000)</f>
        <v>0.45214348614865285</v>
      </c>
      <c r="AE40" s="29">
        <f>IF(履歴データ!$A$40="",AE39,AE39+AC40/1000000)</f>
        <v>96.296002008737773</v>
      </c>
      <c r="AF40" s="12">
        <f>IF(OR(履歴データ!$A$40="",AE39=0),"",(AE40-AE39)/AE39)</f>
        <v>4.7175008719217279E-3</v>
      </c>
      <c r="AG40" s="29">
        <f t="shared" si="2"/>
        <v>102.17217746631495</v>
      </c>
      <c r="AH40" s="12">
        <f>IF(OR(履歴データ!$A$40="",AG40=0),"",AE40/AG40-1)</f>
        <v>-5.7512481414174532E-2</v>
      </c>
      <c r="AJ40" s="28">
        <f t="shared" ca="1" si="0"/>
        <v>-36.726557261980197</v>
      </c>
      <c r="AK40" s="28">
        <f t="shared" ca="1" si="1"/>
        <v>-45.786263250840328</v>
      </c>
    </row>
    <row r="41" spans="1:37">
      <c r="A41" s="10">
        <f>IF(履歴データ!$A$41="","",履歴データ!$A$41)</f>
        <v>44986</v>
      </c>
      <c r="B41" s="28">
        <f>IF(履歴データ!$A$41="","",(履歴データ!$D$41-(履歴データ!$B$41+履歴データ!$F$41)/2)*100)</f>
        <v>-41.999999999999993</v>
      </c>
      <c r="C41" s="28">
        <f>IF(履歴データ!$A$41="","",(履歴データ!$H$41-(履歴データ!$G$41+履歴データ!$J$41)/2)*100)</f>
        <v>-15.200000000000003</v>
      </c>
      <c r="D41" s="28">
        <f>IF(履歴データ!$A$41="","",(履歴データ!$D$41-履歴データ!$H$41)*100)</f>
        <v>348.5</v>
      </c>
      <c r="E41" s="28">
        <f>IF(履歴データ!$A$41="","",(履歴データ!$D$41-履歴データ!$C$41)*100)</f>
        <v>-25.999999999999979</v>
      </c>
      <c r="F41" s="28">
        <f>IF(履歴データ!$A$41="","",(履歴データ!$R$41-履歴データ!$D$41)*100)</f>
        <v>-151.92999999999998</v>
      </c>
      <c r="G41" s="28">
        <f>IF(履歴データ!$A$41="","",(履歴データ!$S$41-履歴データ!$R$41)*100)</f>
        <v>-213.58717858886743</v>
      </c>
      <c r="H41" s="29">
        <f>IF(履歴データ!$A$41="","",履歴データ!$O$41)</f>
        <v>136.34800720214844</v>
      </c>
      <c r="I41" s="29">
        <f>IF(履歴データ!$A$41="","",履歴データ!$Q$41)</f>
        <v>110.5625</v>
      </c>
      <c r="J41" s="29">
        <f>IF(履歴データ!$A$41="","",履歴データ!$D$41)</f>
        <v>4.01</v>
      </c>
      <c r="K41" s="28">
        <f>IF(OR(履歴データ!$A$41="",履歴データ!$A$40=""),"",B41-B40)</f>
        <v>3.0000000000000213</v>
      </c>
      <c r="L41" s="28">
        <f>IF(OR(履歴データ!$A$41="",履歴データ!$A$40=""),"",C41-C40)</f>
        <v>0.74999999999999467</v>
      </c>
      <c r="M41" s="28">
        <f>IF(OR(履歴データ!$A$41="",履歴データ!$A$40=""),"",D41-D40)</f>
        <v>8.9000000000000341</v>
      </c>
      <c r="N41" s="28">
        <f>IF(OR(履歴データ!$A$41="",履歴データ!$A$40=""),"",E41-E40)</f>
        <v>0</v>
      </c>
      <c r="O41" s="28">
        <f>IF(OR(履歴データ!$A$41="",履歴データ!$A$40=""),"",F41-F40)</f>
        <v>5.4900000000000091</v>
      </c>
      <c r="P41" s="28">
        <f>IF(OR(履歴データ!$A$41="",履歴データ!$A$40=""),"",G41-G40)</f>
        <v>-19.050357177734497</v>
      </c>
      <c r="Q41" s="29">
        <f>IF(OR(履歴データ!$A$41="",履歴データ!$A$40=""),"",H41-H40)</f>
        <v>3.1005859375E-2</v>
      </c>
      <c r="R41" s="29">
        <f>IF(OR(履歴データ!$A$41="",履歴データ!$A$40=""),"",I41-I40)</f>
        <v>-0.609375</v>
      </c>
      <c r="S41" s="28">
        <f>IF(OR(履歴データ!$A$41="",履歴データ!$A$40=""),"",(J41-J40)*100)</f>
        <v>8.9999999999999858</v>
      </c>
      <c r="T41" s="11">
        <f>IF(OR(履歴データ!$A$41="",履歴データ!$A$40=""),"",-80000*K41)</f>
        <v>-240000.00000000172</v>
      </c>
      <c r="U41" s="11">
        <f>IF(OR(履歴データ!$A$41="",履歴データ!$A$40=""),"",60000*L41)</f>
        <v>44999.99999999968</v>
      </c>
      <c r="V41" s="11">
        <f>IF(OR(履歴データ!$A$41="",履歴データ!$A$40=""),"",-50000*M41)</f>
        <v>-445000.00000000169</v>
      </c>
      <c r="W41" s="11">
        <f>IF(OR(履歴データ!$A$41="",履歴データ!$A$40=""),"",-40000*N41)</f>
        <v>0</v>
      </c>
      <c r="X41" s="11">
        <f>IF(OR(履歴データ!$A$41="",履歴データ!$A$40=""),"",120*1000000*(-Q41/H40))</f>
        <v>-27294.490697049401</v>
      </c>
      <c r="Y41" s="11">
        <f>IF(OR(履歴データ!$A$41="",履歴データ!$A$40=""),"",40000*(-S41)+(-506.3)*R41*1000)</f>
        <v>-51473.437499999418</v>
      </c>
      <c r="Z41" s="11">
        <f>IF(OR(履歴データ!$A$41="",履歴データ!$A$40=""),"",-40000*O41)</f>
        <v>-219600.00000000035</v>
      </c>
      <c r="AA41" s="11">
        <f>IF(OR(履歴データ!$A$41="",履歴データ!$A$40=""),"",-40000*P41)</f>
        <v>762014.28710937989</v>
      </c>
      <c r="AB41" s="11">
        <f>IF(履歴データ!$A$41="","",123.3)</f>
        <v>123.3</v>
      </c>
      <c r="AC41">
        <f>IF(履歴データ!$A$41="","",SUM(T41:AA41))</f>
        <v>-176353.64108767302</v>
      </c>
      <c r="AD41" s="29">
        <f>IF(履歴データ!$A$41="","",AC41/1000000)</f>
        <v>-0.17635364108767301</v>
      </c>
      <c r="AE41" s="29">
        <f>IF(履歴データ!$A$41="",AE40,AE40+AC41/1000000)</f>
        <v>96.1196483676501</v>
      </c>
      <c r="AF41" s="12">
        <f>IF(OR(履歴データ!$A$41="",AE40=0),"",(AE41-AE40)/AE40)</f>
        <v>-1.8313703311552891E-3</v>
      </c>
      <c r="AG41" s="29">
        <f t="shared" si="2"/>
        <v>102.17217746631495</v>
      </c>
      <c r="AH41" s="12">
        <f>IF(OR(履歴データ!$A$41="",AG41=0),"",AE41/AG41-1)</f>
        <v>-5.9238525093196714E-2</v>
      </c>
      <c r="AJ41" s="28">
        <f t="shared" ca="1" si="0"/>
        <v>-36.79742052569496</v>
      </c>
      <c r="AK41" s="28">
        <f t="shared" ca="1" si="1"/>
        <v>-45.752579474305051</v>
      </c>
    </row>
    <row r="42" spans="1:37">
      <c r="A42" s="10">
        <f>IF(履歴データ!$A$42="","",履歴データ!$A$42)</f>
        <v>44987</v>
      </c>
      <c r="B42" s="28">
        <f>IF(履歴データ!$A$42="","",(履歴データ!$D$42-(履歴データ!$B$42+履歴データ!$F$42)/2)*100)</f>
        <v>-37.999999999999986</v>
      </c>
      <c r="C42" s="28">
        <f>IF(履歴データ!$A$42="","",(履歴データ!$H$42-(履歴データ!$G$42+履歴データ!$J$42)/2)*100)</f>
        <v>-16.349999999999998</v>
      </c>
      <c r="D42" s="28">
        <f>IF(履歴データ!$A$42="","",(履歴データ!$D$42-履歴データ!$H$42)*100)</f>
        <v>355.3</v>
      </c>
      <c r="E42" s="28">
        <f>IF(履歴データ!$A$42="","",(履歴データ!$D$42-履歴データ!$C$42)*100)</f>
        <v>-24.000000000000021</v>
      </c>
      <c r="F42" s="28">
        <f>IF(履歴データ!$A$42="","",(履歴データ!$R$42-履歴データ!$D$42)*100)</f>
        <v>-170.06</v>
      </c>
      <c r="G42" s="28">
        <f>IF(履歴データ!$A$42="","",(履歴データ!$S$42-履歴データ!$R$42)*100)</f>
        <v>-201.0540000000002</v>
      </c>
      <c r="H42" s="29">
        <f>IF(履歴データ!$A$42="","",履歴データ!$O$42)</f>
        <v>136.19400024414063</v>
      </c>
      <c r="I42" s="29">
        <f>IF(履歴データ!$A$42="","",履歴データ!$Q$42)</f>
        <v>110.09375</v>
      </c>
      <c r="J42" s="29">
        <f>IF(履歴データ!$A$42="","",履歴データ!$D$42)</f>
        <v>4.08</v>
      </c>
      <c r="K42" s="28">
        <f>IF(OR(履歴データ!$A$42="",履歴データ!$A$41=""),"",B42-B41)</f>
        <v>4.0000000000000071</v>
      </c>
      <c r="L42" s="28">
        <f>IF(OR(履歴データ!$A$42="",履歴データ!$A$41=""),"",C42-C41)</f>
        <v>-1.149999999999995</v>
      </c>
      <c r="M42" s="28">
        <f>IF(OR(履歴データ!$A$42="",履歴データ!$A$41=""),"",D42-D41)</f>
        <v>6.8000000000000114</v>
      </c>
      <c r="N42" s="28">
        <f>IF(OR(履歴データ!$A$42="",履歴データ!$A$41=""),"",E42-E41)</f>
        <v>1.9999999999999574</v>
      </c>
      <c r="O42" s="28">
        <f>IF(OR(履歴データ!$A$42="",履歴データ!$A$41=""),"",F42-F41)</f>
        <v>-18.130000000000024</v>
      </c>
      <c r="P42" s="28">
        <f>IF(OR(履歴データ!$A$42="",履歴データ!$A$41=""),"",G42-G41)</f>
        <v>12.53317858886723</v>
      </c>
      <c r="Q42" s="29">
        <f>IF(OR(履歴データ!$A$42="",履歴データ!$A$41=""),"",H42-H41)</f>
        <v>-0.1540069580078125</v>
      </c>
      <c r="R42" s="29">
        <f>IF(OR(履歴データ!$A$42="",履歴データ!$A$41=""),"",I42-I41)</f>
        <v>-0.46875</v>
      </c>
      <c r="S42" s="28">
        <f>IF(OR(履歴データ!$A$42="",履歴データ!$A$41=""),"",(J42-J41)*100)</f>
        <v>7.0000000000000284</v>
      </c>
      <c r="T42" s="11">
        <f>IF(OR(履歴データ!$A$42="",履歴データ!$A$41=""),"",-80000*K42)</f>
        <v>-320000.00000000058</v>
      </c>
      <c r="U42" s="11">
        <f>IF(OR(履歴データ!$A$42="",履歴データ!$A$41=""),"",60000*L42)</f>
        <v>-68999.999999999694</v>
      </c>
      <c r="V42" s="11">
        <f>IF(OR(履歴データ!$A$42="",履歴データ!$A$41=""),"",-50000*M42)</f>
        <v>-340000.00000000058</v>
      </c>
      <c r="W42" s="11">
        <f>IF(OR(履歴データ!$A$42="",履歴データ!$A$41=""),"",-40000*N42)</f>
        <v>-79999.999999998297</v>
      </c>
      <c r="X42" s="11">
        <f>IF(OR(履歴データ!$A$42="",履歴データ!$A$41=""),"",120*1000000*(-Q42/H41))</f>
        <v>135541.65799825711</v>
      </c>
      <c r="Y42" s="11">
        <f>IF(OR(履歴データ!$A$42="",履歴データ!$A$41=""),"",40000*(-S42)+(-506.3)*R42*1000)</f>
        <v>-42671.875000001164</v>
      </c>
      <c r="Z42" s="11">
        <f>IF(OR(履歴データ!$A$42="",履歴データ!$A$41=""),"",-40000*O42)</f>
        <v>725200.00000000093</v>
      </c>
      <c r="AA42" s="11">
        <f>IF(OR(履歴データ!$A$42="",履歴データ!$A$41=""),"",-40000*P42)</f>
        <v>-501327.14355468919</v>
      </c>
      <c r="AB42" s="11">
        <f>IF(履歴データ!$A$42="","",123.3)</f>
        <v>123.3</v>
      </c>
      <c r="AC42">
        <f>IF(履歴データ!$A$42="","",SUM(T42:AA42))</f>
        <v>-492257.36055643152</v>
      </c>
      <c r="AD42" s="29">
        <f>IF(履歴データ!$A$42="","",AC42/1000000)</f>
        <v>-0.49225736055643154</v>
      </c>
      <c r="AE42" s="29">
        <f>IF(履歴データ!$A$42="",AE41,AE41+AC42/1000000)</f>
        <v>95.627391007093664</v>
      </c>
      <c r="AF42" s="12">
        <f>IF(OR(履歴データ!$A$42="",AE41=0),"",(AE42-AE41)/AE41)</f>
        <v>-5.1212979751402224E-3</v>
      </c>
      <c r="AG42" s="29">
        <f t="shared" si="2"/>
        <v>102.17217746631495</v>
      </c>
      <c r="AH42" s="12">
        <f>IF(OR(履歴データ!$A$42="",AG42=0),"",AE42/AG42-1)</f>
        <v>-6.4056444929726841E-2</v>
      </c>
      <c r="AJ42" s="28">
        <f t="shared" ca="1" si="0"/>
        <v>-36.657071440369698</v>
      </c>
      <c r="AK42" s="28">
        <f t="shared" ca="1" si="1"/>
        <v>-45.733172462069341</v>
      </c>
    </row>
    <row r="43" spans="1:37">
      <c r="A43" s="10">
        <f>IF(履歴データ!$A$43="","",履歴データ!$A$43)</f>
        <v>44988</v>
      </c>
      <c r="B43" s="28">
        <f>IF(履歴データ!$A$43="","",(履歴データ!$D$43-(履歴データ!$B$43+履歴データ!$F$43)/2)*100)</f>
        <v>-40.999999999999972</v>
      </c>
      <c r="C43" s="28">
        <f>IF(履歴データ!$A$43="","",(履歴データ!$H$43-(履歴データ!$G$43+履歴データ!$J$43)/2)*100)</f>
        <v>-17.45</v>
      </c>
      <c r="D43" s="28">
        <f>IF(履歴データ!$A$43="","",(履歴データ!$D$43-履歴データ!$H$43)*100)</f>
        <v>344.3</v>
      </c>
      <c r="E43" s="28">
        <f>IF(履歴データ!$A$43="","",(履歴データ!$D$43-履歴データ!$C$43)*100)</f>
        <v>-28.999999999999957</v>
      </c>
      <c r="F43" s="28">
        <f>IF(履歴データ!$A$43="","",(履歴データ!$R$43-履歴データ!$D$43)*100)</f>
        <v>-153.13000000000002</v>
      </c>
      <c r="G43" s="28">
        <f>IF(履歴データ!$A$43="","",(履歴データ!$S$43-履歴データ!$R$43)*100)</f>
        <v>-216.45564282226556</v>
      </c>
      <c r="H43" s="29">
        <f>IF(履歴データ!$A$43="","",履歴データ!$O$43)</f>
        <v>136.70500183105469</v>
      </c>
      <c r="I43" s="29">
        <f>IF(履歴データ!$A$43="","",履歴データ!$Q$43)</f>
        <v>110.65625</v>
      </c>
      <c r="J43" s="29">
        <f>IF(履歴データ!$A$43="","",履歴データ!$D$43)</f>
        <v>3.97</v>
      </c>
      <c r="K43" s="28">
        <f>IF(OR(履歴データ!$A$43="",履歴データ!$A$42=""),"",B43-B42)</f>
        <v>-2.9999999999999858</v>
      </c>
      <c r="L43" s="28">
        <f>IF(OR(履歴データ!$A$43="",履歴データ!$A$42=""),"",C43-C42)</f>
        <v>-1.1000000000000014</v>
      </c>
      <c r="M43" s="28">
        <f>IF(OR(履歴データ!$A$43="",履歴データ!$A$42=""),"",D43-D42)</f>
        <v>-11</v>
      </c>
      <c r="N43" s="28">
        <f>IF(OR(履歴データ!$A$43="",履歴データ!$A$42=""),"",E43-E42)</f>
        <v>-4.9999999999999361</v>
      </c>
      <c r="O43" s="28">
        <f>IF(OR(履歴データ!$A$43="",履歴データ!$A$42=""),"",F43-F42)</f>
        <v>16.929999999999978</v>
      </c>
      <c r="P43" s="28">
        <f>IF(OR(履歴データ!$A$43="",履歴データ!$A$42=""),"",G43-G42)</f>
        <v>-15.401642822265359</v>
      </c>
      <c r="Q43" s="29">
        <f>IF(OR(履歴データ!$A$43="",履歴データ!$A$42=""),"",H43-H42)</f>
        <v>0.5110015869140625</v>
      </c>
      <c r="R43" s="29">
        <f>IF(OR(履歴データ!$A$43="",履歴データ!$A$42=""),"",I43-I42)</f>
        <v>0.5625</v>
      </c>
      <c r="S43" s="28">
        <f>IF(OR(履歴データ!$A$43="",履歴データ!$A$42=""),"",(J43-J42)*100)</f>
        <v>-10.999999999999988</v>
      </c>
      <c r="T43" s="11">
        <f>IF(OR(履歴データ!$A$43="",履歴データ!$A$42=""),"",-80000*K43)</f>
        <v>239999.99999999886</v>
      </c>
      <c r="U43" s="11">
        <f>IF(OR(履歴データ!$A$43="",履歴データ!$A$42=""),"",60000*L43)</f>
        <v>-66000.000000000087</v>
      </c>
      <c r="V43" s="11">
        <f>IF(OR(履歴データ!$A$43="",履歴データ!$A$42=""),"",-50000*M43)</f>
        <v>550000</v>
      </c>
      <c r="W43" s="11">
        <f>IF(OR(履歴データ!$A$43="",履歴データ!$A$42=""),"",-40000*N43)</f>
        <v>199999.99999999744</v>
      </c>
      <c r="X43" s="11">
        <f>IF(OR(履歴データ!$A$43="",履歴データ!$A$42=""),"",120*1000000*(-Q43/H42))</f>
        <v>-450241.49609942624</v>
      </c>
      <c r="Y43" s="11">
        <f>IF(OR(履歴データ!$A$43="",履歴データ!$A$42=""),"",40000*(-S43)+(-506.3)*R43*1000)</f>
        <v>155206.24999999948</v>
      </c>
      <c r="Z43" s="11">
        <f>IF(OR(履歴データ!$A$43="",履歴データ!$A$42=""),"",-40000*O43)</f>
        <v>-677199.99999999919</v>
      </c>
      <c r="AA43" s="11">
        <f>IF(OR(履歴データ!$A$43="",履歴データ!$A$42=""),"",-40000*P43)</f>
        <v>616065.71289061441</v>
      </c>
      <c r="AB43" s="11">
        <f>IF(履歴データ!$A$43="","",123.3)</f>
        <v>123.3</v>
      </c>
      <c r="AC43">
        <f>IF(履歴データ!$A$43="","",SUM(T43:AA43))</f>
        <v>567830.46679118474</v>
      </c>
      <c r="AD43" s="29">
        <f>IF(履歴データ!$A$43="","",AC43/1000000)</f>
        <v>0.56783046679118476</v>
      </c>
      <c r="AE43" s="29">
        <f>IF(履歴データ!$A$43="",AE42,AE42+AC43/1000000)</f>
        <v>96.195221473884843</v>
      </c>
      <c r="AF43" s="12">
        <f>IF(OR(履歴データ!$A$43="",AE42=0),"",(AE43-AE42)/AE42)</f>
        <v>5.9379479123199868E-3</v>
      </c>
      <c r="AG43" s="29">
        <f t="shared" si="2"/>
        <v>102.17217746631495</v>
      </c>
      <c r="AH43" s="12">
        <f>IF(OR(履歴データ!$A$43="",AG43=0),"",AE43/AG43-1)</f>
        <v>-5.8498860850847989E-2</v>
      </c>
      <c r="AJ43" s="28">
        <f t="shared" ca="1" si="0"/>
        <v>-36.707704938757232</v>
      </c>
      <c r="AK43" s="28">
        <f t="shared" ca="1" si="1"/>
        <v>-45.673247442195162</v>
      </c>
    </row>
    <row r="44" spans="1:37">
      <c r="A44" s="10">
        <f>IF(履歴データ!$A$44="","",履歴データ!$A$44)</f>
        <v>44991</v>
      </c>
      <c r="B44" s="28">
        <f>IF(履歴データ!$A$44="","",(履歴データ!$D$44-(履歴データ!$B$44+履歴データ!$F$44)/2)*100)</f>
        <v>-42.499999999999936</v>
      </c>
      <c r="C44" s="28">
        <f>IF(履歴データ!$A$44="","",(履歴データ!$H$44-(履歴データ!$G$44+履歴データ!$J$44)/2)*100)</f>
        <v>-17.000000000000004</v>
      </c>
      <c r="D44" s="28">
        <f>IF(履歴データ!$A$44="","",(履歴データ!$D$44-履歴データ!$H$44)*100)</f>
        <v>345</v>
      </c>
      <c r="E44" s="28">
        <f>IF(履歴データ!$A$44="","",(履歴データ!$D$44-履歴データ!$C$44)*100)</f>
        <v>-28.999999999999957</v>
      </c>
      <c r="F44" s="28">
        <f>IF(履歴データ!$A$44="","",(履歴データ!$R$44-履歴データ!$D$44)*100)</f>
        <v>-156.07000000000002</v>
      </c>
      <c r="G44" s="28">
        <f>IF(履歴データ!$A$44="","",(履歴データ!$S$44-履歴データ!$R$44)*100)</f>
        <v>-197.67717858886726</v>
      </c>
      <c r="H44" s="29">
        <f>IF(履歴データ!$A$44="","",履歴データ!$O$44)</f>
        <v>135.86000061035156</v>
      </c>
      <c r="I44" s="29">
        <f>IF(履歴データ!$A$44="","",履歴データ!$Q$44)</f>
        <v>110.5625</v>
      </c>
      <c r="J44" s="29">
        <f>IF(履歴データ!$A$44="","",履歴データ!$D$44)</f>
        <v>3.98</v>
      </c>
      <c r="K44" s="28">
        <f>IF(OR(履歴データ!$A$44="",履歴データ!$A$43=""),"",B44-B43)</f>
        <v>-1.4999999999999645</v>
      </c>
      <c r="L44" s="28">
        <f>IF(OR(履歴データ!$A$44="",履歴データ!$A$43=""),"",C44-C43)</f>
        <v>0.44999999999999574</v>
      </c>
      <c r="M44" s="28">
        <f>IF(OR(履歴データ!$A$44="",履歴データ!$A$43=""),"",D44-D43)</f>
        <v>0.69999999999998863</v>
      </c>
      <c r="N44" s="28">
        <f>IF(OR(履歴データ!$A$44="",履歴データ!$A$43=""),"",E44-E43)</f>
        <v>0</v>
      </c>
      <c r="O44" s="28">
        <f>IF(OR(履歴データ!$A$44="",履歴データ!$A$43=""),"",F44-F43)</f>
        <v>-2.9399999999999977</v>
      </c>
      <c r="P44" s="28">
        <f>IF(OR(履歴データ!$A$44="",履歴データ!$A$43=""),"",G44-G43)</f>
        <v>18.778464233398296</v>
      </c>
      <c r="Q44" s="29">
        <f>IF(OR(履歴データ!$A$44="",履歴データ!$A$43=""),"",H44-H43)</f>
        <v>-0.845001220703125</v>
      </c>
      <c r="R44" s="29">
        <f>IF(OR(履歴データ!$A$44="",履歴データ!$A$43=""),"",I44-I43)</f>
        <v>-9.375E-2</v>
      </c>
      <c r="S44" s="28">
        <f>IF(OR(履歴データ!$A$44="",履歴データ!$A$43=""),"",(J44-J43)*100)</f>
        <v>0.99999999999997868</v>
      </c>
      <c r="T44" s="11">
        <f>IF(OR(履歴データ!$A$44="",履歴データ!$A$43=""),"",-80000*K44)</f>
        <v>119999.99999999716</v>
      </c>
      <c r="U44" s="11">
        <f>IF(OR(履歴データ!$A$44="",履歴データ!$A$43=""),"",60000*L44)</f>
        <v>26999.999999999745</v>
      </c>
      <c r="V44" s="11">
        <f>IF(OR(履歴データ!$A$44="",履歴データ!$A$43=""),"",-50000*M44)</f>
        <v>-34999.999999999432</v>
      </c>
      <c r="W44" s="11">
        <f>IF(OR(履歴データ!$A$44="",履歴データ!$A$43=""),"",-40000*N44)</f>
        <v>0</v>
      </c>
      <c r="X44" s="11">
        <f>IF(OR(履歴データ!$A$44="",履歴データ!$A$43=""),"",120*1000000*(-Q44/H43))</f>
        <v>741744.23120003473</v>
      </c>
      <c r="Y44" s="11">
        <f>IF(OR(履歴データ!$A$44="",履歴データ!$A$43=""),"",40000*(-S44)+(-506.3)*R44*1000)</f>
        <v>7465.6250000008513</v>
      </c>
      <c r="Z44" s="11">
        <f>IF(OR(履歴データ!$A$44="",履歴データ!$A$43=""),"",-40000*O44)</f>
        <v>117599.99999999991</v>
      </c>
      <c r="AA44" s="11">
        <f>IF(OR(履歴データ!$A$44="",履歴データ!$A$43=""),"",-40000*P44)</f>
        <v>-751138.5693359318</v>
      </c>
      <c r="AB44" s="11">
        <f>IF(履歴データ!$A$44="","",123.3)</f>
        <v>123.3</v>
      </c>
      <c r="AC44">
        <f>IF(履歴データ!$A$44="","",SUM(T44:AA44))</f>
        <v>227671.28686410107</v>
      </c>
      <c r="AD44" s="29">
        <f>IF(履歴データ!$A$44="","",AC44/1000000)</f>
        <v>0.22767128686410107</v>
      </c>
      <c r="AE44" s="29">
        <f>IF(履歴データ!$A$44="",AE43,AE43+AC44/1000000)</f>
        <v>96.422892760748937</v>
      </c>
      <c r="AF44" s="12">
        <f>IF(OR(履歴データ!$A$44="",AE43=0),"",(AE44-AE43)/AE43)</f>
        <v>2.3667629574084677E-3</v>
      </c>
      <c r="AG44" s="29">
        <f t="shared" si="2"/>
        <v>102.17217746631495</v>
      </c>
      <c r="AH44" s="12">
        <f>IF(OR(履歴データ!$A$44="",AG44=0),"",AE44/AG44-1)</f>
        <v>-5.6270550830351929E-2</v>
      </c>
      <c r="AJ44" s="28">
        <f t="shared" ca="1" si="0"/>
        <v>-36.773874890181396</v>
      </c>
      <c r="AK44" s="28">
        <f t="shared" ca="1" si="1"/>
        <v>-45.667985574934896</v>
      </c>
    </row>
    <row r="45" spans="1:37">
      <c r="A45" s="10">
        <f>IF(履歴データ!$A$45="","",履歴データ!$A$45)</f>
        <v>44992</v>
      </c>
      <c r="B45" s="28">
        <f>IF(履歴データ!$A$45="","",(履歴データ!$D$45-(履歴データ!$B$45+履歴データ!$F$45)/2)*100)</f>
        <v>-46.999999999999929</v>
      </c>
      <c r="C45" s="28">
        <f>IF(履歴データ!$A$45="","",(履歴データ!$H$45-(履歴データ!$G$45+履歴データ!$J$45)/2)*100)</f>
        <v>-17.649999999999999</v>
      </c>
      <c r="D45" s="28">
        <f>IF(履歴データ!$A$45="","",(履歴データ!$D$45-履歴データ!$H$45)*100)</f>
        <v>344.20000000000005</v>
      </c>
      <c r="E45" s="28">
        <f>IF(履歴データ!$A$45="","",(履歴データ!$D$45-履歴データ!$C$45)*100)</f>
        <v>-33.999999999999943</v>
      </c>
      <c r="F45" s="28">
        <f>IF(履歴データ!$A$45="","",(履歴データ!$R$45-履歴データ!$D$45)*100)</f>
        <v>-156.54000000000002</v>
      </c>
      <c r="G45" s="28">
        <f>IF(履歴データ!$A$45="","",(履歴データ!$S$45-履歴データ!$R$45)*100)</f>
        <v>-197.25964282226562</v>
      </c>
      <c r="H45" s="29">
        <f>IF(履歴データ!$A$45="","",履歴データ!$O$45)</f>
        <v>135.99899291992188</v>
      </c>
      <c r="I45" s="29">
        <f>IF(履歴データ!$A$45="","",履歴データ!$Q$45)</f>
        <v>110.515625</v>
      </c>
      <c r="J45" s="29">
        <f>IF(履歴データ!$A$45="","",履歴データ!$D$45)</f>
        <v>3.97</v>
      </c>
      <c r="K45" s="28">
        <f>IF(OR(履歴データ!$A$45="",履歴データ!$A$44=""),"",B45-B44)</f>
        <v>-4.4999999999999929</v>
      </c>
      <c r="L45" s="28">
        <f>IF(OR(履歴データ!$A$45="",履歴データ!$A$44=""),"",C45-C44)</f>
        <v>-0.64999999999999503</v>
      </c>
      <c r="M45" s="28">
        <f>IF(OR(履歴データ!$A$45="",履歴データ!$A$44=""),"",D45-D44)</f>
        <v>-0.79999999999995453</v>
      </c>
      <c r="N45" s="28">
        <f>IF(OR(履歴データ!$A$45="",履歴データ!$A$44=""),"",E45-E44)</f>
        <v>-4.9999999999999858</v>
      </c>
      <c r="O45" s="28">
        <f>IF(OR(履歴データ!$A$45="",履歴データ!$A$44=""),"",F45-F44)</f>
        <v>-0.46999999999999886</v>
      </c>
      <c r="P45" s="28">
        <f>IF(OR(履歴データ!$A$45="",履歴データ!$A$44=""),"",G45-G44)</f>
        <v>0.41753576660164526</v>
      </c>
      <c r="Q45" s="29">
        <f>IF(OR(履歴データ!$A$45="",履歴データ!$A$44=""),"",H45-H44)</f>
        <v>0.1389923095703125</v>
      </c>
      <c r="R45" s="29">
        <f>IF(OR(履歴データ!$A$45="",履歴データ!$A$44=""),"",I45-I44)</f>
        <v>-4.6875E-2</v>
      </c>
      <c r="S45" s="28">
        <f>IF(OR(履歴データ!$A$45="",履歴データ!$A$44=""),"",(J45-J44)*100)</f>
        <v>-0.99999999999997868</v>
      </c>
      <c r="T45" s="11">
        <f>IF(OR(履歴データ!$A$45="",履歴データ!$A$44=""),"",-80000*K45)</f>
        <v>359999.99999999942</v>
      </c>
      <c r="U45" s="11">
        <f>IF(OR(履歴データ!$A$45="",履歴データ!$A$44=""),"",60000*L45)</f>
        <v>-38999.999999999702</v>
      </c>
      <c r="V45" s="11">
        <f>IF(OR(履歴データ!$A$45="",履歴データ!$A$44=""),"",-50000*M45)</f>
        <v>39999.99999999773</v>
      </c>
      <c r="W45" s="11">
        <f>IF(OR(履歴データ!$A$45="",履歴データ!$A$44=""),"",-40000*N45)</f>
        <v>199999.99999999942</v>
      </c>
      <c r="X45" s="11">
        <f>IF(OR(履歴データ!$A$45="",履歴データ!$A$44=""),"",120*1000000*(-Q45/H44))</f>
        <v>-122766.65003317154</v>
      </c>
      <c r="Y45" s="11">
        <f>IF(OR(履歴データ!$A$45="",履歴データ!$A$44=""),"",40000*(-S45)+(-506.3)*R45*1000)</f>
        <v>63732.812499999149</v>
      </c>
      <c r="Z45" s="11">
        <f>IF(OR(履歴データ!$A$45="",履歴データ!$A$44=""),"",-40000*O45)</f>
        <v>18799.999999999956</v>
      </c>
      <c r="AA45" s="11">
        <f>IF(OR(履歴データ!$A$45="",履歴データ!$A$44=""),"",-40000*P45)</f>
        <v>-16701.430664065811</v>
      </c>
      <c r="AB45" s="11">
        <f>IF(履歴データ!$A$45="","",123.3)</f>
        <v>123.3</v>
      </c>
      <c r="AC45">
        <f>IF(履歴データ!$A$45="","",SUM(T45:AA45))</f>
        <v>504064.73180275859</v>
      </c>
      <c r="AD45" s="29">
        <f>IF(履歴データ!$A$45="","",AC45/1000000)</f>
        <v>0.50406473180275857</v>
      </c>
      <c r="AE45" s="29">
        <f>IF(履歴データ!$A$45="",AE44,AE44+AC45/1000000)</f>
        <v>96.926957492551693</v>
      </c>
      <c r="AF45" s="12">
        <f>IF(OR(履歴データ!$A$45="",AE44=0),"",(AE45-AE44)/AE44)</f>
        <v>5.2276458149153075E-3</v>
      </c>
      <c r="AG45" s="29">
        <f t="shared" si="2"/>
        <v>102.17217746631495</v>
      </c>
      <c r="AH45" s="12">
        <f>IF(OR(履歴データ!$A$45="",AG45=0),"",AE45/AG45-1)</f>
        <v>-5.13370675249879E-2</v>
      </c>
      <c r="AJ45" s="28">
        <f t="shared" ca="1" si="0"/>
        <v>-36.62442575450747</v>
      </c>
      <c r="AK45" s="28">
        <f t="shared" ca="1" si="1"/>
        <v>-46.080119700037997</v>
      </c>
    </row>
    <row r="46" spans="1:37">
      <c r="A46" s="10">
        <f>IF(履歴データ!$A$46="","",履歴データ!$A$46)</f>
        <v>44993</v>
      </c>
      <c r="B46" s="28">
        <f>IF(履歴データ!$A$46="","",(履歴データ!$D$46-(履歴データ!$B$46+履歴データ!$F$46)/2)*100)</f>
        <v>-48.499999999999986</v>
      </c>
      <c r="C46" s="28">
        <f>IF(履歴データ!$A$46="","",(履歴データ!$H$46-(履歴データ!$G$46+履歴データ!$J$46)/2)*100)</f>
        <v>-18.850000000000001</v>
      </c>
      <c r="D46" s="28">
        <f>IF(履歴データ!$A$46="","",(履歴データ!$D$46-履歴データ!$H$46)*100)</f>
        <v>345.1</v>
      </c>
      <c r="E46" s="28">
        <f>IF(履歴データ!$A$46="","",(履歴データ!$D$46-履歴データ!$C$46)*100)</f>
        <v>-35.999999999999986</v>
      </c>
      <c r="F46" s="28">
        <f>IF(履歴データ!$A$46="","",(履歴データ!$R$46-履歴データ!$D$46)*100)</f>
        <v>-167.01000000000002</v>
      </c>
      <c r="G46" s="28">
        <f>IF(履歴データ!$A$46="","",(履歴データ!$S$46-履歴データ!$R$46)*100)</f>
        <v>-186.38635717773448</v>
      </c>
      <c r="H46" s="29">
        <f>IF(履歴データ!$A$46="","",履歴データ!$O$46)</f>
        <v>137.39100646972656</v>
      </c>
      <c r="I46" s="29">
        <f>IF(履歴データ!$A$46="","",履歴データ!$Q$46)</f>
        <v>110.453125</v>
      </c>
      <c r="J46" s="29">
        <f>IF(履歴データ!$A$46="","",履歴データ!$D$46)</f>
        <v>3.98</v>
      </c>
      <c r="K46" s="28">
        <f>IF(OR(履歴データ!$A$46="",履歴データ!$A$45=""),"",B46-B45)</f>
        <v>-1.5000000000000568</v>
      </c>
      <c r="L46" s="28">
        <f>IF(OR(履歴データ!$A$46="",履歴データ!$A$45=""),"",C46-C45)</f>
        <v>-1.2000000000000028</v>
      </c>
      <c r="M46" s="28">
        <f>IF(OR(履歴データ!$A$46="",履歴データ!$A$45=""),"",D46-D45)</f>
        <v>0.89999999999997726</v>
      </c>
      <c r="N46" s="28">
        <f>IF(OR(履歴データ!$A$46="",履歴データ!$A$45=""),"",E46-E45)</f>
        <v>-2.0000000000000426</v>
      </c>
      <c r="O46" s="28">
        <f>IF(OR(履歴データ!$A$46="",履歴データ!$A$45=""),"",F46-F45)</f>
        <v>-10.469999999999999</v>
      </c>
      <c r="P46" s="28">
        <f>IF(OR(履歴データ!$A$46="",履歴データ!$A$45=""),"",G46-G45)</f>
        <v>10.873285644531137</v>
      </c>
      <c r="Q46" s="29">
        <f>IF(OR(履歴データ!$A$46="",履歴データ!$A$45=""),"",H46-H45)</f>
        <v>1.3920135498046875</v>
      </c>
      <c r="R46" s="29">
        <f>IF(OR(履歴データ!$A$46="",履歴データ!$A$45=""),"",I46-I45)</f>
        <v>-6.25E-2</v>
      </c>
      <c r="S46" s="28">
        <f>IF(OR(履歴データ!$A$46="",履歴データ!$A$45=""),"",(J46-J45)*100)</f>
        <v>0.99999999999997868</v>
      </c>
      <c r="T46" s="11">
        <f>IF(OR(履歴データ!$A$46="",履歴データ!$A$45=""),"",-80000*K46)</f>
        <v>120000.00000000454</v>
      </c>
      <c r="U46" s="11">
        <f>IF(OR(履歴データ!$A$46="",履歴データ!$A$45=""),"",60000*L46)</f>
        <v>-72000.000000000175</v>
      </c>
      <c r="V46" s="11">
        <f>IF(OR(履歴データ!$A$46="",履歴データ!$A$45=""),"",-50000*M46)</f>
        <v>-44999.999999998865</v>
      </c>
      <c r="W46" s="11">
        <f>IF(OR(履歴データ!$A$46="",履歴データ!$A$45=""),"",-40000*N46)</f>
        <v>80000.000000001703</v>
      </c>
      <c r="X46" s="11">
        <f>IF(OR(履歴データ!$A$46="",履歴データ!$A$45=""),"",120*1000000*(-Q46/H45))</f>
        <v>-1228256.3450666063</v>
      </c>
      <c r="Y46" s="11">
        <f>IF(OR(履歴データ!$A$46="",履歴データ!$A$45=""),"",40000*(-S46)+(-506.3)*R46*1000)</f>
        <v>-8356.2499999991487</v>
      </c>
      <c r="Z46" s="11">
        <f>IF(OR(履歴データ!$A$46="",履歴データ!$A$45=""),"",-40000*O46)</f>
        <v>418799.99999999994</v>
      </c>
      <c r="AA46" s="11">
        <f>IF(OR(履歴データ!$A$46="",履歴データ!$A$45=""),"",-40000*P46)</f>
        <v>-434931.42578124546</v>
      </c>
      <c r="AB46" s="11">
        <f>IF(履歴データ!$A$46="","",123.3)</f>
        <v>123.3</v>
      </c>
      <c r="AC46">
        <f>IF(履歴データ!$A$46="","",SUM(T46:AA46))</f>
        <v>-1169744.0208478435</v>
      </c>
      <c r="AD46" s="29">
        <f>IF(履歴データ!$A$46="","",AC46/1000000)</f>
        <v>-1.1697440208478436</v>
      </c>
      <c r="AE46" s="29">
        <f>IF(履歴データ!$A$46="",AE45,AE45+AC46/1000000)</f>
        <v>95.757213471703849</v>
      </c>
      <c r="AF46" s="12">
        <f>IF(OR(履歴データ!$A$46="",AE45=0),"",(AE46-AE45)/AE45)</f>
        <v>-1.2068304330482388E-2</v>
      </c>
      <c r="AG46" s="29">
        <f t="shared" si="2"/>
        <v>102.17217746631495</v>
      </c>
      <c r="AH46" s="12">
        <f>IF(OR(履歴データ!$A$46="",AG46=0),"",AE46/AG46-1)</f>
        <v>-6.2785820501144229E-2</v>
      </c>
      <c r="AJ46" s="28">
        <f t="shared" ca="1" si="0"/>
        <v>-36.374394398476632</v>
      </c>
      <c r="AK46" s="28">
        <f t="shared" ca="1" si="1"/>
        <v>-46.647827823745594</v>
      </c>
    </row>
    <row r="47" spans="1:37">
      <c r="A47" s="10">
        <f>IF(履歴データ!$A$47="","",履歴データ!$A$47)</f>
        <v>44994</v>
      </c>
      <c r="B47" s="28">
        <f>IF(履歴データ!$A$47="","",(履歴データ!$D$47-(履歴データ!$B$47+履歴データ!$F$47)/2)*100)</f>
        <v>-46.000000000000043</v>
      </c>
      <c r="C47" s="28">
        <f>IF(履歴データ!$A$47="","",(履歴データ!$H$47-(履歴データ!$G$47+履歴データ!$J$47)/2)*100)</f>
        <v>-19.800000000000008</v>
      </c>
      <c r="D47" s="28">
        <f>IF(履歴データ!$A$47="","",(履歴データ!$D$47-履歴データ!$H$47)*100)</f>
        <v>340.00000000000006</v>
      </c>
      <c r="E47" s="28">
        <f>IF(履歴データ!$A$47="","",(履歴データ!$D$47-履歴データ!$C$47)*100)</f>
        <v>-28.999999999999957</v>
      </c>
      <c r="F47" s="28">
        <f>IF(履歴データ!$A$47="","",(履歴データ!$R$47-履歴データ!$D$47)*100)</f>
        <v>-167.91</v>
      </c>
      <c r="G47" s="28">
        <f>IF(履歴データ!$A$47="","",(履歴データ!$S$47-履歴データ!$R$47)*100)</f>
        <v>-179.43400000000005</v>
      </c>
      <c r="H47" s="29">
        <f>IF(履歴データ!$A$47="","",履歴データ!$O$47)</f>
        <v>137.22599792480469</v>
      </c>
      <c r="I47" s="29">
        <f>IF(履歴データ!$A$47="","",履歴データ!$Q$47)</f>
        <v>111.015625</v>
      </c>
      <c r="J47" s="29">
        <f>IF(履歴データ!$A$47="","",履歴データ!$D$47)</f>
        <v>3.93</v>
      </c>
      <c r="K47" s="28">
        <f>IF(OR(履歴データ!$A$47="",履歴データ!$A$46=""),"",B47-B46)</f>
        <v>2.4999999999999432</v>
      </c>
      <c r="L47" s="28">
        <f>IF(OR(履歴データ!$A$47="",履歴データ!$A$46=""),"",C47-C46)</f>
        <v>-0.95000000000000639</v>
      </c>
      <c r="M47" s="28">
        <f>IF(OR(履歴データ!$A$47="",履歴データ!$A$46=""),"",D47-D46)</f>
        <v>-5.0999999999999659</v>
      </c>
      <c r="N47" s="28">
        <f>IF(OR(履歴データ!$A$47="",履歴データ!$A$46=""),"",E47-E46)</f>
        <v>7.0000000000000284</v>
      </c>
      <c r="O47" s="28">
        <f>IF(OR(履歴データ!$A$47="",履歴データ!$A$46=""),"",F47-F46)</f>
        <v>-0.89999999999997726</v>
      </c>
      <c r="P47" s="28">
        <f>IF(OR(履歴データ!$A$47="",履歴データ!$A$46=""),"",G47-G46)</f>
        <v>6.9523571777344273</v>
      </c>
      <c r="Q47" s="29">
        <f>IF(OR(履歴データ!$A$47="",履歴データ!$A$46=""),"",H47-H46)</f>
        <v>-0.165008544921875</v>
      </c>
      <c r="R47" s="29">
        <f>IF(OR(履歴データ!$A$47="",履歴データ!$A$46=""),"",I47-I46)</f>
        <v>0.5625</v>
      </c>
      <c r="S47" s="28">
        <f>IF(OR(履歴データ!$A$47="",履歴データ!$A$46=""),"",(J47-J46)*100)</f>
        <v>-4.9999999999999822</v>
      </c>
      <c r="T47" s="11">
        <f>IF(OR(履歴データ!$A$47="",履歴データ!$A$46=""),"",-80000*K47)</f>
        <v>-199999.99999999546</v>
      </c>
      <c r="U47" s="11">
        <f>IF(OR(履歴データ!$A$47="",履歴データ!$A$46=""),"",60000*L47)</f>
        <v>-57000.000000000386</v>
      </c>
      <c r="V47" s="11">
        <f>IF(OR(履歴データ!$A$47="",履歴データ!$A$46=""),"",-50000*M47)</f>
        <v>254999.99999999828</v>
      </c>
      <c r="W47" s="11">
        <f>IF(OR(履歴データ!$A$47="",履歴データ!$A$46=""),"",-40000*N47)</f>
        <v>-280000.00000000116</v>
      </c>
      <c r="X47" s="11">
        <f>IF(OR(履歴データ!$A$47="",履歴データ!$A$46=""),"",120*1000000*(-Q47/H46))</f>
        <v>144121.69980709808</v>
      </c>
      <c r="Y47" s="11">
        <f>IF(OR(履歴データ!$A$47="",履歴データ!$A$46=""),"",40000*(-S47)+(-506.3)*R47*1000)</f>
        <v>-84793.750000000698</v>
      </c>
      <c r="Z47" s="11">
        <f>IF(OR(履歴データ!$A$47="",履歴データ!$A$46=""),"",-40000*O47)</f>
        <v>35999.999999999091</v>
      </c>
      <c r="AA47" s="11">
        <f>IF(OR(履歴データ!$A$47="",履歴データ!$A$46=""),"",-40000*P47)</f>
        <v>-278094.2871093771</v>
      </c>
      <c r="AB47" s="11">
        <f>IF(履歴データ!$A$47="","",123.3)</f>
        <v>123.3</v>
      </c>
      <c r="AC47">
        <f>IF(履歴データ!$A$47="","",SUM(T47:AA47))</f>
        <v>-464766.33730227931</v>
      </c>
      <c r="AD47" s="29">
        <f>IF(履歴データ!$A$47="","",AC47/1000000)</f>
        <v>-0.46476633730227929</v>
      </c>
      <c r="AE47" s="29">
        <f>IF(履歴データ!$A$47="",AE46,AE46+AC47/1000000)</f>
        <v>95.29244713440157</v>
      </c>
      <c r="AF47" s="12">
        <f>IF(OR(履歴データ!$A$47="",AE46=0),"",(AE47-AE46)/AE46)</f>
        <v>-4.8535908727086905E-3</v>
      </c>
      <c r="AG47" s="29">
        <f t="shared" si="2"/>
        <v>102.17217746631495</v>
      </c>
      <c r="AH47" s="12">
        <f>IF(OR(履歴データ!$A$47="",AG47=0),"",AE47/AG47-1)</f>
        <v>-6.7334674688533047E-2</v>
      </c>
      <c r="AJ47" s="28">
        <f t="shared" ca="1" si="0"/>
        <v>-36.359725198717747</v>
      </c>
      <c r="AK47" s="28">
        <f t="shared" ca="1" si="1"/>
        <v>-46.857666105630095</v>
      </c>
    </row>
    <row r="48" spans="1:37">
      <c r="A48" s="10">
        <f>IF(履歴データ!$A$48="","",履歴データ!$A$48)</f>
        <v>44995</v>
      </c>
      <c r="B48" s="28">
        <f>IF(履歴データ!$A$48="","",(履歴データ!$D$48-(履歴データ!$B$48+履歴データ!$F$48)/2)*100)</f>
        <v>-45.000000000000014</v>
      </c>
      <c r="C48" s="28">
        <f>IF(履歴データ!$A$48="","",(履歴データ!$H$48-(履歴データ!$G$48+履歴データ!$J$48)/2)*100)</f>
        <v>-26.85</v>
      </c>
      <c r="D48" s="28">
        <f>IF(履歴データ!$A$48="","",(履歴データ!$D$48-履歴データ!$H$48)*100)</f>
        <v>327.20000000000005</v>
      </c>
      <c r="E48" s="28">
        <f>IF(履歴データ!$A$48="","",(履歴データ!$D$48-履歴データ!$C$48)*100)</f>
        <v>-25.999999999999979</v>
      </c>
      <c r="F48" s="28">
        <f>IF(履歴データ!$A$48="","",(履歴データ!$R$48-履歴データ!$D$48)*100)</f>
        <v>-141.25</v>
      </c>
      <c r="G48" s="28">
        <f>IF(履歴データ!$A$48="","",(履歴データ!$S$48-履歴データ!$R$48)*100)</f>
        <v>-187.82982141113308</v>
      </c>
      <c r="H48" s="29">
        <f>IF(履歴データ!$A$48="","",履歴データ!$O$48)</f>
        <v>136.39500427246094</v>
      </c>
      <c r="I48" s="29">
        <f>IF(履歴データ!$A$48="","",履歴データ!$Q$48)</f>
        <v>112.625</v>
      </c>
      <c r="J48" s="29">
        <f>IF(履歴データ!$A$48="","",履歴データ!$D$48)</f>
        <v>3.7</v>
      </c>
      <c r="K48" s="28">
        <f>IF(OR(履歴データ!$A$48="",履歴データ!$A$47=""),"",B48-B47)</f>
        <v>1.0000000000000284</v>
      </c>
      <c r="L48" s="28">
        <f>IF(OR(履歴データ!$A$48="",履歴データ!$A$47=""),"",C48-C47)</f>
        <v>-7.0499999999999936</v>
      </c>
      <c r="M48" s="28">
        <f>IF(OR(履歴データ!$A$48="",履歴データ!$A$47=""),"",D48-D47)</f>
        <v>-12.800000000000011</v>
      </c>
      <c r="N48" s="28">
        <f>IF(OR(履歴データ!$A$48="",履歴データ!$A$47=""),"",E48-E47)</f>
        <v>2.9999999999999787</v>
      </c>
      <c r="O48" s="28">
        <f>IF(OR(履歴データ!$A$48="",履歴データ!$A$47=""),"",F48-F47)</f>
        <v>26.659999999999997</v>
      </c>
      <c r="P48" s="28">
        <f>IF(OR(履歴データ!$A$48="",履歴データ!$A$47=""),"",G48-G47)</f>
        <v>-8.3958214111330278</v>
      </c>
      <c r="Q48" s="29">
        <f>IF(OR(履歴データ!$A$48="",履歴データ!$A$47=""),"",H48-H47)</f>
        <v>-0.83099365234375</v>
      </c>
      <c r="R48" s="29">
        <f>IF(OR(履歴データ!$A$48="",履歴データ!$A$47=""),"",I48-I47)</f>
        <v>1.609375</v>
      </c>
      <c r="S48" s="28">
        <f>IF(OR(履歴データ!$A$48="",履歴データ!$A$47=""),"",(J48-J47)*100)</f>
        <v>-23</v>
      </c>
      <c r="T48" s="11">
        <f>IF(OR(履歴データ!$A$48="",履歴データ!$A$47=""),"",-80000*K48)</f>
        <v>-80000.00000000227</v>
      </c>
      <c r="U48" s="11">
        <f>IF(OR(履歴データ!$A$48="",履歴データ!$A$47=""),"",60000*L48)</f>
        <v>-422999.99999999959</v>
      </c>
      <c r="V48" s="11">
        <f>IF(OR(履歴データ!$A$48="",履歴データ!$A$47=""),"",-50000*M48)</f>
        <v>640000.00000000058</v>
      </c>
      <c r="W48" s="11">
        <f>IF(OR(履歴データ!$A$48="",履歴データ!$A$47=""),"",-40000*N48)</f>
        <v>-119999.99999999914</v>
      </c>
      <c r="X48" s="11">
        <f>IF(OR(履歴データ!$A$48="",履歴データ!$A$47=""),"",120*1000000*(-Q48/H47))</f>
        <v>726678.90770882089</v>
      </c>
      <c r="Y48" s="11">
        <f>IF(OR(履歴データ!$A$48="",履歴データ!$A$47=""),"",40000*(-S48)+(-506.3)*R48*1000)</f>
        <v>105173.4375</v>
      </c>
      <c r="Z48" s="11">
        <f>IF(OR(履歴データ!$A$48="",履歴データ!$A$47=""),"",-40000*O48)</f>
        <v>-1066399.9999999998</v>
      </c>
      <c r="AA48" s="11">
        <f>IF(OR(履歴データ!$A$48="",履歴データ!$A$47=""),"",-40000*P48)</f>
        <v>335832.85644532111</v>
      </c>
      <c r="AB48" s="11">
        <f>IF(履歴データ!$A$48="","",123.3)</f>
        <v>123.3</v>
      </c>
      <c r="AC48">
        <f>IF(履歴データ!$A$48="","",SUM(T48:AA48))</f>
        <v>118285.20165414177</v>
      </c>
      <c r="AD48" s="29">
        <f>IF(履歴データ!$A$48="","",AC48/1000000)</f>
        <v>0.11828520165414178</v>
      </c>
      <c r="AE48" s="29">
        <f>IF(履歴データ!$A$48="",AE47,AE47+AC48/1000000)</f>
        <v>95.410732336055716</v>
      </c>
      <c r="AF48" s="12">
        <f>IF(OR(履歴データ!$A$48="",AE47=0),"",(AE48-AE47)/AE47)</f>
        <v>1.2412862216384811E-3</v>
      </c>
      <c r="AG48" s="29">
        <f t="shared" si="2"/>
        <v>102.17217746631495</v>
      </c>
      <c r="AH48" s="12">
        <f>IF(OR(履歴データ!$A$48="",AG48=0),"",AE48/AG48-1)</f>
        <v>-6.6176970070823904E-2</v>
      </c>
      <c r="AJ48" s="28">
        <f t="shared" ca="1" si="0"/>
        <v>-36.395820802245211</v>
      </c>
      <c r="AK48" s="28">
        <f t="shared" ca="1" si="1"/>
        <v>-46.965881325414372</v>
      </c>
    </row>
    <row r="49" spans="1:37">
      <c r="A49" s="10">
        <f>IF(履歴データ!$A$49="","",履歴データ!$A$49)</f>
        <v>44998</v>
      </c>
      <c r="B49" s="28">
        <f>IF(履歴データ!$A$49="","",(履歴データ!$D$49-(履歴データ!$B$49+履歴データ!$F$49)/2)*100)</f>
        <v>-31.500000000000039</v>
      </c>
      <c r="C49" s="28">
        <f>IF(履歴データ!$A$49="","",(履歴データ!$H$49-(履歴データ!$G$49+履歴データ!$J$49)/2)*100)</f>
        <v>-31.3</v>
      </c>
      <c r="D49" s="28">
        <f>IF(履歴データ!$A$49="","",(履歴データ!$D$49-履歴データ!$H$49)*100)</f>
        <v>320.79999999999995</v>
      </c>
      <c r="E49" s="28">
        <f>IF(履歴データ!$A$49="","",(履歴データ!$D$49-履歴データ!$C$49)*100)</f>
        <v>-13.000000000000034</v>
      </c>
      <c r="F49" s="28">
        <f>IF(履歴データ!$A$49="","",(履歴データ!$R$49-履歴データ!$D$49)*100)</f>
        <v>-134.95999999999998</v>
      </c>
      <c r="G49" s="28">
        <f>IF(履歴データ!$A$49="","",(履歴データ!$S$49-履歴データ!$R$49)*100)</f>
        <v>-189.29300000000015</v>
      </c>
      <c r="H49" s="29">
        <f>IF(履歴データ!$A$49="","",履歴データ!$O$49)</f>
        <v>134.97999572753906</v>
      </c>
      <c r="I49" s="29">
        <f>IF(履歴データ!$A$49="","",履歴データ!$Q$49)</f>
        <v>114.140625</v>
      </c>
      <c r="J49" s="29">
        <f>IF(履歴データ!$A$49="","",履歴データ!$D$49)</f>
        <v>3.55</v>
      </c>
      <c r="K49" s="28">
        <f>IF(OR(履歴データ!$A$49="",履歴データ!$A$48=""),"",B49-B48)</f>
        <v>13.499999999999975</v>
      </c>
      <c r="L49" s="28">
        <f>IF(OR(履歴データ!$A$49="",履歴データ!$A$48=""),"",C49-C48)</f>
        <v>-4.4499999999999993</v>
      </c>
      <c r="M49" s="28">
        <f>IF(OR(履歴データ!$A$49="",履歴データ!$A$48=""),"",D49-D48)</f>
        <v>-6.4000000000000909</v>
      </c>
      <c r="N49" s="28">
        <f>IF(OR(履歴データ!$A$49="",履歴データ!$A$48=""),"",E49-E48)</f>
        <v>12.999999999999945</v>
      </c>
      <c r="O49" s="28">
        <f>IF(OR(履歴データ!$A$49="",履歴データ!$A$48=""),"",F49-F48)</f>
        <v>6.2900000000000205</v>
      </c>
      <c r="P49" s="28">
        <f>IF(OR(履歴データ!$A$49="",履歴データ!$A$48=""),"",G49-G48)</f>
        <v>-1.4631785888670663</v>
      </c>
      <c r="Q49" s="29">
        <f>IF(OR(履歴データ!$A$49="",履歴データ!$A$48=""),"",H49-H48)</f>
        <v>-1.415008544921875</v>
      </c>
      <c r="R49" s="29">
        <f>IF(OR(履歴データ!$A$49="",履歴データ!$A$48=""),"",I49-I48)</f>
        <v>1.515625</v>
      </c>
      <c r="S49" s="28">
        <f>IF(OR(履歴データ!$A$49="",履歴データ!$A$48=""),"",(J49-J48)*100)</f>
        <v>-15.000000000000036</v>
      </c>
      <c r="T49" s="11">
        <f>IF(OR(履歴データ!$A$49="",履歴データ!$A$48=""),"",-80000*K49)</f>
        <v>-1079999.9999999979</v>
      </c>
      <c r="U49" s="11">
        <f>IF(OR(履歴データ!$A$49="",履歴データ!$A$48=""),"",60000*L49)</f>
        <v>-266999.99999999994</v>
      </c>
      <c r="V49" s="11">
        <f>IF(OR(履歴データ!$A$49="",履歴データ!$A$48=""),"",-50000*M49)</f>
        <v>320000.00000000454</v>
      </c>
      <c r="W49" s="11">
        <f>IF(OR(履歴データ!$A$49="",履歴データ!$A$48=""),"",-40000*N49)</f>
        <v>-519999.99999999779</v>
      </c>
      <c r="X49" s="11">
        <f>IF(OR(履歴データ!$A$49="",履歴データ!$A$48=""),"",120*1000000*(-Q49/H48))</f>
        <v>1244921.1486619599</v>
      </c>
      <c r="Y49" s="11">
        <f>IF(OR(履歴データ!$A$49="",履歴データ!$A$48=""),"",40000*(-S49)+(-506.3)*R49*1000)</f>
        <v>-167360.9374999986</v>
      </c>
      <c r="Z49" s="11">
        <f>IF(OR(履歴データ!$A$49="",履歴データ!$A$48=""),"",-40000*O49)</f>
        <v>-251600.00000000081</v>
      </c>
      <c r="AA49" s="11">
        <f>IF(OR(履歴データ!$A$49="",履歴データ!$A$48=""),"",-40000*P49)</f>
        <v>58527.143554682654</v>
      </c>
      <c r="AB49" s="11">
        <f>IF(履歴データ!$A$49="","",123.3)</f>
        <v>123.3</v>
      </c>
      <c r="AC49">
        <f>IF(履歴データ!$A$49="","",SUM(T49:AA49))</f>
        <v>-662512.64528334804</v>
      </c>
      <c r="AD49" s="29">
        <f>IF(履歴データ!$A$49="","",AC49/1000000)</f>
        <v>-0.66251264528334808</v>
      </c>
      <c r="AE49" s="29">
        <f>IF(履歴データ!$A$49="",AE48,AE48+AC49/1000000)</f>
        <v>94.748219690772373</v>
      </c>
      <c r="AF49" s="12">
        <f>IF(OR(履歴データ!$A$49="",AE48=0),"",(AE49-AE48)/AE48)</f>
        <v>-6.9437958294863563E-3</v>
      </c>
      <c r="AG49" s="29">
        <f t="shared" si="2"/>
        <v>102.17217746631495</v>
      </c>
      <c r="AH49" s="12">
        <f>IF(OR(履歴データ!$A$49="",AG49=0),"",AE49/AG49-1)</f>
        <v>-7.2661246531524393E-2</v>
      </c>
      <c r="AJ49" s="28">
        <f t="shared" ca="1" si="0"/>
        <v>-35.470855866009892</v>
      </c>
      <c r="AK49" s="28">
        <f t="shared" ca="1" si="1"/>
        <v>-47.466644133990123</v>
      </c>
    </row>
    <row r="50" spans="1:37">
      <c r="A50" s="10">
        <f>IF(履歴データ!$A$50="","",履歴データ!$A$50)</f>
        <v>44999</v>
      </c>
      <c r="B50" s="28">
        <f>IF(履歴データ!$A$50="","",(履歴データ!$D$50-(履歴データ!$B$50+履歴データ!$F$50)/2)*100)</f>
        <v>-34.500000000000021</v>
      </c>
      <c r="C50" s="28">
        <f>IF(履歴データ!$A$50="","",(履歴データ!$H$50-(履歴データ!$G$50+履歴データ!$J$50)/2)*100)</f>
        <v>-26.899999999999995</v>
      </c>
      <c r="D50" s="28">
        <f>IF(履歴データ!$A$50="","",(履歴データ!$D$50-履歴データ!$H$50)*100)</f>
        <v>332.6</v>
      </c>
      <c r="E50" s="28">
        <f>IF(履歴データ!$A$50="","",(履歴データ!$D$50-履歴データ!$C$50)*100)</f>
        <v>-13.999999999999968</v>
      </c>
      <c r="F50" s="28">
        <f>IF(履歴データ!$A$50="","",(履歴データ!$R$50-履歴データ!$D$50)*100)</f>
        <v>-162.67000000000002</v>
      </c>
      <c r="G50" s="28">
        <f>IF(履歴データ!$A$50="","",(履歴データ!$S$50-履歴データ!$R$50)*100)</f>
        <v>-186.71982141113287</v>
      </c>
      <c r="H50" s="29">
        <f>IF(履歴データ!$A$50="","",履歴データ!$O$50)</f>
        <v>133.11399841308594</v>
      </c>
      <c r="I50" s="29">
        <f>IF(履歴データ!$A$50="","",履歴データ!$Q$50)</f>
        <v>113.34375</v>
      </c>
      <c r="J50" s="29">
        <f>IF(履歴データ!$A$50="","",履歴データ!$D$50)</f>
        <v>3.64</v>
      </c>
      <c r="K50" s="28">
        <f>IF(OR(履歴データ!$A$50="",履歴データ!$A$49=""),"",B50-B49)</f>
        <v>-2.9999999999999822</v>
      </c>
      <c r="L50" s="28">
        <f>IF(OR(履歴データ!$A$50="",履歴データ!$A$49=""),"",C50-C49)</f>
        <v>4.4000000000000057</v>
      </c>
      <c r="M50" s="28">
        <f>IF(OR(履歴データ!$A$50="",履歴データ!$A$49=""),"",D50-D49)</f>
        <v>11.800000000000068</v>
      </c>
      <c r="N50" s="28">
        <f>IF(OR(履歴データ!$A$50="",履歴データ!$A$49=""),"",E50-E49)</f>
        <v>-0.99999999999993427</v>
      </c>
      <c r="O50" s="28">
        <f>IF(OR(履歴データ!$A$50="",履歴データ!$A$49=""),"",F50-F49)</f>
        <v>-27.710000000000036</v>
      </c>
      <c r="P50" s="28">
        <f>IF(OR(履歴データ!$A$50="",履歴データ!$A$49=""),"",G50-G49)</f>
        <v>2.5731785888672789</v>
      </c>
      <c r="Q50" s="29">
        <f>IF(OR(履歴データ!$A$50="",履歴データ!$A$49=""),"",H50-H49)</f>
        <v>-1.865997314453125</v>
      </c>
      <c r="R50" s="29">
        <f>IF(OR(履歴データ!$A$50="",履歴データ!$A$49=""),"",I50-I49)</f>
        <v>-0.796875</v>
      </c>
      <c r="S50" s="28">
        <f>IF(OR(履歴データ!$A$50="",履歴データ!$A$49=""),"",(J50-J49)*100)</f>
        <v>9.0000000000000302</v>
      </c>
      <c r="T50" s="11">
        <f>IF(OR(履歴データ!$A$50="",履歴データ!$A$49=""),"",-80000*K50)</f>
        <v>239999.99999999857</v>
      </c>
      <c r="U50" s="11">
        <f>IF(OR(履歴データ!$A$50="",履歴データ!$A$49=""),"",60000*L50)</f>
        <v>264000.00000000035</v>
      </c>
      <c r="V50" s="11">
        <f>IF(OR(履歴データ!$A$50="",履歴データ!$A$49=""),"",-50000*M50)</f>
        <v>-590000.00000000338</v>
      </c>
      <c r="W50" s="11">
        <f>IF(OR(履歴データ!$A$50="",履歴データ!$A$49=""),"",-40000*N50)</f>
        <v>39999.999999997373</v>
      </c>
      <c r="X50" s="11">
        <f>IF(OR(履歴データ!$A$50="",履歴データ!$A$49=""),"",120*1000000*(-Q50/H49))</f>
        <v>1658910.0964735784</v>
      </c>
      <c r="Y50" s="11">
        <f>IF(OR(履歴データ!$A$50="",履歴データ!$A$49=""),"",40000*(-S50)+(-506.3)*R50*1000)</f>
        <v>43457.812499998778</v>
      </c>
      <c r="Z50" s="11">
        <f>IF(OR(履歴データ!$A$50="",履歴データ!$A$49=""),"",-40000*O50)</f>
        <v>1108400.0000000014</v>
      </c>
      <c r="AA50" s="11">
        <f>IF(OR(履歴データ!$A$50="",履歴データ!$A$49=""),"",-40000*P50)</f>
        <v>-102927.14355469115</v>
      </c>
      <c r="AB50" s="11">
        <f>IF(履歴データ!$A$50="","",123.3)</f>
        <v>123.3</v>
      </c>
      <c r="AC50">
        <f>IF(履歴データ!$A$50="","",SUM(T50:AA50))</f>
        <v>2661840.7654188806</v>
      </c>
      <c r="AD50" s="29">
        <f>IF(履歴データ!$A$50="","",AC50/1000000)</f>
        <v>2.6618407654188805</v>
      </c>
      <c r="AE50" s="29">
        <f>IF(履歴データ!$A$50="",AE49,AE49+AC50/1000000)</f>
        <v>97.41006045619126</v>
      </c>
      <c r="AF50" s="12">
        <f>IF(OR(履歴データ!$A$50="",AE49=0),"",(AE50-AE49)/AE49)</f>
        <v>2.8093834101646203E-2</v>
      </c>
      <c r="AG50" s="29">
        <f t="shared" si="2"/>
        <v>102.17217746631495</v>
      </c>
      <c r="AH50" s="12">
        <f>IF(OR(履歴データ!$A$50="",AG50=0),"",AE50/AG50-1)</f>
        <v>-4.6608745435553711E-2</v>
      </c>
      <c r="AJ50" s="28">
        <f t="shared" ca="1" si="0"/>
        <v>-35.066368805203496</v>
      </c>
      <c r="AK50" s="28">
        <f t="shared" ca="1" si="1"/>
        <v>-47.586692419286308</v>
      </c>
    </row>
    <row r="51" spans="1:37">
      <c r="A51" s="10">
        <f>IF(履歴データ!$A$51="","",履歴データ!$A$51)</f>
        <v>45000</v>
      </c>
      <c r="B51" s="28">
        <f>IF(履歴データ!$A$51="","",(履歴データ!$D$51-(履歴データ!$B$51+履歴データ!$F$51)/2)*100)</f>
        <v>-30.50000000000006</v>
      </c>
      <c r="C51" s="28">
        <f>IF(履歴データ!$A$51="","",(履歴データ!$H$51-(履歴データ!$G$51+履歴データ!$J$51)/2)*100)</f>
        <v>-27.6</v>
      </c>
      <c r="D51" s="28">
        <f>IF(履歴データ!$A$51="","",(履歴データ!$D$51-履歴データ!$H$51)*100)</f>
        <v>315</v>
      </c>
      <c r="E51" s="28">
        <f>IF(履歴データ!$A$51="","",(履歴データ!$D$51-履歴データ!$C$51)*100)</f>
        <v>-8.0000000000000071</v>
      </c>
      <c r="F51" s="28">
        <f>IF(履歴データ!$A$51="","",(履歴データ!$R$51-履歴データ!$D$51)*100)</f>
        <v>-131.54999999999995</v>
      </c>
      <c r="G51" s="28">
        <f>IF(履歴データ!$A$51="","",(履歴データ!$S$51-履歴データ!$R$51)*100)</f>
        <v>-197.6483571777346</v>
      </c>
      <c r="H51" s="29">
        <f>IF(履歴データ!$A$51="","",履歴データ!$O$51)</f>
        <v>134.39700317382813</v>
      </c>
      <c r="I51" s="29">
        <f>IF(履歴データ!$A$51="","",履歴データ!$Q$51)</f>
        <v>114.53125</v>
      </c>
      <c r="J51" s="29">
        <f>IF(履歴データ!$A$51="","",履歴データ!$D$51)</f>
        <v>3.51</v>
      </c>
      <c r="K51" s="28">
        <f>IF(OR(履歴データ!$A$51="",履歴データ!$A$50=""),"",B51-B50)</f>
        <v>3.9999999999999609</v>
      </c>
      <c r="L51" s="28">
        <f>IF(OR(履歴データ!$A$51="",履歴データ!$A$50=""),"",C51-C50)</f>
        <v>-0.70000000000000639</v>
      </c>
      <c r="M51" s="28">
        <f>IF(OR(履歴データ!$A$51="",履歴データ!$A$50=""),"",D51-D50)</f>
        <v>-17.600000000000023</v>
      </c>
      <c r="N51" s="28">
        <f>IF(OR(履歴データ!$A$51="",履歴データ!$A$50=""),"",E51-E50)</f>
        <v>5.9999999999999609</v>
      </c>
      <c r="O51" s="28">
        <f>IF(OR(履歴データ!$A$51="",履歴データ!$A$50=""),"",F51-F50)</f>
        <v>31.120000000000061</v>
      </c>
      <c r="P51" s="28">
        <f>IF(OR(履歴データ!$A$51="",履歴データ!$A$50=""),"",G51-G50)</f>
        <v>-10.928535766601726</v>
      </c>
      <c r="Q51" s="29">
        <f>IF(OR(履歴データ!$A$51="",履歴データ!$A$50=""),"",H51-H50)</f>
        <v>1.2830047607421875</v>
      </c>
      <c r="R51" s="29">
        <f>IF(OR(履歴データ!$A$51="",履歴データ!$A$50=""),"",I51-I50)</f>
        <v>1.1875</v>
      </c>
      <c r="S51" s="28">
        <f>IF(OR(履歴データ!$A$51="",履歴データ!$A$50=""),"",(J51-J50)*100)</f>
        <v>-13.000000000000034</v>
      </c>
      <c r="T51" s="11">
        <f>IF(OR(履歴データ!$A$51="",履歴データ!$A$50=""),"",-80000*K51)</f>
        <v>-319999.99999999686</v>
      </c>
      <c r="U51" s="11">
        <f>IF(OR(履歴データ!$A$51="",履歴データ!$A$50=""),"",60000*L51)</f>
        <v>-42000.000000000386</v>
      </c>
      <c r="V51" s="11">
        <f>IF(OR(履歴データ!$A$51="",履歴データ!$A$50=""),"",-50000*M51)</f>
        <v>880000.00000000116</v>
      </c>
      <c r="W51" s="11">
        <f>IF(OR(履歴データ!$A$51="",履歴データ!$A$50=""),"",-40000*N51)</f>
        <v>-239999.99999999843</v>
      </c>
      <c r="X51" s="11">
        <f>IF(OR(履歴データ!$A$51="",履歴データ!$A$50=""),"",120*1000000*(-Q51/H50))</f>
        <v>-1156606.9168118928</v>
      </c>
      <c r="Y51" s="11">
        <f>IF(OR(履歴データ!$A$51="",履歴データ!$A$50=""),"",40000*(-S51)+(-506.3)*R51*1000)</f>
        <v>-81231.249999998661</v>
      </c>
      <c r="Z51" s="11">
        <f>IF(OR(履歴データ!$A$51="",履歴データ!$A$50=""),"",-40000*O51)</f>
        <v>-1244800.0000000026</v>
      </c>
      <c r="AA51" s="11">
        <f>IF(OR(履歴データ!$A$51="",履歴データ!$A$50=""),"",-40000*P51)</f>
        <v>437141.43066406902</v>
      </c>
      <c r="AB51" s="11">
        <f>IF(履歴データ!$A$51="","",123.3)</f>
        <v>123.3</v>
      </c>
      <c r="AC51">
        <f>IF(履歴データ!$A$51="","",SUM(T51:AA51))</f>
        <v>-1767496.7361478196</v>
      </c>
      <c r="AD51" s="29">
        <f>IF(履歴データ!$A$51="","",AC51/1000000)</f>
        <v>-1.7674967361478195</v>
      </c>
      <c r="AE51" s="29">
        <f>IF(履歴データ!$A$51="",AE50,AE50+AC51/1000000)</f>
        <v>95.642563720043441</v>
      </c>
      <c r="AF51" s="12">
        <f>IF(OR(履歴データ!$A$51="",AE50=0),"",(AE51-AE50)/AE50)</f>
        <v>-1.8144909549078096E-2</v>
      </c>
      <c r="AG51" s="29">
        <f t="shared" si="2"/>
        <v>102.17217746631495</v>
      </c>
      <c r="AH51" s="12">
        <f>IF(OR(履歴データ!$A$51="",AG51=0),"",AE51/AG51-1)</f>
        <v>-6.3907943514507681E-2</v>
      </c>
      <c r="AJ51" s="28">
        <f t="shared" ca="1" si="0"/>
        <v>-34.198636981353836</v>
      </c>
      <c r="AK51" s="28">
        <f t="shared" ca="1" si="1"/>
        <v>-48.021363018646177</v>
      </c>
    </row>
    <row r="52" spans="1:37">
      <c r="A52" s="10">
        <f>IF(履歴データ!$A$52="","",履歴データ!$A$52)</f>
        <v>45001</v>
      </c>
      <c r="B52" s="28">
        <f>IF(履歴データ!$A$52="","",(履歴データ!$D$52-(履歴データ!$B$52+履歴データ!$F$52)/2)*100)</f>
        <v>-36.499999999999979</v>
      </c>
      <c r="C52" s="28">
        <f>IF(履歴データ!$A$52="","",(履歴データ!$H$52-(履歴データ!$G$52+履歴データ!$J$52)/2)*100)</f>
        <v>-29.599999999999998</v>
      </c>
      <c r="D52" s="28">
        <f>IF(履歴データ!$A$52="","",(履歴データ!$D$52-履歴データ!$H$52)*100)</f>
        <v>323.5</v>
      </c>
      <c r="E52" s="28">
        <f>IF(履歴データ!$A$52="","",(履歴データ!$D$52-履歴データ!$C$52)*100)</f>
        <v>-16.000000000000014</v>
      </c>
      <c r="F52" s="28">
        <f>IF(履歴データ!$A$52="","",(履歴データ!$R$52-履歴データ!$D$52)*100)</f>
        <v>-160.51</v>
      </c>
      <c r="G52" s="28">
        <f>IF(履歴データ!$A$52="","",(履歴データ!$S$52-履歴データ!$R$52)*100)</f>
        <v>-176.49482141113296</v>
      </c>
      <c r="H52" s="29">
        <f>IF(履歴データ!$A$52="","",履歴データ!$O$52)</f>
        <v>132.92900085449219</v>
      </c>
      <c r="I52" s="29">
        <f>IF(履歴データ!$A$52="","",履歴データ!$Q$52)</f>
        <v>113.65625</v>
      </c>
      <c r="J52" s="29">
        <f>IF(履歴データ!$A$52="","",履歴データ!$D$52)</f>
        <v>3.56</v>
      </c>
      <c r="K52" s="28">
        <f>IF(OR(履歴データ!$A$52="",履歴データ!$A$51=""),"",B52-B51)</f>
        <v>-5.9999999999999183</v>
      </c>
      <c r="L52" s="28">
        <f>IF(OR(履歴データ!$A$52="",履歴データ!$A$51=""),"",C52-C51)</f>
        <v>-1.9999999999999964</v>
      </c>
      <c r="M52" s="28">
        <f>IF(OR(履歴データ!$A$52="",履歴データ!$A$51=""),"",D52-D51)</f>
        <v>8.5</v>
      </c>
      <c r="N52" s="28">
        <f>IF(OR(履歴データ!$A$52="",履歴データ!$A$51=""),"",E52-E51)</f>
        <v>-8.0000000000000071</v>
      </c>
      <c r="O52" s="28">
        <f>IF(OR(履歴データ!$A$52="",履歴データ!$A$51=""),"",F52-F51)</f>
        <v>-28.960000000000036</v>
      </c>
      <c r="P52" s="28">
        <f>IF(OR(履歴データ!$A$52="",履歴データ!$A$51=""),"",G52-G51)</f>
        <v>21.153535766601635</v>
      </c>
      <c r="Q52" s="29">
        <f>IF(OR(履歴データ!$A$52="",履歴データ!$A$51=""),"",H52-H51)</f>
        <v>-1.4680023193359375</v>
      </c>
      <c r="R52" s="29">
        <f>IF(OR(履歴データ!$A$52="",履歴データ!$A$51=""),"",I52-I51)</f>
        <v>-0.875</v>
      </c>
      <c r="S52" s="28">
        <f>IF(OR(履歴データ!$A$52="",履歴データ!$A$51=""),"",(J52-J51)*100)</f>
        <v>5.0000000000000266</v>
      </c>
      <c r="T52" s="11">
        <f>IF(OR(履歴データ!$A$52="",履歴データ!$A$51=""),"",-80000*K52)</f>
        <v>479999.99999999348</v>
      </c>
      <c r="U52" s="11">
        <f>IF(OR(履歴データ!$A$52="",履歴データ!$A$51=""),"",60000*L52)</f>
        <v>-119999.99999999978</v>
      </c>
      <c r="V52" s="11">
        <f>IF(OR(履歴データ!$A$52="",履歴データ!$A$51=""),"",-50000*M52)</f>
        <v>-425000</v>
      </c>
      <c r="W52" s="11">
        <f>IF(OR(履歴データ!$A$52="",履歴データ!$A$51=""),"",-40000*N52)</f>
        <v>320000.00000000029</v>
      </c>
      <c r="X52" s="11">
        <f>IF(OR(履歴データ!$A$52="",履歴データ!$A$51=""),"",120*1000000*(-Q52/H51))</f>
        <v>1310745.5833108723</v>
      </c>
      <c r="Y52" s="11">
        <f>IF(OR(履歴データ!$A$52="",履歴データ!$A$51=""),"",40000*(-S52)+(-506.3)*R52*1000)</f>
        <v>243012.49999999892</v>
      </c>
      <c r="Z52" s="11">
        <f>IF(OR(履歴データ!$A$52="",履歴データ!$A$51=""),"",-40000*O52)</f>
        <v>1158400.0000000014</v>
      </c>
      <c r="AA52" s="11">
        <f>IF(OR(履歴データ!$A$52="",履歴データ!$A$51=""),"",-40000*P52)</f>
        <v>-846141.43066406541</v>
      </c>
      <c r="AB52" s="11">
        <f>IF(履歴データ!$A$52="","",123.3)</f>
        <v>123.3</v>
      </c>
      <c r="AC52">
        <f>IF(履歴データ!$A$52="","",SUM(T52:AA52))</f>
        <v>2121016.6526468014</v>
      </c>
      <c r="AD52" s="29">
        <f>IF(履歴データ!$A$52="","",AC52/1000000)</f>
        <v>2.1210166526468015</v>
      </c>
      <c r="AE52" s="29">
        <f>IF(履歴データ!$A$52="",AE51,AE51+AC52/1000000)</f>
        <v>97.763580372690242</v>
      </c>
      <c r="AF52" s="12">
        <f>IF(OR(履歴データ!$A$52="",AE51=0),"",(AE52-AE51)/AE51)</f>
        <v>2.2176493081628973E-2</v>
      </c>
      <c r="AG52" s="29">
        <f t="shared" si="2"/>
        <v>102.17217746631495</v>
      </c>
      <c r="AH52" s="12">
        <f>IF(OR(履歴データ!$A$52="",AG52=0),"",AE52/AG52-1)</f>
        <v>-4.3148704500089341E-2</v>
      </c>
      <c r="AJ52" s="28">
        <f t="shared" ca="1" si="0"/>
        <v>-34.056962413952412</v>
      </c>
      <c r="AK52" s="28">
        <f t="shared" ca="1" si="1"/>
        <v>-47.982253272322119</v>
      </c>
    </row>
    <row r="53" spans="1:37">
      <c r="A53" s="10">
        <f>IF(履歴データ!$A$53="","",履歴データ!$A$53)</f>
        <v>45002</v>
      </c>
      <c r="B53" s="28">
        <f>IF(履歴データ!$A$53="","",(履歴データ!$D$53-(履歴データ!$B$53+履歴データ!$F$53)/2)*100)</f>
        <v>-31.499999999999993</v>
      </c>
      <c r="C53" s="28">
        <f>IF(履歴データ!$A$53="","",(履歴データ!$H$53-(履歴データ!$G$53+履歴データ!$J$53)/2)*100)</f>
        <v>-31.050000000000004</v>
      </c>
      <c r="D53" s="28">
        <f>IF(履歴データ!$A$53="","",(履歴データ!$D$53-履歴データ!$H$53)*100)</f>
        <v>307.3</v>
      </c>
      <c r="E53" s="28">
        <f>IF(履歴データ!$A$53="","",(履歴データ!$D$53-履歴データ!$C$53)*100)</f>
        <v>-4.9999999999999822</v>
      </c>
      <c r="F53" s="28">
        <f>IF(履歴データ!$A$53="","",(履歴データ!$R$53-履歴データ!$D$53)*100)</f>
        <v>-133.18000000000004</v>
      </c>
      <c r="G53" s="28">
        <f>IF(履歴データ!$A$53="","",(履歴データ!$S$53-履歴データ!$R$53)*100)</f>
        <v>-187.17564282226573</v>
      </c>
      <c r="H53" s="29">
        <f>IF(履歴データ!$A$53="","",履歴データ!$O$53)</f>
        <v>133.36799621582031</v>
      </c>
      <c r="I53" s="29">
        <f>IF(履歴データ!$A$53="","",履歴データ!$Q$53)</f>
        <v>115.125</v>
      </c>
      <c r="J53" s="29">
        <f>IF(履歴データ!$A$53="","",履歴データ!$D$53)</f>
        <v>3.39</v>
      </c>
      <c r="K53" s="28">
        <f>IF(OR(履歴データ!$A$53="",履歴データ!$A$52=""),"",B53-B52)</f>
        <v>4.9999999999999858</v>
      </c>
      <c r="L53" s="28">
        <f>IF(OR(履歴データ!$A$53="",履歴データ!$A$52=""),"",C53-C52)</f>
        <v>-1.4500000000000064</v>
      </c>
      <c r="M53" s="28">
        <f>IF(OR(履歴データ!$A$53="",履歴データ!$A$52=""),"",D53-D52)</f>
        <v>-16.199999999999989</v>
      </c>
      <c r="N53" s="28">
        <f>IF(OR(履歴データ!$A$53="",履歴データ!$A$52=""),"",E53-E52)</f>
        <v>11.000000000000032</v>
      </c>
      <c r="O53" s="28">
        <f>IF(OR(履歴データ!$A$53="",履歴データ!$A$52=""),"",F53-F52)</f>
        <v>27.329999999999956</v>
      </c>
      <c r="P53" s="28">
        <f>IF(OR(履歴データ!$A$53="",履歴データ!$A$52=""),"",G53-G52)</f>
        <v>-10.680821411132769</v>
      </c>
      <c r="Q53" s="29">
        <f>IF(OR(履歴データ!$A$53="",履歴データ!$A$52=""),"",H53-H52)</f>
        <v>0.438995361328125</v>
      </c>
      <c r="R53" s="29">
        <f>IF(OR(履歴データ!$A$53="",履歴データ!$A$52=""),"",I53-I52)</f>
        <v>1.46875</v>
      </c>
      <c r="S53" s="28">
        <f>IF(OR(履歴データ!$A$53="",履歴データ!$A$52=""),"",(J53-J52)*100)</f>
        <v>-16.999999999999993</v>
      </c>
      <c r="T53" s="11">
        <f>IF(OR(履歴データ!$A$53="",履歴データ!$A$52=""),"",-80000*K53)</f>
        <v>-399999.99999999884</v>
      </c>
      <c r="U53" s="11">
        <f>IF(OR(履歴データ!$A$53="",履歴データ!$A$52=""),"",60000*L53)</f>
        <v>-87000.000000000378</v>
      </c>
      <c r="V53" s="11">
        <f>IF(OR(履歴データ!$A$53="",履歴データ!$A$52=""),"",-50000*M53)</f>
        <v>809999.99999999942</v>
      </c>
      <c r="W53" s="11">
        <f>IF(OR(履歴データ!$A$53="",履歴データ!$A$52=""),"",-40000*N53)</f>
        <v>-440000.00000000128</v>
      </c>
      <c r="X53" s="11">
        <f>IF(OR(履歴データ!$A$53="",履歴データ!$A$52=""),"",120*1000000*(-Q53/H52))</f>
        <v>-396297.59511274291</v>
      </c>
      <c r="Y53" s="11">
        <f>IF(OR(履歴データ!$A$53="",履歴データ!$A$52=""),"",40000*(-S53)+(-506.3)*R53*1000)</f>
        <v>-63628.125000000349</v>
      </c>
      <c r="Z53" s="11">
        <f>IF(OR(履歴データ!$A$53="",履歴データ!$A$52=""),"",-40000*O53)</f>
        <v>-1093199.9999999981</v>
      </c>
      <c r="AA53" s="11">
        <f>IF(OR(履歴データ!$A$53="",履歴データ!$A$52=""),"",-40000*P53)</f>
        <v>427232.85644531075</v>
      </c>
      <c r="AB53" s="11">
        <f>IF(履歴データ!$A$53="","",123.3)</f>
        <v>123.3</v>
      </c>
      <c r="AC53">
        <f>IF(履歴データ!$A$53="","",SUM(T53:AA53))</f>
        <v>-1242892.8636674318</v>
      </c>
      <c r="AD53" s="29">
        <f>IF(履歴データ!$A$53="","",AC53/1000000)</f>
        <v>-1.2428928636674317</v>
      </c>
      <c r="AE53" s="29">
        <f>IF(履歴データ!$A$53="",AE52,AE52+AC53/1000000)</f>
        <v>96.520687509022807</v>
      </c>
      <c r="AF53" s="12">
        <f>IF(OR(履歴データ!$A$53="",AE52=0),"",(AE53-AE52)/AE52)</f>
        <v>-1.2713250260775346E-2</v>
      </c>
      <c r="AG53" s="29">
        <f t="shared" si="2"/>
        <v>102.17217746631495</v>
      </c>
      <c r="AH53" s="12">
        <f>IF(OR(履歴データ!$A$53="",AG53=0),"",AE53/AG53-1)</f>
        <v>-5.5313394482126799E-2</v>
      </c>
      <c r="AJ53" s="28">
        <f t="shared" ca="1" si="0"/>
        <v>-33.454203547821784</v>
      </c>
      <c r="AK53" s="28">
        <f t="shared" ca="1" si="1"/>
        <v>-48.21887337525515</v>
      </c>
    </row>
    <row r="54" spans="1:37">
      <c r="A54" s="10">
        <f>IF(履歴データ!$A$54="","",履歴データ!$A$54)</f>
        <v>45005</v>
      </c>
      <c r="B54" s="28">
        <f>IF(履歴データ!$A$54="","",(履歴データ!$D$54-(履歴データ!$B$54+履歴データ!$F$54)/2)*100)</f>
        <v>-31.499999999999993</v>
      </c>
      <c r="C54" s="28">
        <f>IF(履歴データ!$A$54="","",(履歴データ!$H$54-(履歴データ!$G$54+履歴データ!$J$54)/2)*100)</f>
        <v>-31.899999999999995</v>
      </c>
      <c r="D54" s="28">
        <f>IF(履歴データ!$A$54="","",(履歴データ!$D$54-履歴データ!$H$54)*100)</f>
        <v>318.89999999999998</v>
      </c>
      <c r="E54" s="28">
        <f>IF(履歴データ!$A$54="","",(履歴データ!$D$54-履歴データ!$C$54)*100)</f>
        <v>-8.9999999999999858</v>
      </c>
      <c r="F54" s="28">
        <f>IF(履歴データ!$A$54="","",(履歴データ!$R$54-履歴データ!$D$54)*100)</f>
        <v>-153.65000000000003</v>
      </c>
      <c r="G54" s="28">
        <f>IF(履歴データ!$A$54="","",(履歴データ!$S$54-履歴データ!$R$54)*100)</f>
        <v>-179.26600000000028</v>
      </c>
      <c r="H54" s="29">
        <f>IF(履歴データ!$A$54="","",履歴データ!$O$54)</f>
        <v>132.28399658203125</v>
      </c>
      <c r="I54" s="29">
        <f>IF(履歴データ!$A$54="","",履歴データ!$Q$54)</f>
        <v>114.59375</v>
      </c>
      <c r="J54" s="29">
        <f>IF(履歴データ!$A$54="","",履歴データ!$D$54)</f>
        <v>3.47</v>
      </c>
      <c r="K54" s="28">
        <f>IF(OR(履歴データ!$A$54="",履歴データ!$A$53=""),"",B54-B53)</f>
        <v>0</v>
      </c>
      <c r="L54" s="28">
        <f>IF(OR(履歴データ!$A$54="",履歴データ!$A$53=""),"",C54-C53)</f>
        <v>-0.84999999999999076</v>
      </c>
      <c r="M54" s="28">
        <f>IF(OR(履歴データ!$A$54="",履歴データ!$A$53=""),"",D54-D53)</f>
        <v>11.599999999999966</v>
      </c>
      <c r="N54" s="28">
        <f>IF(OR(履歴データ!$A$54="",履歴データ!$A$53=""),"",E54-E53)</f>
        <v>-4.0000000000000036</v>
      </c>
      <c r="O54" s="28">
        <f>IF(OR(履歴データ!$A$54="",履歴データ!$A$53=""),"",F54-F53)</f>
        <v>-20.47</v>
      </c>
      <c r="P54" s="28">
        <f>IF(OR(履歴データ!$A$54="",履歴データ!$A$53=""),"",G54-G53)</f>
        <v>7.9096428222654538</v>
      </c>
      <c r="Q54" s="29">
        <f>IF(OR(履歴データ!$A$54="",履歴データ!$A$53=""),"",H54-H53)</f>
        <v>-1.0839996337890625</v>
      </c>
      <c r="R54" s="29">
        <f>IF(OR(履歴データ!$A$54="",履歴データ!$A$53=""),"",I54-I53)</f>
        <v>-0.53125</v>
      </c>
      <c r="S54" s="28">
        <f>IF(OR(履歴データ!$A$54="",履歴データ!$A$53=""),"",(J54-J53)*100)</f>
        <v>8.0000000000000071</v>
      </c>
      <c r="T54" s="11">
        <f>IF(OR(履歴データ!$A$54="",履歴データ!$A$53=""),"",-80000*K54)</f>
        <v>0</v>
      </c>
      <c r="U54" s="11">
        <f>IF(OR(履歴データ!$A$54="",履歴データ!$A$53=""),"",60000*L54)</f>
        <v>-50999.999999999447</v>
      </c>
      <c r="V54" s="11">
        <f>IF(OR(履歴データ!$A$54="",履歴データ!$A$53=""),"",-50000*M54)</f>
        <v>-579999.99999999825</v>
      </c>
      <c r="W54" s="11">
        <f>IF(OR(履歴データ!$A$54="",履歴データ!$A$53=""),"",-40000*N54)</f>
        <v>160000.00000000015</v>
      </c>
      <c r="X54" s="11">
        <f>IF(OR(履歴データ!$A$54="",履歴データ!$A$53=""),"",120*1000000*(-Q54/H53))</f>
        <v>975346.10810368625</v>
      </c>
      <c r="Y54" s="11">
        <f>IF(OR(履歴データ!$A$54="",履歴データ!$A$53=""),"",40000*(-S54)+(-506.3)*R54*1000)</f>
        <v>-51028.125000000291</v>
      </c>
      <c r="Z54" s="11">
        <f>IF(OR(履歴データ!$A$54="",履歴データ!$A$53=""),"",-40000*O54)</f>
        <v>818800</v>
      </c>
      <c r="AA54" s="11">
        <f>IF(OR(履歴データ!$A$54="",履歴データ!$A$53=""),"",-40000*P54)</f>
        <v>-316385.71289061813</v>
      </c>
      <c r="AB54" s="11">
        <f>IF(履歴データ!$A$54="","",123.3)</f>
        <v>123.3</v>
      </c>
      <c r="AC54">
        <f>IF(履歴データ!$A$54="","",SUM(T54:AA54))</f>
        <v>955732.27021307021</v>
      </c>
      <c r="AD54" s="29">
        <f>IF(履歴データ!$A$54="","",AC54/1000000)</f>
        <v>0.95573227021307017</v>
      </c>
      <c r="AE54" s="29">
        <f>IF(履歴データ!$A$54="",AE53,AE53+AC54/1000000)</f>
        <v>97.476419779235883</v>
      </c>
      <c r="AF54" s="12">
        <f>IF(OR(履歴データ!$A$54="",AE53=0),"",(AE54-AE53)/AE53)</f>
        <v>9.9018386097149778E-3</v>
      </c>
      <c r="AG54" s="29">
        <f t="shared" si="2"/>
        <v>102.17217746631495</v>
      </c>
      <c r="AH54" s="12">
        <f>IF(OR(履歴データ!$A$54="",AG54=0),"",AE54/AG54-1)</f>
        <v>-4.5959260177529271E-2</v>
      </c>
      <c r="AJ54" s="28">
        <f t="shared" ca="1" si="0"/>
        <v>-32.912490339076697</v>
      </c>
      <c r="AK54" s="28">
        <f t="shared" ca="1" si="1"/>
        <v>-48.408264377904459</v>
      </c>
    </row>
    <row r="55" spans="1:37">
      <c r="A55" s="10">
        <f>IF(履歴データ!$A$55="","",履歴データ!$A$55)</f>
        <v>45006</v>
      </c>
      <c r="B55" s="28">
        <f>IF(履歴データ!$A$55="","",(履歴データ!$D$55-(履歴データ!$B$55+履歴データ!$F$55)/2)*100)</f>
        <v>-36.000000000000028</v>
      </c>
      <c r="C55" s="28">
        <f>IF(履歴データ!$A$55="","",(履歴データ!$H$55-(履歴データ!$G$55+履歴データ!$J$55)/2)*100)</f>
        <v>-31.899999999999995</v>
      </c>
      <c r="D55" s="28">
        <f>IF(履歴データ!$A$55="","",(履歴データ!$D$55-履歴データ!$H$55)*100)</f>
        <v>330.9</v>
      </c>
      <c r="E55" s="28">
        <f>IF(履歴データ!$A$55="","",(履歴データ!$D$55-履歴データ!$C$55)*100)</f>
        <v>-14.000000000000012</v>
      </c>
      <c r="F55" s="28">
        <f>IF(履歴データ!$A$55="","",(履歴データ!$R$55-履歴データ!$D$55)*100)</f>
        <v>-166.26999999999998</v>
      </c>
      <c r="G55" s="28">
        <f>IF(履歴データ!$A$55="","",(履歴データ!$S$55-履歴データ!$R$55)*100)</f>
        <v>-178.64600000000027</v>
      </c>
      <c r="H55" s="29">
        <f>IF(履歴データ!$A$55="","",履歴データ!$O$55)</f>
        <v>131.39199829101563</v>
      </c>
      <c r="I55" s="29">
        <f>IF(履歴データ!$A$55="","",履歴データ!$Q$55)</f>
        <v>113.640625</v>
      </c>
      <c r="J55" s="29">
        <f>IF(履歴データ!$A$55="","",履歴データ!$D$55)</f>
        <v>3.59</v>
      </c>
      <c r="K55" s="28">
        <f>IF(OR(履歴データ!$A$55="",履歴データ!$A$54=""),"",B55-B54)</f>
        <v>-4.5000000000000355</v>
      </c>
      <c r="L55" s="28">
        <f>IF(OR(履歴データ!$A$55="",履歴データ!$A$54=""),"",C55-C54)</f>
        <v>0</v>
      </c>
      <c r="M55" s="28">
        <f>IF(OR(履歴データ!$A$55="",履歴データ!$A$54=""),"",D55-D54)</f>
        <v>12</v>
      </c>
      <c r="N55" s="28">
        <f>IF(OR(履歴データ!$A$55="",履歴データ!$A$54=""),"",E55-E54)</f>
        <v>-5.0000000000000266</v>
      </c>
      <c r="O55" s="28">
        <f>IF(OR(履歴データ!$A$55="",履歴データ!$A$54=""),"",F55-F54)</f>
        <v>-12.619999999999948</v>
      </c>
      <c r="P55" s="28">
        <f>IF(OR(履歴データ!$A$55="",履歴データ!$A$54=""),"",G55-G54)</f>
        <v>0.62000000000000455</v>
      </c>
      <c r="Q55" s="29">
        <f>IF(OR(履歴データ!$A$55="",履歴データ!$A$54=""),"",H55-H54)</f>
        <v>-0.891998291015625</v>
      </c>
      <c r="R55" s="29">
        <f>IF(OR(履歴データ!$A$55="",履歴データ!$A$54=""),"",I55-I54)</f>
        <v>-0.953125</v>
      </c>
      <c r="S55" s="28">
        <f>IF(OR(履歴データ!$A$55="",履歴データ!$A$54=""),"",(J55-J54)*100)</f>
        <v>11.999999999999966</v>
      </c>
      <c r="T55" s="11">
        <f>IF(OR(履歴データ!$A$55="",履歴データ!$A$54=""),"",-80000*K55)</f>
        <v>360000.00000000285</v>
      </c>
      <c r="U55" s="11">
        <f>IF(OR(履歴データ!$A$55="",履歴データ!$A$54=""),"",60000*L55)</f>
        <v>0</v>
      </c>
      <c r="V55" s="11">
        <f>IF(OR(履歴データ!$A$55="",履歴データ!$A$54=""),"",-50000*M55)</f>
        <v>-600000</v>
      </c>
      <c r="W55" s="11">
        <f>IF(OR(履歴データ!$A$55="",履歴データ!$A$54=""),"",-40000*N55)</f>
        <v>200000.00000000108</v>
      </c>
      <c r="X55" s="11">
        <f>IF(OR(履歴データ!$A$55="",履歴データ!$A$54=""),"",120*1000000*(-Q55/H54))</f>
        <v>809166.623987642</v>
      </c>
      <c r="Y55" s="11">
        <f>IF(OR(履歴データ!$A$55="",履歴データ!$A$54=""),"",40000*(-S55)+(-506.3)*R55*1000)</f>
        <v>2567.1875000013388</v>
      </c>
      <c r="Z55" s="11">
        <f>IF(OR(履歴データ!$A$55="",履歴データ!$A$54=""),"",-40000*O55)</f>
        <v>504799.9999999979</v>
      </c>
      <c r="AA55" s="11">
        <f>IF(OR(履歴データ!$A$55="",履歴データ!$A$54=""),"",-40000*P55)</f>
        <v>-24800.000000000182</v>
      </c>
      <c r="AB55" s="11">
        <f>IF(履歴データ!$A$55="","",123.3)</f>
        <v>123.3</v>
      </c>
      <c r="AC55">
        <f>IF(履歴データ!$A$55="","",SUM(T55:AA55))</f>
        <v>1251733.8114876449</v>
      </c>
      <c r="AD55" s="29">
        <f>IF(履歴データ!$A$55="","",AC55/1000000)</f>
        <v>1.2517338114876448</v>
      </c>
      <c r="AE55" s="29">
        <f>IF(履歴データ!$A$55="",AE54,AE54+AC55/1000000)</f>
        <v>98.728153590723522</v>
      </c>
      <c r="AF55" s="12">
        <f>IF(OR(履歴データ!$A$55="",AE54=0),"",(AE55-AE54)/AE54)</f>
        <v>1.2841401174997605E-2</v>
      </c>
      <c r="AG55" s="29">
        <f t="shared" si="2"/>
        <v>102.17217746631495</v>
      </c>
      <c r="AH55" s="12">
        <f>IF(OR(履歴データ!$A$55="",AG55=0),"",AE55/AG55-1)</f>
        <v>-3.3708040300177489E-2</v>
      </c>
      <c r="AJ55" s="28">
        <f t="shared" ca="1" si="0"/>
        <v>-32.795517659020831</v>
      </c>
      <c r="AK55" s="28">
        <f t="shared" ca="1" si="1"/>
        <v>-48.352630489127336</v>
      </c>
    </row>
    <row r="56" spans="1:37">
      <c r="A56" s="10">
        <f>IF(履歴データ!$A$56="","",履歴データ!$A$56)</f>
        <v>45007</v>
      </c>
      <c r="B56" s="28">
        <f>IF(履歴データ!$A$56="","",(履歴データ!$D$56-(履歴データ!$B$56+履歴データ!$F$56)/2)*100)</f>
        <v>-34.000000000000028</v>
      </c>
      <c r="C56" s="28">
        <f>IF(履歴データ!$A$56="","",(履歴データ!$H$56-(履歴データ!$G$56+履歴データ!$J$56)/2)*100)</f>
        <v>-26.400000000000002</v>
      </c>
      <c r="D56" s="28">
        <f>IF(履歴データ!$A$56="","",(履歴データ!$D$56-履歴データ!$H$56)*100)</f>
        <v>310.2</v>
      </c>
      <c r="E56" s="28">
        <f>IF(履歴データ!$A$56="","",(履歴データ!$D$56-履歴データ!$C$56)*100)</f>
        <v>-6.0000000000000053</v>
      </c>
      <c r="F56" s="28">
        <f>IF(履歴データ!$A$56="","",(履歴データ!$R$56-履歴データ!$D$56)*100)</f>
        <v>-153.61000000000001</v>
      </c>
      <c r="G56" s="28">
        <f>IF(履歴データ!$A$56="","",(履歴データ!$S$56-履歴データ!$R$56)*100)</f>
        <v>-171.71135717773439</v>
      </c>
      <c r="H56" s="29">
        <f>IF(履歴データ!$A$56="","",履歴データ!$O$56)</f>
        <v>132.34800720214844</v>
      </c>
      <c r="I56" s="29">
        <f>IF(履歴データ!$A$56="","",履歴データ!$Q$56)</f>
        <v>113.71875</v>
      </c>
      <c r="J56" s="29">
        <f>IF(履歴データ!$A$56="","",履歴データ!$D$56)</f>
        <v>3.48</v>
      </c>
      <c r="K56" s="28">
        <f>IF(OR(履歴データ!$A$56="",履歴データ!$A$55=""),"",B56-B55)</f>
        <v>2</v>
      </c>
      <c r="L56" s="28">
        <f>IF(OR(履歴データ!$A$56="",履歴データ!$A$55=""),"",C56-C55)</f>
        <v>5.4999999999999929</v>
      </c>
      <c r="M56" s="28">
        <f>IF(OR(履歴データ!$A$56="",履歴データ!$A$55=""),"",D56-D55)</f>
        <v>-20.699999999999989</v>
      </c>
      <c r="N56" s="28">
        <f>IF(OR(履歴データ!$A$56="",履歴データ!$A$55=""),"",E56-E55)</f>
        <v>8.0000000000000071</v>
      </c>
      <c r="O56" s="28">
        <f>IF(OR(履歴データ!$A$56="",履歴データ!$A$55=""),"",F56-F55)</f>
        <v>12.659999999999968</v>
      </c>
      <c r="P56" s="28">
        <f>IF(OR(履歴データ!$A$56="",履歴データ!$A$55=""),"",G56-G55)</f>
        <v>6.9346428222658858</v>
      </c>
      <c r="Q56" s="29">
        <f>IF(OR(履歴データ!$A$56="",履歴データ!$A$55=""),"",H56-H55)</f>
        <v>0.9560089111328125</v>
      </c>
      <c r="R56" s="29">
        <f>IF(OR(履歴データ!$A$56="",履歴データ!$A$55=""),"",I56-I55)</f>
        <v>7.8125E-2</v>
      </c>
      <c r="S56" s="28">
        <f>IF(OR(履歴データ!$A$56="",履歴データ!$A$55=""),"",(J56-J55)*100)</f>
        <v>-10.999999999999988</v>
      </c>
      <c r="T56" s="11">
        <f>IF(OR(履歴データ!$A$56="",履歴データ!$A$55=""),"",-80000*K56)</f>
        <v>-160000</v>
      </c>
      <c r="U56" s="11">
        <f>IF(OR(履歴データ!$A$56="",履歴データ!$A$55=""),"",60000*L56)</f>
        <v>329999.99999999959</v>
      </c>
      <c r="V56" s="11">
        <f>IF(OR(履歴データ!$A$56="",履歴データ!$A$55=""),"",-50000*M56)</f>
        <v>1034999.9999999994</v>
      </c>
      <c r="W56" s="11">
        <f>IF(OR(履歴データ!$A$56="",履歴データ!$A$55=""),"",-40000*N56)</f>
        <v>-320000.00000000029</v>
      </c>
      <c r="X56" s="11">
        <f>IF(OR(履歴データ!$A$56="",履歴データ!$A$55=""),"",120*1000000*(-Q56/H55))</f>
        <v>-873120.66813875327</v>
      </c>
      <c r="Y56" s="11">
        <f>IF(OR(履歴データ!$A$56="",履歴データ!$A$55=""),"",40000*(-S56)+(-506.3)*R56*1000)</f>
        <v>400445.31249999948</v>
      </c>
      <c r="Z56" s="11">
        <f>IF(OR(履歴データ!$A$56="",履歴データ!$A$55=""),"",-40000*O56)</f>
        <v>-506399.99999999872</v>
      </c>
      <c r="AA56" s="11">
        <f>IF(OR(履歴データ!$A$56="",履歴データ!$A$55=""),"",-40000*P56)</f>
        <v>-277385.71289063542</v>
      </c>
      <c r="AB56" s="11">
        <f>IF(履歴データ!$A$56="","",123.3)</f>
        <v>123.3</v>
      </c>
      <c r="AC56">
        <f>IF(履歴データ!$A$56="","",SUM(T56:AA56))</f>
        <v>-371461.0685293891</v>
      </c>
      <c r="AD56" s="29">
        <f>IF(履歴データ!$A$56="","",AC56/1000000)</f>
        <v>-0.37146106852938909</v>
      </c>
      <c r="AE56" s="29">
        <f>IF(履歴データ!$A$56="",AE55,AE55+AC56/1000000)</f>
        <v>98.356692522194137</v>
      </c>
      <c r="AF56" s="12">
        <f>IF(OR(履歴データ!$A$56="",AE55=0),"",(AE56-AE55)/AE55)</f>
        <v>-3.7624634414745836E-3</v>
      </c>
      <c r="AG56" s="29">
        <f t="shared" si="2"/>
        <v>102.17217746631495</v>
      </c>
      <c r="AH56" s="12">
        <f>IF(OR(履歴データ!$A$56="",AG56=0),"",AE56/AG56-1)</f>
        <v>-3.7343678472338881E-2</v>
      </c>
      <c r="AJ56" s="28">
        <f t="shared" ca="1" si="0"/>
        <v>-32.547041453369154</v>
      </c>
      <c r="AK56" s="28">
        <f t="shared" ca="1" si="1"/>
        <v>-48.362049455721767</v>
      </c>
    </row>
    <row r="57" spans="1:37">
      <c r="A57" s="10">
        <f>IF(履歴データ!$A$57="","",履歴データ!$A$57)</f>
        <v>45008</v>
      </c>
      <c r="B57" s="28">
        <f>IF(履歴データ!$A$57="","",(履歴データ!$D$57-(履歴データ!$B$57+履歴データ!$F$57)/2)*100)</f>
        <v>-33.000000000000007</v>
      </c>
      <c r="C57" s="28">
        <f>IF(履歴データ!$A$57="","",(履歴データ!$H$57-(履歴データ!$G$57+履歴データ!$J$57)/2)*100)</f>
        <v>-30.3</v>
      </c>
      <c r="D57" s="28">
        <f>IF(履歴データ!$A$57="","",(履歴データ!$D$57-履歴データ!$H$57)*100)</f>
        <v>304.09999999999997</v>
      </c>
      <c r="E57" s="28">
        <f>IF(履歴データ!$A$57="","",(履歴データ!$D$57-履歴データ!$C$57)*100)</f>
        <v>-1.0000000000000231</v>
      </c>
      <c r="F57" s="28">
        <f>IF(履歴データ!$A$57="","",(履歴データ!$R$57-履歴データ!$D$57)*100)</f>
        <v>-135.56999999999996</v>
      </c>
      <c r="G57" s="28">
        <f>IF(履歴データ!$A$57="","",(履歴データ!$S$57-履歴データ!$R$57)*100)</f>
        <v>-182.55782141113281</v>
      </c>
      <c r="H57" s="29">
        <f>IF(履歴データ!$A$57="","",履歴データ!$O$57)</f>
        <v>131.17900085449219</v>
      </c>
      <c r="I57" s="29">
        <f>IF(履歴データ!$A$57="","",履歴データ!$Q$57)</f>
        <v>115.984375</v>
      </c>
      <c r="J57" s="29">
        <f>IF(履歴データ!$A$57="","",履歴データ!$D$57)</f>
        <v>3.38</v>
      </c>
      <c r="K57" s="28">
        <f>IF(OR(履歴データ!$A$57="",履歴データ!$A$56=""),"",B57-B56)</f>
        <v>1.0000000000000213</v>
      </c>
      <c r="L57" s="28">
        <f>IF(OR(履歴データ!$A$57="",履歴データ!$A$56=""),"",C57-C56)</f>
        <v>-3.8999999999999986</v>
      </c>
      <c r="M57" s="28">
        <f>IF(OR(履歴データ!$A$57="",履歴データ!$A$56=""),"",D57-D56)</f>
        <v>-6.1000000000000227</v>
      </c>
      <c r="N57" s="28">
        <f>IF(OR(履歴データ!$A$57="",履歴データ!$A$56=""),"",E57-E56)</f>
        <v>4.9999999999999822</v>
      </c>
      <c r="O57" s="28">
        <f>IF(OR(履歴データ!$A$57="",履歴データ!$A$56=""),"",F57-F56)</f>
        <v>18.040000000000049</v>
      </c>
      <c r="P57" s="28">
        <f>IF(OR(履歴データ!$A$57="",履歴データ!$A$56=""),"",G57-G56)</f>
        <v>-10.846464233398422</v>
      </c>
      <c r="Q57" s="29">
        <f>IF(OR(履歴データ!$A$57="",履歴データ!$A$56=""),"",H57-H56)</f>
        <v>-1.16900634765625</v>
      </c>
      <c r="R57" s="29">
        <f>IF(OR(履歴データ!$A$57="",履歴データ!$A$56=""),"",I57-I56)</f>
        <v>2.265625</v>
      </c>
      <c r="S57" s="28">
        <f>IF(OR(履歴データ!$A$57="",履歴データ!$A$56=""),"",(J57-J56)*100)</f>
        <v>-10.000000000000009</v>
      </c>
      <c r="T57" s="11">
        <f>IF(OR(履歴データ!$A$57="",履歴データ!$A$56=""),"",-80000*K57)</f>
        <v>-80000.000000001703</v>
      </c>
      <c r="U57" s="11">
        <f>IF(OR(履歴データ!$A$57="",履歴データ!$A$56=""),"",60000*L57)</f>
        <v>-233999.99999999991</v>
      </c>
      <c r="V57" s="11">
        <f>IF(OR(履歴データ!$A$57="",履歴データ!$A$56=""),"",-50000*M57)</f>
        <v>305000.00000000116</v>
      </c>
      <c r="W57" s="11">
        <f>IF(OR(履歴データ!$A$57="",履歴データ!$A$56=""),"",-40000*N57)</f>
        <v>-199999.9999999993</v>
      </c>
      <c r="X57" s="11">
        <f>IF(OR(履歴データ!$A$57="",履歴データ!$A$56=""),"",120*1000000*(-Q57/H56))</f>
        <v>1059938.6019049389</v>
      </c>
      <c r="Y57" s="11">
        <f>IF(OR(履歴データ!$A$57="",履歴データ!$A$56=""),"",40000*(-S57)+(-506.3)*R57*1000)</f>
        <v>-747085.93749999965</v>
      </c>
      <c r="Z57" s="11">
        <f>IF(OR(履歴データ!$A$57="",履歴データ!$A$56=""),"",-40000*O57)</f>
        <v>-721600.00000000198</v>
      </c>
      <c r="AA57" s="11">
        <f>IF(OR(履歴データ!$A$57="",履歴データ!$A$56=""),"",-40000*P57)</f>
        <v>433858.56933593686</v>
      </c>
      <c r="AB57" s="11">
        <f>IF(履歴データ!$A$57="","",123.3)</f>
        <v>123.3</v>
      </c>
      <c r="AC57">
        <f>IF(履歴データ!$A$57="","",SUM(T57:AA57))</f>
        <v>-183888.76625912561</v>
      </c>
      <c r="AD57" s="29">
        <f>IF(履歴データ!$A$57="","",AC57/1000000)</f>
        <v>-0.18388876625912562</v>
      </c>
      <c r="AE57" s="29">
        <f>IF(履歴データ!$A$57="",AE56,AE56+AC57/1000000)</f>
        <v>98.172803755935007</v>
      </c>
      <c r="AF57" s="12">
        <f>IF(OR(履歴データ!$A$57="",AE56=0),"",(AE57-AE56)/AE56)</f>
        <v>-1.8696111219644359E-3</v>
      </c>
      <c r="AG57" s="29">
        <f t="shared" si="2"/>
        <v>102.17217746631495</v>
      </c>
      <c r="AH57" s="12">
        <f>IF(OR(履歴データ!$A$57="",AG57=0),"",AE57/AG57-1)</f>
        <v>-3.9143471437696364E-2</v>
      </c>
      <c r="AJ57" s="28">
        <f t="shared" ca="1" si="0"/>
        <v>-32.236811143186301</v>
      </c>
      <c r="AK57" s="28">
        <f t="shared" ca="1" si="1"/>
        <v>-48.406045999670852</v>
      </c>
    </row>
    <row r="58" spans="1:37">
      <c r="A58" s="10">
        <f>IF(履歴データ!$A$58="","",履歴データ!$A$58)</f>
        <v>45009</v>
      </c>
      <c r="B58" s="28">
        <f>IF(履歴データ!$A$58="","",(履歴データ!$D$58-(履歴データ!$B$58+履歴データ!$F$58)/2)*100)</f>
        <v>-32.000000000000028</v>
      </c>
      <c r="C58" s="28">
        <f>IF(履歴データ!$A$58="","",(履歴データ!$H$58-(履歴データ!$G$58+履歴データ!$J$58)/2)*100)</f>
        <v>-32.4</v>
      </c>
      <c r="D58" s="28">
        <f>IF(履歴データ!$A$58="","",(履歴データ!$D$58-履歴データ!$H$58)*100)</f>
        <v>305.89999999999998</v>
      </c>
      <c r="E58" s="28">
        <f>IF(履歴データ!$A$58="","",(履歴データ!$D$58-履歴データ!$C$58)*100)</f>
        <v>-3.0000000000000249</v>
      </c>
      <c r="F58" s="28">
        <f>IF(履歴データ!$A$58="","",(履歴データ!$R$58-履歴データ!$D$58)*100)</f>
        <v>-153.46</v>
      </c>
      <c r="G58" s="28">
        <f>IF(履歴データ!$A$58="","",(履歴データ!$S$58-履歴データ!$R$58)*100)</f>
        <v>-163.96617858886719</v>
      </c>
      <c r="H58" s="29">
        <f>IF(履歴データ!$A$58="","",履歴データ!$O$58)</f>
        <v>130.86500549316406</v>
      </c>
      <c r="I58" s="29">
        <f>IF(履歴データ!$A$58="","",履歴データ!$Q$58)</f>
        <v>116.109375</v>
      </c>
      <c r="J58" s="29">
        <f>IF(履歴データ!$A$58="","",履歴データ!$D$58)</f>
        <v>3.38</v>
      </c>
      <c r="K58" s="28">
        <f>IF(OR(履歴データ!$A$58="",履歴データ!$A$57=""),"",B58-B57)</f>
        <v>0.99999999999997868</v>
      </c>
      <c r="L58" s="28">
        <f>IF(OR(履歴データ!$A$58="",履歴データ!$A$57=""),"",C58-C57)</f>
        <v>-2.0999999999999979</v>
      </c>
      <c r="M58" s="28">
        <f>IF(OR(履歴データ!$A$58="",履歴データ!$A$57=""),"",D58-D57)</f>
        <v>1.8000000000000114</v>
      </c>
      <c r="N58" s="28">
        <f>IF(OR(履歴データ!$A$58="",履歴データ!$A$57=""),"",E58-E57)</f>
        <v>-2.0000000000000018</v>
      </c>
      <c r="O58" s="28">
        <f>IF(OR(履歴データ!$A$58="",履歴データ!$A$57=""),"",F58-F57)</f>
        <v>-17.890000000000043</v>
      </c>
      <c r="P58" s="28">
        <f>IF(OR(履歴データ!$A$58="",履歴データ!$A$57=""),"",G58-G57)</f>
        <v>18.591642822265612</v>
      </c>
      <c r="Q58" s="29">
        <f>IF(OR(履歴データ!$A$58="",履歴データ!$A$57=""),"",H58-H57)</f>
        <v>-0.313995361328125</v>
      </c>
      <c r="R58" s="29">
        <f>IF(OR(履歴データ!$A$58="",履歴データ!$A$57=""),"",I58-I57)</f>
        <v>0.125</v>
      </c>
      <c r="S58" s="28">
        <f>IF(OR(履歴データ!$A$58="",履歴データ!$A$57=""),"",(J58-J57)*100)</f>
        <v>0</v>
      </c>
      <c r="T58" s="11">
        <f>IF(OR(履歴データ!$A$58="",履歴データ!$A$57=""),"",-80000*K58)</f>
        <v>-79999.999999998297</v>
      </c>
      <c r="U58" s="11">
        <f>IF(OR(履歴データ!$A$58="",履歴データ!$A$57=""),"",60000*L58)</f>
        <v>-125999.99999999987</v>
      </c>
      <c r="V58" s="11">
        <f>IF(OR(履歴データ!$A$58="",履歴データ!$A$57=""),"",-50000*M58)</f>
        <v>-90000.000000000568</v>
      </c>
      <c r="W58" s="11">
        <f>IF(OR(履歴データ!$A$58="",履歴データ!$A$57=""),"",-40000*N58)</f>
        <v>80000.000000000073</v>
      </c>
      <c r="X58" s="11">
        <f>IF(OR(履歴データ!$A$58="",履歴データ!$A$57=""),"",120*1000000*(-Q58/H57))</f>
        <v>287236.85280367552</v>
      </c>
      <c r="Y58" s="11">
        <f>IF(OR(履歴データ!$A$58="",履歴データ!$A$57=""),"",40000*(-S58)+(-506.3)*R58*1000)</f>
        <v>-63287.5</v>
      </c>
      <c r="Z58" s="11">
        <f>IF(OR(履歴データ!$A$58="",履歴データ!$A$57=""),"",-40000*O58)</f>
        <v>715600.00000000175</v>
      </c>
      <c r="AA58" s="11">
        <f>IF(OR(履歴データ!$A$58="",履歴データ!$A$57=""),"",-40000*P58)</f>
        <v>-743665.71289062453</v>
      </c>
      <c r="AB58" s="11">
        <f>IF(履歴データ!$A$58="","",123.3)</f>
        <v>123.3</v>
      </c>
      <c r="AC58">
        <f>IF(履歴データ!$A$58="","",SUM(T58:AA58))</f>
        <v>-20116.360086945933</v>
      </c>
      <c r="AD58" s="29">
        <f>IF(履歴データ!$A$58="","",AC58/1000000)</f>
        <v>-2.0116360086945933E-2</v>
      </c>
      <c r="AE58" s="29">
        <f>IF(履歴データ!$A$58="",AE57,AE57+AC58/1000000)</f>
        <v>98.152687395848062</v>
      </c>
      <c r="AF58" s="12">
        <f>IF(OR(履歴データ!$A$58="",AE57=0),"",(AE58-AE57)/AE57)</f>
        <v>-2.0490766604726641E-4</v>
      </c>
      <c r="AG58" s="29">
        <f t="shared" si="2"/>
        <v>102.17217746631495</v>
      </c>
      <c r="AH58" s="12">
        <f>IF(OR(履歴データ!$A$58="",AG58=0),"",AE58/AG58-1)</f>
        <v>-3.9340358306370282E-2</v>
      </c>
      <c r="AJ58" s="28">
        <f t="shared" ca="1" si="0"/>
        <v>-31.865609588300863</v>
      </c>
      <c r="AK58" s="28">
        <f t="shared" ca="1" si="1"/>
        <v>-48.485267604681603</v>
      </c>
    </row>
    <row r="59" spans="1:37">
      <c r="A59" s="10">
        <f>IF(履歴データ!$A$59="","",履歴データ!$A$59)</f>
        <v>45012</v>
      </c>
      <c r="B59" s="28">
        <f>IF(履歴データ!$A$59="","",(履歴データ!$D$59-(履歴データ!$B$59+履歴データ!$F$59)/2)*100)</f>
        <v>-32.500000000000014</v>
      </c>
      <c r="C59" s="28">
        <f>IF(履歴データ!$A$59="","",(履歴データ!$H$59-(履歴データ!$G$59+履歴データ!$J$59)/2)*100)</f>
        <v>-32.449999999999996</v>
      </c>
      <c r="D59" s="28">
        <f>IF(履歴データ!$A$59="","",(履歴データ!$D$59-履歴データ!$H$59)*100)</f>
        <v>320</v>
      </c>
      <c r="E59" s="28">
        <f>IF(履歴データ!$A$59="","",(履歴データ!$D$59-履歴データ!$C$59)*100)</f>
        <v>-6.0000000000000053</v>
      </c>
      <c r="F59" s="28">
        <f>IF(履歴データ!$A$59="","",(履歴データ!$R$59-履歴データ!$D$59)*100)</f>
        <v>-169.11999999999998</v>
      </c>
      <c r="G59" s="28">
        <f>IF(履歴データ!$A$59="","",(履歴データ!$S$59-履歴データ!$R$59)*100)</f>
        <v>-165.06017858886725</v>
      </c>
      <c r="H59" s="29">
        <f>IF(履歴データ!$A$59="","",履歴データ!$O$59)</f>
        <v>131.23300170898438</v>
      </c>
      <c r="I59" s="29">
        <f>IF(履歴データ!$A$59="","",履歴データ!$Q$59)</f>
        <v>114.984375</v>
      </c>
      <c r="J59" s="29">
        <f>IF(履歴データ!$A$59="","",履歴データ!$D$59)</f>
        <v>3.53</v>
      </c>
      <c r="K59" s="28">
        <f>IF(OR(履歴データ!$A$59="",履歴データ!$A$58=""),"",B59-B58)</f>
        <v>-0.49999999999998579</v>
      </c>
      <c r="L59" s="28">
        <f>IF(OR(履歴データ!$A$59="",履歴データ!$A$58=""),"",C59-C58)</f>
        <v>-4.9999999999997158E-2</v>
      </c>
      <c r="M59" s="28">
        <f>IF(OR(履歴データ!$A$59="",履歴データ!$A$58=""),"",D59-D58)</f>
        <v>14.100000000000023</v>
      </c>
      <c r="N59" s="28">
        <f>IF(OR(履歴データ!$A$59="",履歴データ!$A$58=""),"",E59-E58)</f>
        <v>-2.9999999999999805</v>
      </c>
      <c r="O59" s="28">
        <f>IF(OR(履歴データ!$A$59="",履歴データ!$A$58=""),"",F59-F58)</f>
        <v>-15.659999999999968</v>
      </c>
      <c r="P59" s="28">
        <f>IF(OR(履歴データ!$A$59="",履歴データ!$A$58=""),"",G59-G58)</f>
        <v>-1.0940000000000509</v>
      </c>
      <c r="Q59" s="29">
        <f>IF(OR(履歴データ!$A$59="",履歴データ!$A$58=""),"",H59-H58)</f>
        <v>0.3679962158203125</v>
      </c>
      <c r="R59" s="29">
        <f>IF(OR(履歴データ!$A$59="",履歴データ!$A$58=""),"",I59-I58)</f>
        <v>-1.125</v>
      </c>
      <c r="S59" s="28">
        <f>IF(OR(履歴データ!$A$59="",履歴データ!$A$58=""),"",(J59-J58)*100)</f>
        <v>14.999999999999991</v>
      </c>
      <c r="T59" s="11">
        <f>IF(OR(履歴データ!$A$59="",履歴データ!$A$58=""),"",-80000*K59)</f>
        <v>39999.999999998865</v>
      </c>
      <c r="U59" s="11">
        <f>IF(OR(履歴データ!$A$59="",履歴データ!$A$58=""),"",60000*L59)</f>
        <v>-2999.9999999998295</v>
      </c>
      <c r="V59" s="11">
        <f>IF(OR(履歴データ!$A$59="",履歴データ!$A$58=""),"",-50000*M59)</f>
        <v>-705000.00000000116</v>
      </c>
      <c r="W59" s="11">
        <f>IF(OR(履歴データ!$A$59="",履歴データ!$A$58=""),"",-40000*N59)</f>
        <v>119999.99999999921</v>
      </c>
      <c r="X59" s="11">
        <f>IF(OR(履歴データ!$A$59="",履歴データ!$A$58=""),"",120*1000000*(-Q59/H58))</f>
        <v>-337443.50318882038</v>
      </c>
      <c r="Y59" s="11">
        <f>IF(OR(履歴データ!$A$59="",履歴データ!$A$58=""),"",40000*(-S59)+(-506.3)*R59*1000)</f>
        <v>-30412.499999999651</v>
      </c>
      <c r="Z59" s="11">
        <f>IF(OR(履歴データ!$A$59="",履歴データ!$A$58=""),"",-40000*O59)</f>
        <v>626399.99999999872</v>
      </c>
      <c r="AA59" s="11">
        <f>IF(OR(履歴データ!$A$59="",履歴データ!$A$58=""),"",-40000*P59)</f>
        <v>43760.000000002037</v>
      </c>
      <c r="AB59" s="11">
        <f>IF(履歴データ!$A$59="","",123.3)</f>
        <v>123.3</v>
      </c>
      <c r="AC59">
        <f>IF(履歴データ!$A$59="","",SUM(T59:AA59))</f>
        <v>-245696.00318882224</v>
      </c>
      <c r="AD59" s="29">
        <f>IF(履歴データ!$A$59="","",AC59/1000000)</f>
        <v>-0.24569600318882223</v>
      </c>
      <c r="AE59" s="29">
        <f>IF(履歴データ!$A$59="",AE58,AE58+AC59/1000000)</f>
        <v>97.906991392659236</v>
      </c>
      <c r="AF59" s="12">
        <f>IF(OR(履歴データ!$A$59="",AE58=0),"",(AE59-AE58)/AE58)</f>
        <v>-2.5032019979029014E-3</v>
      </c>
      <c r="AG59" s="29">
        <f t="shared" si="2"/>
        <v>102.17217746631495</v>
      </c>
      <c r="AH59" s="12">
        <f>IF(OR(履歴データ!$A$59="",AG59=0),"",AE59/AG59-1)</f>
        <v>-4.1745083440762554E-2</v>
      </c>
      <c r="AJ59" s="28">
        <f t="shared" ca="1" si="0"/>
        <v>-31.563438437599832</v>
      </c>
      <c r="AK59" s="28">
        <f t="shared" ca="1" si="1"/>
        <v>-48.522768458951916</v>
      </c>
    </row>
    <row r="60" spans="1:37">
      <c r="A60" s="10">
        <f>IF(履歴データ!$A$60="","",履歴データ!$A$60)</f>
        <v>45013</v>
      </c>
      <c r="B60" s="28">
        <f>IF(履歴データ!$A$60="","",(履歴データ!$D$60-(履歴データ!$B$60+履歴データ!$F$60)/2)*100)</f>
        <v>-34.499999999999972</v>
      </c>
      <c r="C60" s="28">
        <f>IF(履歴データ!$A$60="","",(履歴データ!$H$60-(履歴データ!$G$60+履歴データ!$J$60)/2)*100)</f>
        <v>-27.950000000000003</v>
      </c>
      <c r="D60" s="28">
        <f>IF(履歴データ!$A$60="","",(履歴データ!$D$60-履歴データ!$H$60)*100)</f>
        <v>321.29999999999995</v>
      </c>
      <c r="E60" s="28">
        <f>IF(履歴データ!$A$60="","",(履歴データ!$D$60-履歴データ!$C$60)*100)</f>
        <v>-8.0000000000000071</v>
      </c>
      <c r="F60" s="28">
        <f>IF(履歴データ!$A$60="","",(履歴データ!$R$60-履歴データ!$D$60)*100)</f>
        <v>-160.45999999999998</v>
      </c>
      <c r="G60" s="28">
        <f>IF(履歴データ!$A$60="","",(履歴データ!$S$60-履歴データ!$R$60)*100)</f>
        <v>-176.59717858886742</v>
      </c>
      <c r="H60" s="29">
        <f>IF(履歴データ!$A$60="","",履歴データ!$O$60)</f>
        <v>131.04600524902344</v>
      </c>
      <c r="I60" s="29">
        <f>IF(履歴データ!$A$60="","",履歴データ!$Q$60)</f>
        <v>114.640625</v>
      </c>
      <c r="J60" s="29">
        <f>IF(履歴データ!$A$60="","",履歴データ!$D$60)</f>
        <v>3.55</v>
      </c>
      <c r="K60" s="28">
        <f>IF(OR(履歴データ!$A$60="",履歴データ!$A$59=""),"",B60-B59)</f>
        <v>-1.9999999999999574</v>
      </c>
      <c r="L60" s="28">
        <f>IF(OR(履歴データ!$A$60="",履歴データ!$A$59=""),"",C60-C59)</f>
        <v>4.4999999999999929</v>
      </c>
      <c r="M60" s="28">
        <f>IF(OR(履歴データ!$A$60="",履歴データ!$A$59=""),"",D60-D59)</f>
        <v>1.2999999999999545</v>
      </c>
      <c r="N60" s="28">
        <f>IF(OR(履歴データ!$A$60="",履歴データ!$A$59=""),"",E60-E59)</f>
        <v>-2.0000000000000018</v>
      </c>
      <c r="O60" s="28">
        <f>IF(OR(履歴データ!$A$60="",履歴データ!$A$59=""),"",F60-F59)</f>
        <v>8.6599999999999966</v>
      </c>
      <c r="P60" s="28">
        <f>IF(OR(履歴データ!$A$60="",履歴データ!$A$59=""),"",G60-G59)</f>
        <v>-11.537000000000177</v>
      </c>
      <c r="Q60" s="29">
        <f>IF(OR(履歴データ!$A$60="",履歴データ!$A$59=""),"",H60-H59)</f>
        <v>-0.1869964599609375</v>
      </c>
      <c r="R60" s="29">
        <f>IF(OR(履歴データ!$A$60="",履歴データ!$A$59=""),"",I60-I59)</f>
        <v>-0.34375</v>
      </c>
      <c r="S60" s="28">
        <f>IF(OR(履歴データ!$A$60="",履歴データ!$A$59=""),"",(J60-J59)*100)</f>
        <v>2.0000000000000018</v>
      </c>
      <c r="T60" s="11">
        <f>IF(OR(履歴データ!$A$60="",履歴データ!$A$59=""),"",-80000*K60)</f>
        <v>159999.99999999659</v>
      </c>
      <c r="U60" s="11">
        <f>IF(OR(履歴データ!$A$60="",履歴データ!$A$59=""),"",60000*L60)</f>
        <v>269999.99999999959</v>
      </c>
      <c r="V60" s="11">
        <f>IF(OR(履歴データ!$A$60="",履歴データ!$A$59=""),"",-50000*M60)</f>
        <v>-64999.99999999773</v>
      </c>
      <c r="W60" s="11">
        <f>IF(OR(履歴データ!$A$60="",履歴データ!$A$59=""),"",-40000*N60)</f>
        <v>80000.000000000073</v>
      </c>
      <c r="X60" s="11">
        <f>IF(OR(履歴データ!$A$60="",履歴データ!$A$59=""),"",120*1000000*(-Q60/H59))</f>
        <v>170990.33705769651</v>
      </c>
      <c r="Y60" s="11">
        <f>IF(OR(履歴データ!$A$60="",履歴データ!$A$59=""),"",40000*(-S60)+(-506.3)*R60*1000)</f>
        <v>94040.624999999927</v>
      </c>
      <c r="Z60" s="11">
        <f>IF(OR(履歴データ!$A$60="",履歴データ!$A$59=""),"",-40000*O60)</f>
        <v>-346399.99999999988</v>
      </c>
      <c r="AA60" s="11">
        <f>IF(OR(履歴データ!$A$60="",履歴データ!$A$59=""),"",-40000*P60)</f>
        <v>461480.00000000704</v>
      </c>
      <c r="AB60" s="11">
        <f>IF(履歴データ!$A$60="","",123.3)</f>
        <v>123.3</v>
      </c>
      <c r="AC60">
        <f>IF(履歴データ!$A$60="","",SUM(T60:AA60))</f>
        <v>825110.96205770201</v>
      </c>
      <c r="AD60" s="29">
        <f>IF(履歴データ!$A$60="","",AC60/1000000)</f>
        <v>0.82511096205770196</v>
      </c>
      <c r="AE60" s="29">
        <f>IF(履歴データ!$A$60="",AE59,AE59+AC60/1000000)</f>
        <v>98.732102354716943</v>
      </c>
      <c r="AF60" s="12">
        <f>IF(OR(履歴データ!$A$60="",AE59=0),"",(AE60-AE59)/AE59)</f>
        <v>8.4274978765160082E-3</v>
      </c>
      <c r="AG60" s="29">
        <f t="shared" si="2"/>
        <v>102.17217746631495</v>
      </c>
      <c r="AH60" s="12">
        <f>IF(OR(履歴データ!$A$60="",AG60=0),"",AE60/AG60-1)</f>
        <v>-3.3669392166298495E-2</v>
      </c>
      <c r="AJ60" s="28">
        <f t="shared" ca="1" si="0"/>
        <v>-31.419902837621205</v>
      </c>
      <c r="AK60" s="28">
        <f t="shared" ca="1" si="1"/>
        <v>-48.478402247124563</v>
      </c>
    </row>
    <row r="61" spans="1:37">
      <c r="A61" s="10">
        <f>IF(履歴データ!$A$61="","",履歴データ!$A$61)</f>
        <v>45014</v>
      </c>
      <c r="B61" s="28">
        <f>IF(履歴データ!$A$61="","",(履歴データ!$D$61-(履歴データ!$B$61+履歴データ!$F$61)/2)*100)</f>
        <v>-35.999999999999986</v>
      </c>
      <c r="C61" s="28">
        <f>IF(履歴データ!$A$61="","",(履歴データ!$H$61-(履歴データ!$G$61+履歴データ!$J$61)/2)*100)</f>
        <v>-25.15</v>
      </c>
      <c r="D61" s="28">
        <f>IF(履歴データ!$A$61="","",(履歴データ!$D$61-履歴データ!$H$61)*100)</f>
        <v>323.5</v>
      </c>
      <c r="E61" s="28">
        <f>IF(履歴データ!$A$61="","",(履歴データ!$D$61-履歴データ!$C$61)*100)</f>
        <v>-10.000000000000009</v>
      </c>
      <c r="F61" s="28">
        <f>IF(履歴データ!$A$61="","",(履歴データ!$R$61-履歴データ!$D$61)*100)</f>
        <v>-154.99999999999997</v>
      </c>
      <c r="G61" s="28">
        <f>IF(履歴データ!$A$61="","",(履歴データ!$S$61-履歴データ!$R$61)*100)</f>
        <v>-189.1438214111329</v>
      </c>
      <c r="H61" s="29">
        <f>IF(履歴データ!$A$61="","",履歴データ!$O$61)</f>
        <v>132.57600402832031</v>
      </c>
      <c r="I61" s="29">
        <f>IF(履歴データ!$A$61="","",履歴データ!$Q$61)</f>
        <v>114.53125</v>
      </c>
      <c r="J61" s="29">
        <f>IF(履歴データ!$A$61="","",履歴データ!$D$61)</f>
        <v>3.57</v>
      </c>
      <c r="K61" s="28">
        <f>IF(OR(履歴データ!$A$61="",履歴データ!$A$60=""),"",B61-B60)</f>
        <v>-1.5000000000000142</v>
      </c>
      <c r="L61" s="28">
        <f>IF(OR(履歴データ!$A$61="",履歴データ!$A$60=""),"",C61-C60)</f>
        <v>2.8000000000000043</v>
      </c>
      <c r="M61" s="28">
        <f>IF(OR(履歴データ!$A$61="",履歴データ!$A$60=""),"",D61-D60)</f>
        <v>2.2000000000000455</v>
      </c>
      <c r="N61" s="28">
        <f>IF(OR(履歴データ!$A$61="",履歴データ!$A$60=""),"",E61-E60)</f>
        <v>-2.0000000000000018</v>
      </c>
      <c r="O61" s="28">
        <f>IF(OR(履歴データ!$A$61="",履歴データ!$A$60=""),"",F61-F60)</f>
        <v>5.460000000000008</v>
      </c>
      <c r="P61" s="28">
        <f>IF(OR(履歴データ!$A$61="",履歴データ!$A$60=""),"",G61-G60)</f>
        <v>-12.546642822265483</v>
      </c>
      <c r="Q61" s="29">
        <f>IF(OR(履歴データ!$A$61="",履歴データ!$A$60=""),"",H61-H60)</f>
        <v>1.529998779296875</v>
      </c>
      <c r="R61" s="29">
        <f>IF(OR(履歴データ!$A$61="",履歴データ!$A$60=""),"",I61-I60)</f>
        <v>-0.109375</v>
      </c>
      <c r="S61" s="28">
        <f>IF(OR(履歴データ!$A$61="",履歴データ!$A$60=""),"",(J61-J60)*100)</f>
        <v>2.0000000000000018</v>
      </c>
      <c r="T61" s="11">
        <f>IF(OR(履歴データ!$A$61="",履歴データ!$A$60=""),"",-80000*K61)</f>
        <v>120000.00000000114</v>
      </c>
      <c r="U61" s="11">
        <f>IF(OR(履歴データ!$A$61="",履歴データ!$A$60=""),"",60000*L61)</f>
        <v>168000.00000000026</v>
      </c>
      <c r="V61" s="11">
        <f>IF(OR(履歴データ!$A$61="",履歴データ!$A$60=""),"",-50000*M61)</f>
        <v>-110000.00000000227</v>
      </c>
      <c r="W61" s="11">
        <f>IF(OR(履歴データ!$A$61="",履歴データ!$A$60=""),"",-40000*N61)</f>
        <v>80000.000000000073</v>
      </c>
      <c r="X61" s="11">
        <f>IF(OR(履歴データ!$A$61="",履歴データ!$A$60=""),"",120*1000000*(-Q61/H60))</f>
        <v>-1401033.5772291173</v>
      </c>
      <c r="Y61" s="11">
        <f>IF(OR(履歴データ!$A$61="",履歴データ!$A$60=""),"",40000*(-S61)+(-506.3)*R61*1000)</f>
        <v>-24623.437500000073</v>
      </c>
      <c r="Z61" s="11">
        <f>IF(OR(履歴データ!$A$61="",履歴データ!$A$60=""),"",-40000*O61)</f>
        <v>-218400.00000000032</v>
      </c>
      <c r="AA61" s="11">
        <f>IF(OR(履歴データ!$A$61="",履歴データ!$A$60=""),"",-40000*P61)</f>
        <v>501865.7128906193</v>
      </c>
      <c r="AB61" s="11">
        <f>IF(履歴データ!$A$61="","",123.3)</f>
        <v>123.3</v>
      </c>
      <c r="AC61">
        <f>IF(履歴データ!$A$61="","",SUM(T61:AA61))</f>
        <v>-884191.30183849891</v>
      </c>
      <c r="AD61" s="29">
        <f>IF(履歴データ!$A$61="","",AC61/1000000)</f>
        <v>-0.88419130183849892</v>
      </c>
      <c r="AE61" s="29">
        <f>IF(履歴データ!$A$61="",AE60,AE60+AC61/1000000)</f>
        <v>97.847911052878445</v>
      </c>
      <c r="AF61" s="12">
        <f>IF(OR(履歴データ!$A$61="",AE60=0),"",(AE61-AE60)/AE60)</f>
        <v>-8.9554590730970707E-3</v>
      </c>
      <c r="AG61" s="29">
        <f t="shared" si="2"/>
        <v>102.17217746631495</v>
      </c>
      <c r="AH61" s="12">
        <f>IF(OR(履歴データ!$A$61="",AG61=0),"",AE61/AG61-1)</f>
        <v>-4.2323326375834247E-2</v>
      </c>
      <c r="AJ61" s="28">
        <f t="shared" ca="1" si="0"/>
        <v>-31.365422658767301</v>
      </c>
      <c r="AK61" s="28">
        <f t="shared" ca="1" si="1"/>
        <v>-48.401244007899379</v>
      </c>
    </row>
    <row r="62" spans="1:37">
      <c r="A62" s="10">
        <f>IF(履歴データ!$A$62="","",履歴データ!$A$62)</f>
        <v>45015</v>
      </c>
      <c r="B62" s="28">
        <f>IF(履歴データ!$A$62="","",(履歴データ!$D$62-(履歴データ!$B$62+履歴データ!$F$62)/2)*100)</f>
        <v>-37.000000000000014</v>
      </c>
      <c r="C62" s="28">
        <f>IF(履歴データ!$A$62="","",(履歴データ!$H$62-(履歴データ!$G$62+履歴データ!$J$62)/2)*100)</f>
        <v>-23.650000000000006</v>
      </c>
      <c r="D62" s="28">
        <f>IF(履歴データ!$A$62="","",(履歴データ!$D$62-履歴データ!$H$62)*100)</f>
        <v>318.79999999999995</v>
      </c>
      <c r="E62" s="28">
        <f>IF(履歴データ!$A$62="","",(履歴データ!$D$62-履歴データ!$C$62)*100)</f>
        <v>-11.000000000000032</v>
      </c>
      <c r="F62" s="28">
        <f>IF(履歴データ!$A$62="","",(履歴データ!$R$62-履歴データ!$D$62)*100)</f>
        <v>-153.24999999999997</v>
      </c>
      <c r="G62" s="28">
        <f>IF(履歴データ!$A$62="","",(履歴データ!$S$62-履歴データ!$R$62)*100)</f>
        <v>-187.66600000000028</v>
      </c>
      <c r="H62" s="29">
        <f>IF(履歴データ!$A$62="","",履歴データ!$O$62)</f>
        <v>133.20100402832031</v>
      </c>
      <c r="I62" s="29">
        <f>IF(履歴データ!$A$62="","",履歴データ!$Q$62)</f>
        <v>114.578125</v>
      </c>
      <c r="J62" s="29">
        <f>IF(履歴データ!$A$62="","",履歴データ!$D$62)</f>
        <v>3.55</v>
      </c>
      <c r="K62" s="28">
        <f>IF(OR(履歴データ!$A$62="",履歴データ!$A$61=""),"",B62-B61)</f>
        <v>-1.0000000000000284</v>
      </c>
      <c r="L62" s="28">
        <f>IF(OR(履歴データ!$A$62="",履歴データ!$A$61=""),"",C62-C61)</f>
        <v>1.4999999999999929</v>
      </c>
      <c r="M62" s="28">
        <f>IF(OR(履歴データ!$A$62="",履歴データ!$A$61=""),"",D62-D61)</f>
        <v>-4.7000000000000455</v>
      </c>
      <c r="N62" s="28">
        <f>IF(OR(履歴データ!$A$62="",履歴データ!$A$61=""),"",E62-E61)</f>
        <v>-1.0000000000000231</v>
      </c>
      <c r="O62" s="28">
        <f>IF(OR(履歴データ!$A$62="",履歴データ!$A$61=""),"",F62-F61)</f>
        <v>1.75</v>
      </c>
      <c r="P62" s="28">
        <f>IF(OR(履歴データ!$A$62="",履歴データ!$A$61=""),"",G62-G61)</f>
        <v>1.4778214111326236</v>
      </c>
      <c r="Q62" s="29">
        <f>IF(OR(履歴データ!$A$62="",履歴データ!$A$61=""),"",H62-H61)</f>
        <v>0.625</v>
      </c>
      <c r="R62" s="29">
        <f>IF(OR(履歴データ!$A$62="",履歴データ!$A$61=""),"",I62-I61)</f>
        <v>4.6875E-2</v>
      </c>
      <c r="S62" s="28">
        <f>IF(OR(履歴データ!$A$62="",履歴データ!$A$61=""),"",(J62-J61)*100)</f>
        <v>-2.0000000000000018</v>
      </c>
      <c r="T62" s="11">
        <f>IF(OR(履歴データ!$A$62="",履歴データ!$A$61=""),"",-80000*K62)</f>
        <v>80000.00000000227</v>
      </c>
      <c r="U62" s="11">
        <f>IF(OR(履歴データ!$A$62="",履歴データ!$A$61=""),"",60000*L62)</f>
        <v>89999.999999999578</v>
      </c>
      <c r="V62" s="11">
        <f>IF(OR(履歴データ!$A$62="",履歴データ!$A$61=""),"",-50000*M62)</f>
        <v>235000.00000000227</v>
      </c>
      <c r="W62" s="11">
        <f>IF(OR(履歴データ!$A$62="",履歴データ!$A$61=""),"",-40000*N62)</f>
        <v>40000.000000000924</v>
      </c>
      <c r="X62" s="11">
        <f>IF(OR(履歴データ!$A$62="",履歴データ!$A$61=""),"",120*1000000*(-Q62/H61))</f>
        <v>-565713.23407800728</v>
      </c>
      <c r="Y62" s="11">
        <f>IF(OR(履歴データ!$A$62="",履歴データ!$A$61=""),"",40000*(-S62)+(-506.3)*R62*1000)</f>
        <v>56267.187500000073</v>
      </c>
      <c r="Z62" s="11">
        <f>IF(OR(履歴データ!$A$62="",履歴データ!$A$61=""),"",-40000*O62)</f>
        <v>-70000</v>
      </c>
      <c r="AA62" s="11">
        <f>IF(OR(履歴データ!$A$62="",履歴データ!$A$61=""),"",-40000*P62)</f>
        <v>-59112.85644530494</v>
      </c>
      <c r="AB62" s="11">
        <f>IF(履歴データ!$A$62="","",123.3)</f>
        <v>123.3</v>
      </c>
      <c r="AC62">
        <f>IF(履歴データ!$A$62="","",SUM(T62:AA62))</f>
        <v>-193558.9030233071</v>
      </c>
      <c r="AD62" s="29">
        <f>IF(履歴データ!$A$62="","",AC62/1000000)</f>
        <v>-0.19355890302330708</v>
      </c>
      <c r="AE62" s="29">
        <f>IF(履歴データ!$A$62="",AE61,AE61+AC62/1000000)</f>
        <v>97.654352149855143</v>
      </c>
      <c r="AF62" s="12">
        <f>IF(OR(履歴データ!$A$62="",AE61=0),"",(AE62-AE61)/AE61)</f>
        <v>-1.9781608103897051E-3</v>
      </c>
      <c r="AG62" s="29">
        <f t="shared" si="2"/>
        <v>102.17217746631495</v>
      </c>
      <c r="AH62" s="12">
        <f>IF(OR(履歴データ!$A$62="",AG62=0),"",AE62/AG62-1)</f>
        <v>-4.4217764840621898E-2</v>
      </c>
      <c r="AJ62" s="28">
        <f t="shared" ca="1" si="0"/>
        <v>-31.35722659767756</v>
      </c>
      <c r="AK62" s="28">
        <f t="shared" ca="1" si="1"/>
        <v>-48.314904549863435</v>
      </c>
    </row>
    <row r="63" spans="1:37">
      <c r="A63" s="10">
        <f>IF(履歴データ!$A$63="","",履歴データ!$A$63)</f>
        <v>45016</v>
      </c>
      <c r="B63" s="28">
        <f>IF(履歴データ!$A$63="","",(履歴データ!$D$63-(履歴データ!$B$63+履歴データ!$F$63)/2)*100)</f>
        <v>-38.499999999999979</v>
      </c>
      <c r="C63" s="28">
        <f>IF(履歴データ!$A$63="","",(履歴データ!$H$63-(履歴データ!$G$63+履歴データ!$J$63)/2)*100)</f>
        <v>-21.750000000000004</v>
      </c>
      <c r="D63" s="28">
        <f>IF(履歴データ!$A$63="","",(履歴データ!$D$63-履歴データ!$H$63)*100)</f>
        <v>309.10000000000002</v>
      </c>
      <c r="E63" s="28">
        <f>IF(履歴データ!$A$63="","",(履歴データ!$D$63-履歴データ!$C$63)*100)</f>
        <v>-12.000000000000011</v>
      </c>
      <c r="F63" s="28">
        <f>IF(履歴データ!$A$63="","",(履歴データ!$R$63-履歴データ!$D$63)*100)</f>
        <v>-141.38999999999999</v>
      </c>
      <c r="G63" s="28">
        <f>IF(履歴データ!$A$63="","",(履歴データ!$S$63-履歴データ!$R$63)*100)</f>
        <v>-190.24582141113285</v>
      </c>
      <c r="H63" s="29">
        <f>IF(履歴データ!$A$63="","",履歴データ!$O$63)</f>
        <v>133.20100402832031</v>
      </c>
      <c r="I63" s="29">
        <f>IF(履歴データ!$A$63="","",履歴データ!$Q$63)</f>
        <v>114.921875</v>
      </c>
      <c r="J63" s="29">
        <f>IF(履歴データ!$A$63="","",履歴データ!$D$63)</f>
        <v>3.48</v>
      </c>
      <c r="K63" s="28">
        <f>IF(OR(履歴データ!$A$63="",履歴データ!$A$62=""),"",B63-B62)</f>
        <v>-1.4999999999999645</v>
      </c>
      <c r="L63" s="28">
        <f>IF(OR(履歴データ!$A$63="",履歴データ!$A$62=""),"",C63-C62)</f>
        <v>1.9000000000000021</v>
      </c>
      <c r="M63" s="28">
        <f>IF(OR(履歴データ!$A$63="",履歴データ!$A$62=""),"",D63-D62)</f>
        <v>-9.6999999999999318</v>
      </c>
      <c r="N63" s="28">
        <f>IF(OR(履歴データ!$A$63="",履歴データ!$A$62=""),"",E63-E62)</f>
        <v>-0.99999999999997868</v>
      </c>
      <c r="O63" s="28">
        <f>IF(OR(履歴データ!$A$63="",履歴データ!$A$62=""),"",F63-F62)</f>
        <v>11.859999999999985</v>
      </c>
      <c r="P63" s="28">
        <f>IF(OR(履歴データ!$A$63="",履歴データ!$A$62=""),"",G63-G62)</f>
        <v>-2.5798214111325706</v>
      </c>
      <c r="Q63" s="29">
        <f>IF(OR(履歴データ!$A$63="",履歴データ!$A$62=""),"",H63-H62)</f>
        <v>0</v>
      </c>
      <c r="R63" s="29">
        <f>IF(OR(履歴データ!$A$63="",履歴データ!$A$62=""),"",I63-I62)</f>
        <v>0.34375</v>
      </c>
      <c r="S63" s="28">
        <f>IF(OR(履歴データ!$A$63="",履歴データ!$A$62=""),"",(J63-J62)*100)</f>
        <v>-6.999999999999984</v>
      </c>
      <c r="T63" s="11">
        <f>IF(OR(履歴データ!$A$63="",履歴データ!$A$62=""),"",-80000*K63)</f>
        <v>119999.99999999716</v>
      </c>
      <c r="U63" s="11">
        <f>IF(OR(履歴データ!$A$63="",履歴データ!$A$62=""),"",60000*L63)</f>
        <v>114000.00000000013</v>
      </c>
      <c r="V63" s="11">
        <f>IF(OR(履歴データ!$A$63="",履歴データ!$A$62=""),"",-50000*M63)</f>
        <v>484999.99999999657</v>
      </c>
      <c r="W63" s="11">
        <f>IF(OR(履歴データ!$A$63="",履歴データ!$A$62=""),"",-40000*N63)</f>
        <v>39999.999999999149</v>
      </c>
      <c r="X63" s="11">
        <f>IF(OR(履歴データ!$A$63="",履歴データ!$A$62=""),"",120*1000000*(-Q63/H62))</f>
        <v>0</v>
      </c>
      <c r="Y63" s="11">
        <f>IF(OR(履歴データ!$A$63="",履歴データ!$A$62=""),"",40000*(-S63)+(-506.3)*R63*1000)</f>
        <v>105959.37499999936</v>
      </c>
      <c r="Z63" s="11">
        <f>IF(OR(履歴データ!$A$63="",履歴データ!$A$62=""),"",-40000*O63)</f>
        <v>-474399.99999999942</v>
      </c>
      <c r="AA63" s="11">
        <f>IF(OR(履歴データ!$A$63="",履歴データ!$A$62=""),"",-40000*P63)</f>
        <v>103192.85644530282</v>
      </c>
      <c r="AB63" s="11">
        <f>IF(履歴データ!$A$63="","",123.3)</f>
        <v>123.3</v>
      </c>
      <c r="AC63">
        <f>IF(履歴データ!$A$63="","",SUM(T63:AA63))</f>
        <v>493752.23144529574</v>
      </c>
      <c r="AD63" s="29">
        <f>IF(履歴データ!$A$63="","",AC63/1000000)</f>
        <v>0.49375223144529573</v>
      </c>
      <c r="AE63" s="29">
        <f>IF(履歴データ!$A$63="",AE62,AE62+AC63/1000000)</f>
        <v>98.148104381300442</v>
      </c>
      <c r="AF63" s="12">
        <f>IF(OR(履歴データ!$A$63="",AE62=0),"",(AE63-AE62)/AE62)</f>
        <v>5.056121110584128E-3</v>
      </c>
      <c r="AG63" s="29">
        <f t="shared" si="2"/>
        <v>102.17217746631495</v>
      </c>
      <c r="AH63" s="12">
        <f>IF(OR(履歴データ!$A$63="",AG63=0),"",AE63/AG63-1)</f>
        <v>-3.9385214104311284E-2</v>
      </c>
      <c r="AJ63" s="28">
        <f t="shared" ca="1" si="0"/>
        <v>-31.398618076433966</v>
      </c>
      <c r="AK63" s="28">
        <f t="shared" ca="1" si="1"/>
        <v>-48.230414181630564</v>
      </c>
    </row>
    <row r="64" spans="1:37">
      <c r="A64" s="10">
        <f>IF(履歴データ!$A$64="","",履歴データ!$A$64)</f>
        <v>45019</v>
      </c>
      <c r="B64" s="28">
        <f>IF(履歴データ!$A$64="","",(履歴データ!$D$64-(履歴データ!$B$64+履歴データ!$F$64)/2)*100)</f>
        <v>-37.5</v>
      </c>
      <c r="C64" s="28">
        <f>IF(履歴データ!$A$64="","",(履歴データ!$H$64-(履歴データ!$G$64+履歴データ!$J$64)/2)*100)</f>
        <v>-22.549999999999997</v>
      </c>
      <c r="D64" s="28">
        <f>IF(履歴データ!$A$64="","",(履歴データ!$D$64-履歴データ!$H$64)*100)</f>
        <v>300.8</v>
      </c>
      <c r="E64" s="28">
        <f>IF(履歴データ!$A$64="","",(履歴データ!$D$64-履歴データ!$C$64)*100)</f>
        <v>-8.9999999999999858</v>
      </c>
      <c r="F64" s="28">
        <f>IF(履歴データ!$A$64="","",(履歴データ!$R$64-履歴データ!$D$64)*100)</f>
        <v>-139.21</v>
      </c>
      <c r="G64" s="28">
        <f>IF(履歴データ!$A$64="","",(履歴データ!$S$64-履歴データ!$R$64)*100)</f>
        <v>-180.05900000000028</v>
      </c>
      <c r="H64" s="29">
        <f>IF(履歴データ!$A$64="","",履歴データ!$O$64)</f>
        <v>132.29899597167969</v>
      </c>
      <c r="I64" s="29">
        <f>IF(履歴データ!$A$64="","",履歴データ!$Q$64)</f>
        <v>115.453125</v>
      </c>
      <c r="J64" s="29">
        <f>IF(履歴データ!$A$64="","",履歴データ!$D$64)</f>
        <v>3.43</v>
      </c>
      <c r="K64" s="28">
        <f>IF(OR(履歴データ!$A$64="",履歴データ!$A$63=""),"",B64-B63)</f>
        <v>0.99999999999997868</v>
      </c>
      <c r="L64" s="28">
        <f>IF(OR(履歴データ!$A$64="",履歴データ!$A$63=""),"",C64-C63)</f>
        <v>-0.79999999999999361</v>
      </c>
      <c r="M64" s="28">
        <f>IF(OR(履歴データ!$A$64="",履歴データ!$A$63=""),"",D64-D63)</f>
        <v>-8.3000000000000114</v>
      </c>
      <c r="N64" s="28">
        <f>IF(OR(履歴データ!$A$64="",履歴データ!$A$63=""),"",E64-E63)</f>
        <v>3.0000000000000249</v>
      </c>
      <c r="O64" s="28">
        <f>IF(OR(履歴データ!$A$64="",履歴データ!$A$63=""),"",F64-F63)</f>
        <v>2.1799999999999784</v>
      </c>
      <c r="P64" s="28">
        <f>IF(OR(履歴データ!$A$64="",履歴データ!$A$63=""),"",G64-G63)</f>
        <v>10.18682141113257</v>
      </c>
      <c r="Q64" s="29">
        <f>IF(OR(履歴データ!$A$64="",履歴データ!$A$63=""),"",H64-H63)</f>
        <v>-0.902008056640625</v>
      </c>
      <c r="R64" s="29">
        <f>IF(OR(履歴データ!$A$64="",履歴データ!$A$63=""),"",I64-I63)</f>
        <v>0.53125</v>
      </c>
      <c r="S64" s="28">
        <f>IF(OR(履歴データ!$A$64="",履歴データ!$A$63=""),"",(J64-J63)*100)</f>
        <v>-4.9999999999999822</v>
      </c>
      <c r="T64" s="11">
        <f>IF(OR(履歴データ!$A$64="",履歴データ!$A$63=""),"",-80000*K64)</f>
        <v>-79999.999999998297</v>
      </c>
      <c r="U64" s="11">
        <f>IF(OR(履歴データ!$A$64="",履歴データ!$A$63=""),"",60000*L64)</f>
        <v>-47999.999999999614</v>
      </c>
      <c r="V64" s="11">
        <f>IF(OR(履歴データ!$A$64="",履歴データ!$A$63=""),"",-50000*M64)</f>
        <v>415000.00000000058</v>
      </c>
      <c r="W64" s="11">
        <f>IF(OR(履歴データ!$A$64="",履歴データ!$A$63=""),"",-40000*N64)</f>
        <v>-120000.00000000099</v>
      </c>
      <c r="X64" s="11">
        <f>IF(OR(履歴データ!$A$64="",履歴データ!$A$63=""),"",120*1000000*(-Q64/H63))</f>
        <v>812613.74556802528</v>
      </c>
      <c r="Y64" s="11">
        <f>IF(OR(履歴データ!$A$64="",履歴データ!$A$63=""),"",40000*(-S64)+(-506.3)*R64*1000)</f>
        <v>-68971.875000000698</v>
      </c>
      <c r="Z64" s="11">
        <f>IF(OR(履歴データ!$A$64="",履歴データ!$A$63=""),"",-40000*O64)</f>
        <v>-87199.999999999141</v>
      </c>
      <c r="AA64" s="11">
        <f>IF(OR(履歴データ!$A$64="",履歴データ!$A$63=""),"",-40000*P64)</f>
        <v>-407472.85644530278</v>
      </c>
      <c r="AB64" s="11">
        <f>IF(履歴データ!$A$64="","",123.3)</f>
        <v>123.3</v>
      </c>
      <c r="AC64">
        <f>IF(履歴データ!$A$64="","",SUM(T64:AA64))</f>
        <v>415969.01412272436</v>
      </c>
      <c r="AD64" s="29">
        <f>IF(履歴データ!$A$64="","",AC64/1000000)</f>
        <v>0.41596901412272436</v>
      </c>
      <c r="AE64" s="29">
        <f>IF(履歴データ!$A$64="",AE63,AE63+AC64/1000000)</f>
        <v>98.564073395423165</v>
      </c>
      <c r="AF64" s="12">
        <f>IF(OR(履歴データ!$A$64="",AE63=0),"",(AE64-AE63)/AE63)</f>
        <v>4.2381767507878127E-3</v>
      </c>
      <c r="AG64" s="29">
        <f t="shared" si="2"/>
        <v>102.17217746631495</v>
      </c>
      <c r="AH64" s="12">
        <f>IF(OR(履歴データ!$A$64="",AG64=0),"",AE64/AG64-1)</f>
        <v>-3.5313958852265181E-2</v>
      </c>
      <c r="AJ64" s="28">
        <f t="shared" ca="1" si="0"/>
        <v>-31.409678256038461</v>
      </c>
      <c r="AK64" s="28">
        <f t="shared" ca="1" si="1"/>
        <v>-48.14587729951711</v>
      </c>
    </row>
    <row r="65" spans="1:37">
      <c r="A65" s="10">
        <f>IF(履歴データ!$A$65="","",履歴データ!$A$65)</f>
        <v>45020</v>
      </c>
      <c r="B65" s="28">
        <f>IF(履歴データ!$A$65="","",(履歴データ!$D$65-(履歴データ!$B$65+履歴データ!$F$65)/2)*100)</f>
        <v>-36.999999999999964</v>
      </c>
      <c r="C65" s="28">
        <f>IF(履歴データ!$A$65="","",(履歴データ!$H$65-(履歴データ!$G$65+履歴データ!$J$65)/2)*100)</f>
        <v>-19.950000000000003</v>
      </c>
      <c r="D65" s="28">
        <f>IF(履歴データ!$A$65="","",(履歴データ!$D$65-履歴データ!$H$65)*100)</f>
        <v>287.2</v>
      </c>
      <c r="E65" s="28">
        <f>IF(履歴データ!$A$65="","",(履歴データ!$D$65-履歴データ!$C$65)*100)</f>
        <v>-4.0000000000000036</v>
      </c>
      <c r="F65" s="28">
        <f>IF(履歴データ!$A$65="","",(履歴データ!$R$65-履歴データ!$D$65)*100)</f>
        <v>-138.42000000000002</v>
      </c>
      <c r="G65" s="28">
        <f>IF(履歴データ!$A$65="","",(履歴データ!$S$65-履歴データ!$R$65)*100)</f>
        <v>-175.30464282226589</v>
      </c>
      <c r="H65" s="29">
        <f>IF(履歴データ!$A$65="","",履歴データ!$O$65)</f>
        <v>131.48500061035156</v>
      </c>
      <c r="I65" s="29">
        <f>IF(履歴データ!$A$65="","",履歴データ!$Q$65)</f>
        <v>116.25</v>
      </c>
      <c r="J65" s="29">
        <f>IF(履歴データ!$A$65="","",履歴データ!$D$65)</f>
        <v>3.35</v>
      </c>
      <c r="K65" s="28">
        <f>IF(OR(履歴データ!$A$65="",履歴データ!$A$64=""),"",B65-B64)</f>
        <v>0.50000000000003553</v>
      </c>
      <c r="L65" s="28">
        <f>IF(OR(履歴データ!$A$65="",履歴データ!$A$64=""),"",C65-C64)</f>
        <v>2.5999999999999943</v>
      </c>
      <c r="M65" s="28">
        <f>IF(OR(履歴データ!$A$65="",履歴データ!$A$64=""),"",D65-D64)</f>
        <v>-13.600000000000023</v>
      </c>
      <c r="N65" s="28">
        <f>IF(OR(履歴データ!$A$65="",履歴データ!$A$64=""),"",E65-E64)</f>
        <v>4.9999999999999822</v>
      </c>
      <c r="O65" s="28">
        <f>IF(OR(履歴データ!$A$65="",履歴データ!$A$64=""),"",F65-F64)</f>
        <v>0.78999999999999204</v>
      </c>
      <c r="P65" s="28">
        <f>IF(OR(履歴データ!$A$65="",履歴データ!$A$64=""),"",G65-G64)</f>
        <v>4.7543571777343914</v>
      </c>
      <c r="Q65" s="29">
        <f>IF(OR(履歴データ!$A$65="",履歴データ!$A$64=""),"",H65-H64)</f>
        <v>-0.813995361328125</v>
      </c>
      <c r="R65" s="29">
        <f>IF(OR(履歴データ!$A$65="",履歴データ!$A$64=""),"",I65-I64)</f>
        <v>0.796875</v>
      </c>
      <c r="S65" s="28">
        <f>IF(OR(履歴データ!$A$65="",履歴データ!$A$64=""),"",(J65-J64)*100)</f>
        <v>-8.0000000000000071</v>
      </c>
      <c r="T65" s="11">
        <f>IF(OR(履歴データ!$A$65="",履歴データ!$A$64=""),"",-80000*K65)</f>
        <v>-40000.000000002845</v>
      </c>
      <c r="U65" s="11">
        <f>IF(OR(履歴データ!$A$65="",履歴データ!$A$64=""),"",60000*L65)</f>
        <v>155999.99999999965</v>
      </c>
      <c r="V65" s="11">
        <f>IF(OR(履歴データ!$A$65="",履歴データ!$A$64=""),"",-50000*M65)</f>
        <v>680000.00000000116</v>
      </c>
      <c r="W65" s="11">
        <f>IF(OR(履歴データ!$A$65="",履歴データ!$A$64=""),"",-40000*N65)</f>
        <v>-199999.9999999993</v>
      </c>
      <c r="X65" s="11">
        <f>IF(OR(履歴データ!$A$65="",履歴データ!$A$64=""),"",120*1000000*(-Q65/H64))</f>
        <v>738323.39120914077</v>
      </c>
      <c r="Y65" s="11">
        <f>IF(OR(履歴データ!$A$65="",履歴データ!$A$64=""),"",40000*(-S65)+(-506.3)*R65*1000)</f>
        <v>-83457.812499999709</v>
      </c>
      <c r="Z65" s="11">
        <f>IF(OR(履歴データ!$A$65="",履歴データ!$A$64=""),"",-40000*O65)</f>
        <v>-31599.99999999968</v>
      </c>
      <c r="AA65" s="11">
        <f>IF(OR(履歴データ!$A$65="",履歴データ!$A$64=""),"",-40000*P65)</f>
        <v>-190174.28710937564</v>
      </c>
      <c r="AB65" s="11">
        <f>IF(履歴データ!$A$65="","",123.3)</f>
        <v>123.3</v>
      </c>
      <c r="AC65">
        <f>IF(履歴データ!$A$65="","",SUM(T65:AA65))</f>
        <v>1029091.2915997643</v>
      </c>
      <c r="AD65" s="29">
        <f>IF(履歴データ!$A$65="","",AC65/1000000)</f>
        <v>1.0290912915997643</v>
      </c>
      <c r="AE65" s="29">
        <f>IF(履歴データ!$A$65="",AE64,AE64+AC65/1000000)</f>
        <v>99.593164687022934</v>
      </c>
      <c r="AF65" s="12">
        <f>IF(OR(履歴データ!$A$65="",AE64=0),"",(AE65-AE64)/AE64)</f>
        <v>1.0440835652877506E-2</v>
      </c>
      <c r="AG65" s="29">
        <f t="shared" si="2"/>
        <v>102.17217746631495</v>
      </c>
      <c r="AH65" s="12">
        <f>IF(OR(履歴データ!$A$65="",AG65=0),"",AE65/AG65-1)</f>
        <v>-2.524183044001671E-2</v>
      </c>
      <c r="AJ65" s="28">
        <f t="shared" ca="1" si="0"/>
        <v>-31.403958843928788</v>
      </c>
      <c r="AK65" s="28">
        <f t="shared" ca="1" si="1"/>
        <v>-48.064791156071223</v>
      </c>
    </row>
    <row r="66" spans="1:37">
      <c r="A66" s="10">
        <f>IF(履歴データ!$A$66="","",履歴データ!$A$66)</f>
        <v>45021</v>
      </c>
      <c r="B66" s="28">
        <f>IF(履歴データ!$A$66="","",(履歴データ!$D$66-(履歴データ!$B$66+履歴データ!$F$66)/2)*100)</f>
        <v>-37.5</v>
      </c>
      <c r="C66" s="28">
        <f>IF(履歴データ!$A$66="","",(履歴データ!$H$66-(履歴データ!$G$66+履歴データ!$J$66)/2)*100)</f>
        <v>-20.05</v>
      </c>
      <c r="D66" s="28">
        <f>IF(履歴データ!$A$66="","",(履歴データ!$D$66-履歴データ!$H$66)*100)</f>
        <v>282.7</v>
      </c>
      <c r="E66" s="28">
        <f>IF(履歴データ!$A$66="","",(履歴データ!$D$66-履歴データ!$C$66)*100)</f>
        <v>-6.0000000000000053</v>
      </c>
      <c r="F66" s="28">
        <f>IF(履歴データ!$A$66="","",(履歴データ!$R$66-履歴データ!$D$66)*100)</f>
        <v>-127.71</v>
      </c>
      <c r="G66" s="28">
        <f>IF(履歴データ!$A$66="","",(履歴データ!$S$66-履歴データ!$R$66)*100)</f>
        <v>-177.68200000000007</v>
      </c>
      <c r="H66" s="29">
        <f>IF(履歴データ!$A$66="","",履歴データ!$O$66)</f>
        <v>130.93400573730469</v>
      </c>
      <c r="I66" s="29">
        <f>IF(履歴データ!$A$66="","",履歴データ!$Q$66)</f>
        <v>116.578125</v>
      </c>
      <c r="J66" s="29">
        <f>IF(履歴データ!$A$66="","",履歴データ!$D$66)</f>
        <v>3.3</v>
      </c>
      <c r="K66" s="28">
        <f>IF(OR(履歴データ!$A$66="",履歴データ!$A$65=""),"",B66-B65)</f>
        <v>-0.50000000000003553</v>
      </c>
      <c r="L66" s="28">
        <f>IF(OR(履歴データ!$A$66="",履歴データ!$A$65=""),"",C66-C65)</f>
        <v>-9.9999999999997868E-2</v>
      </c>
      <c r="M66" s="28">
        <f>IF(OR(履歴データ!$A$66="",履歴データ!$A$65=""),"",D66-D65)</f>
        <v>-4.5</v>
      </c>
      <c r="N66" s="28">
        <f>IF(OR(履歴データ!$A$66="",履歴データ!$A$65=""),"",E66-E65)</f>
        <v>-2.0000000000000018</v>
      </c>
      <c r="O66" s="28">
        <f>IF(OR(履歴データ!$A$66="",履歴データ!$A$65=""),"",F66-F65)</f>
        <v>10.710000000000022</v>
      </c>
      <c r="P66" s="28">
        <f>IF(OR(履歴データ!$A$66="",履歴データ!$A$65=""),"",G66-G65)</f>
        <v>-2.3773571777341829</v>
      </c>
      <c r="Q66" s="29">
        <f>IF(OR(履歴データ!$A$66="",履歴データ!$A$65=""),"",H66-H65)</f>
        <v>-0.550994873046875</v>
      </c>
      <c r="R66" s="29">
        <f>IF(OR(履歴データ!$A$66="",履歴データ!$A$65=""),"",I66-I65)</f>
        <v>0.328125</v>
      </c>
      <c r="S66" s="28">
        <f>IF(OR(履歴データ!$A$66="",履歴データ!$A$65=""),"",(J66-J65)*100)</f>
        <v>-5.0000000000000266</v>
      </c>
      <c r="T66" s="11">
        <f>IF(OR(履歴データ!$A$66="",履歴データ!$A$65=""),"",-80000*K66)</f>
        <v>40000.000000002845</v>
      </c>
      <c r="U66" s="11">
        <f>IF(OR(履歴データ!$A$66="",履歴データ!$A$65=""),"",60000*L66)</f>
        <v>-5999.9999999998718</v>
      </c>
      <c r="V66" s="11">
        <f>IF(OR(履歴データ!$A$66="",履歴データ!$A$65=""),"",-50000*M66)</f>
        <v>225000</v>
      </c>
      <c r="W66" s="11">
        <f>IF(OR(履歴データ!$A$66="",履歴データ!$A$65=""),"",-40000*N66)</f>
        <v>80000.000000000073</v>
      </c>
      <c r="X66" s="11">
        <f>IF(OR(履歴データ!$A$66="",履歴データ!$A$65=""),"",120*1000000*(-Q66/H65))</f>
        <v>502866.36847320781</v>
      </c>
      <c r="Y66" s="11">
        <f>IF(OR(履歴データ!$A$66="",履歴データ!$A$65=""),"",40000*(-S66)+(-506.3)*R66*1000)</f>
        <v>33870.312500001048</v>
      </c>
      <c r="Z66" s="11">
        <f>IF(OR(履歴データ!$A$66="",履歴データ!$A$65=""),"",-40000*O66)</f>
        <v>-428400.00000000087</v>
      </c>
      <c r="AA66" s="11">
        <f>IF(OR(履歴データ!$A$66="",履歴データ!$A$65=""),"",-40000*P66)</f>
        <v>95094.287109367317</v>
      </c>
      <c r="AB66" s="11">
        <f>IF(履歴データ!$A$66="","",123.3)</f>
        <v>123.3</v>
      </c>
      <c r="AC66">
        <f>IF(履歴データ!$A$66="","",SUM(T66:AA66))</f>
        <v>542430.96808257839</v>
      </c>
      <c r="AD66" s="29">
        <f>IF(履歴データ!$A$66="","",AC66/1000000)</f>
        <v>0.5424309680825784</v>
      </c>
      <c r="AE66" s="29">
        <f>IF(履歴データ!$A$66="",AE65,AE65+AC66/1000000)</f>
        <v>100.13559565510552</v>
      </c>
      <c r="AF66" s="12">
        <f>IF(OR(履歴データ!$A$66="",AE65=0),"",(AE66-AE65)/AE65)</f>
        <v>5.4464678352897393E-3</v>
      </c>
      <c r="AG66" s="29">
        <f t="shared" si="2"/>
        <v>102.17217746631495</v>
      </c>
      <c r="AH66" s="12">
        <f>IF(OR(履歴データ!$A$66="",AG66=0),"",AE66/AG66-1)</f>
        <v>-1.9932841422322323E-2</v>
      </c>
      <c r="AJ66" s="28">
        <f t="shared" ref="AJ66:AJ129" ca="1" si="3">IF(ROW()-1&lt;2,"",IFERROR(AVERAGE(OFFSET($B$1,MAX(1,ROW()-252),0,MIN(252,ROW()-1),1))+2*STDEV(OFFSET($B$1,MAX(1,ROW()-252),0,MIN(252,ROW()-1),1)),""))</f>
        <v>-31.41635647797434</v>
      </c>
      <c r="AK66" s="28">
        <f t="shared" ref="AK66:AK129" ca="1" si="4">IF(ROW()-1&lt;2,"",IFERROR(AVERAGE(OFFSET($B$1,MAX(1,ROW()-252),0,MIN(252,ROW()-1),1))-2*STDEV(OFFSET($B$1,MAX(1,ROW()-252),0,MIN(252,ROW()-1),1)),""))</f>
        <v>-47.98364352202568</v>
      </c>
    </row>
    <row r="67" spans="1:37">
      <c r="A67" s="10">
        <f>IF(履歴データ!$A$67="","",履歴データ!$A$67)</f>
        <v>45022</v>
      </c>
      <c r="B67" s="28">
        <f>IF(履歴データ!$A$67="","",(履歴データ!$D$67-(履歴データ!$B$67+履歴データ!$F$67)/2)*100)</f>
        <v>-37.999999999999986</v>
      </c>
      <c r="C67" s="28">
        <f>IF(履歴データ!$A$67="","",(履歴データ!$H$67-(履歴データ!$G$67+履歴データ!$J$67)/2)*100)</f>
        <v>-17.95000000000001</v>
      </c>
      <c r="D67" s="28">
        <f>IF(履歴データ!$A$67="","",(履歴データ!$D$67-履歴データ!$H$67)*100)</f>
        <v>282.8</v>
      </c>
      <c r="E67" s="28">
        <f>IF(履歴データ!$A$67="","",(履歴データ!$D$67-履歴データ!$C$67)*100)</f>
        <v>-7.0000000000000284</v>
      </c>
      <c r="F67" s="28">
        <f>IF(履歴データ!$A$67="","",(履歴データ!$R$67-履歴データ!$D$67)*100)</f>
        <v>-136.97</v>
      </c>
      <c r="G67" s="28">
        <f>IF(履歴データ!$A$67="","",(履歴データ!$S$67-履歴データ!$R$67)*100)</f>
        <v>-165.7910000000002</v>
      </c>
      <c r="H67" s="29">
        <f>IF(履歴データ!$A$67="","",履歴データ!$O$67)</f>
        <v>131.66900634765625</v>
      </c>
      <c r="I67" s="29">
        <f>IF(履歴データ!$A$67="","",履歴データ!$Q$67)</f>
        <v>116.546875</v>
      </c>
      <c r="J67" s="29">
        <f>IF(履歴データ!$A$67="","",履歴データ!$D$67)</f>
        <v>3.3</v>
      </c>
      <c r="K67" s="28">
        <f>IF(OR(履歴データ!$A$67="",履歴データ!$A$66=""),"",B67-B66)</f>
        <v>-0.49999999999998579</v>
      </c>
      <c r="L67" s="28">
        <f>IF(OR(履歴データ!$A$67="",履歴データ!$A$66=""),"",C67-C66)</f>
        <v>2.0999999999999908</v>
      </c>
      <c r="M67" s="28">
        <f>IF(OR(履歴データ!$A$67="",履歴データ!$A$66=""),"",D67-D66)</f>
        <v>0.10000000000002274</v>
      </c>
      <c r="N67" s="28">
        <f>IF(OR(履歴データ!$A$67="",履歴データ!$A$66=""),"",E67-E66)</f>
        <v>-1.0000000000000231</v>
      </c>
      <c r="O67" s="28">
        <f>IF(OR(履歴データ!$A$67="",履歴データ!$A$66=""),"",F67-F66)</f>
        <v>-9.2600000000000051</v>
      </c>
      <c r="P67" s="28">
        <f>IF(OR(履歴データ!$A$67="",履歴データ!$A$66=""),"",G67-G66)</f>
        <v>11.890999999999877</v>
      </c>
      <c r="Q67" s="29">
        <f>IF(OR(履歴データ!$A$67="",履歴データ!$A$66=""),"",H67-H66)</f>
        <v>0.7350006103515625</v>
      </c>
      <c r="R67" s="29">
        <f>IF(OR(履歴データ!$A$67="",履歴データ!$A$66=""),"",I67-I66)</f>
        <v>-3.125E-2</v>
      </c>
      <c r="S67" s="28">
        <f>IF(OR(履歴データ!$A$67="",履歴データ!$A$66=""),"",(J67-J66)*100)</f>
        <v>0</v>
      </c>
      <c r="T67" s="11">
        <f>IF(OR(履歴データ!$A$67="",履歴データ!$A$66=""),"",-80000*K67)</f>
        <v>39999.999999998865</v>
      </c>
      <c r="U67" s="11">
        <f>IF(OR(履歴データ!$A$67="",履歴データ!$A$66=""),"",60000*L67)</f>
        <v>125999.99999999945</v>
      </c>
      <c r="V67" s="11">
        <f>IF(OR(履歴データ!$A$67="",履歴データ!$A$66=""),"",-50000*M67)</f>
        <v>-5000.0000000011369</v>
      </c>
      <c r="W67" s="11">
        <f>IF(OR(履歴データ!$A$67="",履歴データ!$A$66=""),"",-40000*N67)</f>
        <v>40000.000000000924</v>
      </c>
      <c r="X67" s="11">
        <f>IF(OR(履歴データ!$A$67="",履歴データ!$A$66=""),"",120*1000000*(-Q67/H66))</f>
        <v>-673622.35460163758</v>
      </c>
      <c r="Y67" s="11">
        <f>IF(OR(履歴データ!$A$67="",履歴データ!$A$66=""),"",40000*(-S67)+(-506.3)*R67*1000)</f>
        <v>15821.875</v>
      </c>
      <c r="Z67" s="11">
        <f>IF(OR(履歴データ!$A$67="",履歴データ!$A$66=""),"",-40000*O67)</f>
        <v>370400.00000000023</v>
      </c>
      <c r="AA67" s="11">
        <f>IF(OR(履歴データ!$A$67="",履歴データ!$A$66=""),"",-40000*P67)</f>
        <v>-475639.99999999511</v>
      </c>
      <c r="AB67" s="11">
        <f>IF(履歴データ!$A$67="","",123.3)</f>
        <v>123.3</v>
      </c>
      <c r="AC67">
        <f>IF(履歴データ!$A$67="","",SUM(T67:AA67))</f>
        <v>-562040.47960163432</v>
      </c>
      <c r="AD67" s="29">
        <f>IF(履歴データ!$A$67="","",AC67/1000000)</f>
        <v>-0.56204047960163428</v>
      </c>
      <c r="AE67" s="29">
        <f>IF(履歴データ!$A$67="",AE66,AE66+AC67/1000000)</f>
        <v>99.573555175503884</v>
      </c>
      <c r="AF67" s="12">
        <f>IF(OR(履歴データ!$A$67="",AE66=0),"",(AE67-AE66)/AE66)</f>
        <v>-5.612794091098796E-3</v>
      </c>
      <c r="AG67" s="29">
        <f t="shared" ref="AG67:AG130" si="5">MAX(AG66,AE67)</f>
        <v>102.17217746631495</v>
      </c>
      <c r="AH67" s="12">
        <f>IF(OR(履歴データ!$A$67="",AG67=0),"",AE67/AG67-1)</f>
        <v>-2.543375657886715E-2</v>
      </c>
      <c r="AJ67" s="28">
        <f t="shared" ca="1" si="3"/>
        <v>-31.443918710181915</v>
      </c>
      <c r="AK67" s="28">
        <f t="shared" ca="1" si="4"/>
        <v>-47.90456613830294</v>
      </c>
    </row>
    <row r="68" spans="1:37">
      <c r="A68" s="10">
        <f>IF(履歴データ!$A$68="","",履歴データ!$A$68)</f>
        <v>45023</v>
      </c>
      <c r="B68" s="28">
        <f>IF(履歴データ!$A$68="","",(履歴データ!$D$68-(履歴データ!$B$68+履歴データ!$F$68)/2)*100)</f>
        <v>-39.999999999999993</v>
      </c>
      <c r="C68" s="28">
        <f>IF(履歴データ!$A$68="","",(履歴データ!$H$68-(履歴データ!$G$68+履歴データ!$J$68)/2)*100)</f>
        <v>-16.7</v>
      </c>
      <c r="D68" s="28">
        <f>IF(履歴データ!$A$68="","",(履歴データ!$D$68-履歴データ!$H$68)*100)</f>
        <v>292.8</v>
      </c>
      <c r="E68" s="28">
        <f>IF(履歴データ!$A$68="","",(履歴データ!$D$68-履歴データ!$C$68)*100)</f>
        <v>-10.000000000000009</v>
      </c>
      <c r="F68" s="28">
        <f>IF(履歴データ!$A$68="","",(履歴データ!$R$68-履歴データ!$D$68)*100)</f>
        <v>-149.13</v>
      </c>
      <c r="G68" s="28">
        <f>IF(履歴データ!$A$68="","",(履歴データ!$S$68-履歴データ!$R$68)*100)</f>
        <v>-164.38500000000025</v>
      </c>
      <c r="H68" s="29">
        <f>IF(履歴データ!$A$68="","",履歴データ!$O$68)</f>
        <v>131.66900634765625</v>
      </c>
      <c r="I68" s="29">
        <f>IF(履歴データ!$A$68="","",履歴データ!$Q$68)</f>
        <v>116.546875</v>
      </c>
      <c r="J68" s="29">
        <f>IF(履歴データ!$A$68="","",履歴データ!$D$68)</f>
        <v>3.39</v>
      </c>
      <c r="K68" s="28">
        <f>IF(OR(履歴データ!$A$68="",履歴データ!$A$67=""),"",B68-B67)</f>
        <v>-2.0000000000000071</v>
      </c>
      <c r="L68" s="28">
        <f>IF(OR(履歴データ!$A$68="",履歴データ!$A$67=""),"",C68-C67)</f>
        <v>1.2500000000000107</v>
      </c>
      <c r="M68" s="28">
        <f>IF(OR(履歴データ!$A$68="",履歴データ!$A$67=""),"",D68-D67)</f>
        <v>10</v>
      </c>
      <c r="N68" s="28">
        <f>IF(OR(履歴データ!$A$68="",履歴データ!$A$67=""),"",E68-E67)</f>
        <v>-2.9999999999999805</v>
      </c>
      <c r="O68" s="28">
        <f>IF(OR(履歴データ!$A$68="",履歴データ!$A$67=""),"",F68-F67)</f>
        <v>-12.159999999999997</v>
      </c>
      <c r="P68" s="28">
        <f>IF(OR(履歴データ!$A$68="",履歴データ!$A$67=""),"",G68-G67)</f>
        <v>1.4059999999999491</v>
      </c>
      <c r="Q68" s="29">
        <f>IF(OR(履歴データ!$A$68="",履歴データ!$A$67=""),"",H68-H67)</f>
        <v>0</v>
      </c>
      <c r="R68" s="29">
        <f>IF(OR(履歴データ!$A$68="",履歴データ!$A$67=""),"",I68-I67)</f>
        <v>0</v>
      </c>
      <c r="S68" s="28">
        <f>IF(OR(履歴データ!$A$68="",履歴データ!$A$67=""),"",(J68-J67)*100)</f>
        <v>9.0000000000000302</v>
      </c>
      <c r="T68" s="11">
        <f>IF(OR(履歴データ!$A$68="",履歴データ!$A$67=""),"",-80000*K68)</f>
        <v>160000.00000000058</v>
      </c>
      <c r="U68" s="11">
        <f>IF(OR(履歴データ!$A$68="",履歴データ!$A$67=""),"",60000*L68)</f>
        <v>75000.00000000064</v>
      </c>
      <c r="V68" s="11">
        <f>IF(OR(履歴データ!$A$68="",履歴データ!$A$67=""),"",-50000*M68)</f>
        <v>-500000</v>
      </c>
      <c r="W68" s="11">
        <f>IF(OR(履歴データ!$A$68="",履歴データ!$A$67=""),"",-40000*N68)</f>
        <v>119999.99999999921</v>
      </c>
      <c r="X68" s="11">
        <f>IF(OR(履歴データ!$A$68="",履歴データ!$A$67=""),"",120*1000000*(-Q68/H67))</f>
        <v>0</v>
      </c>
      <c r="Y68" s="11">
        <f>IF(OR(履歴データ!$A$68="",履歴データ!$A$67=""),"",40000*(-S68)+(-506.3)*R68*1000)</f>
        <v>-360000.00000000122</v>
      </c>
      <c r="Z68" s="11">
        <f>IF(OR(履歴データ!$A$68="",履歴データ!$A$67=""),"",-40000*O68)</f>
        <v>486399.99999999988</v>
      </c>
      <c r="AA68" s="11">
        <f>IF(OR(履歴データ!$A$68="",履歴データ!$A$67=""),"",-40000*P68)</f>
        <v>-56239.999999997963</v>
      </c>
      <c r="AB68" s="11">
        <f>IF(履歴データ!$A$68="","",123.3)</f>
        <v>123.3</v>
      </c>
      <c r="AC68">
        <f>IF(履歴データ!$A$68="","",SUM(T68:AA68))</f>
        <v>-74839.999999998894</v>
      </c>
      <c r="AD68" s="29">
        <f>IF(履歴データ!$A$68="","",AC68/1000000)</f>
        <v>-7.4839999999998894E-2</v>
      </c>
      <c r="AE68" s="29">
        <f>IF(履歴データ!$A$68="",AE67,AE67+AC68/1000000)</f>
        <v>99.498715175503889</v>
      </c>
      <c r="AF68" s="12">
        <f>IF(OR(履歴データ!$A$68="",AE67=0),"",(AE68-AE67)/AE67)</f>
        <v>-7.5160518139665759E-4</v>
      </c>
      <c r="AG68" s="29">
        <f t="shared" si="5"/>
        <v>102.17217746631495</v>
      </c>
      <c r="AH68" s="12">
        <f>IF(OR(履歴データ!$A$68="",AG68=0),"",AE68/AG68-1)</f>
        <v>-2.6166245617036732E-2</v>
      </c>
      <c r="AJ68" s="28">
        <f t="shared" ca="1" si="3"/>
        <v>-31.510981863046023</v>
      </c>
      <c r="AK68" s="28">
        <f t="shared" ca="1" si="4"/>
        <v>-47.847227092177874</v>
      </c>
    </row>
    <row r="69" spans="1:37">
      <c r="A69" s="10">
        <f>IF(履歴データ!$A$69="","",履歴データ!$A$69)</f>
        <v>45026</v>
      </c>
      <c r="B69" s="28">
        <f>IF(履歴データ!$A$69="","",(履歴データ!$D$69-(履歴データ!$B$69+履歴データ!$F$69)/2)*100)</f>
        <v>-39.999999999999993</v>
      </c>
      <c r="C69" s="28">
        <f>IF(履歴データ!$A$69="","",(履歴データ!$H$69-(履歴データ!$G$69+履歴データ!$J$69)/2)*100)</f>
        <v>-17.650000000000006</v>
      </c>
      <c r="D69" s="28">
        <f>IF(履歴データ!$A$69="","",(履歴データ!$D$69-履歴データ!$H$69)*100)</f>
        <v>294.20000000000005</v>
      </c>
      <c r="E69" s="28">
        <f>IF(履歴データ!$A$69="","",(履歴データ!$D$69-履歴データ!$C$69)*100)</f>
        <v>-10.999999999999988</v>
      </c>
      <c r="F69" s="28">
        <f>IF(履歴データ!$A$69="","",(履歴データ!$R$69-履歴データ!$D$69)*100)</f>
        <v>-151.13</v>
      </c>
      <c r="G69" s="28">
        <f>IF(履歴データ!$A$69="","",(履歴データ!$S$69-履歴データ!$R$69)*100)</f>
        <v>-164.20964282226564</v>
      </c>
      <c r="H69" s="29">
        <f>IF(履歴データ!$A$69="","",履歴データ!$O$69)</f>
        <v>133.468994140625</v>
      </c>
      <c r="I69" s="29">
        <f>IF(履歴データ!$A$69="","",履歴データ!$Q$69)</f>
        <v>115.515625</v>
      </c>
      <c r="J69" s="29">
        <f>IF(履歴データ!$A$69="","",履歴データ!$D$69)</f>
        <v>3.41</v>
      </c>
      <c r="K69" s="28">
        <f>IF(OR(履歴データ!$A$69="",履歴データ!$A$68=""),"",B69-B68)</f>
        <v>0</v>
      </c>
      <c r="L69" s="28">
        <f>IF(OR(履歴データ!$A$69="",履歴データ!$A$68=""),"",C69-C68)</f>
        <v>-0.95000000000000639</v>
      </c>
      <c r="M69" s="28">
        <f>IF(OR(履歴データ!$A$69="",履歴データ!$A$68=""),"",D69-D68)</f>
        <v>1.4000000000000341</v>
      </c>
      <c r="N69" s="28">
        <f>IF(OR(履歴データ!$A$69="",履歴データ!$A$68=""),"",E69-E68)</f>
        <v>-0.99999999999997868</v>
      </c>
      <c r="O69" s="28">
        <f>IF(OR(履歴データ!$A$69="",履歴データ!$A$68=""),"",F69-F68)</f>
        <v>-2</v>
      </c>
      <c r="P69" s="28">
        <f>IF(OR(履歴データ!$A$69="",履歴データ!$A$68=""),"",G69-G68)</f>
        <v>0.17535717773461101</v>
      </c>
      <c r="Q69" s="29">
        <f>IF(OR(履歴データ!$A$69="",履歴データ!$A$68=""),"",H69-H68)</f>
        <v>1.79998779296875</v>
      </c>
      <c r="R69" s="29">
        <f>IF(OR(履歴データ!$A$69="",履歴データ!$A$68=""),"",I69-I68)</f>
        <v>-1.03125</v>
      </c>
      <c r="S69" s="28">
        <f>IF(OR(履歴データ!$A$69="",履歴データ!$A$68=""),"",(J69-J68)*100)</f>
        <v>2.0000000000000018</v>
      </c>
      <c r="T69" s="11">
        <f>IF(OR(履歴データ!$A$69="",履歴データ!$A$68=""),"",-80000*K69)</f>
        <v>0</v>
      </c>
      <c r="U69" s="11">
        <f>IF(OR(履歴データ!$A$69="",履歴データ!$A$68=""),"",60000*L69)</f>
        <v>-57000.000000000386</v>
      </c>
      <c r="V69" s="11">
        <f>IF(OR(履歴データ!$A$69="",履歴データ!$A$68=""),"",-50000*M69)</f>
        <v>-70000.000000001703</v>
      </c>
      <c r="W69" s="11">
        <f>IF(OR(履歴データ!$A$69="",履歴データ!$A$68=""),"",-40000*N69)</f>
        <v>39999.999999999149</v>
      </c>
      <c r="X69" s="11">
        <f>IF(OR(履歴データ!$A$69="",履歴データ!$A$68=""),"",120*1000000*(-Q69/H68))</f>
        <v>-1640466.0530811003</v>
      </c>
      <c r="Y69" s="11">
        <f>IF(OR(履歴データ!$A$69="",履歴データ!$A$68=""),"",40000*(-S69)+(-506.3)*R69*1000)</f>
        <v>442121.875</v>
      </c>
      <c r="Z69" s="11">
        <f>IF(OR(履歴データ!$A$69="",履歴データ!$A$68=""),"",-40000*O69)</f>
        <v>80000</v>
      </c>
      <c r="AA69" s="11">
        <f>IF(OR(履歴データ!$A$69="",履歴データ!$A$68=""),"",-40000*P69)</f>
        <v>-7014.2871093844406</v>
      </c>
      <c r="AB69" s="11">
        <f>IF(履歴データ!$A$69="","",123.3)</f>
        <v>123.3</v>
      </c>
      <c r="AC69">
        <f>IF(履歴データ!$A$69="","",SUM(T69:AA69))</f>
        <v>-1212358.4651904879</v>
      </c>
      <c r="AD69" s="29">
        <f>IF(履歴データ!$A$69="","",AC69/1000000)</f>
        <v>-1.212358465190488</v>
      </c>
      <c r="AE69" s="29">
        <f>IF(履歴データ!$A$69="",AE68,AE68+AC69/1000000)</f>
        <v>98.286356710313399</v>
      </c>
      <c r="AF69" s="12">
        <f>IF(OR(履歴データ!$A$69="",AE68=0),"",(AE69-AE68)/AE68)</f>
        <v>-1.2184664526089956E-2</v>
      </c>
      <c r="AG69" s="29">
        <f t="shared" si="5"/>
        <v>102.17217746631495</v>
      </c>
      <c r="AH69" s="12">
        <f>IF(OR(履歴データ!$A$69="",AG69=0),"",AE69/AG69-1)</f>
        <v>-3.8032083218375812E-2</v>
      </c>
      <c r="AJ69" s="28">
        <f t="shared" ca="1" si="3"/>
        <v>-31.57651263717246</v>
      </c>
      <c r="AK69" s="28">
        <f t="shared" ca="1" si="4"/>
        <v>-47.79113442165108</v>
      </c>
    </row>
    <row r="70" spans="1:37">
      <c r="A70" s="10">
        <f>IF(履歴データ!$A$70="","",履歴データ!$A$70)</f>
        <v>45027</v>
      </c>
      <c r="B70" s="28">
        <f>IF(履歴データ!$A$70="","",(履歴データ!$D$70-(履歴データ!$B$70+履歴データ!$F$70)/2)*100)</f>
        <v>-39.5</v>
      </c>
      <c r="C70" s="28">
        <f>IF(履歴データ!$A$70="","",(履歴データ!$H$70-(履歴データ!$G$70+履歴データ!$J$70)/2)*100)</f>
        <v>-18.549999999999994</v>
      </c>
      <c r="D70" s="28">
        <f>IF(履歴データ!$A$70="","",(履歴データ!$D$70-履歴データ!$H$70)*100)</f>
        <v>297.10000000000002</v>
      </c>
      <c r="E70" s="28">
        <f>IF(履歴データ!$A$70="","",(履歴データ!$D$70-履歴データ!$C$70)*100)</f>
        <v>-10.999999999999988</v>
      </c>
      <c r="F70" s="28">
        <f>IF(履歴データ!$A$70="","",(履歴データ!$R$70-履歴データ!$D$70)*100)</f>
        <v>-153.13000000000002</v>
      </c>
      <c r="G70" s="28">
        <f>IF(履歴データ!$A$70="","",(履歴データ!$S$70-履歴データ!$R$70)*100)</f>
        <v>-165.08664282226582</v>
      </c>
      <c r="H70" s="29">
        <f>IF(履歴データ!$A$70="","",履歴データ!$O$70)</f>
        <v>133.593994140625</v>
      </c>
      <c r="I70" s="29">
        <f>IF(履歴データ!$A$70="","",履歴データ!$Q$70)</f>
        <v>115.375</v>
      </c>
      <c r="J70" s="29">
        <f>IF(履歴データ!$A$70="","",履歴データ!$D$70)</f>
        <v>3.43</v>
      </c>
      <c r="K70" s="28">
        <f>IF(OR(履歴データ!$A$70="",履歴データ!$A$69=""),"",B70-B69)</f>
        <v>0.49999999999999289</v>
      </c>
      <c r="L70" s="28">
        <f>IF(OR(履歴データ!$A$70="",履歴データ!$A$69=""),"",C70-C69)</f>
        <v>-0.89999999999998792</v>
      </c>
      <c r="M70" s="28">
        <f>IF(OR(履歴データ!$A$70="",履歴データ!$A$69=""),"",D70-D69)</f>
        <v>2.8999999999999773</v>
      </c>
      <c r="N70" s="28">
        <f>IF(OR(履歴データ!$A$70="",履歴データ!$A$69=""),"",E70-E69)</f>
        <v>0</v>
      </c>
      <c r="O70" s="28">
        <f>IF(OR(履歴データ!$A$70="",履歴データ!$A$69=""),"",F70-F69)</f>
        <v>-2.0000000000000284</v>
      </c>
      <c r="P70" s="28">
        <f>IF(OR(履歴データ!$A$70="",履歴データ!$A$69=""),"",G70-G69)</f>
        <v>-0.87700000000018008</v>
      </c>
      <c r="Q70" s="29">
        <f>IF(OR(履歴データ!$A$70="",履歴データ!$A$69=""),"",H70-H69)</f>
        <v>0.125</v>
      </c>
      <c r="R70" s="29">
        <f>IF(OR(履歴データ!$A$70="",履歴データ!$A$69=""),"",I70-I69)</f>
        <v>-0.140625</v>
      </c>
      <c r="S70" s="28">
        <f>IF(OR(履歴データ!$A$70="",履歴データ!$A$69=""),"",(J70-J69)*100)</f>
        <v>2.0000000000000018</v>
      </c>
      <c r="T70" s="11">
        <f>IF(OR(履歴データ!$A$70="",履歴データ!$A$69=""),"",-80000*K70)</f>
        <v>-39999.999999999432</v>
      </c>
      <c r="U70" s="11">
        <f>IF(OR(履歴データ!$A$70="",履歴データ!$A$69=""),"",60000*L70)</f>
        <v>-53999.999999999272</v>
      </c>
      <c r="V70" s="11">
        <f>IF(OR(履歴データ!$A$70="",履歴データ!$A$69=""),"",-50000*M70)</f>
        <v>-144999.99999999886</v>
      </c>
      <c r="W70" s="11">
        <f>IF(OR(履歴データ!$A$70="",履歴データ!$A$69=""),"",-40000*N70)</f>
        <v>0</v>
      </c>
      <c r="X70" s="11">
        <f>IF(OR(履歴データ!$A$70="",履歴データ!$A$69=""),"",120*1000000*(-Q70/H69))</f>
        <v>-112385.65253736585</v>
      </c>
      <c r="Y70" s="11">
        <f>IF(OR(履歴データ!$A$70="",履歴データ!$A$69=""),"",40000*(-S70)+(-506.3)*R70*1000)</f>
        <v>-8801.5625000000728</v>
      </c>
      <c r="Z70" s="11">
        <f>IF(OR(履歴データ!$A$70="",履歴データ!$A$69=""),"",-40000*O70)</f>
        <v>80000.000000001135</v>
      </c>
      <c r="AA70" s="11">
        <f>IF(OR(履歴データ!$A$70="",履歴データ!$A$69=""),"",-40000*P70)</f>
        <v>35080.000000007203</v>
      </c>
      <c r="AB70" s="11">
        <f>IF(履歴データ!$A$70="","",123.3)</f>
        <v>123.3</v>
      </c>
      <c r="AC70">
        <f>IF(履歴データ!$A$70="","",SUM(T70:AA70))</f>
        <v>-245107.21503735508</v>
      </c>
      <c r="AD70" s="29">
        <f>IF(履歴データ!$A$70="","",AC70/1000000)</f>
        <v>-0.24510721503735508</v>
      </c>
      <c r="AE70" s="29">
        <f>IF(履歴データ!$A$70="",AE69,AE69+AC70/1000000)</f>
        <v>98.041249495276048</v>
      </c>
      <c r="AF70" s="12">
        <f>IF(OR(履歴データ!$A$70="",AE69=0),"",(AE70-AE69)/AE69)</f>
        <v>-2.4938071085468462E-3</v>
      </c>
      <c r="AG70" s="29">
        <f t="shared" si="5"/>
        <v>102.17217746631495</v>
      </c>
      <c r="AH70" s="12">
        <f>IF(OR(履歴データ!$A$70="",AG70=0),"",AE70/AG70-1)</f>
        <v>-4.0431045647439823E-2</v>
      </c>
      <c r="AJ70" s="28">
        <f t="shared" ca="1" si="3"/>
        <v>-31.633560190244133</v>
      </c>
      <c r="AK70" s="28">
        <f t="shared" ca="1" si="4"/>
        <v>-47.728758650335585</v>
      </c>
    </row>
    <row r="71" spans="1:37">
      <c r="A71" s="10">
        <f>IF(履歴データ!$A$71="","",履歴データ!$A$71)</f>
        <v>45028</v>
      </c>
      <c r="B71" s="28">
        <f>IF(履歴データ!$A$71="","",(履歴データ!$D$71-(履歴データ!$B$71+履歴データ!$F$71)/2)*100)</f>
        <v>-38.499999999999979</v>
      </c>
      <c r="C71" s="28">
        <f>IF(履歴データ!$A$71="","",(履歴データ!$H$71-(履歴データ!$G$71+履歴データ!$J$71)/2)*100)</f>
        <v>-17.400000000000006</v>
      </c>
      <c r="D71" s="28">
        <f>IF(履歴データ!$A$71="","",(履歴データ!$D$71-履歴データ!$H$71)*100)</f>
        <v>294.10000000000002</v>
      </c>
      <c r="E71" s="28">
        <f>IF(履歴データ!$A$71="","",(履歴データ!$D$71-履歴データ!$C$71)*100)</f>
        <v>-4.9999999999999822</v>
      </c>
      <c r="F71" s="28">
        <f>IF(履歴データ!$A$71="","",(履歴データ!$R$71-履歴データ!$D$71)*100)</f>
        <v>-136.72</v>
      </c>
      <c r="G71" s="28">
        <f>IF(履歴データ!$A$71="","",(履歴データ!$S$71-履歴データ!$R$71)*100)</f>
        <v>-178.97035717773454</v>
      </c>
      <c r="H71" s="29">
        <f>IF(履歴データ!$A$71="","",履歴データ!$O$71)</f>
        <v>133.08500671386719</v>
      </c>
      <c r="I71" s="29">
        <f>IF(履歴データ!$A$71="","",履歴データ!$Q$71)</f>
        <v>115.703125</v>
      </c>
      <c r="J71" s="29">
        <f>IF(履歴データ!$A$71="","",履歴データ!$D$71)</f>
        <v>3.41</v>
      </c>
      <c r="K71" s="28">
        <f>IF(OR(履歴データ!$A$71="",履歴データ!$A$70=""),"",B71-B70)</f>
        <v>1.0000000000000213</v>
      </c>
      <c r="L71" s="28">
        <f>IF(OR(履歴データ!$A$71="",履歴データ!$A$70=""),"",C71-C70)</f>
        <v>1.1499999999999879</v>
      </c>
      <c r="M71" s="28">
        <f>IF(OR(履歴データ!$A$71="",履歴データ!$A$70=""),"",D71-D70)</f>
        <v>-3</v>
      </c>
      <c r="N71" s="28">
        <f>IF(OR(履歴データ!$A$71="",履歴データ!$A$70=""),"",E71-E70)</f>
        <v>6.0000000000000053</v>
      </c>
      <c r="O71" s="28">
        <f>IF(OR(履歴データ!$A$71="",履歴データ!$A$70=""),"",F71-F70)</f>
        <v>16.410000000000025</v>
      </c>
      <c r="P71" s="28">
        <f>IF(OR(履歴データ!$A$71="",履歴データ!$A$70=""),"",G71-G70)</f>
        <v>-13.883714355468726</v>
      </c>
      <c r="Q71" s="29">
        <f>IF(OR(履歴データ!$A$71="",履歴データ!$A$70=""),"",H71-H70)</f>
        <v>-0.5089874267578125</v>
      </c>
      <c r="R71" s="29">
        <f>IF(OR(履歴データ!$A$71="",履歴データ!$A$70=""),"",I71-I70)</f>
        <v>0.328125</v>
      </c>
      <c r="S71" s="28">
        <f>IF(OR(履歴データ!$A$71="",履歴データ!$A$70=""),"",(J71-J70)*100)</f>
        <v>-2.0000000000000018</v>
      </c>
      <c r="T71" s="11">
        <f>IF(OR(履歴データ!$A$71="",履歴データ!$A$70=""),"",-80000*K71)</f>
        <v>-80000.000000001703</v>
      </c>
      <c r="U71" s="11">
        <f>IF(OR(履歴データ!$A$71="",履歴データ!$A$70=""),"",60000*L71)</f>
        <v>68999.999999999272</v>
      </c>
      <c r="V71" s="11">
        <f>IF(OR(履歴データ!$A$71="",履歴データ!$A$70=""),"",-50000*M71)</f>
        <v>150000</v>
      </c>
      <c r="W71" s="11">
        <f>IF(OR(履歴データ!$A$71="",履歴データ!$A$70=""),"",-40000*N71)</f>
        <v>-240000.0000000002</v>
      </c>
      <c r="X71" s="11">
        <f>IF(OR(履歴データ!$A$71="",履歴データ!$A$70=""),"",120*1000000*(-Q71/H70))</f>
        <v>457194.88816723652</v>
      </c>
      <c r="Y71" s="11">
        <f>IF(OR(履歴データ!$A$71="",履歴データ!$A$70=""),"",40000*(-S71)+(-506.3)*R71*1000)</f>
        <v>-86129.687499999956</v>
      </c>
      <c r="Z71" s="11">
        <f>IF(OR(履歴データ!$A$71="",履歴データ!$A$70=""),"",-40000*O71)</f>
        <v>-656400.00000000105</v>
      </c>
      <c r="AA71" s="11">
        <f>IF(OR(履歴データ!$A$71="",履歴データ!$A$70=""),"",-40000*P71)</f>
        <v>555348.57421874907</v>
      </c>
      <c r="AB71" s="11">
        <f>IF(履歴データ!$A$71="","",123.3)</f>
        <v>123.3</v>
      </c>
      <c r="AC71">
        <f>IF(履歴データ!$A$71="","",SUM(T71:AA71))</f>
        <v>169013.77488598198</v>
      </c>
      <c r="AD71" s="29">
        <f>IF(履歴データ!$A$71="","",AC71/1000000)</f>
        <v>0.16901377488598199</v>
      </c>
      <c r="AE71" s="29">
        <f>IF(履歴データ!$A$71="",AE70,AE70+AC71/1000000)</f>
        <v>98.210263270162031</v>
      </c>
      <c r="AF71" s="12">
        <f>IF(OR(履歴データ!$A$71="",AE70=0),"",(AE71-AE70)/AE70)</f>
        <v>1.7239047416886114E-3</v>
      </c>
      <c r="AG71" s="29">
        <f t="shared" si="5"/>
        <v>102.17217746631495</v>
      </c>
      <c r="AH71" s="12">
        <f>IF(OR(履歴データ!$A$71="",AG71=0),"",AE71/AG71-1)</f>
        <v>-3.8776840177054295E-2</v>
      </c>
      <c r="AJ71" s="28">
        <f t="shared" ca="1" si="3"/>
        <v>-31.670227361727918</v>
      </c>
      <c r="AK71" s="28">
        <f t="shared" ca="1" si="4"/>
        <v>-47.658344066843519</v>
      </c>
    </row>
    <row r="72" spans="1:37">
      <c r="A72" s="10">
        <f>IF(履歴データ!$A$72="","",履歴データ!$A$72)</f>
        <v>45029</v>
      </c>
      <c r="B72" s="28">
        <f>IF(履歴データ!$A$72="","",(履歴データ!$D$72-(履歴データ!$B$72+履歴データ!$F$72)/2)*100)</f>
        <v>-37.5</v>
      </c>
      <c r="C72" s="28">
        <f>IF(履歴データ!$A$72="","",(履歴データ!$H$72-(履歴データ!$G$72+履歴データ!$J$72)/2)*100)</f>
        <v>-16.249999999999993</v>
      </c>
      <c r="D72" s="28">
        <f>IF(履歴データ!$A$72="","",(履歴データ!$D$72-履歴データ!$H$72)*100)</f>
        <v>298.50000000000006</v>
      </c>
      <c r="E72" s="28">
        <f>IF(履歴データ!$A$72="","",(履歴データ!$D$72-履歴データ!$C$72)*100)</f>
        <v>-5.9999999999999609</v>
      </c>
      <c r="F72" s="28">
        <f>IF(履歴データ!$A$72="","",(履歴データ!$R$72-履歴データ!$D$72)*100)</f>
        <v>-137.78</v>
      </c>
      <c r="G72" s="28">
        <f>IF(履歴データ!$A$72="","",(履歴データ!$S$72-履歴データ!$R$72)*100)</f>
        <v>-185.41835717773458</v>
      </c>
      <c r="H72" s="29">
        <f>IF(履歴データ!$A$72="","",履歴データ!$O$72)</f>
        <v>132.48699951171875</v>
      </c>
      <c r="I72" s="29">
        <f>IF(履歴データ!$A$72="","",履歴データ!$Q$72)</f>
        <v>115.453125</v>
      </c>
      <c r="J72" s="29">
        <f>IF(履歴データ!$A$72="","",履歴データ!$D$72)</f>
        <v>3.45</v>
      </c>
      <c r="K72" s="28">
        <f>IF(OR(履歴データ!$A$72="",履歴データ!$A$71=""),"",B72-B71)</f>
        <v>0.99999999999997868</v>
      </c>
      <c r="L72" s="28">
        <f>IF(OR(履歴データ!$A$72="",履歴データ!$A$71=""),"",C72-C71)</f>
        <v>1.1500000000000128</v>
      </c>
      <c r="M72" s="28">
        <f>IF(OR(履歴データ!$A$72="",履歴データ!$A$71=""),"",D72-D71)</f>
        <v>4.4000000000000341</v>
      </c>
      <c r="N72" s="28">
        <f>IF(OR(履歴データ!$A$72="",履歴データ!$A$71=""),"",E72-E71)</f>
        <v>-0.99999999999997868</v>
      </c>
      <c r="O72" s="28">
        <f>IF(OR(履歴データ!$A$72="",履歴データ!$A$71=""),"",F72-F71)</f>
        <v>-1.0600000000000023</v>
      </c>
      <c r="P72" s="28">
        <f>IF(OR(履歴データ!$A$72="",履歴データ!$A$71=""),"",G72-G71)</f>
        <v>-6.4480000000000359</v>
      </c>
      <c r="Q72" s="29">
        <f>IF(OR(履歴データ!$A$72="",履歴データ!$A$71=""),"",H72-H71)</f>
        <v>-0.5980072021484375</v>
      </c>
      <c r="R72" s="29">
        <f>IF(OR(履歴データ!$A$72="",履歴データ!$A$71=""),"",I72-I71)</f>
        <v>-0.25</v>
      </c>
      <c r="S72" s="28">
        <f>IF(OR(履歴データ!$A$72="",履歴データ!$A$71=""),"",(J72-J71)*100)</f>
        <v>4.0000000000000036</v>
      </c>
      <c r="T72" s="11">
        <f>IF(OR(履歴データ!$A$72="",履歴データ!$A$71=""),"",-80000*K72)</f>
        <v>-79999.999999998297</v>
      </c>
      <c r="U72" s="11">
        <f>IF(OR(履歴データ!$A$72="",履歴データ!$A$71=""),"",60000*L72)</f>
        <v>69000.000000000771</v>
      </c>
      <c r="V72" s="11">
        <f>IF(OR(履歴データ!$A$72="",履歴データ!$A$71=""),"",-50000*M72)</f>
        <v>-220000.00000000172</v>
      </c>
      <c r="W72" s="11">
        <f>IF(OR(履歴データ!$A$72="",履歴データ!$A$71=""),"",-40000*N72)</f>
        <v>39999.999999999149</v>
      </c>
      <c r="X72" s="11">
        <f>IF(OR(履歴データ!$A$72="",履歴データ!$A$71=""),"",120*1000000*(-Q72/H71))</f>
        <v>539210.73477569397</v>
      </c>
      <c r="Y72" s="11">
        <f>IF(OR(履歴データ!$A$72="",履歴データ!$A$71=""),"",40000*(-S72)+(-506.3)*R72*1000)</f>
        <v>-33425.000000000146</v>
      </c>
      <c r="Z72" s="11">
        <f>IF(OR(履歴データ!$A$72="",履歴データ!$A$71=""),"",-40000*O72)</f>
        <v>42400.000000000087</v>
      </c>
      <c r="AA72" s="11">
        <f>IF(OR(履歴データ!$A$72="",履歴データ!$A$71=""),"",-40000*P72)</f>
        <v>257920.00000000143</v>
      </c>
      <c r="AB72" s="11">
        <f>IF(履歴データ!$A$72="","",123.3)</f>
        <v>123.3</v>
      </c>
      <c r="AC72">
        <f>IF(履歴データ!$A$72="","",SUM(T72:AA72))</f>
        <v>615105.73477569525</v>
      </c>
      <c r="AD72" s="29">
        <f>IF(履歴データ!$A$72="","",AC72/1000000)</f>
        <v>0.6151057347756953</v>
      </c>
      <c r="AE72" s="29">
        <f>IF(履歴データ!$A$72="",AE71,AE71+AC72/1000000)</f>
        <v>98.825369004937727</v>
      </c>
      <c r="AF72" s="12">
        <f>IF(OR(履歴データ!$A$72="",AE71=0),"",(AE72-AE71)/AE71)</f>
        <v>6.2631512664173437E-3</v>
      </c>
      <c r="AG72" s="29">
        <f t="shared" si="5"/>
        <v>102.17217746631495</v>
      </c>
      <c r="AH72" s="12">
        <f>IF(OR(履歴データ!$A$72="",AG72=0),"",AE72/AG72-1)</f>
        <v>-3.275655412629952E-2</v>
      </c>
      <c r="AJ72" s="28">
        <f t="shared" ca="1" si="3"/>
        <v>-31.680442796527515</v>
      </c>
      <c r="AK72" s="28">
        <f t="shared" ca="1" si="4"/>
        <v>-47.587162837275315</v>
      </c>
    </row>
    <row r="73" spans="1:37">
      <c r="A73" s="10">
        <f>IF(履歴データ!$A$73="","",履歴データ!$A$73)</f>
        <v>45030</v>
      </c>
      <c r="B73" s="28">
        <f>IF(履歴データ!$A$73="","",(履歴データ!$D$73-(履歴データ!$B$73+履歴データ!$F$73)/2)*100)</f>
        <v>-39.000000000000014</v>
      </c>
      <c r="C73" s="28">
        <f>IF(履歴データ!$A$73="","",(履歴データ!$H$73-(履歴データ!$G$73+履歴データ!$J$73)/2)*100)</f>
        <v>-17.149999999999991</v>
      </c>
      <c r="D73" s="28">
        <f>IF(履歴データ!$A$73="","",(履歴データ!$D$73-履歴データ!$H$73)*100)</f>
        <v>305.5</v>
      </c>
      <c r="E73" s="28">
        <f>IF(履歴データ!$A$73="","",(履歴データ!$D$73-履歴データ!$C$73)*100)</f>
        <v>-8.0000000000000071</v>
      </c>
      <c r="F73" s="28">
        <f>IF(履歴データ!$A$73="","",(履歴データ!$R$73-履歴データ!$D$73)*100)</f>
        <v>-147.94</v>
      </c>
      <c r="G73" s="28">
        <f>IF(履歴データ!$A$73="","",(履歴データ!$S$73-履歴データ!$R$73)*100)</f>
        <v>-181.2060000000001</v>
      </c>
      <c r="H73" s="29">
        <f>IF(履歴データ!$A$73="","",履歴データ!$O$73)</f>
        <v>132.48699951171875</v>
      </c>
      <c r="I73" s="29">
        <f>IF(履歴データ!$A$73="","",履歴データ!$Q$73)</f>
        <v>114.859375</v>
      </c>
      <c r="J73" s="29">
        <f>IF(履歴データ!$A$73="","",履歴データ!$D$73)</f>
        <v>3.52</v>
      </c>
      <c r="K73" s="28">
        <f>IF(OR(履歴データ!$A$73="",履歴データ!$A$72=""),"",B73-B72)</f>
        <v>-1.5000000000000142</v>
      </c>
      <c r="L73" s="28">
        <f>IF(OR(履歴データ!$A$73="",履歴データ!$A$72=""),"",C73-C72)</f>
        <v>-0.89999999999999858</v>
      </c>
      <c r="M73" s="28">
        <f>IF(OR(履歴データ!$A$73="",履歴データ!$A$72=""),"",D73-D72)</f>
        <v>6.9999999999999432</v>
      </c>
      <c r="N73" s="28">
        <f>IF(OR(履歴データ!$A$73="",履歴データ!$A$72=""),"",E73-E72)</f>
        <v>-2.0000000000000462</v>
      </c>
      <c r="O73" s="28">
        <f>IF(OR(履歴データ!$A$73="",履歴データ!$A$72=""),"",F73-F72)</f>
        <v>-10.159999999999997</v>
      </c>
      <c r="P73" s="28">
        <f>IF(OR(履歴データ!$A$73="",履歴データ!$A$72=""),"",G73-G72)</f>
        <v>4.212357177734475</v>
      </c>
      <c r="Q73" s="29">
        <f>IF(OR(履歴データ!$A$73="",履歴データ!$A$72=""),"",H73-H72)</f>
        <v>0</v>
      </c>
      <c r="R73" s="29">
        <f>IF(OR(履歴データ!$A$73="",履歴データ!$A$72=""),"",I73-I72)</f>
        <v>-0.59375</v>
      </c>
      <c r="S73" s="28">
        <f>IF(OR(履歴データ!$A$73="",履歴データ!$A$72=""),"",(J73-J72)*100)</f>
        <v>6.999999999999984</v>
      </c>
      <c r="T73" s="11">
        <f>IF(OR(履歴データ!$A$73="",履歴データ!$A$72=""),"",-80000*K73)</f>
        <v>120000.00000000114</v>
      </c>
      <c r="U73" s="11">
        <f>IF(OR(履歴データ!$A$73="",履歴データ!$A$72=""),"",60000*L73)</f>
        <v>-53999.999999999913</v>
      </c>
      <c r="V73" s="11">
        <f>IF(OR(履歴データ!$A$73="",履歴データ!$A$72=""),"",-50000*M73)</f>
        <v>-349999.99999999715</v>
      </c>
      <c r="W73" s="11">
        <f>IF(OR(履歴データ!$A$73="",履歴データ!$A$72=""),"",-40000*N73)</f>
        <v>80000.000000001848</v>
      </c>
      <c r="X73" s="11">
        <f>IF(OR(履歴データ!$A$73="",履歴データ!$A$72=""),"",120*1000000*(-Q73/H72))</f>
        <v>0</v>
      </c>
      <c r="Y73" s="11">
        <f>IF(OR(履歴データ!$A$73="",履歴データ!$A$72=""),"",40000*(-S73)+(-506.3)*R73*1000)</f>
        <v>20615.62500000064</v>
      </c>
      <c r="Z73" s="11">
        <f>IF(OR(履歴データ!$A$73="",履歴データ!$A$72=""),"",-40000*O73)</f>
        <v>406399.99999999988</v>
      </c>
      <c r="AA73" s="11">
        <f>IF(OR(履歴データ!$A$73="",履歴データ!$A$72=""),"",-40000*P73)</f>
        <v>-168494.28710937902</v>
      </c>
      <c r="AB73" s="11">
        <f>IF(履歴データ!$A$73="","",123.3)</f>
        <v>123.3</v>
      </c>
      <c r="AC73">
        <f>IF(履歴データ!$A$73="","",SUM(T73:AA73))</f>
        <v>54521.337890627445</v>
      </c>
      <c r="AD73" s="29">
        <f>IF(履歴データ!$A$73="","",AC73/1000000)</f>
        <v>5.4521337890627443E-2</v>
      </c>
      <c r="AE73" s="29">
        <f>IF(履歴データ!$A$73="",AE72,AE72+AC73/1000000)</f>
        <v>98.879890342828361</v>
      </c>
      <c r="AF73" s="12">
        <f>IF(OR(履歴データ!$A$73="",AE72=0),"",(AE73-AE72)/AE72)</f>
        <v>5.516937446285664E-4</v>
      </c>
      <c r="AG73" s="29">
        <f t="shared" si="5"/>
        <v>102.17217746631495</v>
      </c>
      <c r="AH73" s="12">
        <f>IF(OR(履歴データ!$A$73="",AG73=0),"",AE73/AG73-1)</f>
        <v>-3.2222931967678003E-2</v>
      </c>
      <c r="AJ73" s="28">
        <f t="shared" ca="1" si="3"/>
        <v>-31.72643532382866</v>
      </c>
      <c r="AK73" s="28">
        <f t="shared" ca="1" si="4"/>
        <v>-47.523564676171354</v>
      </c>
    </row>
    <row r="74" spans="1:37">
      <c r="A74" s="10">
        <f>IF(履歴データ!$A$74="","",履歴データ!$A$74)</f>
        <v>45033</v>
      </c>
      <c r="B74" s="28">
        <f>IF(履歴データ!$A$74="","",(履歴データ!$D$74-(履歴データ!$B$74+履歴データ!$F$74)/2)*100)</f>
        <v>-39.5</v>
      </c>
      <c r="C74" s="28">
        <f>IF(履歴データ!$A$74="","",(履歴データ!$H$74-(履歴データ!$G$74+履歴データ!$J$74)/2)*100)</f>
        <v>-16.500000000000004</v>
      </c>
      <c r="D74" s="28">
        <f>IF(履歴データ!$A$74="","",(履歴データ!$D$74-履歴データ!$H$74)*100)</f>
        <v>311.10000000000002</v>
      </c>
      <c r="E74" s="28">
        <f>IF(履歴データ!$A$74="","",(履歴データ!$D$74-履歴データ!$C$74)*100)</f>
        <v>-8.9999999999999858</v>
      </c>
      <c r="F74" s="28">
        <f>IF(履歴データ!$A$74="","",(履歴データ!$R$74-履歴データ!$D$74)*100)</f>
        <v>-151.62</v>
      </c>
      <c r="G74" s="28">
        <f>IF(履歴データ!$A$74="","",(履歴データ!$S$74-履歴データ!$R$74)*100)</f>
        <v>-180.96564282226558</v>
      </c>
      <c r="H74" s="29">
        <f>IF(履歴データ!$A$74="","",履歴データ!$O$74)</f>
        <v>134.42500305175781</v>
      </c>
      <c r="I74" s="29">
        <f>IF(履歴データ!$A$74="","",履歴データ!$Q$74)</f>
        <v>114.359375</v>
      </c>
      <c r="J74" s="29">
        <f>IF(履歴データ!$A$74="","",履歴データ!$D$74)</f>
        <v>3.6</v>
      </c>
      <c r="K74" s="28">
        <f>IF(OR(履歴データ!$A$74="",履歴データ!$A$73=""),"",B74-B73)</f>
        <v>-0.49999999999998579</v>
      </c>
      <c r="L74" s="28">
        <f>IF(OR(履歴データ!$A$74="",履歴データ!$A$73=""),"",C74-C73)</f>
        <v>0.64999999999998792</v>
      </c>
      <c r="M74" s="28">
        <f>IF(OR(履歴データ!$A$74="",履歴データ!$A$73=""),"",D74-D73)</f>
        <v>5.6000000000000227</v>
      </c>
      <c r="N74" s="28">
        <f>IF(OR(履歴データ!$A$74="",履歴データ!$A$73=""),"",E74-E73)</f>
        <v>-0.99999999999997868</v>
      </c>
      <c r="O74" s="28">
        <f>IF(OR(履歴データ!$A$74="",履歴データ!$A$73=""),"",F74-F73)</f>
        <v>-3.6800000000000068</v>
      </c>
      <c r="P74" s="28">
        <f>IF(OR(履歴データ!$A$74="",履歴データ!$A$73=""),"",G74-G73)</f>
        <v>0.24035717773452348</v>
      </c>
      <c r="Q74" s="29">
        <f>IF(OR(履歴データ!$A$74="",履歴データ!$A$73=""),"",H74-H73)</f>
        <v>1.9380035400390625</v>
      </c>
      <c r="R74" s="29">
        <f>IF(OR(履歴データ!$A$74="",履歴データ!$A$73=""),"",I74-I73)</f>
        <v>-0.5</v>
      </c>
      <c r="S74" s="28">
        <f>IF(OR(履歴データ!$A$74="",履歴データ!$A$73=""),"",(J74-J73)*100)</f>
        <v>8.0000000000000071</v>
      </c>
      <c r="T74" s="11">
        <f>IF(OR(履歴データ!$A$74="",履歴データ!$A$73=""),"",-80000*K74)</f>
        <v>39999.999999998865</v>
      </c>
      <c r="U74" s="11">
        <f>IF(OR(履歴データ!$A$74="",履歴データ!$A$73=""),"",60000*L74)</f>
        <v>38999.999999999272</v>
      </c>
      <c r="V74" s="11">
        <f>IF(OR(履歴データ!$A$74="",履歴データ!$A$73=""),"",-50000*M74)</f>
        <v>-280000.00000000116</v>
      </c>
      <c r="W74" s="11">
        <f>IF(OR(履歴データ!$A$74="",履歴データ!$A$73=""),"",-40000*N74)</f>
        <v>39999.999999999149</v>
      </c>
      <c r="X74" s="11">
        <f>IF(OR(履歴データ!$A$74="",履歴データ!$A$73=""),"",120*1000000*(-Q74/H73))</f>
        <v>-1755345.2464150419</v>
      </c>
      <c r="Y74" s="11">
        <f>IF(OR(履歴データ!$A$74="",履歴データ!$A$73=""),"",40000*(-S74)+(-506.3)*R74*1000)</f>
        <v>-66850.000000000291</v>
      </c>
      <c r="Z74" s="11">
        <f>IF(OR(履歴データ!$A$74="",履歴データ!$A$73=""),"",-40000*O74)</f>
        <v>147200.00000000026</v>
      </c>
      <c r="AA74" s="11">
        <f>IF(OR(履歴データ!$A$74="",履歴データ!$A$73=""),"",-40000*P74)</f>
        <v>-9614.287109380939</v>
      </c>
      <c r="AB74" s="11">
        <f>IF(履歴データ!$A$74="","",123.3)</f>
        <v>123.3</v>
      </c>
      <c r="AC74">
        <f>IF(履歴データ!$A$74="","",SUM(T74:AA74))</f>
        <v>-1845609.5335244269</v>
      </c>
      <c r="AD74" s="29">
        <f>IF(履歴データ!$A$74="","",AC74/1000000)</f>
        <v>-1.8456095335244269</v>
      </c>
      <c r="AE74" s="29">
        <f>IF(履歴データ!$A$74="",AE73,AE73+AC74/1000000)</f>
        <v>97.034280809303937</v>
      </c>
      <c r="AF74" s="12">
        <f>IF(OR(履歴データ!$A$74="",AE73=0),"",(AE74-AE73)/AE73)</f>
        <v>-1.8665165658310057E-2</v>
      </c>
      <c r="AG74" s="29">
        <f t="shared" si="5"/>
        <v>102.17217746631495</v>
      </c>
      <c r="AH74" s="12">
        <f>IF(OR(履歴データ!$A$74="",AG74=0),"",AE74/AG74-1)</f>
        <v>-5.0286651262814841E-2</v>
      </c>
      <c r="AJ74" s="28">
        <f t="shared" ca="1" si="3"/>
        <v>-31.779711350592105</v>
      </c>
      <c r="AK74" s="28">
        <f t="shared" ca="1" si="4"/>
        <v>-47.466863991873652</v>
      </c>
    </row>
    <row r="75" spans="1:37">
      <c r="A75" s="10">
        <f>IF(履歴データ!$A$75="","",履歴データ!$A$75)</f>
        <v>45034</v>
      </c>
      <c r="B75" s="28">
        <f>IF(履歴データ!$A$75="","",(履歴データ!$D$75-(履歴データ!$B$75+履歴データ!$F$75)/2)*100)</f>
        <v>-41.000000000000014</v>
      </c>
      <c r="C75" s="28">
        <f>IF(履歴データ!$A$75="","",(履歴データ!$H$75-(履歴データ!$G$75+履歴データ!$J$75)/2)*100)</f>
        <v>-17.149999999999999</v>
      </c>
      <c r="D75" s="28">
        <f>IF(履歴データ!$A$75="","",(履歴データ!$D$75-履歴データ!$H$75)*100)</f>
        <v>310</v>
      </c>
      <c r="E75" s="28">
        <f>IF(履歴データ!$A$75="","",(履歴データ!$D$75-履歴データ!$C$75)*100)</f>
        <v>-10.999999999999988</v>
      </c>
      <c r="F75" s="28">
        <f>IF(履歴データ!$A$75="","",(履歴データ!$R$75-履歴データ!$D$75)*100)</f>
        <v>-143.6</v>
      </c>
      <c r="G75" s="28">
        <f>IF(履歴データ!$A$75="","",(履歴データ!$S$75-履歴データ!$R$75)*100)</f>
        <v>-188.03800000000007</v>
      </c>
      <c r="H75" s="29">
        <f>IF(履歴データ!$A$75="","",履歴データ!$O$75)</f>
        <v>134.04400634765625</v>
      </c>
      <c r="I75" s="29">
        <f>IF(履歴データ!$A$75="","",履歴データ!$Q$75)</f>
        <v>114.484375</v>
      </c>
      <c r="J75" s="29">
        <f>IF(履歴データ!$A$75="","",履歴データ!$D$75)</f>
        <v>3.58</v>
      </c>
      <c r="K75" s="28">
        <f>IF(OR(履歴データ!$A$75="",履歴データ!$A$74=""),"",B75-B74)</f>
        <v>-1.5000000000000142</v>
      </c>
      <c r="L75" s="28">
        <f>IF(OR(履歴データ!$A$75="",履歴データ!$A$74=""),"",C75-C74)</f>
        <v>-0.64999999999999503</v>
      </c>
      <c r="M75" s="28">
        <f>IF(OR(履歴データ!$A$75="",履歴データ!$A$74=""),"",D75-D74)</f>
        <v>-1.1000000000000227</v>
      </c>
      <c r="N75" s="28">
        <f>IF(OR(履歴データ!$A$75="",履歴データ!$A$74=""),"",E75-E74)</f>
        <v>-2.0000000000000018</v>
      </c>
      <c r="O75" s="28">
        <f>IF(OR(履歴データ!$A$75="",履歴データ!$A$74=""),"",F75-F74)</f>
        <v>8.0200000000000102</v>
      </c>
      <c r="P75" s="28">
        <f>IF(OR(履歴データ!$A$75="",履歴データ!$A$74=""),"",G75-G74)</f>
        <v>-7.0723571777344887</v>
      </c>
      <c r="Q75" s="29">
        <f>IF(OR(履歴データ!$A$75="",履歴データ!$A$74=""),"",H75-H74)</f>
        <v>-0.3809967041015625</v>
      </c>
      <c r="R75" s="29">
        <f>IF(OR(履歴データ!$A$75="",履歴データ!$A$74=""),"",I75-I74)</f>
        <v>0.125</v>
      </c>
      <c r="S75" s="28">
        <f>IF(OR(履歴データ!$A$75="",履歴データ!$A$74=""),"",(J75-J74)*100)</f>
        <v>-2.0000000000000018</v>
      </c>
      <c r="T75" s="11">
        <f>IF(OR(履歴データ!$A$75="",履歴データ!$A$74=""),"",-80000*K75)</f>
        <v>120000.00000000114</v>
      </c>
      <c r="U75" s="11">
        <f>IF(OR(履歴データ!$A$75="",履歴データ!$A$74=""),"",60000*L75)</f>
        <v>-38999.999999999702</v>
      </c>
      <c r="V75" s="11">
        <f>IF(OR(履歴データ!$A$75="",履歴データ!$A$74=""),"",-50000*M75)</f>
        <v>55000.000000001135</v>
      </c>
      <c r="W75" s="11">
        <f>IF(OR(履歴データ!$A$75="",履歴データ!$A$74=""),"",-40000*N75)</f>
        <v>80000.000000000073</v>
      </c>
      <c r="X75" s="11">
        <f>IF(OR(履歴データ!$A$75="",履歴データ!$A$74=""),"",120*1000000*(-Q75/H74))</f>
        <v>340112.35599216633</v>
      </c>
      <c r="Y75" s="11">
        <f>IF(OR(履歴データ!$A$75="",履歴データ!$A$74=""),"",40000*(-S75)+(-506.3)*R75*1000)</f>
        <v>16712.500000000073</v>
      </c>
      <c r="Z75" s="11">
        <f>IF(OR(履歴データ!$A$75="",履歴データ!$A$74=""),"",-40000*O75)</f>
        <v>-320800.00000000041</v>
      </c>
      <c r="AA75" s="11">
        <f>IF(OR(履歴データ!$A$75="",履歴データ!$A$74=""),"",-40000*P75)</f>
        <v>282894.28710937954</v>
      </c>
      <c r="AB75" s="11">
        <f>IF(履歴データ!$A$75="","",123.3)</f>
        <v>123.3</v>
      </c>
      <c r="AC75">
        <f>IF(履歴データ!$A$75="","",SUM(T75:AA75))</f>
        <v>534919.14310154808</v>
      </c>
      <c r="AD75" s="29">
        <f>IF(履歴データ!$A$75="","",AC75/1000000)</f>
        <v>0.53491914310154809</v>
      </c>
      <c r="AE75" s="29">
        <f>IF(履歴データ!$A$75="",AE74,AE74+AC75/1000000)</f>
        <v>97.569199952405484</v>
      </c>
      <c r="AF75" s="12">
        <f>IF(OR(履歴データ!$A$75="",AE74=0),"",(AE75-AE74)/AE74)</f>
        <v>5.5126821020376679E-3</v>
      </c>
      <c r="AG75" s="29">
        <f t="shared" si="5"/>
        <v>102.17217746631495</v>
      </c>
      <c r="AH75" s="12">
        <f>IF(OR(履歴データ!$A$75="",AG75=0),"",AE75/AG75-1)</f>
        <v>-4.5051183483165169E-2</v>
      </c>
      <c r="AJ75" s="28">
        <f t="shared" ca="1" si="3"/>
        <v>-31.845650665013494</v>
      </c>
      <c r="AK75" s="28">
        <f t="shared" ca="1" si="4"/>
        <v>-47.438133118770295</v>
      </c>
    </row>
    <row r="76" spans="1:37">
      <c r="A76" s="10">
        <f>IF(履歴データ!$A$76="","",履歴データ!$A$76)</f>
        <v>45035</v>
      </c>
      <c r="B76" s="28">
        <f>IF(履歴データ!$A$76="","",(履歴データ!$D$76-(履歴データ!$B$76+履歴データ!$F$76)/2)*100)</f>
        <v>-41.50000000000005</v>
      </c>
      <c r="C76" s="28">
        <f>IF(履歴データ!$A$76="","",(履歴データ!$H$76-(履歴データ!$G$76+履歴データ!$J$76)/2)*100)</f>
        <v>-16.300000000000004</v>
      </c>
      <c r="D76" s="28">
        <f>IF(履歴データ!$A$76="","",(履歴データ!$D$76-履歴データ!$H$76)*100)</f>
        <v>312</v>
      </c>
      <c r="E76" s="28">
        <f>IF(履歴データ!$A$76="","",(履歴データ!$D$76-履歴データ!$C$76)*100)</f>
        <v>-10.999999999999988</v>
      </c>
      <c r="F76" s="28">
        <f>IF(履歴データ!$A$76="","",(履歴データ!$R$76-履歴データ!$D$76)*100)</f>
        <v>-145.22</v>
      </c>
      <c r="G76" s="28">
        <f>IF(履歴データ!$A$76="","",(履歴データ!$S$76-履歴データ!$R$76)*100)</f>
        <v>-188.76882141113285</v>
      </c>
      <c r="H76" s="29">
        <f>IF(履歴データ!$A$76="","",履歴データ!$O$76)</f>
        <v>134.70399475097656</v>
      </c>
      <c r="I76" s="29">
        <f>IF(履歴データ!$A$76="","",履歴データ!$Q$76)</f>
        <v>114.1875</v>
      </c>
      <c r="J76" s="29">
        <f>IF(履歴データ!$A$76="","",履歴データ!$D$76)</f>
        <v>3.6</v>
      </c>
      <c r="K76" s="28">
        <f>IF(OR(履歴データ!$A$76="",履歴データ!$A$75=""),"",B76-B75)</f>
        <v>-0.50000000000003553</v>
      </c>
      <c r="L76" s="28">
        <f>IF(OR(履歴データ!$A$76="",履歴データ!$A$75=""),"",C76-C75)</f>
        <v>0.84999999999999432</v>
      </c>
      <c r="M76" s="28">
        <f>IF(OR(履歴データ!$A$76="",履歴データ!$A$75=""),"",D76-D75)</f>
        <v>2</v>
      </c>
      <c r="N76" s="28">
        <f>IF(OR(履歴データ!$A$76="",履歴データ!$A$75=""),"",E76-E75)</f>
        <v>0</v>
      </c>
      <c r="O76" s="28">
        <f>IF(OR(履歴データ!$A$76="",履歴データ!$A$75=""),"",F76-F75)</f>
        <v>-1.6200000000000045</v>
      </c>
      <c r="P76" s="28">
        <f>IF(OR(履歴データ!$A$76="",履歴データ!$A$75=""),"",G76-G75)</f>
        <v>-0.73082141113277999</v>
      </c>
      <c r="Q76" s="29">
        <f>IF(OR(履歴データ!$A$76="",履歴データ!$A$75=""),"",H76-H75)</f>
        <v>0.6599884033203125</v>
      </c>
      <c r="R76" s="29">
        <f>IF(OR(履歴データ!$A$76="",履歴データ!$A$75=""),"",I76-I75)</f>
        <v>-0.296875</v>
      </c>
      <c r="S76" s="28">
        <f>IF(OR(履歴データ!$A$76="",履歴データ!$A$75=""),"",(J76-J75)*100)</f>
        <v>2.0000000000000018</v>
      </c>
      <c r="T76" s="11">
        <f>IF(OR(履歴データ!$A$76="",履歴データ!$A$75=""),"",-80000*K76)</f>
        <v>40000.000000002845</v>
      </c>
      <c r="U76" s="11">
        <f>IF(OR(履歴データ!$A$76="",履歴データ!$A$75=""),"",60000*L76)</f>
        <v>50999.999999999658</v>
      </c>
      <c r="V76" s="11">
        <f>IF(OR(履歴データ!$A$76="",履歴データ!$A$75=""),"",-50000*M76)</f>
        <v>-100000</v>
      </c>
      <c r="W76" s="11">
        <f>IF(OR(履歴データ!$A$76="",履歴データ!$A$75=""),"",-40000*N76)</f>
        <v>0</v>
      </c>
      <c r="X76" s="11">
        <f>IF(OR(履歴データ!$A$76="",履歴データ!$A$75=""),"",120*1000000*(-Q76/H75))</f>
        <v>-590840.35576367471</v>
      </c>
      <c r="Y76" s="11">
        <f>IF(OR(履歴データ!$A$76="",履歴データ!$A$75=""),"",40000*(-S76)+(-506.3)*R76*1000)</f>
        <v>70307.812499999927</v>
      </c>
      <c r="Z76" s="11">
        <f>IF(OR(履歴データ!$A$76="",履歴データ!$A$75=""),"",-40000*O76)</f>
        <v>64800.000000000182</v>
      </c>
      <c r="AA76" s="11">
        <f>IF(OR(履歴データ!$A$76="",履歴データ!$A$75=""),"",-40000*P76)</f>
        <v>29232.856445311198</v>
      </c>
      <c r="AB76" s="11">
        <f>IF(履歴データ!$A$76="","",123.3)</f>
        <v>123.3</v>
      </c>
      <c r="AC76">
        <f>IF(履歴データ!$A$76="","",SUM(T76:AA76))</f>
        <v>-435499.68681836087</v>
      </c>
      <c r="AD76" s="29">
        <f>IF(履歴データ!$A$76="","",AC76/1000000)</f>
        <v>-0.43549968681836088</v>
      </c>
      <c r="AE76" s="29">
        <f>IF(履歴データ!$A$76="",AE75,AE75+AC76/1000000)</f>
        <v>97.133700265587123</v>
      </c>
      <c r="AF76" s="12">
        <f>IF(OR(履歴データ!$A$76="",AE75=0),"",(AE76-AE75)/AE75)</f>
        <v>-4.4634955193933986E-3</v>
      </c>
      <c r="AG76" s="29">
        <f t="shared" si="5"/>
        <v>102.17217746631495</v>
      </c>
      <c r="AH76" s="12">
        <f>IF(OR(履歴データ!$A$76="",AG76=0),"",AE76/AG76-1)</f>
        <v>-4.931359324693807E-2</v>
      </c>
      <c r="AJ76" s="28">
        <f t="shared" ca="1" si="3"/>
        <v>-31.911401091320847</v>
      </c>
      <c r="AK76" s="28">
        <f t="shared" ca="1" si="4"/>
        <v>-47.421932242012495</v>
      </c>
    </row>
    <row r="77" spans="1:37">
      <c r="A77" s="10">
        <f>IF(履歴データ!$A$77="","",履歴データ!$A$77)</f>
        <v>45036</v>
      </c>
      <c r="B77" s="28">
        <f>IF(履歴データ!$A$77="","",(履歴データ!$D$77-(履歴データ!$B$77+履歴データ!$F$77)/2)*100)</f>
        <v>-40.499999999999979</v>
      </c>
      <c r="C77" s="28">
        <f>IF(履歴データ!$A$77="","",(履歴データ!$H$77-(履歴データ!$G$77+履歴データ!$J$77)/2)*100)</f>
        <v>-17.649999999999999</v>
      </c>
      <c r="D77" s="28">
        <f>IF(履歴データ!$A$77="","",(履歴データ!$D$77-履歴データ!$H$77)*100)</f>
        <v>306</v>
      </c>
      <c r="E77" s="28">
        <f>IF(履歴データ!$A$77="","",(履歴データ!$D$77-履歴データ!$C$77)*100)</f>
        <v>-8.9999999999999858</v>
      </c>
      <c r="F77" s="28">
        <f>IF(履歴データ!$A$77="","",(履歴データ!$R$77-履歴データ!$D$77)*100)</f>
        <v>-133.29</v>
      </c>
      <c r="G77" s="28">
        <f>IF(履歴データ!$A$77="","",(履歴データ!$S$77-履歴データ!$R$77)*100)</f>
        <v>-194.34800000000004</v>
      </c>
      <c r="H77" s="29">
        <f>IF(履歴データ!$A$77="","",履歴データ!$O$77)</f>
        <v>133.99600219726563</v>
      </c>
      <c r="I77" s="29">
        <f>IF(履歴データ!$A$77="","",履歴データ!$Q$77)</f>
        <v>114.65625</v>
      </c>
      <c r="J77" s="29">
        <f>IF(履歴データ!$A$77="","",履歴データ!$D$77)</f>
        <v>3.54</v>
      </c>
      <c r="K77" s="28">
        <f>IF(OR(履歴データ!$A$77="",履歴データ!$A$76=""),"",B77-B76)</f>
        <v>1.0000000000000711</v>
      </c>
      <c r="L77" s="28">
        <f>IF(OR(履歴データ!$A$77="",履歴データ!$A$76=""),"",C77-C76)</f>
        <v>-1.3499999999999943</v>
      </c>
      <c r="M77" s="28">
        <f>IF(OR(履歴データ!$A$77="",履歴データ!$A$76=""),"",D77-D76)</f>
        <v>-6</v>
      </c>
      <c r="N77" s="28">
        <f>IF(OR(履歴データ!$A$77="",履歴データ!$A$76=""),"",E77-E76)</f>
        <v>2.0000000000000018</v>
      </c>
      <c r="O77" s="28">
        <f>IF(OR(履歴データ!$A$77="",履歴データ!$A$76=""),"",F77-F76)</f>
        <v>11.930000000000007</v>
      </c>
      <c r="P77" s="28">
        <f>IF(OR(履歴データ!$A$77="",履歴データ!$A$76=""),"",G77-G76)</f>
        <v>-5.5791785888671939</v>
      </c>
      <c r="Q77" s="29">
        <f>IF(OR(履歴データ!$A$77="",履歴データ!$A$76=""),"",H77-H76)</f>
        <v>-0.7079925537109375</v>
      </c>
      <c r="R77" s="29">
        <f>IF(OR(履歴データ!$A$77="",履歴データ!$A$76=""),"",I77-I76)</f>
        <v>0.46875</v>
      </c>
      <c r="S77" s="28">
        <f>IF(OR(履歴データ!$A$77="",履歴データ!$A$76=""),"",(J77-J76)*100)</f>
        <v>-6.0000000000000053</v>
      </c>
      <c r="T77" s="11">
        <f>IF(OR(履歴データ!$A$77="",履歴データ!$A$76=""),"",-80000*K77)</f>
        <v>-80000.00000000569</v>
      </c>
      <c r="U77" s="11">
        <f>IF(OR(履歴データ!$A$77="",履歴データ!$A$76=""),"",60000*L77)</f>
        <v>-80999.999999999665</v>
      </c>
      <c r="V77" s="11">
        <f>IF(OR(履歴データ!$A$77="",履歴データ!$A$76=""),"",-50000*M77)</f>
        <v>300000</v>
      </c>
      <c r="W77" s="11">
        <f>IF(OR(履歴データ!$A$77="",履歴データ!$A$76=""),"",-40000*N77)</f>
        <v>-80000.000000000073</v>
      </c>
      <c r="X77" s="11">
        <f>IF(OR(履歴データ!$A$77="",履歴データ!$A$76=""),"",120*1000000*(-Q77/H76))</f>
        <v>630709.62819160626</v>
      </c>
      <c r="Y77" s="11">
        <f>IF(OR(履歴データ!$A$77="",履歴データ!$A$76=""),"",40000*(-S77)+(-506.3)*R77*1000)</f>
        <v>2671.8750000002037</v>
      </c>
      <c r="Z77" s="11">
        <f>IF(OR(履歴データ!$A$77="",履歴データ!$A$76=""),"",-40000*O77)</f>
        <v>-477200.00000000029</v>
      </c>
      <c r="AA77" s="11">
        <f>IF(OR(履歴データ!$A$77="",履歴データ!$A$76=""),"",-40000*P77)</f>
        <v>223167.14355468776</v>
      </c>
      <c r="AB77" s="11">
        <f>IF(履歴データ!$A$77="","",123.3)</f>
        <v>123.3</v>
      </c>
      <c r="AC77">
        <f>IF(履歴データ!$A$77="","",SUM(T77:AA77))</f>
        <v>438348.64674628852</v>
      </c>
      <c r="AD77" s="29">
        <f>IF(履歴データ!$A$77="","",AC77/1000000)</f>
        <v>0.43834864674628854</v>
      </c>
      <c r="AE77" s="29">
        <f>IF(履歴データ!$A$77="",AE76,AE76+AC77/1000000)</f>
        <v>97.572048912333415</v>
      </c>
      <c r="AF77" s="12">
        <f>IF(OR(履歴データ!$A$77="",AE76=0),"",(AE77-AE76)/AE76)</f>
        <v>4.5128379290373987E-3</v>
      </c>
      <c r="AG77" s="29">
        <f t="shared" si="5"/>
        <v>102.17217746631495</v>
      </c>
      <c r="AH77" s="12">
        <f>IF(OR(履歴データ!$A$77="",AG77=0),"",AE77/AG77-1)</f>
        <v>-4.5023299571922526E-2</v>
      </c>
      <c r="AJ77" s="28">
        <f t="shared" ca="1" si="3"/>
        <v>-31.971869323996579</v>
      </c>
      <c r="AK77" s="28">
        <f t="shared" ca="1" si="4"/>
        <v>-47.383393833898175</v>
      </c>
    </row>
    <row r="78" spans="1:37">
      <c r="A78" s="10">
        <f>IF(履歴データ!$A$78="","",履歴データ!$A$78)</f>
        <v>45037</v>
      </c>
      <c r="B78" s="28">
        <f>IF(履歴データ!$A$78="","",(履歴データ!$D$78-(履歴データ!$B$78+履歴データ!$F$78)/2)*100)</f>
        <v>-40.499999999999979</v>
      </c>
      <c r="C78" s="28">
        <f>IF(履歴データ!$A$78="","",(履歴データ!$H$78-(履歴データ!$G$78+履歴データ!$J$78)/2)*100)</f>
        <v>-18.45000000000001</v>
      </c>
      <c r="D78" s="28">
        <f>IF(履歴データ!$A$78="","",(履歴データ!$D$78-履歴データ!$H$78)*100)</f>
        <v>309.99999999999994</v>
      </c>
      <c r="E78" s="28">
        <f>IF(履歴データ!$A$78="","",(履歴データ!$D$78-履歴データ!$C$78)*100)</f>
        <v>-9.0000000000000302</v>
      </c>
      <c r="F78" s="28">
        <f>IF(履歴データ!$A$78="","",(履歴データ!$R$78-履歴データ!$D$78)*100)</f>
        <v>-142.95999999999998</v>
      </c>
      <c r="G78" s="28">
        <f>IF(履歴データ!$A$78="","",(履歴データ!$S$78-履歴データ!$R$78)*100)</f>
        <v>-187.32717858886727</v>
      </c>
      <c r="H78" s="29">
        <f>IF(履歴データ!$A$78="","",履歴データ!$O$78)</f>
        <v>133.99600219726563</v>
      </c>
      <c r="I78" s="29">
        <f>IF(履歴データ!$A$78="","",履歴データ!$Q$78)</f>
        <v>114.46875</v>
      </c>
      <c r="J78" s="29">
        <f>IF(履歴データ!$A$78="","",履歴データ!$D$78)</f>
        <v>3.57</v>
      </c>
      <c r="K78" s="28">
        <f>IF(OR(履歴データ!$A$78="",履歴データ!$A$77=""),"",B78-B77)</f>
        <v>0</v>
      </c>
      <c r="L78" s="28">
        <f>IF(OR(履歴データ!$A$78="",履歴データ!$A$77=""),"",C78-C77)</f>
        <v>-0.80000000000001137</v>
      </c>
      <c r="M78" s="28">
        <f>IF(OR(履歴データ!$A$78="",履歴データ!$A$77=""),"",D78-D77)</f>
        <v>3.9999999999999432</v>
      </c>
      <c r="N78" s="28">
        <f>IF(OR(履歴データ!$A$78="",履歴データ!$A$77=""),"",E78-E77)</f>
        <v>-4.4408920985006262E-14</v>
      </c>
      <c r="O78" s="28">
        <f>IF(OR(履歴データ!$A$78="",履歴データ!$A$77=""),"",F78-F77)</f>
        <v>-9.6699999999999875</v>
      </c>
      <c r="P78" s="28">
        <f>IF(OR(履歴データ!$A$78="",履歴データ!$A$77=""),"",G78-G77)</f>
        <v>7.020821411132772</v>
      </c>
      <c r="Q78" s="29">
        <f>IF(OR(履歴データ!$A$78="",履歴データ!$A$77=""),"",H78-H77)</f>
        <v>0</v>
      </c>
      <c r="R78" s="29">
        <f>IF(OR(履歴データ!$A$78="",履歴データ!$A$77=""),"",I78-I77)</f>
        <v>-0.1875</v>
      </c>
      <c r="S78" s="28">
        <f>IF(OR(履歴データ!$A$78="",履歴データ!$A$77=""),"",(J78-J77)*100)</f>
        <v>2.9999999999999805</v>
      </c>
      <c r="T78" s="11">
        <f>IF(OR(履歴データ!$A$78="",履歴データ!$A$77=""),"",-80000*K78)</f>
        <v>0</v>
      </c>
      <c r="U78" s="11">
        <f>IF(OR(履歴データ!$A$78="",履歴データ!$A$77=""),"",60000*L78)</f>
        <v>-48000.000000000684</v>
      </c>
      <c r="V78" s="11">
        <f>IF(OR(履歴データ!$A$78="",履歴データ!$A$77=""),"",-50000*M78)</f>
        <v>-199999.99999999715</v>
      </c>
      <c r="W78" s="11">
        <f>IF(OR(履歴データ!$A$78="",履歴データ!$A$77=""),"",-40000*N78)</f>
        <v>1.7763568394002505E-9</v>
      </c>
      <c r="X78" s="11">
        <f>IF(OR(履歴データ!$A$78="",履歴データ!$A$77=""),"",120*1000000*(-Q78/H77))</f>
        <v>0</v>
      </c>
      <c r="Y78" s="11">
        <f>IF(OR(履歴データ!$A$78="",履歴データ!$A$77=""),"",40000*(-S78)+(-506.3)*R78*1000)</f>
        <v>-25068.749999999214</v>
      </c>
      <c r="Z78" s="11">
        <f>IF(OR(履歴データ!$A$78="",履歴データ!$A$77=""),"",-40000*O78)</f>
        <v>386799.99999999948</v>
      </c>
      <c r="AA78" s="11">
        <f>IF(OR(履歴データ!$A$78="",履歴データ!$A$77=""),"",-40000*P78)</f>
        <v>-280832.85644531087</v>
      </c>
      <c r="AB78" s="11">
        <f>IF(履歴データ!$A$78="","",123.3)</f>
        <v>123.3</v>
      </c>
      <c r="AC78">
        <f>IF(履歴データ!$A$78="","",SUM(T78:AA78))</f>
        <v>-167101.60644530668</v>
      </c>
      <c r="AD78" s="29">
        <f>IF(履歴データ!$A$78="","",AC78/1000000)</f>
        <v>-0.16710160644530667</v>
      </c>
      <c r="AE78" s="29">
        <f>IF(履歴データ!$A$78="",AE77,AE77+AC78/1000000)</f>
        <v>97.404947305888115</v>
      </c>
      <c r="AF78" s="12">
        <f>IF(OR(履歴データ!$A$78="",AE77=0),"",(AE78-AE77)/AE77)</f>
        <v>-1.7125970839808587E-3</v>
      </c>
      <c r="AG78" s="29">
        <f t="shared" si="5"/>
        <v>102.17217746631495</v>
      </c>
      <c r="AH78" s="12">
        <f>IF(OR(履歴データ!$A$78="",AG78=0),"",AE78/AG78-1)</f>
        <v>-4.6658789884345353E-2</v>
      </c>
      <c r="AJ78" s="28">
        <f t="shared" ca="1" si="3"/>
        <v>-32.031118714521156</v>
      </c>
      <c r="AK78" s="28">
        <f t="shared" ca="1" si="4"/>
        <v>-47.345504662102229</v>
      </c>
    </row>
    <row r="79" spans="1:37">
      <c r="A79" s="10">
        <f>IF(履歴データ!$A$79="","",履歴データ!$A$79)</f>
        <v>45040</v>
      </c>
      <c r="B79" s="28">
        <f>IF(履歴データ!$A$79="","",(履歴データ!$D$79-(履歴データ!$B$79+履歴データ!$F$79)/2)*100)</f>
        <v>-40.499999999999979</v>
      </c>
      <c r="C79" s="28">
        <f>IF(履歴データ!$A$79="","",(履歴データ!$H$79-(履歴データ!$G$79+履歴データ!$J$79)/2)*100)</f>
        <v>-18.55</v>
      </c>
      <c r="D79" s="28">
        <f>IF(履歴データ!$A$79="","",(履歴データ!$D$79-履歴データ!$H$79)*100)</f>
        <v>304.39999999999998</v>
      </c>
      <c r="E79" s="28">
        <f>IF(履歴データ!$A$79="","",(履歴データ!$D$79-履歴データ!$C$79)*100)</f>
        <v>-8.0000000000000071</v>
      </c>
      <c r="F79" s="28">
        <f>IF(履歴データ!$A$79="","",(履歴データ!$R$79-履歴データ!$D$79)*100)</f>
        <v>-138.43</v>
      </c>
      <c r="G79" s="28">
        <f>IF(履歴データ!$A$79="","",(履歴データ!$S$79-履歴データ!$R$79)*100)</f>
        <v>-189.31282141113286</v>
      </c>
      <c r="H79" s="29">
        <f>IF(履歴データ!$A$79="","",履歴データ!$O$79)</f>
        <v>134.08399963378906</v>
      </c>
      <c r="I79" s="29">
        <f>IF(履歴データ!$A$79="","",履歴データ!$Q$79)</f>
        <v>114.875</v>
      </c>
      <c r="J79" s="29">
        <f>IF(履歴データ!$A$79="","",履歴データ!$D$79)</f>
        <v>3.52</v>
      </c>
      <c r="K79" s="28">
        <f>IF(OR(履歴データ!$A$79="",履歴データ!$A$78=""),"",B79-B78)</f>
        <v>0</v>
      </c>
      <c r="L79" s="28">
        <f>IF(OR(履歴データ!$A$79="",履歴データ!$A$78=""),"",C79-C78)</f>
        <v>-9.9999999999990763E-2</v>
      </c>
      <c r="M79" s="28">
        <f>IF(OR(履歴データ!$A$79="",履歴データ!$A$78=""),"",D79-D78)</f>
        <v>-5.5999999999999659</v>
      </c>
      <c r="N79" s="28">
        <f>IF(OR(履歴データ!$A$79="",履歴データ!$A$78=""),"",E79-E78)</f>
        <v>1.0000000000000231</v>
      </c>
      <c r="O79" s="28">
        <f>IF(OR(履歴データ!$A$79="",履歴データ!$A$78=""),"",F79-F78)</f>
        <v>4.5299999999999727</v>
      </c>
      <c r="P79" s="28">
        <f>IF(OR(履歴データ!$A$79="",履歴データ!$A$78=""),"",G79-G78)</f>
        <v>-1.9856428222655893</v>
      </c>
      <c r="Q79" s="29">
        <f>IF(OR(履歴データ!$A$79="",履歴データ!$A$78=""),"",H79-H78)</f>
        <v>8.79974365234375E-2</v>
      </c>
      <c r="R79" s="29">
        <f>IF(OR(履歴データ!$A$79="",履歴データ!$A$78=""),"",I79-I78)</f>
        <v>0.40625</v>
      </c>
      <c r="S79" s="28">
        <f>IF(OR(履歴データ!$A$79="",履歴データ!$A$78=""),"",(J79-J78)*100)</f>
        <v>-4.9999999999999822</v>
      </c>
      <c r="T79" s="11">
        <f>IF(OR(履歴データ!$A$79="",履歴データ!$A$78=""),"",-80000*K79)</f>
        <v>0</v>
      </c>
      <c r="U79" s="11">
        <f>IF(OR(履歴データ!$A$79="",履歴データ!$A$78=""),"",60000*L79)</f>
        <v>-5999.9999999994461</v>
      </c>
      <c r="V79" s="11">
        <f>IF(OR(履歴データ!$A$79="",履歴データ!$A$78=""),"",-50000*M79)</f>
        <v>279999.99999999831</v>
      </c>
      <c r="W79" s="11">
        <f>IF(OR(履歴データ!$A$79="",履歴データ!$A$78=""),"",-40000*N79)</f>
        <v>-40000.000000000924</v>
      </c>
      <c r="X79" s="11">
        <f>IF(OR(履歴データ!$A$79="",履歴データ!$A$78=""),"",120*1000000*(-Q79/H78))</f>
        <v>-78806.025625053953</v>
      </c>
      <c r="Y79" s="11">
        <f>IF(OR(履歴データ!$A$79="",履歴データ!$A$78=""),"",40000*(-S79)+(-506.3)*R79*1000)</f>
        <v>-5684.3750000007276</v>
      </c>
      <c r="Z79" s="11">
        <f>IF(OR(履歴データ!$A$79="",履歴データ!$A$78=""),"",-40000*O79)</f>
        <v>-181199.99999999889</v>
      </c>
      <c r="AA79" s="11">
        <f>IF(OR(履歴データ!$A$79="",履歴データ!$A$78=""),"",-40000*P79)</f>
        <v>79425.712890623574</v>
      </c>
      <c r="AB79" s="11">
        <f>IF(履歴データ!$A$79="","",123.3)</f>
        <v>123.3</v>
      </c>
      <c r="AC79">
        <f>IF(履歴データ!$A$79="","",SUM(T79:AA79))</f>
        <v>47735.312265567947</v>
      </c>
      <c r="AD79" s="29">
        <f>IF(履歴データ!$A$79="","",AC79/1000000)</f>
        <v>4.7735312265567945E-2</v>
      </c>
      <c r="AE79" s="29">
        <f>IF(履歴データ!$A$79="",AE78,AE78+AC79/1000000)</f>
        <v>97.452682618153688</v>
      </c>
      <c r="AF79" s="12">
        <f>IF(OR(履歴データ!$A$79="",AE78=0),"",(AE79-AE78)/AE78)</f>
        <v>4.9007071597365591E-4</v>
      </c>
      <c r="AG79" s="29">
        <f t="shared" si="5"/>
        <v>102.17217746631495</v>
      </c>
      <c r="AH79" s="12">
        <f>IF(OR(履歴データ!$A$79="",AG79=0),"",AE79/AG79-1)</f>
        <v>-4.6191585274936831E-2</v>
      </c>
      <c r="AJ79" s="28">
        <f t="shared" ca="1" si="3"/>
        <v>-32.089189158777792</v>
      </c>
      <c r="AK79" s="28">
        <f t="shared" ca="1" si="4"/>
        <v>-47.30824673865812</v>
      </c>
    </row>
    <row r="80" spans="1:37">
      <c r="A80" s="10">
        <f>IF(履歴データ!$A$80="","",履歴データ!$A$80)</f>
        <v>45041</v>
      </c>
      <c r="B80" s="28">
        <f>IF(履歴データ!$A$80="","",(履歴データ!$D$80-(履歴データ!$B$80+履歴データ!$F$80)/2)*100)</f>
        <v>-35.5</v>
      </c>
      <c r="C80" s="28">
        <f>IF(履歴データ!$A$80="","",(履歴データ!$H$80-(履歴データ!$G$80+履歴データ!$J$80)/2)*100)</f>
        <v>-17.050000000000011</v>
      </c>
      <c r="D80" s="28">
        <f>IF(履歴データ!$A$80="","",(履歴データ!$D$80-履歴データ!$H$80)*100)</f>
        <v>291.39999999999998</v>
      </c>
      <c r="E80" s="28">
        <f>IF(履歴データ!$A$80="","",(履歴データ!$D$80-履歴データ!$C$80)*100)</f>
        <v>-3.0000000000000249</v>
      </c>
      <c r="F80" s="28">
        <f>IF(履歴データ!$A$80="","",(履歴データ!$R$80-履歴データ!$D$80)*100)</f>
        <v>-126.85</v>
      </c>
      <c r="G80" s="28">
        <f>IF(履歴データ!$A$80="","",(履歴データ!$S$80-履歴データ!$R$80)*100)</f>
        <v>-188.71735717773436</v>
      </c>
      <c r="H80" s="29">
        <f>IF(履歴データ!$A$80="","",履歴データ!$O$80)</f>
        <v>133.71099853515625</v>
      </c>
      <c r="I80" s="29">
        <f>IF(履歴データ!$A$80="","",履歴データ!$Q$80)</f>
        <v>115.796875</v>
      </c>
      <c r="J80" s="29">
        <f>IF(履歴データ!$A$80="","",履歴データ!$D$80)</f>
        <v>3.4</v>
      </c>
      <c r="K80" s="28">
        <f>IF(OR(履歴データ!$A$80="",履歴データ!$A$79=""),"",B80-B79)</f>
        <v>4.9999999999999787</v>
      </c>
      <c r="L80" s="28">
        <f>IF(OR(履歴データ!$A$80="",履歴データ!$A$79=""),"",C80-C79)</f>
        <v>1.4999999999999893</v>
      </c>
      <c r="M80" s="28">
        <f>IF(OR(履歴データ!$A$80="",履歴データ!$A$79=""),"",D80-D79)</f>
        <v>-13</v>
      </c>
      <c r="N80" s="28">
        <f>IF(OR(履歴データ!$A$80="",履歴データ!$A$79=""),"",E80-E79)</f>
        <v>4.9999999999999822</v>
      </c>
      <c r="O80" s="28">
        <f>IF(OR(履歴データ!$A$80="",履歴データ!$A$79=""),"",F80-F79)</f>
        <v>11.580000000000013</v>
      </c>
      <c r="P80" s="28">
        <f>IF(OR(履歴データ!$A$80="",履歴データ!$A$79=""),"",G80-G79)</f>
        <v>0.59546423339850207</v>
      </c>
      <c r="Q80" s="29">
        <f>IF(OR(履歴データ!$A$80="",履歴データ!$A$79=""),"",H80-H79)</f>
        <v>-0.3730010986328125</v>
      </c>
      <c r="R80" s="29">
        <f>IF(OR(履歴データ!$A$80="",履歴データ!$A$79=""),"",I80-I79)</f>
        <v>0.921875</v>
      </c>
      <c r="S80" s="28">
        <f>IF(OR(履歴データ!$A$80="",履歴データ!$A$79=""),"",(J80-J79)*100)</f>
        <v>-12.000000000000011</v>
      </c>
      <c r="T80" s="11">
        <f>IF(OR(履歴データ!$A$80="",履歴データ!$A$79=""),"",-80000*K80)</f>
        <v>-399999.99999999831</v>
      </c>
      <c r="U80" s="11">
        <f>IF(OR(履歴データ!$A$80="",履歴データ!$A$79=""),"",60000*L80)</f>
        <v>89999.99999999936</v>
      </c>
      <c r="V80" s="11">
        <f>IF(OR(履歴データ!$A$80="",履歴データ!$A$79=""),"",-50000*M80)</f>
        <v>650000</v>
      </c>
      <c r="W80" s="11">
        <f>IF(OR(履歴データ!$A$80="",履歴データ!$A$79=""),"",-40000*N80)</f>
        <v>-199999.9999999993</v>
      </c>
      <c r="X80" s="11">
        <f>IF(OR(履歴データ!$A$80="",履歴データ!$A$79=""),"",120*1000000*(-Q80/H79))</f>
        <v>333821.57422352117</v>
      </c>
      <c r="Y80" s="11">
        <f>IF(OR(履歴データ!$A$80="",履歴データ!$A$79=""),"",40000*(-S80)+(-506.3)*R80*1000)</f>
        <v>13254.687500000407</v>
      </c>
      <c r="Z80" s="11">
        <f>IF(OR(履歴データ!$A$80="",履歴データ!$A$79=""),"",-40000*O80)</f>
        <v>-463200.00000000052</v>
      </c>
      <c r="AA80" s="11">
        <f>IF(OR(履歴データ!$A$80="",履歴データ!$A$79=""),"",-40000*P80)</f>
        <v>-23818.569335940083</v>
      </c>
      <c r="AB80" s="11">
        <f>IF(履歴データ!$A$80="","",123.3)</f>
        <v>123.3</v>
      </c>
      <c r="AC80">
        <f>IF(履歴データ!$A$80="","",SUM(T80:AA80))</f>
        <v>57.692387582712399</v>
      </c>
      <c r="AD80" s="29">
        <f>IF(履歴データ!$A$80="","",AC80/1000000)</f>
        <v>5.7692387582712401E-5</v>
      </c>
      <c r="AE80" s="29">
        <f>IF(履歴データ!$A$80="",AE79,AE79+AC80/1000000)</f>
        <v>97.452740310541273</v>
      </c>
      <c r="AF80" s="12">
        <f>IF(OR(履歴データ!$A$80="",AE79=0),"",(AE80-AE79)/AE79)</f>
        <v>5.9200409917412313E-7</v>
      </c>
      <c r="AG80" s="29">
        <f t="shared" si="5"/>
        <v>102.17217746631495</v>
      </c>
      <c r="AH80" s="12">
        <f>IF(OR(履歴データ!$A$80="",AG80=0),"",AE80/AG80-1)</f>
        <v>-4.6191020616445422E-2</v>
      </c>
      <c r="AJ80" s="28">
        <f t="shared" ca="1" si="3"/>
        <v>-32.026174835191846</v>
      </c>
      <c r="AK80" s="28">
        <f t="shared" ca="1" si="4"/>
        <v>-47.264964405314494</v>
      </c>
    </row>
    <row r="81" spans="1:37">
      <c r="A81" s="10">
        <f>IF(履歴データ!$A$81="","",履歴データ!$A$81)</f>
        <v>45042</v>
      </c>
      <c r="B81" s="28">
        <f>IF(履歴データ!$A$81="","",(履歴データ!$D$81-(履歴データ!$B$81+履歴データ!$F$81)/2)*100)</f>
        <v>-36.999999999999964</v>
      </c>
      <c r="C81" s="28">
        <f>IF(履歴データ!$A$81="","",(履歴データ!$H$81-(履歴データ!$G$81+履歴データ!$J$81)/2)*100)</f>
        <v>-17.649999999999995</v>
      </c>
      <c r="D81" s="28">
        <f>IF(履歴データ!$A$81="","",(履歴データ!$D$81-履歴データ!$H$81)*100)</f>
        <v>296.39999999999998</v>
      </c>
      <c r="E81" s="28">
        <f>IF(履歴データ!$A$81="","",(履歴データ!$D$81-履歴データ!$C$81)*100)</f>
        <v>-2.9999999999999805</v>
      </c>
      <c r="F81" s="28">
        <f>IF(履歴データ!$A$81="","",(履歴データ!$R$81-履歴データ!$D$81)*100)</f>
        <v>-142.19</v>
      </c>
      <c r="G81" s="28">
        <f>IF(履歴データ!$A$81="","",(履歴データ!$S$81-履歴データ!$R$81)*100)</f>
        <v>-179.18382141113312</v>
      </c>
      <c r="H81" s="29">
        <f>IF(履歴データ!$A$81="","",履歴データ!$O$81)</f>
        <v>133.46499633789063</v>
      </c>
      <c r="I81" s="29">
        <f>IF(履歴データ!$A$81="","",履歴データ!$Q$81)</f>
        <v>115.546875</v>
      </c>
      <c r="J81" s="29">
        <f>IF(履歴データ!$A$81="","",履歴データ!$D$81)</f>
        <v>3.43</v>
      </c>
      <c r="K81" s="28">
        <f>IF(OR(履歴データ!$A$81="",履歴データ!$A$80=""),"",B81-B80)</f>
        <v>-1.4999999999999645</v>
      </c>
      <c r="L81" s="28">
        <f>IF(OR(履歴データ!$A$81="",履歴データ!$A$80=""),"",C81-C80)</f>
        <v>-0.59999999999998366</v>
      </c>
      <c r="M81" s="28">
        <f>IF(OR(履歴データ!$A$81="",履歴データ!$A$80=""),"",D81-D80)</f>
        <v>5</v>
      </c>
      <c r="N81" s="28">
        <f>IF(OR(履歴データ!$A$81="",履歴データ!$A$80=""),"",E81-E80)</f>
        <v>4.4408920985006262E-14</v>
      </c>
      <c r="O81" s="28">
        <f>IF(OR(履歴データ!$A$81="",履歴データ!$A$80=""),"",F81-F80)</f>
        <v>-15.340000000000003</v>
      </c>
      <c r="P81" s="28">
        <f>IF(OR(履歴データ!$A$81="",履歴データ!$A$80=""),"",G81-G80)</f>
        <v>9.5335357666012328</v>
      </c>
      <c r="Q81" s="29">
        <f>IF(OR(履歴データ!$A$81="",履歴データ!$A$80=""),"",H81-H80)</f>
        <v>-0.246002197265625</v>
      </c>
      <c r="R81" s="29">
        <f>IF(OR(履歴データ!$A$81="",履歴データ!$A$80=""),"",I81-I80)</f>
        <v>-0.25</v>
      </c>
      <c r="S81" s="28">
        <f>IF(OR(履歴データ!$A$81="",履歴データ!$A$80=""),"",(J81-J80)*100)</f>
        <v>3.0000000000000249</v>
      </c>
      <c r="T81" s="11">
        <f>IF(OR(履歴データ!$A$81="",履歴データ!$A$80=""),"",-80000*K81)</f>
        <v>119999.99999999716</v>
      </c>
      <c r="U81" s="11">
        <f>IF(OR(履歴データ!$A$81="",履歴データ!$A$80=""),"",60000*L81)</f>
        <v>-35999.999999999018</v>
      </c>
      <c r="V81" s="11">
        <f>IF(OR(履歴データ!$A$81="",履歴データ!$A$80=""),"",-50000*M81)</f>
        <v>-250000</v>
      </c>
      <c r="W81" s="11">
        <f>IF(OR(履歴データ!$A$81="",履歴データ!$A$80=""),"",-40000*N81)</f>
        <v>-1.7763568394002505E-9</v>
      </c>
      <c r="X81" s="11">
        <f>IF(OR(履歴データ!$A$81="",履歴データ!$A$80=""),"",120*1000000*(-Q81/H80))</f>
        <v>220776.63015965975</v>
      </c>
      <c r="Y81" s="11">
        <f>IF(OR(履歴データ!$A$81="",履歴データ!$A$80=""),"",40000*(-S81)+(-506.3)*R81*1000)</f>
        <v>6574.9999999990105</v>
      </c>
      <c r="Z81" s="11">
        <f>IF(OR(履歴データ!$A$81="",履歴データ!$A$80=""),"",-40000*O81)</f>
        <v>613600.00000000012</v>
      </c>
      <c r="AA81" s="11">
        <f>IF(OR(履歴データ!$A$81="",履歴データ!$A$80=""),"",-40000*P81)</f>
        <v>-381341.43066404929</v>
      </c>
      <c r="AB81" s="11">
        <f>IF(履歴データ!$A$81="","",123.3)</f>
        <v>123.3</v>
      </c>
      <c r="AC81">
        <f>IF(履歴データ!$A$81="","",SUM(T81:AA81))</f>
        <v>293610.19949560595</v>
      </c>
      <c r="AD81" s="29">
        <f>IF(履歴データ!$A$81="","",AC81/1000000)</f>
        <v>0.29361019949560596</v>
      </c>
      <c r="AE81" s="29">
        <f>IF(履歴データ!$A$81="",AE80,AE80+AC81/1000000)</f>
        <v>97.746350510036876</v>
      </c>
      <c r="AF81" s="12">
        <f>IF(OR(履歴データ!$A$81="",AE80=0),"",(AE81-AE80)/AE80)</f>
        <v>3.0128470329309361E-3</v>
      </c>
      <c r="AG81" s="29">
        <f t="shared" si="5"/>
        <v>102.17217746631495</v>
      </c>
      <c r="AH81" s="12">
        <f>IF(OR(履歴データ!$A$81="",AG81=0),"",AE81/AG81-1)</f>
        <v>-4.3317340062926757E-2</v>
      </c>
      <c r="AJ81" s="28">
        <f t="shared" ca="1" si="3"/>
        <v>-32.018406692398578</v>
      </c>
      <c r="AK81" s="28">
        <f t="shared" ca="1" si="4"/>
        <v>-47.20659330760143</v>
      </c>
    </row>
    <row r="82" spans="1:37">
      <c r="A82" s="10">
        <f>IF(履歴データ!$A$82="","",履歴データ!$A$82)</f>
        <v>45043</v>
      </c>
      <c r="B82" s="28">
        <f>IF(履歴データ!$A$82="","",(履歴データ!$D$82-(履歴データ!$B$82+履歴データ!$F$82)/2)*100)</f>
        <v>-38.500000000000021</v>
      </c>
      <c r="C82" s="28">
        <f>IF(履歴データ!$A$82="","",(履歴データ!$H$82-(履歴データ!$G$82+履歴データ!$J$82)/2)*100)</f>
        <v>-18.5</v>
      </c>
      <c r="D82" s="28">
        <f>IF(履歴データ!$A$82="","",(履歴データ!$D$82-履歴データ!$H$82)*100)</f>
        <v>306.39999999999998</v>
      </c>
      <c r="E82" s="28">
        <f>IF(履歴データ!$A$82="","",(履歴データ!$D$82-履歴データ!$C$82)*100)</f>
        <v>-7.0000000000000284</v>
      </c>
      <c r="F82" s="28">
        <f>IF(履歴データ!$A$82="","",(履歴データ!$R$82-履歴データ!$D$82)*100)</f>
        <v>-153.18999999999997</v>
      </c>
      <c r="G82" s="28">
        <f>IF(履歴データ!$A$82="","",(履歴データ!$S$82-履歴データ!$R$82)*100)</f>
        <v>-177.83299999999994</v>
      </c>
      <c r="H82" s="29">
        <f>IF(履歴データ!$A$82="","",履歴データ!$O$82)</f>
        <v>133.802001953125</v>
      </c>
      <c r="I82" s="29">
        <f>IF(履歴データ!$A$82="","",履歴データ!$Q$82)</f>
        <v>114.734375</v>
      </c>
      <c r="J82" s="29">
        <f>IF(履歴データ!$A$82="","",履歴データ!$D$82)</f>
        <v>3.53</v>
      </c>
      <c r="K82" s="28">
        <f>IF(OR(履歴データ!$A$82="",履歴データ!$A$81=""),"",B82-B81)</f>
        <v>-1.5000000000000568</v>
      </c>
      <c r="L82" s="28">
        <f>IF(OR(履歴データ!$A$82="",履歴データ!$A$81=""),"",C82-C81)</f>
        <v>-0.85000000000000497</v>
      </c>
      <c r="M82" s="28">
        <f>IF(OR(履歴データ!$A$82="",履歴データ!$A$81=""),"",D82-D81)</f>
        <v>10</v>
      </c>
      <c r="N82" s="28">
        <f>IF(OR(履歴データ!$A$82="",履歴データ!$A$81=""),"",E82-E81)</f>
        <v>-4.000000000000048</v>
      </c>
      <c r="O82" s="28">
        <f>IF(OR(履歴データ!$A$82="",履歴データ!$A$81=""),"",F82-F81)</f>
        <v>-10.999999999999972</v>
      </c>
      <c r="P82" s="28">
        <f>IF(OR(履歴データ!$A$82="",履歴データ!$A$81=""),"",G82-G81)</f>
        <v>1.3508214111331824</v>
      </c>
      <c r="Q82" s="29">
        <f>IF(OR(履歴データ!$A$82="",履歴データ!$A$81=""),"",H82-H81)</f>
        <v>0.337005615234375</v>
      </c>
      <c r="R82" s="29">
        <f>IF(OR(履歴データ!$A$82="",履歴データ!$A$81=""),"",I82-I81)</f>
        <v>-0.8125</v>
      </c>
      <c r="S82" s="28">
        <f>IF(OR(履歴データ!$A$82="",履歴データ!$A$81=""),"",(J82-J81)*100)</f>
        <v>9.9999999999999645</v>
      </c>
      <c r="T82" s="11">
        <f>IF(OR(履歴データ!$A$82="",履歴データ!$A$81=""),"",-80000*K82)</f>
        <v>120000.00000000454</v>
      </c>
      <c r="U82" s="11">
        <f>IF(OR(履歴データ!$A$82="",履歴データ!$A$81=""),"",60000*L82)</f>
        <v>-51000.000000000298</v>
      </c>
      <c r="V82" s="11">
        <f>IF(OR(履歴データ!$A$82="",履歴データ!$A$81=""),"",-50000*M82)</f>
        <v>-500000</v>
      </c>
      <c r="W82" s="11">
        <f>IF(OR(履歴データ!$A$82="",履歴データ!$A$81=""),"",-40000*N82)</f>
        <v>160000.00000000192</v>
      </c>
      <c r="X82" s="11">
        <f>IF(OR(履歴データ!$A$82="",履歴データ!$A$81=""),"",120*1000000*(-Q82/H81))</f>
        <v>-303005.84376252606</v>
      </c>
      <c r="Y82" s="11">
        <f>IF(OR(履歴データ!$A$82="",履歴データ!$A$81=""),"",40000*(-S82)+(-506.3)*R82*1000)</f>
        <v>11368.750000001455</v>
      </c>
      <c r="Z82" s="11">
        <f>IF(OR(履歴データ!$A$82="",履歴データ!$A$81=""),"",-40000*O82)</f>
        <v>439999.99999999884</v>
      </c>
      <c r="AA82" s="11">
        <f>IF(OR(履歴データ!$A$82="",履歴データ!$A$81=""),"",-40000*P82)</f>
        <v>-54032.856445327299</v>
      </c>
      <c r="AB82" s="11">
        <f>IF(履歴データ!$A$82="","",123.3)</f>
        <v>123.3</v>
      </c>
      <c r="AC82">
        <f>IF(履歴データ!$A$82="","",SUM(T82:AA82))</f>
        <v>-176669.95020784682</v>
      </c>
      <c r="AD82" s="29">
        <f>IF(履歴データ!$A$82="","",AC82/1000000)</f>
        <v>-0.17666995020784682</v>
      </c>
      <c r="AE82" s="29">
        <f>IF(履歴データ!$A$82="",AE81,AE81+AC82/1000000)</f>
        <v>97.569680559829024</v>
      </c>
      <c r="AF82" s="12">
        <f>IF(OR(履歴データ!$A$82="",AE81=0),"",(AE82-AE81)/AE81)</f>
        <v>-1.8074326999012755E-3</v>
      </c>
      <c r="AG82" s="29">
        <f t="shared" si="5"/>
        <v>102.17217746631495</v>
      </c>
      <c r="AH82" s="12">
        <f>IF(OR(履歴データ!$A$82="",AG82=0),"",AE82/AG82-1)</f>
        <v>-4.5046479585925558E-2</v>
      </c>
      <c r="AJ82" s="28">
        <f t="shared" ca="1" si="3"/>
        <v>-32.048236058130328</v>
      </c>
      <c r="AK82" s="28">
        <f t="shared" ca="1" si="4"/>
        <v>-47.149294806067218</v>
      </c>
    </row>
    <row r="83" spans="1:37">
      <c r="A83" s="10">
        <f>IF(履歴データ!$A$83="","",履歴データ!$A$83)</f>
        <v>45044</v>
      </c>
      <c r="B83" s="28">
        <f>IF(履歴データ!$A$83="","",(履歴データ!$D$83-(履歴データ!$B$83+履歴データ!$F$83)/2)*100)</f>
        <v>-41.5</v>
      </c>
      <c r="C83" s="28">
        <f>IF(履歴データ!$A$83="","",(履歴データ!$H$83-(履歴データ!$G$83+履歴データ!$J$83)/2)*100)</f>
        <v>-19.800000000000008</v>
      </c>
      <c r="D83" s="28">
        <f>IF(履歴データ!$A$83="","",(履歴データ!$D$83-履歴データ!$H$83)*100)</f>
        <v>303.7</v>
      </c>
      <c r="E83" s="28">
        <f>IF(履歴データ!$A$83="","",(履歴データ!$D$83-履歴データ!$C$83)*100)</f>
        <v>-6.999999999999984</v>
      </c>
      <c r="F83" s="28">
        <f>IF(履歴データ!$A$83="","",(履歴データ!$R$83-履歴データ!$D$83)*100)</f>
        <v>-131.38999999999999</v>
      </c>
      <c r="G83" s="28">
        <f>IF(履歴データ!$A$83="","",(履歴データ!$S$83-履歴データ!$R$83)*100)</f>
        <v>-198.52600000000029</v>
      </c>
      <c r="H83" s="29">
        <f>IF(履歴データ!$A$83="","",履歴データ!$O$83)</f>
        <v>133.802001953125</v>
      </c>
      <c r="I83" s="29">
        <f>IF(履歴データ!$A$83="","",履歴データ!$Q$83)</f>
        <v>115.203125</v>
      </c>
      <c r="J83" s="29">
        <f>IF(履歴データ!$A$83="","",履歴データ!$D$83)</f>
        <v>3.44</v>
      </c>
      <c r="K83" s="28">
        <f>IF(OR(履歴データ!$A$83="",履歴データ!$A$82=""),"",B83-B82)</f>
        <v>-2.9999999999999787</v>
      </c>
      <c r="L83" s="28">
        <f>IF(OR(履歴データ!$A$83="",履歴データ!$A$82=""),"",C83-C82)</f>
        <v>-1.3000000000000078</v>
      </c>
      <c r="M83" s="28">
        <f>IF(OR(履歴データ!$A$83="",履歴データ!$A$82=""),"",D83-D82)</f>
        <v>-2.6999999999999886</v>
      </c>
      <c r="N83" s="28">
        <f>IF(OR(履歴データ!$A$83="",履歴データ!$A$82=""),"",E83-E82)</f>
        <v>4.4408920985006262E-14</v>
      </c>
      <c r="O83" s="28">
        <f>IF(OR(履歴データ!$A$83="",履歴データ!$A$82=""),"",F83-F82)</f>
        <v>21.799999999999983</v>
      </c>
      <c r="P83" s="28">
        <f>IF(OR(履歴データ!$A$83="",履歴データ!$A$82=""),"",G83-G82)</f>
        <v>-20.693000000000353</v>
      </c>
      <c r="Q83" s="29">
        <f>IF(OR(履歴データ!$A$83="",履歴データ!$A$82=""),"",H83-H82)</f>
        <v>0</v>
      </c>
      <c r="R83" s="29">
        <f>IF(OR(履歴データ!$A$83="",履歴データ!$A$82=""),"",I83-I82)</f>
        <v>0.46875</v>
      </c>
      <c r="S83" s="28">
        <f>IF(OR(履歴データ!$A$83="",履歴データ!$A$82=""),"",(J83-J82)*100)</f>
        <v>-8.9999999999999858</v>
      </c>
      <c r="T83" s="11">
        <f>IF(OR(履歴データ!$A$83="",履歴データ!$A$82=""),"",-80000*K83)</f>
        <v>239999.99999999828</v>
      </c>
      <c r="U83" s="11">
        <f>IF(OR(履歴データ!$A$83="",履歴データ!$A$82=""),"",60000*L83)</f>
        <v>-78000.000000000466</v>
      </c>
      <c r="V83" s="11">
        <f>IF(OR(履歴データ!$A$83="",履歴データ!$A$82=""),"",-50000*M83)</f>
        <v>134999.99999999942</v>
      </c>
      <c r="W83" s="11">
        <f>IF(OR(履歴データ!$A$83="",履歴データ!$A$82=""),"",-40000*N83)</f>
        <v>-1.7763568394002505E-9</v>
      </c>
      <c r="X83" s="11">
        <f>IF(OR(履歴データ!$A$83="",履歴データ!$A$82=""),"",120*1000000*(-Q83/H82))</f>
        <v>0</v>
      </c>
      <c r="Y83" s="11">
        <f>IF(OR(履歴データ!$A$83="",履歴データ!$A$82=""),"",40000*(-S83)+(-506.3)*R83*1000)</f>
        <v>122671.87499999942</v>
      </c>
      <c r="Z83" s="11">
        <f>IF(OR(履歴データ!$A$83="",履歴データ!$A$82=""),"",-40000*O83)</f>
        <v>-871999.9999999993</v>
      </c>
      <c r="AA83" s="11">
        <f>IF(OR(履歴データ!$A$83="",履歴データ!$A$82=""),"",-40000*P83)</f>
        <v>827720.00000001409</v>
      </c>
      <c r="AB83" s="11">
        <f>IF(履歴データ!$A$83="","",123.3)</f>
        <v>123.3</v>
      </c>
      <c r="AC83">
        <f>IF(履歴データ!$A$83="","",SUM(T83:AA83))</f>
        <v>375391.8750000096</v>
      </c>
      <c r="AD83" s="29">
        <f>IF(履歴データ!$A$83="","",AC83/1000000)</f>
        <v>0.37539187500000959</v>
      </c>
      <c r="AE83" s="29">
        <f>IF(履歴データ!$A$83="",AE82,AE82+AC83/1000000)</f>
        <v>97.945072434829029</v>
      </c>
      <c r="AF83" s="12">
        <f>IF(OR(履歴データ!$A$83="",AE82=0),"",(AE83-AE82)/AE82)</f>
        <v>3.8474234295542025E-3</v>
      </c>
      <c r="AG83" s="29">
        <f t="shared" si="5"/>
        <v>102.17217746631495</v>
      </c>
      <c r="AH83" s="12">
        <f>IF(OR(履歴データ!$A$83="",AG83=0),"",AE83/AG83-1)</f>
        <v>-4.1372369037349199E-2</v>
      </c>
      <c r="AJ83" s="28">
        <f t="shared" ca="1" si="3"/>
        <v>-32.106434799991014</v>
      </c>
      <c r="AK83" s="28">
        <f t="shared" ca="1" si="4"/>
        <v>-47.137467639033382</v>
      </c>
    </row>
    <row r="84" spans="1:37">
      <c r="A84" s="10">
        <f>IF(履歴データ!$A$84="","",履歴データ!$A$84)</f>
        <v>45047</v>
      </c>
      <c r="B84" s="28">
        <f>IF(履歴データ!$A$84="","",(履歴データ!$D$84-(履歴データ!$B$84+履歴データ!$F$84)/2)*100)</f>
        <v>-39.999999999999993</v>
      </c>
      <c r="C84" s="28">
        <f>IF(履歴データ!$A$84="","",(履歴データ!$H$84-(履歴データ!$G$84+履歴データ!$J$84)/2)*100)</f>
        <v>-20.400000000000002</v>
      </c>
      <c r="D84" s="28">
        <f>IF(履歴データ!$A$84="","",(履歴データ!$D$84-履歴データ!$H$84)*100)</f>
        <v>317.7</v>
      </c>
      <c r="E84" s="28">
        <f>IF(履歴データ!$A$84="","",(履歴データ!$D$84-履歴データ!$C$84)*100)</f>
        <v>-5.0000000000000266</v>
      </c>
      <c r="F84" s="28">
        <f>IF(履歴データ!$A$84="","",(履歴データ!$R$84-履歴データ!$D$84)*100)</f>
        <v>-154.75</v>
      </c>
      <c r="G84" s="28">
        <f>IF(履歴データ!$A$84="","",(履歴データ!$S$84-履歴データ!$R$84)*100)</f>
        <v>-191.04300000000012</v>
      </c>
      <c r="H84" s="29">
        <f>IF(履歴データ!$A$84="","",履歴データ!$O$84)</f>
        <v>137.52099609375</v>
      </c>
      <c r="I84" s="29">
        <f>IF(履歴データ!$A$84="","",履歴データ!$Q$84)</f>
        <v>114.5</v>
      </c>
      <c r="J84" s="29">
        <f>IF(履歴データ!$A$84="","",履歴データ!$D$84)</f>
        <v>3.59</v>
      </c>
      <c r="K84" s="28">
        <f>IF(OR(履歴データ!$A$84="",履歴データ!$A$83=""),"",B84-B83)</f>
        <v>1.5000000000000071</v>
      </c>
      <c r="L84" s="28">
        <f>IF(OR(履歴データ!$A$84="",履歴データ!$A$83=""),"",C84-C83)</f>
        <v>-0.59999999999999432</v>
      </c>
      <c r="M84" s="28">
        <f>IF(OR(履歴データ!$A$84="",履歴データ!$A$83=""),"",D84-D83)</f>
        <v>14</v>
      </c>
      <c r="N84" s="28">
        <f>IF(OR(履歴データ!$A$84="",履歴データ!$A$83=""),"",E84-E83)</f>
        <v>1.9999999999999574</v>
      </c>
      <c r="O84" s="28">
        <f>IF(OR(履歴データ!$A$84="",履歴データ!$A$83=""),"",F84-F83)</f>
        <v>-23.360000000000014</v>
      </c>
      <c r="P84" s="28">
        <f>IF(OR(履歴データ!$A$84="",履歴データ!$A$83=""),"",G84-G83)</f>
        <v>7.4830000000001746</v>
      </c>
      <c r="Q84" s="29">
        <f>IF(OR(履歴データ!$A$84="",履歴データ!$A$83=""),"",H84-H83)</f>
        <v>3.718994140625</v>
      </c>
      <c r="R84" s="29">
        <f>IF(OR(履歴データ!$A$84="",履歴データ!$A$83=""),"",I84-I83)</f>
        <v>-0.703125</v>
      </c>
      <c r="S84" s="28">
        <f>IF(OR(履歴データ!$A$84="",履歴データ!$A$83=""),"",(J84-J83)*100)</f>
        <v>14.999999999999991</v>
      </c>
      <c r="T84" s="11">
        <f>IF(OR(履歴データ!$A$84="",履歴データ!$A$83=""),"",-80000*K84)</f>
        <v>-120000.00000000057</v>
      </c>
      <c r="U84" s="11">
        <f>IF(OR(履歴データ!$A$84="",履歴データ!$A$83=""),"",60000*L84)</f>
        <v>-35999.999999999658</v>
      </c>
      <c r="V84" s="11">
        <f>IF(OR(履歴データ!$A$84="",履歴データ!$A$83=""),"",-50000*M84)</f>
        <v>-700000</v>
      </c>
      <c r="W84" s="11">
        <f>IF(OR(履歴データ!$A$84="",履歴データ!$A$83=""),"",-40000*N84)</f>
        <v>-79999.999999998297</v>
      </c>
      <c r="X84" s="11">
        <f>IF(OR(履歴データ!$A$84="",履歴データ!$A$83=""),"",120*1000000*(-Q84/H83))</f>
        <v>-3335370.8491696971</v>
      </c>
      <c r="Y84" s="11">
        <f>IF(OR(履歴データ!$A$84="",履歴データ!$A$83=""),"",40000*(-S84)+(-506.3)*R84*1000)</f>
        <v>-244007.81249999965</v>
      </c>
      <c r="Z84" s="11">
        <f>IF(OR(履歴データ!$A$84="",履歴データ!$A$83=""),"",-40000*O84)</f>
        <v>934400.00000000058</v>
      </c>
      <c r="AA84" s="11">
        <f>IF(OR(履歴データ!$A$84="",履歴データ!$A$83=""),"",-40000*P84)</f>
        <v>-299320.00000000698</v>
      </c>
      <c r="AB84" s="11">
        <f>IF(履歴データ!$A$84="","",123.3)</f>
        <v>123.3</v>
      </c>
      <c r="AC84">
        <f>IF(履歴データ!$A$84="","",SUM(T84:AA84))</f>
        <v>-3880298.6616697023</v>
      </c>
      <c r="AD84" s="29">
        <f>IF(履歴データ!$A$84="","",AC84/1000000)</f>
        <v>-3.8802986616697024</v>
      </c>
      <c r="AE84" s="29">
        <f>IF(履歴データ!$A$84="",AE83,AE83+AC84/1000000)</f>
        <v>94.064773773159331</v>
      </c>
      <c r="AF84" s="12">
        <f>IF(OR(履歴データ!$A$84="",AE83=0),"",(AE84-AE83)/AE83)</f>
        <v>-3.9617089101154961E-2</v>
      </c>
      <c r="AG84" s="29">
        <f t="shared" si="5"/>
        <v>102.17217746631495</v>
      </c>
      <c r="AH84" s="12">
        <f>IF(OR(履歴データ!$A$84="",AG84=0),"",AE84/AG84-1)</f>
        <v>-7.9350405308025618E-2</v>
      </c>
      <c r="AJ84" s="28">
        <f t="shared" ca="1" si="3"/>
        <v>-32.156495455824299</v>
      </c>
      <c r="AK84" s="28">
        <f t="shared" ca="1" si="4"/>
        <v>-47.096516592368488</v>
      </c>
    </row>
    <row r="85" spans="1:37">
      <c r="A85" s="10">
        <f>IF(履歴データ!$A$85="","",履歴データ!$A$85)</f>
        <v>45048</v>
      </c>
      <c r="B85" s="28">
        <f>IF(履歴データ!$A$85="","",(履歴データ!$D$85-(履歴データ!$B$85+履歴データ!$F$85)/2)*100)</f>
        <v>-40.500000000000028</v>
      </c>
      <c r="C85" s="28">
        <f>IF(履歴データ!$A$85="","",(履歴データ!$H$85-(履歴データ!$G$85+履歴データ!$J$85)/2)*100)</f>
        <v>-20.050000000000008</v>
      </c>
      <c r="D85" s="28">
        <f>IF(履歴データ!$A$85="","",(履歴データ!$D$85-履歴データ!$H$85)*100)</f>
        <v>301.2</v>
      </c>
      <c r="E85" s="28">
        <f>IF(履歴データ!$A$85="","",(履歴データ!$D$85-履歴データ!$C$85)*100)</f>
        <v>-2.0000000000000018</v>
      </c>
      <c r="F85" s="28">
        <f>IF(履歴データ!$A$85="","",(履歴データ!$R$85-履歴データ!$D$85)*100)</f>
        <v>-139.75</v>
      </c>
      <c r="G85" s="28">
        <f>IF(履歴データ!$A$85="","",(履歴データ!$S$85-履歴データ!$R$85)*100)</f>
        <v>-189.46435717773434</v>
      </c>
      <c r="H85" s="29">
        <f>IF(履歴データ!$A$85="","",履歴データ!$O$85)</f>
        <v>136.46600341796875</v>
      </c>
      <c r="I85" s="29">
        <f>IF(履歴データ!$A$85="","",履歴データ!$Q$85)</f>
        <v>115.5625</v>
      </c>
      <c r="J85" s="29">
        <f>IF(履歴データ!$A$85="","",履歴データ!$D$85)</f>
        <v>3.44</v>
      </c>
      <c r="K85" s="28">
        <f>IF(OR(履歴データ!$A$85="",履歴データ!$A$84=""),"",B85-B84)</f>
        <v>-0.50000000000003553</v>
      </c>
      <c r="L85" s="28">
        <f>IF(OR(履歴データ!$A$85="",履歴データ!$A$84=""),"",C85-C84)</f>
        <v>0.34999999999999432</v>
      </c>
      <c r="M85" s="28">
        <f>IF(OR(履歴データ!$A$85="",履歴データ!$A$84=""),"",D85-D84)</f>
        <v>-16.5</v>
      </c>
      <c r="N85" s="28">
        <f>IF(OR(履歴データ!$A$85="",履歴データ!$A$84=""),"",E85-E84)</f>
        <v>3.0000000000000249</v>
      </c>
      <c r="O85" s="28">
        <f>IF(OR(履歴データ!$A$85="",履歴データ!$A$84=""),"",F85-F84)</f>
        <v>15</v>
      </c>
      <c r="P85" s="28">
        <f>IF(OR(履歴データ!$A$85="",履歴データ!$A$84=""),"",G85-G84)</f>
        <v>1.5786428222657776</v>
      </c>
      <c r="Q85" s="29">
        <f>IF(OR(履歴データ!$A$85="",履歴データ!$A$84=""),"",H85-H84)</f>
        <v>-1.05499267578125</v>
      </c>
      <c r="R85" s="29">
        <f>IF(OR(履歴データ!$A$85="",履歴データ!$A$84=""),"",I85-I84)</f>
        <v>1.0625</v>
      </c>
      <c r="S85" s="28">
        <f>IF(OR(履歴データ!$A$85="",履歴データ!$A$84=""),"",(J85-J84)*100)</f>
        <v>-14.999999999999991</v>
      </c>
      <c r="T85" s="11">
        <f>IF(OR(履歴データ!$A$85="",履歴データ!$A$84=""),"",-80000*K85)</f>
        <v>40000.000000002845</v>
      </c>
      <c r="U85" s="11">
        <f>IF(OR(履歴データ!$A$85="",履歴データ!$A$84=""),"",60000*L85)</f>
        <v>20999.999999999658</v>
      </c>
      <c r="V85" s="11">
        <f>IF(OR(履歴データ!$A$85="",履歴データ!$A$84=""),"",-50000*M85)</f>
        <v>825000</v>
      </c>
      <c r="W85" s="11">
        <f>IF(OR(履歴データ!$A$85="",履歴データ!$A$84=""),"",-40000*N85)</f>
        <v>-120000.00000000099</v>
      </c>
      <c r="X85" s="11">
        <f>IF(OR(履歴データ!$A$85="",履歴データ!$A$84=""),"",120*1000000*(-Q85/H84))</f>
        <v>920580.30911473033</v>
      </c>
      <c r="Y85" s="11">
        <f>IF(OR(履歴データ!$A$85="",履歴データ!$A$84=""),"",40000*(-S85)+(-506.3)*R85*1000)</f>
        <v>62056.249999999651</v>
      </c>
      <c r="Z85" s="11">
        <f>IF(OR(履歴データ!$A$85="",履歴データ!$A$84=""),"",-40000*O85)</f>
        <v>-600000</v>
      </c>
      <c r="AA85" s="11">
        <f>IF(OR(履歴データ!$A$85="",履歴データ!$A$84=""),"",-40000*P85)</f>
        <v>-63145.712890631105</v>
      </c>
      <c r="AB85" s="11">
        <f>IF(履歴データ!$A$85="","",123.3)</f>
        <v>123.3</v>
      </c>
      <c r="AC85">
        <f>IF(履歴データ!$A$85="","",SUM(T85:AA85))</f>
        <v>1085490.8462241003</v>
      </c>
      <c r="AD85" s="29">
        <f>IF(履歴データ!$A$85="","",AC85/1000000)</f>
        <v>1.0854908462241004</v>
      </c>
      <c r="AE85" s="29">
        <f>IF(履歴データ!$A$85="",AE84,AE84+AC85/1000000)</f>
        <v>95.150264619383435</v>
      </c>
      <c r="AF85" s="12">
        <f>IF(OR(履歴データ!$A$85="",AE84=0),"",(AE85-AE84)/AE84)</f>
        <v>1.153982306747269E-2</v>
      </c>
      <c r="AG85" s="29">
        <f t="shared" si="5"/>
        <v>102.17217746631495</v>
      </c>
      <c r="AH85" s="12">
        <f>IF(OR(履歴データ!$A$85="",AG85=0),"",AE85/AG85-1)</f>
        <v>-6.8726271878139844E-2</v>
      </c>
      <c r="AJ85" s="28">
        <f t="shared" ca="1" si="3"/>
        <v>-32.209584321319419</v>
      </c>
      <c r="AK85" s="28">
        <f t="shared" ca="1" si="4"/>
        <v>-47.064225202490114</v>
      </c>
    </row>
    <row r="86" spans="1:37">
      <c r="A86" s="10">
        <f>IF(履歴データ!$A$86="","",履歴データ!$A$86)</f>
        <v>45049</v>
      </c>
      <c r="B86" s="28">
        <f>IF(履歴データ!$A$86="","",(履歴データ!$D$86-(履歴データ!$B$86+履歴データ!$F$86)/2)*100)</f>
        <v>-41.5</v>
      </c>
      <c r="C86" s="28">
        <f>IF(履歴データ!$A$86="","",(履歴データ!$H$86-(履歴データ!$G$86+履歴データ!$J$86)/2)*100)</f>
        <v>-20.050000000000008</v>
      </c>
      <c r="D86" s="28">
        <f>IF(履歴データ!$A$86="","",(履歴データ!$D$86-履歴データ!$H$86)*100)</f>
        <v>295.2</v>
      </c>
      <c r="E86" s="28">
        <f>IF(履歴データ!$A$86="","",(履歴データ!$D$86-履歴データ!$C$86)*100)</f>
        <v>0.99999999999997868</v>
      </c>
      <c r="F86" s="28">
        <f>IF(履歴データ!$A$86="","",(履歴データ!$R$86-履歴データ!$D$86)*100)</f>
        <v>-143.90999999999997</v>
      </c>
      <c r="G86" s="28">
        <f>IF(履歴データ!$A$86="","",(履歴データ!$S$86-履歴データ!$R$86)*100)</f>
        <v>-179.30435717773437</v>
      </c>
      <c r="H86" s="29">
        <f>IF(履歴データ!$A$86="","",履歴データ!$O$86)</f>
        <v>134.54400634765625</v>
      </c>
      <c r="I86" s="29">
        <f>IF(履歴データ!$A$86="","",履歴データ!$Q$86)</f>
        <v>115.90625</v>
      </c>
      <c r="J86" s="29">
        <f>IF(履歴データ!$A$86="","",履歴データ!$D$86)</f>
        <v>3.38</v>
      </c>
      <c r="K86" s="28">
        <f>IF(OR(履歴データ!$A$86="",履歴データ!$A$85=""),"",B86-B85)</f>
        <v>-0.99999999999997158</v>
      </c>
      <c r="L86" s="28">
        <f>IF(OR(履歴データ!$A$86="",履歴データ!$A$85=""),"",C86-C85)</f>
        <v>0</v>
      </c>
      <c r="M86" s="28">
        <f>IF(OR(履歴データ!$A$86="",履歴データ!$A$85=""),"",D86-D85)</f>
        <v>-6</v>
      </c>
      <c r="N86" s="28">
        <f>IF(OR(履歴データ!$A$86="",履歴データ!$A$85=""),"",E86-E85)</f>
        <v>2.9999999999999805</v>
      </c>
      <c r="O86" s="28">
        <f>IF(OR(履歴データ!$A$86="",履歴データ!$A$85=""),"",F86-F85)</f>
        <v>-4.1599999999999682</v>
      </c>
      <c r="P86" s="28">
        <f>IF(OR(履歴データ!$A$86="",履歴データ!$A$85=""),"",G86-G85)</f>
        <v>10.159999999999968</v>
      </c>
      <c r="Q86" s="29">
        <f>IF(OR(履歴データ!$A$86="",履歴データ!$A$85=""),"",H86-H85)</f>
        <v>-1.9219970703125</v>
      </c>
      <c r="R86" s="29">
        <f>IF(OR(履歴データ!$A$86="",履歴データ!$A$85=""),"",I86-I85)</f>
        <v>0.34375</v>
      </c>
      <c r="S86" s="28">
        <f>IF(OR(履歴データ!$A$86="",履歴データ!$A$85=""),"",(J86-J85)*100)</f>
        <v>-6.0000000000000053</v>
      </c>
      <c r="T86" s="11">
        <f>IF(OR(履歴データ!$A$86="",履歴データ!$A$85=""),"",-80000*K86)</f>
        <v>79999.99999999773</v>
      </c>
      <c r="U86" s="11">
        <f>IF(OR(履歴データ!$A$86="",履歴データ!$A$85=""),"",60000*L86)</f>
        <v>0</v>
      </c>
      <c r="V86" s="11">
        <f>IF(OR(履歴データ!$A$86="",履歴データ!$A$85=""),"",-50000*M86)</f>
        <v>300000</v>
      </c>
      <c r="W86" s="11">
        <f>IF(OR(履歴データ!$A$86="",履歴データ!$A$85=""),"",-40000*N86)</f>
        <v>-119999.99999999921</v>
      </c>
      <c r="X86" s="11">
        <f>IF(OR(履歴データ!$A$86="",履歴データ!$A$85=""),"",120*1000000*(-Q86/H85))</f>
        <v>1690088.6862722561</v>
      </c>
      <c r="Y86" s="11">
        <f>IF(OR(履歴データ!$A$86="",履歴データ!$A$85=""),"",40000*(-S86)+(-506.3)*R86*1000)</f>
        <v>65959.375000000204</v>
      </c>
      <c r="Z86" s="11">
        <f>IF(OR(履歴データ!$A$86="",履歴データ!$A$85=""),"",-40000*O86)</f>
        <v>166399.99999999872</v>
      </c>
      <c r="AA86" s="11">
        <f>IF(OR(履歴データ!$A$86="",履歴データ!$A$85=""),"",-40000*P86)</f>
        <v>-406399.99999999872</v>
      </c>
      <c r="AB86" s="11">
        <f>IF(履歴データ!$A$86="","",123.3)</f>
        <v>123.3</v>
      </c>
      <c r="AC86">
        <f>IF(履歴データ!$A$86="","",SUM(T86:AA86))</f>
        <v>1776048.0612722551</v>
      </c>
      <c r="AD86" s="29">
        <f>IF(履歴データ!$A$86="","",AC86/1000000)</f>
        <v>1.7760480612722551</v>
      </c>
      <c r="AE86" s="29">
        <f>IF(履歴データ!$A$86="",AE85,AE85+AC86/1000000)</f>
        <v>96.926312680655684</v>
      </c>
      <c r="AF86" s="12">
        <f>IF(OR(履歴データ!$A$86="",AE85=0),"",(AE86-AE85)/AE85)</f>
        <v>1.8665718570271252E-2</v>
      </c>
      <c r="AG86" s="29">
        <f t="shared" si="5"/>
        <v>102.17217746631495</v>
      </c>
      <c r="AH86" s="12">
        <f>IF(OR(履歴データ!$A$86="",AG86=0),"",AE86/AG86-1)</f>
        <v>-5.1343378557129893E-2</v>
      </c>
      <c r="AJ86" s="28">
        <f t="shared" ca="1" si="3"/>
        <v>-32.264791565491592</v>
      </c>
      <c r="AK86" s="28">
        <f t="shared" ca="1" si="4"/>
        <v>-47.052855493331947</v>
      </c>
    </row>
    <row r="87" spans="1:37">
      <c r="A87" s="10">
        <f>IF(履歴データ!$A$87="","",履歴データ!$A$87)</f>
        <v>45050</v>
      </c>
      <c r="B87" s="28">
        <f>IF(履歴データ!$A$87="","",(履歴データ!$D$87-(履歴データ!$B$87+履歴データ!$F$87)/2)*100)</f>
        <v>-37.000000000000014</v>
      </c>
      <c r="C87" s="28">
        <f>IF(履歴データ!$A$87="","",(履歴データ!$H$87-(履歴データ!$G$87+履歴データ!$J$87)/2)*100)</f>
        <v>-20.050000000000008</v>
      </c>
      <c r="D87" s="28">
        <f>IF(履歴データ!$A$87="","",(履歴データ!$D$87-履歴データ!$H$87)*100)</f>
        <v>294.20000000000005</v>
      </c>
      <c r="E87" s="28">
        <f>IF(履歴データ!$A$87="","",(履歴データ!$D$87-履歴データ!$C$87)*100)</f>
        <v>8.0000000000000071</v>
      </c>
      <c r="F87" s="28">
        <f>IF(履歴データ!$A$87="","",(履歴データ!$R$87-履歴データ!$D$87)*100)</f>
        <v>-144.20000000000002</v>
      </c>
      <c r="G87" s="28">
        <f>IF(履歴データ!$A$87="","",(履歴データ!$S$87-履歴データ!$R$87)*100)</f>
        <v>-178.01435717773435</v>
      </c>
      <c r="H87" s="29">
        <f>IF(履歴データ!$A$87="","",履歴データ!$O$87)</f>
        <v>134.17900085449219</v>
      </c>
      <c r="I87" s="29">
        <f>IF(履歴データ!$A$87="","",履歴データ!$Q$87)</f>
        <v>116.5625</v>
      </c>
      <c r="J87" s="29">
        <f>IF(履歴データ!$A$87="","",履歴データ!$D$87)</f>
        <v>3.37</v>
      </c>
      <c r="K87" s="28">
        <f>IF(OR(履歴データ!$A$87="",履歴データ!$A$86=""),"",B87-B86)</f>
        <v>4.4999999999999858</v>
      </c>
      <c r="L87" s="28">
        <f>IF(OR(履歴データ!$A$87="",履歴データ!$A$86=""),"",C87-C86)</f>
        <v>0</v>
      </c>
      <c r="M87" s="28">
        <f>IF(OR(履歴データ!$A$87="",履歴データ!$A$86=""),"",D87-D86)</f>
        <v>-0.99999999999994316</v>
      </c>
      <c r="N87" s="28">
        <f>IF(OR(履歴データ!$A$87="",履歴データ!$A$86=""),"",E87-E86)</f>
        <v>7.0000000000000284</v>
      </c>
      <c r="O87" s="28">
        <f>IF(OR(履歴データ!$A$87="",履歴データ!$A$86=""),"",F87-F86)</f>
        <v>-0.29000000000004889</v>
      </c>
      <c r="P87" s="28">
        <f>IF(OR(履歴データ!$A$87="",履歴データ!$A$86=""),"",G87-G86)</f>
        <v>1.2900000000000205</v>
      </c>
      <c r="Q87" s="29">
        <f>IF(OR(履歴データ!$A$87="",履歴データ!$A$86=""),"",H87-H86)</f>
        <v>-0.3650054931640625</v>
      </c>
      <c r="R87" s="29">
        <f>IF(OR(履歴データ!$A$87="",履歴データ!$A$86=""),"",I87-I86)</f>
        <v>0.65625</v>
      </c>
      <c r="S87" s="28">
        <f>IF(OR(履歴データ!$A$87="",履歴データ!$A$86=""),"",(J87-J86)*100)</f>
        <v>-0.99999999999997868</v>
      </c>
      <c r="T87" s="11">
        <f>IF(OR(履歴データ!$A$87="",履歴データ!$A$86=""),"",-80000*K87)</f>
        <v>-359999.99999999884</v>
      </c>
      <c r="U87" s="11">
        <f>IF(OR(履歴データ!$A$87="",履歴データ!$A$86=""),"",60000*L87)</f>
        <v>0</v>
      </c>
      <c r="V87" s="11">
        <f>IF(OR(履歴データ!$A$87="",履歴データ!$A$86=""),"",-50000*M87)</f>
        <v>49999.999999997155</v>
      </c>
      <c r="W87" s="11">
        <f>IF(OR(履歴データ!$A$87="",履歴データ!$A$86=""),"",-40000*N87)</f>
        <v>-280000.00000000116</v>
      </c>
      <c r="X87" s="11">
        <f>IF(OR(履歴データ!$A$87="",履歴データ!$A$86=""),"",120*1000000*(-Q87/H86))</f>
        <v>325548.94393815188</v>
      </c>
      <c r="Y87" s="11">
        <f>IF(OR(履歴データ!$A$87="",履歴データ!$A$86=""),"",40000*(-S87)+(-506.3)*R87*1000)</f>
        <v>-292259.37500000093</v>
      </c>
      <c r="Z87" s="11">
        <f>IF(OR(履歴データ!$A$87="",履歴データ!$A$86=""),"",-40000*O87)</f>
        <v>11600.000000001955</v>
      </c>
      <c r="AA87" s="11">
        <f>IF(OR(履歴データ!$A$87="",履歴データ!$A$86=""),"",-40000*P87)</f>
        <v>-51600.000000000815</v>
      </c>
      <c r="AB87" s="11">
        <f>IF(履歴データ!$A$87="","",123.3)</f>
        <v>123.3</v>
      </c>
      <c r="AC87">
        <f>IF(履歴データ!$A$87="","",SUM(T87:AA87))</f>
        <v>-596710.43106185063</v>
      </c>
      <c r="AD87" s="29">
        <f>IF(履歴データ!$A$87="","",AC87/1000000)</f>
        <v>-0.59671043106185062</v>
      </c>
      <c r="AE87" s="29">
        <f>IF(履歴データ!$A$87="",AE86,AE86+AC87/1000000)</f>
        <v>96.329602249593833</v>
      </c>
      <c r="AF87" s="12">
        <f>IF(OR(履歴データ!$A$87="",AE86=0),"",(AE87-AE86)/AE86)</f>
        <v>-6.1563306656247218E-3</v>
      </c>
      <c r="AG87" s="29">
        <f t="shared" si="5"/>
        <v>102.17217746631495</v>
      </c>
      <c r="AH87" s="12">
        <f>IF(OR(履歴データ!$A$87="",AG87=0),"",AE87/AG87-1)</f>
        <v>-5.7183622406866585E-2</v>
      </c>
      <c r="AJ87" s="28">
        <f t="shared" ca="1" si="3"/>
        <v>-32.255165373958299</v>
      </c>
      <c r="AK87" s="28">
        <f t="shared" ca="1" si="4"/>
        <v>-47.000648579530086</v>
      </c>
    </row>
    <row r="88" spans="1:37">
      <c r="A88" s="10">
        <f>IF(履歴データ!$A$88="","",履歴データ!$A$88)</f>
        <v>45051</v>
      </c>
      <c r="B88" s="28">
        <f>IF(履歴データ!$A$88="","",(履歴データ!$D$88-(履歴データ!$B$88+履歴データ!$F$88)/2)*100)</f>
        <v>-39.999999999999993</v>
      </c>
      <c r="C88" s="28">
        <f>IF(履歴データ!$A$88="","",(履歴データ!$H$88-(履歴データ!$G$88+履歴データ!$J$88)/2)*100)</f>
        <v>-20.050000000000008</v>
      </c>
      <c r="D88" s="28">
        <f>IF(履歴データ!$A$88="","",(履歴データ!$D$88-履歴データ!$H$88)*100)</f>
        <v>301.2</v>
      </c>
      <c r="E88" s="28">
        <f>IF(履歴データ!$A$88="","",(履歴データ!$D$88-履歴データ!$C$88)*100)</f>
        <v>2.9999999999999805</v>
      </c>
      <c r="F88" s="28">
        <f>IF(履歴データ!$A$88="","",(履歴データ!$R$88-履歴データ!$D$88)*100)</f>
        <v>-147.62</v>
      </c>
      <c r="G88" s="28">
        <f>IF(履歴データ!$A$88="","",(履歴データ!$S$88-履歴データ!$R$88)*100)</f>
        <v>-181.59435717773437</v>
      </c>
      <c r="H88" s="29">
        <f>IF(履歴データ!$A$88="","",履歴データ!$O$88)</f>
        <v>134.17900085449219</v>
      </c>
      <c r="I88" s="29">
        <f>IF(履歴データ!$A$88="","",履歴データ!$Q$88)</f>
        <v>115.71875</v>
      </c>
      <c r="J88" s="29">
        <f>IF(履歴データ!$A$88="","",履歴データ!$D$88)</f>
        <v>3.44</v>
      </c>
      <c r="K88" s="28">
        <f>IF(OR(履歴データ!$A$88="",履歴データ!$A$87=""),"",B88-B87)</f>
        <v>-2.9999999999999787</v>
      </c>
      <c r="L88" s="28">
        <f>IF(OR(履歴データ!$A$88="",履歴データ!$A$87=""),"",C88-C87)</f>
        <v>0</v>
      </c>
      <c r="M88" s="28">
        <f>IF(OR(履歴データ!$A$88="",履歴データ!$A$87=""),"",D88-D87)</f>
        <v>6.9999999999999432</v>
      </c>
      <c r="N88" s="28">
        <f>IF(OR(履歴データ!$A$88="",履歴データ!$A$87=""),"",E88-E87)</f>
        <v>-5.0000000000000266</v>
      </c>
      <c r="O88" s="28">
        <f>IF(OR(履歴データ!$A$88="",履歴データ!$A$87=""),"",F88-F87)</f>
        <v>-3.4199999999999875</v>
      </c>
      <c r="P88" s="28">
        <f>IF(OR(履歴データ!$A$88="",履歴データ!$A$87=""),"",G88-G87)</f>
        <v>-3.5800000000000125</v>
      </c>
      <c r="Q88" s="29">
        <f>IF(OR(履歴データ!$A$88="",履歴データ!$A$87=""),"",H88-H87)</f>
        <v>0</v>
      </c>
      <c r="R88" s="29">
        <f>IF(OR(履歴データ!$A$88="",履歴データ!$A$87=""),"",I88-I87)</f>
        <v>-0.84375</v>
      </c>
      <c r="S88" s="28">
        <f>IF(OR(履歴データ!$A$88="",履歴データ!$A$87=""),"",(J88-J87)*100)</f>
        <v>6.999999999999984</v>
      </c>
      <c r="T88" s="11">
        <f>IF(OR(履歴データ!$A$88="",履歴データ!$A$87=""),"",-80000*K88)</f>
        <v>239999.99999999828</v>
      </c>
      <c r="U88" s="11">
        <f>IF(OR(履歴データ!$A$88="",履歴データ!$A$87=""),"",60000*L88)</f>
        <v>0</v>
      </c>
      <c r="V88" s="11">
        <f>IF(OR(履歴データ!$A$88="",履歴データ!$A$87=""),"",-50000*M88)</f>
        <v>-349999.99999999715</v>
      </c>
      <c r="W88" s="11">
        <f>IF(OR(履歴データ!$A$88="",履歴データ!$A$87=""),"",-40000*N88)</f>
        <v>200000.00000000108</v>
      </c>
      <c r="X88" s="11">
        <f>IF(OR(履歴データ!$A$88="",履歴データ!$A$87=""),"",120*1000000*(-Q88/H87))</f>
        <v>0</v>
      </c>
      <c r="Y88" s="11">
        <f>IF(OR(履歴データ!$A$88="",履歴データ!$A$87=""),"",40000*(-S88)+(-506.3)*R88*1000)</f>
        <v>147190.62500000064</v>
      </c>
      <c r="Z88" s="11">
        <f>IF(OR(履歴データ!$A$88="",履歴データ!$A$87=""),"",-40000*O88)</f>
        <v>136799.99999999951</v>
      </c>
      <c r="AA88" s="11">
        <f>IF(OR(履歴データ!$A$88="",履歴データ!$A$87=""),"",-40000*P88)</f>
        <v>143200.00000000049</v>
      </c>
      <c r="AB88" s="11">
        <f>IF(履歴データ!$A$88="","",123.3)</f>
        <v>123.3</v>
      </c>
      <c r="AC88">
        <f>IF(履歴データ!$A$88="","",SUM(T88:AA88))</f>
        <v>517190.62500000279</v>
      </c>
      <c r="AD88" s="29">
        <f>IF(履歴データ!$A$88="","",AC88/1000000)</f>
        <v>0.51719062500000279</v>
      </c>
      <c r="AE88" s="29">
        <f>IF(履歴データ!$A$88="",AE87,AE87+AC88/1000000)</f>
        <v>96.846792874593831</v>
      </c>
      <c r="AF88" s="12">
        <f>IF(OR(履歴データ!$A$88="",AE87=0),"",(AE88-AE87)/AE87)</f>
        <v>5.3689687585331903E-3</v>
      </c>
      <c r="AG88" s="29">
        <f t="shared" si="5"/>
        <v>102.17217746631495</v>
      </c>
      <c r="AH88" s="12">
        <f>IF(OR(履歴データ!$A$88="",AG88=0),"",AE88/AG88-1)</f>
        <v>-5.2121670730535641E-2</v>
      </c>
      <c r="AJ88" s="28">
        <f t="shared" ca="1" si="3"/>
        <v>-32.30199819683699</v>
      </c>
      <c r="AK88" s="28">
        <f t="shared" ca="1" si="4"/>
        <v>-46.962369619254972</v>
      </c>
    </row>
    <row r="89" spans="1:37">
      <c r="A89" s="10">
        <f>IF(履歴データ!$A$89="","",履歴データ!$A$89)</f>
        <v>45054</v>
      </c>
      <c r="B89" s="28">
        <f>IF(履歴データ!$A$89="","",(履歴データ!$D$89-(履歴データ!$B$89+履歴データ!$F$89)/2)*100)</f>
        <v>-39.999999999999993</v>
      </c>
      <c r="C89" s="28">
        <f>IF(履歴データ!$A$89="","",(履歴データ!$H$89-(履歴データ!$G$89+履歴データ!$J$89)/2)*100)</f>
        <v>-19.8</v>
      </c>
      <c r="D89" s="28">
        <f>IF(履歴データ!$A$89="","",(履歴データ!$D$89-履歴データ!$H$89)*100)</f>
        <v>309.60000000000002</v>
      </c>
      <c r="E89" s="28">
        <f>IF(履歴データ!$A$89="","",(履歴データ!$D$89-履歴データ!$C$89)*100)</f>
        <v>2.9999999999999805</v>
      </c>
      <c r="F89" s="28">
        <f>IF(履歴データ!$A$89="","",(履歴データ!$R$89-履歴データ!$D$89)*100)</f>
        <v>-141.22</v>
      </c>
      <c r="G89" s="28">
        <f>IF(履歴データ!$A$89="","",(履歴データ!$S$89-履歴データ!$R$89)*100)</f>
        <v>-195.8190000000001</v>
      </c>
      <c r="H89" s="29">
        <f>IF(履歴データ!$A$89="","",履歴データ!$O$89)</f>
        <v>135.072998046875</v>
      </c>
      <c r="I89" s="29">
        <f>IF(履歴データ!$A$89="","",履歴データ!$Q$89)</f>
        <v>115.171875</v>
      </c>
      <c r="J89" s="29">
        <f>IF(履歴データ!$A$89="","",履歴データ!$D$89)</f>
        <v>3.52</v>
      </c>
      <c r="K89" s="28">
        <f>IF(OR(履歴データ!$A$89="",履歴データ!$A$88=""),"",B89-B88)</f>
        <v>0</v>
      </c>
      <c r="L89" s="28">
        <f>IF(OR(履歴データ!$A$89="",履歴データ!$A$88=""),"",C89-C88)</f>
        <v>0.25000000000000711</v>
      </c>
      <c r="M89" s="28">
        <f>IF(OR(履歴データ!$A$89="",履歴データ!$A$88=""),"",D89-D88)</f>
        <v>8.4000000000000341</v>
      </c>
      <c r="N89" s="28">
        <f>IF(OR(履歴データ!$A$89="",履歴データ!$A$88=""),"",E89-E88)</f>
        <v>0</v>
      </c>
      <c r="O89" s="28">
        <f>IF(OR(履歴データ!$A$89="",履歴データ!$A$88=""),"",F89-F88)</f>
        <v>6.4000000000000057</v>
      </c>
      <c r="P89" s="28">
        <f>IF(OR(履歴データ!$A$89="",履歴データ!$A$88=""),"",G89-G88)</f>
        <v>-14.224642822265736</v>
      </c>
      <c r="Q89" s="29">
        <f>IF(OR(履歴データ!$A$89="",履歴データ!$A$88=""),"",H89-H88)</f>
        <v>0.8939971923828125</v>
      </c>
      <c r="R89" s="29">
        <f>IF(OR(履歴データ!$A$89="",履歴データ!$A$88=""),"",I89-I88)</f>
        <v>-0.546875</v>
      </c>
      <c r="S89" s="28">
        <f>IF(OR(履歴データ!$A$89="",履歴データ!$A$88=""),"",(J89-J88)*100)</f>
        <v>8.0000000000000071</v>
      </c>
      <c r="T89" s="11">
        <f>IF(OR(履歴データ!$A$89="",履歴データ!$A$88=""),"",-80000*K89)</f>
        <v>0</v>
      </c>
      <c r="U89" s="11">
        <f>IF(OR(履歴データ!$A$89="",履歴データ!$A$88=""),"",60000*L89)</f>
        <v>15000.000000000426</v>
      </c>
      <c r="V89" s="11">
        <f>IF(OR(履歴データ!$A$89="",履歴データ!$A$88=""),"",-50000*M89)</f>
        <v>-420000.00000000169</v>
      </c>
      <c r="W89" s="11">
        <f>IF(OR(履歴データ!$A$89="",履歴データ!$A$88=""),"",-40000*N89)</f>
        <v>0</v>
      </c>
      <c r="X89" s="11">
        <f>IF(OR(履歴データ!$A$89="",履歴データ!$A$88=""),"",120*1000000*(-Q89/H88))</f>
        <v>-799526.47137591103</v>
      </c>
      <c r="Y89" s="11">
        <f>IF(OR(履歴データ!$A$89="",履歴データ!$A$88=""),"",40000*(-S89)+(-506.3)*R89*1000)</f>
        <v>-43117.187500000291</v>
      </c>
      <c r="Z89" s="11">
        <f>IF(OR(履歴データ!$A$89="",履歴データ!$A$88=""),"",-40000*O89)</f>
        <v>-256000.00000000023</v>
      </c>
      <c r="AA89" s="11">
        <f>IF(OR(履歴データ!$A$89="",履歴データ!$A$88=""),"",-40000*P89)</f>
        <v>568985.71289062942</v>
      </c>
      <c r="AB89" s="11">
        <f>IF(履歴データ!$A$89="","",123.3)</f>
        <v>123.3</v>
      </c>
      <c r="AC89">
        <f>IF(履歴データ!$A$89="","",SUM(T89:AA89))</f>
        <v>-934657.94598528347</v>
      </c>
      <c r="AD89" s="29">
        <f>IF(履歴データ!$A$89="","",AC89/1000000)</f>
        <v>-0.93465794598528351</v>
      </c>
      <c r="AE89" s="29">
        <f>IF(履歴データ!$A$89="",AE88,AE88+AC89/1000000)</f>
        <v>95.912134928608552</v>
      </c>
      <c r="AF89" s="12">
        <f>IF(OR(履歴データ!$A$89="",AE88=0),"",(AE89-AE88)/AE88)</f>
        <v>-9.6508920764734104E-3</v>
      </c>
      <c r="AG89" s="29">
        <f t="shared" si="5"/>
        <v>102.17217746631495</v>
      </c>
      <c r="AH89" s="12">
        <f>IF(OR(履歴データ!$A$89="",AG89=0),"",AE89/AG89-1)</f>
        <v>-6.1269542187943116E-2</v>
      </c>
      <c r="AJ89" s="28">
        <f t="shared" ca="1" si="3"/>
        <v>-32.348005303437596</v>
      </c>
      <c r="AK89" s="28">
        <f t="shared" ca="1" si="4"/>
        <v>-46.924721969289685</v>
      </c>
    </row>
    <row r="90" spans="1:37">
      <c r="A90" s="10">
        <f>IF(履歴データ!$A$90="","",履歴データ!$A$90)</f>
        <v>45055</v>
      </c>
      <c r="B90" s="28">
        <f>IF(履歴データ!$A$90="","",(履歴データ!$D$90-(履歴データ!$B$90+履歴データ!$F$90)/2)*100)</f>
        <v>-39.999999999999993</v>
      </c>
      <c r="C90" s="28">
        <f>IF(履歴データ!$A$90="","",(履歴データ!$H$90-(履歴データ!$G$90+履歴データ!$J$90)/2)*100)</f>
        <v>-19.349999999999994</v>
      </c>
      <c r="D90" s="28">
        <f>IF(履歴データ!$A$90="","",(履歴データ!$D$90-履歴データ!$H$90)*100)</f>
        <v>309.5</v>
      </c>
      <c r="E90" s="28">
        <f>IF(履歴データ!$A$90="","",(履歴データ!$D$90-履歴データ!$C$90)*100)</f>
        <v>2.0000000000000018</v>
      </c>
      <c r="F90" s="28">
        <f>IF(履歴データ!$A$90="","",(履歴データ!$R$90-履歴データ!$D$90)*100)</f>
        <v>-142.21999999999997</v>
      </c>
      <c r="G90" s="28">
        <f>IF(履歴データ!$A$90="","",(履歴データ!$S$90-履歴データ!$R$90)*100)</f>
        <v>-194.24035717773432</v>
      </c>
      <c r="H90" s="29">
        <f>IF(履歴データ!$A$90="","",履歴データ!$O$90)</f>
        <v>135.28799438476563</v>
      </c>
      <c r="I90" s="29">
        <f>IF(履歴データ!$A$90="","",履歴データ!$Q$90)</f>
        <v>115.1875</v>
      </c>
      <c r="J90" s="29">
        <f>IF(履歴データ!$A$90="","",履歴データ!$D$90)</f>
        <v>3.53</v>
      </c>
      <c r="K90" s="28">
        <f>IF(OR(履歴データ!$A$90="",履歴データ!$A$89=""),"",B90-B89)</f>
        <v>0</v>
      </c>
      <c r="L90" s="28">
        <f>IF(OR(履歴データ!$A$90="",履歴データ!$A$89=""),"",C90-C89)</f>
        <v>0.45000000000000639</v>
      </c>
      <c r="M90" s="28">
        <f>IF(OR(履歴データ!$A$90="",履歴データ!$A$89=""),"",D90-D89)</f>
        <v>-0.10000000000002274</v>
      </c>
      <c r="N90" s="28">
        <f>IF(OR(履歴データ!$A$90="",履歴データ!$A$89=""),"",E90-E89)</f>
        <v>-0.99999999999997868</v>
      </c>
      <c r="O90" s="28">
        <f>IF(OR(履歴データ!$A$90="",履歴データ!$A$89=""),"",F90-F89)</f>
        <v>-0.99999999999997158</v>
      </c>
      <c r="P90" s="28">
        <f>IF(OR(履歴データ!$A$90="",履歴データ!$A$89=""),"",G90-G89)</f>
        <v>1.5786428222657776</v>
      </c>
      <c r="Q90" s="29">
        <f>IF(OR(履歴データ!$A$90="",履歴データ!$A$89=""),"",H90-H89)</f>
        <v>0.214996337890625</v>
      </c>
      <c r="R90" s="29">
        <f>IF(OR(履歴データ!$A$90="",履歴データ!$A$89=""),"",I90-I89)</f>
        <v>1.5625E-2</v>
      </c>
      <c r="S90" s="28">
        <f>IF(OR(履歴データ!$A$90="",履歴データ!$A$89=""),"",(J90-J89)*100)</f>
        <v>0.99999999999997868</v>
      </c>
      <c r="T90" s="11">
        <f>IF(OR(履歴データ!$A$90="",履歴データ!$A$89=""),"",-80000*K90)</f>
        <v>0</v>
      </c>
      <c r="U90" s="11">
        <f>IF(OR(履歴データ!$A$90="",履歴データ!$A$89=""),"",60000*L90)</f>
        <v>27000.000000000382</v>
      </c>
      <c r="V90" s="11">
        <f>IF(OR(履歴データ!$A$90="",履歴データ!$A$89=""),"",-50000*M90)</f>
        <v>5000.0000000011369</v>
      </c>
      <c r="W90" s="11">
        <f>IF(OR(履歴データ!$A$90="",履歴データ!$A$89=""),"",-40000*N90)</f>
        <v>39999.999999999149</v>
      </c>
      <c r="X90" s="11">
        <f>IF(OR(履歴データ!$A$90="",履歴データ!$A$89=""),"",120*1000000*(-Q90/H89))</f>
        <v>-191004.57471094007</v>
      </c>
      <c r="Y90" s="11">
        <f>IF(OR(履歴データ!$A$90="",履歴データ!$A$89=""),"",40000*(-S90)+(-506.3)*R90*1000)</f>
        <v>-47910.937499999149</v>
      </c>
      <c r="Z90" s="11">
        <f>IF(OR(履歴データ!$A$90="",履歴データ!$A$89=""),"",-40000*O90)</f>
        <v>39999.999999998865</v>
      </c>
      <c r="AA90" s="11">
        <f>IF(OR(履歴データ!$A$90="",履歴データ!$A$89=""),"",-40000*P90)</f>
        <v>-63145.712890631105</v>
      </c>
      <c r="AB90" s="11">
        <f>IF(履歴データ!$A$90="","",123.3)</f>
        <v>123.3</v>
      </c>
      <c r="AC90">
        <f>IF(履歴データ!$A$90="","",SUM(T90:AA90))</f>
        <v>-190061.2251015708</v>
      </c>
      <c r="AD90" s="29">
        <f>IF(履歴データ!$A$90="","",AC90/1000000)</f>
        <v>-0.19006122510157081</v>
      </c>
      <c r="AE90" s="29">
        <f>IF(履歴データ!$A$90="",AE89,AE89+AC90/1000000)</f>
        <v>95.722073703506979</v>
      </c>
      <c r="AF90" s="12">
        <f>IF(OR(履歴データ!$A$90="",AE89=0),"",(AE90-AE89)/AE89)</f>
        <v>-1.9816181262469401E-3</v>
      </c>
      <c r="AG90" s="29">
        <f t="shared" si="5"/>
        <v>102.17217746631495</v>
      </c>
      <c r="AH90" s="12">
        <f>IF(OR(履歴データ!$A$90="",AG90=0),"",AE90/AG90-1)</f>
        <v>-6.3129747478803622E-2</v>
      </c>
      <c r="AJ90" s="28">
        <f t="shared" ca="1" si="3"/>
        <v>-32.393210521889898</v>
      </c>
      <c r="AK90" s="28">
        <f t="shared" ca="1" si="4"/>
        <v>-46.887688354514609</v>
      </c>
    </row>
    <row r="91" spans="1:37">
      <c r="A91" s="10">
        <f>IF(履歴データ!$A$91="","",履歴データ!$A$91)</f>
        <v>45056</v>
      </c>
      <c r="B91" s="28">
        <f>IF(履歴データ!$A$91="","",(履歴データ!$D$91-(履歴データ!$B$91+履歴データ!$F$91)/2)*100)</f>
        <v>-41.99999999999995</v>
      </c>
      <c r="C91" s="28">
        <f>IF(履歴データ!$A$91="","",(履歴データ!$H$91-(履歴データ!$G$91+履歴データ!$J$91)/2)*100)</f>
        <v>-19.400000000000002</v>
      </c>
      <c r="D91" s="28">
        <f>IF(履歴データ!$A$91="","",(履歴データ!$D$91-履歴データ!$H$91)*100)</f>
        <v>300.50000000000006</v>
      </c>
      <c r="E91" s="28">
        <f>IF(履歴データ!$A$91="","",(履歴データ!$D$91-履歴データ!$C$91)*100)</f>
        <v>6.0000000000000053</v>
      </c>
      <c r="F91" s="28">
        <f>IF(履歴データ!$A$91="","",(履歴データ!$R$91-履歴データ!$D$91)*100)</f>
        <v>-120.58</v>
      </c>
      <c r="G91" s="28">
        <f>IF(履歴データ!$A$91="","",(履歴データ!$S$91-履歴データ!$R$91)*100)</f>
        <v>-213.24717858886726</v>
      </c>
      <c r="H91" s="29">
        <f>IF(履歴データ!$A$91="","",履歴データ!$O$91)</f>
        <v>134.08700561523438</v>
      </c>
      <c r="I91" s="29">
        <f>IF(履歴データ!$A$91="","",履歴データ!$Q$91)</f>
        <v>115.90625</v>
      </c>
      <c r="J91" s="29">
        <f>IF(履歴データ!$A$91="","",履歴データ!$D$91)</f>
        <v>3.43</v>
      </c>
      <c r="K91" s="28">
        <f>IF(OR(履歴データ!$A$91="",履歴データ!$A$90=""),"",B91-B90)</f>
        <v>-1.9999999999999574</v>
      </c>
      <c r="L91" s="28">
        <f>IF(OR(履歴データ!$A$91="",履歴データ!$A$90=""),"",C91-C90)</f>
        <v>-5.0000000000007816E-2</v>
      </c>
      <c r="M91" s="28">
        <f>IF(OR(履歴データ!$A$91="",履歴データ!$A$90=""),"",D91-D90)</f>
        <v>-8.9999999999999432</v>
      </c>
      <c r="N91" s="28">
        <f>IF(OR(履歴データ!$A$91="",履歴データ!$A$90=""),"",E91-E90)</f>
        <v>4.0000000000000036</v>
      </c>
      <c r="O91" s="28">
        <f>IF(OR(履歴データ!$A$91="",履歴データ!$A$90=""),"",F91-F90)</f>
        <v>21.639999999999972</v>
      </c>
      <c r="P91" s="28">
        <f>IF(OR(履歴データ!$A$91="",履歴データ!$A$90=""),"",G91-G90)</f>
        <v>-19.006821411132933</v>
      </c>
      <c r="Q91" s="29">
        <f>IF(OR(履歴データ!$A$91="",履歴データ!$A$90=""),"",H91-H90)</f>
        <v>-1.20098876953125</v>
      </c>
      <c r="R91" s="29">
        <f>IF(OR(履歴データ!$A$91="",履歴データ!$A$90=""),"",I91-I90)</f>
        <v>0.71875</v>
      </c>
      <c r="S91" s="28">
        <f>IF(OR(履歴データ!$A$91="",履歴データ!$A$90=""),"",(J91-J90)*100)</f>
        <v>-9.9999999999999645</v>
      </c>
      <c r="T91" s="11">
        <f>IF(OR(履歴データ!$A$91="",履歴データ!$A$90=""),"",-80000*K91)</f>
        <v>159999.99999999659</v>
      </c>
      <c r="U91" s="11">
        <f>IF(OR(履歴データ!$A$91="",履歴データ!$A$90=""),"",60000*L91)</f>
        <v>-3000.0000000004688</v>
      </c>
      <c r="V91" s="11">
        <f>IF(OR(履歴データ!$A$91="",履歴データ!$A$90=""),"",-50000*M91)</f>
        <v>449999.99999999715</v>
      </c>
      <c r="W91" s="11">
        <f>IF(OR(履歴データ!$A$91="",履歴データ!$A$90=""),"",-40000*N91)</f>
        <v>-160000.00000000015</v>
      </c>
      <c r="X91" s="11">
        <f>IF(OR(履歴データ!$A$91="",履歴データ!$A$90=""),"",120*1000000*(-Q91/H90))</f>
        <v>1065273.0347518462</v>
      </c>
      <c r="Y91" s="11">
        <f>IF(OR(履歴データ!$A$91="",履歴データ!$A$90=""),"",40000*(-S91)+(-506.3)*R91*1000)</f>
        <v>36096.874999998603</v>
      </c>
      <c r="Z91" s="11">
        <f>IF(OR(履歴データ!$A$91="",履歴データ!$A$90=""),"",-40000*O91)</f>
        <v>-865599.99999999884</v>
      </c>
      <c r="AA91" s="11">
        <f>IF(OR(履歴データ!$A$91="",履歴データ!$A$90=""),"",-40000*P91)</f>
        <v>760272.85644531727</v>
      </c>
      <c r="AB91" s="11">
        <f>IF(履歴データ!$A$91="","",123.3)</f>
        <v>123.3</v>
      </c>
      <c r="AC91">
        <f>IF(履歴データ!$A$91="","",SUM(T91:AA91))</f>
        <v>1443042.7661971566</v>
      </c>
      <c r="AD91" s="29">
        <f>IF(履歴データ!$A$91="","",AC91/1000000)</f>
        <v>1.4430427661971565</v>
      </c>
      <c r="AE91" s="29">
        <f>IF(履歴データ!$A$91="",AE90,AE90+AC91/1000000)</f>
        <v>97.165116469704131</v>
      </c>
      <c r="AF91" s="12">
        <f>IF(OR(履歴データ!$A$91="",AE90=0),"",(AE91-AE90)/AE90)</f>
        <v>1.5075339578067282E-2</v>
      </c>
      <c r="AG91" s="29">
        <f t="shared" si="5"/>
        <v>102.17217746631495</v>
      </c>
      <c r="AH91" s="12">
        <f>IF(OR(履歴データ!$A$91="",AG91=0),"",AE91/AG91-1)</f>
        <v>-4.900611028145696E-2</v>
      </c>
      <c r="AJ91" s="28">
        <f t="shared" ca="1" si="3"/>
        <v>-32.443109697908227</v>
      </c>
      <c r="AK91" s="28">
        <f t="shared" ca="1" si="4"/>
        <v>-46.890223635425116</v>
      </c>
    </row>
    <row r="92" spans="1:37">
      <c r="A92" s="10">
        <f>IF(履歴データ!$A$92="","",履歴データ!$A$92)</f>
        <v>45057</v>
      </c>
      <c r="B92" s="28">
        <f>IF(履歴データ!$A$92="","",(履歴データ!$D$92-(履歴データ!$B$92+履歴データ!$F$92)/2)*100)</f>
        <v>-41.999999999999993</v>
      </c>
      <c r="C92" s="28">
        <f>IF(履歴データ!$A$92="","",(履歴データ!$H$92-(履歴データ!$G$92+履歴データ!$J$92)/2)*100)</f>
        <v>-19.500000000000007</v>
      </c>
      <c r="D92" s="28">
        <f>IF(履歴データ!$A$92="","",(履歴データ!$D$92-履歴データ!$H$92)*100)</f>
        <v>299.10000000000002</v>
      </c>
      <c r="E92" s="28">
        <f>IF(履歴データ!$A$92="","",(履歴データ!$D$92-履歴データ!$C$92)*100)</f>
        <v>3.0000000000000249</v>
      </c>
      <c r="F92" s="28">
        <f>IF(履歴データ!$A$92="","",(履歴データ!$R$92-履歴データ!$D$92)*100)</f>
        <v>-123.22000000000001</v>
      </c>
      <c r="G92" s="28">
        <f>IF(履歴データ!$A$92="","",(履歴データ!$S$92-履歴データ!$R$92)*100)</f>
        <v>-220.99000000000029</v>
      </c>
      <c r="H92" s="29">
        <f>IF(履歴データ!$A$92="","",履歴データ!$O$92)</f>
        <v>134.49800109863281</v>
      </c>
      <c r="I92" s="29">
        <f>IF(履歴データ!$A$92="","",履歴データ!$Q$92)</f>
        <v>116.046875</v>
      </c>
      <c r="J92" s="29">
        <f>IF(履歴データ!$A$92="","",履歴データ!$D$92)</f>
        <v>3.39</v>
      </c>
      <c r="K92" s="28">
        <f>IF(OR(履歴データ!$A$92="",履歴データ!$A$91=""),"",B92-B91)</f>
        <v>-4.2632564145606011E-14</v>
      </c>
      <c r="L92" s="28">
        <f>IF(OR(履歴データ!$A$92="",履歴データ!$A$91=""),"",C92-C91)</f>
        <v>-0.10000000000000497</v>
      </c>
      <c r="M92" s="28">
        <f>IF(OR(履歴データ!$A$92="",履歴データ!$A$91=""),"",D92-D91)</f>
        <v>-1.4000000000000341</v>
      </c>
      <c r="N92" s="28">
        <f>IF(OR(履歴データ!$A$92="",履歴データ!$A$91=""),"",E92-E91)</f>
        <v>-2.9999999999999805</v>
      </c>
      <c r="O92" s="28">
        <f>IF(OR(履歴データ!$A$92="",履歴データ!$A$91=""),"",F92-F91)</f>
        <v>-2.6400000000000148</v>
      </c>
      <c r="P92" s="28">
        <f>IF(OR(履歴データ!$A$92="",履歴データ!$A$91=""),"",G92-G91)</f>
        <v>-7.7428214111330362</v>
      </c>
      <c r="Q92" s="29">
        <f>IF(OR(履歴データ!$A$92="",履歴データ!$A$91=""),"",H92-H91)</f>
        <v>0.4109954833984375</v>
      </c>
      <c r="R92" s="29">
        <f>IF(OR(履歴データ!$A$92="",履歴データ!$A$91=""),"",I92-I91)</f>
        <v>0.140625</v>
      </c>
      <c r="S92" s="28">
        <f>IF(OR(履歴データ!$A$92="",履歴データ!$A$91=""),"",(J92-J91)*100)</f>
        <v>-4.0000000000000036</v>
      </c>
      <c r="T92" s="11">
        <f>IF(OR(履歴データ!$A$92="",履歴データ!$A$91=""),"",-80000*K92)</f>
        <v>3.4106051316484809E-9</v>
      </c>
      <c r="U92" s="11">
        <f>IF(OR(履歴データ!$A$92="",履歴データ!$A$91=""),"",60000*L92)</f>
        <v>-6000.0000000002983</v>
      </c>
      <c r="V92" s="11">
        <f>IF(OR(履歴データ!$A$92="",履歴データ!$A$91=""),"",-50000*M92)</f>
        <v>70000.000000001703</v>
      </c>
      <c r="W92" s="11">
        <f>IF(OR(履歴データ!$A$92="",履歴データ!$A$91=""),"",-40000*N92)</f>
        <v>119999.99999999921</v>
      </c>
      <c r="X92" s="11">
        <f>IF(OR(履歴データ!$A$92="",履歴データ!$A$91=""),"",120*1000000*(-Q92/H91))</f>
        <v>-367816.83490893798</v>
      </c>
      <c r="Y92" s="11">
        <f>IF(OR(履歴データ!$A$92="",履歴データ!$A$91=""),"",40000*(-S92)+(-506.3)*R92*1000)</f>
        <v>88801.562500000146</v>
      </c>
      <c r="Z92" s="11">
        <f>IF(OR(履歴データ!$A$92="",履歴データ!$A$91=""),"",-40000*O92)</f>
        <v>105600.0000000006</v>
      </c>
      <c r="AA92" s="11">
        <f>IF(OR(履歴データ!$A$92="",履歴データ!$A$91=""),"",-40000*P92)</f>
        <v>309712.85644532146</v>
      </c>
      <c r="AB92" s="11">
        <f>IF(履歴データ!$A$92="","",123.3)</f>
        <v>123.3</v>
      </c>
      <c r="AC92">
        <f>IF(履歴データ!$A$92="","",SUM(T92:AA92))</f>
        <v>320297.58403638826</v>
      </c>
      <c r="AD92" s="29">
        <f>IF(履歴データ!$A$92="","",AC92/1000000)</f>
        <v>0.32029758403638825</v>
      </c>
      <c r="AE92" s="29">
        <f>IF(履歴データ!$A$92="",AE91,AE91+AC92/1000000)</f>
        <v>97.485414053740513</v>
      </c>
      <c r="AF92" s="12">
        <f>IF(OR(履歴データ!$A$92="",AE91=0),"",(AE92-AE91)/AE91)</f>
        <v>3.2964256687352408E-3</v>
      </c>
      <c r="AG92" s="29">
        <f t="shared" si="5"/>
        <v>102.17217746631495</v>
      </c>
      <c r="AH92" s="12">
        <f>IF(OR(履歴データ!$A$92="",AG92=0),"",AE92/AG92-1)</f>
        <v>-4.587122961257839E-2</v>
      </c>
      <c r="AJ92" s="28">
        <f t="shared" ca="1" si="3"/>
        <v>-32.492355175845105</v>
      </c>
      <c r="AK92" s="28">
        <f t="shared" ca="1" si="4"/>
        <v>-46.892260208770296</v>
      </c>
    </row>
    <row r="93" spans="1:37">
      <c r="A93" s="10">
        <f>IF(履歴データ!$A$93="","",履歴データ!$A$93)</f>
        <v>45058</v>
      </c>
      <c r="B93" s="28">
        <f>IF(履歴データ!$A$93="","",(履歴データ!$D$93-(履歴データ!$B$93+履歴データ!$F$93)/2)*100)</f>
        <v>-41.999999999999993</v>
      </c>
      <c r="C93" s="28">
        <f>IF(履歴データ!$A$93="","",(履歴データ!$H$93-(履歴データ!$G$93+履歴データ!$J$93)/2)*100)</f>
        <v>-20.75</v>
      </c>
      <c r="D93" s="28">
        <f>IF(履歴データ!$A$93="","",(履歴データ!$D$93-履歴データ!$H$93)*100)</f>
        <v>306.39999999999998</v>
      </c>
      <c r="E93" s="28">
        <f>IF(履歴データ!$A$93="","",(履歴データ!$D$93-履歴データ!$C$93)*100)</f>
        <v>0.99999999999997868</v>
      </c>
      <c r="F93" s="28">
        <f>IF(履歴データ!$A$93="","",(履歴データ!$R$93-履歴データ!$D$93)*100)</f>
        <v>-144.19</v>
      </c>
      <c r="G93" s="28">
        <f>IF(履歴データ!$A$93="","",(履歴データ!$S$93-履歴データ!$R$93)*100)</f>
        <v>-190.8831785888672</v>
      </c>
      <c r="H93" s="29">
        <f>IF(履歴データ!$A$93="","",履歴データ!$O$93)</f>
        <v>134.49800109863281</v>
      </c>
      <c r="I93" s="29">
        <f>IF(履歴データ!$A$93="","",履歴データ!$Q$93)</f>
        <v>115.4375</v>
      </c>
      <c r="J93" s="29">
        <f>IF(履歴データ!$A$93="","",履歴データ!$D$93)</f>
        <v>3.46</v>
      </c>
      <c r="K93" s="28">
        <f>IF(OR(履歴データ!$A$93="",履歴データ!$A$92=""),"",B93-B92)</f>
        <v>0</v>
      </c>
      <c r="L93" s="28">
        <f>IF(OR(履歴データ!$A$93="",履歴データ!$A$92=""),"",C93-C92)</f>
        <v>-1.2499999999999929</v>
      </c>
      <c r="M93" s="28">
        <f>IF(OR(履歴データ!$A$93="",履歴データ!$A$92=""),"",D93-D92)</f>
        <v>7.2999999999999545</v>
      </c>
      <c r="N93" s="28">
        <f>IF(OR(履歴データ!$A$93="",履歴データ!$A$92=""),"",E93-E92)</f>
        <v>-2.0000000000000462</v>
      </c>
      <c r="O93" s="28">
        <f>IF(OR(履歴データ!$A$93="",履歴データ!$A$92=""),"",F93-F92)</f>
        <v>-20.969999999999985</v>
      </c>
      <c r="P93" s="28">
        <f>IF(OR(履歴データ!$A$93="",履歴データ!$A$92=""),"",G93-G92)</f>
        <v>30.106821411133097</v>
      </c>
      <c r="Q93" s="29">
        <f>IF(OR(履歴データ!$A$93="",履歴データ!$A$92=""),"",H93-H92)</f>
        <v>0</v>
      </c>
      <c r="R93" s="29">
        <f>IF(OR(履歴データ!$A$93="",履歴データ!$A$92=""),"",I93-I92)</f>
        <v>-0.609375</v>
      </c>
      <c r="S93" s="28">
        <f>IF(OR(履歴データ!$A$93="",履歴データ!$A$92=""),"",(J93-J92)*100)</f>
        <v>6.999999999999984</v>
      </c>
      <c r="T93" s="11">
        <f>IF(OR(履歴データ!$A$93="",履歴データ!$A$92=""),"",-80000*K93)</f>
        <v>0</v>
      </c>
      <c r="U93" s="11">
        <f>IF(OR(履歴データ!$A$93="",履歴データ!$A$92=""),"",60000*L93)</f>
        <v>-74999.999999999578</v>
      </c>
      <c r="V93" s="11">
        <f>IF(OR(履歴データ!$A$93="",履歴データ!$A$92=""),"",-50000*M93)</f>
        <v>-364999.99999999773</v>
      </c>
      <c r="W93" s="11">
        <f>IF(OR(履歴データ!$A$93="",履歴データ!$A$92=""),"",-40000*N93)</f>
        <v>80000.000000001848</v>
      </c>
      <c r="X93" s="11">
        <f>IF(OR(履歴データ!$A$93="",履歴データ!$A$92=""),"",120*1000000*(-Q93/H92))</f>
        <v>0</v>
      </c>
      <c r="Y93" s="11">
        <f>IF(OR(履歴データ!$A$93="",履歴データ!$A$92=""),"",40000*(-S93)+(-506.3)*R93*1000)</f>
        <v>28526.56250000064</v>
      </c>
      <c r="Z93" s="11">
        <f>IF(OR(履歴データ!$A$93="",履歴データ!$A$92=""),"",-40000*O93)</f>
        <v>838799.99999999942</v>
      </c>
      <c r="AA93" s="11">
        <f>IF(OR(履歴データ!$A$93="",履歴データ!$A$92=""),"",-40000*P93)</f>
        <v>-1204272.8564453239</v>
      </c>
      <c r="AB93" s="11">
        <f>IF(履歴データ!$A$93="","",123.3)</f>
        <v>123.3</v>
      </c>
      <c r="AC93">
        <f>IF(履歴データ!$A$93="","",SUM(T93:AA93))</f>
        <v>-696946.29394531925</v>
      </c>
      <c r="AD93" s="29">
        <f>IF(履歴データ!$A$93="","",AC93/1000000)</f>
        <v>-0.69694629394531926</v>
      </c>
      <c r="AE93" s="29">
        <f>IF(履歴データ!$A$93="",AE92,AE92+AC93/1000000)</f>
        <v>96.788467759795196</v>
      </c>
      <c r="AF93" s="12">
        <f>IF(OR(履歴データ!$A$93="",AE92=0),"",(AE93-AE92)/AE92)</f>
        <v>-7.1492366392485436E-3</v>
      </c>
      <c r="AG93" s="29">
        <f t="shared" si="5"/>
        <v>102.17217746631495</v>
      </c>
      <c r="AH93" s="12">
        <f>IF(OR(履歴データ!$A$93="",AG93=0),"",AE93/AG93-1)</f>
        <v>-5.2692521976393292E-2</v>
      </c>
      <c r="AJ93" s="28">
        <f t="shared" ca="1" si="3"/>
        <v>-32.540958035814214</v>
      </c>
      <c r="AK93" s="28">
        <f t="shared" ca="1" si="4"/>
        <v>-46.893824572881442</v>
      </c>
    </row>
    <row r="94" spans="1:37">
      <c r="A94" s="10">
        <f>IF(履歴データ!$A$94="","",履歴データ!$A$94)</f>
        <v>45061</v>
      </c>
      <c r="B94" s="28">
        <f>IF(履歴データ!$A$94="","",(履歴データ!$D$94-(履歴データ!$B$94+履歴データ!$F$94)/2)*100)</f>
        <v>-41.5</v>
      </c>
      <c r="C94" s="28">
        <f>IF(履歴データ!$A$94="","",(履歴データ!$H$94-(履歴データ!$G$94+履歴データ!$J$94)/2)*100)</f>
        <v>-19.3</v>
      </c>
      <c r="D94" s="28">
        <f>IF(履歴データ!$A$94="","",(履歴データ!$D$94-履歴データ!$H$94)*100)</f>
        <v>307.90000000000003</v>
      </c>
      <c r="E94" s="28">
        <f>IF(履歴データ!$A$94="","",(履歴データ!$D$94-履歴データ!$C$94)*100)</f>
        <v>4.0000000000000036</v>
      </c>
      <c r="F94" s="28">
        <f>IF(履歴データ!$A$94="","",(履歴データ!$R$94-履歴データ!$D$94)*100)</f>
        <v>-140.81</v>
      </c>
      <c r="G94" s="28">
        <f>IF(履歴データ!$A$94="","",(履歴データ!$S$94-履歴データ!$R$94)*100)</f>
        <v>-194.93064282226564</v>
      </c>
      <c r="H94" s="29">
        <f>IF(履歴データ!$A$94="","",履歴データ!$O$94)</f>
        <v>136.04499816894531</v>
      </c>
      <c r="I94" s="29">
        <f>IF(履歴データ!$A$94="","",履歴データ!$Q$94)</f>
        <v>115.234375</v>
      </c>
      <c r="J94" s="29">
        <f>IF(履歴データ!$A$94="","",履歴データ!$D$94)</f>
        <v>3.5</v>
      </c>
      <c r="K94" s="28">
        <f>IF(OR(履歴データ!$A$94="",履歴データ!$A$93=""),"",B94-B93)</f>
        <v>0.49999999999999289</v>
      </c>
      <c r="L94" s="28">
        <f>IF(OR(履歴データ!$A$94="",履歴データ!$A$93=""),"",C94-C93)</f>
        <v>1.4499999999999993</v>
      </c>
      <c r="M94" s="28">
        <f>IF(OR(履歴データ!$A$94="",履歴データ!$A$93=""),"",D94-D93)</f>
        <v>1.5000000000000568</v>
      </c>
      <c r="N94" s="28">
        <f>IF(OR(履歴データ!$A$94="",履歴データ!$A$93=""),"",E94-E93)</f>
        <v>3.0000000000000249</v>
      </c>
      <c r="O94" s="28">
        <f>IF(OR(履歴データ!$A$94="",履歴データ!$A$93=""),"",F94-F93)</f>
        <v>3.3799999999999955</v>
      </c>
      <c r="P94" s="28">
        <f>IF(OR(履歴データ!$A$94="",履歴データ!$A$93=""),"",G94-G93)</f>
        <v>-4.0474642333984434</v>
      </c>
      <c r="Q94" s="29">
        <f>IF(OR(履歴データ!$A$94="",履歴データ!$A$93=""),"",H94-H93)</f>
        <v>1.5469970703125</v>
      </c>
      <c r="R94" s="29">
        <f>IF(OR(履歴データ!$A$94="",履歴データ!$A$93=""),"",I94-I93)</f>
        <v>-0.203125</v>
      </c>
      <c r="S94" s="28">
        <f>IF(OR(履歴データ!$A$94="",履歴データ!$A$93=""),"",(J94-J93)*100)</f>
        <v>4.0000000000000036</v>
      </c>
      <c r="T94" s="11">
        <f>IF(OR(履歴データ!$A$94="",履歴データ!$A$93=""),"",-80000*K94)</f>
        <v>-39999.999999999432</v>
      </c>
      <c r="U94" s="11">
        <f>IF(OR(履歴データ!$A$94="",履歴データ!$A$93=""),"",60000*L94)</f>
        <v>86999.999999999956</v>
      </c>
      <c r="V94" s="11">
        <f>IF(OR(履歴データ!$A$94="",履歴データ!$A$93=""),"",-50000*M94)</f>
        <v>-75000.000000002838</v>
      </c>
      <c r="W94" s="11">
        <f>IF(OR(履歴データ!$A$94="",履歴データ!$A$93=""),"",-40000*N94)</f>
        <v>-120000.00000000099</v>
      </c>
      <c r="X94" s="11">
        <f>IF(OR(履歴データ!$A$94="",履歴データ!$A$93=""),"",120*1000000*(-Q94/H93))</f>
        <v>-1380240.9472343232</v>
      </c>
      <c r="Y94" s="11">
        <f>IF(OR(履歴データ!$A$94="",履歴データ!$A$93=""),"",40000*(-S94)+(-506.3)*R94*1000)</f>
        <v>-57157.812500000131</v>
      </c>
      <c r="Z94" s="11">
        <f>IF(OR(履歴データ!$A$94="",履歴データ!$A$93=""),"",-40000*O94)</f>
        <v>-135199.99999999983</v>
      </c>
      <c r="AA94" s="11">
        <f>IF(OR(履歴データ!$A$94="",履歴データ!$A$93=""),"",-40000*P94)</f>
        <v>161898.56933593773</v>
      </c>
      <c r="AB94" s="11">
        <f>IF(履歴データ!$A$94="","",123.3)</f>
        <v>123.3</v>
      </c>
      <c r="AC94">
        <f>IF(履歴データ!$A$94="","",SUM(T94:AA94))</f>
        <v>-1558700.1903983888</v>
      </c>
      <c r="AD94" s="29">
        <f>IF(履歴データ!$A$94="","",AC94/1000000)</f>
        <v>-1.5587001903983888</v>
      </c>
      <c r="AE94" s="29">
        <f>IF(履歴データ!$A$94="",AE93,AE93+AC94/1000000)</f>
        <v>95.229767569396813</v>
      </c>
      <c r="AF94" s="12">
        <f>IF(OR(履歴データ!$A$94="",AE93=0),"",(AE94-AE93)/AE93)</f>
        <v>-1.6104193262638355E-2</v>
      </c>
      <c r="AG94" s="29">
        <f t="shared" si="5"/>
        <v>102.17217746631495</v>
      </c>
      <c r="AH94" s="12">
        <f>IF(OR(履歴データ!$A$94="",AG94=0),"",AE94/AG94-1)</f>
        <v>-6.7948144681627909E-2</v>
      </c>
      <c r="AJ94" s="28">
        <f t="shared" ca="1" si="3"/>
        <v>-32.589666537661117</v>
      </c>
      <c r="AK94" s="28">
        <f t="shared" ca="1" si="4"/>
        <v>-46.883451741908786</v>
      </c>
    </row>
    <row r="95" spans="1:37">
      <c r="A95" s="10">
        <f>IF(履歴データ!$A$95="","",履歴データ!$A$95)</f>
        <v>45062</v>
      </c>
      <c r="B95" s="28">
        <f>IF(履歴データ!$A$95="","",(履歴データ!$D$95-(履歴データ!$B$95+履歴データ!$F$95)/2)*100)</f>
        <v>-42.499999999999986</v>
      </c>
      <c r="C95" s="28">
        <f>IF(履歴データ!$A$95="","",(履歴データ!$H$95-(履歴データ!$G$95+履歴データ!$J$95)/2)*100)</f>
        <v>-19.499999999999996</v>
      </c>
      <c r="D95" s="28">
        <f>IF(履歴データ!$A$95="","",(履歴データ!$D$95-履歴データ!$H$95)*100)</f>
        <v>313.39999999999998</v>
      </c>
      <c r="E95" s="28">
        <f>IF(履歴データ!$A$95="","",(履歴データ!$D$95-履歴データ!$C$95)*100)</f>
        <v>2.0000000000000018</v>
      </c>
      <c r="F95" s="28">
        <f>IF(履歴データ!$A$95="","",(履歴データ!$R$95-履歴データ!$D$95)*100)</f>
        <v>-137.13999999999999</v>
      </c>
      <c r="G95" s="28">
        <f>IF(履歴データ!$A$95="","",(履歴データ!$S$95-履歴データ!$R$95)*100)</f>
        <v>-204.8808214111331</v>
      </c>
      <c r="H95" s="29">
        <f>IF(履歴データ!$A$95="","",履歴データ!$O$95)</f>
        <v>136.42999267578125</v>
      </c>
      <c r="I95" s="29">
        <f>IF(履歴データ!$A$95="","",履歴データ!$Q$95)</f>
        <v>114.921875</v>
      </c>
      <c r="J95" s="29">
        <f>IF(履歴データ!$A$95="","",履歴データ!$D$95)</f>
        <v>3.54</v>
      </c>
      <c r="K95" s="28">
        <f>IF(OR(履歴データ!$A$95="",履歴データ!$A$94=""),"",B95-B94)</f>
        <v>-0.99999999999998579</v>
      </c>
      <c r="L95" s="28">
        <f>IF(OR(履歴データ!$A$95="",履歴データ!$A$94=""),"",C95-C94)</f>
        <v>-0.19999999999999574</v>
      </c>
      <c r="M95" s="28">
        <f>IF(OR(履歴データ!$A$95="",履歴データ!$A$94=""),"",D95-D94)</f>
        <v>5.4999999999999432</v>
      </c>
      <c r="N95" s="28">
        <f>IF(OR(履歴データ!$A$95="",履歴データ!$A$94=""),"",E95-E94)</f>
        <v>-2.0000000000000018</v>
      </c>
      <c r="O95" s="28">
        <f>IF(OR(履歴データ!$A$95="",履歴データ!$A$94=""),"",F95-F94)</f>
        <v>3.6700000000000159</v>
      </c>
      <c r="P95" s="28">
        <f>IF(OR(履歴データ!$A$95="",履歴データ!$A$94=""),"",G95-G94)</f>
        <v>-9.950178588867459</v>
      </c>
      <c r="Q95" s="29">
        <f>IF(OR(履歴データ!$A$95="",履歴データ!$A$94=""),"",H95-H94)</f>
        <v>0.3849945068359375</v>
      </c>
      <c r="R95" s="29">
        <f>IF(OR(履歴データ!$A$95="",履歴データ!$A$94=""),"",I95-I94)</f>
        <v>-0.3125</v>
      </c>
      <c r="S95" s="28">
        <f>IF(OR(履歴データ!$A$95="",履歴データ!$A$94=""),"",(J95-J94)*100)</f>
        <v>4.0000000000000036</v>
      </c>
      <c r="T95" s="11">
        <f>IF(OR(履歴データ!$A$95="",履歴データ!$A$94=""),"",-80000*K95)</f>
        <v>79999.999999998865</v>
      </c>
      <c r="U95" s="11">
        <f>IF(OR(履歴データ!$A$95="",履歴データ!$A$94=""),"",60000*L95)</f>
        <v>-11999.999999999744</v>
      </c>
      <c r="V95" s="11">
        <f>IF(OR(履歴データ!$A$95="",履歴データ!$A$94=""),"",-50000*M95)</f>
        <v>-274999.99999999715</v>
      </c>
      <c r="W95" s="11">
        <f>IF(OR(履歴データ!$A$95="",履歴データ!$A$94=""),"",-40000*N95)</f>
        <v>80000.000000000073</v>
      </c>
      <c r="X95" s="11">
        <f>IF(OR(履歴データ!$A$95="",履歴データ!$A$94=""),"",120*1000000*(-Q95/H94))</f>
        <v>-339588.67611538782</v>
      </c>
      <c r="Y95" s="11">
        <f>IF(OR(履歴データ!$A$95="",履歴データ!$A$94=""),"",40000*(-S95)+(-506.3)*R95*1000)</f>
        <v>-1781.2500000001455</v>
      </c>
      <c r="Z95" s="11">
        <f>IF(OR(履歴データ!$A$95="",履歴データ!$A$94=""),"",-40000*O95)</f>
        <v>-146800.00000000064</v>
      </c>
      <c r="AA95" s="11">
        <f>IF(OR(履歴データ!$A$95="",履歴データ!$A$94=""),"",-40000*P95)</f>
        <v>398007.14355469838</v>
      </c>
      <c r="AB95" s="11">
        <f>IF(履歴データ!$A$95="","",123.3)</f>
        <v>123.3</v>
      </c>
      <c r="AC95">
        <f>IF(履歴データ!$A$95="","",SUM(T95:AA95))</f>
        <v>-217162.78256068827</v>
      </c>
      <c r="AD95" s="29">
        <f>IF(履歴データ!$A$95="","",AC95/1000000)</f>
        <v>-0.21716278256068827</v>
      </c>
      <c r="AE95" s="29">
        <f>IF(履歴データ!$A$95="",AE94,AE94+AC95/1000000)</f>
        <v>95.012604786836121</v>
      </c>
      <c r="AF95" s="12">
        <f>IF(OR(履歴データ!$A$95="",AE94=0),"",(AE95-AE94)/AE94)</f>
        <v>-2.2804086170055892E-3</v>
      </c>
      <c r="AG95" s="29">
        <f t="shared" si="5"/>
        <v>102.17217746631495</v>
      </c>
      <c r="AH95" s="12">
        <f>IF(OR(履歴データ!$A$95="",AG95=0),"",AE95/AG95-1)</f>
        <v>-7.0073603763991965E-2</v>
      </c>
      <c r="AJ95" s="28">
        <f t="shared" ca="1" si="3"/>
        <v>-32.634771767205159</v>
      </c>
      <c r="AK95" s="28">
        <f t="shared" ca="1" si="4"/>
        <v>-46.897143126411869</v>
      </c>
    </row>
    <row r="96" spans="1:37">
      <c r="A96" s="10">
        <f>IF(履歴データ!$A$96="","",履歴データ!$A$96)</f>
        <v>45063</v>
      </c>
      <c r="B96" s="28">
        <f>IF(履歴データ!$A$96="","",(履歴データ!$D$96-(履歴データ!$B$96+履歴データ!$F$96)/2)*100)</f>
        <v>-43.000000000000014</v>
      </c>
      <c r="C96" s="28">
        <f>IF(履歴データ!$A$96="","",(履歴データ!$H$96-(履歴データ!$G$96+履歴データ!$J$96)/2)*100)</f>
        <v>-20.399999999999995</v>
      </c>
      <c r="D96" s="28">
        <f>IF(履歴データ!$A$96="","",(履歴データ!$D$96-履歴データ!$H$96)*100)</f>
        <v>319.5</v>
      </c>
      <c r="E96" s="28">
        <f>IF(履歴データ!$A$96="","",(履歴データ!$D$96-履歴データ!$C$96)*100)</f>
        <v>-1.0000000000000231</v>
      </c>
      <c r="F96" s="28">
        <f>IF(履歴データ!$A$96="","",(履歴データ!$R$96-履歴データ!$D$96)*100)</f>
        <v>-136.57999999999996</v>
      </c>
      <c r="G96" s="28">
        <f>IF(履歴データ!$A$96="","",(履歴データ!$S$96-履歴データ!$R$96)*100)</f>
        <v>-212.47500000000025</v>
      </c>
      <c r="H96" s="29">
        <f>IF(履歴データ!$A$96="","",履歴データ!$O$96)</f>
        <v>137.61399841308594</v>
      </c>
      <c r="I96" s="29">
        <f>IF(履歴データ!$A$96="","",履歴データ!$Q$96)</f>
        <v>114.578125</v>
      </c>
      <c r="J96" s="29">
        <f>IF(履歴データ!$A$96="","",履歴データ!$D$96)</f>
        <v>3.57</v>
      </c>
      <c r="K96" s="28">
        <f>IF(OR(履歴データ!$A$96="",履歴データ!$A$95=""),"",B96-B95)</f>
        <v>-0.50000000000002842</v>
      </c>
      <c r="L96" s="28">
        <f>IF(OR(履歴データ!$A$96="",履歴データ!$A$95=""),"",C96-C95)</f>
        <v>-0.89999999999999858</v>
      </c>
      <c r="M96" s="28">
        <f>IF(OR(履歴データ!$A$96="",履歴データ!$A$95=""),"",D96-D95)</f>
        <v>6.1000000000000227</v>
      </c>
      <c r="N96" s="28">
        <f>IF(OR(履歴データ!$A$96="",履歴データ!$A$95=""),"",E96-E95)</f>
        <v>-3.0000000000000249</v>
      </c>
      <c r="O96" s="28">
        <f>IF(OR(履歴データ!$A$96="",履歴データ!$A$95=""),"",F96-F95)</f>
        <v>0.5600000000000307</v>
      </c>
      <c r="P96" s="28">
        <f>IF(OR(履歴データ!$A$96="",履歴データ!$A$95=""),"",G96-G95)</f>
        <v>-7.5941785888671518</v>
      </c>
      <c r="Q96" s="29">
        <f>IF(OR(履歴データ!$A$96="",履歴データ!$A$95=""),"",H96-H95)</f>
        <v>1.1840057373046875</v>
      </c>
      <c r="R96" s="29">
        <f>IF(OR(履歴データ!$A$96="",履歴データ!$A$95=""),"",I96-I95)</f>
        <v>-0.34375</v>
      </c>
      <c r="S96" s="28">
        <f>IF(OR(履歴データ!$A$96="",履歴データ!$A$95=""),"",(J96-J95)*100)</f>
        <v>2.9999999999999805</v>
      </c>
      <c r="T96" s="11">
        <f>IF(OR(履歴データ!$A$96="",履歴データ!$A$95=""),"",-80000*K96)</f>
        <v>40000.00000000227</v>
      </c>
      <c r="U96" s="11">
        <f>IF(OR(履歴データ!$A$96="",履歴データ!$A$95=""),"",60000*L96)</f>
        <v>-53999.999999999913</v>
      </c>
      <c r="V96" s="11">
        <f>IF(OR(履歴データ!$A$96="",履歴データ!$A$95=""),"",-50000*M96)</f>
        <v>-305000.00000000116</v>
      </c>
      <c r="W96" s="11">
        <f>IF(OR(履歴データ!$A$96="",履歴データ!$A$95=""),"",-40000*N96)</f>
        <v>120000.00000000099</v>
      </c>
      <c r="X96" s="11">
        <f>IF(OR(履歴データ!$A$96="",履歴データ!$A$95=""),"",120*1000000*(-Q96/H95))</f>
        <v>-1041418.2812001599</v>
      </c>
      <c r="Y96" s="11">
        <f>IF(OR(履歴データ!$A$96="",履歴データ!$A$95=""),"",40000*(-S96)+(-506.3)*R96*1000)</f>
        <v>54040.625000000786</v>
      </c>
      <c r="Z96" s="11">
        <f>IF(OR(履歴データ!$A$96="",履歴データ!$A$95=""),"",-40000*O96)</f>
        <v>-22400.00000000123</v>
      </c>
      <c r="AA96" s="11">
        <f>IF(OR(履歴データ!$A$96="",履歴データ!$A$95=""),"",-40000*P96)</f>
        <v>303767.14355468604</v>
      </c>
      <c r="AB96" s="11">
        <f>IF(履歴データ!$A$96="","",123.3)</f>
        <v>123.3</v>
      </c>
      <c r="AC96">
        <f>IF(履歴データ!$A$96="","",SUM(T96:AA96))</f>
        <v>-905010.51264547207</v>
      </c>
      <c r="AD96" s="29">
        <f>IF(履歴データ!$A$96="","",AC96/1000000)</f>
        <v>-0.90501051264547205</v>
      </c>
      <c r="AE96" s="29">
        <f>IF(履歴データ!$A$96="",AE95,AE95+AC96/1000000)</f>
        <v>94.107594274190646</v>
      </c>
      <c r="AF96" s="12">
        <f>IF(OR(履歴データ!$A$96="",AE95=0),"",(AE96-AE95)/AE95)</f>
        <v>-9.5251626315886809E-3</v>
      </c>
      <c r="AG96" s="29">
        <f t="shared" si="5"/>
        <v>102.17217746631495</v>
      </c>
      <c r="AH96" s="12">
        <f>IF(OR(履歴データ!$A$96="",AG96=0),"",AE96/AG96-1)</f>
        <v>-7.8931303923547191E-2</v>
      </c>
      <c r="AJ96" s="28">
        <f t="shared" ca="1" si="3"/>
        <v>-32.675872580493703</v>
      </c>
      <c r="AK96" s="28">
        <f t="shared" ca="1" si="4"/>
        <v>-46.924127419506306</v>
      </c>
    </row>
    <row r="97" spans="1:37">
      <c r="A97" s="10">
        <f>IF(履歴データ!$A$97="","",履歴データ!$A$97)</f>
        <v>45064</v>
      </c>
      <c r="B97" s="28">
        <f>IF(履歴データ!$A$97="","",(履歴データ!$D$97-(履歴データ!$B$97+履歴データ!$F$97)/2)*100)</f>
        <v>-42.500000000000028</v>
      </c>
      <c r="C97" s="28">
        <f>IF(履歴データ!$A$97="","",(履歴データ!$H$97-(履歴データ!$G$97+履歴データ!$J$97)/2)*100)</f>
        <v>-19.75</v>
      </c>
      <c r="D97" s="28">
        <f>IF(履歴データ!$A$97="","",(履歴データ!$D$97-履歴データ!$H$97)*100)</f>
        <v>325.5</v>
      </c>
      <c r="E97" s="28">
        <f>IF(履歴データ!$A$97="","",(履歴データ!$D$97-履歴データ!$C$97)*100)</f>
        <v>-4.0000000000000036</v>
      </c>
      <c r="F97" s="28">
        <f>IF(履歴データ!$A$97="","",(履歴データ!$R$97-履歴データ!$D$97)*100)</f>
        <v>-143.94999999999999</v>
      </c>
      <c r="G97" s="28">
        <f>IF(履歴データ!$A$97="","",(履歴データ!$S$97-履歴データ!$R$97)*100)</f>
        <v>-210.8248214111328</v>
      </c>
      <c r="H97" s="29">
        <f>IF(履歴データ!$A$97="","",履歴データ!$O$97)</f>
        <v>138.6199951171875</v>
      </c>
      <c r="I97" s="29">
        <f>IF(履歴データ!$A$97="","",履歴データ!$Q$97)</f>
        <v>113.921875</v>
      </c>
      <c r="J97" s="29">
        <f>IF(履歴データ!$A$97="","",履歴データ!$D$97)</f>
        <v>3.65</v>
      </c>
      <c r="K97" s="28">
        <f>IF(OR(履歴データ!$A$97="",履歴データ!$A$96=""),"",B97-B96)</f>
        <v>0.49999999999998579</v>
      </c>
      <c r="L97" s="28">
        <f>IF(OR(履歴データ!$A$97="",履歴データ!$A$96=""),"",C97-C96)</f>
        <v>0.64999999999999503</v>
      </c>
      <c r="M97" s="28">
        <f>IF(OR(履歴データ!$A$97="",履歴データ!$A$96=""),"",D97-D96)</f>
        <v>6</v>
      </c>
      <c r="N97" s="28">
        <f>IF(OR(履歴データ!$A$97="",履歴データ!$A$96=""),"",E97-E96)</f>
        <v>-2.9999999999999805</v>
      </c>
      <c r="O97" s="28">
        <f>IF(OR(履歴データ!$A$97="",履歴データ!$A$96=""),"",F97-F96)</f>
        <v>-7.370000000000033</v>
      </c>
      <c r="P97" s="28">
        <f>IF(OR(履歴データ!$A$97="",履歴データ!$A$96=""),"",G97-G96)</f>
        <v>1.6501785888674476</v>
      </c>
      <c r="Q97" s="29">
        <f>IF(OR(履歴データ!$A$97="",履歴データ!$A$96=""),"",H97-H96)</f>
        <v>1.0059967041015625</v>
      </c>
      <c r="R97" s="29">
        <f>IF(OR(履歴データ!$A$97="",履歴データ!$A$96=""),"",I97-I96)</f>
        <v>-0.65625</v>
      </c>
      <c r="S97" s="28">
        <f>IF(OR(履歴データ!$A$97="",履歴データ!$A$96=""),"",(J97-J96)*100)</f>
        <v>8.0000000000000071</v>
      </c>
      <c r="T97" s="11">
        <f>IF(OR(履歴データ!$A$97="",履歴データ!$A$96=""),"",-80000*K97)</f>
        <v>-39999.999999998865</v>
      </c>
      <c r="U97" s="11">
        <f>IF(OR(履歴データ!$A$97="",履歴データ!$A$96=""),"",60000*L97)</f>
        <v>38999.999999999702</v>
      </c>
      <c r="V97" s="11">
        <f>IF(OR(履歴データ!$A$97="",履歴データ!$A$96=""),"",-50000*M97)</f>
        <v>-300000</v>
      </c>
      <c r="W97" s="11">
        <f>IF(OR(履歴データ!$A$97="",履歴データ!$A$96=""),"",-40000*N97)</f>
        <v>119999.99999999921</v>
      </c>
      <c r="X97" s="11">
        <f>IF(OR(履歴データ!$A$97="",履歴データ!$A$96=""),"",120*1000000*(-Q97/H96))</f>
        <v>-877233.46377753431</v>
      </c>
      <c r="Y97" s="11">
        <f>IF(OR(履歴データ!$A$97="",履歴データ!$A$96=""),"",40000*(-S97)+(-506.3)*R97*1000)</f>
        <v>12259.374999999767</v>
      </c>
      <c r="Z97" s="11">
        <f>IF(OR(履歴データ!$A$97="",履歴データ!$A$96=""),"",-40000*O97)</f>
        <v>294800.00000000134</v>
      </c>
      <c r="AA97" s="11">
        <f>IF(OR(履歴データ!$A$97="",履歴データ!$A$96=""),"",-40000*P97)</f>
        <v>-66007.143554697905</v>
      </c>
      <c r="AB97" s="11">
        <f>IF(履歴データ!$A$97="","",123.3)</f>
        <v>123.3</v>
      </c>
      <c r="AC97">
        <f>IF(履歴データ!$A$97="","",SUM(T97:AA97))</f>
        <v>-817181.23233223089</v>
      </c>
      <c r="AD97" s="29">
        <f>IF(履歴データ!$A$97="","",AC97/1000000)</f>
        <v>-0.81718123233223094</v>
      </c>
      <c r="AE97" s="29">
        <f>IF(履歴データ!$A$97="",AE96,AE96+AC97/1000000)</f>
        <v>93.290413041858415</v>
      </c>
      <c r="AF97" s="12">
        <f>IF(OR(履歴データ!$A$97="",AE96=0),"",(AE97-AE96)/AE96)</f>
        <v>-8.6834780830896911E-3</v>
      </c>
      <c r="AG97" s="29">
        <f t="shared" si="5"/>
        <v>102.17217746631495</v>
      </c>
      <c r="AH97" s="12">
        <f>IF(OR(履歴データ!$A$97="",AG97=0),"",AE97/AG97-1)</f>
        <v>-8.6929383758947099E-2</v>
      </c>
      <c r="AJ97" s="28">
        <f t="shared" ca="1" si="3"/>
        <v>-32.72019299635641</v>
      </c>
      <c r="AK97" s="28">
        <f t="shared" ca="1" si="4"/>
        <v>-46.936057003643604</v>
      </c>
    </row>
    <row r="98" spans="1:37">
      <c r="A98" s="10">
        <f>IF(履歴データ!$A$98="","",履歴データ!$A$98)</f>
        <v>45065</v>
      </c>
      <c r="B98" s="28">
        <f>IF(履歴データ!$A$98="","",(履歴データ!$D$98-(履歴データ!$B$98+履歴データ!$F$98)/2)*100)</f>
        <v>-41.5</v>
      </c>
      <c r="C98" s="28">
        <f>IF(履歴データ!$A$98="","",(履歴データ!$H$98-(履歴データ!$G$98+履歴データ!$J$98)/2)*100)</f>
        <v>-18.250000000000004</v>
      </c>
      <c r="D98" s="28">
        <f>IF(履歴データ!$A$98="","",(履歴データ!$D$98-履歴データ!$H$98)*100)</f>
        <v>328.5</v>
      </c>
      <c r="E98" s="28">
        <f>IF(履歴データ!$A$98="","",(履歴データ!$D$98-履歴データ!$C$98)*100)</f>
        <v>-5.9999999999999609</v>
      </c>
      <c r="F98" s="28">
        <f>IF(履歴データ!$A$98="","",(履歴データ!$R$98-履歴データ!$D$98)*100)</f>
        <v>-137.26000000000002</v>
      </c>
      <c r="G98" s="28">
        <f>IF(履歴データ!$A$98="","",(履歴データ!$S$98-履歴データ!$R$98)*100)</f>
        <v>-221.28700000000015</v>
      </c>
      <c r="H98" s="29">
        <f>IF(履歴データ!$A$98="","",履歴データ!$O$98)</f>
        <v>138.6199951171875</v>
      </c>
      <c r="I98" s="29">
        <f>IF(履歴データ!$A$98="","",履歴データ!$Q$98)</f>
        <v>113.5625</v>
      </c>
      <c r="J98" s="29">
        <f>IF(履歴データ!$A$98="","",履歴データ!$D$98)</f>
        <v>3.7</v>
      </c>
      <c r="K98" s="28">
        <f>IF(OR(履歴データ!$A$98="",履歴データ!$A$97=""),"",B98-B97)</f>
        <v>1.0000000000000284</v>
      </c>
      <c r="L98" s="28">
        <f>IF(OR(履歴データ!$A$98="",履歴データ!$A$97=""),"",C98-C97)</f>
        <v>1.4999999999999964</v>
      </c>
      <c r="M98" s="28">
        <f>IF(OR(履歴データ!$A$98="",履歴データ!$A$97=""),"",D98-D97)</f>
        <v>3</v>
      </c>
      <c r="N98" s="28">
        <f>IF(OR(履歴データ!$A$98="",履歴データ!$A$97=""),"",E98-E97)</f>
        <v>-1.9999999999999574</v>
      </c>
      <c r="O98" s="28">
        <f>IF(OR(履歴データ!$A$98="",履歴データ!$A$97=""),"",F98-F97)</f>
        <v>6.6899999999999693</v>
      </c>
      <c r="P98" s="28">
        <f>IF(OR(履歴データ!$A$98="",履歴データ!$A$97=""),"",G98-G97)</f>
        <v>-10.462178588867346</v>
      </c>
      <c r="Q98" s="29">
        <f>IF(OR(履歴データ!$A$98="",履歴データ!$A$97=""),"",H98-H97)</f>
        <v>0</v>
      </c>
      <c r="R98" s="29">
        <f>IF(OR(履歴データ!$A$98="",履歴データ!$A$97=""),"",I98-I97)</f>
        <v>-0.359375</v>
      </c>
      <c r="S98" s="28">
        <f>IF(OR(履歴データ!$A$98="",履歴データ!$A$97=""),"",(J98-J97)*100)</f>
        <v>5.0000000000000266</v>
      </c>
      <c r="T98" s="11">
        <f>IF(OR(履歴データ!$A$98="",履歴データ!$A$97=""),"",-80000*K98)</f>
        <v>-80000.00000000227</v>
      </c>
      <c r="U98" s="11">
        <f>IF(OR(履歴データ!$A$98="",履歴データ!$A$97=""),"",60000*L98)</f>
        <v>89999.999999999782</v>
      </c>
      <c r="V98" s="11">
        <f>IF(OR(履歴データ!$A$98="",履歴データ!$A$97=""),"",-50000*M98)</f>
        <v>-150000</v>
      </c>
      <c r="W98" s="11">
        <f>IF(OR(履歴データ!$A$98="",履歴データ!$A$97=""),"",-40000*N98)</f>
        <v>79999.999999998297</v>
      </c>
      <c r="X98" s="11">
        <f>IF(OR(履歴データ!$A$98="",履歴データ!$A$97=""),"",120*1000000*(-Q98/H97))</f>
        <v>0</v>
      </c>
      <c r="Y98" s="11">
        <f>IF(OR(履歴データ!$A$98="",履歴データ!$A$97=""),"",40000*(-S98)+(-506.3)*R98*1000)</f>
        <v>-18048.437500001077</v>
      </c>
      <c r="Z98" s="11">
        <f>IF(OR(履歴データ!$A$98="",履歴データ!$A$97=""),"",-40000*O98)</f>
        <v>-267599.99999999878</v>
      </c>
      <c r="AA98" s="11">
        <f>IF(OR(履歴データ!$A$98="",履歴データ!$A$97=""),"",-40000*P98)</f>
        <v>418487.14355469384</v>
      </c>
      <c r="AB98" s="11">
        <f>IF(履歴データ!$A$98="","",123.3)</f>
        <v>123.3</v>
      </c>
      <c r="AC98">
        <f>IF(履歴データ!$A$98="","",SUM(T98:AA98))</f>
        <v>72838.70605468977</v>
      </c>
      <c r="AD98" s="29">
        <f>IF(履歴データ!$A$98="","",AC98/1000000)</f>
        <v>7.283870605468977E-2</v>
      </c>
      <c r="AE98" s="29">
        <f>IF(履歴データ!$A$98="",AE97,AE97+AC98/1000000)</f>
        <v>93.363251747913111</v>
      </c>
      <c r="AF98" s="12">
        <f>IF(OR(履歴データ!$A$98="",AE97=0),"",(AE98-AE97)/AE97)</f>
        <v>7.80773754555192E-4</v>
      </c>
      <c r="AG98" s="29">
        <f t="shared" si="5"/>
        <v>102.17217746631495</v>
      </c>
      <c r="AH98" s="12">
        <f>IF(OR(履歴データ!$A$98="",AG98=0),"",AE98/AG98-1)</f>
        <v>-8.6216482185730525E-2</v>
      </c>
      <c r="AJ98" s="28">
        <f t="shared" ca="1" si="3"/>
        <v>-32.766400177246261</v>
      </c>
      <c r="AK98" s="28">
        <f t="shared" ca="1" si="4"/>
        <v>-46.924321472238283</v>
      </c>
    </row>
    <row r="99" spans="1:37">
      <c r="A99" s="10">
        <f>IF(履歴データ!$A$99="","",履歴データ!$A$99)</f>
        <v>45068</v>
      </c>
      <c r="B99" s="28">
        <f>IF(履歴データ!$A$99="","",(履歴データ!$D$99-(履歴データ!$B$99+履歴データ!$F$99)/2)*100)</f>
        <v>-40.999999999999972</v>
      </c>
      <c r="C99" s="28">
        <f>IF(履歴データ!$A$99="","",(履歴データ!$H$99-(履歴データ!$G$99+履歴データ!$J$99)/2)*100)</f>
        <v>-18.899999999999995</v>
      </c>
      <c r="D99" s="28">
        <f>IF(履歴データ!$A$99="","",(履歴データ!$D$99-履歴データ!$H$99)*100)</f>
        <v>332.30000000000007</v>
      </c>
      <c r="E99" s="28">
        <f>IF(履歴データ!$A$99="","",(履歴データ!$D$99-履歴データ!$C$99)*100)</f>
        <v>-4.9999999999999822</v>
      </c>
      <c r="F99" s="28">
        <f>IF(履歴データ!$A$99="","",(履歴データ!$R$99-履歴データ!$D$99)*100)</f>
        <v>-143.23000000000002</v>
      </c>
      <c r="G99" s="28">
        <f>IF(履歴データ!$A$99="","",(履歴データ!$S$99-履歴データ!$R$99)*100)</f>
        <v>-218.72017858886741</v>
      </c>
      <c r="H99" s="29">
        <f>IF(履歴データ!$A$99="","",履歴データ!$O$99)</f>
        <v>138.6719970703125</v>
      </c>
      <c r="I99" s="29">
        <f>IF(履歴データ!$A$99="","",履歴データ!$Q$99)</f>
        <v>113.46875</v>
      </c>
      <c r="J99" s="29">
        <f>IF(履歴データ!$A$99="","",履歴データ!$D$99)</f>
        <v>3.72</v>
      </c>
      <c r="K99" s="28">
        <f>IF(OR(履歴データ!$A$99="",履歴データ!$A$98=""),"",B99-B98)</f>
        <v>0.50000000000002842</v>
      </c>
      <c r="L99" s="28">
        <f>IF(OR(履歴データ!$A$99="",履歴データ!$A$98=""),"",C99-C98)</f>
        <v>-0.64999999999999147</v>
      </c>
      <c r="M99" s="28">
        <f>IF(OR(履歴データ!$A$99="",履歴データ!$A$98=""),"",D99-D98)</f>
        <v>3.8000000000000682</v>
      </c>
      <c r="N99" s="28">
        <f>IF(OR(履歴データ!$A$99="",履歴データ!$A$98=""),"",E99-E98)</f>
        <v>0.99999999999997868</v>
      </c>
      <c r="O99" s="28">
        <f>IF(OR(履歴データ!$A$99="",履歴データ!$A$98=""),"",F99-F98)</f>
        <v>-5.9699999999999989</v>
      </c>
      <c r="P99" s="28">
        <f>IF(OR(履歴データ!$A$99="",履歴データ!$A$98=""),"",G99-G98)</f>
        <v>2.5668214111327359</v>
      </c>
      <c r="Q99" s="29">
        <f>IF(OR(履歴データ!$A$99="",履歴データ!$A$98=""),"",H99-H98)</f>
        <v>5.2001953125E-2</v>
      </c>
      <c r="R99" s="29">
        <f>IF(OR(履歴データ!$A$99="",履歴データ!$A$98=""),"",I99-I98)</f>
        <v>-9.375E-2</v>
      </c>
      <c r="S99" s="28">
        <f>IF(OR(履歴データ!$A$99="",履歴データ!$A$98=""),"",(J99-J98)*100)</f>
        <v>2.0000000000000018</v>
      </c>
      <c r="T99" s="11">
        <f>IF(OR(履歴データ!$A$99="",履歴データ!$A$98=""),"",-80000*K99)</f>
        <v>-40000.00000000227</v>
      </c>
      <c r="U99" s="11">
        <f>IF(OR(履歴データ!$A$99="",履歴データ!$A$98=""),"",60000*L99)</f>
        <v>-38999.999999999491</v>
      </c>
      <c r="V99" s="11">
        <f>IF(OR(履歴データ!$A$99="",履歴データ!$A$98=""),"",-50000*M99)</f>
        <v>-190000.00000000341</v>
      </c>
      <c r="W99" s="11">
        <f>IF(OR(履歴データ!$A$99="",履歴データ!$A$98=""),"",-40000*N99)</f>
        <v>-39999.999999999149</v>
      </c>
      <c r="X99" s="11">
        <f>IF(OR(履歴データ!$A$99="",履歴データ!$A$98=""),"",120*1000000*(-Q99/H98))</f>
        <v>-45016.841688131564</v>
      </c>
      <c r="Y99" s="11">
        <f>IF(OR(履歴データ!$A$99="",履歴データ!$A$98=""),"",40000*(-S99)+(-506.3)*R99*1000)</f>
        <v>-32534.375000000073</v>
      </c>
      <c r="Z99" s="11">
        <f>IF(OR(履歴データ!$A$99="",履歴データ!$A$98=""),"",-40000*O99)</f>
        <v>238799.99999999994</v>
      </c>
      <c r="AA99" s="11">
        <f>IF(OR(履歴データ!$A$99="",履歴データ!$A$98=""),"",-40000*P99)</f>
        <v>-102672.85644530943</v>
      </c>
      <c r="AB99" s="11">
        <f>IF(履歴データ!$A$99="","",123.3)</f>
        <v>123.3</v>
      </c>
      <c r="AC99">
        <f>IF(履歴データ!$A$99="","",SUM(T99:AA99))</f>
        <v>-250424.0731334454</v>
      </c>
      <c r="AD99" s="29">
        <f>IF(履歴データ!$A$99="","",AC99/1000000)</f>
        <v>-0.25042407313344539</v>
      </c>
      <c r="AE99" s="29">
        <f>IF(履歴データ!$A$99="",AE98,AE98+AC99/1000000)</f>
        <v>93.112827674779666</v>
      </c>
      <c r="AF99" s="12">
        <f>IF(OR(履歴データ!$A$99="",AE98=0),"",(AE99-AE98)/AE98)</f>
        <v>-2.682255260448792E-3</v>
      </c>
      <c r="AG99" s="29">
        <f t="shared" si="5"/>
        <v>102.17217746631495</v>
      </c>
      <c r="AH99" s="12">
        <f>IF(OR(履歴データ!$A$99="",AG99=0),"",AE99/AG99-1)</f>
        <v>-8.8667482833299172E-2</v>
      </c>
      <c r="AJ99" s="28">
        <f t="shared" ca="1" si="3"/>
        <v>-32.810903822304326</v>
      </c>
      <c r="AK99" s="28">
        <f t="shared" ca="1" si="4"/>
        <v>-46.903381891981397</v>
      </c>
    </row>
    <row r="100" spans="1:37">
      <c r="A100" s="10">
        <f>IF(履歴データ!$A$100="","",履歴データ!$A$100)</f>
        <v>45069</v>
      </c>
      <c r="B100" s="28">
        <f>IF(履歴データ!$A$100="","",(履歴データ!$D$100-(履歴データ!$B$100+履歴データ!$F$100)/2)*100)</f>
        <v>-40.999999999999929</v>
      </c>
      <c r="C100" s="28">
        <f>IF(履歴データ!$A$100="","",(履歴データ!$H$100-(履歴データ!$G$100+履歴データ!$J$100)/2)*100)</f>
        <v>-18.550000000000004</v>
      </c>
      <c r="D100" s="28">
        <f>IF(履歴データ!$A$100="","",(履歴データ!$D$100-履歴データ!$H$100)*100)</f>
        <v>329</v>
      </c>
      <c r="E100" s="28">
        <f>IF(履歴データ!$A$100="","",(履歴データ!$D$100-履歴データ!$C$100)*100)</f>
        <v>-5.9999999999999609</v>
      </c>
      <c r="F100" s="28">
        <f>IF(履歴データ!$A$100="","",(履歴データ!$R$100-履歴データ!$D$100)*100)</f>
        <v>-140.71000000000004</v>
      </c>
      <c r="G100" s="28">
        <f>IF(履歴データ!$A$100="","",(履歴データ!$S$100-履歴データ!$R$100)*100)</f>
        <v>-219.59100000000018</v>
      </c>
      <c r="H100" s="29">
        <f>IF(履歴データ!$A$100="","",履歴データ!$O$100)</f>
        <v>138.59800720214844</v>
      </c>
      <c r="I100" s="29">
        <f>IF(履歴データ!$A$100="","",履歴データ!$Q$100)</f>
        <v>113.609375</v>
      </c>
      <c r="J100" s="29">
        <f>IF(履歴データ!$A$100="","",履歴データ!$D$100)</f>
        <v>3.7</v>
      </c>
      <c r="K100" s="28">
        <f>IF(OR(履歴データ!$A$100="",履歴データ!$A$99=""),"",B100-B99)</f>
        <v>4.2632564145606011E-14</v>
      </c>
      <c r="L100" s="28">
        <f>IF(OR(履歴データ!$A$100="",履歴データ!$A$99=""),"",C100-C99)</f>
        <v>0.34999999999999076</v>
      </c>
      <c r="M100" s="28">
        <f>IF(OR(履歴データ!$A$100="",履歴データ!$A$99=""),"",D100-D99)</f>
        <v>-3.3000000000000682</v>
      </c>
      <c r="N100" s="28">
        <f>IF(OR(履歴データ!$A$100="",履歴データ!$A$99=""),"",E100-E99)</f>
        <v>-0.99999999999997868</v>
      </c>
      <c r="O100" s="28">
        <f>IF(OR(履歴データ!$A$100="",履歴データ!$A$99=""),"",F100-F99)</f>
        <v>2.5199999999999818</v>
      </c>
      <c r="P100" s="28">
        <f>IF(OR(履歴データ!$A$100="",履歴データ!$A$99=""),"",G100-G99)</f>
        <v>-0.87082141113276634</v>
      </c>
      <c r="Q100" s="29">
        <f>IF(OR(履歴データ!$A$100="",履歴データ!$A$99=""),"",H100-H99)</f>
        <v>-7.39898681640625E-2</v>
      </c>
      <c r="R100" s="29">
        <f>IF(OR(履歴データ!$A$100="",履歴データ!$A$99=""),"",I100-I99)</f>
        <v>0.140625</v>
      </c>
      <c r="S100" s="28">
        <f>IF(OR(履歴データ!$A$100="",履歴データ!$A$99=""),"",(J100-J99)*100)</f>
        <v>-2.0000000000000018</v>
      </c>
      <c r="T100" s="11">
        <f>IF(OR(履歴データ!$A$100="",履歴データ!$A$99=""),"",-80000*K100)</f>
        <v>-3.4106051316484809E-9</v>
      </c>
      <c r="U100" s="11">
        <f>IF(OR(履歴データ!$A$100="",履歴データ!$A$99=""),"",60000*L100)</f>
        <v>20999.999999999447</v>
      </c>
      <c r="V100" s="11">
        <f>IF(OR(履歴データ!$A$100="",履歴データ!$A$99=""),"",-50000*M100)</f>
        <v>165000.00000000341</v>
      </c>
      <c r="W100" s="11">
        <f>IF(OR(履歴データ!$A$100="",履歴データ!$A$99=""),"",-40000*N100)</f>
        <v>39999.999999999149</v>
      </c>
      <c r="X100" s="11">
        <f>IF(OR(履歴データ!$A$100="",履歴データ!$A$99=""),"",120*1000000*(-Q100/H99))</f>
        <v>64027.232370394042</v>
      </c>
      <c r="Y100" s="11">
        <f>IF(OR(履歴データ!$A$100="",履歴データ!$A$99=""),"",40000*(-S100)+(-506.3)*R100*1000)</f>
        <v>8801.5625000000728</v>
      </c>
      <c r="Z100" s="11">
        <f>IF(OR(履歴データ!$A$100="",履歴データ!$A$99=""),"",-40000*O100)</f>
        <v>-100799.99999999927</v>
      </c>
      <c r="AA100" s="11">
        <f>IF(OR(履歴データ!$A$100="",履歴データ!$A$99=""),"",-40000*P100)</f>
        <v>34832.856445310652</v>
      </c>
      <c r="AB100" s="11">
        <f>IF(履歴データ!$A$100="","",123.3)</f>
        <v>123.3</v>
      </c>
      <c r="AC100">
        <f>IF(履歴データ!$A$100="","",SUM(T100:AA100))</f>
        <v>232861.6513157041</v>
      </c>
      <c r="AD100" s="29">
        <f>IF(履歴データ!$A$100="","",AC100/1000000)</f>
        <v>0.2328616513157041</v>
      </c>
      <c r="AE100" s="29">
        <f>IF(履歴データ!$A$100="",AE99,AE99+AC100/1000000)</f>
        <v>93.345689326095368</v>
      </c>
      <c r="AF100" s="12">
        <f>IF(OR(履歴データ!$A$100="",AE99=0),"",(AE100-AE99)/AE99)</f>
        <v>2.5008546849101219E-3</v>
      </c>
      <c r="AG100" s="29">
        <f t="shared" si="5"/>
        <v>102.17217746631495</v>
      </c>
      <c r="AH100" s="12">
        <f>IF(OR(履歴データ!$A$100="",AG100=0),"",AE100/AG100-1)</f>
        <v>-8.6388372638231958E-2</v>
      </c>
      <c r="AJ100" s="28">
        <f t="shared" ca="1" si="3"/>
        <v>-32.854727233284187</v>
      </c>
      <c r="AK100" s="28">
        <f t="shared" ca="1" si="4"/>
        <v>-46.882646504089557</v>
      </c>
    </row>
    <row r="101" spans="1:37">
      <c r="A101" s="10">
        <f>IF(履歴データ!$A$101="","",履歴データ!$A$101)</f>
        <v>45070</v>
      </c>
      <c r="B101" s="28">
        <f>IF(履歴データ!$A$101="","",(履歴データ!$D$101-(履歴データ!$B$101+履歴データ!$F$101)/2)*100)</f>
        <v>-40.999999999999972</v>
      </c>
      <c r="C101" s="28">
        <f>IF(履歴データ!$A$101="","",(履歴データ!$H$101-(履歴データ!$G$101+履歴データ!$J$101)/2)*100)</f>
        <v>-18.049999999999994</v>
      </c>
      <c r="D101" s="28">
        <f>IF(履歴データ!$A$101="","",(履歴データ!$D$101-履歴データ!$H$101)*100)</f>
        <v>330.90000000000003</v>
      </c>
      <c r="E101" s="28">
        <f>IF(履歴データ!$A$101="","",(履歴データ!$D$101-履歴データ!$C$101)*100)</f>
        <v>-2.0000000000000018</v>
      </c>
      <c r="F101" s="28">
        <f>IF(履歴データ!$A$101="","",(履歴データ!$R$101-履歴データ!$D$101)*100)</f>
        <v>-137.42000000000002</v>
      </c>
      <c r="G101" s="28">
        <f>IF(履歴データ!$A$101="","",(履歴データ!$S$101-履歴データ!$R$101)*100)</f>
        <v>-225.1793571777346</v>
      </c>
      <c r="H101" s="29">
        <f>IF(履歴データ!$A$101="","",履歴データ!$O$101)</f>
        <v>139.28300476074219</v>
      </c>
      <c r="I101" s="29">
        <f>IF(履歴データ!$A$101="","",履歴データ!$Q$101)</f>
        <v>113.421875</v>
      </c>
      <c r="J101" s="29">
        <f>IF(履歴データ!$A$101="","",履歴データ!$D$101)</f>
        <v>3.73</v>
      </c>
      <c r="K101" s="28">
        <f>IF(OR(履歴データ!$A$101="",履歴データ!$A$100=""),"",B101-B100)</f>
        <v>-4.2632564145606011E-14</v>
      </c>
      <c r="L101" s="28">
        <f>IF(OR(履歴データ!$A$101="",履歴データ!$A$100=""),"",C101-C100)</f>
        <v>0.50000000000001066</v>
      </c>
      <c r="M101" s="28">
        <f>IF(OR(履歴データ!$A$101="",履歴データ!$A$100=""),"",D101-D100)</f>
        <v>1.9000000000000341</v>
      </c>
      <c r="N101" s="28">
        <f>IF(OR(履歴データ!$A$101="",履歴データ!$A$100=""),"",E101-E100)</f>
        <v>3.9999999999999591</v>
      </c>
      <c r="O101" s="28">
        <f>IF(OR(履歴データ!$A$101="",履歴データ!$A$100=""),"",F101-F100)</f>
        <v>3.2900000000000205</v>
      </c>
      <c r="P101" s="28">
        <f>IF(OR(履歴データ!$A$101="",履歴データ!$A$100=""),"",G101-G100)</f>
        <v>-5.588357177734423</v>
      </c>
      <c r="Q101" s="29">
        <f>IF(OR(履歴データ!$A$101="",履歴データ!$A$100=""),"",H101-H100)</f>
        <v>0.68499755859375</v>
      </c>
      <c r="R101" s="29">
        <f>IF(OR(履歴データ!$A$101="",履歴データ!$A$100=""),"",I101-I100)</f>
        <v>-0.1875</v>
      </c>
      <c r="S101" s="28">
        <f>IF(OR(履歴データ!$A$101="",履歴データ!$A$100=""),"",(J101-J100)*100)</f>
        <v>2.9999999999999805</v>
      </c>
      <c r="T101" s="11">
        <f>IF(OR(履歴データ!$A$101="",履歴データ!$A$100=""),"",-80000*K101)</f>
        <v>3.4106051316484809E-9</v>
      </c>
      <c r="U101" s="11">
        <f>IF(OR(履歴データ!$A$101="",履歴データ!$A$100=""),"",60000*L101)</f>
        <v>30000.00000000064</v>
      </c>
      <c r="V101" s="11">
        <f>IF(OR(履歴データ!$A$101="",履歴データ!$A$100=""),"",-50000*M101)</f>
        <v>-95000.000000001703</v>
      </c>
      <c r="W101" s="11">
        <f>IF(OR(履歴データ!$A$101="",履歴データ!$A$100=""),"",-40000*N101)</f>
        <v>-159999.99999999837</v>
      </c>
      <c r="X101" s="11">
        <f>IF(OR(履歴データ!$A$101="",履歴データ!$A$100=""),"",120*1000000*(-Q101/H100))</f>
        <v>-593080.00663645763</v>
      </c>
      <c r="Y101" s="11">
        <f>IF(OR(履歴データ!$A$101="",履歴データ!$A$100=""),"",40000*(-S101)+(-506.3)*R101*1000)</f>
        <v>-25068.749999999214</v>
      </c>
      <c r="Z101" s="11">
        <f>IF(OR(履歴データ!$A$101="",履歴データ!$A$100=""),"",-40000*O101)</f>
        <v>-131600.00000000081</v>
      </c>
      <c r="AA101" s="11">
        <f>IF(OR(履歴データ!$A$101="",履歴データ!$A$100=""),"",-40000*P101)</f>
        <v>223534.28710937692</v>
      </c>
      <c r="AB101" s="11">
        <f>IF(履歴データ!$A$101="","",123.3)</f>
        <v>123.3</v>
      </c>
      <c r="AC101">
        <f>IF(履歴データ!$A$101="","",SUM(T101:AA101))</f>
        <v>-751214.4695270767</v>
      </c>
      <c r="AD101" s="29">
        <f>IF(履歴データ!$A$101="","",AC101/1000000)</f>
        <v>-0.75121446952707671</v>
      </c>
      <c r="AE101" s="29">
        <f>IF(履歴データ!$A$101="",AE100,AE100+AC101/1000000)</f>
        <v>92.594474856568297</v>
      </c>
      <c r="AF101" s="12">
        <f>IF(OR(履歴データ!$A$101="",AE100=0),"",(AE101-AE100)/AE100)</f>
        <v>-8.0476610644843564E-3</v>
      </c>
      <c r="AG101" s="29">
        <f t="shared" si="5"/>
        <v>102.17217746631495</v>
      </c>
      <c r="AH101" s="12">
        <f>IF(OR(履歴データ!$A$101="",AG101=0),"",AE101/AG101-1)</f>
        <v>-9.3740809359811439E-2</v>
      </c>
      <c r="AJ101" s="28">
        <f t="shared" ca="1" si="3"/>
        <v>-32.897887211602864</v>
      </c>
      <c r="AK101" s="28">
        <f t="shared" ca="1" si="4"/>
        <v>-46.862112788397141</v>
      </c>
    </row>
    <row r="102" spans="1:37">
      <c r="A102" s="10">
        <f>IF(履歴データ!$A$102="","",履歴データ!$A$102)</f>
        <v>45071</v>
      </c>
      <c r="B102" s="28">
        <f>IF(履歴データ!$A$102="","",(履歴データ!$D$102-(履歴データ!$B$102+履歴データ!$F$102)/2)*100)</f>
        <v>-42.499999999999986</v>
      </c>
      <c r="C102" s="28">
        <f>IF(履歴データ!$A$102="","",(履歴データ!$H$102-(履歴データ!$G$102+履歴データ!$J$102)/2)*100)</f>
        <v>-17.2</v>
      </c>
      <c r="D102" s="28">
        <f>IF(履歴データ!$A$102="","",(履歴データ!$D$102-履歴データ!$H$102)*100)</f>
        <v>338.90000000000003</v>
      </c>
      <c r="E102" s="28">
        <f>IF(履歴データ!$A$102="","",(履歴データ!$D$102-履歴データ!$C$102)*100)</f>
        <v>-6.999999999999984</v>
      </c>
      <c r="F102" s="28">
        <f>IF(履歴データ!$A$102="","",(履歴データ!$R$102-履歴データ!$D$102)*100)</f>
        <v>-152.91999999999999</v>
      </c>
      <c r="G102" s="28">
        <f>IF(履歴データ!$A$102="","",(履歴データ!$S$102-履歴データ!$R$102)*100)</f>
        <v>-215.64517858886717</v>
      </c>
      <c r="H102" s="29">
        <f>IF(履歴データ!$A$102="","",履歴データ!$O$102)</f>
        <v>140.01699829101563</v>
      </c>
      <c r="I102" s="29">
        <f>IF(履歴データ!$A$102="","",履歴データ!$Q$102)</f>
        <v>112.625</v>
      </c>
      <c r="J102" s="29">
        <f>IF(履歴データ!$A$102="","",履歴データ!$D$102)</f>
        <v>3.83</v>
      </c>
      <c r="K102" s="28">
        <f>IF(OR(履歴データ!$A$102="",履歴データ!$A$101=""),"",B102-B101)</f>
        <v>-1.5000000000000142</v>
      </c>
      <c r="L102" s="28">
        <f>IF(OR(履歴データ!$A$102="",履歴データ!$A$101=""),"",C102-C101)</f>
        <v>0.84999999999999432</v>
      </c>
      <c r="M102" s="28">
        <f>IF(OR(履歴データ!$A$102="",履歴データ!$A$101=""),"",D102-D101)</f>
        <v>8</v>
      </c>
      <c r="N102" s="28">
        <f>IF(OR(履歴データ!$A$102="",履歴データ!$A$101=""),"",E102-E101)</f>
        <v>-4.9999999999999822</v>
      </c>
      <c r="O102" s="28">
        <f>IF(OR(履歴データ!$A$102="",履歴データ!$A$101=""),"",F102-F101)</f>
        <v>-15.499999999999972</v>
      </c>
      <c r="P102" s="28">
        <f>IF(OR(履歴データ!$A$102="",履歴データ!$A$101=""),"",G102-G101)</f>
        <v>9.5341785888674337</v>
      </c>
      <c r="Q102" s="29">
        <f>IF(OR(履歴データ!$A$102="",履歴データ!$A$101=""),"",H102-H101)</f>
        <v>0.7339935302734375</v>
      </c>
      <c r="R102" s="29">
        <f>IF(OR(履歴データ!$A$102="",履歴データ!$A$101=""),"",I102-I101)</f>
        <v>-0.796875</v>
      </c>
      <c r="S102" s="28">
        <f>IF(OR(履歴データ!$A$102="",履歴データ!$A$101=""),"",(J102-J101)*100)</f>
        <v>10.000000000000009</v>
      </c>
      <c r="T102" s="11">
        <f>IF(OR(履歴データ!$A$102="",履歴データ!$A$101=""),"",-80000*K102)</f>
        <v>120000.00000000114</v>
      </c>
      <c r="U102" s="11">
        <f>IF(OR(履歴データ!$A$102="",履歴データ!$A$101=""),"",60000*L102)</f>
        <v>50999.999999999658</v>
      </c>
      <c r="V102" s="11">
        <f>IF(OR(履歴データ!$A$102="",履歴データ!$A$101=""),"",-50000*M102)</f>
        <v>-400000</v>
      </c>
      <c r="W102" s="11">
        <f>IF(OR(履歴データ!$A$102="",履歴データ!$A$101=""),"",-40000*N102)</f>
        <v>199999.9999999993</v>
      </c>
      <c r="X102" s="11">
        <f>IF(OR(履歴データ!$A$102="",履歴データ!$A$101=""),"",120*1000000*(-Q102/H101))</f>
        <v>-632375.95846035483</v>
      </c>
      <c r="Y102" s="11">
        <f>IF(OR(履歴データ!$A$102="",履歴データ!$A$101=""),"",40000*(-S102)+(-506.3)*R102*1000)</f>
        <v>3457.8124999996508</v>
      </c>
      <c r="Z102" s="11">
        <f>IF(OR(履歴データ!$A$102="",履歴データ!$A$101=""),"",-40000*O102)</f>
        <v>619999.99999999884</v>
      </c>
      <c r="AA102" s="11">
        <f>IF(OR(履歴データ!$A$102="",履歴データ!$A$101=""),"",-40000*P102)</f>
        <v>-381367.14355469734</v>
      </c>
      <c r="AB102" s="11">
        <f>IF(履歴データ!$A$102="","",123.3)</f>
        <v>123.3</v>
      </c>
      <c r="AC102">
        <f>IF(履歴データ!$A$102="","",SUM(T102:AA102))</f>
        <v>-419285.28951505356</v>
      </c>
      <c r="AD102" s="29">
        <f>IF(履歴データ!$A$102="","",AC102/1000000)</f>
        <v>-0.41928528951505356</v>
      </c>
      <c r="AE102" s="29">
        <f>IF(履歴データ!$A$102="",AE101,AE101+AC102/1000000)</f>
        <v>92.175189567053238</v>
      </c>
      <c r="AF102" s="12">
        <f>IF(OR(履歴データ!$A$102="",AE101=0),"",(AE102-AE101)/AE101)</f>
        <v>-4.5281890756931802E-3</v>
      </c>
      <c r="AG102" s="29">
        <f t="shared" si="5"/>
        <v>102.17217746631495</v>
      </c>
      <c r="AH102" s="12">
        <f>IF(OR(履歴データ!$A$102="",AG102=0),"",AE102/AG102-1)</f>
        <v>-9.7844522326614891E-2</v>
      </c>
      <c r="AJ102" s="28">
        <f t="shared" ca="1" si="3"/>
        <v>-32.939287349800559</v>
      </c>
      <c r="AK102" s="28">
        <f t="shared" ca="1" si="4"/>
        <v>-46.872593838318259</v>
      </c>
    </row>
    <row r="103" spans="1:37">
      <c r="A103" s="10">
        <f>IF(履歴データ!$A$103="","",履歴データ!$A$103)</f>
        <v>45072</v>
      </c>
      <c r="B103" s="28">
        <f>IF(履歴データ!$A$103="","",(履歴データ!$D$103-(履歴データ!$B$103+履歴データ!$F$103)/2)*100)</f>
        <v>-45.000000000000014</v>
      </c>
      <c r="C103" s="28">
        <f>IF(履歴データ!$A$103="","",(履歴データ!$H$103-(履歴データ!$G$103+履歴データ!$J$103)/2)*100)</f>
        <v>-16.749999999999993</v>
      </c>
      <c r="D103" s="28">
        <f>IF(履歴データ!$A$103="","",(履歴データ!$D$103-履歴データ!$H$103)*100)</f>
        <v>336.8</v>
      </c>
      <c r="E103" s="28">
        <f>IF(履歴データ!$A$103="","",(履歴データ!$D$103-履歴データ!$C$103)*100)</f>
        <v>-12.000000000000011</v>
      </c>
      <c r="F103" s="28">
        <f>IF(履歴データ!$A$103="","",(履歴データ!$R$103-履歴データ!$D$103)*100)</f>
        <v>-146.29</v>
      </c>
      <c r="G103" s="28">
        <f>IF(履歴データ!$A$103="","",(履歴データ!$S$103-履歴データ!$R$103)*100)</f>
        <v>-222.60782141113293</v>
      </c>
      <c r="H103" s="29">
        <f>IF(履歴データ!$A$103="","",履歴データ!$O$103)</f>
        <v>140.01699829101563</v>
      </c>
      <c r="I103" s="29">
        <f>IF(履歴データ!$A$103="","",履歴データ!$Q$103)</f>
        <v>112.40625</v>
      </c>
      <c r="J103" s="29">
        <f>IF(履歴データ!$A$103="","",履歴データ!$D$103)</f>
        <v>3.8</v>
      </c>
      <c r="K103" s="28">
        <f>IF(OR(履歴データ!$A$103="",履歴データ!$A$102=""),"",B103-B102)</f>
        <v>-2.5000000000000284</v>
      </c>
      <c r="L103" s="28">
        <f>IF(OR(履歴データ!$A$103="",履歴データ!$A$102=""),"",C103-C102)</f>
        <v>0.45000000000000639</v>
      </c>
      <c r="M103" s="28">
        <f>IF(OR(履歴データ!$A$103="",履歴データ!$A$102=""),"",D103-D102)</f>
        <v>-2.1000000000000227</v>
      </c>
      <c r="N103" s="28">
        <f>IF(OR(履歴データ!$A$103="",履歴データ!$A$102=""),"",E103-E102)</f>
        <v>-5.0000000000000266</v>
      </c>
      <c r="O103" s="28">
        <f>IF(OR(履歴データ!$A$103="",履歴データ!$A$102=""),"",F103-F102)</f>
        <v>6.6299999999999955</v>
      </c>
      <c r="P103" s="28">
        <f>IF(OR(履歴データ!$A$103="",履歴データ!$A$102=""),"",G103-G102)</f>
        <v>-6.9626428222657637</v>
      </c>
      <c r="Q103" s="29">
        <f>IF(OR(履歴データ!$A$103="",履歴データ!$A$102=""),"",H103-H102)</f>
        <v>0</v>
      </c>
      <c r="R103" s="29">
        <f>IF(OR(履歴データ!$A$103="",履歴データ!$A$102=""),"",I103-I102)</f>
        <v>-0.21875</v>
      </c>
      <c r="S103" s="28">
        <f>IF(OR(履歴データ!$A$103="",履歴データ!$A$102=""),"",(J103-J102)*100)</f>
        <v>-3.0000000000000249</v>
      </c>
      <c r="T103" s="11">
        <f>IF(OR(履歴データ!$A$103="",履歴データ!$A$102=""),"",-80000*K103)</f>
        <v>200000.00000000227</v>
      </c>
      <c r="U103" s="11">
        <f>IF(OR(履歴データ!$A$103="",履歴データ!$A$102=""),"",60000*L103)</f>
        <v>27000.000000000382</v>
      </c>
      <c r="V103" s="11">
        <f>IF(OR(履歴データ!$A$103="",履歴データ!$A$102=""),"",-50000*M103)</f>
        <v>105000.00000000114</v>
      </c>
      <c r="W103" s="11">
        <f>IF(OR(履歴データ!$A$103="",履歴データ!$A$102=""),"",-40000*N103)</f>
        <v>200000.00000000108</v>
      </c>
      <c r="X103" s="11">
        <f>IF(OR(履歴データ!$A$103="",履歴データ!$A$102=""),"",120*1000000*(-Q103/H102))</f>
        <v>0</v>
      </c>
      <c r="Y103" s="11">
        <f>IF(OR(履歴データ!$A$103="",履歴データ!$A$102=""),"",40000*(-S103)+(-506.3)*R103*1000)</f>
        <v>230753.12500000099</v>
      </c>
      <c r="Z103" s="11">
        <f>IF(OR(履歴データ!$A$103="",履歴データ!$A$102=""),"",-40000*O103)</f>
        <v>-265199.99999999983</v>
      </c>
      <c r="AA103" s="11">
        <f>IF(OR(履歴データ!$A$103="",履歴データ!$A$102=""),"",-40000*P103)</f>
        <v>278505.71289063053</v>
      </c>
      <c r="AB103" s="11">
        <f>IF(履歴データ!$A$103="","",123.3)</f>
        <v>123.3</v>
      </c>
      <c r="AC103">
        <f>IF(履歴データ!$A$103="","",SUM(T103:AA103))</f>
        <v>776058.83789063653</v>
      </c>
      <c r="AD103" s="29">
        <f>IF(履歴データ!$A$103="","",AC103/1000000)</f>
        <v>0.77605883789063657</v>
      </c>
      <c r="AE103" s="29">
        <f>IF(履歴データ!$A$103="",AE102,AE102+AC103/1000000)</f>
        <v>92.951248404943868</v>
      </c>
      <c r="AF103" s="12">
        <f>IF(OR(履歴データ!$A$103="",AE102=0),"",(AE103-AE102)/AE102)</f>
        <v>8.4193896593625465E-3</v>
      </c>
      <c r="AG103" s="29">
        <f t="shared" si="5"/>
        <v>102.17217746631495</v>
      </c>
      <c r="AH103" s="12">
        <f>IF(OR(履歴データ!$A$103="",AG103=0),"",AE103/AG103-1)</f>
        <v>-9.0248923826754313E-2</v>
      </c>
      <c r="AJ103" s="28">
        <f t="shared" ca="1" si="3"/>
        <v>-32.950788108762097</v>
      </c>
      <c r="AK103" s="28">
        <f t="shared" ca="1" si="4"/>
        <v>-46.960976597120265</v>
      </c>
    </row>
    <row r="104" spans="1:37">
      <c r="A104" s="10">
        <f>IF(履歴データ!$A$104="","",履歴データ!$A$104)</f>
        <v>45076</v>
      </c>
      <c r="B104" s="28">
        <f>IF(履歴データ!$A$104="","",(履歴データ!$D$104-(履歴データ!$B$104+履歴データ!$F$104)/2)*100)</f>
        <v>-48.999999999999979</v>
      </c>
      <c r="C104" s="28">
        <f>IF(履歴データ!$A$104="","",(履歴データ!$H$104-(履歴データ!$G$104+履歴データ!$J$104)/2)*100)</f>
        <v>-15.650000000000002</v>
      </c>
      <c r="D104" s="28">
        <f>IF(履歴データ!$A$104="","",(履歴データ!$D$104-履歴データ!$H$104)*100)</f>
        <v>324.2</v>
      </c>
      <c r="E104" s="28">
        <f>IF(履歴データ!$A$104="","",(履歴データ!$D$104-履歴データ!$C$104)*100)</f>
        <v>-12.000000000000011</v>
      </c>
      <c r="F104" s="28">
        <f>IF(履歴データ!$A$104="","",(履歴データ!$R$104-履歴データ!$D$104)*100)</f>
        <v>-128.41999999999999</v>
      </c>
      <c r="G104" s="28">
        <f>IF(履歴データ!$A$104="","",(履歴データ!$S$104-履歴データ!$R$104)*100)</f>
        <v>-225.44364282226584</v>
      </c>
      <c r="H104" s="29">
        <f>IF(履歴データ!$A$104="","",履歴データ!$O$104)</f>
        <v>139.79200744628906</v>
      </c>
      <c r="I104" s="29">
        <f>IF(履歴データ!$A$104="","",履歴データ!$Q$104)</f>
        <v>113.171875</v>
      </c>
      <c r="J104" s="29">
        <f>IF(履歴データ!$A$104="","",履歴データ!$D$104)</f>
        <v>3.69</v>
      </c>
      <c r="K104" s="28">
        <f>IF(OR(履歴データ!$A$104="",履歴データ!$A$103=""),"",B104-B103)</f>
        <v>-3.9999999999999645</v>
      </c>
      <c r="L104" s="28">
        <f>IF(OR(履歴データ!$A$104="",履歴データ!$A$103=""),"",C104-C103)</f>
        <v>1.0999999999999908</v>
      </c>
      <c r="M104" s="28">
        <f>IF(OR(履歴データ!$A$104="",履歴データ!$A$103=""),"",D104-D103)</f>
        <v>-12.600000000000023</v>
      </c>
      <c r="N104" s="28">
        <f>IF(OR(履歴データ!$A$104="",履歴データ!$A$103=""),"",E104-E103)</f>
        <v>0</v>
      </c>
      <c r="O104" s="28">
        <f>IF(OR(履歴データ!$A$104="",履歴データ!$A$103=""),"",F104-F103)</f>
        <v>17.870000000000005</v>
      </c>
      <c r="P104" s="28">
        <f>IF(OR(履歴データ!$A$104="",履歴データ!$A$103=""),"",G104-G103)</f>
        <v>-2.8358214111329119</v>
      </c>
      <c r="Q104" s="29">
        <f>IF(OR(履歴データ!$A$104="",履歴データ!$A$103=""),"",H104-H103)</f>
        <v>-0.2249908447265625</v>
      </c>
      <c r="R104" s="29">
        <f>IF(OR(履歴データ!$A$104="",履歴データ!$A$103=""),"",I104-I103)</f>
        <v>0.765625</v>
      </c>
      <c r="S104" s="28">
        <f>IF(OR(履歴データ!$A$104="",履歴データ!$A$103=""),"",(J104-J103)*100)</f>
        <v>-10.999999999999988</v>
      </c>
      <c r="T104" s="11">
        <f>IF(OR(履歴データ!$A$104="",履歴データ!$A$103=""),"",-80000*K104)</f>
        <v>319999.99999999715</v>
      </c>
      <c r="U104" s="11">
        <f>IF(OR(履歴データ!$A$104="",履歴データ!$A$103=""),"",60000*L104)</f>
        <v>65999.999999999447</v>
      </c>
      <c r="V104" s="11">
        <f>IF(OR(履歴データ!$A$104="",履歴データ!$A$103=""),"",-50000*M104)</f>
        <v>630000.00000000116</v>
      </c>
      <c r="W104" s="11">
        <f>IF(OR(履歴データ!$A$104="",履歴データ!$A$103=""),"",-40000*N104)</f>
        <v>0</v>
      </c>
      <c r="X104" s="11">
        <f>IF(OR(履歴データ!$A$104="",履歴データ!$A$103=""),"",120*1000000*(-Q104/H103))</f>
        <v>192825.88326220334</v>
      </c>
      <c r="Y104" s="11">
        <f>IF(OR(履歴データ!$A$104="",履歴データ!$A$103=""),"",40000*(-S104)+(-506.3)*R104*1000)</f>
        <v>52364.062499999476</v>
      </c>
      <c r="Z104" s="11">
        <f>IF(OR(履歴データ!$A$104="",履歴データ!$A$103=""),"",-40000*O104)</f>
        <v>-714800.00000000023</v>
      </c>
      <c r="AA104" s="11">
        <f>IF(OR(履歴データ!$A$104="",履歴データ!$A$103=""),"",-40000*P104)</f>
        <v>113432.85644531647</v>
      </c>
      <c r="AB104" s="11">
        <f>IF(履歴データ!$A$104="","",123.3)</f>
        <v>123.3</v>
      </c>
      <c r="AC104">
        <f>IF(履歴データ!$A$104="","",SUM(T104:AA104))</f>
        <v>659822.80220751697</v>
      </c>
      <c r="AD104" s="29">
        <f>IF(履歴データ!$A$104="","",AC104/1000000)</f>
        <v>0.65982280220751699</v>
      </c>
      <c r="AE104" s="29">
        <f>IF(履歴データ!$A$104="",AE103,AE103+AC104/1000000)</f>
        <v>93.611071207151383</v>
      </c>
      <c r="AF104" s="12">
        <f>IF(OR(履歴データ!$A$104="",AE103=0),"",(AE104-AE103)/AE103)</f>
        <v>7.0985899977694146E-3</v>
      </c>
      <c r="AG104" s="29">
        <f t="shared" si="5"/>
        <v>102.17217746631495</v>
      </c>
      <c r="AH104" s="12">
        <f>IF(OR(履歴データ!$A$104="",AG104=0),"",AE104/AG104-1)</f>
        <v>-8.3790973936970992E-2</v>
      </c>
      <c r="AJ104" s="28">
        <f t="shared" ca="1" si="3"/>
        <v>-32.848774454745197</v>
      </c>
      <c r="AK104" s="28">
        <f t="shared" ca="1" si="4"/>
        <v>-47.238604186031509</v>
      </c>
    </row>
    <row r="105" spans="1:37">
      <c r="A105" s="10">
        <f>IF(履歴データ!$A$105="","",履歴データ!$A$105)</f>
        <v>45077</v>
      </c>
      <c r="B105" s="28">
        <f>IF(履歴データ!$A$105="","",(履歴データ!$D$105-(履歴データ!$B$105+履歴データ!$F$105)/2)*100)</f>
        <v>-48.499999999999986</v>
      </c>
      <c r="C105" s="28">
        <f>IF(履歴データ!$A$105="","",(履歴データ!$H$105-(履歴データ!$G$105+履歴データ!$J$105)/2)*100)</f>
        <v>-15.849999999999993</v>
      </c>
      <c r="D105" s="28">
        <f>IF(履歴データ!$A$105="","",(履歴データ!$D$105-履歴データ!$H$105)*100)</f>
        <v>319.20000000000005</v>
      </c>
      <c r="E105" s="28">
        <f>IF(履歴データ!$A$105="","",(履歴データ!$D$105-履歴データ!$C$105)*100)</f>
        <v>-10.000000000000009</v>
      </c>
      <c r="F105" s="28">
        <f>IF(履歴データ!$A$105="","",(履歴データ!$R$105-履歴データ!$D$105)*100)</f>
        <v>-139.32999999999998</v>
      </c>
      <c r="G105" s="28">
        <f>IF(履歴データ!$A$105="","",(履歴データ!$S$105-履歴データ!$R$105)*100)</f>
        <v>-212.51535717773459</v>
      </c>
      <c r="H105" s="29">
        <f>IF(履歴データ!$A$105="","",履歴データ!$O$105)</f>
        <v>139.12699890136719</v>
      </c>
      <c r="I105" s="29">
        <f>IF(履歴データ!$A$105="","",履歴データ!$Q$105)</f>
        <v>113.625</v>
      </c>
      <c r="J105" s="29">
        <f>IF(履歴データ!$A$105="","",履歴データ!$D$105)</f>
        <v>3.64</v>
      </c>
      <c r="K105" s="28">
        <f>IF(OR(履歴データ!$A$105="",履歴データ!$A$104=""),"",B105-B104)</f>
        <v>0.49999999999999289</v>
      </c>
      <c r="L105" s="28">
        <f>IF(OR(履歴データ!$A$105="",履歴データ!$A$104=""),"",C105-C104)</f>
        <v>-0.19999999999999041</v>
      </c>
      <c r="M105" s="28">
        <f>IF(OR(履歴データ!$A$105="",履歴データ!$A$104=""),"",D105-D104)</f>
        <v>-4.9999999999999432</v>
      </c>
      <c r="N105" s="28">
        <f>IF(OR(履歴データ!$A$105="",履歴データ!$A$104=""),"",E105-E104)</f>
        <v>2.0000000000000018</v>
      </c>
      <c r="O105" s="28">
        <f>IF(OR(履歴データ!$A$105="",履歴データ!$A$104=""),"",F105-F104)</f>
        <v>-10.909999999999997</v>
      </c>
      <c r="P105" s="28">
        <f>IF(OR(履歴データ!$A$105="",履歴データ!$A$104=""),"",G105-G104)</f>
        <v>12.928285644531258</v>
      </c>
      <c r="Q105" s="29">
        <f>IF(OR(履歴データ!$A$105="",履歴データ!$A$104=""),"",H105-H104)</f>
        <v>-0.665008544921875</v>
      </c>
      <c r="R105" s="29">
        <f>IF(OR(履歴データ!$A$105="",履歴データ!$A$104=""),"",I105-I104)</f>
        <v>0.453125</v>
      </c>
      <c r="S105" s="28">
        <f>IF(OR(履歴データ!$A$105="",履歴データ!$A$104=""),"",(J105-J104)*100)</f>
        <v>-4.9999999999999822</v>
      </c>
      <c r="T105" s="11">
        <f>IF(OR(履歴データ!$A$105="",履歴データ!$A$104=""),"",-80000*K105)</f>
        <v>-39999.999999999432</v>
      </c>
      <c r="U105" s="11">
        <f>IF(OR(履歴データ!$A$105="",履歴データ!$A$104=""),"",60000*L105)</f>
        <v>-11999.999999999425</v>
      </c>
      <c r="V105" s="11">
        <f>IF(OR(履歴データ!$A$105="",履歴データ!$A$104=""),"",-50000*M105)</f>
        <v>249999.99999999715</v>
      </c>
      <c r="W105" s="11">
        <f>IF(OR(履歴データ!$A$105="",履歴データ!$A$104=""),"",-40000*N105)</f>
        <v>-80000.000000000073</v>
      </c>
      <c r="X105" s="11">
        <f>IF(OR(履歴データ!$A$105="",履歴データ!$A$104=""),"",120*1000000*(-Q105/H104))</f>
        <v>570855.4219116295</v>
      </c>
      <c r="Y105" s="11">
        <f>IF(OR(履歴データ!$A$105="",履歴データ!$A$104=""),"",40000*(-S105)+(-506.3)*R105*1000)</f>
        <v>-29417.187500000698</v>
      </c>
      <c r="Z105" s="11">
        <f>IF(OR(履歴データ!$A$105="",履歴データ!$A$104=""),"",-40000*O105)</f>
        <v>436399.99999999988</v>
      </c>
      <c r="AA105" s="11">
        <f>IF(OR(履歴データ!$A$105="",履歴データ!$A$104=""),"",-40000*P105)</f>
        <v>-517131.42578125029</v>
      </c>
      <c r="AB105" s="11">
        <f>IF(履歴データ!$A$105="","",123.3)</f>
        <v>123.3</v>
      </c>
      <c r="AC105">
        <f>IF(履歴データ!$A$105="","",SUM(T105:AA105))</f>
        <v>578706.80863037682</v>
      </c>
      <c r="AD105" s="29">
        <f>IF(履歴データ!$A$105="","",AC105/1000000)</f>
        <v>0.57870680863037682</v>
      </c>
      <c r="AE105" s="29">
        <f>IF(履歴データ!$A$105="",AE104,AE104+AC105/1000000)</f>
        <v>94.189778015781755</v>
      </c>
      <c r="AF105" s="12">
        <f>IF(OR(履歴データ!$A$105="",AE104=0),"",(AE105-AE104)/AE104)</f>
        <v>6.1820338253554975E-3</v>
      </c>
      <c r="AG105" s="29">
        <f t="shared" si="5"/>
        <v>102.17217746631495</v>
      </c>
      <c r="AH105" s="12">
        <f>IF(OR(履歴データ!$A$105="",AG105=0),"",AE105/AG105-1)</f>
        <v>-7.8126938746753249E-2</v>
      </c>
      <c r="AJ105" s="28">
        <f t="shared" ca="1" si="3"/>
        <v>-32.775539944540419</v>
      </c>
      <c r="AK105" s="28">
        <f t="shared" ca="1" si="4"/>
        <v>-47.474460055459581</v>
      </c>
    </row>
    <row r="106" spans="1:37">
      <c r="A106" s="10">
        <f>IF(履歴データ!$A$106="","",履歴データ!$A$106)</f>
        <v>45078</v>
      </c>
      <c r="B106" s="28">
        <f>IF(履歴データ!$A$106="","",(履歴データ!$D$106-(履歴データ!$B$106+履歴データ!$F$106)/2)*100)</f>
        <v>-47.500000000000007</v>
      </c>
      <c r="C106" s="28">
        <f>IF(履歴データ!$A$106="","",(履歴データ!$H$106-(履歴データ!$G$106+履歴データ!$J$106)/2)*100)</f>
        <v>-17.2</v>
      </c>
      <c r="D106" s="28">
        <f>IF(履歴データ!$A$106="","",(履歴データ!$D$106-履歴データ!$H$106)*100)</f>
        <v>317.59999999999997</v>
      </c>
      <c r="E106" s="28">
        <f>IF(履歴データ!$A$106="","",(履歴データ!$D$106-履歴データ!$C$106)*100)</f>
        <v>-9.0000000000000302</v>
      </c>
      <c r="F106" s="28">
        <f>IF(履歴データ!$A$106="","",(履歴データ!$R$106-履歴データ!$D$106)*100)</f>
        <v>-138.59999999999997</v>
      </c>
      <c r="G106" s="28">
        <f>IF(履歴データ!$A$106="","",(履歴データ!$S$106-履歴データ!$R$106)*100)</f>
        <v>-208.14064282226568</v>
      </c>
      <c r="H106" s="29">
        <f>IF(履歴データ!$A$106="","",履歴データ!$O$106)</f>
        <v>138.74800109863281</v>
      </c>
      <c r="I106" s="29">
        <f>IF(履歴データ!$A$106="","",履歴データ!$Q$106)</f>
        <v>113.921875</v>
      </c>
      <c r="J106" s="29">
        <f>IF(履歴データ!$A$106="","",履歴データ!$D$106)</f>
        <v>3.61</v>
      </c>
      <c r="K106" s="28">
        <f>IF(OR(履歴データ!$A$106="",履歴データ!$A$105=""),"",B106-B105)</f>
        <v>0.99999999999997868</v>
      </c>
      <c r="L106" s="28">
        <f>IF(OR(履歴データ!$A$106="",履歴データ!$A$105=""),"",C106-C105)</f>
        <v>-1.3500000000000068</v>
      </c>
      <c r="M106" s="28">
        <f>IF(OR(履歴データ!$A$106="",履歴データ!$A$105=""),"",D106-D105)</f>
        <v>-1.6000000000000796</v>
      </c>
      <c r="N106" s="28">
        <f>IF(OR(履歴データ!$A$106="",履歴データ!$A$105=""),"",E106-E105)</f>
        <v>0.99999999999997868</v>
      </c>
      <c r="O106" s="28">
        <f>IF(OR(履歴データ!$A$106="",履歴データ!$A$105=""),"",F106-F105)</f>
        <v>0.73000000000001819</v>
      </c>
      <c r="P106" s="28">
        <f>IF(OR(履歴データ!$A$106="",履歴データ!$A$105=""),"",G106-G105)</f>
        <v>4.3747143554689103</v>
      </c>
      <c r="Q106" s="29">
        <f>IF(OR(履歴データ!$A$106="",履歴データ!$A$105=""),"",H106-H105)</f>
        <v>-0.378997802734375</v>
      </c>
      <c r="R106" s="29">
        <f>IF(OR(履歴データ!$A$106="",履歴データ!$A$105=""),"",I106-I105)</f>
        <v>0.296875</v>
      </c>
      <c r="S106" s="28">
        <f>IF(OR(履歴データ!$A$106="",履歴データ!$A$105=""),"",(J106-J105)*100)</f>
        <v>-3.0000000000000249</v>
      </c>
      <c r="T106" s="11">
        <f>IF(OR(履歴データ!$A$106="",履歴データ!$A$105=""),"",-80000*K106)</f>
        <v>-79999.999999998297</v>
      </c>
      <c r="U106" s="11">
        <f>IF(OR(履歴データ!$A$106="",履歴データ!$A$105=""),"",60000*L106)</f>
        <v>-81000.000000000407</v>
      </c>
      <c r="V106" s="11">
        <f>IF(OR(履歴データ!$A$106="",履歴データ!$A$105=""),"",-50000*M106)</f>
        <v>80000.000000003973</v>
      </c>
      <c r="W106" s="11">
        <f>IF(OR(履歴データ!$A$106="",履歴データ!$A$105=""),"",-40000*N106)</f>
        <v>-39999.999999999149</v>
      </c>
      <c r="X106" s="11">
        <f>IF(OR(履歴データ!$A$106="",履歴データ!$A$105=""),"",120*1000000*(-Q106/H105))</f>
        <v>326893.67762735573</v>
      </c>
      <c r="Y106" s="11">
        <f>IF(OR(履歴データ!$A$106="",履歴データ!$A$105=""),"",40000*(-S106)+(-506.3)*R106*1000)</f>
        <v>-30307.81249999901</v>
      </c>
      <c r="Z106" s="11">
        <f>IF(OR(履歴データ!$A$106="",履歴データ!$A$105=""),"",-40000*O106)</f>
        <v>-29200.000000000728</v>
      </c>
      <c r="AA106" s="11">
        <f>IF(OR(履歴データ!$A$106="",履歴データ!$A$105=""),"",-40000*P106)</f>
        <v>-174988.5742187564</v>
      </c>
      <c r="AB106" s="11">
        <f>IF(履歴データ!$A$106="","",123.3)</f>
        <v>123.3</v>
      </c>
      <c r="AC106">
        <f>IF(履歴データ!$A$106="","",SUM(T106:AA106))</f>
        <v>-28602.709091394296</v>
      </c>
      <c r="AD106" s="29">
        <f>IF(履歴データ!$A$106="","",AC106/1000000)</f>
        <v>-2.8602709091394295E-2</v>
      </c>
      <c r="AE106" s="29">
        <f>IF(履歴データ!$A$106="",AE105,AE105+AC106/1000000)</f>
        <v>94.161175306690367</v>
      </c>
      <c r="AF106" s="12">
        <f>IF(OR(履歴データ!$A$106="",AE105=0),"",(AE106-AE105)/AE105)</f>
        <v>-3.0367105320701745E-4</v>
      </c>
      <c r="AG106" s="29">
        <f t="shared" si="5"/>
        <v>102.17217746631495</v>
      </c>
      <c r="AH106" s="12">
        <f>IF(OR(履歴データ!$A$106="",AG106=0),"",AE106/AG106-1)</f>
        <v>-7.8406884910187213E-2</v>
      </c>
      <c r="AJ106" s="28">
        <f t="shared" ca="1" si="3"/>
        <v>-32.740895997023394</v>
      </c>
      <c r="AK106" s="28">
        <f t="shared" ca="1" si="4"/>
        <v>-47.649580193452799</v>
      </c>
    </row>
    <row r="107" spans="1:37">
      <c r="A107" s="10">
        <f>IF(履歴データ!$A$107="","",履歴データ!$A$107)</f>
        <v>45079</v>
      </c>
      <c r="B107" s="28">
        <f>IF(履歴データ!$A$107="","",(履歴データ!$D$107-(履歴データ!$B$107+履歴データ!$F$107)/2)*100)</f>
        <v>-49.999999999999957</v>
      </c>
      <c r="C107" s="28">
        <f>IF(履歴データ!$A$107="","",(履歴データ!$H$107-(履歴データ!$G$107+履歴データ!$J$107)/2)*100)</f>
        <v>-17.550000000000004</v>
      </c>
      <c r="D107" s="28">
        <f>IF(履歴データ!$A$107="","",(履歴データ!$D$107-履歴データ!$H$107)*100)</f>
        <v>326</v>
      </c>
      <c r="E107" s="28">
        <f>IF(履歴データ!$A$107="","",(履歴データ!$D$107-履歴データ!$C$107)*100)</f>
        <v>-14.999999999999991</v>
      </c>
      <c r="F107" s="28">
        <f>IF(履歴データ!$A$107="","",(履歴データ!$R$107-履歴データ!$D$107)*100)</f>
        <v>-146</v>
      </c>
      <c r="G107" s="28">
        <f>IF(履歴データ!$A$107="","",(履歴データ!$S$107-履歴データ!$R$107)*100)</f>
        <v>-211.19617858886735</v>
      </c>
      <c r="H107" s="29">
        <f>IF(履歴データ!$A$107="","",履歴データ!$O$107)</f>
        <v>138.74800109863281</v>
      </c>
      <c r="I107" s="29">
        <f>IF(履歴データ!$A$107="","",履歴データ!$Q$107)</f>
        <v>113.046875</v>
      </c>
      <c r="J107" s="29">
        <f>IF(履歴データ!$A$107="","",履歴データ!$D$107)</f>
        <v>3.69</v>
      </c>
      <c r="K107" s="28">
        <f>IF(OR(履歴データ!$A$107="",履歴データ!$A$106=""),"",B107-B106)</f>
        <v>-2.4999999999999503</v>
      </c>
      <c r="L107" s="28">
        <f>IF(OR(履歴データ!$A$107="",履歴データ!$A$106=""),"",C107-C106)</f>
        <v>-0.35000000000000497</v>
      </c>
      <c r="M107" s="28">
        <f>IF(OR(履歴データ!$A$107="",履歴データ!$A$106=""),"",D107-D106)</f>
        <v>8.4000000000000341</v>
      </c>
      <c r="N107" s="28">
        <f>IF(OR(履歴データ!$A$107="",履歴データ!$A$106=""),"",E107-E106)</f>
        <v>-5.9999999999999609</v>
      </c>
      <c r="O107" s="28">
        <f>IF(OR(履歴データ!$A$107="",履歴データ!$A$106=""),"",F107-F106)</f>
        <v>-7.4000000000000341</v>
      </c>
      <c r="P107" s="28">
        <f>IF(OR(履歴データ!$A$107="",履歴データ!$A$106=""),"",G107-G106)</f>
        <v>-3.0555357666016789</v>
      </c>
      <c r="Q107" s="29">
        <f>IF(OR(履歴データ!$A$107="",履歴データ!$A$106=""),"",H107-H106)</f>
        <v>0</v>
      </c>
      <c r="R107" s="29">
        <f>IF(OR(履歴データ!$A$107="",履歴データ!$A$106=""),"",I107-I106)</f>
        <v>-0.875</v>
      </c>
      <c r="S107" s="28">
        <f>IF(OR(履歴データ!$A$107="",履歴データ!$A$106=""),"",(J107-J106)*100)</f>
        <v>8.0000000000000071</v>
      </c>
      <c r="T107" s="11">
        <f>IF(OR(履歴データ!$A$107="",履歴データ!$A$106=""),"",-80000*K107)</f>
        <v>199999.99999999601</v>
      </c>
      <c r="U107" s="11">
        <f>IF(OR(履歴データ!$A$107="",履歴データ!$A$106=""),"",60000*L107)</f>
        <v>-21000.000000000298</v>
      </c>
      <c r="V107" s="11">
        <f>IF(OR(履歴データ!$A$107="",履歴データ!$A$106=""),"",-50000*M107)</f>
        <v>-420000.00000000169</v>
      </c>
      <c r="W107" s="11">
        <f>IF(OR(履歴データ!$A$107="",履歴データ!$A$106=""),"",-40000*N107)</f>
        <v>239999.99999999843</v>
      </c>
      <c r="X107" s="11">
        <f>IF(OR(履歴データ!$A$107="",履歴データ!$A$106=""),"",120*1000000*(-Q107/H106))</f>
        <v>0</v>
      </c>
      <c r="Y107" s="11">
        <f>IF(OR(履歴データ!$A$107="",履歴データ!$A$106=""),"",40000*(-S107)+(-506.3)*R107*1000)</f>
        <v>123012.49999999971</v>
      </c>
      <c r="Z107" s="11">
        <f>IF(OR(履歴データ!$A$107="",履歴データ!$A$106=""),"",-40000*O107)</f>
        <v>296000.00000000134</v>
      </c>
      <c r="AA107" s="11">
        <f>IF(OR(履歴データ!$A$107="",履歴データ!$A$106=""),"",-40000*P107)</f>
        <v>122221.43066406716</v>
      </c>
      <c r="AB107" s="11">
        <f>IF(履歴データ!$A$107="","",123.3)</f>
        <v>123.3</v>
      </c>
      <c r="AC107">
        <f>IF(履歴データ!$A$107="","",SUM(T107:AA107))</f>
        <v>540233.93066406064</v>
      </c>
      <c r="AD107" s="29">
        <f>IF(履歴データ!$A$107="","",AC107/1000000)</f>
        <v>0.54023393066406067</v>
      </c>
      <c r="AE107" s="29">
        <f>IF(履歴データ!$A$107="",AE106,AE106+AC107/1000000)</f>
        <v>94.701409237354426</v>
      </c>
      <c r="AF107" s="12">
        <f>IF(OR(履歴データ!$A$107="",AE106=0),"",(AE107-AE106)/AE106)</f>
        <v>5.737332068174319E-3</v>
      </c>
      <c r="AG107" s="29">
        <f t="shared" si="5"/>
        <v>102.17217746631495</v>
      </c>
      <c r="AH107" s="12">
        <f>IF(OR(履歴データ!$A$107="",AG107=0),"",AE107/AG107-1)</f>
        <v>-7.3119399177173805E-2</v>
      </c>
      <c r="AJ107" s="28">
        <f t="shared" ca="1" si="3"/>
        <v>-32.628383503929101</v>
      </c>
      <c r="AK107" s="28">
        <f t="shared" ca="1" si="4"/>
        <v>-47.947088194184104</v>
      </c>
    </row>
    <row r="108" spans="1:37">
      <c r="A108" s="10">
        <f>IF(履歴データ!$A$108="","",履歴データ!$A$108)</f>
        <v>45082</v>
      </c>
      <c r="B108" s="28">
        <f>IF(履歴データ!$A$108="","",(履歴データ!$D$108-(履歴データ!$B$108+履歴データ!$F$108)/2)*100)</f>
        <v>-48.499999999999986</v>
      </c>
      <c r="C108" s="28">
        <f>IF(履歴データ!$A$108="","",(履歴データ!$H$108-(履歴データ!$G$108+履歴データ!$J$108)/2)*100)</f>
        <v>-16.099999999999998</v>
      </c>
      <c r="D108" s="28">
        <f>IF(履歴データ!$A$108="","",(履歴データ!$D$108-履歴データ!$H$108)*100)</f>
        <v>324</v>
      </c>
      <c r="E108" s="28">
        <f>IF(履歴データ!$A$108="","",(履歴データ!$D$108-履歴データ!$C$108)*100)</f>
        <v>-12.999999999999989</v>
      </c>
      <c r="F108" s="28">
        <f>IF(履歴データ!$A$108="","",(履歴データ!$R$108-履歴データ!$D$108)*100)</f>
        <v>-146.51999999999998</v>
      </c>
      <c r="G108" s="28">
        <f>IF(履歴データ!$A$108="","",(履歴データ!$S$108-履歴データ!$R$108)*100)</f>
        <v>-207.34364282226582</v>
      </c>
      <c r="H108" s="29">
        <f>IF(履歴データ!$A$108="","",履歴データ!$O$108)</f>
        <v>139.38299560546875</v>
      </c>
      <c r="I108" s="29">
        <f>IF(履歴データ!$A$108="","",履歴データ!$Q$108)</f>
        <v>113.109375</v>
      </c>
      <c r="J108" s="29">
        <f>IF(履歴データ!$A$108="","",履歴データ!$D$108)</f>
        <v>3.69</v>
      </c>
      <c r="K108" s="28">
        <f>IF(OR(履歴データ!$A$108="",履歴データ!$A$107=""),"",B108-B107)</f>
        <v>1.4999999999999716</v>
      </c>
      <c r="L108" s="28">
        <f>IF(OR(履歴データ!$A$108="",履歴データ!$A$107=""),"",C108-C107)</f>
        <v>1.4500000000000064</v>
      </c>
      <c r="M108" s="28">
        <f>IF(OR(履歴データ!$A$108="",履歴データ!$A$107=""),"",D108-D107)</f>
        <v>-2</v>
      </c>
      <c r="N108" s="28">
        <f>IF(OR(履歴データ!$A$108="",履歴データ!$A$107=""),"",E108-E107)</f>
        <v>2.0000000000000018</v>
      </c>
      <c r="O108" s="28">
        <f>IF(OR(履歴データ!$A$108="",履歴データ!$A$107=""),"",F108-F107)</f>
        <v>-0.51999999999998181</v>
      </c>
      <c r="P108" s="28">
        <f>IF(OR(履歴データ!$A$108="",履歴データ!$A$107=""),"",G108-G107)</f>
        <v>3.8525357666015339</v>
      </c>
      <c r="Q108" s="29">
        <f>IF(OR(履歴データ!$A$108="",履歴データ!$A$107=""),"",H108-H107)</f>
        <v>0.6349945068359375</v>
      </c>
      <c r="R108" s="29">
        <f>IF(OR(履歴データ!$A$108="",履歴データ!$A$107=""),"",I108-I107)</f>
        <v>6.25E-2</v>
      </c>
      <c r="S108" s="28">
        <f>IF(OR(履歴データ!$A$108="",履歴データ!$A$107=""),"",(J108-J107)*100)</f>
        <v>0</v>
      </c>
      <c r="T108" s="11">
        <f>IF(OR(履歴データ!$A$108="",履歴データ!$A$107=""),"",-80000*K108)</f>
        <v>-119999.99999999773</v>
      </c>
      <c r="U108" s="11">
        <f>IF(OR(履歴データ!$A$108="",履歴データ!$A$107=""),"",60000*L108)</f>
        <v>87000.000000000378</v>
      </c>
      <c r="V108" s="11">
        <f>IF(OR(履歴データ!$A$108="",履歴データ!$A$107=""),"",-50000*M108)</f>
        <v>100000</v>
      </c>
      <c r="W108" s="11">
        <f>IF(OR(履歴データ!$A$108="",履歴データ!$A$107=""),"",-40000*N108)</f>
        <v>-80000.000000000073</v>
      </c>
      <c r="X108" s="11">
        <f>IF(OR(履歴データ!$A$108="",履歴データ!$A$107=""),"",120*1000000*(-Q108/H107))</f>
        <v>-549192.35028217896</v>
      </c>
      <c r="Y108" s="11">
        <f>IF(OR(履歴データ!$A$108="",履歴データ!$A$107=""),"",40000*(-S108)+(-506.3)*R108*1000)</f>
        <v>-31643.75</v>
      </c>
      <c r="Z108" s="11">
        <f>IF(OR(履歴データ!$A$108="",履歴データ!$A$107=""),"",-40000*O108)</f>
        <v>20799.999999999272</v>
      </c>
      <c r="AA108" s="11">
        <f>IF(OR(履歴データ!$A$108="",履歴データ!$A$107=""),"",-40000*P108)</f>
        <v>-154101.43066406136</v>
      </c>
      <c r="AB108" s="11">
        <f>IF(履歴データ!$A$108="","",123.3)</f>
        <v>123.3</v>
      </c>
      <c r="AC108">
        <f>IF(履歴データ!$A$108="","",SUM(T108:AA108))</f>
        <v>-727137.53094623843</v>
      </c>
      <c r="AD108" s="29">
        <f>IF(履歴データ!$A$108="","",AC108/1000000)</f>
        <v>-0.72713753094623845</v>
      </c>
      <c r="AE108" s="29">
        <f>IF(履歴データ!$A$108="",AE107,AE107+AC108/1000000)</f>
        <v>93.974271706408189</v>
      </c>
      <c r="AF108" s="12">
        <f>IF(OR(履歴データ!$A$108="",AE107=0),"",(AE108-AE107)/AE107)</f>
        <v>-7.6782123603227424E-3</v>
      </c>
      <c r="AG108" s="29">
        <f t="shared" si="5"/>
        <v>102.17217746631495</v>
      </c>
      <c r="AH108" s="12">
        <f>IF(OR(履歴データ!$A$108="",AG108=0),"",AE108/AG108-1)</f>
        <v>-8.0236185262954951E-2</v>
      </c>
      <c r="AJ108" s="28">
        <f t="shared" ca="1" si="3"/>
        <v>-32.577740962382187</v>
      </c>
      <c r="AK108" s="28">
        <f t="shared" ca="1" si="4"/>
        <v>-48.151231000234638</v>
      </c>
    </row>
    <row r="109" spans="1:37">
      <c r="A109" s="10">
        <f>IF(履歴データ!$A$109="","",履歴データ!$A$109)</f>
        <v>45083</v>
      </c>
      <c r="B109" s="28">
        <f>IF(履歴データ!$A$109="","",(履歴データ!$D$109-(履歴データ!$B$109+履歴データ!$F$109)/2)*100)</f>
        <v>-48.999999999999929</v>
      </c>
      <c r="C109" s="28">
        <f>IF(履歴データ!$A$109="","",(履歴データ!$H$109-(履歴データ!$G$109+履歴データ!$J$109)/2)*100)</f>
        <v>-16.399999999999999</v>
      </c>
      <c r="D109" s="28">
        <f>IF(履歴データ!$A$109="","",(履歴データ!$D$109-履歴データ!$H$109)*100)</f>
        <v>326</v>
      </c>
      <c r="E109" s="28">
        <f>IF(履歴データ!$A$109="","",(履歴データ!$D$109-履歴データ!$C$109)*100)</f>
        <v>-14.999999999999991</v>
      </c>
      <c r="F109" s="28">
        <f>IF(履歴データ!$A$109="","",(履歴データ!$R$109-履歴データ!$D$109)*100)</f>
        <v>-144.94000000000003</v>
      </c>
      <c r="G109" s="28">
        <f>IF(履歴データ!$A$109="","",(履歴データ!$S$109-履歴データ!$R$109)*100)</f>
        <v>-211.15135717773455</v>
      </c>
      <c r="H109" s="29">
        <f>IF(履歴データ!$A$109="","",履歴データ!$O$109)</f>
        <v>139.52699279785156</v>
      </c>
      <c r="I109" s="29">
        <f>IF(履歴データ!$A$109="","",履歴データ!$Q$109)</f>
        <v>113.03125</v>
      </c>
      <c r="J109" s="29">
        <f>IF(履歴データ!$A$109="","",履歴データ!$D$109)</f>
        <v>3.7</v>
      </c>
      <c r="K109" s="28">
        <f>IF(OR(履歴データ!$A$109="",履歴データ!$A$108=""),"",B109-B108)</f>
        <v>-0.49999999999994316</v>
      </c>
      <c r="L109" s="28">
        <f>IF(OR(履歴データ!$A$109="",履歴データ!$A$108=""),"",C109-C108)</f>
        <v>-0.30000000000000071</v>
      </c>
      <c r="M109" s="28">
        <f>IF(OR(履歴データ!$A$109="",履歴データ!$A$108=""),"",D109-D108)</f>
        <v>2</v>
      </c>
      <c r="N109" s="28">
        <f>IF(OR(履歴データ!$A$109="",履歴データ!$A$108=""),"",E109-E108)</f>
        <v>-2.0000000000000018</v>
      </c>
      <c r="O109" s="28">
        <f>IF(OR(履歴データ!$A$109="",履歴データ!$A$108=""),"",F109-F108)</f>
        <v>1.5799999999999557</v>
      </c>
      <c r="P109" s="28">
        <f>IF(OR(履歴データ!$A$109="",履歴データ!$A$108=""),"",G109-G108)</f>
        <v>-3.8077143554687325</v>
      </c>
      <c r="Q109" s="29">
        <f>IF(OR(履歴データ!$A$109="",履歴データ!$A$108=""),"",H109-H108)</f>
        <v>0.1439971923828125</v>
      </c>
      <c r="R109" s="29">
        <f>IF(OR(履歴データ!$A$109="",履歴データ!$A$108=""),"",I109-I108)</f>
        <v>-7.8125E-2</v>
      </c>
      <c r="S109" s="28">
        <f>IF(OR(履歴データ!$A$109="",履歴データ!$A$108=""),"",(J109-J108)*100)</f>
        <v>1.0000000000000231</v>
      </c>
      <c r="T109" s="11">
        <f>IF(OR(履歴データ!$A$109="",履歴データ!$A$108=""),"",-80000*K109)</f>
        <v>39999.999999995453</v>
      </c>
      <c r="U109" s="11">
        <f>IF(OR(履歴データ!$A$109="",履歴データ!$A$108=""),"",60000*L109)</f>
        <v>-18000.000000000044</v>
      </c>
      <c r="V109" s="11">
        <f>IF(OR(履歴データ!$A$109="",履歴データ!$A$108=""),"",-50000*M109)</f>
        <v>-100000</v>
      </c>
      <c r="W109" s="11">
        <f>IF(OR(履歴データ!$A$109="",履歴データ!$A$108=""),"",-40000*N109)</f>
        <v>80000.000000000073</v>
      </c>
      <c r="X109" s="11">
        <f>IF(OR(履歴データ!$A$109="",履歴データ!$A$108=""),"",120*1000000*(-Q109/H108))</f>
        <v>-123972.53345629433</v>
      </c>
      <c r="Y109" s="11">
        <f>IF(OR(履歴データ!$A$109="",履歴データ!$A$108=""),"",40000*(-S109)+(-506.3)*R109*1000)</f>
        <v>-445.31250000092405</v>
      </c>
      <c r="Z109" s="11">
        <f>IF(OR(履歴データ!$A$109="",履歴データ!$A$108=""),"",-40000*O109)</f>
        <v>-63199.999999998225</v>
      </c>
      <c r="AA109" s="11">
        <f>IF(OR(履歴データ!$A$109="",履歴データ!$A$108=""),"",-40000*P109)</f>
        <v>152308.5742187493</v>
      </c>
      <c r="AB109" s="11">
        <f>IF(履歴データ!$A$109="","",123.3)</f>
        <v>123.3</v>
      </c>
      <c r="AC109">
        <f>IF(履歴データ!$A$109="","",SUM(T109:AA109))</f>
        <v>-33309.271737548697</v>
      </c>
      <c r="AD109" s="29">
        <f>IF(履歴データ!$A$109="","",AC109/1000000)</f>
        <v>-3.3309271737548697E-2</v>
      </c>
      <c r="AE109" s="29">
        <f>IF(履歴データ!$A$109="",AE108,AE108+AC109/1000000)</f>
        <v>93.940962434670638</v>
      </c>
      <c r="AF109" s="12">
        <f>IF(OR(履歴データ!$A$109="",AE108=0),"",(AE109-AE108)/AE108)</f>
        <v>-3.5445096974642826E-4</v>
      </c>
      <c r="AG109" s="29">
        <f t="shared" si="5"/>
        <v>102.17217746631495</v>
      </c>
      <c r="AH109" s="12">
        <f>IF(OR(履歴データ!$A$109="",AG109=0),"",AE109/AG109-1)</f>
        <v>-8.0562196439026179E-2</v>
      </c>
      <c r="AJ109" s="28">
        <f t="shared" ca="1" si="3"/>
        <v>-32.517991237862269</v>
      </c>
      <c r="AK109" s="28">
        <f t="shared" ca="1" si="4"/>
        <v>-48.370897651026617</v>
      </c>
    </row>
    <row r="110" spans="1:37">
      <c r="A110" s="10">
        <f>IF(履歴データ!$A$110="","",履歴データ!$A$110)</f>
        <v>45084</v>
      </c>
      <c r="B110" s="28">
        <f>IF(履歴データ!$A$110="","",(履歴データ!$D$110-(履歴データ!$B$110+履歴データ!$F$110)/2)*100)</f>
        <v>-46.499999999999986</v>
      </c>
      <c r="C110" s="28">
        <f>IF(履歴データ!$A$110="","",(履歴データ!$H$110-(履歴データ!$G$110+履歴データ!$J$110)/2)*100)</f>
        <v>-17.049999999999994</v>
      </c>
      <c r="D110" s="28">
        <f>IF(履歴データ!$A$110="","",(履歴データ!$D$110-履歴データ!$H$110)*100)</f>
        <v>335.59999999999997</v>
      </c>
      <c r="E110" s="28">
        <f>IF(履歴データ!$A$110="","",(履歴データ!$D$110-履歴データ!$C$110)*100)</f>
        <v>-14.000000000000012</v>
      </c>
      <c r="F110" s="28">
        <f>IF(履歴データ!$A$110="","",(履歴データ!$R$110-履歴データ!$D$110)*100)</f>
        <v>-151.84000000000003</v>
      </c>
      <c r="G110" s="28">
        <f>IF(履歴データ!$A$110="","",(履歴データ!$S$110-履歴データ!$R$110)*100)</f>
        <v>-216.4086428222657</v>
      </c>
      <c r="H110" s="29">
        <f>IF(履歴データ!$A$110="","",履歴データ!$O$110)</f>
        <v>139.89900207519531</v>
      </c>
      <c r="I110" s="29">
        <f>IF(履歴データ!$A$110="","",履歴データ!$Q$110)</f>
        <v>112.53125</v>
      </c>
      <c r="J110" s="29">
        <f>IF(履歴データ!$A$110="","",履歴データ!$D$110)</f>
        <v>3.79</v>
      </c>
      <c r="K110" s="28">
        <f>IF(OR(履歴データ!$A$110="",履歴データ!$A$109=""),"",B110-B109)</f>
        <v>2.4999999999999432</v>
      </c>
      <c r="L110" s="28">
        <f>IF(OR(履歴データ!$A$110="",履歴データ!$A$109=""),"",C110-C109)</f>
        <v>-0.64999999999999503</v>
      </c>
      <c r="M110" s="28">
        <f>IF(OR(履歴データ!$A$110="",履歴データ!$A$109=""),"",D110-D109)</f>
        <v>9.5999999999999659</v>
      </c>
      <c r="N110" s="28">
        <f>IF(OR(履歴データ!$A$110="",履歴データ!$A$109=""),"",E110-E109)</f>
        <v>0.99999999999997868</v>
      </c>
      <c r="O110" s="28">
        <f>IF(OR(履歴データ!$A$110="",履歴データ!$A$109=""),"",F110-F109)</f>
        <v>-6.9000000000000057</v>
      </c>
      <c r="P110" s="28">
        <f>IF(OR(履歴データ!$A$110="",履歴データ!$A$109=""),"",G110-G109)</f>
        <v>-5.2572856445311515</v>
      </c>
      <c r="Q110" s="29">
        <f>IF(OR(履歴データ!$A$110="",履歴データ!$A$109=""),"",H110-H109)</f>
        <v>0.37200927734375</v>
      </c>
      <c r="R110" s="29">
        <f>IF(OR(履歴データ!$A$110="",履歴データ!$A$109=""),"",I110-I109)</f>
        <v>-0.5</v>
      </c>
      <c r="S110" s="28">
        <f>IF(OR(履歴データ!$A$110="",履歴データ!$A$109=""),"",(J110-J109)*100)</f>
        <v>8.9999999999999858</v>
      </c>
      <c r="T110" s="11">
        <f>IF(OR(履歴データ!$A$110="",履歴データ!$A$109=""),"",-80000*K110)</f>
        <v>-199999.99999999546</v>
      </c>
      <c r="U110" s="11">
        <f>IF(OR(履歴データ!$A$110="",履歴データ!$A$109=""),"",60000*L110)</f>
        <v>-38999.999999999702</v>
      </c>
      <c r="V110" s="11">
        <f>IF(OR(履歴データ!$A$110="",履歴データ!$A$109=""),"",-50000*M110)</f>
        <v>-479999.99999999831</v>
      </c>
      <c r="W110" s="11">
        <f>IF(OR(履歴データ!$A$110="",履歴データ!$A$109=""),"",-40000*N110)</f>
        <v>-39999.999999999149</v>
      </c>
      <c r="X110" s="11">
        <f>IF(OR(履歴データ!$A$110="",履歴データ!$A$109=""),"",120*1000000*(-Q110/H109))</f>
        <v>-319946.07198283559</v>
      </c>
      <c r="Y110" s="11">
        <f>IF(OR(履歴データ!$A$110="",履歴データ!$A$109=""),"",40000*(-S110)+(-506.3)*R110*1000)</f>
        <v>-106849.99999999942</v>
      </c>
      <c r="Z110" s="11">
        <f>IF(OR(履歴データ!$A$110="",履歴データ!$A$109=""),"",-40000*O110)</f>
        <v>276000.00000000023</v>
      </c>
      <c r="AA110" s="11">
        <f>IF(OR(履歴データ!$A$110="",履歴データ!$A$109=""),"",-40000*P110)</f>
        <v>210291.42578124607</v>
      </c>
      <c r="AB110" s="11">
        <f>IF(履歴データ!$A$110="","",123.3)</f>
        <v>123.3</v>
      </c>
      <c r="AC110">
        <f>IF(履歴データ!$A$110="","",SUM(T110:AA110))</f>
        <v>-699504.64620158123</v>
      </c>
      <c r="AD110" s="29">
        <f>IF(履歴データ!$A$110="","",AC110/1000000)</f>
        <v>-0.69950464620158126</v>
      </c>
      <c r="AE110" s="29">
        <f>IF(履歴データ!$A$110="",AE109,AE109+AC110/1000000)</f>
        <v>93.241457788469063</v>
      </c>
      <c r="AF110" s="12">
        <f>IF(OR(履歴データ!$A$110="",AE109=0),"",(AE110-AE109)/AE109)</f>
        <v>-7.4462154535411698E-3</v>
      </c>
      <c r="AG110" s="29">
        <f t="shared" si="5"/>
        <v>102.17217746631495</v>
      </c>
      <c r="AH110" s="12">
        <f>IF(OR(履歴データ!$A$110="",AG110=0),"",AE110/AG110-1)</f>
        <v>-8.7408528420471865E-2</v>
      </c>
      <c r="AJ110" s="28">
        <f t="shared" ca="1" si="3"/>
        <v>-32.525503615111965</v>
      </c>
      <c r="AK110" s="28">
        <f t="shared" ca="1" si="4"/>
        <v>-48.474496384888035</v>
      </c>
    </row>
    <row r="111" spans="1:37">
      <c r="A111" s="10">
        <f>IF(履歴データ!$A$111="","",履歴データ!$A$111)</f>
        <v>45085</v>
      </c>
      <c r="B111" s="28">
        <f>IF(履歴データ!$A$111="","",(履歴データ!$D$111-(履歴データ!$B$111+履歴データ!$F$111)/2)*100)</f>
        <v>-47.500000000000007</v>
      </c>
      <c r="C111" s="28">
        <f>IF(履歴データ!$A$111="","",(履歴データ!$H$111-(履歴データ!$G$111+履歴データ!$J$111)/2)*100)</f>
        <v>-15.849999999999993</v>
      </c>
      <c r="D111" s="28">
        <f>IF(履歴データ!$A$111="","",(履歴データ!$D$111-履歴データ!$H$111)*100)</f>
        <v>327.5</v>
      </c>
      <c r="E111" s="28">
        <f>IF(履歴データ!$A$111="","",(履歴データ!$D$111-履歴データ!$C$111)*100)</f>
        <v>-14.000000000000012</v>
      </c>
      <c r="F111" s="28">
        <f>IF(履歴データ!$A$111="","",(履歴データ!$R$111-履歴データ!$D$111)*100)</f>
        <v>-134.34</v>
      </c>
      <c r="G111" s="28">
        <f>IF(履歴データ!$A$111="","",(履歴データ!$S$111-履歴データ!$R$111)*100)</f>
        <v>-226.32999999999996</v>
      </c>
      <c r="H111" s="29">
        <f>IF(履歴データ!$A$111="","",履歴データ!$O$111)</f>
        <v>138.86300659179688</v>
      </c>
      <c r="I111" s="29">
        <f>IF(履歴データ!$A$111="","",履歴データ!$Q$111)</f>
        <v>113.03125</v>
      </c>
      <c r="J111" s="29">
        <f>IF(履歴データ!$A$111="","",履歴データ!$D$111)</f>
        <v>3.73</v>
      </c>
      <c r="K111" s="28">
        <f>IF(OR(履歴データ!$A$111="",履歴データ!$A$110=""),"",B111-B110)</f>
        <v>-1.0000000000000213</v>
      </c>
      <c r="L111" s="28">
        <f>IF(OR(履歴データ!$A$111="",履歴データ!$A$110=""),"",C111-C110)</f>
        <v>1.2000000000000011</v>
      </c>
      <c r="M111" s="28">
        <f>IF(OR(履歴データ!$A$111="",履歴データ!$A$110=""),"",D111-D110)</f>
        <v>-8.0999999999999659</v>
      </c>
      <c r="N111" s="28">
        <f>IF(OR(履歴データ!$A$111="",履歴データ!$A$110=""),"",E111-E110)</f>
        <v>0</v>
      </c>
      <c r="O111" s="28">
        <f>IF(OR(履歴データ!$A$111="",履歴データ!$A$110=""),"",F111-F110)</f>
        <v>17.500000000000028</v>
      </c>
      <c r="P111" s="28">
        <f>IF(OR(履歴データ!$A$111="",履歴データ!$A$110=""),"",G111-G110)</f>
        <v>-9.9213571777342509</v>
      </c>
      <c r="Q111" s="29">
        <f>IF(OR(履歴データ!$A$111="",履歴データ!$A$110=""),"",H111-H110)</f>
        <v>-1.0359954833984375</v>
      </c>
      <c r="R111" s="29">
        <f>IF(OR(履歴データ!$A$111="",履歴データ!$A$110=""),"",I111-I110)</f>
        <v>0.5</v>
      </c>
      <c r="S111" s="28">
        <f>IF(OR(履歴データ!$A$111="",履歴データ!$A$110=""),"",(J111-J110)*100)</f>
        <v>-6.0000000000000053</v>
      </c>
      <c r="T111" s="11">
        <f>IF(OR(履歴データ!$A$111="",履歴データ!$A$110=""),"",-80000*K111)</f>
        <v>80000.000000001703</v>
      </c>
      <c r="U111" s="11">
        <f>IF(OR(履歴データ!$A$111="",履歴データ!$A$110=""),"",60000*L111)</f>
        <v>72000.000000000058</v>
      </c>
      <c r="V111" s="11">
        <f>IF(OR(履歴データ!$A$111="",履歴データ!$A$110=""),"",-50000*M111)</f>
        <v>404999.99999999831</v>
      </c>
      <c r="W111" s="11">
        <f>IF(OR(履歴データ!$A$111="",履歴データ!$A$110=""),"",-40000*N111)</f>
        <v>0</v>
      </c>
      <c r="X111" s="11">
        <f>IF(OR(履歴データ!$A$111="",履歴データ!$A$110=""),"",120*1000000*(-Q111/H110))</f>
        <v>888637.20372352016</v>
      </c>
      <c r="Y111" s="11">
        <f>IF(OR(履歴データ!$A$111="",履歴データ!$A$110=""),"",40000*(-S111)+(-506.3)*R111*1000)</f>
        <v>-13149.999999999796</v>
      </c>
      <c r="Z111" s="11">
        <f>IF(OR(履歴データ!$A$111="",履歴データ!$A$110=""),"",-40000*O111)</f>
        <v>-700000.00000000116</v>
      </c>
      <c r="AA111" s="11">
        <f>IF(OR(履歴データ!$A$111="",履歴データ!$A$110=""),"",-40000*P111)</f>
        <v>396854.28710937005</v>
      </c>
      <c r="AB111" s="11">
        <f>IF(履歴データ!$A$111="","",123.3)</f>
        <v>123.3</v>
      </c>
      <c r="AC111">
        <f>IF(履歴データ!$A$111="","",SUM(T111:AA111))</f>
        <v>1129341.4908328892</v>
      </c>
      <c r="AD111" s="29">
        <f>IF(履歴データ!$A$111="","",AC111/1000000)</f>
        <v>1.1293414908328891</v>
      </c>
      <c r="AE111" s="29">
        <f>IF(履歴データ!$A$111="",AE110,AE110+AC111/1000000)</f>
        <v>94.370799279301949</v>
      </c>
      <c r="AF111" s="12">
        <f>IF(OR(履歴データ!$A$111="",AE110=0),"",(AE111-AE110)/AE110)</f>
        <v>1.211201023256147E-2</v>
      </c>
      <c r="AG111" s="29">
        <f t="shared" si="5"/>
        <v>102.17217746631495</v>
      </c>
      <c r="AH111" s="12">
        <f>IF(OR(履歴データ!$A$111="",AG111=0),"",AE111/AG111-1)</f>
        <v>-7.6355211178552262E-2</v>
      </c>
      <c r="AJ111" s="28">
        <f t="shared" ca="1" si="3"/>
        <v>-32.514351147311586</v>
      </c>
      <c r="AK111" s="28">
        <f t="shared" ca="1" si="4"/>
        <v>-48.612921579961139</v>
      </c>
    </row>
    <row r="112" spans="1:37">
      <c r="A112" s="10">
        <f>IF(履歴データ!$A$112="","",履歴データ!$A$112)</f>
        <v>45086</v>
      </c>
      <c r="B112" s="28">
        <f>IF(履歴データ!$A$112="","",(履歴データ!$D$112-(履歴データ!$B$112+履歴データ!$F$112)/2)*100)</f>
        <v>-49.000000000000021</v>
      </c>
      <c r="C112" s="28">
        <f>IF(履歴データ!$A$112="","",(履歴データ!$H$112-(履歴データ!$G$112+履歴データ!$J$112)/2)*100)</f>
        <v>-15.550000000000002</v>
      </c>
      <c r="D112" s="28">
        <f>IF(履歴データ!$A$112="","",(履歴データ!$D$112-履歴データ!$H$112)*100)</f>
        <v>329.9</v>
      </c>
      <c r="E112" s="28">
        <f>IF(履歴データ!$A$112="","",(履歴データ!$D$112-履歴データ!$C$112)*100)</f>
        <v>-16.999999999999993</v>
      </c>
      <c r="F112" s="28">
        <f>IF(履歴データ!$A$112="","",(履歴データ!$R$112-履歴データ!$D$112)*100)</f>
        <v>-138.82</v>
      </c>
      <c r="G112" s="28">
        <f>IF(履歴データ!$A$112="","",(履歴データ!$S$112-履歴データ!$R$112)*100)</f>
        <v>-224.20082141113312</v>
      </c>
      <c r="H112" s="29">
        <f>IF(履歴データ!$A$112="","",履歴データ!$O$112)</f>
        <v>138.86300659179688</v>
      </c>
      <c r="I112" s="29">
        <f>IF(履歴データ!$A$112="","",履歴データ!$Q$112)</f>
        <v>112.65625</v>
      </c>
      <c r="J112" s="29">
        <f>IF(履歴データ!$A$112="","",履歴データ!$D$112)</f>
        <v>3.75</v>
      </c>
      <c r="K112" s="28">
        <f>IF(OR(履歴データ!$A$112="",履歴データ!$A$111=""),"",B112-B111)</f>
        <v>-1.5000000000000142</v>
      </c>
      <c r="L112" s="28">
        <f>IF(OR(履歴データ!$A$112="",履歴データ!$A$111=""),"",C112-C111)</f>
        <v>0.29999999999999005</v>
      </c>
      <c r="M112" s="28">
        <f>IF(OR(履歴データ!$A$112="",履歴データ!$A$111=""),"",D112-D111)</f>
        <v>2.3999999999999773</v>
      </c>
      <c r="N112" s="28">
        <f>IF(OR(履歴データ!$A$112="",履歴データ!$A$111=""),"",E112-E111)</f>
        <v>-2.9999999999999805</v>
      </c>
      <c r="O112" s="28">
        <f>IF(OR(履歴データ!$A$112="",履歴データ!$A$111=""),"",F112-F111)</f>
        <v>-4.4799999999999898</v>
      </c>
      <c r="P112" s="28">
        <f>IF(OR(履歴データ!$A$112="",履歴データ!$A$111=""),"",G112-G111)</f>
        <v>2.1291785888668358</v>
      </c>
      <c r="Q112" s="29">
        <f>IF(OR(履歴データ!$A$112="",履歴データ!$A$111=""),"",H112-H111)</f>
        <v>0</v>
      </c>
      <c r="R112" s="29">
        <f>IF(OR(履歴データ!$A$112="",履歴データ!$A$111=""),"",I112-I111)</f>
        <v>-0.375</v>
      </c>
      <c r="S112" s="28">
        <f>IF(OR(履歴データ!$A$112="",履歴データ!$A$111=""),"",(J112-J111)*100)</f>
        <v>2.0000000000000018</v>
      </c>
      <c r="T112" s="11">
        <f>IF(OR(履歴データ!$A$112="",履歴データ!$A$111=""),"",-80000*K112)</f>
        <v>120000.00000000114</v>
      </c>
      <c r="U112" s="11">
        <f>IF(OR(履歴データ!$A$112="",履歴データ!$A$111=""),"",60000*L112)</f>
        <v>17999.999999999403</v>
      </c>
      <c r="V112" s="11">
        <f>IF(OR(履歴データ!$A$112="",履歴データ!$A$111=""),"",-50000*M112)</f>
        <v>-119999.99999999886</v>
      </c>
      <c r="W112" s="11">
        <f>IF(OR(履歴データ!$A$112="",履歴データ!$A$111=""),"",-40000*N112)</f>
        <v>119999.99999999921</v>
      </c>
      <c r="X112" s="11">
        <f>IF(OR(履歴データ!$A$112="",履歴データ!$A$111=""),"",120*1000000*(-Q112/H111))</f>
        <v>0</v>
      </c>
      <c r="Y112" s="11">
        <f>IF(OR(履歴データ!$A$112="",履歴データ!$A$111=""),"",40000*(-S112)+(-506.3)*R112*1000)</f>
        <v>109862.49999999993</v>
      </c>
      <c r="Z112" s="11">
        <f>IF(OR(履歴データ!$A$112="",履歴データ!$A$111=""),"",-40000*O112)</f>
        <v>179199.99999999959</v>
      </c>
      <c r="AA112" s="11">
        <f>IF(OR(履歴データ!$A$112="",履歴データ!$A$111=""),"",-40000*P112)</f>
        <v>-85167.143554673428</v>
      </c>
      <c r="AB112" s="11">
        <f>IF(履歴データ!$A$112="","",123.3)</f>
        <v>123.3</v>
      </c>
      <c r="AC112">
        <f>IF(履歴データ!$A$112="","",SUM(T112:AA112))</f>
        <v>341895.35644532699</v>
      </c>
      <c r="AD112" s="29">
        <f>IF(履歴データ!$A$112="","",AC112/1000000)</f>
        <v>0.34189535644532698</v>
      </c>
      <c r="AE112" s="29">
        <f>IF(履歴データ!$A$112="",AE111,AE111+AC112/1000000)</f>
        <v>94.712694635747269</v>
      </c>
      <c r="AF112" s="12">
        <f>IF(OR(履歴データ!$A$112="",AE111=0),"",(AE112-AE111)/AE111)</f>
        <v>3.6228935121492317E-3</v>
      </c>
      <c r="AG112" s="29">
        <f t="shared" si="5"/>
        <v>102.17217746631495</v>
      </c>
      <c r="AH112" s="12">
        <f>IF(OR(履歴データ!$A$112="",AG112=0),"",AE112/AG112-1)</f>
        <v>-7.3008944465600578E-2</v>
      </c>
      <c r="AJ112" s="28">
        <f t="shared" ca="1" si="3"/>
        <v>-32.468547389104927</v>
      </c>
      <c r="AK112" s="28">
        <f t="shared" ca="1" si="4"/>
        <v>-48.810731890174353</v>
      </c>
    </row>
    <row r="113" spans="1:37">
      <c r="A113" s="10">
        <f>IF(履歴データ!$A$113="","",履歴データ!$A$113)</f>
        <v>45089</v>
      </c>
      <c r="B113" s="28">
        <f>IF(履歴データ!$A$113="","",(履歴データ!$D$113-(履歴データ!$B$113+履歴データ!$F$113)/2)*100)</f>
        <v>-48</v>
      </c>
      <c r="C113" s="28">
        <f>IF(履歴データ!$A$113="","",(履歴データ!$H$113-(履歴データ!$G$113+履歴データ!$J$113)/2)*100)</f>
        <v>-15.999999999999998</v>
      </c>
      <c r="D113" s="28">
        <f>IF(履歴データ!$A$113="","",(履歴データ!$D$113-履歴データ!$H$113)*100)</f>
        <v>328.4</v>
      </c>
      <c r="E113" s="28">
        <f>IF(履歴データ!$A$113="","",(履歴データ!$D$113-履歴データ!$C$113)*100)</f>
        <v>-16.000000000000014</v>
      </c>
      <c r="F113" s="28">
        <f>IF(履歴データ!$A$113="","",(履歴データ!$R$113-履歴データ!$D$113)*100)</f>
        <v>-136.16999999999999</v>
      </c>
      <c r="G113" s="28">
        <f>IF(履歴データ!$A$113="","",(履歴データ!$S$113-履歴データ!$R$113)*100)</f>
        <v>-224.49999999999997</v>
      </c>
      <c r="H113" s="29">
        <f>IF(履歴データ!$A$113="","",履歴データ!$O$113)</f>
        <v>139.46000671386719</v>
      </c>
      <c r="I113" s="29">
        <f>IF(履歴データ!$A$113="","",履歴データ!$Q$113)</f>
        <v>112.703125</v>
      </c>
      <c r="J113" s="29">
        <f>IF(履歴データ!$A$113="","",履歴データ!$D$113)</f>
        <v>3.73</v>
      </c>
      <c r="K113" s="28">
        <f>IF(OR(履歴データ!$A$113="",履歴データ!$A$112=""),"",B113-B112)</f>
        <v>1.0000000000000213</v>
      </c>
      <c r="L113" s="28">
        <f>IF(OR(履歴データ!$A$113="",履歴データ!$A$112=""),"",C113-C112)</f>
        <v>-0.44999999999999574</v>
      </c>
      <c r="M113" s="28">
        <f>IF(OR(履歴データ!$A$113="",履歴データ!$A$112=""),"",D113-D112)</f>
        <v>-1.5</v>
      </c>
      <c r="N113" s="28">
        <f>IF(OR(履歴データ!$A$113="",履歴データ!$A$112=""),"",E113-E112)</f>
        <v>0.99999999999997868</v>
      </c>
      <c r="O113" s="28">
        <f>IF(OR(履歴データ!$A$113="",履歴データ!$A$112=""),"",F113-F112)</f>
        <v>2.6500000000000057</v>
      </c>
      <c r="P113" s="28">
        <f>IF(OR(履歴データ!$A$113="",履歴データ!$A$112=""),"",G113-G112)</f>
        <v>-0.29917858886685167</v>
      </c>
      <c r="Q113" s="29">
        <f>IF(OR(履歴データ!$A$113="",履歴データ!$A$112=""),"",H113-H112)</f>
        <v>0.5970001220703125</v>
      </c>
      <c r="R113" s="29">
        <f>IF(OR(履歴データ!$A$113="",履歴データ!$A$112=""),"",I113-I112)</f>
        <v>4.6875E-2</v>
      </c>
      <c r="S113" s="28">
        <f>IF(OR(履歴データ!$A$113="",履歴データ!$A$112=""),"",(J113-J112)*100)</f>
        <v>-2.0000000000000018</v>
      </c>
      <c r="T113" s="11">
        <f>IF(OR(履歴データ!$A$113="",履歴データ!$A$112=""),"",-80000*K113)</f>
        <v>-80000.000000001703</v>
      </c>
      <c r="U113" s="11">
        <f>IF(OR(履歴データ!$A$113="",履歴データ!$A$112=""),"",60000*L113)</f>
        <v>-26999.999999999745</v>
      </c>
      <c r="V113" s="11">
        <f>IF(OR(履歴データ!$A$113="",履歴データ!$A$112=""),"",-50000*M113)</f>
        <v>75000</v>
      </c>
      <c r="W113" s="11">
        <f>IF(OR(履歴データ!$A$113="",履歴データ!$A$112=""),"",-40000*N113)</f>
        <v>-39999.999999999149</v>
      </c>
      <c r="X113" s="11">
        <f>IF(OR(履歴データ!$A$113="",履歴データ!$A$112=""),"",120*1000000*(-Q113/H112))</f>
        <v>-515904.24553481856</v>
      </c>
      <c r="Y113" s="11">
        <f>IF(OR(履歴データ!$A$113="",履歴データ!$A$112=""),"",40000*(-S113)+(-506.3)*R113*1000)</f>
        <v>56267.187500000073</v>
      </c>
      <c r="Z113" s="11">
        <f>IF(OR(履歴データ!$A$113="",履歴データ!$A$112=""),"",-40000*O113)</f>
        <v>-106000.00000000023</v>
      </c>
      <c r="AA113" s="11">
        <f>IF(OR(履歴データ!$A$113="",履歴データ!$A$112=""),"",-40000*P113)</f>
        <v>11967.143554674067</v>
      </c>
      <c r="AB113" s="11">
        <f>IF(履歴データ!$A$113="","",123.3)</f>
        <v>123.3</v>
      </c>
      <c r="AC113">
        <f>IF(履歴データ!$A$113="","",SUM(T113:AA113))</f>
        <v>-625669.91448014521</v>
      </c>
      <c r="AD113" s="29">
        <f>IF(履歴データ!$A$113="","",AC113/1000000)</f>
        <v>-0.6256699144801452</v>
      </c>
      <c r="AE113" s="29">
        <f>IF(履歴データ!$A$113="",AE112,AE112+AC113/1000000)</f>
        <v>94.087024721267127</v>
      </c>
      <c r="AF113" s="12">
        <f>IF(OR(履歴データ!$A$113="",AE112=0),"",(AE113-AE112)/AE112)</f>
        <v>-6.6059773390081122E-3</v>
      </c>
      <c r="AG113" s="29">
        <f t="shared" si="5"/>
        <v>102.17217746631495</v>
      </c>
      <c r="AH113" s="12">
        <f>IF(OR(履歴データ!$A$113="",AG113=0),"",AE113/AG113-1)</f>
        <v>-7.9132626371924086E-2</v>
      </c>
      <c r="AJ113" s="28">
        <f t="shared" ca="1" si="3"/>
        <v>-32.453080829616994</v>
      </c>
      <c r="AK113" s="28">
        <f t="shared" ca="1" si="4"/>
        <v>-48.957633456097298</v>
      </c>
    </row>
    <row r="114" spans="1:37">
      <c r="A114" s="10">
        <f>IF(履歴データ!$A$114="","",履歴データ!$A$114)</f>
        <v>45090</v>
      </c>
      <c r="B114" s="28">
        <f>IF(履歴データ!$A$114="","",(履歴データ!$D$114-(履歴データ!$B$114+履歴データ!$F$114)/2)*100)</f>
        <v>-46.499999999999986</v>
      </c>
      <c r="C114" s="28">
        <f>IF(履歴データ!$A$114="","",(履歴データ!$H$114-(履歴データ!$G$114+履歴データ!$J$114)/2)*100)</f>
        <v>-15.450000000000003</v>
      </c>
      <c r="D114" s="28">
        <f>IF(履歴データ!$A$114="","",(履歴データ!$D$114-履歴データ!$H$114)*100)</f>
        <v>340.2</v>
      </c>
      <c r="E114" s="28">
        <f>IF(履歴データ!$A$114="","",(履歴データ!$D$114-履歴データ!$C$114)*100)</f>
        <v>-16.999999999999993</v>
      </c>
      <c r="F114" s="28">
        <f>IF(履歴データ!$A$114="","",(履歴データ!$R$114-履歴データ!$D$114)*100)</f>
        <v>-157.49</v>
      </c>
      <c r="G114" s="28">
        <f>IF(履歴データ!$A$114="","",(履歴データ!$S$114-履歴データ!$R$114)*100)</f>
        <v>-214.88164282226586</v>
      </c>
      <c r="H114" s="29">
        <f>IF(履歴データ!$A$114="","",履歴データ!$O$114)</f>
        <v>140.177001953125</v>
      </c>
      <c r="I114" s="29">
        <f>IF(履歴データ!$A$114="","",履歴データ!$Q$114)</f>
        <v>112.015625</v>
      </c>
      <c r="J114" s="29">
        <f>IF(履歴データ!$A$114="","",履歴データ!$D$114)</f>
        <v>3.84</v>
      </c>
      <c r="K114" s="28">
        <f>IF(OR(履歴データ!$A$114="",履歴データ!$A$113=""),"",B114-B113)</f>
        <v>1.5000000000000142</v>
      </c>
      <c r="L114" s="28">
        <f>IF(OR(履歴データ!$A$114="",履歴データ!$A$113=""),"",C114-C113)</f>
        <v>0.54999999999999538</v>
      </c>
      <c r="M114" s="28">
        <f>IF(OR(履歴データ!$A$114="",履歴データ!$A$113=""),"",D114-D113)</f>
        <v>11.800000000000011</v>
      </c>
      <c r="N114" s="28">
        <f>IF(OR(履歴データ!$A$114="",履歴データ!$A$113=""),"",E114-E113)</f>
        <v>-0.99999999999997868</v>
      </c>
      <c r="O114" s="28">
        <f>IF(OR(履歴データ!$A$114="",履歴データ!$A$113=""),"",F114-F113)</f>
        <v>-21.320000000000022</v>
      </c>
      <c r="P114" s="28">
        <f>IF(OR(履歴データ!$A$114="",履歴データ!$A$113=""),"",G114-G113)</f>
        <v>9.6183571777341115</v>
      </c>
      <c r="Q114" s="29">
        <f>IF(OR(履歴データ!$A$114="",履歴データ!$A$113=""),"",H114-H113)</f>
        <v>0.7169952392578125</v>
      </c>
      <c r="R114" s="29">
        <f>IF(OR(履歴データ!$A$114="",履歴データ!$A$113=""),"",I114-I113)</f>
        <v>-0.6875</v>
      </c>
      <c r="S114" s="28">
        <f>IF(OR(履歴データ!$A$114="",履歴データ!$A$113=""),"",(J114-J113)*100)</f>
        <v>10.999999999999988</v>
      </c>
      <c r="T114" s="11">
        <f>IF(OR(履歴データ!$A$114="",履歴データ!$A$113=""),"",-80000*K114)</f>
        <v>-120000.00000000114</v>
      </c>
      <c r="U114" s="11">
        <f>IF(OR(履歴データ!$A$114="",履歴データ!$A$113=""),"",60000*L114)</f>
        <v>32999.999999999724</v>
      </c>
      <c r="V114" s="11">
        <f>IF(OR(履歴データ!$A$114="",履歴データ!$A$113=""),"",-50000*M114)</f>
        <v>-590000.00000000058</v>
      </c>
      <c r="W114" s="11">
        <f>IF(OR(履歴データ!$A$114="",履歴データ!$A$113=""),"",-40000*N114)</f>
        <v>39999.999999999149</v>
      </c>
      <c r="X114" s="11">
        <f>IF(OR(履歴データ!$A$114="",履歴データ!$A$113=""),"",120*1000000*(-Q114/H113))</f>
        <v>-616946.97095107893</v>
      </c>
      <c r="Y114" s="11">
        <f>IF(OR(履歴データ!$A$114="",履歴データ!$A$113=""),"",40000*(-S114)+(-506.3)*R114*1000)</f>
        <v>-91918.749999999476</v>
      </c>
      <c r="Z114" s="11">
        <f>IF(OR(履歴データ!$A$114="",履歴データ!$A$113=""),"",-40000*O114)</f>
        <v>852800.00000000081</v>
      </c>
      <c r="AA114" s="11">
        <f>IF(OR(履歴データ!$A$114="",履歴データ!$A$113=""),"",-40000*P114)</f>
        <v>-384734.28710936446</v>
      </c>
      <c r="AB114" s="11">
        <f>IF(履歴データ!$A$114="","",123.3)</f>
        <v>123.3</v>
      </c>
      <c r="AC114">
        <f>IF(履歴データ!$A$114="","",SUM(T114:AA114))</f>
        <v>-877800.00806044484</v>
      </c>
      <c r="AD114" s="29">
        <f>IF(履歴データ!$A$114="","",AC114/1000000)</f>
        <v>-0.87780000806044489</v>
      </c>
      <c r="AE114" s="29">
        <f>IF(履歴データ!$A$114="",AE113,AE113+AC114/1000000)</f>
        <v>93.20922471320668</v>
      </c>
      <c r="AF114" s="12">
        <f>IF(OR(履歴データ!$A$114="",AE113=0),"",(AE114-AE113)/AE113)</f>
        <v>-9.3296606058160536E-3</v>
      </c>
      <c r="AG114" s="29">
        <f t="shared" si="5"/>
        <v>102.17217746631495</v>
      </c>
      <c r="AH114" s="12">
        <f>IF(OR(履歴データ!$A$114="",AG114=0),"",AE114/AG114-1)</f>
        <v>-8.7724006430843215E-2</v>
      </c>
      <c r="AJ114" s="28">
        <f t="shared" ca="1" si="3"/>
        <v>-32.469259670396085</v>
      </c>
      <c r="AK114" s="28">
        <f t="shared" ca="1" si="4"/>
        <v>-49.044014665887104</v>
      </c>
    </row>
    <row r="115" spans="1:37">
      <c r="A115" s="10">
        <f>IF(履歴データ!$A$115="","",履歴データ!$A$115)</f>
        <v>45091</v>
      </c>
      <c r="B115" s="28">
        <f>IF(履歴データ!$A$115="","",(履歴データ!$D$115-(履歴データ!$B$115+履歴データ!$F$115)/2)*100)</f>
        <v>-49.000000000000021</v>
      </c>
      <c r="C115" s="28">
        <f>IF(履歴データ!$A$115="","",(履歴データ!$H$115-(履歴データ!$G$115+履歴データ!$J$115)/2)*100)</f>
        <v>-14.699999999999996</v>
      </c>
      <c r="D115" s="28">
        <f>IF(履歴データ!$A$115="","",(履歴データ!$D$115-履歴データ!$H$115)*100)</f>
        <v>338.3</v>
      </c>
      <c r="E115" s="28">
        <f>IF(履歴データ!$A$115="","",(履歴データ!$D$115-履歴データ!$C$115)*100)</f>
        <v>-22.999999999999954</v>
      </c>
      <c r="F115" s="28">
        <f>IF(履歴データ!$A$115="","",(履歴データ!$R$115-履歴データ!$D$115)*100)</f>
        <v>-146.07000000000002</v>
      </c>
      <c r="G115" s="28">
        <f>IF(履歴データ!$A$115="","",(履歴データ!$S$115-履歴データ!$R$115)*100)</f>
        <v>-224.59999999999997</v>
      </c>
      <c r="H115" s="29">
        <f>IF(履歴データ!$A$115="","",履歴データ!$O$115)</f>
        <v>139.97700500488281</v>
      </c>
      <c r="I115" s="29">
        <f>IF(履歴データ!$A$115="","",履歴データ!$Q$115)</f>
        <v>112.203125</v>
      </c>
      <c r="J115" s="29">
        <f>IF(履歴データ!$A$115="","",履歴データ!$D$115)</f>
        <v>3.83</v>
      </c>
      <c r="K115" s="28">
        <f>IF(OR(履歴データ!$A$115="",履歴データ!$A$114=""),"",B115-B114)</f>
        <v>-2.5000000000000355</v>
      </c>
      <c r="L115" s="28">
        <f>IF(OR(履歴データ!$A$115="",履歴データ!$A$114=""),"",C115-C114)</f>
        <v>0.75000000000000711</v>
      </c>
      <c r="M115" s="28">
        <f>IF(OR(履歴データ!$A$115="",履歴データ!$A$114=""),"",D115-D114)</f>
        <v>-1.8999999999999773</v>
      </c>
      <c r="N115" s="28">
        <f>IF(OR(履歴データ!$A$115="",履歴データ!$A$114=""),"",E115-E114)</f>
        <v>-5.9999999999999609</v>
      </c>
      <c r="O115" s="28">
        <f>IF(OR(履歴データ!$A$115="",履歴データ!$A$114=""),"",F115-F114)</f>
        <v>11.419999999999987</v>
      </c>
      <c r="P115" s="28">
        <f>IF(OR(履歴データ!$A$115="",履歴データ!$A$114=""),"",G115-G114)</f>
        <v>-9.7183571777341058</v>
      </c>
      <c r="Q115" s="29">
        <f>IF(OR(履歴データ!$A$115="",履歴データ!$A$114=""),"",H115-H114)</f>
        <v>-0.1999969482421875</v>
      </c>
      <c r="R115" s="29">
        <f>IF(OR(履歴データ!$A$115="",履歴データ!$A$114=""),"",I115-I114)</f>
        <v>0.1875</v>
      </c>
      <c r="S115" s="28">
        <f>IF(OR(履歴データ!$A$115="",履歴データ!$A$114=""),"",(J115-J114)*100)</f>
        <v>-0.99999999999997868</v>
      </c>
      <c r="T115" s="11">
        <f>IF(OR(履歴データ!$A$115="",履歴データ!$A$114=""),"",-80000*K115)</f>
        <v>200000.00000000285</v>
      </c>
      <c r="U115" s="11">
        <f>IF(OR(履歴データ!$A$115="",履歴データ!$A$114=""),"",60000*L115)</f>
        <v>45000.000000000429</v>
      </c>
      <c r="V115" s="11">
        <f>IF(OR(履歴データ!$A$115="",履歴データ!$A$114=""),"",-50000*M115)</f>
        <v>94999.999999998865</v>
      </c>
      <c r="W115" s="11">
        <f>IF(OR(履歴データ!$A$115="",履歴データ!$A$114=""),"",-40000*N115)</f>
        <v>239999.99999999843</v>
      </c>
      <c r="X115" s="11">
        <f>IF(OR(履歴データ!$A$115="",履歴データ!$A$114=""),"",120*1000000*(-Q115/H114))</f>
        <v>171209.49552828891</v>
      </c>
      <c r="Y115" s="11">
        <f>IF(OR(履歴データ!$A$115="",履歴データ!$A$114=""),"",40000*(-S115)+(-506.3)*R115*1000)</f>
        <v>-54931.250000000851</v>
      </c>
      <c r="Z115" s="11">
        <f>IF(OR(履歴データ!$A$115="",履歴データ!$A$114=""),"",-40000*O115)</f>
        <v>-456799.99999999948</v>
      </c>
      <c r="AA115" s="11">
        <f>IF(OR(履歴データ!$A$115="",履歴データ!$A$114=""),"",-40000*P115)</f>
        <v>388734.28710936423</v>
      </c>
      <c r="AB115" s="11">
        <f>IF(履歴データ!$A$115="","",123.3)</f>
        <v>123.3</v>
      </c>
      <c r="AC115">
        <f>IF(履歴データ!$A$115="","",SUM(T115:AA115))</f>
        <v>628212.53263765341</v>
      </c>
      <c r="AD115" s="29">
        <f>IF(履歴データ!$A$115="","",AC115/1000000)</f>
        <v>0.62821253263765342</v>
      </c>
      <c r="AE115" s="29">
        <f>IF(履歴データ!$A$115="",AE114,AE114+AC115/1000000)</f>
        <v>93.837437245844328</v>
      </c>
      <c r="AF115" s="12">
        <f>IF(OR(履歴データ!$A$115="",AE114=0),"",(AE115-AE114)/AE114)</f>
        <v>6.7398107276461106E-3</v>
      </c>
      <c r="AG115" s="29">
        <f t="shared" si="5"/>
        <v>102.17217746631495</v>
      </c>
      <c r="AH115" s="12">
        <f>IF(OR(履歴データ!$A$115="",AG115=0),"",AE115/AG115-1)</f>
        <v>-8.1575438902811825E-2</v>
      </c>
      <c r="AJ115" s="28">
        <f t="shared" ca="1" si="3"/>
        <v>-32.435071653892898</v>
      </c>
      <c r="AK115" s="28">
        <f t="shared" ca="1" si="4"/>
        <v>-49.222823082949212</v>
      </c>
    </row>
    <row r="116" spans="1:37">
      <c r="A116" s="10">
        <f>IF(履歴データ!$A$116="","",履歴データ!$A$116)</f>
        <v>45092</v>
      </c>
      <c r="B116" s="28">
        <f>IF(履歴データ!$A$116="","",(履歴データ!$D$116-(履歴データ!$B$116+履歴データ!$F$116)/2)*100)</f>
        <v>-51.500000000000014</v>
      </c>
      <c r="C116" s="28">
        <f>IF(履歴データ!$A$116="","",(履歴データ!$H$116-(履歴データ!$G$116+履歴データ!$J$116)/2)*100)</f>
        <v>-14.899999999999997</v>
      </c>
      <c r="D116" s="28">
        <f>IF(履歴データ!$A$116="","",(履歴データ!$D$116-履歴データ!$H$116)*100)</f>
        <v>327.3</v>
      </c>
      <c r="E116" s="28">
        <f>IF(履歴データ!$A$116="","",(履歴データ!$D$116-履歴データ!$C$116)*100)</f>
        <v>-18.999999999999993</v>
      </c>
      <c r="F116" s="28">
        <f>IF(履歴データ!$A$116="","",(履歴データ!$R$116-履歴データ!$D$116)*100)</f>
        <v>-130.35000000000002</v>
      </c>
      <c r="G116" s="28">
        <f>IF(履歴データ!$A$116="","",(履歴データ!$S$116-履歴データ!$R$116)*100)</f>
        <v>-232.65264282226576</v>
      </c>
      <c r="H116" s="29">
        <f>IF(履歴データ!$A$116="","",履歴データ!$O$116)</f>
        <v>140.26800537109375</v>
      </c>
      <c r="I116" s="29">
        <f>IF(履歴データ!$A$116="","",履歴データ!$Q$116)</f>
        <v>112.828125</v>
      </c>
      <c r="J116" s="29">
        <f>IF(履歴データ!$A$116="","",履歴データ!$D$116)</f>
        <v>3.72</v>
      </c>
      <c r="K116" s="28">
        <f>IF(OR(履歴データ!$A$116="",履歴データ!$A$115=""),"",B116-B115)</f>
        <v>-2.4999999999999929</v>
      </c>
      <c r="L116" s="28">
        <f>IF(OR(履歴データ!$A$116="",履歴データ!$A$115=""),"",C116-C115)</f>
        <v>-0.20000000000000107</v>
      </c>
      <c r="M116" s="28">
        <f>IF(OR(履歴データ!$A$116="",履歴データ!$A$115=""),"",D116-D115)</f>
        <v>-11</v>
      </c>
      <c r="N116" s="28">
        <f>IF(OR(履歴データ!$A$116="",履歴データ!$A$115=""),"",E116-E115)</f>
        <v>3.9999999999999609</v>
      </c>
      <c r="O116" s="28">
        <f>IF(OR(履歴データ!$A$116="",履歴データ!$A$115=""),"",F116-F115)</f>
        <v>15.719999999999999</v>
      </c>
      <c r="P116" s="28">
        <f>IF(OR(履歴データ!$A$116="",履歴データ!$A$115=""),"",G116-G115)</f>
        <v>-8.0526428222657955</v>
      </c>
      <c r="Q116" s="29">
        <f>IF(OR(履歴データ!$A$116="",履歴データ!$A$115=""),"",H116-H115)</f>
        <v>0.2910003662109375</v>
      </c>
      <c r="R116" s="29">
        <f>IF(OR(履歴データ!$A$116="",履歴データ!$A$115=""),"",I116-I115)</f>
        <v>0.625</v>
      </c>
      <c r="S116" s="28">
        <f>IF(OR(履歴データ!$A$116="",履歴データ!$A$115=""),"",(J116-J115)*100)</f>
        <v>-10.999999999999988</v>
      </c>
      <c r="T116" s="11">
        <f>IF(OR(履歴データ!$A$116="",履歴データ!$A$115=""),"",-80000*K116)</f>
        <v>199999.99999999942</v>
      </c>
      <c r="U116" s="11">
        <f>IF(OR(履歴データ!$A$116="",履歴データ!$A$115=""),"",60000*L116)</f>
        <v>-12000.000000000064</v>
      </c>
      <c r="V116" s="11">
        <f>IF(OR(履歴データ!$A$116="",履歴データ!$A$115=""),"",-50000*M116)</f>
        <v>550000</v>
      </c>
      <c r="W116" s="11">
        <f>IF(OR(履歴データ!$A$116="",履歴データ!$A$115=""),"",-40000*N116)</f>
        <v>-159999.99999999843</v>
      </c>
      <c r="X116" s="11">
        <f>IF(OR(履歴データ!$A$116="",履歴データ!$A$115=""),"",120*1000000*(-Q116/H115))</f>
        <v>-249469.86073958635</v>
      </c>
      <c r="Y116" s="11">
        <f>IF(OR(履歴データ!$A$116="",履歴データ!$A$115=""),"",40000*(-S116)+(-506.3)*R116*1000)</f>
        <v>123562.49999999948</v>
      </c>
      <c r="Z116" s="11">
        <f>IF(OR(履歴データ!$A$116="",履歴データ!$A$115=""),"",-40000*O116)</f>
        <v>-628800</v>
      </c>
      <c r="AA116" s="11">
        <f>IF(OR(履歴データ!$A$116="",履歴データ!$A$115=""),"",-40000*P116)</f>
        <v>322105.71289063181</v>
      </c>
      <c r="AB116" s="11">
        <f>IF(履歴データ!$A$116="","",123.3)</f>
        <v>123.3</v>
      </c>
      <c r="AC116">
        <f>IF(履歴データ!$A$116="","",SUM(T116:AA116))</f>
        <v>145398.35215104587</v>
      </c>
      <c r="AD116" s="29">
        <f>IF(履歴データ!$A$116="","",AC116/1000000)</f>
        <v>0.14539835215104588</v>
      </c>
      <c r="AE116" s="29">
        <f>IF(履歴データ!$A$116="",AE115,AE115+AC116/1000000)</f>
        <v>93.982835597995376</v>
      </c>
      <c r="AF116" s="12">
        <f>IF(OR(履歴データ!$A$116="",AE115=0),"",(AE116-AE115)/AE115)</f>
        <v>1.5494706208793773E-3</v>
      </c>
      <c r="AG116" s="29">
        <f t="shared" si="5"/>
        <v>102.17217746631495</v>
      </c>
      <c r="AH116" s="12">
        <f>IF(OR(履歴データ!$A$116="",AG116=0),"",AE116/AG116-1)</f>
        <v>-8.0152367027897742E-2</v>
      </c>
      <c r="AJ116" s="28">
        <f t="shared" ca="1" si="3"/>
        <v>-32.331055371577214</v>
      </c>
      <c r="AK116" s="28">
        <f t="shared" ca="1" si="4"/>
        <v>-49.512422889292345</v>
      </c>
    </row>
    <row r="117" spans="1:37">
      <c r="A117" s="10">
        <f>IF(履歴データ!$A$117="","",履歴データ!$A$117)</f>
        <v>45093</v>
      </c>
      <c r="B117" s="28">
        <f>IF(履歴データ!$A$117="","",(履歴データ!$D$117-(履歴データ!$B$117+履歴データ!$F$117)/2)*100)</f>
        <v>-51.000000000000021</v>
      </c>
      <c r="C117" s="28">
        <f>IF(履歴データ!$A$117="","",(履歴データ!$H$117-(履歴データ!$G$117+履歴データ!$J$117)/2)*100)</f>
        <v>-17.150000000000006</v>
      </c>
      <c r="D117" s="28">
        <f>IF(履歴データ!$A$117="","",(履歴データ!$D$117-履歴データ!$H$117)*100)</f>
        <v>334.8</v>
      </c>
      <c r="E117" s="28">
        <f>IF(履歴データ!$A$117="","",(履歴データ!$D$117-履歴データ!$C$117)*100)</f>
        <v>-22.000000000000021</v>
      </c>
      <c r="F117" s="28">
        <f>IF(履歴データ!$A$117="","",(履歴データ!$R$117-履歴データ!$D$117)*100)</f>
        <v>-131.69</v>
      </c>
      <c r="G117" s="28">
        <f>IF(履歴データ!$A$117="","",(履歴データ!$S$117-履歴データ!$R$117)*100)</f>
        <v>-236.66335717773467</v>
      </c>
      <c r="H117" s="29">
        <f>IF(履歴データ!$A$117="","",履歴データ!$O$117)</f>
        <v>140.26800537109375</v>
      </c>
      <c r="I117" s="29">
        <f>IF(履歴データ!$A$117="","",履歴データ!$Q$117)</f>
        <v>112.40625</v>
      </c>
      <c r="J117" s="29">
        <f>IF(履歴データ!$A$117="","",履歴データ!$D$117)</f>
        <v>3.77</v>
      </c>
      <c r="K117" s="28">
        <f>IF(OR(履歴データ!$A$117="",履歴データ!$A$116=""),"",B117-B116)</f>
        <v>0.49999999999999289</v>
      </c>
      <c r="L117" s="28">
        <f>IF(OR(履歴データ!$A$117="",履歴データ!$A$116=""),"",C117-C116)</f>
        <v>-2.2500000000000089</v>
      </c>
      <c r="M117" s="28">
        <f>IF(OR(履歴データ!$A$117="",履歴データ!$A$116=""),"",D117-D116)</f>
        <v>7.5</v>
      </c>
      <c r="N117" s="28">
        <f>IF(OR(履歴データ!$A$117="",履歴データ!$A$116=""),"",E117-E116)</f>
        <v>-3.0000000000000284</v>
      </c>
      <c r="O117" s="28">
        <f>IF(OR(履歴データ!$A$117="",履歴データ!$A$116=""),"",F117-F116)</f>
        <v>-1.339999999999975</v>
      </c>
      <c r="P117" s="28">
        <f>IF(OR(履歴データ!$A$117="",履歴データ!$A$116=""),"",G117-G116)</f>
        <v>-4.010714355468906</v>
      </c>
      <c r="Q117" s="29">
        <f>IF(OR(履歴データ!$A$117="",履歴データ!$A$116=""),"",H117-H116)</f>
        <v>0</v>
      </c>
      <c r="R117" s="29">
        <f>IF(OR(履歴データ!$A$117="",履歴データ!$A$116=""),"",I117-I116)</f>
        <v>-0.421875</v>
      </c>
      <c r="S117" s="28">
        <f>IF(OR(履歴データ!$A$117="",履歴データ!$A$116=""),"",(J117-J116)*100)</f>
        <v>4.9999999999999822</v>
      </c>
      <c r="T117" s="11">
        <f>IF(OR(履歴データ!$A$117="",履歴データ!$A$116=""),"",-80000*K117)</f>
        <v>-39999.999999999432</v>
      </c>
      <c r="U117" s="11">
        <f>IF(OR(履歴データ!$A$117="",履歴データ!$A$116=""),"",60000*L117)</f>
        <v>-135000.00000000052</v>
      </c>
      <c r="V117" s="11">
        <f>IF(OR(履歴データ!$A$117="",履歴データ!$A$116=""),"",-50000*M117)</f>
        <v>-375000</v>
      </c>
      <c r="W117" s="11">
        <f>IF(OR(履歴データ!$A$117="",履歴データ!$A$116=""),"",-40000*N117)</f>
        <v>120000.00000000114</v>
      </c>
      <c r="X117" s="11">
        <f>IF(OR(履歴データ!$A$117="",履歴データ!$A$116=""),"",120*1000000*(-Q117/H116))</f>
        <v>0</v>
      </c>
      <c r="Y117" s="11">
        <f>IF(OR(履歴データ!$A$117="",履歴データ!$A$116=""),"",40000*(-S117)+(-506.3)*R117*1000)</f>
        <v>13595.312500000698</v>
      </c>
      <c r="Z117" s="11">
        <f>IF(OR(履歴データ!$A$117="",履歴データ!$A$116=""),"",-40000*O117)</f>
        <v>53599.999999998996</v>
      </c>
      <c r="AA117" s="11">
        <f>IF(OR(履歴データ!$A$117="",履歴データ!$A$116=""),"",-40000*P117)</f>
        <v>160428.57421875623</v>
      </c>
      <c r="AB117" s="11">
        <f>IF(履歴データ!$A$117="","",123.3)</f>
        <v>123.3</v>
      </c>
      <c r="AC117">
        <f>IF(履歴データ!$A$117="","",SUM(T117:AA117))</f>
        <v>-202376.1132812429</v>
      </c>
      <c r="AD117" s="29">
        <f>IF(履歴データ!$A$117="","",AC117/1000000)</f>
        <v>-0.20237611328124289</v>
      </c>
      <c r="AE117" s="29">
        <f>IF(履歴データ!$A$117="",AE116,AE116+AC117/1000000)</f>
        <v>93.780459484714129</v>
      </c>
      <c r="AF117" s="12">
        <f>IF(OR(履歴データ!$A$117="",AE116=0),"",(AE117-AE116)/AE116)</f>
        <v>-2.153330573541062E-3</v>
      </c>
      <c r="AG117" s="29">
        <f t="shared" si="5"/>
        <v>102.17217746631495</v>
      </c>
      <c r="AH117" s="12">
        <f>IF(OR(履歴データ!$A$117="",AG117=0),"",AE117/AG117-1)</f>
        <v>-8.213310305897592E-2</v>
      </c>
      <c r="AJ117" s="28">
        <f t="shared" ca="1" si="3"/>
        <v>-32.253018499334821</v>
      </c>
      <c r="AK117" s="28">
        <f t="shared" ca="1" si="4"/>
        <v>-49.764222879975527</v>
      </c>
    </row>
    <row r="118" spans="1:37">
      <c r="A118" s="10">
        <f>IF(履歴データ!$A$118="","",履歴データ!$A$118)</f>
        <v>45097</v>
      </c>
      <c r="B118" s="28">
        <f>IF(履歴データ!$A$118="","",(履歴データ!$D$118-(履歴データ!$B$118+履歴データ!$F$118)/2)*100)</f>
        <v>-51.499999999999972</v>
      </c>
      <c r="C118" s="28">
        <f>IF(履歴データ!$A$118="","",(履歴データ!$H$118-(履歴データ!$G$118+履歴データ!$J$118)/2)*100)</f>
        <v>-17.349999999999998</v>
      </c>
      <c r="D118" s="28">
        <f>IF(履歴データ!$A$118="","",(履歴データ!$D$118-履歴データ!$H$118)*100)</f>
        <v>333.40000000000003</v>
      </c>
      <c r="E118" s="28">
        <f>IF(履歴データ!$A$118="","",(履歴データ!$D$118-履歴データ!$C$118)*100)</f>
        <v>-21.999999999999975</v>
      </c>
      <c r="F118" s="28">
        <f>IF(履歴データ!$A$118="","",(履歴データ!$R$118-履歴データ!$D$118)*100)</f>
        <v>-128.74000000000004</v>
      </c>
      <c r="G118" s="28">
        <f>IF(履歴データ!$A$118="","",(履歴データ!$S$118-履歴データ!$R$118)*100)</f>
        <v>-238.19200000000004</v>
      </c>
      <c r="H118" s="29">
        <f>IF(履歴データ!$A$118="","",履歴データ!$O$118)</f>
        <v>141.33500671386719</v>
      </c>
      <c r="I118" s="29">
        <f>IF(履歴データ!$A$118="","",履歴データ!$Q$118)</f>
        <v>112.671875</v>
      </c>
      <c r="J118" s="29">
        <f>IF(履歴データ!$A$118="","",履歴データ!$D$118)</f>
        <v>3.74</v>
      </c>
      <c r="K118" s="28">
        <f>IF(OR(履歴データ!$A$118="",履歴データ!$A$117=""),"",B118-B117)</f>
        <v>-0.49999999999995026</v>
      </c>
      <c r="L118" s="28">
        <f>IF(OR(履歴データ!$A$118="",履歴データ!$A$117=""),"",C118-C117)</f>
        <v>-0.19999999999999218</v>
      </c>
      <c r="M118" s="28">
        <f>IF(OR(履歴データ!$A$118="",履歴データ!$A$117=""),"",D118-D117)</f>
        <v>-1.3999999999999773</v>
      </c>
      <c r="N118" s="28">
        <f>IF(OR(履歴データ!$A$118="",履歴データ!$A$117=""),"",E118-E117)</f>
        <v>4.6185277824406512E-14</v>
      </c>
      <c r="O118" s="28">
        <f>IF(OR(履歴データ!$A$118="",履歴データ!$A$117=""),"",F118-F117)</f>
        <v>2.9499999999999602</v>
      </c>
      <c r="P118" s="28">
        <f>IF(OR(履歴データ!$A$118="",履歴データ!$A$117=""),"",G118-G117)</f>
        <v>-1.5286428222653683</v>
      </c>
      <c r="Q118" s="29">
        <f>IF(OR(履歴データ!$A$118="",履歴データ!$A$117=""),"",H118-H117)</f>
        <v>1.0670013427734375</v>
      </c>
      <c r="R118" s="29">
        <f>IF(OR(履歴データ!$A$118="",履歴データ!$A$117=""),"",I118-I117)</f>
        <v>0.265625</v>
      </c>
      <c r="S118" s="28">
        <f>IF(OR(履歴データ!$A$118="",履歴データ!$A$117=""),"",(J118-J117)*100)</f>
        <v>-2.9999999999999805</v>
      </c>
      <c r="T118" s="11">
        <f>IF(OR(履歴データ!$A$118="",履歴データ!$A$117=""),"",-80000*K118)</f>
        <v>39999.99999999602</v>
      </c>
      <c r="U118" s="11">
        <f>IF(OR(履歴データ!$A$118="",履歴データ!$A$117=""),"",60000*L118)</f>
        <v>-11999.999999999531</v>
      </c>
      <c r="V118" s="11">
        <f>IF(OR(履歴データ!$A$118="",履歴データ!$A$117=""),"",-50000*M118)</f>
        <v>69999.999999998865</v>
      </c>
      <c r="W118" s="11">
        <f>IF(OR(履歴データ!$A$118="",履歴データ!$A$117=""),"",-40000*N118)</f>
        <v>-1.8474111129762605E-9</v>
      </c>
      <c r="X118" s="11">
        <f>IF(OR(履歴データ!$A$118="",履歴データ!$A$117=""),"",120*1000000*(-Q118/H117))</f>
        <v>-912825.13638137782</v>
      </c>
      <c r="Y118" s="11">
        <f>IF(OR(履歴データ!$A$118="",履歴データ!$A$117=""),"",40000*(-S118)+(-506.3)*R118*1000)</f>
        <v>-14485.937500000786</v>
      </c>
      <c r="Z118" s="11">
        <f>IF(OR(履歴データ!$A$118="",履歴データ!$A$117=""),"",-40000*O118)</f>
        <v>-117999.99999999841</v>
      </c>
      <c r="AA118" s="11">
        <f>IF(OR(履歴データ!$A$118="",履歴データ!$A$117=""),"",-40000*P118)</f>
        <v>61145.712890614734</v>
      </c>
      <c r="AB118" s="11">
        <f>IF(履歴データ!$A$118="","",123.3)</f>
        <v>123.3</v>
      </c>
      <c r="AC118">
        <f>IF(履歴データ!$A$118="","",SUM(T118:AA118))</f>
        <v>-886165.36099076876</v>
      </c>
      <c r="AD118" s="29">
        <f>IF(履歴データ!$A$118="","",AC118/1000000)</f>
        <v>-0.88616536099076881</v>
      </c>
      <c r="AE118" s="29">
        <f>IF(履歴データ!$A$118="",AE117,AE117+AC118/1000000)</f>
        <v>92.894294123723355</v>
      </c>
      <c r="AF118" s="12">
        <f>IF(OR(履歴データ!$A$118="",AE117=0),"",(AE118-AE117)/AE117)</f>
        <v>-9.4493604089796023E-3</v>
      </c>
      <c r="AG118" s="29">
        <f t="shared" si="5"/>
        <v>102.17217746631495</v>
      </c>
      <c r="AH118" s="12">
        <f>IF(OR(履歴データ!$A$118="",AG118=0),"",AE118/AG118-1)</f>
        <v>-9.080635817564342E-2</v>
      </c>
      <c r="AJ118" s="28">
        <f t="shared" ca="1" si="3"/>
        <v>-32.167291391498992</v>
      </c>
      <c r="AK118" s="28">
        <f t="shared" ca="1" si="4"/>
        <v>-50.0292898050822</v>
      </c>
    </row>
    <row r="119" spans="1:37">
      <c r="A119" s="10">
        <f>IF(履歴データ!$A$119="","",履歴データ!$A$119)</f>
        <v>45098</v>
      </c>
      <c r="B119" s="28">
        <f>IF(履歴データ!$A$119="","",(履歴データ!$D$119-(履歴データ!$B$119+履歴データ!$F$119)/2)*100)</f>
        <v>-52.499999999999993</v>
      </c>
      <c r="C119" s="28">
        <f>IF(履歴データ!$A$119="","",(履歴データ!$H$119-(履歴データ!$G$119+履歴データ!$J$119)/2)*100)</f>
        <v>-18.55</v>
      </c>
      <c r="D119" s="28">
        <f>IF(履歴データ!$A$119="","",(履歴データ!$D$119-履歴データ!$H$119)*100)</f>
        <v>332.7</v>
      </c>
      <c r="E119" s="28">
        <f>IF(履歴データ!$A$119="","",(履歴データ!$D$119-履歴データ!$C$119)*100)</f>
        <v>-23</v>
      </c>
      <c r="F119" s="28">
        <f>IF(履歴データ!$A$119="","",(履歴データ!$R$119-履歴データ!$D$119)*100)</f>
        <v>-137.29</v>
      </c>
      <c r="G119" s="28">
        <f>IF(履歴データ!$A$119="","",(履歴データ!$S$119-履歴データ!$R$119)*100)</f>
        <v>-228.51900000000026</v>
      </c>
      <c r="H119" s="29">
        <f>IF(履歴データ!$A$119="","",履歴データ!$O$119)</f>
        <v>141.68800354003906</v>
      </c>
      <c r="I119" s="29">
        <f>IF(履歴データ!$A$119="","",履歴データ!$Q$119)</f>
        <v>112.46875</v>
      </c>
      <c r="J119" s="29">
        <f>IF(履歴データ!$A$119="","",履歴データ!$D$119)</f>
        <v>3.72</v>
      </c>
      <c r="K119" s="28">
        <f>IF(OR(履歴データ!$A$119="",履歴データ!$A$118=""),"",B119-B118)</f>
        <v>-1.0000000000000213</v>
      </c>
      <c r="L119" s="28">
        <f>IF(OR(履歴データ!$A$119="",履歴データ!$A$118=""),"",C119-C118)</f>
        <v>-1.2000000000000028</v>
      </c>
      <c r="M119" s="28">
        <f>IF(OR(履歴データ!$A$119="",履歴データ!$A$118=""),"",D119-D118)</f>
        <v>-0.70000000000004547</v>
      </c>
      <c r="N119" s="28">
        <f>IF(OR(履歴データ!$A$119="",履歴データ!$A$118=""),"",E119-E118)</f>
        <v>-1.0000000000000249</v>
      </c>
      <c r="O119" s="28">
        <f>IF(OR(履歴データ!$A$119="",履歴データ!$A$118=""),"",F119-F118)</f>
        <v>-8.5499999999999545</v>
      </c>
      <c r="P119" s="28">
        <f>IF(OR(履歴データ!$A$119="",履歴データ!$A$118=""),"",G119-G118)</f>
        <v>9.6729999999997744</v>
      </c>
      <c r="Q119" s="29">
        <f>IF(OR(履歴データ!$A$119="",履歴データ!$A$118=""),"",H119-H118)</f>
        <v>0.352996826171875</v>
      </c>
      <c r="R119" s="29">
        <f>IF(OR(履歴データ!$A$119="",履歴データ!$A$118=""),"",I119-I118)</f>
        <v>-0.203125</v>
      </c>
      <c r="S119" s="28">
        <f>IF(OR(履歴データ!$A$119="",履歴データ!$A$118=""),"",(J119-J118)*100)</f>
        <v>-2.0000000000000018</v>
      </c>
      <c r="T119" s="11">
        <f>IF(OR(履歴データ!$A$119="",履歴データ!$A$118=""),"",-80000*K119)</f>
        <v>80000.000000001703</v>
      </c>
      <c r="U119" s="11">
        <f>IF(OR(履歴データ!$A$119="",履歴データ!$A$118=""),"",60000*L119)</f>
        <v>-72000.000000000175</v>
      </c>
      <c r="V119" s="11">
        <f>IF(OR(履歴データ!$A$119="",履歴データ!$A$118=""),"",-50000*M119)</f>
        <v>35000.00000000227</v>
      </c>
      <c r="W119" s="11">
        <f>IF(OR(履歴データ!$A$119="",履歴データ!$A$118=""),"",-40000*N119)</f>
        <v>40000.000000000997</v>
      </c>
      <c r="X119" s="11">
        <f>IF(OR(履歴データ!$A$119="",履歴データ!$A$118=""),"",120*1000000*(-Q119/H118))</f>
        <v>-299710.7378102162</v>
      </c>
      <c r="Y119" s="11">
        <f>IF(OR(履歴データ!$A$119="",履歴データ!$A$118=""),"",40000*(-S119)+(-506.3)*R119*1000)</f>
        <v>182842.18750000009</v>
      </c>
      <c r="Z119" s="11">
        <f>IF(OR(履歴データ!$A$119="",履歴データ!$A$118=""),"",-40000*O119)</f>
        <v>341999.9999999982</v>
      </c>
      <c r="AA119" s="11">
        <f>IF(OR(履歴データ!$A$119="",履歴データ!$A$118=""),"",-40000*P119)</f>
        <v>-386919.99999999098</v>
      </c>
      <c r="AB119" s="11">
        <f>IF(履歴データ!$A$119="","",123.3)</f>
        <v>123.3</v>
      </c>
      <c r="AC119">
        <f>IF(履歴データ!$A$119="","",SUM(T119:AA119))</f>
        <v>-78788.550310204097</v>
      </c>
      <c r="AD119" s="29">
        <f>IF(履歴データ!$A$119="","",AC119/1000000)</f>
        <v>-7.8788550310204097E-2</v>
      </c>
      <c r="AE119" s="29">
        <f>IF(履歴データ!$A$119="",AE118,AE118+AC119/1000000)</f>
        <v>92.815505573413148</v>
      </c>
      <c r="AF119" s="12">
        <f>IF(OR(履歴データ!$A$119="",AE118=0),"",(AE119-AE118)/AE118)</f>
        <v>-8.4815274235542585E-4</v>
      </c>
      <c r="AG119" s="29">
        <f t="shared" si="5"/>
        <v>102.17217746631495</v>
      </c>
      <c r="AH119" s="12">
        <f>IF(OR(履歴データ!$A$119="",AG119=0),"",AE119/AG119-1)</f>
        <v>-9.1577493256288833E-2</v>
      </c>
      <c r="AJ119" s="28">
        <f t="shared" ca="1" si="3"/>
        <v>-32.057751638246486</v>
      </c>
      <c r="AK119" s="28">
        <f t="shared" ca="1" si="4"/>
        <v>-50.332078870228088</v>
      </c>
    </row>
    <row r="120" spans="1:37">
      <c r="A120" s="10">
        <f>IF(履歴データ!$A$120="","",履歴データ!$A$120)</f>
        <v>45099</v>
      </c>
      <c r="B120" s="28">
        <f>IF(履歴データ!$A$120="","",(履歴データ!$D$120-(履歴データ!$B$120+履歴データ!$F$120)/2)*100)</f>
        <v>-52.499999999999943</v>
      </c>
      <c r="C120" s="28">
        <f>IF(履歴データ!$A$120="","",(履歴データ!$H$120-(履歴データ!$G$120+履歴データ!$J$120)/2)*100)</f>
        <v>-18.95</v>
      </c>
      <c r="D120" s="28">
        <f>IF(履歴データ!$A$120="","",(履歴データ!$D$120-履歴データ!$H$120)*100)</f>
        <v>340.5</v>
      </c>
      <c r="E120" s="28">
        <f>IF(履歴データ!$A$120="","",(履歴データ!$D$120-履歴データ!$C$120)*100)</f>
        <v>-23.000000000000043</v>
      </c>
      <c r="F120" s="28">
        <f>IF(履歴データ!$A$120="","",(履歴データ!$R$120-履歴データ!$D$120)*100)</f>
        <v>-148.57999999999998</v>
      </c>
      <c r="G120" s="28">
        <f>IF(履歴データ!$A$120="","",(履歴データ!$S$120-履歴データ!$R$120)*100)</f>
        <v>-224.00117858886728</v>
      </c>
      <c r="H120" s="29">
        <f>IF(履歴データ!$A$120="","",履歴データ!$O$120)</f>
        <v>143.02999877929688</v>
      </c>
      <c r="I120" s="29">
        <f>IF(履歴データ!$A$120="","",履歴データ!$Q$120)</f>
        <v>112.734375</v>
      </c>
      <c r="J120" s="29">
        <f>IF(履歴データ!$A$120="","",履歴データ!$D$120)</f>
        <v>3.8</v>
      </c>
      <c r="K120" s="28">
        <f>IF(OR(履歴データ!$A$120="",履歴データ!$A$119=""),"",B120-B119)</f>
        <v>4.9737991503207013E-14</v>
      </c>
      <c r="L120" s="28">
        <f>IF(OR(履歴データ!$A$120="",履歴データ!$A$119=""),"",C120-C119)</f>
        <v>-0.39999999999999858</v>
      </c>
      <c r="M120" s="28">
        <f>IF(OR(履歴データ!$A$120="",履歴データ!$A$119=""),"",D120-D119)</f>
        <v>7.8000000000000114</v>
      </c>
      <c r="N120" s="28">
        <f>IF(OR(履歴データ!$A$120="",履歴データ!$A$119=""),"",E120-E119)</f>
        <v>-4.2632564145606011E-14</v>
      </c>
      <c r="O120" s="28">
        <f>IF(OR(履歴データ!$A$120="",履歴データ!$A$119=""),"",F120-F119)</f>
        <v>-11.289999999999992</v>
      </c>
      <c r="P120" s="28">
        <f>IF(OR(履歴データ!$A$120="",履歴データ!$A$119=""),"",G120-G119)</f>
        <v>4.5178214111329851</v>
      </c>
      <c r="Q120" s="29">
        <f>IF(OR(履歴データ!$A$120="",履歴データ!$A$119=""),"",H120-H119)</f>
        <v>1.3419952392578125</v>
      </c>
      <c r="R120" s="29">
        <f>IF(OR(履歴データ!$A$120="",履歴データ!$A$119=""),"",I120-I119)</f>
        <v>0.265625</v>
      </c>
      <c r="S120" s="28">
        <f>IF(OR(履歴データ!$A$120="",履歴データ!$A$119=""),"",(J120-J119)*100)</f>
        <v>7.9999999999999627</v>
      </c>
      <c r="T120" s="11">
        <f>IF(OR(履歴データ!$A$120="",履歴データ!$A$119=""),"",-80000*K120)</f>
        <v>-3.979039320256561E-9</v>
      </c>
      <c r="U120" s="11">
        <f>IF(OR(履歴データ!$A$120="",履歴データ!$A$119=""),"",60000*L120)</f>
        <v>-23999.999999999916</v>
      </c>
      <c r="V120" s="11">
        <f>IF(OR(履歴データ!$A$120="",履歴データ!$A$119=""),"",-50000*M120)</f>
        <v>-390000.00000000058</v>
      </c>
      <c r="W120" s="11">
        <f>IF(OR(履歴データ!$A$120="",履歴データ!$A$119=""),"",-40000*N120)</f>
        <v>1.7053025658242404E-9</v>
      </c>
      <c r="X120" s="11">
        <f>IF(OR(履歴データ!$A$120="",履歴データ!$A$119=""),"",120*1000000*(-Q120/H119))</f>
        <v>-1136577.7249125401</v>
      </c>
      <c r="Y120" s="11">
        <f>IF(OR(履歴データ!$A$120="",履歴データ!$A$119=""),"",40000*(-S120)+(-506.3)*R120*1000)</f>
        <v>-454485.93749999849</v>
      </c>
      <c r="Z120" s="11">
        <f>IF(OR(履歴データ!$A$120="",履歴データ!$A$119=""),"",-40000*O120)</f>
        <v>451599.99999999971</v>
      </c>
      <c r="AA120" s="11">
        <f>IF(OR(履歴データ!$A$120="",履歴データ!$A$119=""),"",-40000*P120)</f>
        <v>-180712.8564453194</v>
      </c>
      <c r="AB120" s="11">
        <f>IF(履歴データ!$A$120="","",123.3)</f>
        <v>123.3</v>
      </c>
      <c r="AC120">
        <f>IF(履歴データ!$A$120="","",SUM(T120:AA120))</f>
        <v>-1734176.5188578612</v>
      </c>
      <c r="AD120" s="29">
        <f>IF(履歴データ!$A$120="","",AC120/1000000)</f>
        <v>-1.7341765188578611</v>
      </c>
      <c r="AE120" s="29">
        <f>IF(履歴データ!$A$120="",AE119,AE119+AC120/1000000)</f>
        <v>91.081329054555283</v>
      </c>
      <c r="AF120" s="12">
        <f>IF(OR(履歴データ!$A$120="",AE119=0),"",(AE120-AE119)/AE119)</f>
        <v>-1.8684125116209215E-2</v>
      </c>
      <c r="AG120" s="29">
        <f t="shared" si="5"/>
        <v>102.17217746631495</v>
      </c>
      <c r="AH120" s="12">
        <f>IF(OR(履歴データ!$A$120="",AG120=0),"",AE120/AG120-1)</f>
        <v>-0.10855057303066873</v>
      </c>
      <c r="AJ120" s="28">
        <f t="shared" ca="1" si="3"/>
        <v>-31.958453060093973</v>
      </c>
      <c r="AK120" s="28">
        <f t="shared" ca="1" si="4"/>
        <v>-50.621378872679131</v>
      </c>
    </row>
    <row r="121" spans="1:37">
      <c r="A121" s="10">
        <f>IF(履歴データ!$A$121="","",履歴データ!$A$121)</f>
        <v>45100</v>
      </c>
      <c r="B121" s="28">
        <f>IF(履歴データ!$A$121="","",(履歴データ!$D$121-(履歴データ!$B$121+履歴データ!$F$121)/2)*100)</f>
        <v>-52.499999999999943</v>
      </c>
      <c r="C121" s="28">
        <f>IF(履歴データ!$A$121="","",(履歴データ!$H$121-(履歴データ!$G$121+履歴データ!$J$121)/2)*100)</f>
        <v>-19.05</v>
      </c>
      <c r="D121" s="28">
        <f>IF(履歴データ!$A$121="","",(履歴データ!$D$121-履歴データ!$H$121)*100)</f>
        <v>335</v>
      </c>
      <c r="E121" s="28">
        <f>IF(履歴データ!$A$121="","",(履歴データ!$D$121-履歴データ!$C$121)*100)</f>
        <v>-25</v>
      </c>
      <c r="F121" s="28">
        <f>IF(履歴データ!$A$121="","",(履歴データ!$R$121-履歴データ!$D$121)*100)</f>
        <v>-135.07000000000002</v>
      </c>
      <c r="G121" s="28">
        <f>IF(履歴データ!$A$121="","",(履歴データ!$S$121-履歴データ!$R$121)*100)</f>
        <v>-233.08982141113304</v>
      </c>
      <c r="H121" s="29">
        <f>IF(履歴データ!$A$121="","",履歴データ!$O$121)</f>
        <v>143.02999877929688</v>
      </c>
      <c r="I121" s="29">
        <f>IF(履歴データ!$A$121="","",履歴データ!$Q$121)</f>
        <v>113.078125</v>
      </c>
      <c r="J121" s="29">
        <f>IF(履歴データ!$A$121="","",履歴データ!$D$121)</f>
        <v>3.74</v>
      </c>
      <c r="K121" s="28">
        <f>IF(OR(履歴データ!$A$121="",履歴データ!$A$120=""),"",B121-B120)</f>
        <v>0</v>
      </c>
      <c r="L121" s="28">
        <f>IF(OR(履歴データ!$A$121="",履歴データ!$A$120=""),"",C121-C120)</f>
        <v>-0.10000000000000142</v>
      </c>
      <c r="M121" s="28">
        <f>IF(OR(履歴データ!$A$121="",履歴データ!$A$120=""),"",D121-D120)</f>
        <v>-5.5</v>
      </c>
      <c r="N121" s="28">
        <f>IF(OR(履歴データ!$A$121="",履歴データ!$A$120=""),"",E121-E120)</f>
        <v>-1.9999999999999574</v>
      </c>
      <c r="O121" s="28">
        <f>IF(OR(履歴データ!$A$121="",履歴データ!$A$120=""),"",F121-F120)</f>
        <v>13.509999999999962</v>
      </c>
      <c r="P121" s="28">
        <f>IF(OR(履歴データ!$A$121="",履歴データ!$A$120=""),"",G121-G120)</f>
        <v>-9.0886428222657685</v>
      </c>
      <c r="Q121" s="29">
        <f>IF(OR(履歴データ!$A$121="",履歴データ!$A$120=""),"",H121-H120)</f>
        <v>0</v>
      </c>
      <c r="R121" s="29">
        <f>IF(OR(履歴データ!$A$121="",履歴データ!$A$120=""),"",I121-I120)</f>
        <v>0.34375</v>
      </c>
      <c r="S121" s="28">
        <f>IF(OR(履歴データ!$A$121="",履歴データ!$A$120=""),"",(J121-J120)*100)</f>
        <v>-5.9999999999999609</v>
      </c>
      <c r="T121" s="11">
        <f>IF(OR(履歴データ!$A$121="",履歴データ!$A$120=""),"",-80000*K121)</f>
        <v>0</v>
      </c>
      <c r="U121" s="11">
        <f>IF(OR(履歴データ!$A$121="",履歴データ!$A$120=""),"",60000*L121)</f>
        <v>-6000.0000000000855</v>
      </c>
      <c r="V121" s="11">
        <f>IF(OR(履歴データ!$A$121="",履歴データ!$A$120=""),"",-50000*M121)</f>
        <v>275000</v>
      </c>
      <c r="W121" s="11">
        <f>IF(OR(履歴データ!$A$121="",履歴データ!$A$120=""),"",-40000*N121)</f>
        <v>79999.999999998297</v>
      </c>
      <c r="X121" s="11">
        <f>IF(OR(履歴データ!$A$121="",履歴データ!$A$120=""),"",120*1000000*(-Q121/H120))</f>
        <v>0</v>
      </c>
      <c r="Y121" s="11">
        <f>IF(OR(履歴データ!$A$121="",履歴データ!$A$120=""),"",40000*(-S121)+(-506.3)*R121*1000)</f>
        <v>65959.374999998428</v>
      </c>
      <c r="Z121" s="11">
        <f>IF(OR(履歴データ!$A$121="",履歴データ!$A$120=""),"",-40000*O121)</f>
        <v>-540399.99999999849</v>
      </c>
      <c r="AA121" s="11">
        <f>IF(OR(履歴データ!$A$121="",履歴データ!$A$120=""),"",-40000*P121)</f>
        <v>363545.71289063076</v>
      </c>
      <c r="AB121" s="11">
        <f>IF(履歴データ!$A$121="","",123.3)</f>
        <v>123.3</v>
      </c>
      <c r="AC121">
        <f>IF(履歴データ!$A$121="","",SUM(T121:AA121))</f>
        <v>238105.08789062896</v>
      </c>
      <c r="AD121" s="29">
        <f>IF(履歴データ!$A$121="","",AC121/1000000)</f>
        <v>0.23810508789062895</v>
      </c>
      <c r="AE121" s="29">
        <f>IF(履歴データ!$A$121="",AE120,AE120+AC121/1000000)</f>
        <v>91.319434142445914</v>
      </c>
      <c r="AF121" s="12">
        <f>IF(OR(履歴データ!$A$121="",AE120=0),"",(AE121-AE120)/AE120)</f>
        <v>2.6142030464664408E-3</v>
      </c>
      <c r="AG121" s="29">
        <f t="shared" si="5"/>
        <v>102.17217746631495</v>
      </c>
      <c r="AH121" s="12">
        <f>IF(OR(履歴データ!$A$121="",AG121=0),"",AE121/AG121-1)</f>
        <v>-0.10622014322291473</v>
      </c>
      <c r="AJ121" s="28">
        <f t="shared" ca="1" si="3"/>
        <v>-31.868432738301696</v>
      </c>
      <c r="AK121" s="28">
        <f t="shared" ca="1" si="4"/>
        <v>-50.898233928364974</v>
      </c>
    </row>
    <row r="122" spans="1:37">
      <c r="A122" s="10">
        <f>IF(履歴データ!$A$122="","",履歴データ!$A$122)</f>
        <v>45103</v>
      </c>
      <c r="B122" s="28">
        <f>IF(履歴データ!$A$122="","",(履歴データ!$D$122-(履歴データ!$B$122+履歴データ!$F$122)/2)*100)</f>
        <v>-52</v>
      </c>
      <c r="C122" s="28">
        <f>IF(履歴データ!$A$122="","",(履歴データ!$H$122-(履歴データ!$G$122+履歴データ!$J$122)/2)*100)</f>
        <v>-18.75</v>
      </c>
      <c r="D122" s="28">
        <f>IF(履歴データ!$A$122="","",(履歴データ!$D$122-履歴データ!$H$122)*100)</f>
        <v>334.2</v>
      </c>
      <c r="E122" s="28">
        <f>IF(履歴データ!$A$122="","",(履歴データ!$D$122-履歴データ!$C$122)*100)</f>
        <v>-23.999999999999979</v>
      </c>
      <c r="F122" s="28">
        <f>IF(履歴データ!$A$122="","",(履歴データ!$R$122-履歴データ!$D$122)*100)</f>
        <v>-141.32000000000002</v>
      </c>
      <c r="G122" s="28">
        <f>IF(履歴データ!$A$122="","",(履歴データ!$S$122-履歴データ!$R$122)*100)</f>
        <v>-227.99699999999996</v>
      </c>
      <c r="H122" s="29">
        <f>IF(履歴データ!$A$122="","",履歴データ!$O$122)</f>
        <v>143.46000671386719</v>
      </c>
      <c r="I122" s="29">
        <f>IF(履歴データ!$A$122="","",履歴データ!$Q$122)</f>
        <v>113.234375</v>
      </c>
      <c r="J122" s="29">
        <f>IF(履歴データ!$A$122="","",履歴データ!$D$122)</f>
        <v>3.72</v>
      </c>
      <c r="K122" s="28">
        <f>IF(OR(履歴データ!$A$122="",履歴データ!$A$121=""),"",B122-B121)</f>
        <v>0.49999999999994316</v>
      </c>
      <c r="L122" s="28">
        <f>IF(OR(履歴データ!$A$122="",履歴データ!$A$121=""),"",C122-C121)</f>
        <v>0.30000000000000071</v>
      </c>
      <c r="M122" s="28">
        <f>IF(OR(履歴データ!$A$122="",履歴データ!$A$121=""),"",D122-D121)</f>
        <v>-0.80000000000001137</v>
      </c>
      <c r="N122" s="28">
        <f>IF(OR(履歴データ!$A$122="",履歴データ!$A$121=""),"",E122-E121)</f>
        <v>1.0000000000000213</v>
      </c>
      <c r="O122" s="28">
        <f>IF(OR(履歴データ!$A$122="",履歴データ!$A$121=""),"",F122-F121)</f>
        <v>-6.25</v>
      </c>
      <c r="P122" s="28">
        <f>IF(OR(履歴データ!$A$122="",履歴データ!$A$121=""),"",G122-G121)</f>
        <v>5.0928214111330874</v>
      </c>
      <c r="Q122" s="29">
        <f>IF(OR(履歴データ!$A$122="",履歴データ!$A$121=""),"",H122-H121)</f>
        <v>0.4300079345703125</v>
      </c>
      <c r="R122" s="29">
        <f>IF(OR(履歴データ!$A$122="",履歴データ!$A$121=""),"",I122-I121)</f>
        <v>0.15625</v>
      </c>
      <c r="S122" s="28">
        <f>IF(OR(履歴データ!$A$122="",履歴データ!$A$121=""),"",(J122-J121)*100)</f>
        <v>-2.0000000000000018</v>
      </c>
      <c r="T122" s="11">
        <f>IF(OR(履歴データ!$A$122="",履歴データ!$A$121=""),"",-80000*K122)</f>
        <v>-39999.999999995453</v>
      </c>
      <c r="U122" s="11">
        <f>IF(OR(履歴データ!$A$122="",履歴データ!$A$121=""),"",60000*L122)</f>
        <v>18000.000000000044</v>
      </c>
      <c r="V122" s="11">
        <f>IF(OR(履歴データ!$A$122="",履歴データ!$A$121=""),"",-50000*M122)</f>
        <v>40000.000000000568</v>
      </c>
      <c r="W122" s="11">
        <f>IF(OR(履歴データ!$A$122="",履歴データ!$A$121=""),"",-40000*N122)</f>
        <v>-40000.000000000851</v>
      </c>
      <c r="X122" s="11">
        <f>IF(OR(履歴データ!$A$122="",履歴データ!$A$121=""),"",120*1000000*(-Q122/H121))</f>
        <v>-360770.13625694421</v>
      </c>
      <c r="Y122" s="11">
        <f>IF(OR(履歴データ!$A$122="",履歴データ!$A$121=""),"",40000*(-S122)+(-506.3)*R122*1000)</f>
        <v>890.62500000007276</v>
      </c>
      <c r="Z122" s="11">
        <f>IF(OR(履歴データ!$A$122="",履歴データ!$A$121=""),"",-40000*O122)</f>
        <v>250000</v>
      </c>
      <c r="AA122" s="11">
        <f>IF(OR(履歴データ!$A$122="",履歴データ!$A$121=""),"",-40000*P122)</f>
        <v>-203712.8564453235</v>
      </c>
      <c r="AB122" s="11">
        <f>IF(履歴データ!$A$122="","",123.3)</f>
        <v>123.3</v>
      </c>
      <c r="AC122">
        <f>IF(履歴データ!$A$122="","",SUM(T122:AA122))</f>
        <v>-335592.36770226335</v>
      </c>
      <c r="AD122" s="29">
        <f>IF(履歴データ!$A$122="","",AC122/1000000)</f>
        <v>-0.33559236770226336</v>
      </c>
      <c r="AE122" s="29">
        <f>IF(履歴データ!$A$122="",AE121,AE121+AC122/1000000)</f>
        <v>90.983841774743652</v>
      </c>
      <c r="AF122" s="12">
        <f>IF(OR(履歴データ!$A$122="",AE121=0),"",(AE122-AE121)/AE121)</f>
        <v>-3.6749282434096462E-3</v>
      </c>
      <c r="AG122" s="29">
        <f t="shared" si="5"/>
        <v>102.17217746631495</v>
      </c>
      <c r="AH122" s="12">
        <f>IF(OR(履歴データ!$A$122="",AG122=0),"",AE122/AG122-1)</f>
        <v>-0.10950472006197542</v>
      </c>
      <c r="AJ122" s="28">
        <f t="shared" ca="1" si="3"/>
        <v>-31.801278173538922</v>
      </c>
      <c r="AK122" s="28">
        <f t="shared" ca="1" si="4"/>
        <v>-51.140870586791664</v>
      </c>
    </row>
    <row r="123" spans="1:37">
      <c r="A123" s="10">
        <f>IF(履歴データ!$A$123="","",履歴データ!$A$123)</f>
        <v>45104</v>
      </c>
      <c r="B123" s="28">
        <f>IF(履歴データ!$A$123="","",(履歴データ!$D$123-(履歴データ!$B$123+履歴データ!$F$123)/2)*100)</f>
        <v>-52</v>
      </c>
      <c r="C123" s="28">
        <f>IF(履歴データ!$A$123="","",(履歴データ!$H$123-(履歴データ!$G$123+履歴データ!$J$123)/2)*100)</f>
        <v>-17.149999999999999</v>
      </c>
      <c r="D123" s="28">
        <f>IF(履歴データ!$A$123="","",(履歴データ!$D$123-履歴データ!$H$123)*100)</f>
        <v>337.2</v>
      </c>
      <c r="E123" s="28">
        <f>IF(履歴データ!$A$123="","",(履歴データ!$D$123-履歴データ!$C$123)*100)</f>
        <v>-24.999999999999957</v>
      </c>
      <c r="F123" s="28">
        <f>IF(履歴データ!$A$123="","",(履歴データ!$R$123-履歴データ!$D$123)*100)</f>
        <v>-154.99999999999997</v>
      </c>
      <c r="G123" s="28">
        <f>IF(履歴データ!$A$123="","",(履歴データ!$S$123-履歴データ!$R$123)*100)</f>
        <v>-217.21217858886718</v>
      </c>
      <c r="H123" s="29">
        <f>IF(履歴データ!$A$123="","",履歴データ!$O$123)</f>
        <v>143.88200378417969</v>
      </c>
      <c r="I123" s="29">
        <f>IF(履歴データ!$A$123="","",履歴データ!$Q$123)</f>
        <v>112.828125</v>
      </c>
      <c r="J123" s="29">
        <f>IF(履歴データ!$A$123="","",履歴データ!$D$123)</f>
        <v>3.77</v>
      </c>
      <c r="K123" s="28">
        <f>IF(OR(履歴データ!$A$123="",履歴データ!$A$122=""),"",B123-B122)</f>
        <v>0</v>
      </c>
      <c r="L123" s="28">
        <f>IF(OR(履歴データ!$A$123="",履歴データ!$A$122=""),"",C123-C122)</f>
        <v>1.6000000000000014</v>
      </c>
      <c r="M123" s="28">
        <f>IF(OR(履歴データ!$A$123="",履歴データ!$A$122=""),"",D123-D122)</f>
        <v>3</v>
      </c>
      <c r="N123" s="28">
        <f>IF(OR(履歴データ!$A$123="",履歴データ!$A$122=""),"",E123-E122)</f>
        <v>-0.99999999999997868</v>
      </c>
      <c r="O123" s="28">
        <f>IF(OR(履歴データ!$A$123="",履歴データ!$A$122=""),"",F123-F122)</f>
        <v>-13.67999999999995</v>
      </c>
      <c r="P123" s="28">
        <f>IF(OR(履歴データ!$A$123="",履歴データ!$A$122=""),"",G123-G122)</f>
        <v>10.784821411132782</v>
      </c>
      <c r="Q123" s="29">
        <f>IF(OR(履歴データ!$A$123="",履歴データ!$A$122=""),"",H123-H122)</f>
        <v>0.4219970703125</v>
      </c>
      <c r="R123" s="29">
        <f>IF(OR(履歴データ!$A$123="",履歴データ!$A$122=""),"",I123-I122)</f>
        <v>-0.40625</v>
      </c>
      <c r="S123" s="28">
        <f>IF(OR(履歴データ!$A$123="",履歴データ!$A$122=""),"",(J123-J122)*100)</f>
        <v>4.9999999999999822</v>
      </c>
      <c r="T123" s="11">
        <f>IF(OR(履歴データ!$A$123="",履歴データ!$A$122=""),"",-80000*K123)</f>
        <v>0</v>
      </c>
      <c r="U123" s="11">
        <f>IF(OR(履歴データ!$A$123="",履歴データ!$A$122=""),"",60000*L123)</f>
        <v>96000.000000000087</v>
      </c>
      <c r="V123" s="11">
        <f>IF(OR(履歴データ!$A$123="",履歴データ!$A$122=""),"",-50000*M123)</f>
        <v>-150000</v>
      </c>
      <c r="W123" s="11">
        <f>IF(OR(履歴データ!$A$123="",履歴データ!$A$122=""),"",-40000*N123)</f>
        <v>39999.999999999149</v>
      </c>
      <c r="X123" s="11">
        <f>IF(OR(履歴データ!$A$123="",履歴データ!$A$122=""),"",120*1000000*(-Q123/H122))</f>
        <v>-352987.91347822413</v>
      </c>
      <c r="Y123" s="11">
        <f>IF(OR(履歴データ!$A$123="",履歴データ!$A$122=""),"",40000*(-S123)+(-506.3)*R123*1000)</f>
        <v>5684.3750000007276</v>
      </c>
      <c r="Z123" s="11">
        <f>IF(OR(履歴データ!$A$123="",履歴データ!$A$122=""),"",-40000*O123)</f>
        <v>547199.99999999802</v>
      </c>
      <c r="AA123" s="11">
        <f>IF(OR(履歴データ!$A$123="",履歴データ!$A$122=""),"",-40000*P123)</f>
        <v>-431392.85644531128</v>
      </c>
      <c r="AB123" s="11">
        <f>IF(履歴データ!$A$123="","",123.3)</f>
        <v>123.3</v>
      </c>
      <c r="AC123">
        <f>IF(履歴データ!$A$123="","",SUM(T123:AA123))</f>
        <v>-245496.39492353745</v>
      </c>
      <c r="AD123" s="29">
        <f>IF(履歴データ!$A$123="","",AC123/1000000)</f>
        <v>-0.24549639492353745</v>
      </c>
      <c r="AE123" s="29">
        <f>IF(履歴データ!$A$123="",AE122,AE122+AC123/1000000)</f>
        <v>90.738345379820117</v>
      </c>
      <c r="AF123" s="12">
        <f>IF(OR(履歴データ!$A$123="",AE122=0),"",(AE123-AE122)/AE122)</f>
        <v>-2.6982416892367658E-3</v>
      </c>
      <c r="AG123" s="29">
        <f t="shared" si="5"/>
        <v>102.17217746631495</v>
      </c>
      <c r="AH123" s="12">
        <f>IF(OR(履歴データ!$A$123="",AG123=0),"",AE123/AG123-1)</f>
        <v>-0.11190749155037283</v>
      </c>
      <c r="AJ123" s="28">
        <f t="shared" ca="1" si="3"/>
        <v>-31.740713259706748</v>
      </c>
      <c r="AK123" s="28">
        <f t="shared" ca="1" si="4"/>
        <v>-51.374040838653897</v>
      </c>
    </row>
    <row r="124" spans="1:37">
      <c r="A124" s="10">
        <f>IF(履歴データ!$A$124="","",履歴データ!$A$124)</f>
        <v>45105</v>
      </c>
      <c r="B124" s="28">
        <f>IF(履歴データ!$A$124="","",(履歴データ!$D$124-(履歴データ!$B$124+履歴データ!$F$124)/2)*100)</f>
        <v>-54.999999999999986</v>
      </c>
      <c r="C124" s="28">
        <f>IF(履歴データ!$A$124="","",(履歴データ!$H$124-(履歴データ!$G$124+履歴データ!$J$124)/2)*100)</f>
        <v>-16.7</v>
      </c>
      <c r="D124" s="28">
        <f>IF(履歴データ!$A$124="","",(履歴データ!$D$124-履歴データ!$H$124)*100)</f>
        <v>329.59999999999997</v>
      </c>
      <c r="E124" s="28">
        <f>IF(履歴データ!$A$124="","",(履歴データ!$D$124-履歴データ!$C$124)*100)</f>
        <v>-26.000000000000021</v>
      </c>
      <c r="F124" s="28">
        <f>IF(履歴データ!$A$124="","",(履歴データ!$R$124-履歴データ!$D$124)*100)</f>
        <v>-144.95999999999998</v>
      </c>
      <c r="G124" s="28">
        <f>IF(履歴データ!$A$124="","",(履歴データ!$S$124-履歴データ!$R$124)*100)</f>
        <v>-218.62117858886728</v>
      </c>
      <c r="H124" s="29">
        <f>IF(履歴データ!$A$124="","",履歴データ!$O$124)</f>
        <v>144.38900756835938</v>
      </c>
      <c r="I124" s="29">
        <f>IF(履歴データ!$A$124="","",履歴データ!$Q$124)</f>
        <v>113.25</v>
      </c>
      <c r="J124" s="29">
        <f>IF(履歴データ!$A$124="","",履歴データ!$D$124)</f>
        <v>3.71</v>
      </c>
      <c r="K124" s="28">
        <f>IF(OR(履歴データ!$A$124="",履歴データ!$A$123=""),"",B124-B123)</f>
        <v>-2.9999999999999858</v>
      </c>
      <c r="L124" s="28">
        <f>IF(OR(履歴データ!$A$124="",履歴データ!$A$123=""),"",C124-C123)</f>
        <v>0.44999999999999929</v>
      </c>
      <c r="M124" s="28">
        <f>IF(OR(履歴データ!$A$124="",履歴データ!$A$123=""),"",D124-D123)</f>
        <v>-7.6000000000000227</v>
      </c>
      <c r="N124" s="28">
        <f>IF(OR(履歴データ!$A$124="",履歴データ!$A$123=""),"",E124-E123)</f>
        <v>-1.0000000000000639</v>
      </c>
      <c r="O124" s="28">
        <f>IF(OR(履歴データ!$A$124="",履歴データ!$A$123=""),"",F124-F123)</f>
        <v>10.039999999999992</v>
      </c>
      <c r="P124" s="28">
        <f>IF(OR(履歴データ!$A$124="",履歴データ!$A$123=""),"",G124-G123)</f>
        <v>-1.4090000000001055</v>
      </c>
      <c r="Q124" s="29">
        <f>IF(OR(履歴データ!$A$124="",履歴データ!$A$123=""),"",H124-H123)</f>
        <v>0.5070037841796875</v>
      </c>
      <c r="R124" s="29">
        <f>IF(OR(履歴データ!$A$124="",履歴データ!$A$123=""),"",I124-I123)</f>
        <v>0.421875</v>
      </c>
      <c r="S124" s="28">
        <f>IF(OR(履歴データ!$A$124="",履歴データ!$A$123=""),"",(J124-J123)*100)</f>
        <v>-6.0000000000000053</v>
      </c>
      <c r="T124" s="11">
        <f>IF(OR(履歴データ!$A$124="",履歴データ!$A$123=""),"",-80000*K124)</f>
        <v>239999.99999999886</v>
      </c>
      <c r="U124" s="11">
        <f>IF(OR(履歴データ!$A$124="",履歴データ!$A$123=""),"",60000*L124)</f>
        <v>26999.999999999956</v>
      </c>
      <c r="V124" s="11">
        <f>IF(OR(履歴データ!$A$124="",履歴データ!$A$123=""),"",-50000*M124)</f>
        <v>380000.00000000116</v>
      </c>
      <c r="W124" s="11">
        <f>IF(OR(履歴データ!$A$124="",履歴データ!$A$123=""),"",-40000*N124)</f>
        <v>40000.000000002561</v>
      </c>
      <c r="X124" s="11">
        <f>IF(OR(履歴データ!$A$124="",履歴データ!$A$123=""),"",120*1000000*(-Q124/H123))</f>
        <v>-422849.64416274073</v>
      </c>
      <c r="Y124" s="11">
        <f>IF(OR(履歴データ!$A$124="",履歴データ!$A$123=""),"",40000*(-S124)+(-506.3)*R124*1000)</f>
        <v>26404.687500000204</v>
      </c>
      <c r="Z124" s="11">
        <f>IF(OR(履歴データ!$A$124="",履歴データ!$A$123=""),"",-40000*O124)</f>
        <v>-401599.99999999971</v>
      </c>
      <c r="AA124" s="11">
        <f>IF(OR(履歴データ!$A$124="",履歴データ!$A$123=""),"",-40000*P124)</f>
        <v>56360.00000000422</v>
      </c>
      <c r="AB124" s="11">
        <f>IF(履歴データ!$A$124="","",123.3)</f>
        <v>123.3</v>
      </c>
      <c r="AC124">
        <f>IF(履歴データ!$A$124="","",SUM(T124:AA124))</f>
        <v>-54684.956662733486</v>
      </c>
      <c r="AD124" s="29">
        <f>IF(履歴データ!$A$124="","",AC124/1000000)</f>
        <v>-5.4684956662733486E-2</v>
      </c>
      <c r="AE124" s="29">
        <f>IF(履歴データ!$A$124="",AE123,AE123+AC124/1000000)</f>
        <v>90.683660423157377</v>
      </c>
      <c r="AF124" s="12">
        <f>IF(OR(履歴データ!$A$124="",AE123=0),"",(AE124-AE123)/AE123)</f>
        <v>-6.0266645191550769E-4</v>
      </c>
      <c r="AG124" s="29">
        <f t="shared" si="5"/>
        <v>102.17217746631495</v>
      </c>
      <c r="AH124" s="12">
        <f>IF(OR(履歴データ!$A$124="",AG124=0),"",AE124/AG124-1)</f>
        <v>-0.11244271511141291</v>
      </c>
      <c r="AJ124" s="28">
        <f t="shared" ca="1" si="3"/>
        <v>-31.5942512705182</v>
      </c>
      <c r="AK124" s="28">
        <f t="shared" ca="1" si="4"/>
        <v>-51.739082062815129</v>
      </c>
    </row>
    <row r="125" spans="1:37">
      <c r="A125" s="10">
        <f>IF(履歴データ!$A$125="","",履歴データ!$A$125)</f>
        <v>45106</v>
      </c>
      <c r="B125" s="28">
        <f>IF(履歴データ!$A$125="","",(履歴データ!$D$125-(履歴データ!$B$125+履歴データ!$F$125)/2)*100)</f>
        <v>-54.49999999999995</v>
      </c>
      <c r="C125" s="28">
        <f>IF(履歴データ!$A$125="","",(履歴データ!$H$125-(履歴データ!$G$125+履歴データ!$J$125)/2)*100)</f>
        <v>-17.150000000000006</v>
      </c>
      <c r="D125" s="28">
        <f>IF(履歴データ!$A$125="","",(履歴データ!$D$125-履歴データ!$H$125)*100)</f>
        <v>344.1</v>
      </c>
      <c r="E125" s="28">
        <f>IF(履歴データ!$A$125="","",(履歴データ!$D$125-履歴データ!$C$125)*100)</f>
        <v>-28.999999999999957</v>
      </c>
      <c r="F125" s="28">
        <f>IF(履歴データ!$A$125="","",(履歴データ!$R$125-履歴データ!$D$125)*100)</f>
        <v>-169.72</v>
      </c>
      <c r="G125" s="28">
        <f>IF(履歴データ!$A$125="","",(履歴データ!$S$125-履歴データ!$R$125)*100)</f>
        <v>-210.66764282226566</v>
      </c>
      <c r="H125" s="29">
        <f>IF(履歴データ!$A$125="","",履歴データ!$O$125)</f>
        <v>144.77999877929688</v>
      </c>
      <c r="I125" s="29">
        <f>IF(履歴データ!$A$125="","",履歴データ!$Q$125)</f>
        <v>112.125</v>
      </c>
      <c r="J125" s="29">
        <f>IF(履歴データ!$A$125="","",履歴データ!$D$125)</f>
        <v>3.85</v>
      </c>
      <c r="K125" s="28">
        <f>IF(OR(履歴データ!$A$125="",履歴データ!$A$124=""),"",B125-B124)</f>
        <v>0.50000000000003553</v>
      </c>
      <c r="L125" s="28">
        <f>IF(OR(履歴データ!$A$125="",履歴データ!$A$124=""),"",C125-C124)</f>
        <v>-0.45000000000000639</v>
      </c>
      <c r="M125" s="28">
        <f>IF(OR(履歴データ!$A$125="",履歴データ!$A$124=""),"",D125-D124)</f>
        <v>14.500000000000057</v>
      </c>
      <c r="N125" s="28">
        <f>IF(OR(履歴データ!$A$125="",履歴データ!$A$124=""),"",E125-E124)</f>
        <v>-2.9999999999999361</v>
      </c>
      <c r="O125" s="28">
        <f>IF(OR(履歴データ!$A$125="",履歴データ!$A$124=""),"",F125-F124)</f>
        <v>-24.760000000000019</v>
      </c>
      <c r="P125" s="28">
        <f>IF(OR(履歴データ!$A$125="",履歴データ!$A$124=""),"",G125-G124)</f>
        <v>7.9535357666016182</v>
      </c>
      <c r="Q125" s="29">
        <f>IF(OR(履歴データ!$A$125="",履歴データ!$A$124=""),"",H125-H124)</f>
        <v>0.3909912109375</v>
      </c>
      <c r="R125" s="29">
        <f>IF(OR(履歴データ!$A$125="",履歴データ!$A$124=""),"",I125-I124)</f>
        <v>-1.125</v>
      </c>
      <c r="S125" s="28">
        <f>IF(OR(履歴データ!$A$125="",履歴データ!$A$124=""),"",(J125-J124)*100)</f>
        <v>14.000000000000012</v>
      </c>
      <c r="T125" s="11">
        <f>IF(OR(履歴データ!$A$125="",履歴データ!$A$124=""),"",-80000*K125)</f>
        <v>-40000.000000002845</v>
      </c>
      <c r="U125" s="11">
        <f>IF(OR(履歴データ!$A$125="",履歴データ!$A$124=""),"",60000*L125)</f>
        <v>-27000.000000000382</v>
      </c>
      <c r="V125" s="11">
        <f>IF(OR(履歴データ!$A$125="",履歴データ!$A$124=""),"",-50000*M125)</f>
        <v>-725000.00000000279</v>
      </c>
      <c r="W125" s="11">
        <f>IF(OR(履歴データ!$A$125="",履歴データ!$A$124=""),"",-40000*N125)</f>
        <v>119999.99999999744</v>
      </c>
      <c r="X125" s="11">
        <f>IF(OR(履歴データ!$A$125="",履歴データ!$A$124=""),"",120*1000000*(-Q125/H124))</f>
        <v>-324948.18063131807</v>
      </c>
      <c r="Y125" s="11">
        <f>IF(OR(履歴データ!$A$125="",履歴データ!$A$124=""),"",40000*(-S125)+(-506.3)*R125*1000)</f>
        <v>9587.4999999995343</v>
      </c>
      <c r="Z125" s="11">
        <f>IF(OR(履歴データ!$A$125="",履歴データ!$A$124=""),"",-40000*O125)</f>
        <v>990400.00000000081</v>
      </c>
      <c r="AA125" s="11">
        <f>IF(OR(履歴データ!$A$125="",履歴データ!$A$124=""),"",-40000*P125)</f>
        <v>-318141.43066406471</v>
      </c>
      <c r="AB125" s="11">
        <f>IF(履歴データ!$A$125="","",123.3)</f>
        <v>123.3</v>
      </c>
      <c r="AC125">
        <f>IF(履歴データ!$A$125="","",SUM(T125:AA125))</f>
        <v>-315102.11129539111</v>
      </c>
      <c r="AD125" s="29">
        <f>IF(履歴データ!$A$125="","",AC125/1000000)</f>
        <v>-0.31510211129539112</v>
      </c>
      <c r="AE125" s="29">
        <f>IF(履歴データ!$A$125="",AE124,AE124+AC125/1000000)</f>
        <v>90.368558311861989</v>
      </c>
      <c r="AF125" s="12">
        <f>IF(OR(履歴データ!$A$125="",AE124=0),"",(AE125-AE124)/AE124)</f>
        <v>-3.4747396589972961E-3</v>
      </c>
      <c r="AG125" s="29">
        <f t="shared" si="5"/>
        <v>102.17217746631495</v>
      </c>
      <c r="AH125" s="12">
        <f>IF(OR(履歴データ!$A$125="",AG125=0),"",AE125/AG125-1)</f>
        <v>-0.11552674560884724</v>
      </c>
      <c r="AJ125" s="28">
        <f t="shared" ca="1" si="3"/>
        <v>-31.477374966804572</v>
      </c>
      <c r="AK125" s="28">
        <f t="shared" ca="1" si="4"/>
        <v>-52.062947613840592</v>
      </c>
    </row>
    <row r="126" spans="1:37">
      <c r="A126" s="10">
        <f>IF(履歴データ!$A$126="","",履歴データ!$A$126)</f>
        <v>45107</v>
      </c>
      <c r="B126" s="28">
        <f>IF(履歴データ!$A$126="","",(履歴データ!$D$126-(履歴データ!$B$126+履歴データ!$F$126)/2)*100)</f>
        <v>-55.000000000000028</v>
      </c>
      <c r="C126" s="28">
        <f>IF(履歴データ!$A$126="","",(履歴データ!$H$126-(履歴データ!$G$126+履歴データ!$J$126)/2)*100)</f>
        <v>-16.750000000000004</v>
      </c>
      <c r="D126" s="28">
        <f>IF(履歴データ!$A$126="","",(履歴データ!$D$126-履歴データ!$H$126)*100)</f>
        <v>338.4</v>
      </c>
      <c r="E126" s="28">
        <f>IF(履歴データ!$A$126="","",(履歴データ!$D$126-履歴データ!$C$126)*100)</f>
        <v>-31.999999999999986</v>
      </c>
      <c r="F126" s="28">
        <f>IF(履歴データ!$A$126="","",(履歴データ!$R$126-履歴データ!$D$126)*100)</f>
        <v>-154.32000000000002</v>
      </c>
      <c r="G126" s="28">
        <f>IF(履歴データ!$A$126="","",(履歴データ!$S$126-履歴データ!$R$126)*100)</f>
        <v>-220.66435717773453</v>
      </c>
      <c r="H126" s="29">
        <f>IF(履歴データ!$A$126="","",履歴データ!$O$126)</f>
        <v>144.77999877929688</v>
      </c>
      <c r="I126" s="29">
        <f>IF(履歴データ!$A$126="","",履歴データ!$Q$126)</f>
        <v>112.265625</v>
      </c>
      <c r="J126" s="29">
        <f>IF(履歴データ!$A$126="","",履歴データ!$D$126)</f>
        <v>3.81</v>
      </c>
      <c r="K126" s="28">
        <f>IF(OR(履歴データ!$A$126="",履歴データ!$A$125=""),"",B126-B125)</f>
        <v>-0.50000000000007816</v>
      </c>
      <c r="L126" s="28">
        <f>IF(OR(履歴データ!$A$126="",履歴データ!$A$125=""),"",C126-C125)</f>
        <v>0.40000000000000213</v>
      </c>
      <c r="M126" s="28">
        <f>IF(OR(履歴データ!$A$126="",履歴データ!$A$125=""),"",D126-D125)</f>
        <v>-5.7000000000000455</v>
      </c>
      <c r="N126" s="28">
        <f>IF(OR(履歴データ!$A$126="",履歴データ!$A$125=""),"",E126-E125)</f>
        <v>-3.0000000000000284</v>
      </c>
      <c r="O126" s="28">
        <f>IF(OR(履歴データ!$A$126="",履歴データ!$A$125=""),"",F126-F125)</f>
        <v>15.399999999999977</v>
      </c>
      <c r="P126" s="28">
        <f>IF(OR(履歴データ!$A$126="",履歴データ!$A$125=""),"",G126-G125)</f>
        <v>-9.9967143554688676</v>
      </c>
      <c r="Q126" s="29">
        <f>IF(OR(履歴データ!$A$126="",履歴データ!$A$125=""),"",H126-H125)</f>
        <v>0</v>
      </c>
      <c r="R126" s="29">
        <f>IF(OR(履歴データ!$A$126="",履歴データ!$A$125=""),"",I126-I125)</f>
        <v>0.140625</v>
      </c>
      <c r="S126" s="28">
        <f>IF(OR(履歴データ!$A$126="",履歴データ!$A$125=""),"",(J126-J125)*100)</f>
        <v>-4.0000000000000036</v>
      </c>
      <c r="T126" s="11">
        <f>IF(OR(履歴データ!$A$126="",履歴データ!$A$125=""),"",-80000*K126)</f>
        <v>40000.00000000625</v>
      </c>
      <c r="U126" s="11">
        <f>IF(OR(履歴データ!$A$126="",履歴データ!$A$125=""),"",60000*L126)</f>
        <v>24000.000000000127</v>
      </c>
      <c r="V126" s="11">
        <f>IF(OR(履歴データ!$A$126="",履歴データ!$A$125=""),"",-50000*M126)</f>
        <v>285000.00000000227</v>
      </c>
      <c r="W126" s="11">
        <f>IF(OR(履歴データ!$A$126="",履歴データ!$A$125=""),"",-40000*N126)</f>
        <v>120000.00000000114</v>
      </c>
      <c r="X126" s="11">
        <f>IF(OR(履歴データ!$A$126="",履歴データ!$A$125=""),"",120*1000000*(-Q126/H125))</f>
        <v>0</v>
      </c>
      <c r="Y126" s="11">
        <f>IF(OR(履歴データ!$A$126="",履歴データ!$A$125=""),"",40000*(-S126)+(-506.3)*R126*1000)</f>
        <v>88801.562500000146</v>
      </c>
      <c r="Z126" s="11">
        <f>IF(OR(履歴データ!$A$126="",履歴データ!$A$125=""),"",-40000*O126)</f>
        <v>-615999.99999999907</v>
      </c>
      <c r="AA126" s="11">
        <f>IF(OR(履歴データ!$A$126="",履歴データ!$A$125=""),"",-40000*P126)</f>
        <v>399868.57421875471</v>
      </c>
      <c r="AB126" s="11">
        <f>IF(履歴データ!$A$126="","",123.3)</f>
        <v>123.3</v>
      </c>
      <c r="AC126">
        <f>IF(履歴データ!$A$126="","",SUM(T126:AA126))</f>
        <v>341670.13671876554</v>
      </c>
      <c r="AD126" s="29">
        <f>IF(履歴データ!$A$126="","",AC126/1000000)</f>
        <v>0.34167013671876556</v>
      </c>
      <c r="AE126" s="29">
        <f>IF(履歴データ!$A$126="",AE125,AE125+AC126/1000000)</f>
        <v>90.71022844858075</v>
      </c>
      <c r="AF126" s="12">
        <f>IF(OR(履歴データ!$A$126="",AE125=0),"",(AE126-AE125)/AE125)</f>
        <v>3.7808519146632544E-3</v>
      </c>
      <c r="AG126" s="29">
        <f t="shared" si="5"/>
        <v>102.17217746631495</v>
      </c>
      <c r="AH126" s="12">
        <f>IF(OR(履歴データ!$A$126="",AG126=0),"",AE126/AG126-1)</f>
        <v>-0.11218268321151403</v>
      </c>
      <c r="AJ126" s="28">
        <f t="shared" ca="1" si="3"/>
        <v>-31.35516353135359</v>
      </c>
      <c r="AK126" s="28">
        <f t="shared" ca="1" si="4"/>
        <v>-52.396836468646406</v>
      </c>
    </row>
    <row r="127" spans="1:37">
      <c r="A127" s="10">
        <f>IF(履歴データ!$A$127="","",履歴データ!$A$127)</f>
        <v>45110</v>
      </c>
      <c r="B127" s="28">
        <f>IF(履歴データ!$A$127="","",(履歴データ!$D$127-(履歴データ!$B$127+履歴データ!$F$127)/2)*100)</f>
        <v>-54.500000000000036</v>
      </c>
      <c r="C127" s="28">
        <f>IF(履歴データ!$A$127="","",(履歴データ!$H$127-(履歴データ!$G$127+履歴データ!$J$127)/2)*100)</f>
        <v>-16.650000000000002</v>
      </c>
      <c r="D127" s="28">
        <f>IF(履歴データ!$A$127="","",(履歴データ!$D$127-履歴データ!$H$127)*100)</f>
        <v>342.8</v>
      </c>
      <c r="E127" s="28">
        <f>IF(履歴データ!$A$127="","",(履歴データ!$D$127-履歴データ!$C$127)*100)</f>
        <v>-33.00000000000005</v>
      </c>
      <c r="F127" s="28">
        <f>IF(履歴データ!$A$127="","",(履歴データ!$R$127-履歴データ!$D$127)*100)</f>
        <v>-153.93999999999997</v>
      </c>
      <c r="G127" s="28">
        <f>IF(履歴データ!$A$127="","",(履歴データ!$S$127-履歴データ!$R$127)*100)</f>
        <v>-223.23800000000006</v>
      </c>
      <c r="H127" s="29">
        <f>IF(履歴データ!$A$127="","",履歴データ!$O$127)</f>
        <v>144.58399963378906</v>
      </c>
      <c r="I127" s="29">
        <f>IF(履歴データ!$A$127="","",履歴データ!$Q$127)</f>
        <v>111.9375</v>
      </c>
      <c r="J127" s="29">
        <f>IF(履歴データ!$A$127="","",履歴データ!$D$127)</f>
        <v>3.86</v>
      </c>
      <c r="K127" s="28">
        <f>IF(OR(履歴データ!$A$127="",履歴データ!$A$126=""),"",B127-B126)</f>
        <v>0.49999999999999289</v>
      </c>
      <c r="L127" s="28">
        <f>IF(OR(履歴データ!$A$127="",履歴データ!$A$126=""),"",C127-C126)</f>
        <v>0.10000000000000142</v>
      </c>
      <c r="M127" s="28">
        <f>IF(OR(履歴データ!$A$127="",履歴データ!$A$126=""),"",D127-D126)</f>
        <v>4.4000000000000341</v>
      </c>
      <c r="N127" s="28">
        <f>IF(OR(履歴データ!$A$127="",履歴データ!$A$126=""),"",E127-E126)</f>
        <v>-1.0000000000000639</v>
      </c>
      <c r="O127" s="28">
        <f>IF(OR(履歴データ!$A$127="",履歴データ!$A$126=""),"",F127-F126)</f>
        <v>0.3800000000000523</v>
      </c>
      <c r="P127" s="28">
        <f>IF(OR(履歴データ!$A$127="",履歴データ!$A$126=""),"",G127-G126)</f>
        <v>-2.5736428222655263</v>
      </c>
      <c r="Q127" s="29">
        <f>IF(OR(履歴データ!$A$127="",履歴データ!$A$126=""),"",H127-H126)</f>
        <v>-0.1959991455078125</v>
      </c>
      <c r="R127" s="29">
        <f>IF(OR(履歴データ!$A$127="",履歴データ!$A$126=""),"",I127-I126)</f>
        <v>-0.328125</v>
      </c>
      <c r="S127" s="28">
        <f>IF(OR(履歴データ!$A$127="",履歴データ!$A$126=""),"",(J127-J126)*100)</f>
        <v>4.9999999999999822</v>
      </c>
      <c r="T127" s="11">
        <f>IF(OR(履歴データ!$A$127="",履歴データ!$A$126=""),"",-80000*K127)</f>
        <v>-39999.999999999432</v>
      </c>
      <c r="U127" s="11">
        <f>IF(OR(履歴データ!$A$127="",履歴データ!$A$126=""),"",60000*L127)</f>
        <v>6000.0000000000855</v>
      </c>
      <c r="V127" s="11">
        <f>IF(OR(履歴データ!$A$127="",履歴データ!$A$126=""),"",-50000*M127)</f>
        <v>-220000.00000000172</v>
      </c>
      <c r="W127" s="11">
        <f>IF(OR(履歴データ!$A$127="",履歴データ!$A$126=""),"",-40000*N127)</f>
        <v>40000.000000002561</v>
      </c>
      <c r="X127" s="11">
        <f>IF(OR(履歴データ!$A$127="",履歴データ!$A$126=""),"",120*1000000*(-Q127/H126))</f>
        <v>162452.67066752302</v>
      </c>
      <c r="Y127" s="11">
        <f>IF(OR(履歴データ!$A$127="",履歴データ!$A$126=""),"",40000*(-S127)+(-506.3)*R127*1000)</f>
        <v>-33870.312499999272</v>
      </c>
      <c r="Z127" s="11">
        <f>IF(OR(履歴データ!$A$127="",履歴データ!$A$126=""),"",-40000*O127)</f>
        <v>-15200.000000002092</v>
      </c>
      <c r="AA127" s="11">
        <f>IF(OR(履歴データ!$A$127="",履歴データ!$A$126=""),"",-40000*P127)</f>
        <v>102945.71289062106</v>
      </c>
      <c r="AB127" s="11">
        <f>IF(履歴データ!$A$127="","",123.3)</f>
        <v>123.3</v>
      </c>
      <c r="AC127">
        <f>IF(履歴データ!$A$127="","",SUM(T127:AA127))</f>
        <v>2328.0710581442254</v>
      </c>
      <c r="AD127" s="29">
        <f>IF(履歴データ!$A$127="","",AC127/1000000)</f>
        <v>2.3280710581442252E-3</v>
      </c>
      <c r="AE127" s="29">
        <f>IF(履歴データ!$A$127="",AE126,AE126+AC127/1000000)</f>
        <v>90.712556519638895</v>
      </c>
      <c r="AF127" s="12">
        <f>IF(OR(履歴データ!$A$127="",AE126=0),"",(AE127-AE126)/AE126)</f>
        <v>2.5664923327409085E-5</v>
      </c>
      <c r="AG127" s="29">
        <f t="shared" si="5"/>
        <v>102.17217746631495</v>
      </c>
      <c r="AH127" s="12">
        <f>IF(OR(履歴データ!$A$127="",AG127=0),"",AE127/AG127-1)</f>
        <v>-0.11215989744814991</v>
      </c>
      <c r="AJ127" s="28">
        <f t="shared" ca="1" si="3"/>
        <v>-31.258834725553356</v>
      </c>
      <c r="AK127" s="28">
        <f t="shared" ca="1" si="4"/>
        <v>-52.693546226827593</v>
      </c>
    </row>
    <row r="128" spans="1:37">
      <c r="A128" s="10">
        <f>IF(履歴データ!$A$128="","",履歴データ!$A$128)</f>
        <v>45112</v>
      </c>
      <c r="B128" s="28">
        <f>IF(履歴データ!$A$128="","",(履歴データ!$D$128-(履歴データ!$B$128+履歴データ!$F$128)/2)*100)</f>
        <v>-49.500000000000014</v>
      </c>
      <c r="C128" s="28">
        <f>IF(履歴データ!$A$128="","",(履歴データ!$H$128-(履歴データ!$G$128+履歴データ!$J$128)/2)*100)</f>
        <v>-19.45</v>
      </c>
      <c r="D128" s="28">
        <f>IF(履歴データ!$A$128="","",(履歴データ!$D$128-履歴データ!$H$128)*100)</f>
        <v>356.6</v>
      </c>
      <c r="E128" s="28">
        <f>IF(履歴データ!$A$128="","",(履歴データ!$D$128-履歴データ!$C$128)*100)</f>
        <v>-29.999999999999982</v>
      </c>
      <c r="F128" s="28">
        <f>IF(履歴データ!$A$128="","",(履歴データ!$R$128-履歴データ!$D$128)*100)</f>
        <v>-160</v>
      </c>
      <c r="G128" s="28">
        <f>IF(履歴データ!$A$128="","",(履歴データ!$S$128-履歴データ!$R$128)*100)</f>
        <v>-230.5630000000003</v>
      </c>
      <c r="H128" s="29">
        <f>IF(履歴データ!$A$128="","",履歴データ!$O$128)</f>
        <v>144.48899841308594</v>
      </c>
      <c r="I128" s="29">
        <f>IF(履歴データ!$A$128="","",履歴データ!$Q$128)</f>
        <v>111.359375</v>
      </c>
      <c r="J128" s="29">
        <f>IF(履歴データ!$A$128="","",履歴データ!$D$128)</f>
        <v>3.95</v>
      </c>
      <c r="K128" s="28">
        <f>IF(OR(履歴データ!$A$128="",履歴データ!$A$127=""),"",B128-B127)</f>
        <v>5.0000000000000213</v>
      </c>
      <c r="L128" s="28">
        <f>IF(OR(履歴データ!$A$128="",履歴データ!$A$127=""),"",C128-C127)</f>
        <v>-2.7999999999999972</v>
      </c>
      <c r="M128" s="28">
        <f>IF(OR(履歴データ!$A$128="",履歴データ!$A$127=""),"",D128-D127)</f>
        <v>13.800000000000011</v>
      </c>
      <c r="N128" s="28">
        <f>IF(OR(履歴データ!$A$128="",履歴データ!$A$127=""),"",E128-E127)</f>
        <v>3.0000000000000675</v>
      </c>
      <c r="O128" s="28">
        <f>IF(OR(履歴データ!$A$128="",履歴データ!$A$127=""),"",F128-F127)</f>
        <v>-6.0600000000000307</v>
      </c>
      <c r="P128" s="28">
        <f>IF(OR(履歴データ!$A$128="",履歴データ!$A$127=""),"",G128-G127)</f>
        <v>-7.3250000000002444</v>
      </c>
      <c r="Q128" s="29">
        <f>IF(OR(履歴データ!$A$128="",履歴データ!$A$127=""),"",H128-H127)</f>
        <v>-9.5001220703125E-2</v>
      </c>
      <c r="R128" s="29">
        <f>IF(OR(履歴データ!$A$128="",履歴データ!$A$127=""),"",I128-I127)</f>
        <v>-0.578125</v>
      </c>
      <c r="S128" s="28">
        <f>IF(OR(履歴データ!$A$128="",履歴データ!$A$127=""),"",(J128-J127)*100)</f>
        <v>9.0000000000000302</v>
      </c>
      <c r="T128" s="11">
        <f>IF(OR(履歴データ!$A$128="",履歴データ!$A$127=""),"",-80000*K128)</f>
        <v>-400000.00000000169</v>
      </c>
      <c r="U128" s="11">
        <f>IF(OR(履歴データ!$A$128="",履歴データ!$A$127=""),"",60000*L128)</f>
        <v>-167999.99999999983</v>
      </c>
      <c r="V128" s="11">
        <f>IF(OR(履歴データ!$A$128="",履歴データ!$A$127=""),"",-50000*M128)</f>
        <v>-690000.00000000058</v>
      </c>
      <c r="W128" s="11">
        <f>IF(OR(履歴データ!$A$128="",履歴データ!$A$127=""),"",-40000*N128)</f>
        <v>-120000.00000000271</v>
      </c>
      <c r="X128" s="11">
        <f>IF(OR(履歴データ!$A$128="",履歴データ!$A$127=""),"",120*1000000*(-Q128/H127))</f>
        <v>78847.912032105683</v>
      </c>
      <c r="Y128" s="11">
        <f>IF(OR(履歴データ!$A$128="",履歴データ!$A$127=""),"",40000*(-S128)+(-506.3)*R128*1000)</f>
        <v>-67295.312500001164</v>
      </c>
      <c r="Z128" s="11">
        <f>IF(OR(履歴データ!$A$128="",履歴データ!$A$127=""),"",-40000*O128)</f>
        <v>242400.00000000122</v>
      </c>
      <c r="AA128" s="11">
        <f>IF(OR(履歴データ!$A$128="",履歴データ!$A$127=""),"",-40000*P128)</f>
        <v>293000.00000000978</v>
      </c>
      <c r="AB128" s="11">
        <f>IF(履歴データ!$A$128="","",123.3)</f>
        <v>123.3</v>
      </c>
      <c r="AC128">
        <f>IF(履歴データ!$A$128="","",SUM(T128:AA128))</f>
        <v>-831047.40046788938</v>
      </c>
      <c r="AD128" s="29">
        <f>IF(履歴データ!$A$128="","",AC128/1000000)</f>
        <v>-0.83104740046788939</v>
      </c>
      <c r="AE128" s="29">
        <f>IF(履歴データ!$A$128="",AE127,AE127+AC128/1000000)</f>
        <v>89.881509119171</v>
      </c>
      <c r="AF128" s="12">
        <f>IF(OR(履歴データ!$A$128="",AE127=0),"",(AE128-AE127)/AE127)</f>
        <v>-9.1613270792117608E-3</v>
      </c>
      <c r="AG128" s="29">
        <f t="shared" si="5"/>
        <v>102.17217746631495</v>
      </c>
      <c r="AH128" s="12">
        <f>IF(OR(履歴データ!$A$128="",AG128=0),"",AE128/AG128-1)</f>
        <v>-0.12029369102166831</v>
      </c>
      <c r="AJ128" s="28">
        <f t="shared" ca="1" si="3"/>
        <v>-31.277504210215081</v>
      </c>
      <c r="AK128" s="28">
        <f t="shared" ca="1" si="4"/>
        <v>-52.793361931517197</v>
      </c>
    </row>
    <row r="129" spans="1:37">
      <c r="A129" s="10">
        <f>IF(履歴データ!$A$129="","",履歴データ!$A$129)</f>
        <v>45113</v>
      </c>
      <c r="B129" s="28">
        <f>IF(履歴データ!$A$129="","",(履歴データ!$D$129-(履歴データ!$B$129+履歴データ!$F$129)/2)*100)</f>
        <v>-45.000000000000014</v>
      </c>
      <c r="C129" s="28">
        <f>IF(履歴データ!$A$129="","",(履歴データ!$H$129-(履歴データ!$G$129+履歴データ!$J$129)/2)*100)</f>
        <v>-17.450000000000003</v>
      </c>
      <c r="D129" s="28">
        <f>IF(履歴データ!$A$129="","",(履歴データ!$D$129-履歴データ!$H$129)*100)</f>
        <v>364.1</v>
      </c>
      <c r="E129" s="28">
        <f>IF(履歴データ!$A$129="","",(履歴データ!$D$129-履歴データ!$C$129)*100)</f>
        <v>-32.000000000000028</v>
      </c>
      <c r="F129" s="28">
        <f>IF(履歴データ!$A$129="","",(履歴データ!$R$129-履歴データ!$D$129)*100)</f>
        <v>-158.63999999999999</v>
      </c>
      <c r="G129" s="28">
        <f>IF(履歴データ!$A$129="","",(履歴データ!$S$129-履歴データ!$R$129)*100)</f>
        <v>-240.87064282226584</v>
      </c>
      <c r="H129" s="29">
        <f>IF(履歴データ!$A$129="","",履歴データ!$O$129)</f>
        <v>143.95100402832031</v>
      </c>
      <c r="I129" s="29">
        <f>IF(履歴データ!$A$129="","",履歴データ!$Q$129)</f>
        <v>110.609375</v>
      </c>
      <c r="J129" s="29">
        <f>IF(履歴データ!$A$129="","",履歴データ!$D$129)</f>
        <v>4.05</v>
      </c>
      <c r="K129" s="28">
        <f>IF(OR(履歴データ!$A$129="",履歴データ!$A$128=""),"",B129-B128)</f>
        <v>4.5</v>
      </c>
      <c r="L129" s="28">
        <f>IF(OR(履歴データ!$A$129="",履歴データ!$A$128=""),"",C129-C128)</f>
        <v>1.9999999999999964</v>
      </c>
      <c r="M129" s="28">
        <f>IF(OR(履歴データ!$A$129="",履歴データ!$A$128=""),"",D129-D128)</f>
        <v>7.5</v>
      </c>
      <c r="N129" s="28">
        <f>IF(OR(履歴データ!$A$129="",履歴データ!$A$128=""),"",E129-E128)</f>
        <v>-2.0000000000000462</v>
      </c>
      <c r="O129" s="28">
        <f>IF(OR(履歴データ!$A$129="",履歴データ!$A$128=""),"",F129-F128)</f>
        <v>1.3600000000000136</v>
      </c>
      <c r="P129" s="28">
        <f>IF(OR(履歴データ!$A$129="",履歴データ!$A$128=""),"",G129-G128)</f>
        <v>-10.307642822265535</v>
      </c>
      <c r="Q129" s="29">
        <f>IF(OR(履歴データ!$A$129="",履歴データ!$A$128=""),"",H129-H128)</f>
        <v>-0.537994384765625</v>
      </c>
      <c r="R129" s="29">
        <f>IF(OR(履歴データ!$A$129="",履歴データ!$A$128=""),"",I129-I128)</f>
        <v>-0.75</v>
      </c>
      <c r="S129" s="28">
        <f>IF(OR(履歴データ!$A$129="",履歴データ!$A$128=""),"",(J129-J128)*100)</f>
        <v>9.9999999999999645</v>
      </c>
      <c r="T129" s="11">
        <f>IF(OR(履歴データ!$A$129="",履歴データ!$A$128=""),"",-80000*K129)</f>
        <v>-360000</v>
      </c>
      <c r="U129" s="11">
        <f>IF(OR(履歴データ!$A$129="",履歴データ!$A$128=""),"",60000*L129)</f>
        <v>119999.99999999978</v>
      </c>
      <c r="V129" s="11">
        <f>IF(OR(履歴データ!$A$129="",履歴データ!$A$128=""),"",-50000*M129)</f>
        <v>-375000</v>
      </c>
      <c r="W129" s="11">
        <f>IF(OR(履歴データ!$A$129="",履歴データ!$A$128=""),"",-40000*N129)</f>
        <v>80000.000000001848</v>
      </c>
      <c r="X129" s="11">
        <f>IF(OR(履歴データ!$A$129="",履歴データ!$A$128=""),"",120*1000000*(-Q129/H128))</f>
        <v>446811.36197860207</v>
      </c>
      <c r="Y129" s="11">
        <f>IF(OR(履歴データ!$A$129="",履歴データ!$A$128=""),"",40000*(-S129)+(-506.3)*R129*1000)</f>
        <v>-20274.999999998603</v>
      </c>
      <c r="Z129" s="11">
        <f>IF(OR(履歴データ!$A$129="",履歴データ!$A$128=""),"",-40000*O129)</f>
        <v>-54400.000000000546</v>
      </c>
      <c r="AA129" s="11">
        <f>IF(OR(履歴データ!$A$129="",履歴データ!$A$128=""),"",-40000*P129)</f>
        <v>412305.71289062139</v>
      </c>
      <c r="AB129" s="11">
        <f>IF(履歴データ!$A$129="","",123.3)</f>
        <v>123.3</v>
      </c>
      <c r="AC129">
        <f>IF(履歴データ!$A$129="","",SUM(T129:AA129))</f>
        <v>249442.07486922594</v>
      </c>
      <c r="AD129" s="29">
        <f>IF(履歴データ!$A$129="","",AC129/1000000)</f>
        <v>0.24944207486922593</v>
      </c>
      <c r="AE129" s="29">
        <f>IF(履歴データ!$A$129="",AE128,AE128+AC129/1000000)</f>
        <v>90.130951194040222</v>
      </c>
      <c r="AF129" s="12">
        <f>IF(OR(履歴データ!$A$129="",AE128=0),"",(AE129-AE128)/AE128)</f>
        <v>2.7752323844328747E-3</v>
      </c>
      <c r="AG129" s="29">
        <f t="shared" si="5"/>
        <v>102.17217746631495</v>
      </c>
      <c r="AH129" s="12">
        <f>IF(OR(履歴データ!$A$129="",AG129=0),"",AE129/AG129-1)</f>
        <v>-0.11785230158420168</v>
      </c>
      <c r="AJ129" s="28">
        <f t="shared" ca="1" si="3"/>
        <v>-31.330294948364887</v>
      </c>
      <c r="AK129" s="28">
        <f t="shared" ca="1" si="4"/>
        <v>-52.786892551635113</v>
      </c>
    </row>
    <row r="130" spans="1:37">
      <c r="A130" s="10">
        <f>IF(履歴データ!$A$130="","",履歴データ!$A$130)</f>
        <v>45114</v>
      </c>
      <c r="B130" s="28">
        <f>IF(履歴データ!$A$130="","",(履歴データ!$D$130-(履歴データ!$B$130+履歴データ!$F$130)/2)*100)</f>
        <v>-43.50000000000005</v>
      </c>
      <c r="C130" s="28">
        <f>IF(履歴データ!$A$130="","",(履歴データ!$H$130-(履歴データ!$G$130+履歴データ!$J$130)/2)*100)</f>
        <v>-17.450000000000003</v>
      </c>
      <c r="D130" s="28">
        <f>IF(履歴データ!$A$130="","",(履歴データ!$D$130-履歴データ!$H$130)*100)</f>
        <v>362.09999999999997</v>
      </c>
      <c r="E130" s="28">
        <f>IF(履歴データ!$A$130="","",(履歴データ!$D$130-履歴データ!$C$130)*100)</f>
        <v>-29.000000000000004</v>
      </c>
      <c r="F130" s="28">
        <f>IF(履歴データ!$A$130="","",(履歴データ!$R$130-履歴データ!$D$130)*100)</f>
        <v>-143.17999999999995</v>
      </c>
      <c r="G130" s="28">
        <f>IF(履歴データ!$A$130="","",(履歴データ!$S$130-履歴データ!$R$130)*100)</f>
        <v>-248.56064282226566</v>
      </c>
      <c r="H130" s="29">
        <f>IF(履歴データ!$A$130="","",履歴データ!$O$130)</f>
        <v>143.95100402832031</v>
      </c>
      <c r="I130" s="29">
        <f>IF(履歴データ!$A$130="","",履歴データ!$Q$130)</f>
        <v>110.671875</v>
      </c>
      <c r="J130" s="29">
        <f>IF(履歴データ!$A$130="","",履歴データ!$D$130)</f>
        <v>4.0599999999999996</v>
      </c>
      <c r="K130" s="28">
        <f>IF(OR(履歴データ!$A$130="",履歴データ!$A$129=""),"",B130-B129)</f>
        <v>1.4999999999999645</v>
      </c>
      <c r="L130" s="28">
        <f>IF(OR(履歴データ!$A$130="",履歴データ!$A$129=""),"",C130-C129)</f>
        <v>0</v>
      </c>
      <c r="M130" s="28">
        <f>IF(OR(履歴データ!$A$130="",履歴データ!$A$129=""),"",D130-D129)</f>
        <v>-2.0000000000000568</v>
      </c>
      <c r="N130" s="28">
        <f>IF(OR(履歴データ!$A$130="",履歴データ!$A$129=""),"",E130-E129)</f>
        <v>3.0000000000000249</v>
      </c>
      <c r="O130" s="28">
        <f>IF(OR(履歴データ!$A$130="",履歴データ!$A$129=""),"",F130-F129)</f>
        <v>15.460000000000036</v>
      </c>
      <c r="P130" s="28">
        <f>IF(OR(履歴データ!$A$130="",履歴データ!$A$129=""),"",G130-G129)</f>
        <v>-7.6899999999998272</v>
      </c>
      <c r="Q130" s="29">
        <f>IF(OR(履歴データ!$A$130="",履歴データ!$A$129=""),"",H130-H129)</f>
        <v>0</v>
      </c>
      <c r="R130" s="29">
        <f>IF(OR(履歴データ!$A$130="",履歴データ!$A$129=""),"",I130-I129)</f>
        <v>6.25E-2</v>
      </c>
      <c r="S130" s="28">
        <f>IF(OR(履歴データ!$A$130="",履歴データ!$A$129=""),"",(J130-J129)*100)</f>
        <v>0.99999999999997868</v>
      </c>
      <c r="T130" s="11">
        <f>IF(OR(履歴データ!$A$130="",履歴データ!$A$129=""),"",-80000*K130)</f>
        <v>-119999.99999999716</v>
      </c>
      <c r="U130" s="11">
        <f>IF(OR(履歴データ!$A$130="",履歴データ!$A$129=""),"",60000*L130)</f>
        <v>0</v>
      </c>
      <c r="V130" s="11">
        <f>IF(OR(履歴データ!$A$130="",履歴データ!$A$129=""),"",-50000*M130)</f>
        <v>100000.00000000284</v>
      </c>
      <c r="W130" s="11">
        <f>IF(OR(履歴データ!$A$130="",履歴データ!$A$129=""),"",-40000*N130)</f>
        <v>-120000.00000000099</v>
      </c>
      <c r="X130" s="11">
        <f>IF(OR(履歴データ!$A$130="",履歴データ!$A$129=""),"",120*1000000*(-Q130/H129))</f>
        <v>0</v>
      </c>
      <c r="Y130" s="11">
        <f>IF(OR(履歴データ!$A$130="",履歴データ!$A$129=""),"",40000*(-S130)+(-506.3)*R130*1000)</f>
        <v>-71643.749999999156</v>
      </c>
      <c r="Z130" s="11">
        <f>IF(OR(履歴データ!$A$130="",履歴データ!$A$129=""),"",-40000*O130)</f>
        <v>-618400.0000000014</v>
      </c>
      <c r="AA130" s="11">
        <f>IF(OR(履歴データ!$A$130="",履歴データ!$A$129=""),"",-40000*P130)</f>
        <v>307599.99999999307</v>
      </c>
      <c r="AB130" s="11">
        <f>IF(履歴データ!$A$130="","",123.3)</f>
        <v>123.3</v>
      </c>
      <c r="AC130">
        <f>IF(履歴データ!$A$130="","",SUM(T130:AA130))</f>
        <v>-522443.75000000274</v>
      </c>
      <c r="AD130" s="29">
        <f>IF(履歴データ!$A$130="","",AC130/1000000)</f>
        <v>-0.52244375000000276</v>
      </c>
      <c r="AE130" s="29">
        <f>IF(履歴データ!$A$130="",AE129,AE129+AC130/1000000)</f>
        <v>89.608507444040214</v>
      </c>
      <c r="AF130" s="12">
        <f>IF(OR(履歴データ!$A$130="",AE129=0),"",(AE130-AE129)/AE129)</f>
        <v>-5.7964965761345888E-3</v>
      </c>
      <c r="AG130" s="29">
        <f t="shared" si="5"/>
        <v>102.17217746631495</v>
      </c>
      <c r="AH130" s="12">
        <f>IF(OR(履歴データ!$A$130="",AG130=0),"",AE130/AG130-1)</f>
        <v>-0.12296566769771389</v>
      </c>
      <c r="AJ130" s="28">
        <f t="shared" ref="AJ130:AJ193" ca="1" si="6">IF(ROW()-1&lt;2,"",IFERROR(AVERAGE(OFFSET($B$1,MAX(1,ROW()-252),0,MIN(252,ROW()-1),1))+2*STDEV(OFFSET($B$1,MAX(1,ROW()-252),0,MIN(252,ROW()-1),1)),""))</f>
        <v>-31.380444361937343</v>
      </c>
      <c r="AK130" s="28">
        <f t="shared" ref="AK130:AK193" ca="1" si="7">IF(ROW()-1&lt;2,"",IFERROR(AVERAGE(OFFSET($B$1,MAX(1,ROW()-252),0,MIN(252,ROW()-1),1))-2*STDEV(OFFSET($B$1,MAX(1,ROW()-252),0,MIN(252,ROW()-1),1)),""))</f>
        <v>-52.759090521783584</v>
      </c>
    </row>
    <row r="131" spans="1:37">
      <c r="A131" s="10">
        <f>IF(履歴データ!$A$131="","",履歴データ!$A$131)</f>
        <v>45117</v>
      </c>
      <c r="B131" s="28">
        <f>IF(履歴データ!$A$131="","",(履歴データ!$D$131-(履歴データ!$B$131+履歴データ!$F$131)/2)*100)</f>
        <v>-43.99999999999995</v>
      </c>
      <c r="C131" s="28">
        <f>IF(履歴データ!$A$131="","",(履歴データ!$H$131-(履歴データ!$G$131+履歴データ!$J$131)/2)*100)</f>
        <v>-17.2</v>
      </c>
      <c r="D131" s="28">
        <f>IF(履歴データ!$A$131="","",(履歴データ!$D$131-履歴データ!$H$131)*100)</f>
        <v>354.2</v>
      </c>
      <c r="E131" s="28">
        <f>IF(履歴データ!$A$131="","",(履歴データ!$D$131-履歴データ!$C$131)*100)</f>
        <v>-24.000000000000021</v>
      </c>
      <c r="F131" s="28">
        <f>IF(履歴データ!$A$131="","",(履歴データ!$R$131-履歴データ!$D$131)*100)</f>
        <v>-135.75</v>
      </c>
      <c r="G131" s="28">
        <f>IF(履歴データ!$A$131="","",(履歴データ!$S$131-履歴データ!$R$131)*100)</f>
        <v>-244.5008214111329</v>
      </c>
      <c r="H131" s="29">
        <f>IF(履歴データ!$A$131="","",履歴データ!$O$131)</f>
        <v>141.2969970703125</v>
      </c>
      <c r="I131" s="29">
        <f>IF(履歴データ!$A$131="","",履歴データ!$Q$131)</f>
        <v>111.140625</v>
      </c>
      <c r="J131" s="29">
        <f>IF(履歴データ!$A$131="","",履歴データ!$D$131)</f>
        <v>4.01</v>
      </c>
      <c r="K131" s="28">
        <f>IF(OR(履歴データ!$A$131="",履歴データ!$A$130=""),"",B131-B130)</f>
        <v>-0.49999999999990052</v>
      </c>
      <c r="L131" s="28">
        <f>IF(OR(履歴データ!$A$131="",履歴データ!$A$130=""),"",C131-C130)</f>
        <v>0.25000000000000355</v>
      </c>
      <c r="M131" s="28">
        <f>IF(OR(履歴データ!$A$131="",履歴データ!$A$130=""),"",D131-D130)</f>
        <v>-7.8999999999999773</v>
      </c>
      <c r="N131" s="28">
        <f>IF(OR(履歴データ!$A$131="",履歴データ!$A$130=""),"",E131-E130)</f>
        <v>4.9999999999999822</v>
      </c>
      <c r="O131" s="28">
        <f>IF(OR(履歴データ!$A$131="",履歴データ!$A$130=""),"",F131-F130)</f>
        <v>7.42999999999995</v>
      </c>
      <c r="P131" s="28">
        <f>IF(OR(履歴データ!$A$131="",履歴データ!$A$130=""),"",G131-G130)</f>
        <v>4.0598214111327593</v>
      </c>
      <c r="Q131" s="29">
        <f>IF(OR(履歴データ!$A$131="",履歴データ!$A$130=""),"",H131-H130)</f>
        <v>-2.6540069580078125</v>
      </c>
      <c r="R131" s="29">
        <f>IF(OR(履歴データ!$A$131="",履歴データ!$A$130=""),"",I131-I130)</f>
        <v>0.46875</v>
      </c>
      <c r="S131" s="28">
        <f>IF(OR(履歴データ!$A$131="",履歴データ!$A$130=""),"",(J131-J130)*100)</f>
        <v>-4.9999999999999822</v>
      </c>
      <c r="T131" s="11">
        <f>IF(OR(履歴データ!$A$131="",履歴データ!$A$130=""),"",-80000*K131)</f>
        <v>39999.99999999204</v>
      </c>
      <c r="U131" s="11">
        <f>IF(OR(履歴データ!$A$131="",履歴データ!$A$130=""),"",60000*L131)</f>
        <v>15000.000000000213</v>
      </c>
      <c r="V131" s="11">
        <f>IF(OR(履歴データ!$A$131="",履歴データ!$A$130=""),"",-50000*M131)</f>
        <v>394999.99999999884</v>
      </c>
      <c r="W131" s="11">
        <f>IF(OR(履歴データ!$A$131="",履歴データ!$A$130=""),"",-40000*N131)</f>
        <v>-199999.9999999993</v>
      </c>
      <c r="X131" s="11">
        <f>IF(OR(履歴データ!$A$131="",履歴データ!$A$130=""),"",120*1000000*(-Q131/H130))</f>
        <v>2212425.2422600742</v>
      </c>
      <c r="Y131" s="11">
        <f>IF(OR(履歴データ!$A$131="",履歴データ!$A$130=""),"",40000*(-S131)+(-506.3)*R131*1000)</f>
        <v>-37328.125000000698</v>
      </c>
      <c r="Z131" s="11">
        <f>IF(OR(履歴データ!$A$131="",履歴データ!$A$130=""),"",-40000*O131)</f>
        <v>-297199.99999999802</v>
      </c>
      <c r="AA131" s="11">
        <f>IF(OR(履歴データ!$A$131="",履歴データ!$A$130=""),"",-40000*P131)</f>
        <v>-162392.85644531038</v>
      </c>
      <c r="AB131" s="11">
        <f>IF(履歴データ!$A$131="","",123.3)</f>
        <v>123.3</v>
      </c>
      <c r="AC131">
        <f>IF(履歴データ!$A$131="","",SUM(T131:AA131))</f>
        <v>1965504.2608147564</v>
      </c>
      <c r="AD131" s="29">
        <f>IF(履歴データ!$A$131="","",AC131/1000000)</f>
        <v>1.9655042608147564</v>
      </c>
      <c r="AE131" s="29">
        <f>IF(履歴データ!$A$131="",AE130,AE130+AC131/1000000)</f>
        <v>91.574011704854968</v>
      </c>
      <c r="AF131" s="12">
        <f>IF(OR(履歴データ!$A$131="",AE130=0),"",(AE131-AE130)/AE130)</f>
        <v>2.1934348834480873E-2</v>
      </c>
      <c r="AG131" s="29">
        <f t="shared" ref="AG131:AG194" si="8">MAX(AG130,AE131)</f>
        <v>102.17217746631495</v>
      </c>
      <c r="AH131" s="12">
        <f>IF(OR(履歴データ!$A$131="",AG131=0),"",AE131/AG131-1)</f>
        <v>-0.10372849071317958</v>
      </c>
      <c r="AJ131" s="28">
        <f t="shared" ca="1" si="6"/>
        <v>-31.431422493113686</v>
      </c>
      <c r="AK131" s="28">
        <f t="shared" ca="1" si="7"/>
        <v>-52.737808276117079</v>
      </c>
    </row>
    <row r="132" spans="1:37">
      <c r="A132" s="10">
        <f>IF(履歴データ!$A$132="","",履歴データ!$A$132)</f>
        <v>45118</v>
      </c>
      <c r="B132" s="28">
        <f>IF(履歴データ!$A$132="","",(履歴データ!$D$132-(履歴データ!$B$132+履歴データ!$F$132)/2)*100)</f>
        <v>-46.499999999999986</v>
      </c>
      <c r="C132" s="28">
        <f>IF(履歴データ!$A$132="","",(履歴データ!$H$132-(履歴データ!$G$132+履歴データ!$J$132)/2)*100)</f>
        <v>-17.250000000000004</v>
      </c>
      <c r="D132" s="28">
        <f>IF(履歴データ!$A$132="","",(履歴データ!$D$132-履歴データ!$H$132)*100)</f>
        <v>353.6</v>
      </c>
      <c r="E132" s="28">
        <f>IF(履歴データ!$A$132="","",(履歴データ!$D$132-履歴データ!$C$132)*100)</f>
        <v>-25</v>
      </c>
      <c r="F132" s="28">
        <f>IF(履歴データ!$A$132="","",(履歴データ!$R$132-履歴データ!$D$132)*100)</f>
        <v>-138.40000000000003</v>
      </c>
      <c r="G132" s="28">
        <f>IF(履歴データ!$A$132="","",(履歴データ!$S$132-履歴データ!$R$132)*100)</f>
        <v>-242.48182141113278</v>
      </c>
      <c r="H132" s="29">
        <f>IF(履歴データ!$A$132="","",履歴データ!$O$132)</f>
        <v>140.11799621582031</v>
      </c>
      <c r="I132" s="29">
        <f>IF(履歴データ!$A$132="","",履歴データ!$Q$132)</f>
        <v>111.265625</v>
      </c>
      <c r="J132" s="29">
        <f>IF(履歴データ!$A$132="","",履歴データ!$D$132)</f>
        <v>3.99</v>
      </c>
      <c r="K132" s="28">
        <f>IF(OR(履歴データ!$A$132="",履歴データ!$A$131=""),"",B132-B131)</f>
        <v>-2.5000000000000355</v>
      </c>
      <c r="L132" s="28">
        <f>IF(OR(履歴データ!$A$132="",履歴データ!$A$131=""),"",C132-C131)</f>
        <v>-5.0000000000004263E-2</v>
      </c>
      <c r="M132" s="28">
        <f>IF(OR(履歴データ!$A$132="",履歴データ!$A$131=""),"",D132-D131)</f>
        <v>-0.59999999999996589</v>
      </c>
      <c r="N132" s="28">
        <f>IF(OR(履歴データ!$A$132="",履歴データ!$A$131=""),"",E132-E131)</f>
        <v>-0.99999999999997868</v>
      </c>
      <c r="O132" s="28">
        <f>IF(OR(履歴データ!$A$132="",履歴データ!$A$131=""),"",F132-F131)</f>
        <v>-2.6500000000000341</v>
      </c>
      <c r="P132" s="28">
        <f>IF(OR(履歴データ!$A$132="",履歴データ!$A$131=""),"",G132-G131)</f>
        <v>2.0190000000001191</v>
      </c>
      <c r="Q132" s="29">
        <f>IF(OR(履歴データ!$A$132="",履歴データ!$A$131=""),"",H132-H131)</f>
        <v>-1.1790008544921875</v>
      </c>
      <c r="R132" s="29">
        <f>IF(OR(履歴データ!$A$132="",履歴データ!$A$131=""),"",I132-I131)</f>
        <v>0.125</v>
      </c>
      <c r="S132" s="28">
        <f>IF(OR(履歴データ!$A$132="",履歴データ!$A$131=""),"",(J132-J131)*100)</f>
        <v>-1.9999999999999574</v>
      </c>
      <c r="T132" s="11">
        <f>IF(OR(履歴データ!$A$132="",履歴データ!$A$131=""),"",-80000*K132)</f>
        <v>200000.00000000285</v>
      </c>
      <c r="U132" s="11">
        <f>IF(OR(履歴データ!$A$132="",履歴データ!$A$131=""),"",60000*L132)</f>
        <v>-3000.0000000002556</v>
      </c>
      <c r="V132" s="11">
        <f>IF(OR(履歴データ!$A$132="",履歴データ!$A$131=""),"",-50000*M132)</f>
        <v>29999.999999998294</v>
      </c>
      <c r="W132" s="11">
        <f>IF(OR(履歴データ!$A$132="",履歴データ!$A$131=""),"",-40000*N132)</f>
        <v>39999.999999999149</v>
      </c>
      <c r="X132" s="11">
        <f>IF(OR(履歴データ!$A$132="",履歴データ!$A$131=""),"",120*1000000*(-Q132/H131))</f>
        <v>1001295.8907304936</v>
      </c>
      <c r="Y132" s="11">
        <f>IF(OR(履歴データ!$A$132="",履歴データ!$A$131=""),"",40000*(-S132)+(-506.3)*R132*1000)</f>
        <v>16712.499999998297</v>
      </c>
      <c r="Z132" s="11">
        <f>IF(OR(履歴データ!$A$132="",履歴データ!$A$131=""),"",-40000*O132)</f>
        <v>106000.00000000137</v>
      </c>
      <c r="AA132" s="11">
        <f>IF(OR(履歴データ!$A$132="",履歴データ!$A$131=""),"",-40000*P132)</f>
        <v>-80760.000000004773</v>
      </c>
      <c r="AB132" s="11">
        <f>IF(履歴データ!$A$132="","",123.3)</f>
        <v>123.3</v>
      </c>
      <c r="AC132">
        <f>IF(履歴データ!$A$132="","",SUM(T132:AA132))</f>
        <v>1310248.3907304886</v>
      </c>
      <c r="AD132" s="29">
        <f>IF(履歴データ!$A$132="","",AC132/1000000)</f>
        <v>1.3102483907304885</v>
      </c>
      <c r="AE132" s="29">
        <f>IF(履歴データ!$A$132="",AE131,AE131+AC132/1000000)</f>
        <v>92.884260095585461</v>
      </c>
      <c r="AF132" s="12">
        <f>IF(OR(履歴データ!$A$132="",AE131=0),"",(AE132-AE131)/AE131)</f>
        <v>1.4308081150288053E-2</v>
      </c>
      <c r="AG132" s="29">
        <f t="shared" si="8"/>
        <v>102.17217746631495</v>
      </c>
      <c r="AH132" s="12">
        <f>IF(OR(履歴データ!$A$132="",AG132=0),"",AE132/AG132-1)</f>
        <v>-9.0904565225612521E-2</v>
      </c>
      <c r="AJ132" s="28">
        <f t="shared" ca="1" si="6"/>
        <v>-31.47817019166013</v>
      </c>
      <c r="AK132" s="28">
        <f t="shared" ca="1" si="7"/>
        <v>-52.758471029713917</v>
      </c>
    </row>
    <row r="133" spans="1:37">
      <c r="A133" s="10">
        <f>IF(履歴データ!$A$133="","",履歴データ!$A$133)</f>
        <v>45119</v>
      </c>
      <c r="B133" s="28">
        <f>IF(履歴データ!$A$133="","",(履歴データ!$D$133-(履歴データ!$B$133+履歴データ!$F$133)/2)*100)</f>
        <v>-48</v>
      </c>
      <c r="C133" s="28">
        <f>IF(履歴データ!$A$133="","",(履歴データ!$H$133-(履歴データ!$G$133+履歴データ!$J$133)/2)*100)</f>
        <v>-16.400000000000002</v>
      </c>
      <c r="D133" s="28">
        <f>IF(履歴データ!$A$133="","",(履歴データ!$D$133-履歴データ!$H$133)*100)</f>
        <v>338</v>
      </c>
      <c r="E133" s="28">
        <f>IF(履歴データ!$A$133="","",(履歴データ!$D$133-履歴データ!$C$133)*100)</f>
        <v>-21.000000000000043</v>
      </c>
      <c r="F133" s="28">
        <f>IF(履歴データ!$A$133="","",(履歴データ!$R$133-履歴データ!$D$133)*100)</f>
        <v>-116.52999999999997</v>
      </c>
      <c r="G133" s="28">
        <f>IF(履歴データ!$A$133="","",(履歴データ!$S$133-履歴データ!$R$133)*100)</f>
        <v>-248.37000000000015</v>
      </c>
      <c r="H133" s="29">
        <f>IF(履歴データ!$A$133="","",履歴データ!$O$133)</f>
        <v>138.31500244140625</v>
      </c>
      <c r="I133" s="29">
        <f>IF(履歴データ!$A$133="","",履歴データ!$Q$133)</f>
        <v>112.265625</v>
      </c>
      <c r="J133" s="29">
        <f>IF(履歴データ!$A$133="","",履歴データ!$D$133)</f>
        <v>3.86</v>
      </c>
      <c r="K133" s="28">
        <f>IF(OR(履歴データ!$A$133="",履歴データ!$A$132=""),"",B133-B132)</f>
        <v>-1.5000000000000142</v>
      </c>
      <c r="L133" s="28">
        <f>IF(OR(履歴データ!$A$133="",履歴データ!$A$132=""),"",C133-C132)</f>
        <v>0.85000000000000142</v>
      </c>
      <c r="M133" s="28">
        <f>IF(OR(履歴データ!$A$133="",履歴データ!$A$132=""),"",D133-D132)</f>
        <v>-15.600000000000023</v>
      </c>
      <c r="N133" s="28">
        <f>IF(OR(履歴データ!$A$133="",履歴データ!$A$132=""),"",E133-E132)</f>
        <v>3.9999999999999574</v>
      </c>
      <c r="O133" s="28">
        <f>IF(OR(履歴データ!$A$133="",履歴データ!$A$132=""),"",F133-F132)</f>
        <v>21.870000000000061</v>
      </c>
      <c r="P133" s="28">
        <f>IF(OR(履歴データ!$A$133="",履歴データ!$A$132=""),"",G133-G132)</f>
        <v>-5.8881785888673619</v>
      </c>
      <c r="Q133" s="29">
        <f>IF(OR(履歴データ!$A$133="",履歴データ!$A$132=""),"",H133-H132)</f>
        <v>-1.8029937744140625</v>
      </c>
      <c r="R133" s="29">
        <f>IF(OR(履歴データ!$A$133="",履歴データ!$A$132=""),"",I133-I132)</f>
        <v>1</v>
      </c>
      <c r="S133" s="28">
        <f>IF(OR(履歴データ!$A$133="",履歴データ!$A$132=""),"",(J133-J132)*100)</f>
        <v>-13.000000000000034</v>
      </c>
      <c r="T133" s="11">
        <f>IF(OR(履歴データ!$A$133="",履歴データ!$A$132=""),"",-80000*K133)</f>
        <v>120000.00000000114</v>
      </c>
      <c r="U133" s="11">
        <f>IF(OR(履歴データ!$A$133="",履歴データ!$A$132=""),"",60000*L133)</f>
        <v>51000.000000000087</v>
      </c>
      <c r="V133" s="11">
        <f>IF(OR(履歴データ!$A$133="",履歴データ!$A$132=""),"",-50000*M133)</f>
        <v>780000.00000000116</v>
      </c>
      <c r="W133" s="11">
        <f>IF(OR(履歴データ!$A$133="",履歴データ!$A$132=""),"",-40000*N133)</f>
        <v>-159999.99999999828</v>
      </c>
      <c r="X133" s="11">
        <f>IF(OR(履歴データ!$A$133="",履歴データ!$A$132=""),"",120*1000000*(-Q133/H132))</f>
        <v>1544121.8028584612</v>
      </c>
      <c r="Y133" s="11">
        <f>IF(OR(履歴データ!$A$133="",履歴データ!$A$132=""),"",40000*(-S133)+(-506.3)*R133*1000)</f>
        <v>13700.000000001339</v>
      </c>
      <c r="Z133" s="11">
        <f>IF(OR(履歴データ!$A$133="",履歴データ!$A$132=""),"",-40000*O133)</f>
        <v>-874800.00000000244</v>
      </c>
      <c r="AA133" s="11">
        <f>IF(OR(履歴データ!$A$133="",履歴データ!$A$132=""),"",-40000*P133)</f>
        <v>235527.14355469448</v>
      </c>
      <c r="AB133" s="11">
        <f>IF(履歴データ!$A$133="","",123.3)</f>
        <v>123.3</v>
      </c>
      <c r="AC133">
        <f>IF(履歴データ!$A$133="","",SUM(T133:AA133))</f>
        <v>1709548.9464131589</v>
      </c>
      <c r="AD133" s="29">
        <f>IF(履歴データ!$A$133="","",AC133/1000000)</f>
        <v>1.7095489464131588</v>
      </c>
      <c r="AE133" s="29">
        <f>IF(履歴データ!$A$133="",AE132,AE132+AC133/1000000)</f>
        <v>94.593809041998625</v>
      </c>
      <c r="AF133" s="12">
        <f>IF(OR(履歴データ!$A$133="",AE132=0),"",(AE133-AE132)/AE132)</f>
        <v>1.8405152225510538E-2</v>
      </c>
      <c r="AG133" s="29">
        <f t="shared" si="8"/>
        <v>102.17217746631495</v>
      </c>
      <c r="AH133" s="12">
        <f>IF(OR(履歴データ!$A$133="",AG133=0),"",AE133/AG133-1)</f>
        <v>-7.4172525361073216E-2</v>
      </c>
      <c r="AJ133" s="28">
        <f t="shared" ca="1" si="6"/>
        <v>-31.514081262586316</v>
      </c>
      <c r="AK133" s="28">
        <f t="shared" ca="1" si="7"/>
        <v>-52.811676313171262</v>
      </c>
    </row>
    <row r="134" spans="1:37">
      <c r="A134" s="10">
        <f>IF(履歴データ!$A$134="","",履歴データ!$A$134)</f>
        <v>45120</v>
      </c>
      <c r="B134" s="28">
        <f>IF(履歴データ!$A$134="","",(履歴データ!$D$134-(履歴データ!$B$134+履歴データ!$F$134)/2)*100)</f>
        <v>-48.500000000000028</v>
      </c>
      <c r="C134" s="28">
        <f>IF(履歴データ!$A$134="","",(履歴データ!$H$134-(履歴データ!$G$134+履歴データ!$J$134)/2)*100)</f>
        <v>-17.849999999999998</v>
      </c>
      <c r="D134" s="28">
        <f>IF(履歴データ!$A$134="","",(履歴データ!$D$134-履歴データ!$H$134)*100)</f>
        <v>329</v>
      </c>
      <c r="E134" s="28">
        <f>IF(履歴データ!$A$134="","",(履歴データ!$D$134-履歴データ!$C$134)*100)</f>
        <v>-17.000000000000036</v>
      </c>
      <c r="F134" s="28">
        <f>IF(履歴データ!$A$134="","",(履歴データ!$R$134-履歴データ!$D$134)*100)</f>
        <v>-124.07</v>
      </c>
      <c r="G134" s="28">
        <f>IF(履歴データ!$A$134="","",(履歴データ!$S$134-履歴データ!$R$134)*100)</f>
        <v>-229.77764282226568</v>
      </c>
      <c r="H134" s="29">
        <f>IF(履歴データ!$A$134="","",履歴データ!$O$134)</f>
        <v>138.07499694824219</v>
      </c>
      <c r="I134" s="29">
        <f>IF(履歴データ!$A$134="","",履歴データ!$Q$134)</f>
        <v>113.046875</v>
      </c>
      <c r="J134" s="29">
        <f>IF(履歴データ!$A$134="","",履歴データ!$D$134)</f>
        <v>3.76</v>
      </c>
      <c r="K134" s="28">
        <f>IF(OR(履歴データ!$A$134="",履歴データ!$A$133=""),"",B134-B133)</f>
        <v>-0.50000000000002842</v>
      </c>
      <c r="L134" s="28">
        <f>IF(OR(履歴データ!$A$134="",履歴データ!$A$133=""),"",C134-C133)</f>
        <v>-1.4499999999999957</v>
      </c>
      <c r="M134" s="28">
        <f>IF(OR(履歴データ!$A$134="",履歴データ!$A$133=""),"",D134-D133)</f>
        <v>-9</v>
      </c>
      <c r="N134" s="28">
        <f>IF(OR(履歴データ!$A$134="",履歴データ!$A$133=""),"",E134-E133)</f>
        <v>4.0000000000000071</v>
      </c>
      <c r="O134" s="28">
        <f>IF(OR(履歴データ!$A$134="",履歴データ!$A$133=""),"",F134-F133)</f>
        <v>-7.5400000000000205</v>
      </c>
      <c r="P134" s="28">
        <f>IF(OR(履歴データ!$A$134="",履歴データ!$A$133=""),"",G134-G133)</f>
        <v>18.59235717773447</v>
      </c>
      <c r="Q134" s="29">
        <f>IF(OR(履歴データ!$A$134="",履歴データ!$A$133=""),"",H134-H133)</f>
        <v>-0.2400054931640625</v>
      </c>
      <c r="R134" s="29">
        <f>IF(OR(履歴データ!$A$134="",履歴データ!$A$133=""),"",I134-I133)</f>
        <v>0.78125</v>
      </c>
      <c r="S134" s="28">
        <f>IF(OR(履歴データ!$A$134="",履歴データ!$A$133=""),"",(J134-J133)*100)</f>
        <v>-10.000000000000009</v>
      </c>
      <c r="T134" s="11">
        <f>IF(OR(履歴データ!$A$134="",履歴データ!$A$133=""),"",-80000*K134)</f>
        <v>40000.00000000227</v>
      </c>
      <c r="U134" s="11">
        <f>IF(OR(履歴データ!$A$134="",履歴データ!$A$133=""),"",60000*L134)</f>
        <v>-86999.999999999738</v>
      </c>
      <c r="V134" s="11">
        <f>IF(OR(履歴データ!$A$134="",履歴データ!$A$133=""),"",-50000*M134)</f>
        <v>450000</v>
      </c>
      <c r="W134" s="11">
        <f>IF(OR(履歴データ!$A$134="",履歴データ!$A$133=""),"",-40000*N134)</f>
        <v>-160000.00000000029</v>
      </c>
      <c r="X134" s="11">
        <f>IF(OR(履歴データ!$A$134="",履歴データ!$A$133=""),"",120*1000000*(-Q134/H133))</f>
        <v>208225.12866518722</v>
      </c>
      <c r="Y134" s="11">
        <f>IF(OR(履歴データ!$A$134="",履歴データ!$A$133=""),"",40000*(-S134)+(-506.3)*R134*1000)</f>
        <v>4453.1250000003492</v>
      </c>
      <c r="Z134" s="11">
        <f>IF(OR(履歴データ!$A$134="",履歴データ!$A$133=""),"",-40000*O134)</f>
        <v>301600.00000000081</v>
      </c>
      <c r="AA134" s="11">
        <f>IF(OR(履歴データ!$A$134="",履歴データ!$A$133=""),"",-40000*P134)</f>
        <v>-743694.28710937884</v>
      </c>
      <c r="AB134" s="11">
        <f>IF(履歴データ!$A$134="","",123.3)</f>
        <v>123.3</v>
      </c>
      <c r="AC134">
        <f>IF(履歴データ!$A$134="","",SUM(T134:AA134))</f>
        <v>13583.966555811814</v>
      </c>
      <c r="AD134" s="29">
        <f>IF(履歴データ!$A$134="","",AC134/1000000)</f>
        <v>1.3583966555811814E-2</v>
      </c>
      <c r="AE134" s="29">
        <f>IF(履歴データ!$A$134="",AE133,AE133+AC134/1000000)</f>
        <v>94.607393008554439</v>
      </c>
      <c r="AF134" s="12">
        <f>IF(OR(履歴データ!$A$134="",AE133=0),"",(AE134-AE133)/AE133)</f>
        <v>1.4360312470113767E-4</v>
      </c>
      <c r="AG134" s="29">
        <f t="shared" si="8"/>
        <v>102.17217746631495</v>
      </c>
      <c r="AH134" s="12">
        <f>IF(OR(履歴データ!$A$134="",AG134=0),"",AE134/AG134-1)</f>
        <v>-7.4039573642780909E-2</v>
      </c>
      <c r="AJ134" s="28">
        <f t="shared" ca="1" si="6"/>
        <v>-31.545367431127339</v>
      </c>
      <c r="AK134" s="28">
        <f t="shared" ca="1" si="7"/>
        <v>-52.875685200451606</v>
      </c>
    </row>
    <row r="135" spans="1:37">
      <c r="A135" s="10">
        <f>IF(履歴データ!$A$135="","",履歴データ!$A$135)</f>
        <v>45121</v>
      </c>
      <c r="B135" s="28">
        <f>IF(履歴データ!$A$135="","",(履歴データ!$D$135-(履歴データ!$B$135+履歴データ!$F$135)/2)*100)</f>
        <v>-50.499999999999986</v>
      </c>
      <c r="C135" s="28">
        <f>IF(履歴データ!$A$135="","",(履歴データ!$H$135-(履歴データ!$G$135+履歴データ!$J$135)/2)*100)</f>
        <v>-18.350000000000001</v>
      </c>
      <c r="D135" s="28">
        <f>IF(履歴データ!$A$135="","",(履歴データ!$D$135-履歴データ!$H$135)*100)</f>
        <v>335</v>
      </c>
      <c r="E135" s="28">
        <f>IF(履歴データ!$A$135="","",(履歴データ!$D$135-履歴データ!$C$135)*100)</f>
        <v>-20.999999999999996</v>
      </c>
      <c r="F135" s="28">
        <f>IF(履歴データ!$A$135="","",(履歴データ!$R$135-履歴データ!$D$135)*100)</f>
        <v>-138.53</v>
      </c>
      <c r="G135" s="28">
        <f>IF(履歴データ!$A$135="","",(履歴データ!$S$135-履歴データ!$R$135)*100)</f>
        <v>-222.66835717773458</v>
      </c>
      <c r="H135" s="29">
        <f>IF(履歴データ!$A$135="","",履歴データ!$O$135)</f>
        <v>138.07499694824219</v>
      </c>
      <c r="I135" s="29">
        <f>IF(履歴データ!$A$135="","",履歴データ!$Q$135)</f>
        <v>112.5625</v>
      </c>
      <c r="J135" s="29">
        <f>IF(履歴データ!$A$135="","",履歴データ!$D$135)</f>
        <v>3.83</v>
      </c>
      <c r="K135" s="28">
        <f>IF(OR(履歴データ!$A$135="",履歴データ!$A$134=""),"",B135-B134)</f>
        <v>-1.9999999999999574</v>
      </c>
      <c r="L135" s="28">
        <f>IF(OR(履歴データ!$A$135="",履歴データ!$A$134=""),"",C135-C134)</f>
        <v>-0.50000000000000355</v>
      </c>
      <c r="M135" s="28">
        <f>IF(OR(履歴データ!$A$135="",履歴データ!$A$134=""),"",D135-D134)</f>
        <v>6</v>
      </c>
      <c r="N135" s="28">
        <f>IF(OR(履歴データ!$A$135="",履歴データ!$A$134=""),"",E135-E134)</f>
        <v>-3.9999999999999609</v>
      </c>
      <c r="O135" s="28">
        <f>IF(OR(履歴データ!$A$135="",履歴データ!$A$134=""),"",F135-F134)</f>
        <v>-14.460000000000008</v>
      </c>
      <c r="P135" s="28">
        <f>IF(OR(履歴データ!$A$135="",履歴データ!$A$134=""),"",G135-G134)</f>
        <v>7.1092856445310986</v>
      </c>
      <c r="Q135" s="29">
        <f>IF(OR(履歴データ!$A$135="",履歴データ!$A$134=""),"",H135-H134)</f>
        <v>0</v>
      </c>
      <c r="R135" s="29">
        <f>IF(OR(履歴データ!$A$135="",履歴データ!$A$134=""),"",I135-I134)</f>
        <v>-0.484375</v>
      </c>
      <c r="S135" s="28">
        <f>IF(OR(履歴データ!$A$135="",履歴データ!$A$134=""),"",(J135-J134)*100)</f>
        <v>7.0000000000000284</v>
      </c>
      <c r="T135" s="11">
        <f>IF(OR(履歴データ!$A$135="",履歴データ!$A$134=""),"",-80000*K135)</f>
        <v>159999.99999999659</v>
      </c>
      <c r="U135" s="11">
        <f>IF(OR(履歴データ!$A$135="",履歴データ!$A$134=""),"",60000*L135)</f>
        <v>-30000.000000000215</v>
      </c>
      <c r="V135" s="11">
        <f>IF(OR(履歴データ!$A$135="",履歴データ!$A$134=""),"",-50000*M135)</f>
        <v>-300000</v>
      </c>
      <c r="W135" s="11">
        <f>IF(OR(履歴データ!$A$135="",履歴データ!$A$134=""),"",-40000*N135)</f>
        <v>159999.99999999843</v>
      </c>
      <c r="X135" s="11">
        <f>IF(OR(履歴データ!$A$135="",履歴データ!$A$134=""),"",120*1000000*(-Q135/H134))</f>
        <v>0</v>
      </c>
      <c r="Y135" s="11">
        <f>IF(OR(履歴データ!$A$135="",履歴データ!$A$134=""),"",40000*(-S135)+(-506.3)*R135*1000)</f>
        <v>-34760.937500001135</v>
      </c>
      <c r="Z135" s="11">
        <f>IF(OR(履歴データ!$A$135="",履歴データ!$A$134=""),"",-40000*O135)</f>
        <v>578400.00000000035</v>
      </c>
      <c r="AA135" s="11">
        <f>IF(OR(履歴データ!$A$135="",履歴データ!$A$134=""),"",-40000*P135)</f>
        <v>-284371.42578124395</v>
      </c>
      <c r="AB135" s="11">
        <f>IF(履歴データ!$A$135="","",123.3)</f>
        <v>123.3</v>
      </c>
      <c r="AC135">
        <f>IF(履歴データ!$A$135="","",SUM(T135:AA135))</f>
        <v>249267.63671875012</v>
      </c>
      <c r="AD135" s="29">
        <f>IF(履歴データ!$A$135="","",AC135/1000000)</f>
        <v>0.24926763671875013</v>
      </c>
      <c r="AE135" s="29">
        <f>IF(履歴データ!$A$135="",AE134,AE134+AC135/1000000)</f>
        <v>94.856660645273195</v>
      </c>
      <c r="AF135" s="12">
        <f>IF(OR(履歴データ!$A$135="",AE134=0),"",(AE135-AE134)/AE134)</f>
        <v>2.6347585404474334E-3</v>
      </c>
      <c r="AG135" s="29">
        <f t="shared" si="8"/>
        <v>102.17217746631495</v>
      </c>
      <c r="AH135" s="12">
        <f>IF(OR(履歴データ!$A$135="",AG135=0),"",AE135/AG135-1)</f>
        <v>-7.1599891501319957E-2</v>
      </c>
      <c r="AJ135" s="28">
        <f t="shared" ca="1" si="6"/>
        <v>-31.55130653556202</v>
      </c>
      <c r="AK135" s="28">
        <f t="shared" ca="1" si="7"/>
        <v>-52.993469583840962</v>
      </c>
    </row>
    <row r="136" spans="1:37">
      <c r="A136" s="10">
        <f>IF(履歴データ!$A$136="","",履歴データ!$A$136)</f>
        <v>45124</v>
      </c>
      <c r="B136" s="28">
        <f>IF(履歴データ!$A$136="","",(履歴データ!$D$136-(履歴データ!$B$136+履歴データ!$F$136)/2)*100)</f>
        <v>-52.999999999999979</v>
      </c>
      <c r="C136" s="28">
        <f>IF(履歴データ!$A$136="","",(履歴データ!$H$136-(履歴データ!$G$136+履歴データ!$J$136)/2)*100)</f>
        <v>-18.350000000000001</v>
      </c>
      <c r="D136" s="28">
        <f>IF(履歴データ!$A$136="","",(履歴データ!$D$136-履歴データ!$H$136)*100)</f>
        <v>333</v>
      </c>
      <c r="E136" s="28">
        <f>IF(履歴データ!$A$136="","",(履歴データ!$D$136-履歴データ!$C$136)*100)</f>
        <v>-20.99999999999995</v>
      </c>
      <c r="F136" s="28">
        <f>IF(履歴データ!$A$136="","",(履歴データ!$R$136-履歴データ!$D$136)*100)</f>
        <v>-138.58000000000001</v>
      </c>
      <c r="G136" s="28">
        <f>IF(履歴データ!$A$136="","",(履歴データ!$S$136-履歴データ!$R$136)*100)</f>
        <v>-220.61835717773457</v>
      </c>
      <c r="H136" s="29">
        <f>IF(履歴データ!$A$136="","",履歴データ!$O$136)</f>
        <v>138.72900390625</v>
      </c>
      <c r="I136" s="29">
        <f>IF(履歴データ!$A$136="","",履歴データ!$Q$136)</f>
        <v>112.71875</v>
      </c>
      <c r="J136" s="29">
        <f>IF(履歴データ!$A$136="","",履歴データ!$D$136)</f>
        <v>3.81</v>
      </c>
      <c r="K136" s="28">
        <f>IF(OR(履歴データ!$A$136="",履歴データ!$A$135=""),"",B136-B135)</f>
        <v>-2.4999999999999929</v>
      </c>
      <c r="L136" s="28">
        <f>IF(OR(履歴データ!$A$136="",履歴データ!$A$135=""),"",C136-C135)</f>
        <v>0</v>
      </c>
      <c r="M136" s="28">
        <f>IF(OR(履歴データ!$A$136="",履歴データ!$A$135=""),"",D136-D135)</f>
        <v>-2</v>
      </c>
      <c r="N136" s="28">
        <f>IF(OR(履歴データ!$A$136="",履歴データ!$A$135=""),"",E136-E135)</f>
        <v>4.6185277824406512E-14</v>
      </c>
      <c r="O136" s="28">
        <f>IF(OR(履歴データ!$A$136="",履歴データ!$A$135=""),"",F136-F135)</f>
        <v>-5.0000000000011369E-2</v>
      </c>
      <c r="P136" s="28">
        <f>IF(OR(履歴データ!$A$136="",履歴データ!$A$135=""),"",G136-G135)</f>
        <v>2.0500000000000114</v>
      </c>
      <c r="Q136" s="29">
        <f>IF(OR(履歴データ!$A$136="",履歴データ!$A$135=""),"",H136-H135)</f>
        <v>0.6540069580078125</v>
      </c>
      <c r="R136" s="29">
        <f>IF(OR(履歴データ!$A$136="",履歴データ!$A$135=""),"",I136-I135)</f>
        <v>0.15625</v>
      </c>
      <c r="S136" s="28">
        <f>IF(OR(履歴データ!$A$136="",履歴データ!$A$135=""),"",(J136-J135)*100)</f>
        <v>-2.0000000000000018</v>
      </c>
      <c r="T136" s="11">
        <f>IF(OR(履歴データ!$A$136="",履歴データ!$A$135=""),"",-80000*K136)</f>
        <v>199999.99999999942</v>
      </c>
      <c r="U136" s="11">
        <f>IF(OR(履歴データ!$A$136="",履歴データ!$A$135=""),"",60000*L136)</f>
        <v>0</v>
      </c>
      <c r="V136" s="11">
        <f>IF(OR(履歴データ!$A$136="",履歴データ!$A$135=""),"",-50000*M136)</f>
        <v>100000</v>
      </c>
      <c r="W136" s="11">
        <f>IF(OR(履歴データ!$A$136="",履歴データ!$A$135=""),"",-40000*N136)</f>
        <v>-1.8474111129762605E-9</v>
      </c>
      <c r="X136" s="11">
        <f>IF(OR(履歴データ!$A$136="",履歴データ!$A$135=""),"",120*1000000*(-Q136/H135))</f>
        <v>-568392.8060513105</v>
      </c>
      <c r="Y136" s="11">
        <f>IF(OR(履歴データ!$A$136="",履歴データ!$A$135=""),"",40000*(-S136)+(-506.3)*R136*1000)</f>
        <v>890.62500000007276</v>
      </c>
      <c r="Z136" s="11">
        <f>IF(OR(履歴データ!$A$136="",履歴データ!$A$135=""),"",-40000*O136)</f>
        <v>2000.0000000004547</v>
      </c>
      <c r="AA136" s="11">
        <f>IF(OR(履歴データ!$A$136="",履歴データ!$A$135=""),"",-40000*P136)</f>
        <v>-82000.000000000451</v>
      </c>
      <c r="AB136" s="11">
        <f>IF(履歴データ!$A$136="","",123.3)</f>
        <v>123.3</v>
      </c>
      <c r="AC136">
        <f>IF(履歴データ!$A$136="","",SUM(T136:AA136))</f>
        <v>-347502.18105131289</v>
      </c>
      <c r="AD136" s="29">
        <f>IF(履歴データ!$A$136="","",AC136/1000000)</f>
        <v>-0.34750218105131286</v>
      </c>
      <c r="AE136" s="29">
        <f>IF(履歴データ!$A$136="",AE135,AE135+AC136/1000000)</f>
        <v>94.509158464221883</v>
      </c>
      <c r="AF136" s="12">
        <f>IF(OR(履歴データ!$A$136="",AE135=0),"",(AE136-AE135)/AE135)</f>
        <v>-3.6634452308081291E-3</v>
      </c>
      <c r="AG136" s="29">
        <f t="shared" si="8"/>
        <v>102.17217746631495</v>
      </c>
      <c r="AH136" s="12">
        <f>IF(OR(履歴データ!$A$136="",AG136=0),"",AE136/AG136-1)</f>
        <v>-7.5001034451081194E-2</v>
      </c>
      <c r="AJ136" s="28">
        <f t="shared" ca="1" si="6"/>
        <v>-31.512403392791384</v>
      </c>
      <c r="AK136" s="28">
        <f t="shared" ca="1" si="7"/>
        <v>-53.191300310912325</v>
      </c>
    </row>
    <row r="137" spans="1:37">
      <c r="A137" s="10">
        <f>IF(履歴データ!$A$137="","",履歴データ!$A$137)</f>
        <v>45125</v>
      </c>
      <c r="B137" s="28">
        <f>IF(履歴データ!$A$137="","",(履歴データ!$D$137-(履歴データ!$B$137+履歴データ!$F$137)/2)*100)</f>
        <v>-52.500000000000036</v>
      </c>
      <c r="C137" s="28">
        <f>IF(履歴データ!$A$137="","",(履歴データ!$H$137-(履歴データ!$G$137+履歴データ!$J$137)/2)*100)</f>
        <v>-19.600000000000005</v>
      </c>
      <c r="D137" s="28">
        <f>IF(履歴データ!$A$137="","",(履歴データ!$D$137-履歴データ!$H$137)*100)</f>
        <v>331.5</v>
      </c>
      <c r="E137" s="28">
        <f>IF(履歴データ!$A$137="","",(履歴データ!$D$137-履歴データ!$C$137)*100)</f>
        <v>-20.000000000000018</v>
      </c>
      <c r="F137" s="28">
        <f>IF(履歴データ!$A$137="","",(履歴データ!$R$137-履歴データ!$D$137)*100)</f>
        <v>-142.63</v>
      </c>
      <c r="G137" s="28">
        <f>IF(履歴データ!$A$137="","",(履歴データ!$S$137-履歴データ!$R$137)*100)</f>
        <v>-214.34064282226583</v>
      </c>
      <c r="H137" s="29">
        <f>IF(履歴データ!$A$137="","",履歴データ!$O$137)</f>
        <v>139.02699279785156</v>
      </c>
      <c r="I137" s="29">
        <f>IF(履歴データ!$A$137="","",履歴データ!$Q$137)</f>
        <v>112.75</v>
      </c>
      <c r="J137" s="29">
        <f>IF(履歴データ!$A$137="","",履歴データ!$D$137)</f>
        <v>3.8</v>
      </c>
      <c r="K137" s="28">
        <f>IF(OR(履歴データ!$A$137="",履歴データ!$A$136=""),"",B137-B136)</f>
        <v>0.49999999999994316</v>
      </c>
      <c r="L137" s="28">
        <f>IF(OR(履歴データ!$A$137="",履歴データ!$A$136=""),"",C137-C136)</f>
        <v>-1.2500000000000036</v>
      </c>
      <c r="M137" s="28">
        <f>IF(OR(履歴データ!$A$137="",履歴データ!$A$136=""),"",D137-D136)</f>
        <v>-1.5</v>
      </c>
      <c r="N137" s="28">
        <f>IF(OR(履歴データ!$A$137="",履歴データ!$A$136=""),"",E137-E136)</f>
        <v>0.9999999999999325</v>
      </c>
      <c r="O137" s="28">
        <f>IF(OR(履歴データ!$A$137="",履歴データ!$A$136=""),"",F137-F136)</f>
        <v>-4.0499999999999829</v>
      </c>
      <c r="P137" s="28">
        <f>IF(OR(履歴データ!$A$137="",履歴データ!$A$136=""),"",G137-G136)</f>
        <v>6.2777143554687314</v>
      </c>
      <c r="Q137" s="29">
        <f>IF(OR(履歴データ!$A$137="",履歴データ!$A$136=""),"",H137-H136)</f>
        <v>0.2979888916015625</v>
      </c>
      <c r="R137" s="29">
        <f>IF(OR(履歴データ!$A$137="",履歴データ!$A$136=""),"",I137-I136)</f>
        <v>3.125E-2</v>
      </c>
      <c r="S137" s="28">
        <f>IF(OR(履歴データ!$A$137="",履歴データ!$A$136=""),"",(J137-J136)*100)</f>
        <v>-1.0000000000000231</v>
      </c>
      <c r="T137" s="11">
        <f>IF(OR(履歴データ!$A$137="",履歴データ!$A$136=""),"",-80000*K137)</f>
        <v>-39999.999999995453</v>
      </c>
      <c r="U137" s="11">
        <f>IF(OR(履歴データ!$A$137="",履歴データ!$A$136=""),"",60000*L137)</f>
        <v>-75000.000000000218</v>
      </c>
      <c r="V137" s="11">
        <f>IF(OR(履歴データ!$A$137="",履歴データ!$A$136=""),"",-50000*M137)</f>
        <v>75000</v>
      </c>
      <c r="W137" s="11">
        <f>IF(OR(履歴データ!$A$137="",履歴データ!$A$136=""),"",-40000*N137)</f>
        <v>-39999.999999997301</v>
      </c>
      <c r="X137" s="11">
        <f>IF(OR(履歴データ!$A$137="",履歴データ!$A$136=""),"",120*1000000*(-Q137/H136))</f>
        <v>-257759.12740173945</v>
      </c>
      <c r="Y137" s="11">
        <f>IF(OR(履歴データ!$A$137="",履歴データ!$A$136=""),"",40000*(-S137)+(-506.3)*R137*1000)</f>
        <v>24178.125000000924</v>
      </c>
      <c r="Z137" s="11">
        <f>IF(OR(履歴データ!$A$137="",履歴データ!$A$136=""),"",-40000*O137)</f>
        <v>161999.99999999933</v>
      </c>
      <c r="AA137" s="11">
        <f>IF(OR(履歴データ!$A$137="",履歴データ!$A$136=""),"",-40000*P137)</f>
        <v>-251108.57421874924</v>
      </c>
      <c r="AB137" s="11">
        <f>IF(履歴データ!$A$137="","",123.3)</f>
        <v>123.3</v>
      </c>
      <c r="AC137">
        <f>IF(履歴データ!$A$137="","",SUM(T137:AA137))</f>
        <v>-402689.57662048133</v>
      </c>
      <c r="AD137" s="29">
        <f>IF(履歴データ!$A$137="","",AC137/1000000)</f>
        <v>-0.40268957662048133</v>
      </c>
      <c r="AE137" s="29">
        <f>IF(履歴データ!$A$137="",AE136,AE136+AC137/1000000)</f>
        <v>94.106468887601409</v>
      </c>
      <c r="AF137" s="12">
        <f>IF(OR(履歴データ!$A$137="",AE136=0),"",(AE137-AE136)/AE136)</f>
        <v>-4.2608524206986754E-3</v>
      </c>
      <c r="AG137" s="29">
        <f t="shared" si="8"/>
        <v>102.17217746631495</v>
      </c>
      <c r="AH137" s="12">
        <f>IF(OR(履歴データ!$A$137="",AG137=0),"",AE137/AG137-1)</f>
        <v>-7.8942318532584044E-2</v>
      </c>
      <c r="AJ137" s="28">
        <f t="shared" ca="1" si="6"/>
        <v>-31.48790177957942</v>
      </c>
      <c r="AK137" s="28">
        <f t="shared" ca="1" si="7"/>
        <v>-53.365039396891177</v>
      </c>
    </row>
    <row r="138" spans="1:37">
      <c r="A138" s="10">
        <f>IF(履歴データ!$A$138="","",履歴データ!$A$138)</f>
        <v>45126</v>
      </c>
      <c r="B138" s="28">
        <f>IF(履歴データ!$A$138="","",(履歴データ!$D$138-(履歴データ!$B$138+履歴データ!$F$138)/2)*100)</f>
        <v>-54</v>
      </c>
      <c r="C138" s="28">
        <f>IF(履歴データ!$A$138="","",(履歴データ!$H$138-(履歴データ!$G$138+履歴データ!$J$138)/2)*100)</f>
        <v>-19.600000000000001</v>
      </c>
      <c r="D138" s="28">
        <f>IF(履歴データ!$A$138="","",(履歴データ!$D$138-履歴データ!$H$138)*100)</f>
        <v>328.4</v>
      </c>
      <c r="E138" s="28">
        <f>IF(履歴データ!$A$138="","",(履歴データ!$D$138-履歴データ!$C$138)*100)</f>
        <v>-23</v>
      </c>
      <c r="F138" s="28">
        <f>IF(履歴データ!$A$138="","",(履歴データ!$R$138-履歴データ!$D$138)*100)</f>
        <v>-151.16999999999999</v>
      </c>
      <c r="G138" s="28">
        <f>IF(履歴データ!$A$138="","",(履歴データ!$S$138-履歴データ!$R$138)*100)</f>
        <v>-202.55464282226589</v>
      </c>
      <c r="H138" s="29">
        <f>IF(履歴データ!$A$138="","",履歴データ!$O$138)</f>
        <v>139.59800720214844</v>
      </c>
      <c r="I138" s="29">
        <f>IF(履歴データ!$A$138="","",履歴データ!$Q$138)</f>
        <v>113</v>
      </c>
      <c r="J138" s="29">
        <f>IF(履歴データ!$A$138="","",履歴データ!$D$138)</f>
        <v>3.75</v>
      </c>
      <c r="K138" s="28">
        <f>IF(OR(履歴データ!$A$138="",履歴データ!$A$137=""),"",B138-B137)</f>
        <v>-1.4999999999999645</v>
      </c>
      <c r="L138" s="28">
        <f>IF(OR(履歴データ!$A$138="",履歴データ!$A$137=""),"",C138-C137)</f>
        <v>3.5527136788005009E-15</v>
      </c>
      <c r="M138" s="28">
        <f>IF(OR(履歴データ!$A$138="",履歴データ!$A$137=""),"",D138-D137)</f>
        <v>-3.1000000000000227</v>
      </c>
      <c r="N138" s="28">
        <f>IF(OR(履歴データ!$A$138="",履歴データ!$A$137=""),"",E138-E137)</f>
        <v>-2.9999999999999822</v>
      </c>
      <c r="O138" s="28">
        <f>IF(OR(履歴データ!$A$138="",履歴データ!$A$137=""),"",F138-F137)</f>
        <v>-8.539999999999992</v>
      </c>
      <c r="P138" s="28">
        <f>IF(OR(履歴データ!$A$138="",履歴データ!$A$137=""),"",G138-G137)</f>
        <v>11.785999999999945</v>
      </c>
      <c r="Q138" s="29">
        <f>IF(OR(履歴データ!$A$138="",履歴データ!$A$137=""),"",H138-H137)</f>
        <v>0.571014404296875</v>
      </c>
      <c r="R138" s="29">
        <f>IF(OR(履歴データ!$A$138="",履歴データ!$A$137=""),"",I138-I137)</f>
        <v>0.25</v>
      </c>
      <c r="S138" s="28">
        <f>IF(OR(履歴データ!$A$138="",履歴データ!$A$137=""),"",(J138-J137)*100)</f>
        <v>-4.9999999999999822</v>
      </c>
      <c r="T138" s="11">
        <f>IF(OR(履歴データ!$A$138="",履歴データ!$A$137=""),"",-80000*K138)</f>
        <v>119999.99999999716</v>
      </c>
      <c r="U138" s="11">
        <f>IF(OR(履歴データ!$A$138="",履歴データ!$A$137=""),"",60000*L138)</f>
        <v>2.1316282072803006E-10</v>
      </c>
      <c r="V138" s="11">
        <f>IF(OR(履歴データ!$A$138="",履歴データ!$A$137=""),"",-50000*M138)</f>
        <v>155000.00000000114</v>
      </c>
      <c r="W138" s="11">
        <f>IF(OR(履歴データ!$A$138="",履歴データ!$A$137=""),"",-40000*N138)</f>
        <v>119999.99999999929</v>
      </c>
      <c r="X138" s="11">
        <f>IF(OR(履歴データ!$A$138="",履歴データ!$A$137=""),"",120*1000000*(-Q138/H137))</f>
        <v>-492866.36455740052</v>
      </c>
      <c r="Y138" s="11">
        <f>IF(OR(履歴データ!$A$138="",履歴データ!$A$137=""),"",40000*(-S138)+(-506.3)*R138*1000)</f>
        <v>73424.999999999302</v>
      </c>
      <c r="Z138" s="11">
        <f>IF(OR(履歴データ!$A$138="",履歴データ!$A$137=""),"",-40000*O138)</f>
        <v>341599.99999999971</v>
      </c>
      <c r="AA138" s="11">
        <f>IF(OR(履歴データ!$A$138="",履歴データ!$A$137=""),"",-40000*P138)</f>
        <v>-471439.99999999779</v>
      </c>
      <c r="AB138" s="11">
        <f>IF(履歴データ!$A$138="","",123.3)</f>
        <v>123.3</v>
      </c>
      <c r="AC138">
        <f>IF(履歴データ!$A$138="","",SUM(T138:AA138))</f>
        <v>-154281.36455740151</v>
      </c>
      <c r="AD138" s="29">
        <f>IF(履歴データ!$A$138="","",AC138/1000000)</f>
        <v>-0.15428136455740152</v>
      </c>
      <c r="AE138" s="29">
        <f>IF(履歴データ!$A$138="",AE137,AE137+AC138/1000000)</f>
        <v>93.952187523044003</v>
      </c>
      <c r="AF138" s="12">
        <f>IF(OR(履歴データ!$A$138="",AE137=0),"",(AE138-AE137)/AE137)</f>
        <v>-1.6394342108582971E-3</v>
      </c>
      <c r="AG138" s="29">
        <f t="shared" si="8"/>
        <v>102.17217746631495</v>
      </c>
      <c r="AH138" s="12">
        <f>IF(OR(履歴データ!$A$138="",AG138=0),"",AE138/AG138-1)</f>
        <v>-8.0452332005755522E-2</v>
      </c>
      <c r="AJ138" s="28">
        <f t="shared" ca="1" si="6"/>
        <v>-31.434697712152509</v>
      </c>
      <c r="AK138" s="28">
        <f t="shared" ca="1" si="7"/>
        <v>-53.587200098066461</v>
      </c>
    </row>
    <row r="139" spans="1:37">
      <c r="A139" s="10">
        <f>IF(履歴データ!$A$139="","",履歴データ!$A$139)</f>
        <v>45127</v>
      </c>
      <c r="B139" s="28">
        <f>IF(履歴データ!$A$139="","",(履歴データ!$D$139-(履歴データ!$B$139+履歴データ!$F$139)/2)*100)</f>
        <v>-50.500000000000036</v>
      </c>
      <c r="C139" s="28">
        <f>IF(履歴データ!$A$139="","",(履歴データ!$H$139-(履歴データ!$G$139+履歴データ!$J$139)/2)*100)</f>
        <v>-18.600000000000001</v>
      </c>
      <c r="D139" s="28">
        <f>IF(履歴データ!$A$139="","",(履歴データ!$D$139-履歴データ!$H$139)*100)</f>
        <v>338.5</v>
      </c>
      <c r="E139" s="28">
        <f>IF(履歴データ!$A$139="","",(履歴データ!$D$139-履歴データ!$C$139)*100)</f>
        <v>-23</v>
      </c>
      <c r="F139" s="28">
        <f>IF(履歴データ!$A$139="","",(履歴データ!$R$139-履歴データ!$D$139)*100)</f>
        <v>-170.75</v>
      </c>
      <c r="G139" s="28">
        <f>IF(履歴データ!$A$139="","",(履歴データ!$S$139-履歴データ!$R$139)*100)</f>
        <v>-193.32535717773442</v>
      </c>
      <c r="H139" s="29">
        <f>IF(履歴データ!$A$139="","",履歴データ!$O$139)</f>
        <v>139.86399841308594</v>
      </c>
      <c r="I139" s="29">
        <f>IF(履歴データ!$A$139="","",履歴データ!$Q$139)</f>
        <v>112.140625</v>
      </c>
      <c r="J139" s="29">
        <f>IF(履歴データ!$A$139="","",履歴データ!$D$139)</f>
        <v>3.85</v>
      </c>
      <c r="K139" s="28">
        <f>IF(OR(履歴データ!$A$139="",履歴データ!$A$138=""),"",B139-B138)</f>
        <v>3.4999999999999645</v>
      </c>
      <c r="L139" s="28">
        <f>IF(OR(履歴データ!$A$139="",履歴データ!$A$138=""),"",C139-C138)</f>
        <v>1</v>
      </c>
      <c r="M139" s="28">
        <f>IF(OR(履歴データ!$A$139="",履歴データ!$A$138=""),"",D139-D138)</f>
        <v>10.100000000000023</v>
      </c>
      <c r="N139" s="28">
        <f>IF(OR(履歴データ!$A$139="",履歴データ!$A$138=""),"",E139-E138)</f>
        <v>0</v>
      </c>
      <c r="O139" s="28">
        <f>IF(OR(履歴データ!$A$139="",履歴データ!$A$138=""),"",F139-F138)</f>
        <v>-19.580000000000013</v>
      </c>
      <c r="P139" s="28">
        <f>IF(OR(履歴データ!$A$139="",履歴データ!$A$138=""),"",G139-G138)</f>
        <v>9.2292856445314726</v>
      </c>
      <c r="Q139" s="29">
        <f>IF(OR(履歴データ!$A$139="",履歴データ!$A$138=""),"",H139-H138)</f>
        <v>0.2659912109375</v>
      </c>
      <c r="R139" s="29">
        <f>IF(OR(履歴データ!$A$139="",履歴データ!$A$138=""),"",I139-I138)</f>
        <v>-0.859375</v>
      </c>
      <c r="S139" s="28">
        <f>IF(OR(履歴データ!$A$139="",履歴データ!$A$138=""),"",(J139-J138)*100)</f>
        <v>10.000000000000009</v>
      </c>
      <c r="T139" s="11">
        <f>IF(OR(履歴データ!$A$139="",履歴データ!$A$138=""),"",-80000*K139)</f>
        <v>-279999.99999999715</v>
      </c>
      <c r="U139" s="11">
        <f>IF(OR(履歴データ!$A$139="",履歴データ!$A$138=""),"",60000*L139)</f>
        <v>60000</v>
      </c>
      <c r="V139" s="11">
        <f>IF(OR(履歴データ!$A$139="",履歴データ!$A$138=""),"",-50000*M139)</f>
        <v>-505000.00000000116</v>
      </c>
      <c r="W139" s="11">
        <f>IF(OR(履歴データ!$A$139="",履歴データ!$A$138=""),"",-40000*N139)</f>
        <v>0</v>
      </c>
      <c r="X139" s="11">
        <f>IF(OR(履歴データ!$A$139="",履歴データ!$A$138=""),"",120*1000000*(-Q139/H138))</f>
        <v>-228649.00403828087</v>
      </c>
      <c r="Y139" s="11">
        <f>IF(OR(履歴データ!$A$139="",履歴データ!$A$138=""),"",40000*(-S139)+(-506.3)*R139*1000)</f>
        <v>35101.562499999651</v>
      </c>
      <c r="Z139" s="11">
        <f>IF(OR(履歴データ!$A$139="",履歴データ!$A$138=""),"",-40000*O139)</f>
        <v>783200.00000000047</v>
      </c>
      <c r="AA139" s="11">
        <f>IF(OR(履歴データ!$A$139="",履歴データ!$A$138=""),"",-40000*P139)</f>
        <v>-369171.42578125891</v>
      </c>
      <c r="AB139" s="11">
        <f>IF(履歴データ!$A$139="","",123.3)</f>
        <v>123.3</v>
      </c>
      <c r="AC139">
        <f>IF(履歴データ!$A$139="","",SUM(T139:AA139))</f>
        <v>-504518.86731953797</v>
      </c>
      <c r="AD139" s="29">
        <f>IF(履歴データ!$A$139="","",AC139/1000000)</f>
        <v>-0.50451886731953799</v>
      </c>
      <c r="AE139" s="29">
        <f>IF(履歴データ!$A$139="",AE138,AE138+AC139/1000000)</f>
        <v>93.44766865572447</v>
      </c>
      <c r="AF139" s="12">
        <f>IF(OR(履歴データ!$A$139="",AE138=0),"",(AE139-AE138)/AE138)</f>
        <v>-5.3699533839569984E-3</v>
      </c>
      <c r="AG139" s="29">
        <f t="shared" si="8"/>
        <v>102.17217746631495</v>
      </c>
      <c r="AH139" s="12">
        <f>IF(OR(履歴データ!$A$139="",AG139=0),"",AE139/AG139-1)</f>
        <v>-8.5390260117210959E-2</v>
      </c>
      <c r="AJ139" s="28">
        <f t="shared" ca="1" si="6"/>
        <v>-31.449585216188503</v>
      </c>
      <c r="AK139" s="28">
        <f t="shared" ca="1" si="7"/>
        <v>-53.688095943231794</v>
      </c>
    </row>
    <row r="140" spans="1:37">
      <c r="A140" s="10">
        <f>IF(履歴データ!$A$140="","",履歴データ!$A$140)</f>
        <v>45128</v>
      </c>
      <c r="B140" s="28">
        <f>IF(履歴データ!$A$140="","",(履歴データ!$D$140-(履歴データ!$B$140+履歴データ!$F$140)/2)*100)</f>
        <v>-52.500000000000036</v>
      </c>
      <c r="C140" s="28">
        <f>IF(履歴データ!$A$140="","",(履歴データ!$H$140-(履歴データ!$G$140+履歴データ!$J$140)/2)*100)</f>
        <v>-17.600000000000005</v>
      </c>
      <c r="D140" s="28">
        <f>IF(履歴データ!$A$140="","",(履歴データ!$D$140-履歴データ!$H$140)*100)</f>
        <v>335.9</v>
      </c>
      <c r="E140" s="28">
        <f>IF(履歴データ!$A$140="","",(履歴データ!$D$140-履歴データ!$C$140)*100)</f>
        <v>-25</v>
      </c>
      <c r="F140" s="28">
        <f>IF(履歴データ!$A$140="","",(履歴データ!$R$140-履歴データ!$D$140)*100)</f>
        <v>-162.75</v>
      </c>
      <c r="G140" s="28">
        <f>IF(履歴データ!$A$140="","",(履歴データ!$S$140-履歴データ!$R$140)*100)</f>
        <v>-202.60564282226574</v>
      </c>
      <c r="H140" s="29">
        <f>IF(履歴データ!$A$140="","",履歴データ!$O$140)</f>
        <v>139.86399841308594</v>
      </c>
      <c r="I140" s="29">
        <f>IF(履歴データ!$A$140="","",履歴データ!$Q$140)</f>
        <v>112.234375</v>
      </c>
      <c r="J140" s="29">
        <f>IF(履歴データ!$A$140="","",履歴データ!$D$140)</f>
        <v>3.84</v>
      </c>
      <c r="K140" s="28">
        <f>IF(OR(履歴データ!$A$140="",履歴データ!$A$139=""),"",B140-B139)</f>
        <v>-2</v>
      </c>
      <c r="L140" s="28">
        <f>IF(OR(履歴データ!$A$140="",履歴データ!$A$139=""),"",C140-C139)</f>
        <v>0.99999999999999645</v>
      </c>
      <c r="M140" s="28">
        <f>IF(OR(履歴データ!$A$140="",履歴データ!$A$139=""),"",D140-D139)</f>
        <v>-2.6000000000000227</v>
      </c>
      <c r="N140" s="28">
        <f>IF(OR(履歴データ!$A$140="",履歴データ!$A$139=""),"",E140-E139)</f>
        <v>-2</v>
      </c>
      <c r="O140" s="28">
        <f>IF(OR(履歴データ!$A$140="",履歴データ!$A$139=""),"",F140-F139)</f>
        <v>8</v>
      </c>
      <c r="P140" s="28">
        <f>IF(OR(履歴データ!$A$140="",履歴データ!$A$139=""),"",G140-G139)</f>
        <v>-9.2802856445313182</v>
      </c>
      <c r="Q140" s="29">
        <f>IF(OR(履歴データ!$A$140="",履歴データ!$A$139=""),"",H140-H139)</f>
        <v>0</v>
      </c>
      <c r="R140" s="29">
        <f>IF(OR(履歴データ!$A$140="",履歴データ!$A$139=""),"",I140-I139)</f>
        <v>9.375E-2</v>
      </c>
      <c r="S140" s="28">
        <f>IF(OR(履歴データ!$A$140="",履歴データ!$A$139=""),"",(J140-J139)*100)</f>
        <v>-1.0000000000000231</v>
      </c>
      <c r="T140" s="11">
        <f>IF(OR(履歴データ!$A$140="",履歴データ!$A$139=""),"",-80000*K140)</f>
        <v>160000</v>
      </c>
      <c r="U140" s="11">
        <f>IF(OR(履歴データ!$A$140="",履歴データ!$A$139=""),"",60000*L140)</f>
        <v>59999.999999999789</v>
      </c>
      <c r="V140" s="11">
        <f>IF(OR(履歴データ!$A$140="",履歴データ!$A$139=""),"",-50000*M140)</f>
        <v>130000.00000000114</v>
      </c>
      <c r="W140" s="11">
        <f>IF(OR(履歴データ!$A$140="",履歴データ!$A$139=""),"",-40000*N140)</f>
        <v>80000</v>
      </c>
      <c r="X140" s="11">
        <f>IF(OR(履歴データ!$A$140="",履歴データ!$A$139=""),"",120*1000000*(-Q140/H139))</f>
        <v>0</v>
      </c>
      <c r="Y140" s="11">
        <f>IF(OR(履歴データ!$A$140="",履歴データ!$A$139=""),"",40000*(-S140)+(-506.3)*R140*1000)</f>
        <v>-7465.624999999076</v>
      </c>
      <c r="Z140" s="11">
        <f>IF(OR(履歴データ!$A$140="",履歴データ!$A$139=""),"",-40000*O140)</f>
        <v>-320000</v>
      </c>
      <c r="AA140" s="11">
        <f>IF(OR(履歴データ!$A$140="",履歴データ!$A$139=""),"",-40000*P140)</f>
        <v>371211.42578125274</v>
      </c>
      <c r="AB140" s="11">
        <f>IF(履歴データ!$A$140="","",123.3)</f>
        <v>123.3</v>
      </c>
      <c r="AC140">
        <f>IF(履歴データ!$A$140="","",SUM(T140:AA140))</f>
        <v>473745.8007812546</v>
      </c>
      <c r="AD140" s="29">
        <f>IF(履歴データ!$A$140="","",AC140/1000000)</f>
        <v>0.47374580078125461</v>
      </c>
      <c r="AE140" s="29">
        <f>IF(履歴データ!$A$140="",AE139,AE139+AC140/1000000)</f>
        <v>93.92141445650573</v>
      </c>
      <c r="AF140" s="12">
        <f>IF(OR(履歴データ!$A$140="",AE139=0),"",(AE140-AE139)/AE139)</f>
        <v>5.0696374515945527E-3</v>
      </c>
      <c r="AG140" s="29">
        <f t="shared" si="8"/>
        <v>102.17217746631495</v>
      </c>
      <c r="AH140" s="12">
        <f>IF(OR(履歴データ!$A$140="",AG140=0),"",AE140/AG140-1)</f>
        <v>-8.0753520326308115E-2</v>
      </c>
      <c r="AJ140" s="28">
        <f t="shared" ca="1" si="6"/>
        <v>-31.434033837154146</v>
      </c>
      <c r="AK140" s="28">
        <f t="shared" ca="1" si="7"/>
        <v>-53.8465417024142</v>
      </c>
    </row>
    <row r="141" spans="1:37">
      <c r="A141" s="10">
        <f>IF(履歴データ!$A$141="","",履歴データ!$A$141)</f>
        <v>45131</v>
      </c>
      <c r="B141" s="28">
        <f>IF(履歴データ!$A$141="","",(履歴データ!$D$141-(履歴データ!$B$141+履歴データ!$F$141)/2)*100)</f>
        <v>-50.500000000000036</v>
      </c>
      <c r="C141" s="28">
        <f>IF(履歴データ!$A$141="","",(履歴データ!$H$141-(履歴データ!$G$141+履歴データ!$J$141)/2)*100)</f>
        <v>-17.299999999999997</v>
      </c>
      <c r="D141" s="28">
        <f>IF(履歴データ!$A$141="","",(履歴データ!$D$141-履歴データ!$H$141)*100)</f>
        <v>339.9</v>
      </c>
      <c r="E141" s="28">
        <f>IF(履歴データ!$A$141="","",(履歴データ!$D$141-履歴データ!$C$141)*100)</f>
        <v>-27</v>
      </c>
      <c r="F141" s="28">
        <f>IF(履歴データ!$A$141="","",(履歴データ!$R$141-履歴データ!$D$141)*100)</f>
        <v>-164.92</v>
      </c>
      <c r="G141" s="28">
        <f>IF(履歴データ!$A$141="","",(履歴データ!$S$141-履歴データ!$R$141)*100)</f>
        <v>-205.06664282226561</v>
      </c>
      <c r="H141" s="29">
        <f>IF(履歴データ!$A$141="","",履歴データ!$O$141)</f>
        <v>141.52200317382813</v>
      </c>
      <c r="I141" s="29">
        <f>IF(履歴データ!$A$141="","",履歴データ!$Q$141)</f>
        <v>112.0625</v>
      </c>
      <c r="J141" s="29">
        <f>IF(履歴データ!$A$141="","",履歴データ!$D$141)</f>
        <v>3.86</v>
      </c>
      <c r="K141" s="28">
        <f>IF(OR(履歴データ!$A$141="",履歴データ!$A$140=""),"",B141-B140)</f>
        <v>2</v>
      </c>
      <c r="L141" s="28">
        <f>IF(OR(履歴データ!$A$141="",履歴データ!$A$140=""),"",C141-C140)</f>
        <v>0.30000000000000782</v>
      </c>
      <c r="M141" s="28">
        <f>IF(OR(履歴データ!$A$141="",履歴データ!$A$140=""),"",D141-D140)</f>
        <v>4</v>
      </c>
      <c r="N141" s="28">
        <f>IF(OR(履歴データ!$A$141="",履歴データ!$A$140=""),"",E141-E140)</f>
        <v>-2</v>
      </c>
      <c r="O141" s="28">
        <f>IF(OR(履歴データ!$A$141="",履歴データ!$A$140=""),"",F141-F140)</f>
        <v>-2.1699999999999875</v>
      </c>
      <c r="P141" s="28">
        <f>IF(OR(履歴データ!$A$141="",履歴データ!$A$140=""),"",G141-G140)</f>
        <v>-2.4609999999998706</v>
      </c>
      <c r="Q141" s="29">
        <f>IF(OR(履歴データ!$A$141="",履歴データ!$A$140=""),"",H141-H140)</f>
        <v>1.6580047607421875</v>
      </c>
      <c r="R141" s="29">
        <f>IF(OR(履歴データ!$A$141="",履歴データ!$A$140=""),"",I141-I140)</f>
        <v>-0.171875</v>
      </c>
      <c r="S141" s="28">
        <f>IF(OR(履歴データ!$A$141="",履歴データ!$A$140=""),"",(J141-J140)*100)</f>
        <v>2.0000000000000018</v>
      </c>
      <c r="T141" s="11">
        <f>IF(OR(履歴データ!$A$141="",履歴データ!$A$140=""),"",-80000*K141)</f>
        <v>-160000</v>
      </c>
      <c r="U141" s="11">
        <f>IF(OR(履歴データ!$A$141="",履歴データ!$A$140=""),"",60000*L141)</f>
        <v>18000.000000000469</v>
      </c>
      <c r="V141" s="11">
        <f>IF(OR(履歴データ!$A$141="",履歴データ!$A$140=""),"",-50000*M141)</f>
        <v>-200000</v>
      </c>
      <c r="W141" s="11">
        <f>IF(OR(履歴データ!$A$141="",履歴データ!$A$140=""),"",-40000*N141)</f>
        <v>80000</v>
      </c>
      <c r="X141" s="11">
        <f>IF(OR(履歴データ!$A$141="",履歴データ!$A$140=""),"",120*1000000*(-Q141/H140))</f>
        <v>-1422528.8390614707</v>
      </c>
      <c r="Y141" s="11">
        <f>IF(OR(履歴データ!$A$141="",履歴データ!$A$140=""),"",40000*(-S141)+(-506.3)*R141*1000)</f>
        <v>7020.3124999999272</v>
      </c>
      <c r="Z141" s="11">
        <f>IF(OR(履歴データ!$A$141="",履歴データ!$A$140=""),"",-40000*O141)</f>
        <v>86799.999999999505</v>
      </c>
      <c r="AA141" s="11">
        <f>IF(OR(履歴データ!$A$141="",履歴データ!$A$140=""),"",-40000*P141)</f>
        <v>98439.99999999482</v>
      </c>
      <c r="AB141" s="11">
        <f>IF(履歴データ!$A$141="","",123.3)</f>
        <v>123.3</v>
      </c>
      <c r="AC141">
        <f>IF(履歴データ!$A$141="","",SUM(T141:AA141))</f>
        <v>-1492268.5265614758</v>
      </c>
      <c r="AD141" s="29">
        <f>IF(履歴データ!$A$141="","",AC141/1000000)</f>
        <v>-1.4922685265614759</v>
      </c>
      <c r="AE141" s="29">
        <f>IF(履歴データ!$A$141="",AE140,AE140+AC141/1000000)</f>
        <v>92.429145929944255</v>
      </c>
      <c r="AF141" s="12">
        <f>IF(OR(履歴データ!$A$141="",AE140=0),"",(AE141-AE140)/AE140)</f>
        <v>-1.5888480121352223E-2</v>
      </c>
      <c r="AG141" s="29">
        <f t="shared" si="8"/>
        <v>102.17217746631495</v>
      </c>
      <c r="AH141" s="12">
        <f>IF(OR(履歴データ!$A$141="",AG141=0),"",AE141/AG141-1)</f>
        <v>-9.5358949745226518E-2</v>
      </c>
      <c r="AJ141" s="28">
        <f t="shared" ca="1" si="6"/>
        <v>-31.451799843398309</v>
      </c>
      <c r="AK141" s="28">
        <f t="shared" ca="1" si="7"/>
        <v>-53.941057299458834</v>
      </c>
    </row>
    <row r="142" spans="1:37">
      <c r="A142" s="10">
        <f>IF(履歴データ!$A$142="","",履歴データ!$A$142)</f>
        <v>45132</v>
      </c>
      <c r="B142" s="28">
        <f>IF(履歴データ!$A$142="","",(履歴データ!$D$142-(履歴データ!$B$142+履歴データ!$F$142)/2)*100)</f>
        <v>-49.000000000000021</v>
      </c>
      <c r="C142" s="28">
        <f>IF(履歴データ!$A$142="","",(履歴データ!$H$142-(履歴データ!$G$142+履歴データ!$J$142)/2)*100)</f>
        <v>-17.649999999999995</v>
      </c>
      <c r="D142" s="28">
        <f>IF(履歴データ!$A$142="","",(履歴データ!$D$142-履歴データ!$H$142)*100)</f>
        <v>344.4</v>
      </c>
      <c r="E142" s="28">
        <f>IF(履歴データ!$A$142="","",(履歴データ!$D$142-履歴データ!$C$142)*100)</f>
        <v>-24.000000000000021</v>
      </c>
      <c r="F142" s="28">
        <f>IF(履歴データ!$A$142="","",(履歴データ!$R$142-履歴データ!$D$142)*100)</f>
        <v>-172.11000000000004</v>
      </c>
      <c r="G142" s="28">
        <f>IF(履歴データ!$A$142="","",(履歴データ!$S$142-履歴データ!$R$142)*100)</f>
        <v>-201.82417858886726</v>
      </c>
      <c r="H142" s="29">
        <f>IF(履歴データ!$A$142="","",履歴データ!$O$142)</f>
        <v>140.91299438476563</v>
      </c>
      <c r="I142" s="29">
        <f>IF(履歴データ!$A$142="","",履歴データ!$Q$142)</f>
        <v>111.609375</v>
      </c>
      <c r="J142" s="29">
        <f>IF(履歴データ!$A$142="","",履歴データ!$D$142)</f>
        <v>3.91</v>
      </c>
      <c r="K142" s="28">
        <f>IF(OR(履歴データ!$A$142="",履歴データ!$A$141=""),"",B142-B141)</f>
        <v>1.5000000000000142</v>
      </c>
      <c r="L142" s="28">
        <f>IF(OR(履歴データ!$A$142="",履歴データ!$A$141=""),"",C142-C141)</f>
        <v>-0.34999999999999787</v>
      </c>
      <c r="M142" s="28">
        <f>IF(OR(履歴データ!$A$142="",履歴データ!$A$141=""),"",D142-D141)</f>
        <v>4.5</v>
      </c>
      <c r="N142" s="28">
        <f>IF(OR(履歴データ!$A$142="",履歴データ!$A$141=""),"",E142-E141)</f>
        <v>2.9999999999999787</v>
      </c>
      <c r="O142" s="28">
        <f>IF(OR(履歴データ!$A$142="",履歴データ!$A$141=""),"",F142-F141)</f>
        <v>-7.1900000000000546</v>
      </c>
      <c r="P142" s="28">
        <f>IF(OR(履歴データ!$A$142="",履歴データ!$A$141=""),"",G142-G141)</f>
        <v>3.2424642333983513</v>
      </c>
      <c r="Q142" s="29">
        <f>IF(OR(履歴データ!$A$142="",履歴データ!$A$141=""),"",H142-H141)</f>
        <v>-0.6090087890625</v>
      </c>
      <c r="R142" s="29">
        <f>IF(OR(履歴データ!$A$142="",履歴データ!$A$141=""),"",I142-I141)</f>
        <v>-0.453125</v>
      </c>
      <c r="S142" s="28">
        <f>IF(OR(履歴データ!$A$142="",履歴データ!$A$141=""),"",(J142-J141)*100)</f>
        <v>5.0000000000000266</v>
      </c>
      <c r="T142" s="11">
        <f>IF(OR(履歴データ!$A$142="",履歴データ!$A$141=""),"",-80000*K142)</f>
        <v>-120000.00000000114</v>
      </c>
      <c r="U142" s="11">
        <f>IF(OR(履歴データ!$A$142="",履歴データ!$A$141=""),"",60000*L142)</f>
        <v>-20999.999999999873</v>
      </c>
      <c r="V142" s="11">
        <f>IF(OR(履歴データ!$A$142="",履歴データ!$A$141=""),"",-50000*M142)</f>
        <v>-225000</v>
      </c>
      <c r="W142" s="11">
        <f>IF(OR(履歴データ!$A$142="",履歴データ!$A$141=""),"",-40000*N142)</f>
        <v>-119999.99999999914</v>
      </c>
      <c r="X142" s="11">
        <f>IF(OR(履歴データ!$A$142="",履歴データ!$A$141=""),"",120*1000000*(-Q142/H141))</f>
        <v>516393.58579270722</v>
      </c>
      <c r="Y142" s="11">
        <f>IF(OR(履歴データ!$A$142="",履歴データ!$A$141=""),"",40000*(-S142)+(-506.3)*R142*1000)</f>
        <v>29417.187499998923</v>
      </c>
      <c r="Z142" s="11">
        <f>IF(OR(履歴データ!$A$142="",履歴データ!$A$141=""),"",-40000*O142)</f>
        <v>287600.00000000221</v>
      </c>
      <c r="AA142" s="11">
        <f>IF(OR(履歴データ!$A$142="",履歴データ!$A$141=""),"",-40000*P142)</f>
        <v>-129698.56933593405</v>
      </c>
      <c r="AB142" s="11">
        <f>IF(履歴データ!$A$142="","",123.3)</f>
        <v>123.3</v>
      </c>
      <c r="AC142">
        <f>IF(履歴データ!$A$142="","",SUM(T142:AA142))</f>
        <v>217712.20395677414</v>
      </c>
      <c r="AD142" s="29">
        <f>IF(履歴データ!$A$142="","",AC142/1000000)</f>
        <v>0.21771220395677415</v>
      </c>
      <c r="AE142" s="29">
        <f>IF(履歴データ!$A$142="",AE141,AE141+AC142/1000000)</f>
        <v>92.646858133901034</v>
      </c>
      <c r="AF142" s="12">
        <f>IF(OR(履歴データ!$A$142="",AE141=0),"",(AE142-AE141)/AE141)</f>
        <v>2.3554496989704084E-3</v>
      </c>
      <c r="AG142" s="29">
        <f t="shared" si="8"/>
        <v>102.17217746631495</v>
      </c>
      <c r="AH142" s="12">
        <f>IF(OR(履歴データ!$A$142="",AG142=0),"",AE142/AG142-1)</f>
        <v>-9.3228113255727663E-2</v>
      </c>
      <c r="AJ142" s="28">
        <f t="shared" ca="1" si="6"/>
        <v>-31.486546584604806</v>
      </c>
      <c r="AK142" s="28">
        <f t="shared" ca="1" si="7"/>
        <v>-53.995722918941283</v>
      </c>
    </row>
    <row r="143" spans="1:37">
      <c r="A143" s="10">
        <f>IF(履歴データ!$A$143="","",履歴データ!$A$143)</f>
        <v>45133</v>
      </c>
      <c r="B143" s="28">
        <f>IF(履歴データ!$A$143="","",(履歴データ!$D$143-(履歴データ!$B$143+履歴データ!$F$143)/2)*100)</f>
        <v>-52</v>
      </c>
      <c r="C143" s="28">
        <f>IF(履歴データ!$A$143="","",(履歴データ!$H$143-(履歴データ!$G$143+履歴データ!$J$143)/2)*100)</f>
        <v>-18.049999999999994</v>
      </c>
      <c r="D143" s="28">
        <f>IF(履歴データ!$A$143="","",(履歴データ!$D$143-履歴データ!$H$143)*100)</f>
        <v>340.9</v>
      </c>
      <c r="E143" s="28">
        <f>IF(履歴データ!$A$143="","",(履歴データ!$D$143-履歴データ!$C$143)*100)</f>
        <v>-23</v>
      </c>
      <c r="F143" s="28">
        <f>IF(履歴データ!$A$143="","",(履歴データ!$R$143-履歴データ!$D$143)*100)</f>
        <v>-157.51999999999998</v>
      </c>
      <c r="G143" s="28">
        <f>IF(履歴データ!$A$143="","",(履歴データ!$S$143-履歴データ!$R$143)*100)</f>
        <v>-213.51900000000009</v>
      </c>
      <c r="H143" s="29">
        <f>IF(履歴データ!$A$143="","",履歴データ!$O$143)</f>
        <v>140.36700439453125</v>
      </c>
      <c r="I143" s="29">
        <f>IF(履歴データ!$A$143="","",履歴データ!$Q$143)</f>
        <v>112.140625</v>
      </c>
      <c r="J143" s="29">
        <f>IF(履歴データ!$A$143="","",履歴データ!$D$143)</f>
        <v>3.86</v>
      </c>
      <c r="K143" s="28">
        <f>IF(OR(履歴データ!$A$143="",履歴データ!$A$142=""),"",B143-B142)</f>
        <v>-2.9999999999999787</v>
      </c>
      <c r="L143" s="28">
        <f>IF(OR(履歴データ!$A$143="",履歴データ!$A$142=""),"",C143-C142)</f>
        <v>-0.39999999999999858</v>
      </c>
      <c r="M143" s="28">
        <f>IF(OR(履歴データ!$A$143="",履歴データ!$A$142=""),"",D143-D142)</f>
        <v>-3.5</v>
      </c>
      <c r="N143" s="28">
        <f>IF(OR(履歴データ!$A$143="",履歴データ!$A$142=""),"",E143-E142)</f>
        <v>1.0000000000000213</v>
      </c>
      <c r="O143" s="28">
        <f>IF(OR(履歴データ!$A$143="",履歴データ!$A$142=""),"",F143-F142)</f>
        <v>14.59000000000006</v>
      </c>
      <c r="P143" s="28">
        <f>IF(OR(履歴データ!$A$143="",履歴データ!$A$142=""),"",G143-G142)</f>
        <v>-11.694821411132835</v>
      </c>
      <c r="Q143" s="29">
        <f>IF(OR(履歴データ!$A$143="",履歴データ!$A$142=""),"",H143-H142)</f>
        <v>-0.545989990234375</v>
      </c>
      <c r="R143" s="29">
        <f>IF(OR(履歴データ!$A$143="",履歴データ!$A$142=""),"",I143-I142)</f>
        <v>0.53125</v>
      </c>
      <c r="S143" s="28">
        <f>IF(OR(履歴データ!$A$143="",履歴データ!$A$142=""),"",(J143-J142)*100)</f>
        <v>-5.0000000000000266</v>
      </c>
      <c r="T143" s="11">
        <f>IF(OR(履歴データ!$A$143="",履歴データ!$A$142=""),"",-80000*K143)</f>
        <v>239999.99999999828</v>
      </c>
      <c r="U143" s="11">
        <f>IF(OR(履歴データ!$A$143="",履歴データ!$A$142=""),"",60000*L143)</f>
        <v>-23999.999999999916</v>
      </c>
      <c r="V143" s="11">
        <f>IF(OR(履歴データ!$A$143="",履歴データ!$A$142=""),"",-50000*M143)</f>
        <v>175000</v>
      </c>
      <c r="W143" s="11">
        <f>IF(OR(履歴データ!$A$143="",履歴データ!$A$142=""),"",-40000*N143)</f>
        <v>-40000.000000000851</v>
      </c>
      <c r="X143" s="11">
        <f>IF(OR(履歴データ!$A$143="",履歴データ!$A$142=""),"",120*1000000*(-Q143/H142))</f>
        <v>464959.2403751259</v>
      </c>
      <c r="Y143" s="11">
        <f>IF(OR(履歴データ!$A$143="",履歴データ!$A$142=""),"",40000*(-S143)+(-506.3)*R143*1000)</f>
        <v>-68971.874999998923</v>
      </c>
      <c r="Z143" s="11">
        <f>IF(OR(履歴データ!$A$143="",履歴データ!$A$142=""),"",-40000*O143)</f>
        <v>-583600.00000000244</v>
      </c>
      <c r="AA143" s="11">
        <f>IF(OR(履歴データ!$A$143="",履歴データ!$A$142=""),"",-40000*P143)</f>
        <v>467792.85644531343</v>
      </c>
      <c r="AB143" s="11">
        <f>IF(履歴データ!$A$143="","",123.3)</f>
        <v>123.3</v>
      </c>
      <c r="AC143">
        <f>IF(履歴データ!$A$143="","",SUM(T143:AA143))</f>
        <v>631180.22182043549</v>
      </c>
      <c r="AD143" s="29">
        <f>IF(履歴データ!$A$143="","",AC143/1000000)</f>
        <v>0.63118022182043554</v>
      </c>
      <c r="AE143" s="29">
        <f>IF(履歴データ!$A$143="",AE142,AE142+AC143/1000000)</f>
        <v>93.278038355721463</v>
      </c>
      <c r="AF143" s="12">
        <f>IF(OR(履歴データ!$A$143="",AE142=0),"",(AE143-AE142)/AE142)</f>
        <v>6.812753659797016E-3</v>
      </c>
      <c r="AG143" s="29">
        <f t="shared" si="8"/>
        <v>102.17217746631495</v>
      </c>
      <c r="AH143" s="12">
        <f>IF(OR(履歴データ!$A$143="",AG143=0),"",AE143/AG143-1)</f>
        <v>-8.7050499765709555E-2</v>
      </c>
      <c r="AJ143" s="28">
        <f t="shared" ca="1" si="6"/>
        <v>-31.484578026935893</v>
      </c>
      <c r="AK143" s="28">
        <f t="shared" ca="1" si="7"/>
        <v>-54.128098029402139</v>
      </c>
    </row>
    <row r="144" spans="1:37">
      <c r="A144" s="10">
        <f>IF(履歴データ!$A$144="","",履歴データ!$A$144)</f>
        <v>45134</v>
      </c>
      <c r="B144" s="28">
        <f>IF(履歴データ!$A$144="","",(履歴データ!$D$144-(履歴データ!$B$144+履歴データ!$F$144)/2)*100)</f>
        <v>-47.499999999999964</v>
      </c>
      <c r="C144" s="28">
        <f>IF(履歴データ!$A$144="","",(履歴データ!$H$144-(履歴データ!$G$144+履歴データ!$J$144)/2)*100)</f>
        <v>-18.3</v>
      </c>
      <c r="D144" s="28">
        <f>IF(履歴データ!$A$144="","",(履歴データ!$D$144-履歴データ!$H$144)*100)</f>
        <v>356.7</v>
      </c>
      <c r="E144" s="28">
        <f>IF(履歴データ!$A$144="","",(履歴データ!$D$144-履歴データ!$C$144)*100)</f>
        <v>-23.000000000000043</v>
      </c>
      <c r="F144" s="28">
        <f>IF(履歴データ!$A$144="","",(履歴データ!$R$144-履歴データ!$D$144)*100)</f>
        <v>-162.46999999999997</v>
      </c>
      <c r="G144" s="28">
        <f>IF(履歴データ!$A$144="","",(履歴データ!$S$144-履歴データ!$R$144)*100)</f>
        <v>-224.97217858886734</v>
      </c>
      <c r="H144" s="29">
        <f>IF(履歴データ!$A$144="","",履歴データ!$O$144)</f>
        <v>138.86399841308594</v>
      </c>
      <c r="I144" s="29">
        <f>IF(履歴データ!$A$144="","",履歴データ!$Q$144)</f>
        <v>111.015625</v>
      </c>
      <c r="J144" s="29">
        <f>IF(履歴データ!$A$144="","",履歴データ!$D$144)</f>
        <v>4.01</v>
      </c>
      <c r="K144" s="28">
        <f>IF(OR(履歴データ!$A$144="",履歴データ!$A$143=""),"",B144-B143)</f>
        <v>4.5000000000000355</v>
      </c>
      <c r="L144" s="28">
        <f>IF(OR(履歴データ!$A$144="",履歴データ!$A$143=""),"",C144-C143)</f>
        <v>-0.25000000000000711</v>
      </c>
      <c r="M144" s="28">
        <f>IF(OR(履歴データ!$A$144="",履歴データ!$A$143=""),"",D144-D143)</f>
        <v>15.800000000000011</v>
      </c>
      <c r="N144" s="28">
        <f>IF(OR(履歴データ!$A$144="",履歴データ!$A$143=""),"",E144-E143)</f>
        <v>-4.2632564145606011E-14</v>
      </c>
      <c r="O144" s="28">
        <f>IF(OR(履歴データ!$A$144="",履歴データ!$A$143=""),"",F144-F143)</f>
        <v>-4.9499999999999886</v>
      </c>
      <c r="P144" s="28">
        <f>IF(OR(履歴データ!$A$144="",履歴データ!$A$143=""),"",G144-G143)</f>
        <v>-11.453178588867246</v>
      </c>
      <c r="Q144" s="29">
        <f>IF(OR(履歴データ!$A$144="",履歴データ!$A$143=""),"",H144-H143)</f>
        <v>-1.5030059814453125</v>
      </c>
      <c r="R144" s="29">
        <f>IF(OR(履歴データ!$A$144="",履歴データ!$A$143=""),"",I144-I143)</f>
        <v>-1.125</v>
      </c>
      <c r="S144" s="28">
        <f>IF(OR(履歴データ!$A$144="",履歴データ!$A$143=""),"",(J144-J143)*100)</f>
        <v>14.999999999999991</v>
      </c>
      <c r="T144" s="11">
        <f>IF(OR(履歴データ!$A$144="",履歴データ!$A$143=""),"",-80000*K144)</f>
        <v>-360000.00000000285</v>
      </c>
      <c r="U144" s="11">
        <f>IF(OR(履歴データ!$A$144="",履歴データ!$A$143=""),"",60000*L144)</f>
        <v>-15000.000000000426</v>
      </c>
      <c r="V144" s="11">
        <f>IF(OR(履歴データ!$A$144="",履歴データ!$A$143=""),"",-50000*M144)</f>
        <v>-790000.00000000058</v>
      </c>
      <c r="W144" s="11">
        <f>IF(OR(履歴データ!$A$144="",履歴データ!$A$143=""),"",-40000*N144)</f>
        <v>1.7053025658242404E-9</v>
      </c>
      <c r="X144" s="11">
        <f>IF(OR(履歴データ!$A$144="",履歴データ!$A$143=""),"",120*1000000*(-Q144/H143))</f>
        <v>1284922.4684349282</v>
      </c>
      <c r="Y144" s="11">
        <f>IF(OR(履歴データ!$A$144="",履歴データ!$A$143=""),"",40000*(-S144)+(-506.3)*R144*1000)</f>
        <v>-30412.499999999651</v>
      </c>
      <c r="Z144" s="11">
        <f>IF(OR(履歴データ!$A$144="",履歴データ!$A$143=""),"",-40000*O144)</f>
        <v>197999.99999999953</v>
      </c>
      <c r="AA144" s="11">
        <f>IF(OR(履歴データ!$A$144="",履歴データ!$A$143=""),"",-40000*P144)</f>
        <v>458127.14355468983</v>
      </c>
      <c r="AB144" s="11">
        <f>IF(履歴データ!$A$144="","",123.3)</f>
        <v>123.3</v>
      </c>
      <c r="AC144">
        <f>IF(履歴データ!$A$144="","",SUM(T144:AA144))</f>
        <v>745637.11198961583</v>
      </c>
      <c r="AD144" s="29">
        <f>IF(履歴データ!$A$144="","",AC144/1000000)</f>
        <v>0.7456371119896158</v>
      </c>
      <c r="AE144" s="29">
        <f>IF(履歴データ!$A$144="",AE143,AE143+AC144/1000000)</f>
        <v>94.023675467711072</v>
      </c>
      <c r="AF144" s="12">
        <f>IF(OR(履歴データ!$A$144="",AE143=0),"",(AE144-AE143)/AE143)</f>
        <v>7.9937048970313528E-3</v>
      </c>
      <c r="AG144" s="29">
        <f t="shared" si="8"/>
        <v>102.17217746631495</v>
      </c>
      <c r="AH144" s="12">
        <f>IF(OR(履歴データ!$A$144="",AG144=0),"",AE144/AG144-1)</f>
        <v>-7.9752650874944431E-2</v>
      </c>
      <c r="AJ144" s="28">
        <f t="shared" ca="1" si="6"/>
        <v>-31.530058560619938</v>
      </c>
      <c r="AK144" s="28">
        <f t="shared" ca="1" si="7"/>
        <v>-54.148263117701745</v>
      </c>
    </row>
    <row r="145" spans="1:37">
      <c r="A145" s="10">
        <f>IF(履歴データ!$A$145="","",履歴データ!$A$145)</f>
        <v>45135</v>
      </c>
      <c r="B145" s="28">
        <f>IF(履歴データ!$A$145="","",(履歴データ!$D$145-(履歴データ!$B$145+履歴データ!$F$145)/2)*100)</f>
        <v>-49.000000000000021</v>
      </c>
      <c r="C145" s="28">
        <f>IF(履歴データ!$A$145="","",(履歴データ!$H$145-(履歴データ!$G$145+履歴データ!$J$145)/2)*100)</f>
        <v>-11.950000000000005</v>
      </c>
      <c r="D145" s="28">
        <f>IF(履歴データ!$A$145="","",(履歴データ!$D$145-履歴データ!$H$145)*100)</f>
        <v>340.9</v>
      </c>
      <c r="E145" s="28">
        <f>IF(履歴データ!$A$145="","",(履歴データ!$D$145-履歴データ!$C$145)*100)</f>
        <v>-21.999999999999975</v>
      </c>
      <c r="F145" s="28">
        <f>IF(履歴データ!$A$145="","",(履歴データ!$R$145-履歴データ!$D$145)*100)</f>
        <v>-158.63999999999999</v>
      </c>
      <c r="G145" s="28">
        <f>IF(履歴データ!$A$145="","",(履歴データ!$S$145-履歴データ!$R$145)*100)</f>
        <v>-211.87500000000026</v>
      </c>
      <c r="H145" s="29">
        <f>IF(履歴データ!$A$145="","",履歴データ!$O$145)</f>
        <v>138.86399841308594</v>
      </c>
      <c r="I145" s="29">
        <f>IF(履歴データ!$A$145="","",履歴データ!$Q$145)</f>
        <v>111.34375</v>
      </c>
      <c r="J145" s="29">
        <f>IF(履歴データ!$A$145="","",履歴データ!$D$145)</f>
        <v>3.96</v>
      </c>
      <c r="K145" s="28">
        <f>IF(OR(履歴データ!$A$145="",履歴データ!$A$144=""),"",B145-B144)</f>
        <v>-1.5000000000000568</v>
      </c>
      <c r="L145" s="28">
        <f>IF(OR(履歴データ!$A$145="",履歴データ!$A$144=""),"",C145-C144)</f>
        <v>6.3499999999999961</v>
      </c>
      <c r="M145" s="28">
        <f>IF(OR(履歴データ!$A$145="",履歴データ!$A$144=""),"",D145-D144)</f>
        <v>-15.800000000000011</v>
      </c>
      <c r="N145" s="28">
        <f>IF(OR(履歴データ!$A$145="",履歴データ!$A$144=""),"",E145-E144)</f>
        <v>1.0000000000000675</v>
      </c>
      <c r="O145" s="28">
        <f>IF(OR(履歴データ!$A$145="",履歴データ!$A$144=""),"",F145-F144)</f>
        <v>3.8299999999999841</v>
      </c>
      <c r="P145" s="28">
        <f>IF(OR(履歴データ!$A$145="",履歴データ!$A$144=""),"",G145-G144)</f>
        <v>13.097178588867081</v>
      </c>
      <c r="Q145" s="29">
        <f>IF(OR(履歴データ!$A$145="",履歴データ!$A$144=""),"",H145-H144)</f>
        <v>0</v>
      </c>
      <c r="R145" s="29">
        <f>IF(OR(履歴データ!$A$145="",履歴データ!$A$144=""),"",I145-I144)</f>
        <v>0.328125</v>
      </c>
      <c r="S145" s="28">
        <f>IF(OR(履歴データ!$A$145="",履歴データ!$A$144=""),"",(J145-J144)*100)</f>
        <v>-4.9999999999999822</v>
      </c>
      <c r="T145" s="11">
        <f>IF(OR(履歴データ!$A$145="",履歴データ!$A$144=""),"",-80000*K145)</f>
        <v>120000.00000000454</v>
      </c>
      <c r="U145" s="11">
        <f>IF(OR(履歴データ!$A$145="",履歴データ!$A$144=""),"",60000*L145)</f>
        <v>380999.99999999977</v>
      </c>
      <c r="V145" s="11">
        <f>IF(OR(履歴データ!$A$145="",履歴データ!$A$144=""),"",-50000*M145)</f>
        <v>790000.00000000058</v>
      </c>
      <c r="W145" s="11">
        <f>IF(OR(履歴データ!$A$145="",履歴データ!$A$144=""),"",-40000*N145)</f>
        <v>-40000.000000002699</v>
      </c>
      <c r="X145" s="11">
        <f>IF(OR(履歴データ!$A$145="",履歴データ!$A$144=""),"",120*1000000*(-Q145/H144))</f>
        <v>0</v>
      </c>
      <c r="Y145" s="11">
        <f>IF(OR(履歴データ!$A$145="",履歴データ!$A$144=""),"",40000*(-S145)+(-506.3)*R145*1000)</f>
        <v>33870.312499999272</v>
      </c>
      <c r="Z145" s="11">
        <f>IF(OR(履歴データ!$A$145="",履歴データ!$A$144=""),"",-40000*O145)</f>
        <v>-153199.99999999936</v>
      </c>
      <c r="AA145" s="11">
        <f>IF(OR(履歴データ!$A$145="",履歴データ!$A$144=""),"",-40000*P145)</f>
        <v>-523887.14355468325</v>
      </c>
      <c r="AB145" s="11">
        <f>IF(履歴データ!$A$145="","",123.3)</f>
        <v>123.3</v>
      </c>
      <c r="AC145">
        <f>IF(履歴データ!$A$145="","",SUM(T145:AA145))</f>
        <v>607783.16894531879</v>
      </c>
      <c r="AD145" s="29">
        <f>IF(履歴データ!$A$145="","",AC145/1000000)</f>
        <v>0.60778316894531881</v>
      </c>
      <c r="AE145" s="29">
        <f>IF(履歴データ!$A$145="",AE144,AE144+AC145/1000000)</f>
        <v>94.63145863665639</v>
      </c>
      <c r="AF145" s="12">
        <f>IF(OR(履歴データ!$A$145="",AE144=0),"",(AE145-AE144)/AE144)</f>
        <v>6.464150288977356E-3</v>
      </c>
      <c r="AG145" s="29">
        <f t="shared" si="8"/>
        <v>102.17217746631495</v>
      </c>
      <c r="AH145" s="12">
        <f>IF(OR(履歴データ!$A$145="",AG145=0),"",AE145/AG145-1)</f>
        <v>-7.3804033707167038E-2</v>
      </c>
      <c r="AJ145" s="28">
        <f t="shared" ca="1" si="6"/>
        <v>-31.565772397071267</v>
      </c>
      <c r="AK145" s="28">
        <f t="shared" ca="1" si="7"/>
        <v>-54.198116491817615</v>
      </c>
    </row>
    <row r="146" spans="1:37">
      <c r="A146" s="10">
        <f>IF(履歴データ!$A$146="","",履歴データ!$A$146)</f>
        <v>45138</v>
      </c>
      <c r="B146" s="28">
        <f>IF(履歴データ!$A$146="","",(履歴データ!$D$146-(履歴データ!$B$146+履歴データ!$F$146)/2)*100)</f>
        <v>-47.999999999999908</v>
      </c>
      <c r="C146" s="28">
        <f>IF(履歴データ!$A$146="","",(履歴データ!$H$146-(履歴データ!$G$146+履歴データ!$J$146)/2)*100)</f>
        <v>-12.4</v>
      </c>
      <c r="D146" s="28">
        <f>IF(履歴データ!$A$146="","",(履歴データ!$D$146-履歴データ!$H$146)*100)</f>
        <v>336.5</v>
      </c>
      <c r="E146" s="28">
        <f>IF(履歴データ!$A$146="","",(履歴データ!$D$146-履歴データ!$C$146)*100)</f>
        <v>-20.99999999999995</v>
      </c>
      <c r="F146" s="28">
        <f>IF(履歴データ!$A$146="","",(履歴データ!$R$146-履歴データ!$D$146)*100)</f>
        <v>-162.51000000000002</v>
      </c>
      <c r="G146" s="28">
        <f>IF(履歴データ!$A$146="","",(履歴データ!$S$146-履歴データ!$R$146)*100)</f>
        <v>-201.11200000000028</v>
      </c>
      <c r="H146" s="29">
        <f>IF(履歴データ!$A$146="","",履歴データ!$O$146)</f>
        <v>142.322998046875</v>
      </c>
      <c r="I146" s="29">
        <f>IF(履歴データ!$A$146="","",履歴データ!$Q$146)</f>
        <v>111.40625</v>
      </c>
      <c r="J146" s="29">
        <f>IF(履歴データ!$A$146="","",履歴データ!$D$146)</f>
        <v>3.97</v>
      </c>
      <c r="K146" s="28">
        <f>IF(OR(履歴データ!$A$146="",履歴データ!$A$145=""),"",B146-B145)</f>
        <v>1.0000000000001137</v>
      </c>
      <c r="L146" s="28">
        <f>IF(OR(履歴データ!$A$146="",履歴データ!$A$145=""),"",C146-C145)</f>
        <v>-0.44999999999999574</v>
      </c>
      <c r="M146" s="28">
        <f>IF(OR(履歴データ!$A$146="",履歴データ!$A$145=""),"",D146-D145)</f>
        <v>-4.3999999999999773</v>
      </c>
      <c r="N146" s="28">
        <f>IF(OR(履歴データ!$A$146="",履歴データ!$A$145=""),"",E146-E145)</f>
        <v>1.0000000000000249</v>
      </c>
      <c r="O146" s="28">
        <f>IF(OR(履歴データ!$A$146="",履歴データ!$A$145=""),"",F146-F145)</f>
        <v>-3.870000000000033</v>
      </c>
      <c r="P146" s="28">
        <f>IF(OR(履歴データ!$A$146="",履歴データ!$A$145=""),"",G146-G145)</f>
        <v>10.762999999999977</v>
      </c>
      <c r="Q146" s="29">
        <f>IF(OR(履歴データ!$A$146="",履歴データ!$A$145=""),"",H146-H145)</f>
        <v>3.4589996337890625</v>
      </c>
      <c r="R146" s="29">
        <f>IF(OR(履歴データ!$A$146="",履歴データ!$A$145=""),"",I146-I145)</f>
        <v>6.25E-2</v>
      </c>
      <c r="S146" s="28">
        <f>IF(OR(履歴データ!$A$146="",履歴データ!$A$145=""),"",(J146-J145)*100)</f>
        <v>1.0000000000000231</v>
      </c>
      <c r="T146" s="11">
        <f>IF(OR(履歴データ!$A$146="",履歴データ!$A$145=""),"",-80000*K146)</f>
        <v>-80000.000000009095</v>
      </c>
      <c r="U146" s="11">
        <f>IF(OR(履歴データ!$A$146="",履歴データ!$A$145=""),"",60000*L146)</f>
        <v>-26999.999999999745</v>
      </c>
      <c r="V146" s="11">
        <f>IF(OR(履歴データ!$A$146="",履歴データ!$A$145=""),"",-50000*M146)</f>
        <v>219999.99999999886</v>
      </c>
      <c r="W146" s="11">
        <f>IF(OR(履歴データ!$A$146="",履歴データ!$A$145=""),"",-40000*N146)</f>
        <v>-40000.000000000997</v>
      </c>
      <c r="X146" s="11">
        <f>IF(OR(履歴データ!$A$146="",履歴データ!$A$145=""),"",120*1000000*(-Q146/H145))</f>
        <v>-2989111.36650356</v>
      </c>
      <c r="Y146" s="11">
        <f>IF(OR(履歴データ!$A$146="",履歴データ!$A$145=""),"",40000*(-S146)+(-506.3)*R146*1000)</f>
        <v>-71643.750000000931</v>
      </c>
      <c r="Z146" s="11">
        <f>IF(OR(履歴データ!$A$146="",履歴データ!$A$145=""),"",-40000*O146)</f>
        <v>154800.00000000131</v>
      </c>
      <c r="AA146" s="11">
        <f>IF(OR(履歴データ!$A$146="",履歴データ!$A$145=""),"",-40000*P146)</f>
        <v>-430519.99999999907</v>
      </c>
      <c r="AB146" s="11">
        <f>IF(履歴データ!$A$146="","",123.3)</f>
        <v>123.3</v>
      </c>
      <c r="AC146">
        <f>IF(履歴データ!$A$146="","",SUM(T146:AA146))</f>
        <v>-3263475.1165035698</v>
      </c>
      <c r="AD146" s="29">
        <f>IF(履歴データ!$A$146="","",AC146/1000000)</f>
        <v>-3.2634751165035696</v>
      </c>
      <c r="AE146" s="29">
        <f>IF(履歴データ!$A$146="",AE145,AE145+AC146/1000000)</f>
        <v>91.367983520152819</v>
      </c>
      <c r="AF146" s="12">
        <f>IF(OR(履歴データ!$A$146="",AE145=0),"",(AE146-AE145)/AE145)</f>
        <v>-3.4486154641596455E-2</v>
      </c>
      <c r="AG146" s="29">
        <f t="shared" si="8"/>
        <v>102.17217746631495</v>
      </c>
      <c r="AH146" s="12">
        <f>IF(OR(履歴データ!$A$146="",AG146=0),"",AE146/AG146-1)</f>
        <v>-0.10574497102916447</v>
      </c>
      <c r="AJ146" s="28">
        <f t="shared" ca="1" si="6"/>
        <v>-31.608435940194799</v>
      </c>
      <c r="AK146" s="28">
        <f t="shared" ca="1" si="7"/>
        <v>-54.2260468184259</v>
      </c>
    </row>
    <row r="147" spans="1:37">
      <c r="A147" s="10">
        <f>IF(履歴データ!$A$147="","",履歴データ!$A$147)</f>
        <v>45139</v>
      </c>
      <c r="B147" s="28">
        <f>IF(履歴データ!$A$147="","",(履歴データ!$D$147-(履歴データ!$B$147+履歴データ!$F$147)/2)*100)</f>
        <v>-46.500000000000071</v>
      </c>
      <c r="C147" s="28">
        <f>IF(履歴データ!$A$147="","",(履歴データ!$H$147-(履歴データ!$G$147+履歴データ!$J$147)/2)*100)</f>
        <v>-14.950000000000008</v>
      </c>
      <c r="D147" s="28">
        <f>IF(履歴データ!$A$147="","",(履歴データ!$D$147-履歴データ!$H$147)*100)</f>
        <v>345.4</v>
      </c>
      <c r="E147" s="28">
        <f>IF(履歴データ!$A$147="","",(履歴データ!$D$147-履歴データ!$C$147)*100)</f>
        <v>-19.000000000000039</v>
      </c>
      <c r="F147" s="28">
        <f>IF(履歴データ!$A$147="","",(履歴データ!$R$147-履歴データ!$D$147)*100)</f>
        <v>-168.81999999999996</v>
      </c>
      <c r="G147" s="28">
        <f>IF(履歴データ!$A$147="","",(履歴データ!$S$147-履歴データ!$R$147)*100)</f>
        <v>-198.06617858886725</v>
      </c>
      <c r="H147" s="29">
        <f>IF(履歴データ!$A$147="","",履歴データ!$O$147)</f>
        <v>142.97000122070313</v>
      </c>
      <c r="I147" s="29">
        <f>IF(履歴データ!$A$147="","",履歴データ!$Q$147)</f>
        <v>110.875</v>
      </c>
      <c r="J147" s="29">
        <f>IF(履歴データ!$A$147="","",履歴データ!$D$147)</f>
        <v>4.05</v>
      </c>
      <c r="K147" s="28">
        <f>IF(OR(履歴データ!$A$147="",履歴データ!$A$146=""),"",B147-B146)</f>
        <v>1.4999999999998366</v>
      </c>
      <c r="L147" s="28">
        <f>IF(OR(履歴データ!$A$147="",履歴データ!$A$146=""),"",C147-C146)</f>
        <v>-2.5500000000000078</v>
      </c>
      <c r="M147" s="28">
        <f>IF(OR(履歴データ!$A$147="",履歴データ!$A$146=""),"",D147-D146)</f>
        <v>8.8999999999999773</v>
      </c>
      <c r="N147" s="28">
        <f>IF(OR(履歴データ!$A$147="",履歴データ!$A$146=""),"",E147-E146)</f>
        <v>1.9999999999999112</v>
      </c>
      <c r="O147" s="28">
        <f>IF(OR(履歴データ!$A$147="",履歴データ!$A$146=""),"",F147-F146)</f>
        <v>-6.3099999999999454</v>
      </c>
      <c r="P147" s="28">
        <f>IF(OR(履歴データ!$A$147="",履歴データ!$A$146=""),"",G147-G146)</f>
        <v>3.0458214111330335</v>
      </c>
      <c r="Q147" s="29">
        <f>IF(OR(履歴データ!$A$147="",履歴データ!$A$146=""),"",H147-H146)</f>
        <v>0.647003173828125</v>
      </c>
      <c r="R147" s="29">
        <f>IF(OR(履歴データ!$A$147="",履歴データ!$A$146=""),"",I147-I146)</f>
        <v>-0.53125</v>
      </c>
      <c r="S147" s="28">
        <f>IF(OR(履歴データ!$A$147="",履歴データ!$A$146=""),"",(J147-J146)*100)</f>
        <v>7.9999999999999627</v>
      </c>
      <c r="T147" s="11">
        <f>IF(OR(履歴データ!$A$147="",履歴データ!$A$146=""),"",-80000*K147)</f>
        <v>-119999.99999998693</v>
      </c>
      <c r="U147" s="11">
        <f>IF(OR(履歴データ!$A$147="",履歴データ!$A$146=""),"",60000*L147)</f>
        <v>-153000.00000000047</v>
      </c>
      <c r="V147" s="11">
        <f>IF(OR(履歴データ!$A$147="",履歴データ!$A$146=""),"",-50000*M147)</f>
        <v>-444999.99999999884</v>
      </c>
      <c r="W147" s="11">
        <f>IF(OR(履歴データ!$A$147="",履歴データ!$A$146=""),"",-40000*N147)</f>
        <v>-79999.999999996449</v>
      </c>
      <c r="X147" s="11">
        <f>IF(OR(履歴データ!$A$147="",履歴データ!$A$146=""),"",120*1000000*(-Q147/H146))</f>
        <v>-545522.38165896165</v>
      </c>
      <c r="Y147" s="11">
        <f>IF(OR(履歴データ!$A$147="",履歴データ!$A$146=""),"",40000*(-S147)+(-506.3)*R147*1000)</f>
        <v>-51028.124999998487</v>
      </c>
      <c r="Z147" s="11">
        <f>IF(OR(履歴データ!$A$147="",履歴データ!$A$146=""),"",-40000*O147)</f>
        <v>252399.99999999782</v>
      </c>
      <c r="AA147" s="11">
        <f>IF(OR(履歴データ!$A$147="",履歴データ!$A$146=""),"",-40000*P147)</f>
        <v>-121832.85644532135</v>
      </c>
      <c r="AB147" s="11">
        <f>IF(履歴データ!$A$147="","",123.3)</f>
        <v>123.3</v>
      </c>
      <c r="AC147">
        <f>IF(履歴データ!$A$147="","",SUM(T147:AA147))</f>
        <v>-1263983.3631042663</v>
      </c>
      <c r="AD147" s="29">
        <f>IF(履歴データ!$A$147="","",AC147/1000000)</f>
        <v>-1.2639833631042663</v>
      </c>
      <c r="AE147" s="29">
        <f>IF(履歴データ!$A$147="",AE146,AE146+AC147/1000000)</f>
        <v>90.104000157048546</v>
      </c>
      <c r="AF147" s="12">
        <f>IF(OR(履歴データ!$A$147="",AE146=0),"",(AE147-AE146)/AE146)</f>
        <v>-1.3833985542927951E-2</v>
      </c>
      <c r="AG147" s="29">
        <f t="shared" si="8"/>
        <v>102.17217746631495</v>
      </c>
      <c r="AH147" s="12">
        <f>IF(OR(履歴データ!$A$147="",AG147=0),"",AE147/AG147-1)</f>
        <v>-0.11811608217163772</v>
      </c>
      <c r="AJ147" s="28">
        <f t="shared" ca="1" si="6"/>
        <v>-31.656446870296236</v>
      </c>
      <c r="AK147" s="28">
        <f t="shared" ca="1" si="7"/>
        <v>-54.227114773539384</v>
      </c>
    </row>
    <row r="148" spans="1:37">
      <c r="A148" s="10">
        <f>IF(履歴データ!$A$148="","",履歴データ!$A$148)</f>
        <v>45140</v>
      </c>
      <c r="B148" s="28">
        <f>IF(履歴データ!$A$148="","",(履歴データ!$D$148-(履歴データ!$B$148+履歴データ!$F$148)/2)*100)</f>
        <v>-44.500000000000028</v>
      </c>
      <c r="C148" s="28">
        <f>IF(履歴データ!$A$148="","",(履歴データ!$H$148-(履歴データ!$G$148+履歴データ!$J$148)/2)*100)</f>
        <v>-12.649999999999995</v>
      </c>
      <c r="D148" s="28">
        <f>IF(履歴データ!$A$148="","",(履歴データ!$D$148-履歴データ!$H$148)*100)</f>
        <v>345</v>
      </c>
      <c r="E148" s="28">
        <f>IF(履歴データ!$A$148="","",(履歴データ!$D$148-履歴データ!$C$148)*100)</f>
        <v>-16.000000000000014</v>
      </c>
      <c r="F148" s="28">
        <f>IF(履歴データ!$A$148="","",(履歴データ!$R$148-履歴データ!$D$148)*100)</f>
        <v>-170.56</v>
      </c>
      <c r="G148" s="28">
        <f>IF(履歴データ!$A$148="","",(履歴データ!$S$148-履歴データ!$R$148)*100)</f>
        <v>-197.57217858886719</v>
      </c>
      <c r="H148" s="29">
        <f>IF(履歴データ!$A$148="","",履歴データ!$O$148)</f>
        <v>143.343994140625</v>
      </c>
      <c r="I148" s="29">
        <f>IF(履歴データ!$A$148="","",履歴データ!$Q$148)</f>
        <v>110.796875</v>
      </c>
      <c r="J148" s="29">
        <f>IF(履歴データ!$A$148="","",履歴データ!$D$148)</f>
        <v>4.08</v>
      </c>
      <c r="K148" s="28">
        <f>IF(OR(履歴データ!$A$148="",履歴データ!$A$147=""),"",B148-B147)</f>
        <v>2.0000000000000426</v>
      </c>
      <c r="L148" s="28">
        <f>IF(OR(履歴データ!$A$148="",履歴データ!$A$147=""),"",C148-C147)</f>
        <v>2.3000000000000131</v>
      </c>
      <c r="M148" s="28">
        <f>IF(OR(履歴データ!$A$148="",履歴データ!$A$147=""),"",D148-D147)</f>
        <v>-0.39999999999997726</v>
      </c>
      <c r="N148" s="28">
        <f>IF(OR(履歴データ!$A$148="",履歴データ!$A$147=""),"",E148-E147)</f>
        <v>3.0000000000000249</v>
      </c>
      <c r="O148" s="28">
        <f>IF(OR(履歴データ!$A$148="",履歴データ!$A$147=""),"",F148-F147)</f>
        <v>-1.7400000000000375</v>
      </c>
      <c r="P148" s="28">
        <f>IF(OR(履歴データ!$A$148="",履歴データ!$A$147=""),"",G148-G147)</f>
        <v>0.49400000000005662</v>
      </c>
      <c r="Q148" s="29">
        <f>IF(OR(履歴データ!$A$148="",履歴データ!$A$147=""),"",H148-H147)</f>
        <v>0.373992919921875</v>
      </c>
      <c r="R148" s="29">
        <f>IF(OR(履歴データ!$A$148="",履歴データ!$A$147=""),"",I148-I147)</f>
        <v>-7.8125E-2</v>
      </c>
      <c r="S148" s="28">
        <f>IF(OR(履歴データ!$A$148="",履歴データ!$A$147=""),"",(J148-J147)*100)</f>
        <v>3.0000000000000249</v>
      </c>
      <c r="T148" s="11">
        <f>IF(OR(履歴データ!$A$148="",履歴データ!$A$147=""),"",-80000*K148)</f>
        <v>-160000.00000000341</v>
      </c>
      <c r="U148" s="11">
        <f>IF(OR(履歴データ!$A$148="",履歴データ!$A$147=""),"",60000*L148)</f>
        <v>138000.00000000079</v>
      </c>
      <c r="V148" s="11">
        <f>IF(OR(履歴データ!$A$148="",履歴データ!$A$147=""),"",-50000*M148)</f>
        <v>19999.999999998865</v>
      </c>
      <c r="W148" s="11">
        <f>IF(OR(履歴データ!$A$148="",履歴データ!$A$147=""),"",-40000*N148)</f>
        <v>-120000.00000000099</v>
      </c>
      <c r="X148" s="11">
        <f>IF(OR(履歴データ!$A$148="",履歴データ!$A$147=""),"",120*1000000*(-Q148/H147))</f>
        <v>-313906.06426130579</v>
      </c>
      <c r="Y148" s="11">
        <f>IF(OR(履歴データ!$A$148="",履歴データ!$A$147=""),"",40000*(-S148)+(-506.3)*R148*1000)</f>
        <v>-80445.31250000099</v>
      </c>
      <c r="Z148" s="11">
        <f>IF(OR(履歴データ!$A$148="",履歴データ!$A$147=""),"",-40000*O148)</f>
        <v>69600.000000001499</v>
      </c>
      <c r="AA148" s="11">
        <f>IF(OR(履歴データ!$A$148="",履歴データ!$A$147=""),"",-40000*P148)</f>
        <v>-19760.000000002263</v>
      </c>
      <c r="AB148" s="11">
        <f>IF(履歴データ!$A$148="","",123.3)</f>
        <v>123.3</v>
      </c>
      <c r="AC148">
        <f>IF(履歴データ!$A$148="","",SUM(T148:AA148))</f>
        <v>-466511.37676131225</v>
      </c>
      <c r="AD148" s="29">
        <f>IF(履歴データ!$A$148="","",AC148/1000000)</f>
        <v>-0.46651137676131227</v>
      </c>
      <c r="AE148" s="29">
        <f>IF(履歴データ!$A$148="",AE147,AE147+AC148/1000000)</f>
        <v>89.637488780287228</v>
      </c>
      <c r="AF148" s="12">
        <f>IF(OR(履歴データ!$A$148="",AE147=0),"",(AE148-AE147)/AE147)</f>
        <v>-5.1774768705962291E-3</v>
      </c>
      <c r="AG148" s="29">
        <f t="shared" si="8"/>
        <v>102.17217746631495</v>
      </c>
      <c r="AH148" s="12">
        <f>IF(OR(履歴データ!$A$148="",AG148=0),"",AE148/AG148-1)</f>
        <v>-0.12268201575874482</v>
      </c>
      <c r="AJ148" s="28">
        <f t="shared" ca="1" si="6"/>
        <v>-31.702824898228162</v>
      </c>
      <c r="AK148" s="28">
        <f t="shared" ca="1" si="7"/>
        <v>-54.20193700653374</v>
      </c>
    </row>
    <row r="149" spans="1:37">
      <c r="A149" s="10">
        <f>IF(履歴データ!$A$149="","",履歴データ!$A$149)</f>
        <v>45141</v>
      </c>
      <c r="B149" s="28">
        <f>IF(履歴データ!$A$149="","",(履歴データ!$D$149-(履歴データ!$B$149+履歴データ!$F$149)/2)*100)</f>
        <v>-41.000000000000014</v>
      </c>
      <c r="C149" s="28">
        <f>IF(履歴データ!$A$149="","",(履歴データ!$H$149-(履歴データ!$G$149+履歴データ!$J$149)/2)*100)</f>
        <v>-12.2</v>
      </c>
      <c r="D149" s="28">
        <f>IF(履歴データ!$A$149="","",(履歴データ!$D$149-履歴データ!$H$149)*100)</f>
        <v>354.6</v>
      </c>
      <c r="E149" s="28">
        <f>IF(履歴データ!$A$149="","",(履歴データ!$D$149-履歴データ!$C$149)*100)</f>
        <v>-9.9999999999999645</v>
      </c>
      <c r="F149" s="28">
        <f>IF(履歴データ!$A$149="","",(履歴データ!$R$149-履歴データ!$D$149)*100)</f>
        <v>-184.65000000000003</v>
      </c>
      <c r="G149" s="28">
        <f>IF(履歴データ!$A$149="","",(履歴データ!$S$149-履歴データ!$R$149)*100)</f>
        <v>-190.92182141113301</v>
      </c>
      <c r="H149" s="29">
        <f>IF(履歴データ!$A$149="","",履歴データ!$O$149)</f>
        <v>142.59800720214844</v>
      </c>
      <c r="I149" s="29">
        <f>IF(履歴データ!$A$149="","",履歴データ!$Q$149)</f>
        <v>110.234375</v>
      </c>
      <c r="J149" s="29">
        <f>IF(履歴データ!$A$149="","",履歴データ!$D$149)</f>
        <v>4.2</v>
      </c>
      <c r="K149" s="28">
        <f>IF(OR(履歴データ!$A$149="",履歴データ!$A$148=""),"",B149-B148)</f>
        <v>3.5000000000000142</v>
      </c>
      <c r="L149" s="28">
        <f>IF(OR(履歴データ!$A$149="",履歴データ!$A$148=""),"",C149-C148)</f>
        <v>0.44999999999999574</v>
      </c>
      <c r="M149" s="28">
        <f>IF(OR(履歴データ!$A$149="",履歴データ!$A$148=""),"",D149-D148)</f>
        <v>9.6000000000000227</v>
      </c>
      <c r="N149" s="28">
        <f>IF(OR(履歴データ!$A$149="",履歴データ!$A$148=""),"",E149-E148)</f>
        <v>6.0000000000000497</v>
      </c>
      <c r="O149" s="28">
        <f>IF(OR(履歴データ!$A$149="",履歴データ!$A$148=""),"",F149-F148)</f>
        <v>-14.090000000000032</v>
      </c>
      <c r="P149" s="28">
        <f>IF(OR(履歴データ!$A$149="",履歴データ!$A$148=""),"",G149-G148)</f>
        <v>6.650357177734179</v>
      </c>
      <c r="Q149" s="29">
        <f>IF(OR(履歴データ!$A$149="",履歴データ!$A$148=""),"",H149-H148)</f>
        <v>-0.7459869384765625</v>
      </c>
      <c r="R149" s="29">
        <f>IF(OR(履歴データ!$A$149="",履歴データ!$A$148=""),"",I149-I148)</f>
        <v>-0.5625</v>
      </c>
      <c r="S149" s="28">
        <f>IF(OR(履歴データ!$A$149="",履歴データ!$A$148=""),"",(J149-J148)*100)</f>
        <v>12.000000000000011</v>
      </c>
      <c r="T149" s="11">
        <f>IF(OR(履歴データ!$A$149="",履歴データ!$A$148=""),"",-80000*K149)</f>
        <v>-280000.00000000116</v>
      </c>
      <c r="U149" s="11">
        <f>IF(OR(履歴データ!$A$149="",履歴データ!$A$148=""),"",60000*L149)</f>
        <v>26999.999999999745</v>
      </c>
      <c r="V149" s="11">
        <f>IF(OR(履歴データ!$A$149="",履歴データ!$A$148=""),"",-50000*M149)</f>
        <v>-480000.00000000116</v>
      </c>
      <c r="W149" s="11">
        <f>IF(OR(履歴データ!$A$149="",履歴データ!$A$148=""),"",-40000*N149)</f>
        <v>-240000.00000000198</v>
      </c>
      <c r="X149" s="11">
        <f>IF(OR(履歴データ!$A$149="",履歴データ!$A$148=""),"",120*1000000*(-Q149/H148))</f>
        <v>624500.75536033325</v>
      </c>
      <c r="Y149" s="11">
        <f>IF(OR(履歴データ!$A$149="",履歴データ!$A$148=""),"",40000*(-S149)+(-506.3)*R149*1000)</f>
        <v>-195206.25000000041</v>
      </c>
      <c r="Z149" s="11">
        <f>IF(OR(履歴データ!$A$149="",履歴データ!$A$148=""),"",-40000*O149)</f>
        <v>563600.00000000128</v>
      </c>
      <c r="AA149" s="11">
        <f>IF(OR(履歴データ!$A$149="",履歴データ!$A$148=""),"",-40000*P149)</f>
        <v>-266014.28710936714</v>
      </c>
      <c r="AB149" s="11">
        <f>IF(履歴データ!$A$149="","",123.3)</f>
        <v>123.3</v>
      </c>
      <c r="AC149">
        <f>IF(履歴データ!$A$149="","",SUM(T149:AA149))</f>
        <v>-246119.7817490375</v>
      </c>
      <c r="AD149" s="29">
        <f>IF(履歴データ!$A$149="","",AC149/1000000)</f>
        <v>-0.24611978174903751</v>
      </c>
      <c r="AE149" s="29">
        <f>IF(履歴データ!$A$149="",AE148,AE148+AC149/1000000)</f>
        <v>89.391368998538184</v>
      </c>
      <c r="AF149" s="12">
        <f>IF(OR(履歴データ!$A$149="",AE148=0),"",(AE149-AE148)/AE148)</f>
        <v>-2.7457237490478448E-3</v>
      </c>
      <c r="AG149" s="29">
        <f t="shared" si="8"/>
        <v>102.17217746631495</v>
      </c>
      <c r="AH149" s="12">
        <f>IF(OR(履歴データ!$A$149="",AG149=0),"",AE149/AG149-1)</f>
        <v>-0.12509088858354278</v>
      </c>
      <c r="AJ149" s="28">
        <f t="shared" ca="1" si="6"/>
        <v>-31.723368605475283</v>
      </c>
      <c r="AK149" s="28">
        <f t="shared" ca="1" si="7"/>
        <v>-54.155009772903085</v>
      </c>
    </row>
    <row r="150" spans="1:37">
      <c r="A150" s="10">
        <f>IF(履歴データ!$A$150="","",履歴データ!$A$150)</f>
        <v>45142</v>
      </c>
      <c r="B150" s="28">
        <f>IF(履歴データ!$A$150="","",(履歴データ!$D$150-(履歴データ!$B$150+履歴データ!$F$150)/2)*100)</f>
        <v>-44.500000000000028</v>
      </c>
      <c r="C150" s="28">
        <f>IF(履歴データ!$A$150="","",(履歴データ!$H$150-(履歴データ!$G$150+履歴データ!$J$150)/2)*100)</f>
        <v>-14.399999999999991</v>
      </c>
      <c r="D150" s="28">
        <f>IF(履歴データ!$A$150="","",(履歴データ!$D$150-履歴データ!$H$150)*100)</f>
        <v>340.7</v>
      </c>
      <c r="E150" s="28">
        <f>IF(履歴データ!$A$150="","",(履歴データ!$D$150-履歴データ!$C$150)*100)</f>
        <v>-10.000000000000053</v>
      </c>
      <c r="F150" s="28">
        <f>IF(履歴データ!$A$150="","",(履歴データ!$R$150-履歴データ!$D$150)*100)</f>
        <v>-165.26999999999998</v>
      </c>
      <c r="G150" s="28">
        <f>IF(履歴データ!$A$150="","",(履歴データ!$S$150-履歴データ!$R$150)*100)</f>
        <v>-191.96917858886721</v>
      </c>
      <c r="H150" s="29">
        <f>IF(履歴データ!$A$150="","",履歴データ!$O$150)</f>
        <v>142.59800720214844</v>
      </c>
      <c r="I150" s="29">
        <f>IF(履歴データ!$A$150="","",履歴データ!$Q$150)</f>
        <v>111.140625</v>
      </c>
      <c r="J150" s="29">
        <f>IF(履歴データ!$A$150="","",履歴データ!$D$150)</f>
        <v>4.05</v>
      </c>
      <c r="K150" s="28">
        <f>IF(OR(履歴データ!$A$150="",履歴データ!$A$149=""),"",B150-B149)</f>
        <v>-3.5000000000000142</v>
      </c>
      <c r="L150" s="28">
        <f>IF(OR(履歴データ!$A$150="",履歴データ!$A$149=""),"",C150-C149)</f>
        <v>-2.1999999999999922</v>
      </c>
      <c r="M150" s="28">
        <f>IF(OR(履歴データ!$A$150="",履歴データ!$A$149=""),"",D150-D149)</f>
        <v>-13.900000000000034</v>
      </c>
      <c r="N150" s="28">
        <f>IF(OR(履歴データ!$A$150="",履歴データ!$A$149=""),"",E150-E149)</f>
        <v>-8.8817841970012523E-14</v>
      </c>
      <c r="O150" s="28">
        <f>IF(OR(履歴データ!$A$150="",履歴データ!$A$149=""),"",F150-F149)</f>
        <v>19.380000000000052</v>
      </c>
      <c r="P150" s="28">
        <f>IF(OR(履歴データ!$A$150="",履歴データ!$A$149=""),"",G150-G149)</f>
        <v>-1.0473571777341988</v>
      </c>
      <c r="Q150" s="29">
        <f>IF(OR(履歴データ!$A$150="",履歴データ!$A$149=""),"",H150-H149)</f>
        <v>0</v>
      </c>
      <c r="R150" s="29">
        <f>IF(OR(履歴データ!$A$150="",履歴データ!$A$149=""),"",I150-I149)</f>
        <v>0.90625</v>
      </c>
      <c r="S150" s="28">
        <f>IF(OR(履歴データ!$A$150="",履歴データ!$A$149=""),"",(J150-J149)*100)</f>
        <v>-15.000000000000036</v>
      </c>
      <c r="T150" s="11">
        <f>IF(OR(履歴データ!$A$150="",履歴データ!$A$149=""),"",-80000*K150)</f>
        <v>280000.00000000116</v>
      </c>
      <c r="U150" s="11">
        <f>IF(OR(履歴データ!$A$150="",履歴データ!$A$149=""),"",60000*L150)</f>
        <v>-131999.99999999953</v>
      </c>
      <c r="V150" s="11">
        <f>IF(OR(履歴データ!$A$150="",履歴データ!$A$149=""),"",-50000*M150)</f>
        <v>695000.00000000175</v>
      </c>
      <c r="W150" s="11">
        <f>IF(OR(履歴データ!$A$150="",履歴データ!$A$149=""),"",-40000*N150)</f>
        <v>3.5527136788005009E-9</v>
      </c>
      <c r="X150" s="11">
        <f>IF(OR(履歴データ!$A$150="",履歴データ!$A$149=""),"",120*1000000*(-Q150/H149))</f>
        <v>0</v>
      </c>
      <c r="Y150" s="11">
        <f>IF(OR(履歴データ!$A$150="",履歴データ!$A$149=""),"",40000*(-S150)+(-506.3)*R150*1000)</f>
        <v>141165.6250000014</v>
      </c>
      <c r="Z150" s="11">
        <f>IF(OR(履歴データ!$A$150="",履歴データ!$A$149=""),"",-40000*O150)</f>
        <v>-775200.0000000021</v>
      </c>
      <c r="AA150" s="11">
        <f>IF(OR(履歴データ!$A$150="",履歴データ!$A$149=""),"",-40000*P150)</f>
        <v>41894.28710936795</v>
      </c>
      <c r="AB150" s="11">
        <f>IF(履歴データ!$A$150="","",123.3)</f>
        <v>123.3</v>
      </c>
      <c r="AC150">
        <f>IF(履歴データ!$A$150="","",SUM(T150:AA150))</f>
        <v>250859.91210937424</v>
      </c>
      <c r="AD150" s="29">
        <f>IF(履歴データ!$A$150="","",AC150/1000000)</f>
        <v>0.25085991210937425</v>
      </c>
      <c r="AE150" s="29">
        <f>IF(履歴データ!$A$150="",AE149,AE149+AC150/1000000)</f>
        <v>89.64222891064756</v>
      </c>
      <c r="AF150" s="12">
        <f>IF(OR(履歴データ!$A$150="",AE149=0),"",(AE150-AE149)/AE149)</f>
        <v>2.8063102167445154E-3</v>
      </c>
      <c r="AG150" s="29">
        <f t="shared" si="8"/>
        <v>102.17217746631495</v>
      </c>
      <c r="AH150" s="12">
        <f>IF(OR(履歴データ!$A$150="",AG150=0),"",AE150/AG150-1)</f>
        <v>-0.12263562220545188</v>
      </c>
      <c r="AJ150" s="28">
        <f t="shared" ca="1" si="6"/>
        <v>-31.768874336066609</v>
      </c>
      <c r="AK150" s="28">
        <f t="shared" ca="1" si="7"/>
        <v>-54.130454522993794</v>
      </c>
    </row>
    <row r="151" spans="1:37">
      <c r="A151" s="10">
        <f>IF(履歴データ!$A$151="","",履歴データ!$A$151)</f>
        <v>45145</v>
      </c>
      <c r="B151" s="28">
        <f>IF(履歴データ!$A$151="","",(履歴データ!$D$151-(履歴データ!$B$151+履歴データ!$F$151)/2)*100)</f>
        <v>-42.499999999999986</v>
      </c>
      <c r="C151" s="28">
        <f>IF(履歴データ!$A$151="","",(履歴データ!$H$151-(履歴データ!$G$151+履歴データ!$J$151)/2)*100)</f>
        <v>-15.399999999999991</v>
      </c>
      <c r="D151" s="28">
        <f>IF(履歴データ!$A$151="","",(履歴データ!$D$151-履歴データ!$H$151)*100)</f>
        <v>346.5</v>
      </c>
      <c r="E151" s="28">
        <f>IF(履歴データ!$A$151="","",(履歴データ!$D$151-履歴データ!$C$151)*100)</f>
        <v>-7.0000000000000284</v>
      </c>
      <c r="F151" s="28">
        <f>IF(履歴データ!$A$151="","",(履歴データ!$R$151-履歴データ!$D$151)*100)</f>
        <v>-176.43999999999997</v>
      </c>
      <c r="G151" s="28">
        <f>IF(履歴データ!$A$151="","",(履歴データ!$S$151-履歴データ!$R$151)*100)</f>
        <v>-187.78100000000023</v>
      </c>
      <c r="H151" s="29">
        <f>IF(履歴データ!$A$151="","",履歴データ!$O$151)</f>
        <v>142.52400207519531</v>
      </c>
      <c r="I151" s="29">
        <f>IF(履歴データ!$A$151="","",履歴データ!$Q$151)</f>
        <v>111.125</v>
      </c>
      <c r="J151" s="29">
        <f>IF(履歴データ!$A$151="","",履歴データ!$D$151)</f>
        <v>4.09</v>
      </c>
      <c r="K151" s="28">
        <f>IF(OR(履歴データ!$A$151="",履歴データ!$A$150=""),"",B151-B150)</f>
        <v>2.0000000000000426</v>
      </c>
      <c r="L151" s="28">
        <f>IF(OR(履歴データ!$A$151="",履歴データ!$A$150=""),"",C151-C150)</f>
        <v>-1</v>
      </c>
      <c r="M151" s="28">
        <f>IF(OR(履歴データ!$A$151="",履歴データ!$A$150=""),"",D151-D150)</f>
        <v>5.8000000000000114</v>
      </c>
      <c r="N151" s="28">
        <f>IF(OR(履歴データ!$A$151="",履歴データ!$A$150=""),"",E151-E150)</f>
        <v>3.0000000000000249</v>
      </c>
      <c r="O151" s="28">
        <f>IF(OR(履歴データ!$A$151="",履歴データ!$A$150=""),"",F151-F150)</f>
        <v>-11.169999999999987</v>
      </c>
      <c r="P151" s="28">
        <f>IF(OR(履歴データ!$A$151="",履歴データ!$A$150=""),"",G151-G150)</f>
        <v>4.1881785888669754</v>
      </c>
      <c r="Q151" s="29">
        <f>IF(OR(履歴データ!$A$151="",履歴データ!$A$150=""),"",H151-H150)</f>
        <v>-7.4005126953125E-2</v>
      </c>
      <c r="R151" s="29">
        <f>IF(OR(履歴データ!$A$151="",履歴データ!$A$150=""),"",I151-I150)</f>
        <v>-1.5625E-2</v>
      </c>
      <c r="S151" s="28">
        <f>IF(OR(履歴データ!$A$151="",履歴データ!$A$150=""),"",(J151-J150)*100)</f>
        <v>4.0000000000000036</v>
      </c>
      <c r="T151" s="11">
        <f>IF(OR(履歴データ!$A$151="",履歴データ!$A$150=""),"",-80000*K151)</f>
        <v>-160000.00000000341</v>
      </c>
      <c r="U151" s="11">
        <f>IF(OR(履歴データ!$A$151="",履歴データ!$A$150=""),"",60000*L151)</f>
        <v>-60000</v>
      </c>
      <c r="V151" s="11">
        <f>IF(OR(履歴データ!$A$151="",履歴データ!$A$150=""),"",-50000*M151)</f>
        <v>-290000.00000000058</v>
      </c>
      <c r="W151" s="11">
        <f>IF(OR(履歴データ!$A$151="",履歴データ!$A$150=""),"",-40000*N151)</f>
        <v>-120000.00000000099</v>
      </c>
      <c r="X151" s="11">
        <f>IF(OR(履歴データ!$A$151="",履歴データ!$A$150=""),"",120*1000000*(-Q151/H150))</f>
        <v>62277.274476814709</v>
      </c>
      <c r="Y151" s="11">
        <f>IF(OR(履歴データ!$A$151="",履歴データ!$A$150=""),"",40000*(-S151)+(-506.3)*R151*1000)</f>
        <v>-152089.06250000015</v>
      </c>
      <c r="Z151" s="11">
        <f>IF(OR(履歴データ!$A$151="",履歴データ!$A$150=""),"",-40000*O151)</f>
        <v>446799.99999999948</v>
      </c>
      <c r="AA151" s="11">
        <f>IF(OR(履歴データ!$A$151="",履歴データ!$A$150=""),"",-40000*P151)</f>
        <v>-167527.143554679</v>
      </c>
      <c r="AB151" s="11">
        <f>IF(履歴データ!$A$151="","",123.3)</f>
        <v>123.3</v>
      </c>
      <c r="AC151">
        <f>IF(履歴データ!$A$151="","",SUM(T151:AA151))</f>
        <v>-440538.93157786987</v>
      </c>
      <c r="AD151" s="29">
        <f>IF(履歴データ!$A$151="","",AC151/1000000)</f>
        <v>-0.44053893157786989</v>
      </c>
      <c r="AE151" s="29">
        <f>IF(履歴データ!$A$151="",AE150,AE150+AC151/1000000)</f>
        <v>89.201689979069684</v>
      </c>
      <c r="AF151" s="12">
        <f>IF(OR(履歴データ!$A$151="",AE150=0),"",(AE151-AE150)/AE150)</f>
        <v>-4.9144129606258566E-3</v>
      </c>
      <c r="AG151" s="29">
        <f t="shared" si="8"/>
        <v>102.17217746631495</v>
      </c>
      <c r="AH151" s="12">
        <f>IF(OR(履歴データ!$A$151="",AG151=0),"",AE151/AG151-1)</f>
        <v>-0.12694735307487692</v>
      </c>
      <c r="AJ151" s="28">
        <f t="shared" ca="1" si="6"/>
        <v>-31.803217231039291</v>
      </c>
      <c r="AK151" s="28">
        <f t="shared" ca="1" si="7"/>
        <v>-54.09011610229404</v>
      </c>
    </row>
    <row r="152" spans="1:37">
      <c r="A152" s="10">
        <f>IF(履歴データ!$A$152="","",履歴データ!$A$152)</f>
        <v>45146</v>
      </c>
      <c r="B152" s="28">
        <f>IF(履歴データ!$A$152="","",(履歴データ!$D$152-(履歴データ!$B$152+履歴データ!$F$152)/2)*100)</f>
        <v>-45.000000000000107</v>
      </c>
      <c r="C152" s="28">
        <f>IF(履歴データ!$A$152="","",(履歴データ!$H$152-(履歴データ!$G$152+履歴データ!$J$152)/2)*100)</f>
        <v>-14.550000000000008</v>
      </c>
      <c r="D152" s="28">
        <f>IF(履歴データ!$A$152="","",(履歴データ!$D$152-履歴データ!$H$152)*100)</f>
        <v>340.99999999999994</v>
      </c>
      <c r="E152" s="28">
        <f>IF(履歴データ!$A$152="","",(履歴データ!$D$152-履歴データ!$C$152)*100)</f>
        <v>-8.0000000000000071</v>
      </c>
      <c r="F152" s="28">
        <f>IF(履歴データ!$A$152="","",(履歴データ!$R$152-履歴データ!$D$152)*100)</f>
        <v>-163.12999999999994</v>
      </c>
      <c r="G152" s="28">
        <f>IF(履歴データ!$A$152="","",(履歴データ!$S$152-履歴データ!$R$152)*100)</f>
        <v>-197.07282141113291</v>
      </c>
      <c r="H152" s="29">
        <f>IF(履歴データ!$A$152="","",履歴データ!$O$152)</f>
        <v>143.27799987792969</v>
      </c>
      <c r="I152" s="29">
        <f>IF(履歴データ!$A$152="","",履歴データ!$Q$152)</f>
        <v>111.40625</v>
      </c>
      <c r="J152" s="29">
        <f>IF(履歴データ!$A$152="","",履歴データ!$D$152)</f>
        <v>4.0199999999999996</v>
      </c>
      <c r="K152" s="28">
        <f>IF(OR(履歴データ!$A$152="",履歴データ!$A$151=""),"",B152-B151)</f>
        <v>-2.5000000000001208</v>
      </c>
      <c r="L152" s="28">
        <f>IF(OR(履歴データ!$A$152="",履歴データ!$A$151=""),"",C152-C151)</f>
        <v>0.84999999999998366</v>
      </c>
      <c r="M152" s="28">
        <f>IF(OR(履歴データ!$A$152="",履歴データ!$A$151=""),"",D152-D151)</f>
        <v>-5.5000000000000568</v>
      </c>
      <c r="N152" s="28">
        <f>IF(OR(履歴データ!$A$152="",履歴データ!$A$151=""),"",E152-E151)</f>
        <v>-0.99999999999997868</v>
      </c>
      <c r="O152" s="28">
        <f>IF(OR(履歴データ!$A$152="",履歴データ!$A$151=""),"",F152-F151)</f>
        <v>13.310000000000031</v>
      </c>
      <c r="P152" s="28">
        <f>IF(OR(履歴データ!$A$152="",履歴データ!$A$151=""),"",G152-G151)</f>
        <v>-9.2918214111326733</v>
      </c>
      <c r="Q152" s="29">
        <f>IF(OR(履歴データ!$A$152="",履歴データ!$A$151=""),"",H152-H151)</f>
        <v>0.753997802734375</v>
      </c>
      <c r="R152" s="29">
        <f>IF(OR(履歴データ!$A$152="",履歴データ!$A$151=""),"",I152-I151)</f>
        <v>0.28125</v>
      </c>
      <c r="S152" s="28">
        <f>IF(OR(履歴データ!$A$152="",履歴データ!$A$151=""),"",(J152-J151)*100)</f>
        <v>-7.0000000000000284</v>
      </c>
      <c r="T152" s="11">
        <f>IF(OR(履歴データ!$A$152="",履歴データ!$A$151=""),"",-80000*K152)</f>
        <v>200000.00000000966</v>
      </c>
      <c r="U152" s="11">
        <f>IF(OR(履歴データ!$A$152="",履歴データ!$A$151=""),"",60000*L152)</f>
        <v>50999.999999999018</v>
      </c>
      <c r="V152" s="11">
        <f>IF(OR(履歴データ!$A$152="",履歴データ!$A$151=""),"",-50000*M152)</f>
        <v>275000.00000000285</v>
      </c>
      <c r="W152" s="11">
        <f>IF(OR(履歴データ!$A$152="",履歴データ!$A$151=""),"",-40000*N152)</f>
        <v>39999.999999999149</v>
      </c>
      <c r="X152" s="11">
        <f>IF(OR(履歴データ!$A$152="",履歴データ!$A$151=""),"",120*1000000*(-Q152/H151))</f>
        <v>-634838.58866374043</v>
      </c>
      <c r="Y152" s="11">
        <f>IF(OR(履歴データ!$A$152="",履歴データ!$A$151=""),"",40000*(-S152)+(-506.3)*R152*1000)</f>
        <v>137603.12500000116</v>
      </c>
      <c r="Z152" s="11">
        <f>IF(OR(履歴データ!$A$152="",履歴データ!$A$151=""),"",-40000*O152)</f>
        <v>-532400.00000000128</v>
      </c>
      <c r="AA152" s="11">
        <f>IF(OR(履歴データ!$A$152="",履歴データ!$A$151=""),"",-40000*P152)</f>
        <v>371672.85644530691</v>
      </c>
      <c r="AB152" s="11">
        <f>IF(履歴データ!$A$152="","",123.3)</f>
        <v>123.3</v>
      </c>
      <c r="AC152">
        <f>IF(履歴データ!$A$152="","",SUM(T152:AA152))</f>
        <v>-91962.607218422927</v>
      </c>
      <c r="AD152" s="29">
        <f>IF(履歴データ!$A$152="","",AC152/1000000)</f>
        <v>-9.196260721842292E-2</v>
      </c>
      <c r="AE152" s="29">
        <f>IF(履歴データ!$A$152="",AE151,AE151+AC152/1000000)</f>
        <v>89.109727371851264</v>
      </c>
      <c r="AF152" s="12">
        <f>IF(OR(履歴データ!$A$152="",AE151=0),"",(AE152-AE151)/AE151)</f>
        <v>-1.0309514005844309E-3</v>
      </c>
      <c r="AG152" s="29">
        <f t="shared" si="8"/>
        <v>102.17217746631495</v>
      </c>
      <c r="AH152" s="12">
        <f>IF(OR(履歴データ!$A$152="",AG152=0),"",AE152/AG152-1)</f>
        <v>-0.12784742792400827</v>
      </c>
      <c r="AJ152" s="28">
        <f t="shared" ca="1" si="6"/>
        <v>-31.848995438950311</v>
      </c>
      <c r="AK152" s="28">
        <f t="shared" ca="1" si="7"/>
        <v>-54.071534362374194</v>
      </c>
    </row>
    <row r="153" spans="1:37">
      <c r="A153" s="10">
        <f>IF(履歴データ!$A$153="","",履歴データ!$A$153)</f>
        <v>45147</v>
      </c>
      <c r="B153" s="28">
        <f>IF(履歴データ!$A$153="","",(履歴データ!$D$153-(履歴データ!$B$153+履歴データ!$F$153)/2)*100)</f>
        <v>-48.499999999999943</v>
      </c>
      <c r="C153" s="28">
        <f>IF(履歴データ!$A$153="","",(履歴データ!$H$153-(履歴データ!$G$153+履歴データ!$J$153)/2)*100)</f>
        <v>-16.000000000000004</v>
      </c>
      <c r="D153" s="28">
        <f>IF(履歴データ!$A$153="","",(履歴データ!$D$153-履歴データ!$H$153)*100)</f>
        <v>342.8</v>
      </c>
      <c r="E153" s="28">
        <f>IF(履歴データ!$A$153="","",(履歴データ!$D$153-履歴データ!$C$153)*100)</f>
        <v>-12.000000000000011</v>
      </c>
      <c r="F153" s="28">
        <f>IF(履歴データ!$A$153="","",(履歴データ!$R$153-履歴データ!$D$153)*100)</f>
        <v>-171.69</v>
      </c>
      <c r="G153" s="28">
        <f>IF(履歴データ!$A$153="","",(履歴データ!$S$153-履歴データ!$R$153)*100)</f>
        <v>-193.52882141113304</v>
      </c>
      <c r="H153" s="29">
        <f>IF(履歴データ!$A$153="","",履歴データ!$O$153)</f>
        <v>143.72700500488281</v>
      </c>
      <c r="I153" s="29">
        <f>IF(履歴データ!$A$153="","",履歴データ!$Q$153)</f>
        <v>111.390625</v>
      </c>
      <c r="J153" s="29">
        <f>IF(履歴データ!$A$153="","",履歴データ!$D$153)</f>
        <v>4</v>
      </c>
      <c r="K153" s="28">
        <f>IF(OR(履歴データ!$A$153="",履歴データ!$A$152=""),"",B153-B152)</f>
        <v>-3.4999999999998366</v>
      </c>
      <c r="L153" s="28">
        <f>IF(OR(履歴データ!$A$153="",履歴データ!$A$152=""),"",C153-C152)</f>
        <v>-1.4499999999999957</v>
      </c>
      <c r="M153" s="28">
        <f>IF(OR(履歴データ!$A$153="",履歴データ!$A$152=""),"",D153-D152)</f>
        <v>1.8000000000000682</v>
      </c>
      <c r="N153" s="28">
        <f>IF(OR(履歴データ!$A$153="",履歴データ!$A$152=""),"",E153-E152)</f>
        <v>-4.0000000000000036</v>
      </c>
      <c r="O153" s="28">
        <f>IF(OR(履歴データ!$A$153="",履歴データ!$A$152=""),"",F153-F152)</f>
        <v>-8.5600000000000591</v>
      </c>
      <c r="P153" s="28">
        <f>IF(OR(履歴データ!$A$153="",履歴データ!$A$152=""),"",G153-G152)</f>
        <v>3.543999999999869</v>
      </c>
      <c r="Q153" s="29">
        <f>IF(OR(履歴データ!$A$153="",履歴データ!$A$152=""),"",H153-H152)</f>
        <v>0.449005126953125</v>
      </c>
      <c r="R153" s="29">
        <f>IF(OR(履歴データ!$A$153="",履歴データ!$A$152=""),"",I153-I152)</f>
        <v>-1.5625E-2</v>
      </c>
      <c r="S153" s="28">
        <f>IF(OR(履歴データ!$A$153="",履歴データ!$A$152=""),"",(J153-J152)*100)</f>
        <v>-1.9999999999999574</v>
      </c>
      <c r="T153" s="11">
        <f>IF(OR(履歴データ!$A$153="",履歴データ!$A$152=""),"",-80000*K153)</f>
        <v>279999.9999999869</v>
      </c>
      <c r="U153" s="11">
        <f>IF(OR(履歴データ!$A$153="",履歴データ!$A$152=""),"",60000*L153)</f>
        <v>-86999.999999999738</v>
      </c>
      <c r="V153" s="11">
        <f>IF(OR(履歴データ!$A$153="",履歴データ!$A$152=""),"",-50000*M153)</f>
        <v>-90000.000000003405</v>
      </c>
      <c r="W153" s="11">
        <f>IF(OR(履歴データ!$A$153="",履歴データ!$A$152=""),"",-40000*N153)</f>
        <v>160000.00000000015</v>
      </c>
      <c r="X153" s="11">
        <f>IF(OR(履歴データ!$A$153="",履歴データ!$A$152=""),"",120*1000000*(-Q153/H152))</f>
        <v>-376056.44467594696</v>
      </c>
      <c r="Y153" s="11">
        <f>IF(OR(履歴データ!$A$153="",履歴データ!$A$152=""),"",40000*(-S153)+(-506.3)*R153*1000)</f>
        <v>87910.937499998297</v>
      </c>
      <c r="Z153" s="11">
        <f>IF(OR(履歴データ!$A$153="",履歴データ!$A$152=""),"",-40000*O153)</f>
        <v>342400.00000000239</v>
      </c>
      <c r="AA153" s="11">
        <f>IF(OR(履歴データ!$A$153="",履歴データ!$A$152=""),"",-40000*P153)</f>
        <v>-141759.99999999476</v>
      </c>
      <c r="AB153" s="11">
        <f>IF(履歴データ!$A$153="","",123.3)</f>
        <v>123.3</v>
      </c>
      <c r="AC153">
        <f>IF(履歴データ!$A$153="","",SUM(T153:AA153))</f>
        <v>175494.49282404291</v>
      </c>
      <c r="AD153" s="29">
        <f>IF(履歴データ!$A$153="","",AC153/1000000)</f>
        <v>0.17549449282404292</v>
      </c>
      <c r="AE153" s="29">
        <f>IF(履歴データ!$A$153="",AE152,AE152+AC153/1000000)</f>
        <v>89.285221864675307</v>
      </c>
      <c r="AF153" s="12">
        <f>IF(OR(履歴データ!$A$153="",AE152=0),"",(AE153-AE152)/AE152)</f>
        <v>1.9694201519853383E-3</v>
      </c>
      <c r="AG153" s="29">
        <f t="shared" si="8"/>
        <v>102.17217746631495</v>
      </c>
      <c r="AH153" s="12">
        <f>IF(OR(履歴データ!$A$153="",AG153=0),"",AE153/AG153-1)</f>
        <v>-0.12612979307295602</v>
      </c>
      <c r="AJ153" s="28">
        <f t="shared" ca="1" si="6"/>
        <v>-31.885892034564623</v>
      </c>
      <c r="AK153" s="28">
        <f t="shared" ca="1" si="7"/>
        <v>-54.107529018066955</v>
      </c>
    </row>
    <row r="154" spans="1:37">
      <c r="A154" s="10">
        <f>IF(履歴データ!$A$154="","",履歴データ!$A$154)</f>
        <v>45148</v>
      </c>
      <c r="B154" s="28">
        <f>IF(履歴データ!$A$154="","",(履歴データ!$D$154-(履歴データ!$B$154+履歴データ!$F$154)/2)*100)</f>
        <v>-44.000000000000043</v>
      </c>
      <c r="C154" s="28">
        <f>IF(履歴データ!$A$154="","",(履歴データ!$H$154-(履歴データ!$G$154+履歴データ!$J$154)/2)*100)</f>
        <v>-16.250000000000007</v>
      </c>
      <c r="D154" s="28">
        <f>IF(履歴データ!$A$154="","",(履歴データ!$D$154-履歴データ!$H$154)*100)</f>
        <v>349.9</v>
      </c>
      <c r="E154" s="28">
        <f>IF(履歴データ!$A$154="","",(履歴データ!$D$154-履歴データ!$C$154)*100)</f>
        <v>-12.000000000000011</v>
      </c>
      <c r="F154" s="28">
        <f>IF(履歴データ!$A$154="","",(履歴データ!$R$154-履歴データ!$D$154)*100)</f>
        <v>-182.97</v>
      </c>
      <c r="G154" s="28">
        <f>IF(履歴データ!$A$154="","",(履歴データ!$S$154-履歴データ!$R$154)*100)</f>
        <v>-187.91617858886721</v>
      </c>
      <c r="H154" s="29">
        <f>IF(履歴データ!$A$154="","",履歴データ!$O$154)</f>
        <v>144.85400390625</v>
      </c>
      <c r="I154" s="29">
        <f>IF(履歴データ!$A$154="","",履歴データ!$Q$154)</f>
        <v>110.859375</v>
      </c>
      <c r="J154" s="29">
        <f>IF(履歴データ!$A$154="","",履歴データ!$D$154)</f>
        <v>4.09</v>
      </c>
      <c r="K154" s="28">
        <f>IF(OR(履歴データ!$A$154="",履歴データ!$A$153=""),"",B154-B153)</f>
        <v>4.4999999999999005</v>
      </c>
      <c r="L154" s="28">
        <f>IF(OR(履歴データ!$A$154="",履歴データ!$A$153=""),"",C154-C153)</f>
        <v>-0.25000000000000355</v>
      </c>
      <c r="M154" s="28">
        <f>IF(OR(履歴データ!$A$154="",履歴データ!$A$153=""),"",D154-D153)</f>
        <v>7.0999999999999659</v>
      </c>
      <c r="N154" s="28">
        <f>IF(OR(履歴データ!$A$154="",履歴データ!$A$153=""),"",E154-E153)</f>
        <v>0</v>
      </c>
      <c r="O154" s="28">
        <f>IF(OR(履歴データ!$A$154="",履歴データ!$A$153=""),"",F154-F153)</f>
        <v>-11.280000000000001</v>
      </c>
      <c r="P154" s="28">
        <f>IF(OR(履歴データ!$A$154="",履歴データ!$A$153=""),"",G154-G153)</f>
        <v>5.6126428222658262</v>
      </c>
      <c r="Q154" s="29">
        <f>IF(OR(履歴データ!$A$154="",履歴データ!$A$153=""),"",H154-H153)</f>
        <v>1.1269989013671875</v>
      </c>
      <c r="R154" s="29">
        <f>IF(OR(履歴データ!$A$154="",履歴データ!$A$153=""),"",I154-I153)</f>
        <v>-0.53125</v>
      </c>
      <c r="S154" s="28">
        <f>IF(OR(履歴データ!$A$154="",履歴データ!$A$153=""),"",(J154-J153)*100)</f>
        <v>8.9999999999999858</v>
      </c>
      <c r="T154" s="11">
        <f>IF(OR(履歴データ!$A$154="",履歴データ!$A$153=""),"",-80000*K154)</f>
        <v>-359999.99999999203</v>
      </c>
      <c r="U154" s="11">
        <f>IF(OR(履歴データ!$A$154="",履歴データ!$A$153=""),"",60000*L154)</f>
        <v>-15000.000000000213</v>
      </c>
      <c r="V154" s="11">
        <f>IF(OR(履歴データ!$A$154="",履歴データ!$A$153=""),"",-50000*M154)</f>
        <v>-354999.99999999831</v>
      </c>
      <c r="W154" s="11">
        <f>IF(OR(履歴データ!$A$154="",履歴データ!$A$153=""),"",-40000*N154)</f>
        <v>0</v>
      </c>
      <c r="X154" s="11">
        <f>IF(OR(履歴データ!$A$154="",履歴データ!$A$153=""),"",120*1000000*(-Q154/H153))</f>
        <v>-940949.60205612041</v>
      </c>
      <c r="Y154" s="11">
        <f>IF(OR(履歴データ!$A$154="",履歴データ!$A$153=""),"",40000*(-S154)+(-506.3)*R154*1000)</f>
        <v>-91028.124999999418</v>
      </c>
      <c r="Z154" s="11">
        <f>IF(OR(履歴データ!$A$154="",履歴データ!$A$153=""),"",-40000*O154)</f>
        <v>451200.00000000006</v>
      </c>
      <c r="AA154" s="11">
        <f>IF(OR(履歴データ!$A$154="",履歴データ!$A$153=""),"",-40000*P154)</f>
        <v>-224505.71289063306</v>
      </c>
      <c r="AB154" s="11">
        <f>IF(履歴データ!$A$154="","",123.3)</f>
        <v>123.3</v>
      </c>
      <c r="AC154">
        <f>IF(履歴データ!$A$154="","",SUM(T154:AA154))</f>
        <v>-1535283.4399467434</v>
      </c>
      <c r="AD154" s="29">
        <f>IF(履歴データ!$A$154="","",AC154/1000000)</f>
        <v>-1.5352834399467434</v>
      </c>
      <c r="AE154" s="29">
        <f>IF(履歴データ!$A$154="",AE153,AE153+AC154/1000000)</f>
        <v>87.749938424728569</v>
      </c>
      <c r="AF154" s="12">
        <f>IF(OR(履歴データ!$A$154="",AE153=0),"",(AE154-AE153)/AE153)</f>
        <v>-1.71952693613024E-2</v>
      </c>
      <c r="AG154" s="29">
        <f t="shared" si="8"/>
        <v>102.17217746631495</v>
      </c>
      <c r="AH154" s="12">
        <f>IF(OR(履歴データ!$A$154="",AG154=0),"",AE154/AG154-1)</f>
        <v>-0.14115622666788363</v>
      </c>
      <c r="AJ154" s="28">
        <f t="shared" ca="1" si="6"/>
        <v>-31.927870433155739</v>
      </c>
      <c r="AK154" s="28">
        <f t="shared" ca="1" si="7"/>
        <v>-54.078665514556683</v>
      </c>
    </row>
    <row r="155" spans="1:37">
      <c r="A155" s="10">
        <f>IF(履歴データ!$A$155="","",履歴データ!$A$155)</f>
        <v>45149</v>
      </c>
      <c r="B155" s="28">
        <f>IF(履歴データ!$A$155="","",(履歴データ!$D$155-(履歴データ!$B$155+履歴データ!$F$155)/2)*100)</f>
        <v>-41.999999999999993</v>
      </c>
      <c r="C155" s="28">
        <f>IF(履歴データ!$A$155="","",(履歴データ!$H$155-(履歴データ!$G$155+履歴データ!$J$155)/2)*100)</f>
        <v>-16.250000000000007</v>
      </c>
      <c r="D155" s="28">
        <f>IF(履歴データ!$A$155="","",(履歴データ!$D$155-履歴データ!$H$155)*100)</f>
        <v>356.9</v>
      </c>
      <c r="E155" s="28">
        <f>IF(履歴データ!$A$155="","",(履歴データ!$D$155-履歴データ!$C$155)*100)</f>
        <v>-14.999999999999947</v>
      </c>
      <c r="F155" s="28">
        <f>IF(履歴データ!$A$155="","",(履歴データ!$R$155-履歴データ!$D$155)*100)</f>
        <v>-191</v>
      </c>
      <c r="G155" s="28">
        <f>IF(履歴データ!$A$155="","",(履歴データ!$S$155-履歴データ!$R$155)*100)</f>
        <v>-186.88617858886721</v>
      </c>
      <c r="H155" s="29">
        <f>IF(履歴データ!$A$155="","",履歴データ!$O$155)</f>
        <v>144.85400390625</v>
      </c>
      <c r="I155" s="29">
        <f>IF(履歴データ!$A$155="","",履歴データ!$Q$155)</f>
        <v>110.1875</v>
      </c>
      <c r="J155" s="29">
        <f>IF(履歴データ!$A$155="","",履歴データ!$D$155)</f>
        <v>4.16</v>
      </c>
      <c r="K155" s="28">
        <f>IF(OR(履歴データ!$A$155="",履歴データ!$A$154=""),"",B155-B154)</f>
        <v>2.0000000000000497</v>
      </c>
      <c r="L155" s="28">
        <f>IF(OR(履歴データ!$A$155="",履歴データ!$A$154=""),"",C155-C154)</f>
        <v>0</v>
      </c>
      <c r="M155" s="28">
        <f>IF(OR(履歴データ!$A$155="",履歴データ!$A$154=""),"",D155-D154)</f>
        <v>7</v>
      </c>
      <c r="N155" s="28">
        <f>IF(OR(履歴データ!$A$155="",履歴データ!$A$154=""),"",E155-E154)</f>
        <v>-2.9999999999999361</v>
      </c>
      <c r="O155" s="28">
        <f>IF(OR(履歴データ!$A$155="",履歴データ!$A$154=""),"",F155-F154)</f>
        <v>-8.0300000000000011</v>
      </c>
      <c r="P155" s="28">
        <f>IF(OR(履歴データ!$A$155="",履歴データ!$A$154=""),"",G155-G154)</f>
        <v>1.0300000000000011</v>
      </c>
      <c r="Q155" s="29">
        <f>IF(OR(履歴データ!$A$155="",履歴データ!$A$154=""),"",H155-H154)</f>
        <v>0</v>
      </c>
      <c r="R155" s="29">
        <f>IF(OR(履歴データ!$A$155="",履歴データ!$A$154=""),"",I155-I154)</f>
        <v>-0.671875</v>
      </c>
      <c r="S155" s="28">
        <f>IF(OR(履歴データ!$A$155="",履歴データ!$A$154=""),"",(J155-J154)*100)</f>
        <v>7.0000000000000284</v>
      </c>
      <c r="T155" s="11">
        <f>IF(OR(履歴データ!$A$155="",履歴データ!$A$154=""),"",-80000*K155)</f>
        <v>-160000.00000000399</v>
      </c>
      <c r="U155" s="11">
        <f>IF(OR(履歴データ!$A$155="",履歴データ!$A$154=""),"",60000*L155)</f>
        <v>0</v>
      </c>
      <c r="V155" s="11">
        <f>IF(OR(履歴データ!$A$155="",履歴データ!$A$154=""),"",-50000*M155)</f>
        <v>-350000</v>
      </c>
      <c r="W155" s="11">
        <f>IF(OR(履歴データ!$A$155="",履歴データ!$A$154=""),"",-40000*N155)</f>
        <v>119999.99999999744</v>
      </c>
      <c r="X155" s="11">
        <f>IF(OR(履歴データ!$A$155="",履歴データ!$A$154=""),"",120*1000000*(-Q155/H154))</f>
        <v>0</v>
      </c>
      <c r="Y155" s="11">
        <f>IF(OR(履歴データ!$A$155="",履歴データ!$A$154=""),"",40000*(-S155)+(-506.3)*R155*1000)</f>
        <v>60170.312499998836</v>
      </c>
      <c r="Z155" s="11">
        <f>IF(OR(履歴データ!$A$155="",履歴データ!$A$154=""),"",-40000*O155)</f>
        <v>321200.00000000006</v>
      </c>
      <c r="AA155" s="11">
        <f>IF(OR(履歴データ!$A$155="",履歴データ!$A$154=""),"",-40000*P155)</f>
        <v>-41200.000000000044</v>
      </c>
      <c r="AB155" s="11">
        <f>IF(履歴データ!$A$155="","",123.3)</f>
        <v>123.3</v>
      </c>
      <c r="AC155">
        <f>IF(履歴データ!$A$155="","",SUM(T155:AA155))</f>
        <v>-49829.687500007669</v>
      </c>
      <c r="AD155" s="29">
        <f>IF(履歴データ!$A$155="","",AC155/1000000)</f>
        <v>-4.9829687500007672E-2</v>
      </c>
      <c r="AE155" s="29">
        <f>IF(履歴データ!$A$155="",AE154,AE154+AC155/1000000)</f>
        <v>87.700108737228561</v>
      </c>
      <c r="AF155" s="12">
        <f>IF(OR(履歴データ!$A$155="",AE154=0),"",(AE155-AE154)/AE154)</f>
        <v>-5.678600850842941E-4</v>
      </c>
      <c r="AG155" s="29">
        <f t="shared" si="8"/>
        <v>102.17217746631495</v>
      </c>
      <c r="AH155" s="12">
        <f>IF(OR(履歴データ!$A$155="",AG155=0),"",AE155/AG155-1)</f>
        <v>-0.14164392976608209</v>
      </c>
      <c r="AJ155" s="28">
        <f t="shared" ca="1" si="6"/>
        <v>-31.956425061066462</v>
      </c>
      <c r="AK155" s="28">
        <f t="shared" ca="1" si="7"/>
        <v>-54.037081432440026</v>
      </c>
    </row>
    <row r="156" spans="1:37">
      <c r="A156" s="10">
        <f>IF(履歴データ!$A$156="","",履歴データ!$A$156)</f>
        <v>45152</v>
      </c>
      <c r="B156" s="28">
        <f>IF(履歴データ!$A$156="","",(履歴データ!$D$156-(履歴データ!$B$156+履歴データ!$F$156)/2)*100)</f>
        <v>-43.499999999999957</v>
      </c>
      <c r="C156" s="28">
        <f>IF(履歴データ!$A$156="","",(履歴データ!$H$156-(履歴データ!$G$156+履歴データ!$J$156)/2)*100)</f>
        <v>-15.349999999999998</v>
      </c>
      <c r="D156" s="28">
        <f>IF(履歴データ!$A$156="","",(履歴データ!$D$156-履歴データ!$H$156)*100)</f>
        <v>356.90000000000003</v>
      </c>
      <c r="E156" s="28">
        <f>IF(履歴データ!$A$156="","",(履歴データ!$D$156-履歴データ!$C$156)*100)</f>
        <v>-16.999999999999993</v>
      </c>
      <c r="F156" s="28">
        <f>IF(履歴データ!$A$156="","",(履歴データ!$R$156-履歴データ!$D$156)*100)</f>
        <v>-180.15000000000003</v>
      </c>
      <c r="G156" s="28">
        <f>IF(履歴データ!$A$156="","",(履歴データ!$S$156-履歴データ!$R$156)*100)</f>
        <v>-195.82500000000027</v>
      </c>
      <c r="H156" s="29">
        <f>IF(履歴データ!$A$156="","",履歴データ!$O$156)</f>
        <v>145.43699645996094</v>
      </c>
      <c r="I156" s="29">
        <f>IF(履歴データ!$A$156="","",履歴データ!$Q$156)</f>
        <v>110</v>
      </c>
      <c r="J156" s="29">
        <f>IF(履歴データ!$A$156="","",履歴データ!$D$156)</f>
        <v>4.1900000000000004</v>
      </c>
      <c r="K156" s="28">
        <f>IF(OR(履歴データ!$A$156="",履歴データ!$A$155=""),"",B156-B155)</f>
        <v>-1.4999999999999645</v>
      </c>
      <c r="L156" s="28">
        <f>IF(OR(履歴データ!$A$156="",履歴データ!$A$155=""),"",C156-C155)</f>
        <v>0.90000000000000924</v>
      </c>
      <c r="M156" s="28">
        <f>IF(OR(履歴データ!$A$156="",履歴データ!$A$155=""),"",D156-D155)</f>
        <v>5.6843418860808015E-14</v>
      </c>
      <c r="N156" s="28">
        <f>IF(OR(履歴データ!$A$156="",履歴データ!$A$155=""),"",E156-E155)</f>
        <v>-2.0000000000000462</v>
      </c>
      <c r="O156" s="28">
        <f>IF(OR(履歴データ!$A$156="",履歴データ!$A$155=""),"",F156-F155)</f>
        <v>10.849999999999966</v>
      </c>
      <c r="P156" s="28">
        <f>IF(OR(履歴データ!$A$156="",履歴データ!$A$155=""),"",G156-G155)</f>
        <v>-8.9388214111330626</v>
      </c>
      <c r="Q156" s="29">
        <f>IF(OR(履歴データ!$A$156="",履歴データ!$A$155=""),"",H156-H155)</f>
        <v>0.5829925537109375</v>
      </c>
      <c r="R156" s="29">
        <f>IF(OR(履歴データ!$A$156="",履歴データ!$A$155=""),"",I156-I155)</f>
        <v>-0.1875</v>
      </c>
      <c r="S156" s="28">
        <f>IF(OR(履歴データ!$A$156="",履歴データ!$A$155=""),"",(J156-J155)*100)</f>
        <v>3.0000000000000249</v>
      </c>
      <c r="T156" s="11">
        <f>IF(OR(履歴データ!$A$156="",履歴データ!$A$155=""),"",-80000*K156)</f>
        <v>119999.99999999716</v>
      </c>
      <c r="U156" s="11">
        <f>IF(OR(履歴データ!$A$156="",履歴データ!$A$155=""),"",60000*L156)</f>
        <v>54000.000000000553</v>
      </c>
      <c r="V156" s="11">
        <f>IF(OR(履歴データ!$A$156="",履歴データ!$A$155=""),"",-50000*M156)</f>
        <v>-2.8421709430404007E-9</v>
      </c>
      <c r="W156" s="11">
        <f>IF(OR(履歴データ!$A$156="",履歴データ!$A$155=""),"",-40000*N156)</f>
        <v>80000.000000001848</v>
      </c>
      <c r="X156" s="11">
        <f>IF(OR(履歴データ!$A$156="",履歴データ!$A$155=""),"",120*1000000*(-Q156/H155))</f>
        <v>-482962.87681899546</v>
      </c>
      <c r="Y156" s="11">
        <f>IF(OR(履歴データ!$A$156="",履歴データ!$A$155=""),"",40000*(-S156)+(-506.3)*R156*1000)</f>
        <v>-25068.75000000099</v>
      </c>
      <c r="Z156" s="11">
        <f>IF(OR(履歴データ!$A$156="",履歴データ!$A$155=""),"",-40000*O156)</f>
        <v>-433999.99999999866</v>
      </c>
      <c r="AA156" s="11">
        <f>IF(OR(履歴データ!$A$156="",履歴データ!$A$155=""),"",-40000*P156)</f>
        <v>357552.85644532251</v>
      </c>
      <c r="AB156" s="11">
        <f>IF(履歴データ!$A$156="","",123.3)</f>
        <v>123.3</v>
      </c>
      <c r="AC156">
        <f>IF(履歴データ!$A$156="","",SUM(T156:AA156))</f>
        <v>-330478.77037367586</v>
      </c>
      <c r="AD156" s="29">
        <f>IF(履歴データ!$A$156="","",AC156/1000000)</f>
        <v>-0.33047877037367585</v>
      </c>
      <c r="AE156" s="29">
        <f>IF(履歴データ!$A$156="",AE155,AE155+AC156/1000000)</f>
        <v>87.369629966854887</v>
      </c>
      <c r="AF156" s="12">
        <f>IF(OR(履歴データ!$A$156="",AE155=0),"",(AE156-AE155)/AE155)</f>
        <v>-3.7682823331937998E-3</v>
      </c>
      <c r="AG156" s="29">
        <f t="shared" si="8"/>
        <v>102.17217746631495</v>
      </c>
      <c r="AH156" s="12">
        <f>IF(OR(履歴データ!$A$156="",AG156=0),"",AE156/AG156-1)</f>
        <v>-0.14487845778113417</v>
      </c>
      <c r="AJ156" s="28">
        <f t="shared" ca="1" si="6"/>
        <v>-31.995278463137012</v>
      </c>
      <c r="AK156" s="28">
        <f t="shared" ca="1" si="7"/>
        <v>-54.004721536862988</v>
      </c>
    </row>
    <row r="157" spans="1:37">
      <c r="A157" s="10">
        <f>IF(履歴データ!$A$157="","",履歴データ!$A$157)</f>
        <v>45153</v>
      </c>
      <c r="B157" s="28">
        <f>IF(履歴データ!$A$157="","",(履歴データ!$D$157-(履歴データ!$B$157+履歴データ!$F$157)/2)*100)</f>
        <v>-41.000000000000014</v>
      </c>
      <c r="C157" s="28">
        <f>IF(履歴データ!$A$157="","",(履歴データ!$H$157-(履歴データ!$G$157+履歴データ!$J$157)/2)*100)</f>
        <v>-14.449999999999996</v>
      </c>
      <c r="D157" s="28">
        <f>IF(履歴データ!$A$157="","",(履歴データ!$D$157-履歴データ!$H$157)*100)</f>
        <v>357.8</v>
      </c>
      <c r="E157" s="28">
        <f>IF(履歴データ!$A$157="","",(履歴データ!$D$157-履歴データ!$C$157)*100)</f>
        <v>-15.000000000000036</v>
      </c>
      <c r="F157" s="28">
        <f>IF(履歴データ!$A$157="","",(履歴データ!$R$157-履歴データ!$D$157)*100)</f>
        <v>-176.38</v>
      </c>
      <c r="G157" s="28">
        <f>IF(履歴データ!$A$157="","",(履歴データ!$S$157-履歴データ!$R$157)*100)</f>
        <v>-203.52435717773457</v>
      </c>
      <c r="H157" s="29">
        <f>IF(履歴データ!$A$157="","",履歴データ!$O$157)</f>
        <v>145.60800170898438</v>
      </c>
      <c r="I157" s="29">
        <f>IF(履歴データ!$A$157="","",履歴データ!$Q$157)</f>
        <v>109.765625</v>
      </c>
      <c r="J157" s="29">
        <f>IF(履歴データ!$A$157="","",履歴データ!$D$157)</f>
        <v>4.21</v>
      </c>
      <c r="K157" s="28">
        <f>IF(OR(履歴データ!$A$157="",履歴データ!$A$156=""),"",B157-B156)</f>
        <v>2.4999999999999432</v>
      </c>
      <c r="L157" s="28">
        <f>IF(OR(履歴データ!$A$157="",履歴データ!$A$156=""),"",C157-C156)</f>
        <v>0.90000000000000213</v>
      </c>
      <c r="M157" s="28">
        <f>IF(OR(履歴データ!$A$157="",履歴データ!$A$156=""),"",D157-D156)</f>
        <v>0.89999999999997726</v>
      </c>
      <c r="N157" s="28">
        <f>IF(OR(履歴データ!$A$157="",履歴データ!$A$156=""),"",E157-E156)</f>
        <v>1.9999999999999574</v>
      </c>
      <c r="O157" s="28">
        <f>IF(OR(履歴データ!$A$157="",履歴データ!$A$156=""),"",F157-F156)</f>
        <v>3.7700000000000387</v>
      </c>
      <c r="P157" s="28">
        <f>IF(OR(履歴データ!$A$157="",履歴データ!$A$156=""),"",G157-G156)</f>
        <v>-7.6993571777342993</v>
      </c>
      <c r="Q157" s="29">
        <f>IF(OR(履歴データ!$A$157="",履歴データ!$A$156=""),"",H157-H156)</f>
        <v>0.1710052490234375</v>
      </c>
      <c r="R157" s="29">
        <f>IF(OR(履歴データ!$A$157="",履歴データ!$A$156=""),"",I157-I156)</f>
        <v>-0.234375</v>
      </c>
      <c r="S157" s="28">
        <f>IF(OR(履歴データ!$A$157="",履歴データ!$A$156=""),"",(J157-J156)*100)</f>
        <v>1.9999999999999574</v>
      </c>
      <c r="T157" s="11">
        <f>IF(OR(履歴データ!$A$157="",履歴データ!$A$156=""),"",-80000*K157)</f>
        <v>-199999.99999999546</v>
      </c>
      <c r="U157" s="11">
        <f>IF(OR(履歴データ!$A$157="",履歴データ!$A$156=""),"",60000*L157)</f>
        <v>54000.000000000131</v>
      </c>
      <c r="V157" s="11">
        <f>IF(OR(履歴データ!$A$157="",履歴データ!$A$156=""),"",-50000*M157)</f>
        <v>-44999.999999998865</v>
      </c>
      <c r="W157" s="11">
        <f>IF(OR(履歴データ!$A$157="",履歴データ!$A$156=""),"",-40000*N157)</f>
        <v>-79999.999999998297</v>
      </c>
      <c r="X157" s="11">
        <f>IF(OR(履歴データ!$A$157="",履歴データ!$A$156=""),"",120*1000000*(-Q157/H156))</f>
        <v>-141096.35362596248</v>
      </c>
      <c r="Y157" s="11">
        <f>IF(OR(履歴データ!$A$157="",履歴データ!$A$156=""),"",40000*(-S157)+(-506.3)*R157*1000)</f>
        <v>38664.062500001703</v>
      </c>
      <c r="Z157" s="11">
        <f>IF(OR(履歴データ!$A$157="",履歴データ!$A$156=""),"",-40000*O157)</f>
        <v>-150800.00000000154</v>
      </c>
      <c r="AA157" s="11">
        <f>IF(OR(履歴データ!$A$157="",履歴データ!$A$156=""),"",-40000*P157)</f>
        <v>307974.28710937197</v>
      </c>
      <c r="AB157" s="11">
        <f>IF(履歴データ!$A$157="","",123.3)</f>
        <v>123.3</v>
      </c>
      <c r="AC157">
        <f>IF(履歴データ!$A$157="","",SUM(T157:AA157))</f>
        <v>-216258.00401658285</v>
      </c>
      <c r="AD157" s="29">
        <f>IF(履歴データ!$A$157="","",AC157/1000000)</f>
        <v>-0.21625800401658285</v>
      </c>
      <c r="AE157" s="29">
        <f>IF(履歴データ!$A$157="",AE156,AE156+AC157/1000000)</f>
        <v>87.153371962838307</v>
      </c>
      <c r="AF157" s="12">
        <f>IF(OR(履歴データ!$A$157="",AE156=0),"",(AE157-AE156)/AE156)</f>
        <v>-2.4752079652691872E-3</v>
      </c>
      <c r="AG157" s="29">
        <f t="shared" si="8"/>
        <v>102.17217746631495</v>
      </c>
      <c r="AH157" s="12">
        <f>IF(OR(履歴データ!$A$157="",AG157=0),"",AE157/AG157-1)</f>
        <v>-0.14699506143370766</v>
      </c>
      <c r="AJ157" s="28">
        <f t="shared" ca="1" si="6"/>
        <v>-32.013340380115551</v>
      </c>
      <c r="AK157" s="28">
        <f t="shared" ca="1" si="7"/>
        <v>-53.961018594243427</v>
      </c>
    </row>
    <row r="158" spans="1:37">
      <c r="A158" s="10">
        <f>IF(履歴データ!$A$158="","",履歴データ!$A$158)</f>
        <v>45154</v>
      </c>
      <c r="B158" s="28">
        <f>IF(履歴データ!$A$158="","",(履歴データ!$D$158-(履歴データ!$B$158+履歴データ!$F$158)/2)*100)</f>
        <v>-39.499999999999957</v>
      </c>
      <c r="C158" s="28">
        <f>IF(履歴データ!$A$158="","",(履歴データ!$H$158-(履歴データ!$G$158+履歴データ!$J$158)/2)*100)</f>
        <v>-13.749999999999996</v>
      </c>
      <c r="D158" s="28">
        <f>IF(履歴データ!$A$158="","",(履歴データ!$D$158-履歴データ!$H$158)*100)</f>
        <v>364.9</v>
      </c>
      <c r="E158" s="28">
        <f>IF(履歴データ!$A$158="","",(履歴データ!$D$158-履歴データ!$C$158)*100)</f>
        <v>-13.999999999999968</v>
      </c>
      <c r="F158" s="28">
        <f>IF(履歴データ!$A$158="","",(履歴データ!$R$158-履歴データ!$D$158)*100)</f>
        <v>-173.91</v>
      </c>
      <c r="G158" s="28">
        <f>IF(履歴データ!$A$158="","",(履歴データ!$S$158-履歴データ!$R$158)*100)</f>
        <v>-212.46817858886718</v>
      </c>
      <c r="H158" s="29">
        <f>IF(履歴データ!$A$158="","",履歴データ!$O$158)</f>
        <v>146.33299255371094</v>
      </c>
      <c r="I158" s="29">
        <f>IF(履歴データ!$A$158="","",履歴データ!$Q$158)</f>
        <v>109.5625</v>
      </c>
      <c r="J158" s="29">
        <f>IF(履歴データ!$A$158="","",履歴データ!$D$158)</f>
        <v>4.28</v>
      </c>
      <c r="K158" s="28">
        <f>IF(OR(履歴データ!$A$158="",履歴データ!$A$157=""),"",B158-B157)</f>
        <v>1.5000000000000568</v>
      </c>
      <c r="L158" s="28">
        <f>IF(OR(履歴データ!$A$158="",履歴データ!$A$157=""),"",C158-C157)</f>
        <v>0.69999999999999929</v>
      </c>
      <c r="M158" s="28">
        <f>IF(OR(履歴データ!$A$158="",履歴データ!$A$157=""),"",D158-D157)</f>
        <v>7.0999999999999659</v>
      </c>
      <c r="N158" s="28">
        <f>IF(OR(履歴データ!$A$158="",履歴データ!$A$157=""),"",E158-E157)</f>
        <v>1.0000000000000675</v>
      </c>
      <c r="O158" s="28">
        <f>IF(OR(履歴データ!$A$158="",履歴データ!$A$157=""),"",F158-F157)</f>
        <v>2.4699999999999989</v>
      </c>
      <c r="P158" s="28">
        <f>IF(OR(履歴データ!$A$158="",履歴データ!$A$157=""),"",G158-G157)</f>
        <v>-8.9438214111326033</v>
      </c>
      <c r="Q158" s="29">
        <f>IF(OR(履歴データ!$A$158="",履歴データ!$A$157=""),"",H158-H157)</f>
        <v>0.7249908447265625</v>
      </c>
      <c r="R158" s="29">
        <f>IF(OR(履歴データ!$A$158="",履歴データ!$A$157=""),"",I158-I157)</f>
        <v>-0.203125</v>
      </c>
      <c r="S158" s="28">
        <f>IF(OR(履歴データ!$A$158="",履歴データ!$A$157=""),"",(J158-J157)*100)</f>
        <v>7.0000000000000284</v>
      </c>
      <c r="T158" s="11">
        <f>IF(OR(履歴データ!$A$158="",履歴データ!$A$157=""),"",-80000*K158)</f>
        <v>-120000.00000000454</v>
      </c>
      <c r="U158" s="11">
        <f>IF(OR(履歴データ!$A$158="",履歴データ!$A$157=""),"",60000*L158)</f>
        <v>41999.999999999956</v>
      </c>
      <c r="V158" s="11">
        <f>IF(OR(履歴データ!$A$158="",履歴データ!$A$157=""),"",-50000*M158)</f>
        <v>-354999.99999999831</v>
      </c>
      <c r="W158" s="11">
        <f>IF(OR(履歴データ!$A$158="",履歴データ!$A$157=""),"",-40000*N158)</f>
        <v>-40000.000000002699</v>
      </c>
      <c r="X158" s="11">
        <f>IF(OR(履歴データ!$A$158="",履歴データ!$A$157=""),"",120*1000000*(-Q158/H157))</f>
        <v>-597487.09099837509</v>
      </c>
      <c r="Y158" s="11">
        <f>IF(OR(履歴データ!$A$158="",履歴データ!$A$157=""),"",40000*(-S158)+(-506.3)*R158*1000)</f>
        <v>-177157.81250000116</v>
      </c>
      <c r="Z158" s="11">
        <f>IF(OR(履歴データ!$A$158="",履歴データ!$A$157=""),"",-40000*O158)</f>
        <v>-98799.999999999956</v>
      </c>
      <c r="AA158" s="11">
        <f>IF(OR(履歴データ!$A$158="",履歴データ!$A$157=""),"",-40000*P158)</f>
        <v>357752.85644530412</v>
      </c>
      <c r="AB158" s="11">
        <f>IF(履歴データ!$A$158="","",123.3)</f>
        <v>123.3</v>
      </c>
      <c r="AC158">
        <f>IF(履歴データ!$A$158="","",SUM(T158:AA158))</f>
        <v>-988692.04705307772</v>
      </c>
      <c r="AD158" s="29">
        <f>IF(履歴データ!$A$158="","",AC158/1000000)</f>
        <v>-0.98869204705307767</v>
      </c>
      <c r="AE158" s="29">
        <f>IF(履歴データ!$A$158="",AE157,AE157+AC158/1000000)</f>
        <v>86.164679915785229</v>
      </c>
      <c r="AF158" s="12">
        <f>IF(OR(履歴データ!$A$158="",AE157=0),"",(AE158-AE157)/AE157)</f>
        <v>-1.134427761985676E-2</v>
      </c>
      <c r="AG158" s="29">
        <f t="shared" si="8"/>
        <v>102.17217746631495</v>
      </c>
      <c r="AH158" s="12">
        <f>IF(OR(履歴データ!$A$158="",AG158=0),"",AE158/AG158-1)</f>
        <v>-0.15667178626791245</v>
      </c>
      <c r="AJ158" s="28">
        <f t="shared" ca="1" si="6"/>
        <v>-32.01220556394604</v>
      </c>
      <c r="AK158" s="28">
        <f t="shared" ca="1" si="7"/>
        <v>-53.917730741786443</v>
      </c>
    </row>
    <row r="159" spans="1:37">
      <c r="A159" s="10">
        <f>IF(履歴データ!$A$159="","",履歴データ!$A$159)</f>
        <v>45155</v>
      </c>
      <c r="B159" s="28">
        <f>IF(履歴データ!$A$159="","",(履歴データ!$D$159-(履歴データ!$B$159+履歴データ!$F$159)/2)*100)</f>
        <v>-37.500000000000085</v>
      </c>
      <c r="C159" s="28">
        <f>IF(履歴データ!$A$159="","",(履歴データ!$H$159-(履歴データ!$G$159+履歴データ!$J$159)/2)*100)</f>
        <v>-14.549999999999997</v>
      </c>
      <c r="D159" s="28">
        <f>IF(履歴データ!$A$159="","",(履歴データ!$D$159-履歴データ!$H$159)*100)</f>
        <v>364.29999999999995</v>
      </c>
      <c r="E159" s="28">
        <f>IF(履歴データ!$A$159="","",(履歴データ!$D$159-履歴データ!$C$159)*100)</f>
        <v>-12.000000000000011</v>
      </c>
      <c r="F159" s="28">
        <f>IF(履歴データ!$A$159="","",(履歴データ!$R$159-履歴データ!$D$159)*100)</f>
        <v>-174.62999999999997</v>
      </c>
      <c r="G159" s="28">
        <f>IF(履歴データ!$A$159="","",(履歴データ!$S$159-履歴データ!$R$159)*100)</f>
        <v>-207.96</v>
      </c>
      <c r="H159" s="29">
        <f>IF(履歴データ!$A$159="","",履歴データ!$O$159)</f>
        <v>145.71400451660156</v>
      </c>
      <c r="I159" s="29">
        <f>IF(履歴データ!$A$159="","",履歴データ!$Q$159)</f>
        <v>109.28125</v>
      </c>
      <c r="J159" s="29">
        <f>IF(履歴データ!$A$159="","",履歴データ!$D$159)</f>
        <v>4.3</v>
      </c>
      <c r="K159" s="28">
        <f>IF(OR(履歴データ!$A$159="",履歴データ!$A$158=""),"",B159-B158)</f>
        <v>1.9999999999998721</v>
      </c>
      <c r="L159" s="28">
        <f>IF(OR(履歴データ!$A$159="",履歴データ!$A$158=""),"",C159-C158)</f>
        <v>-0.80000000000000071</v>
      </c>
      <c r="M159" s="28">
        <f>IF(OR(履歴データ!$A$159="",履歴データ!$A$158=""),"",D159-D158)</f>
        <v>-0.60000000000002274</v>
      </c>
      <c r="N159" s="28">
        <f>IF(OR(履歴データ!$A$159="",履歴データ!$A$158=""),"",E159-E158)</f>
        <v>1.9999999999999574</v>
      </c>
      <c r="O159" s="28">
        <f>IF(OR(履歴データ!$A$159="",履歴データ!$A$158=""),"",F159-F158)</f>
        <v>-0.71999999999997044</v>
      </c>
      <c r="P159" s="28">
        <f>IF(OR(履歴データ!$A$159="",履歴データ!$A$158=""),"",G159-G158)</f>
        <v>4.5081785888671675</v>
      </c>
      <c r="Q159" s="29">
        <f>IF(OR(履歴データ!$A$159="",履歴データ!$A$158=""),"",H159-H158)</f>
        <v>-0.618988037109375</v>
      </c>
      <c r="R159" s="29">
        <f>IF(OR(履歴データ!$A$159="",履歴データ!$A$158=""),"",I159-I158)</f>
        <v>-0.28125</v>
      </c>
      <c r="S159" s="28">
        <f>IF(OR(履歴データ!$A$159="",履歴データ!$A$158=""),"",(J159-J158)*100)</f>
        <v>1.9999999999999574</v>
      </c>
      <c r="T159" s="11">
        <f>IF(OR(履歴データ!$A$159="",履歴データ!$A$158=""),"",-80000*K159)</f>
        <v>-159999.99999998976</v>
      </c>
      <c r="U159" s="11">
        <f>IF(OR(履歴データ!$A$159="",履歴データ!$A$158=""),"",60000*L159)</f>
        <v>-48000.000000000044</v>
      </c>
      <c r="V159" s="11">
        <f>IF(OR(履歴データ!$A$159="",履歴データ!$A$158=""),"",-50000*M159)</f>
        <v>30000.000000001135</v>
      </c>
      <c r="W159" s="11">
        <f>IF(OR(履歴データ!$A$159="",履歴データ!$A$158=""),"",-40000*N159)</f>
        <v>-79999.999999998297</v>
      </c>
      <c r="X159" s="11">
        <f>IF(OR(履歴データ!$A$159="",履歴データ!$A$158=""),"",120*1000000*(-Q159/H158))</f>
        <v>507599.57243313635</v>
      </c>
      <c r="Y159" s="11">
        <f>IF(OR(履歴データ!$A$159="",履歴データ!$A$158=""),"",40000*(-S159)+(-506.3)*R159*1000)</f>
        <v>62396.875000001703</v>
      </c>
      <c r="Z159" s="11">
        <f>IF(OR(履歴データ!$A$159="",履歴データ!$A$158=""),"",-40000*O159)</f>
        <v>28799.999999998818</v>
      </c>
      <c r="AA159" s="11">
        <f>IF(OR(履歴データ!$A$159="",履歴データ!$A$158=""),"",-40000*P159)</f>
        <v>-180327.14355468669</v>
      </c>
      <c r="AB159" s="11">
        <f>IF(履歴データ!$A$159="","",123.3)</f>
        <v>123.3</v>
      </c>
      <c r="AC159">
        <f>IF(履歴データ!$A$159="","",SUM(T159:AA159))</f>
        <v>160469.30387846322</v>
      </c>
      <c r="AD159" s="29">
        <f>IF(履歴データ!$A$159="","",AC159/1000000)</f>
        <v>0.16046930387846323</v>
      </c>
      <c r="AE159" s="29">
        <f>IF(履歴データ!$A$159="",AE158,AE158+AC159/1000000)</f>
        <v>86.325149219663686</v>
      </c>
      <c r="AF159" s="12">
        <f>IF(OR(履歴データ!$A$159="",AE158=0),"",(AE159-AE158)/AE158)</f>
        <v>1.8623559448638974E-3</v>
      </c>
      <c r="AG159" s="29">
        <f t="shared" si="8"/>
        <v>102.17217746631495</v>
      </c>
      <c r="AH159" s="12">
        <f>IF(OR(履歴データ!$A$159="",AG159=0),"",AE159/AG159-1)</f>
        <v>-0.15510120895559709</v>
      </c>
      <c r="AJ159" s="28">
        <f t="shared" ca="1" si="6"/>
        <v>-31.977982252018897</v>
      </c>
      <c r="AK159" s="28">
        <f t="shared" ca="1" si="7"/>
        <v>-53.882777241651986</v>
      </c>
    </row>
    <row r="160" spans="1:37">
      <c r="A160" s="10">
        <f>IF(履歴データ!$A$160="","",履歴データ!$A$160)</f>
        <v>45156</v>
      </c>
      <c r="B160" s="28">
        <f>IF(履歴データ!$A$160="","",(履歴データ!$D$160-(履歴データ!$B$160+履歴データ!$F$160)/2)*100)</f>
        <v>-39.000000000000057</v>
      </c>
      <c r="C160" s="28">
        <f>IF(履歴データ!$A$160="","",(履歴データ!$H$160-(履歴データ!$G$160+履歴データ!$J$160)/2)*100)</f>
        <v>-16.149999999999999</v>
      </c>
      <c r="D160" s="28">
        <f>IF(履歴データ!$A$160="","",(履歴データ!$D$160-履歴データ!$H$160)*100)</f>
        <v>362.79999999999995</v>
      </c>
      <c r="E160" s="28">
        <f>IF(履歴データ!$A$160="","",(履歴データ!$D$160-履歴データ!$C$160)*100)</f>
        <v>-12.000000000000011</v>
      </c>
      <c r="F160" s="28">
        <f>IF(履歴データ!$A$160="","",(履歴データ!$R$160-履歴データ!$D$160)*100)</f>
        <v>-161.26999999999998</v>
      </c>
      <c r="G160" s="28">
        <f>IF(履歴データ!$A$160="","",(履歴データ!$S$160-履歴データ!$R$160)*100)</f>
        <v>-218.89864282226577</v>
      </c>
      <c r="H160" s="29">
        <f>IF(履歴データ!$A$160="","",履歴データ!$O$160)</f>
        <v>145.71400451660156</v>
      </c>
      <c r="I160" s="29">
        <f>IF(履歴データ!$A$160="","",履歴データ!$Q$160)</f>
        <v>109.640625</v>
      </c>
      <c r="J160" s="29">
        <f>IF(履歴データ!$A$160="","",履歴データ!$D$160)</f>
        <v>4.26</v>
      </c>
      <c r="K160" s="28">
        <f>IF(OR(履歴データ!$A$160="",履歴データ!$A$159=""),"",B160-B159)</f>
        <v>-1.4999999999999716</v>
      </c>
      <c r="L160" s="28">
        <f>IF(OR(履歴データ!$A$160="",履歴データ!$A$159=""),"",C160-C159)</f>
        <v>-1.6000000000000014</v>
      </c>
      <c r="M160" s="28">
        <f>IF(OR(履歴データ!$A$160="",履歴データ!$A$159=""),"",D160-D159)</f>
        <v>-1.5</v>
      </c>
      <c r="N160" s="28">
        <f>IF(OR(履歴データ!$A$160="",履歴データ!$A$159=""),"",E160-E159)</f>
        <v>0</v>
      </c>
      <c r="O160" s="28">
        <f>IF(OR(履歴データ!$A$160="",履歴データ!$A$159=""),"",F160-F159)</f>
        <v>13.359999999999985</v>
      </c>
      <c r="P160" s="28">
        <f>IF(OR(履歴データ!$A$160="",履歴データ!$A$159=""),"",G160-G159)</f>
        <v>-10.938642822265763</v>
      </c>
      <c r="Q160" s="29">
        <f>IF(OR(履歴データ!$A$160="",履歴データ!$A$159=""),"",H160-H159)</f>
        <v>0</v>
      </c>
      <c r="R160" s="29">
        <f>IF(OR(履歴データ!$A$160="",履歴データ!$A$159=""),"",I160-I159)</f>
        <v>0.359375</v>
      </c>
      <c r="S160" s="28">
        <f>IF(OR(履歴データ!$A$160="",履歴データ!$A$159=""),"",(J160-J159)*100)</f>
        <v>-4.0000000000000036</v>
      </c>
      <c r="T160" s="11">
        <f>IF(OR(履歴データ!$A$160="",履歴データ!$A$159=""),"",-80000*K160)</f>
        <v>119999.99999999773</v>
      </c>
      <c r="U160" s="11">
        <f>IF(OR(履歴データ!$A$160="",履歴データ!$A$159=""),"",60000*L160)</f>
        <v>-96000.000000000087</v>
      </c>
      <c r="V160" s="11">
        <f>IF(OR(履歴データ!$A$160="",履歴データ!$A$159=""),"",-50000*M160)</f>
        <v>75000</v>
      </c>
      <c r="W160" s="11">
        <f>IF(OR(履歴データ!$A$160="",履歴データ!$A$159=""),"",-40000*N160)</f>
        <v>0</v>
      </c>
      <c r="X160" s="11">
        <f>IF(OR(履歴データ!$A$160="",履歴データ!$A$159=""),"",120*1000000*(-Q160/H159))</f>
        <v>0</v>
      </c>
      <c r="Y160" s="11">
        <f>IF(OR(履歴データ!$A$160="",履歴データ!$A$159=""),"",40000*(-S160)+(-506.3)*R160*1000)</f>
        <v>-21951.562499999854</v>
      </c>
      <c r="Z160" s="11">
        <f>IF(OR(履歴データ!$A$160="",履歴データ!$A$159=""),"",-40000*O160)</f>
        <v>-534399.99999999942</v>
      </c>
      <c r="AA160" s="11">
        <f>IF(OR(履歴データ!$A$160="",履歴データ!$A$159=""),"",-40000*P160)</f>
        <v>437545.71289063053</v>
      </c>
      <c r="AB160" s="11">
        <f>IF(履歴データ!$A$160="","",123.3)</f>
        <v>123.3</v>
      </c>
      <c r="AC160">
        <f>IF(履歴データ!$A$160="","",SUM(T160:AA160))</f>
        <v>-19805.8496093711</v>
      </c>
      <c r="AD160" s="29">
        <f>IF(履歴データ!$A$160="","",AC160/1000000)</f>
        <v>-1.9805849609371099E-2</v>
      </c>
      <c r="AE160" s="29">
        <f>IF(履歴データ!$A$160="",AE159,AE159+AC160/1000000)</f>
        <v>86.305343370054317</v>
      </c>
      <c r="AF160" s="12">
        <f>IF(OR(履歴データ!$A$160="",AE159=0),"",(AE160-AE159)/AE159)</f>
        <v>-2.2943313493697237E-4</v>
      </c>
      <c r="AG160" s="29">
        <f t="shared" si="8"/>
        <v>102.17217746631495</v>
      </c>
      <c r="AH160" s="12">
        <f>IF(OR(履歴データ!$A$160="",AG160=0),"",AE160/AG160-1)</f>
        <v>-0.15529505673393085</v>
      </c>
      <c r="AJ160" s="28">
        <f t="shared" ca="1" si="6"/>
        <v>-31.970193858210735</v>
      </c>
      <c r="AK160" s="28">
        <f t="shared" ca="1" si="7"/>
        <v>-53.841126896506253</v>
      </c>
    </row>
    <row r="161" spans="1:37">
      <c r="A161" s="10">
        <f>IF(履歴データ!$A$161="","",履歴データ!$A$161)</f>
        <v>45159</v>
      </c>
      <c r="B161" s="28">
        <f>IF(履歴データ!$A$161="","",(履歴データ!$D$161-(履歴データ!$B$161+履歴データ!$F$161)/2)*100)</f>
        <v>-37.000000000000014</v>
      </c>
      <c r="C161" s="28">
        <f>IF(履歴データ!$A$161="","",(履歴データ!$H$161-(履歴データ!$G$161+履歴データ!$J$161)/2)*100)</f>
        <v>-15.049999999999997</v>
      </c>
      <c r="D161" s="28">
        <f>IF(履歴データ!$A$161="","",(履歴データ!$D$161-履歴データ!$H$161)*100)</f>
        <v>368.29999999999995</v>
      </c>
      <c r="E161" s="28">
        <f>IF(履歴データ!$A$161="","",(履歴データ!$D$161-履歴データ!$C$161)*100)</f>
        <v>-12.000000000000011</v>
      </c>
      <c r="F161" s="28">
        <f>IF(履歴データ!$A$161="","",(履歴データ!$R$161-履歴データ!$D$161)*100)</f>
        <v>-178.7</v>
      </c>
      <c r="G161" s="28">
        <f>IF(履歴データ!$A$161="","",(履歴データ!$S$161-履歴データ!$R$161)*100)</f>
        <v>-209.99482141113282</v>
      </c>
      <c r="H161" s="29">
        <f>IF(履歴データ!$A$161="","",履歴データ!$O$161)</f>
        <v>146.23800659179688</v>
      </c>
      <c r="I161" s="29">
        <f>IF(履歴データ!$A$161="","",履歴データ!$Q$161)</f>
        <v>109.078125</v>
      </c>
      <c r="J161" s="29">
        <f>IF(履歴データ!$A$161="","",履歴データ!$D$161)</f>
        <v>4.34</v>
      </c>
      <c r="K161" s="28">
        <f>IF(OR(履歴データ!$A$161="",履歴データ!$A$160=""),"",B161-B160)</f>
        <v>2.0000000000000426</v>
      </c>
      <c r="L161" s="28">
        <f>IF(OR(履歴データ!$A$161="",履歴データ!$A$160=""),"",C161-C160)</f>
        <v>1.1000000000000014</v>
      </c>
      <c r="M161" s="28">
        <f>IF(OR(履歴データ!$A$161="",履歴データ!$A$160=""),"",D161-D160)</f>
        <v>5.5</v>
      </c>
      <c r="N161" s="28">
        <f>IF(OR(履歴データ!$A$161="",履歴データ!$A$160=""),"",E161-E160)</f>
        <v>0</v>
      </c>
      <c r="O161" s="28">
        <f>IF(OR(履歴データ!$A$161="",履歴データ!$A$160=""),"",F161-F160)</f>
        <v>-17.430000000000007</v>
      </c>
      <c r="P161" s="28">
        <f>IF(OR(履歴データ!$A$161="",履歴データ!$A$160=""),"",G161-G160)</f>
        <v>8.9038214111329523</v>
      </c>
      <c r="Q161" s="29">
        <f>IF(OR(履歴データ!$A$161="",履歴データ!$A$160=""),"",H161-H160)</f>
        <v>0.5240020751953125</v>
      </c>
      <c r="R161" s="29">
        <f>IF(OR(履歴データ!$A$161="",履歴データ!$A$160=""),"",I161-I160)</f>
        <v>-0.5625</v>
      </c>
      <c r="S161" s="28">
        <f>IF(OR(履歴データ!$A$161="",履歴データ!$A$160=""),"",(J161-J160)*100)</f>
        <v>8.0000000000000071</v>
      </c>
      <c r="T161" s="11">
        <f>IF(OR(履歴データ!$A$161="",履歴データ!$A$160=""),"",-80000*K161)</f>
        <v>-160000.00000000341</v>
      </c>
      <c r="U161" s="11">
        <f>IF(OR(履歴データ!$A$161="",履歴データ!$A$160=""),"",60000*L161)</f>
        <v>66000.000000000087</v>
      </c>
      <c r="V161" s="11">
        <f>IF(OR(履歴データ!$A$161="",履歴データ!$A$160=""),"",-50000*M161)</f>
        <v>-275000</v>
      </c>
      <c r="W161" s="11">
        <f>IF(OR(履歴データ!$A$161="",履歴データ!$A$160=""),"",-40000*N161)</f>
        <v>0</v>
      </c>
      <c r="X161" s="11">
        <f>IF(OR(履歴データ!$A$161="",履歴データ!$A$160=""),"",120*1000000*(-Q161/H160))</f>
        <v>-431531.95351427869</v>
      </c>
      <c r="Y161" s="11">
        <f>IF(OR(履歴データ!$A$161="",履歴データ!$A$160=""),"",40000*(-S161)+(-506.3)*R161*1000)</f>
        <v>-35206.250000000291</v>
      </c>
      <c r="Z161" s="11">
        <f>IF(OR(履歴データ!$A$161="",履歴データ!$A$160=""),"",-40000*O161)</f>
        <v>697200.00000000023</v>
      </c>
      <c r="AA161" s="11">
        <f>IF(OR(履歴データ!$A$161="",履歴データ!$A$160=""),"",-40000*P161)</f>
        <v>-356152.85644531809</v>
      </c>
      <c r="AB161" s="11">
        <f>IF(履歴データ!$A$161="","",123.3)</f>
        <v>123.3</v>
      </c>
      <c r="AC161">
        <f>IF(履歴データ!$A$161="","",SUM(T161:AA161))</f>
        <v>-494691.05995960021</v>
      </c>
      <c r="AD161" s="29">
        <f>IF(履歴データ!$A$161="","",AC161/1000000)</f>
        <v>-0.49469105995960022</v>
      </c>
      <c r="AE161" s="29">
        <f>IF(履歴データ!$A$161="",AE160,AE160+AC161/1000000)</f>
        <v>85.81065231009471</v>
      </c>
      <c r="AF161" s="12">
        <f>IF(OR(履歴データ!$A$161="",AE160=0),"",(AE161-AE160)/AE160)</f>
        <v>-5.7318705962214082E-3</v>
      </c>
      <c r="AG161" s="29">
        <f t="shared" si="8"/>
        <v>102.17217746631495</v>
      </c>
      <c r="AH161" s="12">
        <f>IF(OR(履歴データ!$A$161="",AG161=0),"",AE161/AG161-1)</f>
        <v>-0.16013679616072052</v>
      </c>
      <c r="AJ161" s="28">
        <f t="shared" ca="1" si="6"/>
        <v>-31.927806471993858</v>
      </c>
      <c r="AK161" s="28">
        <f t="shared" ca="1" si="7"/>
        <v>-53.809693528006136</v>
      </c>
    </row>
    <row r="162" spans="1:37">
      <c r="A162" s="10">
        <f>IF(履歴データ!$A$162="","",履歴データ!$A$162)</f>
        <v>45160</v>
      </c>
      <c r="B162" s="28">
        <f>IF(履歴データ!$A$162="","",(履歴データ!$D$162-(履歴データ!$B$162+履歴データ!$F$162)/2)*100)</f>
        <v>-37.999999999999986</v>
      </c>
      <c r="C162" s="28">
        <f>IF(履歴データ!$A$162="","",(履歴データ!$H$162-(履歴データ!$G$162+履歴データ!$J$162)/2)*100)</f>
        <v>-13.849999999999996</v>
      </c>
      <c r="D162" s="28">
        <f>IF(履歴データ!$A$162="","",(履歴データ!$D$162-履歴データ!$H$162)*100)</f>
        <v>366.7</v>
      </c>
      <c r="E162" s="28">
        <f>IF(履歴データ!$A$162="","",(履歴データ!$D$162-履歴データ!$C$162)*100)</f>
        <v>-15.000000000000036</v>
      </c>
      <c r="F162" s="28">
        <f>IF(履歴データ!$A$162="","",(履歴データ!$R$162-履歴データ!$D$162)*100)</f>
        <v>-172.41</v>
      </c>
      <c r="G162" s="28">
        <f>IF(履歴データ!$A$162="","",(履歴データ!$S$162-履歴データ!$R$162)*100)</f>
        <v>-212.77682141113308</v>
      </c>
      <c r="H162" s="29">
        <f>IF(履歴データ!$A$162="","",履歴データ!$O$162)</f>
        <v>145.76300048828125</v>
      </c>
      <c r="I162" s="29">
        <f>IF(履歴データ!$A$162="","",履歴データ!$Q$162)</f>
        <v>109.0625</v>
      </c>
      <c r="J162" s="29">
        <f>IF(履歴データ!$A$162="","",履歴データ!$D$162)</f>
        <v>4.34</v>
      </c>
      <c r="K162" s="28">
        <f>IF(OR(履歴データ!$A$162="",履歴データ!$A$161=""),"",B162-B161)</f>
        <v>-0.99999999999997158</v>
      </c>
      <c r="L162" s="28">
        <f>IF(OR(履歴データ!$A$162="",履歴データ!$A$161=""),"",C162-C161)</f>
        <v>1.2000000000000011</v>
      </c>
      <c r="M162" s="28">
        <f>IF(OR(履歴データ!$A$162="",履歴データ!$A$161=""),"",D162-D161)</f>
        <v>-1.5999999999999659</v>
      </c>
      <c r="N162" s="28">
        <f>IF(OR(履歴データ!$A$162="",履歴データ!$A$161=""),"",E162-E161)</f>
        <v>-3.0000000000000249</v>
      </c>
      <c r="O162" s="28">
        <f>IF(OR(履歴データ!$A$162="",履歴データ!$A$161=""),"",F162-F161)</f>
        <v>6.289999999999992</v>
      </c>
      <c r="P162" s="28">
        <f>IF(OR(履歴データ!$A$162="",履歴データ!$A$161=""),"",G162-G161)</f>
        <v>-2.7820000000002665</v>
      </c>
      <c r="Q162" s="29">
        <f>IF(OR(履歴データ!$A$162="",履歴データ!$A$161=""),"",H162-H161)</f>
        <v>-0.475006103515625</v>
      </c>
      <c r="R162" s="29">
        <f>IF(OR(履歴データ!$A$162="",履歴データ!$A$161=""),"",I162-I161)</f>
        <v>-1.5625E-2</v>
      </c>
      <c r="S162" s="28">
        <f>IF(OR(履歴データ!$A$162="",履歴データ!$A$161=""),"",(J162-J161)*100)</f>
        <v>0</v>
      </c>
      <c r="T162" s="11">
        <f>IF(OR(履歴データ!$A$162="",履歴データ!$A$161=""),"",-80000*K162)</f>
        <v>79999.99999999773</v>
      </c>
      <c r="U162" s="11">
        <f>IF(OR(履歴データ!$A$162="",履歴データ!$A$161=""),"",60000*L162)</f>
        <v>72000.000000000058</v>
      </c>
      <c r="V162" s="11">
        <f>IF(OR(履歴データ!$A$162="",履歴データ!$A$161=""),"",-50000*M162)</f>
        <v>79999.999999998297</v>
      </c>
      <c r="W162" s="11">
        <f>IF(OR(履歴データ!$A$162="",履歴データ!$A$161=""),"",-40000*N162)</f>
        <v>120000.00000000099</v>
      </c>
      <c r="X162" s="11">
        <f>IF(OR(履歴データ!$A$162="",履歴データ!$A$161=""),"",120*1000000*(-Q162/H161))</f>
        <v>389780.56218302157</v>
      </c>
      <c r="Y162" s="11">
        <f>IF(OR(履歴データ!$A$162="",履歴データ!$A$161=""),"",40000*(-S162)+(-506.3)*R162*1000)</f>
        <v>7910.9375</v>
      </c>
      <c r="Z162" s="11">
        <f>IF(OR(履歴データ!$A$162="",履歴データ!$A$161=""),"",-40000*O162)</f>
        <v>-251599.99999999968</v>
      </c>
      <c r="AA162" s="11">
        <f>IF(OR(履歴データ!$A$162="",履歴データ!$A$161=""),"",-40000*P162)</f>
        <v>111280.00000001065</v>
      </c>
      <c r="AB162" s="11">
        <f>IF(履歴データ!$A$162="","",123.3)</f>
        <v>123.3</v>
      </c>
      <c r="AC162">
        <f>IF(履歴データ!$A$162="","",SUM(T162:AA162))</f>
        <v>609371.49968302972</v>
      </c>
      <c r="AD162" s="29">
        <f>IF(履歴データ!$A$162="","",AC162/1000000)</f>
        <v>0.60937149968302973</v>
      </c>
      <c r="AE162" s="29">
        <f>IF(履歴データ!$A$162="",AE161,AE161+AC162/1000000)</f>
        <v>86.420023809777746</v>
      </c>
      <c r="AF162" s="12">
        <f>IF(OR(履歴データ!$A$162="",AE161=0),"",(AE162-AE161)/AE161)</f>
        <v>7.1013502785288772E-3</v>
      </c>
      <c r="AG162" s="29">
        <f t="shared" si="8"/>
        <v>102.17217746631495</v>
      </c>
      <c r="AH162" s="12">
        <f>IF(OR(履歴データ!$A$162="",AG162=0),"",AE162/AG162-1)</f>
        <v>-0.15417263336421028</v>
      </c>
      <c r="AJ162" s="28">
        <f t="shared" ca="1" si="6"/>
        <v>-31.90484428367624</v>
      </c>
      <c r="AK162" s="28">
        <f t="shared" ca="1" si="7"/>
        <v>-53.77217434986413</v>
      </c>
    </row>
    <row r="163" spans="1:37">
      <c r="A163" s="10">
        <f>IF(履歴データ!$A$163="","",履歴データ!$A$163)</f>
        <v>45161</v>
      </c>
      <c r="B163" s="28">
        <f>IF(履歴データ!$A$163="","",(履歴データ!$D$163-(履歴データ!$B$163+履歴データ!$F$163)/2)*100)</f>
        <v>-41.999999999999901</v>
      </c>
      <c r="C163" s="28">
        <f>IF(履歴データ!$A$163="","",(履歴データ!$H$163-(履歴データ!$G$163+履歴データ!$J$163)/2)*100)</f>
        <v>-13.5</v>
      </c>
      <c r="D163" s="28">
        <f>IF(履歴データ!$A$163="","",(履歴データ!$D$163-履歴データ!$H$163)*100)</f>
        <v>350.80000000000007</v>
      </c>
      <c r="E163" s="28">
        <f>IF(履歴データ!$A$163="","",(履歴データ!$D$163-履歴データ!$C$163)*100)</f>
        <v>-16.999999999999993</v>
      </c>
      <c r="F163" s="28">
        <f>IF(履歴データ!$A$163="","",(履歴データ!$R$163-履歴データ!$D$163)*100)</f>
        <v>-159.13000000000005</v>
      </c>
      <c r="G163" s="28">
        <f>IF(履歴データ!$A$163="","",(履歴データ!$S$163-履歴データ!$R$163)*100)</f>
        <v>-210.70599999999996</v>
      </c>
      <c r="H163" s="29">
        <f>IF(履歴データ!$A$163="","",履歴データ!$O$163)</f>
        <v>144.67300415039063</v>
      </c>
      <c r="I163" s="29">
        <f>IF(履歴データ!$A$163="","",履歴データ!$Q$163)</f>
        <v>109.90625</v>
      </c>
      <c r="J163" s="29">
        <f>IF(履歴データ!$A$163="","",履歴データ!$D$163)</f>
        <v>4.1900000000000004</v>
      </c>
      <c r="K163" s="28">
        <f>IF(OR(履歴データ!$A$163="",履歴データ!$A$162=""),"",B163-B162)</f>
        <v>-3.9999999999999147</v>
      </c>
      <c r="L163" s="28">
        <f>IF(OR(履歴データ!$A$163="",履歴データ!$A$162=""),"",C163-C162)</f>
        <v>0.34999999999999609</v>
      </c>
      <c r="M163" s="28">
        <f>IF(OR(履歴データ!$A$163="",履歴データ!$A$162=""),"",D163-D162)</f>
        <v>-15.89999999999992</v>
      </c>
      <c r="N163" s="28">
        <f>IF(OR(履歴データ!$A$163="",履歴データ!$A$162=""),"",E163-E162)</f>
        <v>-1.9999999999999574</v>
      </c>
      <c r="O163" s="28">
        <f>IF(OR(履歴データ!$A$163="",履歴データ!$A$162=""),"",F163-F162)</f>
        <v>13.279999999999944</v>
      </c>
      <c r="P163" s="28">
        <f>IF(OR(履歴データ!$A$163="",履歴データ!$A$162=""),"",G163-G162)</f>
        <v>2.0708214111331245</v>
      </c>
      <c r="Q163" s="29">
        <f>IF(OR(履歴データ!$A$163="",履歴データ!$A$162=""),"",H163-H162)</f>
        <v>-1.089996337890625</v>
      </c>
      <c r="R163" s="29">
        <f>IF(OR(履歴データ!$A$163="",履歴データ!$A$162=""),"",I163-I162)</f>
        <v>0.84375</v>
      </c>
      <c r="S163" s="28">
        <f>IF(OR(履歴データ!$A$163="",履歴データ!$A$162=""),"",(J163-J162)*100)</f>
        <v>-14.999999999999947</v>
      </c>
      <c r="T163" s="11">
        <f>IF(OR(履歴データ!$A$163="",履歴データ!$A$162=""),"",-80000*K163)</f>
        <v>319999.99999999319</v>
      </c>
      <c r="U163" s="11">
        <f>IF(OR(履歴データ!$A$163="",履歴データ!$A$162=""),"",60000*L163)</f>
        <v>20999.999999999767</v>
      </c>
      <c r="V163" s="11">
        <f>IF(OR(履歴データ!$A$163="",履歴データ!$A$162=""),"",-50000*M163)</f>
        <v>794999.99999999604</v>
      </c>
      <c r="W163" s="11">
        <f>IF(OR(履歴データ!$A$163="",履歴データ!$A$162=""),"",-40000*N163)</f>
        <v>79999.999999998297</v>
      </c>
      <c r="X163" s="11">
        <f>IF(OR(履歴データ!$A$163="",履歴データ!$A$162=""),"",120*1000000*(-Q163/H162))</f>
        <v>897344.04553088732</v>
      </c>
      <c r="Y163" s="11">
        <f>IF(OR(履歴データ!$A$163="",履歴データ!$A$162=""),"",40000*(-S163)+(-506.3)*R163*1000)</f>
        <v>172809.3749999979</v>
      </c>
      <c r="Z163" s="11">
        <f>IF(OR(履歴データ!$A$163="",履歴データ!$A$162=""),"",-40000*O163)</f>
        <v>-531199.99999999779</v>
      </c>
      <c r="AA163" s="11">
        <f>IF(OR(履歴データ!$A$163="",履歴データ!$A$162=""),"",-40000*P163)</f>
        <v>-82832.856445324986</v>
      </c>
      <c r="AB163" s="11">
        <f>IF(履歴データ!$A$163="","",123.3)</f>
        <v>123.3</v>
      </c>
      <c r="AC163">
        <f>IF(履歴データ!$A$163="","",SUM(T163:AA163))</f>
        <v>1672120.5640855497</v>
      </c>
      <c r="AD163" s="29">
        <f>IF(履歴データ!$A$163="","",AC163/1000000)</f>
        <v>1.6721205640855497</v>
      </c>
      <c r="AE163" s="29">
        <f>IF(履歴データ!$A$163="",AE162,AE162+AC163/1000000)</f>
        <v>88.092144373863292</v>
      </c>
      <c r="AF163" s="12">
        <f>IF(OR(履歴データ!$A$163="",AE162=0),"",(AE163-AE162)/AE162)</f>
        <v>1.9348763057114068E-2</v>
      </c>
      <c r="AG163" s="29">
        <f t="shared" si="8"/>
        <v>102.17217746631495</v>
      </c>
      <c r="AH163" s="12">
        <f>IF(OR(履歴データ!$A$163="",AG163=0),"",AE163/AG163-1)</f>
        <v>-0.13780692005995165</v>
      </c>
      <c r="AJ163" s="28">
        <f t="shared" ca="1" si="6"/>
        <v>-31.93288032548098</v>
      </c>
      <c r="AK163" s="28">
        <f t="shared" ca="1" si="7"/>
        <v>-53.733786341185692</v>
      </c>
    </row>
    <row r="164" spans="1:37">
      <c r="A164" s="10">
        <f>IF(履歴データ!$A$164="","",履歴データ!$A$164)</f>
        <v>45162</v>
      </c>
      <c r="B164" s="28">
        <f>IF(履歴データ!$A$164="","",(履歴データ!$D$164-(履歴データ!$B$164+履歴データ!$F$164)/2)*100)</f>
        <v>-41.000000000000014</v>
      </c>
      <c r="C164" s="28">
        <f>IF(履歴データ!$A$164="","",(履歴データ!$H$164-(履歴データ!$G$164+履歴データ!$J$164)/2)*100)</f>
        <v>-14.200000000000001</v>
      </c>
      <c r="D164" s="28">
        <f>IF(履歴データ!$A$164="","",(履歴データ!$D$164-履歴データ!$H$164)*100)</f>
        <v>357.6</v>
      </c>
      <c r="E164" s="28">
        <f>IF(履歴データ!$A$164="","",(履歴データ!$D$164-履歴データ!$C$164)*100)</f>
        <v>-15.999999999999925</v>
      </c>
      <c r="F164" s="28">
        <f>IF(履歴データ!$A$164="","",(履歴データ!$R$164-履歴データ!$D$164)*100)</f>
        <v>-181.58000000000004</v>
      </c>
      <c r="G164" s="28">
        <f>IF(履歴データ!$A$164="","",(履歴データ!$S$164-履歴データ!$R$164)*100)</f>
        <v>-193.30835717773445</v>
      </c>
      <c r="H164" s="29">
        <f>IF(履歴データ!$A$164="","",履歴データ!$O$164)</f>
        <v>146.06700134277344</v>
      </c>
      <c r="I164" s="29">
        <f>IF(履歴データ!$A$164="","",履歴データ!$Q$164)</f>
        <v>109.59375</v>
      </c>
      <c r="J164" s="29">
        <f>IF(履歴データ!$A$164="","",履歴データ!$D$164)</f>
        <v>4.2300000000000004</v>
      </c>
      <c r="K164" s="28">
        <f>IF(OR(履歴データ!$A$164="",履歴データ!$A$163=""),"",B164-B163)</f>
        <v>0.99999999999988631</v>
      </c>
      <c r="L164" s="28">
        <f>IF(OR(履歴データ!$A$164="",履歴データ!$A$163=""),"",C164-C163)</f>
        <v>-0.70000000000000107</v>
      </c>
      <c r="M164" s="28">
        <f>IF(OR(履歴データ!$A$164="",履歴データ!$A$163=""),"",D164-D163)</f>
        <v>6.7999999999999545</v>
      </c>
      <c r="N164" s="28">
        <f>IF(OR(履歴データ!$A$164="",履歴データ!$A$163=""),"",E164-E163)</f>
        <v>1.0000000000000675</v>
      </c>
      <c r="O164" s="28">
        <f>IF(OR(履歴データ!$A$164="",履歴データ!$A$163=""),"",F164-F163)</f>
        <v>-22.449999999999989</v>
      </c>
      <c r="P164" s="28">
        <f>IF(OR(履歴データ!$A$164="",履歴データ!$A$163=""),"",G164-G163)</f>
        <v>17.39764282226551</v>
      </c>
      <c r="Q164" s="29">
        <f>IF(OR(履歴データ!$A$164="",履歴データ!$A$163=""),"",H164-H163)</f>
        <v>1.3939971923828125</v>
      </c>
      <c r="R164" s="29">
        <f>IF(OR(履歴データ!$A$164="",履歴データ!$A$163=""),"",I164-I163)</f>
        <v>-0.3125</v>
      </c>
      <c r="S164" s="28">
        <f>IF(OR(履歴データ!$A$164="",履歴データ!$A$163=""),"",(J164-J163)*100)</f>
        <v>4.0000000000000036</v>
      </c>
      <c r="T164" s="11">
        <f>IF(OR(履歴データ!$A$164="",履歴データ!$A$163=""),"",-80000*K164)</f>
        <v>-79999.999999990905</v>
      </c>
      <c r="U164" s="11">
        <f>IF(OR(履歴データ!$A$164="",履歴データ!$A$163=""),"",60000*L164)</f>
        <v>-42000.000000000065</v>
      </c>
      <c r="V164" s="11">
        <f>IF(OR(履歴データ!$A$164="",履歴データ!$A$163=""),"",-50000*M164)</f>
        <v>-339999.99999999773</v>
      </c>
      <c r="W164" s="11">
        <f>IF(OR(履歴データ!$A$164="",履歴データ!$A$163=""),"",-40000*N164)</f>
        <v>-40000.000000002699</v>
      </c>
      <c r="X164" s="11">
        <f>IF(OR(履歴データ!$A$164="",履歴データ!$A$163=""),"",120*1000000*(-Q164/H163))</f>
        <v>-1156260.3822897517</v>
      </c>
      <c r="Y164" s="11">
        <f>IF(OR(履歴データ!$A$164="",履歴データ!$A$163=""),"",40000*(-S164)+(-506.3)*R164*1000)</f>
        <v>-1781.2500000001455</v>
      </c>
      <c r="Z164" s="11">
        <f>IF(OR(履歴データ!$A$164="",履歴データ!$A$163=""),"",-40000*O164)</f>
        <v>897999.99999999953</v>
      </c>
      <c r="AA164" s="11">
        <f>IF(OR(履歴データ!$A$164="",履歴データ!$A$163=""),"",-40000*P164)</f>
        <v>-695905.71289062046</v>
      </c>
      <c r="AB164" s="11">
        <f>IF(履歴データ!$A$164="","",123.3)</f>
        <v>123.3</v>
      </c>
      <c r="AC164">
        <f>IF(履歴データ!$A$164="","",SUM(T164:AA164))</f>
        <v>-1457947.3451803643</v>
      </c>
      <c r="AD164" s="29">
        <f>IF(履歴データ!$A$164="","",AC164/1000000)</f>
        <v>-1.4579473451803644</v>
      </c>
      <c r="AE164" s="29">
        <f>IF(履歴データ!$A$164="",AE163,AE163+AC164/1000000)</f>
        <v>86.634197028682934</v>
      </c>
      <c r="AF164" s="12">
        <f>IF(OR(履歴データ!$A$164="",AE163=0),"",(AE164-AE163)/AE163)</f>
        <v>-1.655025377737231E-2</v>
      </c>
      <c r="AG164" s="29">
        <f t="shared" si="8"/>
        <v>102.17217746631495</v>
      </c>
      <c r="AH164" s="12">
        <f>IF(OR(履歴データ!$A$164="",AG164=0),"",AE164/AG164-1)</f>
        <v>-0.15207643433805373</v>
      </c>
      <c r="AJ164" s="28">
        <f t="shared" ca="1" si="6"/>
        <v>-31.951533879329926</v>
      </c>
      <c r="AK164" s="28">
        <f t="shared" ca="1" si="7"/>
        <v>-53.692637899811174</v>
      </c>
    </row>
    <row r="165" spans="1:37">
      <c r="A165" s="10">
        <f>IF(履歴データ!$A$165="","",履歴データ!$A$165)</f>
        <v>45163</v>
      </c>
      <c r="B165" s="28">
        <f>IF(履歴データ!$A$165="","",(履歴データ!$D$165-(履歴データ!$B$165+履歴データ!$F$165)/2)*100)</f>
        <v>-41.5</v>
      </c>
      <c r="C165" s="28">
        <f>IF(履歴データ!$A$165="","",(履歴データ!$H$165-(履歴データ!$G$165+履歴データ!$J$165)/2)*100)</f>
        <v>-13.649999999999995</v>
      </c>
      <c r="D165" s="28">
        <f>IF(履歴データ!$A$165="","",(履歴データ!$D$165-履歴データ!$H$165)*100)</f>
        <v>358.7</v>
      </c>
      <c r="E165" s="28">
        <f>IF(履歴データ!$A$165="","",(履歴データ!$D$165-履歴データ!$C$165)*100)</f>
        <v>-19.000000000000039</v>
      </c>
      <c r="F165" s="28">
        <f>IF(履歴データ!$A$165="","",(履歴データ!$R$165-履歴データ!$D$165)*100)</f>
        <v>-188.24</v>
      </c>
      <c r="G165" s="28">
        <f>IF(履歴データ!$A$165="","",(履歴データ!$S$165-履歴データ!$R$165)*100)</f>
        <v>-189.87617858886742</v>
      </c>
      <c r="H165" s="29">
        <f>IF(履歴データ!$A$165="","",履歴データ!$O$165)</f>
        <v>146.06700134277344</v>
      </c>
      <c r="I165" s="29">
        <f>IF(履歴データ!$A$165="","",履歴データ!$Q$165)</f>
        <v>109.4375</v>
      </c>
      <c r="J165" s="29">
        <f>IF(履歴データ!$A$165="","",履歴データ!$D$165)</f>
        <v>4.25</v>
      </c>
      <c r="K165" s="28">
        <f>IF(OR(履歴データ!$A$165="",履歴データ!$A$164=""),"",B165-B164)</f>
        <v>-0.49999999999998579</v>
      </c>
      <c r="L165" s="28">
        <f>IF(OR(履歴データ!$A$165="",履歴データ!$A$164=""),"",C165-C164)</f>
        <v>0.55000000000000604</v>
      </c>
      <c r="M165" s="28">
        <f>IF(OR(履歴データ!$A$165="",履歴データ!$A$164=""),"",D165-D164)</f>
        <v>1.0999999999999659</v>
      </c>
      <c r="N165" s="28">
        <f>IF(OR(履歴データ!$A$165="",履歴データ!$A$164=""),"",E165-E164)</f>
        <v>-3.0000000000001137</v>
      </c>
      <c r="O165" s="28">
        <f>IF(OR(履歴データ!$A$165="",履歴データ!$A$164=""),"",F165-F164)</f>
        <v>-6.6599999999999682</v>
      </c>
      <c r="P165" s="28">
        <f>IF(OR(履歴データ!$A$165="",履歴データ!$A$164=""),"",G165-G164)</f>
        <v>3.432178588867032</v>
      </c>
      <c r="Q165" s="29">
        <f>IF(OR(履歴データ!$A$165="",履歴データ!$A$164=""),"",H165-H164)</f>
        <v>0</v>
      </c>
      <c r="R165" s="29">
        <f>IF(OR(履歴データ!$A$165="",履歴データ!$A$164=""),"",I165-I164)</f>
        <v>-0.15625</v>
      </c>
      <c r="S165" s="28">
        <f>IF(OR(履歴データ!$A$165="",履歴データ!$A$164=""),"",(J165-J164)*100)</f>
        <v>1.9999999999999574</v>
      </c>
      <c r="T165" s="11">
        <f>IF(OR(履歴データ!$A$165="",履歴データ!$A$164=""),"",-80000*K165)</f>
        <v>39999.999999998865</v>
      </c>
      <c r="U165" s="11">
        <f>IF(OR(履歴データ!$A$165="",履歴データ!$A$164=""),"",60000*L165)</f>
        <v>33000.000000000364</v>
      </c>
      <c r="V165" s="11">
        <f>IF(OR(履歴データ!$A$165="",履歴データ!$A$164=""),"",-50000*M165)</f>
        <v>-54999.999999998297</v>
      </c>
      <c r="W165" s="11">
        <f>IF(OR(履歴データ!$A$165="",履歴データ!$A$164=""),"",-40000*N165)</f>
        <v>120000.00000000454</v>
      </c>
      <c r="X165" s="11">
        <f>IF(OR(履歴データ!$A$165="",履歴データ!$A$164=""),"",120*1000000*(-Q165/H164))</f>
        <v>0</v>
      </c>
      <c r="Y165" s="11">
        <f>IF(OR(履歴データ!$A$165="",履歴データ!$A$164=""),"",40000*(-S165)+(-506.3)*R165*1000)</f>
        <v>-890.62499999829743</v>
      </c>
      <c r="Z165" s="11">
        <f>IF(OR(履歴データ!$A$165="",履歴データ!$A$164=""),"",-40000*O165)</f>
        <v>266399.99999999872</v>
      </c>
      <c r="AA165" s="11">
        <f>IF(OR(履歴データ!$A$165="",履歴データ!$A$164=""),"",-40000*P165)</f>
        <v>-137287.14355468127</v>
      </c>
      <c r="AB165" s="11">
        <f>IF(履歴データ!$A$165="","",123.3)</f>
        <v>123.3</v>
      </c>
      <c r="AC165">
        <f>IF(履歴データ!$A$165="","",SUM(T165:AA165))</f>
        <v>266222.23144532461</v>
      </c>
      <c r="AD165" s="29">
        <f>IF(履歴データ!$A$165="","",AC165/1000000)</f>
        <v>0.26622223144532459</v>
      </c>
      <c r="AE165" s="29">
        <f>IF(履歴データ!$A$165="",AE164,AE164+AC165/1000000)</f>
        <v>86.90041926012826</v>
      </c>
      <c r="AF165" s="12">
        <f>IF(OR(履歴データ!$A$165="",AE164=0),"",(AE165-AE164)/AE164)</f>
        <v>3.0729462565132894E-3</v>
      </c>
      <c r="AG165" s="29">
        <f t="shared" si="8"/>
        <v>102.17217746631495</v>
      </c>
      <c r="AH165" s="12">
        <f>IF(OR(履歴データ!$A$165="",AG165=0),"",AE165/AG165-1)</f>
        <v>-0.14947081079114344</v>
      </c>
      <c r="AJ165" s="28">
        <f t="shared" ca="1" si="6"/>
        <v>-31.974902174745353</v>
      </c>
      <c r="AK165" s="28">
        <f t="shared" ca="1" si="7"/>
        <v>-53.65314660574245</v>
      </c>
    </row>
    <row r="166" spans="1:37">
      <c r="A166" s="10">
        <f>IF(履歴データ!$A$166="","",履歴データ!$A$166)</f>
        <v>45166</v>
      </c>
      <c r="B166" s="28">
        <f>IF(履歴データ!$A$166="","",(履歴データ!$D$166-(履歴データ!$B$166+履歴データ!$F$166)/2)*100)</f>
        <v>-43.499999999999957</v>
      </c>
      <c r="C166" s="28">
        <f>IF(履歴データ!$A$166="","",(履歴データ!$H$166-(履歴データ!$G$166+履歴データ!$J$166)/2)*100)</f>
        <v>-13.29999999999999</v>
      </c>
      <c r="D166" s="28">
        <f>IF(履歴データ!$A$166="","",(履歴データ!$D$166-履歴データ!$H$166)*100)</f>
        <v>353.1</v>
      </c>
      <c r="E166" s="28">
        <f>IF(履歴データ!$A$166="","",(履歴データ!$D$166-履歴データ!$C$166)*100)</f>
        <v>-17.999999999999972</v>
      </c>
      <c r="F166" s="28">
        <f>IF(履歴データ!$A$166="","",(履歴データ!$R$166-履歴データ!$D$166)*100)</f>
        <v>-180.02000000000004</v>
      </c>
      <c r="G166" s="28">
        <f>IF(履歴データ!$A$166="","",(履歴データ!$S$166-履歴データ!$R$166)*100)</f>
        <v>-187.65882141113303</v>
      </c>
      <c r="H166" s="29">
        <f>IF(履歴データ!$A$166="","",履歴データ!$O$166)</f>
        <v>146.46400451660156</v>
      </c>
      <c r="I166" s="29">
        <f>IF(履歴データ!$A$166="","",履歴データ!$Q$166)</f>
        <v>109.640625</v>
      </c>
      <c r="J166" s="29">
        <f>IF(履歴データ!$A$166="","",履歴データ!$D$166)</f>
        <v>4.2</v>
      </c>
      <c r="K166" s="28">
        <f>IF(OR(履歴データ!$A$166="",履歴データ!$A$165=""),"",B166-B165)</f>
        <v>-1.9999999999999574</v>
      </c>
      <c r="L166" s="28">
        <f>IF(OR(履歴データ!$A$166="",履歴データ!$A$165=""),"",C166-C165)</f>
        <v>0.35000000000000497</v>
      </c>
      <c r="M166" s="28">
        <f>IF(OR(履歴データ!$A$166="",履歴データ!$A$165=""),"",D166-D165)</f>
        <v>-5.5999999999999659</v>
      </c>
      <c r="N166" s="28">
        <f>IF(OR(履歴データ!$A$166="",履歴データ!$A$165=""),"",E166-E165)</f>
        <v>1.0000000000000675</v>
      </c>
      <c r="O166" s="28">
        <f>IF(OR(履歴データ!$A$166="",履歴データ!$A$165=""),"",F166-F165)</f>
        <v>8.2199999999999704</v>
      </c>
      <c r="P166" s="28">
        <f>IF(OR(履歴データ!$A$166="",履歴データ!$A$165=""),"",G166-G165)</f>
        <v>2.2173571777343852</v>
      </c>
      <c r="Q166" s="29">
        <f>IF(OR(履歴データ!$A$166="",履歴データ!$A$165=""),"",H166-H165)</f>
        <v>0.397003173828125</v>
      </c>
      <c r="R166" s="29">
        <f>IF(OR(履歴データ!$A$166="",履歴データ!$A$165=""),"",I166-I165)</f>
        <v>0.203125</v>
      </c>
      <c r="S166" s="28">
        <f>IF(OR(履歴データ!$A$166="",履歴データ!$A$165=""),"",(J166-J165)*100)</f>
        <v>-4.9999999999999822</v>
      </c>
      <c r="T166" s="11">
        <f>IF(OR(履歴データ!$A$166="",履歴データ!$A$165=""),"",-80000*K166)</f>
        <v>159999.99999999659</v>
      </c>
      <c r="U166" s="11">
        <f>IF(OR(履歴データ!$A$166="",履歴データ!$A$165=""),"",60000*L166)</f>
        <v>21000.000000000298</v>
      </c>
      <c r="V166" s="11">
        <f>IF(OR(履歴データ!$A$166="",履歴データ!$A$165=""),"",-50000*M166)</f>
        <v>279999.99999999831</v>
      </c>
      <c r="W166" s="11">
        <f>IF(OR(履歴データ!$A$166="",履歴データ!$A$165=""),"",-40000*N166)</f>
        <v>-40000.000000002699</v>
      </c>
      <c r="X166" s="11">
        <f>IF(OR(履歴データ!$A$166="",履歴データ!$A$165=""),"",120*1000000*(-Q166/H165))</f>
        <v>-326154.30193968292</v>
      </c>
      <c r="Y166" s="11">
        <f>IF(OR(履歴データ!$A$166="",履歴データ!$A$165=""),"",40000*(-S166)+(-506.3)*R166*1000)</f>
        <v>97157.812499999287</v>
      </c>
      <c r="Z166" s="11">
        <f>IF(OR(履歴データ!$A$166="",履歴データ!$A$165=""),"",-40000*O166)</f>
        <v>-328799.99999999884</v>
      </c>
      <c r="AA166" s="11">
        <f>IF(OR(履歴データ!$A$166="",履歴データ!$A$165=""),"",-40000*P166)</f>
        <v>-88694.287109375407</v>
      </c>
      <c r="AB166" s="11">
        <f>IF(履歴データ!$A$166="","",123.3)</f>
        <v>123.3</v>
      </c>
      <c r="AC166">
        <f>IF(履歴データ!$A$166="","",SUM(T166:AA166))</f>
        <v>-225490.77654906531</v>
      </c>
      <c r="AD166" s="29">
        <f>IF(履歴データ!$A$166="","",AC166/1000000)</f>
        <v>-0.2254907765490653</v>
      </c>
      <c r="AE166" s="29">
        <f>IF(履歴データ!$A$166="",AE165,AE165+AC166/1000000)</f>
        <v>86.674928483579194</v>
      </c>
      <c r="AF166" s="12">
        <f>IF(OR(履歴データ!$A$166="",AE165=0),"",(AE166-AE165)/AE165)</f>
        <v>-2.5948180511543928E-3</v>
      </c>
      <c r="AG166" s="29">
        <f t="shared" si="8"/>
        <v>102.17217746631495</v>
      </c>
      <c r="AH166" s="12">
        <f>IF(OR(履歴データ!$A$166="",AG166=0),"",AE166/AG166-1)</f>
        <v>-0.15167777928433623</v>
      </c>
      <c r="AJ166" s="28">
        <f t="shared" ca="1" si="6"/>
        <v>-32.011628415161567</v>
      </c>
      <c r="AK166" s="28">
        <f t="shared" ca="1" si="7"/>
        <v>-53.624735221202073</v>
      </c>
    </row>
    <row r="167" spans="1:37">
      <c r="A167" s="10">
        <f>IF(履歴データ!$A$167="","",履歴データ!$A$167)</f>
        <v>45167</v>
      </c>
      <c r="B167" s="28">
        <f>IF(履歴データ!$A$167="","",(履歴データ!$D$167-(履歴データ!$B$167+履歴データ!$F$167)/2)*100)</f>
        <v>-43.000000000000057</v>
      </c>
      <c r="C167" s="28">
        <f>IF(履歴データ!$A$167="","",(履歴データ!$H$167-(履歴データ!$G$167+履歴データ!$J$167)/2)*100)</f>
        <v>-14.999999999999991</v>
      </c>
      <c r="D167" s="28">
        <f>IF(履歴データ!$A$167="","",(履歴データ!$D$167-履歴データ!$H$167)*100)</f>
        <v>347</v>
      </c>
      <c r="E167" s="28">
        <f>IF(履歴データ!$A$167="","",(履歴データ!$D$167-履歴データ!$C$167)*100)</f>
        <v>-13.999999999999968</v>
      </c>
      <c r="F167" s="28">
        <f>IF(履歴データ!$A$167="","",(履歴データ!$R$167-履歴データ!$D$167)*100)</f>
        <v>-172.02</v>
      </c>
      <c r="G167" s="28">
        <f>IF(履歴データ!$A$167="","",(履歴データ!$S$167-履歴データ!$R$167)*100)</f>
        <v>-193.09617858886742</v>
      </c>
      <c r="H167" s="29">
        <f>IF(履歴データ!$A$167="","",履歴データ!$O$167)</f>
        <v>145.98800659179688</v>
      </c>
      <c r="I167" s="29">
        <f>IF(履歴データ!$A$167="","",履歴データ!$Q$167)</f>
        <v>110.328125</v>
      </c>
      <c r="J167" s="29">
        <f>IF(履歴データ!$A$167="","",履歴データ!$D$167)</f>
        <v>4.12</v>
      </c>
      <c r="K167" s="28">
        <f>IF(OR(履歴データ!$A$167="",履歴データ!$A$166=""),"",B167-B166)</f>
        <v>0.49999999999990052</v>
      </c>
      <c r="L167" s="28">
        <f>IF(OR(履歴データ!$A$167="",履歴データ!$A$166=""),"",C167-C166)</f>
        <v>-1.7000000000000011</v>
      </c>
      <c r="M167" s="28">
        <f>IF(OR(履歴データ!$A$167="",履歴データ!$A$166=""),"",D167-D166)</f>
        <v>-6.1000000000000227</v>
      </c>
      <c r="N167" s="28">
        <f>IF(OR(履歴データ!$A$167="",履歴データ!$A$166=""),"",E167-E166)</f>
        <v>4.0000000000000036</v>
      </c>
      <c r="O167" s="28">
        <f>IF(OR(履歴データ!$A$167="",履歴データ!$A$166=""),"",F167-F166)</f>
        <v>8.0000000000000284</v>
      </c>
      <c r="P167" s="28">
        <f>IF(OR(履歴データ!$A$167="",履歴データ!$A$166=""),"",G167-G166)</f>
        <v>-5.4373571777343841</v>
      </c>
      <c r="Q167" s="29">
        <f>IF(OR(履歴データ!$A$167="",履歴データ!$A$166=""),"",H167-H166)</f>
        <v>-0.4759979248046875</v>
      </c>
      <c r="R167" s="29">
        <f>IF(OR(履歴データ!$A$167="",履歴データ!$A$166=""),"",I167-I166)</f>
        <v>0.6875</v>
      </c>
      <c r="S167" s="28">
        <f>IF(OR(履歴データ!$A$167="",履歴データ!$A$166=""),"",(J167-J166)*100)</f>
        <v>-8.0000000000000071</v>
      </c>
      <c r="T167" s="11">
        <f>IF(OR(履歴データ!$A$167="",履歴データ!$A$166=""),"",-80000*K167)</f>
        <v>-39999.99999999204</v>
      </c>
      <c r="U167" s="11">
        <f>IF(OR(履歴データ!$A$167="",履歴データ!$A$166=""),"",60000*L167)</f>
        <v>-102000.00000000006</v>
      </c>
      <c r="V167" s="11">
        <f>IF(OR(履歴データ!$A$167="",履歴データ!$A$166=""),"",-50000*M167)</f>
        <v>305000.00000000116</v>
      </c>
      <c r="W167" s="11">
        <f>IF(OR(履歴データ!$A$167="",履歴データ!$A$166=""),"",-40000*N167)</f>
        <v>-160000.00000000015</v>
      </c>
      <c r="X167" s="11">
        <f>IF(OR(履歴データ!$A$167="",履歴データ!$A$166=""),"",120*1000000*(-Q167/H166))</f>
        <v>389991.73322540167</v>
      </c>
      <c r="Y167" s="11">
        <f>IF(OR(履歴データ!$A$167="",履歴データ!$A$166=""),"",40000*(-S167)+(-506.3)*R167*1000)</f>
        <v>-28081.249999999709</v>
      </c>
      <c r="Z167" s="11">
        <f>IF(OR(履歴データ!$A$167="",履歴データ!$A$166=""),"",-40000*O167)</f>
        <v>-320000.00000000116</v>
      </c>
      <c r="AA167" s="11">
        <f>IF(OR(履歴データ!$A$167="",履歴データ!$A$166=""),"",-40000*P167)</f>
        <v>217494.28710937535</v>
      </c>
      <c r="AB167" s="11">
        <f>IF(履歴データ!$A$167="","",123.3)</f>
        <v>123.3</v>
      </c>
      <c r="AC167">
        <f>IF(履歴データ!$A$167="","",SUM(T167:AA167))</f>
        <v>262404.77033478505</v>
      </c>
      <c r="AD167" s="29">
        <f>IF(履歴データ!$A$167="","",AC167/1000000)</f>
        <v>0.26240477033478504</v>
      </c>
      <c r="AE167" s="29">
        <f>IF(履歴データ!$A$167="",AE166,AE166+AC167/1000000)</f>
        <v>86.937333253913977</v>
      </c>
      <c r="AF167" s="12">
        <f>IF(OR(履歴データ!$A$167="",AE166=0),"",(AE167-AE166)/AE166)</f>
        <v>3.0274587464412623E-3</v>
      </c>
      <c r="AG167" s="29">
        <f t="shared" si="8"/>
        <v>102.17217746631495</v>
      </c>
      <c r="AH167" s="12">
        <f>IF(OR(履歴データ!$A$167="",AG167=0),"",AE167/AG167-1)</f>
        <v>-0.14910951875743017</v>
      </c>
      <c r="AJ167" s="28">
        <f t="shared" ca="1" si="6"/>
        <v>-32.045483636502397</v>
      </c>
      <c r="AK167" s="28">
        <f t="shared" ca="1" si="7"/>
        <v>-53.59307058036508</v>
      </c>
    </row>
    <row r="168" spans="1:37">
      <c r="A168" s="10">
        <f>IF(履歴データ!$A$168="","",履歴データ!$A$168)</f>
        <v>45168</v>
      </c>
      <c r="B168" s="28">
        <f>IF(履歴データ!$A$168="","",(履歴データ!$D$168-(履歴データ!$B$168+履歴データ!$F$168)/2)*100)</f>
        <v>-44.500000000000028</v>
      </c>
      <c r="C168" s="28">
        <f>IF(履歴データ!$A$168="","",(履歴データ!$H$168-(履歴データ!$G$168+履歴データ!$J$168)/2)*100)</f>
        <v>-15.049999999999997</v>
      </c>
      <c r="D168" s="28">
        <f>IF(履歴データ!$A$168="","",(履歴データ!$D$168-履歴データ!$H$168)*100)</f>
        <v>345.90000000000003</v>
      </c>
      <c r="E168" s="28">
        <f>IF(履歴データ!$A$168="","",(履歴データ!$D$168-履歴データ!$C$168)*100)</f>
        <v>-14.999999999999947</v>
      </c>
      <c r="F168" s="28">
        <f>IF(履歴データ!$A$168="","",(履歴データ!$R$168-履歴データ!$D$168)*100)</f>
        <v>-181.16000000000003</v>
      </c>
      <c r="G168" s="28">
        <f>IF(履歴データ!$A$168="","",(履歴データ!$S$168-履歴データ!$R$168)*100)</f>
        <v>-184.83317858886724</v>
      </c>
      <c r="H168" s="29">
        <f>IF(履歴データ!$A$168="","",履歴データ!$O$168)</f>
        <v>146.0989990234375</v>
      </c>
      <c r="I168" s="29">
        <f>IF(履歴データ!$A$168="","",履歴データ!$Q$168)</f>
        <v>110.359375</v>
      </c>
      <c r="J168" s="29">
        <f>IF(履歴データ!$A$168="","",履歴データ!$D$168)</f>
        <v>4.12</v>
      </c>
      <c r="K168" s="28">
        <f>IF(OR(履歴データ!$A$168="",履歴データ!$A$167=""),"",B168-B167)</f>
        <v>-1.4999999999999716</v>
      </c>
      <c r="L168" s="28">
        <f>IF(OR(履歴データ!$A$168="",履歴データ!$A$167=""),"",C168-C167)</f>
        <v>-5.000000000000604E-2</v>
      </c>
      <c r="M168" s="28">
        <f>IF(OR(履歴データ!$A$168="",履歴データ!$A$167=""),"",D168-D167)</f>
        <v>-1.0999999999999659</v>
      </c>
      <c r="N168" s="28">
        <f>IF(OR(履歴データ!$A$168="",履歴データ!$A$167=""),"",E168-E167)</f>
        <v>-0.99999999999997868</v>
      </c>
      <c r="O168" s="28">
        <f>IF(OR(履歴データ!$A$168="",履歴データ!$A$167=""),"",F168-F167)</f>
        <v>-9.1400000000000148</v>
      </c>
      <c r="P168" s="28">
        <f>IF(OR(履歴データ!$A$168="",履歴データ!$A$167=""),"",G168-G167)</f>
        <v>8.2630000000001758</v>
      </c>
      <c r="Q168" s="29">
        <f>IF(OR(履歴データ!$A$168="",履歴データ!$A$167=""),"",H168-H167)</f>
        <v>0.110992431640625</v>
      </c>
      <c r="R168" s="29">
        <f>IF(OR(履歴データ!$A$168="",履歴データ!$A$167=""),"",I168-I167)</f>
        <v>3.125E-2</v>
      </c>
      <c r="S168" s="28">
        <f>IF(OR(履歴データ!$A$168="",履歴データ!$A$167=""),"",(J168-J167)*100)</f>
        <v>0</v>
      </c>
      <c r="T168" s="11">
        <f>IF(OR(履歴データ!$A$168="",履歴データ!$A$167=""),"",-80000*K168)</f>
        <v>119999.99999999773</v>
      </c>
      <c r="U168" s="11">
        <f>IF(OR(履歴データ!$A$168="",履歴データ!$A$167=""),"",60000*L168)</f>
        <v>-3000.0000000003624</v>
      </c>
      <c r="V168" s="11">
        <f>IF(OR(履歴データ!$A$168="",履歴データ!$A$167=""),"",-50000*M168)</f>
        <v>54999.999999998297</v>
      </c>
      <c r="W168" s="11">
        <f>IF(OR(履歴データ!$A$168="",履歴データ!$A$167=""),"",-40000*N168)</f>
        <v>39999.999999999149</v>
      </c>
      <c r="X168" s="11">
        <f>IF(OR(履歴データ!$A$168="",履歴データ!$A$167=""),"",120*1000000*(-Q168/H167))</f>
        <v>-91234.15072114153</v>
      </c>
      <c r="Y168" s="11">
        <f>IF(OR(履歴データ!$A$168="",履歴データ!$A$167=""),"",40000*(-S168)+(-506.3)*R168*1000)</f>
        <v>-15821.875</v>
      </c>
      <c r="Z168" s="11">
        <f>IF(OR(履歴データ!$A$168="",履歴データ!$A$167=""),"",-40000*O168)</f>
        <v>365600.00000000058</v>
      </c>
      <c r="AA168" s="11">
        <f>IF(OR(履歴データ!$A$168="",履歴データ!$A$167=""),"",-40000*P168)</f>
        <v>-330520.00000000704</v>
      </c>
      <c r="AB168" s="11">
        <f>IF(履歴データ!$A$168="","",123.3)</f>
        <v>123.3</v>
      </c>
      <c r="AC168">
        <f>IF(履歴データ!$A$168="","",SUM(T168:AA168))</f>
        <v>140023.97427884681</v>
      </c>
      <c r="AD168" s="29">
        <f>IF(履歴データ!$A$168="","",AC168/1000000)</f>
        <v>0.1400239742788468</v>
      </c>
      <c r="AE168" s="29">
        <f>IF(履歴データ!$A$168="",AE167,AE167+AC168/1000000)</f>
        <v>87.077357228192824</v>
      </c>
      <c r="AF168" s="12">
        <f>IF(OR(履歴データ!$A$168="",AE167=0),"",(AE168-AE167)/AE167)</f>
        <v>1.6106311182778681E-3</v>
      </c>
      <c r="AG168" s="29">
        <f t="shared" si="8"/>
        <v>102.17217746631495</v>
      </c>
      <c r="AH168" s="12">
        <f>IF(OR(履歴データ!$A$168="",AG168=0),"",AE168/AG168-1)</f>
        <v>-0.14773904807009441</v>
      </c>
      <c r="AJ168" s="28">
        <f t="shared" ca="1" si="6"/>
        <v>-32.084898957354753</v>
      </c>
      <c r="AK168" s="28">
        <f t="shared" ca="1" si="7"/>
        <v>-53.573783677375786</v>
      </c>
    </row>
    <row r="169" spans="1:37">
      <c r="A169" s="10">
        <f>IF(履歴データ!$A$169="","",履歴データ!$A$169)</f>
        <v>45169</v>
      </c>
      <c r="B169" s="28">
        <f>IF(履歴データ!$A$169="","",(履歴データ!$D$169-(履歴データ!$B$169+履歴データ!$F$169)/2)*100)</f>
        <v>-43.50000000000005</v>
      </c>
      <c r="C169" s="28">
        <f>IF(履歴データ!$A$169="","",(履歴データ!$H$169-(履歴データ!$G$169+履歴データ!$J$169)/2)*100)</f>
        <v>-15.449999999999998</v>
      </c>
      <c r="D169" s="28">
        <f>IF(履歴データ!$A$169="","",(履歴データ!$D$169-履歴データ!$H$169)*100)</f>
        <v>343.29999999999995</v>
      </c>
      <c r="E169" s="28">
        <f>IF(履歴データ!$A$169="","",(履歴データ!$D$169-履歴データ!$C$169)*100)</f>
        <v>-14.000000000000057</v>
      </c>
      <c r="F169" s="28">
        <f>IF(履歴データ!$A$169="","",(履歴データ!$R$169-履歴データ!$D$169)*100)</f>
        <v>-174.04999999999998</v>
      </c>
      <c r="G169" s="28">
        <f>IF(履歴データ!$A$169="","",(履歴データ!$S$169-履歴データ!$R$169)*100)</f>
        <v>-188.76782141113299</v>
      </c>
      <c r="H169" s="29">
        <f>IF(履歴データ!$A$169="","",履歴データ!$O$169)</f>
        <v>145.47300720214844</v>
      </c>
      <c r="I169" s="29">
        <f>IF(履歴データ!$A$169="","",履歴データ!$Q$169)</f>
        <v>110.5625</v>
      </c>
      <c r="J169" s="29">
        <f>IF(履歴データ!$A$169="","",履歴データ!$D$169)</f>
        <v>4.09</v>
      </c>
      <c r="K169" s="28">
        <f>IF(OR(履歴データ!$A$169="",履歴データ!$A$168=""),"",B169-B168)</f>
        <v>0.99999999999997868</v>
      </c>
      <c r="L169" s="28">
        <f>IF(OR(履歴データ!$A$169="",履歴データ!$A$168=""),"",C169-C168)</f>
        <v>-0.40000000000000036</v>
      </c>
      <c r="M169" s="28">
        <f>IF(OR(履歴データ!$A$169="",履歴データ!$A$168=""),"",D169-D168)</f>
        <v>-2.6000000000000796</v>
      </c>
      <c r="N169" s="28">
        <f>IF(OR(履歴データ!$A$169="",履歴データ!$A$168=""),"",E169-E168)</f>
        <v>0.99999999999988987</v>
      </c>
      <c r="O169" s="28">
        <f>IF(OR(履歴データ!$A$169="",履歴データ!$A$168=""),"",F169-F168)</f>
        <v>7.1100000000000421</v>
      </c>
      <c r="P169" s="28">
        <f>IF(OR(履歴データ!$A$169="",履歴データ!$A$168=""),"",G169-G168)</f>
        <v>-3.9346428222657437</v>
      </c>
      <c r="Q169" s="29">
        <f>IF(OR(履歴データ!$A$169="",履歴データ!$A$168=""),"",H169-H168)</f>
        <v>-0.6259918212890625</v>
      </c>
      <c r="R169" s="29">
        <f>IF(OR(履歴データ!$A$169="",履歴データ!$A$168=""),"",I169-I168)</f>
        <v>0.203125</v>
      </c>
      <c r="S169" s="28">
        <f>IF(OR(履歴データ!$A$169="",履歴データ!$A$168=""),"",(J169-J168)*100)</f>
        <v>-3.0000000000000249</v>
      </c>
      <c r="T169" s="11">
        <f>IF(OR(履歴データ!$A$169="",履歴データ!$A$168=""),"",-80000*K169)</f>
        <v>-79999.999999998297</v>
      </c>
      <c r="U169" s="11">
        <f>IF(OR(履歴データ!$A$169="",履歴データ!$A$168=""),"",60000*L169)</f>
        <v>-24000.000000000022</v>
      </c>
      <c r="V169" s="11">
        <f>IF(OR(履歴データ!$A$169="",履歴データ!$A$168=""),"",-50000*M169)</f>
        <v>130000.00000000397</v>
      </c>
      <c r="W169" s="11">
        <f>IF(OR(履歴データ!$A$169="",履歴データ!$A$168=""),"",-40000*N169)</f>
        <v>-39999.999999995598</v>
      </c>
      <c r="X169" s="11">
        <f>IF(OR(履歴データ!$A$169="",履歴データ!$A$168=""),"",120*1000000*(-Q169/H168))</f>
        <v>514165.18290201807</v>
      </c>
      <c r="Y169" s="11">
        <f>IF(OR(履歴データ!$A$169="",履歴データ!$A$168=""),"",40000*(-S169)+(-506.3)*R169*1000)</f>
        <v>17157.812500000975</v>
      </c>
      <c r="Z169" s="11">
        <f>IF(OR(履歴データ!$A$169="",履歴データ!$A$168=""),"",-40000*O169)</f>
        <v>-284400.00000000169</v>
      </c>
      <c r="AA169" s="11">
        <f>IF(OR(履歴データ!$A$169="",履歴データ!$A$168=""),"",-40000*P169)</f>
        <v>157385.71289062974</v>
      </c>
      <c r="AB169" s="11">
        <f>IF(履歴データ!$A$169="","",123.3)</f>
        <v>123.3</v>
      </c>
      <c r="AC169">
        <f>IF(履歴データ!$A$169="","",SUM(T169:AA169))</f>
        <v>390308.70829265716</v>
      </c>
      <c r="AD169" s="29">
        <f>IF(履歴データ!$A$169="","",AC169/1000000)</f>
        <v>0.39030870829265718</v>
      </c>
      <c r="AE169" s="29">
        <f>IF(履歴データ!$A$169="",AE168,AE168+AC169/1000000)</f>
        <v>87.467665936485474</v>
      </c>
      <c r="AF169" s="12">
        <f>IF(OR(履歴データ!$A$169="",AE168=0),"",(AE169-AE168)/AE168)</f>
        <v>4.4823214750284255E-3</v>
      </c>
      <c r="AG169" s="29">
        <f t="shared" si="8"/>
        <v>102.17217746631495</v>
      </c>
      <c r="AH169" s="12">
        <f>IF(OR(履歴データ!$A$169="",AG169=0),"",AE169/AG169-1)</f>
        <v>-0.14391894050293086</v>
      </c>
      <c r="AJ169" s="28">
        <f t="shared" ca="1" si="6"/>
        <v>-32.120608420879933</v>
      </c>
      <c r="AK169" s="28">
        <f t="shared" ca="1" si="7"/>
        <v>-53.546058245786739</v>
      </c>
    </row>
    <row r="170" spans="1:37">
      <c r="A170" s="10">
        <f>IF(履歴データ!$A$170="","",履歴データ!$A$170)</f>
        <v>45170</v>
      </c>
      <c r="B170" s="28">
        <f>IF(履歴データ!$A$170="","",(履歴データ!$D$170-(履歴データ!$B$170+履歴データ!$F$170)/2)*100)</f>
        <v>-40.000000000000036</v>
      </c>
      <c r="C170" s="28">
        <f>IF(履歴データ!$A$170="","",(履歴データ!$H$170-(履歴データ!$G$170+履歴データ!$J$170)/2)*100)</f>
        <v>-15.849999999999998</v>
      </c>
      <c r="D170" s="28">
        <f>IF(履歴データ!$A$170="","",(履歴データ!$D$170-履歴データ!$H$170)*100)</f>
        <v>354.4</v>
      </c>
      <c r="E170" s="28">
        <f>IF(履歴データ!$A$170="","",(履歴データ!$D$170-履歴データ!$C$170)*100)</f>
        <v>-11.000000000000032</v>
      </c>
      <c r="F170" s="28">
        <f>IF(履歴データ!$A$170="","",(履歴データ!$R$170-履歴データ!$D$170)*100)</f>
        <v>-186</v>
      </c>
      <c r="G170" s="28">
        <f>IF(履歴データ!$A$170="","",(履歴データ!$S$170-履歴データ!$R$170)*100)</f>
        <v>-189.85200000000009</v>
      </c>
      <c r="H170" s="29">
        <f>IF(履歴データ!$A$170="","",履歴データ!$O$170)</f>
        <v>145.47300720214844</v>
      </c>
      <c r="I170" s="29">
        <f>IF(履歴データ!$A$170="","",履歴データ!$Q$170)</f>
        <v>110.15625</v>
      </c>
      <c r="J170" s="29">
        <f>IF(履歴データ!$A$170="","",履歴データ!$D$170)</f>
        <v>4.18</v>
      </c>
      <c r="K170" s="28">
        <f>IF(OR(履歴データ!$A$170="",履歴データ!$A$169=""),"",B170-B169)</f>
        <v>3.5000000000000142</v>
      </c>
      <c r="L170" s="28">
        <f>IF(OR(履歴データ!$A$170="",履歴データ!$A$169=""),"",C170-C169)</f>
        <v>-0.40000000000000036</v>
      </c>
      <c r="M170" s="28">
        <f>IF(OR(履歴データ!$A$170="",履歴データ!$A$169=""),"",D170-D169)</f>
        <v>11.100000000000023</v>
      </c>
      <c r="N170" s="28">
        <f>IF(OR(履歴データ!$A$170="",履歴データ!$A$169=""),"",E170-E169)</f>
        <v>3.0000000000000249</v>
      </c>
      <c r="O170" s="28">
        <f>IF(OR(履歴データ!$A$170="",履歴データ!$A$169=""),"",F170-F169)</f>
        <v>-11.950000000000017</v>
      </c>
      <c r="P170" s="28">
        <f>IF(OR(履歴データ!$A$170="",履歴データ!$A$169=""),"",G170-G169)</f>
        <v>-1.0841785888671041</v>
      </c>
      <c r="Q170" s="29">
        <f>IF(OR(履歴データ!$A$170="",履歴データ!$A$169=""),"",H170-H169)</f>
        <v>0</v>
      </c>
      <c r="R170" s="29">
        <f>IF(OR(履歴データ!$A$170="",履歴データ!$A$169=""),"",I170-I169)</f>
        <v>-0.40625</v>
      </c>
      <c r="S170" s="28">
        <f>IF(OR(履歴データ!$A$170="",履歴データ!$A$169=""),"",(J170-J169)*100)</f>
        <v>8.9999999999999858</v>
      </c>
      <c r="T170" s="11">
        <f>IF(OR(履歴データ!$A$170="",履歴データ!$A$169=""),"",-80000*K170)</f>
        <v>-280000.00000000116</v>
      </c>
      <c r="U170" s="11">
        <f>IF(OR(履歴データ!$A$170="",履歴データ!$A$169=""),"",60000*L170)</f>
        <v>-24000.000000000022</v>
      </c>
      <c r="V170" s="11">
        <f>IF(OR(履歴データ!$A$170="",履歴データ!$A$169=""),"",-50000*M170)</f>
        <v>-555000.00000000116</v>
      </c>
      <c r="W170" s="11">
        <f>IF(OR(履歴データ!$A$170="",履歴データ!$A$169=""),"",-40000*N170)</f>
        <v>-120000.00000000099</v>
      </c>
      <c r="X170" s="11">
        <f>IF(OR(履歴データ!$A$170="",履歴データ!$A$169=""),"",120*1000000*(-Q170/H169))</f>
        <v>0</v>
      </c>
      <c r="Y170" s="11">
        <f>IF(OR(履歴データ!$A$170="",履歴データ!$A$169=""),"",40000*(-S170)+(-506.3)*R170*1000)</f>
        <v>-154315.62499999939</v>
      </c>
      <c r="Z170" s="11">
        <f>IF(OR(履歴データ!$A$170="",履歴データ!$A$169=""),"",-40000*O170)</f>
        <v>478000.0000000007</v>
      </c>
      <c r="AA170" s="11">
        <f>IF(OR(履歴データ!$A$170="",履歴データ!$A$169=""),"",-40000*P170)</f>
        <v>43367.14355468416</v>
      </c>
      <c r="AB170" s="11">
        <f>IF(履歴データ!$A$170="","",123.3)</f>
        <v>123.3</v>
      </c>
      <c r="AC170">
        <f>IF(履歴データ!$A$170="","",SUM(T170:AA170))</f>
        <v>-611948.48144531774</v>
      </c>
      <c r="AD170" s="29">
        <f>IF(履歴データ!$A$170="","",AC170/1000000)</f>
        <v>-0.61194848144531777</v>
      </c>
      <c r="AE170" s="29">
        <f>IF(履歴データ!$A$170="",AE169,AE169+AC170/1000000)</f>
        <v>86.85571745504015</v>
      </c>
      <c r="AF170" s="12">
        <f>IF(OR(履歴データ!$A$170="",AE169=0),"",(AE170-AE169)/AE169)</f>
        <v>-6.9962822820685529E-3</v>
      </c>
      <c r="AG170" s="29">
        <f t="shared" si="8"/>
        <v>102.17217746631495</v>
      </c>
      <c r="AH170" s="12">
        <f>IF(OR(履歴データ!$A$170="",AG170=0),"",AE170/AG170-1)</f>
        <v>-0.14990832525150466</v>
      </c>
      <c r="AJ170" s="28">
        <f t="shared" ca="1" si="6"/>
        <v>-32.126882754776631</v>
      </c>
      <c r="AK170" s="28">
        <f t="shared" ca="1" si="7"/>
        <v>-53.506253339897924</v>
      </c>
    </row>
    <row r="171" spans="1:37">
      <c r="A171" s="10">
        <f>IF(履歴データ!$A$171="","",履歴データ!$A$171)</f>
        <v>45174</v>
      </c>
      <c r="B171" s="28">
        <f>IF(履歴データ!$A$171="","",(履歴データ!$D$171-(履歴データ!$B$171+履歴データ!$F$171)/2)*100)</f>
        <v>-39.000000000000057</v>
      </c>
      <c r="C171" s="28">
        <f>IF(履歴データ!$A$171="","",(履歴データ!$H$171-(履歴データ!$G$171+履歴データ!$J$171)/2)*100)</f>
        <v>-13.5</v>
      </c>
      <c r="D171" s="28">
        <f>IF(履歴データ!$A$171="","",(履歴データ!$D$171-履歴データ!$H$171)*100)</f>
        <v>360.4</v>
      </c>
      <c r="E171" s="28">
        <f>IF(履歴データ!$A$171="","",(履歴データ!$D$171-履歴データ!$C$171)*100)</f>
        <v>-10.000000000000053</v>
      </c>
      <c r="F171" s="28">
        <f>IF(履歴データ!$A$171="","",(履歴データ!$R$171-履歴データ!$D$171)*100)</f>
        <v>-187.81999999999996</v>
      </c>
      <c r="G171" s="28">
        <f>IF(履歴データ!$A$171="","",(履歴データ!$S$171-履歴データ!$R$171)*100)</f>
        <v>-194.40100000000024</v>
      </c>
      <c r="H171" s="29">
        <f>IF(履歴データ!$A$171="","",履歴データ!$O$171)</f>
        <v>147.47099304199219</v>
      </c>
      <c r="I171" s="29">
        <f>IF(履歴データ!$A$171="","",履歴データ!$Q$171)</f>
        <v>109.546875</v>
      </c>
      <c r="J171" s="29">
        <f>IF(履歴データ!$A$171="","",履歴データ!$D$171)</f>
        <v>4.2699999999999996</v>
      </c>
      <c r="K171" s="28">
        <f>IF(OR(履歴データ!$A$171="",履歴データ!$A$170=""),"",B171-B170)</f>
        <v>0.99999999999997868</v>
      </c>
      <c r="L171" s="28">
        <f>IF(OR(履歴データ!$A$171="",履歴データ!$A$170=""),"",C171-C170)</f>
        <v>2.3499999999999979</v>
      </c>
      <c r="M171" s="28">
        <f>IF(OR(履歴データ!$A$171="",履歴データ!$A$170=""),"",D171-D170)</f>
        <v>6</v>
      </c>
      <c r="N171" s="28">
        <f>IF(OR(履歴データ!$A$171="",履歴データ!$A$170=""),"",E171-E170)</f>
        <v>0.99999999999997868</v>
      </c>
      <c r="O171" s="28">
        <f>IF(OR(履歴データ!$A$171="",履歴データ!$A$170=""),"",F171-F170)</f>
        <v>-1.8199999999999648</v>
      </c>
      <c r="P171" s="28">
        <f>IF(OR(履歴データ!$A$171="",履歴データ!$A$170=""),"",G171-G170)</f>
        <v>-4.5490000000001487</v>
      </c>
      <c r="Q171" s="29">
        <f>IF(OR(履歴データ!$A$171="",履歴データ!$A$170=""),"",H171-H170)</f>
        <v>1.99798583984375</v>
      </c>
      <c r="R171" s="29">
        <f>IF(OR(履歴データ!$A$171="",履歴データ!$A$170=""),"",I171-I170)</f>
        <v>-0.609375</v>
      </c>
      <c r="S171" s="28">
        <f>IF(OR(履歴データ!$A$171="",履歴データ!$A$170=""),"",(J171-J170)*100)</f>
        <v>8.9999999999999858</v>
      </c>
      <c r="T171" s="11">
        <f>IF(OR(履歴データ!$A$171="",履歴データ!$A$170=""),"",-80000*K171)</f>
        <v>-79999.999999998297</v>
      </c>
      <c r="U171" s="11">
        <f>IF(OR(履歴データ!$A$171="",履歴データ!$A$170=""),"",60000*L171)</f>
        <v>140999.99999999988</v>
      </c>
      <c r="V171" s="11">
        <f>IF(OR(履歴データ!$A$171="",履歴データ!$A$170=""),"",-50000*M171)</f>
        <v>-300000</v>
      </c>
      <c r="W171" s="11">
        <f>IF(OR(履歴データ!$A$171="",履歴データ!$A$170=""),"",-40000*N171)</f>
        <v>-39999.999999999149</v>
      </c>
      <c r="X171" s="11">
        <f>IF(OR(履歴データ!$A$171="",履歴データ!$A$170=""),"",120*1000000*(-Q171/H170))</f>
        <v>-1648129.1298810046</v>
      </c>
      <c r="Y171" s="11">
        <f>IF(OR(履歴データ!$A$171="",履歴データ!$A$170=""),"",40000*(-S171)+(-506.3)*R171*1000)</f>
        <v>-51473.437499999418</v>
      </c>
      <c r="Z171" s="11">
        <f>IF(OR(履歴データ!$A$171="",履歴データ!$A$170=""),"",-40000*O171)</f>
        <v>72799.999999998588</v>
      </c>
      <c r="AA171" s="11">
        <f>IF(OR(履歴データ!$A$171="",履歴データ!$A$170=""),"",-40000*P171)</f>
        <v>181960.00000000594</v>
      </c>
      <c r="AB171" s="11">
        <f>IF(履歴データ!$A$171="","",123.3)</f>
        <v>123.3</v>
      </c>
      <c r="AC171">
        <f>IF(履歴データ!$A$171="","",SUM(T171:AA171))</f>
        <v>-1723842.5673809969</v>
      </c>
      <c r="AD171" s="29">
        <f>IF(履歴データ!$A$171="","",AC171/1000000)</f>
        <v>-1.7238425673809969</v>
      </c>
      <c r="AE171" s="29">
        <f>IF(履歴データ!$A$171="",AE170,AE170+AC171/1000000)</f>
        <v>85.131874887659151</v>
      </c>
      <c r="AF171" s="12">
        <f>IF(OR(履歴データ!$A$171="",AE170=0),"",(AE171-AE170)/AE170)</f>
        <v>-1.984719737388993E-2</v>
      </c>
      <c r="AG171" s="29">
        <f t="shared" si="8"/>
        <v>102.17217746631495</v>
      </c>
      <c r="AH171" s="12">
        <f>IF(OR(履歴データ!$A$171="",AG171=0),"",AE171/AG171-1)</f>
        <v>-0.16678026250613875</v>
      </c>
      <c r="AJ171" s="28">
        <f t="shared" ca="1" si="6"/>
        <v>-32.120038977343697</v>
      </c>
      <c r="AK171" s="28">
        <f t="shared" ca="1" si="7"/>
        <v>-53.468196316773955</v>
      </c>
    </row>
    <row r="172" spans="1:37">
      <c r="A172" s="10">
        <f>IF(履歴データ!$A$172="","",履歴データ!$A$172)</f>
        <v>45175</v>
      </c>
      <c r="B172" s="28">
        <f>IF(履歴データ!$A$172="","",(履歴データ!$D$172-(履歴データ!$B$172+履歴データ!$F$172)/2)*100)</f>
        <v>-38.999999999999972</v>
      </c>
      <c r="C172" s="28">
        <f>IF(履歴データ!$A$172="","",(履歴データ!$H$172-(履歴データ!$G$172+履歴データ!$J$172)/2)*100)</f>
        <v>-13.349999999999994</v>
      </c>
      <c r="D172" s="28">
        <f>IF(履歴データ!$A$172="","",(履歴データ!$D$172-履歴データ!$H$172)*100)</f>
        <v>363.8</v>
      </c>
      <c r="E172" s="28">
        <f>IF(履歴データ!$A$172="","",(履歴データ!$D$172-履歴データ!$C$172)*100)</f>
        <v>-14.000000000000057</v>
      </c>
      <c r="F172" s="28">
        <f>IF(履歴データ!$A$172="","",(履歴データ!$R$172-履歴データ!$D$172)*100)</f>
        <v>-176.79</v>
      </c>
      <c r="G172" s="28">
        <f>IF(履歴データ!$A$172="","",(履歴データ!$S$172-履歴データ!$R$172)*100)</f>
        <v>-201.06417858886729</v>
      </c>
      <c r="H172" s="29">
        <f>IF(履歴データ!$A$172="","",履歴データ!$O$172)</f>
        <v>147.70899963378906</v>
      </c>
      <c r="I172" s="29">
        <f>IF(履歴データ!$A$172="","",履歴データ!$Q$172)</f>
        <v>109.28125</v>
      </c>
      <c r="J172" s="29">
        <f>IF(履歴データ!$A$172="","",履歴データ!$D$172)</f>
        <v>4.3</v>
      </c>
      <c r="K172" s="28">
        <f>IF(OR(履歴データ!$A$172="",履歴データ!$A$171=""),"",B172-B171)</f>
        <v>8.5265128291212022E-14</v>
      </c>
      <c r="L172" s="28">
        <f>IF(OR(履歴データ!$A$172="",履歴データ!$A$171=""),"",C172-C171)</f>
        <v>0.15000000000000568</v>
      </c>
      <c r="M172" s="28">
        <f>IF(OR(履歴データ!$A$172="",履歴データ!$A$171=""),"",D172-D171)</f>
        <v>3.4000000000000341</v>
      </c>
      <c r="N172" s="28">
        <f>IF(OR(履歴データ!$A$172="",履歴データ!$A$171=""),"",E172-E171)</f>
        <v>-4.0000000000000036</v>
      </c>
      <c r="O172" s="28">
        <f>IF(OR(履歴データ!$A$172="",履歴データ!$A$171=""),"",F172-F171)</f>
        <v>11.029999999999973</v>
      </c>
      <c r="P172" s="28">
        <f>IF(OR(履歴データ!$A$172="",履歴データ!$A$171=""),"",G172-G171)</f>
        <v>-6.6631785888670549</v>
      </c>
      <c r="Q172" s="29">
        <f>IF(OR(履歴データ!$A$172="",履歴データ!$A$171=""),"",H172-H171)</f>
        <v>0.238006591796875</v>
      </c>
      <c r="R172" s="29">
        <f>IF(OR(履歴データ!$A$172="",履歴データ!$A$171=""),"",I172-I171)</f>
        <v>-0.265625</v>
      </c>
      <c r="S172" s="28">
        <f>IF(OR(履歴データ!$A$172="",履歴データ!$A$171=""),"",(J172-J171)*100)</f>
        <v>3.0000000000000249</v>
      </c>
      <c r="T172" s="11">
        <f>IF(OR(履歴データ!$A$172="",履歴データ!$A$171=""),"",-80000*K172)</f>
        <v>-6.8212102632969618E-9</v>
      </c>
      <c r="U172" s="11">
        <f>IF(OR(履歴データ!$A$172="",履歴データ!$A$171=""),"",60000*L172)</f>
        <v>9000.000000000342</v>
      </c>
      <c r="V172" s="11">
        <f>IF(OR(履歴データ!$A$172="",履歴データ!$A$171=""),"",-50000*M172)</f>
        <v>-170000.00000000172</v>
      </c>
      <c r="W172" s="11">
        <f>IF(OR(履歴データ!$A$172="",履歴データ!$A$171=""),"",-40000*N172)</f>
        <v>160000.00000000015</v>
      </c>
      <c r="X172" s="11">
        <f>IF(OR(履歴データ!$A$172="",履歴データ!$A$171=""),"",120*1000000*(-Q172/H171))</f>
        <v>-193670.56820111294</v>
      </c>
      <c r="Y172" s="11">
        <f>IF(OR(履歴データ!$A$172="",履歴データ!$A$171=""),"",40000*(-S172)+(-506.3)*R172*1000)</f>
        <v>14485.93749999901</v>
      </c>
      <c r="Z172" s="11">
        <f>IF(OR(履歴データ!$A$172="",履歴データ!$A$171=""),"",-40000*O172)</f>
        <v>-441199.99999999889</v>
      </c>
      <c r="AA172" s="11">
        <f>IF(OR(履歴データ!$A$172="",履歴データ!$A$171=""),"",-40000*P172)</f>
        <v>266527.1435546822</v>
      </c>
      <c r="AB172" s="11">
        <f>IF(履歴データ!$A$172="","",123.3)</f>
        <v>123.3</v>
      </c>
      <c r="AC172">
        <f>IF(履歴データ!$A$172="","",SUM(T172:AA172))</f>
        <v>-354857.48714643874</v>
      </c>
      <c r="AD172" s="29">
        <f>IF(履歴データ!$A$172="","",AC172/1000000)</f>
        <v>-0.35485748714643872</v>
      </c>
      <c r="AE172" s="29">
        <f>IF(履歴データ!$A$172="",AE171,AE171+AC172/1000000)</f>
        <v>84.777017400512719</v>
      </c>
      <c r="AF172" s="12">
        <f>IF(OR(履歴データ!$A$172="",AE171=0),"",(AE172-AE171)/AE171)</f>
        <v>-4.1683269352954565E-3</v>
      </c>
      <c r="AG172" s="29">
        <f t="shared" si="8"/>
        <v>102.17217746631495</v>
      </c>
      <c r="AH172" s="12">
        <f>IF(OR(履歴データ!$A$172="",AG172=0),"",AE172/AG172-1)</f>
        <v>-0.17025339478095414</v>
      </c>
      <c r="AJ172" s="28">
        <f t="shared" ca="1" si="6"/>
        <v>-32.113483559735258</v>
      </c>
      <c r="AK172" s="28">
        <f t="shared" ca="1" si="7"/>
        <v>-53.430376089387551</v>
      </c>
    </row>
    <row r="173" spans="1:37">
      <c r="A173" s="10">
        <f>IF(履歴データ!$A$173="","",履歴データ!$A$173)</f>
        <v>45176</v>
      </c>
      <c r="B173" s="28">
        <f>IF(履歴データ!$A$173="","",(履歴データ!$D$173-(履歴データ!$B$173+履歴データ!$F$173)/2)*100)</f>
        <v>-38.000000000000078</v>
      </c>
      <c r="C173" s="28">
        <f>IF(履歴データ!$A$173="","",(履歴データ!$H$173-(履歴データ!$G$173+履歴データ!$J$173)/2)*100)</f>
        <v>-12.949999999999996</v>
      </c>
      <c r="D173" s="28">
        <f>IF(履歴データ!$A$173="","",(履歴データ!$D$173-履歴データ!$H$173)*100)</f>
        <v>360.29999999999995</v>
      </c>
      <c r="E173" s="28">
        <f>IF(履歴データ!$A$173="","",(履歴データ!$D$173-履歴データ!$C$173)*100)</f>
        <v>-11.000000000000032</v>
      </c>
      <c r="F173" s="28">
        <f>IF(履歴データ!$A$173="","",(履歴データ!$R$173-履歴データ!$D$173)*100)</f>
        <v>-174.88999999999996</v>
      </c>
      <c r="G173" s="28">
        <f>IF(履歴データ!$A$173="","",(履歴データ!$S$173-履歴データ!$R$173)*100)</f>
        <v>-201.36735717773456</v>
      </c>
      <c r="H173" s="29">
        <f>IF(履歴データ!$A$173="","",履歴データ!$O$173)</f>
        <v>147.33099365234375</v>
      </c>
      <c r="I173" s="29">
        <f>IF(履歴データ!$A$173="","",履歴データ!$Q$173)</f>
        <v>109.609375</v>
      </c>
      <c r="J173" s="29">
        <f>IF(履歴データ!$A$173="","",履歴データ!$D$173)</f>
        <v>4.2699999999999996</v>
      </c>
      <c r="K173" s="28">
        <f>IF(OR(履歴データ!$A$173="",履歴データ!$A$172=""),"",B173-B172)</f>
        <v>0.99999999999989342</v>
      </c>
      <c r="L173" s="28">
        <f>IF(OR(履歴データ!$A$173="",履歴データ!$A$172=""),"",C173-C172)</f>
        <v>0.39999999999999858</v>
      </c>
      <c r="M173" s="28">
        <f>IF(OR(履歴データ!$A$173="",履歴データ!$A$172=""),"",D173-D172)</f>
        <v>-3.5000000000000568</v>
      </c>
      <c r="N173" s="28">
        <f>IF(OR(履歴データ!$A$173="",履歴データ!$A$172=""),"",E173-E172)</f>
        <v>3.0000000000000249</v>
      </c>
      <c r="O173" s="28">
        <f>IF(OR(履歴データ!$A$173="",履歴データ!$A$172=""),"",F173-F172)</f>
        <v>1.9000000000000341</v>
      </c>
      <c r="P173" s="28">
        <f>IF(OR(履歴データ!$A$173="",履歴データ!$A$172=""),"",G173-G172)</f>
        <v>-0.30317858886726867</v>
      </c>
      <c r="Q173" s="29">
        <f>IF(OR(履歴データ!$A$173="",履歴データ!$A$172=""),"",H173-H172)</f>
        <v>-0.3780059814453125</v>
      </c>
      <c r="R173" s="29">
        <f>IF(OR(履歴データ!$A$173="",履歴データ!$A$172=""),"",I173-I172)</f>
        <v>0.328125</v>
      </c>
      <c r="S173" s="28">
        <f>IF(OR(履歴データ!$A$173="",履歴データ!$A$172=""),"",(J173-J172)*100)</f>
        <v>-3.0000000000000249</v>
      </c>
      <c r="T173" s="11">
        <f>IF(OR(履歴データ!$A$173="",履歴データ!$A$172=""),"",-80000*K173)</f>
        <v>-79999.999999991473</v>
      </c>
      <c r="U173" s="11">
        <f>IF(OR(履歴データ!$A$173="",履歴データ!$A$172=""),"",60000*L173)</f>
        <v>23999.999999999916</v>
      </c>
      <c r="V173" s="11">
        <f>IF(OR(履歴データ!$A$173="",履歴データ!$A$172=""),"",-50000*M173)</f>
        <v>175000.00000000285</v>
      </c>
      <c r="W173" s="11">
        <f>IF(OR(履歴データ!$A$173="",履歴データ!$A$172=""),"",-40000*N173)</f>
        <v>-120000.00000000099</v>
      </c>
      <c r="X173" s="11">
        <f>IF(OR(履歴データ!$A$173="",履歴データ!$A$172=""),"",120*1000000*(-Q173/H172))</f>
        <v>307095.152535723</v>
      </c>
      <c r="Y173" s="11">
        <f>IF(OR(履歴データ!$A$173="",履歴データ!$A$172=""),"",40000*(-S173)+(-506.3)*R173*1000)</f>
        <v>-46129.68749999904</v>
      </c>
      <c r="Z173" s="11">
        <f>IF(OR(履歴データ!$A$173="",履歴データ!$A$172=""),"",-40000*O173)</f>
        <v>-76000.000000001368</v>
      </c>
      <c r="AA173" s="11">
        <f>IF(OR(履歴データ!$A$173="",履歴データ!$A$172=""),"",-40000*P173)</f>
        <v>12127.143554690747</v>
      </c>
      <c r="AB173" s="11">
        <f>IF(履歴データ!$A$173="","",123.3)</f>
        <v>123.3</v>
      </c>
      <c r="AC173">
        <f>IF(履歴データ!$A$173="","",SUM(T173:AA173))</f>
        <v>196092.60859042365</v>
      </c>
      <c r="AD173" s="29">
        <f>IF(履歴データ!$A$173="","",AC173/1000000)</f>
        <v>0.19609260859042366</v>
      </c>
      <c r="AE173" s="29">
        <f>IF(履歴データ!$A$173="",AE172,AE172+AC173/1000000)</f>
        <v>84.973110009103138</v>
      </c>
      <c r="AF173" s="12">
        <f>IF(OR(履歴データ!$A$173="",AE172=0),"",(AE173-AE172)/AE172)</f>
        <v>2.3130397199988446E-3</v>
      </c>
      <c r="AG173" s="29">
        <f t="shared" si="8"/>
        <v>102.17217746631495</v>
      </c>
      <c r="AH173" s="12">
        <f>IF(OR(履歴データ!$A$173="",AG173=0),"",AE173/AG173-1)</f>
        <v>-0.16833415792554829</v>
      </c>
      <c r="AJ173" s="28">
        <f t="shared" ca="1" si="6"/>
        <v>-32.092064180028949</v>
      </c>
      <c r="AK173" s="28">
        <f t="shared" ca="1" si="7"/>
        <v>-53.39630791299431</v>
      </c>
    </row>
    <row r="174" spans="1:37">
      <c r="A174" s="10">
        <f>IF(履歴データ!$A$174="","",履歴データ!$A$174)</f>
        <v>45177</v>
      </c>
      <c r="B174" s="28">
        <f>IF(履歴データ!$A$174="","",(履歴データ!$D$174-(履歴データ!$B$174+履歴データ!$F$174)/2)*100)</f>
        <v>-39.500000000000043</v>
      </c>
      <c r="C174" s="28">
        <f>IF(履歴データ!$A$174="","",(履歴データ!$H$174-(履歴データ!$G$174+履歴データ!$J$174)/2)*100)</f>
        <v>-14.19999999999999</v>
      </c>
      <c r="D174" s="28">
        <f>IF(履歴データ!$A$174="","",(履歴データ!$D$174-履歴データ!$H$174)*100)</f>
        <v>360.2</v>
      </c>
      <c r="E174" s="28">
        <f>IF(履歴データ!$A$174="","",(履歴データ!$D$174-履歴データ!$C$174)*100)</f>
        <v>-12.999999999999989</v>
      </c>
      <c r="F174" s="28">
        <f>IF(履歴データ!$A$174="","",(履歴データ!$R$174-履歴データ!$D$174)*100)</f>
        <v>-180.64</v>
      </c>
      <c r="G174" s="28">
        <f>IF(履歴データ!$A$174="","",(履歴データ!$S$174-履歴データ!$R$174)*100)</f>
        <v>-194.96817858886732</v>
      </c>
      <c r="H174" s="29">
        <f>IF(履歴データ!$A$174="","",履歴データ!$O$174)</f>
        <v>147.33099365234375</v>
      </c>
      <c r="I174" s="29">
        <f>IF(履歴データ!$A$174="","",履歴データ!$Q$174)</f>
        <v>109.53125</v>
      </c>
      <c r="J174" s="29">
        <f>IF(履歴データ!$A$174="","",履歴データ!$D$174)</f>
        <v>4.26</v>
      </c>
      <c r="K174" s="28">
        <f>IF(OR(履歴データ!$A$174="",履歴データ!$A$173=""),"",B174-B173)</f>
        <v>-1.4999999999999645</v>
      </c>
      <c r="L174" s="28">
        <f>IF(OR(履歴データ!$A$174="",履歴データ!$A$173=""),"",C174-C173)</f>
        <v>-1.2499999999999947</v>
      </c>
      <c r="M174" s="28">
        <f>IF(OR(履歴データ!$A$174="",履歴データ!$A$173=""),"",D174-D173)</f>
        <v>-9.9999999999965894E-2</v>
      </c>
      <c r="N174" s="28">
        <f>IF(OR(履歴データ!$A$174="",履歴データ!$A$173=""),"",E174-E173)</f>
        <v>-1.9999999999999574</v>
      </c>
      <c r="O174" s="28">
        <f>IF(OR(履歴データ!$A$174="",履歴データ!$A$173=""),"",F174-F173)</f>
        <v>-5.7500000000000284</v>
      </c>
      <c r="P174" s="28">
        <f>IF(OR(履歴データ!$A$174="",履歴データ!$A$173=""),"",G174-G173)</f>
        <v>6.3991785888672439</v>
      </c>
      <c r="Q174" s="29">
        <f>IF(OR(履歴データ!$A$174="",履歴データ!$A$173=""),"",H174-H173)</f>
        <v>0</v>
      </c>
      <c r="R174" s="29">
        <f>IF(OR(履歴データ!$A$174="",履歴データ!$A$173=""),"",I174-I173)</f>
        <v>-7.8125E-2</v>
      </c>
      <c r="S174" s="28">
        <f>IF(OR(履歴データ!$A$174="",履歴データ!$A$173=""),"",(J174-J173)*100)</f>
        <v>-0.99999999999997868</v>
      </c>
      <c r="T174" s="11">
        <f>IF(OR(履歴データ!$A$174="",履歴データ!$A$173=""),"",-80000*K174)</f>
        <v>119999.99999999716</v>
      </c>
      <c r="U174" s="11">
        <f>IF(OR(履歴データ!$A$174="",履歴データ!$A$173=""),"",60000*L174)</f>
        <v>-74999.99999999968</v>
      </c>
      <c r="V174" s="11">
        <f>IF(OR(履歴データ!$A$174="",履歴データ!$A$173=""),"",-50000*M174)</f>
        <v>4999.9999999982947</v>
      </c>
      <c r="W174" s="11">
        <f>IF(OR(履歴データ!$A$174="",履歴データ!$A$173=""),"",-40000*N174)</f>
        <v>79999.999999998297</v>
      </c>
      <c r="X174" s="11">
        <f>IF(OR(履歴データ!$A$174="",履歴データ!$A$173=""),"",120*1000000*(-Q174/H173))</f>
        <v>0</v>
      </c>
      <c r="Y174" s="11">
        <f>IF(OR(履歴データ!$A$174="",履歴データ!$A$173=""),"",40000*(-S174)+(-506.3)*R174*1000)</f>
        <v>79554.687499999156</v>
      </c>
      <c r="Z174" s="11">
        <f>IF(OR(履歴データ!$A$174="",履歴データ!$A$173=""),"",-40000*O174)</f>
        <v>230000.00000000114</v>
      </c>
      <c r="AA174" s="11">
        <f>IF(OR(履歴データ!$A$174="",履歴データ!$A$173=""),"",-40000*P174)</f>
        <v>-255967.14355468977</v>
      </c>
      <c r="AB174" s="11">
        <f>IF(履歴データ!$A$174="","",123.3)</f>
        <v>123.3</v>
      </c>
      <c r="AC174">
        <f>IF(履歴データ!$A$174="","",SUM(T174:AA174))</f>
        <v>183587.54394530464</v>
      </c>
      <c r="AD174" s="29">
        <f>IF(履歴データ!$A$174="","",AC174/1000000)</f>
        <v>0.18358754394530463</v>
      </c>
      <c r="AE174" s="29">
        <f>IF(履歴データ!$A$174="",AE173,AE173+AC174/1000000)</f>
        <v>85.156697553048446</v>
      </c>
      <c r="AF174" s="12">
        <f>IF(OR(履歴データ!$A$174="",AE173=0),"",(AE174-AE173)/AE173)</f>
        <v>2.1605369501674116E-3</v>
      </c>
      <c r="AG174" s="29">
        <f t="shared" si="8"/>
        <v>102.17217746631495</v>
      </c>
      <c r="AH174" s="12">
        <f>IF(OR(履歴データ!$A$174="",AG174=0),"",AE174/AG174-1)</f>
        <v>-0.16653731314355436</v>
      </c>
      <c r="AJ174" s="28">
        <f t="shared" ca="1" si="6"/>
        <v>-32.092872640315392</v>
      </c>
      <c r="AK174" s="28">
        <f t="shared" ca="1" si="7"/>
        <v>-53.357994411707736</v>
      </c>
    </row>
    <row r="175" spans="1:37">
      <c r="A175" s="10">
        <f>IF(履歴データ!$A$175="","",履歴データ!$A$175)</f>
        <v>45180</v>
      </c>
      <c r="B175" s="28">
        <f>IF(履歴データ!$A$175="","",(履歴データ!$D$175-(履歴データ!$B$175+履歴データ!$F$175)/2)*100)</f>
        <v>-37.999999999999986</v>
      </c>
      <c r="C175" s="28">
        <f>IF(履歴データ!$A$175="","",(履歴データ!$H$175-(履歴データ!$G$175+履歴データ!$J$175)/2)*100)</f>
        <v>-12.149999999999995</v>
      </c>
      <c r="D175" s="28">
        <f>IF(履歴データ!$A$175="","",(履歴データ!$D$175-履歴データ!$H$175)*100)</f>
        <v>357.5</v>
      </c>
      <c r="E175" s="28">
        <f>IF(履歴データ!$A$175="","",(履歴データ!$D$175-履歴データ!$C$175)*100)</f>
        <v>-11.000000000000032</v>
      </c>
      <c r="F175" s="28">
        <f>IF(履歴データ!$A$175="","",(履歴データ!$R$175-履歴データ!$D$175)*100)</f>
        <v>-186.79000000000002</v>
      </c>
      <c r="G175" s="28">
        <f>IF(履歴データ!$A$175="","",(履歴データ!$S$175-履歴データ!$R$175)*100)</f>
        <v>-181.99582141113305</v>
      </c>
      <c r="H175" s="29">
        <f>IF(履歴データ!$A$175="","",履歴データ!$O$175)</f>
        <v>146.67799377441406</v>
      </c>
      <c r="I175" s="29">
        <f>IF(履歴データ!$A$175="","",履歴データ!$Q$175)</f>
        <v>109.40625</v>
      </c>
      <c r="J175" s="29">
        <f>IF(履歴データ!$A$175="","",履歴データ!$D$175)</f>
        <v>4.29</v>
      </c>
      <c r="K175" s="28">
        <f>IF(OR(履歴データ!$A$175="",履歴データ!$A$174=""),"",B175-B174)</f>
        <v>1.5000000000000568</v>
      </c>
      <c r="L175" s="28">
        <f>IF(OR(履歴データ!$A$175="",履歴データ!$A$174=""),"",C175-C174)</f>
        <v>2.0499999999999954</v>
      </c>
      <c r="M175" s="28">
        <f>IF(OR(履歴データ!$A$175="",履歴データ!$A$174=""),"",D175-D174)</f>
        <v>-2.6999999999999886</v>
      </c>
      <c r="N175" s="28">
        <f>IF(OR(履歴データ!$A$175="",履歴データ!$A$174=""),"",E175-E174)</f>
        <v>1.9999999999999574</v>
      </c>
      <c r="O175" s="28">
        <f>IF(OR(履歴データ!$A$175="",履歴データ!$A$174=""),"",F175-F174)</f>
        <v>-6.1500000000000341</v>
      </c>
      <c r="P175" s="28">
        <f>IF(OR(履歴データ!$A$175="",履歴データ!$A$174=""),"",G175-G174)</f>
        <v>12.972357177734267</v>
      </c>
      <c r="Q175" s="29">
        <f>IF(OR(履歴データ!$A$175="",履歴データ!$A$174=""),"",H175-H174)</f>
        <v>-0.6529998779296875</v>
      </c>
      <c r="R175" s="29">
        <f>IF(OR(履歴データ!$A$175="",履歴データ!$A$174=""),"",I175-I174)</f>
        <v>-0.125</v>
      </c>
      <c r="S175" s="28">
        <f>IF(OR(履歴データ!$A$175="",履歴データ!$A$174=""),"",(J175-J174)*100)</f>
        <v>3.0000000000000249</v>
      </c>
      <c r="T175" s="11">
        <f>IF(OR(履歴データ!$A$175="",履歴データ!$A$174=""),"",-80000*K175)</f>
        <v>-120000.00000000454</v>
      </c>
      <c r="U175" s="11">
        <f>IF(OR(履歴データ!$A$175="",履歴データ!$A$174=""),"",60000*L175)</f>
        <v>122999.99999999972</v>
      </c>
      <c r="V175" s="11">
        <f>IF(OR(履歴データ!$A$175="",履歴データ!$A$174=""),"",-50000*M175)</f>
        <v>134999.99999999942</v>
      </c>
      <c r="W175" s="11">
        <f>IF(OR(履歴データ!$A$175="",履歴データ!$A$174=""),"",-40000*N175)</f>
        <v>-79999.999999998297</v>
      </c>
      <c r="X175" s="11">
        <f>IF(OR(履歴データ!$A$175="",履歴データ!$A$174=""),"",120*1000000*(-Q175/H174))</f>
        <v>531863.55028914148</v>
      </c>
      <c r="Y175" s="11">
        <f>IF(OR(履歴データ!$A$175="",履歴データ!$A$174=""),"",40000*(-S175)+(-506.3)*R175*1000)</f>
        <v>-56712.50000000099</v>
      </c>
      <c r="Z175" s="11">
        <f>IF(OR(履歴データ!$A$175="",履歴データ!$A$174=""),"",-40000*O175)</f>
        <v>246000.00000000137</v>
      </c>
      <c r="AA175" s="11">
        <f>IF(OR(履歴データ!$A$175="",履歴データ!$A$174=""),"",-40000*P175)</f>
        <v>-518894.28710937069</v>
      </c>
      <c r="AB175" s="11">
        <f>IF(履歴データ!$A$175="","",123.3)</f>
        <v>123.3</v>
      </c>
      <c r="AC175">
        <f>IF(履歴データ!$A$175="","",SUM(T175:AA175))</f>
        <v>260256.76317976753</v>
      </c>
      <c r="AD175" s="29">
        <f>IF(履歴データ!$A$175="","",AC175/1000000)</f>
        <v>0.26025676317976754</v>
      </c>
      <c r="AE175" s="29">
        <f>IF(履歴データ!$A$175="",AE174,AE174+AC175/1000000)</f>
        <v>85.416954316228214</v>
      </c>
      <c r="AF175" s="12">
        <f>IF(OR(履歴データ!$A$175="",AE174=0),"",(AE175-AE174)/AE174)</f>
        <v>3.056210147389066E-3</v>
      </c>
      <c r="AG175" s="29">
        <f t="shared" si="8"/>
        <v>102.17217746631495</v>
      </c>
      <c r="AH175" s="12">
        <f>IF(OR(履歴データ!$A$175="",AG175=0),"",AE175/AG175-1)</f>
        <v>-0.16399007602251359</v>
      </c>
      <c r="AJ175" s="28">
        <f t="shared" ca="1" si="6"/>
        <v>-32.072307580848957</v>
      </c>
      <c r="AK175" s="28">
        <f t="shared" ca="1" si="7"/>
        <v>-53.324244143288979</v>
      </c>
    </row>
    <row r="176" spans="1:37">
      <c r="A176" s="10">
        <f>IF(履歴データ!$A$176="","",履歴データ!$A$176)</f>
        <v>45181</v>
      </c>
      <c r="B176" s="28">
        <f>IF(履歴データ!$A$176="","",(履歴データ!$D$176-(履歴データ!$B$176+履歴データ!$F$176)/2)*100)</f>
        <v>-39.500000000000043</v>
      </c>
      <c r="C176" s="28">
        <f>IF(履歴データ!$A$176="","",(履歴データ!$H$176-(履歴データ!$G$176+履歴データ!$J$176)/2)*100)</f>
        <v>-11.899999999999999</v>
      </c>
      <c r="D176" s="28">
        <f>IF(履歴データ!$A$176="","",(履歴データ!$D$176-履歴データ!$H$176)*100)</f>
        <v>355.39999999999992</v>
      </c>
      <c r="E176" s="28">
        <f>IF(履歴データ!$A$176="","",(履歴データ!$D$176-履歴データ!$C$176)*100)</f>
        <v>-14.000000000000057</v>
      </c>
      <c r="F176" s="28">
        <f>IF(履歴データ!$A$176="","",(履歴データ!$R$176-履歴データ!$D$176)*100)</f>
        <v>-178.29999999999995</v>
      </c>
      <c r="G176" s="28">
        <f>IF(履歴データ!$A$176="","",(履歴データ!$S$176-履歴データ!$R$176)*100)</f>
        <v>-189.36282141113293</v>
      </c>
      <c r="H176" s="29">
        <f>IF(履歴データ!$A$176="","",履歴データ!$O$176)</f>
        <v>147.15800476074219</v>
      </c>
      <c r="I176" s="29">
        <f>IF(履歴データ!$A$176="","",履歴データ!$Q$176)</f>
        <v>109.515625</v>
      </c>
      <c r="J176" s="29">
        <f>IF(履歴データ!$A$176="","",履歴データ!$D$176)</f>
        <v>4.2699999999999996</v>
      </c>
      <c r="K176" s="28">
        <f>IF(OR(履歴データ!$A$176="",履歴データ!$A$175=""),"",B176-B175)</f>
        <v>-1.5000000000000568</v>
      </c>
      <c r="L176" s="28">
        <f>IF(OR(履歴データ!$A$176="",履歴データ!$A$175=""),"",C176-C175)</f>
        <v>0.24999999999999645</v>
      </c>
      <c r="M176" s="28">
        <f>IF(OR(履歴データ!$A$176="",履歴データ!$A$175=""),"",D176-D175)</f>
        <v>-2.1000000000000796</v>
      </c>
      <c r="N176" s="28">
        <f>IF(OR(履歴データ!$A$176="",履歴データ!$A$175=""),"",E176-E175)</f>
        <v>-3.0000000000000249</v>
      </c>
      <c r="O176" s="28">
        <f>IF(OR(履歴データ!$A$176="",履歴データ!$A$175=""),"",F176-F175)</f>
        <v>8.4900000000000659</v>
      </c>
      <c r="P176" s="28">
        <f>IF(OR(履歴データ!$A$176="",履歴データ!$A$175=""),"",G176-G175)</f>
        <v>-7.3669999999998765</v>
      </c>
      <c r="Q176" s="29">
        <f>IF(OR(履歴データ!$A$176="",履歴データ!$A$175=""),"",H176-H175)</f>
        <v>0.480010986328125</v>
      </c>
      <c r="R176" s="29">
        <f>IF(OR(履歴データ!$A$176="",履歴データ!$A$175=""),"",I176-I175)</f>
        <v>0.109375</v>
      </c>
      <c r="S176" s="28">
        <f>IF(OR(履歴データ!$A$176="",履歴データ!$A$175=""),"",(J176-J175)*100)</f>
        <v>-2.0000000000000462</v>
      </c>
      <c r="T176" s="11">
        <f>IF(OR(履歴データ!$A$176="",履歴データ!$A$175=""),"",-80000*K176)</f>
        <v>120000.00000000454</v>
      </c>
      <c r="U176" s="11">
        <f>IF(OR(履歴データ!$A$176="",履歴データ!$A$175=""),"",60000*L176)</f>
        <v>14999.999999999787</v>
      </c>
      <c r="V176" s="11">
        <f>IF(OR(履歴データ!$A$176="",履歴データ!$A$175=""),"",-50000*M176)</f>
        <v>105000.00000000397</v>
      </c>
      <c r="W176" s="11">
        <f>IF(OR(履歴データ!$A$176="",履歴データ!$A$175=""),"",-40000*N176)</f>
        <v>120000.00000000099</v>
      </c>
      <c r="X176" s="11">
        <f>IF(OR(履歴データ!$A$176="",履歴データ!$A$175=""),"",120*1000000*(-Q176/H175))</f>
        <v>-392705.9327520114</v>
      </c>
      <c r="Y176" s="11">
        <f>IF(OR(履歴データ!$A$176="",履歴データ!$A$175=""),"",40000*(-S176)+(-506.3)*R176*1000)</f>
        <v>24623.437500001848</v>
      </c>
      <c r="Z176" s="11">
        <f>IF(OR(履歴データ!$A$176="",履歴データ!$A$175=""),"",-40000*O176)</f>
        <v>-339600.00000000262</v>
      </c>
      <c r="AA176" s="11">
        <f>IF(OR(履歴データ!$A$176="",履歴データ!$A$175=""),"",-40000*P176)</f>
        <v>294679.99999999505</v>
      </c>
      <c r="AB176" s="11">
        <f>IF(履歴データ!$A$176="","",123.3)</f>
        <v>123.3</v>
      </c>
      <c r="AC176">
        <f>IF(履歴データ!$A$176="","",SUM(T176:AA176))</f>
        <v>-53002.495252007793</v>
      </c>
      <c r="AD176" s="29">
        <f>IF(履歴データ!$A$176="","",AC176/1000000)</f>
        <v>-5.3002495252007793E-2</v>
      </c>
      <c r="AE176" s="29">
        <f>IF(履歴データ!$A$176="",AE175,AE175+AC176/1000000)</f>
        <v>85.363951820976212</v>
      </c>
      <c r="AF176" s="12">
        <f>IF(OR(履歴データ!$A$176="",AE175=0),"",(AE176-AE175)/AE175)</f>
        <v>-6.2051492793547712E-4</v>
      </c>
      <c r="AG176" s="29">
        <f t="shared" si="8"/>
        <v>102.17217746631495</v>
      </c>
      <c r="AH176" s="12">
        <f>IF(OR(履歴データ!$A$176="",AG176=0),"",AE176/AG176-1)</f>
        <v>-0.16450883266024374</v>
      </c>
      <c r="AJ176" s="28">
        <f t="shared" ca="1" si="6"/>
        <v>-32.073582510855829</v>
      </c>
      <c r="AK176" s="28">
        <f t="shared" ca="1" si="7"/>
        <v>-53.286417489144171</v>
      </c>
    </row>
    <row r="177" spans="1:37">
      <c r="A177" s="10">
        <f>IF(履歴データ!$A$177="","",履歴データ!$A$177)</f>
        <v>45182</v>
      </c>
      <c r="B177" s="28">
        <f>IF(履歴データ!$A$177="","",(履歴データ!$D$177-(履歴データ!$B$177+履歴データ!$F$177)/2)*100)</f>
        <v>-40.000000000000036</v>
      </c>
      <c r="C177" s="28">
        <f>IF(履歴データ!$A$177="","",(履歴データ!$H$177-(履歴データ!$G$177+履歴データ!$J$177)/2)*100)</f>
        <v>-10.150000000000004</v>
      </c>
      <c r="D177" s="28">
        <f>IF(履歴データ!$A$177="","",(履歴データ!$D$177-履歴データ!$H$177)*100)</f>
        <v>353.5</v>
      </c>
      <c r="E177" s="28">
        <f>IF(履歴データ!$A$177="","",(履歴データ!$D$177-履歴データ!$C$177)*100)</f>
        <v>-13.999999999999968</v>
      </c>
      <c r="F177" s="28">
        <f>IF(履歴データ!$A$177="","",(履歴データ!$R$177-履歴データ!$D$177)*100)</f>
        <v>-178.79</v>
      </c>
      <c r="G177" s="28">
        <f>IF(履歴データ!$A$177="","",(履歴データ!$S$177-履歴データ!$R$177)*100)</f>
        <v>-186.17117858886735</v>
      </c>
      <c r="H177" s="29">
        <f>IF(履歴データ!$A$177="","",履歴データ!$O$177)</f>
        <v>147.34599304199219</v>
      </c>
      <c r="I177" s="29">
        <f>IF(履歴データ!$A$177="","",履歴データ!$Q$177)</f>
        <v>109.640625</v>
      </c>
      <c r="J177" s="29">
        <f>IF(履歴データ!$A$177="","",履歴データ!$D$177)</f>
        <v>4.25</v>
      </c>
      <c r="K177" s="28">
        <f>IF(OR(履歴データ!$A$177="",履歴データ!$A$176=""),"",B177-B176)</f>
        <v>-0.49999999999999289</v>
      </c>
      <c r="L177" s="28">
        <f>IF(OR(履歴データ!$A$177="",履歴データ!$A$176=""),"",C177-C176)</f>
        <v>1.7499999999999947</v>
      </c>
      <c r="M177" s="28">
        <f>IF(OR(履歴データ!$A$177="",履歴データ!$A$176=""),"",D177-D176)</f>
        <v>-1.8999999999999204</v>
      </c>
      <c r="N177" s="28">
        <f>IF(OR(履歴データ!$A$177="",履歴データ!$A$176=""),"",E177-E176)</f>
        <v>8.8817841970012523E-14</v>
      </c>
      <c r="O177" s="28">
        <f>IF(OR(履歴データ!$A$177="",履歴データ!$A$176=""),"",F177-F176)</f>
        <v>-0.49000000000003752</v>
      </c>
      <c r="P177" s="28">
        <f>IF(OR(履歴データ!$A$177="",履歴データ!$A$176=""),"",G177-G176)</f>
        <v>3.1916428222655782</v>
      </c>
      <c r="Q177" s="29">
        <f>IF(OR(履歴データ!$A$177="",履歴データ!$A$176=""),"",H177-H176)</f>
        <v>0.18798828125</v>
      </c>
      <c r="R177" s="29">
        <f>IF(OR(履歴データ!$A$177="",履歴データ!$A$176=""),"",I177-I176)</f>
        <v>0.125</v>
      </c>
      <c r="S177" s="28">
        <f>IF(OR(履歴データ!$A$177="",履歴データ!$A$176=""),"",(J177-J176)*100)</f>
        <v>-1.9999999999999574</v>
      </c>
      <c r="T177" s="11">
        <f>IF(OR(履歴データ!$A$177="",履歴データ!$A$176=""),"",-80000*K177)</f>
        <v>39999.999999999432</v>
      </c>
      <c r="U177" s="11">
        <f>IF(OR(履歴データ!$A$177="",履歴データ!$A$176=""),"",60000*L177)</f>
        <v>104999.99999999968</v>
      </c>
      <c r="V177" s="11">
        <f>IF(OR(履歴データ!$A$177="",履歴データ!$A$176=""),"",-50000*M177)</f>
        <v>94999.999999996027</v>
      </c>
      <c r="W177" s="11">
        <f>IF(OR(履歴データ!$A$177="",履歴データ!$A$176=""),"",-40000*N177)</f>
        <v>-3.5527136788005009E-9</v>
      </c>
      <c r="X177" s="11">
        <f>IF(OR(履歴データ!$A$177="",履歴データ!$A$176=""),"",120*1000000*(-Q177/H176))</f>
        <v>-153295.05035541244</v>
      </c>
      <c r="Y177" s="11">
        <f>IF(OR(履歴データ!$A$177="",履歴データ!$A$176=""),"",40000*(-S177)+(-506.3)*R177*1000)</f>
        <v>16712.499999998297</v>
      </c>
      <c r="Z177" s="11">
        <f>IF(OR(履歴データ!$A$177="",履歴データ!$A$176=""),"",-40000*O177)</f>
        <v>19600.000000001499</v>
      </c>
      <c r="AA177" s="11">
        <f>IF(OR(履歴データ!$A$177="",履歴データ!$A$176=""),"",-40000*P177)</f>
        <v>-127665.71289062312</v>
      </c>
      <c r="AB177" s="11">
        <f>IF(履歴データ!$A$177="","",123.3)</f>
        <v>123.3</v>
      </c>
      <c r="AC177">
        <f>IF(履歴データ!$A$177="","",SUM(T177:AA177))</f>
        <v>-4648.2632460441528</v>
      </c>
      <c r="AD177" s="29">
        <f>IF(履歴データ!$A$177="","",AC177/1000000)</f>
        <v>-4.6482632460441526E-3</v>
      </c>
      <c r="AE177" s="29">
        <f>IF(履歴データ!$A$177="",AE176,AE176+AC177/1000000)</f>
        <v>85.359303557730172</v>
      </c>
      <c r="AF177" s="12">
        <f>IF(OR(履歴データ!$A$177="",AE176=0),"",(AE177-AE176)/AE176)</f>
        <v>-5.4452296863995652E-5</v>
      </c>
      <c r="AG177" s="29">
        <f t="shared" si="8"/>
        <v>102.17217746631495</v>
      </c>
      <c r="AH177" s="12">
        <f>IF(OR(履歴データ!$A$177="",AG177=0),"",AE177/AG177-1)</f>
        <v>-0.16455432707331508</v>
      </c>
      <c r="AJ177" s="28">
        <f t="shared" ca="1" si="6"/>
        <v>-32.080988266764564</v>
      </c>
      <c r="AK177" s="28">
        <f t="shared" ca="1" si="7"/>
        <v>-53.248557187780889</v>
      </c>
    </row>
    <row r="178" spans="1:37">
      <c r="A178" s="10">
        <f>IF(履歴データ!$A$178="","",履歴データ!$A$178)</f>
        <v>45183</v>
      </c>
      <c r="B178" s="28">
        <f>IF(履歴データ!$A$178="","",(履歴データ!$D$178-(履歴データ!$B$178+履歴データ!$F$178)/2)*100)</f>
        <v>-40.500000000000028</v>
      </c>
      <c r="C178" s="28">
        <f>IF(履歴データ!$A$178="","",(履歴データ!$H$178-(履歴データ!$G$178+履歴データ!$J$178)/2)*100)</f>
        <v>-9.9999999999999982</v>
      </c>
      <c r="D178" s="28">
        <f>IF(履歴データ!$A$178="","",(履歴データ!$D$178-履歴データ!$H$178)*100)</f>
        <v>357.5</v>
      </c>
      <c r="E178" s="28">
        <f>IF(履歴データ!$A$178="","",(履歴データ!$D$178-履歴データ!$C$178)*100)</f>
        <v>-12.999999999999989</v>
      </c>
      <c r="F178" s="28">
        <f>IF(履歴データ!$A$178="","",(履歴データ!$R$178-履歴データ!$D$178)*100)</f>
        <v>-180.04000000000002</v>
      </c>
      <c r="G178" s="28">
        <f>IF(履歴データ!$A$178="","",(履歴データ!$S$178-履歴データ!$R$178)*100)</f>
        <v>-191.02600000000015</v>
      </c>
      <c r="H178" s="29">
        <f>IF(履歴データ!$A$178="","",履歴データ!$O$178)</f>
        <v>147.48199462890625</v>
      </c>
      <c r="I178" s="29">
        <f>IF(履歴データ!$A$178="","",履歴データ!$Q$178)</f>
        <v>109.359375</v>
      </c>
      <c r="J178" s="29">
        <f>IF(履歴データ!$A$178="","",履歴データ!$D$178)</f>
        <v>4.29</v>
      </c>
      <c r="K178" s="28">
        <f>IF(OR(履歴データ!$A$178="",履歴データ!$A$177=""),"",B178-B177)</f>
        <v>-0.49999999999999289</v>
      </c>
      <c r="L178" s="28">
        <f>IF(OR(履歴データ!$A$178="",履歴データ!$A$177=""),"",C178-C177)</f>
        <v>0.15000000000000568</v>
      </c>
      <c r="M178" s="28">
        <f>IF(OR(履歴データ!$A$178="",履歴データ!$A$177=""),"",D178-D177)</f>
        <v>4</v>
      </c>
      <c r="N178" s="28">
        <f>IF(OR(履歴データ!$A$178="",履歴データ!$A$177=""),"",E178-E177)</f>
        <v>0.99999999999997868</v>
      </c>
      <c r="O178" s="28">
        <f>IF(OR(履歴データ!$A$178="",履歴データ!$A$177=""),"",F178-F177)</f>
        <v>-1.2500000000000284</v>
      </c>
      <c r="P178" s="28">
        <f>IF(OR(履歴データ!$A$178="",履歴データ!$A$177=""),"",G178-G177)</f>
        <v>-4.8548214111328036</v>
      </c>
      <c r="Q178" s="29">
        <f>IF(OR(履歴データ!$A$178="",履歴データ!$A$177=""),"",H178-H177)</f>
        <v>0.1360015869140625</v>
      </c>
      <c r="R178" s="29">
        <f>IF(OR(履歴データ!$A$178="",履歴データ!$A$177=""),"",I178-I177)</f>
        <v>-0.28125</v>
      </c>
      <c r="S178" s="28">
        <f>IF(OR(履歴データ!$A$178="",履歴データ!$A$177=""),"",(J178-J177)*100)</f>
        <v>4.0000000000000036</v>
      </c>
      <c r="T178" s="11">
        <f>IF(OR(履歴データ!$A$178="",履歴データ!$A$177=""),"",-80000*K178)</f>
        <v>39999.999999999432</v>
      </c>
      <c r="U178" s="11">
        <f>IF(OR(履歴データ!$A$178="",履歴データ!$A$177=""),"",60000*L178)</f>
        <v>9000.000000000342</v>
      </c>
      <c r="V178" s="11">
        <f>IF(OR(履歴データ!$A$178="",履歴データ!$A$177=""),"",-50000*M178)</f>
        <v>-200000</v>
      </c>
      <c r="W178" s="11">
        <f>IF(OR(履歴データ!$A$178="",履歴データ!$A$177=""),"",-40000*N178)</f>
        <v>-39999.999999999149</v>
      </c>
      <c r="X178" s="11">
        <f>IF(OR(履歴データ!$A$178="",履歴データ!$A$177=""),"",120*1000000*(-Q178/H177))</f>
        <v>-110761.00606981829</v>
      </c>
      <c r="Y178" s="11">
        <f>IF(OR(履歴データ!$A$178="",履歴データ!$A$177=""),"",40000*(-S178)+(-506.3)*R178*1000)</f>
        <v>-17603.125000000146</v>
      </c>
      <c r="Z178" s="11">
        <f>IF(OR(履歴データ!$A$178="",履歴データ!$A$177=""),"",-40000*O178)</f>
        <v>50000.000000001135</v>
      </c>
      <c r="AA178" s="11">
        <f>IF(OR(履歴データ!$A$178="",履歴データ!$A$177=""),"",-40000*P178)</f>
        <v>194192.85644531215</v>
      </c>
      <c r="AB178" s="11">
        <f>IF(履歴データ!$A$178="","",123.3)</f>
        <v>123.3</v>
      </c>
      <c r="AC178">
        <f>IF(履歴データ!$A$178="","",SUM(T178:AA178))</f>
        <v>-75171.274624504498</v>
      </c>
      <c r="AD178" s="29">
        <f>IF(履歴データ!$A$178="","",AC178/1000000)</f>
        <v>-7.51712746245045E-2</v>
      </c>
      <c r="AE178" s="29">
        <f>IF(履歴データ!$A$178="",AE177,AE177+AC178/1000000)</f>
        <v>85.284132283105663</v>
      </c>
      <c r="AF178" s="12">
        <f>IF(OR(履歴データ!$A$178="",AE177=0),"",(AE178-AE177)/AE177)</f>
        <v>-8.8064536015888654E-4</v>
      </c>
      <c r="AG178" s="29">
        <f t="shared" si="8"/>
        <v>102.17217746631495</v>
      </c>
      <c r="AH178" s="12">
        <f>IF(OR(履歴データ!$A$178="",AG178=0),"",AE178/AG178-1)</f>
        <v>-0.1652900584288427</v>
      </c>
      <c r="AJ178" s="28">
        <f t="shared" ca="1" si="6"/>
        <v>-32.093852117572681</v>
      </c>
      <c r="AK178" s="28">
        <f t="shared" ca="1" si="7"/>
        <v>-53.211232628190032</v>
      </c>
    </row>
    <row r="179" spans="1:37">
      <c r="A179" s="10">
        <f>IF(履歴データ!$A$179="","",履歴データ!$A$179)</f>
        <v>45184</v>
      </c>
      <c r="B179" s="28">
        <f>IF(履歴データ!$A$179="","",(履歴データ!$D$179-(履歴データ!$B$179+履歴データ!$F$179)/2)*100)</f>
        <v>-38.999999999999972</v>
      </c>
      <c r="C179" s="28">
        <f>IF(履歴データ!$A$179="","",(履歴データ!$H$179-(履歴データ!$G$179+履歴データ!$J$179)/2)*100)</f>
        <v>-9.9000000000000092</v>
      </c>
      <c r="D179" s="28">
        <f>IF(履歴データ!$A$179="","",(履歴データ!$D$179-履歴データ!$H$179)*100)</f>
        <v>361.5</v>
      </c>
      <c r="E179" s="28">
        <f>IF(履歴データ!$A$179="","",(履歴データ!$D$179-履歴データ!$C$179)*100)</f>
        <v>-12.000000000000011</v>
      </c>
      <c r="F179" s="28">
        <f>IF(履歴データ!$A$179="","",(履歴データ!$R$179-履歴データ!$D$179)*100)</f>
        <v>-191.66</v>
      </c>
      <c r="G179" s="28">
        <f>IF(履歴データ!$A$179="","",(履歴データ!$S$179-履歴データ!$R$179)*100)</f>
        <v>-190.2466428222657</v>
      </c>
      <c r="H179" s="29">
        <f>IF(履歴データ!$A$179="","",履歴データ!$O$179)</f>
        <v>147.48199462890625</v>
      </c>
      <c r="I179" s="29">
        <f>IF(履歴データ!$A$179="","",履歴データ!$Q$179)</f>
        <v>109.171875</v>
      </c>
      <c r="J179" s="29">
        <f>IF(履歴データ!$A$179="","",履歴データ!$D$179)</f>
        <v>4.33</v>
      </c>
      <c r="K179" s="28">
        <f>IF(OR(履歴データ!$A$179="",履歴データ!$A$178=""),"",B179-B178)</f>
        <v>1.5000000000000568</v>
      </c>
      <c r="L179" s="28">
        <f>IF(OR(履歴データ!$A$179="",履歴データ!$A$178=""),"",C179-C178)</f>
        <v>9.9999999999988987E-2</v>
      </c>
      <c r="M179" s="28">
        <f>IF(OR(履歴データ!$A$179="",履歴データ!$A$178=""),"",D179-D178)</f>
        <v>4</v>
      </c>
      <c r="N179" s="28">
        <f>IF(OR(履歴データ!$A$179="",履歴データ!$A$178=""),"",E179-E178)</f>
        <v>0.99999999999997868</v>
      </c>
      <c r="O179" s="28">
        <f>IF(OR(履歴データ!$A$179="",履歴データ!$A$178=""),"",F179-F178)</f>
        <v>-11.619999999999976</v>
      </c>
      <c r="P179" s="28">
        <f>IF(OR(履歴データ!$A$179="",履歴データ!$A$178=""),"",G179-G178)</f>
        <v>0.7793571777344539</v>
      </c>
      <c r="Q179" s="29">
        <f>IF(OR(履歴データ!$A$179="",履歴データ!$A$178=""),"",H179-H178)</f>
        <v>0</v>
      </c>
      <c r="R179" s="29">
        <f>IF(OR(履歴データ!$A$179="",履歴データ!$A$178=""),"",I179-I178)</f>
        <v>-0.1875</v>
      </c>
      <c r="S179" s="28">
        <f>IF(OR(履歴データ!$A$179="",履歴データ!$A$178=""),"",(J179-J178)*100)</f>
        <v>4.0000000000000036</v>
      </c>
      <c r="T179" s="11">
        <f>IF(OR(履歴データ!$A$179="",履歴データ!$A$178=""),"",-80000*K179)</f>
        <v>-120000.00000000454</v>
      </c>
      <c r="U179" s="11">
        <f>IF(OR(履歴データ!$A$179="",履歴データ!$A$178=""),"",60000*L179)</f>
        <v>5999.9999999993388</v>
      </c>
      <c r="V179" s="11">
        <f>IF(OR(履歴データ!$A$179="",履歴データ!$A$178=""),"",-50000*M179)</f>
        <v>-200000</v>
      </c>
      <c r="W179" s="11">
        <f>IF(OR(履歴データ!$A$179="",履歴データ!$A$178=""),"",-40000*N179)</f>
        <v>-39999.999999999149</v>
      </c>
      <c r="X179" s="11">
        <f>IF(OR(履歴データ!$A$179="",履歴データ!$A$178=""),"",120*1000000*(-Q179/H178))</f>
        <v>0</v>
      </c>
      <c r="Y179" s="11">
        <f>IF(OR(履歴データ!$A$179="",履歴データ!$A$178=""),"",40000*(-S179)+(-506.3)*R179*1000)</f>
        <v>-65068.750000000146</v>
      </c>
      <c r="Z179" s="11">
        <f>IF(OR(履歴データ!$A$179="",履歴データ!$A$178=""),"",-40000*O179)</f>
        <v>464799.99999999907</v>
      </c>
      <c r="AA179" s="11">
        <f>IF(OR(履歴データ!$A$179="",履歴データ!$A$178=""),"",-40000*P179)</f>
        <v>-31174.287109378158</v>
      </c>
      <c r="AB179" s="11">
        <f>IF(履歴データ!$A$179="","",123.3)</f>
        <v>123.3</v>
      </c>
      <c r="AC179">
        <f>IF(履歴データ!$A$179="","",SUM(T179:AA179))</f>
        <v>14556.962890616487</v>
      </c>
      <c r="AD179" s="29">
        <f>IF(履歴データ!$A$179="","",AC179/1000000)</f>
        <v>1.4556962890616486E-2</v>
      </c>
      <c r="AE179" s="29">
        <f>IF(履歴データ!$A$179="",AE178,AE178+AC179/1000000)</f>
        <v>85.298689245996286</v>
      </c>
      <c r="AF179" s="12">
        <f>IF(OR(履歴データ!$A$179="",AE178=0),"",(AE179-AE178)/AE178)</f>
        <v>1.7068782317325264E-4</v>
      </c>
      <c r="AG179" s="29">
        <f t="shared" si="8"/>
        <v>102.17217746631495</v>
      </c>
      <c r="AH179" s="12">
        <f>IF(OR(履歴データ!$A$179="",AG179=0),"",AE179/AG179-1)</f>
        <v>-0.16514758360593484</v>
      </c>
      <c r="AJ179" s="28">
        <f t="shared" ca="1" si="6"/>
        <v>-32.088973810758304</v>
      </c>
      <c r="AK179" s="28">
        <f t="shared" ca="1" si="7"/>
        <v>-53.17507113306192</v>
      </c>
    </row>
    <row r="180" spans="1:37">
      <c r="A180" s="10">
        <f>IF(履歴データ!$A$180="","",履歴データ!$A$180)</f>
        <v>45187</v>
      </c>
      <c r="B180" s="28">
        <f>IF(履歴データ!$A$180="","",(履歴データ!$D$180-(履歴データ!$B$180+履歴データ!$F$180)/2)*100)</f>
        <v>-40.499999999999936</v>
      </c>
      <c r="C180" s="28">
        <f>IF(履歴データ!$A$180="","",(履歴データ!$H$180-(履歴データ!$G$180+履歴データ!$J$180)/2)*100)</f>
        <v>-9.9000000000000092</v>
      </c>
      <c r="D180" s="28">
        <f>IF(履歴データ!$A$180="","",(履歴データ!$D$180-履歴データ!$H$180)*100)</f>
        <v>360.50000000000006</v>
      </c>
      <c r="E180" s="28">
        <f>IF(履歴データ!$A$180="","",(履歴データ!$D$180-履歴データ!$C$180)*100)</f>
        <v>-13.999999999999968</v>
      </c>
      <c r="F180" s="28">
        <f>IF(履歴データ!$A$180="","",(履歴データ!$R$180-履歴データ!$D$180)*100)</f>
        <v>-184.04000000000002</v>
      </c>
      <c r="G180" s="28">
        <f>IF(履歴データ!$A$180="","",(履歴データ!$S$180-履歴データ!$R$180)*100)</f>
        <v>-196.86664282226567</v>
      </c>
      <c r="H180" s="29">
        <f>IF(履歴データ!$A$180="","",履歴データ!$O$180)</f>
        <v>147.60499572753906</v>
      </c>
      <c r="I180" s="29">
        <f>IF(履歴データ!$A$180="","",履歴データ!$Q$180)</f>
        <v>109.203125</v>
      </c>
      <c r="J180" s="29">
        <f>IF(履歴データ!$A$180="","",履歴データ!$D$180)</f>
        <v>4.32</v>
      </c>
      <c r="K180" s="28">
        <f>IF(OR(履歴データ!$A$180="",履歴データ!$A$179=""),"",B180-B179)</f>
        <v>-1.4999999999999645</v>
      </c>
      <c r="L180" s="28">
        <f>IF(OR(履歴データ!$A$180="",履歴データ!$A$179=""),"",C180-C179)</f>
        <v>0</v>
      </c>
      <c r="M180" s="28">
        <f>IF(OR(履歴データ!$A$180="",履歴データ!$A$179=""),"",D180-D179)</f>
        <v>-0.99999999999994316</v>
      </c>
      <c r="N180" s="28">
        <f>IF(OR(履歴データ!$A$180="",履歴データ!$A$179=""),"",E180-E179)</f>
        <v>-1.9999999999999574</v>
      </c>
      <c r="O180" s="28">
        <f>IF(OR(履歴データ!$A$180="",履歴データ!$A$179=""),"",F180-F179)</f>
        <v>7.6199999999999761</v>
      </c>
      <c r="P180" s="28">
        <f>IF(OR(履歴データ!$A$180="",履歴データ!$A$179=""),"",G180-G179)</f>
        <v>-6.6199999999999761</v>
      </c>
      <c r="Q180" s="29">
        <f>IF(OR(履歴データ!$A$180="",履歴データ!$A$179=""),"",H180-H179)</f>
        <v>0.1230010986328125</v>
      </c>
      <c r="R180" s="29">
        <f>IF(OR(履歴データ!$A$180="",履歴データ!$A$179=""),"",I180-I179)</f>
        <v>3.125E-2</v>
      </c>
      <c r="S180" s="28">
        <f>IF(OR(履歴データ!$A$180="",履歴データ!$A$179=""),"",(J180-J179)*100)</f>
        <v>-0.99999999999997868</v>
      </c>
      <c r="T180" s="11">
        <f>IF(OR(履歴データ!$A$180="",履歴データ!$A$179=""),"",-80000*K180)</f>
        <v>119999.99999999716</v>
      </c>
      <c r="U180" s="11">
        <f>IF(OR(履歴データ!$A$180="",履歴データ!$A$179=""),"",60000*L180)</f>
        <v>0</v>
      </c>
      <c r="V180" s="11">
        <f>IF(OR(履歴データ!$A$180="",履歴データ!$A$179=""),"",-50000*M180)</f>
        <v>49999.999999997155</v>
      </c>
      <c r="W180" s="11">
        <f>IF(OR(履歴データ!$A$180="",履歴データ!$A$179=""),"",-40000*N180)</f>
        <v>79999.999999998297</v>
      </c>
      <c r="X180" s="11">
        <f>IF(OR(履歴データ!$A$180="",履歴データ!$A$179=""),"",120*1000000*(-Q180/H179))</f>
        <v>-100080.90732076752</v>
      </c>
      <c r="Y180" s="11">
        <f>IF(OR(履歴データ!$A$180="",履歴データ!$A$179=""),"",40000*(-S180)+(-506.3)*R180*1000)</f>
        <v>24178.124999999149</v>
      </c>
      <c r="Z180" s="11">
        <f>IF(OR(履歴データ!$A$180="",履歴データ!$A$179=""),"",-40000*O180)</f>
        <v>-304799.99999999907</v>
      </c>
      <c r="AA180" s="11">
        <f>IF(OR(履歴データ!$A$180="",履歴データ!$A$179=""),"",-40000*P180)</f>
        <v>264799.99999999907</v>
      </c>
      <c r="AB180" s="11">
        <f>IF(履歴データ!$A$180="","",123.3)</f>
        <v>123.3</v>
      </c>
      <c r="AC180">
        <f>IF(履歴データ!$A$180="","",SUM(T180:AA180))</f>
        <v>134097.21767922424</v>
      </c>
      <c r="AD180" s="29">
        <f>IF(履歴データ!$A$180="","",AC180/1000000)</f>
        <v>0.13409721767922425</v>
      </c>
      <c r="AE180" s="29">
        <f>IF(履歴データ!$A$180="",AE179,AE179+AC180/1000000)</f>
        <v>85.432786463675512</v>
      </c>
      <c r="AF180" s="12">
        <f>IF(OR(履歴データ!$A$180="",AE179=0),"",(AE180-AE179)/AE179)</f>
        <v>1.572090015269731E-3</v>
      </c>
      <c r="AG180" s="29">
        <f t="shared" si="8"/>
        <v>102.17217746631495</v>
      </c>
      <c r="AH180" s="12">
        <f>IF(OR(履歴データ!$A$180="",AG180=0),"",AE180/AG180-1)</f>
        <v>-0.16383512045789794</v>
      </c>
      <c r="AJ180" s="28">
        <f t="shared" ca="1" si="6"/>
        <v>-32.101890412387334</v>
      </c>
      <c r="AK180" s="28">
        <f t="shared" ca="1" si="7"/>
        <v>-53.13833305129981</v>
      </c>
    </row>
    <row r="181" spans="1:37">
      <c r="A181" s="10">
        <f>IF(履歴データ!$A$181="","",履歴データ!$A$181)</f>
        <v>45188</v>
      </c>
      <c r="B181" s="28">
        <f>IF(履歴データ!$A$181="","",(履歴データ!$D$181-(履歴データ!$B$181+履歴データ!$F$181)/2)*100)</f>
        <v>-38.499999999999979</v>
      </c>
      <c r="C181" s="28">
        <f>IF(履歴データ!$A$181="","",(履歴データ!$H$181-(履歴データ!$G$181+履歴データ!$J$181)/2)*100)</f>
        <v>-10.150000000000004</v>
      </c>
      <c r="D181" s="28">
        <f>IF(履歴データ!$A$181="","",(履歴データ!$D$181-履歴データ!$H$181)*100)</f>
        <v>364.3</v>
      </c>
      <c r="E181" s="28">
        <f>IF(履歴データ!$A$181="","",(履歴データ!$D$181-履歴データ!$C$181)*100)</f>
        <v>-13.999999999999968</v>
      </c>
      <c r="F181" s="28">
        <f>IF(履歴データ!$A$181="","",(履歴データ!$R$181-履歴データ!$D$181)*100)</f>
        <v>-185.57999999999998</v>
      </c>
      <c r="G181" s="28">
        <f>IF(履歴データ!$A$181="","",(履歴データ!$S$181-履歴データ!$R$181)*100)</f>
        <v>-192.78435717773462</v>
      </c>
      <c r="H181" s="29">
        <f>IF(履歴データ!$A$181="","",履歴データ!$O$181)</f>
        <v>147.74200439453125</v>
      </c>
      <c r="I181" s="29">
        <f>IF(履歴データ!$A$181="","",履歴データ!$Q$181)</f>
        <v>108.828125</v>
      </c>
      <c r="J181" s="29">
        <f>IF(履歴データ!$A$181="","",履歴データ!$D$181)</f>
        <v>4.37</v>
      </c>
      <c r="K181" s="28">
        <f>IF(OR(履歴データ!$A$181="",履歴データ!$A$180=""),"",B181-B180)</f>
        <v>1.9999999999999574</v>
      </c>
      <c r="L181" s="28">
        <f>IF(OR(履歴データ!$A$181="",履歴データ!$A$180=""),"",C181-C180)</f>
        <v>-0.24999999999999467</v>
      </c>
      <c r="M181" s="28">
        <f>IF(OR(履歴データ!$A$181="",履歴データ!$A$180=""),"",D181-D180)</f>
        <v>3.7999999999999545</v>
      </c>
      <c r="N181" s="28">
        <f>IF(OR(履歴データ!$A$181="",履歴データ!$A$180=""),"",E181-E180)</f>
        <v>0</v>
      </c>
      <c r="O181" s="28">
        <f>IF(OR(履歴データ!$A$181="",履歴データ!$A$180=""),"",F181-F180)</f>
        <v>-1.5399999999999636</v>
      </c>
      <c r="P181" s="28">
        <f>IF(OR(履歴データ!$A$181="",履歴データ!$A$180=""),"",G181-G180)</f>
        <v>4.0822856445310549</v>
      </c>
      <c r="Q181" s="29">
        <f>IF(OR(履歴データ!$A$181="",履歴データ!$A$180=""),"",H181-H180)</f>
        <v>0.1370086669921875</v>
      </c>
      <c r="R181" s="29">
        <f>IF(OR(履歴データ!$A$181="",履歴データ!$A$180=""),"",I181-I180)</f>
        <v>-0.375</v>
      </c>
      <c r="S181" s="28">
        <f>IF(OR(履歴データ!$A$181="",履歴データ!$A$180=""),"",(J181-J180)*100)</f>
        <v>4.9999999999999822</v>
      </c>
      <c r="T181" s="11">
        <f>IF(OR(履歴データ!$A$181="",履歴データ!$A$180=""),"",-80000*K181)</f>
        <v>-159999.99999999659</v>
      </c>
      <c r="U181" s="11">
        <f>IF(OR(履歴データ!$A$181="",履歴データ!$A$180=""),"",60000*L181)</f>
        <v>-14999.99999999968</v>
      </c>
      <c r="V181" s="11">
        <f>IF(OR(履歴データ!$A$181="",履歴データ!$A$180=""),"",-50000*M181)</f>
        <v>-189999.99999999773</v>
      </c>
      <c r="W181" s="11">
        <f>IF(OR(履歴データ!$A$181="",履歴データ!$A$180=""),"",-40000*N181)</f>
        <v>0</v>
      </c>
      <c r="X181" s="11">
        <f>IF(OR(履歴データ!$A$181="",履歴データ!$A$180=""),"",120*1000000*(-Q181/H180))</f>
        <v>-111385.39016261121</v>
      </c>
      <c r="Y181" s="11">
        <f>IF(OR(履歴データ!$A$181="",履歴データ!$A$180=""),"",40000*(-S181)+(-506.3)*R181*1000)</f>
        <v>-10137.499999999302</v>
      </c>
      <c r="Z181" s="11">
        <f>IF(OR(履歴データ!$A$181="",履歴データ!$A$180=""),"",-40000*O181)</f>
        <v>61599.999999998545</v>
      </c>
      <c r="AA181" s="11">
        <f>IF(OR(履歴データ!$A$181="",履歴データ!$A$180=""),"",-40000*P181)</f>
        <v>-163291.4257812422</v>
      </c>
      <c r="AB181" s="11">
        <f>IF(履歴データ!$A$181="","",123.3)</f>
        <v>123.3</v>
      </c>
      <c r="AC181">
        <f>IF(履歴データ!$A$181="","",SUM(T181:AA181))</f>
        <v>-588214.31594384811</v>
      </c>
      <c r="AD181" s="29">
        <f>IF(履歴データ!$A$181="","",AC181/1000000)</f>
        <v>-0.5882143159438481</v>
      </c>
      <c r="AE181" s="29">
        <f>IF(履歴データ!$A$181="",AE180,AE180+AC181/1000000)</f>
        <v>84.844572147731668</v>
      </c>
      <c r="AF181" s="12">
        <f>IF(OR(履歴データ!$A$181="",AE180=0),"",(AE181-AE180)/AE180)</f>
        <v>-6.8851121482961623E-3</v>
      </c>
      <c r="AG181" s="29">
        <f t="shared" si="8"/>
        <v>102.17217746631495</v>
      </c>
      <c r="AH181" s="12">
        <f>IF(OR(履歴データ!$A$181="",AG181=0),"",AE181/AG181-1)</f>
        <v>-0.1695922094280119</v>
      </c>
      <c r="AJ181" s="28">
        <f t="shared" ca="1" si="6"/>
        <v>-32.090455462922442</v>
      </c>
      <c r="AK181" s="28">
        <f t="shared" ca="1" si="7"/>
        <v>-53.103988981522001</v>
      </c>
    </row>
    <row r="182" spans="1:37">
      <c r="A182" s="10">
        <f>IF(履歴データ!$A$182="","",履歴データ!$A$182)</f>
        <v>45189</v>
      </c>
      <c r="B182" s="28">
        <f>IF(履歴データ!$A$182="","",(履歴データ!$D$182-(履歴データ!$B$182+履歴データ!$F$182)/2)*100)</f>
        <v>-41.000000000000014</v>
      </c>
      <c r="C182" s="28">
        <f>IF(履歴データ!$A$182="","",(履歴データ!$H$182-(履歴データ!$G$182+履歴データ!$J$182)/2)*100)</f>
        <v>-9.1000000000000085</v>
      </c>
      <c r="D182" s="28">
        <f>IF(履歴データ!$A$182="","",(履歴データ!$D$182-履歴データ!$H$182)*100)</f>
        <v>361.9</v>
      </c>
      <c r="E182" s="28">
        <f>IF(履歴データ!$A$182="","",(履歴データ!$D$182-履歴データ!$C$182)*100)</f>
        <v>-16.999999999999993</v>
      </c>
      <c r="F182" s="28">
        <f>IF(履歴データ!$A$182="","",(履歴データ!$R$182-履歴データ!$D$182)*100)</f>
        <v>-182.21999999999997</v>
      </c>
      <c r="G182" s="28">
        <f>IF(履歴データ!$A$182="","",(履歴データ!$S$182-履歴データ!$R$182)*100)</f>
        <v>-194.49517858886739</v>
      </c>
      <c r="H182" s="29">
        <f>IF(履歴データ!$A$182="","",履歴データ!$O$182)</f>
        <v>148.32099914550781</v>
      </c>
      <c r="I182" s="29">
        <f>IF(履歴データ!$A$182="","",履歴データ!$Q$182)</f>
        <v>109.1875</v>
      </c>
      <c r="J182" s="29">
        <f>IF(履歴データ!$A$182="","",履歴データ!$D$182)</f>
        <v>4.3499999999999996</v>
      </c>
      <c r="K182" s="28">
        <f>IF(OR(履歴データ!$A$182="",履歴データ!$A$181=""),"",B182-B181)</f>
        <v>-2.5000000000000355</v>
      </c>
      <c r="L182" s="28">
        <f>IF(OR(履歴データ!$A$182="",履歴データ!$A$181=""),"",C182-C181)</f>
        <v>1.0499999999999954</v>
      </c>
      <c r="M182" s="28">
        <f>IF(OR(履歴データ!$A$182="",履歴データ!$A$181=""),"",D182-D181)</f>
        <v>-2.4000000000000341</v>
      </c>
      <c r="N182" s="28">
        <f>IF(OR(履歴データ!$A$182="",履歴データ!$A$181=""),"",E182-E181)</f>
        <v>-3.0000000000000249</v>
      </c>
      <c r="O182" s="28">
        <f>IF(OR(履歴データ!$A$182="",履歴データ!$A$181=""),"",F182-F181)</f>
        <v>3.3600000000000136</v>
      </c>
      <c r="P182" s="28">
        <f>IF(OR(履歴データ!$A$182="",履歴データ!$A$181=""),"",G182-G181)</f>
        <v>-1.7108214111327698</v>
      </c>
      <c r="Q182" s="29">
        <f>IF(OR(履歴データ!$A$182="",履歴データ!$A$181=""),"",H182-H181)</f>
        <v>0.5789947509765625</v>
      </c>
      <c r="R182" s="29">
        <f>IF(OR(履歴データ!$A$182="",履歴データ!$A$181=""),"",I182-I181)</f>
        <v>0.359375</v>
      </c>
      <c r="S182" s="28">
        <f>IF(OR(履歴データ!$A$182="",履歴データ!$A$181=""),"",(J182-J181)*100)</f>
        <v>-2.0000000000000462</v>
      </c>
      <c r="T182" s="11">
        <f>IF(OR(履歴データ!$A$182="",履歴データ!$A$181=""),"",-80000*K182)</f>
        <v>200000.00000000285</v>
      </c>
      <c r="U182" s="11">
        <f>IF(OR(履歴データ!$A$182="",履歴データ!$A$181=""),"",60000*L182)</f>
        <v>62999.999999999724</v>
      </c>
      <c r="V182" s="11">
        <f>IF(OR(履歴データ!$A$182="",履歴データ!$A$181=""),"",-50000*M182)</f>
        <v>120000.0000000017</v>
      </c>
      <c r="W182" s="11">
        <f>IF(OR(履歴データ!$A$182="",履歴データ!$A$181=""),"",-40000*N182)</f>
        <v>120000.00000000099</v>
      </c>
      <c r="X182" s="11">
        <f>IF(OR(履歴データ!$A$182="",履歴データ!$A$181=""),"",120*1000000*(-Q182/H181))</f>
        <v>-470274.99323516223</v>
      </c>
      <c r="Y182" s="11">
        <f>IF(OR(履歴データ!$A$182="",履歴データ!$A$181=""),"",40000*(-S182)+(-506.3)*R182*1000)</f>
        <v>-101951.56249999815</v>
      </c>
      <c r="Z182" s="11">
        <f>IF(OR(履歴データ!$A$182="",履歴データ!$A$181=""),"",-40000*O182)</f>
        <v>-134400.00000000055</v>
      </c>
      <c r="AA182" s="11">
        <f>IF(OR(履歴データ!$A$182="",履歴データ!$A$181=""),"",-40000*P182)</f>
        <v>68432.856445310783</v>
      </c>
      <c r="AB182" s="11">
        <f>IF(履歴データ!$A$182="","",123.3)</f>
        <v>123.3</v>
      </c>
      <c r="AC182">
        <f>IF(履歴データ!$A$182="","",SUM(T182:AA182))</f>
        <v>-135193.69928984492</v>
      </c>
      <c r="AD182" s="29">
        <f>IF(履歴データ!$A$182="","",AC182/1000000)</f>
        <v>-0.13519369928984493</v>
      </c>
      <c r="AE182" s="29">
        <f>IF(履歴データ!$A$182="",AE181,AE181+AC182/1000000)</f>
        <v>84.709378448441825</v>
      </c>
      <c r="AF182" s="12">
        <f>IF(OR(履歴データ!$A$182="",AE181=0),"",(AE182-AE181)/AE181)</f>
        <v>-1.5934277923453169E-3</v>
      </c>
      <c r="AG182" s="29">
        <f t="shared" si="8"/>
        <v>102.17217746631495</v>
      </c>
      <c r="AH182" s="12">
        <f>IF(OR(履歴データ!$A$182="",AG182=0),"",AE182/AG182-1)</f>
        <v>-0.17091540428048935</v>
      </c>
      <c r="AJ182" s="28">
        <f t="shared" ca="1" si="6"/>
        <v>-32.108167051120461</v>
      </c>
      <c r="AK182" s="28">
        <f t="shared" ca="1" si="7"/>
        <v>-53.068628528990033</v>
      </c>
    </row>
    <row r="183" spans="1:37">
      <c r="A183" s="10">
        <f>IF(履歴データ!$A$183="","",履歴データ!$A$183)</f>
        <v>45190</v>
      </c>
      <c r="B183" s="28">
        <f>IF(履歴データ!$A$183="","",(履歴データ!$D$183-(履歴データ!$B$183+履歴データ!$F$183)/2)*100)</f>
        <v>-34.999999999999964</v>
      </c>
      <c r="C183" s="28">
        <f>IF(履歴データ!$A$183="","",(履歴データ!$H$183-(履歴データ!$G$183+履歴データ!$J$183)/2)*100)</f>
        <v>-6.2999999999999945</v>
      </c>
      <c r="D183" s="28">
        <f>IF(履歴データ!$A$183="","",(履歴データ!$D$183-履歴データ!$H$183)*100)</f>
        <v>373.20000000000005</v>
      </c>
      <c r="E183" s="28">
        <f>IF(履歴データ!$A$183="","",(履歴データ!$D$183-履歴データ!$C$183)*100)</f>
        <v>-12.000000000000011</v>
      </c>
      <c r="F183" s="28">
        <f>IF(履歴データ!$A$183="","",(履歴データ!$R$183-履歴データ!$D$183)*100)</f>
        <v>-204.74</v>
      </c>
      <c r="G183" s="28">
        <f>IF(履歴データ!$A$183="","",(履歴データ!$S$183-履歴データ!$R$183)*100)</f>
        <v>-183.69500000000031</v>
      </c>
      <c r="H183" s="29">
        <f>IF(履歴データ!$A$183="","",履歴データ!$O$183)</f>
        <v>147.64399719238281</v>
      </c>
      <c r="I183" s="29">
        <f>IF(履歴データ!$A$183="","",履歴データ!$Q$183)</f>
        <v>108.421875</v>
      </c>
      <c r="J183" s="29">
        <f>IF(履歴データ!$A$183="","",履歴データ!$D$183)</f>
        <v>4.49</v>
      </c>
      <c r="K183" s="28">
        <f>IF(OR(履歴データ!$A$183="",履歴データ!$A$182=""),"",B183-B182)</f>
        <v>6.0000000000000497</v>
      </c>
      <c r="L183" s="28">
        <f>IF(OR(履歴データ!$A$183="",履歴データ!$A$182=""),"",C183-C182)</f>
        <v>2.800000000000014</v>
      </c>
      <c r="M183" s="28">
        <f>IF(OR(履歴データ!$A$183="",履歴データ!$A$182=""),"",D183-D182)</f>
        <v>11.300000000000068</v>
      </c>
      <c r="N183" s="28">
        <f>IF(OR(履歴データ!$A$183="",履歴データ!$A$182=""),"",E183-E182)</f>
        <v>4.9999999999999822</v>
      </c>
      <c r="O183" s="28">
        <f>IF(OR(履歴データ!$A$183="",履歴データ!$A$182=""),"",F183-F182)</f>
        <v>-22.520000000000039</v>
      </c>
      <c r="P183" s="28">
        <f>IF(OR(履歴データ!$A$183="",履歴データ!$A$182=""),"",G183-G182)</f>
        <v>10.800178588867084</v>
      </c>
      <c r="Q183" s="29">
        <f>IF(OR(履歴データ!$A$183="",履歴データ!$A$182=""),"",H183-H182)</f>
        <v>-0.677001953125</v>
      </c>
      <c r="R183" s="29">
        <f>IF(OR(履歴データ!$A$183="",履歴データ!$A$182=""),"",I183-I182)</f>
        <v>-0.765625</v>
      </c>
      <c r="S183" s="28">
        <f>IF(OR(履歴データ!$A$183="",履歴データ!$A$182=""),"",(J183-J182)*100)</f>
        <v>14.000000000000057</v>
      </c>
      <c r="T183" s="11">
        <f>IF(OR(履歴データ!$A$183="",履歴データ!$A$182=""),"",-80000*K183)</f>
        <v>-480000.00000000396</v>
      </c>
      <c r="U183" s="11">
        <f>IF(OR(履歴データ!$A$183="",履歴データ!$A$182=""),"",60000*L183)</f>
        <v>168000.00000000084</v>
      </c>
      <c r="V183" s="11">
        <f>IF(OR(履歴データ!$A$183="",履歴データ!$A$182=""),"",-50000*M183)</f>
        <v>-565000.00000000338</v>
      </c>
      <c r="W183" s="11">
        <f>IF(OR(履歴データ!$A$183="",履歴データ!$A$182=""),"",-40000*N183)</f>
        <v>-199999.9999999993</v>
      </c>
      <c r="X183" s="11">
        <f>IF(OR(履歴データ!$A$183="",履歴データ!$A$182=""),"",120*1000000*(-Q183/H182))</f>
        <v>547732.51827477664</v>
      </c>
      <c r="Y183" s="11">
        <f>IF(OR(履歴データ!$A$183="",履歴データ!$A$182=""),"",40000*(-S183)+(-506.3)*R183*1000)</f>
        <v>-172364.06250000233</v>
      </c>
      <c r="Z183" s="11">
        <f>IF(OR(履歴データ!$A$183="",履歴データ!$A$182=""),"",-40000*O183)</f>
        <v>900800.00000000151</v>
      </c>
      <c r="AA183" s="11">
        <f>IF(OR(履歴データ!$A$183="",履歴データ!$A$182=""),"",-40000*P183)</f>
        <v>-432007.14355468337</v>
      </c>
      <c r="AB183" s="11">
        <f>IF(履歴データ!$A$183="","",123.3)</f>
        <v>123.3</v>
      </c>
      <c r="AC183">
        <f>IF(履歴データ!$A$183="","",SUM(T183:AA183))</f>
        <v>-232838.68777991337</v>
      </c>
      <c r="AD183" s="29">
        <f>IF(履歴データ!$A$183="","",AC183/1000000)</f>
        <v>-0.23283868777991337</v>
      </c>
      <c r="AE183" s="29">
        <f>IF(履歴データ!$A$183="",AE182,AE182+AC183/1000000)</f>
        <v>84.476539760661908</v>
      </c>
      <c r="AF183" s="12">
        <f>IF(OR(履歴データ!$A$183="",AE182=0),"",(AE183-AE182)/AE182)</f>
        <v>-2.7486766169773553E-3</v>
      </c>
      <c r="AG183" s="29">
        <f t="shared" si="8"/>
        <v>102.17217746631495</v>
      </c>
      <c r="AH183" s="12">
        <f>IF(OR(履歴データ!$A$183="",AG183=0),"",AE183/AG183-1)</f>
        <v>-0.17319428972223971</v>
      </c>
      <c r="AJ183" s="28">
        <f t="shared" ca="1" si="6"/>
        <v>-32.035091173152615</v>
      </c>
      <c r="AK183" s="28">
        <f t="shared" ca="1" si="7"/>
        <v>-53.058315420253983</v>
      </c>
    </row>
    <row r="184" spans="1:37">
      <c r="A184" s="10">
        <f>IF(履歴データ!$A$184="","",履歴データ!$A$184)</f>
        <v>45191</v>
      </c>
      <c r="B184" s="28">
        <f>IF(履歴データ!$A$184="","",(履歴データ!$D$184-(履歴データ!$B$184+履歴データ!$F$184)/2)*100)</f>
        <v>-37.499999999999915</v>
      </c>
      <c r="C184" s="28">
        <f>IF(履歴データ!$A$184="","",(履歴データ!$H$184-(履歴データ!$G$184+履歴データ!$J$184)/2)*100)</f>
        <v>-6.899999999999995</v>
      </c>
      <c r="D184" s="28">
        <f>IF(履歴データ!$A$184="","",(履歴データ!$D$184-履歴データ!$H$184)*100)</f>
        <v>368.6</v>
      </c>
      <c r="E184" s="28">
        <f>IF(履歴データ!$A$184="","",(履歴データ!$D$184-履歴データ!$C$184)*100)</f>
        <v>-12.999999999999989</v>
      </c>
      <c r="F184" s="28">
        <f>IF(履歴データ!$A$184="","",(履歴データ!$R$184-履歴データ!$D$184)*100)</f>
        <v>-197.95000000000002</v>
      </c>
      <c r="G184" s="28">
        <f>IF(履歴データ!$A$184="","",(履歴データ!$S$184-履歴データ!$R$184)*100)</f>
        <v>-185.4850000000003</v>
      </c>
      <c r="H184" s="29">
        <f>IF(履歴データ!$A$184="","",履歴データ!$O$184)</f>
        <v>147.64399719238281</v>
      </c>
      <c r="I184" s="29">
        <f>IF(履歴データ!$A$184="","",履歴データ!$Q$184)</f>
        <v>108.6875</v>
      </c>
      <c r="J184" s="29">
        <f>IF(履歴データ!$A$184="","",履歴データ!$D$184)</f>
        <v>4.4400000000000004</v>
      </c>
      <c r="K184" s="28">
        <f>IF(OR(履歴データ!$A$184="",履歴データ!$A$183=""),"",B184-B183)</f>
        <v>-2.4999999999999503</v>
      </c>
      <c r="L184" s="28">
        <f>IF(OR(履歴データ!$A$184="",履歴データ!$A$183=""),"",C184-C183)</f>
        <v>-0.60000000000000053</v>
      </c>
      <c r="M184" s="28">
        <f>IF(OR(履歴データ!$A$184="",履歴データ!$A$183=""),"",D184-D183)</f>
        <v>-4.6000000000000227</v>
      </c>
      <c r="N184" s="28">
        <f>IF(OR(履歴データ!$A$184="",履歴データ!$A$183=""),"",E184-E183)</f>
        <v>-0.99999999999997868</v>
      </c>
      <c r="O184" s="28">
        <f>IF(OR(履歴データ!$A$184="",履歴データ!$A$183=""),"",F184-F183)</f>
        <v>6.789999999999992</v>
      </c>
      <c r="P184" s="28">
        <f>IF(OR(履歴データ!$A$184="",履歴データ!$A$183=""),"",G184-G183)</f>
        <v>-1.789999999999992</v>
      </c>
      <c r="Q184" s="29">
        <f>IF(OR(履歴データ!$A$184="",履歴データ!$A$183=""),"",H184-H183)</f>
        <v>0</v>
      </c>
      <c r="R184" s="29">
        <f>IF(OR(履歴データ!$A$184="",履歴データ!$A$183=""),"",I184-I183)</f>
        <v>0.265625</v>
      </c>
      <c r="S184" s="28">
        <f>IF(OR(履歴データ!$A$184="",履歴データ!$A$183=""),"",(J184-J183)*100)</f>
        <v>-4.9999999999999822</v>
      </c>
      <c r="T184" s="11">
        <f>IF(OR(履歴データ!$A$184="",履歴データ!$A$183=""),"",-80000*K184)</f>
        <v>199999.99999999601</v>
      </c>
      <c r="U184" s="11">
        <f>IF(OR(履歴データ!$A$184="",履歴データ!$A$183=""),"",60000*L184)</f>
        <v>-36000.000000000029</v>
      </c>
      <c r="V184" s="11">
        <f>IF(OR(履歴データ!$A$184="",履歴データ!$A$183=""),"",-50000*M184)</f>
        <v>230000.00000000114</v>
      </c>
      <c r="W184" s="11">
        <f>IF(OR(履歴データ!$A$184="",履歴データ!$A$183=""),"",-40000*N184)</f>
        <v>39999.999999999149</v>
      </c>
      <c r="X184" s="11">
        <f>IF(OR(履歴データ!$A$184="",履歴データ!$A$183=""),"",120*1000000*(-Q184/H183))</f>
        <v>0</v>
      </c>
      <c r="Y184" s="11">
        <f>IF(OR(履歴データ!$A$184="",履歴データ!$A$183=""),"",40000*(-S184)+(-506.3)*R184*1000)</f>
        <v>65514.062499999302</v>
      </c>
      <c r="Z184" s="11">
        <f>IF(OR(履歴データ!$A$184="",履歴データ!$A$183=""),"",-40000*O184)</f>
        <v>-271599.99999999971</v>
      </c>
      <c r="AA184" s="11">
        <f>IF(OR(履歴データ!$A$184="",履歴データ!$A$183=""),"",-40000*P184)</f>
        <v>71599.99999999968</v>
      </c>
      <c r="AB184" s="11">
        <f>IF(履歴データ!$A$184="","",123.3)</f>
        <v>123.3</v>
      </c>
      <c r="AC184">
        <f>IF(履歴データ!$A$184="","",SUM(T184:AA184))</f>
        <v>299514.06249999546</v>
      </c>
      <c r="AD184" s="29">
        <f>IF(履歴データ!$A$184="","",AC184/1000000)</f>
        <v>0.29951406249999546</v>
      </c>
      <c r="AE184" s="29">
        <f>IF(履歴データ!$A$184="",AE183,AE183+AC184/1000000)</f>
        <v>84.776053823161902</v>
      </c>
      <c r="AF184" s="12">
        <f>IF(OR(履歴データ!$A$184="",AE183=0),"",(AE184-AE183)/AE183)</f>
        <v>3.5455294848555003E-3</v>
      </c>
      <c r="AG184" s="29">
        <f t="shared" si="8"/>
        <v>102.17217746631495</v>
      </c>
      <c r="AH184" s="12">
        <f>IF(OR(履歴データ!$A$184="",AG184=0),"",AE184/AG184-1)</f>
        <v>-0.17026282569820306</v>
      </c>
      <c r="AJ184" s="28">
        <f t="shared" ca="1" si="6"/>
        <v>-32.009911452744639</v>
      </c>
      <c r="AK184" s="28">
        <f t="shared" ca="1" si="7"/>
        <v>-53.028339913375582</v>
      </c>
    </row>
    <row r="185" spans="1:37">
      <c r="A185" s="10">
        <f>IF(履歴データ!$A$185="","",履歴データ!$A$185)</f>
        <v>45194</v>
      </c>
      <c r="B185" s="28">
        <f>IF(履歴データ!$A$185="","",(履歴データ!$D$185-(履歴データ!$B$185+履歴データ!$F$185)/2)*100)</f>
        <v>-33.000000000000007</v>
      </c>
      <c r="C185" s="28">
        <f>IF(履歴データ!$A$185="","",(履歴データ!$H$185-(履歴データ!$G$185+履歴データ!$J$185)/2)*100)</f>
        <v>-8.4500000000000028</v>
      </c>
      <c r="D185" s="28">
        <f>IF(履歴データ!$A$185="","",(履歴データ!$D$185-履歴データ!$H$185)*100)</f>
        <v>381.2</v>
      </c>
      <c r="E185" s="28">
        <f>IF(履歴データ!$A$185="","",(履歴データ!$D$185-履歴データ!$C$185)*100)</f>
        <v>-7.0000000000000284</v>
      </c>
      <c r="F185" s="28">
        <f>IF(履歴データ!$A$185="","",(履歴データ!$R$185-履歴データ!$D$185)*100)</f>
        <v>-213.53999999999996</v>
      </c>
      <c r="G185" s="28">
        <f>IF(履歴データ!$A$185="","",(履歴データ!$S$185-履歴データ!$R$185)*100)</f>
        <v>-182.82435717773461</v>
      </c>
      <c r="H185" s="29">
        <f>IF(履歴データ!$A$185="","",履歴データ!$O$185)</f>
        <v>148.81100463867188</v>
      </c>
      <c r="I185" s="29">
        <f>IF(履歴データ!$A$185="","",履歴データ!$Q$185)</f>
        <v>108.171875</v>
      </c>
      <c r="J185" s="29">
        <f>IF(履歴データ!$A$185="","",履歴データ!$D$185)</f>
        <v>4.55</v>
      </c>
      <c r="K185" s="28">
        <f>IF(OR(履歴データ!$A$185="",履歴データ!$A$184=""),"",B185-B184)</f>
        <v>4.4999999999999076</v>
      </c>
      <c r="L185" s="28">
        <f>IF(OR(履歴データ!$A$185="",履歴データ!$A$184=""),"",C185-C184)</f>
        <v>-1.5500000000000078</v>
      </c>
      <c r="M185" s="28">
        <f>IF(OR(履歴データ!$A$185="",履歴データ!$A$184=""),"",D185-D184)</f>
        <v>12.599999999999966</v>
      </c>
      <c r="N185" s="28">
        <f>IF(OR(履歴データ!$A$185="",履歴データ!$A$184=""),"",E185-E184)</f>
        <v>5.9999999999999609</v>
      </c>
      <c r="O185" s="28">
        <f>IF(OR(履歴データ!$A$185="",履歴データ!$A$184=""),"",F185-F184)</f>
        <v>-15.589999999999947</v>
      </c>
      <c r="P185" s="28">
        <f>IF(OR(履歴データ!$A$185="",履歴データ!$A$184=""),"",G185-G184)</f>
        <v>2.6606428222656859</v>
      </c>
      <c r="Q185" s="29">
        <f>IF(OR(履歴データ!$A$185="",履歴データ!$A$184=""),"",H185-H184)</f>
        <v>1.1670074462890625</v>
      </c>
      <c r="R185" s="29">
        <f>IF(OR(履歴データ!$A$185="",履歴データ!$A$184=""),"",I185-I184)</f>
        <v>-0.515625</v>
      </c>
      <c r="S185" s="28">
        <f>IF(OR(履歴データ!$A$185="",履歴データ!$A$184=""),"",(J185-J184)*100)</f>
        <v>10.999999999999943</v>
      </c>
      <c r="T185" s="11">
        <f>IF(OR(履歴データ!$A$185="",履歴データ!$A$184=""),"",-80000*K185)</f>
        <v>-359999.99999999261</v>
      </c>
      <c r="U185" s="11">
        <f>IF(OR(履歴データ!$A$185="",履歴データ!$A$184=""),"",60000*L185)</f>
        <v>-93000.000000000466</v>
      </c>
      <c r="V185" s="11">
        <f>IF(OR(履歴データ!$A$185="",履歴データ!$A$184=""),"",-50000*M185)</f>
        <v>-629999.99999999825</v>
      </c>
      <c r="W185" s="11">
        <f>IF(OR(履歴データ!$A$185="",履歴データ!$A$184=""),"",-40000*N185)</f>
        <v>-239999.99999999843</v>
      </c>
      <c r="X185" s="11">
        <f>IF(OR(履歴データ!$A$185="",履歴データ!$A$184=""),"",120*1000000*(-Q185/H184))</f>
        <v>-948503.80792800977</v>
      </c>
      <c r="Y185" s="11">
        <f>IF(OR(履歴データ!$A$185="",履歴データ!$A$184=""),"",40000*(-S185)+(-506.3)*R185*1000)</f>
        <v>-178939.0624999977</v>
      </c>
      <c r="Z185" s="11">
        <f>IF(OR(履歴データ!$A$185="",履歴データ!$A$184=""),"",-40000*O185)</f>
        <v>623599.9999999979</v>
      </c>
      <c r="AA185" s="11">
        <f>IF(OR(履歴データ!$A$185="",履歴データ!$A$184=""),"",-40000*P185)</f>
        <v>-106425.71289062744</v>
      </c>
      <c r="AB185" s="11">
        <f>IF(履歴データ!$A$185="","",123.3)</f>
        <v>123.3</v>
      </c>
      <c r="AC185">
        <f>IF(履歴データ!$A$185="","",SUM(T185:AA185))</f>
        <v>-1933268.583318627</v>
      </c>
      <c r="AD185" s="29">
        <f>IF(履歴データ!$A$185="","",AC185/1000000)</f>
        <v>-1.9332685833186269</v>
      </c>
      <c r="AE185" s="29">
        <f>IF(履歴データ!$A$185="",AE184,AE184+AC185/1000000)</f>
        <v>82.84278523984328</v>
      </c>
      <c r="AF185" s="12">
        <f>IF(OR(履歴データ!$A$185="",AE184=0),"",(AE185-AE184)/AE184)</f>
        <v>-2.2804418183362388E-2</v>
      </c>
      <c r="AG185" s="29">
        <f t="shared" si="8"/>
        <v>102.17217746631495</v>
      </c>
      <c r="AH185" s="12">
        <f>IF(OR(履歴データ!$A$185="",AG185=0),"",AE185/AG185-1)</f>
        <v>-0.18918449920326263</v>
      </c>
      <c r="AJ185" s="28">
        <f t="shared" ca="1" si="6"/>
        <v>-31.893369784603117</v>
      </c>
      <c r="AK185" s="28">
        <f t="shared" ca="1" si="7"/>
        <v>-53.041412824092539</v>
      </c>
    </row>
    <row r="186" spans="1:37">
      <c r="A186" s="10">
        <f>IF(履歴データ!$A$186="","",履歴データ!$A$186)</f>
        <v>45195</v>
      </c>
      <c r="B186" s="28">
        <f>IF(履歴データ!$A$186="","",(履歴データ!$D$186-(履歴データ!$B$186+履歴データ!$F$186)/2)*100)</f>
        <v>-31.00000000000005</v>
      </c>
      <c r="C186" s="28">
        <f>IF(履歴データ!$A$186="","",(履歴データ!$H$186-(履歴データ!$G$186+履歴データ!$J$186)/2)*100)</f>
        <v>-7.4500000000000011</v>
      </c>
      <c r="D186" s="28">
        <f>IF(履歴データ!$A$186="","",(履歴データ!$D$186-履歴データ!$H$186)*100)</f>
        <v>380.79999999999995</v>
      </c>
      <c r="E186" s="28">
        <f>IF(履歴データ!$A$186="","",(履歴データ!$D$186-履歴データ!$C$186)*100)</f>
        <v>-6.0000000000000497</v>
      </c>
      <c r="F186" s="28">
        <f>IF(履歴データ!$A$186="","",(履歴データ!$R$186-履歴データ!$D$186)*100)</f>
        <v>-206.21999999999997</v>
      </c>
      <c r="G186" s="28">
        <f>IF(履歴データ!$A$186="","",(履歴データ!$S$186-履歴データ!$R$186)*100)</f>
        <v>-189.39035717773453</v>
      </c>
      <c r="H186" s="29">
        <f>IF(履歴データ!$A$186="","",履歴データ!$O$186)</f>
        <v>149.04499816894531</v>
      </c>
      <c r="I186" s="29">
        <f>IF(履歴データ!$A$186="","",履歴データ!$Q$186)</f>
        <v>108.109375</v>
      </c>
      <c r="J186" s="29">
        <f>IF(履歴データ!$A$186="","",履歴データ!$D$186)</f>
        <v>4.5599999999999996</v>
      </c>
      <c r="K186" s="28">
        <f>IF(OR(履歴データ!$A$186="",履歴データ!$A$185=""),"",B186-B185)</f>
        <v>1.9999999999999574</v>
      </c>
      <c r="L186" s="28">
        <f>IF(OR(履歴データ!$A$186="",履歴データ!$A$185=""),"",C186-C185)</f>
        <v>1.0000000000000018</v>
      </c>
      <c r="M186" s="28">
        <f>IF(OR(履歴データ!$A$186="",履歴データ!$A$185=""),"",D186-D185)</f>
        <v>-0.40000000000003411</v>
      </c>
      <c r="N186" s="28">
        <f>IF(OR(履歴データ!$A$186="",履歴データ!$A$185=""),"",E186-E185)</f>
        <v>0.99999999999997868</v>
      </c>
      <c r="O186" s="28">
        <f>IF(OR(履歴データ!$A$186="",履歴データ!$A$185=""),"",F186-F185)</f>
        <v>7.3199999999999932</v>
      </c>
      <c r="P186" s="28">
        <f>IF(OR(履歴データ!$A$186="",履歴データ!$A$185=""),"",G186-G185)</f>
        <v>-6.5659999999999172</v>
      </c>
      <c r="Q186" s="29">
        <f>IF(OR(履歴データ!$A$186="",履歴データ!$A$185=""),"",H186-H185)</f>
        <v>0.2339935302734375</v>
      </c>
      <c r="R186" s="29">
        <f>IF(OR(履歴データ!$A$186="",履歴データ!$A$185=""),"",I186-I185)</f>
        <v>-6.25E-2</v>
      </c>
      <c r="S186" s="28">
        <f>IF(OR(履歴データ!$A$186="",履歴データ!$A$185=""),"",(J186-J185)*100)</f>
        <v>0.99999999999997868</v>
      </c>
      <c r="T186" s="11">
        <f>IF(OR(履歴データ!$A$186="",履歴データ!$A$185=""),"",-80000*K186)</f>
        <v>-159999.99999999659</v>
      </c>
      <c r="U186" s="11">
        <f>IF(OR(履歴データ!$A$186="",履歴データ!$A$185=""),"",60000*L186)</f>
        <v>60000.000000000109</v>
      </c>
      <c r="V186" s="11">
        <f>IF(OR(履歴データ!$A$186="",履歴データ!$A$185=""),"",-50000*M186)</f>
        <v>20000.000000001706</v>
      </c>
      <c r="W186" s="11">
        <f>IF(OR(履歴データ!$A$186="",履歴データ!$A$185=""),"",-40000*N186)</f>
        <v>-39999.999999999149</v>
      </c>
      <c r="X186" s="11">
        <f>IF(OR(履歴データ!$A$186="",履歴データ!$A$185=""),"",120*1000000*(-Q186/H185))</f>
        <v>-188690.50512085235</v>
      </c>
      <c r="Y186" s="11">
        <f>IF(OR(履歴データ!$A$186="",履歴データ!$A$185=""),"",40000*(-S186)+(-506.3)*R186*1000)</f>
        <v>-8356.2499999991487</v>
      </c>
      <c r="Z186" s="11">
        <f>IF(OR(履歴データ!$A$186="",履歴データ!$A$185=""),"",-40000*O186)</f>
        <v>-292799.99999999971</v>
      </c>
      <c r="AA186" s="11">
        <f>IF(OR(履歴データ!$A$186="",履歴データ!$A$185=""),"",-40000*P186)</f>
        <v>262639.99999999668</v>
      </c>
      <c r="AB186" s="11">
        <f>IF(履歴データ!$A$186="","",123.3)</f>
        <v>123.3</v>
      </c>
      <c r="AC186">
        <f>IF(履歴データ!$A$186="","",SUM(T186:AA186))</f>
        <v>-347206.75512084836</v>
      </c>
      <c r="AD186" s="29">
        <f>IF(履歴データ!$A$186="","",AC186/1000000)</f>
        <v>-0.34720675512084836</v>
      </c>
      <c r="AE186" s="29">
        <f>IF(履歴データ!$A$186="",AE185,AE185+AC186/1000000)</f>
        <v>82.495578484722429</v>
      </c>
      <c r="AF186" s="12">
        <f>IF(OR(履歴データ!$A$186="",AE185=0),"",(AE186-AE185)/AE185)</f>
        <v>-4.1911526044860915E-3</v>
      </c>
      <c r="AG186" s="29">
        <f t="shared" si="8"/>
        <v>102.17217746631495</v>
      </c>
      <c r="AH186" s="12">
        <f>IF(OR(履歴データ!$A$186="",AG186=0),"",AE186/AG186-1)</f>
        <v>-0.19258275070118458</v>
      </c>
      <c r="AJ186" s="28">
        <f t="shared" ca="1" si="6"/>
        <v>-31.726195010198261</v>
      </c>
      <c r="AK186" s="28">
        <f t="shared" ca="1" si="7"/>
        <v>-53.084615800612546</v>
      </c>
    </row>
    <row r="187" spans="1:37">
      <c r="A187" s="10">
        <f>IF(履歴データ!$A$187="","",履歴データ!$A$187)</f>
        <v>45196</v>
      </c>
      <c r="B187" s="28">
        <f>IF(履歴データ!$A$187="","",(履歴データ!$D$187-(履歴データ!$B$187+履歴データ!$F$187)/2)*100)</f>
        <v>-30.499999999999972</v>
      </c>
      <c r="C187" s="28">
        <f>IF(履歴データ!$A$187="","",(履歴データ!$H$187-(履歴データ!$G$187+履歴データ!$J$187)/2)*100)</f>
        <v>-8.3500000000000014</v>
      </c>
      <c r="D187" s="28">
        <f>IF(履歴データ!$A$187="","",(履歴データ!$D$187-履歴データ!$H$187)*100)</f>
        <v>386.30000000000007</v>
      </c>
      <c r="E187" s="28">
        <f>IF(履歴データ!$A$187="","",(履歴データ!$D$187-履歴データ!$C$187)*100)</f>
        <v>-5.9999999999999609</v>
      </c>
      <c r="F187" s="28">
        <f>IF(履歴データ!$A$187="","",(履歴データ!$R$187-履歴データ!$D$187)*100)</f>
        <v>-211.84000000000003</v>
      </c>
      <c r="G187" s="28">
        <f>IF(履歴データ!$A$187="","",(履歴データ!$S$187-履歴データ!$R$187)*100)</f>
        <v>-191.40135717773444</v>
      </c>
      <c r="H187" s="29">
        <f>IF(履歴データ!$A$187="","",履歴データ!$O$187)</f>
        <v>149.49800109863281</v>
      </c>
      <c r="I187" s="29">
        <f>IF(履歴データ!$A$187="","",履歴データ!$Q$187)</f>
        <v>107.578125</v>
      </c>
      <c r="J187" s="29">
        <f>IF(履歴データ!$A$187="","",履歴データ!$D$187)</f>
        <v>4.6100000000000003</v>
      </c>
      <c r="K187" s="28">
        <f>IF(OR(履歴データ!$A$187="",履歴データ!$A$186=""),"",B187-B186)</f>
        <v>0.50000000000007816</v>
      </c>
      <c r="L187" s="28">
        <f>IF(OR(履歴データ!$A$187="",履歴データ!$A$186=""),"",C187-C186)</f>
        <v>-0.90000000000000036</v>
      </c>
      <c r="M187" s="28">
        <f>IF(OR(履歴データ!$A$187="",履歴データ!$A$186=""),"",D187-D186)</f>
        <v>5.5000000000001137</v>
      </c>
      <c r="N187" s="28">
        <f>IF(OR(履歴データ!$A$187="",履歴データ!$A$186=""),"",E187-E186)</f>
        <v>8.8817841970012523E-14</v>
      </c>
      <c r="O187" s="28">
        <f>IF(OR(履歴データ!$A$187="",履歴データ!$A$186=""),"",F187-F186)</f>
        <v>-5.6200000000000614</v>
      </c>
      <c r="P187" s="28">
        <f>IF(OR(履歴データ!$A$187="",履歴データ!$A$186=""),"",G187-G186)</f>
        <v>-2.0109999999999104</v>
      </c>
      <c r="Q187" s="29">
        <f>IF(OR(履歴データ!$A$187="",履歴データ!$A$186=""),"",H187-H186)</f>
        <v>0.4530029296875</v>
      </c>
      <c r="R187" s="29">
        <f>IF(OR(履歴データ!$A$187="",履歴データ!$A$186=""),"",I187-I186)</f>
        <v>-0.53125</v>
      </c>
      <c r="S187" s="28">
        <f>IF(OR(履歴データ!$A$187="",履歴データ!$A$186=""),"",(J187-J186)*100)</f>
        <v>5.0000000000000711</v>
      </c>
      <c r="T187" s="11">
        <f>IF(OR(履歴データ!$A$187="",履歴データ!$A$186=""),"",-80000*K187)</f>
        <v>-40000.00000000625</v>
      </c>
      <c r="U187" s="11">
        <f>IF(OR(履歴データ!$A$187="",履歴データ!$A$186=""),"",60000*L187)</f>
        <v>-54000.000000000022</v>
      </c>
      <c r="V187" s="11">
        <f>IF(OR(履歴データ!$A$187="",履歴データ!$A$186=""),"",-50000*M187)</f>
        <v>-275000.0000000057</v>
      </c>
      <c r="W187" s="11">
        <f>IF(OR(履歴データ!$A$187="",履歴データ!$A$186=""),"",-40000*N187)</f>
        <v>-3.5527136788005009E-9</v>
      </c>
      <c r="X187" s="11">
        <f>IF(OR(履歴データ!$A$187="",履歴データ!$A$186=""),"",120*1000000*(-Q187/H186))</f>
        <v>-364724.42705444916</v>
      </c>
      <c r="Y187" s="11">
        <f>IF(OR(履歴データ!$A$187="",履歴データ!$A$186=""),"",40000*(-S187)+(-506.3)*R187*1000)</f>
        <v>68971.874999997148</v>
      </c>
      <c r="Z187" s="11">
        <f>IF(OR(履歴データ!$A$187="",履歴データ!$A$186=""),"",-40000*O187)</f>
        <v>224800.00000000244</v>
      </c>
      <c r="AA187" s="11">
        <f>IF(OR(履歴データ!$A$187="",履歴データ!$A$186=""),"",-40000*P187)</f>
        <v>80439.99999999642</v>
      </c>
      <c r="AB187" s="11">
        <f>IF(履歴データ!$A$187="","",123.3)</f>
        <v>123.3</v>
      </c>
      <c r="AC187">
        <f>IF(履歴データ!$A$187="","",SUM(T187:AA187))</f>
        <v>-359512.55205446878</v>
      </c>
      <c r="AD187" s="29">
        <f>IF(履歴データ!$A$187="","",AC187/1000000)</f>
        <v>-0.35951255205446875</v>
      </c>
      <c r="AE187" s="29">
        <f>IF(履歴データ!$A$187="",AE186,AE186+AC187/1000000)</f>
        <v>82.136065932667961</v>
      </c>
      <c r="AF187" s="12">
        <f>IF(OR(履歴データ!$A$187="",AE186=0),"",(AE187-AE186)/AE186)</f>
        <v>-4.3579614648201715E-3</v>
      </c>
      <c r="AG187" s="29">
        <f t="shared" si="8"/>
        <v>102.17217746631495</v>
      </c>
      <c r="AH187" s="12">
        <f>IF(OR(履歴データ!$A$187="",AG187=0),"",AE187/AG187-1)</f>
        <v>-0.19610144395965989</v>
      </c>
      <c r="AJ187" s="28">
        <f t="shared" ca="1" si="6"/>
        <v>-31.548936780475238</v>
      </c>
      <c r="AK187" s="28">
        <f t="shared" ca="1" si="7"/>
        <v>-53.133858918449498</v>
      </c>
    </row>
    <row r="188" spans="1:37">
      <c r="A188" s="10">
        <f>IF(履歴データ!$A$188="","",履歴データ!$A$188)</f>
        <v>45197</v>
      </c>
      <c r="B188" s="28">
        <f>IF(履歴データ!$A$188="","",(履歴データ!$D$188-(履歴データ!$B$188+履歴データ!$F$188)/2)*100)</f>
        <v>-28.500000000000014</v>
      </c>
      <c r="C188" s="28">
        <f>IF(履歴データ!$A$188="","",(履歴データ!$H$188-(履歴データ!$G$188+履歴データ!$J$188)/2)*100)</f>
        <v>-7.399999999999995</v>
      </c>
      <c r="D188" s="28">
        <f>IF(履歴データ!$A$188="","",(履歴データ!$D$188-履歴データ!$H$188)*100)</f>
        <v>382.5</v>
      </c>
      <c r="E188" s="28">
        <f>IF(履歴データ!$A$188="","",(履歴データ!$D$188-履歴データ!$C$188)*100)</f>
        <v>-3.0000000000000249</v>
      </c>
      <c r="F188" s="28">
        <f>IF(履歴データ!$A$188="","",(履歴データ!$R$188-履歴データ!$D$188)*100)</f>
        <v>-200.15999999999997</v>
      </c>
      <c r="G188" s="28">
        <f>IF(履歴データ!$A$188="","",(履歴データ!$S$188-履歴データ!$R$188)*100)</f>
        <v>-196.17017858886749</v>
      </c>
      <c r="H188" s="29">
        <f>IF(履歴データ!$A$188="","",履歴データ!$O$188)</f>
        <v>149.33700561523438</v>
      </c>
      <c r="I188" s="29">
        <f>IF(履歴データ!$A$188="","",履歴データ!$Q$188)</f>
        <v>107.859375</v>
      </c>
      <c r="J188" s="29">
        <f>IF(履歴データ!$A$188="","",履歴データ!$D$188)</f>
        <v>4.59</v>
      </c>
      <c r="K188" s="28">
        <f>IF(OR(履歴データ!$A$188="",履歴データ!$A$187=""),"",B188-B187)</f>
        <v>1.9999999999999574</v>
      </c>
      <c r="L188" s="28">
        <f>IF(OR(履歴データ!$A$188="",履歴データ!$A$187=""),"",C188-C187)</f>
        <v>0.95000000000000639</v>
      </c>
      <c r="M188" s="28">
        <f>IF(OR(履歴データ!$A$188="",履歴データ!$A$187=""),"",D188-D187)</f>
        <v>-3.8000000000000682</v>
      </c>
      <c r="N188" s="28">
        <f>IF(OR(履歴データ!$A$188="",履歴データ!$A$187=""),"",E188-E187)</f>
        <v>2.9999999999999361</v>
      </c>
      <c r="O188" s="28">
        <f>IF(OR(履歴データ!$A$188="",履歴データ!$A$187=""),"",F188-F187)</f>
        <v>11.680000000000064</v>
      </c>
      <c r="P188" s="28">
        <f>IF(OR(履歴データ!$A$188="",履歴データ!$A$187=""),"",G188-G187)</f>
        <v>-4.7688214111330467</v>
      </c>
      <c r="Q188" s="29">
        <f>IF(OR(履歴データ!$A$188="",履歴データ!$A$187=""),"",H188-H187)</f>
        <v>-0.1609954833984375</v>
      </c>
      <c r="R188" s="29">
        <f>IF(OR(履歴データ!$A$188="",履歴データ!$A$187=""),"",I188-I187)</f>
        <v>0.28125</v>
      </c>
      <c r="S188" s="28">
        <f>IF(OR(履歴データ!$A$188="",履歴データ!$A$187=""),"",(J188-J187)*100)</f>
        <v>-2.0000000000000462</v>
      </c>
      <c r="T188" s="11">
        <f>IF(OR(履歴データ!$A$188="",履歴データ!$A$187=""),"",-80000*K188)</f>
        <v>-159999.99999999659</v>
      </c>
      <c r="U188" s="11">
        <f>IF(OR(履歴データ!$A$188="",履歴データ!$A$187=""),"",60000*L188)</f>
        <v>57000.000000000386</v>
      </c>
      <c r="V188" s="11">
        <f>IF(OR(履歴データ!$A$188="",履歴データ!$A$187=""),"",-50000*M188)</f>
        <v>190000.00000000341</v>
      </c>
      <c r="W188" s="11">
        <f>IF(OR(履歴データ!$A$188="",履歴データ!$A$187=""),"",-40000*N188)</f>
        <v>-119999.99999999744</v>
      </c>
      <c r="X188" s="11">
        <f>IF(OR(履歴データ!$A$188="",履歴データ!$A$187=""),"",120*1000000*(-Q188/H187))</f>
        <v>129228.87172963801</v>
      </c>
      <c r="Y188" s="11">
        <f>IF(OR(履歴データ!$A$188="",履歴データ!$A$187=""),"",40000*(-S188)+(-506.3)*R188*1000)</f>
        <v>-62396.874999998152</v>
      </c>
      <c r="Z188" s="11">
        <f>IF(OR(履歴データ!$A$188="",履歴データ!$A$187=""),"",-40000*O188)</f>
        <v>-467200.00000000256</v>
      </c>
      <c r="AA188" s="11">
        <f>IF(OR(履歴データ!$A$188="",履歴データ!$A$187=""),"",-40000*P188)</f>
        <v>190752.85644532187</v>
      </c>
      <c r="AB188" s="11">
        <f>IF(履歴データ!$A$188="","",123.3)</f>
        <v>123.3</v>
      </c>
      <c r="AC188">
        <f>IF(履歴データ!$A$188="","",SUM(T188:AA188))</f>
        <v>-242615.14682503109</v>
      </c>
      <c r="AD188" s="29">
        <f>IF(履歴データ!$A$188="","",AC188/1000000)</f>
        <v>-0.24261514682503107</v>
      </c>
      <c r="AE188" s="29">
        <f>IF(履歴データ!$A$188="",AE187,AE187+AC188/1000000)</f>
        <v>81.89345078584293</v>
      </c>
      <c r="AF188" s="12">
        <f>IF(OR(履歴データ!$A$188="",AE187=0),"",(AE188-AE187)/AE187)</f>
        <v>-2.9538199093187365E-3</v>
      </c>
      <c r="AG188" s="29">
        <f t="shared" si="8"/>
        <v>102.17217746631495</v>
      </c>
      <c r="AH188" s="12">
        <f>IF(OR(履歴データ!$A$188="",AG188=0),"",AE188/AG188-1)</f>
        <v>-0.1984760155195644</v>
      </c>
      <c r="AJ188" s="28">
        <f t="shared" ca="1" si="6"/>
        <v>-31.315254127067888</v>
      </c>
      <c r="AK188" s="28">
        <f t="shared" ca="1" si="7"/>
        <v>-53.219505231220879</v>
      </c>
    </row>
    <row r="189" spans="1:37">
      <c r="A189" s="10">
        <f>IF(履歴データ!$A$189="","",履歴データ!$A$189)</f>
        <v>45198</v>
      </c>
      <c r="B189" s="28">
        <f>IF(履歴データ!$A$189="","",(履歴データ!$D$189-(履歴データ!$B$189+履歴データ!$F$189)/2)*100)</f>
        <v>-29.000000000000092</v>
      </c>
      <c r="C189" s="28">
        <f>IF(履歴データ!$A$189="","",(履歴データ!$H$189-(履歴データ!$G$189+履歴データ!$J$189)/2)*100)</f>
        <v>-7.2500000000000009</v>
      </c>
      <c r="D189" s="28">
        <f>IF(履歴データ!$A$189="","",(履歴データ!$D$189-履歴データ!$H$189)*100)</f>
        <v>381.59999999999997</v>
      </c>
      <c r="E189" s="28">
        <f>IF(履歴データ!$A$189="","",(履歴データ!$D$189-履歴データ!$C$189)*100)</f>
        <v>-0.99999999999997868</v>
      </c>
      <c r="F189" s="28">
        <f>IF(履歴データ!$A$189="","",(履歴データ!$R$189-履歴データ!$D$189)*100)</f>
        <v>-186.30999999999997</v>
      </c>
      <c r="G189" s="28">
        <f>IF(履歴データ!$A$189="","",(履歴データ!$S$189-履歴データ!$R$189)*100)</f>
        <v>-207.91535717773465</v>
      </c>
      <c r="H189" s="29">
        <f>IF(履歴データ!$A$189="","",履歴データ!$O$189)</f>
        <v>149.33700561523438</v>
      </c>
      <c r="I189" s="29">
        <f>IF(履歴データ!$A$189="","",履歴データ!$Q$189)</f>
        <v>108.0625</v>
      </c>
      <c r="J189" s="29">
        <f>IF(履歴データ!$A$189="","",履歴データ!$D$189)</f>
        <v>4.59</v>
      </c>
      <c r="K189" s="28">
        <f>IF(OR(履歴データ!$A$189="",履歴データ!$A$188=""),"",B189-B188)</f>
        <v>-0.50000000000007816</v>
      </c>
      <c r="L189" s="28">
        <f>IF(OR(履歴データ!$A$189="",履歴データ!$A$188=""),"",C189-C188)</f>
        <v>0.14999999999999414</v>
      </c>
      <c r="M189" s="28">
        <f>IF(OR(履歴データ!$A$189="",履歴データ!$A$188=""),"",D189-D188)</f>
        <v>-0.90000000000003411</v>
      </c>
      <c r="N189" s="28">
        <f>IF(OR(履歴データ!$A$189="",履歴データ!$A$188=""),"",E189-E188)</f>
        <v>2.0000000000000462</v>
      </c>
      <c r="O189" s="28">
        <f>IF(OR(履歴データ!$A$189="",履歴データ!$A$188=""),"",F189-F188)</f>
        <v>13.849999999999994</v>
      </c>
      <c r="P189" s="28">
        <f>IF(OR(履歴データ!$A$189="",履歴データ!$A$188=""),"",G189-G188)</f>
        <v>-11.745178588867162</v>
      </c>
      <c r="Q189" s="29">
        <f>IF(OR(履歴データ!$A$189="",履歴データ!$A$188=""),"",H189-H188)</f>
        <v>0</v>
      </c>
      <c r="R189" s="29">
        <f>IF(OR(履歴データ!$A$189="",履歴データ!$A$188=""),"",I189-I188)</f>
        <v>0.203125</v>
      </c>
      <c r="S189" s="28">
        <f>IF(OR(履歴データ!$A$189="",履歴データ!$A$188=""),"",(J189-J188)*100)</f>
        <v>0</v>
      </c>
      <c r="T189" s="11">
        <f>IF(OR(履歴データ!$A$189="",履歴データ!$A$188=""),"",-80000*K189)</f>
        <v>40000.00000000625</v>
      </c>
      <c r="U189" s="11">
        <f>IF(OR(履歴データ!$A$189="",履歴データ!$A$188=""),"",60000*L189)</f>
        <v>8999.9999999996489</v>
      </c>
      <c r="V189" s="11">
        <f>IF(OR(履歴データ!$A$189="",履歴データ!$A$188=""),"",-50000*M189)</f>
        <v>45000.000000001703</v>
      </c>
      <c r="W189" s="11">
        <f>IF(OR(履歴データ!$A$189="",履歴データ!$A$188=""),"",-40000*N189)</f>
        <v>-80000.000000001848</v>
      </c>
      <c r="X189" s="11">
        <f>IF(OR(履歴データ!$A$189="",履歴データ!$A$188=""),"",120*1000000*(-Q189/H188))</f>
        <v>0</v>
      </c>
      <c r="Y189" s="11">
        <f>IF(OR(履歴データ!$A$189="",履歴データ!$A$188=""),"",40000*(-S189)+(-506.3)*R189*1000)</f>
        <v>-102842.18750000001</v>
      </c>
      <c r="Z189" s="11">
        <f>IF(OR(履歴データ!$A$189="",履歴データ!$A$188=""),"",-40000*O189)</f>
        <v>-553999.99999999977</v>
      </c>
      <c r="AA189" s="11">
        <f>IF(OR(履歴データ!$A$189="",履歴データ!$A$188=""),"",-40000*P189)</f>
        <v>469807.14355468651</v>
      </c>
      <c r="AB189" s="11">
        <f>IF(履歴データ!$A$189="","",123.3)</f>
        <v>123.3</v>
      </c>
      <c r="AC189">
        <f>IF(履歴データ!$A$189="","",SUM(T189:AA189))</f>
        <v>-173035.04394530755</v>
      </c>
      <c r="AD189" s="29">
        <f>IF(履歴データ!$A$189="","",AC189/1000000)</f>
        <v>-0.17303504394530755</v>
      </c>
      <c r="AE189" s="29">
        <f>IF(履歴データ!$A$189="",AE188,AE188+AC189/1000000)</f>
        <v>81.720415741897625</v>
      </c>
      <c r="AF189" s="12">
        <f>IF(OR(履歴データ!$A$189="",AE188=0),"",(AE189-AE188)/AE188)</f>
        <v>-2.112928961777462E-3</v>
      </c>
      <c r="AG189" s="29">
        <f t="shared" si="8"/>
        <v>102.17217746631495</v>
      </c>
      <c r="AH189" s="12">
        <f>IF(OR(履歴データ!$A$189="",AG189=0),"",AE189/AG189-1)</f>
        <v>-0.20016957875993246</v>
      </c>
      <c r="AJ189" s="28">
        <f t="shared" ca="1" si="6"/>
        <v>-31.103892155400235</v>
      </c>
      <c r="AK189" s="28">
        <f t="shared" ca="1" si="7"/>
        <v>-53.289724865876366</v>
      </c>
    </row>
    <row r="190" spans="1:37">
      <c r="A190" s="10">
        <f>IF(履歴データ!$A$190="","",履歴データ!$A$190)</f>
        <v>45201</v>
      </c>
      <c r="B190" s="28">
        <f>IF(履歴データ!$A$190="","",(履歴データ!$D$190-(履歴データ!$B$190+履歴データ!$F$190)/2)*100)</f>
        <v>-27.499999999999947</v>
      </c>
      <c r="C190" s="28">
        <f>IF(履歴データ!$A$190="","",(履歴データ!$H$190-(履歴データ!$G$190+履歴データ!$J$190)/2)*100)</f>
        <v>-8.4499999999999904</v>
      </c>
      <c r="D190" s="28">
        <f>IF(履歴データ!$A$190="","",(履歴データ!$D$190-履歴データ!$H$190)*100)</f>
        <v>391.1</v>
      </c>
      <c r="E190" s="28">
        <f>IF(履歴データ!$A$190="","",(履歴データ!$D$190-履歴データ!$C$190)*100)</f>
        <v>-2.9999999999999361</v>
      </c>
      <c r="F190" s="28">
        <f>IF(履歴データ!$A$190="","",(履歴データ!$R$190-履歴データ!$D$190)*100)</f>
        <v>-211.63000000000002</v>
      </c>
      <c r="G190" s="28">
        <f>IF(履歴データ!$A$190="","",(履歴データ!$S$190-履歴データ!$R$190)*100)</f>
        <v>-189.96435717773443</v>
      </c>
      <c r="H190" s="29">
        <f>IF(履歴データ!$A$190="","",履歴データ!$O$190)</f>
        <v>149.85099792480469</v>
      </c>
      <c r="I190" s="29">
        <f>IF(履歴データ!$A$190="","",履歴データ!$Q$190)</f>
        <v>107.328125</v>
      </c>
      <c r="J190" s="29">
        <f>IF(履歴データ!$A$190="","",履歴データ!$D$190)</f>
        <v>4.6900000000000004</v>
      </c>
      <c r="K190" s="28">
        <f>IF(OR(履歴データ!$A$190="",履歴データ!$A$189=""),"",B190-B189)</f>
        <v>1.5000000000001457</v>
      </c>
      <c r="L190" s="28">
        <f>IF(OR(履歴データ!$A$190="",履歴データ!$A$189=""),"",C190-C189)</f>
        <v>-1.1999999999999895</v>
      </c>
      <c r="M190" s="28">
        <f>IF(OR(履歴データ!$A$190="",履歴データ!$A$189=""),"",D190-D189)</f>
        <v>9.5000000000000568</v>
      </c>
      <c r="N190" s="28">
        <f>IF(OR(履歴データ!$A$190="",履歴データ!$A$189=""),"",E190-E189)</f>
        <v>-1.9999999999999574</v>
      </c>
      <c r="O190" s="28">
        <f>IF(OR(履歴データ!$A$190="",履歴データ!$A$189=""),"",F190-F189)</f>
        <v>-25.32000000000005</v>
      </c>
      <c r="P190" s="28">
        <f>IF(OR(履歴データ!$A$190="",履歴データ!$A$189=""),"",G190-G189)</f>
        <v>17.951000000000221</v>
      </c>
      <c r="Q190" s="29">
        <f>IF(OR(履歴データ!$A$190="",履歴データ!$A$189=""),"",H190-H189)</f>
        <v>0.5139923095703125</v>
      </c>
      <c r="R190" s="29">
        <f>IF(OR(履歴データ!$A$190="",履歴データ!$A$189=""),"",I190-I189)</f>
        <v>-0.734375</v>
      </c>
      <c r="S190" s="28">
        <f>IF(OR(履歴データ!$A$190="",履歴データ!$A$189=""),"",(J190-J189)*100)</f>
        <v>10.000000000000053</v>
      </c>
      <c r="T190" s="11">
        <f>IF(OR(履歴データ!$A$190="",履歴データ!$A$189=""),"",-80000*K190)</f>
        <v>-120000.00000001166</v>
      </c>
      <c r="U190" s="11">
        <f>IF(OR(履歴データ!$A$190="",履歴データ!$A$189=""),"",60000*L190)</f>
        <v>-71999.999999999374</v>
      </c>
      <c r="V190" s="11">
        <f>IF(OR(履歴データ!$A$190="",履歴データ!$A$189=""),"",-50000*M190)</f>
        <v>-475000.00000000285</v>
      </c>
      <c r="W190" s="11">
        <f>IF(OR(履歴データ!$A$190="",履歴データ!$A$189=""),"",-40000*N190)</f>
        <v>79999.999999998297</v>
      </c>
      <c r="X190" s="11">
        <f>IF(OR(履歴データ!$A$190="",履歴データ!$A$189=""),"",120*1000000*(-Q190/H189))</f>
        <v>-413019.3778449875</v>
      </c>
      <c r="Y190" s="11">
        <f>IF(OR(履歴データ!$A$190="",履歴データ!$A$189=""),"",40000*(-S190)+(-506.3)*R190*1000)</f>
        <v>-28185.937500002095</v>
      </c>
      <c r="Z190" s="11">
        <f>IF(OR(履歴データ!$A$190="",履歴データ!$A$189=""),"",-40000*O190)</f>
        <v>1012800.000000002</v>
      </c>
      <c r="AA190" s="11">
        <f>IF(OR(履歴データ!$A$190="",履歴データ!$A$189=""),"",-40000*P190)</f>
        <v>-718040.00000000885</v>
      </c>
      <c r="AB190" s="11">
        <f>IF(履歴データ!$A$190="","",123.3)</f>
        <v>123.3</v>
      </c>
      <c r="AC190">
        <f>IF(履歴データ!$A$190="","",SUM(T190:AA190))</f>
        <v>-733445.315345012</v>
      </c>
      <c r="AD190" s="29">
        <f>IF(履歴データ!$A$190="","",AC190/1000000)</f>
        <v>-0.73344531534501201</v>
      </c>
      <c r="AE190" s="29">
        <f>IF(履歴データ!$A$190="",AE189,AE189+AC190/1000000)</f>
        <v>80.986970426552617</v>
      </c>
      <c r="AF190" s="12">
        <f>IF(OR(履歴データ!$A$190="",AE189=0),"",(AE190-AE189)/AE189)</f>
        <v>-8.9750560944463591E-3</v>
      </c>
      <c r="AG190" s="29">
        <f t="shared" si="8"/>
        <v>102.17217746631495</v>
      </c>
      <c r="AH190" s="12">
        <f>IF(OR(履歴データ!$A$190="",AG190=0),"",AE190/AG190-1)</f>
        <v>-0.20734810165660666</v>
      </c>
      <c r="AJ190" s="28">
        <f t="shared" ca="1" si="6"/>
        <v>-30.850968596285057</v>
      </c>
      <c r="AK190" s="28">
        <f t="shared" ca="1" si="7"/>
        <v>-53.387126641810184</v>
      </c>
    </row>
    <row r="191" spans="1:37">
      <c r="A191" s="10">
        <f>IF(履歴データ!$A$191="","",履歴データ!$A$191)</f>
        <v>45202</v>
      </c>
      <c r="B191" s="28">
        <f>IF(履歴データ!$A$191="","",(履歴データ!$D$191-(履歴データ!$B$191+履歴データ!$F$191)/2)*100)</f>
        <v>-24.00000000000011</v>
      </c>
      <c r="C191" s="28">
        <f>IF(履歴データ!$A$191="","",(履歴データ!$H$191-(履歴データ!$G$191+履歴データ!$J$191)/2)*100)</f>
        <v>-9.9499999999999922</v>
      </c>
      <c r="D191" s="28">
        <f>IF(履歴データ!$A$191="","",(履歴データ!$D$191-履歴データ!$H$191)*100)</f>
        <v>404.59999999999991</v>
      </c>
      <c r="E191" s="28">
        <f>IF(履歴データ!$A$191="","",(履歴データ!$D$191-履歴データ!$C$191)*100)</f>
        <v>0.99999999999997868</v>
      </c>
      <c r="F191" s="28">
        <f>IF(履歴データ!$A$191="","",(履歴データ!$R$191-履歴データ!$D$191)*100)</f>
        <v>-215.83999999999995</v>
      </c>
      <c r="G191" s="28">
        <f>IF(履歴データ!$A$191="","",(履歴データ!$S$191-履歴データ!$R$191)*100)</f>
        <v>-197.92982141113296</v>
      </c>
      <c r="H191" s="29">
        <f>IF(履歴データ!$A$191="","",履歴データ!$O$191)</f>
        <v>149.19200134277344</v>
      </c>
      <c r="I191" s="29">
        <f>IF(履歴データ!$A$191="","",履歴データ!$Q$191)</f>
        <v>106.640625</v>
      </c>
      <c r="J191" s="29">
        <f>IF(履歴データ!$A$191="","",履歴データ!$D$191)</f>
        <v>4.8099999999999996</v>
      </c>
      <c r="K191" s="28">
        <f>IF(OR(履歴データ!$A$191="",履歴データ!$A$190=""),"",B191-B190)</f>
        <v>3.4999999999998366</v>
      </c>
      <c r="L191" s="28">
        <f>IF(OR(履歴データ!$A$191="",履歴データ!$A$190=""),"",C191-C190)</f>
        <v>-1.5000000000000018</v>
      </c>
      <c r="M191" s="28">
        <f>IF(OR(履歴データ!$A$191="",履歴データ!$A$190=""),"",D191-D190)</f>
        <v>13.499999999999886</v>
      </c>
      <c r="N191" s="28">
        <f>IF(OR(履歴データ!$A$191="",履歴データ!$A$190=""),"",E191-E190)</f>
        <v>3.9999999999999147</v>
      </c>
      <c r="O191" s="28">
        <f>IF(OR(履歴データ!$A$191="",履歴データ!$A$190=""),"",F191-F190)</f>
        <v>-4.2099999999999227</v>
      </c>
      <c r="P191" s="28">
        <f>IF(OR(履歴データ!$A$191="",履歴データ!$A$190=""),"",G191-G190)</f>
        <v>-7.965464233398535</v>
      </c>
      <c r="Q191" s="29">
        <f>IF(OR(履歴データ!$A$191="",履歴データ!$A$190=""),"",H191-H190)</f>
        <v>-0.65899658203125</v>
      </c>
      <c r="R191" s="29">
        <f>IF(OR(履歴データ!$A$191="",履歴データ!$A$190=""),"",I191-I190)</f>
        <v>-0.6875</v>
      </c>
      <c r="S191" s="28">
        <f>IF(OR(履歴データ!$A$191="",履歴データ!$A$190=""),"",(J191-J190)*100)</f>
        <v>11.999999999999922</v>
      </c>
      <c r="T191" s="11">
        <f>IF(OR(履歴データ!$A$191="",履歴データ!$A$190=""),"",-80000*K191)</f>
        <v>-279999.9999999869</v>
      </c>
      <c r="U191" s="11">
        <f>IF(OR(履歴データ!$A$191="",履歴データ!$A$190=""),"",60000*L191)</f>
        <v>-90000.000000000102</v>
      </c>
      <c r="V191" s="11">
        <f>IF(OR(履歴データ!$A$191="",履歴データ!$A$190=""),"",-50000*M191)</f>
        <v>-674999.9999999943</v>
      </c>
      <c r="W191" s="11">
        <f>IF(OR(履歴データ!$A$191="",履歴データ!$A$190=""),"",-40000*N191)</f>
        <v>-159999.99999999659</v>
      </c>
      <c r="X191" s="11">
        <f>IF(OR(履歴データ!$A$191="",履歴データ!$A$190=""),"",120*1000000*(-Q191/H190))</f>
        <v>527721.47625891806</v>
      </c>
      <c r="Y191" s="11">
        <f>IF(OR(履歴データ!$A$191="",履歴データ!$A$190=""),"",40000*(-S191)+(-506.3)*R191*1000)</f>
        <v>-131918.74999999686</v>
      </c>
      <c r="Z191" s="11">
        <f>IF(OR(履歴データ!$A$191="",履歴データ!$A$190=""),"",-40000*O191)</f>
        <v>168399.99999999691</v>
      </c>
      <c r="AA191" s="11">
        <f>IF(OR(履歴データ!$A$191="",履歴データ!$A$190=""),"",-40000*P191)</f>
        <v>318618.5693359414</v>
      </c>
      <c r="AB191" s="11">
        <f>IF(履歴データ!$A$191="","",123.3)</f>
        <v>123.3</v>
      </c>
      <c r="AC191">
        <f>IF(履歴データ!$A$191="","",SUM(T191:AA191))</f>
        <v>-322178.7044051183</v>
      </c>
      <c r="AD191" s="29">
        <f>IF(履歴データ!$A$191="","",AC191/1000000)</f>
        <v>-0.32217870440511831</v>
      </c>
      <c r="AE191" s="29">
        <f>IF(履歴データ!$A$191="",AE190,AE190+AC191/1000000)</f>
        <v>80.664791722147498</v>
      </c>
      <c r="AF191" s="12">
        <f>IF(OR(履歴データ!$A$191="",AE190=0),"",(AE191-AE190)/AE190)</f>
        <v>-3.9781547909277992E-3</v>
      </c>
      <c r="AG191" s="29">
        <f t="shared" si="8"/>
        <v>102.17217746631495</v>
      </c>
      <c r="AH191" s="12">
        <f>IF(OR(履歴データ!$A$191="",AG191=0),"",AE191/AG191-1)</f>
        <v>-0.21050139360353948</v>
      </c>
      <c r="AJ191" s="28">
        <f t="shared" ca="1" si="6"/>
        <v>-30.48204721343869</v>
      </c>
      <c r="AK191" s="28">
        <f t="shared" ca="1" si="7"/>
        <v>-53.565321207613948</v>
      </c>
    </row>
    <row r="192" spans="1:37">
      <c r="A192" s="10">
        <f>IF(履歴データ!$A$192="","",履歴データ!$A$192)</f>
        <v>45203</v>
      </c>
      <c r="B192" s="28">
        <f>IF(履歴データ!$A$192="","",(履歴データ!$D$192-(履歴データ!$B$192+履歴データ!$F$192)/2)*100)</f>
        <v>-22.999999999999954</v>
      </c>
      <c r="C192" s="28">
        <f>IF(履歴データ!$A$192="","",(履歴データ!$H$192-(履歴データ!$G$192+履歴データ!$J$192)/2)*100)</f>
        <v>-7.7999999999999954</v>
      </c>
      <c r="D192" s="28">
        <f>IF(履歴データ!$A$192="","",(履歴データ!$D$192-履歴データ!$H$192)*100)</f>
        <v>392.20000000000005</v>
      </c>
      <c r="E192" s="28">
        <f>IF(履歴データ!$A$192="","",(履歴データ!$D$192-履歴データ!$C$192)*100)</f>
        <v>1.0000000000000675</v>
      </c>
      <c r="F192" s="28">
        <f>IF(履歴データ!$A$192="","",(履歴データ!$R$192-履歴データ!$D$192)*100)</f>
        <v>-203.71000000000006</v>
      </c>
      <c r="G192" s="28">
        <f>IF(履歴データ!$A$192="","",(履歴データ!$S$192-履歴データ!$R$192)*100)</f>
        <v>-198.02564282226581</v>
      </c>
      <c r="H192" s="29">
        <f>IF(履歴データ!$A$192="","",履歴データ!$O$192)</f>
        <v>148.96600341796875</v>
      </c>
      <c r="I192" s="29">
        <f>IF(履歴データ!$A$192="","",履歴データ!$Q$192)</f>
        <v>107.109375</v>
      </c>
      <c r="J192" s="29">
        <f>IF(履歴データ!$A$192="","",履歴データ!$D$192)</f>
        <v>4.7300000000000004</v>
      </c>
      <c r="K192" s="28">
        <f>IF(OR(履歴データ!$A$192="",履歴データ!$A$191=""),"",B192-B191)</f>
        <v>1.0000000000001563</v>
      </c>
      <c r="L192" s="28">
        <f>IF(OR(履歴データ!$A$192="",履歴データ!$A$191=""),"",C192-C191)</f>
        <v>2.1499999999999968</v>
      </c>
      <c r="M192" s="28">
        <f>IF(OR(履歴データ!$A$192="",履歴データ!$A$191=""),"",D192-D191)</f>
        <v>-12.399999999999864</v>
      </c>
      <c r="N192" s="28">
        <f>IF(OR(履歴データ!$A$192="",履歴データ!$A$191=""),"",E192-E191)</f>
        <v>8.8817841970012523E-14</v>
      </c>
      <c r="O192" s="28">
        <f>IF(OR(履歴データ!$A$192="",履歴データ!$A$191=""),"",F192-F191)</f>
        <v>12.129999999999882</v>
      </c>
      <c r="P192" s="28">
        <f>IF(OR(履歴データ!$A$192="",履歴データ!$A$191=""),"",G192-G191)</f>
        <v>-9.5821411132845924E-2</v>
      </c>
      <c r="Q192" s="29">
        <f>IF(OR(履歴データ!$A$192="",履歴データ!$A$191=""),"",H192-H191)</f>
        <v>-0.2259979248046875</v>
      </c>
      <c r="R192" s="29">
        <f>IF(OR(履歴データ!$A$192="",履歴データ!$A$191=""),"",I192-I191)</f>
        <v>0.46875</v>
      </c>
      <c r="S192" s="28">
        <f>IF(OR(履歴データ!$A$192="",履歴データ!$A$191=""),"",(J192-J191)*100)</f>
        <v>-7.9999999999999183</v>
      </c>
      <c r="T192" s="11">
        <f>IF(OR(履歴データ!$A$192="",履歴データ!$A$191=""),"",-80000*K192)</f>
        <v>-80000.0000000125</v>
      </c>
      <c r="U192" s="11">
        <f>IF(OR(履歴データ!$A$192="",履歴データ!$A$191=""),"",60000*L192)</f>
        <v>128999.99999999981</v>
      </c>
      <c r="V192" s="11">
        <f>IF(OR(履歴データ!$A$192="",履歴データ!$A$191=""),"",-50000*M192)</f>
        <v>619999.99999999313</v>
      </c>
      <c r="W192" s="11">
        <f>IF(OR(履歴データ!$A$192="",履歴データ!$A$191=""),"",-40000*N192)</f>
        <v>-3.5527136788005009E-9</v>
      </c>
      <c r="X192" s="11">
        <f>IF(OR(履歴データ!$A$192="",履歴データ!$A$191=""),"",120*1000000*(-Q192/H191))</f>
        <v>181777.51308700521</v>
      </c>
      <c r="Y192" s="11">
        <f>IF(OR(履歴データ!$A$192="",履歴データ!$A$191=""),"",40000*(-S192)+(-506.3)*R192*1000)</f>
        <v>82671.87499999674</v>
      </c>
      <c r="Z192" s="11">
        <f>IF(OR(履歴データ!$A$192="",履歴データ!$A$191=""),"",-40000*O192)</f>
        <v>-485199.99999999529</v>
      </c>
      <c r="AA192" s="11">
        <f>IF(OR(履歴データ!$A$192="",履歴データ!$A$191=""),"",-40000*P192)</f>
        <v>3832.856445313837</v>
      </c>
      <c r="AB192" s="11">
        <f>IF(履歴データ!$A$192="","",123.3)</f>
        <v>123.3</v>
      </c>
      <c r="AC192">
        <f>IF(履歴データ!$A$192="","",SUM(T192:AA192))</f>
        <v>452082.24453229737</v>
      </c>
      <c r="AD192" s="29">
        <f>IF(履歴データ!$A$192="","",AC192/1000000)</f>
        <v>0.45208224453229734</v>
      </c>
      <c r="AE192" s="29">
        <f>IF(履歴データ!$A$192="",AE191,AE191+AC192/1000000)</f>
        <v>81.11687396667979</v>
      </c>
      <c r="AF192" s="12">
        <f>IF(OR(履歴データ!$A$192="",AE191=0),"",(AE192-AE191)/AE191)</f>
        <v>5.6044556104415926E-3</v>
      </c>
      <c r="AG192" s="29">
        <f t="shared" si="8"/>
        <v>102.17217746631495</v>
      </c>
      <c r="AH192" s="12">
        <f>IF(OR(履歴データ!$A$192="",AG192=0),"",AE192/AG192-1)</f>
        <v>-0.20607668370948506</v>
      </c>
      <c r="AJ192" s="28">
        <f t="shared" ca="1" si="6"/>
        <v>-30.0882334880706</v>
      </c>
      <c r="AK192" s="28">
        <f t="shared" ca="1" si="7"/>
        <v>-53.75993405119641</v>
      </c>
    </row>
    <row r="193" spans="1:37">
      <c r="A193" s="10">
        <f>IF(履歴データ!$A$193="","",履歴データ!$A$193)</f>
        <v>45204</v>
      </c>
      <c r="B193" s="28">
        <f>IF(履歴データ!$A$193="","",(履歴データ!$D$193-(履歴データ!$B$193+履歴データ!$F$193)/2)*100)</f>
        <v>-24.000000000000021</v>
      </c>
      <c r="C193" s="28">
        <f>IF(履歴データ!$A$193="","",(履歴データ!$H$193-(履歴データ!$G$193+履歴データ!$J$193)/2)*100)</f>
        <v>-9.7999999999999972</v>
      </c>
      <c r="D193" s="28">
        <f>IF(履歴データ!$A$193="","",(履歴データ!$D$193-履歴データ!$H$193)*100)</f>
        <v>391.7</v>
      </c>
      <c r="E193" s="28">
        <f>IF(履歴データ!$A$193="","",(履歴データ!$D$193-履歴データ!$C$193)*100)</f>
        <v>4.0000000000000036</v>
      </c>
      <c r="F193" s="28">
        <f>IF(履歴データ!$A$193="","",(履歴データ!$R$193-履歴データ!$D$193)*100)</f>
        <v>-203.01999999999998</v>
      </c>
      <c r="G193" s="28">
        <f>IF(履歴データ!$A$193="","",(履歴データ!$S$193-履歴データ!$R$193)*100)</f>
        <v>-194.55835717773465</v>
      </c>
      <c r="H193" s="29">
        <f>IF(履歴データ!$A$193="","",履歴データ!$O$193)</f>
        <v>148.46299743652344</v>
      </c>
      <c r="I193" s="29">
        <f>IF(履歴データ!$A$193="","",履歴データ!$Q$193)</f>
        <v>107.3125</v>
      </c>
      <c r="J193" s="29">
        <f>IF(履歴データ!$A$193="","",履歴データ!$D$193)</f>
        <v>4.72</v>
      </c>
      <c r="K193" s="28">
        <f>IF(OR(履歴データ!$A$193="",履歴データ!$A$192=""),"",B193-B192)</f>
        <v>-1.0000000000000675</v>
      </c>
      <c r="L193" s="28">
        <f>IF(OR(履歴データ!$A$193="",履歴データ!$A$192=""),"",C193-C192)</f>
        <v>-2.0000000000000018</v>
      </c>
      <c r="M193" s="28">
        <f>IF(OR(履歴データ!$A$193="",履歴データ!$A$192=""),"",D193-D192)</f>
        <v>-0.50000000000005684</v>
      </c>
      <c r="N193" s="28">
        <f>IF(OR(履歴データ!$A$193="",履歴データ!$A$192=""),"",E193-E192)</f>
        <v>2.9999999999999361</v>
      </c>
      <c r="O193" s="28">
        <f>IF(OR(履歴データ!$A$193="",履歴データ!$A$192=""),"",F193-F192)</f>
        <v>0.69000000000008299</v>
      </c>
      <c r="P193" s="28">
        <f>IF(OR(履歴データ!$A$193="",履歴データ!$A$192=""),"",G193-G192)</f>
        <v>3.4672856445311595</v>
      </c>
      <c r="Q193" s="29">
        <f>IF(OR(履歴データ!$A$193="",履歴データ!$A$192=""),"",H193-H192)</f>
        <v>-0.5030059814453125</v>
      </c>
      <c r="R193" s="29">
        <f>IF(OR(履歴データ!$A$193="",履歴データ!$A$192=""),"",I193-I192)</f>
        <v>0.203125</v>
      </c>
      <c r="S193" s="28">
        <f>IF(OR(履歴データ!$A$193="",履歴データ!$A$192=""),"",(J193-J192)*100)</f>
        <v>-1.0000000000000675</v>
      </c>
      <c r="T193" s="11">
        <f>IF(OR(履歴データ!$A$193="",履歴データ!$A$192=""),"",-80000*K193)</f>
        <v>80000.000000005399</v>
      </c>
      <c r="U193" s="11">
        <f>IF(OR(履歴データ!$A$193="",履歴データ!$A$192=""),"",60000*L193)</f>
        <v>-120000.0000000001</v>
      </c>
      <c r="V193" s="11">
        <f>IF(OR(履歴データ!$A$193="",履歴データ!$A$192=""),"",-50000*M193)</f>
        <v>25000.000000002841</v>
      </c>
      <c r="W193" s="11">
        <f>IF(OR(履歴データ!$A$193="",履歴データ!$A$192=""),"",-40000*N193)</f>
        <v>-119999.99999999744</v>
      </c>
      <c r="X193" s="11">
        <f>IF(OR(履歴データ!$A$193="",履歴データ!$A$192=""),"",120*1000000*(-Q193/H192))</f>
        <v>405197.94039232848</v>
      </c>
      <c r="Y193" s="11">
        <f>IF(OR(履歴データ!$A$193="",履歴データ!$A$192=""),"",40000*(-S193)+(-506.3)*R193*1000)</f>
        <v>-62842.187499997315</v>
      </c>
      <c r="Z193" s="11">
        <f>IF(OR(履歴データ!$A$193="",履歴データ!$A$192=""),"",-40000*O193)</f>
        <v>-27600.000000003318</v>
      </c>
      <c r="AA193" s="11">
        <f>IF(OR(履歴データ!$A$193="",履歴データ!$A$192=""),"",-40000*P193)</f>
        <v>-138691.42578124639</v>
      </c>
      <c r="AB193" s="11">
        <f>IF(履歴データ!$A$193="","",123.3)</f>
        <v>123.3</v>
      </c>
      <c r="AC193">
        <f>IF(履歴データ!$A$193="","",SUM(T193:AA193))</f>
        <v>41064.327111092163</v>
      </c>
      <c r="AD193" s="29">
        <f>IF(履歴データ!$A$193="","",AC193/1000000)</f>
        <v>4.1064327111092161E-2</v>
      </c>
      <c r="AE193" s="29">
        <f>IF(履歴データ!$A$193="",AE192,AE192+AC193/1000000)</f>
        <v>81.157938293790878</v>
      </c>
      <c r="AF193" s="12">
        <f>IF(OR(履歴データ!$A$193="",AE192=0),"",(AE193-AE192)/AE192)</f>
        <v>5.0623655847431949E-4</v>
      </c>
      <c r="AG193" s="29">
        <f t="shared" si="8"/>
        <v>102.17217746631495</v>
      </c>
      <c r="AH193" s="12">
        <f>IF(OR(履歴データ!$A$193="",AG193=0),"",AE193/AG193-1)</f>
        <v>-0.20567477070215356</v>
      </c>
      <c r="AJ193" s="28">
        <f t="shared" ca="1" si="6"/>
        <v>-29.745734621773906</v>
      </c>
      <c r="AK193" s="28">
        <f t="shared" ca="1" si="7"/>
        <v>-53.915723711559423</v>
      </c>
    </row>
    <row r="194" spans="1:37">
      <c r="A194" s="10">
        <f>IF(履歴データ!$A$194="","",履歴データ!$A$194)</f>
        <v>45205</v>
      </c>
      <c r="B194" s="28">
        <f>IF(履歴データ!$A$194="","",(履歴データ!$D$194-(履歴データ!$B$194+履歴データ!$F$194)/2)*100)</f>
        <v>-23.500000000000032</v>
      </c>
      <c r="C194" s="28">
        <f>IF(履歴データ!$A$194="","",(履歴データ!$H$194-(履歴データ!$G$194+履歴データ!$J$194)/2)*100)</f>
        <v>-10.349999999999993</v>
      </c>
      <c r="D194" s="28">
        <f>IF(履歴データ!$A$194="","",(履歴データ!$D$194-履歴データ!$H$194)*100)</f>
        <v>397.8</v>
      </c>
      <c r="E194" s="28">
        <f>IF(履歴データ!$A$194="","",(履歴データ!$D$194-履歴データ!$C$194)*100)</f>
        <v>3.0000000000000249</v>
      </c>
      <c r="F194" s="28">
        <f>IF(履歴データ!$A$194="","",(履歴データ!$R$194-履歴データ!$D$194)*100)</f>
        <v>-212.85000000000002</v>
      </c>
      <c r="G194" s="28">
        <f>IF(履歴データ!$A$194="","",(履歴データ!$S$194-履歴データ!$R$194)*100)</f>
        <v>-193.18400000000025</v>
      </c>
      <c r="H194" s="29">
        <f>IF(履歴データ!$A$194="","",履歴データ!$O$194)</f>
        <v>148.46299743652344</v>
      </c>
      <c r="I194" s="29">
        <f>IF(履歴データ!$A$194="","",履歴データ!$Q$194)</f>
        <v>106.84375</v>
      </c>
      <c r="J194" s="29">
        <f>IF(履歴データ!$A$194="","",履歴データ!$D$194)</f>
        <v>4.78</v>
      </c>
      <c r="K194" s="28">
        <f>IF(OR(履歴データ!$A$194="",履歴データ!$A$193=""),"",B194-B193)</f>
        <v>0.49999999999998934</v>
      </c>
      <c r="L194" s="28">
        <f>IF(OR(履歴データ!$A$194="",履歴データ!$A$193=""),"",C194-C193)</f>
        <v>-0.54999999999999538</v>
      </c>
      <c r="M194" s="28">
        <f>IF(OR(履歴データ!$A$194="",履歴データ!$A$193=""),"",D194-D193)</f>
        <v>6.1000000000000227</v>
      </c>
      <c r="N194" s="28">
        <f>IF(OR(履歴データ!$A$194="",履歴データ!$A$193=""),"",E194-E193)</f>
        <v>-0.99999999999997868</v>
      </c>
      <c r="O194" s="28">
        <f>IF(OR(履歴データ!$A$194="",履歴データ!$A$193=""),"",F194-F193)</f>
        <v>-9.8300000000000409</v>
      </c>
      <c r="P194" s="28">
        <f>IF(OR(履歴データ!$A$194="",履歴データ!$A$193=""),"",G194-G193)</f>
        <v>1.3743571777343959</v>
      </c>
      <c r="Q194" s="29">
        <f>IF(OR(履歴データ!$A$194="",履歴データ!$A$193=""),"",H194-H193)</f>
        <v>0</v>
      </c>
      <c r="R194" s="29">
        <f>IF(OR(履歴データ!$A$194="",履歴データ!$A$193=""),"",I194-I193)</f>
        <v>-0.46875</v>
      </c>
      <c r="S194" s="28">
        <f>IF(OR(履歴データ!$A$194="",履歴データ!$A$193=""),"",(J194-J193)*100)</f>
        <v>6.0000000000000497</v>
      </c>
      <c r="T194" s="11">
        <f>IF(OR(履歴データ!$A$194="",履歴データ!$A$193=""),"",-80000*K194)</f>
        <v>-39999.999999999149</v>
      </c>
      <c r="U194" s="11">
        <f>IF(OR(履歴データ!$A$194="",履歴データ!$A$193=""),"",60000*L194)</f>
        <v>-32999.999999999724</v>
      </c>
      <c r="V194" s="11">
        <f>IF(OR(履歴データ!$A$194="",履歴データ!$A$193=""),"",-50000*M194)</f>
        <v>-305000.00000000116</v>
      </c>
      <c r="W194" s="11">
        <f>IF(OR(履歴データ!$A$194="",履歴データ!$A$193=""),"",-40000*N194)</f>
        <v>39999.999999999149</v>
      </c>
      <c r="X194" s="11">
        <f>IF(OR(履歴データ!$A$194="",履歴データ!$A$193=""),"",120*1000000*(-Q194/H193))</f>
        <v>0</v>
      </c>
      <c r="Y194" s="11">
        <f>IF(OR(履歴データ!$A$194="",履歴データ!$A$193=""),"",40000*(-S194)+(-506.3)*R194*1000)</f>
        <v>-2671.8750000019791</v>
      </c>
      <c r="Z194" s="11">
        <f>IF(OR(履歴データ!$A$194="",履歴データ!$A$193=""),"",-40000*O194)</f>
        <v>393200.00000000163</v>
      </c>
      <c r="AA194" s="11">
        <f>IF(OR(履歴データ!$A$194="",履歴データ!$A$193=""),"",-40000*P194)</f>
        <v>-54974.287109375837</v>
      </c>
      <c r="AB194" s="11">
        <f>IF(履歴データ!$A$194="","",123.3)</f>
        <v>123.3</v>
      </c>
      <c r="AC194">
        <f>IF(履歴データ!$A$194="","",SUM(T194:AA194))</f>
        <v>-2446.1621093770591</v>
      </c>
      <c r="AD194" s="29">
        <f>IF(履歴データ!$A$194="","",AC194/1000000)</f>
        <v>-2.446162109377059E-3</v>
      </c>
      <c r="AE194" s="29">
        <f>IF(履歴データ!$A$194="",AE193,AE193+AC194/1000000)</f>
        <v>81.155492131681498</v>
      </c>
      <c r="AF194" s="12">
        <f>IF(OR(履歴データ!$A$194="",AE193=0),"",(AE194-AE193)/AE193)</f>
        <v>-3.0140762084469433E-5</v>
      </c>
      <c r="AG194" s="29">
        <f t="shared" si="8"/>
        <v>102.17217746631495</v>
      </c>
      <c r="AH194" s="12">
        <f>IF(OR(履歴データ!$A$194="",AG194=0),"",AE194/AG194-1)</f>
        <v>-0.20569871226990755</v>
      </c>
      <c r="AJ194" s="28">
        <f t="shared" ref="AJ194:AJ257" ca="1" si="9">IF(ROW()-1&lt;2,"",IFERROR(AVERAGE(OFFSET($B$1,MAX(1,ROW()-252),0,MIN(252,ROW()-1),1))+2*STDEV(OFFSET($B$1,MAX(1,ROW()-252),0,MIN(252,ROW()-1),1)),""))</f>
        <v>-29.396768932463615</v>
      </c>
      <c r="AK194" s="28">
        <f t="shared" ref="AK194:AK257" ca="1" si="10">IF(ROW()-1&lt;2,"",IFERROR(AVERAGE(OFFSET($B$1,MAX(1,ROW()-252),0,MIN(252,ROW()-1),1))-2*STDEV(OFFSET($B$1,MAX(1,ROW()-252),0,MIN(252,ROW()-1),1)),""))</f>
        <v>-54.074733658209965</v>
      </c>
    </row>
    <row r="195" spans="1:37">
      <c r="A195" s="10">
        <f>IF(履歴データ!$A$195="","",履歴データ!$A$195)</f>
        <v>45209</v>
      </c>
      <c r="B195" s="28">
        <f>IF(履歴データ!$A$195="","",(履歴データ!$D$195-(履歴データ!$B$195+履歴データ!$F$195)/2)*100)</f>
        <v>-24.499999999999922</v>
      </c>
      <c r="C195" s="28">
        <f>IF(履歴データ!$A$195="","",(履歴データ!$H$195-(履歴データ!$G$195+履歴データ!$J$195)/2)*100)</f>
        <v>-12.150000000000006</v>
      </c>
      <c r="D195" s="28">
        <f>IF(履歴データ!$A$195="","",(履歴データ!$D$195-履歴データ!$H$195)*100)</f>
        <v>388.40000000000003</v>
      </c>
      <c r="E195" s="28">
        <f>IF(履歴データ!$A$195="","",(履歴データ!$D$195-履歴データ!$C$195)*100)</f>
        <v>4.0000000000000036</v>
      </c>
      <c r="F195" s="28">
        <f>IF(履歴データ!$A$195="","",(履歴データ!$R$195-履歴データ!$D$195)*100)</f>
        <v>-198.85000000000002</v>
      </c>
      <c r="G195" s="28">
        <f>IF(履歴データ!$A$195="","",(履歴データ!$S$195-履歴データ!$R$195)*100)</f>
        <v>-197.81500000000011</v>
      </c>
      <c r="H195" s="29">
        <f>IF(履歴データ!$A$195="","",履歴データ!$O$195)</f>
        <v>148.62800598144531</v>
      </c>
      <c r="I195" s="29">
        <f>IF(履歴データ!$A$195="","",履歴データ!$Q$195)</f>
        <v>107.71875</v>
      </c>
      <c r="J195" s="29">
        <f>IF(履歴データ!$A$195="","",履歴データ!$D$195)</f>
        <v>4.66</v>
      </c>
      <c r="K195" s="28">
        <f>IF(OR(履歴データ!$A$195="",履歴データ!$A$194=""),"",B195-B194)</f>
        <v>-0.99999999999988987</v>
      </c>
      <c r="L195" s="28">
        <f>IF(OR(履歴データ!$A$195="",履歴データ!$A$194=""),"",C195-C194)</f>
        <v>-1.8000000000000131</v>
      </c>
      <c r="M195" s="28">
        <f>IF(OR(履歴データ!$A$195="",履歴データ!$A$194=""),"",D195-D194)</f>
        <v>-9.3999999999999773</v>
      </c>
      <c r="N195" s="28">
        <f>IF(OR(履歴データ!$A$195="",履歴データ!$A$194=""),"",E195-E194)</f>
        <v>0.99999999999997868</v>
      </c>
      <c r="O195" s="28">
        <f>IF(OR(履歴データ!$A$195="",履歴データ!$A$194=""),"",F195-F194)</f>
        <v>14</v>
      </c>
      <c r="P195" s="28">
        <f>IF(OR(履歴データ!$A$195="",履歴データ!$A$194=""),"",G195-G194)</f>
        <v>-4.6309999999998581</v>
      </c>
      <c r="Q195" s="29">
        <f>IF(OR(履歴データ!$A$195="",履歴データ!$A$194=""),"",H195-H194)</f>
        <v>0.165008544921875</v>
      </c>
      <c r="R195" s="29">
        <f>IF(OR(履歴データ!$A$195="",履歴データ!$A$194=""),"",I195-I194)</f>
        <v>0.875</v>
      </c>
      <c r="S195" s="28">
        <f>IF(OR(履歴データ!$A$195="",履歴データ!$A$194=""),"",(J195-J194)*100)</f>
        <v>-12.000000000000011</v>
      </c>
      <c r="T195" s="11">
        <f>IF(OR(履歴データ!$A$195="",履歴データ!$A$194=""),"",-80000*K195)</f>
        <v>79999.999999991196</v>
      </c>
      <c r="U195" s="11">
        <f>IF(OR(履歴データ!$A$195="",履歴データ!$A$194=""),"",60000*L195)</f>
        <v>-108000.00000000079</v>
      </c>
      <c r="V195" s="11">
        <f>IF(OR(履歴データ!$A$195="",履歴データ!$A$194=""),"",-50000*M195)</f>
        <v>469999.99999999884</v>
      </c>
      <c r="W195" s="11">
        <f>IF(OR(履歴データ!$A$195="",履歴データ!$A$194=""),"",-40000*N195)</f>
        <v>-39999.999999999149</v>
      </c>
      <c r="X195" s="11">
        <f>IF(OR(履歴データ!$A$195="",履歴データ!$A$194=""),"",120*1000000*(-Q195/H194))</f>
        <v>-133373.47172376126</v>
      </c>
      <c r="Y195" s="11">
        <f>IF(OR(履歴データ!$A$195="",履歴データ!$A$194=""),"",40000*(-S195)+(-506.3)*R195*1000)</f>
        <v>36987.500000000407</v>
      </c>
      <c r="Z195" s="11">
        <f>IF(OR(履歴データ!$A$195="",履歴データ!$A$194=""),"",-40000*O195)</f>
        <v>-560000</v>
      </c>
      <c r="AA195" s="11">
        <f>IF(OR(履歴データ!$A$195="",履歴データ!$A$194=""),"",-40000*P195)</f>
        <v>185239.99999999432</v>
      </c>
      <c r="AB195" s="11">
        <f>IF(履歴データ!$A$195="","",123.3)</f>
        <v>123.3</v>
      </c>
      <c r="AC195">
        <f>IF(履歴データ!$A$195="","",SUM(T195:AA195))</f>
        <v>-69145.971723776456</v>
      </c>
      <c r="AD195" s="29">
        <f>IF(履歴データ!$A$195="","",AC195/1000000)</f>
        <v>-6.9145971723776456E-2</v>
      </c>
      <c r="AE195" s="29">
        <f>IF(履歴データ!$A$195="",AE194,AE194+AC195/1000000)</f>
        <v>81.086346159957728</v>
      </c>
      <c r="AF195" s="12">
        <f>IF(OR(履歴データ!$A$195="",AE194=0),"",(AE195-AE194)/AE194)</f>
        <v>-8.5201838972987203E-4</v>
      </c>
      <c r="AG195" s="29">
        <f t="shared" ref="AG195:AG258" si="11">MAX(AG194,AE195)</f>
        <v>102.17217746631495</v>
      </c>
      <c r="AH195" s="12">
        <f>IF(OR(履歴データ!$A$195="",AG195=0),"",AE195/AG195-1)</f>
        <v>-0.20637547157403968</v>
      </c>
      <c r="AJ195" s="28">
        <f t="shared" ca="1" si="9"/>
        <v>-29.093549063444566</v>
      </c>
      <c r="AK195" s="28">
        <f t="shared" ca="1" si="10"/>
        <v>-54.200265369545122</v>
      </c>
    </row>
    <row r="196" spans="1:37">
      <c r="A196" s="10">
        <f>IF(履歴データ!$A$196="","",履歴データ!$A$196)</f>
        <v>45210</v>
      </c>
      <c r="B196" s="28">
        <f>IF(履歴データ!$A$196="","",(履歴データ!$D$196-(履歴データ!$B$196+履歴データ!$F$196)/2)*100)</f>
        <v>-28.000000000000025</v>
      </c>
      <c r="C196" s="28">
        <f>IF(履歴データ!$A$196="","",(履歴データ!$H$196-(履歴データ!$G$196+履歴データ!$J$196)/2)*100)</f>
        <v>-11.099999999999998</v>
      </c>
      <c r="D196" s="28">
        <f>IF(履歴データ!$A$196="","",(履歴データ!$D$196-履歴データ!$H$196)*100)</f>
        <v>380.40000000000003</v>
      </c>
      <c r="E196" s="28">
        <f>IF(履歴データ!$A$196="","",(履歴データ!$D$196-履歴データ!$C$196)*100)</f>
        <v>-0.99999999999997868</v>
      </c>
      <c r="F196" s="28">
        <f>IF(履歴データ!$A$196="","",(履歴データ!$R$196-履歴データ!$D$196)*100)</f>
        <v>-203.52</v>
      </c>
      <c r="G196" s="28">
        <f>IF(履歴データ!$A$196="","",(履歴データ!$S$196-履歴データ!$R$196)*100)</f>
        <v>-187.24982141113293</v>
      </c>
      <c r="H196" s="29">
        <f>IF(履歴データ!$A$196="","",履歴データ!$O$196)</f>
        <v>149.03599548339844</v>
      </c>
      <c r="I196" s="29">
        <f>IF(履歴データ!$A$196="","",履歴データ!$Q$196)</f>
        <v>107.9375</v>
      </c>
      <c r="J196" s="29">
        <f>IF(履歴データ!$A$196="","",履歴データ!$D$196)</f>
        <v>4.58</v>
      </c>
      <c r="K196" s="28">
        <f>IF(OR(履歴データ!$A$196="",履歴データ!$A$195=""),"",B196-B195)</f>
        <v>-3.500000000000103</v>
      </c>
      <c r="L196" s="28">
        <f>IF(OR(履歴データ!$A$196="",履歴データ!$A$195=""),"",C196-C195)</f>
        <v>1.0500000000000078</v>
      </c>
      <c r="M196" s="28">
        <f>IF(OR(履歴データ!$A$196="",履歴データ!$A$195=""),"",D196-D195)</f>
        <v>-8</v>
      </c>
      <c r="N196" s="28">
        <f>IF(OR(履歴データ!$A$196="",履歴データ!$A$195=""),"",E196-E195)</f>
        <v>-4.9999999999999822</v>
      </c>
      <c r="O196" s="28">
        <f>IF(OR(履歴データ!$A$196="",履歴データ!$A$195=""),"",F196-F195)</f>
        <v>-4.6699999999999875</v>
      </c>
      <c r="P196" s="28">
        <f>IF(OR(履歴データ!$A$196="",履歴データ!$A$195=""),"",G196-G195)</f>
        <v>10.565178588867184</v>
      </c>
      <c r="Q196" s="29">
        <f>IF(OR(履歴データ!$A$196="",履歴データ!$A$195=""),"",H196-H195)</f>
        <v>0.407989501953125</v>
      </c>
      <c r="R196" s="29">
        <f>IF(OR(履歴データ!$A$196="",履歴データ!$A$195=""),"",I196-I195)</f>
        <v>0.21875</v>
      </c>
      <c r="S196" s="28">
        <f>IF(OR(履歴データ!$A$196="",履歴データ!$A$195=""),"",(J196-J195)*100)</f>
        <v>-8.0000000000000071</v>
      </c>
      <c r="T196" s="11">
        <f>IF(OR(履歴データ!$A$196="",履歴データ!$A$195=""),"",-80000*K196)</f>
        <v>280000.00000000827</v>
      </c>
      <c r="U196" s="11">
        <f>IF(OR(履歴データ!$A$196="",履歴データ!$A$195=""),"",60000*L196)</f>
        <v>63000.000000000466</v>
      </c>
      <c r="V196" s="11">
        <f>IF(OR(履歴データ!$A$196="",履歴データ!$A$195=""),"",-50000*M196)</f>
        <v>400000</v>
      </c>
      <c r="W196" s="11">
        <f>IF(OR(履歴データ!$A$196="",履歴データ!$A$195=""),"",-40000*N196)</f>
        <v>199999.9999999993</v>
      </c>
      <c r="X196" s="11">
        <f>IF(OR(履歴データ!$A$196="",履歴データ!$A$195=""),"",120*1000000*(-Q196/H195))</f>
        <v>-329404.54197095934</v>
      </c>
      <c r="Y196" s="11">
        <f>IF(OR(履歴データ!$A$196="",履歴データ!$A$195=""),"",40000*(-S196)+(-506.3)*R196*1000)</f>
        <v>209246.87500000029</v>
      </c>
      <c r="Z196" s="11">
        <f>IF(OR(履歴データ!$A$196="",履歴データ!$A$195=""),"",-40000*O196)</f>
        <v>186799.99999999951</v>
      </c>
      <c r="AA196" s="11">
        <f>IF(OR(履歴データ!$A$196="",履歴データ!$A$195=""),"",-40000*P196)</f>
        <v>-422607.14355468738</v>
      </c>
      <c r="AB196" s="11">
        <f>IF(履歴データ!$A$196="","",123.3)</f>
        <v>123.3</v>
      </c>
      <c r="AC196">
        <f>IF(履歴データ!$A$196="","",SUM(T196:AA196))</f>
        <v>587035.18947436113</v>
      </c>
      <c r="AD196" s="29">
        <f>IF(履歴データ!$A$196="","",AC196/1000000)</f>
        <v>0.58703518947436117</v>
      </c>
      <c r="AE196" s="29">
        <f>IF(履歴データ!$A$196="",AE195,AE195+AC196/1000000)</f>
        <v>81.673381349432091</v>
      </c>
      <c r="AF196" s="12">
        <f>IF(OR(履歴データ!$A$196="",AE195=0),"",(AE196-AE195)/AE195)</f>
        <v>7.2396305577307508E-3</v>
      </c>
      <c r="AG196" s="29">
        <f t="shared" si="11"/>
        <v>102.17217746631495</v>
      </c>
      <c r="AH196" s="12">
        <f>IF(OR(履歴データ!$A$196="",AG196=0),"",AE196/AG196-1)</f>
        <v>-0.20062992318668249</v>
      </c>
      <c r="AJ196" s="28">
        <f t="shared" ca="1" si="9"/>
        <v>-28.904324051518582</v>
      </c>
      <c r="AK196" s="28">
        <f t="shared" ca="1" si="10"/>
        <v>-54.249522102327575</v>
      </c>
    </row>
    <row r="197" spans="1:37">
      <c r="A197" s="10">
        <f>IF(履歴データ!$A$197="","",履歴データ!$A$197)</f>
        <v>45211</v>
      </c>
      <c r="B197" s="28">
        <f>IF(履歴データ!$A$197="","",(履歴データ!$D$197-(履歴データ!$B$197+履歴データ!$F$197)/2)*100)</f>
        <v>-25.999999999999979</v>
      </c>
      <c r="C197" s="28">
        <f>IF(履歴データ!$A$197="","",(履歴データ!$H$197-(履歴データ!$G$197+履歴データ!$J$197)/2)*100)</f>
        <v>-10.849999999999993</v>
      </c>
      <c r="D197" s="28">
        <f>IF(履歴データ!$A$197="","",(履歴データ!$D$197-履歴データ!$H$197)*100)</f>
        <v>394.4</v>
      </c>
      <c r="E197" s="28">
        <f>IF(履歴データ!$A$197="","",(履歴データ!$D$197-履歴データ!$C$197)*100)</f>
        <v>0.99999999999997868</v>
      </c>
      <c r="F197" s="28">
        <f>IF(履歴データ!$A$197="","",(履歴データ!$R$197-履歴データ!$D$197)*100)</f>
        <v>-220.19000000000003</v>
      </c>
      <c r="G197" s="28">
        <f>IF(履歴データ!$A$197="","",(履歴データ!$S$197-履歴データ!$R$197)*100)</f>
        <v>-186.08782141113301</v>
      </c>
      <c r="H197" s="29">
        <f>IF(履歴データ!$A$197="","",履歴データ!$O$197)</f>
        <v>149.78999328613281</v>
      </c>
      <c r="I197" s="29">
        <f>IF(履歴データ!$A$197="","",履歴データ!$Q$197)</f>
        <v>107.234375</v>
      </c>
      <c r="J197" s="29">
        <f>IF(履歴データ!$A$197="","",履歴データ!$D$197)</f>
        <v>4.7</v>
      </c>
      <c r="K197" s="28">
        <f>IF(OR(履歴データ!$A$197="",履歴データ!$A$196=""),"",B197-B196)</f>
        <v>2.0000000000000462</v>
      </c>
      <c r="L197" s="28">
        <f>IF(OR(履歴データ!$A$197="",履歴データ!$A$196=""),"",C197-C196)</f>
        <v>0.25000000000000533</v>
      </c>
      <c r="M197" s="28">
        <f>IF(OR(履歴データ!$A$197="",履歴データ!$A$196=""),"",D197-D196)</f>
        <v>13.999999999999943</v>
      </c>
      <c r="N197" s="28">
        <f>IF(OR(履歴データ!$A$197="",履歴データ!$A$196=""),"",E197-E196)</f>
        <v>1.9999999999999574</v>
      </c>
      <c r="O197" s="28">
        <f>IF(OR(履歴データ!$A$197="",履歴データ!$A$196=""),"",F197-F196)</f>
        <v>-16.670000000000016</v>
      </c>
      <c r="P197" s="28">
        <f>IF(OR(履歴データ!$A$197="",履歴データ!$A$196=""),"",G197-G196)</f>
        <v>1.1619999999999209</v>
      </c>
      <c r="Q197" s="29">
        <f>IF(OR(履歴データ!$A$197="",履歴データ!$A$196=""),"",H197-H196)</f>
        <v>0.753997802734375</v>
      </c>
      <c r="R197" s="29">
        <f>IF(OR(履歴データ!$A$197="",履歴データ!$A$196=""),"",I197-I196)</f>
        <v>-0.703125</v>
      </c>
      <c r="S197" s="28">
        <f>IF(OR(履歴データ!$A$197="",履歴データ!$A$196=""),"",(J197-J196)*100)</f>
        <v>12.000000000000011</v>
      </c>
      <c r="T197" s="11">
        <f>IF(OR(履歴データ!$A$197="",履歴データ!$A$196=""),"",-80000*K197)</f>
        <v>-160000.0000000037</v>
      </c>
      <c r="U197" s="11">
        <f>IF(OR(履歴データ!$A$197="",履歴データ!$A$196=""),"",60000*L197)</f>
        <v>15000.00000000032</v>
      </c>
      <c r="V197" s="11">
        <f>IF(OR(履歴データ!$A$197="",履歴データ!$A$196=""),"",-50000*M197)</f>
        <v>-699999.99999999721</v>
      </c>
      <c r="W197" s="11">
        <f>IF(OR(履歴データ!$A$197="",履歴データ!$A$196=""),"",-40000*N197)</f>
        <v>-79999.999999998297</v>
      </c>
      <c r="X197" s="11">
        <f>IF(OR(履歴データ!$A$197="",履歴データ!$A$196=""),"",120*1000000*(-Q197/H196))</f>
        <v>-607099.88908822904</v>
      </c>
      <c r="Y197" s="11">
        <f>IF(OR(履歴データ!$A$197="",履歴データ!$A$196=""),"",40000*(-S197)+(-506.3)*R197*1000)</f>
        <v>-124007.81250000041</v>
      </c>
      <c r="Z197" s="11">
        <f>IF(OR(履歴データ!$A$197="",履歴データ!$A$196=""),"",-40000*O197)</f>
        <v>666800.00000000058</v>
      </c>
      <c r="AA197" s="11">
        <f>IF(OR(履歴データ!$A$197="",履歴データ!$A$196=""),"",-40000*P197)</f>
        <v>-46479.999999996835</v>
      </c>
      <c r="AB197" s="11">
        <f>IF(履歴データ!$A$197="","",123.3)</f>
        <v>123.3</v>
      </c>
      <c r="AC197">
        <f>IF(履歴データ!$A$197="","",SUM(T197:AA197))</f>
        <v>-1035787.7015882246</v>
      </c>
      <c r="AD197" s="29">
        <f>IF(履歴データ!$A$197="","",AC197/1000000)</f>
        <v>-1.0357877015882246</v>
      </c>
      <c r="AE197" s="29">
        <f>IF(履歴データ!$A$197="",AE196,AE196+AC197/1000000)</f>
        <v>80.637593647843872</v>
      </c>
      <c r="AF197" s="12">
        <f>IF(OR(履歴データ!$A$197="",AE196=0),"",(AE197-AE196)/AE196)</f>
        <v>-1.2682071985690132E-2</v>
      </c>
      <c r="AG197" s="29">
        <f t="shared" si="11"/>
        <v>102.17217746631495</v>
      </c>
      <c r="AH197" s="12">
        <f>IF(OR(履歴データ!$A$197="",AG197=0),"",AE197/AG197-1)</f>
        <v>-0.21076759204403561</v>
      </c>
      <c r="AJ197" s="28">
        <f t="shared" ca="1" si="9"/>
        <v>-28.663001162924168</v>
      </c>
      <c r="AK197" s="28">
        <f t="shared" ca="1" si="10"/>
        <v>-54.331896796259507</v>
      </c>
    </row>
    <row r="198" spans="1:37">
      <c r="A198" s="10">
        <f>IF(履歴データ!$A$198="","",履歴データ!$A$198)</f>
        <v>45212</v>
      </c>
      <c r="B198" s="28">
        <f>IF(履歴データ!$A$198="","",(履歴データ!$D$198-(履歴データ!$B$198+履歴データ!$F$198)/2)*100)</f>
        <v>-28.000000000000025</v>
      </c>
      <c r="C198" s="28">
        <f>IF(履歴データ!$A$198="","",(履歴データ!$H$198-(履歴データ!$G$198+履歴データ!$J$198)/2)*100)</f>
        <v>-10.650000000000004</v>
      </c>
      <c r="D198" s="28">
        <f>IF(履歴データ!$A$198="","",(履歴データ!$D$198-履歴データ!$H$198)*100)</f>
        <v>386.5</v>
      </c>
      <c r="E198" s="28">
        <f>IF(履歴データ!$A$198="","",(履歴データ!$D$198-履歴データ!$C$198)*100)</f>
        <v>-2.0000000000000462</v>
      </c>
      <c r="F198" s="28">
        <f>IF(履歴データ!$A$198="","",(履歴データ!$R$198-履歴データ!$D$198)*100)</f>
        <v>-207.13999999999996</v>
      </c>
      <c r="G198" s="28">
        <f>IF(履歴データ!$A$198="","",(履歴データ!$S$198-履歴データ!$R$198)*100)</f>
        <v>-192.13782141113302</v>
      </c>
      <c r="H198" s="29">
        <f>IF(履歴データ!$A$198="","",履歴データ!$O$198)</f>
        <v>149.78999328613281</v>
      </c>
      <c r="I198" s="29">
        <f>IF(履歴データ!$A$198="","",履歴データ!$Q$198)</f>
        <v>107.71875</v>
      </c>
      <c r="J198" s="29">
        <f>IF(履歴データ!$A$198="","",履歴データ!$D$198)</f>
        <v>4.63</v>
      </c>
      <c r="K198" s="28">
        <f>IF(OR(履歴データ!$A$198="",履歴データ!$A$197=""),"",B198-B197)</f>
        <v>-2.0000000000000462</v>
      </c>
      <c r="L198" s="28">
        <f>IF(OR(履歴データ!$A$198="",履歴データ!$A$197=""),"",C198-C197)</f>
        <v>0.19999999999998863</v>
      </c>
      <c r="M198" s="28">
        <f>IF(OR(履歴データ!$A$198="",履歴データ!$A$197=""),"",D198-D197)</f>
        <v>-7.8999999999999773</v>
      </c>
      <c r="N198" s="28">
        <f>IF(OR(履歴データ!$A$198="",履歴データ!$A$197=""),"",E198-E197)</f>
        <v>-3.0000000000000249</v>
      </c>
      <c r="O198" s="28">
        <f>IF(OR(履歴データ!$A$198="",履歴データ!$A$197=""),"",F198-F197)</f>
        <v>13.050000000000068</v>
      </c>
      <c r="P198" s="28">
        <f>IF(OR(履歴データ!$A$198="",履歴データ!$A$197=""),"",G198-G197)</f>
        <v>-6.0500000000000114</v>
      </c>
      <c r="Q198" s="29">
        <f>IF(OR(履歴データ!$A$198="",履歴データ!$A$197=""),"",H198-H197)</f>
        <v>0</v>
      </c>
      <c r="R198" s="29">
        <f>IF(OR(履歴データ!$A$198="",履歴データ!$A$197=""),"",I198-I197)</f>
        <v>0.484375</v>
      </c>
      <c r="S198" s="28">
        <f>IF(OR(履歴データ!$A$198="",履歴データ!$A$197=""),"",(J198-J197)*100)</f>
        <v>-7.0000000000000284</v>
      </c>
      <c r="T198" s="11">
        <f>IF(OR(履歴データ!$A$198="",履歴データ!$A$197=""),"",-80000*K198)</f>
        <v>160000.0000000037</v>
      </c>
      <c r="U198" s="11">
        <f>IF(OR(履歴データ!$A$198="",履歴データ!$A$197=""),"",60000*L198)</f>
        <v>11999.999999999318</v>
      </c>
      <c r="V198" s="11">
        <f>IF(OR(履歴データ!$A$198="",履歴データ!$A$197=""),"",-50000*M198)</f>
        <v>394999.99999999884</v>
      </c>
      <c r="W198" s="11">
        <f>IF(OR(履歴データ!$A$198="",履歴データ!$A$197=""),"",-40000*N198)</f>
        <v>120000.00000000099</v>
      </c>
      <c r="X198" s="11">
        <f>IF(OR(履歴データ!$A$198="",履歴データ!$A$197=""),"",120*1000000*(-Q198/H197))</f>
        <v>0</v>
      </c>
      <c r="Y198" s="11">
        <f>IF(OR(履歴データ!$A$198="",履歴データ!$A$197=""),"",40000*(-S198)+(-506.3)*R198*1000)</f>
        <v>34760.937500001135</v>
      </c>
      <c r="Z198" s="11">
        <f>IF(OR(履歴データ!$A$198="",履歴データ!$A$197=""),"",-40000*O198)</f>
        <v>-522000.00000000274</v>
      </c>
      <c r="AA198" s="11">
        <f>IF(OR(履歴データ!$A$198="",履歴データ!$A$197=""),"",-40000*P198)</f>
        <v>242000.00000000047</v>
      </c>
      <c r="AB198" s="11">
        <f>IF(履歴データ!$A$198="","",123.3)</f>
        <v>123.3</v>
      </c>
      <c r="AC198">
        <f>IF(履歴データ!$A$198="","",SUM(T198:AA198))</f>
        <v>441760.93750000169</v>
      </c>
      <c r="AD198" s="29">
        <f>IF(履歴データ!$A$198="","",AC198/1000000)</f>
        <v>0.44176093750000167</v>
      </c>
      <c r="AE198" s="29">
        <f>IF(履歴データ!$A$198="",AE197,AE197+AC198/1000000)</f>
        <v>81.079354585343879</v>
      </c>
      <c r="AF198" s="12">
        <f>IF(OR(履歴データ!$A$198="",AE197=0),"",(AE198-AE197)/AE197)</f>
        <v>5.478349706580299E-3</v>
      </c>
      <c r="AG198" s="29">
        <f t="shared" si="11"/>
        <v>102.17217746631495</v>
      </c>
      <c r="AH198" s="12">
        <f>IF(OR(履歴データ!$A$198="",AG198=0),"",AE198/AG198-1)</f>
        <v>-0.20644390091348641</v>
      </c>
      <c r="AJ198" s="28">
        <f t="shared" ca="1" si="9"/>
        <v>-28.483597542999377</v>
      </c>
      <c r="AK198" s="28">
        <f t="shared" ca="1" si="10"/>
        <v>-54.374270477305188</v>
      </c>
    </row>
    <row r="199" spans="1:37">
      <c r="A199" s="10">
        <f>IF(履歴データ!$A$199="","",履歴データ!$A$199)</f>
        <v>45215</v>
      </c>
      <c r="B199" s="28">
        <f>IF(履歴データ!$A$199="","",(履歴データ!$D$199-(履歴データ!$B$199+履歴データ!$F$199)/2)*100)</f>
        <v>-27.000000000000046</v>
      </c>
      <c r="C199" s="28">
        <f>IF(履歴データ!$A$199="","",(履歴データ!$H$199-(履歴データ!$G$199+履歴データ!$J$199)/2)*100)</f>
        <v>-12.249999999999995</v>
      </c>
      <c r="D199" s="28">
        <f>IF(履歴データ!$A$199="","",(履歴データ!$D$199-履歴データ!$H$199)*100)</f>
        <v>395.3</v>
      </c>
      <c r="E199" s="28">
        <f>IF(履歴データ!$A$199="","",(履歴データ!$D$199-履歴データ!$C$199)*100)</f>
        <v>-0.99999999999997868</v>
      </c>
      <c r="F199" s="28">
        <f>IF(履歴データ!$A$199="","",(履歴データ!$R$199-履歴データ!$D$199)*100)</f>
        <v>-220.37999999999997</v>
      </c>
      <c r="G199" s="28">
        <f>IF(履歴データ!$A$199="","",(履歴データ!$S$199-履歴データ!$R$199)*100)</f>
        <v>-186.54700000000025</v>
      </c>
      <c r="H199" s="29">
        <f>IF(履歴データ!$A$199="","",履歴データ!$O$199)</f>
        <v>149.5780029296875</v>
      </c>
      <c r="I199" s="29">
        <f>IF(履歴データ!$A$199="","",履歴データ!$Q$199)</f>
        <v>107.203125</v>
      </c>
      <c r="J199" s="29">
        <f>IF(履歴データ!$A$199="","",履歴データ!$D$199)</f>
        <v>4.71</v>
      </c>
      <c r="K199" s="28">
        <f>IF(OR(履歴データ!$A$199="",履歴データ!$A$198=""),"",B199-B198)</f>
        <v>0.99999999999997868</v>
      </c>
      <c r="L199" s="28">
        <f>IF(OR(履歴データ!$A$199="",履歴データ!$A$198=""),"",C199-C198)</f>
        <v>-1.5999999999999908</v>
      </c>
      <c r="M199" s="28">
        <f>IF(OR(履歴データ!$A$199="",履歴データ!$A$198=""),"",D199-D198)</f>
        <v>8.8000000000000114</v>
      </c>
      <c r="N199" s="28">
        <f>IF(OR(履歴データ!$A$199="",履歴データ!$A$198=""),"",E199-E198)</f>
        <v>1.0000000000000675</v>
      </c>
      <c r="O199" s="28">
        <f>IF(OR(履歴データ!$A$199="",履歴データ!$A$198=""),"",F199-F198)</f>
        <v>-13.240000000000009</v>
      </c>
      <c r="P199" s="28">
        <f>IF(OR(履歴データ!$A$199="",履歴データ!$A$198=""),"",G199-G198)</f>
        <v>5.5908214111327652</v>
      </c>
      <c r="Q199" s="29">
        <f>IF(OR(履歴データ!$A$199="",履歴データ!$A$198=""),"",H199-H198)</f>
        <v>-0.2119903564453125</v>
      </c>
      <c r="R199" s="29">
        <f>IF(OR(履歴データ!$A$199="",履歴データ!$A$198=""),"",I199-I198)</f>
        <v>-0.515625</v>
      </c>
      <c r="S199" s="28">
        <f>IF(OR(履歴データ!$A$199="",履歴データ!$A$198=""),"",(J199-J198)*100)</f>
        <v>8.0000000000000071</v>
      </c>
      <c r="T199" s="11">
        <f>IF(OR(履歴データ!$A$199="",履歴データ!$A$198=""),"",-80000*K199)</f>
        <v>-79999.999999998297</v>
      </c>
      <c r="U199" s="11">
        <f>IF(OR(履歴データ!$A$199="",履歴データ!$A$198=""),"",60000*L199)</f>
        <v>-95999.999999999447</v>
      </c>
      <c r="V199" s="11">
        <f>IF(OR(履歴データ!$A$199="",履歴データ!$A$198=""),"",-50000*M199)</f>
        <v>-440000.00000000058</v>
      </c>
      <c r="W199" s="11">
        <f>IF(OR(履歴データ!$A$199="",履歴データ!$A$198=""),"",-40000*N199)</f>
        <v>-40000.000000002699</v>
      </c>
      <c r="X199" s="11">
        <f>IF(OR(履歴データ!$A$199="",履歴データ!$A$198=""),"",120*1000000*(-Q199/H198))</f>
        <v>169830.05483446113</v>
      </c>
      <c r="Y199" s="11">
        <f>IF(OR(履歴データ!$A$199="",履歴データ!$A$198=""),"",40000*(-S199)+(-506.3)*R199*1000)</f>
        <v>-58939.062500000262</v>
      </c>
      <c r="Z199" s="11">
        <f>IF(OR(履歴データ!$A$199="",履歴データ!$A$198=""),"",-40000*O199)</f>
        <v>529600.00000000035</v>
      </c>
      <c r="AA199" s="11">
        <f>IF(OR(履歴データ!$A$199="",履歴データ!$A$198=""),"",-40000*P199)</f>
        <v>-223632.85644531061</v>
      </c>
      <c r="AB199" s="11">
        <f>IF(履歴データ!$A$199="","",123.3)</f>
        <v>123.3</v>
      </c>
      <c r="AC199">
        <f>IF(履歴データ!$A$199="","",SUM(T199:AA199))</f>
        <v>-239141.86411085047</v>
      </c>
      <c r="AD199" s="29">
        <f>IF(履歴データ!$A$199="","",AC199/1000000)</f>
        <v>-0.23914186411085048</v>
      </c>
      <c r="AE199" s="29">
        <f>IF(履歴データ!$A$199="",AE198,AE198+AC199/1000000)</f>
        <v>80.84021272123303</v>
      </c>
      <c r="AF199" s="12">
        <f>IF(OR(履歴データ!$A$199="",AE198=0),"",(AE199-AE198)/AE198)</f>
        <v>-2.9494791286125582E-3</v>
      </c>
      <c r="AG199" s="29">
        <f t="shared" si="11"/>
        <v>102.17217746631495</v>
      </c>
      <c r="AH199" s="12">
        <f>IF(OR(履歴データ!$A$199="",AG199=0),"",AE199/AG199-1)</f>
        <v>-0.20878447806512523</v>
      </c>
      <c r="AJ199" s="28">
        <f t="shared" ca="1" si="9"/>
        <v>-28.281772491948377</v>
      </c>
      <c r="AK199" s="28">
        <f t="shared" ca="1" si="10"/>
        <v>-54.430348720172844</v>
      </c>
    </row>
    <row r="200" spans="1:37">
      <c r="A200" s="10">
        <f>IF(履歴データ!$A$200="","",履歴データ!$A$200)</f>
        <v>45216</v>
      </c>
      <c r="B200" s="28">
        <f>IF(履歴データ!$A$200="","",(履歴データ!$D$200-(履歴データ!$B$200+履歴データ!$F$200)/2)*100)</f>
        <v>-23.500000000000032</v>
      </c>
      <c r="C200" s="28">
        <f>IF(履歴データ!$A$200="","",(履歴データ!$H$200-(履歴データ!$G$200+履歴データ!$J$200)/2)*100)</f>
        <v>-11.999999999999989</v>
      </c>
      <c r="D200" s="28">
        <f>IF(履歴データ!$A$200="","",(履歴データ!$D$200-履歴データ!$H$200)*100)</f>
        <v>404.3</v>
      </c>
      <c r="E200" s="28">
        <f>IF(履歴データ!$A$200="","",(履歴データ!$D$200-履歴データ!$C$200)*100)</f>
        <v>-3.0000000000000249</v>
      </c>
      <c r="F200" s="28">
        <f>IF(履歴データ!$A$200="","",(履歴データ!$R$200-履歴データ!$D$200)*100)</f>
        <v>-228.87</v>
      </c>
      <c r="G200" s="28">
        <f>IF(履歴データ!$A$200="","",(履歴データ!$S$200-履歴データ!$R$200)*100)</f>
        <v>-185.67199999999997</v>
      </c>
      <c r="H200" s="29">
        <f>IF(履歴データ!$A$200="","",履歴データ!$O$200)</f>
        <v>149.75900268554688</v>
      </c>
      <c r="I200" s="29">
        <f>IF(履歴データ!$A$200="","",履歴データ!$Q$200)</f>
        <v>106.21875</v>
      </c>
      <c r="J200" s="29">
        <f>IF(履歴データ!$A$200="","",履歴データ!$D$200)</f>
        <v>4.83</v>
      </c>
      <c r="K200" s="28">
        <f>IF(OR(履歴データ!$A$200="",履歴データ!$A$199=""),"",B200-B199)</f>
        <v>3.5000000000000142</v>
      </c>
      <c r="L200" s="28">
        <f>IF(OR(履歴データ!$A$200="",履歴データ!$A$199=""),"",C200-C199)</f>
        <v>0.25000000000000533</v>
      </c>
      <c r="M200" s="28">
        <f>IF(OR(履歴データ!$A$200="",履歴データ!$A$199=""),"",D200-D199)</f>
        <v>9</v>
      </c>
      <c r="N200" s="28">
        <f>IF(OR(履歴データ!$A$200="",履歴データ!$A$199=""),"",E200-E199)</f>
        <v>-2.0000000000000462</v>
      </c>
      <c r="O200" s="28">
        <f>IF(OR(履歴データ!$A$200="",履歴データ!$A$199=""),"",F200-F199)</f>
        <v>-8.4900000000000375</v>
      </c>
      <c r="P200" s="28">
        <f>IF(OR(履歴データ!$A$200="",履歴データ!$A$199=""),"",G200-G199)</f>
        <v>0.87500000000028422</v>
      </c>
      <c r="Q200" s="29">
        <f>IF(OR(履歴データ!$A$200="",履歴データ!$A$199=""),"",H200-H199)</f>
        <v>0.180999755859375</v>
      </c>
      <c r="R200" s="29">
        <f>IF(OR(履歴データ!$A$200="",履歴データ!$A$199=""),"",I200-I199)</f>
        <v>-0.984375</v>
      </c>
      <c r="S200" s="28">
        <f>IF(OR(履歴データ!$A$200="",履歴データ!$A$199=""),"",(J200-J199)*100)</f>
        <v>12.000000000000011</v>
      </c>
      <c r="T200" s="11">
        <f>IF(OR(履歴データ!$A$200="",履歴データ!$A$199=""),"",-80000*K200)</f>
        <v>-280000.00000000116</v>
      </c>
      <c r="U200" s="11">
        <f>IF(OR(履歴データ!$A$200="",履歴データ!$A$199=""),"",60000*L200)</f>
        <v>15000.00000000032</v>
      </c>
      <c r="V200" s="11">
        <f>IF(OR(履歴データ!$A$200="",履歴データ!$A$199=""),"",-50000*M200)</f>
        <v>-450000</v>
      </c>
      <c r="W200" s="11">
        <f>IF(OR(履歴データ!$A$200="",履歴データ!$A$199=""),"",-40000*N200)</f>
        <v>80000.000000001848</v>
      </c>
      <c r="X200" s="11">
        <f>IF(OR(履歴データ!$A$200="",履歴データ!$A$199=""),"",120*1000000*(-Q200/H199))</f>
        <v>-145208.32126188342</v>
      </c>
      <c r="Y200" s="11">
        <f>IF(OR(履歴データ!$A$200="",履歴データ!$A$199=""),"",40000*(-S200)+(-506.3)*R200*1000)</f>
        <v>18389.062499999593</v>
      </c>
      <c r="Z200" s="11">
        <f>IF(OR(履歴データ!$A$200="",履歴データ!$A$199=""),"",-40000*O200)</f>
        <v>339600.00000000151</v>
      </c>
      <c r="AA200" s="11">
        <f>IF(OR(履歴データ!$A$200="",履歴データ!$A$199=""),"",-40000*P200)</f>
        <v>-35000.000000011365</v>
      </c>
      <c r="AB200" s="11">
        <f>IF(履歴データ!$A$200="","",123.3)</f>
        <v>123.3</v>
      </c>
      <c r="AC200">
        <f>IF(履歴データ!$A$200="","",SUM(T200:AA200))</f>
        <v>-457219.25876189262</v>
      </c>
      <c r="AD200" s="29">
        <f>IF(履歴データ!$A$200="","",AC200/1000000)</f>
        <v>-0.45721925876189262</v>
      </c>
      <c r="AE200" s="29">
        <f>IF(履歴データ!$A$200="",AE199,AE199+AC200/1000000)</f>
        <v>80.382993462471134</v>
      </c>
      <c r="AF200" s="12">
        <f>IF(OR(履歴データ!$A$200="",AE199=0),"",(AE200-AE199)/AE199)</f>
        <v>-5.6558393820481017E-3</v>
      </c>
      <c r="AG200" s="29">
        <f t="shared" si="11"/>
        <v>102.17217746631495</v>
      </c>
      <c r="AH200" s="12">
        <f>IF(OR(履歴データ!$A$200="",AG200=0),"",AE200/AG200-1)</f>
        <v>-0.21325946597377232</v>
      </c>
      <c r="AJ200" s="28">
        <f t="shared" ca="1" si="9"/>
        <v>-27.981659529179979</v>
      </c>
      <c r="AK200" s="28">
        <f t="shared" ca="1" si="10"/>
        <v>-54.551003787402934</v>
      </c>
    </row>
    <row r="201" spans="1:37">
      <c r="A201" s="10">
        <f>IF(履歴データ!$A$201="","",履歴データ!$A$201)</f>
        <v>45217</v>
      </c>
      <c r="B201" s="28">
        <f>IF(履歴データ!$A$201="","",(履歴データ!$D$201-(履歴データ!$B$201+履歴データ!$F$201)/2)*100)</f>
        <v>-18.50000000000005</v>
      </c>
      <c r="C201" s="28">
        <f>IF(履歴データ!$A$201="","",(履歴データ!$H$201-(履歴データ!$G$201+履歴データ!$J$201)/2)*100)</f>
        <v>-10.749999999999993</v>
      </c>
      <c r="D201" s="28">
        <f>IF(履歴データ!$A$201="","",(履歴データ!$D$201-履歴データ!$H$201)*100)</f>
        <v>409.90000000000003</v>
      </c>
      <c r="E201" s="28">
        <f>IF(履歴データ!$A$201="","",(履歴データ!$D$201-履歴データ!$C$201)*100)</f>
        <v>-0.99999999999997868</v>
      </c>
      <c r="F201" s="28">
        <f>IF(履歴データ!$A$201="","",(履歴データ!$R$201-履歴データ!$D$201)*100)</f>
        <v>-230.80000000000004</v>
      </c>
      <c r="G201" s="28">
        <f>IF(履歴データ!$A$201="","",(履歴データ!$S$201-履歴データ!$R$201)*100)</f>
        <v>-187.18164282226576</v>
      </c>
      <c r="H201" s="29">
        <f>IF(履歴データ!$A$201="","",履歴データ!$O$201)</f>
        <v>149.74200439453125</v>
      </c>
      <c r="I201" s="29">
        <f>IF(履歴データ!$A$201="","",履歴データ!$Q$201)</f>
        <v>105.875</v>
      </c>
      <c r="J201" s="29">
        <f>IF(履歴データ!$A$201="","",履歴データ!$D$201)</f>
        <v>4.91</v>
      </c>
      <c r="K201" s="28">
        <f>IF(OR(履歴データ!$A$201="",履歴データ!$A$200=""),"",B201-B200)</f>
        <v>4.9999999999999822</v>
      </c>
      <c r="L201" s="28">
        <f>IF(OR(履歴データ!$A$201="",履歴データ!$A$200=""),"",C201-C200)</f>
        <v>1.2499999999999964</v>
      </c>
      <c r="M201" s="28">
        <f>IF(OR(履歴データ!$A$201="",履歴データ!$A$200=""),"",D201-D200)</f>
        <v>5.6000000000000227</v>
      </c>
      <c r="N201" s="28">
        <f>IF(OR(履歴データ!$A$201="",履歴データ!$A$200=""),"",E201-E200)</f>
        <v>2.0000000000000462</v>
      </c>
      <c r="O201" s="28">
        <f>IF(OR(履歴データ!$A$201="",履歴データ!$A$200=""),"",F201-F200)</f>
        <v>-1.9300000000000352</v>
      </c>
      <c r="P201" s="28">
        <f>IF(OR(履歴データ!$A$201="",履歴データ!$A$200=""),"",G201-G200)</f>
        <v>-1.5096428222657892</v>
      </c>
      <c r="Q201" s="29">
        <f>IF(OR(履歴データ!$A$201="",履歴データ!$A$200=""),"",H201-H200)</f>
        <v>-1.6998291015625E-2</v>
      </c>
      <c r="R201" s="29">
        <f>IF(OR(履歴データ!$A$201="",履歴データ!$A$200=""),"",I201-I200)</f>
        <v>-0.34375</v>
      </c>
      <c r="S201" s="28">
        <f>IF(OR(履歴データ!$A$201="",履歴データ!$A$200=""),"",(J201-J200)*100)</f>
        <v>8.0000000000000071</v>
      </c>
      <c r="T201" s="11">
        <f>IF(OR(履歴データ!$A$201="",履歴データ!$A$200=""),"",-80000*K201)</f>
        <v>-399999.9999999986</v>
      </c>
      <c r="U201" s="11">
        <f>IF(OR(履歴データ!$A$201="",履歴データ!$A$200=""),"",60000*L201)</f>
        <v>74999.999999999782</v>
      </c>
      <c r="V201" s="11">
        <f>IF(OR(履歴データ!$A$201="",履歴データ!$A$200=""),"",-50000*M201)</f>
        <v>-280000.00000000116</v>
      </c>
      <c r="W201" s="11">
        <f>IF(OR(履歴データ!$A$201="",履歴データ!$A$200=""),"",-40000*N201)</f>
        <v>-80000.000000001848</v>
      </c>
      <c r="X201" s="11">
        <f>IF(OR(履歴データ!$A$201="",履歴データ!$A$200=""),"",120*1000000*(-Q201/H200))</f>
        <v>13620.516198001224</v>
      </c>
      <c r="Y201" s="11">
        <f>IF(OR(履歴データ!$A$201="",履歴データ!$A$200=""),"",40000*(-S201)+(-506.3)*R201*1000)</f>
        <v>-145959.37500000029</v>
      </c>
      <c r="Z201" s="11">
        <f>IF(OR(履歴データ!$A$201="",履歴データ!$A$200=""),"",-40000*O201)</f>
        <v>77200.000000001412</v>
      </c>
      <c r="AA201" s="11">
        <f>IF(OR(履歴データ!$A$201="",履歴データ!$A$200=""),"",-40000*P201)</f>
        <v>60385.712890631563</v>
      </c>
      <c r="AB201" s="11">
        <f>IF(履歴データ!$A$201="","",123.3)</f>
        <v>123.3</v>
      </c>
      <c r="AC201">
        <f>IF(履歴データ!$A$201="","",SUM(T201:AA201))</f>
        <v>-679753.14591136808</v>
      </c>
      <c r="AD201" s="29">
        <f>IF(履歴データ!$A$201="","",AC201/1000000)</f>
        <v>-0.67975314591136804</v>
      </c>
      <c r="AE201" s="29">
        <f>IF(履歴データ!$A$201="",AE200,AE200+AC201/1000000)</f>
        <v>79.703240316559771</v>
      </c>
      <c r="AF201" s="12">
        <f>IF(OR(履歴データ!$A$201="",AE200=0),"",(AE201-AE200)/AE200)</f>
        <v>-8.4564298570035598E-3</v>
      </c>
      <c r="AG201" s="29">
        <f t="shared" si="11"/>
        <v>102.17217746631495</v>
      </c>
      <c r="AH201" s="12">
        <f>IF(OR(履歴データ!$A$201="",AG201=0),"",AE201/AG201-1)</f>
        <v>-0.21991248211542658</v>
      </c>
      <c r="AJ201" s="28">
        <f t="shared" ca="1" si="9"/>
        <v>-27.515719444473049</v>
      </c>
      <c r="AK201" s="28">
        <f t="shared" ca="1" si="10"/>
        <v>-54.789280555526958</v>
      </c>
    </row>
    <row r="202" spans="1:37">
      <c r="A202" s="10">
        <f>IF(履歴データ!$A$202="","",履歴データ!$A$202)</f>
        <v>45218</v>
      </c>
      <c r="B202" s="28">
        <f>IF(履歴データ!$A$202="","",(履歴データ!$D$202-(履歴データ!$B$202+履歴データ!$F$202)/2)*100)</f>
        <v>-14.499999999999957</v>
      </c>
      <c r="C202" s="28">
        <f>IF(履歴データ!$A$202="","",(履歴データ!$H$202-(履歴データ!$G$202+履歴データ!$J$202)/2)*100)</f>
        <v>-9.5500000000000025</v>
      </c>
      <c r="D202" s="28">
        <f>IF(履歴データ!$A$202="","",(履歴データ!$D$202-履歴データ!$H$202)*100)</f>
        <v>413.50000000000006</v>
      </c>
      <c r="E202" s="28">
        <f>IF(履歴データ!$A$202="","",(履歴データ!$D$202-履歴データ!$C$202)*100)</f>
        <v>3.0000000000000249</v>
      </c>
      <c r="F202" s="28">
        <f>IF(履歴データ!$A$202="","",(履歴データ!$R$202-履歴データ!$D$202)*100)</f>
        <v>-230.69000000000005</v>
      </c>
      <c r="G202" s="28">
        <f>IF(履歴データ!$A$202="","",(履歴データ!$S$202-履歴データ!$R$202)*100)</f>
        <v>-191.83600000000015</v>
      </c>
      <c r="H202" s="29">
        <f>IF(履歴データ!$A$202="","",履歴データ!$O$202)</f>
        <v>149.802001953125</v>
      </c>
      <c r="I202" s="29">
        <f>IF(履歴データ!$A$202="","",履歴データ!$Q$202)</f>
        <v>105.421875</v>
      </c>
      <c r="J202" s="29">
        <f>IF(履歴データ!$A$202="","",履歴データ!$D$202)</f>
        <v>4.9800000000000004</v>
      </c>
      <c r="K202" s="28">
        <f>IF(OR(履歴データ!$A$202="",履歴データ!$A$201=""),"",B202-B201)</f>
        <v>4.0000000000000924</v>
      </c>
      <c r="L202" s="28">
        <f>IF(OR(履歴データ!$A$202="",履歴データ!$A$201=""),"",C202-C201)</f>
        <v>1.1999999999999904</v>
      </c>
      <c r="M202" s="28">
        <f>IF(OR(履歴データ!$A$202="",履歴データ!$A$201=""),"",D202-D201)</f>
        <v>3.6000000000000227</v>
      </c>
      <c r="N202" s="28">
        <f>IF(OR(履歴データ!$A$202="",履歴データ!$A$201=""),"",E202-E201)</f>
        <v>4.0000000000000036</v>
      </c>
      <c r="O202" s="28">
        <f>IF(OR(履歴データ!$A$202="",履歴データ!$A$201=""),"",F202-F201)</f>
        <v>0.10999999999998522</v>
      </c>
      <c r="P202" s="28">
        <f>IF(OR(履歴データ!$A$202="",履歴データ!$A$201=""),"",G202-G201)</f>
        <v>-4.6543571777343971</v>
      </c>
      <c r="Q202" s="29">
        <f>IF(OR(履歴データ!$A$202="",履歴データ!$A$201=""),"",H202-H201)</f>
        <v>5.999755859375E-2</v>
      </c>
      <c r="R202" s="29">
        <f>IF(OR(履歴データ!$A$202="",履歴データ!$A$201=""),"",I202-I201)</f>
        <v>-0.453125</v>
      </c>
      <c r="S202" s="28">
        <f>IF(OR(履歴データ!$A$202="",履歴データ!$A$201=""),"",(J202-J201)*100)</f>
        <v>7.0000000000000284</v>
      </c>
      <c r="T202" s="11">
        <f>IF(OR(履歴データ!$A$202="",履歴データ!$A$201=""),"",-80000*K202)</f>
        <v>-320000.00000000739</v>
      </c>
      <c r="U202" s="11">
        <f>IF(OR(履歴データ!$A$202="",履歴データ!$A$201=""),"",60000*L202)</f>
        <v>71999.999999999418</v>
      </c>
      <c r="V202" s="11">
        <f>IF(OR(履歴データ!$A$202="",履歴データ!$A$201=""),"",-50000*M202)</f>
        <v>-180000.00000000114</v>
      </c>
      <c r="W202" s="11">
        <f>IF(OR(履歴データ!$A$202="",履歴データ!$A$201=""),"",-40000*N202)</f>
        <v>-160000.00000000015</v>
      </c>
      <c r="X202" s="11">
        <f>IF(OR(履歴データ!$A$202="",履歴データ!$A$201=""),"",120*1000000*(-Q202/H201))</f>
        <v>-48080.7443466607</v>
      </c>
      <c r="Y202" s="11">
        <f>IF(OR(履歴データ!$A$202="",履歴データ!$A$201=""),"",40000*(-S202)+(-506.3)*R202*1000)</f>
        <v>-50582.812500001164</v>
      </c>
      <c r="Z202" s="11">
        <f>IF(OR(履歴データ!$A$202="",履歴データ!$A$201=""),"",-40000*O202)</f>
        <v>-4399.9999999994088</v>
      </c>
      <c r="AA202" s="11">
        <f>IF(OR(履歴データ!$A$202="",履歴データ!$A$201=""),"",-40000*P202)</f>
        <v>186174.28710937587</v>
      </c>
      <c r="AB202" s="11">
        <f>IF(履歴データ!$A$202="","",123.3)</f>
        <v>123.3</v>
      </c>
      <c r="AC202">
        <f>IF(履歴データ!$A$202="","",SUM(T202:AA202))</f>
        <v>-504889.26973729458</v>
      </c>
      <c r="AD202" s="29">
        <f>IF(履歴データ!$A$202="","",AC202/1000000)</f>
        <v>-0.50488926973729453</v>
      </c>
      <c r="AE202" s="29">
        <f>IF(履歴データ!$A$202="",AE201,AE201+AC202/1000000)</f>
        <v>79.198351046822481</v>
      </c>
      <c r="AF202" s="12">
        <f>IF(OR(履歴データ!$A$202="",AE201=0),"",(AE202-AE201)/AE201)</f>
        <v>-6.3346140976452987E-3</v>
      </c>
      <c r="AG202" s="29">
        <f t="shared" si="11"/>
        <v>102.17217746631495</v>
      </c>
      <c r="AH202" s="12">
        <f>IF(OR(履歴データ!$A$202="",AG202=0),"",AE202/AG202-1)</f>
        <v>-0.22485403550361538</v>
      </c>
      <c r="AJ202" s="28">
        <f t="shared" ca="1" si="9"/>
        <v>-26.907196718285768</v>
      </c>
      <c r="AK202" s="28">
        <f t="shared" ca="1" si="10"/>
        <v>-55.132604276739109</v>
      </c>
    </row>
    <row r="203" spans="1:37">
      <c r="A203" s="10">
        <f>IF(履歴データ!$A$203="","",履歴データ!$A$203)</f>
        <v>45219</v>
      </c>
      <c r="B203" s="28">
        <f>IF(履歴データ!$A$203="","",(履歴データ!$D$203-(履歴データ!$B$203+履歴データ!$F$203)/2)*100)</f>
        <v>-15.000000000000036</v>
      </c>
      <c r="C203" s="28">
        <f>IF(履歴データ!$A$203="","",(履歴データ!$H$203-(履歴データ!$G$203+履歴データ!$J$203)/2)*100)</f>
        <v>-10.499999999999998</v>
      </c>
      <c r="D203" s="28">
        <f>IF(履歴データ!$A$203="","",(履歴データ!$D$203-履歴データ!$H$203)*100)</f>
        <v>408.9</v>
      </c>
      <c r="E203" s="28">
        <f>IF(履歴データ!$A$203="","",(履歴データ!$D$203-履歴データ!$C$203)*100)</f>
        <v>6.9999999999999396</v>
      </c>
      <c r="F203" s="28">
        <f>IF(履歴データ!$A$203="","",(履歴データ!$R$203-履歴データ!$D$203)*100)</f>
        <v>-234.20999999999998</v>
      </c>
      <c r="G203" s="28">
        <f>IF(履歴データ!$A$203="","",(履歴データ!$S$203-履歴データ!$R$203)*100)</f>
        <v>-179.80800000000011</v>
      </c>
      <c r="H203" s="29">
        <f>IF(履歴データ!$A$203="","",履歴データ!$O$203)</f>
        <v>149.802001953125</v>
      </c>
      <c r="I203" s="29">
        <f>IF(履歴データ!$A$203="","",履歴データ!$Q$203)</f>
        <v>106</v>
      </c>
      <c r="J203" s="29">
        <f>IF(履歴データ!$A$203="","",履歴データ!$D$203)</f>
        <v>4.93</v>
      </c>
      <c r="K203" s="28">
        <f>IF(OR(履歴データ!$A$203="",履歴データ!$A$202=""),"",B203-B202)</f>
        <v>-0.50000000000007816</v>
      </c>
      <c r="L203" s="28">
        <f>IF(OR(履歴データ!$A$203="",履歴データ!$A$202=""),"",C203-C202)</f>
        <v>-0.94999999999999574</v>
      </c>
      <c r="M203" s="28">
        <f>IF(OR(履歴データ!$A$203="",履歴データ!$A$202=""),"",D203-D202)</f>
        <v>-4.6000000000000796</v>
      </c>
      <c r="N203" s="28">
        <f>IF(OR(履歴データ!$A$203="",履歴データ!$A$202=""),"",E203-E202)</f>
        <v>3.9999999999999147</v>
      </c>
      <c r="O203" s="28">
        <f>IF(OR(履歴データ!$A$203="",履歴データ!$A$202=""),"",F203-F202)</f>
        <v>-3.519999999999925</v>
      </c>
      <c r="P203" s="28">
        <f>IF(OR(履歴データ!$A$203="",履歴データ!$A$202=""),"",G203-G202)</f>
        <v>12.028000000000048</v>
      </c>
      <c r="Q203" s="29">
        <f>IF(OR(履歴データ!$A$203="",履歴データ!$A$202=""),"",H203-H202)</f>
        <v>0</v>
      </c>
      <c r="R203" s="29">
        <f>IF(OR(履歴データ!$A$203="",履歴データ!$A$202=""),"",I203-I202)</f>
        <v>0.578125</v>
      </c>
      <c r="S203" s="28">
        <f>IF(OR(履歴データ!$A$203="",履歴データ!$A$202=""),"",(J203-J202)*100)</f>
        <v>-5.0000000000000711</v>
      </c>
      <c r="T203" s="11">
        <f>IF(OR(履歴データ!$A$203="",履歴データ!$A$202=""),"",-80000*K203)</f>
        <v>40000.00000000625</v>
      </c>
      <c r="U203" s="11">
        <f>IF(OR(履歴データ!$A$203="",履歴データ!$A$202=""),"",60000*L203)</f>
        <v>-56999.999999999745</v>
      </c>
      <c r="V203" s="11">
        <f>IF(OR(履歴データ!$A$203="",履歴データ!$A$202=""),"",-50000*M203)</f>
        <v>230000.00000000399</v>
      </c>
      <c r="W203" s="11">
        <f>IF(OR(履歴データ!$A$203="",履歴データ!$A$202=""),"",-40000*N203)</f>
        <v>-159999.99999999659</v>
      </c>
      <c r="X203" s="11">
        <f>IF(OR(履歴データ!$A$203="",履歴データ!$A$202=""),"",120*1000000*(-Q203/H202))</f>
        <v>0</v>
      </c>
      <c r="Y203" s="11">
        <f>IF(OR(履歴データ!$A$203="",履歴データ!$A$202=""),"",40000*(-S203)+(-506.3)*R203*1000)</f>
        <v>-92704.687499997206</v>
      </c>
      <c r="Z203" s="11">
        <f>IF(OR(履歴データ!$A$203="",履歴データ!$A$202=""),"",-40000*O203)</f>
        <v>140799.999999997</v>
      </c>
      <c r="AA203" s="11">
        <f>IF(OR(履歴データ!$A$203="",履歴データ!$A$202=""),"",-40000*P203)</f>
        <v>-481120.00000000192</v>
      </c>
      <c r="AB203" s="11">
        <f>IF(履歴データ!$A$203="","",123.3)</f>
        <v>123.3</v>
      </c>
      <c r="AC203">
        <f>IF(履歴データ!$A$203="","",SUM(T203:AA203))</f>
        <v>-380024.68749998824</v>
      </c>
      <c r="AD203" s="29">
        <f>IF(履歴データ!$A$203="","",AC203/1000000)</f>
        <v>-0.38002468749998825</v>
      </c>
      <c r="AE203" s="29">
        <f>IF(履歴データ!$A$203="",AE202,AE202+AC203/1000000)</f>
        <v>78.818326359322498</v>
      </c>
      <c r="AF203" s="12">
        <f>IF(OR(履歴データ!$A$203="",AE202=0),"",(AE203-AE202)/AE202)</f>
        <v>-4.7983914119033898E-3</v>
      </c>
      <c r="AG203" s="29">
        <f t="shared" si="11"/>
        <v>102.17217746631495</v>
      </c>
      <c r="AH203" s="12">
        <f>IF(OR(履歴データ!$A$203="",AG203=0),"",AE203/AG203-1)</f>
        <v>-0.22857348924262633</v>
      </c>
      <c r="AJ203" s="28">
        <f t="shared" ca="1" si="9"/>
        <v>-26.345156398498631</v>
      </c>
      <c r="AK203" s="28">
        <f t="shared" ca="1" si="10"/>
        <v>-55.437021819323149</v>
      </c>
    </row>
    <row r="204" spans="1:37">
      <c r="A204" s="10">
        <f>IF(履歴データ!$A$204="","",履歴データ!$A$204)</f>
        <v>45222</v>
      </c>
      <c r="B204" s="28">
        <f>IF(履歴データ!$A$204="","",(履歴データ!$D$204-(履歴データ!$B$204+履歴データ!$F$204)/2)*100)</f>
        <v>-16.999999999999904</v>
      </c>
      <c r="C204" s="28">
        <f>IF(履歴データ!$A$204="","",(履歴データ!$H$204-(履歴データ!$G$204+履歴データ!$J$204)/2)*100)</f>
        <v>-11.250000000000004</v>
      </c>
      <c r="D204" s="28">
        <f>IF(履歴データ!$A$204="","",(履歴データ!$D$204-履歴データ!$H$204)*100)</f>
        <v>399.5</v>
      </c>
      <c r="E204" s="28">
        <f>IF(履歴データ!$A$204="","",(履歴データ!$D$204-履歴データ!$C$204)*100)</f>
        <v>5.0000000000000711</v>
      </c>
      <c r="F204" s="28">
        <f>IF(履歴データ!$A$204="","",(履歴データ!$R$204-履歴データ!$D$204)*100)</f>
        <v>-232.33</v>
      </c>
      <c r="G204" s="28">
        <f>IF(履歴データ!$A$204="","",(履歴データ!$S$204-履歴データ!$R$204)*100)</f>
        <v>-172.93400000000011</v>
      </c>
      <c r="H204" s="29">
        <f>IF(履歴データ!$A$204="","",履歴データ!$O$204)</f>
        <v>149.76899719238281</v>
      </c>
      <c r="I204" s="29">
        <f>IF(履歴データ!$A$204="","",履歴データ!$Q$204)</f>
        <v>106.484375</v>
      </c>
      <c r="J204" s="29">
        <f>IF(履歴データ!$A$204="","",履歴データ!$D$204)</f>
        <v>4.8600000000000003</v>
      </c>
      <c r="K204" s="28">
        <f>IF(OR(履歴データ!$A$204="",履歴データ!$A$203=""),"",B204-B203)</f>
        <v>-1.9999999999998685</v>
      </c>
      <c r="L204" s="28">
        <f>IF(OR(履歴データ!$A$204="",履歴データ!$A$203=""),"",C204-C203)</f>
        <v>-0.75000000000000533</v>
      </c>
      <c r="M204" s="28">
        <f>IF(OR(履歴データ!$A$204="",履歴データ!$A$203=""),"",D204-D203)</f>
        <v>-9.3999999999999773</v>
      </c>
      <c r="N204" s="28">
        <f>IF(OR(履歴データ!$A$204="",履歴データ!$A$203=""),"",E204-E203)</f>
        <v>-1.9999999999998685</v>
      </c>
      <c r="O204" s="28">
        <f>IF(OR(履歴データ!$A$204="",履歴データ!$A$203=""),"",F204-F203)</f>
        <v>1.879999999999967</v>
      </c>
      <c r="P204" s="28">
        <f>IF(OR(履歴データ!$A$204="",履歴データ!$A$203=""),"",G204-G203)</f>
        <v>6.8739999999999952</v>
      </c>
      <c r="Q204" s="29">
        <f>IF(OR(履歴データ!$A$204="",履歴データ!$A$203=""),"",H204-H203)</f>
        <v>-3.30047607421875E-2</v>
      </c>
      <c r="R204" s="29">
        <f>IF(OR(履歴データ!$A$204="",履歴データ!$A$203=""),"",I204-I203)</f>
        <v>0.484375</v>
      </c>
      <c r="S204" s="28">
        <f>IF(OR(履歴データ!$A$204="",履歴データ!$A$203=""),"",(J204-J203)*100)</f>
        <v>-6.9999999999999396</v>
      </c>
      <c r="T204" s="11">
        <f>IF(OR(履歴データ!$A$204="",履歴データ!$A$203=""),"",-80000*K204)</f>
        <v>159999.99999998949</v>
      </c>
      <c r="U204" s="11">
        <f>IF(OR(履歴データ!$A$204="",履歴データ!$A$203=""),"",60000*L204)</f>
        <v>-45000.00000000032</v>
      </c>
      <c r="V204" s="11">
        <f>IF(OR(履歴データ!$A$204="",履歴データ!$A$203=""),"",-50000*M204)</f>
        <v>469999.99999999884</v>
      </c>
      <c r="W204" s="11">
        <f>IF(OR(履歴データ!$A$204="",履歴データ!$A$203=""),"",-40000*N204)</f>
        <v>79999.999999994747</v>
      </c>
      <c r="X204" s="11">
        <f>IF(OR(履歴データ!$A$204="",履歴データ!$A$203=""),"",120*1000000*(-Q204/H203))</f>
        <v>26438.707343189009</v>
      </c>
      <c r="Y204" s="11">
        <f>IF(OR(履歴データ!$A$204="",履歴データ!$A$203=""),"",40000*(-S204)+(-506.3)*R204*1000)</f>
        <v>34760.937499997526</v>
      </c>
      <c r="Z204" s="11">
        <f>IF(OR(履歴データ!$A$204="",履歴データ!$A$203=""),"",-40000*O204)</f>
        <v>-75199.999999998676</v>
      </c>
      <c r="AA204" s="11">
        <f>IF(OR(履歴データ!$A$204="",履歴データ!$A$203=""),"",-40000*P204)</f>
        <v>-274959.99999999983</v>
      </c>
      <c r="AB204" s="11">
        <f>IF(履歴データ!$A$204="","",123.3)</f>
        <v>123.3</v>
      </c>
      <c r="AC204">
        <f>IF(履歴データ!$A$204="","",SUM(T204:AA204))</f>
        <v>376039.64484317083</v>
      </c>
      <c r="AD204" s="29">
        <f>IF(履歴データ!$A$204="","",AC204/1000000)</f>
        <v>0.37603964484317082</v>
      </c>
      <c r="AE204" s="29">
        <f>IF(履歴データ!$A$204="",AE203,AE203+AC204/1000000)</f>
        <v>79.194366004165673</v>
      </c>
      <c r="AF204" s="12">
        <f>IF(OR(履歴データ!$A$204="",AE203=0),"",(AE204-AE203)/AE203)</f>
        <v>4.7709671368668634E-3</v>
      </c>
      <c r="AG204" s="29">
        <f t="shared" si="11"/>
        <v>102.17217746631495</v>
      </c>
      <c r="AH204" s="12">
        <f>IF(OR(履歴データ!$A$204="",AG204=0),"",AE204/AG204-1)</f>
        <v>-0.22489303871129507</v>
      </c>
      <c r="AJ204" s="28">
        <f t="shared" ca="1" si="9"/>
        <v>-25.880995239978247</v>
      </c>
      <c r="AK204" s="28">
        <f t="shared" ca="1" si="10"/>
        <v>-55.665802789578407</v>
      </c>
    </row>
    <row r="205" spans="1:37">
      <c r="A205" s="10">
        <f>IF(履歴データ!$A$205="","",履歴データ!$A$205)</f>
        <v>45223</v>
      </c>
      <c r="B205" s="28">
        <f>IF(履歴データ!$A$205="","",(履歴データ!$D$205-(履歴データ!$B$205+履歴データ!$F$205)/2)*100)</f>
        <v>-16.000000000000014</v>
      </c>
      <c r="C205" s="28">
        <f>IF(履歴データ!$A$205="","",(履歴データ!$H$205-(履歴データ!$G$205+履歴データ!$J$205)/2)*100)</f>
        <v>-11.850000000000005</v>
      </c>
      <c r="D205" s="28">
        <f>IF(履歴データ!$A$205="","",(履歴データ!$D$205-履歴データ!$H$205)*100)</f>
        <v>398.4</v>
      </c>
      <c r="E205" s="28">
        <f>IF(履歴データ!$A$205="","",(履歴データ!$D$205-履歴データ!$C$205)*100)</f>
        <v>0.99999999999997868</v>
      </c>
      <c r="F205" s="28">
        <f>IF(履歴データ!$A$205="","",(履歴データ!$R$205-履歴データ!$D$205)*100)</f>
        <v>-231.35</v>
      </c>
      <c r="G205" s="28">
        <f>IF(履歴データ!$A$205="","",(履歴データ!$S$205-履歴データ!$R$205)*100)</f>
        <v>-169.33535717773469</v>
      </c>
      <c r="H205" s="29">
        <f>IF(履歴データ!$A$205="","",履歴データ!$O$205)</f>
        <v>149.85400390625</v>
      </c>
      <c r="I205" s="29">
        <f>IF(履歴データ!$A$205="","",履歴データ!$Q$205)</f>
        <v>106.359375</v>
      </c>
      <c r="J205" s="29">
        <f>IF(履歴データ!$A$205="","",履歴データ!$D$205)</f>
        <v>4.83</v>
      </c>
      <c r="K205" s="28">
        <f>IF(OR(履歴データ!$A$205="",履歴データ!$A$204=""),"",B205-B204)</f>
        <v>0.99999999999988987</v>
      </c>
      <c r="L205" s="28">
        <f>IF(OR(履歴データ!$A$205="",履歴データ!$A$204=""),"",C205-C204)</f>
        <v>-0.60000000000000142</v>
      </c>
      <c r="M205" s="28">
        <f>IF(OR(履歴データ!$A$205="",履歴データ!$A$204=""),"",D205-D204)</f>
        <v>-1.1000000000000227</v>
      </c>
      <c r="N205" s="28">
        <f>IF(OR(履歴データ!$A$205="",履歴データ!$A$204=""),"",E205-E204)</f>
        <v>-4.0000000000000924</v>
      </c>
      <c r="O205" s="28">
        <f>IF(OR(履歴データ!$A$205="",履歴データ!$A$204=""),"",F205-F204)</f>
        <v>0.98000000000001819</v>
      </c>
      <c r="P205" s="28">
        <f>IF(OR(履歴データ!$A$205="",履歴データ!$A$204=""),"",G205-G204)</f>
        <v>3.5986428222654183</v>
      </c>
      <c r="Q205" s="29">
        <f>IF(OR(履歴データ!$A$205="",履歴データ!$A$204=""),"",H205-H204)</f>
        <v>8.50067138671875E-2</v>
      </c>
      <c r="R205" s="29">
        <f>IF(OR(履歴データ!$A$205="",履歴データ!$A$204=""),"",I205-I204)</f>
        <v>-0.125</v>
      </c>
      <c r="S205" s="28">
        <f>IF(OR(履歴データ!$A$205="",履歴データ!$A$204=""),"",(J205-J204)*100)</f>
        <v>-3.0000000000000249</v>
      </c>
      <c r="T205" s="11">
        <f>IF(OR(履歴データ!$A$205="",履歴データ!$A$204=""),"",-80000*K205)</f>
        <v>-79999.999999991196</v>
      </c>
      <c r="U205" s="11">
        <f>IF(OR(履歴データ!$A$205="",履歴データ!$A$204=""),"",60000*L205)</f>
        <v>-36000.000000000087</v>
      </c>
      <c r="V205" s="11">
        <f>IF(OR(履歴データ!$A$205="",履歴データ!$A$204=""),"",-50000*M205)</f>
        <v>55000.000000001135</v>
      </c>
      <c r="W205" s="11">
        <f>IF(OR(履歴データ!$A$205="",履歴データ!$A$204=""),"",-40000*N205)</f>
        <v>160000.0000000037</v>
      </c>
      <c r="X205" s="11">
        <f>IF(OR(履歴データ!$A$205="",履歴データ!$A$204=""),"",120*1000000*(-Q205/H204))</f>
        <v>-68110.262172345698</v>
      </c>
      <c r="Y205" s="11">
        <f>IF(OR(履歴データ!$A$205="",履歴データ!$A$204=""),"",40000*(-S205)+(-506.3)*R205*1000)</f>
        <v>183287.50000000099</v>
      </c>
      <c r="Z205" s="11">
        <f>IF(OR(履歴データ!$A$205="",履歴データ!$A$204=""),"",-40000*O205)</f>
        <v>-39200.000000000728</v>
      </c>
      <c r="AA205" s="11">
        <f>IF(OR(履歴データ!$A$205="",履歴データ!$A$204=""),"",-40000*P205)</f>
        <v>-143945.71289061673</v>
      </c>
      <c r="AB205" s="11">
        <f>IF(履歴データ!$A$205="","",123.3)</f>
        <v>123.3</v>
      </c>
      <c r="AC205">
        <f>IF(履歴データ!$A$205="","",SUM(T205:AA205))</f>
        <v>31031.524937051377</v>
      </c>
      <c r="AD205" s="29">
        <f>IF(履歴データ!$A$205="","",AC205/1000000)</f>
        <v>3.1031524937051379E-2</v>
      </c>
      <c r="AE205" s="29">
        <f>IF(履歴データ!$A$205="",AE204,AE204+AC205/1000000)</f>
        <v>79.225397529102722</v>
      </c>
      <c r="AF205" s="12">
        <f>IF(OR(履歴データ!$A$205="",AE204=0),"",(AE205-AE204)/AE204)</f>
        <v>3.9184005760481362E-4</v>
      </c>
      <c r="AG205" s="29">
        <f t="shared" si="11"/>
        <v>102.17217746631495</v>
      </c>
      <c r="AH205" s="12">
        <f>IF(OR(履歴データ!$A$205="",AG205=0),"",AE205/AG205-1)</f>
        <v>-0.22458932075493376</v>
      </c>
      <c r="AJ205" s="28">
        <f t="shared" ca="1" si="9"/>
        <v>-25.39663677418806</v>
      </c>
      <c r="AK205" s="28">
        <f t="shared" ca="1" si="10"/>
        <v>-55.907284794439384</v>
      </c>
    </row>
    <row r="206" spans="1:37">
      <c r="A206" s="10">
        <f>IF(履歴データ!$A$206="","",履歴データ!$A$206)</f>
        <v>45224</v>
      </c>
      <c r="B206" s="28">
        <f>IF(履歴データ!$A$206="","",(履歴データ!$D$206-(履歴データ!$B$206+履歴データ!$F$206)/2)*100)</f>
        <v>-13.499999999999979</v>
      </c>
      <c r="C206" s="28">
        <f>IF(履歴データ!$A$206="","",(履歴データ!$H$206-(履歴データ!$G$206+履歴データ!$J$206)/2)*100)</f>
        <v>-9.5500000000000025</v>
      </c>
      <c r="D206" s="28">
        <f>IF(履歴データ!$A$206="","",(履歴データ!$D$206-履歴データ!$H$206)*100)</f>
        <v>409.40000000000003</v>
      </c>
      <c r="E206" s="28">
        <f>IF(履歴データ!$A$206="","",(履歴データ!$D$206-履歴データ!$C$206)*100)</f>
        <v>6.0000000000000497</v>
      </c>
      <c r="F206" s="28">
        <f>IF(履歴データ!$A$206="","",(履歴データ!$R$206-履歴データ!$D$206)*100)</f>
        <v>-245.59000000000003</v>
      </c>
      <c r="G206" s="28">
        <f>IF(履歴データ!$A$206="","",(履歴データ!$S$206-履歴データ!$R$206)*100)</f>
        <v>-168.67400000000009</v>
      </c>
      <c r="H206" s="29">
        <f>IF(履歴データ!$A$206="","",履歴データ!$O$206)</f>
        <v>150.09800720214844</v>
      </c>
      <c r="I206" s="29">
        <f>IF(履歴データ!$A$206="","",履歴データ!$Q$206)</f>
        <v>105.671875</v>
      </c>
      <c r="J206" s="29">
        <f>IF(履歴データ!$A$206="","",履歴データ!$D$206)</f>
        <v>4.95</v>
      </c>
      <c r="K206" s="28">
        <f>IF(OR(履歴データ!$A$206="",履歴データ!$A$205=""),"",B206-B205)</f>
        <v>2.5000000000000355</v>
      </c>
      <c r="L206" s="28">
        <f>IF(OR(履歴データ!$A$206="",履歴データ!$A$205=""),"",C206-C205)</f>
        <v>2.3000000000000025</v>
      </c>
      <c r="M206" s="28">
        <f>IF(OR(履歴データ!$A$206="",履歴データ!$A$205=""),"",D206-D205)</f>
        <v>11.000000000000057</v>
      </c>
      <c r="N206" s="28">
        <f>IF(OR(履歴データ!$A$206="",履歴データ!$A$205=""),"",E206-E205)</f>
        <v>5.0000000000000711</v>
      </c>
      <c r="O206" s="28">
        <f>IF(OR(履歴データ!$A$206="",履歴データ!$A$205=""),"",F206-F205)</f>
        <v>-14.240000000000038</v>
      </c>
      <c r="P206" s="28">
        <f>IF(OR(履歴データ!$A$206="",履歴データ!$A$205=""),"",G206-G205)</f>
        <v>0.66135717773460101</v>
      </c>
      <c r="Q206" s="29">
        <f>IF(OR(履歴データ!$A$206="",履歴データ!$A$205=""),"",H206-H205)</f>
        <v>0.2440032958984375</v>
      </c>
      <c r="R206" s="29">
        <f>IF(OR(履歴データ!$A$206="",履歴データ!$A$205=""),"",I206-I205)</f>
        <v>-0.6875</v>
      </c>
      <c r="S206" s="28">
        <f>IF(OR(履歴データ!$A$206="",履歴データ!$A$205=""),"",(J206-J205)*100)</f>
        <v>12.000000000000011</v>
      </c>
      <c r="T206" s="11">
        <f>IF(OR(履歴データ!$A$206="",履歴データ!$A$205=""),"",-80000*K206)</f>
        <v>-200000.00000000285</v>
      </c>
      <c r="U206" s="11">
        <f>IF(OR(履歴データ!$A$206="",履歴データ!$A$205=""),"",60000*L206)</f>
        <v>138000.00000000015</v>
      </c>
      <c r="V206" s="11">
        <f>IF(OR(履歴データ!$A$206="",履歴データ!$A$205=""),"",-50000*M206)</f>
        <v>-550000.00000000279</v>
      </c>
      <c r="W206" s="11">
        <f>IF(OR(履歴データ!$A$206="",履歴データ!$A$205=""),"",-40000*N206)</f>
        <v>-200000.00000000285</v>
      </c>
      <c r="X206" s="11">
        <f>IF(OR(履歴データ!$A$206="",履歴データ!$A$205=""),"",120*1000000*(-Q206/H205))</f>
        <v>-195392.81396932562</v>
      </c>
      <c r="Y206" s="11">
        <f>IF(OR(履歴データ!$A$206="",履歴データ!$A$205=""),"",40000*(-S206)+(-506.3)*R206*1000)</f>
        <v>-131918.75000000041</v>
      </c>
      <c r="Z206" s="11">
        <f>IF(OR(履歴データ!$A$206="",履歴データ!$A$205=""),"",-40000*O206)</f>
        <v>569600.00000000151</v>
      </c>
      <c r="AA206" s="11">
        <f>IF(OR(履歴データ!$A$206="",履歴データ!$A$205=""),"",-40000*P206)</f>
        <v>-26454.28710938404</v>
      </c>
      <c r="AB206" s="11">
        <f>IF(履歴データ!$A$206="","",123.3)</f>
        <v>123.3</v>
      </c>
      <c r="AC206">
        <f>IF(履歴データ!$A$206="","",SUM(T206:AA206))</f>
        <v>-596165.85107871692</v>
      </c>
      <c r="AD206" s="29">
        <f>IF(履歴データ!$A$206="","",AC206/1000000)</f>
        <v>-0.59616585107871689</v>
      </c>
      <c r="AE206" s="29">
        <f>IF(履歴データ!$A$206="",AE205,AE205+AC206/1000000)</f>
        <v>78.629231678023999</v>
      </c>
      <c r="AF206" s="12">
        <f>IF(OR(履歴データ!$A$206="",AE205=0),"",(AE206-AE205)/AE205)</f>
        <v>-7.5249335399008516E-3</v>
      </c>
      <c r="AG206" s="29">
        <f t="shared" si="11"/>
        <v>102.17217746631495</v>
      </c>
      <c r="AH206" s="12">
        <f>IF(OR(履歴データ!$A$206="",AG206=0),"",AE206/AG206-1)</f>
        <v>-0.23042423458238226</v>
      </c>
      <c r="AJ206" s="28">
        <f t="shared" ca="1" si="9"/>
        <v>-24.836111483954454</v>
      </c>
      <c r="AK206" s="28">
        <f t="shared" ca="1" si="10"/>
        <v>-56.202912906289441</v>
      </c>
    </row>
    <row r="207" spans="1:37">
      <c r="A207" s="10">
        <f>IF(履歴データ!$A$207="","",履歴データ!$A$207)</f>
        <v>45225</v>
      </c>
      <c r="B207" s="28">
        <f>IF(履歴データ!$A$207="","",(履歴データ!$D$207-(履歴データ!$B$207+履歴データ!$F$207)/2)*100)</f>
        <v>-15.499999999999936</v>
      </c>
      <c r="C207" s="28">
        <f>IF(履歴データ!$A$207="","",(履歴データ!$H$207-(履歴データ!$G$207+履歴データ!$J$207)/2)*100)</f>
        <v>-8.4500000000000028</v>
      </c>
      <c r="D207" s="28">
        <f>IF(履歴データ!$A$207="","",(履歴データ!$D$207-履歴データ!$H$207)*100)</f>
        <v>397.6</v>
      </c>
      <c r="E207" s="28">
        <f>IF(履歴データ!$A$207="","",(履歴データ!$D$207-履歴データ!$C$207)*100)</f>
        <v>7.0000000000000284</v>
      </c>
      <c r="F207" s="28">
        <f>IF(履歴データ!$A$207="","",(履歴データ!$R$207-履歴データ!$D$207)*100)</f>
        <v>-233.00000000000006</v>
      </c>
      <c r="G207" s="28">
        <f>IF(履歴データ!$A$207="","",(履歴データ!$S$207-履歴データ!$R$207)*100)</f>
        <v>-169.98382141113296</v>
      </c>
      <c r="H207" s="29">
        <f>IF(履歴データ!$A$207="","",履歴データ!$O$207)</f>
        <v>150.36599731445313</v>
      </c>
      <c r="I207" s="29">
        <f>IF(履歴データ!$A$207="","",履歴データ!$Q$207)</f>
        <v>106.34375</v>
      </c>
      <c r="J207" s="29">
        <f>IF(履歴データ!$A$207="","",履歴データ!$D$207)</f>
        <v>4.8600000000000003</v>
      </c>
      <c r="K207" s="28">
        <f>IF(OR(履歴データ!$A$207="",履歴データ!$A$206=""),"",B207-B206)</f>
        <v>-1.9999999999999574</v>
      </c>
      <c r="L207" s="28">
        <f>IF(OR(履歴データ!$A$207="",履歴データ!$A$206=""),"",C207-C206)</f>
        <v>1.0999999999999996</v>
      </c>
      <c r="M207" s="28">
        <f>IF(OR(履歴データ!$A$207="",履歴データ!$A$206=""),"",D207-D206)</f>
        <v>-11.800000000000011</v>
      </c>
      <c r="N207" s="28">
        <f>IF(OR(履歴データ!$A$207="",履歴データ!$A$206=""),"",E207-E206)</f>
        <v>0.99999999999997868</v>
      </c>
      <c r="O207" s="28">
        <f>IF(OR(履歴データ!$A$207="",履歴データ!$A$206=""),"",F207-F206)</f>
        <v>12.589999999999975</v>
      </c>
      <c r="P207" s="28">
        <f>IF(OR(履歴データ!$A$207="",履歴データ!$A$206=""),"",G207-G206)</f>
        <v>-1.309821411132873</v>
      </c>
      <c r="Q207" s="29">
        <f>IF(OR(履歴データ!$A$207="",履歴データ!$A$206=""),"",H207-H206)</f>
        <v>0.2679901123046875</v>
      </c>
      <c r="R207" s="29">
        <f>IF(OR(履歴データ!$A$207="",履歴データ!$A$206=""),"",I207-I206)</f>
        <v>0.671875</v>
      </c>
      <c r="S207" s="28">
        <f>IF(OR(履歴データ!$A$207="",履歴データ!$A$206=""),"",(J207-J206)*100)</f>
        <v>-8.9999999999999858</v>
      </c>
      <c r="T207" s="11">
        <f>IF(OR(履歴データ!$A$207="",履歴データ!$A$206=""),"",-80000*K207)</f>
        <v>159999.99999999659</v>
      </c>
      <c r="U207" s="11">
        <f>IF(OR(履歴データ!$A$207="",履歴データ!$A$206=""),"",60000*L207)</f>
        <v>65999.999999999985</v>
      </c>
      <c r="V207" s="11">
        <f>IF(OR(履歴データ!$A$207="",履歴データ!$A$206=""),"",-50000*M207)</f>
        <v>590000.00000000058</v>
      </c>
      <c r="W207" s="11">
        <f>IF(OR(履歴データ!$A$207="",履歴データ!$A$206=""),"",-40000*N207)</f>
        <v>-39999.999999999149</v>
      </c>
      <c r="X207" s="11">
        <f>IF(OR(履歴データ!$A$207="",履歴データ!$A$206=""),"",120*1000000*(-Q207/H206))</f>
        <v>-214252.1015169227</v>
      </c>
      <c r="Y207" s="11">
        <f>IF(OR(履歴データ!$A$207="",履歴データ!$A$206=""),"",40000*(-S207)+(-506.3)*R207*1000)</f>
        <v>19829.687499999418</v>
      </c>
      <c r="Z207" s="11">
        <f>IF(OR(履歴データ!$A$207="",履歴データ!$A$206=""),"",-40000*O207)</f>
        <v>-503599.99999999901</v>
      </c>
      <c r="AA207" s="11">
        <f>IF(OR(履歴データ!$A$207="",履歴データ!$A$206=""),"",-40000*P207)</f>
        <v>52392.856445314916</v>
      </c>
      <c r="AB207" s="11">
        <f>IF(履歴データ!$A$207="","",123.3)</f>
        <v>123.3</v>
      </c>
      <c r="AC207">
        <f>IF(履歴データ!$A$207="","",SUM(T207:AA207))</f>
        <v>130370.44242839064</v>
      </c>
      <c r="AD207" s="29">
        <f>IF(履歴データ!$A$207="","",AC207/1000000)</f>
        <v>0.13037044242839063</v>
      </c>
      <c r="AE207" s="29">
        <f>IF(履歴データ!$A$207="",AE206,AE206+AC207/1000000)</f>
        <v>78.759602120452385</v>
      </c>
      <c r="AF207" s="12">
        <f>IF(OR(履歴データ!$A$207="",AE206=0),"",(AE207-AE206)/AE206)</f>
        <v>1.6580403959971996E-3</v>
      </c>
      <c r="AG207" s="29">
        <f t="shared" si="11"/>
        <v>102.17217746631495</v>
      </c>
      <c r="AH207" s="12">
        <f>IF(OR(履歴データ!$A$207="",AG207=0),"",AE207/AG207-1)</f>
        <v>-0.22914824687553947</v>
      </c>
      <c r="AJ207" s="28">
        <f t="shared" ca="1" si="9"/>
        <v>-24.369206690138849</v>
      </c>
      <c r="AK207" s="28">
        <f t="shared" ca="1" si="10"/>
        <v>-56.426909814715515</v>
      </c>
    </row>
    <row r="208" spans="1:37">
      <c r="A208" s="10">
        <f>IF(履歴データ!$A$208="","",履歴データ!$A$208)</f>
        <v>45226</v>
      </c>
      <c r="B208" s="28">
        <f>IF(履歴データ!$A$208="","",(履歴データ!$D$208-(履歴データ!$B$208+履歴データ!$F$208)/2)*100)</f>
        <v>-16.999999999999993</v>
      </c>
      <c r="C208" s="28">
        <f>IF(履歴データ!$A$208="","",(履歴データ!$H$208-(履歴データ!$G$208+履歴データ!$J$208)/2)*100)</f>
        <v>-8.7500000000000018</v>
      </c>
      <c r="D208" s="28">
        <f>IF(履歴データ!$A$208="","",(履歴データ!$D$208-履歴データ!$H$208)*100)</f>
        <v>396.5</v>
      </c>
      <c r="E208" s="28">
        <f>IF(履歴データ!$A$208="","",(履歴データ!$D$208-履歴データ!$C$208)*100)</f>
        <v>8.0000000000000071</v>
      </c>
      <c r="F208" s="28">
        <f>IF(履歴データ!$A$208="","",(履歴データ!$R$208-履歴データ!$D$208)*100)</f>
        <v>-232.26999999999998</v>
      </c>
      <c r="G208" s="28">
        <f>IF(履歴データ!$A$208="","",(履歴データ!$S$208-履歴データ!$R$208)*100)</f>
        <v>-169.24000000000007</v>
      </c>
      <c r="H208" s="29">
        <f>IF(履歴データ!$A$208="","",履歴データ!$O$208)</f>
        <v>150.36599731445313</v>
      </c>
      <c r="I208" s="29">
        <f>IF(履歴データ!$A$208="","",履歴データ!$Q$208)</f>
        <v>106.421875</v>
      </c>
      <c r="J208" s="29">
        <f>IF(履歴データ!$A$208="","",履歴データ!$D$208)</f>
        <v>4.84</v>
      </c>
      <c r="K208" s="28">
        <f>IF(OR(履歴データ!$A$208="",履歴データ!$A$207=""),"",B208-B207)</f>
        <v>-1.5000000000000568</v>
      </c>
      <c r="L208" s="28">
        <f>IF(OR(履歴データ!$A$208="",履歴データ!$A$207=""),"",C208-C207)</f>
        <v>-0.29999999999999893</v>
      </c>
      <c r="M208" s="28">
        <f>IF(OR(履歴データ!$A$208="",履歴データ!$A$207=""),"",D208-D207)</f>
        <v>-1.1000000000000227</v>
      </c>
      <c r="N208" s="28">
        <f>IF(OR(履歴データ!$A$208="",履歴データ!$A$207=""),"",E208-E207)</f>
        <v>0.99999999999997868</v>
      </c>
      <c r="O208" s="28">
        <f>IF(OR(履歴データ!$A$208="",履歴データ!$A$207=""),"",F208-F207)</f>
        <v>0.73000000000007503</v>
      </c>
      <c r="P208" s="28">
        <f>IF(OR(履歴データ!$A$208="",履歴データ!$A$207=""),"",G208-G207)</f>
        <v>0.7438214111328989</v>
      </c>
      <c r="Q208" s="29">
        <f>IF(OR(履歴データ!$A$208="",履歴データ!$A$207=""),"",H208-H207)</f>
        <v>0</v>
      </c>
      <c r="R208" s="29">
        <f>IF(OR(履歴データ!$A$208="",履歴データ!$A$207=""),"",I208-I207)</f>
        <v>7.8125E-2</v>
      </c>
      <c r="S208" s="28">
        <f>IF(OR(履歴データ!$A$208="",履歴データ!$A$207=""),"",(J208-J207)*100)</f>
        <v>-2.0000000000000462</v>
      </c>
      <c r="T208" s="11">
        <f>IF(OR(履歴データ!$A$208="",履歴データ!$A$207=""),"",-80000*K208)</f>
        <v>120000.00000000454</v>
      </c>
      <c r="U208" s="11">
        <f>IF(OR(履歴データ!$A$208="",履歴データ!$A$207=""),"",60000*L208)</f>
        <v>-17999.999999999935</v>
      </c>
      <c r="V208" s="11">
        <f>IF(OR(履歴データ!$A$208="",履歴データ!$A$207=""),"",-50000*M208)</f>
        <v>55000.000000001135</v>
      </c>
      <c r="W208" s="11">
        <f>IF(OR(履歴データ!$A$208="",履歴データ!$A$207=""),"",-40000*N208)</f>
        <v>-39999.999999999149</v>
      </c>
      <c r="X208" s="11">
        <f>IF(OR(履歴データ!$A$208="",履歴データ!$A$207=""),"",120*1000000*(-Q208/H207))</f>
        <v>0</v>
      </c>
      <c r="Y208" s="11">
        <f>IF(OR(履歴データ!$A$208="",履歴データ!$A$207=""),"",40000*(-S208)+(-506.3)*R208*1000)</f>
        <v>40445.312500001848</v>
      </c>
      <c r="Z208" s="11">
        <f>IF(OR(履歴データ!$A$208="",履歴データ!$A$207=""),"",-40000*O208)</f>
        <v>-29200.000000003001</v>
      </c>
      <c r="AA208" s="11">
        <f>IF(OR(履歴データ!$A$208="",履歴データ!$A$207=""),"",-40000*P208)</f>
        <v>-29752.856445315956</v>
      </c>
      <c r="AB208" s="11">
        <f>IF(履歴データ!$A$208="","",123.3)</f>
        <v>123.3</v>
      </c>
      <c r="AC208">
        <f>IF(履歴データ!$A$208="","",SUM(T208:AA208))</f>
        <v>98492.456054689479</v>
      </c>
      <c r="AD208" s="29">
        <f>IF(履歴データ!$A$208="","",AC208/1000000)</f>
        <v>9.8492456054689481E-2</v>
      </c>
      <c r="AE208" s="29">
        <f>IF(履歴データ!$A$208="",AE207,AE207+AC208/1000000)</f>
        <v>78.858094576507071</v>
      </c>
      <c r="AF208" s="12">
        <f>IF(OR(履歴データ!$A$208="",AE207=0),"",(AE208-AE207)/AE207)</f>
        <v>1.2505453735540035E-3</v>
      </c>
      <c r="AG208" s="29">
        <f t="shared" si="11"/>
        <v>102.17217746631495</v>
      </c>
      <c r="AH208" s="12">
        <f>IF(OR(履歴データ!$A$208="",AG208=0),"",AE208/AG208-1)</f>
        <v>-0.2281842617819736</v>
      </c>
      <c r="AJ208" s="28">
        <f t="shared" ca="1" si="9"/>
        <v>-23.967671681065116</v>
      </c>
      <c r="AK208" s="28">
        <f t="shared" ca="1" si="10"/>
        <v>-56.602376628113632</v>
      </c>
    </row>
    <row r="209" spans="1:37">
      <c r="A209" s="10">
        <f>IF(履歴データ!$A$209="","",履歴データ!$A$209)</f>
        <v>45229</v>
      </c>
      <c r="B209" s="28">
        <f>IF(履歴データ!$A$209="","",(履歴データ!$D$209-(履歴データ!$B$209+履歴データ!$F$209)/2)*100)</f>
        <v>-15.500000000000025</v>
      </c>
      <c r="C209" s="28">
        <f>IF(履歴データ!$A$209="","",(履歴データ!$H$209-(履歴データ!$G$209+履歴データ!$J$209)/2)*100)</f>
        <v>-8.8500000000000014</v>
      </c>
      <c r="D209" s="28">
        <f>IF(履歴データ!$A$209="","",(履歴データ!$D$209-履歴データ!$H$209)*100)</f>
        <v>398.5</v>
      </c>
      <c r="E209" s="28">
        <f>IF(履歴データ!$A$209="","",(履歴データ!$D$209-履歴データ!$C$209)*100)</f>
        <v>8.0000000000000071</v>
      </c>
      <c r="F209" s="28">
        <f>IF(履歴データ!$A$209="","",(履歴データ!$R$209-履歴データ!$D$209)*100)</f>
        <v>-243.37999999999997</v>
      </c>
      <c r="G209" s="28">
        <f>IF(履歴データ!$A$209="","",(履歴データ!$S$209-履歴データ!$R$209)*100)</f>
        <v>-161.603821411133</v>
      </c>
      <c r="H209" s="29">
        <f>IF(履歴データ!$A$209="","",履歴データ!$O$209)</f>
        <v>149.73300170898438</v>
      </c>
      <c r="I209" s="29">
        <f>IF(履歴データ!$A$209="","",履歴データ!$Q$209)</f>
        <v>106.21875</v>
      </c>
      <c r="J209" s="29">
        <f>IF(履歴データ!$A$209="","",履歴データ!$D$209)</f>
        <v>4.88</v>
      </c>
      <c r="K209" s="28">
        <f>IF(OR(履歴データ!$A$209="",履歴データ!$A$208=""),"",B209-B208)</f>
        <v>1.499999999999968</v>
      </c>
      <c r="L209" s="28">
        <f>IF(OR(履歴データ!$A$209="",履歴データ!$A$208=""),"",C209-C208)</f>
        <v>-9.9999999999999645E-2</v>
      </c>
      <c r="M209" s="28">
        <f>IF(OR(履歴データ!$A$209="",履歴データ!$A$208=""),"",D209-D208)</f>
        <v>2</v>
      </c>
      <c r="N209" s="28">
        <f>IF(OR(履歴データ!$A$209="",履歴データ!$A$208=""),"",E209-E208)</f>
        <v>0</v>
      </c>
      <c r="O209" s="28">
        <f>IF(OR(履歴データ!$A$209="",履歴データ!$A$208=""),"",F209-F208)</f>
        <v>-11.109999999999985</v>
      </c>
      <c r="P209" s="28">
        <f>IF(OR(履歴データ!$A$209="",履歴データ!$A$208=""),"",G209-G208)</f>
        <v>7.6361785888670681</v>
      </c>
      <c r="Q209" s="29">
        <f>IF(OR(履歴データ!$A$209="",履歴データ!$A$208=""),"",H209-H208)</f>
        <v>-0.63299560546875</v>
      </c>
      <c r="R209" s="29">
        <f>IF(OR(履歴データ!$A$209="",履歴データ!$A$208=""),"",I209-I208)</f>
        <v>-0.203125</v>
      </c>
      <c r="S209" s="28">
        <f>IF(OR(履歴データ!$A$209="",履歴データ!$A$208=""),"",(J209-J208)*100)</f>
        <v>4.0000000000000036</v>
      </c>
      <c r="T209" s="11">
        <f>IF(OR(履歴データ!$A$209="",履歴データ!$A$208=""),"",-80000*K209)</f>
        <v>-119999.99999999744</v>
      </c>
      <c r="U209" s="11">
        <f>IF(OR(履歴データ!$A$209="",履歴データ!$A$208=""),"",60000*L209)</f>
        <v>-5999.9999999999791</v>
      </c>
      <c r="V209" s="11">
        <f>IF(OR(履歴データ!$A$209="",履歴データ!$A$208=""),"",-50000*M209)</f>
        <v>-100000</v>
      </c>
      <c r="W209" s="11">
        <f>IF(OR(履歴データ!$A$209="",履歴データ!$A$208=""),"",-40000*N209)</f>
        <v>0</v>
      </c>
      <c r="X209" s="11">
        <f>IF(OR(履歴データ!$A$209="",履歴データ!$A$208=""),"",120*1000000*(-Q209/H208))</f>
        <v>505163.89351908886</v>
      </c>
      <c r="Y209" s="11">
        <f>IF(OR(履歴データ!$A$209="",履歴データ!$A$208=""),"",40000*(-S209)+(-506.3)*R209*1000)</f>
        <v>-57157.812500000131</v>
      </c>
      <c r="Z209" s="11">
        <f>IF(OR(履歴データ!$A$209="",履歴データ!$A$208=""),"",-40000*O209)</f>
        <v>444399.99999999942</v>
      </c>
      <c r="AA209" s="11">
        <f>IF(OR(履歴データ!$A$209="",履歴データ!$A$208=""),"",-40000*P209)</f>
        <v>-305447.14355468273</v>
      </c>
      <c r="AB209" s="11">
        <f>IF(履歴データ!$A$209="","",123.3)</f>
        <v>123.3</v>
      </c>
      <c r="AC209">
        <f>IF(履歴データ!$A$209="","",SUM(T209:AA209))</f>
        <v>360958.93746440799</v>
      </c>
      <c r="AD209" s="29">
        <f>IF(履歴データ!$A$209="","",AC209/1000000)</f>
        <v>0.36095893746440799</v>
      </c>
      <c r="AE209" s="29">
        <f>IF(履歴データ!$A$209="",AE208,AE208+AC209/1000000)</f>
        <v>79.219053513971474</v>
      </c>
      <c r="AF209" s="12">
        <f>IF(OR(履歴データ!$A$209="",AE208=0),"",(AE209-AE208)/AE208)</f>
        <v>4.5773225868931634E-3</v>
      </c>
      <c r="AG209" s="29">
        <f t="shared" si="11"/>
        <v>102.17217746631495</v>
      </c>
      <c r="AH209" s="12">
        <f>IF(OR(履歴データ!$A$209="",AG209=0),"",AE209/AG209-1)</f>
        <v>-0.22465141217050866</v>
      </c>
      <c r="AJ209" s="28">
        <f t="shared" ca="1" si="9"/>
        <v>-23.52906452376218</v>
      </c>
      <c r="AK209" s="28">
        <f t="shared" ca="1" si="10"/>
        <v>-56.802666245468593</v>
      </c>
    </row>
    <row r="210" spans="1:37">
      <c r="A210" s="10">
        <f>IF(履歴データ!$A$210="","",履歴データ!$A$210)</f>
        <v>45230</v>
      </c>
      <c r="B210" s="28">
        <f>IF(履歴データ!$A$210="","",(履歴データ!$D$210-(履歴データ!$B$210+履歴データ!$F$210)/2)*100)</f>
        <v>-17.499999999999982</v>
      </c>
      <c r="C210" s="28">
        <f>IF(履歴データ!$A$210="","",(履歴データ!$H$210-(履歴データ!$G$210+履歴データ!$J$210)/2)*100)</f>
        <v>-5.4499999999999993</v>
      </c>
      <c r="D210" s="28">
        <f>IF(履歴データ!$A$210="","",(履歴データ!$D$210-履歴データ!$H$210)*100)</f>
        <v>392.8</v>
      </c>
      <c r="E210" s="28">
        <f>IF(履歴データ!$A$210="","",(履歴データ!$D$210-履歴データ!$C$210)*100)</f>
        <v>5.9999999999999609</v>
      </c>
      <c r="F210" s="28">
        <f>IF(履歴データ!$A$210="","",(履歴データ!$R$210-履歴データ!$D$210)*100)</f>
        <v>-248.74999999999997</v>
      </c>
      <c r="G210" s="28">
        <f>IF(履歴データ!$A$210="","",(履歴データ!$S$210-履歴データ!$R$210)*100)</f>
        <v>-153.07664282226571</v>
      </c>
      <c r="H210" s="29">
        <f>IF(履歴データ!$A$210="","",履歴データ!$O$210)</f>
        <v>149.11099243164063</v>
      </c>
      <c r="I210" s="29">
        <f>IF(履歴データ!$A$210="","",履歴データ!$Q$210)</f>
        <v>106.171875</v>
      </c>
      <c r="J210" s="29">
        <f>IF(履歴データ!$A$210="","",履歴データ!$D$210)</f>
        <v>4.88</v>
      </c>
      <c r="K210" s="28">
        <f>IF(OR(履歴データ!$A$210="",履歴データ!$A$209=""),"",B210-B209)</f>
        <v>-1.9999999999999574</v>
      </c>
      <c r="L210" s="28">
        <f>IF(OR(履歴データ!$A$210="",履歴データ!$A$209=""),"",C210-C209)</f>
        <v>3.4000000000000021</v>
      </c>
      <c r="M210" s="28">
        <f>IF(OR(履歴データ!$A$210="",履歴データ!$A$209=""),"",D210-D209)</f>
        <v>-5.6999999999999886</v>
      </c>
      <c r="N210" s="28">
        <f>IF(OR(履歴データ!$A$210="",履歴データ!$A$209=""),"",E210-E209)</f>
        <v>-2.0000000000000462</v>
      </c>
      <c r="O210" s="28">
        <f>IF(OR(履歴データ!$A$210="",履歴データ!$A$209=""),"",F210-F209)</f>
        <v>-5.3700000000000045</v>
      </c>
      <c r="P210" s="28">
        <f>IF(OR(履歴データ!$A$210="",履歴データ!$A$209=""),"",G210-G209)</f>
        <v>8.5271785888672866</v>
      </c>
      <c r="Q210" s="29">
        <f>IF(OR(履歴データ!$A$210="",履歴データ!$A$209=""),"",H210-H209)</f>
        <v>-0.62200927734375</v>
      </c>
      <c r="R210" s="29">
        <f>IF(OR(履歴データ!$A$210="",履歴データ!$A$209=""),"",I210-I209)</f>
        <v>-4.6875E-2</v>
      </c>
      <c r="S210" s="28">
        <f>IF(OR(履歴データ!$A$210="",履歴データ!$A$209=""),"",(J210-J209)*100)</f>
        <v>0</v>
      </c>
      <c r="T210" s="11">
        <f>IF(OR(履歴データ!$A$210="",履歴データ!$A$209=""),"",-80000*K210)</f>
        <v>159999.99999999659</v>
      </c>
      <c r="U210" s="11">
        <f>IF(OR(履歴データ!$A$210="",履歴データ!$A$209=""),"",60000*L210)</f>
        <v>204000.00000000012</v>
      </c>
      <c r="V210" s="11">
        <f>IF(OR(履歴データ!$A$210="",履歴データ!$A$209=""),"",-50000*M210)</f>
        <v>284999.99999999942</v>
      </c>
      <c r="W210" s="11">
        <f>IF(OR(履歴データ!$A$210="",履歴データ!$A$209=""),"",-40000*N210)</f>
        <v>80000.000000001848</v>
      </c>
      <c r="X210" s="11">
        <f>IF(OR(履歴データ!$A$210="",履歴データ!$A$209=""),"",120*1000000*(-Q210/H209))</f>
        <v>498494.73682708747</v>
      </c>
      <c r="Y210" s="11">
        <f>IF(OR(履歴データ!$A$210="",履歴データ!$A$209=""),"",40000*(-S210)+(-506.3)*R210*1000)</f>
        <v>23732.8125</v>
      </c>
      <c r="Z210" s="11">
        <f>IF(OR(履歴データ!$A$210="",履歴データ!$A$209=""),"",-40000*O210)</f>
        <v>214800.00000000017</v>
      </c>
      <c r="AA210" s="11">
        <f>IF(OR(履歴データ!$A$210="",履歴データ!$A$209=""),"",-40000*P210)</f>
        <v>-341087.14355469146</v>
      </c>
      <c r="AB210" s="11">
        <f>IF(履歴データ!$A$210="","",123.3)</f>
        <v>123.3</v>
      </c>
      <c r="AC210">
        <f>IF(履歴データ!$A$210="","",SUM(T210:AA210))</f>
        <v>1124940.4057723943</v>
      </c>
      <c r="AD210" s="29">
        <f>IF(履歴データ!$A$210="","",AC210/1000000)</f>
        <v>1.1249404057723942</v>
      </c>
      <c r="AE210" s="29">
        <f>IF(履歴データ!$A$210="",AE209,AE209+AC210/1000000)</f>
        <v>80.343993919743866</v>
      </c>
      <c r="AF210" s="12">
        <f>IF(OR(履歴データ!$A$210="",AE209=0),"",(AE210-AE209)/AE209)</f>
        <v>1.4200376751206603E-2</v>
      </c>
      <c r="AG210" s="29">
        <f t="shared" si="11"/>
        <v>102.17217746631495</v>
      </c>
      <c r="AH210" s="12">
        <f>IF(OR(履歴データ!$A$210="",AG210=0),"",AE210/AG210-1)</f>
        <v>-0.21364117010981387</v>
      </c>
      <c r="AJ210" s="28">
        <f t="shared" ca="1" si="9"/>
        <v>-23.167039510300658</v>
      </c>
      <c r="AK210" s="28">
        <f t="shared" ca="1" si="10"/>
        <v>-56.947793025584517</v>
      </c>
    </row>
    <row r="211" spans="1:37">
      <c r="A211" s="10">
        <f>IF(履歴データ!$A$211="","",履歴データ!$A$211)</f>
        <v>45231</v>
      </c>
      <c r="B211" s="28">
        <f>IF(履歴データ!$A$211="","",(履歴データ!$D$211-(履歴データ!$B$211+履歴データ!$F$211)/2)*100)</f>
        <v>-18.50000000000005</v>
      </c>
      <c r="C211" s="28">
        <f>IF(履歴データ!$A$211="","",(履歴データ!$H$211-(履歴データ!$G$211+履歴データ!$J$211)/2)*100)</f>
        <v>-5.849999999999989</v>
      </c>
      <c r="D211" s="28">
        <f>IF(履歴データ!$A$211="","",(履歴データ!$D$211-履歴データ!$H$211)*100)</f>
        <v>381.09999999999997</v>
      </c>
      <c r="E211" s="28">
        <f>IF(履歴データ!$A$211="","",(履歴データ!$D$211-履歴データ!$C$211)*100)</f>
        <v>9.9999999999999645</v>
      </c>
      <c r="F211" s="28">
        <f>IF(履歴データ!$A$211="","",(履歴データ!$R$211-履歴データ!$D$211)*100)</f>
        <v>-235.57999999999996</v>
      </c>
      <c r="G211" s="28">
        <f>IF(履歴データ!$A$211="","",(履歴データ!$S$211-履歴データ!$R$211)*100)</f>
        <v>-147.35364282226575</v>
      </c>
      <c r="H211" s="29">
        <f>IF(履歴データ!$A$211="","",履歴データ!$O$211)</f>
        <v>151.29400634765625</v>
      </c>
      <c r="I211" s="29">
        <f>IF(履歴データ!$A$211="","",履歴データ!$Q$211)</f>
        <v>106.859375</v>
      </c>
      <c r="J211" s="29">
        <f>IF(履歴データ!$A$211="","",履歴データ!$D$211)</f>
        <v>4.7699999999999996</v>
      </c>
      <c r="K211" s="28">
        <f>IF(OR(履歴データ!$A$211="",履歴データ!$A$210=""),"",B211-B210)</f>
        <v>-1.0000000000000675</v>
      </c>
      <c r="L211" s="28">
        <f>IF(OR(履歴データ!$A$211="",履歴データ!$A$210=""),"",C211-C210)</f>
        <v>-0.3999999999999897</v>
      </c>
      <c r="M211" s="28">
        <f>IF(OR(履歴データ!$A$211="",履歴データ!$A$210=""),"",D211-D210)</f>
        <v>-11.700000000000045</v>
      </c>
      <c r="N211" s="28">
        <f>IF(OR(履歴データ!$A$211="",履歴データ!$A$210=""),"",E211-E210)</f>
        <v>4.0000000000000036</v>
      </c>
      <c r="O211" s="28">
        <f>IF(OR(履歴データ!$A$211="",履歴データ!$A$210=""),"",F211-F210)</f>
        <v>13.170000000000016</v>
      </c>
      <c r="P211" s="28">
        <f>IF(OR(履歴データ!$A$211="",履歴データ!$A$210=""),"",G211-G210)</f>
        <v>5.7229999999999563</v>
      </c>
      <c r="Q211" s="29">
        <f>IF(OR(履歴データ!$A$211="",履歴データ!$A$210=""),"",H211-H210)</f>
        <v>2.183013916015625</v>
      </c>
      <c r="R211" s="29">
        <f>IF(OR(履歴データ!$A$211="",履歴データ!$A$210=""),"",I211-I210)</f>
        <v>0.6875</v>
      </c>
      <c r="S211" s="28">
        <f>IF(OR(履歴データ!$A$211="",履歴データ!$A$210=""),"",(J211-J210)*100)</f>
        <v>-11.000000000000032</v>
      </c>
      <c r="T211" s="11">
        <f>IF(OR(履歴データ!$A$211="",履歴データ!$A$210=""),"",-80000*K211)</f>
        <v>80000.000000005399</v>
      </c>
      <c r="U211" s="11">
        <f>IF(OR(履歴データ!$A$211="",履歴データ!$A$210=""),"",60000*L211)</f>
        <v>-23999.999999999382</v>
      </c>
      <c r="V211" s="11">
        <f>IF(OR(履歴データ!$A$211="",履歴データ!$A$210=""),"",-50000*M211)</f>
        <v>585000.00000000233</v>
      </c>
      <c r="W211" s="11">
        <f>IF(OR(履歴データ!$A$211="",履歴データ!$A$210=""),"",-40000*N211)</f>
        <v>-160000.00000000015</v>
      </c>
      <c r="X211" s="11">
        <f>IF(OR(履歴データ!$A$211="",履歴データ!$A$210=""),"",120*1000000*(-Q211/H210))</f>
        <v>-1756823.3277098623</v>
      </c>
      <c r="Y211" s="11">
        <f>IF(OR(履歴データ!$A$211="",履歴データ!$A$210=""),"",40000*(-S211)+(-506.3)*R211*1000)</f>
        <v>91918.750000001281</v>
      </c>
      <c r="Z211" s="11">
        <f>IF(OR(履歴データ!$A$211="",履歴データ!$A$210=""),"",-40000*O211)</f>
        <v>-526800.00000000058</v>
      </c>
      <c r="AA211" s="11">
        <f>IF(OR(履歴データ!$A$211="",履歴データ!$A$210=""),"",-40000*P211)</f>
        <v>-228919.99999999825</v>
      </c>
      <c r="AB211" s="11">
        <f>IF(履歴データ!$A$211="","",123.3)</f>
        <v>123.3</v>
      </c>
      <c r="AC211">
        <f>IF(履歴データ!$A$211="","",SUM(T211:AA211))</f>
        <v>-1939624.5777098513</v>
      </c>
      <c r="AD211" s="29">
        <f>IF(履歴データ!$A$211="","",AC211/1000000)</f>
        <v>-1.9396245777098513</v>
      </c>
      <c r="AE211" s="29">
        <f>IF(履歴データ!$A$211="",AE210,AE210+AC211/1000000)</f>
        <v>78.404369342034016</v>
      </c>
      <c r="AF211" s="12">
        <f>IF(OR(履歴データ!$A$211="",AE210=0),"",(AE211-AE210)/AE210)</f>
        <v>-2.4141500603608944E-2</v>
      </c>
      <c r="AG211" s="29">
        <f t="shared" si="11"/>
        <v>102.17217746631495</v>
      </c>
      <c r="AH211" s="12">
        <f>IF(OR(履歴データ!$A$211="",AG211=0),"",AE211/AG211-1)</f>
        <v>-0.23262505227626107</v>
      </c>
      <c r="AJ211" s="28">
        <f t="shared" ca="1" si="9"/>
        <v>-22.844189757753053</v>
      </c>
      <c r="AK211" s="28">
        <f t="shared" ca="1" si="10"/>
        <v>-57.065334051770748</v>
      </c>
    </row>
    <row r="212" spans="1:37">
      <c r="A212" s="10">
        <f>IF(履歴データ!$A$212="","",履歴データ!$A$212)</f>
        <v>45232</v>
      </c>
      <c r="B212" s="28">
        <f>IF(履歴データ!$A$212="","",(履歴データ!$D$212-(履歴データ!$B$212+履歴データ!$F$212)/2)*100)</f>
        <v>-23.000000000000043</v>
      </c>
      <c r="C212" s="28">
        <f>IF(履歴データ!$A$212="","",(履歴データ!$H$212-(履歴データ!$G$212+履歴データ!$J$212)/2)*100)</f>
        <v>-7.2999999999999954</v>
      </c>
      <c r="D212" s="28">
        <f>IF(履歴データ!$A$212="","",(履歴データ!$D$212-履歴データ!$H$212)*100)</f>
        <v>375</v>
      </c>
      <c r="E212" s="28">
        <f>IF(履歴データ!$A$212="","",(履歴データ!$D$212-履歴データ!$C$212)*100)</f>
        <v>1.9999999999999574</v>
      </c>
      <c r="F212" s="28">
        <f>IF(履歴データ!$A$212="","",(履歴データ!$R$212-履歴データ!$D$212)*100)</f>
        <v>-229.02</v>
      </c>
      <c r="G212" s="28">
        <f>IF(履歴データ!$A$212="","",(履歴データ!$S$212-履歴データ!$R$212)*100)</f>
        <v>-154.0868214111328</v>
      </c>
      <c r="H212" s="29">
        <f>IF(履歴データ!$A$212="","",履歴データ!$O$212)</f>
        <v>150.57499694824219</v>
      </c>
      <c r="I212" s="29">
        <f>IF(履歴データ!$A$212="","",履歴データ!$Q$212)</f>
        <v>107.484375</v>
      </c>
      <c r="J212" s="29">
        <f>IF(履歴データ!$A$212="","",履歴データ!$D$212)</f>
        <v>4.67</v>
      </c>
      <c r="K212" s="28">
        <f>IF(OR(履歴データ!$A$212="",履歴データ!$A$211=""),"",B212-B211)</f>
        <v>-4.4999999999999929</v>
      </c>
      <c r="L212" s="28">
        <f>IF(OR(履歴データ!$A$212="",履歴データ!$A$211=""),"",C212-C211)</f>
        <v>-1.4500000000000064</v>
      </c>
      <c r="M212" s="28">
        <f>IF(OR(履歴データ!$A$212="",履歴データ!$A$211=""),"",D212-D211)</f>
        <v>-6.0999999999999659</v>
      </c>
      <c r="N212" s="28">
        <f>IF(OR(履歴データ!$A$212="",履歴データ!$A$211=""),"",E212-E211)</f>
        <v>-8.0000000000000071</v>
      </c>
      <c r="O212" s="28">
        <f>IF(OR(履歴データ!$A$212="",履歴データ!$A$211=""),"",F212-F211)</f>
        <v>6.5599999999999454</v>
      </c>
      <c r="P212" s="28">
        <f>IF(OR(履歴データ!$A$212="",履歴データ!$A$211=""),"",G212-G211)</f>
        <v>-6.7331785888670481</v>
      </c>
      <c r="Q212" s="29">
        <f>IF(OR(履歴データ!$A$212="",履歴データ!$A$211=""),"",H212-H211)</f>
        <v>-0.7190093994140625</v>
      </c>
      <c r="R212" s="29">
        <f>IF(OR(履歴データ!$A$212="",履歴データ!$A$211=""),"",I212-I211)</f>
        <v>0.625</v>
      </c>
      <c r="S212" s="28">
        <f>IF(OR(履歴データ!$A$212="",履歴データ!$A$211=""),"",(J212-J211)*100)</f>
        <v>-9.9999999999999645</v>
      </c>
      <c r="T212" s="11">
        <f>IF(OR(履歴データ!$A$212="",履歴データ!$A$211=""),"",-80000*K212)</f>
        <v>359999.99999999942</v>
      </c>
      <c r="U212" s="11">
        <f>IF(OR(履歴データ!$A$212="",履歴データ!$A$211=""),"",60000*L212)</f>
        <v>-87000.000000000378</v>
      </c>
      <c r="V212" s="11">
        <f>IF(OR(履歴データ!$A$212="",履歴データ!$A$211=""),"",-50000*M212)</f>
        <v>304999.99999999831</v>
      </c>
      <c r="W212" s="11">
        <f>IF(OR(履歴データ!$A$212="",履歴データ!$A$211=""),"",-40000*N212)</f>
        <v>320000.00000000029</v>
      </c>
      <c r="X212" s="11">
        <f>IF(OR(履歴データ!$A$212="",履歴データ!$A$211=""),"",120*1000000*(-Q212/H211))</f>
        <v>570287.81253517326</v>
      </c>
      <c r="Y212" s="11">
        <f>IF(OR(履歴データ!$A$212="",履歴データ!$A$211=""),"",40000*(-S212)+(-506.3)*R212*1000)</f>
        <v>83562.499999998603</v>
      </c>
      <c r="Z212" s="11">
        <f>IF(OR(履歴データ!$A$212="",履歴データ!$A$211=""),"",-40000*O212)</f>
        <v>-262399.99999999779</v>
      </c>
      <c r="AA212" s="11">
        <f>IF(OR(履歴データ!$A$212="",履歴データ!$A$211=""),"",-40000*P212)</f>
        <v>269327.14355468191</v>
      </c>
      <c r="AB212" s="11">
        <f>IF(履歴データ!$A$212="","",123.3)</f>
        <v>123.3</v>
      </c>
      <c r="AC212">
        <f>IF(履歴データ!$A$212="","",SUM(T212:AA212))</f>
        <v>1558777.4560898538</v>
      </c>
      <c r="AD212" s="29">
        <f>IF(履歴データ!$A$212="","",AC212/1000000)</f>
        <v>1.5587774560898537</v>
      </c>
      <c r="AE212" s="29">
        <f>IF(履歴データ!$A$212="",AE211,AE211+AC212/1000000)</f>
        <v>79.963146798123873</v>
      </c>
      <c r="AF212" s="12">
        <f>IF(OR(履歴データ!$A$212="",AE211=0),"",(AE212-AE211)/AE211)</f>
        <v>1.9881257500966434E-2</v>
      </c>
      <c r="AG212" s="29">
        <f t="shared" si="11"/>
        <v>102.17217746631495</v>
      </c>
      <c r="AH212" s="12">
        <f>IF(OR(履歴データ!$A$212="",AG212=0),"",AE212/AG212-1)</f>
        <v>-0.2173686733407747</v>
      </c>
      <c r="AJ212" s="28">
        <f t="shared" ca="1" si="9"/>
        <v>-22.645737236019087</v>
      </c>
      <c r="AK212" s="28">
        <f t="shared" ca="1" si="10"/>
        <v>-57.10307792985769</v>
      </c>
    </row>
    <row r="213" spans="1:37">
      <c r="A213" s="10">
        <f>IF(履歴データ!$A$213="","",履歴データ!$A$213)</f>
        <v>45233</v>
      </c>
      <c r="B213" s="28">
        <f>IF(履歴データ!$A$213="","",(履歴データ!$D$213-(履歴データ!$B$213+履歴データ!$F$213)/2)*100)</f>
        <v>-22.999999999999954</v>
      </c>
      <c r="C213" s="28">
        <f>IF(履歴データ!$A$213="","",(履歴データ!$H$213-(履歴データ!$G$213+履歴データ!$J$213)/2)*100)</f>
        <v>-7.2999999999999954</v>
      </c>
      <c r="D213" s="28">
        <f>IF(履歴データ!$A$213="","",(履歴データ!$D$213-履歴データ!$H$213)*100)</f>
        <v>365.00000000000006</v>
      </c>
      <c r="E213" s="28">
        <f>IF(履歴データ!$A$213="","",(履歴データ!$D$213-履歴データ!$C$213)*100)</f>
        <v>8.0000000000000071</v>
      </c>
      <c r="F213" s="28">
        <f>IF(履歴データ!$A$213="","",(履歴データ!$R$213-履歴データ!$D$213)*100)</f>
        <v>-229.14000000000004</v>
      </c>
      <c r="G213" s="28">
        <f>IF(履歴データ!$A$213="","",(履歴データ!$S$213-履歴データ!$R$213)*100)</f>
        <v>-143.9668214111328</v>
      </c>
      <c r="H213" s="29">
        <f>IF(履歴データ!$A$213="","",履歴データ!$O$213)</f>
        <v>150.49699401855469</v>
      </c>
      <c r="I213" s="29">
        <f>IF(履歴データ!$A$213="","",履歴データ!$Q$213)</f>
        <v>108.359375</v>
      </c>
      <c r="J213" s="29">
        <f>IF(履歴データ!$A$213="","",履歴データ!$D$213)</f>
        <v>4.57</v>
      </c>
      <c r="K213" s="28">
        <f>IF(OR(履歴データ!$A$213="",履歴データ!$A$212=""),"",B213-B212)</f>
        <v>8.8817841970012523E-14</v>
      </c>
      <c r="L213" s="28">
        <f>IF(OR(履歴データ!$A$213="",履歴データ!$A$212=""),"",C213-C212)</f>
        <v>0</v>
      </c>
      <c r="M213" s="28">
        <f>IF(OR(履歴データ!$A$213="",履歴データ!$A$212=""),"",D213-D212)</f>
        <v>-9.9999999999999432</v>
      </c>
      <c r="N213" s="28">
        <f>IF(OR(履歴データ!$A$213="",履歴データ!$A$212=""),"",E213-E212)</f>
        <v>6.0000000000000497</v>
      </c>
      <c r="O213" s="28">
        <f>IF(OR(履歴データ!$A$213="",履歴データ!$A$212=""),"",F213-F212)</f>
        <v>-0.12000000000003297</v>
      </c>
      <c r="P213" s="28">
        <f>IF(OR(履歴データ!$A$213="",履歴データ!$A$212=""),"",G213-G212)</f>
        <v>10.120000000000005</v>
      </c>
      <c r="Q213" s="29">
        <f>IF(OR(履歴データ!$A$213="",履歴データ!$A$212=""),"",H213-H212)</f>
        <v>-7.80029296875E-2</v>
      </c>
      <c r="R213" s="29">
        <f>IF(OR(履歴データ!$A$213="",履歴データ!$A$212=""),"",I213-I212)</f>
        <v>0.875</v>
      </c>
      <c r="S213" s="28">
        <f>IF(OR(履歴データ!$A$213="",履歴データ!$A$212=""),"",(J213-J212)*100)</f>
        <v>-9.9999999999999645</v>
      </c>
      <c r="T213" s="11">
        <f>IF(OR(履歴データ!$A$213="",履歴データ!$A$212=""),"",-80000*K213)</f>
        <v>-7.1054273576010019E-9</v>
      </c>
      <c r="U213" s="11">
        <f>IF(OR(履歴データ!$A$213="",履歴データ!$A$212=""),"",60000*L213)</f>
        <v>0</v>
      </c>
      <c r="V213" s="11">
        <f>IF(OR(履歴データ!$A$213="",履歴データ!$A$212=""),"",-50000*M213)</f>
        <v>499999.99999999715</v>
      </c>
      <c r="W213" s="11">
        <f>IF(OR(履歴データ!$A$213="",履歴データ!$A$212=""),"",-40000*N213)</f>
        <v>-240000.00000000198</v>
      </c>
      <c r="X213" s="11">
        <f>IF(OR(履歴データ!$A$213="",履歴データ!$A$212=""),"",120*1000000*(-Q213/H212))</f>
        <v>62164.04949167939</v>
      </c>
      <c r="Y213" s="11">
        <f>IF(OR(履歴データ!$A$213="",履歴データ!$A$212=""),"",40000*(-S213)+(-506.3)*R213*1000)</f>
        <v>-43012.500000001397</v>
      </c>
      <c r="Z213" s="11">
        <f>IF(OR(履歴データ!$A$213="",履歴データ!$A$212=""),"",-40000*O213)</f>
        <v>4800.0000000013188</v>
      </c>
      <c r="AA213" s="11">
        <f>IF(OR(履歴データ!$A$213="",履歴データ!$A$212=""),"",-40000*P213)</f>
        <v>-404800.00000000017</v>
      </c>
      <c r="AB213" s="11">
        <f>IF(履歴データ!$A$213="","",123.3)</f>
        <v>123.3</v>
      </c>
      <c r="AC213">
        <f>IF(履歴データ!$A$213="","",SUM(T213:AA213))</f>
        <v>-120848.45050833275</v>
      </c>
      <c r="AD213" s="29">
        <f>IF(履歴データ!$A$213="","",AC213/1000000)</f>
        <v>-0.12084845050833275</v>
      </c>
      <c r="AE213" s="29">
        <f>IF(履歴データ!$A$213="",AE212,AE212+AC213/1000000)</f>
        <v>79.842298347615539</v>
      </c>
      <c r="AF213" s="12">
        <f>IF(OR(履歴データ!$A$213="",AE212=0),"",(AE213-AE212)/AE212)</f>
        <v>-1.5113018352495447E-3</v>
      </c>
      <c r="AG213" s="29">
        <f t="shared" si="11"/>
        <v>102.17217746631495</v>
      </c>
      <c r="AH213" s="12">
        <f>IF(OR(履歴データ!$A$213="",AG213=0),"",AE213/AG213-1)</f>
        <v>-0.21855146550107862</v>
      </c>
      <c r="AJ213" s="28">
        <f t="shared" ca="1" si="9"/>
        <v>-22.451429943928449</v>
      </c>
      <c r="AK213" s="28">
        <f t="shared" ca="1" si="10"/>
        <v>-57.13819269758099</v>
      </c>
    </row>
    <row r="214" spans="1:37">
      <c r="A214" s="10">
        <f>IF(履歴データ!$A$214="","",履歴データ!$A$214)</f>
        <v>45236</v>
      </c>
      <c r="B214" s="28">
        <f>IF(履歴データ!$A$214="","",(履歴データ!$D$214-(履歴データ!$B$214+履歴データ!$F$214)/2)*100)</f>
        <v>-21.499999999999986</v>
      </c>
      <c r="C214" s="28">
        <f>IF(履歴データ!$A$214="","",(履歴データ!$H$214-(履歴データ!$G$214+履歴データ!$J$214)/2)*100)</f>
        <v>-9.4500000000000028</v>
      </c>
      <c r="D214" s="28">
        <f>IF(履歴データ!$A$214="","",(履歴データ!$D$214-履歴データ!$H$214)*100)</f>
        <v>379.4</v>
      </c>
      <c r="E214" s="28">
        <f>IF(履歴データ!$A$214="","",(履歴データ!$D$214-履歴データ!$C$214)*100)</f>
        <v>7.0000000000000284</v>
      </c>
      <c r="F214" s="28">
        <f>IF(履歴データ!$A$214="","",(履歴データ!$R$214-履歴データ!$D$214)*100)</f>
        <v>-241.33999999999997</v>
      </c>
      <c r="G214" s="28">
        <f>IF(履歴データ!$A$214="","",(履歴データ!$S$214-履歴データ!$R$214)*100)</f>
        <v>-147.37964282226571</v>
      </c>
      <c r="H214" s="29">
        <f>IF(履歴データ!$A$214="","",履歴データ!$O$214)</f>
        <v>149.44900512695313</v>
      </c>
      <c r="I214" s="29">
        <f>IF(履歴データ!$A$214="","",履歴データ!$Q$214)</f>
        <v>107.59375</v>
      </c>
      <c r="J214" s="29">
        <f>IF(履歴データ!$A$214="","",履歴データ!$D$214)</f>
        <v>4.67</v>
      </c>
      <c r="K214" s="28">
        <f>IF(OR(履歴データ!$A$214="",履歴データ!$A$213=""),"",B214-B213)</f>
        <v>1.499999999999968</v>
      </c>
      <c r="L214" s="28">
        <f>IF(OR(履歴データ!$A$214="",履歴データ!$A$213=""),"",C214-C213)</f>
        <v>-2.1500000000000075</v>
      </c>
      <c r="M214" s="28">
        <f>IF(OR(履歴データ!$A$214="",履歴データ!$A$213=""),"",D214-D213)</f>
        <v>14.39999999999992</v>
      </c>
      <c r="N214" s="28">
        <f>IF(OR(履歴データ!$A$214="",履歴データ!$A$213=""),"",E214-E213)</f>
        <v>-0.99999999999997868</v>
      </c>
      <c r="O214" s="28">
        <f>IF(OR(履歴データ!$A$214="",履歴データ!$A$213=""),"",F214-F213)</f>
        <v>-12.199999999999932</v>
      </c>
      <c r="P214" s="28">
        <f>IF(OR(履歴データ!$A$214="",履歴データ!$A$213=""),"",G214-G213)</f>
        <v>-3.41282141113291</v>
      </c>
      <c r="Q214" s="29">
        <f>IF(OR(履歴データ!$A$214="",履歴データ!$A$213=""),"",H214-H213)</f>
        <v>-1.0479888916015625</v>
      </c>
      <c r="R214" s="29">
        <f>IF(OR(履歴データ!$A$214="",履歴データ!$A$213=""),"",I214-I213)</f>
        <v>-0.765625</v>
      </c>
      <c r="S214" s="28">
        <f>IF(OR(履歴データ!$A$214="",履歴データ!$A$213=""),"",(J214-J213)*100)</f>
        <v>9.9999999999999645</v>
      </c>
      <c r="T214" s="11">
        <f>IF(OR(履歴データ!$A$214="",履歴データ!$A$213=""),"",-80000*K214)</f>
        <v>-119999.99999999744</v>
      </c>
      <c r="U214" s="11">
        <f>IF(OR(履歴データ!$A$214="",履歴データ!$A$213=""),"",60000*L214)</f>
        <v>-129000.00000000045</v>
      </c>
      <c r="V214" s="11">
        <f>IF(OR(履歴データ!$A$214="",履歴データ!$A$213=""),"",-50000*M214)</f>
        <v>-719999.99999999604</v>
      </c>
      <c r="W214" s="11">
        <f>IF(OR(履歴データ!$A$214="",履歴データ!$A$213=""),"",-40000*N214)</f>
        <v>39999.999999999149</v>
      </c>
      <c r="X214" s="11">
        <f>IF(OR(履歴データ!$A$214="",履歴データ!$A$213=""),"",120*1000000*(-Q214/H213))</f>
        <v>835622.45088219363</v>
      </c>
      <c r="Y214" s="11">
        <f>IF(OR(履歴データ!$A$214="",履歴データ!$A$213=""),"",40000*(-S214)+(-506.3)*R214*1000)</f>
        <v>-12364.062499998603</v>
      </c>
      <c r="Z214" s="11">
        <f>IF(OR(履歴データ!$A$214="",履歴データ!$A$213=""),"",-40000*O214)</f>
        <v>487999.99999999726</v>
      </c>
      <c r="AA214" s="11">
        <f>IF(OR(履歴データ!$A$214="",履歴データ!$A$213=""),"",-40000*P214)</f>
        <v>136512.8564453164</v>
      </c>
      <c r="AB214" s="11">
        <f>IF(履歴データ!$A$214="","",123.3)</f>
        <v>123.3</v>
      </c>
      <c r="AC214">
        <f>IF(履歴データ!$A$214="","",SUM(T214:AA214))</f>
        <v>518771.24482751393</v>
      </c>
      <c r="AD214" s="29">
        <f>IF(履歴データ!$A$214="","",AC214/1000000)</f>
        <v>0.51877124482751391</v>
      </c>
      <c r="AE214" s="29">
        <f>IF(履歴データ!$A$214="",AE213,AE213+AC214/1000000)</f>
        <v>80.361069592443059</v>
      </c>
      <c r="AF214" s="12">
        <f>IF(OR(履歴データ!$A$214="",AE213=0),"",(AE214-AE213)/AE213)</f>
        <v>6.4974487904757589E-3</v>
      </c>
      <c r="AG214" s="29">
        <f t="shared" si="11"/>
        <v>102.17217746631495</v>
      </c>
      <c r="AH214" s="12">
        <f>IF(OR(履歴データ!$A$214="",AG214=0),"",AE214/AG214-1)</f>
        <v>-0.21347404366577949</v>
      </c>
      <c r="AJ214" s="28">
        <f t="shared" ca="1" si="9"/>
        <v>-22.225799998867249</v>
      </c>
      <c r="AK214" s="28">
        <f t="shared" ca="1" si="10"/>
        <v>-57.192040376719604</v>
      </c>
    </row>
    <row r="215" spans="1:37">
      <c r="A215" s="10">
        <f>IF(履歴データ!$A$215="","",履歴データ!$A$215)</f>
        <v>45237</v>
      </c>
      <c r="B215" s="28">
        <f>IF(履歴データ!$A$215="","",(履歴データ!$D$215-(履歴データ!$B$215+履歴データ!$F$215)/2)*100)</f>
        <v>-25</v>
      </c>
      <c r="C215" s="28">
        <f>IF(履歴データ!$A$215="","",(履歴データ!$H$215-(履歴データ!$G$215+履歴データ!$J$215)/2)*100)</f>
        <v>-8.6500000000000021</v>
      </c>
      <c r="D215" s="28">
        <f>IF(履歴データ!$A$215="","",(履歴データ!$D$215-履歴データ!$H$215)*100)</f>
        <v>369.8</v>
      </c>
      <c r="E215" s="28">
        <f>IF(履歴データ!$A$215="","",(履歴データ!$D$215-履歴データ!$C$215)*100)</f>
        <v>4.9999999999999822</v>
      </c>
      <c r="F215" s="28">
        <f>IF(履歴データ!$A$215="","",(履歴データ!$R$215-履歴データ!$D$215)*100)</f>
        <v>-220.37</v>
      </c>
      <c r="G215" s="28">
        <f>IF(履歴データ!$A$215="","",(履歴データ!$S$215-履歴データ!$R$215)*100)</f>
        <v>-154.2630000000002</v>
      </c>
      <c r="H215" s="29">
        <f>IF(履歴データ!$A$215="","",履歴データ!$O$215)</f>
        <v>149.98899841308594</v>
      </c>
      <c r="I215" s="29">
        <f>IF(履歴データ!$A$215="","",履歴データ!$Q$215)</f>
        <v>108.125</v>
      </c>
      <c r="J215" s="29">
        <f>IF(履歴データ!$A$215="","",履歴データ!$D$215)</f>
        <v>4.58</v>
      </c>
      <c r="K215" s="28">
        <f>IF(OR(履歴データ!$A$215="",履歴データ!$A$214=""),"",B215-B214)</f>
        <v>-3.5000000000000142</v>
      </c>
      <c r="L215" s="28">
        <f>IF(OR(履歴データ!$A$215="",履歴データ!$A$214=""),"",C215-C214)</f>
        <v>0.80000000000000071</v>
      </c>
      <c r="M215" s="28">
        <f>IF(OR(履歴データ!$A$215="",履歴データ!$A$214=""),"",D215-D214)</f>
        <v>-9.5999999999999659</v>
      </c>
      <c r="N215" s="28">
        <f>IF(OR(履歴データ!$A$215="",履歴データ!$A$214=""),"",E215-E214)</f>
        <v>-2.0000000000000462</v>
      </c>
      <c r="O215" s="28">
        <f>IF(OR(履歴データ!$A$215="",履歴データ!$A$214=""),"",F215-F214)</f>
        <v>20.96999999999997</v>
      </c>
      <c r="P215" s="28">
        <f>IF(OR(履歴データ!$A$215="",履歴データ!$A$214=""),"",G215-G214)</f>
        <v>-6.8833571777344957</v>
      </c>
      <c r="Q215" s="29">
        <f>IF(OR(履歴データ!$A$215="",履歴データ!$A$214=""),"",H215-H214)</f>
        <v>0.5399932861328125</v>
      </c>
      <c r="R215" s="29">
        <f>IF(OR(履歴データ!$A$215="",履歴データ!$A$214=""),"",I215-I214)</f>
        <v>0.53125</v>
      </c>
      <c r="S215" s="28">
        <f>IF(OR(履歴データ!$A$215="",履歴データ!$A$214=""),"",(J215-J214)*100)</f>
        <v>-8.9999999999999858</v>
      </c>
      <c r="T215" s="11">
        <f>IF(OR(履歴データ!$A$215="",履歴データ!$A$214=""),"",-80000*K215)</f>
        <v>280000.00000000116</v>
      </c>
      <c r="U215" s="11">
        <f>IF(OR(履歴データ!$A$215="",履歴データ!$A$214=""),"",60000*L215)</f>
        <v>48000.000000000044</v>
      </c>
      <c r="V215" s="11">
        <f>IF(OR(履歴データ!$A$215="",履歴データ!$A$214=""),"",-50000*M215)</f>
        <v>479999.99999999831</v>
      </c>
      <c r="W215" s="11">
        <f>IF(OR(履歴データ!$A$215="",履歴データ!$A$214=""),"",-40000*N215)</f>
        <v>80000.000000001848</v>
      </c>
      <c r="X215" s="11">
        <f>IF(OR(履歴データ!$A$215="",履歴データ!$A$214=""),"",120*1000000*(-Q215/H214))</f>
        <v>-433587.32485968864</v>
      </c>
      <c r="Y215" s="11">
        <f>IF(OR(履歴データ!$A$215="",履歴データ!$A$214=""),"",40000*(-S215)+(-506.3)*R215*1000)</f>
        <v>91028.124999999418</v>
      </c>
      <c r="Z215" s="11">
        <f>IF(OR(履歴データ!$A$215="",履歴データ!$A$214=""),"",-40000*O215)</f>
        <v>-838799.99999999884</v>
      </c>
      <c r="AA215" s="11">
        <f>IF(OR(履歴データ!$A$215="",履歴データ!$A$214=""),"",-40000*P215)</f>
        <v>275334.28710937983</v>
      </c>
      <c r="AB215" s="11">
        <f>IF(履歴データ!$A$215="","",123.3)</f>
        <v>123.3</v>
      </c>
      <c r="AC215">
        <f>IF(履歴データ!$A$215="","",SUM(T215:AA215))</f>
        <v>-18024.91275030683</v>
      </c>
      <c r="AD215" s="29">
        <f>IF(履歴データ!$A$215="","",AC215/1000000)</f>
        <v>-1.8024912750306831E-2</v>
      </c>
      <c r="AE215" s="29">
        <f>IF(履歴データ!$A$215="",AE214,AE214+AC215/1000000)</f>
        <v>80.343044679692753</v>
      </c>
      <c r="AF215" s="12">
        <f>IF(OR(履歴データ!$A$215="",AE214=0),"",(AE215-AE214)/AE214)</f>
        <v>-2.2429906473023174E-4</v>
      </c>
      <c r="AG215" s="29">
        <f t="shared" si="11"/>
        <v>102.17217746631495</v>
      </c>
      <c r="AH215" s="12">
        <f>IF(OR(履歴データ!$A$215="",AG215=0),"",AE215/AG215-1)</f>
        <v>-0.21365046070217131</v>
      </c>
      <c r="AJ215" s="28">
        <f t="shared" ca="1" si="9"/>
        <v>-22.082611932530575</v>
      </c>
      <c r="AK215" s="28">
        <f t="shared" ca="1" si="10"/>
        <v>-57.19776189924513</v>
      </c>
    </row>
    <row r="216" spans="1:37">
      <c r="A216" s="10">
        <f>IF(履歴データ!$A$216="","",履歴データ!$A$216)</f>
        <v>45238</v>
      </c>
      <c r="B216" s="28">
        <f>IF(履歴データ!$A$216="","",(履歴データ!$D$216-(履歴データ!$B$216+履歴データ!$F$216)/2)*100)</f>
        <v>-29.499999999999993</v>
      </c>
      <c r="C216" s="28">
        <f>IF(履歴データ!$A$216="","",(履歴データ!$H$216-(履歴データ!$G$216+履歴データ!$J$216)/2)*100)</f>
        <v>-9.2999999999999972</v>
      </c>
      <c r="D216" s="28">
        <f>IF(履歴データ!$A$216="","",(履歴データ!$D$216-履歴データ!$H$216)*100)</f>
        <v>363.8</v>
      </c>
      <c r="E216" s="28">
        <f>IF(履歴データ!$A$216="","",(履歴データ!$D$216-履歴データ!$C$216)*100)</f>
        <v>-1.9999999999999574</v>
      </c>
      <c r="F216" s="28">
        <f>IF(履歴データ!$A$216="","",(履歴データ!$R$216-履歴データ!$D$216)*100)</f>
        <v>-221.97</v>
      </c>
      <c r="G216" s="28">
        <f>IF(履歴データ!$A$216="","",(履歴データ!$S$216-履歴データ!$R$216)*100)</f>
        <v>-152.95917858886745</v>
      </c>
      <c r="H216" s="29">
        <f>IF(履歴データ!$A$216="","",履歴データ!$O$216)</f>
        <v>150.39599609375</v>
      </c>
      <c r="I216" s="29">
        <f>IF(履歴データ!$A$216="","",履歴データ!$Q$216)</f>
        <v>108.328125</v>
      </c>
      <c r="J216" s="29">
        <f>IF(履歴データ!$A$216="","",履歴データ!$D$216)</f>
        <v>4.49</v>
      </c>
      <c r="K216" s="28">
        <f>IF(OR(履歴データ!$A$216="",履歴データ!$A$215=""),"",B216-B215)</f>
        <v>-4.4999999999999929</v>
      </c>
      <c r="L216" s="28">
        <f>IF(OR(履歴データ!$A$216="",履歴データ!$A$215=""),"",C216-C215)</f>
        <v>-0.64999999999999503</v>
      </c>
      <c r="M216" s="28">
        <f>IF(OR(履歴データ!$A$216="",履歴データ!$A$215=""),"",D216-D215)</f>
        <v>-6</v>
      </c>
      <c r="N216" s="28">
        <f>IF(OR(履歴データ!$A$216="",履歴データ!$A$215=""),"",E216-E215)</f>
        <v>-6.9999999999999396</v>
      </c>
      <c r="O216" s="28">
        <f>IF(OR(履歴データ!$A$216="",履歴データ!$A$215=""),"",F216-F215)</f>
        <v>-1.5999999999999943</v>
      </c>
      <c r="P216" s="28">
        <f>IF(OR(履歴データ!$A$216="",履歴データ!$A$215=""),"",G216-G215)</f>
        <v>1.3038214111327591</v>
      </c>
      <c r="Q216" s="29">
        <f>IF(OR(履歴データ!$A$216="",履歴データ!$A$215=""),"",H216-H215)</f>
        <v>0.4069976806640625</v>
      </c>
      <c r="R216" s="29">
        <f>IF(OR(履歴データ!$A$216="",履歴データ!$A$215=""),"",I216-I215)</f>
        <v>0.203125</v>
      </c>
      <c r="S216" s="28">
        <f>IF(OR(履歴データ!$A$216="",履歴データ!$A$215=""),"",(J216-J215)*100)</f>
        <v>-8.9999999999999858</v>
      </c>
      <c r="T216" s="11">
        <f>IF(OR(履歴データ!$A$216="",履歴データ!$A$215=""),"",-80000*K216)</f>
        <v>359999.99999999942</v>
      </c>
      <c r="U216" s="11">
        <f>IF(OR(履歴データ!$A$216="",履歴データ!$A$215=""),"",60000*L216)</f>
        <v>-38999.999999999702</v>
      </c>
      <c r="V216" s="11">
        <f>IF(OR(履歴データ!$A$216="",履歴データ!$A$215=""),"",-50000*M216)</f>
        <v>300000</v>
      </c>
      <c r="W216" s="11">
        <f>IF(OR(履歴データ!$A$216="",履歴データ!$A$215=""),"",-40000*N216)</f>
        <v>279999.99999999756</v>
      </c>
      <c r="X216" s="11">
        <f>IF(OR(履歴データ!$A$216="",履歴データ!$A$215=""),"",120*1000000*(-Q216/H215))</f>
        <v>-325622.02692478563</v>
      </c>
      <c r="Y216" s="11">
        <f>IF(OR(履歴データ!$A$216="",履歴データ!$A$215=""),"",40000*(-S216)+(-506.3)*R216*1000)</f>
        <v>257157.81249999942</v>
      </c>
      <c r="Z216" s="11">
        <f>IF(OR(履歴データ!$A$216="",履歴データ!$A$215=""),"",-40000*O216)</f>
        <v>63999.999999999774</v>
      </c>
      <c r="AA216" s="11">
        <f>IF(OR(履歴データ!$A$216="",履歴データ!$A$215=""),"",-40000*P216)</f>
        <v>-52152.856445310361</v>
      </c>
      <c r="AB216" s="11">
        <f>IF(履歴データ!$A$216="","",123.3)</f>
        <v>123.3</v>
      </c>
      <c r="AC216">
        <f>IF(履歴データ!$A$216="","",SUM(T216:AA216))</f>
        <v>844382.92912990053</v>
      </c>
      <c r="AD216" s="29">
        <f>IF(履歴データ!$A$216="","",AC216/1000000)</f>
        <v>0.84438292912990054</v>
      </c>
      <c r="AE216" s="29">
        <f>IF(履歴データ!$A$216="",AE215,AE215+AC216/1000000)</f>
        <v>81.187427608822659</v>
      </c>
      <c r="AF216" s="12">
        <f>IF(OR(履歴データ!$A$216="",AE215=0),"",(AE216-AE215)/AE215)</f>
        <v>1.050972031861932E-2</v>
      </c>
      <c r="AG216" s="29">
        <f t="shared" si="11"/>
        <v>102.17217746631495</v>
      </c>
      <c r="AH216" s="12">
        <f>IF(OR(履歴データ!$A$216="",AG216=0),"",AE216/AG216-1)</f>
        <v>-0.20538614697147595</v>
      </c>
      <c r="AJ216" s="28">
        <f t="shared" ca="1" si="9"/>
        <v>-22.021998075544104</v>
      </c>
      <c r="AK216" s="28">
        <f t="shared" ca="1" si="10"/>
        <v>-57.164048436083803</v>
      </c>
    </row>
    <row r="217" spans="1:37">
      <c r="A217" s="10">
        <f>IF(履歴データ!$A$217="","",履歴データ!$A$217)</f>
        <v>45239</v>
      </c>
      <c r="B217" s="28">
        <f>IF(履歴データ!$A$217="","",(履歴データ!$D$217-(履歴データ!$B$217+履歴データ!$F$217)/2)*100)</f>
        <v>-28.000000000000025</v>
      </c>
      <c r="C217" s="28">
        <f>IF(履歴データ!$A$217="","",(履歴データ!$H$217-(履歴データ!$G$217+履歴データ!$J$217)/2)*100)</f>
        <v>-7.3500000000000014</v>
      </c>
      <c r="D217" s="28">
        <f>IF(履歴データ!$A$217="","",(履歴データ!$D$217-履歴データ!$H$217)*100)</f>
        <v>377.7</v>
      </c>
      <c r="E217" s="28">
        <f>IF(履歴データ!$A$217="","",(履歴データ!$D$217-履歴データ!$C$217)*100)</f>
        <v>-3.0000000000000249</v>
      </c>
      <c r="F217" s="28">
        <f>IF(履歴データ!$A$217="","",(履歴データ!$R$217-履歴データ!$D$217)*100)</f>
        <v>-243.9</v>
      </c>
      <c r="G217" s="28">
        <f>IF(履歴データ!$A$217="","",(履歴データ!$S$217-履歴データ!$R$217)*100)</f>
        <v>-146.13400000000024</v>
      </c>
      <c r="H217" s="29">
        <f>IF(履歴データ!$A$217="","",履歴データ!$O$217)</f>
        <v>150.86399841308594</v>
      </c>
      <c r="I217" s="29">
        <f>IF(履歴データ!$A$217="","",履歴データ!$Q$217)</f>
        <v>107.53125</v>
      </c>
      <c r="J217" s="29">
        <f>IF(履歴データ!$A$217="","",履歴データ!$D$217)</f>
        <v>4.62</v>
      </c>
      <c r="K217" s="28">
        <f>IF(OR(履歴データ!$A$217="",履歴データ!$A$216=""),"",B217-B216)</f>
        <v>1.499999999999968</v>
      </c>
      <c r="L217" s="28">
        <f>IF(OR(履歴データ!$A$217="",履歴データ!$A$216=""),"",C217-C216)</f>
        <v>1.9499999999999957</v>
      </c>
      <c r="M217" s="28">
        <f>IF(OR(履歴データ!$A$217="",履歴データ!$A$216=""),"",D217-D216)</f>
        <v>13.899999999999977</v>
      </c>
      <c r="N217" s="28">
        <f>IF(OR(履歴データ!$A$217="",履歴データ!$A$216=""),"",E217-E216)</f>
        <v>-1.0000000000000675</v>
      </c>
      <c r="O217" s="28">
        <f>IF(OR(履歴データ!$A$217="",履歴データ!$A$216=""),"",F217-F216)</f>
        <v>-21.930000000000007</v>
      </c>
      <c r="P217" s="28">
        <f>IF(OR(履歴データ!$A$217="",履歴データ!$A$216=""),"",G217-G216)</f>
        <v>6.8251785888672032</v>
      </c>
      <c r="Q217" s="29">
        <f>IF(OR(履歴データ!$A$217="",履歴データ!$A$216=""),"",H217-H216)</f>
        <v>0.4680023193359375</v>
      </c>
      <c r="R217" s="29">
        <f>IF(OR(履歴データ!$A$217="",履歴データ!$A$216=""),"",I217-I216)</f>
        <v>-0.796875</v>
      </c>
      <c r="S217" s="28">
        <f>IF(OR(履歴データ!$A$217="",履歴データ!$A$216=""),"",(J217-J216)*100)</f>
        <v>12.999999999999989</v>
      </c>
      <c r="T217" s="11">
        <f>IF(OR(履歴データ!$A$217="",履歴データ!$A$216=""),"",-80000*K217)</f>
        <v>-119999.99999999744</v>
      </c>
      <c r="U217" s="11">
        <f>IF(OR(履歴データ!$A$217="",履歴データ!$A$216=""),"",60000*L217)</f>
        <v>116999.99999999974</v>
      </c>
      <c r="V217" s="11">
        <f>IF(OR(履歴データ!$A$217="",履歴データ!$A$216=""),"",-50000*M217)</f>
        <v>-694999.99999999884</v>
      </c>
      <c r="W217" s="11">
        <f>IF(OR(履歴データ!$A$217="",履歴データ!$A$216=""),"",-40000*N217)</f>
        <v>40000.000000002699</v>
      </c>
      <c r="X217" s="11">
        <f>IF(OR(履歴データ!$A$217="",履歴データ!$A$216=""),"",120*1000000*(-Q217/H216))</f>
        <v>-373416.04682949634</v>
      </c>
      <c r="Y217" s="11">
        <f>IF(OR(履歴データ!$A$217="",履歴データ!$A$216=""),"",40000*(-S217)+(-506.3)*R217*1000)</f>
        <v>-116542.18749999959</v>
      </c>
      <c r="Z217" s="11">
        <f>IF(OR(履歴データ!$A$217="",履歴データ!$A$216=""),"",-40000*O217)</f>
        <v>877200.00000000023</v>
      </c>
      <c r="AA217" s="11">
        <f>IF(OR(履歴データ!$A$217="",履歴データ!$A$216=""),"",-40000*P217)</f>
        <v>-273007.14355468814</v>
      </c>
      <c r="AB217" s="11">
        <f>IF(履歴データ!$A$217="","",123.3)</f>
        <v>123.3</v>
      </c>
      <c r="AC217">
        <f>IF(履歴データ!$A$217="","",SUM(T217:AA217))</f>
        <v>-543765.37788417772</v>
      </c>
      <c r="AD217" s="29">
        <f>IF(履歴データ!$A$217="","",AC217/1000000)</f>
        <v>-0.54376537788417767</v>
      </c>
      <c r="AE217" s="29">
        <f>IF(履歴データ!$A$217="",AE216,AE216+AC217/1000000)</f>
        <v>80.643662230938489</v>
      </c>
      <c r="AF217" s="12">
        <f>IF(OR(履歴データ!$A$217="",AE216=0),"",(AE217-AE216)/AE216)</f>
        <v>-6.6976549682561878E-3</v>
      </c>
      <c r="AG217" s="29">
        <f t="shared" si="11"/>
        <v>102.17217746631495</v>
      </c>
      <c r="AH217" s="12">
        <f>IF(OR(履歴データ!$A$217="",AG217=0),"",AE217/AG217-1)</f>
        <v>-0.21070819639205762</v>
      </c>
      <c r="AJ217" s="28">
        <f t="shared" ca="1" si="9"/>
        <v>-21.938392306518779</v>
      </c>
      <c r="AK217" s="28">
        <f t="shared" ca="1" si="10"/>
        <v>-57.140311397184931</v>
      </c>
    </row>
    <row r="218" spans="1:37">
      <c r="A218" s="10">
        <f>IF(履歴データ!$A$218="","",履歴データ!$A$218)</f>
        <v>45240</v>
      </c>
      <c r="B218" s="28">
        <f>IF(履歴データ!$A$218="","",(履歴データ!$D$218-(履歴データ!$B$218+履歴データ!$F$218)/2)*100)</f>
        <v>-27.499999999999947</v>
      </c>
      <c r="C218" s="28">
        <f>IF(履歴データ!$A$218="","",(履歴データ!$H$218-(履歴データ!$G$218+履歴データ!$J$218)/2)*100)</f>
        <v>-6.650000000000011</v>
      </c>
      <c r="D218" s="28">
        <f>IF(履歴データ!$A$218="","",(履歴データ!$D$218-履歴データ!$H$218)*100)</f>
        <v>375.1</v>
      </c>
      <c r="E218" s="28">
        <f>IF(履歴データ!$A$218="","",(履歴データ!$D$218-履歴データ!$C$218)*100)</f>
        <v>-4.0000000000000036</v>
      </c>
      <c r="F218" s="28">
        <f>IF(履歴データ!$A$218="","",(履歴データ!$R$218-履歴データ!$D$218)*100)</f>
        <v>-241.10000000000005</v>
      </c>
      <c r="G218" s="28">
        <f>IF(履歴データ!$A$218="","",(履歴データ!$S$218-履歴データ!$R$218)*100)</f>
        <v>-143.54899999999998</v>
      </c>
      <c r="H218" s="29">
        <f>IF(履歴データ!$A$218="","",履歴データ!$O$218)</f>
        <v>151.3489990234375</v>
      </c>
      <c r="I218" s="29">
        <f>IF(履歴データ!$A$218="","",履歴データ!$Q$218)</f>
        <v>107.421875</v>
      </c>
      <c r="J218" s="29">
        <f>IF(履歴データ!$A$218="","",履歴データ!$D$218)</f>
        <v>4.6100000000000003</v>
      </c>
      <c r="K218" s="28">
        <f>IF(OR(履歴データ!$A$218="",履歴データ!$A$217=""),"",B218-B217)</f>
        <v>0.50000000000007816</v>
      </c>
      <c r="L218" s="28">
        <f>IF(OR(履歴データ!$A$218="",履歴データ!$A$217=""),"",C218-C217)</f>
        <v>0.69999999999999041</v>
      </c>
      <c r="M218" s="28">
        <f>IF(OR(履歴データ!$A$218="",履歴データ!$A$217=""),"",D218-D217)</f>
        <v>-2.5999999999999659</v>
      </c>
      <c r="N218" s="28">
        <f>IF(OR(履歴データ!$A$218="",履歴データ!$A$217=""),"",E218-E217)</f>
        <v>-0.99999999999997868</v>
      </c>
      <c r="O218" s="28">
        <f>IF(OR(履歴データ!$A$218="",履歴データ!$A$217=""),"",F218-F217)</f>
        <v>2.7999999999999545</v>
      </c>
      <c r="P218" s="28">
        <f>IF(OR(履歴データ!$A$218="",履歴データ!$A$217=""),"",G218-G217)</f>
        <v>2.5850000000002638</v>
      </c>
      <c r="Q218" s="29">
        <f>IF(OR(履歴データ!$A$218="",履歴データ!$A$217=""),"",H218-H217)</f>
        <v>0.4850006103515625</v>
      </c>
      <c r="R218" s="29">
        <f>IF(OR(履歴データ!$A$218="",履歴データ!$A$217=""),"",I218-I217)</f>
        <v>-0.109375</v>
      </c>
      <c r="S218" s="28">
        <f>IF(OR(履歴データ!$A$218="",履歴データ!$A$217=""),"",(J218-J217)*100)</f>
        <v>-0.99999999999997868</v>
      </c>
      <c r="T218" s="11">
        <f>IF(OR(履歴データ!$A$218="",履歴データ!$A$217=""),"",-80000*K218)</f>
        <v>-40000.00000000625</v>
      </c>
      <c r="U218" s="11">
        <f>IF(OR(履歴データ!$A$218="",履歴データ!$A$217=""),"",60000*L218)</f>
        <v>41999.999999999425</v>
      </c>
      <c r="V218" s="11">
        <f>IF(OR(履歴データ!$A$218="",履歴データ!$A$217=""),"",-50000*M218)</f>
        <v>129999.9999999983</v>
      </c>
      <c r="W218" s="11">
        <f>IF(OR(履歴データ!$A$218="",履歴データ!$A$217=""),"",-40000*N218)</f>
        <v>39999.999999999149</v>
      </c>
      <c r="X218" s="11">
        <f>IF(OR(履歴データ!$A$218="",履歴データ!$A$217=""),"",120*1000000*(-Q218/H217))</f>
        <v>-385778.40872828965</v>
      </c>
      <c r="Y218" s="11">
        <f>IF(OR(履歴データ!$A$218="",履歴データ!$A$217=""),"",40000*(-S218)+(-506.3)*R218*1000)</f>
        <v>95376.562499999156</v>
      </c>
      <c r="Z218" s="11">
        <f>IF(OR(履歴データ!$A$218="",履歴データ!$A$217=""),"",-40000*O218)</f>
        <v>-111999.99999999818</v>
      </c>
      <c r="AA218" s="11">
        <f>IF(OR(履歴データ!$A$218="",履歴データ!$A$217=""),"",-40000*P218)</f>
        <v>-103400.00000001055</v>
      </c>
      <c r="AB218" s="11">
        <f>IF(履歴データ!$A$218="","",123.3)</f>
        <v>123.3</v>
      </c>
      <c r="AC218">
        <f>IF(履歴データ!$A$218="","",SUM(T218:AA218))</f>
        <v>-333801.84622830857</v>
      </c>
      <c r="AD218" s="29">
        <f>IF(履歴データ!$A$218="","",AC218/1000000)</f>
        <v>-0.33380184622830855</v>
      </c>
      <c r="AE218" s="29">
        <f>IF(履歴データ!$A$218="",AE217,AE217+AC218/1000000)</f>
        <v>80.309860384710177</v>
      </c>
      <c r="AF218" s="12">
        <f>IF(OR(履歴データ!$A$218="",AE217=0),"",(AE218-AE217)/AE217)</f>
        <v>-4.1392198344416264E-3</v>
      </c>
      <c r="AG218" s="29">
        <f t="shared" si="11"/>
        <v>102.17217746631495</v>
      </c>
      <c r="AH218" s="12">
        <f>IF(OR(履歴データ!$A$218="",AG218=0),"",AE218/AG218-1)</f>
        <v>-0.21397524868071383</v>
      </c>
      <c r="AJ218" s="28">
        <f t="shared" ca="1" si="9"/>
        <v>-21.847789713473222</v>
      </c>
      <c r="AK218" s="28">
        <f t="shared" ca="1" si="10"/>
        <v>-57.119952222010653</v>
      </c>
    </row>
    <row r="219" spans="1:37">
      <c r="A219" s="10">
        <f>IF(履歴データ!$A$219="","",履歴データ!$A$219)</f>
        <v>45243</v>
      </c>
      <c r="B219" s="28">
        <f>IF(履歴データ!$A$219="","",(履歴データ!$D$219-(履歴データ!$B$219+履歴データ!$F$219)/2)*100)</f>
        <v>-25.499999999999989</v>
      </c>
      <c r="C219" s="28">
        <f>IF(履歴データ!$A$219="","",(履歴データ!$H$219-(履歴データ!$G$219+履歴データ!$J$219)/2)*100)</f>
        <v>-5.8999999999999941</v>
      </c>
      <c r="D219" s="28">
        <f>IF(履歴データ!$A$219="","",(履歴データ!$D$219-履歴データ!$H$219)*100)</f>
        <v>375.09999999999997</v>
      </c>
      <c r="E219" s="28">
        <f>IF(履歴データ!$A$219="","",(履歴データ!$D$219-履歴データ!$C$219)*100)</f>
        <v>-3.0000000000000249</v>
      </c>
      <c r="F219" s="28">
        <f>IF(履歴データ!$A$219="","",(履歴データ!$R$219-履歴データ!$D$219)*100)</f>
        <v>-240.87</v>
      </c>
      <c r="G219" s="28">
        <f>IF(履歴データ!$A$219="","",(履歴データ!$S$219-履歴データ!$R$219)*100)</f>
        <v>-141.04317858886728</v>
      </c>
      <c r="H219" s="29">
        <f>IF(履歴データ!$A$219="","",履歴データ!$O$219)</f>
        <v>151.468994140625</v>
      </c>
      <c r="I219" s="29">
        <f>IF(履歴データ!$A$219="","",履歴データ!$Q$219)</f>
        <v>107.4375</v>
      </c>
      <c r="J219" s="29">
        <f>IF(履歴データ!$A$219="","",履歴データ!$D$219)</f>
        <v>4.63</v>
      </c>
      <c r="K219" s="28">
        <f>IF(OR(履歴データ!$A$219="",履歴データ!$A$218=""),"",B219-B218)</f>
        <v>1.9999999999999574</v>
      </c>
      <c r="L219" s="28">
        <f>IF(OR(履歴データ!$A$219="",履歴データ!$A$218=""),"",C219-C218)</f>
        <v>0.75000000000001688</v>
      </c>
      <c r="M219" s="28">
        <f>IF(OR(履歴データ!$A$219="",履歴データ!$A$218=""),"",D219-D218)</f>
        <v>-5.6843418860808015E-14</v>
      </c>
      <c r="N219" s="28">
        <f>IF(OR(履歴データ!$A$219="",履歴データ!$A$218=""),"",E219-E218)</f>
        <v>0.99999999999997868</v>
      </c>
      <c r="O219" s="28">
        <f>IF(OR(履歴データ!$A$219="",履歴データ!$A$218=""),"",F219-F218)</f>
        <v>0.23000000000004661</v>
      </c>
      <c r="P219" s="28">
        <f>IF(OR(履歴データ!$A$219="",履歴データ!$A$218=""),"",G219-G218)</f>
        <v>2.5058214111327004</v>
      </c>
      <c r="Q219" s="29">
        <f>IF(OR(履歴データ!$A$219="",履歴データ!$A$218=""),"",H219-H218)</f>
        <v>0.1199951171875</v>
      </c>
      <c r="R219" s="29">
        <f>IF(OR(履歴データ!$A$219="",履歴データ!$A$218=""),"",I219-I218)</f>
        <v>1.5625E-2</v>
      </c>
      <c r="S219" s="28">
        <f>IF(OR(履歴データ!$A$219="",履歴データ!$A$218=""),"",(J219-J218)*100)</f>
        <v>1.9999999999999574</v>
      </c>
      <c r="T219" s="11">
        <f>IF(OR(履歴データ!$A$219="",履歴データ!$A$218=""),"",-80000*K219)</f>
        <v>-159999.99999999659</v>
      </c>
      <c r="U219" s="11">
        <f>IF(OR(履歴データ!$A$219="",履歴データ!$A$218=""),"",60000*L219)</f>
        <v>45000.000000001011</v>
      </c>
      <c r="V219" s="11">
        <f>IF(OR(履歴データ!$A$219="",履歴データ!$A$218=""),"",-50000*M219)</f>
        <v>2.8421709430404007E-9</v>
      </c>
      <c r="W219" s="11">
        <f>IF(OR(履歴データ!$A$219="",履歴データ!$A$218=""),"",-40000*N219)</f>
        <v>-39999.999999999149</v>
      </c>
      <c r="X219" s="11">
        <f>IF(OR(履歴データ!$A$219="",履歴データ!$A$218=""),"",120*1000000*(-Q219/H218))</f>
        <v>-95140.464459035808</v>
      </c>
      <c r="Y219" s="11">
        <f>IF(OR(履歴データ!$A$219="",履歴データ!$A$218=""),"",40000*(-S219)+(-506.3)*R219*1000)</f>
        <v>-87910.937499998297</v>
      </c>
      <c r="Z219" s="11">
        <f>IF(OR(履歴データ!$A$219="",履歴データ!$A$218=""),"",-40000*O219)</f>
        <v>-9200.0000000018645</v>
      </c>
      <c r="AA219" s="11">
        <f>IF(OR(履歴データ!$A$219="",履歴データ!$A$218=""),"",-40000*P219)</f>
        <v>-100232.85644530802</v>
      </c>
      <c r="AB219" s="11">
        <f>IF(履歴データ!$A$219="","",123.3)</f>
        <v>123.3</v>
      </c>
      <c r="AC219">
        <f>IF(履歴データ!$A$219="","",SUM(T219:AA219))</f>
        <v>-447484.25840433588</v>
      </c>
      <c r="AD219" s="29">
        <f>IF(履歴データ!$A$219="","",AC219/1000000)</f>
        <v>-0.44748425840433587</v>
      </c>
      <c r="AE219" s="29">
        <f>IF(履歴データ!$A$219="",AE218,AE218+AC219/1000000)</f>
        <v>79.862376126305847</v>
      </c>
      <c r="AF219" s="12">
        <f>IF(OR(履歴データ!$A$219="",AE218=0),"",(AE219-AE218)/AE218)</f>
        <v>-5.571971564397398E-3</v>
      </c>
      <c r="AG219" s="29">
        <f t="shared" si="11"/>
        <v>102.17217746631495</v>
      </c>
      <c r="AH219" s="12">
        <f>IF(OR(履歴データ!$A$219="",AG219=0),"",AE219/AG219-1)</f>
        <v>-0.21835495624397749</v>
      </c>
      <c r="AJ219" s="28">
        <f t="shared" ca="1" si="9"/>
        <v>-21.722660428454162</v>
      </c>
      <c r="AK219" s="28">
        <f t="shared" ca="1" si="10"/>
        <v>-57.116789112830247</v>
      </c>
    </row>
    <row r="220" spans="1:37">
      <c r="A220" s="10">
        <f>IF(履歴データ!$A$220="","",履歴データ!$A$220)</f>
        <v>45244</v>
      </c>
      <c r="B220" s="28">
        <f>IF(履歴データ!$A$220="","",(履歴データ!$D$220-(履歴データ!$B$220+履歴データ!$F$220)/2)*100)</f>
        <v>-26.499999999999968</v>
      </c>
      <c r="C220" s="28">
        <f>IF(履歴データ!$A$220="","",(履歴データ!$H$220-(履歴データ!$G$220+履歴データ!$J$220)/2)*100)</f>
        <v>-6.7999999999999954</v>
      </c>
      <c r="D220" s="28">
        <f>IF(履歴データ!$A$220="","",(履歴データ!$D$220-履歴データ!$H$220)*100)</f>
        <v>358.00000000000006</v>
      </c>
      <c r="E220" s="28">
        <f>IF(履歴データ!$A$220="","",(履歴データ!$D$220-履歴データ!$C$220)*100)</f>
        <v>2.0000000000000462</v>
      </c>
      <c r="F220" s="28">
        <f>IF(履歴データ!$A$220="","",(履歴データ!$R$220-履歴データ!$D$220)*100)</f>
        <v>-217.83000000000007</v>
      </c>
      <c r="G220" s="28">
        <f>IF(履歴データ!$A$220="","",(履歴データ!$S$220-履歴データ!$R$220)*100)</f>
        <v>-148.94200000000012</v>
      </c>
      <c r="H220" s="29">
        <f>IF(履歴データ!$A$220="","",履歴データ!$O$220)</f>
        <v>151.64599609375</v>
      </c>
      <c r="I220" s="29">
        <f>IF(履歴データ!$A$220="","",履歴データ!$Q$220)</f>
        <v>108.90625</v>
      </c>
      <c r="J220" s="29">
        <f>IF(履歴データ!$A$220="","",履歴データ!$D$220)</f>
        <v>4.4400000000000004</v>
      </c>
      <c r="K220" s="28">
        <f>IF(OR(履歴データ!$A$220="",履歴データ!$A$219=""),"",B220-B219)</f>
        <v>-0.99999999999997868</v>
      </c>
      <c r="L220" s="28">
        <f>IF(OR(履歴データ!$A$220="",履歴データ!$A$219=""),"",C220-C219)</f>
        <v>-0.90000000000000124</v>
      </c>
      <c r="M220" s="28">
        <f>IF(OR(履歴データ!$A$220="",履歴データ!$A$219=""),"",D220-D219)</f>
        <v>-17.099999999999909</v>
      </c>
      <c r="N220" s="28">
        <f>IF(OR(履歴データ!$A$220="",履歴データ!$A$219=""),"",E220-E219)</f>
        <v>5.0000000000000711</v>
      </c>
      <c r="O220" s="28">
        <f>IF(OR(履歴データ!$A$220="",履歴データ!$A$219=""),"",F220-F219)</f>
        <v>23.039999999999935</v>
      </c>
      <c r="P220" s="28">
        <f>IF(OR(履歴データ!$A$220="",履歴データ!$A$219=""),"",G220-G219)</f>
        <v>-7.8988214111328432</v>
      </c>
      <c r="Q220" s="29">
        <f>IF(OR(履歴データ!$A$220="",履歴データ!$A$219=""),"",H220-H219)</f>
        <v>0.177001953125</v>
      </c>
      <c r="R220" s="29">
        <f>IF(OR(履歴データ!$A$220="",履歴データ!$A$219=""),"",I220-I219)</f>
        <v>1.46875</v>
      </c>
      <c r="S220" s="28">
        <f>IF(OR(履歴データ!$A$220="",履歴データ!$A$219=""),"",(J220-J219)*100)</f>
        <v>-18.99999999999995</v>
      </c>
      <c r="T220" s="11">
        <f>IF(OR(履歴データ!$A$220="",履歴データ!$A$219=""),"",-80000*K220)</f>
        <v>79999.999999998297</v>
      </c>
      <c r="U220" s="11">
        <f>IF(OR(履歴データ!$A$220="",履歴データ!$A$219=""),"",60000*L220)</f>
        <v>-54000.000000000073</v>
      </c>
      <c r="V220" s="11">
        <f>IF(OR(履歴データ!$A$220="",履歴データ!$A$219=""),"",-50000*M220)</f>
        <v>854999.99999999546</v>
      </c>
      <c r="W220" s="11">
        <f>IF(OR(履歴データ!$A$220="",履歴データ!$A$219=""),"",-40000*N220)</f>
        <v>-200000.00000000285</v>
      </c>
      <c r="X220" s="11">
        <f>IF(OR(履歴データ!$A$220="",履歴データ!$A$219=""),"",120*1000000*(-Q220/H219))</f>
        <v>-140228.26582766106</v>
      </c>
      <c r="Y220" s="11">
        <f>IF(OR(履歴データ!$A$220="",履歴データ!$A$219=""),"",40000*(-S220)+(-506.3)*R220*1000)</f>
        <v>16371.874999997905</v>
      </c>
      <c r="Z220" s="11">
        <f>IF(OR(履歴データ!$A$220="",履歴データ!$A$219=""),"",-40000*O220)</f>
        <v>-921599.99999999744</v>
      </c>
      <c r="AA220" s="11">
        <f>IF(OR(履歴データ!$A$220="",履歴データ!$A$219=""),"",-40000*P220)</f>
        <v>315952.85644531372</v>
      </c>
      <c r="AB220" s="11">
        <f>IF(履歴データ!$A$220="","",123.3)</f>
        <v>123.3</v>
      </c>
      <c r="AC220">
        <f>IF(履歴データ!$A$220="","",SUM(T220:AA220))</f>
        <v>-48503.534382355923</v>
      </c>
      <c r="AD220" s="29">
        <f>IF(履歴データ!$A$220="","",AC220/1000000)</f>
        <v>-4.8503534382355926E-2</v>
      </c>
      <c r="AE220" s="29">
        <f>IF(履歴データ!$A$220="",AE219,AE219+AC220/1000000)</f>
        <v>79.813872591923484</v>
      </c>
      <c r="AF220" s="12">
        <f>IF(OR(履歴データ!$A$220="",AE219=0),"",(AE220-AE219)/AE219)</f>
        <v>-6.0733898407495511E-4</v>
      </c>
      <c r="AG220" s="29">
        <f t="shared" si="11"/>
        <v>102.17217746631495</v>
      </c>
      <c r="AH220" s="12">
        <f>IF(OR(履歴データ!$A$220="",AG220=0),"",AE220/AG220-1)</f>
        <v>-0.21882967975075951</v>
      </c>
      <c r="AJ220" s="28">
        <f t="shared" ca="1" si="9"/>
        <v>-21.618177027971658</v>
      </c>
      <c r="AK220" s="28">
        <f t="shared" ca="1" si="10"/>
        <v>-57.103284159242961</v>
      </c>
    </row>
    <row r="221" spans="1:37">
      <c r="A221" s="10">
        <f>IF(履歴データ!$A$221="","",履歴データ!$A$221)</f>
        <v>45245</v>
      </c>
      <c r="B221" s="28">
        <f>IF(履歴データ!$A$221="","",(履歴データ!$D$221-(履歴データ!$B$221+履歴データ!$F$221)/2)*100)</f>
        <v>-25.999999999999979</v>
      </c>
      <c r="C221" s="28">
        <f>IF(履歴データ!$A$221="","",(履歴データ!$H$221-(履歴データ!$G$221+履歴データ!$J$221)/2)*100)</f>
        <v>-8.5999999999999961</v>
      </c>
      <c r="D221" s="28">
        <f>IF(履歴データ!$A$221="","",(履歴データ!$D$221-履歴データ!$H$221)*100)</f>
        <v>372.3</v>
      </c>
      <c r="E221" s="28">
        <f>IF(履歴データ!$A$221="","",(履歴データ!$D$221-履歴データ!$C$221)*100)</f>
        <v>1.0000000000000675</v>
      </c>
      <c r="F221" s="28">
        <f>IF(履歴データ!$A$221="","",(履歴データ!$R$221-履歴データ!$D$221)*100)</f>
        <v>-236.82000000000002</v>
      </c>
      <c r="G221" s="28">
        <f>IF(履歴データ!$A$221="","",(履歴データ!$S$221-履歴データ!$R$221)*100)</f>
        <v>-150.70382141113296</v>
      </c>
      <c r="H221" s="29">
        <f>IF(履歴データ!$A$221="","",履歴データ!$O$221)</f>
        <v>150.48500061035156</v>
      </c>
      <c r="I221" s="29">
        <f>IF(履歴データ!$A$221="","",履歴データ!$Q$221)</f>
        <v>108.21875</v>
      </c>
      <c r="J221" s="29">
        <f>IF(履歴データ!$A$221="","",履歴データ!$D$221)</f>
        <v>4.53</v>
      </c>
      <c r="K221" s="28">
        <f>IF(OR(履歴データ!$A$221="",履歴データ!$A$220=""),"",B221-B220)</f>
        <v>0.49999999999998934</v>
      </c>
      <c r="L221" s="28">
        <f>IF(OR(履歴データ!$A$221="",履歴データ!$A$220=""),"",C221-C220)</f>
        <v>-1.8000000000000007</v>
      </c>
      <c r="M221" s="28">
        <f>IF(OR(履歴データ!$A$221="",履歴データ!$A$220=""),"",D221-D220)</f>
        <v>14.299999999999955</v>
      </c>
      <c r="N221" s="28">
        <f>IF(OR(履歴データ!$A$221="",履歴データ!$A$220=""),"",E221-E220)</f>
        <v>-0.99999999999997868</v>
      </c>
      <c r="O221" s="28">
        <f>IF(OR(履歴データ!$A$221="",履歴データ!$A$220=""),"",F221-F220)</f>
        <v>-18.989999999999952</v>
      </c>
      <c r="P221" s="28">
        <f>IF(OR(履歴データ!$A$221="",履歴データ!$A$220=""),"",G221-G220)</f>
        <v>-1.7618214111328427</v>
      </c>
      <c r="Q221" s="29">
        <f>IF(OR(履歴データ!$A$221="",履歴データ!$A$220=""),"",H221-H220)</f>
        <v>-1.1609954833984375</v>
      </c>
      <c r="R221" s="29">
        <f>IF(OR(履歴データ!$A$221="",履歴データ!$A$220=""),"",I221-I220)</f>
        <v>-0.6875</v>
      </c>
      <c r="S221" s="28">
        <f>IF(OR(履歴データ!$A$221="",履歴データ!$A$220=""),"",(J221-J220)*100)</f>
        <v>8.9999999999999858</v>
      </c>
      <c r="T221" s="11">
        <f>IF(OR(履歴データ!$A$221="",履歴データ!$A$220=""),"",-80000*K221)</f>
        <v>-39999.999999999149</v>
      </c>
      <c r="U221" s="11">
        <f>IF(OR(履歴データ!$A$221="",履歴データ!$A$220=""),"",60000*L221)</f>
        <v>-108000.00000000004</v>
      </c>
      <c r="V221" s="11">
        <f>IF(OR(履歴データ!$A$221="",履歴データ!$A$220=""),"",-50000*M221)</f>
        <v>-714999.99999999767</v>
      </c>
      <c r="W221" s="11">
        <f>IF(OR(履歴データ!$A$221="",履歴データ!$A$220=""),"",-40000*N221)</f>
        <v>39999.999999999149</v>
      </c>
      <c r="X221" s="11">
        <f>IF(OR(履歴データ!$A$221="",履歴データ!$A$220=""),"",120*1000000*(-Q221/H220))</f>
        <v>918715.04422499193</v>
      </c>
      <c r="Y221" s="11">
        <f>IF(OR(履歴データ!$A$221="",履歴データ!$A$220=""),"",40000*(-S221)+(-506.3)*R221*1000)</f>
        <v>-11918.749999999418</v>
      </c>
      <c r="Z221" s="11">
        <f>IF(OR(履歴データ!$A$221="",履歴データ!$A$220=""),"",-40000*O221)</f>
        <v>759599.99999999814</v>
      </c>
      <c r="AA221" s="11">
        <f>IF(OR(履歴データ!$A$221="",履歴データ!$A$220=""),"",-40000*P221)</f>
        <v>70472.856445313708</v>
      </c>
      <c r="AB221" s="11">
        <f>IF(履歴データ!$A$221="","",123.3)</f>
        <v>123.3</v>
      </c>
      <c r="AC221">
        <f>IF(履歴データ!$A$221="","",SUM(T221:AA221))</f>
        <v>913869.15067030664</v>
      </c>
      <c r="AD221" s="29">
        <f>IF(履歴データ!$A$221="","",AC221/1000000)</f>
        <v>0.91386915067030661</v>
      </c>
      <c r="AE221" s="29">
        <f>IF(履歴データ!$A$221="",AE220,AE220+AC221/1000000)</f>
        <v>80.727741742593793</v>
      </c>
      <c r="AF221" s="12">
        <f>IF(OR(履歴データ!$A$221="",AE220=0),"",(AE221-AE220)/AE220)</f>
        <v>1.1450003877681591E-2</v>
      </c>
      <c r="AG221" s="29">
        <f t="shared" si="11"/>
        <v>102.17217746631495</v>
      </c>
      <c r="AH221" s="12">
        <f>IF(OR(履歴データ!$A$221="",AG221=0),"",AE221/AG221-1)</f>
        <v>-0.20988527655477596</v>
      </c>
      <c r="AJ221" s="28">
        <f t="shared" ca="1" si="9"/>
        <v>-21.506563212969109</v>
      </c>
      <c r="AK221" s="28">
        <f t="shared" ca="1" si="10"/>
        <v>-57.093436787030882</v>
      </c>
    </row>
    <row r="222" spans="1:37">
      <c r="A222" s="10">
        <f>IF(履歴データ!$A$222="","",履歴データ!$A$222)</f>
        <v>45246</v>
      </c>
      <c r="B222" s="28">
        <f>IF(履歴データ!$A$222="","",(履歴データ!$D$222-(履歴データ!$B$222+履歴データ!$F$222)/2)*100)</f>
        <v>-28.000000000000025</v>
      </c>
      <c r="C222" s="28">
        <f>IF(履歴データ!$A$222="","",(履歴データ!$H$222-(履歴データ!$G$222+履歴データ!$J$222)/2)*100)</f>
        <v>-9.4999999999999964</v>
      </c>
      <c r="D222" s="28">
        <f>IF(履歴データ!$A$222="","",(履歴データ!$D$222-履歴データ!$H$222)*100)</f>
        <v>365.2</v>
      </c>
      <c r="E222" s="28">
        <f>IF(履歴データ!$A$222="","",(履歴データ!$D$222-履歴データ!$C$222)*100)</f>
        <v>2.0000000000000462</v>
      </c>
      <c r="F222" s="28">
        <f>IF(履歴データ!$A$222="","",(履歴データ!$R$222-履歴データ!$D$222)*100)</f>
        <v>-230.36000000000004</v>
      </c>
      <c r="G222" s="28">
        <f>IF(履歴データ!$A$222="","",(履歴データ!$S$222-履歴データ!$R$222)*100)</f>
        <v>-149.51464282226573</v>
      </c>
      <c r="H222" s="29">
        <f>IF(履歴データ!$A$222="","",履歴データ!$O$222)</f>
        <v>151.21499633789063</v>
      </c>
      <c r="I222" s="29">
        <f>IF(履歴データ!$A$222="","",履歴データ!$Q$222)</f>
        <v>108.859375</v>
      </c>
      <c r="J222" s="29">
        <f>IF(履歴データ!$A$222="","",履歴データ!$D$222)</f>
        <v>4.45</v>
      </c>
      <c r="K222" s="28">
        <f>IF(OR(履歴データ!$A$222="",履歴データ!$A$221=""),"",B222-B221)</f>
        <v>-2.0000000000000462</v>
      </c>
      <c r="L222" s="28">
        <f>IF(OR(履歴データ!$A$222="",履歴データ!$A$221=""),"",C222-C221)</f>
        <v>-0.90000000000000036</v>
      </c>
      <c r="M222" s="28">
        <f>IF(OR(履歴データ!$A$222="",履歴データ!$A$221=""),"",D222-D221)</f>
        <v>-7.1000000000000227</v>
      </c>
      <c r="N222" s="28">
        <f>IF(OR(履歴データ!$A$222="",履歴データ!$A$221=""),"",E222-E221)</f>
        <v>0.99999999999997868</v>
      </c>
      <c r="O222" s="28">
        <f>IF(OR(履歴データ!$A$222="",履歴データ!$A$221=""),"",F222-F221)</f>
        <v>6.4599999999999795</v>
      </c>
      <c r="P222" s="28">
        <f>IF(OR(履歴データ!$A$222="",履歴データ!$A$221=""),"",G222-G221)</f>
        <v>1.1891785888672359</v>
      </c>
      <c r="Q222" s="29">
        <f>IF(OR(履歴データ!$A$222="",履歴データ!$A$221=""),"",H222-H221)</f>
        <v>0.7299957275390625</v>
      </c>
      <c r="R222" s="29">
        <f>IF(OR(履歴データ!$A$222="",履歴データ!$A$221=""),"",I222-I221)</f>
        <v>0.640625</v>
      </c>
      <c r="S222" s="28">
        <f>IF(OR(履歴データ!$A$222="",履歴データ!$A$221=""),"",(J222-J221)*100)</f>
        <v>-8.0000000000000071</v>
      </c>
      <c r="T222" s="11">
        <f>IF(OR(履歴データ!$A$222="",履歴データ!$A$221=""),"",-80000*K222)</f>
        <v>160000.0000000037</v>
      </c>
      <c r="U222" s="11">
        <f>IF(OR(履歴データ!$A$222="",履歴データ!$A$221=""),"",60000*L222)</f>
        <v>-54000.000000000022</v>
      </c>
      <c r="V222" s="11">
        <f>IF(OR(履歴データ!$A$222="",履歴データ!$A$221=""),"",-50000*M222)</f>
        <v>355000.00000000116</v>
      </c>
      <c r="W222" s="11">
        <f>IF(OR(履歴データ!$A$222="",履歴データ!$A$221=""),"",-40000*N222)</f>
        <v>-39999.999999999149</v>
      </c>
      <c r="X222" s="11">
        <f>IF(OR(履歴データ!$A$222="",履歴データ!$A$221=""),"",120*1000000*(-Q222/H221))</f>
        <v>-582114.40973780141</v>
      </c>
      <c r="Y222" s="11">
        <f>IF(OR(履歴データ!$A$222="",履歴データ!$A$221=""),"",40000*(-S222)+(-506.3)*R222*1000)</f>
        <v>-4348.437499999709</v>
      </c>
      <c r="Z222" s="11">
        <f>IF(OR(履歴データ!$A$222="",履歴データ!$A$221=""),"",-40000*O222)</f>
        <v>-258399.99999999919</v>
      </c>
      <c r="AA222" s="11">
        <f>IF(OR(履歴データ!$A$222="",履歴データ!$A$221=""),"",-40000*P222)</f>
        <v>-47567.143554689435</v>
      </c>
      <c r="AB222" s="11">
        <f>IF(履歴データ!$A$222="","",123.3)</f>
        <v>123.3</v>
      </c>
      <c r="AC222">
        <f>IF(履歴データ!$A$222="","",SUM(T222:AA222))</f>
        <v>-471429.99079248402</v>
      </c>
      <c r="AD222" s="29">
        <f>IF(履歴データ!$A$222="","",AC222/1000000)</f>
        <v>-0.47142999079248404</v>
      </c>
      <c r="AE222" s="29">
        <f>IF(履歴データ!$A$222="",AE221,AE221+AC222/1000000)</f>
        <v>80.256311751801306</v>
      </c>
      <c r="AF222" s="12">
        <f>IF(OR(履歴データ!$A$222="",AE221=0),"",(AE222-AE221)/AE221)</f>
        <v>-5.8397519937529686E-3</v>
      </c>
      <c r="AG222" s="29">
        <f t="shared" si="11"/>
        <v>102.17217746631495</v>
      </c>
      <c r="AH222" s="12">
        <f>IF(OR(履歴データ!$A$222="",AG222=0),"",AE222/AG222-1)</f>
        <v>-0.21449935058630876</v>
      </c>
      <c r="AJ222" s="28">
        <f t="shared" ca="1" si="9"/>
        <v>-21.430945107184844</v>
      </c>
      <c r="AK222" s="28">
        <f t="shared" ca="1" si="10"/>
        <v>-57.066792449376251</v>
      </c>
    </row>
    <row r="223" spans="1:37">
      <c r="A223" s="10">
        <f>IF(履歴データ!$A$223="","",履歴データ!$A$223)</f>
        <v>45247</v>
      </c>
      <c r="B223" s="28">
        <f>IF(履歴データ!$A$223="","",(履歴データ!$D$223-(履歴データ!$B$223+履歴データ!$F$223)/2)*100)</f>
        <v>-29.499999999999904</v>
      </c>
      <c r="C223" s="28">
        <f>IF(履歴データ!$A$223="","",(履歴データ!$H$223-(履歴データ!$G$223+履歴データ!$J$223)/2)*100)</f>
        <v>-10.499999999999998</v>
      </c>
      <c r="D223" s="28">
        <f>IF(履歴データ!$A$223="","",(履歴データ!$D$223-履歴データ!$H$223)*100)</f>
        <v>367.5</v>
      </c>
      <c r="E223" s="28">
        <f>IF(履歴データ!$A$223="","",(履歴データ!$D$223-履歴データ!$C$223)*100)</f>
        <v>-0.99999999999997868</v>
      </c>
      <c r="F223" s="28">
        <f>IF(履歴データ!$A$223="","",(履歴データ!$R$223-履歴データ!$D$223)*100)</f>
        <v>-238.69000000000003</v>
      </c>
      <c r="G223" s="28">
        <f>IF(履歴データ!$A$223="","",(履歴データ!$S$223-履歴データ!$R$223)*100)</f>
        <v>-146.84982141113312</v>
      </c>
      <c r="H223" s="29">
        <f>IF(履歴データ!$A$223="","",履歴データ!$O$223)</f>
        <v>150.70500183105469</v>
      </c>
      <c r="I223" s="29">
        <f>IF(履歴データ!$A$223="","",履歴データ!$Q$223)</f>
        <v>108.75</v>
      </c>
      <c r="J223" s="29">
        <f>IF(履歴データ!$A$223="","",履歴データ!$D$223)</f>
        <v>4.4400000000000004</v>
      </c>
      <c r="K223" s="28">
        <f>IF(OR(履歴データ!$A$223="",履歴データ!$A$222=""),"",B223-B222)</f>
        <v>-1.4999999999998792</v>
      </c>
      <c r="L223" s="28">
        <f>IF(OR(履歴データ!$A$223="",履歴データ!$A$222=""),"",C223-C222)</f>
        <v>-1.0000000000000018</v>
      </c>
      <c r="M223" s="28">
        <f>IF(OR(履歴データ!$A$223="",履歴データ!$A$222=""),"",D223-D222)</f>
        <v>2.3000000000000114</v>
      </c>
      <c r="N223" s="28">
        <f>IF(OR(履歴データ!$A$223="",履歴データ!$A$222=""),"",E223-E222)</f>
        <v>-3.0000000000000249</v>
      </c>
      <c r="O223" s="28">
        <f>IF(OR(履歴データ!$A$223="",履歴データ!$A$222=""),"",F223-F222)</f>
        <v>-8.3299999999999841</v>
      </c>
      <c r="P223" s="28">
        <f>IF(OR(履歴データ!$A$223="",履歴データ!$A$222=""),"",G223-G222)</f>
        <v>2.664821411132607</v>
      </c>
      <c r="Q223" s="29">
        <f>IF(OR(履歴データ!$A$223="",履歴データ!$A$222=""),"",H223-H222)</f>
        <v>-0.5099945068359375</v>
      </c>
      <c r="R223" s="29">
        <f>IF(OR(履歴データ!$A$223="",履歴データ!$A$222=""),"",I223-I222)</f>
        <v>-0.109375</v>
      </c>
      <c r="S223" s="28">
        <f>IF(OR(履歴データ!$A$223="",履歴データ!$A$222=""),"",(J223-J222)*100)</f>
        <v>-0.99999999999997868</v>
      </c>
      <c r="T223" s="11">
        <f>IF(OR(履歴データ!$A$223="",履歴データ!$A$222=""),"",-80000*K223)</f>
        <v>119999.99999999034</v>
      </c>
      <c r="U223" s="11">
        <f>IF(OR(履歴データ!$A$223="",履歴データ!$A$222=""),"",60000*L223)</f>
        <v>-60000.000000000109</v>
      </c>
      <c r="V223" s="11">
        <f>IF(OR(履歴データ!$A$223="",履歴データ!$A$222=""),"",-50000*M223)</f>
        <v>-115000.00000000057</v>
      </c>
      <c r="W223" s="11">
        <f>IF(OR(履歴データ!$A$223="",履歴データ!$A$222=""),"",-40000*N223)</f>
        <v>120000.00000000099</v>
      </c>
      <c r="X223" s="11">
        <f>IF(OR(履歴データ!$A$223="",履歴データ!$A$222=""),"",120*1000000*(-Q223/H222))</f>
        <v>404717.40437411563</v>
      </c>
      <c r="Y223" s="11">
        <f>IF(OR(履歴データ!$A$223="",履歴データ!$A$222=""),"",40000*(-S223)+(-506.3)*R223*1000)</f>
        <v>95376.562499999156</v>
      </c>
      <c r="Z223" s="11">
        <f>IF(OR(履歴データ!$A$223="",履歴データ!$A$222=""),"",-40000*O223)</f>
        <v>333199.99999999936</v>
      </c>
      <c r="AA223" s="11">
        <f>IF(OR(履歴データ!$A$223="",履歴データ!$A$222=""),"",-40000*P223)</f>
        <v>-106592.85644530428</v>
      </c>
      <c r="AB223" s="11">
        <f>IF(履歴データ!$A$223="","",123.3)</f>
        <v>123.3</v>
      </c>
      <c r="AC223">
        <f>IF(履歴データ!$A$223="","",SUM(T223:AA223))</f>
        <v>791701.11042880046</v>
      </c>
      <c r="AD223" s="29">
        <f>IF(履歴データ!$A$223="","",AC223/1000000)</f>
        <v>0.79170111042880043</v>
      </c>
      <c r="AE223" s="29">
        <f>IF(履歴データ!$A$223="",AE222,AE222+AC223/1000000)</f>
        <v>81.048012862230109</v>
      </c>
      <c r="AF223" s="12">
        <f>IF(OR(履歴データ!$A$223="",AE222=0),"",(AE223-AE222)/AE222)</f>
        <v>9.8646585314959272E-3</v>
      </c>
      <c r="AG223" s="29">
        <f t="shared" si="11"/>
        <v>102.17217746631495</v>
      </c>
      <c r="AH223" s="12">
        <f>IF(OR(履歴データ!$A$223="",AG223=0),"",AE223/AG223-1)</f>
        <v>-0.20675065490357436</v>
      </c>
      <c r="AJ223" s="28">
        <f t="shared" ca="1" si="9"/>
        <v>-21.379291138715622</v>
      </c>
      <c r="AK223" s="28">
        <f t="shared" ca="1" si="10"/>
        <v>-57.030618771194291</v>
      </c>
    </row>
    <row r="224" spans="1:37">
      <c r="A224" s="10">
        <f>IF(履歴データ!$A$224="","",履歴データ!$A$224)</f>
        <v>45250</v>
      </c>
      <c r="B224" s="28">
        <f>IF(履歴データ!$A$224="","",(履歴データ!$D$224-(履歴データ!$B$224+履歴データ!$F$224)/2)*100)</f>
        <v>-31.00000000000005</v>
      </c>
      <c r="C224" s="28">
        <f>IF(履歴データ!$A$224="","",(履歴データ!$H$224-(履歴データ!$G$224+履歴データ!$J$224)/2)*100)</f>
        <v>-10.950000000000005</v>
      </c>
      <c r="D224" s="28">
        <f>IF(履歴データ!$A$224="","",(履歴データ!$D$224-履歴データ!$H$224)*100)</f>
        <v>366.4</v>
      </c>
      <c r="E224" s="28">
        <f>IF(履歴データ!$A$224="","",(履歴データ!$D$224-履歴データ!$C$224)*100)</f>
        <v>-2.0000000000000462</v>
      </c>
      <c r="F224" s="28">
        <f>IF(履歴データ!$A$224="","",(履歴データ!$R$224-履歴データ!$D$224)*100)</f>
        <v>-238.83999999999997</v>
      </c>
      <c r="G224" s="28">
        <f>IF(履歴データ!$A$224="","",(履歴データ!$S$224-履歴データ!$R$224)*100)</f>
        <v>-142.94582141113307</v>
      </c>
      <c r="H224" s="29">
        <f>IF(履歴データ!$A$224="","",履歴データ!$O$224)</f>
        <v>149.94200134277344</v>
      </c>
      <c r="I224" s="29">
        <f>IF(履歴データ!$A$224="","",履歴データ!$Q$224)</f>
        <v>108.84375</v>
      </c>
      <c r="J224" s="29">
        <f>IF(履歴データ!$A$224="","",履歴データ!$D$224)</f>
        <v>4.42</v>
      </c>
      <c r="K224" s="28">
        <f>IF(OR(履歴データ!$A$224="",履歴データ!$A$223=""),"",B224-B223)</f>
        <v>-1.5000000000001457</v>
      </c>
      <c r="L224" s="28">
        <f>IF(OR(履歴データ!$A$224="",履歴データ!$A$223=""),"",C224-C223)</f>
        <v>-0.45000000000000639</v>
      </c>
      <c r="M224" s="28">
        <f>IF(OR(履歴データ!$A$224="",履歴データ!$A$223=""),"",D224-D223)</f>
        <v>-1.1000000000000227</v>
      </c>
      <c r="N224" s="28">
        <f>IF(OR(履歴データ!$A$224="",履歴データ!$A$223=""),"",E224-E223)</f>
        <v>-1.0000000000000675</v>
      </c>
      <c r="O224" s="28">
        <f>IF(OR(履歴データ!$A$224="",履歴データ!$A$223=""),"",F224-F223)</f>
        <v>-0.14999999999994884</v>
      </c>
      <c r="P224" s="28">
        <f>IF(OR(履歴データ!$A$224="",履歴データ!$A$223=""),"",G224-G223)</f>
        <v>3.9040000000000532</v>
      </c>
      <c r="Q224" s="29">
        <f>IF(OR(履歴データ!$A$224="",履歴データ!$A$223=""),"",H224-H223)</f>
        <v>-0.76300048828125</v>
      </c>
      <c r="R224" s="29">
        <f>IF(OR(履歴データ!$A$224="",履歴データ!$A$223=""),"",I224-I223)</f>
        <v>9.375E-2</v>
      </c>
      <c r="S224" s="28">
        <f>IF(OR(履歴データ!$A$224="",履歴データ!$A$223=""),"",(J224-J223)*100)</f>
        <v>-2.0000000000000462</v>
      </c>
      <c r="T224" s="11">
        <f>IF(OR(履歴データ!$A$224="",履歴データ!$A$223=""),"",-80000*K224)</f>
        <v>120000.00000001166</v>
      </c>
      <c r="U224" s="11">
        <f>IF(OR(履歴データ!$A$224="",履歴データ!$A$223=""),"",60000*L224)</f>
        <v>-27000.000000000382</v>
      </c>
      <c r="V224" s="11">
        <f>IF(OR(履歴データ!$A$224="",履歴データ!$A$223=""),"",-50000*M224)</f>
        <v>55000.000000001135</v>
      </c>
      <c r="W224" s="11">
        <f>IF(OR(履歴データ!$A$224="",履歴データ!$A$223=""),"",-40000*N224)</f>
        <v>40000.000000002699</v>
      </c>
      <c r="X224" s="11">
        <f>IF(OR(履歴データ!$A$224="",履歴データ!$A$223=""),"",120*1000000*(-Q224/H223))</f>
        <v>607544.92207492795</v>
      </c>
      <c r="Y224" s="11">
        <f>IF(OR(履歴データ!$A$224="",履歴データ!$A$223=""),"",40000*(-S224)+(-506.3)*R224*1000)</f>
        <v>32534.375000001848</v>
      </c>
      <c r="Z224" s="11">
        <f>IF(OR(履歴データ!$A$224="",履歴データ!$A$223=""),"",-40000*O224)</f>
        <v>5999.9999999979536</v>
      </c>
      <c r="AA224" s="11">
        <f>IF(OR(履歴データ!$A$224="",履歴データ!$A$223=""),"",-40000*P224)</f>
        <v>-156160.00000000212</v>
      </c>
      <c r="AB224" s="11">
        <f>IF(履歴データ!$A$224="","",123.3)</f>
        <v>123.3</v>
      </c>
      <c r="AC224">
        <f>IF(履歴データ!$A$224="","",SUM(T224:AA224))</f>
        <v>677919.29707494075</v>
      </c>
      <c r="AD224" s="29">
        <f>IF(履歴データ!$A$224="","",AC224/1000000)</f>
        <v>0.67791929707494081</v>
      </c>
      <c r="AE224" s="29">
        <f>IF(履歴データ!$A$224="",AE223,AE223+AC224/1000000)</f>
        <v>81.725932159305046</v>
      </c>
      <c r="AF224" s="12">
        <f>IF(OR(履歴データ!$A$224="",AE223=0),"",(AE224-AE223)/AE223)</f>
        <v>8.3644160187776734E-3</v>
      </c>
      <c r="AG224" s="29">
        <f t="shared" si="11"/>
        <v>102.17217746631495</v>
      </c>
      <c r="AH224" s="12">
        <f>IF(OR(履歴データ!$A$224="",AG224=0),"",AE224/AG224-1)</f>
        <v>-0.20011558737456492</v>
      </c>
      <c r="AJ224" s="28">
        <f t="shared" ca="1" si="9"/>
        <v>-21.348775318925693</v>
      </c>
      <c r="AK224" s="28">
        <f t="shared" ca="1" si="10"/>
        <v>-56.987547551029465</v>
      </c>
    </row>
    <row r="225" spans="1:37">
      <c r="A225" s="10">
        <f>IF(履歴データ!$A$225="","",履歴データ!$A$225)</f>
        <v>45251</v>
      </c>
      <c r="B225" s="28">
        <f>IF(履歴データ!$A$225="","",(履歴データ!$D$225-(履歴データ!$B$225+履歴データ!$F$225)/2)*100)</f>
        <v>-30.499999999999972</v>
      </c>
      <c r="C225" s="28">
        <f>IF(履歴データ!$A$225="","",(履歴データ!$H$225-(履歴データ!$G$225+履歴データ!$J$225)/2)*100)</f>
        <v>-11.70000000000001</v>
      </c>
      <c r="D225" s="28">
        <f>IF(履歴データ!$A$225="","",(履歴データ!$D$225-履歴データ!$H$225)*100)</f>
        <v>369.80000000000007</v>
      </c>
      <c r="E225" s="28">
        <f>IF(履歴データ!$A$225="","",(履歴データ!$D$225-履歴データ!$C$225)*100)</f>
        <v>0</v>
      </c>
      <c r="F225" s="28">
        <f>IF(履歴データ!$A$225="","",(履歴データ!$R$225-履歴データ!$D$225)*100)</f>
        <v>-235.56000000000003</v>
      </c>
      <c r="G225" s="28">
        <f>IF(履歴データ!$A$225="","",(履歴データ!$S$225-履歴データ!$R$225)*100)</f>
        <v>-153.99582141113285</v>
      </c>
      <c r="H225" s="29">
        <f>IF(履歴データ!$A$225="","",履歴データ!$O$225)</f>
        <v>148.36199951171875</v>
      </c>
      <c r="I225" s="29">
        <f>IF(履歴データ!$A$225="","",履歴データ!$Q$225)</f>
        <v>108.9375</v>
      </c>
      <c r="J225" s="29">
        <f>IF(履歴データ!$A$225="","",履歴データ!$D$225)</f>
        <v>4.41</v>
      </c>
      <c r="K225" s="28">
        <f>IF(OR(履歴データ!$A$225="",履歴データ!$A$224=""),"",B225-B224)</f>
        <v>0.50000000000007816</v>
      </c>
      <c r="L225" s="28">
        <f>IF(OR(履歴データ!$A$225="",履歴データ!$A$224=""),"",C225-C224)</f>
        <v>-0.75000000000000533</v>
      </c>
      <c r="M225" s="28">
        <f>IF(OR(履歴データ!$A$225="",履歴データ!$A$224=""),"",D225-D224)</f>
        <v>3.4000000000000909</v>
      </c>
      <c r="N225" s="28">
        <f>IF(OR(履歴データ!$A$225="",履歴データ!$A$224=""),"",E225-E224)</f>
        <v>2.0000000000000462</v>
      </c>
      <c r="O225" s="28">
        <f>IF(OR(履歴データ!$A$225="",履歴データ!$A$224=""),"",F225-F224)</f>
        <v>3.2799999999999443</v>
      </c>
      <c r="P225" s="28">
        <f>IF(OR(履歴データ!$A$225="",履歴データ!$A$224=""),"",G225-G224)</f>
        <v>-11.049999999999784</v>
      </c>
      <c r="Q225" s="29">
        <f>IF(OR(履歴データ!$A$225="",履歴データ!$A$224=""),"",H225-H224)</f>
        <v>-1.5800018310546875</v>
      </c>
      <c r="R225" s="29">
        <f>IF(OR(履歴データ!$A$225="",履歴データ!$A$224=""),"",I225-I224)</f>
        <v>9.375E-2</v>
      </c>
      <c r="S225" s="28">
        <f>IF(OR(履歴データ!$A$225="",履歴データ!$A$224=""),"",(J225-J224)*100)</f>
        <v>-0.99999999999997868</v>
      </c>
      <c r="T225" s="11">
        <f>IF(OR(履歴データ!$A$225="",履歴データ!$A$224=""),"",-80000*K225)</f>
        <v>-40000.00000000625</v>
      </c>
      <c r="U225" s="11">
        <f>IF(OR(履歴データ!$A$225="",履歴データ!$A$224=""),"",60000*L225)</f>
        <v>-45000.00000000032</v>
      </c>
      <c r="V225" s="11">
        <f>IF(OR(履歴データ!$A$225="",履歴データ!$A$224=""),"",-50000*M225)</f>
        <v>-170000.00000000454</v>
      </c>
      <c r="W225" s="11">
        <f>IF(OR(履歴データ!$A$225="",履歴データ!$A$224=""),"",-40000*N225)</f>
        <v>-80000.000000001848</v>
      </c>
      <c r="X225" s="11">
        <f>IF(OR(履歴データ!$A$225="",履歴データ!$A$224=""),"",120*1000000*(-Q225/H224))</f>
        <v>1264490.3898083153</v>
      </c>
      <c r="Y225" s="11">
        <f>IF(OR(履歴データ!$A$225="",履歴データ!$A$224=""),"",40000*(-S225)+(-506.3)*R225*1000)</f>
        <v>-7465.6250000008513</v>
      </c>
      <c r="Z225" s="11">
        <f>IF(OR(履歴データ!$A$225="",履歴データ!$A$224=""),"",-40000*O225)</f>
        <v>-131199.99999999776</v>
      </c>
      <c r="AA225" s="11">
        <f>IF(OR(履歴データ!$A$225="",履歴データ!$A$224=""),"",-40000*P225)</f>
        <v>441999.99999999139</v>
      </c>
      <c r="AB225" s="11">
        <f>IF(履歴データ!$A$225="","",123.3)</f>
        <v>123.3</v>
      </c>
      <c r="AC225">
        <f>IF(履歴データ!$A$225="","",SUM(T225:AA225))</f>
        <v>1232824.7648082951</v>
      </c>
      <c r="AD225" s="29">
        <f>IF(履歴データ!$A$225="","",AC225/1000000)</f>
        <v>1.2328247648082951</v>
      </c>
      <c r="AE225" s="29">
        <f>IF(履歴データ!$A$225="",AE224,AE224+AC225/1000000)</f>
        <v>82.958756924113345</v>
      </c>
      <c r="AF225" s="12">
        <f>IF(OR(履歴データ!$A$225="",AE224=0),"",(AE225-AE224)/AE224)</f>
        <v>1.5084866360474224E-2</v>
      </c>
      <c r="AG225" s="29">
        <f t="shared" si="11"/>
        <v>102.17217746631495</v>
      </c>
      <c r="AH225" s="12">
        <f>IF(OR(履歴データ!$A$225="",AG225=0),"",AE225/AG225-1)</f>
        <v>-0.18804943790628381</v>
      </c>
      <c r="AJ225" s="28">
        <f t="shared" ca="1" si="9"/>
        <v>-21.312383985721265</v>
      </c>
      <c r="AK225" s="28">
        <f t="shared" ca="1" si="10"/>
        <v>-56.946544585707301</v>
      </c>
    </row>
    <row r="226" spans="1:37">
      <c r="A226" s="10">
        <f>IF(履歴データ!$A$226="","",履歴データ!$A$226)</f>
        <v>45252</v>
      </c>
      <c r="B226" s="28">
        <f>IF(履歴データ!$A$226="","",(履歴データ!$D$226-(履歴データ!$B$226+履歴データ!$F$226)/2)*100)</f>
        <v>-29.999999999999982</v>
      </c>
      <c r="C226" s="28">
        <f>IF(履歴データ!$A$226="","",(履歴データ!$H$226-(履歴データ!$G$226+履歴データ!$J$226)/2)*100)</f>
        <v>-11.850000000000005</v>
      </c>
      <c r="D226" s="28">
        <f>IF(履歴データ!$A$226="","",(履歴データ!$D$226-履歴データ!$H$226)*100)</f>
        <v>367.8</v>
      </c>
      <c r="E226" s="28">
        <f>IF(履歴データ!$A$226="","",(履歴データ!$D$226-履歴データ!$C$226)*100)</f>
        <v>-2.0000000000000462</v>
      </c>
      <c r="F226" s="28">
        <f>IF(履歴データ!$A$226="","",(履歴データ!$R$226-履歴データ!$D$226)*100)</f>
        <v>-236.51999999999998</v>
      </c>
      <c r="G226" s="28">
        <f>IF(履歴データ!$A$226="","",(履歴データ!$S$226-履歴データ!$R$226)*100)</f>
        <v>-143.68717858886731</v>
      </c>
      <c r="H226" s="29">
        <f>IF(履歴データ!$A$226="","",履歴データ!$O$226)</f>
        <v>148.15199279785156</v>
      </c>
      <c r="I226" s="29">
        <f>IF(履歴データ!$A$226="","",履歴データ!$Q$226)</f>
        <v>108.8125</v>
      </c>
      <c r="J226" s="29">
        <f>IF(履歴データ!$A$226="","",履歴データ!$D$226)</f>
        <v>4.42</v>
      </c>
      <c r="K226" s="28">
        <f>IF(OR(履歴データ!$A$226="",履歴データ!$A$225=""),"",B226-B225)</f>
        <v>0.49999999999998934</v>
      </c>
      <c r="L226" s="28">
        <f>IF(OR(履歴データ!$A$226="",履歴データ!$A$225=""),"",C226-C225)</f>
        <v>-0.14999999999999503</v>
      </c>
      <c r="M226" s="28">
        <f>IF(OR(履歴データ!$A$226="",履歴データ!$A$225=""),"",D226-D225)</f>
        <v>-2.0000000000000568</v>
      </c>
      <c r="N226" s="28">
        <f>IF(OR(履歴データ!$A$226="",履歴データ!$A$225=""),"",E226-E225)</f>
        <v>-2.0000000000000462</v>
      </c>
      <c r="O226" s="28">
        <f>IF(OR(履歴データ!$A$226="",履歴データ!$A$225=""),"",F226-F225)</f>
        <v>-0.95999999999995111</v>
      </c>
      <c r="P226" s="28">
        <f>IF(OR(履歴データ!$A$226="",履歴データ!$A$225=""),"",G226-G225)</f>
        <v>10.30864282226554</v>
      </c>
      <c r="Q226" s="29">
        <f>IF(OR(履歴データ!$A$226="",履歴データ!$A$225=""),"",H226-H225)</f>
        <v>-0.2100067138671875</v>
      </c>
      <c r="R226" s="29">
        <f>IF(OR(履歴データ!$A$226="",履歴データ!$A$225=""),"",I226-I225)</f>
        <v>-0.125</v>
      </c>
      <c r="S226" s="28">
        <f>IF(OR(履歴データ!$A$226="",履歴データ!$A$225=""),"",(J226-J225)*100)</f>
        <v>0.99999999999997868</v>
      </c>
      <c r="T226" s="11">
        <f>IF(OR(履歴データ!$A$226="",履歴データ!$A$225=""),"",-80000*K226)</f>
        <v>-39999.999999999149</v>
      </c>
      <c r="U226" s="11">
        <f>IF(OR(履歴データ!$A$226="",履歴データ!$A$225=""),"",60000*L226)</f>
        <v>-8999.9999999997017</v>
      </c>
      <c r="V226" s="11">
        <f>IF(OR(履歴データ!$A$226="",履歴データ!$A$225=""),"",-50000*M226)</f>
        <v>100000.00000000284</v>
      </c>
      <c r="W226" s="11">
        <f>IF(OR(履歴データ!$A$226="",履歴データ!$A$225=""),"",-40000*N226)</f>
        <v>80000.000000001848</v>
      </c>
      <c r="X226" s="11">
        <f>IF(OR(履歴データ!$A$226="",履歴データ!$A$225=""),"",120*1000000*(-Q226/H225))</f>
        <v>169860.24552784456</v>
      </c>
      <c r="Y226" s="11">
        <f>IF(OR(履歴データ!$A$226="",履歴データ!$A$225=""),"",40000*(-S226)+(-506.3)*R226*1000)</f>
        <v>23287.500000000851</v>
      </c>
      <c r="Z226" s="11">
        <f>IF(OR(履歴データ!$A$226="",履歴データ!$A$225=""),"",-40000*O226)</f>
        <v>38399.999999998043</v>
      </c>
      <c r="AA226" s="11">
        <f>IF(OR(履歴データ!$A$226="",履歴データ!$A$225=""),"",-40000*P226)</f>
        <v>-412345.71289062162</v>
      </c>
      <c r="AB226" s="11">
        <f>IF(履歴データ!$A$226="","",123.3)</f>
        <v>123.3</v>
      </c>
      <c r="AC226">
        <f>IF(履歴データ!$A$226="","",SUM(T226:AA226))</f>
        <v>-49797.967362772324</v>
      </c>
      <c r="AD226" s="29">
        <f>IF(履歴データ!$A$226="","",AC226/1000000)</f>
        <v>-4.9797967362772325E-2</v>
      </c>
      <c r="AE226" s="29">
        <f>IF(履歴データ!$A$226="",AE225,AE225+AC226/1000000)</f>
        <v>82.908958956750567</v>
      </c>
      <c r="AF226" s="12">
        <f>IF(OR(履歴データ!$A$226="",AE225=0),"",(AE226-AE225)/AE225)</f>
        <v>-6.0027378915924405E-4</v>
      </c>
      <c r="AG226" s="29">
        <f t="shared" si="11"/>
        <v>102.17217746631495</v>
      </c>
      <c r="AH226" s="12">
        <f>IF(OR(履歴データ!$A$226="",AG226=0),"",AE226/AG226-1)</f>
        <v>-0.18853683054680181</v>
      </c>
      <c r="AJ226" s="28">
        <f t="shared" ca="1" si="9"/>
        <v>-21.269997317710921</v>
      </c>
      <c r="AK226" s="28">
        <f t="shared" ca="1" si="10"/>
        <v>-56.90778046006686</v>
      </c>
    </row>
    <row r="227" spans="1:37">
      <c r="A227" s="10">
        <f>IF(履歴データ!$A$227="","",履歴データ!$A$227)</f>
        <v>45254</v>
      </c>
      <c r="B227" s="28">
        <f>IF(履歴データ!$A$227="","",(履歴データ!$D$227-(履歴データ!$B$227+履歴データ!$F$227)/2)*100)</f>
        <v>-29.000000000000004</v>
      </c>
      <c r="C227" s="28">
        <f>IF(履歴データ!$A$227="","",(履歴データ!$H$227-(履歴データ!$G$227+履歴データ!$J$227)/2)*100)</f>
        <v>-9.7500000000000036</v>
      </c>
      <c r="D227" s="28">
        <f>IF(履歴データ!$A$227="","",(履歴データ!$D$227-履歴データ!$H$227)*100)</f>
        <v>368.4</v>
      </c>
      <c r="E227" s="28">
        <f>IF(履歴データ!$A$227="","",(履歴データ!$D$227-履歴データ!$C$227)*100)</f>
        <v>-2.0000000000000462</v>
      </c>
      <c r="F227" s="28">
        <f>IF(履歴データ!$A$227="","",(履歴データ!$R$227-履歴データ!$D$227)*100)</f>
        <v>-240.86999999999995</v>
      </c>
      <c r="G227" s="28">
        <f>IF(履歴データ!$A$227="","",(履歴データ!$S$227-履歴データ!$R$227)*100)</f>
        <v>-144.51264282226583</v>
      </c>
      <c r="H227" s="29">
        <f>IF(履歴データ!$A$227="","",履歴データ!$O$227)</f>
        <v>149.63499450683594</v>
      </c>
      <c r="I227" s="29">
        <f>IF(履歴データ!$A$227="","",履歴データ!$Q$227)</f>
        <v>108.390625</v>
      </c>
      <c r="J227" s="29">
        <f>IF(履歴データ!$A$227="","",履歴データ!$D$227)</f>
        <v>4.47</v>
      </c>
      <c r="K227" s="28">
        <f>IF(OR(履歴データ!$A$227="",履歴データ!$A$226=""),"",B227-B226)</f>
        <v>0.99999999999997868</v>
      </c>
      <c r="L227" s="28">
        <f>IF(OR(履歴データ!$A$227="",履歴データ!$A$226=""),"",C227-C226)</f>
        <v>2.1000000000000014</v>
      </c>
      <c r="M227" s="28">
        <f>IF(OR(履歴データ!$A$227="",履歴データ!$A$226=""),"",D227-D226)</f>
        <v>0.59999999999996589</v>
      </c>
      <c r="N227" s="28">
        <f>IF(OR(履歴データ!$A$227="",履歴データ!$A$226=""),"",E227-E226)</f>
        <v>0</v>
      </c>
      <c r="O227" s="28">
        <f>IF(OR(履歴データ!$A$227="",履歴データ!$A$226=""),"",F227-F226)</f>
        <v>-4.3499999999999659</v>
      </c>
      <c r="P227" s="28">
        <f>IF(OR(履歴データ!$A$227="",履歴データ!$A$226=""),"",G227-G226)</f>
        <v>-0.82546423339852026</v>
      </c>
      <c r="Q227" s="29">
        <f>IF(OR(履歴データ!$A$227="",履歴データ!$A$226=""),"",H227-H226)</f>
        <v>1.483001708984375</v>
      </c>
      <c r="R227" s="29">
        <f>IF(OR(履歴データ!$A$227="",履歴データ!$A$226=""),"",I227-I226)</f>
        <v>-0.421875</v>
      </c>
      <c r="S227" s="28">
        <f>IF(OR(履歴データ!$A$227="",履歴データ!$A$226=""),"",(J227-J226)*100)</f>
        <v>4.9999999999999822</v>
      </c>
      <c r="T227" s="11">
        <f>IF(OR(履歴データ!$A$227="",履歴データ!$A$226=""),"",-80000*K227)</f>
        <v>-79999.999999998297</v>
      </c>
      <c r="U227" s="11">
        <f>IF(OR(履歴データ!$A$227="",履歴データ!$A$226=""),"",60000*L227)</f>
        <v>126000.00000000009</v>
      </c>
      <c r="V227" s="11">
        <f>IF(OR(履歴データ!$A$227="",履歴データ!$A$226=""),"",-50000*M227)</f>
        <v>-29999.999999998294</v>
      </c>
      <c r="W227" s="11">
        <f>IF(OR(履歴データ!$A$227="",履歴データ!$A$226=""),"",-40000*N227)</f>
        <v>0</v>
      </c>
      <c r="X227" s="11">
        <f>IF(OR(履歴データ!$A$227="",履歴データ!$A$226=""),"",120*1000000*(-Q227/H226))</f>
        <v>-1201200.2114675958</v>
      </c>
      <c r="Y227" s="11">
        <f>IF(OR(履歴データ!$A$227="",履歴データ!$A$226=""),"",40000*(-S227)+(-506.3)*R227*1000)</f>
        <v>13595.312500000698</v>
      </c>
      <c r="Z227" s="11">
        <f>IF(OR(履歴データ!$A$227="",履歴データ!$A$226=""),"",-40000*O227)</f>
        <v>173999.99999999863</v>
      </c>
      <c r="AA227" s="11">
        <f>IF(OR(履歴データ!$A$227="",履歴データ!$A$226=""),"",-40000*P227)</f>
        <v>33018.569335940811</v>
      </c>
      <c r="AB227" s="11">
        <f>IF(履歴データ!$A$227="","",123.3)</f>
        <v>123.3</v>
      </c>
      <c r="AC227">
        <f>IF(履歴データ!$A$227="","",SUM(T227:AA227))</f>
        <v>-964586.32963165222</v>
      </c>
      <c r="AD227" s="29">
        <f>IF(履歴データ!$A$227="","",AC227/1000000)</f>
        <v>-0.96458632963165225</v>
      </c>
      <c r="AE227" s="29">
        <f>IF(履歴データ!$A$227="",AE226,AE226+AC227/1000000)</f>
        <v>81.944372627118909</v>
      </c>
      <c r="AF227" s="12">
        <f>IF(OR(履歴データ!$A$227="",AE226=0),"",(AE227-AE226)/AE226)</f>
        <v>-1.1634283457048759E-2</v>
      </c>
      <c r="AG227" s="29">
        <f t="shared" si="11"/>
        <v>102.17217746631495</v>
      </c>
      <c r="AH227" s="12">
        <f>IF(OR(履歴データ!$A$227="",AG227=0),"",AE227/AG227-1)</f>
        <v>-0.19797762307517552</v>
      </c>
      <c r="AJ227" s="28">
        <f t="shared" ca="1" si="9"/>
        <v>-21.214406373908748</v>
      </c>
      <c r="AK227" s="28">
        <f t="shared" ca="1" si="10"/>
        <v>-56.874089201312501</v>
      </c>
    </row>
    <row r="228" spans="1:37">
      <c r="A228" s="10">
        <f>IF(履歴データ!$A$228="","",履歴データ!$A$228)</f>
        <v>45257</v>
      </c>
      <c r="B228" s="28">
        <f>IF(履歴データ!$A$228="","",(履歴データ!$D$228-(履歴データ!$B$228+履歴データ!$F$228)/2)*100)</f>
        <v>-29.500000000000082</v>
      </c>
      <c r="C228" s="28">
        <f>IF(履歴データ!$A$228="","",(履歴データ!$H$228-(履歴データ!$G$228+履歴データ!$J$228)/2)*100)</f>
        <v>-10.499999999999998</v>
      </c>
      <c r="D228" s="28">
        <f>IF(履歴データ!$A$228="","",(履歴データ!$D$228-履歴データ!$H$228)*100)</f>
        <v>360.29999999999995</v>
      </c>
      <c r="E228" s="28">
        <f>IF(履歴データ!$A$228="","",(履歴データ!$D$228-履歴データ!$C$228)*100)</f>
        <v>0.99999999999997868</v>
      </c>
      <c r="F228" s="28">
        <f>IF(履歴データ!$A$228="","",(履歴データ!$R$228-履歴データ!$D$228)*100)</f>
        <v>-217.14</v>
      </c>
      <c r="G228" s="28">
        <f>IF(履歴データ!$A$228="","",(履歴データ!$S$228-履歴データ!$R$228)*100)</f>
        <v>-159.19017858886747</v>
      </c>
      <c r="H228" s="29">
        <f>IF(履歴データ!$A$228="","",履歴データ!$O$228)</f>
        <v>149.57099914550781</v>
      </c>
      <c r="I228" s="29">
        <f>IF(履歴データ!$A$228="","",履歴データ!$Q$228)</f>
        <v>109</v>
      </c>
      <c r="J228" s="29">
        <f>IF(履歴データ!$A$228="","",履歴データ!$D$228)</f>
        <v>4.3899999999999997</v>
      </c>
      <c r="K228" s="28">
        <f>IF(OR(履歴データ!$A$228="",履歴データ!$A$227=""),"",B228-B227)</f>
        <v>-0.50000000000007816</v>
      </c>
      <c r="L228" s="28">
        <f>IF(OR(履歴データ!$A$228="",履歴データ!$A$227=""),"",C228-C227)</f>
        <v>-0.74999999999999467</v>
      </c>
      <c r="M228" s="28">
        <f>IF(OR(履歴データ!$A$228="",履歴データ!$A$227=""),"",D228-D227)</f>
        <v>-8.1000000000000227</v>
      </c>
      <c r="N228" s="28">
        <f>IF(OR(履歴データ!$A$228="",履歴データ!$A$227=""),"",E228-E227)</f>
        <v>3.0000000000000249</v>
      </c>
      <c r="O228" s="28">
        <f>IF(OR(履歴データ!$A$228="",履歴データ!$A$227=""),"",F228-F227)</f>
        <v>23.729999999999961</v>
      </c>
      <c r="P228" s="28">
        <f>IF(OR(履歴データ!$A$228="",履歴データ!$A$227=""),"",G228-G227)</f>
        <v>-14.677535766601636</v>
      </c>
      <c r="Q228" s="29">
        <f>IF(OR(履歴データ!$A$228="",履歴データ!$A$227=""),"",H228-H227)</f>
        <v>-6.3995361328125E-2</v>
      </c>
      <c r="R228" s="29">
        <f>IF(OR(履歴データ!$A$228="",履歴データ!$A$227=""),"",I228-I227)</f>
        <v>0.609375</v>
      </c>
      <c r="S228" s="28">
        <f>IF(OR(履歴データ!$A$228="",履歴データ!$A$227=""),"",(J228-J227)*100)</f>
        <v>-8.0000000000000071</v>
      </c>
      <c r="T228" s="11">
        <f>IF(OR(履歴データ!$A$228="",履歴データ!$A$227=""),"",-80000*K228)</f>
        <v>40000.00000000625</v>
      </c>
      <c r="U228" s="11">
        <f>IF(OR(履歴データ!$A$228="",履歴データ!$A$227=""),"",60000*L228)</f>
        <v>-44999.99999999968</v>
      </c>
      <c r="V228" s="11">
        <f>IF(OR(履歴データ!$A$228="",履歴データ!$A$227=""),"",-50000*M228)</f>
        <v>405000.00000000116</v>
      </c>
      <c r="W228" s="11">
        <f>IF(OR(履歴データ!$A$228="",履歴データ!$A$227=""),"",-40000*N228)</f>
        <v>-120000.00000000099</v>
      </c>
      <c r="X228" s="11">
        <f>IF(OR(履歴データ!$A$228="",履歴データ!$A$227=""),"",120*1000000*(-Q228/H227))</f>
        <v>51321.172461594011</v>
      </c>
      <c r="Y228" s="11">
        <f>IF(OR(履歴データ!$A$228="",履歴データ!$A$227=""),"",40000*(-S228)+(-506.3)*R228*1000)</f>
        <v>11473.437500000291</v>
      </c>
      <c r="Z228" s="11">
        <f>IF(OR(履歴データ!$A$228="",履歴データ!$A$227=""),"",-40000*O228)</f>
        <v>-949199.99999999849</v>
      </c>
      <c r="AA228" s="11">
        <f>IF(OR(履歴データ!$A$228="",履歴データ!$A$227=""),"",-40000*P228)</f>
        <v>587101.43066406541</v>
      </c>
      <c r="AB228" s="11">
        <f>IF(履歴データ!$A$228="","",123.3)</f>
        <v>123.3</v>
      </c>
      <c r="AC228">
        <f>IF(履歴データ!$A$228="","",SUM(T228:AA228))</f>
        <v>-19303.959374331986</v>
      </c>
      <c r="AD228" s="29">
        <f>IF(履歴データ!$A$228="","",AC228/1000000)</f>
        <v>-1.9303959374331985E-2</v>
      </c>
      <c r="AE228" s="29">
        <f>IF(履歴データ!$A$228="",AE227,AE227+AC228/1000000)</f>
        <v>81.925068667744583</v>
      </c>
      <c r="AF228" s="12">
        <f>IF(OR(履歴データ!$A$228="",AE227=0),"",(AE228-AE227)/AE227)</f>
        <v>-2.3557394797770392E-4</v>
      </c>
      <c r="AG228" s="29">
        <f t="shared" si="11"/>
        <v>102.17217746631495</v>
      </c>
      <c r="AH228" s="12">
        <f>IF(OR(履歴データ!$A$228="",AG228=0),"",AE228/AG228-1)</f>
        <v>-0.19816655865287414</v>
      </c>
      <c r="AJ228" s="28">
        <f t="shared" ca="1" si="9"/>
        <v>-21.166795431137462</v>
      </c>
      <c r="AK228" s="28">
        <f t="shared" ca="1" si="10"/>
        <v>-56.837609855206153</v>
      </c>
    </row>
    <row r="229" spans="1:37">
      <c r="A229" s="10">
        <f>IF(履歴データ!$A$229="","",履歴データ!$A$229)</f>
        <v>45258</v>
      </c>
      <c r="B229" s="28">
        <f>IF(履歴データ!$A$229="","",(履歴データ!$D$229-(履歴データ!$B$229+履歴データ!$F$229)/2)*100)</f>
        <v>-28.500000000000014</v>
      </c>
      <c r="C229" s="28">
        <f>IF(履歴データ!$A$229="","",(履歴データ!$H$229-(履歴データ!$G$229+履歴データ!$J$229)/2)*100)</f>
        <v>-12.4</v>
      </c>
      <c r="D229" s="28">
        <f>IF(履歴データ!$A$229="","",(履歴データ!$D$229-履歴データ!$H$229)*100)</f>
        <v>357.2</v>
      </c>
      <c r="E229" s="28">
        <f>IF(履歴データ!$A$229="","",(履歴データ!$D$229-履歴データ!$C$229)*100)</f>
        <v>4.9999999999999822</v>
      </c>
      <c r="F229" s="28">
        <f>IF(履歴データ!$A$229="","",(履歴データ!$R$229-履歴データ!$D$229)*100)</f>
        <v>-221.84</v>
      </c>
      <c r="G229" s="28">
        <f>IF(履歴データ!$A$229="","",(履歴データ!$S$229-履歴データ!$R$229)*100)</f>
        <v>-145.45599999999999</v>
      </c>
      <c r="H229" s="29">
        <f>IF(履歴データ!$A$229="","",履歴データ!$O$229)</f>
        <v>148.45199584960938</v>
      </c>
      <c r="I229" s="29">
        <f>IF(履歴データ!$A$229="","",履歴データ!$Q$229)</f>
        <v>109.53125</v>
      </c>
      <c r="J229" s="29">
        <f>IF(履歴データ!$A$229="","",履歴データ!$D$229)</f>
        <v>4.34</v>
      </c>
      <c r="K229" s="28">
        <f>IF(OR(履歴データ!$A$229="",履歴データ!$A$228=""),"",B229-B228)</f>
        <v>1.0000000000000675</v>
      </c>
      <c r="L229" s="28">
        <f>IF(OR(履歴データ!$A$229="",履歴データ!$A$228=""),"",C229-C228)</f>
        <v>-1.9000000000000021</v>
      </c>
      <c r="M229" s="28">
        <f>IF(OR(履歴データ!$A$229="",履歴データ!$A$228=""),"",D229-D228)</f>
        <v>-3.0999999999999659</v>
      </c>
      <c r="N229" s="28">
        <f>IF(OR(履歴データ!$A$229="",履歴データ!$A$228=""),"",E229-E228)</f>
        <v>4.0000000000000036</v>
      </c>
      <c r="O229" s="28">
        <f>IF(OR(履歴データ!$A$229="",履歴データ!$A$228=""),"",F229-F228)</f>
        <v>-4.7000000000000171</v>
      </c>
      <c r="P229" s="28">
        <f>IF(OR(履歴データ!$A$229="",履歴データ!$A$228=""),"",G229-G228)</f>
        <v>13.734178588867479</v>
      </c>
      <c r="Q229" s="29">
        <f>IF(OR(履歴データ!$A$229="",履歴データ!$A$228=""),"",H229-H228)</f>
        <v>-1.1190032958984375</v>
      </c>
      <c r="R229" s="29">
        <f>IF(OR(履歴データ!$A$229="",履歴データ!$A$228=""),"",I229-I228)</f>
        <v>0.53125</v>
      </c>
      <c r="S229" s="28">
        <f>IF(OR(履歴データ!$A$229="",履歴データ!$A$228=""),"",(J229-J228)*100)</f>
        <v>-4.9999999999999822</v>
      </c>
      <c r="T229" s="11">
        <f>IF(OR(履歴データ!$A$229="",履歴データ!$A$228=""),"",-80000*K229)</f>
        <v>-80000.000000005399</v>
      </c>
      <c r="U229" s="11">
        <f>IF(OR(履歴データ!$A$229="",履歴データ!$A$228=""),"",60000*L229)</f>
        <v>-114000.00000000013</v>
      </c>
      <c r="V229" s="11">
        <f>IF(OR(履歴データ!$A$229="",履歴データ!$A$228=""),"",-50000*M229)</f>
        <v>154999.99999999828</v>
      </c>
      <c r="W229" s="11">
        <f>IF(OR(履歴データ!$A$229="",履歴データ!$A$228=""),"",-40000*N229)</f>
        <v>-160000.00000000015</v>
      </c>
      <c r="X229" s="11">
        <f>IF(OR(履歴データ!$A$229="",履歴データ!$A$228=""),"",120*1000000*(-Q229/H228))</f>
        <v>897770.26479030144</v>
      </c>
      <c r="Y229" s="11">
        <f>IF(OR(履歴データ!$A$229="",履歴データ!$A$228=""),"",40000*(-S229)+(-506.3)*R229*1000)</f>
        <v>-68971.875000000698</v>
      </c>
      <c r="Z229" s="11">
        <f>IF(OR(履歴データ!$A$229="",履歴データ!$A$228=""),"",-40000*O229)</f>
        <v>188000.00000000067</v>
      </c>
      <c r="AA229" s="11">
        <f>IF(OR(履歴データ!$A$229="",履歴データ!$A$228=""),"",-40000*P229)</f>
        <v>-549367.14355469914</v>
      </c>
      <c r="AB229" s="11">
        <f>IF(履歴データ!$A$229="","",123.3)</f>
        <v>123.3</v>
      </c>
      <c r="AC229">
        <f>IF(履歴データ!$A$229="","",SUM(T229:AA229))</f>
        <v>268431.24623559485</v>
      </c>
      <c r="AD229" s="29">
        <f>IF(履歴データ!$A$229="","",AC229/1000000)</f>
        <v>0.26843124623559483</v>
      </c>
      <c r="AE229" s="29">
        <f>IF(履歴データ!$A$229="",AE228,AE228+AC229/1000000)</f>
        <v>82.193499913980176</v>
      </c>
      <c r="AF229" s="12">
        <f>IF(OR(履歴データ!$A$229="",AE228=0),"",(AE229-AE228)/AE228)</f>
        <v>3.2765458802877963E-3</v>
      </c>
      <c r="AG229" s="29">
        <f t="shared" si="11"/>
        <v>102.17217746631495</v>
      </c>
      <c r="AH229" s="12">
        <f>IF(OR(履歴データ!$A$229="",AG229=0),"",AE229/AG229-1)</f>
        <v>-0.19553931459395124</v>
      </c>
      <c r="AJ229" s="28">
        <f t="shared" ca="1" si="9"/>
        <v>-21.105777798995099</v>
      </c>
      <c r="AK229" s="28">
        <f t="shared" ca="1" si="10"/>
        <v>-56.806502902759284</v>
      </c>
    </row>
    <row r="230" spans="1:37">
      <c r="A230" s="10">
        <f>IF(履歴データ!$A$230="","",履歴データ!$A$230)</f>
        <v>45259</v>
      </c>
      <c r="B230" s="28">
        <f>IF(履歴データ!$A$230="","",(履歴データ!$D$230-(履歴データ!$B$230+履歴データ!$F$230)/2)*100)</f>
        <v>-27.000000000000046</v>
      </c>
      <c r="C230" s="28">
        <f>IF(履歴データ!$A$230="","",(履歴データ!$H$230-(履歴データ!$G$230+履歴データ!$J$230)/2)*100)</f>
        <v>-15.700000000000003</v>
      </c>
      <c r="D230" s="28">
        <f>IF(履歴データ!$A$230="","",(履歴データ!$D$230-履歴データ!$H$230)*100)</f>
        <v>357.5</v>
      </c>
      <c r="E230" s="28">
        <f>IF(履歴データ!$A$230="","",(履歴データ!$D$230-履歴データ!$C$230)*100)</f>
        <v>4.9999999999999822</v>
      </c>
      <c r="F230" s="28">
        <f>IF(履歴データ!$A$230="","",(履歴データ!$R$230-履歴データ!$D$230)*100)</f>
        <v>-219.36999999999998</v>
      </c>
      <c r="G230" s="28">
        <f>IF(履歴データ!$A$230="","",(履歴データ!$S$230-履歴データ!$R$230)*100)</f>
        <v>-149.87135717773441</v>
      </c>
      <c r="H230" s="29">
        <f>IF(履歴データ!$A$230="","",履歴データ!$O$230)</f>
        <v>147.06300354003906</v>
      </c>
      <c r="I230" s="29">
        <f>IF(履歴データ!$A$230="","",履歴データ!$Q$230)</f>
        <v>109.9375</v>
      </c>
      <c r="J230" s="29">
        <f>IF(履歴データ!$A$230="","",履歴データ!$D$230)</f>
        <v>4.2699999999999996</v>
      </c>
      <c r="K230" s="28">
        <f>IF(OR(履歴データ!$A$230="",履歴データ!$A$229=""),"",B230-B229)</f>
        <v>1.499999999999968</v>
      </c>
      <c r="L230" s="28">
        <f>IF(OR(履歴データ!$A$230="",履歴データ!$A$229=""),"",C230-C229)</f>
        <v>-3.3000000000000025</v>
      </c>
      <c r="M230" s="28">
        <f>IF(OR(履歴データ!$A$230="",履歴データ!$A$229=""),"",D230-D229)</f>
        <v>0.30000000000001137</v>
      </c>
      <c r="N230" s="28">
        <f>IF(OR(履歴データ!$A$230="",履歴データ!$A$229=""),"",E230-E229)</f>
        <v>0</v>
      </c>
      <c r="O230" s="28">
        <f>IF(OR(履歴データ!$A$230="",履歴データ!$A$229=""),"",F230-F229)</f>
        <v>2.4700000000000273</v>
      </c>
      <c r="P230" s="28">
        <f>IF(OR(履歴データ!$A$230="",履歴データ!$A$229=""),"",G230-G229)</f>
        <v>-4.4153571777344212</v>
      </c>
      <c r="Q230" s="29">
        <f>IF(OR(履歴データ!$A$230="",履歴データ!$A$229=""),"",H230-H229)</f>
        <v>-1.3889923095703125</v>
      </c>
      <c r="R230" s="29">
        <f>IF(OR(履歴データ!$A$230="",履歴データ!$A$229=""),"",I230-I229)</f>
        <v>0.40625</v>
      </c>
      <c r="S230" s="28">
        <f>IF(OR(履歴データ!$A$230="",履歴データ!$A$229=""),"",(J230-J229)*100)</f>
        <v>-7.0000000000000284</v>
      </c>
      <c r="T230" s="11">
        <f>IF(OR(履歴データ!$A$230="",履歴データ!$A$229=""),"",-80000*K230)</f>
        <v>-119999.99999999744</v>
      </c>
      <c r="U230" s="11">
        <f>IF(OR(履歴データ!$A$230="",履歴データ!$A$229=""),"",60000*L230)</f>
        <v>-198000.00000000015</v>
      </c>
      <c r="V230" s="11">
        <f>IF(OR(履歴データ!$A$230="",履歴データ!$A$229=""),"",-50000*M230)</f>
        <v>-15000.000000000568</v>
      </c>
      <c r="W230" s="11">
        <f>IF(OR(履歴データ!$A$230="",履歴データ!$A$229=""),"",-40000*N230)</f>
        <v>0</v>
      </c>
      <c r="X230" s="11">
        <f>IF(OR(履歴データ!$A$230="",履歴データ!$A$229=""),"",120*1000000*(-Q230/H229))</f>
        <v>1122780.9784200762</v>
      </c>
      <c r="Y230" s="11">
        <f>IF(OR(履歴データ!$A$230="",履歴データ!$A$229=""),"",40000*(-S230)+(-506.3)*R230*1000)</f>
        <v>74315.625000001135</v>
      </c>
      <c r="Z230" s="11">
        <f>IF(OR(履歴データ!$A$230="",履歴データ!$A$229=""),"",-40000*O230)</f>
        <v>-98800.000000001091</v>
      </c>
      <c r="AA230" s="11">
        <f>IF(OR(履歴データ!$A$230="",履歴データ!$A$229=""),"",-40000*P230)</f>
        <v>176614.28710937683</v>
      </c>
      <c r="AB230" s="11">
        <f>IF(履歴データ!$A$230="","",123.3)</f>
        <v>123.3</v>
      </c>
      <c r="AC230">
        <f>IF(履歴データ!$A$230="","",SUM(T230:AA230))</f>
        <v>941910.89052945503</v>
      </c>
      <c r="AD230" s="29">
        <f>IF(履歴データ!$A$230="","",AC230/1000000)</f>
        <v>0.94191089052945498</v>
      </c>
      <c r="AE230" s="29">
        <f>IF(履歴データ!$A$230="",AE229,AE229+AC230/1000000)</f>
        <v>83.135410804509632</v>
      </c>
      <c r="AF230" s="12">
        <f>IF(OR(履歴データ!$A$230="",AE229=0),"",(AE230-AE229)/AE229)</f>
        <v>1.1459676148542351E-2</v>
      </c>
      <c r="AG230" s="29">
        <f t="shared" si="11"/>
        <v>102.17217746631495</v>
      </c>
      <c r="AH230" s="12">
        <f>IF(OR(履歴データ!$A$230="",AG230=0),"",AE230/AG230-1)</f>
        <v>-0.18632045566496347</v>
      </c>
      <c r="AJ230" s="28">
        <f t="shared" ca="1" si="9"/>
        <v>-21.022799008337607</v>
      </c>
      <c r="AK230" s="28">
        <f t="shared" ca="1" si="10"/>
        <v>-56.785061253671124</v>
      </c>
    </row>
    <row r="231" spans="1:37">
      <c r="A231" s="10">
        <f>IF(履歴データ!$A$231="","",履歴データ!$A$231)</f>
        <v>45260</v>
      </c>
      <c r="B231" s="28">
        <f>IF(履歴データ!$A$231="","",(履歴データ!$D$231-(履歴データ!$B$231+履歴データ!$F$231)/2)*100)</f>
        <v>-26.499999999999968</v>
      </c>
      <c r="C231" s="28">
        <f>IF(履歴データ!$A$231="","",(履歴データ!$H$231-(履歴データ!$G$231+履歴データ!$J$231)/2)*100)</f>
        <v>-17.500000000000004</v>
      </c>
      <c r="D231" s="28">
        <f>IF(履歴データ!$A$231="","",(履歴データ!$D$231-履歴データ!$H$231)*100)</f>
        <v>367.90000000000003</v>
      </c>
      <c r="E231" s="28">
        <f>IF(履歴データ!$A$231="","",(履歴データ!$D$231-履歴データ!$C$231)*100)</f>
        <v>6.0000000000000497</v>
      </c>
      <c r="F231" s="28">
        <f>IF(履歴データ!$A$231="","",(履歴データ!$R$231-履歴データ!$D$231)*100)</f>
        <v>-235.48</v>
      </c>
      <c r="G231" s="28">
        <f>IF(履歴データ!$A$231="","",(履歴データ!$S$231-履歴データ!$R$231)*100)</f>
        <v>-141.13035717773457</v>
      </c>
      <c r="H231" s="29">
        <f>IF(履歴データ!$A$231="","",履歴データ!$O$231)</f>
        <v>147.03900146484375</v>
      </c>
      <c r="I231" s="29">
        <f>IF(履歴データ!$A$231="","",履歴データ!$Q$231)</f>
        <v>109.46875</v>
      </c>
      <c r="J231" s="29">
        <f>IF(履歴データ!$A$231="","",履歴データ!$D$231)</f>
        <v>4.37</v>
      </c>
      <c r="K231" s="28">
        <f>IF(OR(履歴データ!$A$231="",履歴データ!$A$230=""),"",B231-B230)</f>
        <v>0.50000000000007816</v>
      </c>
      <c r="L231" s="28">
        <f>IF(OR(履歴データ!$A$231="",履歴データ!$A$230=""),"",C231-C230)</f>
        <v>-1.8000000000000007</v>
      </c>
      <c r="M231" s="28">
        <f>IF(OR(履歴データ!$A$231="",履歴データ!$A$230=""),"",D231-D230)</f>
        <v>10.400000000000034</v>
      </c>
      <c r="N231" s="28">
        <f>IF(OR(履歴データ!$A$231="",履歴データ!$A$230=""),"",E231-E230)</f>
        <v>1.0000000000000675</v>
      </c>
      <c r="O231" s="28">
        <f>IF(OR(履歴データ!$A$231="",履歴データ!$A$230=""),"",F231-F230)</f>
        <v>-16.110000000000014</v>
      </c>
      <c r="P231" s="28">
        <f>IF(OR(履歴データ!$A$231="",履歴データ!$A$230=""),"",G231-G230)</f>
        <v>8.7409999999998433</v>
      </c>
      <c r="Q231" s="29">
        <f>IF(OR(履歴データ!$A$231="",履歴データ!$A$230=""),"",H231-H230)</f>
        <v>-2.40020751953125E-2</v>
      </c>
      <c r="R231" s="29">
        <f>IF(OR(履歴データ!$A$231="",履歴データ!$A$230=""),"",I231-I230)</f>
        <v>-0.46875</v>
      </c>
      <c r="S231" s="28">
        <f>IF(OR(履歴データ!$A$231="",履歴データ!$A$230=""),"",(J231-J230)*100)</f>
        <v>10.000000000000053</v>
      </c>
      <c r="T231" s="11">
        <f>IF(OR(履歴データ!$A$231="",履歴データ!$A$230=""),"",-80000*K231)</f>
        <v>-40000.00000000625</v>
      </c>
      <c r="U231" s="11">
        <f>IF(OR(履歴データ!$A$231="",履歴データ!$A$230=""),"",60000*L231)</f>
        <v>-108000.00000000004</v>
      </c>
      <c r="V231" s="11">
        <f>IF(OR(履歴データ!$A$231="",履歴データ!$A$230=""),"",-50000*M231)</f>
        <v>-520000.00000000169</v>
      </c>
      <c r="W231" s="11">
        <f>IF(OR(履歴データ!$A$231="",履歴データ!$A$230=""),"",-40000*N231)</f>
        <v>-40000.000000002699</v>
      </c>
      <c r="X231" s="11">
        <f>IF(OR(履歴データ!$A$231="",履歴データ!$A$230=""),"",120*1000000*(-Q231/H230))</f>
        <v>19585.136670034957</v>
      </c>
      <c r="Y231" s="11">
        <f>IF(OR(履歴データ!$A$231="",履歴データ!$A$230=""),"",40000*(-S231)+(-506.3)*R231*1000)</f>
        <v>-162671.87500000215</v>
      </c>
      <c r="Z231" s="11">
        <f>IF(OR(履歴データ!$A$231="",履歴データ!$A$230=""),"",-40000*O231)</f>
        <v>644400.00000000058</v>
      </c>
      <c r="AA231" s="11">
        <f>IF(OR(履歴データ!$A$231="",履歴データ!$A$230=""),"",-40000*P231)</f>
        <v>-349639.99999999371</v>
      </c>
      <c r="AB231" s="11">
        <f>IF(履歴データ!$A$231="","",123.3)</f>
        <v>123.3</v>
      </c>
      <c r="AC231">
        <f>IF(履歴データ!$A$231="","",SUM(T231:AA231))</f>
        <v>-556326.73832997086</v>
      </c>
      <c r="AD231" s="29">
        <f>IF(履歴データ!$A$231="","",AC231/1000000)</f>
        <v>-0.55632673832997082</v>
      </c>
      <c r="AE231" s="29">
        <f>IF(履歴データ!$A$231="",AE230,AE230+AC231/1000000)</f>
        <v>82.579084066179661</v>
      </c>
      <c r="AF231" s="12">
        <f>IF(OR(履歴データ!$A$231="",AE230=0),"",(AE231-AE230)/AE230)</f>
        <v>-6.6918143898772207E-3</v>
      </c>
      <c r="AG231" s="29">
        <f t="shared" si="11"/>
        <v>102.17217746631495</v>
      </c>
      <c r="AH231" s="12">
        <f>IF(OR(履歴データ!$A$231="",AG231=0),"",AE231/AG231-1)</f>
        <v>-0.19176544814849339</v>
      </c>
      <c r="AJ231" s="28">
        <f t="shared" ca="1" si="9"/>
        <v>-20.93312498005443</v>
      </c>
      <c r="AK231" s="28">
        <f t="shared" ca="1" si="10"/>
        <v>-56.766875019945573</v>
      </c>
    </row>
    <row r="232" spans="1:37">
      <c r="A232" s="10">
        <f>IF(履歴データ!$A$232="","",履歴データ!$A$232)</f>
        <v>45261</v>
      </c>
      <c r="B232" s="28">
        <f>IF(履歴データ!$A$232="","",(履歴データ!$D$232-(履歴データ!$B$232+履歴データ!$F$232)/2)*100)</f>
        <v>-26.000000000000068</v>
      </c>
      <c r="C232" s="28">
        <f>IF(履歴データ!$A$232="","",(履歴データ!$H$232-(履歴データ!$G$232+履歴データ!$J$232)/2)*100)</f>
        <v>-14.150000000000007</v>
      </c>
      <c r="D232" s="28">
        <f>IF(履歴データ!$A$232="","",(履歴データ!$D$232-履歴データ!$H$232)*100)</f>
        <v>350</v>
      </c>
      <c r="E232" s="28">
        <f>IF(履歴データ!$A$232="","",(履歴データ!$D$232-履歴データ!$C$232)*100)</f>
        <v>8.0000000000000071</v>
      </c>
      <c r="F232" s="28">
        <f>IF(履歴データ!$A$232="","",(履歴データ!$R$232-履歴データ!$D$232)*100)</f>
        <v>-212.51</v>
      </c>
      <c r="G232" s="28">
        <f>IF(履歴データ!$A$232="","",(履歴データ!$S$232-履歴データ!$R$232)*100)</f>
        <v>-149.62664282226586</v>
      </c>
      <c r="H232" s="29">
        <f>IF(履歴データ!$A$232="","",履歴データ!$O$232)</f>
        <v>147.99899291992188</v>
      </c>
      <c r="I232" s="29">
        <f>IF(履歴データ!$A$232="","",履歴データ!$Q$232)</f>
        <v>110.34375</v>
      </c>
      <c r="J232" s="29">
        <f>IF(履歴データ!$A$232="","",履歴データ!$D$232)</f>
        <v>4.22</v>
      </c>
      <c r="K232" s="28">
        <f>IF(OR(履歴データ!$A$232="",履歴データ!$A$231=""),"",B232-B231)</f>
        <v>0.49999999999990052</v>
      </c>
      <c r="L232" s="28">
        <f>IF(OR(履歴データ!$A$232="",履歴データ!$A$231=""),"",C232-C231)</f>
        <v>3.3499999999999961</v>
      </c>
      <c r="M232" s="28">
        <f>IF(OR(履歴データ!$A$232="",履歴データ!$A$231=""),"",D232-D231)</f>
        <v>-17.900000000000034</v>
      </c>
      <c r="N232" s="28">
        <f>IF(OR(履歴データ!$A$232="",履歴データ!$A$231=""),"",E232-E231)</f>
        <v>1.9999999999999574</v>
      </c>
      <c r="O232" s="28">
        <f>IF(OR(履歴データ!$A$232="",履歴データ!$A$231=""),"",F232-F231)</f>
        <v>22.97</v>
      </c>
      <c r="P232" s="28">
        <f>IF(OR(履歴データ!$A$232="",履歴データ!$A$231=""),"",G232-G231)</f>
        <v>-8.496285644531298</v>
      </c>
      <c r="Q232" s="29">
        <f>IF(OR(履歴データ!$A$232="",履歴データ!$A$231=""),"",H232-H231)</f>
        <v>0.959991455078125</v>
      </c>
      <c r="R232" s="29">
        <f>IF(OR(履歴データ!$A$232="",履歴データ!$A$231=""),"",I232-I231)</f>
        <v>0.875</v>
      </c>
      <c r="S232" s="28">
        <f>IF(OR(履歴データ!$A$232="",履歴データ!$A$231=""),"",(J232-J231)*100)</f>
        <v>-15.000000000000036</v>
      </c>
      <c r="T232" s="11">
        <f>IF(OR(履歴データ!$A$232="",履歴データ!$A$231=""),"",-80000*K232)</f>
        <v>-39999.99999999204</v>
      </c>
      <c r="U232" s="11">
        <f>IF(OR(履歴データ!$A$232="",履歴データ!$A$231=""),"",60000*L232)</f>
        <v>200999.99999999977</v>
      </c>
      <c r="V232" s="11">
        <f>IF(OR(履歴データ!$A$232="",履歴データ!$A$231=""),"",-50000*M232)</f>
        <v>895000.00000000175</v>
      </c>
      <c r="W232" s="11">
        <f>IF(OR(履歴データ!$A$232="",履歴データ!$A$231=""),"",-40000*N232)</f>
        <v>-79999.999999998297</v>
      </c>
      <c r="X232" s="11">
        <f>IF(OR(履歴データ!$A$232="",履歴データ!$A$231=""),"",120*1000000*(-Q232/H231))</f>
        <v>-783458.62976305967</v>
      </c>
      <c r="Y232" s="11">
        <f>IF(OR(履歴データ!$A$232="",履歴データ!$A$231=""),"",40000*(-S232)+(-506.3)*R232*1000)</f>
        <v>156987.5000000014</v>
      </c>
      <c r="Z232" s="11">
        <f>IF(OR(履歴データ!$A$232="",履歴データ!$A$231=""),"",-40000*O232)</f>
        <v>-918800</v>
      </c>
      <c r="AA232" s="11">
        <f>IF(OR(履歴データ!$A$232="",履歴データ!$A$231=""),"",-40000*P232)</f>
        <v>339851.42578125192</v>
      </c>
      <c r="AB232" s="11">
        <f>IF(履歴データ!$A$232="","",123.3)</f>
        <v>123.3</v>
      </c>
      <c r="AC232">
        <f>IF(履歴データ!$A$232="","",SUM(T232:AA232))</f>
        <v>-229419.70398179506</v>
      </c>
      <c r="AD232" s="29">
        <f>IF(履歴データ!$A$232="","",AC232/1000000)</f>
        <v>-0.22941970398179506</v>
      </c>
      <c r="AE232" s="29">
        <f>IF(履歴データ!$A$232="",AE231,AE231+AC232/1000000)</f>
        <v>82.349664362197871</v>
      </c>
      <c r="AF232" s="12">
        <f>IF(OR(履歴データ!$A$232="",AE231=0),"",(AE232-AE231)/AE231)</f>
        <v>-2.7781817463358046E-3</v>
      </c>
      <c r="AG232" s="29">
        <f t="shared" si="11"/>
        <v>102.17217746631495</v>
      </c>
      <c r="AH232" s="12">
        <f>IF(OR(履歴データ!$A$232="",AG232=0),"",AE232/AG232-1)</f>
        <v>-0.19401087062720523</v>
      </c>
      <c r="AJ232" s="28">
        <f t="shared" ca="1" si="9"/>
        <v>-20.836700960888148</v>
      </c>
      <c r="AK232" s="28">
        <f t="shared" ca="1" si="10"/>
        <v>-56.752043627856438</v>
      </c>
    </row>
    <row r="233" spans="1:37">
      <c r="A233" s="10">
        <f>IF(履歴データ!$A$233="","",履歴データ!$A$233)</f>
        <v>45264</v>
      </c>
      <c r="B233" s="28">
        <f>IF(履歴データ!$A$233="","",(履歴データ!$D$233-(履歴データ!$B$233+履歴データ!$F$233)/2)*100)</f>
        <v>-25.499999999999989</v>
      </c>
      <c r="C233" s="28">
        <f>IF(履歴データ!$A$233="","",(履歴データ!$H$233-(履歴データ!$G$233+履歴データ!$J$233)/2)*100)</f>
        <v>-14.749999999999996</v>
      </c>
      <c r="D233" s="28">
        <f>IF(履歴データ!$A$233="","",(履歴データ!$D$233-履歴データ!$H$233)*100)</f>
        <v>356.80000000000007</v>
      </c>
      <c r="E233" s="28">
        <f>IF(履歴データ!$A$233="","",(履歴データ!$D$233-履歴データ!$C$233)*100)</f>
        <v>4.9999999999999822</v>
      </c>
      <c r="F233" s="28">
        <f>IF(履歴データ!$A$233="","",(履歴データ!$R$233-履歴データ!$D$233)*100)</f>
        <v>-222.61</v>
      </c>
      <c r="G233" s="28">
        <f>IF(履歴データ!$A$233="","",(履歴データ!$S$233-履歴データ!$R$233)*100)</f>
        <v>-151.6656428222658</v>
      </c>
      <c r="H233" s="29">
        <f>IF(履歴データ!$A$233="","",履歴データ!$O$233)</f>
        <v>146.39300537109375</v>
      </c>
      <c r="I233" s="29">
        <f>IF(履歴データ!$A$233="","",履歴データ!$Q$233)</f>
        <v>109.890625</v>
      </c>
      <c r="J233" s="29">
        <f>IF(履歴データ!$A$233="","",履歴データ!$D$233)</f>
        <v>4.28</v>
      </c>
      <c r="K233" s="28">
        <f>IF(OR(履歴データ!$A$233="",履歴データ!$A$232=""),"",B233-B232)</f>
        <v>0.50000000000007816</v>
      </c>
      <c r="L233" s="28">
        <f>IF(OR(履歴データ!$A$233="",履歴データ!$A$232=""),"",C233-C232)</f>
        <v>-0.59999999999998899</v>
      </c>
      <c r="M233" s="28">
        <f>IF(OR(履歴データ!$A$233="",履歴データ!$A$232=""),"",D233-D232)</f>
        <v>6.8000000000000682</v>
      </c>
      <c r="N233" s="28">
        <f>IF(OR(履歴データ!$A$233="",履歴データ!$A$232=""),"",E233-E232)</f>
        <v>-3.0000000000000249</v>
      </c>
      <c r="O233" s="28">
        <f>IF(OR(履歴データ!$A$233="",履歴データ!$A$232=""),"",F233-F232)</f>
        <v>-10.100000000000023</v>
      </c>
      <c r="P233" s="28">
        <f>IF(OR(履歴データ!$A$233="",履歴データ!$A$232=""),"",G233-G232)</f>
        <v>-2.0389999999999304</v>
      </c>
      <c r="Q233" s="29">
        <f>IF(OR(履歴データ!$A$233="",履歴データ!$A$232=""),"",H233-H232)</f>
        <v>-1.605987548828125</v>
      </c>
      <c r="R233" s="29">
        <f>IF(OR(履歴データ!$A$233="",履歴データ!$A$232=""),"",I233-I232)</f>
        <v>-0.453125</v>
      </c>
      <c r="S233" s="28">
        <f>IF(OR(履歴データ!$A$233="",履歴データ!$A$232=""),"",(J233-J232)*100)</f>
        <v>6.0000000000000497</v>
      </c>
      <c r="T233" s="11">
        <f>IF(OR(履歴データ!$A$233="",履歴データ!$A$232=""),"",-80000*K233)</f>
        <v>-40000.00000000625</v>
      </c>
      <c r="U233" s="11">
        <f>IF(OR(履歴データ!$A$233="",履歴データ!$A$232=""),"",60000*L233)</f>
        <v>-35999.999999999338</v>
      </c>
      <c r="V233" s="11">
        <f>IF(OR(履歴データ!$A$233="",履歴データ!$A$232=""),"",-50000*M233)</f>
        <v>-340000.00000000343</v>
      </c>
      <c r="W233" s="11">
        <f>IF(OR(履歴データ!$A$233="",履歴データ!$A$232=""),"",-40000*N233)</f>
        <v>120000.00000000099</v>
      </c>
      <c r="X233" s="11">
        <f>IF(OR(履歴データ!$A$233="",履歴データ!$A$232=""),"",120*1000000*(-Q233/H232))</f>
        <v>1302160.9272952932</v>
      </c>
      <c r="Y233" s="11">
        <f>IF(OR(履歴データ!$A$233="",履歴データ!$A$232=""),"",40000*(-S233)+(-506.3)*R233*1000)</f>
        <v>-10582.812500001979</v>
      </c>
      <c r="Z233" s="11">
        <f>IF(OR(履歴データ!$A$233="",履歴データ!$A$232=""),"",-40000*O233)</f>
        <v>404000.00000000093</v>
      </c>
      <c r="AA233" s="11">
        <f>IF(OR(履歴データ!$A$233="",履歴データ!$A$232=""),"",-40000*P233)</f>
        <v>81559.999999997221</v>
      </c>
      <c r="AB233" s="11">
        <f>IF(履歴データ!$A$233="","",123.3)</f>
        <v>123.3</v>
      </c>
      <c r="AC233">
        <f>IF(履歴データ!$A$233="","",SUM(T233:AA233))</f>
        <v>1481138.1147952813</v>
      </c>
      <c r="AD233" s="29">
        <f>IF(履歴データ!$A$233="","",AC233/1000000)</f>
        <v>1.4811381147952813</v>
      </c>
      <c r="AE233" s="29">
        <f>IF(履歴データ!$A$233="",AE232,AE232+AC233/1000000)</f>
        <v>83.830802476993156</v>
      </c>
      <c r="AF233" s="12">
        <f>IF(OR(履歴データ!$A$233="",AE232=0),"",(AE233-AE232)/AE232)</f>
        <v>1.79859641962936E-2</v>
      </c>
      <c r="AG233" s="29">
        <f t="shared" si="11"/>
        <v>102.17217746631495</v>
      </c>
      <c r="AH233" s="12">
        <f>IF(OR(履歴データ!$A$233="",AG233=0),"",AE233/AG233-1)</f>
        <v>-0.17951437900370426</v>
      </c>
      <c r="AJ233" s="28">
        <f t="shared" ca="1" si="9"/>
        <v>-20.733480479112103</v>
      </c>
      <c r="AK233" s="28">
        <f t="shared" ca="1" si="10"/>
        <v>-56.740657451922374</v>
      </c>
    </row>
    <row r="234" spans="1:37">
      <c r="A234" s="10">
        <f>IF(履歴データ!$A$234="","",履歴データ!$A$234)</f>
        <v>45265</v>
      </c>
      <c r="B234" s="28">
        <f>IF(履歴データ!$A$234="","",(履歴データ!$D$234-(履歴データ!$B$234+履歴データ!$F$234)/2)*100)</f>
        <v>-25.500000000000078</v>
      </c>
      <c r="C234" s="28">
        <f>IF(履歴データ!$A$234="","",(履歴データ!$H$234-(履歴データ!$G$234+履歴データ!$J$234)/2)*100)</f>
        <v>-17.25</v>
      </c>
      <c r="D234" s="28">
        <f>IF(履歴データ!$A$234="","",(履歴データ!$D$234-履歴データ!$H$234)*100)</f>
        <v>349.29999999999995</v>
      </c>
      <c r="E234" s="28">
        <f>IF(履歴データ!$A$234="","",(履歴データ!$D$234-履歴データ!$C$234)*100)</f>
        <v>4.0000000000000036</v>
      </c>
      <c r="F234" s="28">
        <f>IF(履歴データ!$A$234="","",(履歴データ!$R$234-履歴データ!$D$234)*100)</f>
        <v>-212.98999999999998</v>
      </c>
      <c r="G234" s="28">
        <f>IF(履歴データ!$A$234="","",(履歴データ!$S$234-履歴データ!$R$234)*100)</f>
        <v>-146.72517858886738</v>
      </c>
      <c r="H234" s="29">
        <f>IF(履歴データ!$A$234="","",履歴データ!$O$234)</f>
        <v>147.32699584960938</v>
      </c>
      <c r="I234" s="29">
        <f>IF(履歴データ!$A$234="","",履歴データ!$Q$234)</f>
        <v>110.625</v>
      </c>
      <c r="J234" s="29">
        <f>IF(履歴データ!$A$234="","",履歴データ!$D$234)</f>
        <v>4.18</v>
      </c>
      <c r="K234" s="28">
        <f>IF(OR(履歴データ!$A$234="",履歴データ!$A$233=""),"",B234-B233)</f>
        <v>-8.8817841970012523E-14</v>
      </c>
      <c r="L234" s="28">
        <f>IF(OR(履歴データ!$A$234="",履歴データ!$A$233=""),"",C234-C233)</f>
        <v>-2.5000000000000036</v>
      </c>
      <c r="M234" s="28">
        <f>IF(OR(履歴データ!$A$234="",履歴データ!$A$233=""),"",D234-D233)</f>
        <v>-7.5000000000001137</v>
      </c>
      <c r="N234" s="28">
        <f>IF(OR(履歴データ!$A$234="",履歴データ!$A$233=""),"",E234-E233)</f>
        <v>-0.99999999999997868</v>
      </c>
      <c r="O234" s="28">
        <f>IF(OR(履歴データ!$A$234="",履歴データ!$A$233=""),"",F234-F233)</f>
        <v>9.620000000000033</v>
      </c>
      <c r="P234" s="28">
        <f>IF(OR(履歴データ!$A$234="",履歴データ!$A$233=""),"",G234-G233)</f>
        <v>4.9404642333984157</v>
      </c>
      <c r="Q234" s="29">
        <f>IF(OR(履歴データ!$A$234="",履歴データ!$A$233=""),"",H234-H233)</f>
        <v>0.933990478515625</v>
      </c>
      <c r="R234" s="29">
        <f>IF(OR(履歴データ!$A$234="",履歴データ!$A$233=""),"",I234-I233)</f>
        <v>0.734375</v>
      </c>
      <c r="S234" s="28">
        <f>IF(OR(履歴データ!$A$234="",履歴データ!$A$233=""),"",(J234-J233)*100)</f>
        <v>-10.000000000000053</v>
      </c>
      <c r="T234" s="11">
        <f>IF(OR(履歴データ!$A$234="",履歴データ!$A$233=""),"",-80000*K234)</f>
        <v>7.1054273576010019E-9</v>
      </c>
      <c r="U234" s="11">
        <f>IF(OR(履歴データ!$A$234="",履歴データ!$A$233=""),"",60000*L234)</f>
        <v>-150000.0000000002</v>
      </c>
      <c r="V234" s="11">
        <f>IF(OR(履歴データ!$A$234="",履歴データ!$A$233=""),"",-50000*M234)</f>
        <v>375000.0000000057</v>
      </c>
      <c r="W234" s="11">
        <f>IF(OR(履歴データ!$A$234="",履歴データ!$A$233=""),"",-40000*N234)</f>
        <v>39999.999999999149</v>
      </c>
      <c r="X234" s="11">
        <f>IF(OR(履歴データ!$A$234="",履歴データ!$A$233=""),"",120*1000000*(-Q234/H233))</f>
        <v>-765602.5445871863</v>
      </c>
      <c r="Y234" s="11">
        <f>IF(OR(履歴データ!$A$234="",履歴データ!$A$233=""),"",40000*(-S234)+(-506.3)*R234*1000)</f>
        <v>28185.937500002095</v>
      </c>
      <c r="Z234" s="11">
        <f>IF(OR(履歴データ!$A$234="",履歴データ!$A$233=""),"",-40000*O234)</f>
        <v>-384800.00000000134</v>
      </c>
      <c r="AA234" s="11">
        <f>IF(OR(履歴データ!$A$234="",履歴データ!$A$233=""),"",-40000*P234)</f>
        <v>-197618.56933593663</v>
      </c>
      <c r="AB234" s="11">
        <f>IF(履歴データ!$A$234="","",123.3)</f>
        <v>123.3</v>
      </c>
      <c r="AC234">
        <f>IF(履歴データ!$A$234="","",SUM(T234:AA234))</f>
        <v>-1054835.1764231103</v>
      </c>
      <c r="AD234" s="29">
        <f>IF(履歴データ!$A$234="","",AC234/1000000)</f>
        <v>-1.0548351764231103</v>
      </c>
      <c r="AE234" s="29">
        <f>IF(履歴データ!$A$234="",AE233,AE233+AC234/1000000)</f>
        <v>82.775967300570045</v>
      </c>
      <c r="AF234" s="12">
        <f>IF(OR(履歴データ!$A$234="",AE233=0),"",(AE234-AE233)/AE233)</f>
        <v>-1.2582906822496473E-2</v>
      </c>
      <c r="AG234" s="29">
        <f t="shared" si="11"/>
        <v>102.17217746631495</v>
      </c>
      <c r="AH234" s="12">
        <f>IF(OR(履歴データ!$A$234="",AG234=0),"",AE234/AG234-1)</f>
        <v>-0.18983847312189883</v>
      </c>
      <c r="AJ234" s="28">
        <f t="shared" ca="1" si="9"/>
        <v>-20.631984508741319</v>
      </c>
      <c r="AK234" s="28">
        <f t="shared" ca="1" si="10"/>
        <v>-56.728530512717903</v>
      </c>
    </row>
    <row r="235" spans="1:37">
      <c r="A235" s="10">
        <f>IF(履歴データ!$A$235="","",履歴データ!$A$235)</f>
        <v>45266</v>
      </c>
      <c r="B235" s="28">
        <f>IF(履歴データ!$A$235="","",(履歴データ!$D$235-(履歴データ!$B$235+履歴データ!$F$235)/2)*100)</f>
        <v>-29.000000000000004</v>
      </c>
      <c r="C235" s="28">
        <f>IF(履歴データ!$A$235="","",(履歴データ!$H$235-(履歴データ!$G$235+履歴データ!$J$235)/2)*100)</f>
        <v>-16.399999999999991</v>
      </c>
      <c r="D235" s="28">
        <f>IF(履歴データ!$A$235="","",(履歴データ!$D$235-履歴データ!$H$235)*100)</f>
        <v>345.3</v>
      </c>
      <c r="E235" s="28">
        <f>IF(履歴データ!$A$235="","",(履歴データ!$D$235-履歴データ!$C$235)*100)</f>
        <v>0</v>
      </c>
      <c r="F235" s="28">
        <f>IF(履歴データ!$A$235="","",(履歴データ!$R$235-履歴データ!$D$235)*100)</f>
        <v>-218.21</v>
      </c>
      <c r="G235" s="28">
        <f>IF(履歴データ!$A$235="","",(履歴データ!$S$235-履歴データ!$R$235)*100)</f>
        <v>-145.50300000000016</v>
      </c>
      <c r="H235" s="29">
        <f>IF(履歴データ!$A$235="","",履歴データ!$O$235)</f>
        <v>147.18499755859375</v>
      </c>
      <c r="I235" s="29">
        <f>IF(履歴データ!$A$235="","",履歴データ!$Q$235)</f>
        <v>110.8125</v>
      </c>
      <c r="J235" s="29">
        <f>IF(履歴データ!$A$235="","",履歴データ!$D$235)</f>
        <v>4.12</v>
      </c>
      <c r="K235" s="28">
        <f>IF(OR(履歴データ!$A$235="",履歴データ!$A$234=""),"",B235-B234)</f>
        <v>-3.4999999999999254</v>
      </c>
      <c r="L235" s="28">
        <f>IF(OR(履歴データ!$A$235="",履歴データ!$A$234=""),"",C235-C234)</f>
        <v>0.85000000000000853</v>
      </c>
      <c r="M235" s="28">
        <f>IF(OR(履歴データ!$A$235="",履歴データ!$A$234=""),"",D235-D234)</f>
        <v>-3.9999999999999432</v>
      </c>
      <c r="N235" s="28">
        <f>IF(OR(履歴データ!$A$235="",履歴データ!$A$234=""),"",E235-E234)</f>
        <v>-4.0000000000000036</v>
      </c>
      <c r="O235" s="28">
        <f>IF(OR(履歴データ!$A$235="",履歴データ!$A$234=""),"",F235-F234)</f>
        <v>-5.2200000000000273</v>
      </c>
      <c r="P235" s="28">
        <f>IF(OR(履歴データ!$A$235="",履歴データ!$A$234=""),"",G235-G234)</f>
        <v>1.222178588867223</v>
      </c>
      <c r="Q235" s="29">
        <f>IF(OR(履歴データ!$A$235="",履歴データ!$A$234=""),"",H235-H234)</f>
        <v>-0.141998291015625</v>
      </c>
      <c r="R235" s="29">
        <f>IF(OR(履歴データ!$A$235="",履歴データ!$A$234=""),"",I235-I234)</f>
        <v>0.1875</v>
      </c>
      <c r="S235" s="28">
        <f>IF(OR(履歴データ!$A$235="",履歴データ!$A$234=""),"",(J235-J234)*100)</f>
        <v>-5.9999999999999609</v>
      </c>
      <c r="T235" s="11">
        <f>IF(OR(履歴データ!$A$235="",履歴データ!$A$234=""),"",-80000*K235)</f>
        <v>279999.999999994</v>
      </c>
      <c r="U235" s="11">
        <f>IF(OR(履歴データ!$A$235="",履歴データ!$A$234=""),"",60000*L235)</f>
        <v>51000.000000000509</v>
      </c>
      <c r="V235" s="11">
        <f>IF(OR(履歴データ!$A$235="",履歴データ!$A$234=""),"",-50000*M235)</f>
        <v>199999.99999999715</v>
      </c>
      <c r="W235" s="11">
        <f>IF(OR(履歴データ!$A$235="",履歴データ!$A$234=""),"",-40000*N235)</f>
        <v>160000.00000000015</v>
      </c>
      <c r="X235" s="11">
        <f>IF(OR(履歴データ!$A$235="",履歴データ!$A$234=""),"",120*1000000*(-Q235/H234))</f>
        <v>115659.69171915467</v>
      </c>
      <c r="Y235" s="11">
        <f>IF(OR(履歴データ!$A$235="",履歴データ!$A$234=""),"",40000*(-S235)+(-506.3)*R235*1000)</f>
        <v>145068.74999999843</v>
      </c>
      <c r="Z235" s="11">
        <f>IF(OR(履歴データ!$A$235="",履歴データ!$A$234=""),"",-40000*O235)</f>
        <v>208800.00000000111</v>
      </c>
      <c r="AA235" s="11">
        <f>IF(OR(履歴データ!$A$235="",履歴データ!$A$234=""),"",-40000*P235)</f>
        <v>-48887.143554688919</v>
      </c>
      <c r="AB235" s="11">
        <f>IF(履歴データ!$A$235="","",123.3)</f>
        <v>123.3</v>
      </c>
      <c r="AC235">
        <f>IF(履歴データ!$A$235="","",SUM(T235:AA235))</f>
        <v>1111641.2981644571</v>
      </c>
      <c r="AD235" s="29">
        <f>IF(履歴データ!$A$235="","",AC235/1000000)</f>
        <v>1.111641298164457</v>
      </c>
      <c r="AE235" s="29">
        <f>IF(履歴データ!$A$235="",AE234,AE234+AC235/1000000)</f>
        <v>83.887608598734502</v>
      </c>
      <c r="AF235" s="12">
        <f>IF(OR(履歴データ!$A$235="",AE234=0),"",(AE235-AE234)/AE234)</f>
        <v>1.3429517460399424E-2</v>
      </c>
      <c r="AG235" s="29">
        <f t="shared" si="11"/>
        <v>102.17217746631495</v>
      </c>
      <c r="AH235" s="12">
        <f>IF(OR(履歴データ!$A$235="",AG235=0),"",AE235/AG235-1)</f>
        <v>-0.17895839475094544</v>
      </c>
      <c r="AJ235" s="28">
        <f t="shared" ca="1" si="9"/>
        <v>-20.584970544863864</v>
      </c>
      <c r="AK235" s="28">
        <f t="shared" ca="1" si="10"/>
        <v>-56.692807232913907</v>
      </c>
    </row>
    <row r="236" spans="1:37">
      <c r="A236" s="10">
        <f>IF(履歴データ!$A$236="","",履歴データ!$A$236)</f>
        <v>45267</v>
      </c>
      <c r="B236" s="28">
        <f>IF(履歴データ!$A$236="","",(履歴データ!$D$236-(履歴データ!$B$236+履歴データ!$F$236)/2)*100)</f>
        <v>-27.500000000000036</v>
      </c>
      <c r="C236" s="28">
        <f>IF(履歴データ!$A$236="","",(履歴データ!$H$236-(履歴データ!$G$236+履歴データ!$J$236)/2)*100)</f>
        <v>-12.7</v>
      </c>
      <c r="D236" s="28">
        <f>IF(履歴データ!$A$236="","",(履歴データ!$D$236-履歴データ!$H$236)*100)</f>
        <v>336.9</v>
      </c>
      <c r="E236" s="28">
        <f>IF(履歴データ!$A$236="","",(履歴データ!$D$236-履歴データ!$C$236)*100)</f>
        <v>2.9999999999999361</v>
      </c>
      <c r="F236" s="28">
        <f>IF(履歴データ!$A$236="","",(履歴データ!$R$236-履歴データ!$D$236)*100)</f>
        <v>-223.91999999999993</v>
      </c>
      <c r="G236" s="28">
        <f>IF(履歴データ!$A$236="","",(履歴データ!$S$236-履歴データ!$R$236)*100)</f>
        <v>-125.48082141113281</v>
      </c>
      <c r="H236" s="29">
        <f>IF(履歴データ!$A$236="","",履歴データ!$O$236)</f>
        <v>147.18400573730469</v>
      </c>
      <c r="I236" s="29">
        <f>IF(履歴データ!$A$236="","",履歴データ!$Q$236)</f>
        <v>110.84375</v>
      </c>
      <c r="J236" s="29">
        <f>IF(履歴データ!$A$236="","",履歴データ!$D$236)</f>
        <v>4.1399999999999997</v>
      </c>
      <c r="K236" s="28">
        <f>IF(OR(履歴データ!$A$236="",履歴データ!$A$235=""),"",B236-B235)</f>
        <v>1.499999999999968</v>
      </c>
      <c r="L236" s="28">
        <f>IF(OR(履歴データ!$A$236="",履歴データ!$A$235=""),"",C236-C235)</f>
        <v>3.6999999999999922</v>
      </c>
      <c r="M236" s="28">
        <f>IF(OR(履歴データ!$A$236="",履歴データ!$A$235=""),"",D236-D235)</f>
        <v>-8.4000000000000341</v>
      </c>
      <c r="N236" s="28">
        <f>IF(OR(履歴データ!$A$236="",履歴データ!$A$235=""),"",E236-E235)</f>
        <v>2.9999999999999361</v>
      </c>
      <c r="O236" s="28">
        <f>IF(OR(履歴データ!$A$236="",履歴データ!$A$235=""),"",F236-F235)</f>
        <v>-5.7099999999999227</v>
      </c>
      <c r="P236" s="28">
        <f>IF(OR(履歴データ!$A$236="",履歴データ!$A$235=""),"",G236-G235)</f>
        <v>20.022178588867348</v>
      </c>
      <c r="Q236" s="29">
        <f>IF(OR(履歴データ!$A$236="",履歴データ!$A$235=""),"",H236-H235)</f>
        <v>-9.918212890625E-4</v>
      </c>
      <c r="R236" s="29">
        <f>IF(OR(履歴データ!$A$236="",履歴データ!$A$235=""),"",I236-I235)</f>
        <v>3.125E-2</v>
      </c>
      <c r="S236" s="28">
        <f>IF(OR(履歴データ!$A$236="",履歴データ!$A$235=""),"",(J236-J235)*100)</f>
        <v>1.9999999999999574</v>
      </c>
      <c r="T236" s="11">
        <f>IF(OR(履歴データ!$A$236="",履歴データ!$A$235=""),"",-80000*K236)</f>
        <v>-119999.99999999744</v>
      </c>
      <c r="U236" s="11">
        <f>IF(OR(履歴データ!$A$236="",履歴データ!$A$235=""),"",60000*L236)</f>
        <v>221999.99999999953</v>
      </c>
      <c r="V236" s="11">
        <f>IF(OR(履歴データ!$A$236="",履歴データ!$A$235=""),"",-50000*M236)</f>
        <v>420000.00000000169</v>
      </c>
      <c r="W236" s="11">
        <f>IF(OR(履歴データ!$A$236="",履歴データ!$A$235=""),"",-40000*N236)</f>
        <v>-119999.99999999744</v>
      </c>
      <c r="X236" s="11">
        <f>IF(OR(履歴データ!$A$236="",履歴データ!$A$235=""),"",120*1000000*(-Q236/H235))</f>
        <v>808.63237871862043</v>
      </c>
      <c r="Y236" s="11">
        <f>IF(OR(履歴データ!$A$236="",履歴データ!$A$235=""),"",40000*(-S236)+(-506.3)*R236*1000)</f>
        <v>-95821.874999998297</v>
      </c>
      <c r="Z236" s="11">
        <f>IF(OR(履歴データ!$A$236="",履歴データ!$A$235=""),"",-40000*O236)</f>
        <v>228399.99999999691</v>
      </c>
      <c r="AA236" s="11">
        <f>IF(OR(履歴データ!$A$236="",履歴データ!$A$235=""),"",-40000*P236)</f>
        <v>-800887.1435546939</v>
      </c>
      <c r="AB236" s="11">
        <f>IF(履歴データ!$A$236="","",123.3)</f>
        <v>123.3</v>
      </c>
      <c r="AC236">
        <f>IF(履歴データ!$A$236="","",SUM(T236:AA236))</f>
        <v>-265500.38617597031</v>
      </c>
      <c r="AD236" s="29">
        <f>IF(履歴データ!$A$236="","",AC236/1000000)</f>
        <v>-0.26550038617597033</v>
      </c>
      <c r="AE236" s="29">
        <f>IF(履歴データ!$A$236="",AE235,AE235+AC236/1000000)</f>
        <v>83.62210821255853</v>
      </c>
      <c r="AF236" s="12">
        <f>IF(OR(履歴データ!$A$236="",AE235=0),"",(AE236-AE235)/AE235)</f>
        <v>-3.1649535683626298E-3</v>
      </c>
      <c r="AG236" s="29">
        <f t="shared" si="11"/>
        <v>102.17217746631495</v>
      </c>
      <c r="AH236" s="12">
        <f>IF(OR(履歴データ!$A$236="",AG236=0),"",AE236/AG236-1)</f>
        <v>-0.1815569533092527</v>
      </c>
      <c r="AJ236" s="28">
        <f t="shared" ca="1" si="9"/>
        <v>-20.517669707261213</v>
      </c>
      <c r="AK236" s="28">
        <f t="shared" ca="1" si="10"/>
        <v>-56.665309016143048</v>
      </c>
    </row>
    <row r="237" spans="1:37">
      <c r="A237" s="10">
        <f>IF(履歴データ!$A$237="","",履歴データ!$A$237)</f>
        <v>45268</v>
      </c>
      <c r="B237" s="28">
        <f>IF(履歴データ!$A$237="","",(履歴データ!$D$237-(履歴データ!$B$237+履歴データ!$F$237)/2)*100)</f>
        <v>-27.999999999999936</v>
      </c>
      <c r="C237" s="28">
        <f>IF(履歴データ!$A$237="","",(履歴データ!$H$237-(履歴データ!$G$237+履歴データ!$J$237)/2)*100)</f>
        <v>-13.449999999999996</v>
      </c>
      <c r="D237" s="28">
        <f>IF(履歴データ!$A$237="","",(履歴データ!$D$237-履歴データ!$H$237)*100)</f>
        <v>343.90000000000003</v>
      </c>
      <c r="E237" s="28">
        <f>IF(履歴データ!$A$237="","",(履歴データ!$D$237-履歴データ!$C$237)*100)</f>
        <v>-0.99999999999997868</v>
      </c>
      <c r="F237" s="28">
        <f>IF(履歴データ!$A$237="","",(履歴データ!$R$237-履歴データ!$D$237)*100)</f>
        <v>-236.66000000000005</v>
      </c>
      <c r="G237" s="28">
        <f>IF(履歴データ!$A$237="","",(履歴データ!$S$237-履歴データ!$R$237)*100)</f>
        <v>-123.14400000000005</v>
      </c>
      <c r="H237" s="29">
        <f>IF(履歴データ!$A$237="","",履歴データ!$O$237)</f>
        <v>144.27799987792969</v>
      </c>
      <c r="I237" s="29">
        <f>IF(履歴データ!$A$237="","",履歴データ!$Q$237)</f>
        <v>109.96875</v>
      </c>
      <c r="J237" s="29">
        <f>IF(履歴データ!$A$237="","",履歴データ!$D$237)</f>
        <v>4.2300000000000004</v>
      </c>
      <c r="K237" s="28">
        <f>IF(OR(履歴データ!$A$237="",履歴データ!$A$236=""),"",B237-B236)</f>
        <v>-0.49999999999990052</v>
      </c>
      <c r="L237" s="28">
        <f>IF(OR(履歴データ!$A$237="",履歴データ!$A$236=""),"",C237-C236)</f>
        <v>-0.74999999999999645</v>
      </c>
      <c r="M237" s="28">
        <f>IF(OR(履歴データ!$A$237="",履歴データ!$A$236=""),"",D237-D236)</f>
        <v>7.0000000000000568</v>
      </c>
      <c r="N237" s="28">
        <f>IF(OR(履歴データ!$A$237="",履歴データ!$A$236=""),"",E237-E236)</f>
        <v>-3.9999999999999147</v>
      </c>
      <c r="O237" s="28">
        <f>IF(OR(履歴データ!$A$237="",履歴データ!$A$236=""),"",F237-F236)</f>
        <v>-12.740000000000123</v>
      </c>
      <c r="P237" s="28">
        <f>IF(OR(履歴データ!$A$237="",履歴データ!$A$236=""),"",G237-G236)</f>
        <v>2.3368214111327603</v>
      </c>
      <c r="Q237" s="29">
        <f>IF(OR(履歴データ!$A$237="",履歴データ!$A$236=""),"",H237-H236)</f>
        <v>-2.906005859375</v>
      </c>
      <c r="R237" s="29">
        <f>IF(OR(履歴データ!$A$237="",履歴データ!$A$236=""),"",I237-I236)</f>
        <v>-0.875</v>
      </c>
      <c r="S237" s="28">
        <f>IF(OR(履歴データ!$A$237="",履歴データ!$A$236=""),"",(J237-J236)*100)</f>
        <v>9.0000000000000746</v>
      </c>
      <c r="T237" s="11">
        <f>IF(OR(履歴データ!$A$237="",履歴データ!$A$236=""),"",-80000*K237)</f>
        <v>39999.99999999204</v>
      </c>
      <c r="U237" s="11">
        <f>IF(OR(履歴データ!$A$237="",履歴データ!$A$236=""),"",60000*L237)</f>
        <v>-44999.999999999789</v>
      </c>
      <c r="V237" s="11">
        <f>IF(OR(履歴データ!$A$237="",履歴データ!$A$236=""),"",-50000*M237)</f>
        <v>-350000.00000000285</v>
      </c>
      <c r="W237" s="11">
        <f>IF(OR(履歴データ!$A$237="",履歴データ!$A$236=""),"",-40000*N237)</f>
        <v>159999.99999999659</v>
      </c>
      <c r="X237" s="11">
        <f>IF(OR(履歴データ!$A$237="",履歴データ!$A$236=""),"",120*1000000*(-Q237/H236))</f>
        <v>2369283.9543136214</v>
      </c>
      <c r="Y237" s="11">
        <f>IF(OR(履歴データ!$A$237="",履歴データ!$A$236=""),"",40000*(-S237)+(-506.3)*R237*1000)</f>
        <v>83012.499999997031</v>
      </c>
      <c r="Z237" s="11">
        <f>IF(OR(履歴データ!$A$237="",履歴データ!$A$236=""),"",-40000*O237)</f>
        <v>509600.00000000489</v>
      </c>
      <c r="AA237" s="11">
        <f>IF(OR(履歴データ!$A$237="",履歴データ!$A$236=""),"",-40000*P237)</f>
        <v>-93472.856445310419</v>
      </c>
      <c r="AB237" s="11">
        <f>IF(履歴データ!$A$237="","",123.3)</f>
        <v>123.3</v>
      </c>
      <c r="AC237">
        <f>IF(履歴データ!$A$237="","",SUM(T237:AA237))</f>
        <v>2673423.5978682991</v>
      </c>
      <c r="AD237" s="29">
        <f>IF(履歴データ!$A$237="","",AC237/1000000)</f>
        <v>2.673423597868299</v>
      </c>
      <c r="AE237" s="29">
        <f>IF(履歴データ!$A$237="",AE236,AE236+AC237/1000000)</f>
        <v>86.295531810426823</v>
      </c>
      <c r="AF237" s="12">
        <f>IF(OR(履歴データ!$A$237="",AE236=0),"",(AE237-AE236)/AE236)</f>
        <v>3.1970296552111963E-2</v>
      </c>
      <c r="AG237" s="29">
        <f t="shared" si="11"/>
        <v>102.17217746631495</v>
      </c>
      <c r="AH237" s="12">
        <f>IF(OR(履歴データ!$A$237="",AG237=0),"",AE237/AG237-1)</f>
        <v>-0.15539108639553545</v>
      </c>
      <c r="AJ237" s="28">
        <f t="shared" ca="1" si="9"/>
        <v>-20.458651420286408</v>
      </c>
      <c r="AK237" s="28">
        <f t="shared" ca="1" si="10"/>
        <v>-56.634568918696637</v>
      </c>
    </row>
    <row r="238" spans="1:37">
      <c r="A238" s="10">
        <f>IF(履歴データ!$A$238="","",履歴データ!$A$238)</f>
        <v>45271</v>
      </c>
      <c r="B238" s="28">
        <f>IF(履歴データ!$A$238="","",(履歴データ!$D$238-(履歴データ!$B$238+履歴データ!$F$238)/2)*100)</f>
        <v>-28.500000000000014</v>
      </c>
      <c r="C238" s="28">
        <f>IF(履歴データ!$A$238="","",(履歴データ!$H$238-(履歴データ!$G$238+履歴データ!$J$238)/2)*100)</f>
        <v>-12.749999999999995</v>
      </c>
      <c r="D238" s="28">
        <f>IF(履歴データ!$A$238="","",(履歴データ!$D$238-履歴データ!$H$238)*100)</f>
        <v>343.20000000000005</v>
      </c>
      <c r="E238" s="28">
        <f>IF(履歴データ!$A$238="","",(履歴データ!$D$238-履歴データ!$C$238)*100)</f>
        <v>-1.9999999999999574</v>
      </c>
      <c r="F238" s="28">
        <f>IF(履歴データ!$A$238="","",(履歴データ!$R$238-履歴データ!$D$238)*100)</f>
        <v>-226.06</v>
      </c>
      <c r="G238" s="28">
        <f>IF(履歴データ!$A$238="","",(履歴データ!$S$238-履歴データ!$R$238)*100)</f>
        <v>-127.78035717773439</v>
      </c>
      <c r="H238" s="29">
        <f>IF(履歴データ!$A$238="","",履歴データ!$O$238)</f>
        <v>144.98300170898438</v>
      </c>
      <c r="I238" s="29">
        <f>IF(履歴データ!$A$238="","",履歴データ!$Q$238)</f>
        <v>110.03125</v>
      </c>
      <c r="J238" s="29">
        <f>IF(履歴データ!$A$238="","",履歴データ!$D$238)</f>
        <v>4.2300000000000004</v>
      </c>
      <c r="K238" s="28">
        <f>IF(OR(履歴データ!$A$238="",履歴データ!$A$237=""),"",B238-B237)</f>
        <v>-0.50000000000007816</v>
      </c>
      <c r="L238" s="28">
        <f>IF(OR(履歴データ!$A$238="",履歴データ!$A$237=""),"",C238-C237)</f>
        <v>0.70000000000000107</v>
      </c>
      <c r="M238" s="28">
        <f>IF(OR(履歴データ!$A$238="",履歴データ!$A$237=""),"",D238-D237)</f>
        <v>-0.69999999999998863</v>
      </c>
      <c r="N238" s="28">
        <f>IF(OR(履歴データ!$A$238="",履歴データ!$A$237=""),"",E238-E237)</f>
        <v>-0.99999999999997868</v>
      </c>
      <c r="O238" s="28">
        <f>IF(OR(履歴データ!$A$238="",履歴データ!$A$237=""),"",F238-F237)</f>
        <v>10.600000000000051</v>
      </c>
      <c r="P238" s="28">
        <f>IF(OR(履歴データ!$A$238="",履歴データ!$A$237=""),"",G238-G237)</f>
        <v>-4.6363571777343395</v>
      </c>
      <c r="Q238" s="29">
        <f>IF(OR(履歴データ!$A$238="",履歴データ!$A$237=""),"",H238-H237)</f>
        <v>0.7050018310546875</v>
      </c>
      <c r="R238" s="29">
        <f>IF(OR(履歴データ!$A$238="",履歴データ!$A$237=""),"",I238-I237)</f>
        <v>6.25E-2</v>
      </c>
      <c r="S238" s="28">
        <f>IF(OR(履歴データ!$A$238="",履歴データ!$A$237=""),"",(J238-J237)*100)</f>
        <v>0</v>
      </c>
      <c r="T238" s="11">
        <f>IF(OR(履歴データ!$A$238="",履歴データ!$A$237=""),"",-80000*K238)</f>
        <v>40000.00000000625</v>
      </c>
      <c r="U238" s="11">
        <f>IF(OR(履歴データ!$A$238="",履歴データ!$A$237=""),"",60000*L238)</f>
        <v>42000.000000000065</v>
      </c>
      <c r="V238" s="11">
        <f>IF(OR(履歴データ!$A$238="",履歴データ!$A$237=""),"",-50000*M238)</f>
        <v>34999.999999999432</v>
      </c>
      <c r="W238" s="11">
        <f>IF(OR(履歴データ!$A$238="",履歴データ!$A$237=""),"",-40000*N238)</f>
        <v>39999.999999999149</v>
      </c>
      <c r="X238" s="11">
        <f>IF(OR(履歴データ!$A$238="",履歴データ!$A$237=""),"",120*1000000*(-Q238/H237))</f>
        <v>-586369.50746573147</v>
      </c>
      <c r="Y238" s="11">
        <f>IF(OR(履歴データ!$A$238="",履歴データ!$A$237=""),"",40000*(-S238)+(-506.3)*R238*1000)</f>
        <v>-31643.75</v>
      </c>
      <c r="Z238" s="11">
        <f>IF(OR(履歴データ!$A$238="",履歴データ!$A$237=""),"",-40000*O238)</f>
        <v>-424000.00000000204</v>
      </c>
      <c r="AA238" s="11">
        <f>IF(OR(履歴データ!$A$238="",履歴データ!$A$237=""),"",-40000*P238)</f>
        <v>185454.28710937357</v>
      </c>
      <c r="AB238" s="11">
        <f>IF(履歴データ!$A$238="","",123.3)</f>
        <v>123.3</v>
      </c>
      <c r="AC238">
        <f>IF(履歴データ!$A$238="","",SUM(T238:AA238))</f>
        <v>-699558.97035635496</v>
      </c>
      <c r="AD238" s="29">
        <f>IF(履歴データ!$A$238="","",AC238/1000000)</f>
        <v>-0.69955897035635495</v>
      </c>
      <c r="AE238" s="29">
        <f>IF(履歴データ!$A$238="",AE237,AE237+AC238/1000000)</f>
        <v>85.595972840070473</v>
      </c>
      <c r="AF238" s="12">
        <f>IF(OR(履歴データ!$A$238="",AE237=0),"",(AE238-AE237)/AE237)</f>
        <v>-8.1065491535892483E-3</v>
      </c>
      <c r="AG238" s="29">
        <f t="shared" si="11"/>
        <v>102.17217746631495</v>
      </c>
      <c r="AH238" s="12">
        <f>IF(OR(履歴データ!$A$238="",AG238=0),"",AE238/AG238-1)</f>
        <v>-0.1622379500692297</v>
      </c>
      <c r="AJ238" s="28">
        <f t="shared" ca="1" si="9"/>
        <v>-20.407494459493666</v>
      </c>
      <c r="AK238" s="28">
        <f t="shared" ca="1" si="10"/>
        <v>-56.600944359071732</v>
      </c>
    </row>
    <row r="239" spans="1:37">
      <c r="A239" s="10">
        <f>IF(履歴データ!$A$239="","",履歴データ!$A$239)</f>
        <v>45272</v>
      </c>
      <c r="B239" s="28">
        <f>IF(履歴データ!$A$239="","",(履歴データ!$D$239-(履歴データ!$B$239+履歴データ!$F$239)/2)*100)</f>
        <v>-31.500000000000039</v>
      </c>
      <c r="C239" s="28">
        <f>IF(履歴データ!$A$239="","",(履歴データ!$H$239-(履歴データ!$G$239+履歴データ!$J$239)/2)*100)</f>
        <v>-14.449999999999996</v>
      </c>
      <c r="D239" s="28">
        <f>IF(履歴データ!$A$239="","",(履歴データ!$D$239-履歴データ!$H$239)*100)</f>
        <v>344.20000000000005</v>
      </c>
      <c r="E239" s="28">
        <f>IF(履歴データ!$A$239="","",(履歴データ!$D$239-履歴データ!$C$239)*100)</f>
        <v>-3.0000000000000249</v>
      </c>
      <c r="F239" s="28">
        <f>IF(履歴データ!$A$239="","",(履歴データ!$R$239-履歴データ!$D$239)*100)</f>
        <v>-222.21</v>
      </c>
      <c r="G239" s="28">
        <f>IF(履歴データ!$A$239="","",(履歴データ!$S$239-履歴データ!$R$239)*100)</f>
        <v>-131.08599999999998</v>
      </c>
      <c r="H239" s="29">
        <f>IF(履歴データ!$A$239="","",履歴データ!$O$239)</f>
        <v>146.08500671386719</v>
      </c>
      <c r="I239" s="29">
        <f>IF(履歴データ!$A$239="","",履歴データ!$Q$239)</f>
        <v>110.25</v>
      </c>
      <c r="J239" s="29">
        <f>IF(履歴データ!$A$239="","",履歴データ!$D$239)</f>
        <v>4.2</v>
      </c>
      <c r="K239" s="28">
        <f>IF(OR(履歴データ!$A$239="",履歴データ!$A$238=""),"",B239-B238)</f>
        <v>-3.0000000000000249</v>
      </c>
      <c r="L239" s="28">
        <f>IF(OR(履歴データ!$A$239="",履歴データ!$A$238=""),"",C239-C238)</f>
        <v>-1.7000000000000011</v>
      </c>
      <c r="M239" s="28">
        <f>IF(OR(履歴データ!$A$239="",履歴データ!$A$238=""),"",D239-D238)</f>
        <v>1</v>
      </c>
      <c r="N239" s="28">
        <f>IF(OR(履歴データ!$A$239="",履歴データ!$A$238=""),"",E239-E238)</f>
        <v>-1.0000000000000675</v>
      </c>
      <c r="O239" s="28">
        <f>IF(OR(履歴データ!$A$239="",履歴データ!$A$238=""),"",F239-F238)</f>
        <v>3.8499999999999943</v>
      </c>
      <c r="P239" s="28">
        <f>IF(OR(履歴データ!$A$239="",履歴データ!$A$238=""),"",G239-G238)</f>
        <v>-3.3056428222655967</v>
      </c>
      <c r="Q239" s="29">
        <f>IF(OR(履歴データ!$A$239="",履歴データ!$A$238=""),"",H239-H238)</f>
        <v>1.1020050048828125</v>
      </c>
      <c r="R239" s="29">
        <f>IF(OR(履歴データ!$A$239="",履歴データ!$A$238=""),"",I239-I238)</f>
        <v>0.21875</v>
      </c>
      <c r="S239" s="28">
        <f>IF(OR(履歴データ!$A$239="",履歴データ!$A$238=""),"",(J239-J238)*100)</f>
        <v>-3.0000000000000249</v>
      </c>
      <c r="T239" s="11">
        <f>IF(OR(履歴データ!$A$239="",履歴データ!$A$238=""),"",-80000*K239)</f>
        <v>240000.00000000198</v>
      </c>
      <c r="U239" s="11">
        <f>IF(OR(履歴データ!$A$239="",履歴データ!$A$238=""),"",60000*L239)</f>
        <v>-102000.00000000006</v>
      </c>
      <c r="V239" s="11">
        <f>IF(OR(履歴データ!$A$239="",履歴データ!$A$238=""),"",-50000*M239)</f>
        <v>-50000</v>
      </c>
      <c r="W239" s="11">
        <f>IF(OR(履歴データ!$A$239="",履歴データ!$A$238=""),"",-40000*N239)</f>
        <v>40000.000000002699</v>
      </c>
      <c r="X239" s="11">
        <f>IF(OR(履歴データ!$A$239="",履歴データ!$A$238=""),"",120*1000000*(-Q239/H238))</f>
        <v>-912111.06838149251</v>
      </c>
      <c r="Y239" s="11">
        <f>IF(OR(履歴データ!$A$239="",履歴データ!$A$238=""),"",40000*(-S239)+(-506.3)*R239*1000)</f>
        <v>9246.8750000009895</v>
      </c>
      <c r="Z239" s="11">
        <f>IF(OR(履歴データ!$A$239="",履歴データ!$A$238=""),"",-40000*O239)</f>
        <v>-153999.99999999977</v>
      </c>
      <c r="AA239" s="11">
        <f>IF(OR(履歴データ!$A$239="",履歴データ!$A$238=""),"",-40000*P239)</f>
        <v>132225.71289062386</v>
      </c>
      <c r="AB239" s="11">
        <f>IF(履歴データ!$A$239="","",123.3)</f>
        <v>123.3</v>
      </c>
      <c r="AC239">
        <f>IF(履歴データ!$A$239="","",SUM(T239:AA239))</f>
        <v>-796638.48049086286</v>
      </c>
      <c r="AD239" s="29">
        <f>IF(履歴データ!$A$239="","",AC239/1000000)</f>
        <v>-0.79663848049086283</v>
      </c>
      <c r="AE239" s="29">
        <f>IF(履歴データ!$A$239="",AE238,AE238+AC239/1000000)</f>
        <v>84.799334359579603</v>
      </c>
      <c r="AF239" s="12">
        <f>IF(OR(履歴データ!$A$239="",AE238=0),"",(AE239-AE238)/AE238)</f>
        <v>-9.3069621625695865E-3</v>
      </c>
      <c r="AG239" s="29">
        <f t="shared" si="11"/>
        <v>102.17217746631495</v>
      </c>
      <c r="AH239" s="12">
        <f>IF(OR(履歴データ!$A$239="",AG239=0),"",AE239/AG239-1)</f>
        <v>-0.1700349697691721</v>
      </c>
      <c r="AJ239" s="28">
        <f t="shared" ca="1" si="9"/>
        <v>-20.393469279993543</v>
      </c>
      <c r="AK239" s="28">
        <f t="shared" ca="1" si="10"/>
        <v>-56.556110551939227</v>
      </c>
    </row>
    <row r="240" spans="1:37">
      <c r="A240" s="10">
        <f>IF(履歴データ!$A$240="","",履歴データ!$A$240)</f>
        <v>45273</v>
      </c>
      <c r="B240" s="28">
        <f>IF(履歴データ!$A$240="","",(履歴データ!$D$240-(履歴データ!$B$240+履歴データ!$F$240)/2)*100)</f>
        <v>-28.500000000000014</v>
      </c>
      <c r="C240" s="28">
        <f>IF(履歴データ!$A$240="","",(履歴データ!$H$240-(履歴データ!$G$240+履歴データ!$J$240)/2)*100)</f>
        <v>-15.000000000000002</v>
      </c>
      <c r="D240" s="28">
        <f>IF(履歴データ!$A$240="","",(履歴データ!$D$240-履歴データ!$H$240)*100)</f>
        <v>333.1</v>
      </c>
      <c r="E240" s="28">
        <f>IF(履歴データ!$A$240="","",(履歴データ!$D$240-履歴データ!$C$240)*100)</f>
        <v>4.0000000000000036</v>
      </c>
      <c r="F240" s="28">
        <f>IF(履歴データ!$A$240="","",(履歴データ!$R$240-履歴データ!$D$240)*100)</f>
        <v>-215.17999999999998</v>
      </c>
      <c r="G240" s="28">
        <f>IF(履歴データ!$A$240="","",(履歴データ!$S$240-履歴データ!$R$240)*100)</f>
        <v>-130.35982141113311</v>
      </c>
      <c r="H240" s="29">
        <f>IF(履歴データ!$A$240="","",履歴データ!$O$240)</f>
        <v>145.27999877929688</v>
      </c>
      <c r="I240" s="29">
        <f>IF(履歴データ!$A$240="","",履歴データ!$Q$240)</f>
        <v>111.609375</v>
      </c>
      <c r="J240" s="29">
        <f>IF(履歴データ!$A$240="","",履歴データ!$D$240)</f>
        <v>4.04</v>
      </c>
      <c r="K240" s="28">
        <f>IF(OR(履歴データ!$A$240="",履歴データ!$A$239=""),"",B240-B239)</f>
        <v>3.0000000000000249</v>
      </c>
      <c r="L240" s="28">
        <f>IF(OR(履歴データ!$A$240="",履歴データ!$A$239=""),"",C240-C239)</f>
        <v>-0.55000000000000604</v>
      </c>
      <c r="M240" s="28">
        <f>IF(OR(履歴データ!$A$240="",履歴データ!$A$239=""),"",D240-D239)</f>
        <v>-11.100000000000023</v>
      </c>
      <c r="N240" s="28">
        <f>IF(OR(履歴データ!$A$240="",履歴データ!$A$239=""),"",E240-E239)</f>
        <v>7.0000000000000284</v>
      </c>
      <c r="O240" s="28">
        <f>IF(OR(履歴データ!$A$240="",履歴データ!$A$239=""),"",F240-F239)</f>
        <v>7.0300000000000296</v>
      </c>
      <c r="P240" s="28">
        <f>IF(OR(履歴データ!$A$240="",履歴データ!$A$239=""),"",G240-G239)</f>
        <v>0.72617858886687259</v>
      </c>
      <c r="Q240" s="29">
        <f>IF(OR(履歴データ!$A$240="",履歴データ!$A$239=""),"",H240-H239)</f>
        <v>-0.8050079345703125</v>
      </c>
      <c r="R240" s="29">
        <f>IF(OR(履歴データ!$A$240="",履歴データ!$A$239=""),"",I240-I239)</f>
        <v>1.359375</v>
      </c>
      <c r="S240" s="28">
        <f>IF(OR(履歴データ!$A$240="",履歴データ!$A$239=""),"",(J240-J239)*100)</f>
        <v>-16.000000000000014</v>
      </c>
      <c r="T240" s="11">
        <f>IF(OR(履歴データ!$A$240="",履歴データ!$A$239=""),"",-80000*K240)</f>
        <v>-240000.00000000198</v>
      </c>
      <c r="U240" s="11">
        <f>IF(OR(履歴データ!$A$240="",履歴データ!$A$239=""),"",60000*L240)</f>
        <v>-33000.000000000364</v>
      </c>
      <c r="V240" s="11">
        <f>IF(OR(履歴データ!$A$240="",履歴データ!$A$239=""),"",-50000*M240)</f>
        <v>555000.00000000116</v>
      </c>
      <c r="W240" s="11">
        <f>IF(OR(履歴データ!$A$240="",履歴データ!$A$239=""),"",-40000*N240)</f>
        <v>-280000.00000000116</v>
      </c>
      <c r="X240" s="11">
        <f>IF(OR(履歴データ!$A$240="",履歴データ!$A$239=""),"",120*1000000*(-Q240/H239))</f>
        <v>661265.34352459048</v>
      </c>
      <c r="Y240" s="11">
        <f>IF(OR(履歴データ!$A$240="",履歴データ!$A$239=""),"",40000*(-S240)+(-506.3)*R240*1000)</f>
        <v>-48251.562499999418</v>
      </c>
      <c r="Z240" s="11">
        <f>IF(OR(履歴データ!$A$240="",履歴データ!$A$239=""),"",-40000*O240)</f>
        <v>-281200.00000000116</v>
      </c>
      <c r="AA240" s="11">
        <f>IF(OR(履歴データ!$A$240="",履歴データ!$A$239=""),"",-40000*P240)</f>
        <v>-29047.143554674905</v>
      </c>
      <c r="AB240" s="11">
        <f>IF(履歴データ!$A$240="","",123.3)</f>
        <v>123.3</v>
      </c>
      <c r="AC240">
        <f>IF(履歴データ!$A$240="","",SUM(T240:AA240))</f>
        <v>304766.63746991265</v>
      </c>
      <c r="AD240" s="29">
        <f>IF(履歴データ!$A$240="","",AC240/1000000)</f>
        <v>0.30476663746991267</v>
      </c>
      <c r="AE240" s="29">
        <f>IF(履歴データ!$A$240="",AE239,AE239+AC240/1000000)</f>
        <v>85.104100997049514</v>
      </c>
      <c r="AF240" s="12">
        <f>IF(OR(履歴データ!$A$240="",AE239=0),"",(AE240-AE239)/AE239)</f>
        <v>3.5939744076007793E-3</v>
      </c>
      <c r="AG240" s="29">
        <f t="shared" si="11"/>
        <v>102.17217746631495</v>
      </c>
      <c r="AH240" s="12">
        <f>IF(OR(履歴データ!$A$240="",AG240=0),"",AE240/AG240-1)</f>
        <v>-0.16705209669131882</v>
      </c>
      <c r="AJ240" s="28">
        <f t="shared" ca="1" si="9"/>
        <v>-20.343673660426816</v>
      </c>
      <c r="AK240" s="28">
        <f t="shared" ca="1" si="10"/>
        <v>-56.522435126184064</v>
      </c>
    </row>
    <row r="241" spans="1:37">
      <c r="A241" s="10">
        <f>IF(履歴データ!$A$241="","",履歴データ!$A$241)</f>
        <v>45274</v>
      </c>
      <c r="B241" s="28">
        <f>IF(履歴データ!$A$241="","",(履歴データ!$D$241-(履歴データ!$B$241+履歴データ!$F$241)/2)*100)</f>
        <v>-28.000000000000025</v>
      </c>
      <c r="C241" s="28">
        <f>IF(履歴データ!$A$241="","",(履歴データ!$H$241-(履歴データ!$G$241+履歴データ!$J$241)/2)*100)</f>
        <v>-15.649999999999997</v>
      </c>
      <c r="D241" s="28">
        <f>IF(履歴データ!$A$241="","",(履歴データ!$D$241-履歴データ!$H$241)*100)</f>
        <v>322.7</v>
      </c>
      <c r="E241" s="28">
        <f>IF(履歴データ!$A$241="","",(履歴データ!$D$241-履歴データ!$C$241)*100)</f>
        <v>2.0000000000000018</v>
      </c>
      <c r="F241" s="28">
        <f>IF(履歴データ!$A$241="","",(履歴データ!$R$241-履歴データ!$D$241)*100)</f>
        <v>-213.49999999999997</v>
      </c>
      <c r="G241" s="28">
        <f>IF(履歴データ!$A$241="","",(履歴データ!$S$241-履歴データ!$R$241)*100)</f>
        <v>-124.95100000000005</v>
      </c>
      <c r="H241" s="29">
        <f>IF(履歴データ!$A$241="","",履歴データ!$O$241)</f>
        <v>142.77299499511719</v>
      </c>
      <c r="I241" s="29">
        <f>IF(履歴データ!$A$241="","",履歴データ!$Q$241)</f>
        <v>112.234375</v>
      </c>
      <c r="J241" s="29">
        <f>IF(履歴データ!$A$241="","",履歴データ!$D$241)</f>
        <v>3.92</v>
      </c>
      <c r="K241" s="28">
        <f>IF(OR(履歴データ!$A$241="",履歴データ!$A$240=""),"",B241-B240)</f>
        <v>0.49999999999998934</v>
      </c>
      <c r="L241" s="28">
        <f>IF(OR(履歴データ!$A$241="",履歴データ!$A$240=""),"",C241-C240)</f>
        <v>-0.64999999999999503</v>
      </c>
      <c r="M241" s="28">
        <f>IF(OR(履歴データ!$A$241="",履歴データ!$A$240=""),"",D241-D240)</f>
        <v>-10.400000000000034</v>
      </c>
      <c r="N241" s="28">
        <f>IF(OR(履歴データ!$A$241="",履歴データ!$A$240=""),"",E241-E240)</f>
        <v>-2.0000000000000018</v>
      </c>
      <c r="O241" s="28">
        <f>IF(OR(履歴データ!$A$241="",履歴データ!$A$240=""),"",F241-F240)</f>
        <v>1.6800000000000068</v>
      </c>
      <c r="P241" s="28">
        <f>IF(OR(履歴データ!$A$241="",履歴データ!$A$240=""),"",G241-G240)</f>
        <v>5.4088214111330615</v>
      </c>
      <c r="Q241" s="29">
        <f>IF(OR(履歴データ!$A$241="",履歴データ!$A$240=""),"",H241-H240)</f>
        <v>-2.5070037841796875</v>
      </c>
      <c r="R241" s="29">
        <f>IF(OR(履歴データ!$A$241="",履歴データ!$A$240=""),"",I241-I240)</f>
        <v>0.625</v>
      </c>
      <c r="S241" s="28">
        <f>IF(OR(履歴データ!$A$241="",履歴データ!$A$240=""),"",(J241-J240)*100)</f>
        <v>-12.000000000000011</v>
      </c>
      <c r="T241" s="11">
        <f>IF(OR(履歴データ!$A$241="",履歴データ!$A$240=""),"",-80000*K241)</f>
        <v>-39999.999999999149</v>
      </c>
      <c r="U241" s="11">
        <f>IF(OR(履歴データ!$A$241="",履歴データ!$A$240=""),"",60000*L241)</f>
        <v>-38999.999999999702</v>
      </c>
      <c r="V241" s="11">
        <f>IF(OR(履歴データ!$A$241="",履歴データ!$A$240=""),"",-50000*M241)</f>
        <v>520000.00000000169</v>
      </c>
      <c r="W241" s="11">
        <f>IF(OR(履歴データ!$A$241="",履歴データ!$A$240=""),"",-40000*N241)</f>
        <v>80000.000000000073</v>
      </c>
      <c r="X241" s="11">
        <f>IF(OR(履歴データ!$A$241="",履歴データ!$A$240=""),"",120*1000000*(-Q241/H240))</f>
        <v>2070763.0549927687</v>
      </c>
      <c r="Y241" s="11">
        <f>IF(OR(履歴データ!$A$241="",履歴データ!$A$240=""),"",40000*(-S241)+(-506.3)*R241*1000)</f>
        <v>163562.50000000041</v>
      </c>
      <c r="Z241" s="11">
        <f>IF(OR(履歴データ!$A$241="",履歴データ!$A$240=""),"",-40000*O241)</f>
        <v>-67200.000000000276</v>
      </c>
      <c r="AA241" s="11">
        <f>IF(OR(履歴データ!$A$241="",履歴データ!$A$240=""),"",-40000*P241)</f>
        <v>-216352.85644532245</v>
      </c>
      <c r="AB241" s="11">
        <f>IF(履歴データ!$A$241="","",123.3)</f>
        <v>123.3</v>
      </c>
      <c r="AC241">
        <f>IF(履歴データ!$A$241="","",SUM(T241:AA241))</f>
        <v>2471772.6985474494</v>
      </c>
      <c r="AD241" s="29">
        <f>IF(履歴データ!$A$241="","",AC241/1000000)</f>
        <v>2.4717726985474493</v>
      </c>
      <c r="AE241" s="29">
        <f>IF(履歴データ!$A$241="",AE240,AE240+AC241/1000000)</f>
        <v>87.575873695596968</v>
      </c>
      <c r="AF241" s="12">
        <f>IF(OR(履歴データ!$A$241="",AE240=0),"",(AE241-AE240)/AE240)</f>
        <v>2.9044107975867678E-2</v>
      </c>
      <c r="AG241" s="29">
        <f t="shared" si="11"/>
        <v>102.17217746631495</v>
      </c>
      <c r="AH241" s="12">
        <f>IF(OR(履歴データ!$A$241="",AG241=0),"",AE241/AG241-1)</f>
        <v>-0.1428598678493489</v>
      </c>
      <c r="AJ241" s="28">
        <f t="shared" ca="1" si="9"/>
        <v>-20.287906784921592</v>
      </c>
      <c r="AK241" s="28">
        <f t="shared" ca="1" si="10"/>
        <v>-56.49125988174508</v>
      </c>
    </row>
    <row r="242" spans="1:37">
      <c r="A242" s="10">
        <f>IF(履歴データ!$A$242="","",履歴データ!$A$242)</f>
        <v>45275</v>
      </c>
      <c r="B242" s="28">
        <f>IF(履歴データ!$A$242="","",(履歴データ!$D$242-(履歴データ!$B$242+履歴データ!$F$242)/2)*100)</f>
        <v>-31.00000000000005</v>
      </c>
      <c r="C242" s="28">
        <f>IF(履歴データ!$A$242="","",(履歴データ!$H$242-(履歴データ!$G$242+履歴データ!$J$242)/2)*100)</f>
        <v>-14.149999999999995</v>
      </c>
      <c r="D242" s="28">
        <f>IF(履歴データ!$A$242="","",(履歴データ!$D$242-履歴データ!$H$242)*100)</f>
        <v>318.20000000000005</v>
      </c>
      <c r="E242" s="28">
        <f>IF(履歴データ!$A$242="","",(履歴データ!$D$242-履歴データ!$C$242)*100)</f>
        <v>0</v>
      </c>
      <c r="F242" s="28">
        <f>IF(履歴データ!$A$242="","",(履歴データ!$R$242-履歴データ!$D$242)*100)</f>
        <v>-221.90000000000003</v>
      </c>
      <c r="G242" s="28">
        <f>IF(履歴データ!$A$242="","",(履歴データ!$S$242-履歴データ!$R$242)*100)</f>
        <v>-108.18417858886716</v>
      </c>
      <c r="H242" s="29">
        <f>IF(履歴データ!$A$242="","",履歴データ!$O$242)</f>
        <v>142.27900695800781</v>
      </c>
      <c r="I242" s="29">
        <f>IF(履歴データ!$A$242="","",履歴データ!$Q$242)</f>
        <v>112.109375</v>
      </c>
      <c r="J242" s="29">
        <f>IF(履歴データ!$A$242="","",履歴データ!$D$242)</f>
        <v>3.91</v>
      </c>
      <c r="K242" s="28">
        <f>IF(OR(履歴データ!$A$242="",履歴データ!$A$241=""),"",B242-B241)</f>
        <v>-3.0000000000000249</v>
      </c>
      <c r="L242" s="28">
        <f>IF(OR(履歴データ!$A$242="",履歴データ!$A$241=""),"",C242-C241)</f>
        <v>1.5000000000000018</v>
      </c>
      <c r="M242" s="28">
        <f>IF(OR(履歴データ!$A$242="",履歴データ!$A$241=""),"",D242-D241)</f>
        <v>-4.4999999999999432</v>
      </c>
      <c r="N242" s="28">
        <f>IF(OR(履歴データ!$A$242="",履歴データ!$A$241=""),"",E242-E241)</f>
        <v>-2.0000000000000018</v>
      </c>
      <c r="O242" s="28">
        <f>IF(OR(履歴データ!$A$242="",履歴データ!$A$241=""),"",F242-F241)</f>
        <v>-8.4000000000000625</v>
      </c>
      <c r="P242" s="28">
        <f>IF(OR(履歴データ!$A$242="",履歴データ!$A$241=""),"",G242-G241)</f>
        <v>16.766821411132895</v>
      </c>
      <c r="Q242" s="29">
        <f>IF(OR(履歴データ!$A$242="",履歴データ!$A$241=""),"",H242-H241)</f>
        <v>-0.493988037109375</v>
      </c>
      <c r="R242" s="29">
        <f>IF(OR(履歴データ!$A$242="",履歴データ!$A$241=""),"",I242-I241)</f>
        <v>-0.125</v>
      </c>
      <c r="S242" s="28">
        <f>IF(OR(履歴データ!$A$242="",履歴データ!$A$241=""),"",(J242-J241)*100)</f>
        <v>-0.99999999999997868</v>
      </c>
      <c r="T242" s="11">
        <f>IF(OR(履歴データ!$A$242="",履歴データ!$A$241=""),"",-80000*K242)</f>
        <v>240000.00000000198</v>
      </c>
      <c r="U242" s="11">
        <f>IF(OR(履歴データ!$A$242="",履歴データ!$A$241=""),"",60000*L242)</f>
        <v>90000.000000000102</v>
      </c>
      <c r="V242" s="11">
        <f>IF(OR(履歴データ!$A$242="",履歴データ!$A$241=""),"",-50000*M242)</f>
        <v>224999.99999999715</v>
      </c>
      <c r="W242" s="11">
        <f>IF(OR(履歴データ!$A$242="",履歴データ!$A$241=""),"",-40000*N242)</f>
        <v>80000.000000000073</v>
      </c>
      <c r="X242" s="11">
        <f>IF(OR(履歴データ!$A$242="",履歴データ!$A$241=""),"",120*1000000*(-Q242/H241))</f>
        <v>415194.51528737851</v>
      </c>
      <c r="Y242" s="11">
        <f>IF(OR(履歴データ!$A$242="",履歴データ!$A$241=""),"",40000*(-S242)+(-506.3)*R242*1000)</f>
        <v>103287.49999999916</v>
      </c>
      <c r="Z242" s="11">
        <f>IF(OR(履歴データ!$A$242="",履歴データ!$A$241=""),"",-40000*O242)</f>
        <v>336000.0000000025</v>
      </c>
      <c r="AA242" s="11">
        <f>IF(OR(履歴データ!$A$242="",履歴データ!$A$241=""),"",-40000*P242)</f>
        <v>-670672.85644531576</v>
      </c>
      <c r="AB242" s="11">
        <f>IF(履歴データ!$A$242="","",123.3)</f>
        <v>123.3</v>
      </c>
      <c r="AC242">
        <f>IF(履歴データ!$A$242="","",SUM(T242:AA242))</f>
        <v>818809.15884206374</v>
      </c>
      <c r="AD242" s="29">
        <f>IF(履歴データ!$A$242="","",AC242/1000000)</f>
        <v>0.81880915884206373</v>
      </c>
      <c r="AE242" s="29">
        <f>IF(履歴データ!$A$242="",AE241,AE241+AC242/1000000)</f>
        <v>88.394682854439026</v>
      </c>
      <c r="AF242" s="12">
        <f>IF(OR(履歴データ!$A$242="",AE241=0),"",(AE242-AE241)/AE241)</f>
        <v>9.34971156197811E-3</v>
      </c>
      <c r="AG242" s="29">
        <f t="shared" si="11"/>
        <v>102.17217746631495</v>
      </c>
      <c r="AH242" s="12">
        <f>IF(OR(履歴データ!$A$242="",AG242=0),"",AE242/AG242-1)</f>
        <v>-0.13484585484554457</v>
      </c>
      <c r="AJ242" s="28">
        <f t="shared" ca="1" si="9"/>
        <v>-20.269926662636419</v>
      </c>
      <c r="AK242" s="28">
        <f t="shared" ca="1" si="10"/>
        <v>-56.447915661015031</v>
      </c>
    </row>
    <row r="243" spans="1:37">
      <c r="A243" s="10">
        <f>IF(履歴データ!$A$243="","",履歴データ!$A$243)</f>
        <v>45278</v>
      </c>
      <c r="B243" s="28">
        <f>IF(履歴データ!$A$243="","",(履歴データ!$D$243-(履歴データ!$B$243+履歴データ!$F$243)/2)*100)</f>
        <v>-29.000000000000004</v>
      </c>
      <c r="C243" s="28">
        <f>IF(履歴データ!$A$243="","",(履歴データ!$H$243-(履歴データ!$G$243+履歴データ!$J$243)/2)*100)</f>
        <v>-16.800000000000004</v>
      </c>
      <c r="D243" s="28">
        <f>IF(履歴データ!$A$243="","",(履歴データ!$D$243-履歴データ!$H$243)*100)</f>
        <v>326.10000000000002</v>
      </c>
      <c r="E243" s="28">
        <f>IF(履歴データ!$A$243="","",(履歴データ!$D$243-履歴データ!$C$243)*100)</f>
        <v>1.0000000000000231</v>
      </c>
      <c r="F243" s="28">
        <f>IF(履歴データ!$A$243="","",(履歴データ!$R$243-履歴データ!$D$243)*100)</f>
        <v>-233.43000000000004</v>
      </c>
      <c r="G243" s="28">
        <f>IF(履歴データ!$A$243="","",(履歴データ!$S$243-履歴データ!$R$243)*100)</f>
        <v>-109.42417858886731</v>
      </c>
      <c r="H243" s="29">
        <f>IF(履歴データ!$A$243="","",履歴データ!$O$243)</f>
        <v>142.31300354003906</v>
      </c>
      <c r="I243" s="29">
        <f>IF(履歴データ!$A$243="","",履歴データ!$Q$243)</f>
        <v>111.953125</v>
      </c>
      <c r="J243" s="29">
        <f>IF(履歴データ!$A$243="","",履歴データ!$D$243)</f>
        <v>3.95</v>
      </c>
      <c r="K243" s="28">
        <f>IF(OR(履歴データ!$A$243="",履歴データ!$A$242=""),"",B243-B242)</f>
        <v>2.0000000000000462</v>
      </c>
      <c r="L243" s="28">
        <f>IF(OR(履歴データ!$A$243="",履歴データ!$A$242=""),"",C243-C242)</f>
        <v>-2.6500000000000092</v>
      </c>
      <c r="M243" s="28">
        <f>IF(OR(履歴データ!$A$243="",履歴データ!$A$242=""),"",D243-D242)</f>
        <v>7.8999999999999773</v>
      </c>
      <c r="N243" s="28">
        <f>IF(OR(履歴データ!$A$243="",履歴データ!$A$242=""),"",E243-E242)</f>
        <v>1.0000000000000231</v>
      </c>
      <c r="O243" s="28">
        <f>IF(OR(履歴データ!$A$243="",履歴データ!$A$242=""),"",F243-F242)</f>
        <v>-11.530000000000001</v>
      </c>
      <c r="P243" s="28">
        <f>IF(OR(履歴データ!$A$243="",履歴データ!$A$242=""),"",G243-G242)</f>
        <v>-1.2400000000001512</v>
      </c>
      <c r="Q243" s="29">
        <f>IF(OR(履歴データ!$A$243="",履歴データ!$A$242=""),"",H243-H242)</f>
        <v>3.399658203125E-2</v>
      </c>
      <c r="R243" s="29">
        <f>IF(OR(履歴データ!$A$243="",履歴データ!$A$242=""),"",I243-I242)</f>
        <v>-0.15625</v>
      </c>
      <c r="S243" s="28">
        <f>IF(OR(履歴データ!$A$243="",履歴データ!$A$242=""),"",(J243-J242)*100)</f>
        <v>4.0000000000000036</v>
      </c>
      <c r="T243" s="11">
        <f>IF(OR(履歴データ!$A$243="",履歴データ!$A$242=""),"",-80000*K243)</f>
        <v>-160000.0000000037</v>
      </c>
      <c r="U243" s="11">
        <f>IF(OR(履歴データ!$A$243="",履歴データ!$A$242=""),"",60000*L243)</f>
        <v>-159000.00000000055</v>
      </c>
      <c r="V243" s="11">
        <f>IF(OR(履歴データ!$A$243="",履歴データ!$A$242=""),"",-50000*M243)</f>
        <v>-394999.99999999884</v>
      </c>
      <c r="W243" s="11">
        <f>IF(OR(履歴データ!$A$243="",履歴データ!$A$242=""),"",-40000*N243)</f>
        <v>-40000.000000000924</v>
      </c>
      <c r="X243" s="11">
        <f>IF(OR(履歴データ!$A$243="",履歴データ!$A$242=""),"",120*1000000*(-Q243/H242))</f>
        <v>-28673.167819860097</v>
      </c>
      <c r="Y243" s="11">
        <f>IF(OR(履歴データ!$A$243="",履歴データ!$A$242=""),"",40000*(-S243)+(-506.3)*R243*1000)</f>
        <v>-80890.625000000146</v>
      </c>
      <c r="Z243" s="11">
        <f>IF(OR(履歴データ!$A$243="",履歴データ!$A$242=""),"",-40000*O243)</f>
        <v>461200.00000000006</v>
      </c>
      <c r="AA243" s="11">
        <f>IF(OR(履歴データ!$A$243="",履歴データ!$A$242=""),"",-40000*P243)</f>
        <v>49600.000000006046</v>
      </c>
      <c r="AB243" s="11">
        <f>IF(履歴データ!$A$243="","",123.3)</f>
        <v>123.3</v>
      </c>
      <c r="AC243">
        <f>IF(履歴データ!$A$243="","",SUM(T243:AA243))</f>
        <v>-352763.792819858</v>
      </c>
      <c r="AD243" s="29">
        <f>IF(履歴データ!$A$243="","",AC243/1000000)</f>
        <v>-0.35276379281985798</v>
      </c>
      <c r="AE243" s="29">
        <f>IF(履歴データ!$A$243="",AE242,AE242+AC243/1000000)</f>
        <v>88.041919061619168</v>
      </c>
      <c r="AF243" s="12">
        <f>IF(OR(履歴データ!$A$243="",AE242=0),"",(AE243-AE242)/AE242)</f>
        <v>-3.99078068305035E-3</v>
      </c>
      <c r="AG243" s="29">
        <f t="shared" si="11"/>
        <v>102.17217746631495</v>
      </c>
      <c r="AH243" s="12">
        <f>IF(OR(履歴データ!$A$243="",AG243=0),"",AE243/AG243-1)</f>
        <v>-0.13829849529588789</v>
      </c>
      <c r="AJ243" s="28">
        <f t="shared" ca="1" si="9"/>
        <v>-20.228764971736272</v>
      </c>
      <c r="AK243" s="28">
        <f t="shared" ca="1" si="10"/>
        <v>-56.411730896032324</v>
      </c>
    </row>
    <row r="244" spans="1:37">
      <c r="A244" s="10">
        <f>IF(履歴データ!$A$244="","",履歴データ!$A$244)</f>
        <v>45279</v>
      </c>
      <c r="B244" s="28">
        <f>IF(履歴データ!$A$244="","",(履歴データ!$D$244-(履歴データ!$B$244+履歴データ!$F$244)/2)*100)</f>
        <v>-29.00000000000005</v>
      </c>
      <c r="C244" s="28">
        <f>IF(履歴データ!$A$244="","",(履歴データ!$H$244-(履歴データ!$G$244+履歴データ!$J$244)/2)*100)</f>
        <v>-16.700000000000003</v>
      </c>
      <c r="D244" s="28">
        <f>IF(履歴データ!$A$244="","",(履歴データ!$D$244-履歴データ!$H$244)*100)</f>
        <v>326.70000000000005</v>
      </c>
      <c r="E244" s="28">
        <f>IF(履歴データ!$A$244="","",(履歴データ!$D$244-履歴データ!$C$244)*100)</f>
        <v>-0.99999999999997868</v>
      </c>
      <c r="F244" s="28">
        <f>IF(履歴データ!$A$244="","",(履歴データ!$R$244-履歴データ!$D$244)*100)</f>
        <v>-231.1</v>
      </c>
      <c r="G244" s="28">
        <f>IF(履歴データ!$A$244="","",(履歴データ!$S$244-履歴データ!$R$244)*100)</f>
        <v>-108.87717858886748</v>
      </c>
      <c r="H244" s="29">
        <f>IF(履歴データ!$A$244="","",履歴データ!$O$244)</f>
        <v>142.72200012207031</v>
      </c>
      <c r="I244" s="29">
        <f>IF(履歴データ!$A$244="","",履歴データ!$Q$244)</f>
        <v>112.1875</v>
      </c>
      <c r="J244" s="29">
        <f>IF(履歴データ!$A$244="","",履歴データ!$D$244)</f>
        <v>3.93</v>
      </c>
      <c r="K244" s="28">
        <f>IF(OR(履歴データ!$A$244="",履歴データ!$A$243=""),"",B244-B243)</f>
        <v>-4.6185277824406512E-14</v>
      </c>
      <c r="L244" s="28">
        <f>IF(OR(履歴データ!$A$244="",履歴データ!$A$243=""),"",C244-C243)</f>
        <v>0.10000000000000142</v>
      </c>
      <c r="M244" s="28">
        <f>IF(OR(履歴データ!$A$244="",履歴データ!$A$243=""),"",D244-D243)</f>
        <v>0.60000000000002274</v>
      </c>
      <c r="N244" s="28">
        <f>IF(OR(履歴データ!$A$244="",履歴データ!$A$243=""),"",E244-E243)</f>
        <v>-2.0000000000000018</v>
      </c>
      <c r="O244" s="28">
        <f>IF(OR(履歴データ!$A$244="",履歴データ!$A$243=""),"",F244-F243)</f>
        <v>2.3300000000000409</v>
      </c>
      <c r="P244" s="28">
        <f>IF(OR(履歴データ!$A$244="",履歴データ!$A$243=""),"",G244-G243)</f>
        <v>0.54699999999982651</v>
      </c>
      <c r="Q244" s="29">
        <f>IF(OR(履歴データ!$A$244="",履歴データ!$A$243=""),"",H244-H243)</f>
        <v>0.40899658203125</v>
      </c>
      <c r="R244" s="29">
        <f>IF(OR(履歴データ!$A$244="",履歴データ!$A$243=""),"",I244-I243)</f>
        <v>0.234375</v>
      </c>
      <c r="S244" s="28">
        <f>IF(OR(履歴データ!$A$244="",履歴データ!$A$243=""),"",(J244-J243)*100)</f>
        <v>-2.0000000000000018</v>
      </c>
      <c r="T244" s="11">
        <f>IF(OR(履歴データ!$A$244="",履歴データ!$A$243=""),"",-80000*K244)</f>
        <v>3.694822225952521E-9</v>
      </c>
      <c r="U244" s="11">
        <f>IF(OR(履歴データ!$A$244="",履歴データ!$A$243=""),"",60000*L244)</f>
        <v>6000.0000000000855</v>
      </c>
      <c r="V244" s="11">
        <f>IF(OR(履歴データ!$A$244="",履歴データ!$A$243=""),"",-50000*M244)</f>
        <v>-30000.000000001135</v>
      </c>
      <c r="W244" s="11">
        <f>IF(OR(履歴データ!$A$244="",履歴データ!$A$243=""),"",-40000*N244)</f>
        <v>80000.000000000073</v>
      </c>
      <c r="X244" s="11">
        <f>IF(OR(履歴データ!$A$244="",履歴データ!$A$243=""),"",120*1000000*(-Q244/H243))</f>
        <v>-344870.73298218811</v>
      </c>
      <c r="Y244" s="11">
        <f>IF(OR(履歴データ!$A$244="",履歴データ!$A$243=""),"",40000*(-S244)+(-506.3)*R244*1000)</f>
        <v>-38664.062499999927</v>
      </c>
      <c r="Z244" s="11">
        <f>IF(OR(履歴データ!$A$244="",履歴データ!$A$243=""),"",-40000*O244)</f>
        <v>-93200.00000000163</v>
      </c>
      <c r="AA244" s="11">
        <f>IF(OR(履歴データ!$A$244="",履歴データ!$A$243=""),"",-40000*P244)</f>
        <v>-21879.999999993059</v>
      </c>
      <c r="AB244" s="11">
        <f>IF(履歴データ!$A$244="","",123.3)</f>
        <v>123.3</v>
      </c>
      <c r="AC244">
        <f>IF(履歴データ!$A$244="","",SUM(T244:AA244))</f>
        <v>-442614.79548218002</v>
      </c>
      <c r="AD244" s="29">
        <f>IF(履歴データ!$A$244="","",AC244/1000000)</f>
        <v>-0.44261479548218002</v>
      </c>
      <c r="AE244" s="29">
        <f>IF(履歴データ!$A$244="",AE243,AE243+AC244/1000000)</f>
        <v>87.599304266136983</v>
      </c>
      <c r="AF244" s="12">
        <f>IF(OR(履歴データ!$A$244="",AE243=0),"",(AE244-AE243)/AE243)</f>
        <v>-5.0273188067652928E-3</v>
      </c>
      <c r="AG244" s="29">
        <f t="shared" si="11"/>
        <v>102.17217746631495</v>
      </c>
      <c r="AH244" s="12">
        <f>IF(OR(履歴データ!$A$244="",AG244=0),"",AE244/AG244-1)</f>
        <v>-0.14263054347630477</v>
      </c>
      <c r="AJ244" s="28">
        <f t="shared" ca="1" si="9"/>
        <v>-20.188270398474845</v>
      </c>
      <c r="AK244" s="28">
        <f t="shared" ca="1" si="10"/>
        <v>-56.37551560975561</v>
      </c>
    </row>
    <row r="245" spans="1:37">
      <c r="A245" s="10">
        <f>IF(履歴データ!$A$245="","",履歴データ!$A$245)</f>
        <v>45280</v>
      </c>
      <c r="B245" s="28">
        <f>IF(履歴データ!$A$245="","",(履歴データ!$D$245-(履歴データ!$B$245+履歴データ!$F$245)/2)*100)</f>
        <v>-30.000000000000028</v>
      </c>
      <c r="C245" s="28">
        <f>IF(履歴データ!$A$245="","",(履歴データ!$H$245-(履歴データ!$G$245+履歴データ!$J$245)/2)*100)</f>
        <v>-19.650000000000002</v>
      </c>
      <c r="D245" s="28">
        <f>IF(履歴データ!$A$245="","",(履歴データ!$D$245-履歴データ!$H$245)*100)</f>
        <v>327.9</v>
      </c>
      <c r="E245" s="28">
        <f>IF(履歴データ!$A$245="","",(履歴データ!$D$245-履歴データ!$C$245)*100)</f>
        <v>0</v>
      </c>
      <c r="F245" s="28">
        <f>IF(履歴データ!$A$245="","",(履歴データ!$R$245-履歴データ!$D$245)*100)</f>
        <v>-227.97</v>
      </c>
      <c r="G245" s="28">
        <f>IF(履歴データ!$A$245="","",(履歴データ!$S$245-履歴データ!$R$245)*100)</f>
        <v>-116.93435717773457</v>
      </c>
      <c r="H245" s="29">
        <f>IF(履歴データ!$A$245="","",履歴データ!$O$245)</f>
        <v>143.88900756835938</v>
      </c>
      <c r="I245" s="29">
        <f>IF(履歴データ!$A$245="","",履歴データ!$Q$245)</f>
        <v>112.78125</v>
      </c>
      <c r="J245" s="29">
        <f>IF(履歴データ!$A$245="","",履歴データ!$D$245)</f>
        <v>3.86</v>
      </c>
      <c r="K245" s="28">
        <f>IF(OR(履歴データ!$A$245="",履歴データ!$A$244=""),"",B245-B244)</f>
        <v>-0.99999999999997868</v>
      </c>
      <c r="L245" s="28">
        <f>IF(OR(履歴データ!$A$245="",履歴データ!$A$244=""),"",C245-C244)</f>
        <v>-2.9499999999999993</v>
      </c>
      <c r="M245" s="28">
        <f>IF(OR(履歴データ!$A$245="",履歴データ!$A$244=""),"",D245-D244)</f>
        <v>1.1999999999999318</v>
      </c>
      <c r="N245" s="28">
        <f>IF(OR(履歴データ!$A$245="",履歴データ!$A$244=""),"",E245-E244)</f>
        <v>0.99999999999997868</v>
      </c>
      <c r="O245" s="28">
        <f>IF(OR(履歴データ!$A$245="",履歴データ!$A$244=""),"",F245-F244)</f>
        <v>3.1299999999999955</v>
      </c>
      <c r="P245" s="28">
        <f>IF(OR(履歴データ!$A$245="",履歴データ!$A$244=""),"",G245-G244)</f>
        <v>-8.0571785888670888</v>
      </c>
      <c r="Q245" s="29">
        <f>IF(OR(履歴データ!$A$245="",履歴データ!$A$244=""),"",H245-H244)</f>
        <v>1.1670074462890625</v>
      </c>
      <c r="R245" s="29">
        <f>IF(OR(履歴データ!$A$245="",履歴データ!$A$244=""),"",I245-I244)</f>
        <v>0.59375</v>
      </c>
      <c r="S245" s="28">
        <f>IF(OR(履歴データ!$A$245="",履歴データ!$A$244=""),"",(J245-J244)*100)</f>
        <v>-7.0000000000000284</v>
      </c>
      <c r="T245" s="11">
        <f>IF(OR(履歴データ!$A$245="",履歴データ!$A$244=""),"",-80000*K245)</f>
        <v>79999.999999998297</v>
      </c>
      <c r="U245" s="11">
        <f>IF(OR(履歴データ!$A$245="",履歴データ!$A$244=""),"",60000*L245)</f>
        <v>-176999.99999999997</v>
      </c>
      <c r="V245" s="11">
        <f>IF(OR(履歴データ!$A$245="",履歴データ!$A$244=""),"",-50000*M245)</f>
        <v>-59999.999999996588</v>
      </c>
      <c r="W245" s="11">
        <f>IF(OR(履歴データ!$A$245="",履歴データ!$A$244=""),"",-40000*N245)</f>
        <v>-39999.999999999149</v>
      </c>
      <c r="X245" s="11">
        <f>IF(OR(履歴データ!$A$245="",履歴データ!$A$244=""),"",120*1000000*(-Q245/H244))</f>
        <v>-981214.48294523859</v>
      </c>
      <c r="Y245" s="11">
        <f>IF(OR(履歴データ!$A$245="",履歴データ!$A$244=""),"",40000*(-S245)+(-506.3)*R245*1000)</f>
        <v>-20615.624999998836</v>
      </c>
      <c r="Z245" s="11">
        <f>IF(OR(履歴データ!$A$245="",履歴データ!$A$244=""),"",-40000*O245)</f>
        <v>-125199.99999999983</v>
      </c>
      <c r="AA245" s="11">
        <f>IF(OR(履歴データ!$A$245="",履歴データ!$A$244=""),"",-40000*P245)</f>
        <v>322287.14355468354</v>
      </c>
      <c r="AB245" s="11">
        <f>IF(履歴データ!$A$245="","",123.3)</f>
        <v>123.3</v>
      </c>
      <c r="AC245">
        <f>IF(履歴データ!$A$245="","",SUM(T245:AA245))</f>
        <v>-1001742.964390551</v>
      </c>
      <c r="AD245" s="29">
        <f>IF(履歴データ!$A$245="","",AC245/1000000)</f>
        <v>-1.0017429643905509</v>
      </c>
      <c r="AE245" s="29">
        <f>IF(履歴データ!$A$245="",AE244,AE244+AC245/1000000)</f>
        <v>86.597561301746438</v>
      </c>
      <c r="AF245" s="12">
        <f>IF(OR(履歴データ!$A$245="",AE244=0),"",(AE245-AE244)/AE244)</f>
        <v>-1.1435512790685318E-2</v>
      </c>
      <c r="AG245" s="29">
        <f t="shared" si="11"/>
        <v>102.17217746631495</v>
      </c>
      <c r="AH245" s="12">
        <f>IF(OR(履歴データ!$A$245="",AG245=0),"",AE245/AG245-1)</f>
        <v>-0.15243500286272449</v>
      </c>
      <c r="AJ245" s="28">
        <f t="shared" ca="1" si="9"/>
        <v>-20.160486604499756</v>
      </c>
      <c r="AK245" s="28">
        <f t="shared" ca="1" si="10"/>
        <v>-56.335415034844516</v>
      </c>
    </row>
    <row r="246" spans="1:37">
      <c r="A246" s="10">
        <f>IF(履歴データ!$A$246="","",履歴データ!$A$246)</f>
        <v>45281</v>
      </c>
      <c r="B246" s="28">
        <f>IF(履歴データ!$A$246="","",(履歴データ!$D$246-(履歴データ!$B$246+履歴データ!$F$246)/2)*100)</f>
        <v>-28.999999999999957</v>
      </c>
      <c r="C246" s="28">
        <f>IF(履歴データ!$A$246="","",(履歴データ!$H$246-(履歴データ!$G$246+履歴データ!$J$246)/2)*100)</f>
        <v>-18.75</v>
      </c>
      <c r="D246" s="28">
        <f>IF(履歴データ!$A$246="","",(履歴データ!$D$246-履歴データ!$H$246)*100)</f>
        <v>328</v>
      </c>
      <c r="E246" s="28">
        <f>IF(履歴データ!$A$246="","",(履歴データ!$D$246-履歴データ!$C$246)*100)</f>
        <v>2.0000000000000018</v>
      </c>
      <c r="F246" s="28">
        <f>IF(履歴データ!$A$246="","",(履歴データ!$R$246-履歴データ!$D$246)*100)</f>
        <v>-243.26</v>
      </c>
      <c r="G246" s="28">
        <f>IF(履歴データ!$A$246="","",(履歴データ!$S$246-履歴データ!$R$246)*100)</f>
        <v>-108.15235717773464</v>
      </c>
      <c r="H246" s="29">
        <f>IF(履歴データ!$A$246="","",履歴データ!$O$246)</f>
        <v>143.52299499511719</v>
      </c>
      <c r="I246" s="29">
        <f>IF(履歴データ!$A$246="","",履歴データ!$Q$246)</f>
        <v>112.671875</v>
      </c>
      <c r="J246" s="29">
        <f>IF(履歴データ!$A$246="","",履歴データ!$D$246)</f>
        <v>3.89</v>
      </c>
      <c r="K246" s="28">
        <f>IF(OR(履歴データ!$A$246="",履歴データ!$A$245=""),"",B246-B245)</f>
        <v>1.0000000000000711</v>
      </c>
      <c r="L246" s="28">
        <f>IF(OR(履歴データ!$A$246="",履歴データ!$A$245=""),"",C246-C245)</f>
        <v>0.90000000000000213</v>
      </c>
      <c r="M246" s="28">
        <f>IF(OR(履歴データ!$A$246="",履歴データ!$A$245=""),"",D246-D245)</f>
        <v>0.10000000000002274</v>
      </c>
      <c r="N246" s="28">
        <f>IF(OR(履歴データ!$A$246="",履歴データ!$A$245=""),"",E246-E245)</f>
        <v>2.0000000000000018</v>
      </c>
      <c r="O246" s="28">
        <f>IF(OR(履歴データ!$A$246="",履歴データ!$A$245=""),"",F246-F245)</f>
        <v>-15.289999999999992</v>
      </c>
      <c r="P246" s="28">
        <f>IF(OR(履歴データ!$A$246="",履歴データ!$A$245=""),"",G246-G245)</f>
        <v>8.7819999999999254</v>
      </c>
      <c r="Q246" s="29">
        <f>IF(OR(履歴データ!$A$246="",履歴データ!$A$245=""),"",H246-H245)</f>
        <v>-0.3660125732421875</v>
      </c>
      <c r="R246" s="29">
        <f>IF(OR(履歴データ!$A$246="",履歴データ!$A$245=""),"",I246-I245)</f>
        <v>-0.109375</v>
      </c>
      <c r="S246" s="28">
        <f>IF(OR(履歴データ!$A$246="",履歴データ!$A$245=""),"",(J246-J245)*100)</f>
        <v>3.0000000000000249</v>
      </c>
      <c r="T246" s="11">
        <f>IF(OR(履歴データ!$A$246="",履歴データ!$A$245=""),"",-80000*K246)</f>
        <v>-80000.00000000569</v>
      </c>
      <c r="U246" s="11">
        <f>IF(OR(履歴データ!$A$246="",履歴データ!$A$245=""),"",60000*L246)</f>
        <v>54000.000000000131</v>
      </c>
      <c r="V246" s="11">
        <f>IF(OR(履歴データ!$A$246="",履歴データ!$A$245=""),"",-50000*M246)</f>
        <v>-5000.0000000011369</v>
      </c>
      <c r="W246" s="11">
        <f>IF(OR(履歴データ!$A$246="",履歴データ!$A$245=""),"",-40000*N246)</f>
        <v>-80000.000000000073</v>
      </c>
      <c r="X246" s="11">
        <f>IF(OR(履歴データ!$A$246="",履歴データ!$A$245=""),"",120*1000000*(-Q246/H245))</f>
        <v>305245.75526171515</v>
      </c>
      <c r="Y246" s="11">
        <f>IF(OR(履歴データ!$A$246="",履歴データ!$A$245=""),"",40000*(-S246)+(-506.3)*R246*1000)</f>
        <v>-64623.43750000099</v>
      </c>
      <c r="Z246" s="11">
        <f>IF(OR(履歴データ!$A$246="",履歴データ!$A$245=""),"",-40000*O246)</f>
        <v>611599.99999999965</v>
      </c>
      <c r="AA246" s="11">
        <f>IF(OR(履歴データ!$A$246="",履歴データ!$A$245=""),"",-40000*P246)</f>
        <v>-351279.99999999703</v>
      </c>
      <c r="AB246" s="11">
        <f>IF(履歴データ!$A$246="","",123.3)</f>
        <v>123.3</v>
      </c>
      <c r="AC246">
        <f>IF(履歴データ!$A$246="","",SUM(T246:AA246))</f>
        <v>389942.31776171009</v>
      </c>
      <c r="AD246" s="29">
        <f>IF(履歴データ!$A$246="","",AC246/1000000)</f>
        <v>0.38994231776171007</v>
      </c>
      <c r="AE246" s="29">
        <f>IF(履歴データ!$A$246="",AE245,AE245+AC246/1000000)</f>
        <v>86.987503619508146</v>
      </c>
      <c r="AF246" s="12">
        <f>IF(OR(履歴データ!$A$246="",AE245=0),"",(AE246-AE245)/AE245)</f>
        <v>4.5029249311417273E-3</v>
      </c>
      <c r="AG246" s="29">
        <f t="shared" si="11"/>
        <v>102.17217746631495</v>
      </c>
      <c r="AH246" s="12">
        <f>IF(OR(履歴データ!$A$246="",AG246=0),"",AE246/AG246-1)</f>
        <v>-0.14861848130635191</v>
      </c>
      <c r="AJ246" s="28">
        <f t="shared" ca="1" si="9"/>
        <v>-20.121205301105842</v>
      </c>
      <c r="AK246" s="28">
        <f t="shared" ca="1" si="10"/>
        <v>-56.299202862159461</v>
      </c>
    </row>
    <row r="247" spans="1:37">
      <c r="A247" s="10">
        <f>IF(履歴データ!$A$247="","",履歴データ!$A$247)</f>
        <v>45282</v>
      </c>
      <c r="B247" s="28">
        <f>IF(履歴データ!$A$247="","",(履歴データ!$D$247-(履歴データ!$B$247+履歴データ!$F$247)/2)*100)</f>
        <v>-27.999999999999979</v>
      </c>
      <c r="C247" s="28">
        <f>IF(履歴データ!$A$247="","",(履歴データ!$H$247-(履歴データ!$G$247+履歴データ!$J$247)/2)*100)</f>
        <v>-18.149999999999999</v>
      </c>
      <c r="D247" s="28">
        <f>IF(履歴データ!$A$247="","",(履歴データ!$D$247-履歴データ!$H$247)*100)</f>
        <v>324.89999999999998</v>
      </c>
      <c r="E247" s="28">
        <f>IF(履歴データ!$A$247="","",(履歴データ!$D$247-履歴データ!$C$247)*100)</f>
        <v>2.9999999999999805</v>
      </c>
      <c r="F247" s="28">
        <f>IF(履歴データ!$A$247="","",(履歴データ!$R$247-履歴データ!$D$247)*100)</f>
        <v>-251.87999999999997</v>
      </c>
      <c r="G247" s="28">
        <f>IF(履歴データ!$A$247="","",(履歴データ!$S$247-履歴データ!$R$247)*100)</f>
        <v>-89.657642822265899</v>
      </c>
      <c r="H247" s="29">
        <f>IF(履歴データ!$A$247="","",履歴データ!$O$247)</f>
        <v>142.07000732421875</v>
      </c>
      <c r="I247" s="29">
        <f>IF(履歴データ!$A$247="","",履歴データ!$Q$247)</f>
        <v>112.59375</v>
      </c>
      <c r="J247" s="29">
        <f>IF(履歴データ!$A$247="","",履歴データ!$D$247)</f>
        <v>3.9</v>
      </c>
      <c r="K247" s="28">
        <f>IF(OR(履歴データ!$A$247="",履歴データ!$A$246=""),"",B247-B246)</f>
        <v>0.99999999999997868</v>
      </c>
      <c r="L247" s="28">
        <f>IF(OR(履歴データ!$A$247="",履歴データ!$A$246=""),"",C247-C246)</f>
        <v>0.60000000000000142</v>
      </c>
      <c r="M247" s="28">
        <f>IF(OR(履歴データ!$A$247="",履歴データ!$A$246=""),"",D247-D246)</f>
        <v>-3.1000000000000227</v>
      </c>
      <c r="N247" s="28">
        <f>IF(OR(履歴データ!$A$247="",履歴データ!$A$246=""),"",E247-E246)</f>
        <v>0.99999999999997868</v>
      </c>
      <c r="O247" s="28">
        <f>IF(OR(履歴データ!$A$247="",履歴データ!$A$246=""),"",F247-F246)</f>
        <v>-8.6199999999999761</v>
      </c>
      <c r="P247" s="28">
        <f>IF(OR(履歴データ!$A$247="",履歴データ!$A$246=""),"",G247-G246)</f>
        <v>18.494714355468744</v>
      </c>
      <c r="Q247" s="29">
        <f>IF(OR(履歴データ!$A$247="",履歴データ!$A$246=""),"",H247-H246)</f>
        <v>-1.4529876708984375</v>
      </c>
      <c r="R247" s="29">
        <f>IF(OR(履歴データ!$A$247="",履歴データ!$A$246=""),"",I247-I246)</f>
        <v>-7.8125E-2</v>
      </c>
      <c r="S247" s="28">
        <f>IF(OR(履歴データ!$A$247="",履歴データ!$A$246=""),"",(J247-J246)*100)</f>
        <v>0.99999999999997868</v>
      </c>
      <c r="T247" s="11">
        <f>IF(OR(履歴データ!$A$247="",履歴データ!$A$246=""),"",-80000*K247)</f>
        <v>-79999.999999998297</v>
      </c>
      <c r="U247" s="11">
        <f>IF(OR(履歴データ!$A$247="",履歴データ!$A$246=""),"",60000*L247)</f>
        <v>36000.000000000087</v>
      </c>
      <c r="V247" s="11">
        <f>IF(OR(履歴データ!$A$247="",履歴データ!$A$246=""),"",-50000*M247)</f>
        <v>155000.00000000114</v>
      </c>
      <c r="W247" s="11">
        <f>IF(OR(履歴データ!$A$247="",履歴データ!$A$246=""),"",-40000*N247)</f>
        <v>-39999.999999999149</v>
      </c>
      <c r="X247" s="11">
        <f>IF(OR(履歴データ!$A$247="",履歴データ!$A$246=""),"",120*1000000*(-Q247/H246))</f>
        <v>1214847.282930128</v>
      </c>
      <c r="Y247" s="11">
        <f>IF(OR(履歴データ!$A$247="",履歴データ!$A$246=""),"",40000*(-S247)+(-506.3)*R247*1000)</f>
        <v>-445.31249999914871</v>
      </c>
      <c r="Z247" s="11">
        <f>IF(OR(履歴データ!$A$247="",履歴データ!$A$246=""),"",-40000*O247)</f>
        <v>344799.99999999907</v>
      </c>
      <c r="AA247" s="11">
        <f>IF(OR(履歴データ!$A$247="",履歴データ!$A$246=""),"",-40000*P247)</f>
        <v>-739788.57421874977</v>
      </c>
      <c r="AB247" s="11">
        <f>IF(履歴データ!$A$247="","",123.3)</f>
        <v>123.3</v>
      </c>
      <c r="AC247">
        <f>IF(履歴データ!$A$247="","",SUM(T247:AA247))</f>
        <v>890413.396211382</v>
      </c>
      <c r="AD247" s="29">
        <f>IF(履歴データ!$A$247="","",AC247/1000000)</f>
        <v>0.89041339621138205</v>
      </c>
      <c r="AE247" s="29">
        <f>IF(履歴データ!$A$247="",AE246,AE246+AC247/1000000)</f>
        <v>87.877917015719532</v>
      </c>
      <c r="AF247" s="12">
        <f>IF(OR(履歴データ!$A$247="",AE246=0),"",(AE247-AE246)/AE246)</f>
        <v>1.0236107017234814E-2</v>
      </c>
      <c r="AG247" s="29">
        <f t="shared" si="11"/>
        <v>102.17217746631495</v>
      </c>
      <c r="AH247" s="12">
        <f>IF(OR(履歴データ!$A$247="",AG247=0),"",AE247/AG247-1)</f>
        <v>-0.13990364896850782</v>
      </c>
      <c r="AJ247" s="28">
        <f t="shared" ca="1" si="9"/>
        <v>-20.069765185802034</v>
      </c>
      <c r="AK247" s="28">
        <f t="shared" ca="1" si="10"/>
        <v>-56.267633188181712</v>
      </c>
    </row>
    <row r="248" spans="1:37">
      <c r="A248" s="10">
        <f>IF(履歴データ!$A$248="","",履歴データ!$A$248)</f>
        <v>45286</v>
      </c>
      <c r="B248" s="28">
        <f>IF(履歴データ!$A$248="","",(履歴データ!$D$248-(履歴データ!$B$248+履歴データ!$F$248)/2)*100)</f>
        <v>-26.000000000000021</v>
      </c>
      <c r="C248" s="28">
        <f>IF(履歴データ!$A$248="","",(履歴データ!$H$248-(履歴データ!$G$248+履歴データ!$J$248)/2)*100)</f>
        <v>-18.899999999999995</v>
      </c>
      <c r="D248" s="28">
        <f>IF(履歴データ!$A$248="","",(履歴データ!$D$248-履歴データ!$H$248)*100)</f>
        <v>323.3</v>
      </c>
      <c r="E248" s="28">
        <f>IF(履歴データ!$A$248="","",(履歴データ!$D$248-履歴データ!$C$248)*100)</f>
        <v>0</v>
      </c>
      <c r="F248" s="28">
        <f>IF(履歴データ!$A$248="","",(履歴データ!$R$248-履歴データ!$D$248)*100)</f>
        <v>-248.67</v>
      </c>
      <c r="G248" s="28">
        <f>IF(履歴データ!$A$248="","",(履歴データ!$S$248-履歴データ!$R$248)*100)</f>
        <v>-89.236642822265665</v>
      </c>
      <c r="H248" s="29">
        <f>IF(履歴データ!$A$248="","",履歴データ!$O$248)</f>
        <v>142.22999572753906</v>
      </c>
      <c r="I248" s="29">
        <f>IF(履歴データ!$A$248="","",履歴データ!$Q$248)</f>
        <v>112.71875</v>
      </c>
      <c r="J248" s="29">
        <f>IF(履歴データ!$A$248="","",履歴データ!$D$248)</f>
        <v>3.89</v>
      </c>
      <c r="K248" s="28">
        <f>IF(OR(履歴データ!$A$248="",履歴データ!$A$247=""),"",B248-B247)</f>
        <v>1.9999999999999574</v>
      </c>
      <c r="L248" s="28">
        <f>IF(OR(履歴データ!$A$248="",履歴データ!$A$247=""),"",C248-C247)</f>
        <v>-0.74999999999999645</v>
      </c>
      <c r="M248" s="28">
        <f>IF(OR(履歴データ!$A$248="",履歴データ!$A$247=""),"",D248-D247)</f>
        <v>-1.5999999999999659</v>
      </c>
      <c r="N248" s="28">
        <f>IF(OR(履歴データ!$A$248="",履歴データ!$A$247=""),"",E248-E247)</f>
        <v>-2.9999999999999805</v>
      </c>
      <c r="O248" s="28">
        <f>IF(OR(履歴データ!$A$248="",履歴データ!$A$247=""),"",F248-F247)</f>
        <v>3.2099999999999795</v>
      </c>
      <c r="P248" s="28">
        <f>IF(OR(履歴データ!$A$248="",履歴データ!$A$247=""),"",G248-G247)</f>
        <v>0.42100000000023385</v>
      </c>
      <c r="Q248" s="29">
        <f>IF(OR(履歴データ!$A$248="",履歴データ!$A$247=""),"",H248-H247)</f>
        <v>0.1599884033203125</v>
      </c>
      <c r="R248" s="29">
        <f>IF(OR(履歴データ!$A$248="",履歴データ!$A$247=""),"",I248-I247)</f>
        <v>0.125</v>
      </c>
      <c r="S248" s="28">
        <f>IF(OR(履歴データ!$A$248="",履歴データ!$A$247=""),"",(J248-J247)*100)</f>
        <v>-0.99999999999997868</v>
      </c>
      <c r="T248" s="11">
        <f>IF(OR(履歴データ!$A$248="",履歴データ!$A$247=""),"",-80000*K248)</f>
        <v>-159999.99999999659</v>
      </c>
      <c r="U248" s="11">
        <f>IF(OR(履歴データ!$A$248="",履歴データ!$A$247=""),"",60000*L248)</f>
        <v>-44999.999999999789</v>
      </c>
      <c r="V248" s="11">
        <f>IF(OR(履歴データ!$A$248="",履歴データ!$A$247=""),"",-50000*M248)</f>
        <v>79999.999999998297</v>
      </c>
      <c r="W248" s="11">
        <f>IF(OR(履歴データ!$A$248="",履歴データ!$A$247=""),"",-40000*N248)</f>
        <v>119999.99999999921</v>
      </c>
      <c r="X248" s="11">
        <f>IF(OR(履歴データ!$A$248="",履歴データ!$A$247=""),"",120*1000000*(-Q248/H247))</f>
        <v>-135134.84485591846</v>
      </c>
      <c r="Y248" s="11">
        <f>IF(OR(履歴データ!$A$248="",履歴データ!$A$247=""),"",40000*(-S248)+(-506.3)*R248*1000)</f>
        <v>-23287.500000000851</v>
      </c>
      <c r="Z248" s="11">
        <f>IF(OR(履歴データ!$A$248="",履歴データ!$A$247=""),"",-40000*O248)</f>
        <v>-128399.99999999919</v>
      </c>
      <c r="AA248" s="11">
        <f>IF(OR(履歴データ!$A$248="",履歴データ!$A$247=""),"",-40000*P248)</f>
        <v>-16840.000000009353</v>
      </c>
      <c r="AB248" s="11">
        <f>IF(履歴データ!$A$248="","",123.3)</f>
        <v>123.3</v>
      </c>
      <c r="AC248">
        <f>IF(履歴データ!$A$248="","",SUM(T248:AA248))</f>
        <v>-308662.34485592676</v>
      </c>
      <c r="AD248" s="29">
        <f>IF(履歴データ!$A$248="","",AC248/1000000)</f>
        <v>-0.30866234485592675</v>
      </c>
      <c r="AE248" s="29">
        <f>IF(履歴データ!$A$248="",AE247,AE247+AC248/1000000)</f>
        <v>87.5692546708636</v>
      </c>
      <c r="AF248" s="12">
        <f>IF(OR(履歴データ!$A$248="",AE247=0),"",(AE248-AE247)/AE247)</f>
        <v>-3.5123994211278243E-3</v>
      </c>
      <c r="AG248" s="29">
        <f t="shared" si="11"/>
        <v>102.17217746631495</v>
      </c>
      <c r="AH248" s="12">
        <f>IF(OR(履歴データ!$A$248="",AG248=0),"",AE248/AG248-1)</f>
        <v>-0.14292465089398498</v>
      </c>
      <c r="AJ248" s="28">
        <f t="shared" ca="1" si="9"/>
        <v>-19.991062260647048</v>
      </c>
      <c r="AK248" s="28">
        <f t="shared" ca="1" si="10"/>
        <v>-56.247804136114091</v>
      </c>
    </row>
    <row r="249" spans="1:37">
      <c r="A249" s="10">
        <f>IF(履歴データ!$A$249="","",履歴データ!$A$249)</f>
        <v>45287</v>
      </c>
      <c r="B249" s="28">
        <f>IF(履歴データ!$A$249="","",(履歴データ!$D$249-(履歴データ!$B$249+履歴データ!$F$249)/2)*100)</f>
        <v>-28.500000000000014</v>
      </c>
      <c r="C249" s="28">
        <f>IF(履歴データ!$A$249="","",(履歴データ!$H$249-(履歴データ!$G$249+履歴データ!$J$249)/2)*100)</f>
        <v>-19.45</v>
      </c>
      <c r="D249" s="28">
        <f>IF(履歴データ!$A$249="","",(履歴データ!$D$249-履歴データ!$H$249)*100)</f>
        <v>316.59999999999997</v>
      </c>
      <c r="E249" s="28">
        <f>IF(履歴データ!$A$249="","",(履歴データ!$D$249-履歴データ!$C$249)*100)</f>
        <v>1.0000000000000231</v>
      </c>
      <c r="F249" s="28">
        <f>IF(履歴データ!$A$249="","",(履歴データ!$R$249-履歴データ!$D$249)*100)</f>
        <v>-238.67000000000002</v>
      </c>
      <c r="G249" s="28">
        <f>IF(履歴データ!$A$249="","",(履歴データ!$S$249-履歴データ!$R$249)*100)</f>
        <v>-91.341357177734594</v>
      </c>
      <c r="H249" s="29">
        <f>IF(履歴データ!$A$249="","",履歴データ!$O$249)</f>
        <v>142.46099853515625</v>
      </c>
      <c r="I249" s="29">
        <f>IF(履歴データ!$A$249="","",履歴データ!$Q$249)</f>
        <v>113.328125</v>
      </c>
      <c r="J249" s="29">
        <f>IF(履歴データ!$A$249="","",履歴データ!$D$249)</f>
        <v>3.79</v>
      </c>
      <c r="K249" s="28">
        <f>IF(OR(履歴データ!$A$249="",履歴データ!$A$248=""),"",B249-B248)</f>
        <v>-2.4999999999999929</v>
      </c>
      <c r="L249" s="28">
        <f>IF(OR(履歴データ!$A$249="",履歴データ!$A$248=""),"",C249-C248)</f>
        <v>-0.55000000000000426</v>
      </c>
      <c r="M249" s="28">
        <f>IF(OR(履歴データ!$A$249="",履歴データ!$A$248=""),"",D249-D248)</f>
        <v>-6.7000000000000455</v>
      </c>
      <c r="N249" s="28">
        <f>IF(OR(履歴データ!$A$249="",履歴データ!$A$248=""),"",E249-E248)</f>
        <v>1.0000000000000231</v>
      </c>
      <c r="O249" s="28">
        <f>IF(OR(履歴データ!$A$249="",履歴データ!$A$248=""),"",F249-F248)</f>
        <v>9.9999999999999716</v>
      </c>
      <c r="P249" s="28">
        <f>IF(OR(履歴データ!$A$249="",履歴データ!$A$248=""),"",G249-G248)</f>
        <v>-2.1047143554689285</v>
      </c>
      <c r="Q249" s="29">
        <f>IF(OR(履歴データ!$A$249="",履歴データ!$A$248=""),"",H249-H248)</f>
        <v>0.2310028076171875</v>
      </c>
      <c r="R249" s="29">
        <f>IF(OR(履歴データ!$A$249="",履歴データ!$A$248=""),"",I249-I248)</f>
        <v>0.609375</v>
      </c>
      <c r="S249" s="28">
        <f>IF(OR(履歴データ!$A$249="",履歴データ!$A$248=""),"",(J249-J248)*100)</f>
        <v>-10.000000000000009</v>
      </c>
      <c r="T249" s="11">
        <f>IF(OR(履歴データ!$A$249="",履歴データ!$A$248=""),"",-80000*K249)</f>
        <v>199999.99999999942</v>
      </c>
      <c r="U249" s="11">
        <f>IF(OR(履歴データ!$A$249="",履歴データ!$A$248=""),"",60000*L249)</f>
        <v>-33000.000000000255</v>
      </c>
      <c r="V249" s="11">
        <f>IF(OR(履歴データ!$A$249="",履歴データ!$A$248=""),"",-50000*M249)</f>
        <v>335000.00000000227</v>
      </c>
      <c r="W249" s="11">
        <f>IF(OR(履歴データ!$A$249="",履歴データ!$A$248=""),"",-40000*N249)</f>
        <v>-40000.000000000924</v>
      </c>
      <c r="X249" s="11">
        <f>IF(OR(履歴データ!$A$249="",履歴データ!$A$248=""),"",120*1000000*(-Q249/H248))</f>
        <v>-194897.9662993493</v>
      </c>
      <c r="Y249" s="11">
        <f>IF(OR(履歴データ!$A$249="",履歴データ!$A$248=""),"",40000*(-S249)+(-506.3)*R249*1000)</f>
        <v>91473.437500000349</v>
      </c>
      <c r="Z249" s="11">
        <f>IF(OR(履歴データ!$A$249="",履歴データ!$A$248=""),"",-40000*O249)</f>
        <v>-399999.99999999884</v>
      </c>
      <c r="AA249" s="11">
        <f>IF(OR(履歴データ!$A$249="",履歴データ!$A$248=""),"",-40000*P249)</f>
        <v>84188.574218757145</v>
      </c>
      <c r="AB249" s="11">
        <f>IF(履歴データ!$A$249="","",123.3)</f>
        <v>123.3</v>
      </c>
      <c r="AC249">
        <f>IF(履歴データ!$A$249="","",SUM(T249:AA249))</f>
        <v>42764.045419409798</v>
      </c>
      <c r="AD249" s="29">
        <f>IF(履歴データ!$A$249="","",AC249/1000000)</f>
        <v>4.2764045419409799E-2</v>
      </c>
      <c r="AE249" s="29">
        <f>IF(履歴データ!$A$249="",AE248,AE248+AC249/1000000)</f>
        <v>87.612018716283004</v>
      </c>
      <c r="AF249" s="12">
        <f>IF(OR(履歴データ!$A$249="",AE248=0),"",(AE249-AE248)/AE248)</f>
        <v>4.8834543105494765E-4</v>
      </c>
      <c r="AG249" s="29">
        <f t="shared" si="11"/>
        <v>102.17217746631495</v>
      </c>
      <c r="AH249" s="12">
        <f>IF(OR(履歴データ!$A$249="",AG249=0),"",AE249/AG249-1)</f>
        <v>-0.14250610206317926</v>
      </c>
      <c r="AJ249" s="28">
        <f t="shared" ca="1" si="9"/>
        <v>-19.947807792558493</v>
      </c>
      <c r="AK249" s="28">
        <f t="shared" ca="1" si="10"/>
        <v>-56.213482530022148</v>
      </c>
    </row>
    <row r="250" spans="1:37">
      <c r="A250" s="10">
        <f>IF(履歴データ!$A$250="","",履歴データ!$A$250)</f>
        <v>45288</v>
      </c>
      <c r="B250" s="28">
        <f>IF(履歴データ!$A$250="","",(履歴データ!$D$250-(履歴データ!$B$250+履歴データ!$F$250)/2)*100)</f>
        <v>-28.000000000000025</v>
      </c>
      <c r="C250" s="28">
        <f>IF(履歴データ!$A$250="","",(履歴データ!$H$250-(履歴データ!$G$250+履歴データ!$J$250)/2)*100)</f>
        <v>-21.649999999999991</v>
      </c>
      <c r="D250" s="28">
        <f>IF(履歴データ!$A$250="","",(履歴データ!$D$250-履歴データ!$H$250)*100)</f>
        <v>322.39999999999998</v>
      </c>
      <c r="E250" s="28">
        <f>IF(履歴データ!$A$250="","",(履歴データ!$D$250-履歴データ!$C$250)*100)</f>
        <v>0.99999999999997868</v>
      </c>
      <c r="F250" s="28">
        <f>IF(履歴データ!$A$250="","",(履歴データ!$R$250-履歴データ!$D$250)*100)</f>
        <v>-253.33999999999997</v>
      </c>
      <c r="G250" s="28">
        <f>IF(履歴データ!$A$250="","",(履歴データ!$S$250-履歴データ!$R$250)*100)</f>
        <v>-84.302357177734464</v>
      </c>
      <c r="H250" s="29">
        <f>IF(履歴データ!$A$250="","",履歴データ!$O$250)</f>
        <v>141.39900207519531</v>
      </c>
      <c r="I250" s="29">
        <f>IF(履歴データ!$A$250="","",履歴データ!$Q$250)</f>
        <v>112.890625</v>
      </c>
      <c r="J250" s="29">
        <f>IF(履歴データ!$A$250="","",履歴データ!$D$250)</f>
        <v>3.84</v>
      </c>
      <c r="K250" s="28">
        <f>IF(OR(履歴データ!$A$250="",履歴データ!$A$249=""),"",B250-B249)</f>
        <v>0.49999999999998934</v>
      </c>
      <c r="L250" s="28">
        <f>IF(OR(履歴データ!$A$250="",履歴データ!$A$249=""),"",C250-C249)</f>
        <v>-2.1999999999999922</v>
      </c>
      <c r="M250" s="28">
        <f>IF(OR(履歴データ!$A$250="",履歴データ!$A$249=""),"",D250-D249)</f>
        <v>5.8000000000000114</v>
      </c>
      <c r="N250" s="28">
        <f>IF(OR(履歴データ!$A$250="",履歴データ!$A$249=""),"",E250-E249)</f>
        <v>-4.4408920985006262E-14</v>
      </c>
      <c r="O250" s="28">
        <f>IF(OR(履歴データ!$A$250="",履歴データ!$A$249=""),"",F250-F249)</f>
        <v>-14.669999999999959</v>
      </c>
      <c r="P250" s="28">
        <f>IF(OR(履歴データ!$A$250="",履歴データ!$A$249=""),"",G250-G249)</f>
        <v>7.0390000000001294</v>
      </c>
      <c r="Q250" s="29">
        <f>IF(OR(履歴データ!$A$250="",履歴データ!$A$249=""),"",H250-H249)</f>
        <v>-1.0619964599609375</v>
      </c>
      <c r="R250" s="29">
        <f>IF(OR(履歴データ!$A$250="",履歴データ!$A$249=""),"",I250-I249)</f>
        <v>-0.4375</v>
      </c>
      <c r="S250" s="28">
        <f>IF(OR(履歴データ!$A$250="",履歴データ!$A$249=""),"",(J250-J249)*100)</f>
        <v>4.9999999999999822</v>
      </c>
      <c r="T250" s="11">
        <f>IF(OR(履歴データ!$A$250="",履歴データ!$A$249=""),"",-80000*K250)</f>
        <v>-39999.999999999149</v>
      </c>
      <c r="U250" s="11">
        <f>IF(OR(履歴データ!$A$250="",履歴データ!$A$249=""),"",60000*L250)</f>
        <v>-131999.99999999953</v>
      </c>
      <c r="V250" s="11">
        <f>IF(OR(履歴データ!$A$250="",履歴データ!$A$249=""),"",-50000*M250)</f>
        <v>-290000.00000000058</v>
      </c>
      <c r="W250" s="11">
        <f>IF(OR(履歴データ!$A$250="",履歴データ!$A$249=""),"",-40000*N250)</f>
        <v>1.7763568394002505E-9</v>
      </c>
      <c r="X250" s="11">
        <f>IF(OR(履歴データ!$A$250="",履歴データ!$A$249=""),"",120*1000000*(-Q250/H249))</f>
        <v>894557.64388639468</v>
      </c>
      <c r="Y250" s="11">
        <f>IF(OR(履歴データ!$A$250="",履歴データ!$A$249=""),"",40000*(-S250)+(-506.3)*R250*1000)</f>
        <v>21506.250000000698</v>
      </c>
      <c r="Z250" s="11">
        <f>IF(OR(履歴データ!$A$250="",履歴データ!$A$249=""),"",-40000*O250)</f>
        <v>586799.99999999837</v>
      </c>
      <c r="AA250" s="11">
        <f>IF(OR(履歴データ!$A$250="",履歴データ!$A$249=""),"",-40000*P250)</f>
        <v>-281560.00000000518</v>
      </c>
      <c r="AB250" s="11">
        <f>IF(履歴データ!$A$250="","",123.3)</f>
        <v>123.3</v>
      </c>
      <c r="AC250">
        <f>IF(履歴データ!$A$250="","",SUM(T250:AA250))</f>
        <v>759303.89388639107</v>
      </c>
      <c r="AD250" s="29">
        <f>IF(履歴データ!$A$250="","",AC250/1000000)</f>
        <v>0.75930389388639108</v>
      </c>
      <c r="AE250" s="29">
        <f>IF(履歴データ!$A$250="",AE249,AE249+AC250/1000000)</f>
        <v>88.3713226101694</v>
      </c>
      <c r="AF250" s="12">
        <f>IF(OR(履歴データ!$A$250="",AE249=0),"",(AE250-AE249)/AE249)</f>
        <v>8.6666636040573005E-3</v>
      </c>
      <c r="AG250" s="29">
        <f t="shared" si="11"/>
        <v>102.17217746631495</v>
      </c>
      <c r="AH250" s="12">
        <f>IF(OR(履歴データ!$A$250="",AG250=0),"",AE250/AG250-1)</f>
        <v>-0.13507449090722901</v>
      </c>
      <c r="AJ250" s="28">
        <f t="shared" ca="1" si="9"/>
        <v>-19.898870013102613</v>
      </c>
      <c r="AK250" s="28">
        <f t="shared" ca="1" si="10"/>
        <v>-56.181451272037947</v>
      </c>
    </row>
    <row r="251" spans="1:37">
      <c r="A251" s="10">
        <f>IF(履歴データ!$A$251="","",履歴データ!$A$251)</f>
        <v>45289</v>
      </c>
      <c r="B251" s="28">
        <f>IF(履歴データ!$A$251="","",(履歴データ!$D$251-(履歴データ!$B$251+履歴データ!$F$251)/2)*100)</f>
        <v>-25.000000000000089</v>
      </c>
      <c r="C251" s="28">
        <f>IF(履歴データ!$A$251="","",(履歴データ!$H$251-(履歴データ!$G$251+履歴データ!$J$251)/2)*100)</f>
        <v>-20.799999999999997</v>
      </c>
      <c r="D251" s="28">
        <f>IF(履歴データ!$A$251="","",(履歴データ!$D$251-履歴データ!$H$251)*100)</f>
        <v>323.29999999999995</v>
      </c>
      <c r="E251" s="28">
        <f>IF(履歴データ!$A$251="","",(履歴データ!$D$251-履歴データ!$C$251)*100)</f>
        <v>4.0000000000000036</v>
      </c>
      <c r="F251" s="28">
        <f>IF(履歴データ!$A$251="","",(履歴データ!$R$251-履歴データ!$D$251)*100)</f>
        <v>-252.17000000000002</v>
      </c>
      <c r="G251" s="28">
        <f>IF(履歴データ!$A$251="","",(履歴データ!$S$251-履歴データ!$R$251)*100)</f>
        <v>-84.912000000000305</v>
      </c>
      <c r="H251" s="29">
        <f>IF(履歴データ!$A$251="","",履歴データ!$O$251)</f>
        <v>141.42999267578125</v>
      </c>
      <c r="I251" s="29">
        <f>IF(履歴データ!$A$251="","",履歴データ!$Q$251)</f>
        <v>112.890625</v>
      </c>
      <c r="J251" s="29">
        <f>IF(履歴データ!$A$251="","",履歴データ!$D$251)</f>
        <v>3.88</v>
      </c>
      <c r="K251" s="28">
        <f>IF(OR(履歴データ!$A$251="",履歴データ!$A$250=""),"",B251-B250)</f>
        <v>2.9999999999999361</v>
      </c>
      <c r="L251" s="28">
        <f>IF(OR(履歴データ!$A$251="",履歴データ!$A$250=""),"",C251-C250)</f>
        <v>0.84999999999999432</v>
      </c>
      <c r="M251" s="28">
        <f>IF(OR(履歴データ!$A$251="",履歴データ!$A$250=""),"",D251-D250)</f>
        <v>0.89999999999997726</v>
      </c>
      <c r="N251" s="28">
        <f>IF(OR(履歴データ!$A$251="",履歴データ!$A$250=""),"",E251-E250)</f>
        <v>3.0000000000000249</v>
      </c>
      <c r="O251" s="28">
        <f>IF(OR(履歴データ!$A$251="",履歴データ!$A$250=""),"",F251-F250)</f>
        <v>1.1699999999999591</v>
      </c>
      <c r="P251" s="28">
        <f>IF(OR(履歴データ!$A$251="",履歴データ!$A$250=""),"",G251-G250)</f>
        <v>-0.60964282226584032</v>
      </c>
      <c r="Q251" s="29">
        <f>IF(OR(履歴データ!$A$251="",履歴データ!$A$250=""),"",H251-H250)</f>
        <v>3.09906005859375E-2</v>
      </c>
      <c r="R251" s="29">
        <f>IF(OR(履歴データ!$A$251="",履歴データ!$A$250=""),"",I251-I250)</f>
        <v>0</v>
      </c>
      <c r="S251" s="28">
        <f>IF(OR(履歴データ!$A$251="",履歴データ!$A$250=""),"",(J251-J250)*100)</f>
        <v>4.0000000000000036</v>
      </c>
      <c r="T251" s="11">
        <f>IF(OR(履歴データ!$A$251="",履歴データ!$A$250=""),"",-80000*K251)</f>
        <v>-239999.99999999488</v>
      </c>
      <c r="U251" s="11">
        <f>IF(OR(履歴データ!$A$251="",履歴データ!$A$250=""),"",60000*L251)</f>
        <v>50999.999999999658</v>
      </c>
      <c r="V251" s="11">
        <f>IF(OR(履歴データ!$A$251="",履歴データ!$A$250=""),"",-50000*M251)</f>
        <v>-44999.999999998865</v>
      </c>
      <c r="W251" s="11">
        <f>IF(OR(履歴データ!$A$251="",履歴データ!$A$250=""),"",-40000*N251)</f>
        <v>-120000.00000000099</v>
      </c>
      <c r="X251" s="11">
        <f>IF(OR(履歴データ!$A$251="",履歴データ!$A$250=""),"",120*1000000*(-Q251/H250))</f>
        <v>-26300.553863419926</v>
      </c>
      <c r="Y251" s="11">
        <f>IF(OR(履歴データ!$A$251="",履歴データ!$A$250=""),"",40000*(-S251)+(-506.3)*R251*1000)</f>
        <v>-160000.00000000015</v>
      </c>
      <c r="Z251" s="11">
        <f>IF(OR(履歴データ!$A$251="",履歴データ!$A$250=""),"",-40000*O251)</f>
        <v>-46799.999999998363</v>
      </c>
      <c r="AA251" s="11">
        <f>IF(OR(履歴データ!$A$251="",履歴データ!$A$250=""),"",-40000*P251)</f>
        <v>24385.712890633615</v>
      </c>
      <c r="AB251" s="11">
        <f>IF(履歴データ!$A$251="","",123.3)</f>
        <v>123.3</v>
      </c>
      <c r="AC251">
        <f>IF(履歴データ!$A$251="","",SUM(T251:AA251))</f>
        <v>-562714.8409727799</v>
      </c>
      <c r="AD251" s="29">
        <f>IF(履歴データ!$A$251="","",AC251/1000000)</f>
        <v>-0.56271484097277991</v>
      </c>
      <c r="AE251" s="29">
        <f>IF(履歴データ!$A$251="",AE250,AE250+AC251/1000000)</f>
        <v>87.808607769196627</v>
      </c>
      <c r="AF251" s="12">
        <f>IF(OR(履歴データ!$A$251="",AE250=0),"",(AE251-AE250)/AE250)</f>
        <v>-6.3676181859930537E-3</v>
      </c>
      <c r="AG251" s="29">
        <f t="shared" si="11"/>
        <v>102.17217746631495</v>
      </c>
      <c r="AH251" s="12">
        <f>IF(OR(履歴データ!$A$251="",AG251=0),"",AE251/AG251-1)</f>
        <v>-0.14058200630845741</v>
      </c>
      <c r="AJ251" s="28">
        <f t="shared" ca="1" si="9"/>
        <v>-19.808191261095946</v>
      </c>
      <c r="AK251" s="28">
        <f t="shared" ca="1" si="10"/>
        <v>-56.167808738904057</v>
      </c>
    </row>
    <row r="252" spans="1:37">
      <c r="A252" s="10">
        <f>IF(履歴データ!$A$252="","",履歴データ!$A$252)</f>
        <v>45293</v>
      </c>
      <c r="B252" s="28">
        <f>IF(履歴データ!$A$252="","",(履歴データ!$D$252-(履歴データ!$B$252+履歴データ!$F$252)/2)*100)</f>
        <v>-25.499999999999989</v>
      </c>
      <c r="C252" s="28">
        <f>IF(履歴データ!$A$252="","",(履歴データ!$H$252-(履歴データ!$G$252+履歴データ!$J$252)/2)*100)</f>
        <v>-20.799999999999997</v>
      </c>
      <c r="D252" s="28">
        <f>IF(履歴データ!$A$252="","",(履歴データ!$D$252-履歴データ!$H$252)*100)</f>
        <v>330.3</v>
      </c>
      <c r="E252" s="28">
        <f>IF(履歴データ!$A$252="","",(履歴データ!$D$252-履歴データ!$C$252)*100)</f>
        <v>2.0000000000000018</v>
      </c>
      <c r="F252" s="28">
        <f>IF(履歴データ!$A$252="","",(履歴データ!$R$252-履歴データ!$D$252)*100)</f>
        <v>-253.16</v>
      </c>
      <c r="G252" s="28">
        <f>IF(履歴データ!$A$252="","",(履歴データ!$S$252-履歴データ!$R$252)*100)</f>
        <v>-90.92200000000031</v>
      </c>
      <c r="H252" s="29">
        <f>IF(履歴データ!$A$252="","",履歴データ!$O$252)</f>
        <v>141.12600708007813</v>
      </c>
      <c r="I252" s="29">
        <f>IF(履歴データ!$A$252="","",履歴データ!$Q$252)</f>
        <v>112.296875</v>
      </c>
      <c r="J252" s="29">
        <f>IF(履歴データ!$A$252="","",履歴データ!$D$252)</f>
        <v>3.95</v>
      </c>
      <c r="K252" s="28">
        <f>IF(OR(履歴データ!$A$252="",履歴データ!$A$251=""),"",B252-B251)</f>
        <v>-0.49999999999990052</v>
      </c>
      <c r="L252" s="28">
        <f>IF(OR(履歴データ!$A$252="",履歴データ!$A$251=""),"",C252-C251)</f>
        <v>0</v>
      </c>
      <c r="M252" s="28">
        <f>IF(OR(履歴データ!$A$252="",履歴データ!$A$251=""),"",D252-D251)</f>
        <v>7.0000000000000568</v>
      </c>
      <c r="N252" s="28">
        <f>IF(OR(履歴データ!$A$252="",履歴データ!$A$251=""),"",E252-E251)</f>
        <v>-2.0000000000000018</v>
      </c>
      <c r="O252" s="28">
        <f>IF(OR(履歴データ!$A$252="",履歴データ!$A$251=""),"",F252-F251)</f>
        <v>-0.98999999999998067</v>
      </c>
      <c r="P252" s="28">
        <f>IF(OR(履歴データ!$A$252="",履歴データ!$A$251=""),"",G252-G251)</f>
        <v>-6.0100000000000051</v>
      </c>
      <c r="Q252" s="29">
        <f>IF(OR(履歴データ!$A$252="",履歴データ!$A$251=""),"",H252-H251)</f>
        <v>-0.303985595703125</v>
      </c>
      <c r="R252" s="29">
        <f>IF(OR(履歴データ!$A$252="",履歴データ!$A$251=""),"",I252-I251)</f>
        <v>-0.59375</v>
      </c>
      <c r="S252" s="28">
        <f>IF(OR(履歴データ!$A$252="",履歴データ!$A$251=""),"",(J252-J251)*100)</f>
        <v>7.0000000000000284</v>
      </c>
      <c r="T252" s="11">
        <f>IF(OR(履歴データ!$A$252="",履歴データ!$A$251=""),"",-80000*K252)</f>
        <v>39999.99999999204</v>
      </c>
      <c r="U252" s="11">
        <f>IF(OR(履歴データ!$A$252="",履歴データ!$A$251=""),"",60000*L252)</f>
        <v>0</v>
      </c>
      <c r="V252" s="11">
        <f>IF(OR(履歴データ!$A$252="",履歴データ!$A$251=""),"",-50000*M252)</f>
        <v>-350000.00000000285</v>
      </c>
      <c r="W252" s="11">
        <f>IF(OR(履歴データ!$A$252="",履歴データ!$A$251=""),"",-40000*N252)</f>
        <v>80000.000000000073</v>
      </c>
      <c r="X252" s="11">
        <f>IF(OR(履歴データ!$A$252="",履歴データ!$A$251=""),"",120*1000000*(-Q252/H251))</f>
        <v>257924.58017019759</v>
      </c>
      <c r="Y252" s="11">
        <f>IF(OR(履歴データ!$A$252="",履歴データ!$A$251=""),"",40000*(-S252)+(-506.3)*R252*1000)</f>
        <v>20615.624999998836</v>
      </c>
      <c r="Z252" s="11">
        <f>IF(OR(履歴データ!$A$252="",履歴データ!$A$251=""),"",-40000*O252)</f>
        <v>39599.999999999229</v>
      </c>
      <c r="AA252" s="11">
        <f>IF(OR(履歴データ!$A$252="",履歴データ!$A$251=""),"",-40000*P252)</f>
        <v>240400.0000000002</v>
      </c>
      <c r="AB252" s="11">
        <f>IF(履歴データ!$A$252="","",123.3)</f>
        <v>123.3</v>
      </c>
      <c r="AC252">
        <f>IF(履歴データ!$A$252="","",SUM(T252:AA252))</f>
        <v>328540.20517018507</v>
      </c>
      <c r="AD252" s="29">
        <f>IF(履歴データ!$A$252="","",AC252/1000000)</f>
        <v>0.32854020517018506</v>
      </c>
      <c r="AE252" s="29">
        <f>IF(履歴データ!$A$252="",AE251,AE251+AC252/1000000)</f>
        <v>88.137147974366812</v>
      </c>
      <c r="AF252" s="12">
        <f>IF(OR(履歴データ!$A$252="",AE251=0),"",(AE252-AE251)/AE251)</f>
        <v>3.7415489610511448E-3</v>
      </c>
      <c r="AG252" s="29">
        <f t="shared" si="11"/>
        <v>102.17217746631495</v>
      </c>
      <c r="AH252" s="12">
        <f>IF(OR(履歴データ!$A$252="",AG252=0),"",AE252/AG252-1)</f>
        <v>-0.1373664518070522</v>
      </c>
      <c r="AJ252" s="28">
        <f t="shared" ca="1" si="9"/>
        <v>-19.726473752355417</v>
      </c>
      <c r="AK252" s="28">
        <f t="shared" ca="1" si="10"/>
        <v>-56.150020271548968</v>
      </c>
    </row>
    <row r="253" spans="1:37">
      <c r="A253" s="10">
        <f>IF(履歴データ!$A$253="","",履歴データ!$A$253)</f>
        <v>45294</v>
      </c>
      <c r="B253" s="28">
        <f>IF(履歴データ!$A$253="","",(履歴データ!$D$253-(履歴データ!$B$253+履歴データ!$F$253)/2)*100)</f>
        <v>-27.999999999999936</v>
      </c>
      <c r="C253" s="28">
        <f>IF(履歴データ!$A$253="","",(履歴データ!$H$253-(履歴データ!$G$253+履歴データ!$J$253)/2)*100)</f>
        <v>-20.799999999999997</v>
      </c>
      <c r="D253" s="28">
        <f>IF(履歴データ!$A$253="","",(履歴データ!$D$253-履歴データ!$H$253)*100)</f>
        <v>326.3</v>
      </c>
      <c r="E253" s="28">
        <f>IF(履歴データ!$A$253="","",(履歴データ!$D$253-履歴データ!$C$253)*100)</f>
        <v>1.0000000000000231</v>
      </c>
      <c r="F253" s="28">
        <f>IF(履歴データ!$A$253="","",(履歴データ!$R$253-履歴データ!$D$253)*100)</f>
        <v>-239.4</v>
      </c>
      <c r="G253" s="28">
        <f>IF(履歴データ!$A$253="","",(履歴データ!$S$253-履歴データ!$R$253)*100)</f>
        <v>-100.6820000000003</v>
      </c>
      <c r="H253" s="29">
        <f>IF(履歴データ!$A$253="","",履歴データ!$O$253)</f>
        <v>142.15499877929688</v>
      </c>
      <c r="I253" s="29">
        <f>IF(履歴データ!$A$253="","",履歴データ!$Q$253)</f>
        <v>112.515625</v>
      </c>
      <c r="J253" s="29">
        <f>IF(履歴データ!$A$253="","",履歴データ!$D$253)</f>
        <v>3.91</v>
      </c>
      <c r="K253" s="28">
        <f>IF(OR(履歴データ!$A$253="",履歴データ!$A$252=""),"",B253-B252)</f>
        <v>-2.4999999999999467</v>
      </c>
      <c r="L253" s="28">
        <f>IF(OR(履歴データ!$A$253="",履歴データ!$A$252=""),"",C253-C252)</f>
        <v>0</v>
      </c>
      <c r="M253" s="28">
        <f>IF(OR(履歴データ!$A$253="",履歴データ!$A$252=""),"",D253-D252)</f>
        <v>-4</v>
      </c>
      <c r="N253" s="28">
        <f>IF(OR(履歴データ!$A$253="",履歴データ!$A$252=""),"",E253-E252)</f>
        <v>-0.99999999999997868</v>
      </c>
      <c r="O253" s="28">
        <f>IF(OR(履歴データ!$A$253="",履歴データ!$A$252=""),"",F253-F252)</f>
        <v>13.759999999999991</v>
      </c>
      <c r="P253" s="28">
        <f>IF(OR(履歴データ!$A$253="",履歴データ!$A$252=""),"",G253-G252)</f>
        <v>-9.7599999999999909</v>
      </c>
      <c r="Q253" s="29">
        <f>IF(OR(履歴データ!$A$253="",履歴データ!$A$252=""),"",H253-H252)</f>
        <v>1.02899169921875</v>
      </c>
      <c r="R253" s="29">
        <f>IF(OR(履歴データ!$A$253="",履歴データ!$A$252=""),"",I253-I252)</f>
        <v>0.21875</v>
      </c>
      <c r="S253" s="28">
        <f>IF(OR(履歴データ!$A$253="",履歴データ!$A$252=""),"",(J253-J252)*100)</f>
        <v>-4.0000000000000036</v>
      </c>
      <c r="T253" s="11">
        <f>IF(OR(履歴データ!$A$253="",履歴データ!$A$252=""),"",-80000*K253)</f>
        <v>199999.99999999575</v>
      </c>
      <c r="U253" s="11">
        <f>IF(OR(履歴データ!$A$253="",履歴データ!$A$252=""),"",60000*L253)</f>
        <v>0</v>
      </c>
      <c r="V253" s="11">
        <f>IF(OR(履歴データ!$A$253="",履歴データ!$A$252=""),"",-50000*M253)</f>
        <v>200000</v>
      </c>
      <c r="W253" s="11">
        <f>IF(OR(履歴データ!$A$253="",履歴データ!$A$252=""),"",-40000*N253)</f>
        <v>39999.999999999149</v>
      </c>
      <c r="X253" s="11">
        <f>IF(OR(履歴データ!$A$253="",履歴データ!$A$252=""),"",120*1000000*(-Q253/H252))</f>
        <v>-874955.69711814483</v>
      </c>
      <c r="Y253" s="11">
        <f>IF(OR(履歴データ!$A$253="",履歴データ!$A$252=""),"",40000*(-S253)+(-506.3)*R253*1000)</f>
        <v>49246.875000000146</v>
      </c>
      <c r="Z253" s="11">
        <f>IF(OR(履歴データ!$A$253="",履歴データ!$A$252=""),"",-40000*O253)</f>
        <v>-550399.99999999965</v>
      </c>
      <c r="AA253" s="11">
        <f>IF(OR(履歴データ!$A$253="",履歴データ!$A$252=""),"",-40000*P253)</f>
        <v>390399.99999999965</v>
      </c>
      <c r="AB253" s="11">
        <f>IF(履歴データ!$A$253="","",123.3)</f>
        <v>123.3</v>
      </c>
      <c r="AC253">
        <f>IF(履歴データ!$A$253="","",SUM(T253:AA253))</f>
        <v>-545708.82211814984</v>
      </c>
      <c r="AD253" s="29">
        <f>IF(履歴データ!$A$253="","",AC253/1000000)</f>
        <v>-0.54570882211814986</v>
      </c>
      <c r="AE253" s="29">
        <f>IF(履歴データ!$A$253="",AE252,AE252+AC253/1000000)</f>
        <v>87.591439152248668</v>
      </c>
      <c r="AF253" s="12">
        <f>IF(OR(履歴データ!$A$253="",AE252=0),"",(AE253-AE252)/AE252)</f>
        <v>-6.1915870283986698E-3</v>
      </c>
      <c r="AG253" s="29">
        <f t="shared" si="11"/>
        <v>102.17217746631495</v>
      </c>
      <c r="AH253" s="12">
        <f>IF(OR(履歴データ!$A$253="",AG253=0),"",AE253/AG253-1)</f>
        <v>-0.14270752249430518</v>
      </c>
      <c r="AJ253" s="28">
        <f t="shared" ca="1" si="9"/>
        <v>-19.680273521445429</v>
      </c>
      <c r="AK253" s="28">
        <f t="shared" ca="1" si="10"/>
        <v>-56.117345526173622</v>
      </c>
    </row>
    <row r="254" spans="1:37">
      <c r="A254" s="10">
        <f>IF(履歴データ!$A$254="","",履歴データ!$A$254)</f>
        <v>45295</v>
      </c>
      <c r="B254" s="28">
        <f>IF(履歴データ!$A$254="","",(履歴データ!$D$254-(履歴データ!$B$254+履歴データ!$F$254)/2)*100)</f>
        <v>-26.499999999999968</v>
      </c>
      <c r="C254" s="28">
        <f>IF(履歴データ!$A$254="","",(履歴データ!$H$254-(履歴データ!$G$254+履歴データ!$J$254)/2)*100)</f>
        <v>-20.899999999999995</v>
      </c>
      <c r="D254" s="28">
        <f>IF(履歴データ!$A$254="","",(履歴データ!$D$254-履歴データ!$H$254)*100)</f>
        <v>334.1</v>
      </c>
      <c r="E254" s="28">
        <f>IF(履歴データ!$A$254="","",(履歴データ!$D$254-履歴データ!$C$254)*100)</f>
        <v>2.0000000000000018</v>
      </c>
      <c r="F254" s="28">
        <f>IF(履歴データ!$A$254="","",(履歴データ!$R$254-履歴データ!$D$254)*100)</f>
        <v>-245.17000000000002</v>
      </c>
      <c r="G254" s="28">
        <f>IF(履歴データ!$A$254="","",(履歴データ!$S$254-履歴データ!$R$254)*100)</f>
        <v>-107.99864282226577</v>
      </c>
      <c r="H254" s="29">
        <f>IF(履歴データ!$A$254="","",履歴データ!$O$254)</f>
        <v>142.99899291992188</v>
      </c>
      <c r="I254" s="29">
        <f>IF(履歴データ!$A$254="","",履歴データ!$Q$254)</f>
        <v>111.984375</v>
      </c>
      <c r="J254" s="29">
        <f>IF(履歴データ!$A$254="","",履歴データ!$D$254)</f>
        <v>3.99</v>
      </c>
      <c r="K254" s="28">
        <f>IF(OR(履歴データ!$A$254="",履歴データ!$A$253=""),"",B254-B253)</f>
        <v>1.499999999999968</v>
      </c>
      <c r="L254" s="28">
        <f>IF(OR(履歴データ!$A$254="",履歴データ!$A$253=""),"",C254-C253)</f>
        <v>-9.9999999999997868E-2</v>
      </c>
      <c r="M254" s="28">
        <f>IF(OR(履歴データ!$A$254="",履歴データ!$A$253=""),"",D254-D253)</f>
        <v>7.8000000000000114</v>
      </c>
      <c r="N254" s="28">
        <f>IF(OR(履歴データ!$A$254="",履歴データ!$A$253=""),"",E254-E253)</f>
        <v>0.99999999999997868</v>
      </c>
      <c r="O254" s="28">
        <f>IF(OR(履歴データ!$A$254="",履歴データ!$A$253=""),"",F254-F253)</f>
        <v>-5.7700000000000102</v>
      </c>
      <c r="P254" s="28">
        <f>IF(OR(履歴データ!$A$254="",履歴データ!$A$253=""),"",G254-G253)</f>
        <v>-7.3166428222654645</v>
      </c>
      <c r="Q254" s="29">
        <f>IF(OR(履歴データ!$A$254="",履歴データ!$A$253=""),"",H254-H253)</f>
        <v>0.843994140625</v>
      </c>
      <c r="R254" s="29">
        <f>IF(OR(履歴データ!$A$254="",履歴データ!$A$253=""),"",I254-I253)</f>
        <v>-0.53125</v>
      </c>
      <c r="S254" s="28">
        <f>IF(OR(履歴データ!$A$254="",履歴データ!$A$253=""),"",(J254-J253)*100)</f>
        <v>8.0000000000000071</v>
      </c>
      <c r="T254" s="11">
        <f>IF(OR(履歴データ!$A$254="",履歴データ!$A$253=""),"",-80000*K254)</f>
        <v>-119999.99999999744</v>
      </c>
      <c r="U254" s="11">
        <f>IF(OR(履歴データ!$A$254="",履歴データ!$A$253=""),"",60000*L254)</f>
        <v>-5999.9999999998718</v>
      </c>
      <c r="V254" s="11">
        <f>IF(OR(履歴データ!$A$254="",履歴データ!$A$253=""),"",-50000*M254)</f>
        <v>-390000.00000000058</v>
      </c>
      <c r="W254" s="11">
        <f>IF(OR(履歴データ!$A$254="",履歴データ!$A$253=""),"",-40000*N254)</f>
        <v>-39999.999999999149</v>
      </c>
      <c r="X254" s="11">
        <f>IF(OR(履歴データ!$A$254="",履歴データ!$A$253=""),"",120*1000000*(-Q254/H253))</f>
        <v>-712456.80943124229</v>
      </c>
      <c r="Y254" s="11">
        <f>IF(OR(履歴データ!$A$254="",履歴データ!$A$253=""),"",40000*(-S254)+(-506.3)*R254*1000)</f>
        <v>-51028.125000000291</v>
      </c>
      <c r="Z254" s="11">
        <f>IF(OR(履歴データ!$A$254="",履歴データ!$A$253=""),"",-40000*O254)</f>
        <v>230800.00000000041</v>
      </c>
      <c r="AA254" s="11">
        <f>IF(OR(履歴データ!$A$254="",履歴データ!$A$253=""),"",-40000*P254)</f>
        <v>292665.7128906186</v>
      </c>
      <c r="AB254" s="11">
        <f>IF(履歴データ!$A$254="","",123.3)</f>
        <v>123.3</v>
      </c>
      <c r="AC254">
        <f>IF(履歴データ!$A$254="","",SUM(T254:AA254))</f>
        <v>-796019.22154062067</v>
      </c>
      <c r="AD254" s="29">
        <f>IF(履歴データ!$A$254="","",AC254/1000000)</f>
        <v>-0.79601922154062066</v>
      </c>
      <c r="AE254" s="29">
        <f>IF(履歴データ!$A$254="",AE253,AE253+AC254/1000000)</f>
        <v>86.79541993070805</v>
      </c>
      <c r="AF254" s="12">
        <f>IF(OR(履歴データ!$A$254="",AE253=0),"",(AE254-AE253)/AE253)</f>
        <v>-9.0878655407979157E-3</v>
      </c>
      <c r="AG254" s="29">
        <f t="shared" si="11"/>
        <v>102.17217746631495</v>
      </c>
      <c r="AH254" s="12">
        <f>IF(OR(履歴データ!$A$254="",AG254=0),"",AE254/AG254-1)</f>
        <v>-0.15049848125901444</v>
      </c>
      <c r="AJ254" s="28">
        <f t="shared" ca="1" si="9"/>
        <v>-19.593592991022817</v>
      </c>
      <c r="AK254" s="28">
        <f t="shared" ca="1" si="10"/>
        <v>-56.136565739135918</v>
      </c>
    </row>
    <row r="255" spans="1:37">
      <c r="A255" s="10">
        <f>IF(履歴データ!$A$255="","",履歴データ!$A$255)</f>
        <v>45296</v>
      </c>
      <c r="B255" s="28">
        <f>IF(履歴データ!$A$255="","",(履歴データ!$D$255-(履歴データ!$B$255+履歴データ!$F$255)/2)*100)</f>
        <v>-25.499999999999989</v>
      </c>
      <c r="C255" s="28">
        <f>IF(履歴データ!$A$255="","",(履歴データ!$H$255-(履歴データ!$G$255+履歴データ!$J$255)/2)*100)</f>
        <v>-20.349999999999991</v>
      </c>
      <c r="D255" s="28">
        <f>IF(履歴データ!$A$255="","",(履歴データ!$D$255-履歴データ!$H$255)*100)</f>
        <v>341.59999999999997</v>
      </c>
      <c r="E255" s="28">
        <f>IF(履歴データ!$A$255="","",(履歴データ!$D$255-履歴データ!$C$255)*100)</f>
        <v>3.0000000000000249</v>
      </c>
      <c r="F255" s="28">
        <f>IF(履歴データ!$A$255="","",(履歴データ!$R$255-履歴データ!$D$255)*100)</f>
        <v>-241.96999999999997</v>
      </c>
      <c r="G255" s="28">
        <f>IF(履歴データ!$A$255="","",(履歴データ!$S$255-履歴データ!$R$255)*100)</f>
        <v>-112.81364282226588</v>
      </c>
      <c r="H255" s="29">
        <f>IF(履歴データ!$A$255="","",履歴データ!$O$255)</f>
        <v>144.76499938964844</v>
      </c>
      <c r="I255" s="29">
        <f>IF(履歴データ!$A$255="","",履歴データ!$Q$255)</f>
        <v>111.71875</v>
      </c>
      <c r="J255" s="29">
        <f>IF(履歴データ!$A$255="","",履歴データ!$D$255)</f>
        <v>4.05</v>
      </c>
      <c r="K255" s="28">
        <f>IF(OR(履歴データ!$A$255="",履歴データ!$A$254=""),"",B255-B254)</f>
        <v>0.99999999999997868</v>
      </c>
      <c r="L255" s="28">
        <f>IF(OR(履歴データ!$A$255="",履歴データ!$A$254=""),"",C255-C254)</f>
        <v>0.55000000000000426</v>
      </c>
      <c r="M255" s="28">
        <f>IF(OR(履歴データ!$A$255="",履歴データ!$A$254=""),"",D255-D254)</f>
        <v>7.4999999999999432</v>
      </c>
      <c r="N255" s="28">
        <f>IF(OR(履歴データ!$A$255="",履歴データ!$A$254=""),"",E255-E254)</f>
        <v>1.0000000000000231</v>
      </c>
      <c r="O255" s="28">
        <f>IF(OR(履歴データ!$A$255="",履歴データ!$A$254=""),"",F255-F254)</f>
        <v>3.2000000000000455</v>
      </c>
      <c r="P255" s="28">
        <f>IF(OR(履歴データ!$A$255="",履歴データ!$A$254=""),"",G255-G254)</f>
        <v>-4.8150000000001114</v>
      </c>
      <c r="Q255" s="29">
        <f>IF(OR(履歴データ!$A$255="",履歴データ!$A$254=""),"",H255-H254)</f>
        <v>1.7660064697265625</v>
      </c>
      <c r="R255" s="29">
        <f>IF(OR(履歴データ!$A$255="",履歴データ!$A$254=""),"",I255-I254)</f>
        <v>-0.265625</v>
      </c>
      <c r="S255" s="28">
        <f>IF(OR(履歴データ!$A$255="",履歴データ!$A$254=""),"",(J255-J254)*100)</f>
        <v>5.9999999999999609</v>
      </c>
      <c r="T255" s="11">
        <f>IF(OR(履歴データ!$A$255="",履歴データ!$A$254=""),"",-80000*K255)</f>
        <v>-79999.999999998297</v>
      </c>
      <c r="U255" s="11">
        <f>IF(OR(履歴データ!$A$255="",履歴データ!$A$254=""),"",60000*L255)</f>
        <v>33000.000000000255</v>
      </c>
      <c r="V255" s="11">
        <f>IF(OR(履歴データ!$A$255="",履歴データ!$A$254=""),"",-50000*M255)</f>
        <v>-374999.99999999715</v>
      </c>
      <c r="W255" s="11">
        <f>IF(OR(履歴データ!$A$255="",履歴データ!$A$254=""),"",-40000*N255)</f>
        <v>-40000.000000000924</v>
      </c>
      <c r="X255" s="11">
        <f>IF(OR(履歴データ!$A$255="",履歴データ!$A$254=""),"",120*1000000*(-Q255/H254))</f>
        <v>-1481973.9079271781</v>
      </c>
      <c r="Y255" s="11">
        <f>IF(OR(履歴データ!$A$255="",履歴データ!$A$254=""),"",40000*(-S255)+(-506.3)*R255*1000)</f>
        <v>-105514.06249999843</v>
      </c>
      <c r="Z255" s="11">
        <f>IF(OR(履歴データ!$A$255="",履歴データ!$A$254=""),"",-40000*O255)</f>
        <v>-128000.00000000182</v>
      </c>
      <c r="AA255" s="11">
        <f>IF(OR(履歴データ!$A$255="",履歴データ!$A$254=""),"",-40000*P255)</f>
        <v>192600.00000000445</v>
      </c>
      <c r="AB255" s="11">
        <f>IF(履歴データ!$A$255="","",123.3)</f>
        <v>123.3</v>
      </c>
      <c r="AC255">
        <f>IF(履歴データ!$A$255="","",SUM(T255:AA255))</f>
        <v>-1984887.9704271697</v>
      </c>
      <c r="AD255" s="29">
        <f>IF(履歴データ!$A$255="","",AC255/1000000)</f>
        <v>-1.9848879704271698</v>
      </c>
      <c r="AE255" s="29">
        <f>IF(履歴データ!$A$255="",AE254,AE254+AC255/1000000)</f>
        <v>84.810531960280883</v>
      </c>
      <c r="AF255" s="12">
        <f>IF(OR(履歴データ!$A$255="",AE254=0),"",(AE255-AE254)/AE254)</f>
        <v>-2.2868579609520583E-2</v>
      </c>
      <c r="AG255" s="29">
        <f t="shared" si="11"/>
        <v>102.17217746631495</v>
      </c>
      <c r="AH255" s="12">
        <f>IF(OR(履歴データ!$A$255="",AG255=0),"",AE255/AG255-1)</f>
        <v>-0.16992537436875133</v>
      </c>
      <c r="AJ255" s="28">
        <f t="shared" ca="1" si="9"/>
        <v>-19.472981084970822</v>
      </c>
      <c r="AK255" s="28">
        <f t="shared" ca="1" si="10"/>
        <v>-56.146066534076795</v>
      </c>
    </row>
    <row r="256" spans="1:37">
      <c r="A256" s="10">
        <f>IF(履歴データ!$A$256="","",履歴データ!$A$256)</f>
        <v>45299</v>
      </c>
      <c r="B256" s="28">
        <f>IF(履歴データ!$A$256="","",(履歴データ!$D$256-(履歴データ!$B$256+履歴データ!$F$256)/2)*100)</f>
        <v>-25.500000000000078</v>
      </c>
      <c r="C256" s="28">
        <f>IF(履歴データ!$A$256="","",(履歴データ!$H$256-(履歴データ!$G$256+履歴データ!$J$256)/2)*100)</f>
        <v>-20.349999999999991</v>
      </c>
      <c r="D256" s="28">
        <f>IF(履歴データ!$A$256="","",(履歴データ!$D$256-履歴データ!$H$256)*100)</f>
        <v>337.59999999999997</v>
      </c>
      <c r="E256" s="28">
        <f>IF(履歴データ!$A$256="","",(履歴データ!$D$256-履歴データ!$C$256)*100)</f>
        <v>3.9999999999999591</v>
      </c>
      <c r="F256" s="28">
        <f>IF(履歴データ!$A$256="","",(履歴データ!$R$256-履歴データ!$D$256)*100)</f>
        <v>-228.81</v>
      </c>
      <c r="G256" s="28">
        <f>IF(履歴データ!$A$256="","",(履歴データ!$S$256-履歴データ!$R$256)*100)</f>
        <v>-121.97364282226586</v>
      </c>
      <c r="H256" s="29">
        <f>IF(履歴データ!$A$256="","",履歴データ!$O$256)</f>
        <v>144.71600341796875</v>
      </c>
      <c r="I256" s="29">
        <f>IF(履歴データ!$A$256="","",履歴データ!$Q$256)</f>
        <v>112.046875</v>
      </c>
      <c r="J256" s="29">
        <f>IF(履歴データ!$A$256="","",履歴データ!$D$256)</f>
        <v>4.01</v>
      </c>
      <c r="K256" s="28">
        <f>IF(OR(履歴データ!$A$256="",履歴データ!$A$255=""),"",B256-B255)</f>
        <v>-8.8817841970012523E-14</v>
      </c>
      <c r="L256" s="28">
        <f>IF(OR(履歴データ!$A$256="",履歴データ!$A$255=""),"",C256-C255)</f>
        <v>0</v>
      </c>
      <c r="M256" s="28">
        <f>IF(OR(履歴データ!$A$256="",履歴データ!$A$255=""),"",D256-D255)</f>
        <v>-4</v>
      </c>
      <c r="N256" s="28">
        <f>IF(OR(履歴データ!$A$256="",履歴データ!$A$255=""),"",E256-E255)</f>
        <v>0.99999999999993427</v>
      </c>
      <c r="O256" s="28">
        <f>IF(OR(履歴データ!$A$256="",履歴データ!$A$255=""),"",F256-F255)</f>
        <v>13.159999999999968</v>
      </c>
      <c r="P256" s="28">
        <f>IF(OR(履歴データ!$A$256="",履歴データ!$A$255=""),"",G256-G255)</f>
        <v>-9.1599999999999824</v>
      </c>
      <c r="Q256" s="29">
        <f>IF(OR(履歴データ!$A$256="",履歴データ!$A$255=""),"",H256-H255)</f>
        <v>-4.89959716796875E-2</v>
      </c>
      <c r="R256" s="29">
        <f>IF(OR(履歴データ!$A$256="",履歴データ!$A$255=""),"",I256-I255)</f>
        <v>0.328125</v>
      </c>
      <c r="S256" s="28">
        <f>IF(OR(履歴データ!$A$256="",履歴データ!$A$255=""),"",(J256-J255)*100)</f>
        <v>-4.0000000000000036</v>
      </c>
      <c r="T256" s="11">
        <f>IF(OR(履歴データ!$A$256="",履歴データ!$A$255=""),"",-80000*K256)</f>
        <v>7.1054273576010019E-9</v>
      </c>
      <c r="U256" s="11">
        <f>IF(OR(履歴データ!$A$256="",履歴データ!$A$255=""),"",60000*L256)</f>
        <v>0</v>
      </c>
      <c r="V256" s="11">
        <f>IF(OR(履歴データ!$A$256="",履歴データ!$A$255=""),"",-50000*M256)</f>
        <v>200000</v>
      </c>
      <c r="W256" s="11">
        <f>IF(OR(履歴データ!$A$256="",履歴データ!$A$255=""),"",-40000*N256)</f>
        <v>-39999.999999997373</v>
      </c>
      <c r="X256" s="11">
        <f>IF(OR(履歴データ!$A$256="",履歴データ!$A$255=""),"",120*1000000*(-Q256/H255))</f>
        <v>40614.213562335157</v>
      </c>
      <c r="Y256" s="11">
        <f>IF(OR(履歴データ!$A$256="",履歴データ!$A$255=""),"",40000*(-S256)+(-506.3)*R256*1000)</f>
        <v>-6129.6874999998836</v>
      </c>
      <c r="Z256" s="11">
        <f>IF(OR(履歴データ!$A$256="",履歴データ!$A$255=""),"",-40000*O256)</f>
        <v>-526399.99999999872</v>
      </c>
      <c r="AA256" s="11">
        <f>IF(OR(履歴データ!$A$256="",履歴データ!$A$255=""),"",-40000*P256)</f>
        <v>366399.9999999993</v>
      </c>
      <c r="AB256" s="11">
        <f>IF(履歴データ!$A$256="","",123.3)</f>
        <v>123.3</v>
      </c>
      <c r="AC256">
        <f>IF(履歴データ!$A$256="","",SUM(T256:AA256))</f>
        <v>34484.526062345598</v>
      </c>
      <c r="AD256" s="29">
        <f>IF(履歴データ!$A$256="","",AC256/1000000)</f>
        <v>3.4484526062345595E-2</v>
      </c>
      <c r="AE256" s="29">
        <f>IF(履歴データ!$A$256="",AE255,AE255+AC256/1000000)</f>
        <v>84.845016486343226</v>
      </c>
      <c r="AF256" s="12">
        <f>IF(OR(履歴データ!$A$256="",AE255=0),"",(AE256-AE255)/AE255)</f>
        <v>4.0660664737361907E-4</v>
      </c>
      <c r="AG256" s="29">
        <f t="shared" si="11"/>
        <v>102.17217746631495</v>
      </c>
      <c r="AH256" s="12">
        <f>IF(OR(履歴データ!$A$256="",AG256=0),"",AE256/AG256-1)</f>
        <v>-0.16958786050815344</v>
      </c>
      <c r="AJ256" s="28">
        <f t="shared" ca="1" si="9"/>
        <v>-19.351251558241589</v>
      </c>
      <c r="AK256" s="28">
        <f t="shared" ca="1" si="10"/>
        <v>-56.148748441758414</v>
      </c>
    </row>
    <row r="257" spans="1:37">
      <c r="A257" s="10">
        <f>IF(履歴データ!$A$257="","",履歴データ!$A$257)</f>
        <v>45300</v>
      </c>
      <c r="B257" s="28">
        <f>IF(履歴データ!$A$257="","",(履歴データ!$D$257-(履歴データ!$B$257+履歴データ!$F$257)/2)*100)</f>
        <v>-25</v>
      </c>
      <c r="C257" s="28">
        <f>IF(履歴データ!$A$257="","",(履歴データ!$H$257-(履歴データ!$G$257+履歴データ!$J$257)/2)*100)</f>
        <v>-21.149999999999991</v>
      </c>
      <c r="D257" s="28">
        <f>IF(履歴データ!$A$257="","",(履歴データ!$D$257-履歴データ!$H$257)*100)</f>
        <v>340.59999999999997</v>
      </c>
      <c r="E257" s="28">
        <f>IF(履歴データ!$A$257="","",(履歴データ!$D$257-履歴データ!$C$257)*100)</f>
        <v>4.9999999999999378</v>
      </c>
      <c r="F257" s="28">
        <f>IF(履歴データ!$A$257="","",(履歴データ!$R$257-履歴データ!$D$257)*100)</f>
        <v>-232.14999999999995</v>
      </c>
      <c r="G257" s="28">
        <f>IF(履歴データ!$A$257="","",(履歴データ!$S$257-履歴データ!$R$257)*100)</f>
        <v>-128.40364282226565</v>
      </c>
      <c r="H257" s="29">
        <f>IF(履歴データ!$A$257="","",履歴データ!$O$257)</f>
        <v>144.22999572753906</v>
      </c>
      <c r="I257" s="29">
        <f>IF(履歴データ!$A$257="","",履歴データ!$Q$257)</f>
        <v>111.90625</v>
      </c>
      <c r="J257" s="29">
        <f>IF(履歴データ!$A$257="","",履歴データ!$D$257)</f>
        <v>4.0199999999999996</v>
      </c>
      <c r="K257" s="28">
        <f>IF(OR(履歴データ!$A$257="",履歴データ!$A$256=""),"",B257-B256)</f>
        <v>0.50000000000007816</v>
      </c>
      <c r="L257" s="28">
        <f>IF(OR(履歴データ!$A$257="",履歴データ!$A$256=""),"",C257-C256)</f>
        <v>-0.80000000000000071</v>
      </c>
      <c r="M257" s="28">
        <f>IF(OR(履歴データ!$A$257="",履歴データ!$A$256=""),"",D257-D256)</f>
        <v>3</v>
      </c>
      <c r="N257" s="28">
        <f>IF(OR(履歴データ!$A$257="",履歴データ!$A$256=""),"",E257-E256)</f>
        <v>0.99999999999997868</v>
      </c>
      <c r="O257" s="28">
        <f>IF(OR(履歴データ!$A$257="",履歴データ!$A$256=""),"",F257-F256)</f>
        <v>-3.3399999999999466</v>
      </c>
      <c r="P257" s="28">
        <f>IF(OR(履歴データ!$A$257="",履歴データ!$A$256=""),"",G257-G256)</f>
        <v>-6.4299999999997937</v>
      </c>
      <c r="Q257" s="29">
        <f>IF(OR(履歴データ!$A$257="",履歴データ!$A$256=""),"",H257-H256)</f>
        <v>-0.4860076904296875</v>
      </c>
      <c r="R257" s="29">
        <f>IF(OR(履歴データ!$A$257="",履歴データ!$A$256=""),"",I257-I256)</f>
        <v>-0.140625</v>
      </c>
      <c r="S257" s="28">
        <f>IF(OR(履歴データ!$A$257="",履歴データ!$A$256=""),"",(J257-J256)*100)</f>
        <v>0.99999999999997868</v>
      </c>
      <c r="T257" s="11">
        <f>IF(OR(履歴データ!$A$257="",履歴データ!$A$256=""),"",-80000*K257)</f>
        <v>-40000.00000000625</v>
      </c>
      <c r="U257" s="11">
        <f>IF(OR(履歴データ!$A$257="",履歴データ!$A$256=""),"",60000*L257)</f>
        <v>-48000.000000000044</v>
      </c>
      <c r="V257" s="11">
        <f>IF(OR(履歴データ!$A$257="",履歴データ!$A$256=""),"",-50000*M257)</f>
        <v>-150000</v>
      </c>
      <c r="W257" s="11">
        <f>IF(OR(履歴データ!$A$257="",履歴データ!$A$256=""),"",-40000*N257)</f>
        <v>-39999.999999999149</v>
      </c>
      <c r="X257" s="11">
        <f>IF(OR(履歴データ!$A$257="",履歴データ!$A$256=""),"",120*1000000*(-Q257/H256))</f>
        <v>403002.58073822019</v>
      </c>
      <c r="Y257" s="11">
        <f>IF(OR(履歴データ!$A$257="",履歴データ!$A$256=""),"",40000*(-S257)+(-506.3)*R257*1000)</f>
        <v>31198.437500000851</v>
      </c>
      <c r="Z257" s="11">
        <f>IF(OR(履歴データ!$A$257="",履歴データ!$A$256=""),"",-40000*O257)</f>
        <v>133599.99999999788</v>
      </c>
      <c r="AA257" s="11">
        <f>IF(OR(履歴データ!$A$257="",履歴データ!$A$256=""),"",-40000*P257)</f>
        <v>257199.99999999173</v>
      </c>
      <c r="AB257" s="11">
        <f>IF(履歴データ!$A$257="","",123.3)</f>
        <v>123.3</v>
      </c>
      <c r="AC257">
        <f>IF(履歴データ!$A$257="","",SUM(T257:AA257))</f>
        <v>547001.01823820523</v>
      </c>
      <c r="AD257" s="29">
        <f>IF(履歴データ!$A$257="","",AC257/1000000)</f>
        <v>0.54700101823820524</v>
      </c>
      <c r="AE257" s="29">
        <f>IF(履歴データ!$A$257="",AE256,AE256+AC257/1000000)</f>
        <v>85.392017504581432</v>
      </c>
      <c r="AF257" s="12">
        <f>IF(OR(履歴データ!$A$257="",AE256=0),"",(AE257-AE256)/AE256)</f>
        <v>6.4470612522805216E-3</v>
      </c>
      <c r="AG257" s="29">
        <f t="shared" si="11"/>
        <v>102.17217746631495</v>
      </c>
      <c r="AH257" s="12">
        <f>IF(OR(履歴データ!$A$257="",AG257=0),"",AE257/AG257-1)</f>
        <v>-0.16423414258021218</v>
      </c>
      <c r="AJ257" s="28">
        <f t="shared" ca="1" si="9"/>
        <v>-19.223149647237008</v>
      </c>
      <c r="AK257" s="28">
        <f t="shared" ca="1" si="10"/>
        <v>-56.153834479747118</v>
      </c>
    </row>
    <row r="258" spans="1:37">
      <c r="A258" s="10">
        <f>IF(履歴データ!$A$258="","",履歴データ!$A$258)</f>
        <v>45301</v>
      </c>
      <c r="B258" s="28">
        <f>IF(履歴データ!$A$258="","",(履歴データ!$D$258-(履歴データ!$B$258+履歴データ!$F$258)/2)*100)</f>
        <v>-24.500000000000011</v>
      </c>
      <c r="C258" s="28">
        <f>IF(履歴データ!$A$258="","",(履歴データ!$H$258-(履歴データ!$G$258+履歴データ!$J$258)/2)*100)</f>
        <v>-20.05</v>
      </c>
      <c r="D258" s="28">
        <f>IF(履歴データ!$A$258="","",(履歴データ!$D$258-履歴データ!$H$258)*100)</f>
        <v>341.9</v>
      </c>
      <c r="E258" s="28">
        <f>IF(履歴データ!$A$258="","",(履歴データ!$D$258-履歴データ!$C$258)*100)</f>
        <v>4.9999999999999822</v>
      </c>
      <c r="F258" s="28">
        <f>IF(履歴データ!$A$258="","",(履歴データ!$R$258-履歴データ!$D$258)*100)</f>
        <v>-227.20000000000002</v>
      </c>
      <c r="G258" s="28">
        <f>IF(履歴データ!$A$258="","",(履歴データ!$S$258-履歴データ!$R$258)*100)</f>
        <v>-131.14400000000003</v>
      </c>
      <c r="H258" s="29">
        <f>IF(履歴データ!$A$258="","",履歴データ!$O$258)</f>
        <v>144.42799377441406</v>
      </c>
      <c r="I258" s="29">
        <f>IF(履歴データ!$A$258="","",履歴データ!$Q$258)</f>
        <v>111.875</v>
      </c>
      <c r="J258" s="29">
        <f>IF(履歴データ!$A$258="","",履歴データ!$D$258)</f>
        <v>4.04</v>
      </c>
      <c r="K258" s="28">
        <f>IF(OR(履歴データ!$A$258="",履歴データ!$A$257=""),"",B258-B257)</f>
        <v>0.49999999999998934</v>
      </c>
      <c r="L258" s="28">
        <f>IF(OR(履歴データ!$A$258="",履歴データ!$A$257=""),"",C258-C257)</f>
        <v>1.0999999999999908</v>
      </c>
      <c r="M258" s="28">
        <f>IF(OR(履歴データ!$A$258="",履歴データ!$A$257=""),"",D258-D257)</f>
        <v>1.3000000000000114</v>
      </c>
      <c r="N258" s="28">
        <f>IF(OR(履歴データ!$A$258="",履歴データ!$A$257=""),"",E258-E257)</f>
        <v>4.4408920985006262E-14</v>
      </c>
      <c r="O258" s="28">
        <f>IF(OR(履歴データ!$A$258="",履歴データ!$A$257=""),"",F258-F257)</f>
        <v>4.9499999999999318</v>
      </c>
      <c r="P258" s="28">
        <f>IF(OR(履歴データ!$A$258="",履歴データ!$A$257=""),"",G258-G257)</f>
        <v>-2.7403571777343814</v>
      </c>
      <c r="Q258" s="29">
        <f>IF(OR(履歴データ!$A$258="",履歴データ!$A$257=""),"",H258-H257)</f>
        <v>0.197998046875</v>
      </c>
      <c r="R258" s="29">
        <f>IF(OR(履歴データ!$A$258="",履歴データ!$A$257=""),"",I258-I257)</f>
        <v>-3.125E-2</v>
      </c>
      <c r="S258" s="28">
        <f>IF(OR(履歴データ!$A$258="",履歴データ!$A$257=""),"",(J258-J257)*100)</f>
        <v>2.0000000000000462</v>
      </c>
      <c r="T258" s="11">
        <f>IF(OR(履歴データ!$A$258="",履歴データ!$A$257=""),"",-80000*K258)</f>
        <v>-39999.999999999149</v>
      </c>
      <c r="U258" s="11">
        <f>IF(OR(履歴データ!$A$258="",履歴データ!$A$257=""),"",60000*L258)</f>
        <v>65999.999999999447</v>
      </c>
      <c r="V258" s="11">
        <f>IF(OR(履歴データ!$A$258="",履歴データ!$A$257=""),"",-50000*M258)</f>
        <v>-65000.000000000568</v>
      </c>
      <c r="W258" s="11">
        <f>IF(OR(履歴データ!$A$258="",履歴データ!$A$257=""),"",-40000*N258)</f>
        <v>-1.7763568394002505E-9</v>
      </c>
      <c r="X258" s="11">
        <f>IF(OR(履歴データ!$A$258="",履歴データ!$A$257=""),"",120*1000000*(-Q258/H257))</f>
        <v>-164735.25846789821</v>
      </c>
      <c r="Y258" s="11">
        <f>IF(OR(履歴データ!$A$258="",履歴データ!$A$257=""),"",40000*(-S258)+(-506.3)*R258*1000)</f>
        <v>-64178.125000001848</v>
      </c>
      <c r="Z258" s="11">
        <f>IF(OR(履歴データ!$A$258="",履歴データ!$A$257=""),"",-40000*O258)</f>
        <v>-197999.99999999726</v>
      </c>
      <c r="AA258" s="11">
        <f>IF(OR(履歴データ!$A$258="",履歴データ!$A$257=""),"",-40000*P258)</f>
        <v>109614.28710937526</v>
      </c>
      <c r="AB258" s="11">
        <f>IF(履歴データ!$A$258="","",123.3)</f>
        <v>123.3</v>
      </c>
      <c r="AC258">
        <f>IF(履歴データ!$A$258="","",SUM(T258:AA258))</f>
        <v>-356299.09635852405</v>
      </c>
      <c r="AD258" s="29">
        <f>IF(履歴データ!$A$258="","",AC258/1000000)</f>
        <v>-0.35629909635852403</v>
      </c>
      <c r="AE258" s="29">
        <f>IF(履歴データ!$A$258="",AE257,AE257+AC258/1000000)</f>
        <v>85.035718408222905</v>
      </c>
      <c r="AF258" s="12">
        <f>IF(OR(履歴データ!$A$258="",AE257=0),"",(AE258-AE257)/AE257)</f>
        <v>-4.1725105785140907E-3</v>
      </c>
      <c r="AG258" s="29">
        <f t="shared" si="11"/>
        <v>102.17217746631495</v>
      </c>
      <c r="AH258" s="12">
        <f>IF(OR(履歴データ!$A$258="",AG258=0),"",AE258/AG258-1)</f>
        <v>-0.16772138446145723</v>
      </c>
      <c r="AJ258" s="28">
        <f t="shared" ref="AJ258:AJ321" ca="1" si="12">IF(ROW()-1&lt;2,"",IFERROR(AVERAGE(OFFSET($B$1,MAX(1,ROW()-252),0,MIN(252,ROW()-1),1))+2*STDEV(OFFSET($B$1,MAX(1,ROW()-252),0,MIN(252,ROW()-1),1)),""))</f>
        <v>-19.090515256219557</v>
      </c>
      <c r="AK258" s="28">
        <f t="shared" ref="AK258:AK321" ca="1" si="13">IF(ROW()-1&lt;2,"",IFERROR(AVERAGE(OFFSET($B$1,MAX(1,ROW()-252),0,MIN(252,ROW()-1),1))-2*STDEV(OFFSET($B$1,MAX(1,ROW()-252),0,MIN(252,ROW()-1),1)),""))</f>
        <v>-56.167421251716945</v>
      </c>
    </row>
    <row r="259" spans="1:37">
      <c r="A259" s="10">
        <f>IF(履歴データ!$A$259="","",履歴データ!$A$259)</f>
        <v>45302</v>
      </c>
      <c r="B259" s="28">
        <f>IF(履歴データ!$A$259="","",(履歴データ!$D$259-(履歴データ!$B$259+履歴データ!$F$259)/2)*100)</f>
        <v>-23.999999999999979</v>
      </c>
      <c r="C259" s="28">
        <f>IF(履歴データ!$A$259="","",(履歴データ!$H$259-(履歴データ!$G$259+履歴データ!$J$259)/2)*100)</f>
        <v>-20.999999999999996</v>
      </c>
      <c r="D259" s="28">
        <f>IF(履歴データ!$A$259="","",(履歴データ!$D$259-履歴データ!$H$259)*100)</f>
        <v>337.5</v>
      </c>
      <c r="E259" s="28">
        <f>IF(履歴データ!$A$259="","",(履歴データ!$D$259-履歴データ!$C$259)*100)</f>
        <v>8.0000000000000071</v>
      </c>
      <c r="F259" s="28">
        <f>IF(履歴データ!$A$259="","",(履歴データ!$R$259-履歴データ!$D$259)*100)</f>
        <v>-221.88</v>
      </c>
      <c r="G259" s="28">
        <f>IF(履歴データ!$A$259="","",(履歴データ!$S$259-履歴データ!$R$259)*100)</f>
        <v>-136.60299999999998</v>
      </c>
      <c r="H259" s="29">
        <f>IF(履歴データ!$A$259="","",履歴データ!$O$259)</f>
        <v>145.73399353027344</v>
      </c>
      <c r="I259" s="29">
        <f>IF(履歴データ!$A$259="","",履歴データ!$Q$259)</f>
        <v>112.34375</v>
      </c>
      <c r="J259" s="29">
        <f>IF(履歴データ!$A$259="","",履歴データ!$D$259)</f>
        <v>3.98</v>
      </c>
      <c r="K259" s="28">
        <f>IF(OR(履歴データ!$A$259="",履歴データ!$A$258=""),"",B259-B258)</f>
        <v>0.50000000000003197</v>
      </c>
      <c r="L259" s="28">
        <f>IF(OR(履歴データ!$A$259="",履歴データ!$A$258=""),"",C259-C258)</f>
        <v>-0.94999999999999574</v>
      </c>
      <c r="M259" s="28">
        <f>IF(OR(履歴データ!$A$259="",履歴データ!$A$258=""),"",D259-D258)</f>
        <v>-4.3999999999999773</v>
      </c>
      <c r="N259" s="28">
        <f>IF(OR(履歴データ!$A$259="",履歴データ!$A$258=""),"",E259-E258)</f>
        <v>3.0000000000000249</v>
      </c>
      <c r="O259" s="28">
        <f>IF(OR(履歴データ!$A$259="",履歴データ!$A$258=""),"",F259-F258)</f>
        <v>5.3200000000000216</v>
      </c>
      <c r="P259" s="28">
        <f>IF(OR(履歴データ!$A$259="",履歴データ!$A$258=""),"",G259-G258)</f>
        <v>-5.4589999999999463</v>
      </c>
      <c r="Q259" s="29">
        <f>IF(OR(履歴データ!$A$259="",履歴データ!$A$258=""),"",H259-H258)</f>
        <v>1.305999755859375</v>
      </c>
      <c r="R259" s="29">
        <f>IF(OR(履歴データ!$A$259="",履歴データ!$A$258=""),"",I259-I258)</f>
        <v>0.46875</v>
      </c>
      <c r="S259" s="28">
        <f>IF(OR(履歴データ!$A$259="",履歴データ!$A$258=""),"",(J259-J258)*100)</f>
        <v>-6.0000000000000053</v>
      </c>
      <c r="T259" s="11">
        <f>IF(OR(履歴データ!$A$259="",履歴データ!$A$258=""),"",-80000*K259)</f>
        <v>-40000.000000002561</v>
      </c>
      <c r="U259" s="11">
        <f>IF(OR(履歴データ!$A$259="",履歴データ!$A$258=""),"",60000*L259)</f>
        <v>-56999.999999999745</v>
      </c>
      <c r="V259" s="11">
        <f>IF(OR(履歴データ!$A$259="",履歴データ!$A$258=""),"",-50000*M259)</f>
        <v>219999.99999999886</v>
      </c>
      <c r="W259" s="11">
        <f>IF(OR(履歴データ!$A$259="",履歴データ!$A$258=""),"",-40000*N259)</f>
        <v>-120000.00000000099</v>
      </c>
      <c r="X259" s="11">
        <f>IF(OR(履歴データ!$A$259="",履歴データ!$A$258=""),"",120*1000000*(-Q259/H258))</f>
        <v>-1085107.9947001834</v>
      </c>
      <c r="Y259" s="11">
        <f>IF(OR(履歴データ!$A$259="",履歴データ!$A$258=""),"",40000*(-S259)+(-506.3)*R259*1000)</f>
        <v>2671.8750000002037</v>
      </c>
      <c r="Z259" s="11">
        <f>IF(OR(履歴データ!$A$259="",履歴データ!$A$258=""),"",-40000*O259)</f>
        <v>-212800.00000000087</v>
      </c>
      <c r="AA259" s="11">
        <f>IF(OR(履歴データ!$A$259="",履歴データ!$A$258=""),"",-40000*P259)</f>
        <v>218359.99999999785</v>
      </c>
      <c r="AB259" s="11">
        <f>IF(履歴データ!$A$259="","",123.3)</f>
        <v>123.3</v>
      </c>
      <c r="AC259">
        <f>IF(履歴データ!$A$259="","",SUM(T259:AA259))</f>
        <v>-1073876.1197001906</v>
      </c>
      <c r="AD259" s="29">
        <f>IF(履歴データ!$A$259="","",AC259/1000000)</f>
        <v>-1.0738761197001907</v>
      </c>
      <c r="AE259" s="29">
        <f>IF(履歴データ!$A$259="",AE258,AE258+AC259/1000000)</f>
        <v>83.961842288522718</v>
      </c>
      <c r="AF259" s="12">
        <f>IF(OR(履歴データ!$A$259="",AE258=0),"",(AE259-AE258)/AE258)</f>
        <v>-1.2628529984834521E-2</v>
      </c>
      <c r="AG259" s="29">
        <f t="shared" ref="AG259:AG322" si="14">MAX(AG258,AE259)</f>
        <v>102.17217746631495</v>
      </c>
      <c r="AH259" s="12">
        <f>IF(OR(履歴データ!$A$259="",AG259=0),"",AE259/AG259-1)</f>
        <v>-0.17823183991352221</v>
      </c>
      <c r="AJ259" s="28">
        <f t="shared" ca="1" si="12"/>
        <v>-18.955684838156643</v>
      </c>
      <c r="AK259" s="28">
        <f t="shared" ca="1" si="13"/>
        <v>-56.191140558668749</v>
      </c>
    </row>
    <row r="260" spans="1:37">
      <c r="A260" s="10">
        <f>IF(履歴データ!$A$260="","",履歴データ!$A$260)</f>
        <v>45303</v>
      </c>
      <c r="B260" s="28">
        <f>IF(履歴データ!$A$260="","",(履歴データ!$D$260-(履歴データ!$B$260+履歴データ!$F$260)/2)*100)</f>
        <v>-20.999999999999996</v>
      </c>
      <c r="C260" s="28">
        <f>IF(履歴データ!$A$260="","",(履歴データ!$H$260-(履歴データ!$G$260+履歴データ!$J$260)/2)*100)</f>
        <v>-21.650000000000002</v>
      </c>
      <c r="D260" s="28">
        <f>IF(履歴データ!$A$260="","",(履歴データ!$D$260-履歴データ!$H$260)*100)</f>
        <v>336.9</v>
      </c>
      <c r="E260" s="28">
        <f>IF(履歴データ!$A$260="","",(履歴データ!$D$260-履歴データ!$C$260)*100)</f>
        <v>12.000000000000011</v>
      </c>
      <c r="F260" s="28">
        <f>IF(履歴データ!$A$260="","",(履歴データ!$R$260-履歴データ!$D$260)*100)</f>
        <v>-221.84999999999997</v>
      </c>
      <c r="G260" s="28">
        <f>IF(履歴データ!$A$260="","",(履歴データ!$S$260-履歴データ!$R$260)*100)</f>
        <v>-134.80835717773459</v>
      </c>
      <c r="H260" s="29">
        <f>IF(履歴データ!$A$260="","",履歴データ!$O$260)</f>
        <v>145.04600524902344</v>
      </c>
      <c r="I260" s="29">
        <f>IF(履歴データ!$A$260="","",履歴データ!$Q$260)</f>
        <v>112.59375</v>
      </c>
      <c r="J260" s="29">
        <f>IF(履歴データ!$A$260="","",履歴データ!$D$260)</f>
        <v>3.96</v>
      </c>
      <c r="K260" s="28">
        <f>IF(OR(履歴データ!$A$260="",履歴データ!$A$259=""),"",B260-B259)</f>
        <v>2.9999999999999822</v>
      </c>
      <c r="L260" s="28">
        <f>IF(OR(履歴データ!$A$260="",履歴データ!$A$259=""),"",C260-C259)</f>
        <v>-0.65000000000000568</v>
      </c>
      <c r="M260" s="28">
        <f>IF(OR(履歴データ!$A$260="",履歴データ!$A$259=""),"",D260-D259)</f>
        <v>-0.60000000000002274</v>
      </c>
      <c r="N260" s="28">
        <f>IF(OR(履歴データ!$A$260="",履歴データ!$A$259=""),"",E260-E259)</f>
        <v>4.0000000000000036</v>
      </c>
      <c r="O260" s="28">
        <f>IF(OR(履歴データ!$A$260="",履歴データ!$A$259=""),"",F260-F259)</f>
        <v>3.0000000000029559E-2</v>
      </c>
      <c r="P260" s="28">
        <f>IF(OR(履歴データ!$A$260="",履歴データ!$A$259=""),"",G260-G259)</f>
        <v>1.7946428222653878</v>
      </c>
      <c r="Q260" s="29">
        <f>IF(OR(履歴データ!$A$260="",履歴データ!$A$259=""),"",H260-H259)</f>
        <v>-0.68798828125</v>
      </c>
      <c r="R260" s="29">
        <f>IF(OR(履歴データ!$A$260="",履歴データ!$A$259=""),"",I260-I259)</f>
        <v>0.25</v>
      </c>
      <c r="S260" s="28">
        <f>IF(OR(履歴データ!$A$260="",履歴データ!$A$259=""),"",(J260-J259)*100)</f>
        <v>-2.0000000000000018</v>
      </c>
      <c r="T260" s="11">
        <f>IF(OR(履歴データ!$A$260="",履歴データ!$A$259=""),"",-80000*K260)</f>
        <v>-239999.99999999857</v>
      </c>
      <c r="U260" s="11">
        <f>IF(OR(履歴データ!$A$260="",履歴データ!$A$259=""),"",60000*L260)</f>
        <v>-39000.000000000342</v>
      </c>
      <c r="V260" s="11">
        <f>IF(OR(履歴データ!$A$260="",履歴データ!$A$259=""),"",-50000*M260)</f>
        <v>30000.000000001135</v>
      </c>
      <c r="W260" s="11">
        <f>IF(OR(履歴データ!$A$260="",履歴データ!$A$259=""),"",-40000*N260)</f>
        <v>-160000.00000000015</v>
      </c>
      <c r="X260" s="11">
        <f>IF(OR(履歴データ!$A$260="",履歴データ!$A$259=""),"",120*1000000*(-Q260/H259))</f>
        <v>566501.96532801411</v>
      </c>
      <c r="Y260" s="11">
        <f>IF(OR(履歴データ!$A$260="",履歴データ!$A$259=""),"",40000*(-S260)+(-506.3)*R260*1000)</f>
        <v>-46574.999999999927</v>
      </c>
      <c r="Z260" s="11">
        <f>IF(OR(履歴データ!$A$260="",履歴データ!$A$259=""),"",-40000*O260)</f>
        <v>-1200.0000000011823</v>
      </c>
      <c r="AA260" s="11">
        <f>IF(OR(履歴データ!$A$260="",履歴データ!$A$259=""),"",-40000*P260)</f>
        <v>-71785.712890615512</v>
      </c>
      <c r="AB260" s="11">
        <f>IF(履歴データ!$A$260="","",123.3)</f>
        <v>123.3</v>
      </c>
      <c r="AC260">
        <f>IF(履歴データ!$A$260="","",SUM(T260:AA260))</f>
        <v>37941.252437399584</v>
      </c>
      <c r="AD260" s="29">
        <f>IF(履歴データ!$A$260="","",AC260/1000000)</f>
        <v>3.7941252437399584E-2</v>
      </c>
      <c r="AE260" s="29">
        <f>IF(履歴データ!$A$260="",AE259,AE259+AC260/1000000)</f>
        <v>83.999783540960124</v>
      </c>
      <c r="AF260" s="12">
        <f>IF(OR(履歴データ!$A$260="",AE259=0),"",(AE260-AE259)/AE259)</f>
        <v>4.5188685006489578E-4</v>
      </c>
      <c r="AG260" s="29">
        <f t="shared" si="14"/>
        <v>102.17217746631495</v>
      </c>
      <c r="AH260" s="12">
        <f>IF(OR(履歴データ!$A$260="",AG260=0),"",AE260/AG260-1)</f>
        <v>-0.17786049368817713</v>
      </c>
      <c r="AJ260" s="28">
        <f t="shared" ca="1" si="12"/>
        <v>-18.767239000580972</v>
      </c>
      <c r="AK260" s="28">
        <f t="shared" ca="1" si="13"/>
        <v>-56.232760999419028</v>
      </c>
    </row>
    <row r="261" spans="1:37">
      <c r="A261" s="10">
        <f>IF(履歴データ!$A$261="","",履歴データ!$A$261)</f>
        <v>45307</v>
      </c>
      <c r="B261" s="28">
        <f>IF(履歴データ!$A$261="","",(履歴データ!$D$261-(履歴データ!$B$261+履歴データ!$F$261)/2)*100)</f>
        <v>-18.99999999999995</v>
      </c>
      <c r="C261" s="28">
        <f>IF(履歴データ!$A$261="","",(履歴データ!$H$261-(履歴データ!$G$261+履歴データ!$J$261)/2)*100)</f>
        <v>-21.250000000000004</v>
      </c>
      <c r="D261" s="28">
        <f>IF(履歴データ!$A$261="","",(履歴データ!$D$261-履歴データ!$H$261)*100)</f>
        <v>347.40000000000003</v>
      </c>
      <c r="E261" s="28">
        <f>IF(履歴データ!$A$261="","",(履歴データ!$D$261-履歴データ!$C$261)*100)</f>
        <v>12.000000000000011</v>
      </c>
      <c r="F261" s="28">
        <f>IF(履歴データ!$A$261="","",(履歴データ!$R$261-履歴データ!$D$261)*100)</f>
        <v>-238.69000000000003</v>
      </c>
      <c r="G261" s="28">
        <f>IF(履歴データ!$A$261="","",(履歴データ!$S$261-履歴データ!$R$261)*100)</f>
        <v>-130.19617858886724</v>
      </c>
      <c r="H261" s="29">
        <f>IF(履歴データ!$A$261="","",履歴データ!$O$261)</f>
        <v>145.79400634765625</v>
      </c>
      <c r="I261" s="29">
        <f>IF(履歴データ!$A$261="","",履歴データ!$Q$261)</f>
        <v>111.84375</v>
      </c>
      <c r="J261" s="29">
        <f>IF(履歴データ!$A$261="","",履歴データ!$D$261)</f>
        <v>4.07</v>
      </c>
      <c r="K261" s="28">
        <f>IF(OR(履歴データ!$A$261="",履歴データ!$A$260=""),"",B261-B260)</f>
        <v>2.0000000000000462</v>
      </c>
      <c r="L261" s="28">
        <f>IF(OR(履歴データ!$A$261="",履歴データ!$A$260=""),"",C261-C260)</f>
        <v>0.39999999999999858</v>
      </c>
      <c r="M261" s="28">
        <f>IF(OR(履歴データ!$A$261="",履歴データ!$A$260=""),"",D261-D260)</f>
        <v>10.500000000000057</v>
      </c>
      <c r="N261" s="28">
        <f>IF(OR(履歴データ!$A$261="",履歴データ!$A$260=""),"",E261-E260)</f>
        <v>0</v>
      </c>
      <c r="O261" s="28">
        <f>IF(OR(履歴データ!$A$261="",履歴データ!$A$260=""),"",F261-F260)</f>
        <v>-16.84000000000006</v>
      </c>
      <c r="P261" s="28">
        <f>IF(OR(履歴データ!$A$261="",履歴データ!$A$260=""),"",G261-G260)</f>
        <v>4.6121785888673514</v>
      </c>
      <c r="Q261" s="29">
        <f>IF(OR(履歴データ!$A$261="",履歴データ!$A$260=""),"",H261-H260)</f>
        <v>0.7480010986328125</v>
      </c>
      <c r="R261" s="29">
        <f>IF(OR(履歴データ!$A$261="",履歴データ!$A$260=""),"",I261-I260)</f>
        <v>-0.75</v>
      </c>
      <c r="S261" s="28">
        <f>IF(OR(履歴データ!$A$261="",履歴データ!$A$260=""),"",(J261-J260)*100)</f>
        <v>11.000000000000032</v>
      </c>
      <c r="T261" s="11">
        <f>IF(OR(履歴データ!$A$261="",履歴データ!$A$260=""),"",-80000*K261)</f>
        <v>-160000.0000000037</v>
      </c>
      <c r="U261" s="11">
        <f>IF(OR(履歴データ!$A$261="",履歴データ!$A$260=""),"",60000*L261)</f>
        <v>23999.999999999916</v>
      </c>
      <c r="V261" s="11">
        <f>IF(OR(履歴データ!$A$261="",履歴データ!$A$260=""),"",-50000*M261)</f>
        <v>-525000.00000000279</v>
      </c>
      <c r="W261" s="11">
        <f>IF(OR(履歴データ!$A$261="",履歴データ!$A$260=""),"",-40000*N261)</f>
        <v>0</v>
      </c>
      <c r="X261" s="11">
        <f>IF(OR(履歴データ!$A$261="",履歴データ!$A$260=""),"",120*1000000*(-Q261/H260))</f>
        <v>-618839.04821668181</v>
      </c>
      <c r="Y261" s="11">
        <f>IF(OR(履歴データ!$A$261="",履歴データ!$A$260=""),"",40000*(-S261)+(-506.3)*R261*1000)</f>
        <v>-60275.000000001281</v>
      </c>
      <c r="Z261" s="11">
        <f>IF(OR(履歴データ!$A$261="",履歴データ!$A$260=""),"",-40000*O261)</f>
        <v>673600.00000000244</v>
      </c>
      <c r="AA261" s="11">
        <f>IF(OR(履歴データ!$A$261="",履歴データ!$A$260=""),"",-40000*P261)</f>
        <v>-184487.14355469405</v>
      </c>
      <c r="AB261" s="11">
        <f>IF(履歴データ!$A$261="","",123.3)</f>
        <v>123.3</v>
      </c>
      <c r="AC261">
        <f>IF(履歴データ!$A$261="","",SUM(T261:AA261))</f>
        <v>-851001.19177138142</v>
      </c>
      <c r="AD261" s="29">
        <f>IF(履歴データ!$A$261="","",AC261/1000000)</f>
        <v>-0.85100119177138145</v>
      </c>
      <c r="AE261" s="29">
        <f>IF(履歴データ!$A$261="",AE260,AE260+AC261/1000000)</f>
        <v>83.148782349188735</v>
      </c>
      <c r="AF261" s="12">
        <f>IF(OR(履歴データ!$A$261="",AE260=0),"",(AE261-AE260)/AE260)</f>
        <v>-1.0130992675194472E-2</v>
      </c>
      <c r="AG261" s="29">
        <f t="shared" si="14"/>
        <v>102.17217746631495</v>
      </c>
      <c r="AH261" s="12">
        <f>IF(OR(履歴データ!$A$261="",AG261=0),"",AE261/AG261-1)</f>
        <v>-0.18618958300461019</v>
      </c>
      <c r="AJ261" s="28">
        <f t="shared" ca="1" si="12"/>
        <v>-18.540902232234778</v>
      </c>
      <c r="AK261" s="28">
        <f t="shared" ca="1" si="13"/>
        <v>-56.284494593162044</v>
      </c>
    </row>
    <row r="262" spans="1:37">
      <c r="A262" s="10">
        <f>IF(履歴データ!$A$262="","",履歴データ!$A$262)</f>
        <v>45308</v>
      </c>
      <c r="B262" s="28">
        <f>IF(履歴データ!$A$262="","",(履歴データ!$D$262-(履歴データ!$B$262+履歴データ!$F$262)/2)*100)</f>
        <v>-22.499999999999964</v>
      </c>
      <c r="C262" s="28">
        <f>IF(履歴データ!$A$262="","",(履歴データ!$H$262-(履歴データ!$G$262+履歴データ!$J$262)/2)*100)</f>
        <v>-20.999999999999996</v>
      </c>
      <c r="D262" s="28">
        <f>IF(履歴データ!$A$262="","",(履歴データ!$D$262-履歴データ!$H$262)*100)</f>
        <v>348.79999999999995</v>
      </c>
      <c r="E262" s="28">
        <f>IF(履歴データ!$A$262="","",(履歴データ!$D$262-履歴データ!$C$262)*100)</f>
        <v>8.0000000000000071</v>
      </c>
      <c r="F262" s="28">
        <f>IF(履歴データ!$A$262="","",(履歴データ!$R$262-履歴データ!$D$262)*100)</f>
        <v>-232.93999999999997</v>
      </c>
      <c r="G262" s="28">
        <f>IF(履歴データ!$A$262="","",(履歴データ!$S$262-履歴データ!$R$262)*100)</f>
        <v>-131.40400000000002</v>
      </c>
      <c r="H262" s="29">
        <f>IF(履歴データ!$A$262="","",履歴データ!$O$262)</f>
        <v>147.24600219726563</v>
      </c>
      <c r="I262" s="29">
        <f>IF(履歴データ!$A$262="","",履歴データ!$Q$262)</f>
        <v>111.421875</v>
      </c>
      <c r="J262" s="29">
        <f>IF(履歴データ!$A$262="","",履歴データ!$D$262)</f>
        <v>4.0999999999999996</v>
      </c>
      <c r="K262" s="28">
        <f>IF(OR(履歴データ!$A$262="",履歴データ!$A$261=""),"",B262-B261)</f>
        <v>-3.5000000000000142</v>
      </c>
      <c r="L262" s="28">
        <f>IF(OR(履歴データ!$A$262="",履歴データ!$A$261=""),"",C262-C261)</f>
        <v>0.25000000000000711</v>
      </c>
      <c r="M262" s="28">
        <f>IF(OR(履歴データ!$A$262="",履歴データ!$A$261=""),"",D262-D261)</f>
        <v>1.3999999999999204</v>
      </c>
      <c r="N262" s="28">
        <f>IF(OR(履歴データ!$A$262="",履歴データ!$A$261=""),"",E262-E261)</f>
        <v>-4.0000000000000036</v>
      </c>
      <c r="O262" s="28">
        <f>IF(OR(履歴データ!$A$262="",履歴データ!$A$261=""),"",F262-F261)</f>
        <v>5.7500000000000568</v>
      </c>
      <c r="P262" s="28">
        <f>IF(OR(履歴データ!$A$262="",履歴データ!$A$261=""),"",G262-G261)</f>
        <v>-1.2078214111327839</v>
      </c>
      <c r="Q262" s="29">
        <f>IF(OR(履歴データ!$A$262="",履歴データ!$A$261=""),"",H262-H261)</f>
        <v>1.451995849609375</v>
      </c>
      <c r="R262" s="29">
        <f>IF(OR(履歴データ!$A$262="",履歴データ!$A$261=""),"",I262-I261)</f>
        <v>-0.421875</v>
      </c>
      <c r="S262" s="28">
        <f>IF(OR(履歴データ!$A$262="",履歴データ!$A$261=""),"",(J262-J261)*100)</f>
        <v>2.9999999999999361</v>
      </c>
      <c r="T262" s="11">
        <f>IF(OR(履歴データ!$A$262="",履歴データ!$A$261=""),"",-80000*K262)</f>
        <v>280000.00000000116</v>
      </c>
      <c r="U262" s="11">
        <f>IF(OR(履歴データ!$A$262="",履歴データ!$A$261=""),"",60000*L262)</f>
        <v>15000.000000000426</v>
      </c>
      <c r="V262" s="11">
        <f>IF(OR(履歴データ!$A$262="",履歴データ!$A$261=""),"",-50000*M262)</f>
        <v>-69999.999999996027</v>
      </c>
      <c r="W262" s="11">
        <f>IF(OR(履歴データ!$A$262="",履歴データ!$A$261=""),"",-40000*N262)</f>
        <v>160000.00000000015</v>
      </c>
      <c r="X262" s="11">
        <f>IF(OR(履歴データ!$A$262="",履歴データ!$A$261=""),"",120*1000000*(-Q262/H261))</f>
        <v>-1195107.4417808261</v>
      </c>
      <c r="Y262" s="11">
        <f>IF(OR(履歴データ!$A$262="",履歴データ!$A$261=""),"",40000*(-S262)+(-506.3)*R262*1000)</f>
        <v>93595.312500002561</v>
      </c>
      <c r="Z262" s="11">
        <f>IF(OR(履歴データ!$A$262="",履歴データ!$A$261=""),"",-40000*O262)</f>
        <v>-230000.00000000227</v>
      </c>
      <c r="AA262" s="11">
        <f>IF(OR(履歴データ!$A$262="",履歴データ!$A$261=""),"",-40000*P262)</f>
        <v>48312.85644531135</v>
      </c>
      <c r="AB262" s="11">
        <f>IF(履歴データ!$A$262="","",123.3)</f>
        <v>123.3</v>
      </c>
      <c r="AC262">
        <f>IF(履歴データ!$A$262="","",SUM(T262:AA262))</f>
        <v>-898199.27283550869</v>
      </c>
      <c r="AD262" s="29">
        <f>IF(履歴データ!$A$262="","",AC262/1000000)</f>
        <v>-0.89819927283550871</v>
      </c>
      <c r="AE262" s="29">
        <f>IF(履歴データ!$A$262="",AE261,AE261+AC262/1000000)</f>
        <v>82.250583076353223</v>
      </c>
      <c r="AF262" s="12">
        <f>IF(OR(履歴データ!$A$262="",AE261=0),"",(AE262-AE261)/AE261)</f>
        <v>-1.0802314206640644E-2</v>
      </c>
      <c r="AG262" s="29">
        <f t="shared" si="14"/>
        <v>102.17217746631495</v>
      </c>
      <c r="AH262" s="12">
        <f>IF(OR(履歴データ!$A$262="",AG262=0),"",AE262/AG262-1)</f>
        <v>-0.19498061883363171</v>
      </c>
      <c r="AJ262" s="28">
        <f t="shared" ca="1" si="12"/>
        <v>-18.379415637618386</v>
      </c>
      <c r="AK262" s="28">
        <f t="shared" ca="1" si="13"/>
        <v>-56.287251029048285</v>
      </c>
    </row>
    <row r="263" spans="1:37">
      <c r="A263" s="10">
        <f>IF(履歴データ!$A$263="","",履歴データ!$A$263)</f>
        <v>45309</v>
      </c>
      <c r="B263" s="28">
        <f>IF(履歴データ!$A$263="","",(履歴データ!$D$263-(履歴データ!$B$263+履歴データ!$F$263)/2)*100)</f>
        <v>-21.500000000000075</v>
      </c>
      <c r="C263" s="28">
        <f>IF(履歴データ!$A$263="","",(履歴データ!$H$263-(履歴データ!$G$263+履歴データ!$J$263)/2)*100)</f>
        <v>-21.150000000000002</v>
      </c>
      <c r="D263" s="28">
        <f>IF(履歴データ!$A$263="","",(履歴データ!$D$263-履歴データ!$H$263)*100)</f>
        <v>348.4</v>
      </c>
      <c r="E263" s="28">
        <f>IF(履歴データ!$A$263="","",(履歴データ!$D$263-履歴データ!$C$263)*100)</f>
        <v>9.9999999999999645</v>
      </c>
      <c r="F263" s="28">
        <f>IF(履歴データ!$A$263="","",(履歴データ!$R$263-履歴データ!$D$263)*100)</f>
        <v>-224.89</v>
      </c>
      <c r="G263" s="28">
        <f>IF(履歴データ!$A$263="","",(履歴データ!$S$263-履歴データ!$R$263)*100)</f>
        <v>-143.27864282226577</v>
      </c>
      <c r="H263" s="29">
        <f>IF(履歴データ!$A$263="","",履歴データ!$O$263)</f>
        <v>148.11799621582031</v>
      </c>
      <c r="I263" s="29">
        <f>IF(履歴データ!$A$263="","",履歴データ!$Q$263)</f>
        <v>111.203125</v>
      </c>
      <c r="J263" s="29">
        <f>IF(履歴データ!$A$263="","",履歴データ!$D$263)</f>
        <v>4.1399999999999997</v>
      </c>
      <c r="K263" s="28">
        <f>IF(OR(履歴データ!$A$263="",履歴データ!$A$262=""),"",B263-B262)</f>
        <v>0.99999999999988987</v>
      </c>
      <c r="L263" s="28">
        <f>IF(OR(履歴データ!$A$263="",履歴データ!$A$262=""),"",C263-C262)</f>
        <v>-0.15000000000000568</v>
      </c>
      <c r="M263" s="28">
        <f>IF(OR(履歴データ!$A$263="",履歴データ!$A$262=""),"",D263-D262)</f>
        <v>-0.39999999999997726</v>
      </c>
      <c r="N263" s="28">
        <f>IF(OR(履歴データ!$A$263="",履歴データ!$A$262=""),"",E263-E262)</f>
        <v>1.9999999999999574</v>
      </c>
      <c r="O263" s="28">
        <f>IF(OR(履歴データ!$A$263="",履歴データ!$A$262=""),"",F263-F262)</f>
        <v>8.0499999999999829</v>
      </c>
      <c r="P263" s="28">
        <f>IF(OR(履歴データ!$A$263="",履歴データ!$A$262=""),"",G263-G262)</f>
        <v>-11.874642822265741</v>
      </c>
      <c r="Q263" s="29">
        <f>IF(OR(履歴データ!$A$263="",履歴データ!$A$262=""),"",H263-H262)</f>
        <v>0.8719940185546875</v>
      </c>
      <c r="R263" s="29">
        <f>IF(OR(履歴データ!$A$263="",履歴データ!$A$262=""),"",I263-I262)</f>
        <v>-0.21875</v>
      </c>
      <c r="S263" s="28">
        <f>IF(OR(履歴データ!$A$263="",履歴データ!$A$262=""),"",(J263-J262)*100)</f>
        <v>4.0000000000000036</v>
      </c>
      <c r="T263" s="11">
        <f>IF(OR(履歴データ!$A$263="",履歴データ!$A$262=""),"",-80000*K263)</f>
        <v>-79999.999999991196</v>
      </c>
      <c r="U263" s="11">
        <f>IF(OR(履歴データ!$A$263="",履歴データ!$A$262=""),"",60000*L263)</f>
        <v>-9000.000000000342</v>
      </c>
      <c r="V263" s="11">
        <f>IF(OR(履歴データ!$A$263="",履歴データ!$A$262=""),"",-50000*M263)</f>
        <v>19999.999999998865</v>
      </c>
      <c r="W263" s="11">
        <f>IF(OR(履歴データ!$A$263="",履歴データ!$A$262=""),"",-40000*N263)</f>
        <v>-79999.999999998297</v>
      </c>
      <c r="X263" s="11">
        <f>IF(OR(履歴データ!$A$263="",履歴データ!$A$262=""),"",120*1000000*(-Q263/H262))</f>
        <v>-710642.60261801304</v>
      </c>
      <c r="Y263" s="11">
        <f>IF(OR(履歴データ!$A$263="",履歴データ!$A$262=""),"",40000*(-S263)+(-506.3)*R263*1000)</f>
        <v>-49246.875000000146</v>
      </c>
      <c r="Z263" s="11">
        <f>IF(OR(履歴データ!$A$263="",履歴データ!$A$262=""),"",-40000*O263)</f>
        <v>-321999.9999999993</v>
      </c>
      <c r="AA263" s="11">
        <f>IF(OR(履歴データ!$A$263="",履歴データ!$A$262=""),"",-40000*P263)</f>
        <v>474985.71289062966</v>
      </c>
      <c r="AB263" s="11">
        <f>IF(履歴データ!$A$263="","",123.3)</f>
        <v>123.3</v>
      </c>
      <c r="AC263">
        <f>IF(履歴データ!$A$263="","",SUM(T263:AA263))</f>
        <v>-755903.76472737361</v>
      </c>
      <c r="AD263" s="29">
        <f>IF(履歴データ!$A$263="","",AC263/1000000)</f>
        <v>-0.75590376472737364</v>
      </c>
      <c r="AE263" s="29">
        <f>IF(履歴データ!$A$263="",AE262,AE262+AC263/1000000)</f>
        <v>81.494679311625845</v>
      </c>
      <c r="AF263" s="12">
        <f>IF(OR(履歴データ!$A$263="",AE262=0),"",(AE263-AE262)/AE262)</f>
        <v>-9.1902541775986286E-3</v>
      </c>
      <c r="AG263" s="29">
        <f t="shared" si="14"/>
        <v>102.17217746631495</v>
      </c>
      <c r="AH263" s="12">
        <f>IF(OR(履歴データ!$A$263="",AG263=0),"",AE263/AG263-1)</f>
        <v>-0.20237895156444374</v>
      </c>
      <c r="AJ263" s="28">
        <f t="shared" ca="1" si="12"/>
        <v>-18.20947770026541</v>
      </c>
      <c r="AK263" s="28">
        <f t="shared" ca="1" si="13"/>
        <v>-56.326236585448882</v>
      </c>
    </row>
    <row r="264" spans="1:37">
      <c r="A264" s="10">
        <f>IF(履歴データ!$A$264="","",履歴データ!$A$264)</f>
        <v>45310</v>
      </c>
      <c r="B264" s="28">
        <f>IF(履歴データ!$A$264="","",(履歴データ!$D$264-(履歴データ!$B$264+履歴データ!$F$264)/2)*100)</f>
        <v>-22.499999999999964</v>
      </c>
      <c r="C264" s="28">
        <f>IF(履歴データ!$A$264="","",(履歴データ!$H$264-(履歴データ!$G$264+履歴データ!$J$264)/2)*100)</f>
        <v>-21.699999999999996</v>
      </c>
      <c r="D264" s="28">
        <f>IF(履歴データ!$A$264="","",(履歴データ!$D$264-履歴データ!$H$264)*100)</f>
        <v>347.90000000000003</v>
      </c>
      <c r="E264" s="28">
        <f>IF(履歴データ!$A$264="","",(履歴データ!$D$264-履歴データ!$C$264)*100)</f>
        <v>7.0000000000000284</v>
      </c>
      <c r="F264" s="28">
        <f>IF(履歴データ!$A$264="","",(履歴データ!$R$264-履歴データ!$D$264)*100)</f>
        <v>-223.22000000000006</v>
      </c>
      <c r="G264" s="28">
        <f>IF(履歴データ!$A$264="","",(履歴データ!$S$264-履歴データ!$R$264)*100)</f>
        <v>-142.7913571777346</v>
      </c>
      <c r="H264" s="29">
        <f>IF(履歴データ!$A$264="","",履歴データ!$O$264)</f>
        <v>148.12800598144531</v>
      </c>
      <c r="I264" s="29">
        <f>IF(履歴データ!$A$264="","",履歴データ!$Q$264)</f>
        <v>111.125</v>
      </c>
      <c r="J264" s="29">
        <f>IF(履歴データ!$A$264="","",履歴データ!$D$264)</f>
        <v>4.1500000000000004</v>
      </c>
      <c r="K264" s="28">
        <f>IF(OR(履歴データ!$A$264="",履歴データ!$A$263=""),"",B264-B263)</f>
        <v>-0.99999999999988987</v>
      </c>
      <c r="L264" s="28">
        <f>IF(OR(履歴データ!$A$264="",履歴データ!$A$263=""),"",C264-C263)</f>
        <v>-0.54999999999999361</v>
      </c>
      <c r="M264" s="28">
        <f>IF(OR(履歴データ!$A$264="",履歴データ!$A$263=""),"",D264-D263)</f>
        <v>-0.49999999999994316</v>
      </c>
      <c r="N264" s="28">
        <f>IF(OR(履歴データ!$A$264="",履歴データ!$A$263=""),"",E264-E263)</f>
        <v>-2.9999999999999361</v>
      </c>
      <c r="O264" s="28">
        <f>IF(OR(履歴データ!$A$264="",履歴データ!$A$263=""),"",F264-F263)</f>
        <v>1.6699999999999307</v>
      </c>
      <c r="P264" s="28">
        <f>IF(OR(履歴データ!$A$264="",履歴データ!$A$263=""),"",G264-G263)</f>
        <v>0.48728564453116974</v>
      </c>
      <c r="Q264" s="29">
        <f>IF(OR(履歴データ!$A$264="",履歴データ!$A$263=""),"",H264-H263)</f>
        <v>1.0009765625E-2</v>
      </c>
      <c r="R264" s="29">
        <f>IF(OR(履歴データ!$A$264="",履歴データ!$A$263=""),"",I264-I263)</f>
        <v>-7.8125E-2</v>
      </c>
      <c r="S264" s="28">
        <f>IF(OR(履歴データ!$A$264="",履歴データ!$A$263=""),"",(J264-J263)*100)</f>
        <v>1.0000000000000675</v>
      </c>
      <c r="T264" s="11">
        <f>IF(OR(履歴データ!$A$264="",履歴データ!$A$263=""),"",-80000*K264)</f>
        <v>79999.999999991196</v>
      </c>
      <c r="U264" s="11">
        <f>IF(OR(履歴データ!$A$264="",履歴データ!$A$263=""),"",60000*L264)</f>
        <v>-32999.999999999614</v>
      </c>
      <c r="V264" s="11">
        <f>IF(OR(履歴データ!$A$264="",履歴データ!$A$263=""),"",-50000*M264)</f>
        <v>24999.999999997159</v>
      </c>
      <c r="W264" s="11">
        <f>IF(OR(履歴データ!$A$264="",履歴データ!$A$263=""),"",-40000*N264)</f>
        <v>119999.99999999744</v>
      </c>
      <c r="X264" s="11">
        <f>IF(OR(履歴データ!$A$264="",履歴データ!$A$263=""),"",120*1000000*(-Q264/H263))</f>
        <v>-8109.5606589883391</v>
      </c>
      <c r="Y264" s="11">
        <f>IF(OR(履歴データ!$A$264="",履歴データ!$A$263=""),"",40000*(-S264)+(-506.3)*R264*1000)</f>
        <v>-445.31250000269938</v>
      </c>
      <c r="Z264" s="11">
        <f>IF(OR(履歴データ!$A$264="",履歴データ!$A$263=""),"",-40000*O264)</f>
        <v>-66799.999999997221</v>
      </c>
      <c r="AA264" s="11">
        <f>IF(OR(履歴データ!$A$264="",履歴データ!$A$263=""),"",-40000*P264)</f>
        <v>-19491.425781246791</v>
      </c>
      <c r="AB264" s="11">
        <f>IF(履歴データ!$A$264="","",123.3)</f>
        <v>123.3</v>
      </c>
      <c r="AC264">
        <f>IF(履歴データ!$A$264="","",SUM(T264:AA264))</f>
        <v>97153.701059751125</v>
      </c>
      <c r="AD264" s="29">
        <f>IF(履歴データ!$A$264="","",AC264/1000000)</f>
        <v>9.715370105975113E-2</v>
      </c>
      <c r="AE264" s="29">
        <f>IF(履歴データ!$A$264="",AE263,AE263+AC264/1000000)</f>
        <v>81.591833012685598</v>
      </c>
      <c r="AF264" s="12">
        <f>IF(OR(履歴データ!$A$264="",AE263=0),"",(AE264-AE263)/AE263)</f>
        <v>1.1921477804489407E-3</v>
      </c>
      <c r="AG264" s="29">
        <f t="shared" si="14"/>
        <v>102.17217746631495</v>
      </c>
      <c r="AH264" s="12">
        <f>IF(OR(履歴データ!$A$264="",AG264=0),"",AE264/AG264-1)</f>
        <v>-0.20142806940191194</v>
      </c>
      <c r="AJ264" s="28">
        <f t="shared" ca="1" si="12"/>
        <v>-18.051535832997104</v>
      </c>
      <c r="AK264" s="28">
        <f t="shared" ca="1" si="13"/>
        <v>-56.32148004001877</v>
      </c>
    </row>
    <row r="265" spans="1:37">
      <c r="A265" s="10">
        <f>IF(履歴データ!$A$265="","",履歴データ!$A$265)</f>
        <v>45313</v>
      </c>
      <c r="B265" s="28">
        <f>IF(履歴データ!$A$265="","",(履歴データ!$D$265-(履歴データ!$B$265+履歴データ!$F$265)/2)*100)</f>
        <v>-23.500000000000032</v>
      </c>
      <c r="C265" s="28">
        <f>IF(履歴データ!$A$265="","",(履歴データ!$H$265-(履歴データ!$G$265+履歴データ!$J$265)/2)*100)</f>
        <v>-22.599999999999998</v>
      </c>
      <c r="D265" s="28">
        <f>IF(履歴データ!$A$265="","",(履歴データ!$D$265-履歴データ!$H$265)*100)</f>
        <v>345.3</v>
      </c>
      <c r="E265" s="28">
        <f>IF(履歴データ!$A$265="","",(履歴データ!$D$265-履歴データ!$C$265)*100)</f>
        <v>8.0000000000000071</v>
      </c>
      <c r="F265" s="28">
        <f>IF(履歴データ!$A$265="","",(履歴データ!$R$265-履歴データ!$D$265)*100)</f>
        <v>-224.84000000000003</v>
      </c>
      <c r="G265" s="28">
        <f>IF(履歴データ!$A$265="","",(履歴データ!$S$265-履歴データ!$R$265)*100)</f>
        <v>-135.24200000000027</v>
      </c>
      <c r="H265" s="29">
        <f>IF(履歴データ!$A$265="","",履歴データ!$O$265)</f>
        <v>148.12100219726563</v>
      </c>
      <c r="I265" s="29">
        <f>IF(履歴データ!$A$265="","",履歴データ!$Q$265)</f>
        <v>111.5</v>
      </c>
      <c r="J265" s="29">
        <f>IF(履歴データ!$A$265="","",履歴データ!$D$265)</f>
        <v>4.1100000000000003</v>
      </c>
      <c r="K265" s="28">
        <f>IF(OR(履歴データ!$A$265="",履歴データ!$A$264=""),"",B265-B264)</f>
        <v>-1.0000000000000675</v>
      </c>
      <c r="L265" s="28">
        <f>IF(OR(履歴データ!$A$265="",履歴データ!$A$264=""),"",C265-C264)</f>
        <v>-0.90000000000000213</v>
      </c>
      <c r="M265" s="28">
        <f>IF(OR(履歴データ!$A$265="",履歴データ!$A$264=""),"",D265-D264)</f>
        <v>-2.6000000000000227</v>
      </c>
      <c r="N265" s="28">
        <f>IF(OR(履歴データ!$A$265="",履歴データ!$A$264=""),"",E265-E264)</f>
        <v>0.99999999999997868</v>
      </c>
      <c r="O265" s="28">
        <f>IF(OR(履歴データ!$A$265="",履歴データ!$A$264=""),"",F265-F264)</f>
        <v>-1.6199999999999761</v>
      </c>
      <c r="P265" s="28">
        <f>IF(OR(履歴データ!$A$265="",履歴データ!$A$264=""),"",G265-G264)</f>
        <v>7.549357177734322</v>
      </c>
      <c r="Q265" s="29">
        <f>IF(OR(履歴データ!$A$265="",履歴データ!$A$264=""),"",H265-H264)</f>
        <v>-7.0037841796875E-3</v>
      </c>
      <c r="R265" s="29">
        <f>IF(OR(履歴データ!$A$265="",履歴データ!$A$264=""),"",I265-I264)</f>
        <v>0.375</v>
      </c>
      <c r="S265" s="28">
        <f>IF(OR(履歴データ!$A$265="",履歴データ!$A$264=""),"",(J265-J264)*100)</f>
        <v>-4.0000000000000036</v>
      </c>
      <c r="T265" s="11">
        <f>IF(OR(履歴データ!$A$265="",履歴データ!$A$264=""),"",-80000*K265)</f>
        <v>80000.000000005399</v>
      </c>
      <c r="U265" s="11">
        <f>IF(OR(履歴データ!$A$265="",履歴データ!$A$264=""),"",60000*L265)</f>
        <v>-54000.000000000131</v>
      </c>
      <c r="V265" s="11">
        <f>IF(OR(履歴データ!$A$265="",履歴データ!$A$264=""),"",-50000*M265)</f>
        <v>130000.00000000114</v>
      </c>
      <c r="W265" s="11">
        <f>IF(OR(履歴データ!$A$265="",履歴データ!$A$264=""),"",-40000*N265)</f>
        <v>-39999.999999999149</v>
      </c>
      <c r="X265" s="11">
        <f>IF(OR(履歴データ!$A$265="",履歴データ!$A$264=""),"",120*1000000*(-Q265/H264))</f>
        <v>5673.8365982444693</v>
      </c>
      <c r="Y265" s="11">
        <f>IF(OR(履歴データ!$A$265="",履歴データ!$A$264=""),"",40000*(-S265)+(-506.3)*R265*1000)</f>
        <v>-29862.499999999854</v>
      </c>
      <c r="Z265" s="11">
        <f>IF(OR(履歴データ!$A$265="",履歴データ!$A$264=""),"",-40000*O265)</f>
        <v>64799.999999999047</v>
      </c>
      <c r="AA265" s="11">
        <f>IF(OR(履歴データ!$A$265="",履歴データ!$A$264=""),"",-40000*P265)</f>
        <v>-301974.2871093729</v>
      </c>
      <c r="AB265" s="11">
        <f>IF(履歴データ!$A$265="","",123.3)</f>
        <v>123.3</v>
      </c>
      <c r="AC265">
        <f>IF(履歴データ!$A$265="","",SUM(T265:AA265))</f>
        <v>-145362.95051112201</v>
      </c>
      <c r="AD265" s="29">
        <f>IF(履歴データ!$A$265="","",AC265/1000000)</f>
        <v>-0.145362950511122</v>
      </c>
      <c r="AE265" s="29">
        <f>IF(履歴データ!$A$265="",AE264,AE264+AC265/1000000)</f>
        <v>81.44647006217447</v>
      </c>
      <c r="AF265" s="12">
        <f>IF(OR(履歴データ!$A$265="",AE264=0),"",(AE265-AE264)/AE264)</f>
        <v>-1.781587018501319E-3</v>
      </c>
      <c r="AG265" s="29">
        <f t="shared" si="14"/>
        <v>102.17217746631495</v>
      </c>
      <c r="AH265" s="12">
        <f>IF(OR(履歴データ!$A$265="",AG265=0),"",AE265/AG265-1)</f>
        <v>-0.20285079478680501</v>
      </c>
      <c r="AJ265" s="28">
        <f t="shared" ca="1" si="12"/>
        <v>-17.912296804359304</v>
      </c>
      <c r="AK265" s="28">
        <f t="shared" ca="1" si="13"/>
        <v>-56.298020655958155</v>
      </c>
    </row>
    <row r="266" spans="1:37">
      <c r="A266" s="10">
        <f>IF(履歴データ!$A$266="","",履歴データ!$A$266)</f>
        <v>45314</v>
      </c>
      <c r="B266" s="28">
        <f>IF(履歴データ!$A$266="","",(履歴データ!$D$266-(履歴データ!$B$266+履歴データ!$F$266)/2)*100)</f>
        <v>-20.500000000000007</v>
      </c>
      <c r="C266" s="28">
        <f>IF(履歴データ!$A$266="","",(履歴データ!$H$266-(履歴データ!$G$266+履歴データ!$J$266)/2)*100)</f>
        <v>-22.549999999999994</v>
      </c>
      <c r="D266" s="28">
        <f>IF(履歴データ!$A$266="","",(履歴データ!$D$266-履歴データ!$H$266)*100)</f>
        <v>349.7</v>
      </c>
      <c r="E266" s="28">
        <f>IF(履歴データ!$A$266="","",(履歴データ!$D$266-履歴データ!$C$266)*100)</f>
        <v>8.0000000000000071</v>
      </c>
      <c r="F266" s="28">
        <f>IF(履歴データ!$A$266="","",(履歴データ!$R$266-履歴データ!$D$266)*100)</f>
        <v>-227.91999999999996</v>
      </c>
      <c r="G266" s="28">
        <f>IF(履歴データ!$A$266="","",(履歴データ!$S$266-履歴データ!$R$266)*100)</f>
        <v>-138.31917858886723</v>
      </c>
      <c r="H266" s="29">
        <f>IF(履歴データ!$A$266="","",履歴データ!$O$266)</f>
        <v>148.14199829101563</v>
      </c>
      <c r="I266" s="29">
        <f>IF(履歴データ!$A$266="","",履歴データ!$Q$266)</f>
        <v>111.21875</v>
      </c>
      <c r="J266" s="29">
        <f>IF(履歴データ!$A$266="","",履歴データ!$D$266)</f>
        <v>4.1399999999999997</v>
      </c>
      <c r="K266" s="28">
        <f>IF(OR(履歴データ!$A$266="",履歴データ!$A$265=""),"",B266-B265)</f>
        <v>3.0000000000000249</v>
      </c>
      <c r="L266" s="28">
        <f>IF(OR(履歴データ!$A$266="",履歴データ!$A$265=""),"",C266-C265)</f>
        <v>5.0000000000004263E-2</v>
      </c>
      <c r="M266" s="28">
        <f>IF(OR(履歴データ!$A$266="",履歴データ!$A$265=""),"",D266-D265)</f>
        <v>4.3999999999999773</v>
      </c>
      <c r="N266" s="28">
        <f>IF(OR(履歴データ!$A$266="",履歴データ!$A$265=""),"",E266-E265)</f>
        <v>0</v>
      </c>
      <c r="O266" s="28">
        <f>IF(OR(履歴データ!$A$266="",履歴データ!$A$265=""),"",F266-F265)</f>
        <v>-3.0799999999999272</v>
      </c>
      <c r="P266" s="28">
        <f>IF(OR(履歴データ!$A$266="",履歴データ!$A$265=""),"",G266-G265)</f>
        <v>-3.0771785888669569</v>
      </c>
      <c r="Q266" s="29">
        <f>IF(OR(履歴データ!$A$266="",履歴データ!$A$265=""),"",H266-H265)</f>
        <v>2.099609375E-2</v>
      </c>
      <c r="R266" s="29">
        <f>IF(OR(履歴データ!$A$266="",履歴データ!$A$265=""),"",I266-I265)</f>
        <v>-0.28125</v>
      </c>
      <c r="S266" s="28">
        <f>IF(OR(履歴データ!$A$266="",履歴データ!$A$265=""),"",(J266-J265)*100)</f>
        <v>2.9999999999999361</v>
      </c>
      <c r="T266" s="11">
        <f>IF(OR(履歴データ!$A$266="",履歴データ!$A$265=""),"",-80000*K266)</f>
        <v>-240000.00000000198</v>
      </c>
      <c r="U266" s="11">
        <f>IF(OR(履歴データ!$A$266="",履歴データ!$A$265=""),"",60000*L266)</f>
        <v>3000.0000000002556</v>
      </c>
      <c r="V266" s="11">
        <f>IF(OR(履歴データ!$A$266="",履歴データ!$A$265=""),"",-50000*M266)</f>
        <v>-219999.99999999886</v>
      </c>
      <c r="W266" s="11">
        <f>IF(OR(履歴データ!$A$266="",履歴データ!$A$265=""),"",-40000*N266)</f>
        <v>0</v>
      </c>
      <c r="X266" s="11">
        <f>IF(OR(履歴データ!$A$266="",履歴データ!$A$265=""),"",120*1000000*(-Q266/H265))</f>
        <v>-17009.952759059252</v>
      </c>
      <c r="Y266" s="11">
        <f>IF(OR(履歴データ!$A$266="",履歴データ!$A$265=""),"",40000*(-S266)+(-506.3)*R266*1000)</f>
        <v>22396.875000002561</v>
      </c>
      <c r="Z266" s="11">
        <f>IF(OR(履歴データ!$A$266="",履歴データ!$A$265=""),"",-40000*O266)</f>
        <v>123199.99999999709</v>
      </c>
      <c r="AA266" s="11">
        <f>IF(OR(履歴データ!$A$266="",履歴データ!$A$265=""),"",-40000*P266)</f>
        <v>123087.14355467827</v>
      </c>
      <c r="AB266" s="11">
        <f>IF(履歴データ!$A$266="","",123.3)</f>
        <v>123.3</v>
      </c>
      <c r="AC266">
        <f>IF(履歴データ!$A$266="","",SUM(T266:AA266))</f>
        <v>-205325.93420438192</v>
      </c>
      <c r="AD266" s="29">
        <f>IF(履歴データ!$A$266="","",AC266/1000000)</f>
        <v>-0.20532593420438192</v>
      </c>
      <c r="AE266" s="29">
        <f>IF(履歴データ!$A$266="",AE265,AE265+AC266/1000000)</f>
        <v>81.241144127970088</v>
      </c>
      <c r="AF266" s="12">
        <f>IF(OR(履歴データ!$A$266="",AE265=0),"",(AE266-AE265)/AE265)</f>
        <v>-2.5209924266532393E-3</v>
      </c>
      <c r="AG266" s="29">
        <f t="shared" si="14"/>
        <v>102.17217746631495</v>
      </c>
      <c r="AH266" s="12">
        <f>IF(OR(履歴データ!$A$266="",AG266=0),"",AE266/AG266-1)</f>
        <v>-0.20486040189606014</v>
      </c>
      <c r="AJ266" s="28">
        <f t="shared" ca="1" si="12"/>
        <v>-17.723494034369846</v>
      </c>
      <c r="AK266" s="28">
        <f t="shared" ca="1" si="13"/>
        <v>-56.316188505312695</v>
      </c>
    </row>
    <row r="267" spans="1:37">
      <c r="A267" s="10">
        <f>IF(履歴データ!$A$267="","",履歴データ!$A$267)</f>
        <v>45315</v>
      </c>
      <c r="B267" s="28">
        <f>IF(履歴データ!$A$267="","",(履歴データ!$D$267-(履歴データ!$B$267+履歴データ!$F$267)/2)*100)</f>
        <v>-19.500000000000028</v>
      </c>
      <c r="C267" s="28">
        <f>IF(履歴データ!$A$267="","",(履歴データ!$H$267-(履歴データ!$G$267+履歴データ!$J$267)/2)*100)</f>
        <v>-20.150000000000002</v>
      </c>
      <c r="D267" s="28">
        <f>IF(履歴データ!$A$267="","",(履歴データ!$D$267-履歴データ!$H$267)*100)</f>
        <v>345.9</v>
      </c>
      <c r="E267" s="28">
        <f>IF(履歴データ!$A$267="","",(履歴データ!$D$267-履歴データ!$C$267)*100)</f>
        <v>12.000000000000011</v>
      </c>
      <c r="F267" s="28">
        <f>IF(履歴データ!$A$267="","",(履歴データ!$R$267-履歴データ!$D$267)*100)</f>
        <v>-224.70999999999998</v>
      </c>
      <c r="G267" s="28">
        <f>IF(履歴データ!$A$267="","",(履歴データ!$S$267-履歴データ!$R$267)*100)</f>
        <v>-134.6543571777346</v>
      </c>
      <c r="H267" s="29">
        <f>IF(履歴データ!$A$267="","",履歴データ!$O$267)</f>
        <v>148.25100708007813</v>
      </c>
      <c r="I267" s="29">
        <f>IF(履歴データ!$A$267="","",履歴データ!$Q$267)</f>
        <v>110.96875</v>
      </c>
      <c r="J267" s="29">
        <f>IF(履歴データ!$A$267="","",履歴データ!$D$267)</f>
        <v>4.18</v>
      </c>
      <c r="K267" s="28">
        <f>IF(OR(履歴データ!$A$267="",履歴データ!$A$266=""),"",B267-B266)</f>
        <v>0.99999999999997868</v>
      </c>
      <c r="L267" s="28">
        <f>IF(OR(履歴データ!$A$267="",履歴データ!$A$266=""),"",C267-C266)</f>
        <v>2.3999999999999915</v>
      </c>
      <c r="M267" s="28">
        <f>IF(OR(履歴データ!$A$267="",履歴データ!$A$266=""),"",D267-D266)</f>
        <v>-3.8000000000000114</v>
      </c>
      <c r="N267" s="28">
        <f>IF(OR(履歴データ!$A$267="",履歴データ!$A$266=""),"",E267-E266)</f>
        <v>4.0000000000000036</v>
      </c>
      <c r="O267" s="28">
        <f>IF(OR(履歴データ!$A$267="",履歴データ!$A$266=""),"",F267-F266)</f>
        <v>3.2099999999999795</v>
      </c>
      <c r="P267" s="28">
        <f>IF(OR(履歴データ!$A$267="",履歴データ!$A$266=""),"",G267-G266)</f>
        <v>3.6648214111326354</v>
      </c>
      <c r="Q267" s="29">
        <f>IF(OR(履歴データ!$A$267="",履歴データ!$A$266=""),"",H267-H266)</f>
        <v>0.1090087890625</v>
      </c>
      <c r="R267" s="29">
        <f>IF(OR(履歴データ!$A$267="",履歴データ!$A$266=""),"",I267-I266)</f>
        <v>-0.25</v>
      </c>
      <c r="S267" s="28">
        <f>IF(OR(履歴データ!$A$267="",履歴データ!$A$266=""),"",(J267-J266)*100)</f>
        <v>4.0000000000000036</v>
      </c>
      <c r="T267" s="11">
        <f>IF(OR(履歴データ!$A$267="",履歴データ!$A$266=""),"",-80000*K267)</f>
        <v>-79999.999999998297</v>
      </c>
      <c r="U267" s="11">
        <f>IF(OR(履歴データ!$A$267="",履歴データ!$A$266=""),"",60000*L267)</f>
        <v>143999.99999999948</v>
      </c>
      <c r="V267" s="11">
        <f>IF(OR(履歴データ!$A$267="",履歴データ!$A$266=""),"",-50000*M267)</f>
        <v>190000.00000000058</v>
      </c>
      <c r="W267" s="11">
        <f>IF(OR(履歴データ!$A$267="",履歴データ!$A$266=""),"",-40000*N267)</f>
        <v>-160000.00000000015</v>
      </c>
      <c r="X267" s="11">
        <f>IF(OR(履歴データ!$A$267="",履歴データ!$A$266=""),"",120*1000000*(-Q267/H266))</f>
        <v>-88300.784641794089</v>
      </c>
      <c r="Y267" s="11">
        <f>IF(OR(履歴データ!$A$267="",履歴データ!$A$266=""),"",40000*(-S267)+(-506.3)*R267*1000)</f>
        <v>-33425.000000000146</v>
      </c>
      <c r="Z267" s="11">
        <f>IF(OR(履歴データ!$A$267="",履歴データ!$A$266=""),"",-40000*O267)</f>
        <v>-128399.99999999919</v>
      </c>
      <c r="AA267" s="11">
        <f>IF(OR(履歴データ!$A$267="",履歴データ!$A$266=""),"",-40000*P267)</f>
        <v>-146592.85644530543</v>
      </c>
      <c r="AB267" s="11">
        <f>IF(履歴データ!$A$267="","",123.3)</f>
        <v>123.3</v>
      </c>
      <c r="AC267">
        <f>IF(履歴データ!$A$267="","",SUM(T267:AA267))</f>
        <v>-302718.64108709723</v>
      </c>
      <c r="AD267" s="29">
        <f>IF(履歴データ!$A$267="","",AC267/1000000)</f>
        <v>-0.30271864108709723</v>
      </c>
      <c r="AE267" s="29">
        <f>IF(履歴データ!$A$267="",AE266,AE266+AC267/1000000)</f>
        <v>80.938425486882991</v>
      </c>
      <c r="AF267" s="12">
        <f>IF(OR(履歴データ!$A$267="",AE266=0),"",(AE267-AE266)/AE266)</f>
        <v>-3.7261740259376206E-3</v>
      </c>
      <c r="AG267" s="29">
        <f t="shared" si="14"/>
        <v>102.17217746631495</v>
      </c>
      <c r="AH267" s="12">
        <f>IF(OR(履歴データ!$A$267="",AG267=0),"",AE267/AG267-1)</f>
        <v>-0.20782323041350947</v>
      </c>
      <c r="AJ267" s="28">
        <f t="shared" ca="1" si="12"/>
        <v>-17.519482238401412</v>
      </c>
      <c r="AK267" s="28">
        <f t="shared" ca="1" si="13"/>
        <v>-56.333692364773199</v>
      </c>
    </row>
    <row r="268" spans="1:37">
      <c r="A268" s="10">
        <f>IF(履歴データ!$A$268="","",履歴データ!$A$268)</f>
        <v>45316</v>
      </c>
      <c r="B268" s="28">
        <f>IF(履歴データ!$A$268="","",(履歴データ!$D$268-(履歴データ!$B$268+履歴データ!$F$268)/2)*100)</f>
        <v>-19.000000000000039</v>
      </c>
      <c r="C268" s="28">
        <f>IF(履歴データ!$A$268="","",(履歴データ!$H$268-(履歴データ!$G$268+履歴データ!$J$268)/2)*100)</f>
        <v>-18.099999999999994</v>
      </c>
      <c r="D268" s="28">
        <f>IF(履歴データ!$A$268="","",(履歴データ!$D$268-履歴データ!$H$268)*100)</f>
        <v>338.99999999999994</v>
      </c>
      <c r="E268" s="28">
        <f>IF(履歴データ!$A$268="","",(履歴データ!$D$268-履歴データ!$C$268)*100)</f>
        <v>12.999999999999989</v>
      </c>
      <c r="F268" s="28">
        <f>IF(履歴データ!$A$268="","",(履歴データ!$R$268-履歴データ!$D$268)*100)</f>
        <v>-220.45999999999998</v>
      </c>
      <c r="G268" s="28">
        <f>IF(履歴データ!$A$268="","",(履歴データ!$S$268-履歴データ!$R$268)*100)</f>
        <v>-133.32582141113306</v>
      </c>
      <c r="H268" s="29">
        <f>IF(履歴データ!$A$268="","",履歴データ!$O$268)</f>
        <v>147.59100341796875</v>
      </c>
      <c r="I268" s="29">
        <f>IF(履歴データ!$A$268="","",履歴データ!$Q$268)</f>
        <v>111.3125</v>
      </c>
      <c r="J268" s="29">
        <f>IF(履歴データ!$A$268="","",履歴データ!$D$268)</f>
        <v>4.1399999999999997</v>
      </c>
      <c r="K268" s="28">
        <f>IF(OR(履歴データ!$A$268="",履歴データ!$A$267=""),"",B268-B267)</f>
        <v>0.49999999999998934</v>
      </c>
      <c r="L268" s="28">
        <f>IF(OR(履歴データ!$A$268="",履歴データ!$A$267=""),"",C268-C267)</f>
        <v>2.0500000000000078</v>
      </c>
      <c r="M268" s="28">
        <f>IF(OR(履歴データ!$A$268="",履歴データ!$A$267=""),"",D268-D267)</f>
        <v>-6.9000000000000341</v>
      </c>
      <c r="N268" s="28">
        <f>IF(OR(履歴データ!$A$268="",履歴データ!$A$267=""),"",E268-E267)</f>
        <v>0.99999999999997868</v>
      </c>
      <c r="O268" s="28">
        <f>IF(OR(履歴データ!$A$268="",履歴データ!$A$267=""),"",F268-F267)</f>
        <v>4.25</v>
      </c>
      <c r="P268" s="28">
        <f>IF(OR(履歴データ!$A$268="",履歴データ!$A$267=""),"",G268-G267)</f>
        <v>1.3285357666015329</v>
      </c>
      <c r="Q268" s="29">
        <f>IF(OR(履歴データ!$A$268="",履歴データ!$A$267=""),"",H268-H267)</f>
        <v>-0.660003662109375</v>
      </c>
      <c r="R268" s="29">
        <f>IF(OR(履歴データ!$A$268="",履歴データ!$A$267=""),"",I268-I267)</f>
        <v>0.34375</v>
      </c>
      <c r="S268" s="28">
        <f>IF(OR(履歴データ!$A$268="",履歴データ!$A$267=""),"",(J268-J267)*100)</f>
        <v>-4.0000000000000036</v>
      </c>
      <c r="T268" s="11">
        <f>IF(OR(履歴データ!$A$268="",履歴データ!$A$267=""),"",-80000*K268)</f>
        <v>-39999.999999999149</v>
      </c>
      <c r="U268" s="11">
        <f>IF(OR(履歴データ!$A$268="",履歴データ!$A$267=""),"",60000*L268)</f>
        <v>123000.00000000047</v>
      </c>
      <c r="V268" s="11">
        <f>IF(OR(履歴データ!$A$268="",履歴データ!$A$267=""),"",-50000*M268)</f>
        <v>345000.00000000169</v>
      </c>
      <c r="W268" s="11">
        <f>IF(OR(履歴データ!$A$268="",履歴データ!$A$267=""),"",-40000*N268)</f>
        <v>-39999.999999999149</v>
      </c>
      <c r="X268" s="11">
        <f>IF(OR(履歴データ!$A$268="",履歴データ!$A$267=""),"",120*1000000*(-Q268/H267))</f>
        <v>534232.05017652723</v>
      </c>
      <c r="Y268" s="11">
        <f>IF(OR(履歴データ!$A$268="",履歴データ!$A$267=""),"",40000*(-S268)+(-506.3)*R268*1000)</f>
        <v>-14040.624999999854</v>
      </c>
      <c r="Z268" s="11">
        <f>IF(OR(履歴データ!$A$268="",履歴データ!$A$267=""),"",-40000*O268)</f>
        <v>-170000</v>
      </c>
      <c r="AA268" s="11">
        <f>IF(OR(履歴データ!$A$268="",履歴データ!$A$267=""),"",-40000*P268)</f>
        <v>-53141.430664061321</v>
      </c>
      <c r="AB268" s="11">
        <f>IF(履歴データ!$A$268="","",123.3)</f>
        <v>123.3</v>
      </c>
      <c r="AC268">
        <f>IF(履歴データ!$A$268="","",SUM(T268:AA268))</f>
        <v>685049.99451246986</v>
      </c>
      <c r="AD268" s="29">
        <f>IF(履歴データ!$A$268="","",AC268/1000000)</f>
        <v>0.68504999451246984</v>
      </c>
      <c r="AE268" s="29">
        <f>IF(履歴データ!$A$268="",AE267,AE267+AC268/1000000)</f>
        <v>81.623475481395459</v>
      </c>
      <c r="AF268" s="12">
        <f>IF(OR(履歴データ!$A$268="",AE267=0),"",(AE268-AE267)/AE267)</f>
        <v>8.463841375608282E-3</v>
      </c>
      <c r="AG268" s="29">
        <f t="shared" si="14"/>
        <v>102.17217746631495</v>
      </c>
      <c r="AH268" s="12">
        <f>IF(OR(履歴データ!$A$268="",AG268=0),"",AE268/AG268-1)</f>
        <v>-0.20111837189428772</v>
      </c>
      <c r="AJ268" s="28">
        <f t="shared" ca="1" si="12"/>
        <v>-17.308233282160316</v>
      </c>
      <c r="AK268" s="28">
        <f t="shared" ca="1" si="13"/>
        <v>-56.370338146411115</v>
      </c>
    </row>
    <row r="269" spans="1:37">
      <c r="A269" s="10">
        <f>IF(履歴データ!$A$269="","",履歴データ!$A$269)</f>
        <v>45317</v>
      </c>
      <c r="B269" s="28">
        <f>IF(履歴データ!$A$269="","",(履歴データ!$D$269-(履歴データ!$B$269+履歴データ!$F$269)/2)*100)</f>
        <v>-20.999999999999908</v>
      </c>
      <c r="C269" s="28">
        <f>IF(履歴データ!$A$269="","",(履歴データ!$H$269-(履歴データ!$G$269+履歴データ!$J$269)/2)*100)</f>
        <v>-19.600000000000005</v>
      </c>
      <c r="D269" s="28">
        <f>IF(履歴データ!$A$269="","",(履歴データ!$D$269-履歴データ!$H$269)*100)</f>
        <v>342.90000000000003</v>
      </c>
      <c r="E269" s="28">
        <f>IF(履歴データ!$A$269="","",(履歴データ!$D$269-履歴データ!$C$269)*100)</f>
        <v>11.000000000000032</v>
      </c>
      <c r="F269" s="28">
        <f>IF(履歴データ!$A$269="","",(履歴データ!$R$269-履歴データ!$D$269)*100)</f>
        <v>-226.19000000000005</v>
      </c>
      <c r="G269" s="28">
        <f>IF(履歴データ!$A$269="","",(履歴データ!$S$269-履歴データ!$R$269)*100)</f>
        <v>-131.05135717773442</v>
      </c>
      <c r="H269" s="29">
        <f>IF(履歴データ!$A$269="","",履歴データ!$O$269)</f>
        <v>147.72300720214844</v>
      </c>
      <c r="I269" s="29">
        <f>IF(履歴データ!$A$269="","",履歴データ!$Q$269)</f>
        <v>111.03125</v>
      </c>
      <c r="J269" s="29">
        <f>IF(履歴データ!$A$269="","",履歴データ!$D$269)</f>
        <v>4.1500000000000004</v>
      </c>
      <c r="K269" s="28">
        <f>IF(OR(履歴データ!$A$269="",履歴データ!$A$268=""),"",B269-B268)</f>
        <v>-1.9999999999998685</v>
      </c>
      <c r="L269" s="28">
        <f>IF(OR(履歴データ!$A$269="",履歴データ!$A$268=""),"",C269-C268)</f>
        <v>-1.5000000000000107</v>
      </c>
      <c r="M269" s="28">
        <f>IF(OR(履歴データ!$A$269="",履歴データ!$A$268=""),"",D269-D268)</f>
        <v>3.9000000000000909</v>
      </c>
      <c r="N269" s="28">
        <f>IF(OR(履歴データ!$A$269="",履歴データ!$A$268=""),"",E269-E268)</f>
        <v>-1.9999999999999574</v>
      </c>
      <c r="O269" s="28">
        <f>IF(OR(履歴データ!$A$269="",履歴データ!$A$268=""),"",F269-F268)</f>
        <v>-5.730000000000075</v>
      </c>
      <c r="P269" s="28">
        <f>IF(OR(履歴データ!$A$269="",履歴データ!$A$268=""),"",G269-G268)</f>
        <v>2.2744642333986462</v>
      </c>
      <c r="Q269" s="29">
        <f>IF(OR(履歴データ!$A$269="",履歴データ!$A$268=""),"",H269-H268)</f>
        <v>0.1320037841796875</v>
      </c>
      <c r="R269" s="29">
        <f>IF(OR(履歴データ!$A$269="",履歴データ!$A$268=""),"",I269-I268)</f>
        <v>-0.28125</v>
      </c>
      <c r="S269" s="28">
        <f>IF(OR(履歴データ!$A$269="",履歴データ!$A$268=""),"",(J269-J268)*100)</f>
        <v>1.0000000000000675</v>
      </c>
      <c r="T269" s="11">
        <f>IF(OR(履歴データ!$A$269="",履歴データ!$A$268=""),"",-80000*K269)</f>
        <v>159999.99999998949</v>
      </c>
      <c r="U269" s="11">
        <f>IF(OR(履歴データ!$A$269="",履歴データ!$A$268=""),"",60000*L269)</f>
        <v>-90000.00000000064</v>
      </c>
      <c r="V269" s="11">
        <f>IF(OR(履歴データ!$A$269="",履歴データ!$A$268=""),"",-50000*M269)</f>
        <v>-195000.00000000454</v>
      </c>
      <c r="W269" s="11">
        <f>IF(OR(履歴データ!$A$269="",履歴データ!$A$268=""),"",-40000*N269)</f>
        <v>79999.999999998297</v>
      </c>
      <c r="X269" s="11">
        <f>IF(OR(履歴データ!$A$269="",履歴データ!$A$268=""),"",120*1000000*(-Q269/H268))</f>
        <v>-107326.69156468364</v>
      </c>
      <c r="Y269" s="11">
        <f>IF(OR(履歴データ!$A$269="",履歴データ!$A$268=""),"",40000*(-S269)+(-506.3)*R269*1000)</f>
        <v>102396.87499999729</v>
      </c>
      <c r="Z269" s="11">
        <f>IF(OR(履歴データ!$A$269="",履歴データ!$A$268=""),"",-40000*O269)</f>
        <v>229200.000000003</v>
      </c>
      <c r="AA269" s="11">
        <f>IF(OR(履歴データ!$A$269="",履歴データ!$A$268=""),"",-40000*P269)</f>
        <v>-90978.569335945853</v>
      </c>
      <c r="AB269" s="11">
        <f>IF(履歴データ!$A$269="","",123.3)</f>
        <v>123.3</v>
      </c>
      <c r="AC269">
        <f>IF(履歴データ!$A$269="","",SUM(T269:AA269))</f>
        <v>88291.614099353406</v>
      </c>
      <c r="AD269" s="29">
        <f>IF(履歴データ!$A$269="","",AC269/1000000)</f>
        <v>8.8291614099353405E-2</v>
      </c>
      <c r="AE269" s="29">
        <f>IF(履歴データ!$A$269="",AE268,AE268+AC269/1000000)</f>
        <v>81.711767095494807</v>
      </c>
      <c r="AF269" s="12">
        <f>IF(OR(履歴データ!$A$269="",AE268=0),"",(AE269-AE268)/AE268)</f>
        <v>1.0816938825334837E-3</v>
      </c>
      <c r="AG269" s="29">
        <f t="shared" si="14"/>
        <v>102.17217746631495</v>
      </c>
      <c r="AH269" s="12">
        <f>IF(OR(履歴データ!$A$269="",AG269=0),"",AE269/AG269-1)</f>
        <v>-0.20025422652429736</v>
      </c>
      <c r="AJ269" s="28">
        <f t="shared" ca="1" si="12"/>
        <v>-17.134817906801754</v>
      </c>
      <c r="AK269" s="28">
        <f t="shared" ca="1" si="13"/>
        <v>-56.388991617007761</v>
      </c>
    </row>
    <row r="270" spans="1:37">
      <c r="A270" s="10">
        <f>IF(履歴データ!$A$270="","",履歴データ!$A$270)</f>
        <v>45320</v>
      </c>
      <c r="B270" s="28">
        <f>IF(履歴データ!$A$270="","",(履歴データ!$D$270-(履歴データ!$B$270+履歴データ!$F$270)/2)*100)</f>
        <v>-21.999999999999975</v>
      </c>
      <c r="C270" s="28">
        <f>IF(履歴データ!$A$270="","",(履歴データ!$H$270-(履歴データ!$G$270+履歴データ!$J$270)/2)*100)</f>
        <v>-20.399999999999995</v>
      </c>
      <c r="D270" s="28">
        <f>IF(履歴データ!$A$270="","",(履歴データ!$D$270-履歴データ!$H$270)*100)</f>
        <v>335.3</v>
      </c>
      <c r="E270" s="28">
        <f>IF(履歴データ!$A$270="","",(履歴データ!$D$270-履歴データ!$C$270)*100)</f>
        <v>10.999999999999988</v>
      </c>
      <c r="F270" s="28">
        <f>IF(履歴データ!$A$270="","",(履歴データ!$R$270-履歴データ!$D$270)*100)</f>
        <v>-219.83</v>
      </c>
      <c r="G270" s="28">
        <f>IF(履歴データ!$A$270="","",(履歴データ!$S$270-履歴データ!$R$270)*100)</f>
        <v>-129.18364282226568</v>
      </c>
      <c r="H270" s="29">
        <f>IF(履歴データ!$A$270="","",履歴データ!$O$270)</f>
        <v>148.13999938964844</v>
      </c>
      <c r="I270" s="29">
        <f>IF(履歴データ!$A$270="","",履歴データ!$Q$270)</f>
        <v>111.515625</v>
      </c>
      <c r="J270" s="29">
        <f>IF(履歴データ!$A$270="","",履歴データ!$D$270)</f>
        <v>4.08</v>
      </c>
      <c r="K270" s="28">
        <f>IF(OR(履歴データ!$A$270="",履歴データ!$A$269=""),"",B270-B269)</f>
        <v>-1.0000000000000675</v>
      </c>
      <c r="L270" s="28">
        <f>IF(OR(履歴データ!$A$270="",履歴データ!$A$269=""),"",C270-C269)</f>
        <v>-0.79999999999999005</v>
      </c>
      <c r="M270" s="28">
        <f>IF(OR(履歴データ!$A$270="",履歴データ!$A$269=""),"",D270-D269)</f>
        <v>-7.6000000000000227</v>
      </c>
      <c r="N270" s="28">
        <f>IF(OR(履歴データ!$A$270="",履歴データ!$A$269=""),"",E270-E269)</f>
        <v>-4.4408920985006262E-14</v>
      </c>
      <c r="O270" s="28">
        <f>IF(OR(履歴データ!$A$270="",履歴データ!$A$269=""),"",F270-F269)</f>
        <v>6.3600000000000421</v>
      </c>
      <c r="P270" s="28">
        <f>IF(OR(履歴データ!$A$270="",履歴データ!$A$269=""),"",G270-G269)</f>
        <v>1.8677143554687348</v>
      </c>
      <c r="Q270" s="29">
        <f>IF(OR(履歴データ!$A$270="",履歴データ!$A$269=""),"",H270-H269)</f>
        <v>0.4169921875</v>
      </c>
      <c r="R270" s="29">
        <f>IF(OR(履歴データ!$A$270="",履歴データ!$A$269=""),"",I270-I269)</f>
        <v>0.484375</v>
      </c>
      <c r="S270" s="28">
        <f>IF(OR(履歴データ!$A$270="",履歴データ!$A$269=""),"",(J270-J269)*100)</f>
        <v>-7.0000000000000284</v>
      </c>
      <c r="T270" s="11">
        <f>IF(OR(履歴データ!$A$270="",履歴データ!$A$269=""),"",-80000*K270)</f>
        <v>80000.000000005399</v>
      </c>
      <c r="U270" s="11">
        <f>IF(OR(履歴データ!$A$270="",履歴データ!$A$269=""),"",60000*L270)</f>
        <v>-47999.999999999403</v>
      </c>
      <c r="V270" s="11">
        <f>IF(OR(履歴データ!$A$270="",履歴データ!$A$269=""),"",-50000*M270)</f>
        <v>380000.00000000116</v>
      </c>
      <c r="W270" s="11">
        <f>IF(OR(履歴データ!$A$270="",履歴データ!$A$269=""),"",-40000*N270)</f>
        <v>1.7763568394002505E-9</v>
      </c>
      <c r="X270" s="11">
        <f>IF(OR(履歴データ!$A$270="",履歴データ!$A$269=""),"",120*1000000*(-Q270/H269))</f>
        <v>-338735.74230400752</v>
      </c>
      <c r="Y270" s="11">
        <f>IF(OR(履歴データ!$A$270="",履歴データ!$A$269=""),"",40000*(-S270)+(-506.3)*R270*1000)</f>
        <v>34760.937500001135</v>
      </c>
      <c r="Z270" s="11">
        <f>IF(OR(履歴データ!$A$270="",履歴データ!$A$269=""),"",-40000*O270)</f>
        <v>-254400.00000000169</v>
      </c>
      <c r="AA270" s="11">
        <f>IF(OR(履歴データ!$A$270="",履歴データ!$A$269=""),"",-40000*P270)</f>
        <v>-74708.574218749389</v>
      </c>
      <c r="AB270" s="11">
        <f>IF(履歴データ!$A$270="","",123.3)</f>
        <v>123.3</v>
      </c>
      <c r="AC270">
        <f>IF(履歴データ!$A$270="","",SUM(T270:AA270))</f>
        <v>-221083.3790227485</v>
      </c>
      <c r="AD270" s="29">
        <f>IF(履歴データ!$A$270="","",AC270/1000000)</f>
        <v>-0.22108337902274849</v>
      </c>
      <c r="AE270" s="29">
        <f>IF(履歴データ!$A$270="",AE269,AE269+AC270/1000000)</f>
        <v>81.490683716472063</v>
      </c>
      <c r="AF270" s="12">
        <f>IF(OR(履歴データ!$A$270="",AE269=0),"",(AE270-AE269)/AE269)</f>
        <v>-2.705649221419585E-3</v>
      </c>
      <c r="AG270" s="29">
        <f t="shared" si="14"/>
        <v>102.17217746631495</v>
      </c>
      <c r="AH270" s="12">
        <f>IF(OR(履歴データ!$A$270="",AG270=0),"",AE270/AG270-1)</f>
        <v>-0.20241805805363544</v>
      </c>
      <c r="AJ270" s="28">
        <f t="shared" ca="1" si="12"/>
        <v>-16.979333221403074</v>
      </c>
      <c r="AK270" s="28">
        <f t="shared" ca="1" si="13"/>
        <v>-56.397650905581052</v>
      </c>
    </row>
    <row r="271" spans="1:37">
      <c r="A271" s="10">
        <f>IF(履歴データ!$A$271="","",履歴データ!$A$271)</f>
        <v>45321</v>
      </c>
      <c r="B271" s="28">
        <f>IF(履歴データ!$A$271="","",(履歴データ!$D$271-(履歴データ!$B$271+履歴データ!$F$271)/2)*100)</f>
        <v>-26.000000000000068</v>
      </c>
      <c r="C271" s="28">
        <f>IF(履歴データ!$A$271="","",(履歴データ!$H$271-(履歴データ!$G$271+履歴データ!$J$271)/2)*100)</f>
        <v>-21.000000000000007</v>
      </c>
      <c r="D271" s="28">
        <f>IF(履歴データ!$A$271="","",(履歴データ!$D$271-履歴データ!$H$271)*100)</f>
        <v>334.59999999999997</v>
      </c>
      <c r="E271" s="28">
        <f>IF(履歴データ!$A$271="","",(履歴データ!$D$271-履歴データ!$C$271)*100)</f>
        <v>5.9999999999999609</v>
      </c>
      <c r="F271" s="28">
        <f>IF(履歴データ!$A$271="","",(履歴データ!$R$271-履歴データ!$D$271)*100)</f>
        <v>-222.66999999999996</v>
      </c>
      <c r="G271" s="28">
        <f>IF(履歴データ!$A$271="","",(履歴データ!$S$271-履歴データ!$R$271)*100)</f>
        <v>-125.92217858886721</v>
      </c>
      <c r="H271" s="29">
        <f>IF(履歴データ!$A$271="","",履歴データ!$O$271)</f>
        <v>147.46800231933594</v>
      </c>
      <c r="I271" s="29">
        <f>IF(履歴データ!$A$271="","",履歴データ!$Q$271)</f>
        <v>111.625</v>
      </c>
      <c r="J271" s="29">
        <f>IF(履歴データ!$A$271="","",履歴データ!$D$271)</f>
        <v>4.0599999999999996</v>
      </c>
      <c r="K271" s="28">
        <f>IF(OR(履歴データ!$A$271="",履歴データ!$A$270=""),"",B271-B270)</f>
        <v>-4.0000000000000924</v>
      </c>
      <c r="L271" s="28">
        <f>IF(OR(履歴データ!$A$271="",履歴データ!$A$270=""),"",C271-C270)</f>
        <v>-0.60000000000001208</v>
      </c>
      <c r="M271" s="28">
        <f>IF(OR(履歴データ!$A$271="",履歴データ!$A$270=""),"",D271-D270)</f>
        <v>-0.70000000000004547</v>
      </c>
      <c r="N271" s="28">
        <f>IF(OR(履歴データ!$A$271="",履歴データ!$A$270=""),"",E271-E270)</f>
        <v>-5.0000000000000266</v>
      </c>
      <c r="O271" s="28">
        <f>IF(OR(履歴データ!$A$271="",履歴データ!$A$270=""),"",F271-F270)</f>
        <v>-2.8399999999999466</v>
      </c>
      <c r="P271" s="28">
        <f>IF(OR(履歴データ!$A$271="",履歴データ!$A$270=""),"",G271-G270)</f>
        <v>3.2614642333984705</v>
      </c>
      <c r="Q271" s="29">
        <f>IF(OR(履歴データ!$A$271="",履歴データ!$A$270=""),"",H271-H270)</f>
        <v>-0.6719970703125</v>
      </c>
      <c r="R271" s="29">
        <f>IF(OR(履歴データ!$A$271="",履歴データ!$A$270=""),"",I271-I270)</f>
        <v>0.109375</v>
      </c>
      <c r="S271" s="28">
        <f>IF(OR(履歴データ!$A$271="",履歴データ!$A$270=""),"",(J271-J270)*100)</f>
        <v>-2.0000000000000462</v>
      </c>
      <c r="T271" s="11">
        <f>IF(OR(履歴データ!$A$271="",履歴データ!$A$270=""),"",-80000*K271)</f>
        <v>320000.00000000739</v>
      </c>
      <c r="U271" s="11">
        <f>IF(OR(履歴データ!$A$271="",履歴データ!$A$270=""),"",60000*L271)</f>
        <v>-36000.000000000728</v>
      </c>
      <c r="V271" s="11">
        <f>IF(OR(履歴データ!$A$271="",履歴データ!$A$270=""),"",-50000*M271)</f>
        <v>35000.00000000227</v>
      </c>
      <c r="W271" s="11">
        <f>IF(OR(履歴データ!$A$271="",履歴データ!$A$270=""),"",-40000*N271)</f>
        <v>200000.00000000108</v>
      </c>
      <c r="X271" s="11">
        <f>IF(OR(履歴データ!$A$271="",履歴データ!$A$270=""),"",120*1000000*(-Q271/H270))</f>
        <v>544347.56831202505</v>
      </c>
      <c r="Y271" s="11">
        <f>IF(OR(履歴データ!$A$271="",履歴データ!$A$270=""),"",40000*(-S271)+(-506.3)*R271*1000)</f>
        <v>24623.437500001848</v>
      </c>
      <c r="Z271" s="11">
        <f>IF(OR(履歴データ!$A$271="",履歴データ!$A$270=""),"",-40000*O271)</f>
        <v>113599.99999999786</v>
      </c>
      <c r="AA271" s="11">
        <f>IF(OR(履歴データ!$A$271="",履歴データ!$A$270=""),"",-40000*P271)</f>
        <v>-130458.56933593882</v>
      </c>
      <c r="AB271" s="11">
        <f>IF(履歴データ!$A$271="","",123.3)</f>
        <v>123.3</v>
      </c>
      <c r="AC271">
        <f>IF(履歴データ!$A$271="","",SUM(T271:AA271))</f>
        <v>1071112.4364760958</v>
      </c>
      <c r="AD271" s="29">
        <f>IF(履歴データ!$A$271="","",AC271/1000000)</f>
        <v>1.0711124364760958</v>
      </c>
      <c r="AE271" s="29">
        <f>IF(履歴データ!$A$271="",AE270,AE270+AC271/1000000)</f>
        <v>82.561796152948162</v>
      </c>
      <c r="AF271" s="12">
        <f>IF(OR(履歴データ!$A$271="",AE270=0),"",(AE271-AE270)/AE270)</f>
        <v>1.314398637521298E-2</v>
      </c>
      <c r="AG271" s="29">
        <f t="shared" si="14"/>
        <v>102.17217746631495</v>
      </c>
      <c r="AH271" s="12">
        <f>IF(OR(履歴データ!$A$271="",AG271=0),"",AE271/AG271-1)</f>
        <v>-0.19193465187557657</v>
      </c>
      <c r="AJ271" s="28">
        <f t="shared" ca="1" si="12"/>
        <v>-16.883108897589352</v>
      </c>
      <c r="AK271" s="28">
        <f t="shared" ca="1" si="13"/>
        <v>-56.386732372251899</v>
      </c>
    </row>
    <row r="272" spans="1:37">
      <c r="A272" s="10">
        <f>IF(履歴データ!$A$272="","",履歴データ!$A$272)</f>
        <v>45322</v>
      </c>
      <c r="B272" s="28">
        <f>IF(履歴データ!$A$272="","",(履歴データ!$D$272-(履歴データ!$B$272+履歴データ!$F$272)/2)*100)</f>
        <v>-25.499999999999901</v>
      </c>
      <c r="C272" s="28">
        <f>IF(履歴データ!$A$272="","",(履歴データ!$H$272-(履歴データ!$G$272+履歴データ!$J$272)/2)*100)</f>
        <v>-20.500000000000007</v>
      </c>
      <c r="D272" s="28">
        <f>IF(履歴データ!$A$272="","",(履歴データ!$D$272-履歴データ!$H$272)*100)</f>
        <v>325.3</v>
      </c>
      <c r="E272" s="28">
        <f>IF(履歴データ!$A$272="","",(履歴データ!$D$272-履歴データ!$C$272)*100)</f>
        <v>8.0000000000000071</v>
      </c>
      <c r="F272" s="28">
        <f>IF(履歴データ!$A$272="","",(履歴データ!$R$272-履歴データ!$D$272)*100)</f>
        <v>-215.67000000000002</v>
      </c>
      <c r="G272" s="28">
        <f>IF(履歴データ!$A$272="","",(履歴データ!$S$272-履歴データ!$R$272)*100)</f>
        <v>-125.57135717773443</v>
      </c>
      <c r="H272" s="29">
        <f>IF(履歴データ!$A$272="","",履歴データ!$O$272)</f>
        <v>147.36900329589844</v>
      </c>
      <c r="I272" s="29">
        <f>IF(履歴データ!$A$272="","",履歴データ!$Q$272)</f>
        <v>112.328125</v>
      </c>
      <c r="J272" s="29">
        <f>IF(履歴データ!$A$272="","",履歴データ!$D$272)</f>
        <v>3.99</v>
      </c>
      <c r="K272" s="28">
        <f>IF(OR(履歴データ!$A$272="",履歴データ!$A$271=""),"",B272-B271)</f>
        <v>0.50000000000016698</v>
      </c>
      <c r="L272" s="28">
        <f>IF(OR(履歴データ!$A$272="",履歴データ!$A$271=""),"",C272-C271)</f>
        <v>0.5</v>
      </c>
      <c r="M272" s="28">
        <f>IF(OR(履歴データ!$A$272="",履歴データ!$A$271=""),"",D272-D271)</f>
        <v>-9.2999999999999545</v>
      </c>
      <c r="N272" s="28">
        <f>IF(OR(履歴データ!$A$272="",履歴データ!$A$271=""),"",E272-E271)</f>
        <v>2.0000000000000462</v>
      </c>
      <c r="O272" s="28">
        <f>IF(OR(履歴データ!$A$272="",履歴データ!$A$271=""),"",F272-F271)</f>
        <v>6.9999999999999432</v>
      </c>
      <c r="P272" s="28">
        <f>IF(OR(履歴データ!$A$272="",履歴データ!$A$271=""),"",G272-G271)</f>
        <v>0.35082141113278453</v>
      </c>
      <c r="Q272" s="29">
        <f>IF(OR(履歴データ!$A$272="",履歴データ!$A$271=""),"",H272-H271)</f>
        <v>-9.89990234375E-2</v>
      </c>
      <c r="R272" s="29">
        <f>IF(OR(履歴データ!$A$272="",履歴データ!$A$271=""),"",I272-I271)</f>
        <v>0.703125</v>
      </c>
      <c r="S272" s="28">
        <f>IF(OR(履歴データ!$A$272="",履歴データ!$A$271=""),"",(J272-J271)*100)</f>
        <v>-6.9999999999999396</v>
      </c>
      <c r="T272" s="11">
        <f>IF(OR(履歴データ!$A$272="",履歴データ!$A$271=""),"",-80000*K272)</f>
        <v>-40000.000000013359</v>
      </c>
      <c r="U272" s="11">
        <f>IF(OR(履歴データ!$A$272="",履歴データ!$A$271=""),"",60000*L272)</f>
        <v>30000</v>
      </c>
      <c r="V272" s="11">
        <f>IF(OR(履歴データ!$A$272="",履歴データ!$A$271=""),"",-50000*M272)</f>
        <v>464999.99999999773</v>
      </c>
      <c r="W272" s="11">
        <f>IF(OR(履歴データ!$A$272="",履歴データ!$A$271=""),"",-40000*N272)</f>
        <v>-80000.000000001848</v>
      </c>
      <c r="X272" s="11">
        <f>IF(OR(履歴データ!$A$272="",履歴データ!$A$271=""),"",120*1000000*(-Q272/H271))</f>
        <v>80559.054341663883</v>
      </c>
      <c r="Y272" s="11">
        <f>IF(OR(履歴データ!$A$272="",履歴データ!$A$271=""),"",40000*(-S272)+(-506.3)*R272*1000)</f>
        <v>-75992.187500002445</v>
      </c>
      <c r="Z272" s="11">
        <f>IF(OR(履歴データ!$A$272="",履歴データ!$A$271=""),"",-40000*O272)</f>
        <v>-279999.99999999773</v>
      </c>
      <c r="AA272" s="11">
        <f>IF(OR(履歴データ!$A$272="",履歴データ!$A$271=""),"",-40000*P272)</f>
        <v>-14032.856445311381</v>
      </c>
      <c r="AB272" s="11">
        <f>IF(履歴データ!$A$272="","",123.3)</f>
        <v>123.3</v>
      </c>
      <c r="AC272">
        <f>IF(履歴データ!$A$272="","",SUM(T272:AA272))</f>
        <v>85534.010396334881</v>
      </c>
      <c r="AD272" s="29">
        <f>IF(履歴データ!$A$272="","",AC272/1000000)</f>
        <v>8.5534010396334875E-2</v>
      </c>
      <c r="AE272" s="29">
        <f>IF(履歴データ!$A$272="",AE271,AE271+AC272/1000000)</f>
        <v>82.647330163344492</v>
      </c>
      <c r="AF272" s="12">
        <f>IF(OR(履歴データ!$A$272="",AE271=0),"",(AE272-AE271)/AE271)</f>
        <v>1.0359998738142244E-3</v>
      </c>
      <c r="AG272" s="29">
        <f t="shared" si="14"/>
        <v>102.17217746631495</v>
      </c>
      <c r="AH272" s="12">
        <f>IF(OR(履歴データ!$A$272="",AG272=0),"",AE272/AG272-1)</f>
        <v>-0.19109749627688599</v>
      </c>
      <c r="AJ272" s="28">
        <f t="shared" ca="1" si="12"/>
        <v>-16.780002190027734</v>
      </c>
      <c r="AK272" s="28">
        <f t="shared" ca="1" si="13"/>
        <v>-56.370791460765915</v>
      </c>
    </row>
    <row r="273" spans="1:37">
      <c r="A273" s="10">
        <f>IF(履歴データ!$A$273="","",履歴データ!$A$273)</f>
        <v>45323</v>
      </c>
      <c r="B273" s="28">
        <f>IF(履歴データ!$A$273="","",(履歴データ!$D$273-(履歴データ!$B$273+履歴データ!$F$273)/2)*100)</f>
        <v>-28.000000000000025</v>
      </c>
      <c r="C273" s="28">
        <f>IF(履歴データ!$A$273="","",(履歴データ!$H$273-(履歴データ!$G$273+履歴データ!$J$273)/2)*100)</f>
        <v>-22.199999999999996</v>
      </c>
      <c r="D273" s="28">
        <f>IF(履歴データ!$A$273="","",(履歴データ!$D$273-履歴データ!$H$273)*100)</f>
        <v>317.10000000000002</v>
      </c>
      <c r="E273" s="28">
        <f>IF(履歴データ!$A$273="","",(履歴データ!$D$273-履歴データ!$C$273)*100)</f>
        <v>7.0000000000000284</v>
      </c>
      <c r="F273" s="28">
        <f>IF(履歴データ!$A$273="","",(履歴データ!$R$273-履歴データ!$D$273)*100)</f>
        <v>-209.59000000000003</v>
      </c>
      <c r="G273" s="28">
        <f>IF(履歴データ!$A$273="","",(履歴データ!$S$273-履歴データ!$R$273)*100)</f>
        <v>-122.63317858886744</v>
      </c>
      <c r="H273" s="29">
        <f>IF(履歴データ!$A$273="","",履歴データ!$O$273)</f>
        <v>146.99600219726563</v>
      </c>
      <c r="I273" s="29">
        <f>IF(履歴データ!$A$273="","",履歴データ!$Q$273)</f>
        <v>112.890625</v>
      </c>
      <c r="J273" s="29">
        <f>IF(履歴データ!$A$273="","",履歴データ!$D$273)</f>
        <v>3.87</v>
      </c>
      <c r="K273" s="28">
        <f>IF(OR(履歴データ!$A$273="",履歴データ!$A$272=""),"",B273-B272)</f>
        <v>-2.5000000000001243</v>
      </c>
      <c r="L273" s="28">
        <f>IF(OR(履歴データ!$A$273="",履歴データ!$A$272=""),"",C273-C272)</f>
        <v>-1.6999999999999886</v>
      </c>
      <c r="M273" s="28">
        <f>IF(OR(履歴データ!$A$273="",履歴データ!$A$272=""),"",D273-D272)</f>
        <v>-8.1999999999999886</v>
      </c>
      <c r="N273" s="28">
        <f>IF(OR(履歴データ!$A$273="",履歴データ!$A$272=""),"",E273-E272)</f>
        <v>-0.99999999999997868</v>
      </c>
      <c r="O273" s="28">
        <f>IF(OR(履歴データ!$A$273="",履歴データ!$A$272=""),"",F273-F272)</f>
        <v>6.0799999999999841</v>
      </c>
      <c r="P273" s="28">
        <f>IF(OR(履歴データ!$A$273="",履歴データ!$A$272=""),"",G273-G272)</f>
        <v>2.9381785888669896</v>
      </c>
      <c r="Q273" s="29">
        <f>IF(OR(履歴データ!$A$273="",履歴データ!$A$272=""),"",H273-H272)</f>
        <v>-0.3730010986328125</v>
      </c>
      <c r="R273" s="29">
        <f>IF(OR(履歴データ!$A$273="",履歴データ!$A$272=""),"",I273-I272)</f>
        <v>0.5625</v>
      </c>
      <c r="S273" s="28">
        <f>IF(OR(履歴データ!$A$273="",履歴データ!$A$272=""),"",(J273-J272)*100)</f>
        <v>-12.000000000000011</v>
      </c>
      <c r="T273" s="11">
        <f>IF(OR(履歴データ!$A$273="",履歴データ!$A$272=""),"",-80000*K273)</f>
        <v>200000.00000000995</v>
      </c>
      <c r="U273" s="11">
        <f>IF(OR(履歴データ!$A$273="",履歴データ!$A$272=""),"",60000*L273)</f>
        <v>-101999.99999999932</v>
      </c>
      <c r="V273" s="11">
        <f>IF(OR(履歴データ!$A$273="",履歴データ!$A$272=""),"",-50000*M273)</f>
        <v>409999.99999999942</v>
      </c>
      <c r="W273" s="11">
        <f>IF(OR(履歴データ!$A$273="",履歴データ!$A$272=""),"",-40000*N273)</f>
        <v>39999.999999999149</v>
      </c>
      <c r="X273" s="11">
        <f>IF(OR(履歴データ!$A$273="",履歴データ!$A$272=""),"",120*1000000*(-Q273/H272))</f>
        <v>303728.2660184977</v>
      </c>
      <c r="Y273" s="11">
        <f>IF(OR(履歴データ!$A$273="",履歴データ!$A$272=""),"",40000*(-S273)+(-506.3)*R273*1000)</f>
        <v>195206.25000000041</v>
      </c>
      <c r="Z273" s="11">
        <f>IF(OR(履歴データ!$A$273="",履歴データ!$A$272=""),"",-40000*O273)</f>
        <v>-243199.99999999936</v>
      </c>
      <c r="AA273" s="11">
        <f>IF(OR(履歴データ!$A$273="",履歴データ!$A$272=""),"",-40000*P273)</f>
        <v>-117527.14355467958</v>
      </c>
      <c r="AB273" s="11">
        <f>IF(履歴データ!$A$273="","",123.3)</f>
        <v>123.3</v>
      </c>
      <c r="AC273">
        <f>IF(履歴データ!$A$273="","",SUM(T273:AA273))</f>
        <v>686207.37246382842</v>
      </c>
      <c r="AD273" s="29">
        <f>IF(履歴データ!$A$273="","",AC273/1000000)</f>
        <v>0.68620737246382846</v>
      </c>
      <c r="AE273" s="29">
        <f>IF(履歴データ!$A$273="",AE272,AE272+AC273/1000000)</f>
        <v>83.333537535808318</v>
      </c>
      <c r="AF273" s="12">
        <f>IF(OR(履歴データ!$A$273="",AE272=0),"",(AE273-AE272)/AE272)</f>
        <v>8.3028377457275825E-3</v>
      </c>
      <c r="AG273" s="29">
        <f t="shared" si="14"/>
        <v>102.17217746631495</v>
      </c>
      <c r="AH273" s="12">
        <f>IF(OR(履歴データ!$A$273="",AG273=0),"",AE273/AG273-1)</f>
        <v>-0.18438131003636016</v>
      </c>
      <c r="AJ273" s="28">
        <f t="shared" ca="1" si="12"/>
        <v>-16.706976105254494</v>
      </c>
      <c r="AK273" s="28">
        <f t="shared" ca="1" si="13"/>
        <v>-56.340642942364553</v>
      </c>
    </row>
    <row r="274" spans="1:37">
      <c r="A274" s="10">
        <f>IF(履歴データ!$A$274="","",履歴データ!$A$274)</f>
        <v>45324</v>
      </c>
      <c r="B274" s="28">
        <f>IF(履歴データ!$A$274="","",(履歴データ!$D$274-(履歴データ!$B$274+履歴データ!$F$274)/2)*100)</f>
        <v>-25.999999999999979</v>
      </c>
      <c r="C274" s="28">
        <f>IF(履歴データ!$A$274="","",(履歴データ!$H$274-(履歴データ!$G$274+履歴データ!$J$274)/2)*100)</f>
        <v>-24.450000000000006</v>
      </c>
      <c r="D274" s="28">
        <f>IF(履歴データ!$A$274="","",(履歴データ!$D$274-履歴データ!$H$274)*100)</f>
        <v>336.30000000000007</v>
      </c>
      <c r="E274" s="28">
        <f>IF(履歴データ!$A$274="","",(履歴データ!$D$274-履歴データ!$C$274)*100)</f>
        <v>4.0000000000000036</v>
      </c>
      <c r="F274" s="28">
        <f>IF(履歴データ!$A$274="","",(履歴データ!$R$274-履歴データ!$D$274)*100)</f>
        <v>-228.5</v>
      </c>
      <c r="G274" s="28">
        <f>IF(履歴データ!$A$274="","",(履歴データ!$S$274-履歴データ!$R$274)*100)</f>
        <v>-123.23117858886717</v>
      </c>
      <c r="H274" s="29">
        <f>IF(履歴データ!$A$274="","",履歴データ!$O$274)</f>
        <v>146.45100402832031</v>
      </c>
      <c r="I274" s="29">
        <f>IF(履歴データ!$A$274="","",履歴データ!$Q$274)</f>
        <v>111.65625</v>
      </c>
      <c r="J274" s="29">
        <f>IF(履歴データ!$A$274="","",履歴データ!$D$274)</f>
        <v>4.03</v>
      </c>
      <c r="K274" s="28">
        <f>IF(OR(履歴データ!$A$274="",履歴データ!$A$273=""),"",B274-B273)</f>
        <v>2.0000000000000462</v>
      </c>
      <c r="L274" s="28">
        <f>IF(OR(履歴データ!$A$274="",履歴データ!$A$273=""),"",C274-C273)</f>
        <v>-2.2500000000000107</v>
      </c>
      <c r="M274" s="28">
        <f>IF(OR(履歴データ!$A$274="",履歴データ!$A$273=""),"",D274-D273)</f>
        <v>19.200000000000045</v>
      </c>
      <c r="N274" s="28">
        <f>IF(OR(履歴データ!$A$274="",履歴データ!$A$273=""),"",E274-E273)</f>
        <v>-3.0000000000000249</v>
      </c>
      <c r="O274" s="28">
        <f>IF(OR(履歴データ!$A$274="",履歴データ!$A$273=""),"",F274-F273)</f>
        <v>-18.909999999999968</v>
      </c>
      <c r="P274" s="28">
        <f>IF(OR(履歴データ!$A$274="",履歴データ!$A$273=""),"",G274-G273)</f>
        <v>-0.59799999999972897</v>
      </c>
      <c r="Q274" s="29">
        <f>IF(OR(履歴データ!$A$274="",履歴データ!$A$273=""),"",H274-H273)</f>
        <v>-0.5449981689453125</v>
      </c>
      <c r="R274" s="29">
        <f>IF(OR(履歴データ!$A$274="",履歴データ!$A$273=""),"",I274-I273)</f>
        <v>-1.234375</v>
      </c>
      <c r="S274" s="28">
        <f>IF(OR(履歴データ!$A$274="",履歴データ!$A$273=""),"",(J274-J273)*100)</f>
        <v>16.000000000000014</v>
      </c>
      <c r="T274" s="11">
        <f>IF(OR(履歴データ!$A$274="",履歴データ!$A$273=""),"",-80000*K274)</f>
        <v>-160000.0000000037</v>
      </c>
      <c r="U274" s="11">
        <f>IF(OR(履歴データ!$A$274="",履歴データ!$A$273=""),"",60000*L274)</f>
        <v>-135000.00000000064</v>
      </c>
      <c r="V274" s="11">
        <f>IF(OR(履歴データ!$A$274="",履歴データ!$A$273=""),"",-50000*M274)</f>
        <v>-960000.00000000233</v>
      </c>
      <c r="W274" s="11">
        <f>IF(OR(履歴データ!$A$274="",履歴データ!$A$273=""),"",-40000*N274)</f>
        <v>120000.00000000099</v>
      </c>
      <c r="X274" s="11">
        <f>IF(OR(履歴データ!$A$274="",履歴データ!$A$273=""),"",120*1000000*(-Q274/H273))</f>
        <v>444908.56415042048</v>
      </c>
      <c r="Y274" s="11">
        <f>IF(OR(履歴データ!$A$274="",履歴データ!$A$273=""),"",40000*(-S274)+(-506.3)*R274*1000)</f>
        <v>-15035.937500000466</v>
      </c>
      <c r="Z274" s="11">
        <f>IF(OR(履歴データ!$A$274="",履歴データ!$A$273=""),"",-40000*O274)</f>
        <v>756399.99999999872</v>
      </c>
      <c r="AA274" s="11">
        <f>IF(OR(履歴データ!$A$274="",履歴データ!$A$273=""),"",-40000*P274)</f>
        <v>23919.999999989159</v>
      </c>
      <c r="AB274" s="11">
        <f>IF(履歴データ!$A$274="","",123.3)</f>
        <v>123.3</v>
      </c>
      <c r="AC274">
        <f>IF(履歴データ!$A$274="","",SUM(T274:AA274))</f>
        <v>75192.626650402308</v>
      </c>
      <c r="AD274" s="29">
        <f>IF(履歴データ!$A$274="","",AC274/1000000)</f>
        <v>7.5192626650402314E-2</v>
      </c>
      <c r="AE274" s="29">
        <f>IF(履歴データ!$A$274="",AE273,AE273+AC274/1000000)</f>
        <v>83.408730162458724</v>
      </c>
      <c r="AF274" s="12">
        <f>IF(OR(履歴データ!$A$274="",AE273=0),"",(AE274-AE273)/AE273)</f>
        <v>9.0230930875933994E-4</v>
      </c>
      <c r="AG274" s="29">
        <f t="shared" si="14"/>
        <v>102.17217746631495</v>
      </c>
      <c r="AH274" s="12">
        <f>IF(OR(履歴データ!$A$274="",AG274=0),"",AE274/AG274-1)</f>
        <v>-0.18364536970000789</v>
      </c>
      <c r="AJ274" s="28">
        <f t="shared" ca="1" si="12"/>
        <v>-16.612328022292186</v>
      </c>
      <c r="AK274" s="28">
        <f t="shared" ca="1" si="13"/>
        <v>-56.300370390406229</v>
      </c>
    </row>
    <row r="275" spans="1:37">
      <c r="A275" s="10">
        <f>IF(履歴データ!$A$275="","",履歴データ!$A$275)</f>
        <v>45327</v>
      </c>
      <c r="B275" s="28">
        <f>IF(履歴データ!$A$275="","",(履歴データ!$D$275-(履歴データ!$B$275+履歴データ!$F$275)/2)*100)</f>
        <v>-23.499999999999943</v>
      </c>
      <c r="C275" s="28">
        <f>IF(履歴データ!$A$275="","",(履歴データ!$H$275-(履歴データ!$G$275+履歴データ!$J$275)/2)*100)</f>
        <v>-21.150000000000002</v>
      </c>
      <c r="D275" s="28">
        <f>IF(履歴データ!$A$275="","",(履歴データ!$D$275-履歴データ!$H$275)*100)</f>
        <v>344.5</v>
      </c>
      <c r="E275" s="28">
        <f>IF(履歴データ!$A$275="","",(履歴データ!$D$275-履歴データ!$C$275)*100)</f>
        <v>4.0000000000000036</v>
      </c>
      <c r="F275" s="28">
        <f>IF(履歴データ!$A$275="","",(履歴データ!$R$275-履歴データ!$D$275)*100)</f>
        <v>-232.10999999999999</v>
      </c>
      <c r="G275" s="28">
        <f>IF(履歴データ!$A$275="","",(履歴データ!$S$275-履歴データ!$R$275)*100)</f>
        <v>-129.23617858886723</v>
      </c>
      <c r="H275" s="29">
        <f>IF(履歴データ!$A$275="","",履歴データ!$O$275)</f>
        <v>148.50100708007813</v>
      </c>
      <c r="I275" s="29">
        <f>IF(履歴データ!$A$275="","",履歴データ!$Q$275)</f>
        <v>110.78125</v>
      </c>
      <c r="J275" s="29">
        <f>IF(履歴データ!$A$275="","",履歴データ!$D$275)</f>
        <v>4.17</v>
      </c>
      <c r="K275" s="28">
        <f>IF(OR(履歴データ!$A$275="",履歴データ!$A$274=""),"",B275-B274)</f>
        <v>2.5000000000000355</v>
      </c>
      <c r="L275" s="28">
        <f>IF(OR(履歴データ!$A$275="",履歴データ!$A$274=""),"",C275-C274)</f>
        <v>3.3000000000000043</v>
      </c>
      <c r="M275" s="28">
        <f>IF(OR(履歴データ!$A$275="",履歴データ!$A$274=""),"",D275-D274)</f>
        <v>8.1999999999999318</v>
      </c>
      <c r="N275" s="28">
        <f>IF(OR(履歴データ!$A$275="",履歴データ!$A$274=""),"",E275-E274)</f>
        <v>0</v>
      </c>
      <c r="O275" s="28">
        <f>IF(OR(履歴データ!$A$275="",履歴データ!$A$274=""),"",F275-F274)</f>
        <v>-3.6099999999999852</v>
      </c>
      <c r="P275" s="28">
        <f>IF(OR(履歴データ!$A$275="",履歴データ!$A$274=""),"",G275-G274)</f>
        <v>-6.0050000000000665</v>
      </c>
      <c r="Q275" s="29">
        <f>IF(OR(履歴データ!$A$275="",履歴データ!$A$274=""),"",H275-H274)</f>
        <v>2.0500030517578125</v>
      </c>
      <c r="R275" s="29">
        <f>IF(OR(履歴データ!$A$275="",履歴データ!$A$274=""),"",I275-I274)</f>
        <v>-0.875</v>
      </c>
      <c r="S275" s="28">
        <f>IF(OR(履歴データ!$A$275="",履歴データ!$A$274=""),"",(J275-J274)*100)</f>
        <v>13.999999999999968</v>
      </c>
      <c r="T275" s="11">
        <f>IF(OR(履歴データ!$A$275="",履歴データ!$A$274=""),"",-80000*K275)</f>
        <v>-200000.00000000285</v>
      </c>
      <c r="U275" s="11">
        <f>IF(OR(履歴データ!$A$275="",履歴データ!$A$274=""),"",60000*L275)</f>
        <v>198000.00000000026</v>
      </c>
      <c r="V275" s="11">
        <f>IF(OR(履歴データ!$A$275="",履歴データ!$A$274=""),"",-50000*M275)</f>
        <v>-409999.99999999657</v>
      </c>
      <c r="W275" s="11">
        <f>IF(OR(履歴データ!$A$275="",履歴データ!$A$274=""),"",-40000*N275)</f>
        <v>0</v>
      </c>
      <c r="X275" s="11">
        <f>IF(OR(履歴データ!$A$275="",履歴データ!$A$274=""),"",120*1000000*(-Q275/H274))</f>
        <v>-1679745.1669458449</v>
      </c>
      <c r="Y275" s="11">
        <f>IF(OR(履歴データ!$A$275="",履歴データ!$A$274=""),"",40000*(-S275)+(-506.3)*R275*1000)</f>
        <v>-116987.49999999872</v>
      </c>
      <c r="Z275" s="11">
        <f>IF(OR(履歴データ!$A$275="",履歴データ!$A$274=""),"",-40000*O275)</f>
        <v>144399.99999999942</v>
      </c>
      <c r="AA275" s="11">
        <f>IF(OR(履歴データ!$A$275="",履歴データ!$A$274=""),"",-40000*P275)</f>
        <v>240200.00000000265</v>
      </c>
      <c r="AB275" s="11">
        <f>IF(履歴データ!$A$275="","",123.3)</f>
        <v>123.3</v>
      </c>
      <c r="AC275">
        <f>IF(履歴データ!$A$275="","",SUM(T275:AA275))</f>
        <v>-1824132.6669458405</v>
      </c>
      <c r="AD275" s="29">
        <f>IF(履歴データ!$A$275="","",AC275/1000000)</f>
        <v>-1.8241326669458404</v>
      </c>
      <c r="AE275" s="29">
        <f>IF(履歴データ!$A$275="",AE274,AE274+AC275/1000000)</f>
        <v>81.584597495512881</v>
      </c>
      <c r="AF275" s="12">
        <f>IF(OR(履歴データ!$A$275="",AE274=0),"",(AE275-AE274)/AE274)</f>
        <v>-2.1869805035910538E-2</v>
      </c>
      <c r="AG275" s="29">
        <f t="shared" si="14"/>
        <v>102.17217746631495</v>
      </c>
      <c r="AH275" s="12">
        <f>IF(OR(履歴データ!$A$275="",AG275=0),"",AE275/AG275-1)</f>
        <v>-0.20149888630483159</v>
      </c>
      <c r="AJ275" s="28">
        <f t="shared" ca="1" si="12"/>
        <v>-16.484470480857361</v>
      </c>
      <c r="AK275" s="28">
        <f t="shared" ca="1" si="13"/>
        <v>-56.281402535015651</v>
      </c>
    </row>
    <row r="276" spans="1:37">
      <c r="A276" s="10">
        <f>IF(履歴データ!$A$276="","",履歴データ!$A$276)</f>
        <v>45328</v>
      </c>
      <c r="B276" s="28">
        <f>IF(履歴データ!$A$276="","",(履歴データ!$D$276-(履歴データ!$B$276+履歴データ!$F$276)/2)*100)</f>
        <v>-25</v>
      </c>
      <c r="C276" s="28">
        <f>IF(履歴データ!$A$276="","",(履歴データ!$H$276-(履歴データ!$G$276+履歴データ!$J$276)/2)*100)</f>
        <v>-20.450000000000003</v>
      </c>
      <c r="D276" s="28">
        <f>IF(履歴データ!$A$276="","",(履歴データ!$D$276-履歴データ!$H$276)*100)</f>
        <v>336.5</v>
      </c>
      <c r="E276" s="28">
        <f>IF(履歴データ!$A$276="","",(履歴データ!$D$276-履歴データ!$C$276)*100)</f>
        <v>5.9999999999999609</v>
      </c>
      <c r="F276" s="28">
        <f>IF(履歴データ!$A$276="","",(履歴データ!$R$276-履歴データ!$D$276)*100)</f>
        <v>-220.43</v>
      </c>
      <c r="G276" s="28">
        <f>IF(履歴データ!$A$276="","",(履歴データ!$S$276-履歴データ!$R$276)*100)</f>
        <v>-133.09164282226575</v>
      </c>
      <c r="H276" s="29">
        <f>IF(履歴データ!$A$276="","",履歴データ!$O$276)</f>
        <v>148.63999938964844</v>
      </c>
      <c r="I276" s="29">
        <f>IF(履歴データ!$A$276="","",履歴データ!$Q$276)</f>
        <v>111.28125</v>
      </c>
      <c r="J276" s="29">
        <f>IF(履歴データ!$A$276="","",履歴データ!$D$276)</f>
        <v>4.09</v>
      </c>
      <c r="K276" s="28">
        <f>IF(OR(履歴データ!$A$276="",履歴データ!$A$275=""),"",B276-B275)</f>
        <v>-1.5000000000000568</v>
      </c>
      <c r="L276" s="28">
        <f>IF(OR(履歴データ!$A$276="",履歴データ!$A$275=""),"",C276-C275)</f>
        <v>0.69999999999999929</v>
      </c>
      <c r="M276" s="28">
        <f>IF(OR(履歴データ!$A$276="",履歴データ!$A$275=""),"",D276-D275)</f>
        <v>-8</v>
      </c>
      <c r="N276" s="28">
        <f>IF(OR(履歴データ!$A$276="",履歴データ!$A$275=""),"",E276-E275)</f>
        <v>1.9999999999999574</v>
      </c>
      <c r="O276" s="28">
        <f>IF(OR(履歴データ!$A$276="",履歴データ!$A$275=""),"",F276-F275)</f>
        <v>11.679999999999978</v>
      </c>
      <c r="P276" s="28">
        <f>IF(OR(履歴データ!$A$276="",履歴データ!$A$275=""),"",G276-G275)</f>
        <v>-3.8554642333985214</v>
      </c>
      <c r="Q276" s="29">
        <f>IF(OR(履歴データ!$A$276="",履歴データ!$A$275=""),"",H276-H275)</f>
        <v>0.1389923095703125</v>
      </c>
      <c r="R276" s="29">
        <f>IF(OR(履歴データ!$A$276="",履歴データ!$A$275=""),"",I276-I275)</f>
        <v>0.5</v>
      </c>
      <c r="S276" s="28">
        <f>IF(OR(履歴データ!$A$276="",履歴データ!$A$275=""),"",(J276-J275)*100)</f>
        <v>-8.0000000000000071</v>
      </c>
      <c r="T276" s="11">
        <f>IF(OR(履歴データ!$A$276="",履歴データ!$A$275=""),"",-80000*K276)</f>
        <v>120000.00000000454</v>
      </c>
      <c r="U276" s="11">
        <f>IF(OR(履歴データ!$A$276="",履歴データ!$A$275=""),"",60000*L276)</f>
        <v>41999.999999999956</v>
      </c>
      <c r="V276" s="11">
        <f>IF(OR(履歴データ!$A$276="",履歴データ!$A$275=""),"",-50000*M276)</f>
        <v>400000</v>
      </c>
      <c r="W276" s="11">
        <f>IF(OR(履歴データ!$A$276="",履歴データ!$A$275=""),"",-40000*N276)</f>
        <v>-79999.999999998297</v>
      </c>
      <c r="X276" s="11">
        <f>IF(OR(履歴データ!$A$276="",履歴データ!$A$275=""),"",120*1000000*(-Q276/H275))</f>
        <v>-112316.25614123563</v>
      </c>
      <c r="Y276" s="11">
        <f>IF(OR(履歴データ!$A$276="",履歴データ!$A$275=""),"",40000*(-S276)+(-506.3)*R276*1000)</f>
        <v>66850.000000000291</v>
      </c>
      <c r="Z276" s="11">
        <f>IF(OR(履歴データ!$A$276="",履歴データ!$A$275=""),"",-40000*O276)</f>
        <v>-467199.99999999913</v>
      </c>
      <c r="AA276" s="11">
        <f>IF(OR(履歴データ!$A$276="",履歴データ!$A$275=""),"",-40000*P276)</f>
        <v>154218.56933594085</v>
      </c>
      <c r="AB276" s="11">
        <f>IF(履歴データ!$A$276="","",123.3)</f>
        <v>123.3</v>
      </c>
      <c r="AC276">
        <f>IF(履歴データ!$A$276="","",SUM(T276:AA276))</f>
        <v>123552.31319471248</v>
      </c>
      <c r="AD276" s="29">
        <f>IF(履歴データ!$A$276="","",AC276/1000000)</f>
        <v>0.12355231319471248</v>
      </c>
      <c r="AE276" s="29">
        <f>IF(履歴データ!$A$276="",AE275,AE275+AC276/1000000)</f>
        <v>81.708149808707589</v>
      </c>
      <c r="AF276" s="12">
        <f>IF(OR(履歴データ!$A$276="",AE275=0),"",(AE276-AE275)/AE275)</f>
        <v>1.5144073389772247E-3</v>
      </c>
      <c r="AG276" s="29">
        <f t="shared" si="14"/>
        <v>102.17217746631495</v>
      </c>
      <c r="AH276" s="12">
        <f>IF(OR(履歴データ!$A$276="",AG276=0),"",AE276/AG276-1)</f>
        <v>-0.20028963035807013</v>
      </c>
      <c r="AJ276" s="28">
        <f t="shared" ca="1" si="12"/>
        <v>-16.380023705703799</v>
      </c>
      <c r="AK276" s="28">
        <f t="shared" ca="1" si="13"/>
        <v>-56.239023913343821</v>
      </c>
    </row>
    <row r="277" spans="1:37">
      <c r="A277" s="10">
        <f>IF(履歴データ!$A$277="","",履歴データ!$A$277)</f>
        <v>45329</v>
      </c>
      <c r="B277" s="28">
        <f>IF(履歴データ!$A$277="","",(履歴データ!$D$277-(履歴データ!$B$277+履歴データ!$F$277)/2)*100)</f>
        <v>-26.999999999999957</v>
      </c>
      <c r="C277" s="28">
        <f>IF(履歴データ!$A$277="","",(履歴データ!$H$277-(履歴データ!$G$277+履歴データ!$J$277)/2)*100)</f>
        <v>-20.650000000000002</v>
      </c>
      <c r="D277" s="28">
        <f>IF(履歴データ!$A$277="","",(履歴データ!$D$277-履歴データ!$H$277)*100)</f>
        <v>337.59999999999997</v>
      </c>
      <c r="E277" s="28">
        <f>IF(履歴データ!$A$277="","",(履歴データ!$D$277-履歴データ!$C$277)*100)</f>
        <v>3.0000000000000249</v>
      </c>
      <c r="F277" s="28">
        <f>IF(履歴データ!$A$277="","",(履歴データ!$R$277-履歴データ!$D$277)*100)</f>
        <v>-219.20000000000002</v>
      </c>
      <c r="G277" s="28">
        <f>IF(履歴データ!$A$277="","",(履歴データ!$S$277-履歴データ!$R$277)*100)</f>
        <v>-131.86600000000016</v>
      </c>
      <c r="H277" s="29">
        <f>IF(履歴データ!$A$277="","",履歴データ!$O$277)</f>
        <v>147.8179931640625</v>
      </c>
      <c r="I277" s="29">
        <f>IF(履歴データ!$A$277="","",履歴データ!$Q$277)</f>
        <v>111.1875</v>
      </c>
      <c r="J277" s="29">
        <f>IF(履歴データ!$A$277="","",履歴データ!$D$277)</f>
        <v>4.09</v>
      </c>
      <c r="K277" s="28">
        <f>IF(OR(履歴データ!$A$277="",履歴データ!$A$276=""),"",B277-B276)</f>
        <v>-1.9999999999999574</v>
      </c>
      <c r="L277" s="28">
        <f>IF(OR(履歴データ!$A$277="",履歴データ!$A$276=""),"",C277-C276)</f>
        <v>-0.19999999999999929</v>
      </c>
      <c r="M277" s="28">
        <f>IF(OR(履歴データ!$A$277="",履歴データ!$A$276=""),"",D277-D276)</f>
        <v>1.0999999999999659</v>
      </c>
      <c r="N277" s="28">
        <f>IF(OR(履歴データ!$A$277="",履歴データ!$A$276=""),"",E277-E276)</f>
        <v>-2.9999999999999361</v>
      </c>
      <c r="O277" s="28">
        <f>IF(OR(履歴データ!$A$277="",履歴データ!$A$276=""),"",F277-F276)</f>
        <v>1.2299999999999898</v>
      </c>
      <c r="P277" s="28">
        <f>IF(OR(履歴データ!$A$277="",履歴データ!$A$276=""),"",G277-G276)</f>
        <v>1.2256428222655984</v>
      </c>
      <c r="Q277" s="29">
        <f>IF(OR(履歴データ!$A$277="",履歴データ!$A$276=""),"",H277-H276)</f>
        <v>-0.8220062255859375</v>
      </c>
      <c r="R277" s="29">
        <f>IF(OR(履歴データ!$A$277="",履歴データ!$A$276=""),"",I277-I276)</f>
        <v>-9.375E-2</v>
      </c>
      <c r="S277" s="28">
        <f>IF(OR(履歴データ!$A$277="",履歴データ!$A$276=""),"",(J277-J276)*100)</f>
        <v>0</v>
      </c>
      <c r="T277" s="11">
        <f>IF(OR(履歴データ!$A$277="",履歴データ!$A$276=""),"",-80000*K277)</f>
        <v>159999.99999999659</v>
      </c>
      <c r="U277" s="11">
        <f>IF(OR(履歴データ!$A$277="",履歴データ!$A$276=""),"",60000*L277)</f>
        <v>-11999.999999999958</v>
      </c>
      <c r="V277" s="11">
        <f>IF(OR(履歴データ!$A$277="",履歴データ!$A$276=""),"",-50000*M277)</f>
        <v>-54999.999999998297</v>
      </c>
      <c r="W277" s="11">
        <f>IF(OR(履歴データ!$A$277="",履歴データ!$A$276=""),"",-40000*N277)</f>
        <v>119999.99999999744</v>
      </c>
      <c r="X277" s="11">
        <f>IF(OR(履歴データ!$A$277="",履歴データ!$A$276=""),"",120*1000000*(-Q277/H276))</f>
        <v>663621.82101288426</v>
      </c>
      <c r="Y277" s="11">
        <f>IF(OR(履歴データ!$A$277="",履歴データ!$A$276=""),"",40000*(-S277)+(-506.3)*R277*1000)</f>
        <v>47465.625</v>
      </c>
      <c r="Z277" s="11">
        <f>IF(OR(履歴データ!$A$277="",履歴データ!$A$276=""),"",-40000*O277)</f>
        <v>-49199.999999999593</v>
      </c>
      <c r="AA277" s="11">
        <f>IF(OR(履歴データ!$A$277="",履歴データ!$A$276=""),"",-40000*P277)</f>
        <v>-49025.712890623938</v>
      </c>
      <c r="AB277" s="11">
        <f>IF(履歴データ!$A$277="","",123.3)</f>
        <v>123.3</v>
      </c>
      <c r="AC277">
        <f>IF(履歴データ!$A$277="","",SUM(T277:AA277))</f>
        <v>825861.73312225647</v>
      </c>
      <c r="AD277" s="29">
        <f>IF(履歴データ!$A$277="","",AC277/1000000)</f>
        <v>0.82586173312225641</v>
      </c>
      <c r="AE277" s="29">
        <f>IF(履歴データ!$A$277="",AE276,AE276+AC277/1000000)</f>
        <v>82.534011541829841</v>
      </c>
      <c r="AF277" s="12">
        <f>IF(OR(履歴データ!$A$277="",AE276=0),"",(AE277-AE276)/AE276)</f>
        <v>1.0107458497784279E-2</v>
      </c>
      <c r="AG277" s="29">
        <f t="shared" si="14"/>
        <v>102.17217746631495</v>
      </c>
      <c r="AH277" s="12">
        <f>IF(OR(履歴データ!$A$277="",AG277=0),"",AE277/AG277-1)</f>
        <v>-0.19220659098666659</v>
      </c>
      <c r="AJ277" s="28">
        <f t="shared" ca="1" si="12"/>
        <v>-16.299576755279169</v>
      </c>
      <c r="AK277" s="28">
        <f t="shared" ca="1" si="13"/>
        <v>-56.196454990752578</v>
      </c>
    </row>
    <row r="278" spans="1:37">
      <c r="A278" s="10">
        <f>IF(履歴データ!$A$278="","",履歴データ!$A$278)</f>
        <v>45330</v>
      </c>
      <c r="B278" s="28">
        <f>IF(履歴データ!$A$278="","",(履歴データ!$D$278-(履歴データ!$B$278+履歴データ!$F$278)/2)*100)</f>
        <v>-25.999999999999979</v>
      </c>
      <c r="C278" s="28">
        <f>IF(履歴データ!$A$278="","",(履歴データ!$H$278-(履歴データ!$G$278+履歴データ!$J$278)/2)*100)</f>
        <v>-21.500000000000007</v>
      </c>
      <c r="D278" s="28">
        <f>IF(履歴データ!$A$278="","",(履歴データ!$D$278-履歴データ!$H$278)*100)</f>
        <v>344.40000000000003</v>
      </c>
      <c r="E278" s="28">
        <f>IF(履歴データ!$A$278="","",(履歴データ!$D$278-履歴データ!$C$278)*100)</f>
        <v>3.0000000000000249</v>
      </c>
      <c r="F278" s="28">
        <f>IF(履歴データ!$A$278="","",(履歴データ!$R$278-履歴データ!$D$278)*100)</f>
        <v>-222.05000000000004</v>
      </c>
      <c r="G278" s="28">
        <f>IF(履歴データ!$A$278="","",(履歴データ!$S$278-履歴データ!$R$278)*100)</f>
        <v>-139.75182141113285</v>
      </c>
      <c r="H278" s="29">
        <f>IF(履歴データ!$A$278="","",履歴データ!$O$278)</f>
        <v>148.08599853515625</v>
      </c>
      <c r="I278" s="29">
        <f>IF(履歴データ!$A$278="","",履歴データ!$Q$278)</f>
        <v>110.75</v>
      </c>
      <c r="J278" s="29">
        <f>IF(履歴データ!$A$278="","",履歴データ!$D$278)</f>
        <v>4.1500000000000004</v>
      </c>
      <c r="K278" s="28">
        <f>IF(OR(履歴データ!$A$278="",履歴データ!$A$277=""),"",B278-B277)</f>
        <v>0.99999999999997868</v>
      </c>
      <c r="L278" s="28">
        <f>IF(OR(履歴データ!$A$278="",履歴データ!$A$277=""),"",C278-C277)</f>
        <v>-0.85000000000000497</v>
      </c>
      <c r="M278" s="28">
        <f>IF(OR(履歴データ!$A$278="",履歴データ!$A$277=""),"",D278-D277)</f>
        <v>6.8000000000000682</v>
      </c>
      <c r="N278" s="28">
        <f>IF(OR(履歴データ!$A$278="",履歴データ!$A$277=""),"",E278-E277)</f>
        <v>0</v>
      </c>
      <c r="O278" s="28">
        <f>IF(OR(履歴データ!$A$278="",履歴データ!$A$277=""),"",F278-F277)</f>
        <v>-2.8500000000000227</v>
      </c>
      <c r="P278" s="28">
        <f>IF(OR(履歴データ!$A$278="",履歴データ!$A$277=""),"",G278-G277)</f>
        <v>-7.8858214111326959</v>
      </c>
      <c r="Q278" s="29">
        <f>IF(OR(履歴データ!$A$278="",履歴データ!$A$277=""),"",H278-H277)</f>
        <v>0.26800537109375</v>
      </c>
      <c r="R278" s="29">
        <f>IF(OR(履歴データ!$A$278="",履歴データ!$A$277=""),"",I278-I277)</f>
        <v>-0.4375</v>
      </c>
      <c r="S278" s="28">
        <f>IF(OR(履歴データ!$A$278="",履歴データ!$A$277=""),"",(J278-J277)*100)</f>
        <v>6.0000000000000497</v>
      </c>
      <c r="T278" s="11">
        <f>IF(OR(履歴データ!$A$278="",履歴データ!$A$277=""),"",-80000*K278)</f>
        <v>-79999.999999998297</v>
      </c>
      <c r="U278" s="11">
        <f>IF(OR(履歴データ!$A$278="",履歴データ!$A$277=""),"",60000*L278)</f>
        <v>-51000.000000000298</v>
      </c>
      <c r="V278" s="11">
        <f>IF(OR(履歴データ!$A$278="",履歴データ!$A$277=""),"",-50000*M278)</f>
        <v>-340000.00000000343</v>
      </c>
      <c r="W278" s="11">
        <f>IF(OR(履歴データ!$A$278="",履歴データ!$A$277=""),"",-40000*N278)</f>
        <v>0</v>
      </c>
      <c r="X278" s="11">
        <f>IF(OR(履歴データ!$A$278="",履歴データ!$A$277=""),"",120*1000000*(-Q278/H277))</f>
        <v>-217569.21361768895</v>
      </c>
      <c r="Y278" s="11">
        <f>IF(OR(履歴データ!$A$278="",履歴データ!$A$277=""),"",40000*(-S278)+(-506.3)*R278*1000)</f>
        <v>-18493.750000001979</v>
      </c>
      <c r="Z278" s="11">
        <f>IF(OR(履歴データ!$A$278="",履歴データ!$A$277=""),"",-40000*O278)</f>
        <v>114000.0000000009</v>
      </c>
      <c r="AA278" s="11">
        <f>IF(OR(履歴データ!$A$278="",履歴データ!$A$277=""),"",-40000*P278)</f>
        <v>315432.85644530784</v>
      </c>
      <c r="AB278" s="11">
        <f>IF(履歴データ!$A$278="","",123.3)</f>
        <v>123.3</v>
      </c>
      <c r="AC278">
        <f>IF(履歴データ!$A$278="","",SUM(T278:AA278))</f>
        <v>-277630.10717238416</v>
      </c>
      <c r="AD278" s="29">
        <f>IF(履歴データ!$A$278="","",AC278/1000000)</f>
        <v>-0.27763010717238418</v>
      </c>
      <c r="AE278" s="29">
        <f>IF(履歴データ!$A$278="",AE277,AE277+AC278/1000000)</f>
        <v>82.256381434657456</v>
      </c>
      <c r="AF278" s="12">
        <f>IF(OR(履歴データ!$A$278="",AE277=0),"",(AE278-AE277)/AE277)</f>
        <v>-3.3638266453542812E-3</v>
      </c>
      <c r="AG278" s="29">
        <f t="shared" si="14"/>
        <v>102.17217746631495</v>
      </c>
      <c r="AH278" s="12">
        <f>IF(OR(履歴データ!$A$278="",AG278=0),"",AE278/AG278-1)</f>
        <v>-0.19492386797984718</v>
      </c>
      <c r="AJ278" s="28">
        <f t="shared" ca="1" si="12"/>
        <v>-16.208212265313119</v>
      </c>
      <c r="AK278" s="28">
        <f t="shared" ca="1" si="13"/>
        <v>-56.156867099766245</v>
      </c>
    </row>
    <row r="279" spans="1:37">
      <c r="A279" s="10">
        <f>IF(履歴データ!$A$279="","",履歴データ!$A$279)</f>
        <v>45331</v>
      </c>
      <c r="B279" s="28">
        <f>IF(履歴データ!$A$279="","",(履歴データ!$D$279-(履歴データ!$B$279+履歴データ!$F$279)/2)*100)</f>
        <v>-25.500000000000078</v>
      </c>
      <c r="C279" s="28">
        <f>IF(履歴データ!$A$279="","",(履歴データ!$H$279-(履歴データ!$G$279+履歴データ!$J$279)/2)*100)</f>
        <v>-20.600000000000009</v>
      </c>
      <c r="D279" s="28">
        <f>IF(履歴データ!$A$279="","",(履歴データ!$D$279-履歴データ!$H$279)*100)</f>
        <v>343.9</v>
      </c>
      <c r="E279" s="28">
        <f>IF(履歴データ!$A$279="","",(履歴データ!$D$279-履歴データ!$C$279)*100)</f>
        <v>3.0000000000000249</v>
      </c>
      <c r="F279" s="28">
        <f>IF(履歴データ!$A$279="","",(履歴データ!$R$279-履歴データ!$D$279)*100)</f>
        <v>-219.74999999999997</v>
      </c>
      <c r="G279" s="28">
        <f>IF(履歴データ!$A$279="","",(履歴データ!$S$279-履歴データ!$R$279)*100)</f>
        <v>-140.36835717773462</v>
      </c>
      <c r="H279" s="29">
        <f>IF(履歴データ!$A$279="","",履歴データ!$O$279)</f>
        <v>149.25900268554688</v>
      </c>
      <c r="I279" s="29">
        <f>IF(履歴データ!$A$279="","",履歴データ!$Q$279)</f>
        <v>110.578125</v>
      </c>
      <c r="J279" s="29">
        <f>IF(履歴データ!$A$279="","",履歴データ!$D$279)</f>
        <v>4.17</v>
      </c>
      <c r="K279" s="28">
        <f>IF(OR(履歴データ!$A$279="",履歴データ!$A$278=""),"",B279-B278)</f>
        <v>0.49999999999990052</v>
      </c>
      <c r="L279" s="28">
        <f>IF(OR(履歴データ!$A$279="",履歴データ!$A$278=""),"",C279-C278)</f>
        <v>0.89999999999999858</v>
      </c>
      <c r="M279" s="28">
        <f>IF(OR(履歴データ!$A$279="",履歴データ!$A$278=""),"",D279-D278)</f>
        <v>-0.50000000000005684</v>
      </c>
      <c r="N279" s="28">
        <f>IF(OR(履歴データ!$A$279="",履歴データ!$A$278=""),"",E279-E278)</f>
        <v>0</v>
      </c>
      <c r="O279" s="28">
        <f>IF(OR(履歴データ!$A$279="",履歴データ!$A$278=""),"",F279-F278)</f>
        <v>2.3000000000000682</v>
      </c>
      <c r="P279" s="28">
        <f>IF(OR(履歴データ!$A$279="",履歴データ!$A$278=""),"",G279-G278)</f>
        <v>-0.61653576660177123</v>
      </c>
      <c r="Q279" s="29">
        <f>IF(OR(履歴データ!$A$279="",履歴データ!$A$278=""),"",H279-H278)</f>
        <v>1.173004150390625</v>
      </c>
      <c r="R279" s="29">
        <f>IF(OR(履歴データ!$A$279="",履歴データ!$A$278=""),"",I279-I278)</f>
        <v>-0.171875</v>
      </c>
      <c r="S279" s="28">
        <f>IF(OR(履歴データ!$A$279="",履歴データ!$A$278=""),"",(J279-J278)*100)</f>
        <v>1.9999999999999574</v>
      </c>
      <c r="T279" s="11">
        <f>IF(OR(履歴データ!$A$279="",履歴データ!$A$278=""),"",-80000*K279)</f>
        <v>-39999.99999999204</v>
      </c>
      <c r="U279" s="11">
        <f>IF(OR(履歴データ!$A$279="",履歴データ!$A$278=""),"",60000*L279)</f>
        <v>53999.999999999913</v>
      </c>
      <c r="V279" s="11">
        <f>IF(OR(履歴データ!$A$279="",履歴データ!$A$278=""),"",-50000*M279)</f>
        <v>25000.000000002841</v>
      </c>
      <c r="W279" s="11">
        <f>IF(OR(履歴データ!$A$279="",履歴データ!$A$278=""),"",-40000*N279)</f>
        <v>0</v>
      </c>
      <c r="X279" s="11">
        <f>IF(OR(履歴データ!$A$279="",履歴データ!$A$278=""),"",120*1000000*(-Q279/H278))</f>
        <v>-950532.1194390828</v>
      </c>
      <c r="Y279" s="11">
        <f>IF(OR(履歴データ!$A$279="",履歴データ!$A$278=""),"",40000*(-S279)+(-506.3)*R279*1000)</f>
        <v>7020.3125000017026</v>
      </c>
      <c r="Z279" s="11">
        <f>IF(OR(履歴データ!$A$279="",履歴データ!$A$278=""),"",-40000*O279)</f>
        <v>-92000.000000002736</v>
      </c>
      <c r="AA279" s="11">
        <f>IF(OR(履歴データ!$A$279="",履歴データ!$A$278=""),"",-40000*P279)</f>
        <v>24661.430664070849</v>
      </c>
      <c r="AB279" s="11">
        <f>IF(履歴データ!$A$279="","",123.3)</f>
        <v>123.3</v>
      </c>
      <c r="AC279">
        <f>IF(履歴データ!$A$279="","",SUM(T279:AA279))</f>
        <v>-971850.37627500226</v>
      </c>
      <c r="AD279" s="29">
        <f>IF(履歴データ!$A$279="","",AC279/1000000)</f>
        <v>-0.97185037627500226</v>
      </c>
      <c r="AE279" s="29">
        <f>IF(履歴データ!$A$279="",AE278,AE278+AC279/1000000)</f>
        <v>81.284531058382456</v>
      </c>
      <c r="AF279" s="12">
        <f>IF(OR(履歴データ!$A$279="",AE278=0),"",(AE279-AE278)/AE278)</f>
        <v>-1.1814893377567496E-2</v>
      </c>
      <c r="AG279" s="29">
        <f t="shared" si="14"/>
        <v>102.17217746631495</v>
      </c>
      <c r="AH279" s="12">
        <f>IF(OR(履歴データ!$A$279="",AG279=0),"",AE279/AG279-1)</f>
        <v>-0.20443575664048974</v>
      </c>
      <c r="AJ279" s="28">
        <f t="shared" ca="1" si="12"/>
        <v>-16.115468437492325</v>
      </c>
      <c r="AK279" s="28">
        <f t="shared" ca="1" si="13"/>
        <v>-56.098817276793383</v>
      </c>
    </row>
    <row r="280" spans="1:37">
      <c r="A280" s="10">
        <f>IF(履歴データ!$A$280="","",履歴データ!$A$280)</f>
        <v>45334</v>
      </c>
      <c r="B280" s="28">
        <f>IF(履歴データ!$A$280="","",(履歴データ!$D$280-(履歴データ!$B$280+履歴データ!$F$280)/2)*100)</f>
        <v>-24.500000000000011</v>
      </c>
      <c r="C280" s="28">
        <f>IF(履歴データ!$A$280="","",(履歴データ!$H$280-(履歴データ!$G$280+履歴データ!$J$280)/2)*100)</f>
        <v>-20.600000000000009</v>
      </c>
      <c r="D280" s="28">
        <f>IF(履歴データ!$A$280="","",(履歴データ!$D$280-履歴データ!$H$280)*100)</f>
        <v>343.9</v>
      </c>
      <c r="E280" s="28">
        <f>IF(履歴データ!$A$280="","",(履歴データ!$D$280-履歴データ!$C$280)*100)</f>
        <v>4.0000000000000036</v>
      </c>
      <c r="F280" s="28">
        <f>IF(履歴データ!$A$280="","",(履歴データ!$R$280-履歴データ!$D$280)*100)</f>
        <v>-217.74</v>
      </c>
      <c r="G280" s="28">
        <f>IF(履歴データ!$A$280="","",(履歴データ!$S$280-履歴データ!$R$280)*100)</f>
        <v>-142.37835717773461</v>
      </c>
      <c r="H280" s="29">
        <f>IF(履歴データ!$A$280="","",履歴データ!$O$280)</f>
        <v>149.16700744628906</v>
      </c>
      <c r="I280" s="29">
        <f>IF(履歴データ!$A$280="","",履歴データ!$Q$280)</f>
        <v>110.71875</v>
      </c>
      <c r="J280" s="29">
        <f>IF(履歴データ!$A$280="","",履歴データ!$D$280)</f>
        <v>4.17</v>
      </c>
      <c r="K280" s="28">
        <f>IF(OR(履歴データ!$A$280="",履歴データ!$A$279=""),"",B280-B279)</f>
        <v>1.0000000000000675</v>
      </c>
      <c r="L280" s="28">
        <f>IF(OR(履歴データ!$A$280="",履歴データ!$A$279=""),"",C280-C279)</f>
        <v>0</v>
      </c>
      <c r="M280" s="28">
        <f>IF(OR(履歴データ!$A$280="",履歴データ!$A$279=""),"",D280-D279)</f>
        <v>0</v>
      </c>
      <c r="N280" s="28">
        <f>IF(OR(履歴データ!$A$280="",履歴データ!$A$279=""),"",E280-E279)</f>
        <v>0.99999999999997868</v>
      </c>
      <c r="O280" s="28">
        <f>IF(OR(履歴データ!$A$280="",履歴データ!$A$279=""),"",F280-F279)</f>
        <v>2.0099999999999625</v>
      </c>
      <c r="P280" s="28">
        <f>IF(OR(履歴データ!$A$280="",履歴データ!$A$279=""),"",G280-G279)</f>
        <v>-2.0099999999999909</v>
      </c>
      <c r="Q280" s="29">
        <f>IF(OR(履歴データ!$A$280="",履歴データ!$A$279=""),"",H280-H279)</f>
        <v>-9.19952392578125E-2</v>
      </c>
      <c r="R280" s="29">
        <f>IF(OR(履歴データ!$A$280="",履歴データ!$A$279=""),"",I280-I279)</f>
        <v>0.140625</v>
      </c>
      <c r="S280" s="28">
        <f>IF(OR(履歴データ!$A$280="",履歴データ!$A$279=""),"",(J280-J279)*100)</f>
        <v>0</v>
      </c>
      <c r="T280" s="11">
        <f>IF(OR(履歴データ!$A$280="",履歴データ!$A$279=""),"",-80000*K280)</f>
        <v>-80000.000000005399</v>
      </c>
      <c r="U280" s="11">
        <f>IF(OR(履歴データ!$A$280="",履歴データ!$A$279=""),"",60000*L280)</f>
        <v>0</v>
      </c>
      <c r="V280" s="11">
        <f>IF(OR(履歴データ!$A$280="",履歴データ!$A$279=""),"",-50000*M280)</f>
        <v>0</v>
      </c>
      <c r="W280" s="11">
        <f>IF(OR(履歴データ!$A$280="",履歴データ!$A$279=""),"",-40000*N280)</f>
        <v>-39999.999999999149</v>
      </c>
      <c r="X280" s="11">
        <f>IF(OR(履歴データ!$A$280="",履歴データ!$A$279=""),"",120*1000000*(-Q280/H279))</f>
        <v>73961.560189404074</v>
      </c>
      <c r="Y280" s="11">
        <f>IF(OR(履歴データ!$A$280="",履歴データ!$A$279=""),"",40000*(-S280)+(-506.3)*R280*1000)</f>
        <v>-71198.4375</v>
      </c>
      <c r="Z280" s="11">
        <f>IF(OR(履歴データ!$A$280="",履歴データ!$A$279=""),"",-40000*O280)</f>
        <v>-80399.999999998501</v>
      </c>
      <c r="AA280" s="11">
        <f>IF(OR(履歴データ!$A$280="",履歴データ!$A$279=""),"",-40000*P280)</f>
        <v>80399.999999999636</v>
      </c>
      <c r="AB280" s="11">
        <f>IF(履歴データ!$A$280="","",123.3)</f>
        <v>123.3</v>
      </c>
      <c r="AC280">
        <f>IF(履歴データ!$A$280="","",SUM(T280:AA280))</f>
        <v>-117236.87731059933</v>
      </c>
      <c r="AD280" s="29">
        <f>IF(履歴データ!$A$280="","",AC280/1000000)</f>
        <v>-0.11723687731059933</v>
      </c>
      <c r="AE280" s="29">
        <f>IF(履歴データ!$A$280="",AE279,AE279+AC280/1000000)</f>
        <v>81.167294181071853</v>
      </c>
      <c r="AF280" s="12">
        <f>IF(OR(履歴データ!$A$280="",AE279=0),"",(AE280-AE279)/AE279)</f>
        <v>-1.4423024379189417E-3</v>
      </c>
      <c r="AG280" s="29">
        <f t="shared" si="14"/>
        <v>102.17217746631495</v>
      </c>
      <c r="AH280" s="12">
        <f>IF(OR(履歴データ!$A$280="",AG280=0),"",AE280/AG280-1)</f>
        <v>-0.20558320088820836</v>
      </c>
      <c r="AJ280" s="28">
        <f t="shared" ca="1" si="12"/>
        <v>-16.011129107410472</v>
      </c>
      <c r="AK280" s="28">
        <f t="shared" ca="1" si="13"/>
        <v>-56.044426448145089</v>
      </c>
    </row>
    <row r="281" spans="1:37">
      <c r="A281" s="10">
        <f>IF(履歴データ!$A$281="","",履歴データ!$A$281)</f>
        <v>45335</v>
      </c>
      <c r="B281" s="28">
        <f>IF(履歴データ!$A$281="","",(履歴データ!$D$281-(履歴データ!$B$281+履歴データ!$F$281)/2)*100)</f>
        <v>-24.000000000000021</v>
      </c>
      <c r="C281" s="28">
        <f>IF(履歴データ!$A$281="","",(履歴データ!$H$281-(履歴データ!$G$281+履歴データ!$J$281)/2)*100)</f>
        <v>-20.849999999999991</v>
      </c>
      <c r="D281" s="28">
        <f>IF(履歴データ!$A$281="","",(履歴データ!$D$281-履歴データ!$H$281)*100)</f>
        <v>357.4</v>
      </c>
      <c r="E281" s="28">
        <f>IF(履歴データ!$A$281="","",(履歴データ!$D$281-履歴データ!$C$281)*100)</f>
        <v>0</v>
      </c>
      <c r="F281" s="28">
        <f>IF(履歴データ!$A$281="","",(履歴データ!$R$281-履歴データ!$D$281)*100)</f>
        <v>-233.54</v>
      </c>
      <c r="G281" s="28">
        <f>IF(履歴データ!$A$281="","",(履歴データ!$S$281-履歴データ!$R$281)*100)</f>
        <v>-140.05217858886721</v>
      </c>
      <c r="H281" s="29">
        <f>IF(履歴データ!$A$281="","",履歴データ!$O$281)</f>
        <v>149.40499877929688</v>
      </c>
      <c r="I281" s="29">
        <f>IF(履歴データ!$A$281="","",履歴データ!$Q$281)</f>
        <v>109.625</v>
      </c>
      <c r="J281" s="29">
        <f>IF(履歴データ!$A$281="","",履歴データ!$D$281)</f>
        <v>4.3099999999999996</v>
      </c>
      <c r="K281" s="28">
        <f>IF(OR(履歴データ!$A$281="",履歴データ!$A$280=""),"",B281-B280)</f>
        <v>0.49999999999998934</v>
      </c>
      <c r="L281" s="28">
        <f>IF(OR(履歴データ!$A$281="",履歴データ!$A$280=""),"",C281-C280)</f>
        <v>-0.24999999999998224</v>
      </c>
      <c r="M281" s="28">
        <f>IF(OR(履歴データ!$A$281="",履歴データ!$A$280=""),"",D281-D280)</f>
        <v>13.5</v>
      </c>
      <c r="N281" s="28">
        <f>IF(OR(履歴データ!$A$281="",履歴データ!$A$280=""),"",E281-E280)</f>
        <v>-4.0000000000000036</v>
      </c>
      <c r="O281" s="28">
        <f>IF(OR(履歴データ!$A$281="",履歴データ!$A$280=""),"",F281-F280)</f>
        <v>-15.799999999999983</v>
      </c>
      <c r="P281" s="28">
        <f>IF(OR(履歴データ!$A$281="",履歴データ!$A$280=""),"",G281-G280)</f>
        <v>2.3261785888674069</v>
      </c>
      <c r="Q281" s="29">
        <f>IF(OR(履歴データ!$A$281="",履歴データ!$A$280=""),"",H281-H280)</f>
        <v>0.2379913330078125</v>
      </c>
      <c r="R281" s="29">
        <f>IF(OR(履歴データ!$A$281="",履歴データ!$A$280=""),"",I281-I280)</f>
        <v>-1.09375</v>
      </c>
      <c r="S281" s="28">
        <f>IF(OR(履歴データ!$A$281="",履歴データ!$A$280=""),"",(J281-J280)*100)</f>
        <v>13.999999999999968</v>
      </c>
      <c r="T281" s="11">
        <f>IF(OR(履歴データ!$A$281="",履歴データ!$A$280=""),"",-80000*K281)</f>
        <v>-39999.999999999149</v>
      </c>
      <c r="U281" s="11">
        <f>IF(OR(履歴データ!$A$281="",履歴データ!$A$280=""),"",60000*L281)</f>
        <v>-14999.999999998934</v>
      </c>
      <c r="V281" s="11">
        <f>IF(OR(履歴データ!$A$281="",履歴データ!$A$280=""),"",-50000*M281)</f>
        <v>-675000</v>
      </c>
      <c r="W281" s="11">
        <f>IF(OR(履歴データ!$A$281="",履歴データ!$A$280=""),"",-40000*N281)</f>
        <v>160000.00000000015</v>
      </c>
      <c r="X281" s="11">
        <f>IF(OR(履歴データ!$A$281="",履歴データ!$A$280=""),"",120*1000000*(-Q281/H280))</f>
        <v>-191456.27742931558</v>
      </c>
      <c r="Y281" s="11">
        <f>IF(OR(履歴データ!$A$281="",履歴データ!$A$280=""),"",40000*(-S281)+(-506.3)*R281*1000)</f>
        <v>-6234.3749999987194</v>
      </c>
      <c r="Z281" s="11">
        <f>IF(OR(履歴データ!$A$281="",履歴データ!$A$280=""),"",-40000*O281)</f>
        <v>631999.9999999993</v>
      </c>
      <c r="AA281" s="11">
        <f>IF(OR(履歴データ!$A$281="",履歴データ!$A$280=""),"",-40000*P281)</f>
        <v>-93047.143554696275</v>
      </c>
      <c r="AB281" s="11">
        <f>IF(履歴データ!$A$281="","",123.3)</f>
        <v>123.3</v>
      </c>
      <c r="AC281">
        <f>IF(履歴データ!$A$281="","",SUM(T281:AA281))</f>
        <v>-228737.79598400934</v>
      </c>
      <c r="AD281" s="29">
        <f>IF(履歴データ!$A$281="","",AC281/1000000)</f>
        <v>-0.22873779598400934</v>
      </c>
      <c r="AE281" s="29">
        <f>IF(履歴データ!$A$281="",AE280,AE280+AC281/1000000)</f>
        <v>80.93855638508785</v>
      </c>
      <c r="AF281" s="12">
        <f>IF(OR(履歴データ!$A$281="",AE280=0),"",(AE281-AE280)/AE280)</f>
        <v>-2.8181030092456175E-3</v>
      </c>
      <c r="AG281" s="29">
        <f t="shared" si="14"/>
        <v>102.17217746631495</v>
      </c>
      <c r="AH281" s="12">
        <f>IF(OR(履歴データ!$A$281="",AG281=0),"",AE281/AG281-1)</f>
        <v>-0.20782194926038056</v>
      </c>
      <c r="AJ281" s="28">
        <f t="shared" ca="1" si="12"/>
        <v>-15.89738441722459</v>
      </c>
      <c r="AK281" s="28">
        <f t="shared" ca="1" si="13"/>
        <v>-56.011345741505579</v>
      </c>
    </row>
    <row r="282" spans="1:37">
      <c r="A282" s="10">
        <f>IF(履歴データ!$A$282="","",履歴データ!$A$282)</f>
        <v>45336</v>
      </c>
      <c r="B282" s="28">
        <f>IF(履歴データ!$A$282="","",(履歴データ!$D$282-(履歴データ!$B$282+履歴データ!$F$282)/2)*100)</f>
        <v>-23.500000000000032</v>
      </c>
      <c r="C282" s="28">
        <f>IF(履歴データ!$A$282="","",(履歴データ!$H$282-(履歴データ!$G$282+履歴データ!$J$282)/2)*100)</f>
        <v>-19.45</v>
      </c>
      <c r="D282" s="28">
        <f>IF(履歴データ!$A$282="","",(履歴データ!$D$282-履歴データ!$H$282)*100)</f>
        <v>350.59999999999991</v>
      </c>
      <c r="E282" s="28">
        <f>IF(履歴データ!$A$282="","",(履歴データ!$D$282-履歴データ!$C$282)*100)</f>
        <v>1.9999999999999574</v>
      </c>
      <c r="F282" s="28">
        <f>IF(履歴データ!$A$282="","",(履歴データ!$R$282-履歴データ!$D$282)*100)</f>
        <v>-221.49999999999994</v>
      </c>
      <c r="G282" s="28">
        <f>IF(履歴データ!$A$282="","",(履歴データ!$S$282-履歴データ!$R$282)*100)</f>
        <v>-144.75964282226568</v>
      </c>
      <c r="H282" s="29">
        <f>IF(履歴データ!$A$282="","",履歴データ!$O$282)</f>
        <v>150.7239990234375</v>
      </c>
      <c r="I282" s="29">
        <f>IF(履歴データ!$A$282="","",履歴データ!$Q$282)</f>
        <v>110.015625</v>
      </c>
      <c r="J282" s="29">
        <f>IF(履歴データ!$A$282="","",履歴データ!$D$282)</f>
        <v>4.2699999999999996</v>
      </c>
      <c r="K282" s="28">
        <f>IF(OR(履歴データ!$A$282="",履歴データ!$A$281=""),"",B282-B281)</f>
        <v>0.49999999999998934</v>
      </c>
      <c r="L282" s="28">
        <f>IF(OR(履歴データ!$A$282="",履歴データ!$A$281=""),"",C282-C281)</f>
        <v>1.3999999999999915</v>
      </c>
      <c r="M282" s="28">
        <f>IF(OR(履歴データ!$A$282="",履歴データ!$A$281=""),"",D282-D281)</f>
        <v>-6.8000000000000682</v>
      </c>
      <c r="N282" s="28">
        <f>IF(OR(履歴データ!$A$282="",履歴データ!$A$281=""),"",E282-E281)</f>
        <v>1.9999999999999574</v>
      </c>
      <c r="O282" s="28">
        <f>IF(OR(履歴データ!$A$282="",履歴データ!$A$281=""),"",F282-F281)</f>
        <v>12.040000000000049</v>
      </c>
      <c r="P282" s="28">
        <f>IF(OR(履歴データ!$A$282="",履歴データ!$A$281=""),"",G282-G281)</f>
        <v>-4.7074642333984684</v>
      </c>
      <c r="Q282" s="29">
        <f>IF(OR(履歴データ!$A$282="",履歴データ!$A$281=""),"",H282-H281)</f>
        <v>1.319000244140625</v>
      </c>
      <c r="R282" s="29">
        <f>IF(OR(履歴データ!$A$282="",履歴データ!$A$281=""),"",I282-I281)</f>
        <v>0.390625</v>
      </c>
      <c r="S282" s="28">
        <f>IF(OR(履歴データ!$A$282="",履歴データ!$A$281=""),"",(J282-J281)*100)</f>
        <v>-4.0000000000000036</v>
      </c>
      <c r="T282" s="11">
        <f>IF(OR(履歴データ!$A$282="",履歴データ!$A$281=""),"",-80000*K282)</f>
        <v>-39999.999999999149</v>
      </c>
      <c r="U282" s="11">
        <f>IF(OR(履歴データ!$A$282="",履歴データ!$A$281=""),"",60000*L282)</f>
        <v>83999.999999999491</v>
      </c>
      <c r="V282" s="11">
        <f>IF(OR(履歴データ!$A$282="",履歴データ!$A$281=""),"",-50000*M282)</f>
        <v>340000.00000000343</v>
      </c>
      <c r="W282" s="11">
        <f>IF(OR(履歴データ!$A$282="",履歴データ!$A$281=""),"",-40000*N282)</f>
        <v>-79999.999999998297</v>
      </c>
      <c r="X282" s="11">
        <f>IF(OR(履歴データ!$A$282="",履歴データ!$A$281=""),"",120*1000000*(-Q282/H281))</f>
        <v>-1059402.5005193329</v>
      </c>
      <c r="Y282" s="11">
        <f>IF(OR(履歴データ!$A$282="",履歴データ!$A$281=""),"",40000*(-S282)+(-506.3)*R282*1000)</f>
        <v>-37773.437499999854</v>
      </c>
      <c r="Z282" s="11">
        <f>IF(OR(履歴データ!$A$282="",履歴データ!$A$281=""),"",-40000*O282)</f>
        <v>-481600.00000000198</v>
      </c>
      <c r="AA282" s="11">
        <f>IF(OR(履歴データ!$A$282="",履歴データ!$A$281=""),"",-40000*P282)</f>
        <v>188298.56933593872</v>
      </c>
      <c r="AB282" s="11">
        <f>IF(履歴データ!$A$282="","",123.3)</f>
        <v>123.3</v>
      </c>
      <c r="AC282">
        <f>IF(履歴データ!$A$282="","",SUM(T282:AA282))</f>
        <v>-1086477.3686833906</v>
      </c>
      <c r="AD282" s="29">
        <f>IF(履歴データ!$A$282="","",AC282/1000000)</f>
        <v>-1.0864773686833906</v>
      </c>
      <c r="AE282" s="29">
        <f>IF(履歴データ!$A$282="",AE281,AE281+AC282/1000000)</f>
        <v>79.85207901640446</v>
      </c>
      <c r="AF282" s="12">
        <f>IF(OR(履歴データ!$A$282="",AE281=0),"",(AE282-AE281)/AE281)</f>
        <v>-1.3423483407761434E-2</v>
      </c>
      <c r="AG282" s="29">
        <f t="shared" si="14"/>
        <v>102.17217746631495</v>
      </c>
      <c r="AH282" s="12">
        <f>IF(OR(履歴データ!$A$282="",AG282=0),"",AE282/AG282-1)</f>
        <v>-0.21845573818047659</v>
      </c>
      <c r="AJ282" s="28">
        <f t="shared" ca="1" si="12"/>
        <v>-15.779684298389078</v>
      </c>
      <c r="AK282" s="28">
        <f t="shared" ca="1" si="13"/>
        <v>-55.970315701610922</v>
      </c>
    </row>
    <row r="283" spans="1:37">
      <c r="A283" s="10">
        <f>IF(履歴データ!$A$283="","",履歴データ!$A$283)</f>
        <v>45337</v>
      </c>
      <c r="B283" s="28">
        <f>IF(履歴データ!$A$283="","",(履歴データ!$D$283-(履歴データ!$B$283+履歴データ!$F$283)/2)*100)</f>
        <v>-25</v>
      </c>
      <c r="C283" s="28">
        <f>IF(履歴データ!$A$283="","",(履歴データ!$H$283-(履歴データ!$G$283+履歴データ!$J$283)/2)*100)</f>
        <v>-21.750000000000004</v>
      </c>
      <c r="D283" s="28">
        <f>IF(履歴データ!$A$283="","",(履歴データ!$D$283-履歴データ!$H$283)*100)</f>
        <v>350.40000000000003</v>
      </c>
      <c r="E283" s="28">
        <f>IF(履歴データ!$A$283="","",(履歴データ!$D$283-履歴データ!$C$283)*100)</f>
        <v>2.0000000000000462</v>
      </c>
      <c r="F283" s="28">
        <f>IF(履歴データ!$A$283="","",(履歴データ!$R$283-履歴データ!$D$283)*100)</f>
        <v>-231.96000000000004</v>
      </c>
      <c r="G283" s="28">
        <f>IF(履歴データ!$A$283="","",(履歴データ!$S$283-履歴データ!$R$283)*100)</f>
        <v>-133.75517858886738</v>
      </c>
      <c r="H283" s="29">
        <f>IF(履歴データ!$A$283="","",履歴データ!$O$283)</f>
        <v>150.54400634765625</v>
      </c>
      <c r="I283" s="29">
        <f>IF(履歴データ!$A$283="","",履歴データ!$Q$283)</f>
        <v>110.171875</v>
      </c>
      <c r="J283" s="29">
        <f>IF(履歴データ!$A$283="","",履歴データ!$D$283)</f>
        <v>4.24</v>
      </c>
      <c r="K283" s="28">
        <f>IF(OR(履歴データ!$A$283="",履歴データ!$A$282=""),"",B283-B282)</f>
        <v>-1.499999999999968</v>
      </c>
      <c r="L283" s="28">
        <f>IF(OR(履歴データ!$A$283="",履歴データ!$A$282=""),"",C283-C282)</f>
        <v>-2.3000000000000043</v>
      </c>
      <c r="M283" s="28">
        <f>IF(OR(履歴データ!$A$283="",履歴データ!$A$282=""),"",D283-D282)</f>
        <v>-0.19999999999987494</v>
      </c>
      <c r="N283" s="28">
        <f>IF(OR(履歴データ!$A$283="",履歴データ!$A$282=""),"",E283-E282)</f>
        <v>8.8817841970012523E-14</v>
      </c>
      <c r="O283" s="28">
        <f>IF(OR(履歴データ!$A$283="",履歴データ!$A$282=""),"",F283-F282)</f>
        <v>-10.460000000000093</v>
      </c>
      <c r="P283" s="28">
        <f>IF(OR(履歴データ!$A$283="",履歴データ!$A$282=""),"",G283-G282)</f>
        <v>11.004464233398295</v>
      </c>
      <c r="Q283" s="29">
        <f>IF(OR(履歴データ!$A$283="",履歴データ!$A$282=""),"",H283-H282)</f>
        <v>-0.17999267578125</v>
      </c>
      <c r="R283" s="29">
        <f>IF(OR(履歴データ!$A$283="",履歴データ!$A$282=""),"",I283-I282)</f>
        <v>0.15625</v>
      </c>
      <c r="S283" s="28">
        <f>IF(OR(履歴データ!$A$283="",履歴データ!$A$282=""),"",(J283-J282)*100)</f>
        <v>-2.9999999999999361</v>
      </c>
      <c r="T283" s="11">
        <f>IF(OR(履歴データ!$A$283="",履歴データ!$A$282=""),"",-80000*K283)</f>
        <v>119999.99999999744</v>
      </c>
      <c r="U283" s="11">
        <f>IF(OR(履歴データ!$A$283="",履歴データ!$A$282=""),"",60000*L283)</f>
        <v>-138000.00000000026</v>
      </c>
      <c r="V283" s="11">
        <f>IF(OR(履歴データ!$A$283="",履歴データ!$A$282=""),"",-50000*M283)</f>
        <v>9999.9999999937463</v>
      </c>
      <c r="W283" s="11">
        <f>IF(OR(履歴データ!$A$283="",履歴データ!$A$282=""),"",-40000*N283)</f>
        <v>-3.5527136788005009E-9</v>
      </c>
      <c r="X283" s="11">
        <f>IF(OR(履歴データ!$A$283="",履歴データ!$A$282=""),"",120*1000000*(-Q283/H282))</f>
        <v>143302.46831091144</v>
      </c>
      <c r="Y283" s="11">
        <f>IF(OR(履歴データ!$A$283="",履歴データ!$A$282=""),"",40000*(-S283)+(-506.3)*R283*1000)</f>
        <v>40890.624999997439</v>
      </c>
      <c r="Z283" s="11">
        <f>IF(OR(履歴データ!$A$283="",履歴データ!$A$282=""),"",-40000*O283)</f>
        <v>418400.00000000373</v>
      </c>
      <c r="AA283" s="11">
        <f>IF(OR(履歴データ!$A$283="",履歴データ!$A$282=""),"",-40000*P283)</f>
        <v>-440178.5693359318</v>
      </c>
      <c r="AB283" s="11">
        <f>IF(履歴データ!$A$283="","",123.3)</f>
        <v>123.3</v>
      </c>
      <c r="AC283">
        <f>IF(履歴データ!$A$283="","",SUM(T283:AA283))</f>
        <v>154414.52397496824</v>
      </c>
      <c r="AD283" s="29">
        <f>IF(履歴データ!$A$283="","",AC283/1000000)</f>
        <v>0.15441452397496824</v>
      </c>
      <c r="AE283" s="29">
        <f>IF(履歴データ!$A$283="",AE282,AE282+AC283/1000000)</f>
        <v>80.006493540379424</v>
      </c>
      <c r="AF283" s="12">
        <f>IF(OR(履歴データ!$A$283="",AE282=0),"",(AE283-AE282)/AE282)</f>
        <v>1.9337570903224907E-3</v>
      </c>
      <c r="AG283" s="29">
        <f t="shared" si="14"/>
        <v>102.17217746631495</v>
      </c>
      <c r="AH283" s="12">
        <f>IF(OR(履歴データ!$A$283="",AG283=0),"",AE283/AG283-1)</f>
        <v>-0.21694442142278225</v>
      </c>
      <c r="AJ283" s="28">
        <f t="shared" ca="1" si="12"/>
        <v>-15.682983053436917</v>
      </c>
      <c r="AK283" s="28">
        <f t="shared" ca="1" si="13"/>
        <v>-55.920191549737694</v>
      </c>
    </row>
    <row r="284" spans="1:37">
      <c r="A284" s="10">
        <f>IF(履歴データ!$A$284="","",履歴データ!$A$284)</f>
        <v>45338</v>
      </c>
      <c r="B284" s="28">
        <f>IF(履歴データ!$A$284="","",(履歴データ!$D$284-(履歴データ!$B$284+履歴データ!$F$284)/2)*100)</f>
        <v>-24.500000000000011</v>
      </c>
      <c r="C284" s="28">
        <f>IF(履歴データ!$A$284="","",(履歴データ!$H$284-(履歴データ!$G$284+履歴データ!$J$284)/2)*100)</f>
        <v>-20.950000000000003</v>
      </c>
      <c r="D284" s="28">
        <f>IF(履歴データ!$A$284="","",(履歴データ!$D$284-履歴データ!$H$284)*100)</f>
        <v>356.29999999999995</v>
      </c>
      <c r="E284" s="28">
        <f>IF(履歴データ!$A$284="","",(履歴データ!$D$284-履歴データ!$C$284)*100)</f>
        <v>0.99999999999997868</v>
      </c>
      <c r="F284" s="28">
        <f>IF(履歴データ!$A$284="","",(履歴データ!$R$284-履歴データ!$D$284)*100)</f>
        <v>-239.27999999999997</v>
      </c>
      <c r="G284" s="28">
        <f>IF(履歴データ!$A$284="","",(履歴データ!$S$284-履歴データ!$R$284)*100)</f>
        <v>-132.0843571777346</v>
      </c>
      <c r="H284" s="29">
        <f>IF(履歴データ!$A$284="","",履歴データ!$O$284)</f>
        <v>149.94599914550781</v>
      </c>
      <c r="I284" s="29">
        <f>IF(履歴データ!$A$284="","",履歴データ!$Q$284)</f>
        <v>109.75</v>
      </c>
      <c r="J284" s="29">
        <f>IF(履歴データ!$A$284="","",履歴データ!$D$284)</f>
        <v>4.3</v>
      </c>
      <c r="K284" s="28">
        <f>IF(OR(履歴データ!$A$284="",履歴データ!$A$283=""),"",B284-B283)</f>
        <v>0.49999999999998934</v>
      </c>
      <c r="L284" s="28">
        <f>IF(OR(履歴データ!$A$284="",履歴データ!$A$283=""),"",C284-C283)</f>
        <v>0.80000000000000071</v>
      </c>
      <c r="M284" s="28">
        <f>IF(OR(履歴データ!$A$284="",履歴データ!$A$283=""),"",D284-D283)</f>
        <v>5.8999999999999204</v>
      </c>
      <c r="N284" s="28">
        <f>IF(OR(履歴データ!$A$284="",履歴データ!$A$283=""),"",E284-E283)</f>
        <v>-1.0000000000000675</v>
      </c>
      <c r="O284" s="28">
        <f>IF(OR(履歴データ!$A$284="",履歴データ!$A$283=""),"",F284-F283)</f>
        <v>-7.3199999999999363</v>
      </c>
      <c r="P284" s="28">
        <f>IF(OR(履歴データ!$A$284="",履歴データ!$A$283=""),"",G284-G283)</f>
        <v>1.6708214111327777</v>
      </c>
      <c r="Q284" s="29">
        <f>IF(OR(履歴データ!$A$284="",履歴データ!$A$283=""),"",H284-H283)</f>
        <v>-0.5980072021484375</v>
      </c>
      <c r="R284" s="29">
        <f>IF(OR(履歴データ!$A$284="",履歴データ!$A$283=""),"",I284-I283)</f>
        <v>-0.421875</v>
      </c>
      <c r="S284" s="28">
        <f>IF(OR(履歴データ!$A$284="",履歴データ!$A$283=""),"",(J284-J283)*100)</f>
        <v>5.9999999999999609</v>
      </c>
      <c r="T284" s="11">
        <f>IF(OR(履歴データ!$A$284="",履歴データ!$A$283=""),"",-80000*K284)</f>
        <v>-39999.999999999149</v>
      </c>
      <c r="U284" s="11">
        <f>IF(OR(履歴データ!$A$284="",履歴データ!$A$283=""),"",60000*L284)</f>
        <v>48000.000000000044</v>
      </c>
      <c r="V284" s="11">
        <f>IF(OR(履歴データ!$A$284="",履歴データ!$A$283=""),"",-50000*M284)</f>
        <v>-294999.99999999604</v>
      </c>
      <c r="W284" s="11">
        <f>IF(OR(履歴データ!$A$284="",履歴データ!$A$283=""),"",-40000*N284)</f>
        <v>40000.000000002699</v>
      </c>
      <c r="X284" s="11">
        <f>IF(OR(履歴データ!$A$284="",履歴データ!$A$283=""),"",120*1000000*(-Q284/H283))</f>
        <v>476676.99298564409</v>
      </c>
      <c r="Y284" s="11">
        <f>IF(OR(履歴データ!$A$284="",履歴データ!$A$283=""),"",40000*(-S284)+(-506.3)*R284*1000)</f>
        <v>-26404.687499998428</v>
      </c>
      <c r="Z284" s="11">
        <f>IF(OR(履歴データ!$A$284="",履歴データ!$A$283=""),"",-40000*O284)</f>
        <v>292799.99999999744</v>
      </c>
      <c r="AA284" s="11">
        <f>IF(OR(履歴データ!$A$284="",履歴データ!$A$283=""),"",-40000*P284)</f>
        <v>-66832.856445311103</v>
      </c>
      <c r="AB284" s="11">
        <f>IF(履歴データ!$A$284="","",123.3)</f>
        <v>123.3</v>
      </c>
      <c r="AC284">
        <f>IF(履歴データ!$A$284="","",SUM(T284:AA284))</f>
        <v>429239.44904033956</v>
      </c>
      <c r="AD284" s="29">
        <f>IF(履歴データ!$A$284="","",AC284/1000000)</f>
        <v>0.42923944904033956</v>
      </c>
      <c r="AE284" s="29">
        <f>IF(履歴データ!$A$284="",AE283,AE283+AC284/1000000)</f>
        <v>80.435732989419762</v>
      </c>
      <c r="AF284" s="12">
        <f>IF(OR(履歴データ!$A$284="",AE283=0),"",(AE284-AE283)/AE283)</f>
        <v>5.3650576352743196E-3</v>
      </c>
      <c r="AG284" s="29">
        <f t="shared" si="14"/>
        <v>102.17217746631495</v>
      </c>
      <c r="AH284" s="12">
        <f>IF(OR(履歴データ!$A$284="",AG284=0),"",AE284/AG284-1)</f>
        <v>-0.21274328311209234</v>
      </c>
      <c r="AJ284" s="28">
        <f t="shared" ca="1" si="12"/>
        <v>-15.579273390340571</v>
      </c>
      <c r="AK284" s="28">
        <f t="shared" ca="1" si="13"/>
        <v>-55.88104406997688</v>
      </c>
    </row>
    <row r="285" spans="1:37">
      <c r="A285" s="10">
        <f>IF(履歴データ!$A$285="","",履歴データ!$A$285)</f>
        <v>45342</v>
      </c>
      <c r="B285" s="28">
        <f>IF(履歴データ!$A$285="","",(履歴データ!$D$285-(履歴データ!$B$285+履歴データ!$F$285)/2)*100)</f>
        <v>-24.500000000000099</v>
      </c>
      <c r="C285" s="28">
        <f>IF(履歴データ!$A$285="","",(履歴データ!$H$285-(履歴データ!$G$285+履歴データ!$J$285)/2)*100)</f>
        <v>-19.600000000000005</v>
      </c>
      <c r="D285" s="28">
        <f>IF(履歴データ!$A$285="","",(履歴データ!$D$285-履歴データ!$H$285)*100)</f>
        <v>352.79999999999995</v>
      </c>
      <c r="E285" s="28">
        <f>IF(履歴データ!$A$285="","",(履歴データ!$D$285-履歴データ!$C$285)*100)</f>
        <v>1.9999999999999574</v>
      </c>
      <c r="F285" s="28">
        <f>IF(履歴データ!$A$285="","",(履歴データ!$R$285-履歴データ!$D$285)*100)</f>
        <v>-232.82999999999996</v>
      </c>
      <c r="G285" s="28">
        <f>IF(履歴データ!$A$285="","",(履歴データ!$S$285-履歴データ!$R$285)*100)</f>
        <v>-133.42964282226566</v>
      </c>
      <c r="H285" s="29">
        <f>IF(履歴データ!$A$285="","",履歴データ!$O$285)</f>
        <v>150.27000427246094</v>
      </c>
      <c r="I285" s="29">
        <f>IF(履歴データ!$A$285="","",履歴データ!$Q$285)</f>
        <v>109.9375</v>
      </c>
      <c r="J285" s="29">
        <f>IF(履歴データ!$A$285="","",履歴データ!$D$285)</f>
        <v>4.2699999999999996</v>
      </c>
      <c r="K285" s="28">
        <f>IF(OR(履歴データ!$A$285="",履歴データ!$A$284=""),"",B285-B284)</f>
        <v>-8.8817841970012523E-14</v>
      </c>
      <c r="L285" s="28">
        <f>IF(OR(履歴データ!$A$285="",履歴データ!$A$284=""),"",C285-C284)</f>
        <v>1.3499999999999979</v>
      </c>
      <c r="M285" s="28">
        <f>IF(OR(履歴データ!$A$285="",履歴データ!$A$284=""),"",D285-D284)</f>
        <v>-3.5</v>
      </c>
      <c r="N285" s="28">
        <f>IF(OR(履歴データ!$A$285="",履歴データ!$A$284=""),"",E285-E284)</f>
        <v>0.99999999999997868</v>
      </c>
      <c r="O285" s="28">
        <f>IF(OR(履歴データ!$A$285="",履歴データ!$A$284=""),"",F285-F284)</f>
        <v>6.4500000000000171</v>
      </c>
      <c r="P285" s="28">
        <f>IF(OR(履歴データ!$A$285="",履歴データ!$A$284=""),"",G285-G284)</f>
        <v>-1.3452856445310601</v>
      </c>
      <c r="Q285" s="29">
        <f>IF(OR(履歴データ!$A$285="",履歴データ!$A$284=""),"",H285-H284)</f>
        <v>0.324005126953125</v>
      </c>
      <c r="R285" s="29">
        <f>IF(OR(履歴データ!$A$285="",履歴データ!$A$284=""),"",I285-I284)</f>
        <v>0.1875</v>
      </c>
      <c r="S285" s="28">
        <f>IF(OR(履歴データ!$A$285="",履歴データ!$A$284=""),"",(J285-J284)*100)</f>
        <v>-3.0000000000000249</v>
      </c>
      <c r="T285" s="11">
        <f>IF(OR(履歴データ!$A$285="",履歴データ!$A$284=""),"",-80000*K285)</f>
        <v>7.1054273576010019E-9</v>
      </c>
      <c r="U285" s="11">
        <f>IF(OR(履歴データ!$A$285="",履歴データ!$A$284=""),"",60000*L285)</f>
        <v>80999.999999999869</v>
      </c>
      <c r="V285" s="11">
        <f>IF(OR(履歴データ!$A$285="",履歴データ!$A$284=""),"",-50000*M285)</f>
        <v>175000</v>
      </c>
      <c r="W285" s="11">
        <f>IF(OR(履歴データ!$A$285="",履歴データ!$A$284=""),"",-40000*N285)</f>
        <v>-39999.999999999149</v>
      </c>
      <c r="X285" s="11">
        <f>IF(OR(履歴データ!$A$285="",履歴データ!$A$284=""),"",120*1000000*(-Q285/H284))</f>
        <v>-259297.45012166144</v>
      </c>
      <c r="Y285" s="11">
        <f>IF(OR(履歴データ!$A$285="",履歴データ!$A$284=""),"",40000*(-S285)+(-506.3)*R285*1000)</f>
        <v>25068.75000000099</v>
      </c>
      <c r="Z285" s="11">
        <f>IF(OR(履歴データ!$A$285="",履歴データ!$A$284=""),"",-40000*O285)</f>
        <v>-258000.00000000067</v>
      </c>
      <c r="AA285" s="11">
        <f>IF(OR(履歴データ!$A$285="",履歴データ!$A$284=""),"",-40000*P285)</f>
        <v>53811.425781242404</v>
      </c>
      <c r="AB285" s="11">
        <f>IF(履歴データ!$A$285="","",123.3)</f>
        <v>123.3</v>
      </c>
      <c r="AC285">
        <f>IF(履歴データ!$A$285="","",SUM(T285:AA285))</f>
        <v>-222417.27434041086</v>
      </c>
      <c r="AD285" s="29">
        <f>IF(履歴データ!$A$285="","",AC285/1000000)</f>
        <v>-0.22241727434041086</v>
      </c>
      <c r="AE285" s="29">
        <f>IF(履歴データ!$A$285="",AE284,AE284+AC285/1000000)</f>
        <v>80.213315715079347</v>
      </c>
      <c r="AF285" s="12">
        <f>IF(OR(履歴データ!$A$285="",AE284=0),"",(AE285-AE284)/AE284)</f>
        <v>-2.7651550632313048E-3</v>
      </c>
      <c r="AG285" s="29">
        <f t="shared" si="14"/>
        <v>102.17217746631495</v>
      </c>
      <c r="AH285" s="12">
        <f>IF(OR(履歴データ!$A$285="",AG285=0),"",AE285/AG285-1)</f>
        <v>-0.21492017000885788</v>
      </c>
      <c r="AJ285" s="28">
        <f t="shared" ca="1" si="12"/>
        <v>-15.475373043764574</v>
      </c>
      <c r="AK285" s="28">
        <f t="shared" ca="1" si="13"/>
        <v>-55.853992035600498</v>
      </c>
    </row>
    <row r="286" spans="1:37">
      <c r="A286" s="10">
        <f>IF(履歴データ!$A$286="","",履歴データ!$A$286)</f>
        <v>45343</v>
      </c>
      <c r="B286" s="28">
        <f>IF(履歴データ!$A$286="","",(履歴データ!$D$286-(履歴データ!$B$286+履歴データ!$F$286)/2)*100)</f>
        <v>-24.499999999999922</v>
      </c>
      <c r="C286" s="28">
        <f>IF(履歴データ!$A$286="","",(履歴データ!$H$286-(履歴データ!$G$286+履歴データ!$J$286)/2)*100)</f>
        <v>-19.900000000000006</v>
      </c>
      <c r="D286" s="28">
        <f>IF(履歴データ!$A$286="","",(履歴データ!$D$286-履歴データ!$H$286)*100)</f>
        <v>358.8</v>
      </c>
      <c r="E286" s="28">
        <f>IF(履歴データ!$A$286="","",(履歴データ!$D$286-履歴データ!$C$286)*100)</f>
        <v>2.0000000000000462</v>
      </c>
      <c r="F286" s="28">
        <f>IF(履歴データ!$A$286="","",(履歴データ!$R$286-履歴データ!$D$286)*100)</f>
        <v>-240.95000000000005</v>
      </c>
      <c r="G286" s="28">
        <f>IF(履歴データ!$A$286="","",(履歴データ!$S$286-履歴データ!$R$286)*100)</f>
        <v>-136.44864282226561</v>
      </c>
      <c r="H286" s="29">
        <f>IF(履歴データ!$A$286="","",履歴データ!$O$286)</f>
        <v>149.93899536132813</v>
      </c>
      <c r="I286" s="29">
        <f>IF(履歴データ!$A$286="","",履歴データ!$Q$286)</f>
        <v>109.625</v>
      </c>
      <c r="J286" s="29">
        <f>IF(履歴データ!$A$286="","",履歴データ!$D$286)</f>
        <v>4.32</v>
      </c>
      <c r="K286" s="28">
        <f>IF(OR(履歴データ!$A$286="",履歴データ!$A$285=""),"",B286-B285)</f>
        <v>1.7763568394002505E-13</v>
      </c>
      <c r="L286" s="28">
        <f>IF(OR(履歴データ!$A$286="",履歴データ!$A$285=""),"",C286-C285)</f>
        <v>-0.30000000000000071</v>
      </c>
      <c r="M286" s="28">
        <f>IF(OR(履歴データ!$A$286="",履歴データ!$A$285=""),"",D286-D285)</f>
        <v>6.0000000000000568</v>
      </c>
      <c r="N286" s="28">
        <f>IF(OR(履歴データ!$A$286="",履歴データ!$A$285=""),"",E286-E285)</f>
        <v>8.8817841970012523E-14</v>
      </c>
      <c r="O286" s="28">
        <f>IF(OR(履歴データ!$A$286="",履歴データ!$A$285=""),"",F286-F285)</f>
        <v>-8.1200000000000898</v>
      </c>
      <c r="P286" s="28">
        <f>IF(OR(履歴データ!$A$286="",履歴データ!$A$285=""),"",G286-G285)</f>
        <v>-3.0189999999999486</v>
      </c>
      <c r="Q286" s="29">
        <f>IF(OR(履歴データ!$A$286="",履歴データ!$A$285=""),"",H286-H285)</f>
        <v>-0.3310089111328125</v>
      </c>
      <c r="R286" s="29">
        <f>IF(OR(履歴データ!$A$286="",履歴データ!$A$285=""),"",I286-I285)</f>
        <v>-0.3125</v>
      </c>
      <c r="S286" s="28">
        <f>IF(OR(履歴データ!$A$286="",履歴データ!$A$285=""),"",(J286-J285)*100)</f>
        <v>5.0000000000000711</v>
      </c>
      <c r="T286" s="11">
        <f>IF(OR(履歴データ!$A$286="",履歴データ!$A$285=""),"",-80000*K286)</f>
        <v>-1.4210854715202004E-8</v>
      </c>
      <c r="U286" s="11">
        <f>IF(OR(履歴データ!$A$286="",履歴データ!$A$285=""),"",60000*L286)</f>
        <v>-18000.000000000044</v>
      </c>
      <c r="V286" s="11">
        <f>IF(OR(履歴データ!$A$286="",履歴データ!$A$285=""),"",-50000*M286)</f>
        <v>-300000.00000000285</v>
      </c>
      <c r="W286" s="11">
        <f>IF(OR(履歴データ!$A$286="",履歴データ!$A$285=""),"",-40000*N286)</f>
        <v>-3.5527136788005009E-9</v>
      </c>
      <c r="X286" s="11">
        <f>IF(OR(履歴データ!$A$286="",履歴データ!$A$285=""),"",120*1000000*(-Q286/H285))</f>
        <v>264331.32499229547</v>
      </c>
      <c r="Y286" s="11">
        <f>IF(OR(履歴データ!$A$286="",履歴データ!$A$285=""),"",40000*(-S286)+(-506.3)*R286*1000)</f>
        <v>-41781.250000002852</v>
      </c>
      <c r="Z286" s="11">
        <f>IF(OR(履歴データ!$A$286="",履歴データ!$A$285=""),"",-40000*O286)</f>
        <v>324800.00000000361</v>
      </c>
      <c r="AA286" s="11">
        <f>IF(OR(履歴データ!$A$286="",履歴データ!$A$285=""),"",-40000*P286)</f>
        <v>120759.99999999795</v>
      </c>
      <c r="AB286" s="11">
        <f>IF(履歴データ!$A$286="","",123.3)</f>
        <v>123.3</v>
      </c>
      <c r="AC286">
        <f>IF(履歴データ!$A$286="","",SUM(T286:AA286))</f>
        <v>350110.07499227353</v>
      </c>
      <c r="AD286" s="29">
        <f>IF(履歴データ!$A$286="","",AC286/1000000)</f>
        <v>0.35011007499227353</v>
      </c>
      <c r="AE286" s="29">
        <f>IF(履歴データ!$A$286="",AE285,AE285+AC286/1000000)</f>
        <v>80.563425790071619</v>
      </c>
      <c r="AF286" s="12">
        <f>IF(OR(履歴データ!$A$286="",AE285=0),"",(AE286-AE285)/AE285)</f>
        <v>4.3647375983792598E-3</v>
      </c>
      <c r="AG286" s="29">
        <f t="shared" si="14"/>
        <v>102.17217746631495</v>
      </c>
      <c r="AH286" s="12">
        <f>IF(OR(履歴データ!$A$286="",AG286=0),"",AE286/AG286-1)</f>
        <v>-0.21149350255716626</v>
      </c>
      <c r="AJ286" s="28">
        <f t="shared" ca="1" si="12"/>
        <v>-15.373079807159254</v>
      </c>
      <c r="AK286" s="28">
        <f t="shared" ca="1" si="13"/>
        <v>-55.817396383316932</v>
      </c>
    </row>
    <row r="287" spans="1:37">
      <c r="A287" s="10">
        <f>IF(履歴データ!$A$287="","",履歴データ!$A$287)</f>
        <v>45344</v>
      </c>
      <c r="B287" s="28">
        <f>IF(履歴データ!$A$287="","",(履歴データ!$D$287-(履歴データ!$B$287+履歴データ!$F$287)/2)*100)</f>
        <v>-25</v>
      </c>
      <c r="C287" s="28">
        <f>IF(履歴データ!$A$287="","",(履歴データ!$H$287-(履歴データ!$G$287+履歴データ!$J$287)/2)*100)</f>
        <v>-20.150000000000002</v>
      </c>
      <c r="D287" s="28">
        <f>IF(履歴データ!$A$287="","",(履歴データ!$D$287-履歴データ!$H$287)*100)</f>
        <v>360.3</v>
      </c>
      <c r="E287" s="28">
        <f>IF(履歴データ!$A$287="","",(履歴データ!$D$287-履歴データ!$C$287)*100)</f>
        <v>0</v>
      </c>
      <c r="F287" s="28">
        <f>IF(履歴データ!$A$287="","",(履歴データ!$R$287-履歴データ!$D$287)*100)</f>
        <v>-235.90999999999997</v>
      </c>
      <c r="G287" s="28">
        <f>IF(履歴データ!$A$287="","",(履歴データ!$S$287-履歴データ!$R$287)*100)</f>
        <v>-139.50682141113296</v>
      </c>
      <c r="H287" s="29">
        <f>IF(履歴データ!$A$287="","",履歴データ!$O$287)</f>
        <v>150.35499572753906</v>
      </c>
      <c r="I287" s="29">
        <f>IF(履歴データ!$A$287="","",履歴データ!$Q$287)</f>
        <v>109.5</v>
      </c>
      <c r="J287" s="29">
        <f>IF(履歴データ!$A$287="","",履歴データ!$D$287)</f>
        <v>4.33</v>
      </c>
      <c r="K287" s="28">
        <f>IF(OR(履歴データ!$A$287="",履歴データ!$A$286=""),"",B287-B286)</f>
        <v>-0.50000000000007816</v>
      </c>
      <c r="L287" s="28">
        <f>IF(OR(履歴データ!$A$287="",履歴データ!$A$286=""),"",C287-C286)</f>
        <v>-0.24999999999999645</v>
      </c>
      <c r="M287" s="28">
        <f>IF(OR(履歴データ!$A$287="",履歴データ!$A$286=""),"",D287-D286)</f>
        <v>1.5</v>
      </c>
      <c r="N287" s="28">
        <f>IF(OR(履歴データ!$A$287="",履歴データ!$A$286=""),"",E287-E286)</f>
        <v>-2.0000000000000462</v>
      </c>
      <c r="O287" s="28">
        <f>IF(OR(履歴データ!$A$287="",履歴データ!$A$286=""),"",F287-F286)</f>
        <v>5.0400000000000773</v>
      </c>
      <c r="P287" s="28">
        <f>IF(OR(履歴データ!$A$287="",履歴データ!$A$286=""),"",G287-G286)</f>
        <v>-3.0581785888673494</v>
      </c>
      <c r="Q287" s="29">
        <f>IF(OR(履歴データ!$A$287="",履歴データ!$A$286=""),"",H287-H286)</f>
        <v>0.4160003662109375</v>
      </c>
      <c r="R287" s="29">
        <f>IF(OR(履歴データ!$A$287="",履歴データ!$A$286=""),"",I287-I286)</f>
        <v>-0.125</v>
      </c>
      <c r="S287" s="28">
        <f>IF(OR(履歴データ!$A$287="",履歴データ!$A$286=""),"",(J287-J286)*100)</f>
        <v>0.99999999999997868</v>
      </c>
      <c r="T287" s="11">
        <f>IF(OR(履歴データ!$A$287="",履歴データ!$A$286=""),"",-80000*K287)</f>
        <v>40000.00000000625</v>
      </c>
      <c r="U287" s="11">
        <f>IF(OR(履歴データ!$A$287="",履歴データ!$A$286=""),"",60000*L287)</f>
        <v>-14999.999999999787</v>
      </c>
      <c r="V287" s="11">
        <f>IF(OR(履歴データ!$A$287="",履歴データ!$A$286=""),"",-50000*M287)</f>
        <v>-75000</v>
      </c>
      <c r="W287" s="11">
        <f>IF(OR(履歴データ!$A$287="",履歴データ!$A$286=""),"",-40000*N287)</f>
        <v>80000.000000001848</v>
      </c>
      <c r="X287" s="11">
        <f>IF(OR(履歴データ!$A$287="",履歴データ!$A$286=""),"",120*1000000*(-Q287/H286))</f>
        <v>-332935.69711477304</v>
      </c>
      <c r="Y287" s="11">
        <f>IF(OR(履歴データ!$A$287="",履歴データ!$A$286=""),"",40000*(-S287)+(-506.3)*R287*1000)</f>
        <v>23287.500000000851</v>
      </c>
      <c r="Z287" s="11">
        <f>IF(OR(履歴データ!$A$287="",履歴データ!$A$286=""),"",-40000*O287)</f>
        <v>-201600.00000000309</v>
      </c>
      <c r="AA287" s="11">
        <f>IF(OR(履歴データ!$A$287="",履歴データ!$A$286=""),"",-40000*P287)</f>
        <v>122327.14355469398</v>
      </c>
      <c r="AB287" s="11">
        <f>IF(履歴データ!$A$287="","",123.3)</f>
        <v>123.3</v>
      </c>
      <c r="AC287">
        <f>IF(履歴データ!$A$287="","",SUM(T287:AA287))</f>
        <v>-358921.05356007296</v>
      </c>
      <c r="AD287" s="29">
        <f>IF(履歴データ!$A$287="","",AC287/1000000)</f>
        <v>-0.35892105356007298</v>
      </c>
      <c r="AE287" s="29">
        <f>IF(履歴データ!$A$287="",AE286,AE286+AC287/1000000)</f>
        <v>80.204504736511552</v>
      </c>
      <c r="AF287" s="12">
        <f>IF(OR(履歴データ!$A$287="",AE286=0),"",(AE287-AE286)/AE286)</f>
        <v>-4.4551364349292525E-3</v>
      </c>
      <c r="AG287" s="29">
        <f t="shared" si="14"/>
        <v>102.17217746631495</v>
      </c>
      <c r="AH287" s="12">
        <f>IF(OR(履歴データ!$A$287="",AG287=0),"",AE287/AG287-1)</f>
        <v>-0.21500640658310233</v>
      </c>
      <c r="AJ287" s="28">
        <f t="shared" ca="1" si="12"/>
        <v>-15.280961834855578</v>
      </c>
      <c r="AK287" s="28">
        <f t="shared" ca="1" si="13"/>
        <v>-55.81030800641426</v>
      </c>
    </row>
    <row r="288" spans="1:37">
      <c r="A288" s="10">
        <f>IF(履歴データ!$A$288="","",履歴データ!$A$288)</f>
        <v>45345</v>
      </c>
      <c r="B288" s="28">
        <f>IF(履歴データ!$A$288="","",(履歴データ!$D$288-(履歴データ!$B$288+履歴データ!$F$288)/2)*100)</f>
        <v>-25.999999999999979</v>
      </c>
      <c r="C288" s="28">
        <f>IF(履歴データ!$A$288="","",(履歴データ!$H$288-(履歴データ!$G$288+履歴データ!$J$288)/2)*100)</f>
        <v>-20.150000000000002</v>
      </c>
      <c r="D288" s="28">
        <f>IF(履歴データ!$A$288="","",(履歴データ!$D$288-履歴データ!$H$288)*100)</f>
        <v>353.3</v>
      </c>
      <c r="E288" s="28">
        <f>IF(履歴データ!$A$288="","",(履歴データ!$D$288-履歴データ!$C$288)*100)</f>
        <v>-2.0000000000000462</v>
      </c>
      <c r="F288" s="28">
        <f>IF(履歴データ!$A$288="","",(履歴データ!$R$288-履歴データ!$D$288)*100)</f>
        <v>-229.32999999999998</v>
      </c>
      <c r="G288" s="28">
        <f>IF(履歴データ!$A$288="","",(履歴データ!$S$288-履歴データ!$R$288)*100)</f>
        <v>-139.08682141113295</v>
      </c>
      <c r="H288" s="29">
        <f>IF(履歴データ!$A$288="","",履歴データ!$O$288)</f>
        <v>150.48300170898438</v>
      </c>
      <c r="I288" s="29">
        <f>IF(履歴データ!$A$288="","",履歴データ!$Q$288)</f>
        <v>109.875</v>
      </c>
      <c r="J288" s="29">
        <f>IF(履歴データ!$A$288="","",履歴データ!$D$288)</f>
        <v>4.26</v>
      </c>
      <c r="K288" s="28">
        <f>IF(OR(履歴データ!$A$288="",履歴データ!$A$287=""),"",B288-B287)</f>
        <v>-0.99999999999997868</v>
      </c>
      <c r="L288" s="28">
        <f>IF(OR(履歴データ!$A$288="",履歴データ!$A$287=""),"",C288-C287)</f>
        <v>0</v>
      </c>
      <c r="M288" s="28">
        <f>IF(OR(履歴データ!$A$288="",履歴データ!$A$287=""),"",D288-D287)</f>
        <v>-7</v>
      </c>
      <c r="N288" s="28">
        <f>IF(OR(履歴データ!$A$288="",履歴データ!$A$287=""),"",E288-E287)</f>
        <v>-2.0000000000000462</v>
      </c>
      <c r="O288" s="28">
        <f>IF(OR(履歴データ!$A$288="",履歴データ!$A$287=""),"",F288-F287)</f>
        <v>6.5799999999999841</v>
      </c>
      <c r="P288" s="28">
        <f>IF(OR(履歴データ!$A$288="",履歴データ!$A$287=""),"",G288-G287)</f>
        <v>0.42000000000001592</v>
      </c>
      <c r="Q288" s="29">
        <f>IF(OR(履歴データ!$A$288="",履歴データ!$A$287=""),"",H288-H287)</f>
        <v>0.1280059814453125</v>
      </c>
      <c r="R288" s="29">
        <f>IF(OR(履歴データ!$A$288="",履歴データ!$A$287=""),"",I288-I287)</f>
        <v>0.375</v>
      </c>
      <c r="S288" s="28">
        <f>IF(OR(履歴データ!$A$288="",履歴データ!$A$287=""),"",(J288-J287)*100)</f>
        <v>-7.0000000000000284</v>
      </c>
      <c r="T288" s="11">
        <f>IF(OR(履歴データ!$A$288="",履歴データ!$A$287=""),"",-80000*K288)</f>
        <v>79999.999999998297</v>
      </c>
      <c r="U288" s="11">
        <f>IF(OR(履歴データ!$A$288="",履歴データ!$A$287=""),"",60000*L288)</f>
        <v>0</v>
      </c>
      <c r="V288" s="11">
        <f>IF(OR(履歴データ!$A$288="",履歴データ!$A$287=""),"",-50000*M288)</f>
        <v>350000</v>
      </c>
      <c r="W288" s="11">
        <f>IF(OR(履歴データ!$A$288="",履歴データ!$A$287=""),"",-40000*N288)</f>
        <v>80000.000000001848</v>
      </c>
      <c r="X288" s="11">
        <f>IF(OR(履歴データ!$A$288="",履歴データ!$A$287=""),"",120*1000000*(-Q288/H287))</f>
        <v>-102163.00229407028</v>
      </c>
      <c r="Y288" s="11">
        <f>IF(OR(履歴データ!$A$288="",履歴データ!$A$287=""),"",40000*(-S288)+(-506.3)*R288*1000)</f>
        <v>90137.500000001164</v>
      </c>
      <c r="Z288" s="11">
        <f>IF(OR(履歴データ!$A$288="",履歴データ!$A$287=""),"",-40000*O288)</f>
        <v>-263199.99999999936</v>
      </c>
      <c r="AA288" s="11">
        <f>IF(OR(履歴データ!$A$288="",履歴データ!$A$287=""),"",-40000*P288)</f>
        <v>-16800.000000000637</v>
      </c>
      <c r="AB288" s="11">
        <f>IF(履歴データ!$A$288="","",123.3)</f>
        <v>123.3</v>
      </c>
      <c r="AC288">
        <f>IF(履歴データ!$A$288="","",SUM(T288:AA288))</f>
        <v>217974.49770593108</v>
      </c>
      <c r="AD288" s="29">
        <f>IF(履歴データ!$A$288="","",AC288/1000000)</f>
        <v>0.21797449770593108</v>
      </c>
      <c r="AE288" s="29">
        <f>IF(履歴データ!$A$288="",AE287,AE287+AC288/1000000)</f>
        <v>80.422479234217477</v>
      </c>
      <c r="AF288" s="12">
        <f>IF(OR(履歴データ!$A$288="",AE287=0),"",(AE288-AE287)/AE287)</f>
        <v>2.7177338532544506E-3</v>
      </c>
      <c r="AG288" s="29">
        <f t="shared" si="14"/>
        <v>102.17217746631495</v>
      </c>
      <c r="AH288" s="12">
        <f>IF(OR(履歴データ!$A$288="",AG288=0),"",AE288/AG288-1)</f>
        <v>-0.21287300291968536</v>
      </c>
      <c r="AJ288" s="28">
        <f t="shared" ca="1" si="12"/>
        <v>-15.202533068546892</v>
      </c>
      <c r="AK288" s="28">
        <f t="shared" ca="1" si="13"/>
        <v>-55.801435185421361</v>
      </c>
    </row>
    <row r="289" spans="1:37">
      <c r="A289" s="10">
        <f>IF(履歴データ!$A$289="","",履歴データ!$A$289)</f>
        <v>45348</v>
      </c>
      <c r="B289" s="28">
        <f>IF(履歴データ!$A$289="","",(履歴データ!$D$289-(履歴データ!$B$289+履歴データ!$F$289)/2)*100)</f>
        <v>-26.499999999999968</v>
      </c>
      <c r="C289" s="28">
        <f>IF(履歴データ!$A$289="","",(履歴データ!$H$289-(履歴データ!$G$289+履歴データ!$J$289)/2)*100)</f>
        <v>-21.35</v>
      </c>
      <c r="D289" s="28">
        <f>IF(履歴データ!$A$289="","",(履歴データ!$D$289-履歴データ!$H$289)*100)</f>
        <v>358.1</v>
      </c>
      <c r="E289" s="28">
        <f>IF(履歴データ!$A$289="","",(履歴データ!$D$289-履歴データ!$C$289)*100)</f>
        <v>-0.99999999999997868</v>
      </c>
      <c r="F289" s="28">
        <f>IF(履歴データ!$A$289="","",(履歴データ!$R$289-履歴データ!$D$289)*100)</f>
        <v>-237.06000000000006</v>
      </c>
      <c r="G289" s="28">
        <f>IF(履歴データ!$A$289="","",(履歴データ!$S$289-履歴データ!$R$289)*100)</f>
        <v>-138.44335717773453</v>
      </c>
      <c r="H289" s="29">
        <f>IF(履歴データ!$A$289="","",履歴データ!$O$289)</f>
        <v>150.49800109863281</v>
      </c>
      <c r="I289" s="29">
        <f>IF(履歴データ!$A$289="","",履歴データ!$Q$289)</f>
        <v>109.609375</v>
      </c>
      <c r="J289" s="29">
        <f>IF(履歴データ!$A$289="","",履歴データ!$D$289)</f>
        <v>4.28</v>
      </c>
      <c r="K289" s="28">
        <f>IF(OR(履歴データ!$A$289="",履歴データ!$A$288=""),"",B289-B288)</f>
        <v>-0.49999999999998934</v>
      </c>
      <c r="L289" s="28">
        <f>IF(OR(履歴データ!$A$289="",履歴データ!$A$288=""),"",C289-C288)</f>
        <v>-1.1999999999999993</v>
      </c>
      <c r="M289" s="28">
        <f>IF(OR(履歴データ!$A$289="",履歴データ!$A$288=""),"",D289-D288)</f>
        <v>4.8000000000000114</v>
      </c>
      <c r="N289" s="28">
        <f>IF(OR(履歴データ!$A$289="",履歴データ!$A$288=""),"",E289-E288)</f>
        <v>1.0000000000000675</v>
      </c>
      <c r="O289" s="28">
        <f>IF(OR(履歴データ!$A$289="",履歴データ!$A$288=""),"",F289-F288)</f>
        <v>-7.730000000000075</v>
      </c>
      <c r="P289" s="28">
        <f>IF(OR(履歴データ!$A$289="",履歴データ!$A$288=""),"",G289-G288)</f>
        <v>0.64346423339841863</v>
      </c>
      <c r="Q289" s="29">
        <f>IF(OR(履歴データ!$A$289="",履歴データ!$A$288=""),"",H289-H288)</f>
        <v>1.49993896484375E-2</v>
      </c>
      <c r="R289" s="29">
        <f>IF(OR(履歴データ!$A$289="",履歴データ!$A$288=""),"",I289-I288)</f>
        <v>-0.265625</v>
      </c>
      <c r="S289" s="28">
        <f>IF(OR(履歴データ!$A$289="",履歴データ!$A$288=""),"",(J289-J288)*100)</f>
        <v>2.0000000000000462</v>
      </c>
      <c r="T289" s="11">
        <f>IF(OR(履歴データ!$A$289="",履歴データ!$A$288=""),"",-80000*K289)</f>
        <v>39999.999999999149</v>
      </c>
      <c r="U289" s="11">
        <f>IF(OR(履歴データ!$A$289="",履歴データ!$A$288=""),"",60000*L289)</f>
        <v>-71999.999999999956</v>
      </c>
      <c r="V289" s="11">
        <f>IF(OR(履歴データ!$A$289="",履歴データ!$A$288=""),"",-50000*M289)</f>
        <v>-240000.00000000058</v>
      </c>
      <c r="W289" s="11">
        <f>IF(OR(履歴データ!$A$289="",履歴データ!$A$288=""),"",-40000*N289)</f>
        <v>-40000.000000002699</v>
      </c>
      <c r="X289" s="11">
        <f>IF(OR(履歴データ!$A$289="",履歴データ!$A$288=""),"",120*1000000*(-Q289/H288))</f>
        <v>-11960.99717158312</v>
      </c>
      <c r="Y289" s="11">
        <f>IF(OR(履歴データ!$A$289="",履歴データ!$A$288=""),"",40000*(-S289)+(-506.3)*R289*1000)</f>
        <v>54485.937499998152</v>
      </c>
      <c r="Z289" s="11">
        <f>IF(OR(履歴データ!$A$289="",履歴データ!$A$288=""),"",-40000*O289)</f>
        <v>309200.00000000303</v>
      </c>
      <c r="AA289" s="11">
        <f>IF(OR(履歴データ!$A$289="",履歴データ!$A$288=""),"",-40000*P289)</f>
        <v>-25738.569335936743</v>
      </c>
      <c r="AB289" s="11">
        <f>IF(履歴データ!$A$289="","",123.3)</f>
        <v>123.3</v>
      </c>
      <c r="AC289">
        <f>IF(履歴データ!$A$289="","",SUM(T289:AA289))</f>
        <v>13986.370992477227</v>
      </c>
      <c r="AD289" s="29">
        <f>IF(履歴データ!$A$289="","",AC289/1000000)</f>
        <v>1.3986370992477227E-2</v>
      </c>
      <c r="AE289" s="29">
        <f>IF(履歴データ!$A$289="",AE288,AE288+AC289/1000000)</f>
        <v>80.43646560520996</v>
      </c>
      <c r="AF289" s="12">
        <f>IF(OR(履歴データ!$A$289="",AE288=0),"",(AE289-AE288)/AE288)</f>
        <v>1.7391121394990638E-4</v>
      </c>
      <c r="AG289" s="29">
        <f t="shared" si="14"/>
        <v>102.17217746631495</v>
      </c>
      <c r="AH289" s="12">
        <f>IF(OR(履歴データ!$A$289="",AG289=0),"",AE289/AG289-1)</f>
        <v>-0.21273611270809034</v>
      </c>
      <c r="AJ289" s="28">
        <f t="shared" ca="1" si="12"/>
        <v>-15.126185042124408</v>
      </c>
      <c r="AK289" s="28">
        <f t="shared" ca="1" si="13"/>
        <v>-55.778576862637493</v>
      </c>
    </row>
    <row r="290" spans="1:37">
      <c r="A290" s="10">
        <f>IF(履歴データ!$A$290="","",履歴データ!$A$290)</f>
        <v>45349</v>
      </c>
      <c r="B290" s="28">
        <f>IF(履歴データ!$A$290="","",(履歴データ!$D$290-(履歴データ!$B$290+履歴データ!$F$290)/2)*100)</f>
        <v>-26.000000000000068</v>
      </c>
      <c r="C290" s="28">
        <f>IF(履歴データ!$A$290="","",(履歴データ!$H$290-(履歴データ!$G$290+履歴データ!$J$290)/2)*100)</f>
        <v>-22.000000000000007</v>
      </c>
      <c r="D290" s="28">
        <f>IF(履歴データ!$A$290="","",(履歴データ!$D$290-履歴データ!$H$290)*100)</f>
        <v>360.59999999999997</v>
      </c>
      <c r="E290" s="28">
        <f>IF(履歴データ!$A$290="","",(履歴データ!$D$290-履歴データ!$C$290)*100)</f>
        <v>-1.0000000000000675</v>
      </c>
      <c r="F290" s="28">
        <f>IF(履歴データ!$A$290="","",(履歴データ!$R$290-履歴データ!$D$290)*100)</f>
        <v>-235.11999999999995</v>
      </c>
      <c r="G290" s="28">
        <f>IF(履歴データ!$A$290="","",(履歴データ!$S$290-履歴データ!$R$290)*100)</f>
        <v>-145.31282141113309</v>
      </c>
      <c r="H290" s="29">
        <f>IF(履歴データ!$A$290="","",履歴データ!$O$290)</f>
        <v>150.56599426269531</v>
      </c>
      <c r="I290" s="29">
        <f>IF(履歴データ!$A$290="","",履歴データ!$Q$290)</f>
        <v>109.53125</v>
      </c>
      <c r="J290" s="29">
        <f>IF(履歴データ!$A$290="","",履歴データ!$D$290)</f>
        <v>4.3099999999999996</v>
      </c>
      <c r="K290" s="28">
        <f>IF(OR(履歴データ!$A$290="",履歴データ!$A$289=""),"",B290-B289)</f>
        <v>0.49999999999990052</v>
      </c>
      <c r="L290" s="28">
        <f>IF(OR(履歴データ!$A$290="",履歴データ!$A$289=""),"",C290-C289)</f>
        <v>-0.65000000000000568</v>
      </c>
      <c r="M290" s="28">
        <f>IF(OR(履歴データ!$A$290="",履歴データ!$A$289=""),"",D290-D289)</f>
        <v>2.4999999999999432</v>
      </c>
      <c r="N290" s="28">
        <f>IF(OR(履歴データ!$A$290="",履歴データ!$A$289=""),"",E290-E289)</f>
        <v>-8.8817841970012523E-14</v>
      </c>
      <c r="O290" s="28">
        <f>IF(OR(履歴データ!$A$290="",履歴データ!$A$289=""),"",F290-F289)</f>
        <v>1.9400000000001114</v>
      </c>
      <c r="P290" s="28">
        <f>IF(OR(履歴データ!$A$290="",履歴データ!$A$289=""),"",G290-G289)</f>
        <v>-6.8694642333985598</v>
      </c>
      <c r="Q290" s="29">
        <f>IF(OR(履歴データ!$A$290="",履歴データ!$A$289=""),"",H290-H289)</f>
        <v>6.79931640625E-2</v>
      </c>
      <c r="R290" s="29">
        <f>IF(OR(履歴データ!$A$290="",履歴データ!$A$289=""),"",I290-I289)</f>
        <v>-7.8125E-2</v>
      </c>
      <c r="S290" s="28">
        <f>IF(OR(履歴データ!$A$290="",履歴データ!$A$289=""),"",(J290-J289)*100)</f>
        <v>2.9999999999999361</v>
      </c>
      <c r="T290" s="11">
        <f>IF(OR(履歴データ!$A$290="",履歴データ!$A$289=""),"",-80000*K290)</f>
        <v>-39999.99999999204</v>
      </c>
      <c r="U290" s="11">
        <f>IF(OR(履歴データ!$A$290="",履歴データ!$A$289=""),"",60000*L290)</f>
        <v>-39000.000000000342</v>
      </c>
      <c r="V290" s="11">
        <f>IF(OR(履歴データ!$A$290="",履歴データ!$A$289=""),"",-50000*M290)</f>
        <v>-124999.99999999716</v>
      </c>
      <c r="W290" s="11">
        <f>IF(OR(履歴データ!$A$290="",履歴データ!$A$289=""),"",-40000*N290)</f>
        <v>3.5527136788005009E-9</v>
      </c>
      <c r="X290" s="11">
        <f>IF(OR(履歴データ!$A$290="",履歴データ!$A$289=""),"",120*1000000*(-Q290/H289))</f>
        <v>-54214.53858481926</v>
      </c>
      <c r="Y290" s="11">
        <f>IF(OR(履歴データ!$A$290="",履歴データ!$A$289=""),"",40000*(-S290)+(-506.3)*R290*1000)</f>
        <v>-80445.312499997439</v>
      </c>
      <c r="Z290" s="11">
        <f>IF(OR(履歴データ!$A$290="",履歴データ!$A$289=""),"",-40000*O290)</f>
        <v>-77600.000000004453</v>
      </c>
      <c r="AA290" s="11">
        <f>IF(OR(履歴データ!$A$290="",履歴データ!$A$289=""),"",-40000*P290)</f>
        <v>274778.56933594239</v>
      </c>
      <c r="AB290" s="11">
        <f>IF(履歴データ!$A$290="","",123.3)</f>
        <v>123.3</v>
      </c>
      <c r="AC290">
        <f>IF(履歴データ!$A$290="","",SUM(T290:AA290))</f>
        <v>-141481.28174886468</v>
      </c>
      <c r="AD290" s="29">
        <f>IF(履歴データ!$A$290="","",AC290/1000000)</f>
        <v>-0.14148128174886468</v>
      </c>
      <c r="AE290" s="29">
        <f>IF(履歴データ!$A$290="",AE289,AE289+AC290/1000000)</f>
        <v>80.294984323461094</v>
      </c>
      <c r="AF290" s="12">
        <f>IF(OR(履歴データ!$A$290="",AE289=0),"",(AE290-AE289)/AE289)</f>
        <v>-1.7589196726180215E-3</v>
      </c>
      <c r="AG290" s="29">
        <f t="shared" si="14"/>
        <v>102.17217746631495</v>
      </c>
      <c r="AH290" s="12">
        <f>IF(OR(履歴データ!$A$290="",AG290=0),"",AE290/AG290-1)</f>
        <v>-0.21412084664698983</v>
      </c>
      <c r="AJ290" s="28">
        <f t="shared" ca="1" si="12"/>
        <v>-15.043949948131061</v>
      </c>
      <c r="AK290" s="28">
        <f t="shared" ca="1" si="13"/>
        <v>-55.745732591551487</v>
      </c>
    </row>
    <row r="291" spans="1:37">
      <c r="A291" s="10">
        <f>IF(履歴データ!$A$291="","",履歴データ!$A$291)</f>
        <v>45350</v>
      </c>
      <c r="B291" s="28">
        <f>IF(履歴データ!$A$291="","",(履歴データ!$D$291-(履歴データ!$B$291+履歴データ!$F$291)/2)*100)</f>
        <v>-25</v>
      </c>
      <c r="C291" s="28">
        <f>IF(履歴データ!$A$291="","",(履歴データ!$H$291-(履歴データ!$G$291+履歴データ!$J$291)/2)*100)</f>
        <v>-22.850000000000005</v>
      </c>
      <c r="D291" s="28">
        <f>IF(履歴データ!$A$291="","",(履歴データ!$D$291-履歴データ!$H$291)*100)</f>
        <v>356.09999999999997</v>
      </c>
      <c r="E291" s="28">
        <f>IF(履歴データ!$A$291="","",(履歴データ!$D$291-履歴データ!$C$291)*100)</f>
        <v>0.99999999999997868</v>
      </c>
      <c r="F291" s="28">
        <f>IF(履歴データ!$A$291="","",(履歴データ!$R$291-履歴データ!$D$291)*100)</f>
        <v>-228.04999999999995</v>
      </c>
      <c r="G291" s="28">
        <f>IF(履歴データ!$A$291="","",(履歴データ!$S$291-履歴データ!$R$291)*100)</f>
        <v>-147.68117858886717</v>
      </c>
      <c r="H291" s="29">
        <f>IF(履歴データ!$A$291="","",履歴データ!$O$291)</f>
        <v>150.4949951171875</v>
      </c>
      <c r="I291" s="29">
        <f>IF(履歴データ!$A$291="","",履歴データ!$Q$291)</f>
        <v>109.8125</v>
      </c>
      <c r="J291" s="29">
        <f>IF(履歴データ!$A$291="","",履歴データ!$D$291)</f>
        <v>4.2699999999999996</v>
      </c>
      <c r="K291" s="28">
        <f>IF(OR(履歴データ!$A$291="",履歴データ!$A$290=""),"",B291-B290)</f>
        <v>1.0000000000000675</v>
      </c>
      <c r="L291" s="28">
        <f>IF(OR(履歴データ!$A$291="",履歴データ!$A$290=""),"",C291-C290)</f>
        <v>-0.84999999999999787</v>
      </c>
      <c r="M291" s="28">
        <f>IF(OR(履歴データ!$A$291="",履歴データ!$A$290=""),"",D291-D290)</f>
        <v>-4.5</v>
      </c>
      <c r="N291" s="28">
        <f>IF(OR(履歴データ!$A$291="",履歴データ!$A$290=""),"",E291-E290)</f>
        <v>2.0000000000000462</v>
      </c>
      <c r="O291" s="28">
        <f>IF(OR(履歴データ!$A$291="",履歴データ!$A$290=""),"",F291-F290)</f>
        <v>7.0699999999999932</v>
      </c>
      <c r="P291" s="28">
        <f>IF(OR(履歴データ!$A$291="",履歴データ!$A$290=""),"",G291-G290)</f>
        <v>-2.3683571777340831</v>
      </c>
      <c r="Q291" s="29">
        <f>IF(OR(履歴データ!$A$291="",履歴データ!$A$290=""),"",H291-H290)</f>
        <v>-7.09991455078125E-2</v>
      </c>
      <c r="R291" s="29">
        <f>IF(OR(履歴データ!$A$291="",履歴データ!$A$290=""),"",I291-I290)</f>
        <v>0.28125</v>
      </c>
      <c r="S291" s="28">
        <f>IF(OR(履歴データ!$A$291="",履歴データ!$A$290=""),"",(J291-J290)*100)</f>
        <v>-4.0000000000000036</v>
      </c>
      <c r="T291" s="11">
        <f>IF(OR(履歴データ!$A$291="",履歴データ!$A$290=""),"",-80000*K291)</f>
        <v>-80000.000000005399</v>
      </c>
      <c r="U291" s="11">
        <f>IF(OR(履歴データ!$A$291="",履歴データ!$A$290=""),"",60000*L291)</f>
        <v>-50999.999999999869</v>
      </c>
      <c r="V291" s="11">
        <f>IF(OR(履歴データ!$A$291="",履歴データ!$A$290=""),"",-50000*M291)</f>
        <v>225000</v>
      </c>
      <c r="W291" s="11">
        <f>IF(OR(履歴データ!$A$291="",履歴データ!$A$290=""),"",-40000*N291)</f>
        <v>-80000.000000001848</v>
      </c>
      <c r="X291" s="11">
        <f>IF(OR(履歴データ!$A$291="",履歴データ!$A$290=""),"",120*1000000*(-Q291/H290))</f>
        <v>56585.801479666618</v>
      </c>
      <c r="Y291" s="11">
        <f>IF(OR(履歴データ!$A$291="",履歴データ!$A$290=""),"",40000*(-S291)+(-506.3)*R291*1000)</f>
        <v>17603.125000000146</v>
      </c>
      <c r="Z291" s="11">
        <f>IF(OR(履歴データ!$A$291="",履歴データ!$A$290=""),"",-40000*O291)</f>
        <v>-282799.99999999971</v>
      </c>
      <c r="AA291" s="11">
        <f>IF(OR(履歴データ!$A$291="",履歴データ!$A$290=""),"",-40000*P291)</f>
        <v>94734.287109363329</v>
      </c>
      <c r="AB291" s="11">
        <f>IF(履歴データ!$A$291="","",123.3)</f>
        <v>123.3</v>
      </c>
      <c r="AC291">
        <f>IF(履歴データ!$A$291="","",SUM(T291:AA291))</f>
        <v>-99876.786410976725</v>
      </c>
      <c r="AD291" s="29">
        <f>IF(履歴データ!$A$291="","",AC291/1000000)</f>
        <v>-9.987678641097672E-2</v>
      </c>
      <c r="AE291" s="29">
        <f>IF(履歴データ!$A$291="",AE290,AE290+AC291/1000000)</f>
        <v>80.19510753705012</v>
      </c>
      <c r="AF291" s="12">
        <f>IF(OR(履歴データ!$A$291="",AE290=0),"",(AE291-AE290)/AE290)</f>
        <v>-1.2438732911215118E-3</v>
      </c>
      <c r="AG291" s="29">
        <f t="shared" si="14"/>
        <v>102.17217746631495</v>
      </c>
      <c r="AH291" s="12">
        <f>IF(OR(履歴データ!$A$291="",AG291=0),"",AE291/AG291-1)</f>
        <v>-0.21509838073589482</v>
      </c>
      <c r="AJ291" s="28">
        <f t="shared" ca="1" si="12"/>
        <v>-14.954490169891137</v>
      </c>
      <c r="AK291" s="28">
        <f t="shared" ca="1" si="13"/>
        <v>-55.688366972966001</v>
      </c>
    </row>
    <row r="292" spans="1:37">
      <c r="A292" s="10">
        <f>IF(履歴データ!$A$292="","",履歴データ!$A$292)</f>
        <v>45351</v>
      </c>
      <c r="B292" s="28">
        <f>IF(履歴データ!$A$292="","",(履歴データ!$D$292-(履歴データ!$B$292+履歴データ!$F$292)/2)*100)</f>
        <v>-25.999999999999979</v>
      </c>
      <c r="C292" s="28">
        <f>IF(履歴データ!$A$292="","",(履歴データ!$H$292-(履歴データ!$G$292+履歴データ!$J$292)/2)*100)</f>
        <v>-23.799999999999997</v>
      </c>
      <c r="D292" s="28">
        <f>IF(履歴データ!$A$292="","",(履歴データ!$D$292-履歴データ!$H$292)*100)</f>
        <v>352.59999999999997</v>
      </c>
      <c r="E292" s="28">
        <f>IF(履歴データ!$A$292="","",(履歴データ!$D$292-履歴データ!$C$292)*100)</f>
        <v>-0.99999999999997868</v>
      </c>
      <c r="F292" s="28">
        <f>IF(履歴データ!$A$292="","",(履歴データ!$R$292-履歴データ!$D$292)*100)</f>
        <v>-227.42</v>
      </c>
      <c r="G292" s="28">
        <f>IF(履歴データ!$A$292="","",(履歴データ!$S$292-履歴データ!$R$292)*100)</f>
        <v>-144.20635717773433</v>
      </c>
      <c r="H292" s="29">
        <f>IF(履歴データ!$A$292="","",履歴データ!$O$292)</f>
        <v>150.656005859375</v>
      </c>
      <c r="I292" s="29">
        <f>IF(履歴データ!$A$292="","",履歴データ!$Q$292)</f>
        <v>109.921875</v>
      </c>
      <c r="J292" s="29">
        <f>IF(履歴データ!$A$292="","",履歴データ!$D$292)</f>
        <v>4.25</v>
      </c>
      <c r="K292" s="28">
        <f>IF(OR(履歴データ!$A$292="",履歴データ!$A$291=""),"",B292-B291)</f>
        <v>-0.99999999999997868</v>
      </c>
      <c r="L292" s="28">
        <f>IF(OR(履歴データ!$A$292="",履歴データ!$A$291=""),"",C292-C291)</f>
        <v>-0.94999999999999218</v>
      </c>
      <c r="M292" s="28">
        <f>IF(OR(履歴データ!$A$292="",履歴データ!$A$291=""),"",D292-D291)</f>
        <v>-3.5</v>
      </c>
      <c r="N292" s="28">
        <f>IF(OR(履歴データ!$A$292="",履歴データ!$A$291=""),"",E292-E291)</f>
        <v>-1.9999999999999574</v>
      </c>
      <c r="O292" s="28">
        <f>IF(OR(履歴データ!$A$292="",履歴データ!$A$291=""),"",F292-F291)</f>
        <v>0.62999999999996703</v>
      </c>
      <c r="P292" s="28">
        <f>IF(OR(履歴データ!$A$292="",履歴データ!$A$291=""),"",G292-G291)</f>
        <v>3.4748214111328366</v>
      </c>
      <c r="Q292" s="29">
        <f>IF(OR(履歴データ!$A$292="",履歴データ!$A$291=""),"",H292-H291)</f>
        <v>0.1610107421875</v>
      </c>
      <c r="R292" s="29">
        <f>IF(OR(履歴データ!$A$292="",履歴データ!$A$291=""),"",I292-I291)</f>
        <v>0.109375</v>
      </c>
      <c r="S292" s="28">
        <f>IF(OR(履歴データ!$A$292="",履歴データ!$A$291=""),"",(J292-J291)*100)</f>
        <v>-1.9999999999999574</v>
      </c>
      <c r="T292" s="11">
        <f>IF(OR(履歴データ!$A$292="",履歴データ!$A$291=""),"",-80000*K292)</f>
        <v>79999.999999998297</v>
      </c>
      <c r="U292" s="11">
        <f>IF(OR(履歴データ!$A$292="",履歴データ!$A$291=""),"",60000*L292)</f>
        <v>-56999.999999999534</v>
      </c>
      <c r="V292" s="11">
        <f>IF(OR(履歴データ!$A$292="",履歴データ!$A$291=""),"",-50000*M292)</f>
        <v>175000</v>
      </c>
      <c r="W292" s="11">
        <f>IF(OR(履歴データ!$A$292="",履歴データ!$A$291=""),"",-40000*N292)</f>
        <v>79999.999999998297</v>
      </c>
      <c r="X292" s="11">
        <f>IF(OR(履歴データ!$A$292="",履歴データ!$A$291=""),"",120*1000000*(-Q292/H291))</f>
        <v>-128384.92766789283</v>
      </c>
      <c r="Y292" s="11">
        <f>IF(OR(履歴データ!$A$292="",履歴データ!$A$291=""),"",40000*(-S292)+(-506.3)*R292*1000)</f>
        <v>24623.437499998297</v>
      </c>
      <c r="Z292" s="11">
        <f>IF(OR(履歴データ!$A$292="",履歴データ!$A$291=""),"",-40000*O292)</f>
        <v>-25199.999999998683</v>
      </c>
      <c r="AA292" s="11">
        <f>IF(OR(履歴データ!$A$292="",履歴データ!$A$291=""),"",-40000*P292)</f>
        <v>-138992.85644531346</v>
      </c>
      <c r="AB292" s="11">
        <f>IF(履歴データ!$A$292="","",123.3)</f>
        <v>123.3</v>
      </c>
      <c r="AC292">
        <f>IF(履歴データ!$A$292="","",SUM(T292:AA292))</f>
        <v>10045.653386790422</v>
      </c>
      <c r="AD292" s="29">
        <f>IF(履歴データ!$A$292="","",AC292/1000000)</f>
        <v>1.0045653386790422E-2</v>
      </c>
      <c r="AE292" s="29">
        <f>IF(履歴データ!$A$292="",AE291,AE291+AC292/1000000)</f>
        <v>80.205153190436917</v>
      </c>
      <c r="AF292" s="12">
        <f>IF(OR(履歴データ!$A$292="",AE291=0),"",(AE292-AE291)/AE291)</f>
        <v>1.2526516511192259E-4</v>
      </c>
      <c r="AG292" s="29">
        <f t="shared" si="14"/>
        <v>102.17217746631495</v>
      </c>
      <c r="AH292" s="12">
        <f>IF(OR(履歴データ!$A$292="",AG292=0),"",AE292/AG292-1)</f>
        <v>-0.21500005990496107</v>
      </c>
      <c r="AJ292" s="28">
        <f t="shared" ca="1" si="12"/>
        <v>-14.882308813785507</v>
      </c>
      <c r="AK292" s="28">
        <f t="shared" ca="1" si="13"/>
        <v>-55.609754678277987</v>
      </c>
    </row>
    <row r="293" spans="1:37">
      <c r="A293" s="10">
        <f>IF(履歴データ!$A$293="","",履歴データ!$A$293)</f>
        <v>45352</v>
      </c>
      <c r="B293" s="28">
        <f>IF(履歴データ!$A$293="","",(履歴データ!$D$293-(履歴データ!$B$293+履歴データ!$F$293)/2)*100)</f>
        <v>-24.500000000000011</v>
      </c>
      <c r="C293" s="28">
        <f>IF(履歴データ!$A$293="","",(履歴データ!$H$293-(履歴データ!$G$293+履歴データ!$J$293)/2)*100)</f>
        <v>-22.299999999999997</v>
      </c>
      <c r="D293" s="28">
        <f>IF(履歴データ!$A$293="","",(履歴データ!$D$293-履歴データ!$H$293)*100)</f>
        <v>346.20000000000005</v>
      </c>
      <c r="E293" s="28">
        <f>IF(履歴データ!$A$293="","",(履歴データ!$D$293-履歴データ!$C$293)*100)</f>
        <v>2.0000000000000462</v>
      </c>
      <c r="F293" s="28">
        <f>IF(履歴データ!$A$293="","",(履歴データ!$R$293-履歴データ!$D$293)*100)</f>
        <v>-226.46000000000006</v>
      </c>
      <c r="G293" s="28">
        <f>IF(履歴データ!$A$293="","",(履歴データ!$S$293-履歴データ!$R$293)*100)</f>
        <v>-138.99100000000007</v>
      </c>
      <c r="H293" s="29">
        <f>IF(履歴データ!$A$293="","",履歴データ!$O$293)</f>
        <v>150.09500122070313</v>
      </c>
      <c r="I293" s="29">
        <f>IF(履歴データ!$A$293="","",履歴データ!$Q$293)</f>
        <v>110.5</v>
      </c>
      <c r="J293" s="29">
        <f>IF(履歴データ!$A$293="","",履歴データ!$D$293)</f>
        <v>4.1900000000000004</v>
      </c>
      <c r="K293" s="28">
        <f>IF(OR(履歴データ!$A$293="",履歴データ!$A$292=""),"",B293-B292)</f>
        <v>1.499999999999968</v>
      </c>
      <c r="L293" s="28">
        <f>IF(OR(履歴データ!$A$293="",履歴データ!$A$292=""),"",C293-C292)</f>
        <v>1.5</v>
      </c>
      <c r="M293" s="28">
        <f>IF(OR(履歴データ!$A$293="",履歴データ!$A$292=""),"",D293-D292)</f>
        <v>-6.3999999999999204</v>
      </c>
      <c r="N293" s="28">
        <f>IF(OR(履歴データ!$A$293="",履歴データ!$A$292=""),"",E293-E292)</f>
        <v>3.0000000000000249</v>
      </c>
      <c r="O293" s="28">
        <f>IF(OR(履歴データ!$A$293="",履歴データ!$A$292=""),"",F293-F292)</f>
        <v>0.95999999999992269</v>
      </c>
      <c r="P293" s="28">
        <f>IF(OR(履歴データ!$A$293="",履歴データ!$A$292=""),"",G293-G292)</f>
        <v>5.215357177734262</v>
      </c>
      <c r="Q293" s="29">
        <f>IF(OR(履歴データ!$A$293="",履歴データ!$A$292=""),"",H293-H292)</f>
        <v>-0.561004638671875</v>
      </c>
      <c r="R293" s="29">
        <f>IF(OR(履歴データ!$A$293="",履歴データ!$A$292=""),"",I293-I292)</f>
        <v>0.578125</v>
      </c>
      <c r="S293" s="28">
        <f>IF(OR(履歴データ!$A$293="",履歴データ!$A$292=""),"",(J293-J292)*100)</f>
        <v>-5.9999999999999609</v>
      </c>
      <c r="T293" s="11">
        <f>IF(OR(履歴データ!$A$293="",履歴データ!$A$292=""),"",-80000*K293)</f>
        <v>-119999.99999999744</v>
      </c>
      <c r="U293" s="11">
        <f>IF(OR(履歴データ!$A$293="",履歴データ!$A$292=""),"",60000*L293)</f>
        <v>90000</v>
      </c>
      <c r="V293" s="11">
        <f>IF(OR(履歴データ!$A$293="",履歴データ!$A$292=""),"",-50000*M293)</f>
        <v>319999.99999999604</v>
      </c>
      <c r="W293" s="11">
        <f>IF(OR(履歴データ!$A$293="",履歴データ!$A$292=""),"",-40000*N293)</f>
        <v>-120000.00000000099</v>
      </c>
      <c r="X293" s="11">
        <f>IF(OR(履歴データ!$A$293="",履歴データ!$A$292=""),"",120*1000000*(-Q293/H292))</f>
        <v>446849.47179247008</v>
      </c>
      <c r="Y293" s="11">
        <f>IF(OR(履歴データ!$A$293="",履歴データ!$A$292=""),"",40000*(-S293)+(-506.3)*R293*1000)</f>
        <v>-52704.68750000163</v>
      </c>
      <c r="Z293" s="11">
        <f>IF(OR(履歴データ!$A$293="",履歴データ!$A$292=""),"",-40000*O293)</f>
        <v>-38399.999999996908</v>
      </c>
      <c r="AA293" s="11">
        <f>IF(OR(履歴データ!$A$293="",履歴データ!$A$292=""),"",-40000*P293)</f>
        <v>-208614.28710937049</v>
      </c>
      <c r="AB293" s="11">
        <f>IF(履歴データ!$A$293="","",123.3)</f>
        <v>123.3</v>
      </c>
      <c r="AC293">
        <f>IF(履歴データ!$A$293="","",SUM(T293:AA293))</f>
        <v>317130.49718309869</v>
      </c>
      <c r="AD293" s="29">
        <f>IF(履歴データ!$A$293="","",AC293/1000000)</f>
        <v>0.31713049718309871</v>
      </c>
      <c r="AE293" s="29">
        <f>IF(履歴データ!$A$293="",AE292,AE292+AC293/1000000)</f>
        <v>80.522283687620018</v>
      </c>
      <c r="AF293" s="12">
        <f>IF(OR(履歴データ!$A$293="",AE292=0),"",(AE293-AE292)/AE292)</f>
        <v>3.9539915400462443E-3</v>
      </c>
      <c r="AG293" s="29">
        <f t="shared" si="14"/>
        <v>102.17217746631495</v>
      </c>
      <c r="AH293" s="12">
        <f>IF(OR(履歴データ!$A$293="",AG293=0),"",AE293/AG293-1)</f>
        <v>-0.21189617678288852</v>
      </c>
      <c r="AJ293" s="28">
        <f t="shared" ca="1" si="12"/>
        <v>-14.786021611430222</v>
      </c>
      <c r="AK293" s="28">
        <f t="shared" ca="1" si="13"/>
        <v>-55.567152991744386</v>
      </c>
    </row>
    <row r="294" spans="1:37">
      <c r="A294" s="10">
        <f>IF(履歴データ!$A$294="","",履歴データ!$A$294)</f>
        <v>45355</v>
      </c>
      <c r="B294" s="28">
        <f>IF(履歴データ!$A$294="","",(履歴データ!$D$294-(履歴データ!$B$294+履歴データ!$F$294)/2)*100)</f>
        <v>-26.500000000000057</v>
      </c>
      <c r="C294" s="28">
        <f>IF(履歴データ!$A$294="","",(履歴データ!$H$294-(履歴データ!$G$294+履歴データ!$J$294)/2)*100)</f>
        <v>-23.450000000000003</v>
      </c>
      <c r="D294" s="28">
        <f>IF(履歴データ!$A$294="","",(履歴データ!$D$294-履歴データ!$H$294)*100)</f>
        <v>349.49999999999994</v>
      </c>
      <c r="E294" s="28">
        <f>IF(履歴データ!$A$294="","",(履歴データ!$D$294-履歴データ!$C$294)*100)</f>
        <v>0.99999999999997868</v>
      </c>
      <c r="F294" s="28">
        <f>IF(履歴データ!$A$294="","",(履歴データ!$R$294-履歴データ!$D$294)*100)</f>
        <v>-229.24999999999994</v>
      </c>
      <c r="G294" s="28">
        <f>IF(履歴データ!$A$294="","",(履歴データ!$S$294-履歴データ!$R$294)*100)</f>
        <v>-138.32400000000021</v>
      </c>
      <c r="H294" s="29">
        <f>IF(履歴データ!$A$294="","",履歴データ!$O$294)</f>
        <v>150.10499572753906</v>
      </c>
      <c r="I294" s="29">
        <f>IF(履歴データ!$A$294="","",履歴データ!$Q$294)</f>
        <v>110.21875</v>
      </c>
      <c r="J294" s="29">
        <f>IF(履歴データ!$A$294="","",履歴データ!$D$294)</f>
        <v>4.22</v>
      </c>
      <c r="K294" s="28">
        <f>IF(OR(履歴データ!$A$294="",履歴データ!$A$293=""),"",B294-B293)</f>
        <v>-2.0000000000000462</v>
      </c>
      <c r="L294" s="28">
        <f>IF(OR(履歴データ!$A$294="",履歴データ!$A$293=""),"",C294-C293)</f>
        <v>-1.1500000000000057</v>
      </c>
      <c r="M294" s="28">
        <f>IF(OR(履歴データ!$A$294="",履歴データ!$A$293=""),"",D294-D293)</f>
        <v>3.2999999999998977</v>
      </c>
      <c r="N294" s="28">
        <f>IF(OR(履歴データ!$A$294="",履歴データ!$A$293=""),"",E294-E293)</f>
        <v>-1.0000000000000675</v>
      </c>
      <c r="O294" s="28">
        <f>IF(OR(履歴データ!$A$294="",履歴データ!$A$293=""),"",F294-F293)</f>
        <v>-2.7899999999998784</v>
      </c>
      <c r="P294" s="28">
        <f>IF(OR(履歴データ!$A$294="",履歴データ!$A$293=""),"",G294-G293)</f>
        <v>0.66699999999985948</v>
      </c>
      <c r="Q294" s="29">
        <f>IF(OR(履歴データ!$A$294="",履歴データ!$A$293=""),"",H294-H293)</f>
        <v>9.9945068359375E-3</v>
      </c>
      <c r="R294" s="29">
        <f>IF(OR(履歴データ!$A$294="",履歴データ!$A$293=""),"",I294-I293)</f>
        <v>-0.28125</v>
      </c>
      <c r="S294" s="28">
        <f>IF(OR(履歴データ!$A$294="",履歴データ!$A$293=""),"",(J294-J293)*100)</f>
        <v>2.9999999999999361</v>
      </c>
      <c r="T294" s="11">
        <f>IF(OR(履歴データ!$A$294="",履歴データ!$A$293=""),"",-80000*K294)</f>
        <v>160000.0000000037</v>
      </c>
      <c r="U294" s="11">
        <f>IF(OR(履歴データ!$A$294="",履歴データ!$A$293=""),"",60000*L294)</f>
        <v>-69000.000000000335</v>
      </c>
      <c r="V294" s="11">
        <f>IF(OR(履歴データ!$A$294="",履歴データ!$A$293=""),"",-50000*M294)</f>
        <v>-164999.99999999488</v>
      </c>
      <c r="W294" s="11">
        <f>IF(OR(履歴データ!$A$294="",履歴データ!$A$293=""),"",-40000*N294)</f>
        <v>40000.000000002699</v>
      </c>
      <c r="X294" s="11">
        <f>IF(OR(履歴データ!$A$294="",履歴データ!$A$293=""),"",120*1000000*(-Q294/H293))</f>
        <v>-7990.5447253966968</v>
      </c>
      <c r="Y294" s="11">
        <f>IF(OR(履歴データ!$A$294="",履歴データ!$A$293=""),"",40000*(-S294)+(-506.3)*R294*1000)</f>
        <v>22396.875000002561</v>
      </c>
      <c r="Z294" s="11">
        <f>IF(OR(履歴データ!$A$294="",履歴データ!$A$293=""),"",-40000*O294)</f>
        <v>111599.99999999514</v>
      </c>
      <c r="AA294" s="11">
        <f>IF(OR(履歴データ!$A$294="",履歴データ!$A$293=""),"",-40000*P294)</f>
        <v>-26679.999999994379</v>
      </c>
      <c r="AB294" s="11">
        <f>IF(履歴データ!$A$294="","",123.3)</f>
        <v>123.3</v>
      </c>
      <c r="AC294">
        <f>IF(履歴データ!$A$294="","",SUM(T294:AA294))</f>
        <v>65326.330274617794</v>
      </c>
      <c r="AD294" s="29">
        <f>IF(履歴データ!$A$294="","",AC294/1000000)</f>
        <v>6.5326330274617789E-2</v>
      </c>
      <c r="AE294" s="29">
        <f>IF(履歴データ!$A$294="",AE293,AE293+AC294/1000000)</f>
        <v>80.587610017894633</v>
      </c>
      <c r="AF294" s="12">
        <f>IF(OR(履歴データ!$A$294="",AE293=0),"",(AE294-AE293)/AE293)</f>
        <v>8.1128263237098292E-4</v>
      </c>
      <c r="AG294" s="29">
        <f t="shared" si="14"/>
        <v>102.17217746631495</v>
      </c>
      <c r="AH294" s="12">
        <f>IF(OR(履歴データ!$A$294="",AG294=0),"",AE294/AG294-1)</f>
        <v>-0.21125680183860729</v>
      </c>
      <c r="AJ294" s="28">
        <f t="shared" ca="1" si="12"/>
        <v>-14.714304782821284</v>
      </c>
      <c r="AK294" s="28">
        <f t="shared" ca="1" si="13"/>
        <v>-55.547599979083472</v>
      </c>
    </row>
    <row r="295" spans="1:37">
      <c r="A295" s="10">
        <f>IF(履歴データ!$A$295="","",履歴データ!$A$295)</f>
        <v>45356</v>
      </c>
      <c r="B295" s="28">
        <f>IF(履歴データ!$A$295="","",(履歴データ!$D$295-(履歴データ!$B$295+履歴データ!$F$295)/2)*100)</f>
        <v>-27.499999999999947</v>
      </c>
      <c r="C295" s="28">
        <f>IF(履歴データ!$A$295="","",(履歴データ!$H$295-(履歴データ!$G$295+履歴データ!$J$295)/2)*100)</f>
        <v>-24.250000000000004</v>
      </c>
      <c r="D295" s="28">
        <f>IF(履歴データ!$A$295="","",(履歴データ!$D$295-履歴データ!$H$295)*100)</f>
        <v>341.59999999999997</v>
      </c>
      <c r="E295" s="28">
        <f>IF(履歴データ!$A$295="","",(履歴データ!$D$295-履歴データ!$C$295)*100)</f>
        <v>0</v>
      </c>
      <c r="F295" s="28">
        <f>IF(履歴データ!$A$295="","",(履歴データ!$R$295-履歴データ!$D$295)*100)</f>
        <v>-220.64</v>
      </c>
      <c r="G295" s="28">
        <f>IF(履歴データ!$A$295="","",(履歴データ!$S$295-履歴データ!$R$295)*100)</f>
        <v>-139.33717858886746</v>
      </c>
      <c r="H295" s="29">
        <f>IF(履歴データ!$A$295="","",履歴データ!$O$295)</f>
        <v>150.46600341796875</v>
      </c>
      <c r="I295" s="29">
        <f>IF(履歴データ!$A$295="","",履歴データ!$Q$295)</f>
        <v>110.75</v>
      </c>
      <c r="J295" s="29">
        <f>IF(履歴データ!$A$295="","",履歴データ!$D$295)</f>
        <v>4.13</v>
      </c>
      <c r="K295" s="28">
        <f>IF(OR(履歴データ!$A$295="",履歴データ!$A$294=""),"",B295-B294)</f>
        <v>-0.99999999999988987</v>
      </c>
      <c r="L295" s="28">
        <f>IF(OR(履歴データ!$A$295="",履歴データ!$A$294=""),"",C295-C294)</f>
        <v>-0.80000000000000071</v>
      </c>
      <c r="M295" s="28">
        <f>IF(OR(履歴データ!$A$295="",履歴データ!$A$294=""),"",D295-D294)</f>
        <v>-7.8999999999999773</v>
      </c>
      <c r="N295" s="28">
        <f>IF(OR(履歴データ!$A$295="",履歴データ!$A$294=""),"",E295-E294)</f>
        <v>-0.99999999999997868</v>
      </c>
      <c r="O295" s="28">
        <f>IF(OR(履歴データ!$A$295="",履歴データ!$A$294=""),"",F295-F294)</f>
        <v>8.6099999999999568</v>
      </c>
      <c r="P295" s="28">
        <f>IF(OR(履歴データ!$A$295="",履歴データ!$A$294=""),"",G295-G294)</f>
        <v>-1.0131785888672482</v>
      </c>
      <c r="Q295" s="29">
        <f>IF(OR(履歴データ!$A$295="",履歴データ!$A$294=""),"",H295-H294)</f>
        <v>0.3610076904296875</v>
      </c>
      <c r="R295" s="29">
        <f>IF(OR(履歴データ!$A$295="",履歴データ!$A$294=""),"",I295-I294)</f>
        <v>0.53125</v>
      </c>
      <c r="S295" s="28">
        <f>IF(OR(履歴データ!$A$295="",履歴データ!$A$294=""),"",(J295-J294)*100)</f>
        <v>-8.9999999999999858</v>
      </c>
      <c r="T295" s="11">
        <f>IF(OR(履歴データ!$A$295="",履歴データ!$A$294=""),"",-80000*K295)</f>
        <v>79999.999999991196</v>
      </c>
      <c r="U295" s="11">
        <f>IF(OR(履歴データ!$A$295="",履歴データ!$A$294=""),"",60000*L295)</f>
        <v>-48000.000000000044</v>
      </c>
      <c r="V295" s="11">
        <f>IF(OR(履歴データ!$A$295="",履歴データ!$A$294=""),"",-50000*M295)</f>
        <v>394999.99999999884</v>
      </c>
      <c r="W295" s="11">
        <f>IF(OR(履歴データ!$A$295="",履歴データ!$A$294=""),"",-40000*N295)</f>
        <v>39999.999999999149</v>
      </c>
      <c r="X295" s="11">
        <f>IF(OR(履歴データ!$A$295="",履歴データ!$A$294=""),"",120*1000000*(-Q295/H294))</f>
        <v>-288604.13766771526</v>
      </c>
      <c r="Y295" s="11">
        <f>IF(OR(履歴データ!$A$295="",履歴データ!$A$294=""),"",40000*(-S295)+(-506.3)*R295*1000)</f>
        <v>91028.124999999418</v>
      </c>
      <c r="Z295" s="11">
        <f>IF(OR(履歴データ!$A$295="",履歴データ!$A$294=""),"",-40000*O295)</f>
        <v>-344399.99999999825</v>
      </c>
      <c r="AA295" s="11">
        <f>IF(OR(履歴データ!$A$295="",履歴データ!$A$294=""),"",-40000*P295)</f>
        <v>40527.14355468993</v>
      </c>
      <c r="AB295" s="11">
        <f>IF(履歴データ!$A$295="","",123.3)</f>
        <v>123.3</v>
      </c>
      <c r="AC295">
        <f>IF(履歴データ!$A$295="","",SUM(T295:AA295))</f>
        <v>-34448.869113035049</v>
      </c>
      <c r="AD295" s="29">
        <f>IF(履歴データ!$A$295="","",AC295/1000000)</f>
        <v>-3.4448869113035047E-2</v>
      </c>
      <c r="AE295" s="29">
        <f>IF(履歴データ!$A$295="",AE294,AE294+AC295/1000000)</f>
        <v>80.553161148781598</v>
      </c>
      <c r="AF295" s="12">
        <f>IF(OR(履歴データ!$A$295="",AE294=0),"",(AE295-AE294)/AE294)</f>
        <v>-4.2747103562676311E-4</v>
      </c>
      <c r="AG295" s="29">
        <f t="shared" si="14"/>
        <v>102.17217746631495</v>
      </c>
      <c r="AH295" s="12">
        <f>IF(OR(履歴データ!$A$295="",AG295=0),"",AE295/AG295-1)</f>
        <v>-0.2115939667103689</v>
      </c>
      <c r="AJ295" s="28">
        <f t="shared" ca="1" si="12"/>
        <v>-14.651734597204076</v>
      </c>
      <c r="AK295" s="28">
        <f t="shared" ca="1" si="13"/>
        <v>-55.503027307557822</v>
      </c>
    </row>
    <row r="296" spans="1:37">
      <c r="A296" s="10">
        <f>IF(履歴データ!$A$296="","",履歴データ!$A$296)</f>
        <v>45357</v>
      </c>
      <c r="B296" s="28">
        <f>IF(履歴データ!$A$296="","",(履歴データ!$D$296-(履歴データ!$B$296+履歴データ!$F$296)/2)*100)</f>
        <v>-28.499999999999925</v>
      </c>
      <c r="C296" s="28">
        <f>IF(履歴データ!$A$296="","",(履歴データ!$H$296-(履歴データ!$G$296+履歴データ!$J$296)/2)*100)</f>
        <v>-23.299999999999997</v>
      </c>
      <c r="D296" s="28">
        <f>IF(履歴データ!$A$296="","",(履歴データ!$D$296-履歴データ!$H$296)*100)</f>
        <v>338.5</v>
      </c>
      <c r="E296" s="28">
        <f>IF(履歴データ!$A$296="","",(履歴データ!$D$296-履歴データ!$C$296)*100)</f>
        <v>-0.99999999999997868</v>
      </c>
      <c r="F296" s="28">
        <f>IF(履歴データ!$A$296="","",(履歴データ!$R$296-履歴データ!$D$296)*100)</f>
        <v>-225.96000000000004</v>
      </c>
      <c r="G296" s="28">
        <f>IF(履歴データ!$A$296="","",(履歴データ!$S$296-履歴データ!$R$296)*100)</f>
        <v>-130.61400000000023</v>
      </c>
      <c r="H296" s="29">
        <f>IF(履歴データ!$A$296="","",履歴データ!$O$296)</f>
        <v>150.04899597167969</v>
      </c>
      <c r="I296" s="29">
        <f>IF(履歴データ!$A$296="","",履歴データ!$Q$296)</f>
        <v>110.921875</v>
      </c>
      <c r="J296" s="29">
        <f>IF(履歴データ!$A$296="","",履歴データ!$D$296)</f>
        <v>4.1100000000000003</v>
      </c>
      <c r="K296" s="28">
        <f>IF(OR(履歴データ!$A$296="",履歴データ!$A$295=""),"",B296-B295)</f>
        <v>-0.99999999999997868</v>
      </c>
      <c r="L296" s="28">
        <f>IF(OR(履歴データ!$A$296="",履歴データ!$A$295=""),"",C296-C295)</f>
        <v>0.95000000000000639</v>
      </c>
      <c r="M296" s="28">
        <f>IF(OR(履歴データ!$A$296="",履歴データ!$A$295=""),"",D296-D295)</f>
        <v>-3.0999999999999659</v>
      </c>
      <c r="N296" s="28">
        <f>IF(OR(履歴データ!$A$296="",履歴データ!$A$295=""),"",E296-E295)</f>
        <v>-0.99999999999997868</v>
      </c>
      <c r="O296" s="28">
        <f>IF(OR(履歴データ!$A$296="",履歴データ!$A$295=""),"",F296-F295)</f>
        <v>-5.32000000000005</v>
      </c>
      <c r="P296" s="28">
        <f>IF(OR(履歴データ!$A$296="",履歴データ!$A$295=""),"",G296-G295)</f>
        <v>8.7231785888672277</v>
      </c>
      <c r="Q296" s="29">
        <f>IF(OR(履歴データ!$A$296="",履歴データ!$A$295=""),"",H296-H295)</f>
        <v>-0.4170074462890625</v>
      </c>
      <c r="R296" s="29">
        <f>IF(OR(履歴データ!$A$296="",履歴データ!$A$295=""),"",I296-I295)</f>
        <v>0.171875</v>
      </c>
      <c r="S296" s="28">
        <f>IF(OR(履歴データ!$A$296="",履歴データ!$A$295=""),"",(J296-J295)*100)</f>
        <v>-1.9999999999999574</v>
      </c>
      <c r="T296" s="11">
        <f>IF(OR(履歴データ!$A$296="",履歴データ!$A$295=""),"",-80000*K296)</f>
        <v>79999.999999998297</v>
      </c>
      <c r="U296" s="11">
        <f>IF(OR(履歴データ!$A$296="",履歴データ!$A$295=""),"",60000*L296)</f>
        <v>57000.000000000386</v>
      </c>
      <c r="V296" s="11">
        <f>IF(OR(履歴データ!$A$296="",履歴データ!$A$295=""),"",-50000*M296)</f>
        <v>154999.99999999828</v>
      </c>
      <c r="W296" s="11">
        <f>IF(OR(履歴データ!$A$296="",履歴データ!$A$295=""),"",-40000*N296)</f>
        <v>39999.999999999149</v>
      </c>
      <c r="X296" s="11">
        <f>IF(OR(履歴データ!$A$296="",履歴データ!$A$295=""),"",120*1000000*(-Q296/H295))</f>
        <v>332572.75675544119</v>
      </c>
      <c r="Y296" s="11">
        <f>IF(OR(履歴データ!$A$296="",履歴データ!$A$295=""),"",40000*(-S296)+(-506.3)*R296*1000)</f>
        <v>-7020.3125000017026</v>
      </c>
      <c r="Z296" s="11">
        <f>IF(OR(履歴データ!$A$296="",履歴データ!$A$295=""),"",-40000*O296)</f>
        <v>212800.00000000201</v>
      </c>
      <c r="AA296" s="11">
        <f>IF(OR(履歴データ!$A$296="",履歴データ!$A$295=""),"",-40000*P296)</f>
        <v>-348927.14355468913</v>
      </c>
      <c r="AB296" s="11">
        <f>IF(履歴データ!$A$296="","",123.3)</f>
        <v>123.3</v>
      </c>
      <c r="AC296">
        <f>IF(履歴データ!$A$296="","",SUM(T296:AA296))</f>
        <v>521425.30070074834</v>
      </c>
      <c r="AD296" s="29">
        <f>IF(履歴データ!$A$296="","",AC296/1000000)</f>
        <v>0.52142530070074833</v>
      </c>
      <c r="AE296" s="29">
        <f>IF(履歴データ!$A$296="",AE295,AE295+AC296/1000000)</f>
        <v>81.074586449482339</v>
      </c>
      <c r="AF296" s="12">
        <f>IF(OR(履歴データ!$A$296="",AE295=0),"",(AE296-AE295)/AE295)</f>
        <v>6.4730582048502048E-3</v>
      </c>
      <c r="AG296" s="29">
        <f t="shared" si="14"/>
        <v>102.17217746631495</v>
      </c>
      <c r="AH296" s="12">
        <f>IF(OR(履歴データ!$A$296="",AG296=0),"",AE296/AG296-1)</f>
        <v>-0.2064905685678301</v>
      </c>
      <c r="AJ296" s="28">
        <f t="shared" ca="1" si="12"/>
        <v>-14.601099279850487</v>
      </c>
      <c r="AK296" s="28">
        <f t="shared" ca="1" si="13"/>
        <v>-55.442551513800311</v>
      </c>
    </row>
    <row r="297" spans="1:37">
      <c r="A297" s="10">
        <f>IF(履歴データ!$A$297="","",履歴データ!$A$297)</f>
        <v>45358</v>
      </c>
      <c r="B297" s="28">
        <f>IF(履歴データ!$A$297="","",(履歴データ!$D$297-(履歴データ!$B$297+履歴データ!$F$297)/2)*100)</f>
        <v>-28.500000000000014</v>
      </c>
      <c r="C297" s="28">
        <f>IF(履歴データ!$A$297="","",(履歴データ!$H$297-(履歴データ!$G$297+履歴データ!$J$297)/2)*100)</f>
        <v>-22.35</v>
      </c>
      <c r="D297" s="28">
        <f>IF(履歴データ!$A$297="","",(履歴データ!$D$297-履歴データ!$H$297)*100)</f>
        <v>334.9</v>
      </c>
      <c r="E297" s="28">
        <f>IF(履歴データ!$A$297="","",(履歴データ!$D$297-履歴データ!$C$297)*100)</f>
        <v>1.9999999999999574</v>
      </c>
      <c r="F297" s="28">
        <f>IF(履歴データ!$A$297="","",(履歴データ!$R$297-履歴データ!$D$297)*100)</f>
        <v>-228.36999999999995</v>
      </c>
      <c r="G297" s="28">
        <f>IF(履歴データ!$A$297="","",(履歴データ!$S$297-履歴データ!$R$297)*100)</f>
        <v>-118.31100000000025</v>
      </c>
      <c r="H297" s="29">
        <f>IF(履歴データ!$A$297="","",履歴データ!$O$297)</f>
        <v>149.26899719238281</v>
      </c>
      <c r="I297" s="29">
        <f>IF(履歴データ!$A$297="","",履歴データ!$Q$297)</f>
        <v>111.078125</v>
      </c>
      <c r="J297" s="29">
        <f>IF(履歴データ!$A$297="","",履歴データ!$D$297)</f>
        <v>4.09</v>
      </c>
      <c r="K297" s="28">
        <f>IF(OR(履歴データ!$A$297="",履歴データ!$A$296=""),"",B297-B296)</f>
        <v>-8.8817841970012523E-14</v>
      </c>
      <c r="L297" s="28">
        <f>IF(OR(履歴データ!$A$297="",履歴データ!$A$296=""),"",C297-C296)</f>
        <v>0.94999999999999574</v>
      </c>
      <c r="M297" s="28">
        <f>IF(OR(履歴データ!$A$297="",履歴データ!$A$296=""),"",D297-D296)</f>
        <v>-3.6000000000000227</v>
      </c>
      <c r="N297" s="28">
        <f>IF(OR(履歴データ!$A$297="",履歴データ!$A$296=""),"",E297-E296)</f>
        <v>2.9999999999999361</v>
      </c>
      <c r="O297" s="28">
        <f>IF(OR(履歴データ!$A$297="",履歴データ!$A$296=""),"",F297-F296)</f>
        <v>-2.4099999999999113</v>
      </c>
      <c r="P297" s="28">
        <f>IF(OR(履歴データ!$A$297="",履歴データ!$A$296=""),"",G297-G296)</f>
        <v>12.302999999999983</v>
      </c>
      <c r="Q297" s="29">
        <f>IF(OR(履歴データ!$A$297="",履歴データ!$A$296=""),"",H297-H296)</f>
        <v>-0.779998779296875</v>
      </c>
      <c r="R297" s="29">
        <f>IF(OR(履歴データ!$A$297="",履歴データ!$A$296=""),"",I297-I296)</f>
        <v>0.15625</v>
      </c>
      <c r="S297" s="28">
        <f>IF(OR(履歴データ!$A$297="",履歴データ!$A$296=""),"",(J297-J296)*100)</f>
        <v>-2.0000000000000462</v>
      </c>
      <c r="T297" s="11">
        <f>IF(OR(履歴データ!$A$297="",履歴データ!$A$296=""),"",-80000*K297)</f>
        <v>7.1054273576010019E-9</v>
      </c>
      <c r="U297" s="11">
        <f>IF(OR(履歴データ!$A$297="",履歴データ!$A$296=""),"",60000*L297)</f>
        <v>56999.999999999745</v>
      </c>
      <c r="V297" s="11">
        <f>IF(OR(履歴データ!$A$297="",履歴データ!$A$296=""),"",-50000*M297)</f>
        <v>180000.00000000114</v>
      </c>
      <c r="W297" s="11">
        <f>IF(OR(履歴データ!$A$297="",履歴データ!$A$296=""),"",-40000*N297)</f>
        <v>-119999.99999999744</v>
      </c>
      <c r="X297" s="11">
        <f>IF(OR(履歴データ!$A$297="",履歴データ!$A$296=""),"",120*1000000*(-Q297/H296))</f>
        <v>623795.26706923835</v>
      </c>
      <c r="Y297" s="11">
        <f>IF(OR(履歴データ!$A$297="",履歴データ!$A$296=""),"",40000*(-S297)+(-506.3)*R297*1000)</f>
        <v>890.62500000184809</v>
      </c>
      <c r="Z297" s="11">
        <f>IF(OR(履歴データ!$A$297="",履歴データ!$A$296=""),"",-40000*O297)</f>
        <v>96399.999999996449</v>
      </c>
      <c r="AA297" s="11">
        <f>IF(OR(履歴データ!$A$297="",履歴データ!$A$296=""),"",-40000*P297)</f>
        <v>-492119.9999999993</v>
      </c>
      <c r="AB297" s="11">
        <f>IF(履歴データ!$A$297="","",123.3)</f>
        <v>123.3</v>
      </c>
      <c r="AC297">
        <f>IF(履歴データ!$A$297="","",SUM(T297:AA297))</f>
        <v>345965.89206924802</v>
      </c>
      <c r="AD297" s="29">
        <f>IF(履歴データ!$A$297="","",AC297/1000000)</f>
        <v>0.34596589206924799</v>
      </c>
      <c r="AE297" s="29">
        <f>IF(履歴データ!$A$297="",AE296,AE296+AC297/1000000)</f>
        <v>81.420552341551584</v>
      </c>
      <c r="AF297" s="12">
        <f>IF(OR(履歴データ!$A$297="",AE296=0),"",(AE297-AE296)/AE296)</f>
        <v>4.2672544778852061E-3</v>
      </c>
      <c r="AG297" s="29">
        <f t="shared" si="14"/>
        <v>102.17217746631495</v>
      </c>
      <c r="AH297" s="12">
        <f>IF(OR(履歴データ!$A$297="",AG297=0),"",AE297/AG297-1)</f>
        <v>-0.203104461893307</v>
      </c>
      <c r="AJ297" s="28">
        <f t="shared" ca="1" si="12"/>
        <v>-14.567643164997797</v>
      </c>
      <c r="AK297" s="28">
        <f t="shared" ca="1" si="13"/>
        <v>-55.329182231827595</v>
      </c>
    </row>
    <row r="298" spans="1:37">
      <c r="A298" s="10">
        <f>IF(履歴データ!$A$298="","",履歴データ!$A$298)</f>
        <v>45359</v>
      </c>
      <c r="B298" s="28">
        <f>IF(履歴データ!$A$298="","",(履歴データ!$D$298-(履歴データ!$B$298+履歴データ!$F$298)/2)*100)</f>
        <v>-28.000000000000025</v>
      </c>
      <c r="C298" s="28">
        <f>IF(履歴データ!$A$298="","",(履歴データ!$H$298-(履歴データ!$G$298+履歴データ!$J$298)/2)*100)</f>
        <v>-23.449999999999992</v>
      </c>
      <c r="D298" s="28">
        <f>IF(履歴データ!$A$298="","",(履歴データ!$D$298-履歴データ!$H$298)*100)</f>
        <v>334.4</v>
      </c>
      <c r="E298" s="28">
        <f>IF(履歴データ!$A$298="","",(履歴データ!$D$298-履歴データ!$C$298)*100)</f>
        <v>3.0000000000000249</v>
      </c>
      <c r="F298" s="28">
        <f>IF(履歴データ!$A$298="","",(履歴データ!$R$298-履歴データ!$D$298)*100)</f>
        <v>-232.04</v>
      </c>
      <c r="G298" s="28">
        <f>IF(履歴データ!$A$298="","",(履歴データ!$S$298-履歴データ!$R$298)*100)</f>
        <v>-114.99182141113305</v>
      </c>
      <c r="H298" s="29">
        <f>IF(履歴データ!$A$298="","",履歴データ!$O$298)</f>
        <v>147.86799621582031</v>
      </c>
      <c r="I298" s="29">
        <f>IF(履歴データ!$A$298="","",履歴データ!$Q$298)</f>
        <v>111.140625</v>
      </c>
      <c r="J298" s="29">
        <f>IF(履歴データ!$A$298="","",履歴データ!$D$298)</f>
        <v>4.09</v>
      </c>
      <c r="K298" s="28">
        <f>IF(OR(履歴データ!$A$298="",履歴データ!$A$297=""),"",B298-B297)</f>
        <v>0.49999999999998934</v>
      </c>
      <c r="L298" s="28">
        <f>IF(OR(履歴データ!$A$298="",履歴データ!$A$297=""),"",C298-C297)</f>
        <v>-1.0999999999999908</v>
      </c>
      <c r="M298" s="28">
        <f>IF(OR(履歴データ!$A$298="",履歴データ!$A$297=""),"",D298-D297)</f>
        <v>-0.5</v>
      </c>
      <c r="N298" s="28">
        <f>IF(OR(履歴データ!$A$298="",履歴データ!$A$297=""),"",E298-E297)</f>
        <v>1.0000000000000675</v>
      </c>
      <c r="O298" s="28">
        <f>IF(OR(履歴データ!$A$298="",履歴データ!$A$297=""),"",F298-F297)</f>
        <v>-3.6700000000000443</v>
      </c>
      <c r="P298" s="28">
        <f>IF(OR(履歴データ!$A$298="",履歴データ!$A$297=""),"",G298-G297)</f>
        <v>3.319178588867203</v>
      </c>
      <c r="Q298" s="29">
        <f>IF(OR(履歴データ!$A$298="",履歴データ!$A$297=""),"",H298-H297)</f>
        <v>-1.4010009765625</v>
      </c>
      <c r="R298" s="29">
        <f>IF(OR(履歴データ!$A$298="",履歴データ!$A$297=""),"",I298-I297)</f>
        <v>6.25E-2</v>
      </c>
      <c r="S298" s="28">
        <f>IF(OR(履歴データ!$A$298="",履歴データ!$A$297=""),"",(J298-J297)*100)</f>
        <v>0</v>
      </c>
      <c r="T298" s="11">
        <f>IF(OR(履歴データ!$A$298="",履歴データ!$A$297=""),"",-80000*K298)</f>
        <v>-39999.999999999149</v>
      </c>
      <c r="U298" s="11">
        <f>IF(OR(履歴データ!$A$298="",履歴データ!$A$297=""),"",60000*L298)</f>
        <v>-65999.999999999447</v>
      </c>
      <c r="V298" s="11">
        <f>IF(OR(履歴データ!$A$298="",履歴データ!$A$297=""),"",-50000*M298)</f>
        <v>25000</v>
      </c>
      <c r="W298" s="11">
        <f>IF(OR(履歴データ!$A$298="",履歴データ!$A$297=""),"",-40000*N298)</f>
        <v>-40000.000000002699</v>
      </c>
      <c r="X298" s="11">
        <f>IF(OR(履歴データ!$A$298="",履歴データ!$A$297=""),"",120*1000000*(-Q298/H297))</f>
        <v>1126289.5869181813</v>
      </c>
      <c r="Y298" s="11">
        <f>IF(OR(履歴データ!$A$298="",履歴データ!$A$297=""),"",40000*(-S298)+(-506.3)*R298*1000)</f>
        <v>-31643.75</v>
      </c>
      <c r="Z298" s="11">
        <f>IF(OR(履歴データ!$A$298="",履歴データ!$A$297=""),"",-40000*O298)</f>
        <v>146800.00000000178</v>
      </c>
      <c r="AA298" s="11">
        <f>IF(OR(履歴データ!$A$298="",履歴データ!$A$297=""),"",-40000*P298)</f>
        <v>-132767.14355468811</v>
      </c>
      <c r="AB298" s="11">
        <f>IF(履歴データ!$A$298="","",123.3)</f>
        <v>123.3</v>
      </c>
      <c r="AC298">
        <f>IF(履歴データ!$A$298="","",SUM(T298:AA298))</f>
        <v>987678.69336349366</v>
      </c>
      <c r="AD298" s="29">
        <f>IF(履歴データ!$A$298="","",AC298/1000000)</f>
        <v>0.98767869336349368</v>
      </c>
      <c r="AE298" s="29">
        <f>IF(履歴データ!$A$298="",AE297,AE297+AC298/1000000)</f>
        <v>82.408231034915076</v>
      </c>
      <c r="AF298" s="12">
        <f>IF(OR(履歴データ!$A$298="",AE297=0),"",(AE298-AE297)/AE297)</f>
        <v>1.2130582082276626E-2</v>
      </c>
      <c r="AG298" s="29">
        <f t="shared" si="14"/>
        <v>102.17217746631495</v>
      </c>
      <c r="AH298" s="12">
        <f>IF(OR(履歴データ!$A$298="",AG298=0),"",AE298/AG298-1)</f>
        <v>-0.19343765515730371</v>
      </c>
      <c r="AJ298" s="28">
        <f t="shared" ca="1" si="12"/>
        <v>-14.539939295087937</v>
      </c>
      <c r="AK298" s="28">
        <f t="shared" ca="1" si="13"/>
        <v>-55.194187689039055</v>
      </c>
    </row>
    <row r="299" spans="1:37">
      <c r="A299" s="10">
        <f>IF(履歴データ!$A$299="","",履歴データ!$A$299)</f>
        <v>45362</v>
      </c>
      <c r="B299" s="28">
        <f>IF(履歴データ!$A$299="","",(履歴データ!$D$299-(履歴データ!$B$299+履歴データ!$F$299)/2)*100)</f>
        <v>-28.500000000000014</v>
      </c>
      <c r="C299" s="28">
        <f>IF(履歴データ!$A$299="","",(履歴データ!$H$299-(履歴データ!$G$299+履歴データ!$J$299)/2)*100)</f>
        <v>-21.649999999999991</v>
      </c>
      <c r="D299" s="28">
        <f>IF(履歴データ!$A$299="","",(履歴データ!$D$299-履歴データ!$H$299)*100)</f>
        <v>332.29999999999995</v>
      </c>
      <c r="E299" s="28">
        <f>IF(履歴データ!$A$299="","",(履歴データ!$D$299-履歴データ!$C$299)*100)</f>
        <v>1.9999999999999574</v>
      </c>
      <c r="F299" s="28">
        <f>IF(履歴データ!$A$299="","",(履歴データ!$R$299-履歴データ!$D$299)*100)</f>
        <v>-230.72999999999996</v>
      </c>
      <c r="G299" s="28">
        <f>IF(履歴データ!$A$299="","",(履歴データ!$S$299-履歴データ!$R$299)*100)</f>
        <v>-118.35417858886714</v>
      </c>
      <c r="H299" s="29">
        <f>IF(履歴データ!$A$299="","",履歴データ!$O$299)</f>
        <v>146.77400207519531</v>
      </c>
      <c r="I299" s="29">
        <f>IF(履歴データ!$A$299="","",履歴データ!$Q$299)</f>
        <v>111.015625</v>
      </c>
      <c r="J299" s="29">
        <f>IF(履歴データ!$A$299="","",履歴データ!$D$299)</f>
        <v>4.0999999999999996</v>
      </c>
      <c r="K299" s="28">
        <f>IF(OR(履歴データ!$A$299="",履歴データ!$A$298=""),"",B299-B298)</f>
        <v>-0.49999999999998934</v>
      </c>
      <c r="L299" s="28">
        <f>IF(OR(履歴データ!$A$299="",履歴データ!$A$298=""),"",C299-C298)</f>
        <v>1.8000000000000007</v>
      </c>
      <c r="M299" s="28">
        <f>IF(OR(履歴データ!$A$299="",履歴データ!$A$298=""),"",D299-D298)</f>
        <v>-2.1000000000000227</v>
      </c>
      <c r="N299" s="28">
        <f>IF(OR(履歴データ!$A$299="",履歴データ!$A$298=""),"",E299-E298)</f>
        <v>-1.0000000000000675</v>
      </c>
      <c r="O299" s="28">
        <f>IF(OR(履歴データ!$A$299="",履歴データ!$A$298=""),"",F299-F298)</f>
        <v>1.3100000000000307</v>
      </c>
      <c r="P299" s="28">
        <f>IF(OR(履歴データ!$A$299="",履歴データ!$A$298=""),"",G299-G298)</f>
        <v>-3.362357177734097</v>
      </c>
      <c r="Q299" s="29">
        <f>IF(OR(履歴データ!$A$299="",履歴データ!$A$298=""),"",H299-H298)</f>
        <v>-1.093994140625</v>
      </c>
      <c r="R299" s="29">
        <f>IF(OR(履歴データ!$A$299="",履歴データ!$A$298=""),"",I299-I298)</f>
        <v>-0.125</v>
      </c>
      <c r="S299" s="28">
        <f>IF(OR(履歴データ!$A$299="",履歴データ!$A$298=""),"",(J299-J298)*100)</f>
        <v>0.99999999999997868</v>
      </c>
      <c r="T299" s="11">
        <f>IF(OR(履歴データ!$A$299="",履歴データ!$A$298=""),"",-80000*K299)</f>
        <v>39999.999999999149</v>
      </c>
      <c r="U299" s="11">
        <f>IF(OR(履歴データ!$A$299="",履歴データ!$A$298=""),"",60000*L299)</f>
        <v>108000.00000000004</v>
      </c>
      <c r="V299" s="11">
        <f>IF(OR(履歴データ!$A$299="",履歴データ!$A$298=""),"",-50000*M299)</f>
        <v>105000.00000000114</v>
      </c>
      <c r="W299" s="11">
        <f>IF(OR(履歴データ!$A$299="",履歴データ!$A$298=""),"",-40000*N299)</f>
        <v>40000.000000002699</v>
      </c>
      <c r="X299" s="11">
        <f>IF(OR(履歴データ!$A$299="",履歴データ!$A$298=""),"",120*1000000*(-Q299/H298))</f>
        <v>887814.13310958561</v>
      </c>
      <c r="Y299" s="11">
        <f>IF(OR(履歴データ!$A$299="",履歴データ!$A$298=""),"",40000*(-S299)+(-506.3)*R299*1000)</f>
        <v>23287.500000000851</v>
      </c>
      <c r="Z299" s="11">
        <f>IF(OR(履歴データ!$A$299="",履歴データ!$A$298=""),"",-40000*O299)</f>
        <v>-52400.00000000123</v>
      </c>
      <c r="AA299" s="11">
        <f>IF(OR(履歴データ!$A$299="",履歴データ!$A$298=""),"",-40000*P299)</f>
        <v>134494.28710936388</v>
      </c>
      <c r="AB299" s="11">
        <f>IF(履歴データ!$A$299="","",123.3)</f>
        <v>123.3</v>
      </c>
      <c r="AC299">
        <f>IF(履歴データ!$A$299="","",SUM(T299:AA299))</f>
        <v>1286195.9202189522</v>
      </c>
      <c r="AD299" s="29">
        <f>IF(履歴データ!$A$299="","",AC299/1000000)</f>
        <v>1.2861959202189521</v>
      </c>
      <c r="AE299" s="29">
        <f>IF(履歴データ!$A$299="",AE298,AE298+AC299/1000000)</f>
        <v>83.694426955134034</v>
      </c>
      <c r="AF299" s="12">
        <f>IF(OR(履歴データ!$A$299="",AE298=0),"",(AE299-AE298)/AE298)</f>
        <v>1.5607614725694295E-2</v>
      </c>
      <c r="AG299" s="29">
        <f t="shared" si="14"/>
        <v>102.17217746631495</v>
      </c>
      <c r="AH299" s="12">
        <f>IF(OR(履歴データ!$A$299="",AG299=0),"",AE299/AG299-1)</f>
        <v>-0.18084914082674641</v>
      </c>
      <c r="AJ299" s="28">
        <f t="shared" ca="1" si="12"/>
        <v>-14.503691798069319</v>
      </c>
      <c r="AK299" s="28">
        <f t="shared" ca="1" si="13"/>
        <v>-55.091546297168783</v>
      </c>
    </row>
    <row r="300" spans="1:37">
      <c r="A300" s="10">
        <f>IF(履歴データ!$A$300="","",履歴データ!$A$300)</f>
        <v>45363</v>
      </c>
      <c r="B300" s="28">
        <f>IF(履歴データ!$A$300="","",(履歴データ!$D$300-(履歴データ!$B$300+履歴データ!$F$300)/2)*100)</f>
        <v>-28.500000000000014</v>
      </c>
      <c r="C300" s="28">
        <f>IF(履歴データ!$A$300="","",(履歴データ!$H$300-(履歴データ!$G$300+履歴データ!$J$300)/2)*100)</f>
        <v>-20.999999999999996</v>
      </c>
      <c r="D300" s="28">
        <f>IF(履歴データ!$A$300="","",(履歴データ!$D$300-履歴データ!$H$300)*100)</f>
        <v>337.70000000000005</v>
      </c>
      <c r="E300" s="28">
        <f>IF(履歴データ!$A$300="","",(履歴データ!$D$300-履歴データ!$C$300)*100)</f>
        <v>0.99999999999997868</v>
      </c>
      <c r="F300" s="28">
        <f>IF(履歴データ!$A$300="","",(履歴データ!$R$300-履歴データ!$D$300)*100)</f>
        <v>-235.63</v>
      </c>
      <c r="G300" s="28">
        <f>IF(履歴データ!$A$300="","",(履歴データ!$S$300-履歴データ!$R$300)*100)</f>
        <v>-111.56117858886718</v>
      </c>
      <c r="H300" s="29">
        <f>IF(履歴データ!$A$300="","",履歴データ!$O$300)</f>
        <v>146.73199462890625</v>
      </c>
      <c r="I300" s="29">
        <f>IF(履歴データ!$A$300="","",履歴データ!$Q$300)</f>
        <v>110.609375</v>
      </c>
      <c r="J300" s="29">
        <f>IF(履歴データ!$A$300="","",履歴データ!$D$300)</f>
        <v>4.16</v>
      </c>
      <c r="K300" s="28">
        <f>IF(OR(履歴データ!$A$300="",履歴データ!$A$299=""),"",B300-B299)</f>
        <v>0</v>
      </c>
      <c r="L300" s="28">
        <f>IF(OR(履歴データ!$A$300="",履歴データ!$A$299=""),"",C300-C299)</f>
        <v>0.64999999999999503</v>
      </c>
      <c r="M300" s="28">
        <f>IF(OR(履歴データ!$A$300="",履歴データ!$A$299=""),"",D300-D299)</f>
        <v>5.4000000000000909</v>
      </c>
      <c r="N300" s="28">
        <f>IF(OR(履歴データ!$A$300="",履歴データ!$A$299=""),"",E300-E299)</f>
        <v>-0.99999999999997868</v>
      </c>
      <c r="O300" s="28">
        <f>IF(OR(履歴データ!$A$300="",履歴データ!$A$299=""),"",F300-F299)</f>
        <v>-4.9000000000000341</v>
      </c>
      <c r="P300" s="28">
        <f>IF(OR(履歴データ!$A$300="",履歴データ!$A$299=""),"",G300-G299)</f>
        <v>6.7929999999999637</v>
      </c>
      <c r="Q300" s="29">
        <f>IF(OR(履歴データ!$A$300="",履歴データ!$A$299=""),"",H300-H299)</f>
        <v>-4.20074462890625E-2</v>
      </c>
      <c r="R300" s="29">
        <f>IF(OR(履歴データ!$A$300="",履歴データ!$A$299=""),"",I300-I299)</f>
        <v>-0.40625</v>
      </c>
      <c r="S300" s="28">
        <f>IF(OR(履歴データ!$A$300="",履歴データ!$A$299=""),"",(J300-J299)*100)</f>
        <v>6.0000000000000497</v>
      </c>
      <c r="T300" s="11">
        <f>IF(OR(履歴データ!$A$300="",履歴データ!$A$299=""),"",-80000*K300)</f>
        <v>0</v>
      </c>
      <c r="U300" s="11">
        <f>IF(OR(履歴データ!$A$300="",履歴データ!$A$299=""),"",60000*L300)</f>
        <v>38999.999999999702</v>
      </c>
      <c r="V300" s="11">
        <f>IF(OR(履歴データ!$A$300="",履歴データ!$A$299=""),"",-50000*M300)</f>
        <v>-270000.00000000454</v>
      </c>
      <c r="W300" s="11">
        <f>IF(OR(履歴データ!$A$300="",履歴データ!$A$299=""),"",-40000*N300)</f>
        <v>39999.999999999149</v>
      </c>
      <c r="X300" s="11">
        <f>IF(OR(履歴データ!$A$300="",履歴データ!$A$299=""),"",120*1000000*(-Q300/H299))</f>
        <v>34344.594297462485</v>
      </c>
      <c r="Y300" s="11">
        <f>IF(OR(履歴データ!$A$300="",履歴データ!$A$299=""),"",40000*(-S300)+(-506.3)*R300*1000)</f>
        <v>-34315.62500000195</v>
      </c>
      <c r="Z300" s="11">
        <f>IF(OR(履歴データ!$A$300="",履歴データ!$A$299=""),"",-40000*O300)</f>
        <v>196000.00000000137</v>
      </c>
      <c r="AA300" s="11">
        <f>IF(OR(履歴データ!$A$300="",履歴データ!$A$299=""),"",-40000*P300)</f>
        <v>-271719.99999999854</v>
      </c>
      <c r="AB300" s="11">
        <f>IF(履歴データ!$A$300="","",123.3)</f>
        <v>123.3</v>
      </c>
      <c r="AC300">
        <f>IF(履歴データ!$A$300="","",SUM(T300:AA300))</f>
        <v>-266691.03070254228</v>
      </c>
      <c r="AD300" s="29">
        <f>IF(履歴データ!$A$300="","",AC300/1000000)</f>
        <v>-0.2666910307025423</v>
      </c>
      <c r="AE300" s="29">
        <f>IF(履歴データ!$A$300="",AE299,AE299+AC300/1000000)</f>
        <v>83.427735924431488</v>
      </c>
      <c r="AF300" s="12">
        <f>IF(OR(履歴データ!$A$300="",AE299=0),"",(AE300-AE299)/AE299)</f>
        <v>-3.1864849357951968E-3</v>
      </c>
      <c r="AG300" s="29">
        <f t="shared" si="14"/>
        <v>102.17217746631495</v>
      </c>
      <c r="AH300" s="12">
        <f>IF(OR(履歴データ!$A$300="",AG300=0),"",AE300/AG300-1)</f>
        <v>-0.18345935269964564</v>
      </c>
      <c r="AJ300" s="28">
        <f t="shared" ca="1" si="12"/>
        <v>-14.463953095330595</v>
      </c>
      <c r="AK300" s="28">
        <f t="shared" ca="1" si="13"/>
        <v>-55.000332618955113</v>
      </c>
    </row>
    <row r="301" spans="1:37">
      <c r="A301" s="10">
        <f>IF(履歴データ!$A$301="","",履歴データ!$A$301)</f>
        <v>45364</v>
      </c>
      <c r="B301" s="28">
        <f>IF(履歴データ!$A$301="","",(履歴データ!$D$301-(履歴データ!$B$301+履歴データ!$F$301)/2)*100)</f>
        <v>-29.000000000000004</v>
      </c>
      <c r="C301" s="28">
        <f>IF(履歴データ!$A$301="","",(履歴データ!$H$301-(履歴データ!$G$301+履歴データ!$J$301)/2)*100)</f>
        <v>-21.35</v>
      </c>
      <c r="D301" s="28">
        <f>IF(履歴データ!$A$301="","",(履歴データ!$D$301-履歴データ!$H$301)*100)</f>
        <v>341.70000000000005</v>
      </c>
      <c r="E301" s="28">
        <f>IF(履歴データ!$A$301="","",(履歴データ!$D$301-履歴データ!$C$301)*100)</f>
        <v>0</v>
      </c>
      <c r="F301" s="28">
        <f>IF(履歴データ!$A$301="","",(履歴データ!$R$301-履歴データ!$D$301)*100)</f>
        <v>-239.90000000000003</v>
      </c>
      <c r="G301" s="28">
        <f>IF(履歴データ!$A$301="","",(履歴データ!$S$301-履歴データ!$R$301)*100)</f>
        <v>-114.15000000000002</v>
      </c>
      <c r="H301" s="29">
        <f>IF(履歴データ!$A$301="","",履歴データ!$O$301)</f>
        <v>147.61900329589844</v>
      </c>
      <c r="I301" s="29">
        <f>IF(履歴データ!$A$301="","",履歴データ!$Q$301)</f>
        <v>110.40625</v>
      </c>
      <c r="J301" s="29">
        <f>IF(履歴データ!$A$301="","",履歴データ!$D$301)</f>
        <v>4.1900000000000004</v>
      </c>
      <c r="K301" s="28">
        <f>IF(OR(履歴データ!$A$301="",履歴データ!$A$300=""),"",B301-B300)</f>
        <v>-0.49999999999998934</v>
      </c>
      <c r="L301" s="28">
        <f>IF(OR(履歴データ!$A$301="",履歴データ!$A$300=""),"",C301-C300)</f>
        <v>-0.35000000000000497</v>
      </c>
      <c r="M301" s="28">
        <f>IF(OR(履歴データ!$A$301="",履歴データ!$A$300=""),"",D301-D300)</f>
        <v>4</v>
      </c>
      <c r="N301" s="28">
        <f>IF(OR(履歴データ!$A$301="",履歴データ!$A$300=""),"",E301-E300)</f>
        <v>-0.99999999999997868</v>
      </c>
      <c r="O301" s="28">
        <f>IF(OR(履歴データ!$A$301="",履歴データ!$A$300=""),"",F301-F300)</f>
        <v>-4.2700000000000387</v>
      </c>
      <c r="P301" s="28">
        <f>IF(OR(履歴データ!$A$301="",履歴データ!$A$300=""),"",G301-G300)</f>
        <v>-2.5888214111328409</v>
      </c>
      <c r="Q301" s="29">
        <f>IF(OR(履歴データ!$A$301="",履歴データ!$A$300=""),"",H301-H300)</f>
        <v>0.8870086669921875</v>
      </c>
      <c r="R301" s="29">
        <f>IF(OR(履歴データ!$A$301="",履歴データ!$A$300=""),"",I301-I300)</f>
        <v>-0.203125</v>
      </c>
      <c r="S301" s="28">
        <f>IF(OR(履歴データ!$A$301="",履歴データ!$A$300=""),"",(J301-J300)*100)</f>
        <v>3.0000000000000249</v>
      </c>
      <c r="T301" s="11">
        <f>IF(OR(履歴データ!$A$301="",履歴データ!$A$300=""),"",-80000*K301)</f>
        <v>39999.999999999149</v>
      </c>
      <c r="U301" s="11">
        <f>IF(OR(履歴データ!$A$301="",履歴データ!$A$300=""),"",60000*L301)</f>
        <v>-21000.000000000298</v>
      </c>
      <c r="V301" s="11">
        <f>IF(OR(履歴データ!$A$301="",履歴データ!$A$300=""),"",-50000*M301)</f>
        <v>-200000</v>
      </c>
      <c r="W301" s="11">
        <f>IF(OR(履歴データ!$A$301="",履歴データ!$A$300=""),"",-40000*N301)</f>
        <v>39999.999999999149</v>
      </c>
      <c r="X301" s="11">
        <f>IF(OR(履歴データ!$A$301="",履歴データ!$A$300=""),"",120*1000000*(-Q301/H300))</f>
        <v>-725411.25272820075</v>
      </c>
      <c r="Y301" s="11">
        <f>IF(OR(履歴データ!$A$301="",履歴データ!$A$300=""),"",40000*(-S301)+(-506.3)*R301*1000)</f>
        <v>-17157.812500000975</v>
      </c>
      <c r="Z301" s="11">
        <f>IF(OR(履歴データ!$A$301="",履歴データ!$A$300=""),"",-40000*O301)</f>
        <v>170800.00000000154</v>
      </c>
      <c r="AA301" s="11">
        <f>IF(OR(履歴データ!$A$301="",履歴データ!$A$300=""),"",-40000*P301)</f>
        <v>103552.85644531364</v>
      </c>
      <c r="AB301" s="11">
        <f>IF(履歴データ!$A$301="","",123.3)</f>
        <v>123.3</v>
      </c>
      <c r="AC301">
        <f>IF(履歴データ!$A$301="","",SUM(T301:AA301))</f>
        <v>-609216.20878288848</v>
      </c>
      <c r="AD301" s="29">
        <f>IF(履歴データ!$A$301="","",AC301/1000000)</f>
        <v>-0.60921620878288851</v>
      </c>
      <c r="AE301" s="29">
        <f>IF(履歴データ!$A$301="",AE300,AE300+AC301/1000000)</f>
        <v>82.818519715648605</v>
      </c>
      <c r="AF301" s="12">
        <f>IF(OR(履歴データ!$A$301="",AE300=0),"",(AE301-AE300)/AE300)</f>
        <v>-7.3023222077452533E-3</v>
      </c>
      <c r="AG301" s="29">
        <f t="shared" si="14"/>
        <v>102.17217746631495</v>
      </c>
      <c r="AH301" s="12">
        <f>IF(OR(履歴データ!$A$301="",AG301=0),"",AE301/AG301-1)</f>
        <v>-0.18942199560195372</v>
      </c>
      <c r="AJ301" s="28">
        <f t="shared" ca="1" si="12"/>
        <v>-14.445233692522976</v>
      </c>
      <c r="AK301" s="28">
        <f t="shared" ca="1" si="13"/>
        <v>-54.999210751921467</v>
      </c>
    </row>
    <row r="302" spans="1:37">
      <c r="A302" s="10">
        <f>IF(履歴データ!$A$302="","",履歴データ!$A$302)</f>
        <v>45365</v>
      </c>
      <c r="B302" s="28">
        <f>IF(履歴データ!$A$302="","",(履歴データ!$D$302-(履歴データ!$B$302+履歴データ!$F$302)/2)*100)</f>
        <v>-27.000000000000046</v>
      </c>
      <c r="C302" s="28">
        <f>IF(履歴データ!$A$302="","",(履歴データ!$H$302-(履歴データ!$G$302+履歴データ!$J$302)/2)*100)</f>
        <v>-20.749999999999989</v>
      </c>
      <c r="D302" s="28">
        <f>IF(履歴データ!$A$302="","",(履歴データ!$D$302-履歴データ!$H$302)*100)</f>
        <v>349.8</v>
      </c>
      <c r="E302" s="28">
        <f>IF(履歴データ!$A$302="","",(履歴データ!$D$302-履歴データ!$C$302)*100)</f>
        <v>0</v>
      </c>
      <c r="F302" s="28">
        <f>IF(履歴データ!$A$302="","",(履歴データ!$R$302-履歴データ!$D$302)*100)</f>
        <v>-249.56</v>
      </c>
      <c r="G302" s="28">
        <f>IF(履歴データ!$A$302="","",(履歴データ!$S$302-履歴データ!$R$302)*100)</f>
        <v>-109.40335717773455</v>
      </c>
      <c r="H302" s="29">
        <f>IF(履歴データ!$A$302="","",履歴データ!$O$302)</f>
        <v>147.62100219726563</v>
      </c>
      <c r="I302" s="29">
        <f>IF(履歴データ!$A$302="","",履歴データ!$Q$302)</f>
        <v>109.734375</v>
      </c>
      <c r="J302" s="29">
        <f>IF(履歴データ!$A$302="","",履歴データ!$D$302)</f>
        <v>4.29</v>
      </c>
      <c r="K302" s="28">
        <f>IF(OR(履歴データ!$A$302="",履歴データ!$A$301=""),"",B302-B301)</f>
        <v>1.9999999999999574</v>
      </c>
      <c r="L302" s="28">
        <f>IF(OR(履歴データ!$A$302="",履歴データ!$A$301=""),"",C302-C301)</f>
        <v>0.60000000000001208</v>
      </c>
      <c r="M302" s="28">
        <f>IF(OR(履歴データ!$A$302="",履歴データ!$A$301=""),"",D302-D301)</f>
        <v>8.0999999999999659</v>
      </c>
      <c r="N302" s="28">
        <f>IF(OR(履歴データ!$A$302="",履歴データ!$A$301=""),"",E302-E301)</f>
        <v>0</v>
      </c>
      <c r="O302" s="28">
        <f>IF(OR(履歴データ!$A$302="",履歴データ!$A$301=""),"",F302-F301)</f>
        <v>-9.6599999999999682</v>
      </c>
      <c r="P302" s="28">
        <f>IF(OR(履歴データ!$A$302="",履歴データ!$A$301=""),"",G302-G301)</f>
        <v>4.7466428222654713</v>
      </c>
      <c r="Q302" s="29">
        <f>IF(OR(履歴データ!$A$302="",履歴データ!$A$301=""),"",H302-H301)</f>
        <v>1.9989013671875E-3</v>
      </c>
      <c r="R302" s="29">
        <f>IF(OR(履歴データ!$A$302="",履歴データ!$A$301=""),"",I302-I301)</f>
        <v>-0.671875</v>
      </c>
      <c r="S302" s="28">
        <f>IF(OR(履歴データ!$A$302="",履歴データ!$A$301=""),"",(J302-J301)*100)</f>
        <v>9.9999999999999645</v>
      </c>
      <c r="T302" s="11">
        <f>IF(OR(履歴データ!$A$302="",履歴データ!$A$301=""),"",-80000*K302)</f>
        <v>-159999.99999999659</v>
      </c>
      <c r="U302" s="11">
        <f>IF(OR(履歴データ!$A$302="",履歴データ!$A$301=""),"",60000*L302)</f>
        <v>36000.000000000728</v>
      </c>
      <c r="V302" s="11">
        <f>IF(OR(履歴データ!$A$302="",履歴データ!$A$301=""),"",-50000*M302)</f>
        <v>-404999.99999999831</v>
      </c>
      <c r="W302" s="11">
        <f>IF(OR(履歴データ!$A$302="",履歴データ!$A$301=""),"",-40000*N302)</f>
        <v>0</v>
      </c>
      <c r="X302" s="11">
        <f>IF(OR(履歴データ!$A$302="",履歴データ!$A$301=""),"",120*1000000*(-Q302/H301))</f>
        <v>-1624.9138573418663</v>
      </c>
      <c r="Y302" s="11">
        <f>IF(OR(履歴データ!$A$302="",履歴データ!$A$301=""),"",40000*(-S302)+(-506.3)*R302*1000)</f>
        <v>-59829.687499998603</v>
      </c>
      <c r="Z302" s="11">
        <f>IF(OR(履歴データ!$A$302="",履歴データ!$A$301=""),"",-40000*O302)</f>
        <v>386399.99999999872</v>
      </c>
      <c r="AA302" s="11">
        <f>IF(OR(履歴データ!$A$302="",履歴データ!$A$301=""),"",-40000*P302)</f>
        <v>-189865.71289061886</v>
      </c>
      <c r="AB302" s="11">
        <f>IF(履歴データ!$A$302="","",123.3)</f>
        <v>123.3</v>
      </c>
      <c r="AC302">
        <f>IF(履歴データ!$A$302="","",SUM(T302:AA302))</f>
        <v>-393920.31424795475</v>
      </c>
      <c r="AD302" s="29">
        <f>IF(履歴データ!$A$302="","",AC302/1000000)</f>
        <v>-0.39392031424795476</v>
      </c>
      <c r="AE302" s="29">
        <f>IF(履歴データ!$A$302="",AE301,AE301+AC302/1000000)</f>
        <v>82.424599401400656</v>
      </c>
      <c r="AF302" s="12">
        <f>IF(OR(履歴データ!$A$302="",AE301=0),"",(AE302-AE301)/AE301)</f>
        <v>-4.7564278569629933E-3</v>
      </c>
      <c r="AG302" s="29">
        <f t="shared" si="14"/>
        <v>102.17217746631495</v>
      </c>
      <c r="AH302" s="12">
        <f>IF(OR(履歴データ!$A$302="",AG302=0),"",AE302/AG302-1)</f>
        <v>-0.193277451402314</v>
      </c>
      <c r="AJ302" s="28">
        <f t="shared" ca="1" si="12"/>
        <v>-14.392158796883198</v>
      </c>
      <c r="AK302" s="28">
        <f t="shared" ca="1" si="13"/>
        <v>-54.992761838037438</v>
      </c>
    </row>
    <row r="303" spans="1:37">
      <c r="A303" s="10">
        <f>IF(履歴データ!$A$303="","",履歴データ!$A$303)</f>
        <v>45366</v>
      </c>
      <c r="B303" s="28">
        <f>IF(履歴データ!$A$303="","",(履歴データ!$D$303-(履歴データ!$B$303+履歴データ!$F$303)/2)*100)</f>
        <v>-26.499999999999968</v>
      </c>
      <c r="C303" s="28">
        <f>IF(履歴データ!$A$303="","",(履歴データ!$H$303-(履歴データ!$G$303+履歴データ!$J$303)/2)*100)</f>
        <v>-20.04999999999999</v>
      </c>
      <c r="D303" s="28">
        <f>IF(履歴データ!$A$303="","",(履歴データ!$D$303-履歴データ!$H$303)*100)</f>
        <v>350.79999999999995</v>
      </c>
      <c r="E303" s="28">
        <f>IF(履歴データ!$A$303="","",(履歴データ!$D$303-履歴データ!$C$303)*100)</f>
        <v>-2.0000000000000462</v>
      </c>
      <c r="F303" s="28">
        <f>IF(履歴データ!$A$303="","",(履歴データ!$R$303-履歴データ!$D$303)*100)</f>
        <v>-242.19</v>
      </c>
      <c r="G303" s="28">
        <f>IF(履歴データ!$A$303="","",(履歴データ!$S$303-履歴データ!$R$303)*100)</f>
        <v>-121.93064282226571</v>
      </c>
      <c r="H303" s="29">
        <f>IF(履歴データ!$A$303="","",履歴データ!$O$303)</f>
        <v>148.29600524902344</v>
      </c>
      <c r="I303" s="29">
        <f>IF(履歴データ!$A$303="","",履歴データ!$Q$303)</f>
        <v>109.609375</v>
      </c>
      <c r="J303" s="29">
        <f>IF(履歴データ!$A$303="","",履歴データ!$D$303)</f>
        <v>4.3099999999999996</v>
      </c>
      <c r="K303" s="28">
        <f>IF(OR(履歴データ!$A$303="",履歴データ!$A$302=""),"",B303-B302)</f>
        <v>0.50000000000007816</v>
      </c>
      <c r="L303" s="28">
        <f>IF(OR(履歴データ!$A$303="",履歴データ!$A$302=""),"",C303-C302)</f>
        <v>0.69999999999999929</v>
      </c>
      <c r="M303" s="28">
        <f>IF(OR(履歴データ!$A$303="",履歴データ!$A$302=""),"",D303-D302)</f>
        <v>0.99999999999994316</v>
      </c>
      <c r="N303" s="28">
        <f>IF(OR(履歴データ!$A$303="",履歴データ!$A$302=""),"",E303-E302)</f>
        <v>-2.0000000000000462</v>
      </c>
      <c r="O303" s="28">
        <f>IF(OR(履歴データ!$A$303="",履歴データ!$A$302=""),"",F303-F302)</f>
        <v>7.3700000000000045</v>
      </c>
      <c r="P303" s="28">
        <f>IF(OR(履歴データ!$A$303="",履歴データ!$A$302=""),"",G303-G302)</f>
        <v>-12.527285644531162</v>
      </c>
      <c r="Q303" s="29">
        <f>IF(OR(履歴データ!$A$303="",履歴データ!$A$302=""),"",H303-H302)</f>
        <v>0.6750030517578125</v>
      </c>
      <c r="R303" s="29">
        <f>IF(OR(履歴データ!$A$303="",履歴データ!$A$302=""),"",I303-I302)</f>
        <v>-0.125</v>
      </c>
      <c r="S303" s="28">
        <f>IF(OR(履歴データ!$A$303="",履歴データ!$A$302=""),"",(J303-J302)*100)</f>
        <v>1.9999999999999574</v>
      </c>
      <c r="T303" s="11">
        <f>IF(OR(履歴データ!$A$303="",履歴データ!$A$302=""),"",-80000*K303)</f>
        <v>-40000.00000000625</v>
      </c>
      <c r="U303" s="11">
        <f>IF(OR(履歴データ!$A$303="",履歴データ!$A$302=""),"",60000*L303)</f>
        <v>41999.999999999956</v>
      </c>
      <c r="V303" s="11">
        <f>IF(OR(履歴データ!$A$303="",履歴データ!$A$302=""),"",-50000*M303)</f>
        <v>-49999.999999997155</v>
      </c>
      <c r="W303" s="11">
        <f>IF(OR(履歴データ!$A$303="",履歴データ!$A$302=""),"",-40000*N303)</f>
        <v>80000.000000001848</v>
      </c>
      <c r="X303" s="11">
        <f>IF(OR(履歴データ!$A$303="",履歴データ!$A$302=""),"",120*1000000*(-Q303/H302))</f>
        <v>-548704.89297110238</v>
      </c>
      <c r="Y303" s="11">
        <f>IF(OR(履歴データ!$A$303="",履歴データ!$A$302=""),"",40000*(-S303)+(-506.3)*R303*1000)</f>
        <v>-16712.499999998297</v>
      </c>
      <c r="Z303" s="11">
        <f>IF(OR(履歴データ!$A$303="",履歴データ!$A$302=""),"",-40000*O303)</f>
        <v>-294800.00000000017</v>
      </c>
      <c r="AA303" s="11">
        <f>IF(OR(履歴データ!$A$303="",履歴データ!$A$302=""),"",-40000*P303)</f>
        <v>501091.42578124645</v>
      </c>
      <c r="AB303" s="11">
        <f>IF(履歴データ!$A$303="","",123.3)</f>
        <v>123.3</v>
      </c>
      <c r="AC303">
        <f>IF(履歴データ!$A$303="","",SUM(T303:AA303))</f>
        <v>-327125.96718985593</v>
      </c>
      <c r="AD303" s="29">
        <f>IF(履歴データ!$A$303="","",AC303/1000000)</f>
        <v>-0.32712596718985593</v>
      </c>
      <c r="AE303" s="29">
        <f>IF(履歴データ!$A$303="",AE302,AE302+AC303/1000000)</f>
        <v>82.097473434210798</v>
      </c>
      <c r="AF303" s="12">
        <f>IF(OR(履歴データ!$A$303="",AE302=0),"",(AE303-AE302)/AE302)</f>
        <v>-3.9687905014470564E-3</v>
      </c>
      <c r="AG303" s="29">
        <f t="shared" si="14"/>
        <v>102.17217746631495</v>
      </c>
      <c r="AH303" s="12">
        <f>IF(OR(履歴データ!$A$303="",AG303=0),"",AE303/AG303-1)</f>
        <v>-0.19647916419049172</v>
      </c>
      <c r="AJ303" s="28">
        <f t="shared" ca="1" si="12"/>
        <v>-14.356875024755805</v>
      </c>
      <c r="AK303" s="28">
        <f t="shared" ca="1" si="13"/>
        <v>-54.9962995784188</v>
      </c>
    </row>
    <row r="304" spans="1:37">
      <c r="A304" s="10">
        <f>IF(履歴データ!$A$304="","",履歴データ!$A$304)</f>
        <v>45369</v>
      </c>
      <c r="B304" s="28">
        <f>IF(履歴データ!$A$304="","",(履歴データ!$D$304-(履歴データ!$B$304+履歴データ!$F$304)/2)*100)</f>
        <v>-25.500000000000078</v>
      </c>
      <c r="C304" s="28">
        <f>IF(履歴データ!$A$304="","",(履歴データ!$H$304-(履歴データ!$G$304+履歴データ!$J$304)/2)*100)</f>
        <v>-20.999999999999996</v>
      </c>
      <c r="D304" s="28">
        <f>IF(履歴データ!$A$304="","",(履歴データ!$D$304-履歴データ!$H$304)*100)</f>
        <v>356.59999999999997</v>
      </c>
      <c r="E304" s="28">
        <f>IF(履歴データ!$A$304="","",(履歴データ!$D$304-履歴データ!$C$304)*100)</f>
        <v>-2.0000000000000462</v>
      </c>
      <c r="F304" s="28">
        <f>IF(履歴データ!$A$304="","",(履歴データ!$R$304-履歴データ!$D$304)*100)</f>
        <v>-245.62</v>
      </c>
      <c r="G304" s="28">
        <f>IF(履歴データ!$A$304="","",(履歴データ!$S$304-履歴データ!$R$304)*100)</f>
        <v>-121.50064282226572</v>
      </c>
      <c r="H304" s="29">
        <f>IF(履歴データ!$A$304="","",履歴データ!$O$304)</f>
        <v>148.95500183105469</v>
      </c>
      <c r="I304" s="29">
        <f>IF(履歴データ!$A$304="","",履歴データ!$Q$304)</f>
        <v>109.359375</v>
      </c>
      <c r="J304" s="29">
        <f>IF(履歴データ!$A$304="","",履歴データ!$D$304)</f>
        <v>4.34</v>
      </c>
      <c r="K304" s="28">
        <f>IF(OR(履歴データ!$A$304="",履歴データ!$A$303=""),"",B304-B303)</f>
        <v>0.99999999999988987</v>
      </c>
      <c r="L304" s="28">
        <f>IF(OR(履歴データ!$A$304="",履歴データ!$A$303=""),"",C304-C303)</f>
        <v>-0.95000000000000639</v>
      </c>
      <c r="M304" s="28">
        <f>IF(OR(履歴データ!$A$304="",履歴データ!$A$303=""),"",D304-D303)</f>
        <v>5.8000000000000114</v>
      </c>
      <c r="N304" s="28">
        <f>IF(OR(履歴データ!$A$304="",履歴データ!$A$303=""),"",E304-E303)</f>
        <v>0</v>
      </c>
      <c r="O304" s="28">
        <f>IF(OR(履歴データ!$A$304="",履歴データ!$A$303=""),"",F304-F303)</f>
        <v>-3.4300000000000068</v>
      </c>
      <c r="P304" s="28">
        <f>IF(OR(履歴データ!$A$304="",履歴データ!$A$303=""),"",G304-G303)</f>
        <v>0.42999999999999261</v>
      </c>
      <c r="Q304" s="29">
        <f>IF(OR(履歴データ!$A$304="",履歴データ!$A$303=""),"",H304-H303)</f>
        <v>0.65899658203125</v>
      </c>
      <c r="R304" s="29">
        <f>IF(OR(履歴データ!$A$304="",履歴データ!$A$303=""),"",I304-I303)</f>
        <v>-0.25</v>
      </c>
      <c r="S304" s="28">
        <f>IF(OR(履歴データ!$A$304="",履歴データ!$A$303=""),"",(J304-J303)*100)</f>
        <v>3.0000000000000249</v>
      </c>
      <c r="T304" s="11">
        <f>IF(OR(履歴データ!$A$304="",履歴データ!$A$303=""),"",-80000*K304)</f>
        <v>-79999.999999991196</v>
      </c>
      <c r="U304" s="11">
        <f>IF(OR(履歴データ!$A$304="",履歴データ!$A$303=""),"",60000*L304)</f>
        <v>-57000.000000000386</v>
      </c>
      <c r="V304" s="11">
        <f>IF(OR(履歴データ!$A$304="",履歴データ!$A$303=""),"",-50000*M304)</f>
        <v>-290000.00000000058</v>
      </c>
      <c r="W304" s="11">
        <f>IF(OR(履歴データ!$A$304="",履歴データ!$A$303=""),"",-40000*N304)</f>
        <v>0</v>
      </c>
      <c r="X304" s="11">
        <f>IF(OR(履歴データ!$A$304="",履歴データ!$A$303=""),"",120*1000000*(-Q304/H303))</f>
        <v>-533255.02403761318</v>
      </c>
      <c r="Y304" s="11">
        <f>IF(OR(履歴データ!$A$304="",履歴データ!$A$303=""),"",40000*(-S304)+(-506.3)*R304*1000)</f>
        <v>6574.9999999990105</v>
      </c>
      <c r="Z304" s="11">
        <f>IF(OR(履歴データ!$A$304="",履歴データ!$A$303=""),"",-40000*O304)</f>
        <v>137200.00000000026</v>
      </c>
      <c r="AA304" s="11">
        <f>IF(OR(履歴データ!$A$304="",履歴データ!$A$303=""),"",-40000*P304)</f>
        <v>-17199.999999999705</v>
      </c>
      <c r="AB304" s="11">
        <f>IF(履歴データ!$A$304="","",123.3)</f>
        <v>123.3</v>
      </c>
      <c r="AC304">
        <f>IF(履歴データ!$A$304="","",SUM(T304:AA304))</f>
        <v>-833680.02403760573</v>
      </c>
      <c r="AD304" s="29">
        <f>IF(履歴データ!$A$304="","",AC304/1000000)</f>
        <v>-0.83368002403760577</v>
      </c>
      <c r="AE304" s="29">
        <f>IF(履歴データ!$A$304="",AE303,AE303+AC304/1000000)</f>
        <v>81.263793410173193</v>
      </c>
      <c r="AF304" s="12">
        <f>IF(OR(履歴データ!$A$304="",AE303=0),"",(AE304-AE303)/AE303)</f>
        <v>-1.0154758595654938E-2</v>
      </c>
      <c r="AG304" s="29">
        <f t="shared" si="14"/>
        <v>102.17217746631495</v>
      </c>
      <c r="AH304" s="12">
        <f>IF(OR(履歴データ!$A$304="",AG304=0),"",AE304/AG304-1)</f>
        <v>-0.20463872430471619</v>
      </c>
      <c r="AJ304" s="28">
        <f t="shared" ca="1" si="12"/>
        <v>-14.28171890798578</v>
      </c>
      <c r="AK304" s="28">
        <f t="shared" ca="1" si="13"/>
        <v>-54.984154107887235</v>
      </c>
    </row>
    <row r="305" spans="1:37">
      <c r="A305" s="10">
        <f>IF(履歴データ!$A$305="","",履歴データ!$A$305)</f>
        <v>45370</v>
      </c>
      <c r="B305" s="28">
        <f>IF(履歴データ!$A$305="","",(履歴データ!$D$305-(履歴データ!$B$305+履歴データ!$F$305)/2)*100)</f>
        <v>-26.000000000000068</v>
      </c>
      <c r="C305" s="28">
        <f>IF(履歴データ!$A$305="","",(履歴データ!$H$305-(履歴データ!$G$305+履歴データ!$J$305)/2)*100)</f>
        <v>-23.099999999999998</v>
      </c>
      <c r="D305" s="28">
        <f>IF(履歴データ!$A$305="","",(履歴データ!$D$305-履歴データ!$H$305)*100)</f>
        <v>355.6</v>
      </c>
      <c r="E305" s="28">
        <f>IF(履歴データ!$A$305="","",(履歴データ!$D$305-履歴データ!$C$305)*100)</f>
        <v>-0.99999999999997868</v>
      </c>
      <c r="F305" s="28">
        <f>IF(履歴データ!$A$305="","",(履歴データ!$R$305-履歴データ!$D$305)*100)</f>
        <v>-240.17</v>
      </c>
      <c r="G305" s="28">
        <f>IF(履歴データ!$A$305="","",(履歴データ!$S$305-履歴データ!$R$305)*100)</f>
        <v>-130.31735717773441</v>
      </c>
      <c r="H305" s="29">
        <f>IF(履歴データ!$A$305="","",履歴データ!$O$305)</f>
        <v>149.14399719238281</v>
      </c>
      <c r="I305" s="29">
        <f>IF(履歴データ!$A$305="","",履歴データ!$Q$305)</f>
        <v>109.671875</v>
      </c>
      <c r="J305" s="29">
        <f>IF(履歴データ!$A$305="","",履歴データ!$D$305)</f>
        <v>4.3</v>
      </c>
      <c r="K305" s="28">
        <f>IF(OR(履歴データ!$A$305="",履歴データ!$A$304=""),"",B305-B304)</f>
        <v>-0.49999999999998934</v>
      </c>
      <c r="L305" s="28">
        <f>IF(OR(履歴データ!$A$305="",履歴データ!$A$304=""),"",C305-C304)</f>
        <v>-2.1000000000000014</v>
      </c>
      <c r="M305" s="28">
        <f>IF(OR(履歴データ!$A$305="",履歴データ!$A$304=""),"",D305-D304)</f>
        <v>-0.99999999999994316</v>
      </c>
      <c r="N305" s="28">
        <f>IF(OR(履歴データ!$A$305="",履歴データ!$A$304=""),"",E305-E304)</f>
        <v>1.0000000000000675</v>
      </c>
      <c r="O305" s="28">
        <f>IF(OR(履歴データ!$A$305="",履歴データ!$A$304=""),"",F305-F304)</f>
        <v>5.4500000000000171</v>
      </c>
      <c r="P305" s="28">
        <f>IF(OR(履歴データ!$A$305="",履歴データ!$A$304=""),"",G305-G304)</f>
        <v>-8.8167143554686902</v>
      </c>
      <c r="Q305" s="29">
        <f>IF(OR(履歴データ!$A$305="",履歴データ!$A$304=""),"",H305-H304)</f>
        <v>0.188995361328125</v>
      </c>
      <c r="R305" s="29">
        <f>IF(OR(履歴データ!$A$305="",履歴データ!$A$304=""),"",I305-I304)</f>
        <v>0.3125</v>
      </c>
      <c r="S305" s="28">
        <f>IF(OR(履歴データ!$A$305="",履歴データ!$A$304=""),"",(J305-J304)*100)</f>
        <v>-4.0000000000000036</v>
      </c>
      <c r="T305" s="11">
        <f>IF(OR(履歴データ!$A$305="",履歴データ!$A$304=""),"",-80000*K305)</f>
        <v>39999.999999999149</v>
      </c>
      <c r="U305" s="11">
        <f>IF(OR(履歴データ!$A$305="",履歴データ!$A$304=""),"",60000*L305)</f>
        <v>-126000.00000000009</v>
      </c>
      <c r="V305" s="11">
        <f>IF(OR(履歴データ!$A$305="",履歴データ!$A$304=""),"",-50000*M305)</f>
        <v>49999.999999997155</v>
      </c>
      <c r="W305" s="11">
        <f>IF(OR(履歴データ!$A$305="",履歴データ!$A$304=""),"",-40000*N305)</f>
        <v>-40000.000000002699</v>
      </c>
      <c r="X305" s="11">
        <f>IF(OR(履歴データ!$A$305="",履歴データ!$A$304=""),"",120*1000000*(-Q305/H304))</f>
        <v>-152257.01104752501</v>
      </c>
      <c r="Y305" s="11">
        <f>IF(OR(履歴データ!$A$305="",履歴データ!$A$304=""),"",40000*(-S305)+(-506.3)*R305*1000)</f>
        <v>1781.2500000001455</v>
      </c>
      <c r="Z305" s="11">
        <f>IF(OR(履歴データ!$A$305="",履歴データ!$A$304=""),"",-40000*O305)</f>
        <v>-218000.00000000067</v>
      </c>
      <c r="AA305" s="11">
        <f>IF(OR(履歴データ!$A$305="",履歴データ!$A$304=""),"",-40000*P305)</f>
        <v>352668.57421874761</v>
      </c>
      <c r="AB305" s="11">
        <f>IF(履歴データ!$A$305="","",123.3)</f>
        <v>123.3</v>
      </c>
      <c r="AC305">
        <f>IF(履歴データ!$A$305="","",SUM(T305:AA305))</f>
        <v>-91807.186828784412</v>
      </c>
      <c r="AD305" s="29">
        <f>IF(履歴データ!$A$305="","",AC305/1000000)</f>
        <v>-9.1807186828784415E-2</v>
      </c>
      <c r="AE305" s="29">
        <f>IF(履歴データ!$A$305="",AE304,AE304+AC305/1000000)</f>
        <v>81.171986223344405</v>
      </c>
      <c r="AF305" s="12">
        <f>IF(OR(履歴データ!$A$305="",AE304=0),"",(AE305-AE304)/AE304)</f>
        <v>-1.1297428162797911E-3</v>
      </c>
      <c r="AG305" s="29">
        <f t="shared" si="14"/>
        <v>102.17217746631495</v>
      </c>
      <c r="AH305" s="12">
        <f>IF(OR(履歴データ!$A$305="",AG305=0),"",AE305/AG305-1)</f>
        <v>-0.20553727799228005</v>
      </c>
      <c r="AJ305" s="28">
        <f t="shared" ca="1" si="12"/>
        <v>-14.234619348395974</v>
      </c>
      <c r="AK305" s="28">
        <f t="shared" ca="1" si="13"/>
        <v>-54.987602873826255</v>
      </c>
    </row>
    <row r="306" spans="1:37">
      <c r="A306" s="10">
        <f>IF(履歴データ!$A$306="","",履歴データ!$A$306)</f>
        <v>45371</v>
      </c>
      <c r="B306" s="28">
        <f>IF(履歴データ!$A$306="","",(履歴データ!$D$306-(履歴データ!$B$306+履歴データ!$F$306)/2)*100)</f>
        <v>-25</v>
      </c>
      <c r="C306" s="28">
        <f>IF(履歴データ!$A$306="","",(履歴データ!$H$306-(履歴データ!$G$306+履歴データ!$J$306)/2)*100)</f>
        <v>-23.099999999999998</v>
      </c>
      <c r="D306" s="28">
        <f>IF(履歴データ!$A$306="","",(履歴データ!$D$306-履歴データ!$H$306)*100)</f>
        <v>352.59999999999997</v>
      </c>
      <c r="E306" s="28">
        <f>IF(履歴データ!$A$306="","",(履歴データ!$D$306-履歴データ!$C$306)*100)</f>
        <v>1.9999999999999574</v>
      </c>
      <c r="F306" s="28">
        <f>IF(履歴データ!$A$306="","",(履歴データ!$R$306-履歴データ!$D$306)*100)</f>
        <v>-235.6</v>
      </c>
      <c r="G306" s="28">
        <f>IF(履歴データ!$A$306="","",(履歴データ!$S$306-履歴データ!$R$306)*100)</f>
        <v>-131.8873571777344</v>
      </c>
      <c r="H306" s="29">
        <f>IF(履歴データ!$A$306="","",履歴データ!$O$306)</f>
        <v>151.03500366210938</v>
      </c>
      <c r="I306" s="29">
        <f>IF(履歴データ!$A$306="","",履歴データ!$Q$306)</f>
        <v>110.4375</v>
      </c>
      <c r="J306" s="29">
        <f>IF(履歴データ!$A$306="","",履歴データ!$D$306)</f>
        <v>4.2699999999999996</v>
      </c>
      <c r="K306" s="28">
        <f>IF(OR(履歴データ!$A$306="",履歴データ!$A$305=""),"",B306-B305)</f>
        <v>1.0000000000000675</v>
      </c>
      <c r="L306" s="28">
        <f>IF(OR(履歴データ!$A$306="",履歴データ!$A$305=""),"",C306-C305)</f>
        <v>0</v>
      </c>
      <c r="M306" s="28">
        <f>IF(OR(履歴データ!$A$306="",履歴データ!$A$305=""),"",D306-D305)</f>
        <v>-3.0000000000000568</v>
      </c>
      <c r="N306" s="28">
        <f>IF(OR(履歴データ!$A$306="",履歴データ!$A$305=""),"",E306-E305)</f>
        <v>2.9999999999999361</v>
      </c>
      <c r="O306" s="28">
        <f>IF(OR(履歴データ!$A$306="",履歴データ!$A$305=""),"",F306-F305)</f>
        <v>4.5699999999999932</v>
      </c>
      <c r="P306" s="28">
        <f>IF(OR(履歴データ!$A$306="",履歴データ!$A$305=""),"",G306-G305)</f>
        <v>-1.5699999999999932</v>
      </c>
      <c r="Q306" s="29">
        <f>IF(OR(履歴データ!$A$306="",履歴データ!$A$305=""),"",H306-H305)</f>
        <v>1.8910064697265625</v>
      </c>
      <c r="R306" s="29">
        <f>IF(OR(履歴データ!$A$306="",履歴データ!$A$305=""),"",I306-I305)</f>
        <v>0.765625</v>
      </c>
      <c r="S306" s="28">
        <f>IF(OR(履歴データ!$A$306="",履歴データ!$A$305=""),"",(J306-J305)*100)</f>
        <v>-3.0000000000000249</v>
      </c>
      <c r="T306" s="11">
        <f>IF(OR(履歴データ!$A$306="",履歴データ!$A$305=""),"",-80000*K306)</f>
        <v>-80000.000000005399</v>
      </c>
      <c r="U306" s="11">
        <f>IF(OR(履歴データ!$A$306="",履歴データ!$A$305=""),"",60000*L306)</f>
        <v>0</v>
      </c>
      <c r="V306" s="11">
        <f>IF(OR(履歴データ!$A$306="",履歴データ!$A$305=""),"",-50000*M306)</f>
        <v>150000.00000000285</v>
      </c>
      <c r="W306" s="11">
        <f>IF(OR(履歴データ!$A$306="",履歴データ!$A$305=""),"",-40000*N306)</f>
        <v>-119999.99999999744</v>
      </c>
      <c r="X306" s="11">
        <f>IF(OR(履歴データ!$A$306="",履歴データ!$A$305=""),"",120*1000000*(-Q306/H305))</f>
        <v>-1521487.82813216</v>
      </c>
      <c r="Y306" s="11">
        <f>IF(OR(履歴データ!$A$306="",履歴データ!$A$305=""),"",40000*(-S306)+(-506.3)*R306*1000)</f>
        <v>-267635.93749999901</v>
      </c>
      <c r="Z306" s="11">
        <f>IF(OR(履歴データ!$A$306="",履歴データ!$A$305=""),"",-40000*O306)</f>
        <v>-182799.99999999974</v>
      </c>
      <c r="AA306" s="11">
        <f>IF(OR(履歴データ!$A$306="",履歴データ!$A$305=""),"",-40000*P306)</f>
        <v>62799.999999999724</v>
      </c>
      <c r="AB306" s="11">
        <f>IF(履歴データ!$A$306="","",123.3)</f>
        <v>123.3</v>
      </c>
      <c r="AC306">
        <f>IF(履歴データ!$A$306="","",SUM(T306:AA306))</f>
        <v>-1959123.7656321591</v>
      </c>
      <c r="AD306" s="29">
        <f>IF(履歴データ!$A$306="","",AC306/1000000)</f>
        <v>-1.9591237656321592</v>
      </c>
      <c r="AE306" s="29">
        <f>IF(履歴データ!$A$306="",AE305,AE305+AC306/1000000)</f>
        <v>79.212862457712248</v>
      </c>
      <c r="AF306" s="12">
        <f>IF(OR(履歴データ!$A$306="",AE305=0),"",(AE306-AE305)/AE305)</f>
        <v>-2.4135466640444591E-2</v>
      </c>
      <c r="AG306" s="29">
        <f t="shared" si="14"/>
        <v>102.17217746631495</v>
      </c>
      <c r="AH306" s="12">
        <f>IF(OR(履歴データ!$A$306="",AG306=0),"",AE306/AG306-1)</f>
        <v>-0.22471200651637413</v>
      </c>
      <c r="AJ306" s="28">
        <f t="shared" ca="1" si="12"/>
        <v>-14.176579516587875</v>
      </c>
      <c r="AK306" s="28">
        <f t="shared" ca="1" si="13"/>
        <v>-54.994055404047046</v>
      </c>
    </row>
    <row r="307" spans="1:37">
      <c r="A307" s="10">
        <f>IF(履歴データ!$A$307="","",履歴データ!$A$307)</f>
        <v>45372</v>
      </c>
      <c r="B307" s="28">
        <f>IF(履歴データ!$A$307="","",(履歴データ!$D$307-(履歴データ!$B$307+履歴データ!$F$307)/2)*100)</f>
        <v>-26.000000000000068</v>
      </c>
      <c r="C307" s="28">
        <f>IF(履歴データ!$A$307="","",(履歴データ!$H$307-(履歴データ!$G$307+履歴データ!$J$307)/2)*100)</f>
        <v>-23.099999999999998</v>
      </c>
      <c r="D307" s="28">
        <f>IF(履歴データ!$A$307="","",(履歴データ!$D$307-履歴データ!$H$307)*100)</f>
        <v>350.79999999999995</v>
      </c>
      <c r="E307" s="28">
        <f>IF(履歴データ!$A$307="","",(履歴データ!$D$307-履歴データ!$C$307)*100)</f>
        <v>0.99999999999997868</v>
      </c>
      <c r="F307" s="28">
        <f>IF(履歴データ!$A$307="","",(履歴データ!$R$307-履歴データ!$D$307)*100)</f>
        <v>-236.35999999999996</v>
      </c>
      <c r="G307" s="28">
        <f>IF(履歴データ!$A$307="","",(履歴データ!$S$307-履歴データ!$R$307)*100)</f>
        <v>-129.37335717773436</v>
      </c>
      <c r="H307" s="29">
        <f>IF(履歴データ!$A$307="","",履歴データ!$O$307)</f>
        <v>150.75999450683594</v>
      </c>
      <c r="I307" s="29">
        <f>IF(履歴データ!$A$307="","",履歴データ!$Q$307)</f>
        <v>110.390625</v>
      </c>
      <c r="J307" s="29">
        <f>IF(履歴データ!$A$307="","",履歴データ!$D$307)</f>
        <v>4.2699999999999996</v>
      </c>
      <c r="K307" s="28">
        <f>IF(OR(履歴データ!$A$307="",履歴データ!$A$306=""),"",B307-B306)</f>
        <v>-1.0000000000000675</v>
      </c>
      <c r="L307" s="28">
        <f>IF(OR(履歴データ!$A$307="",履歴データ!$A$306=""),"",C307-C306)</f>
        <v>0</v>
      </c>
      <c r="M307" s="28">
        <f>IF(OR(履歴データ!$A$307="",履歴データ!$A$306=""),"",D307-D306)</f>
        <v>-1.8000000000000114</v>
      </c>
      <c r="N307" s="28">
        <f>IF(OR(履歴データ!$A$307="",履歴データ!$A$306=""),"",E307-E306)</f>
        <v>-0.99999999999997868</v>
      </c>
      <c r="O307" s="28">
        <f>IF(OR(履歴データ!$A$307="",履歴データ!$A$306=""),"",F307-F306)</f>
        <v>-0.75999999999996248</v>
      </c>
      <c r="P307" s="28">
        <f>IF(OR(履歴データ!$A$307="",履歴データ!$A$306=""),"",G307-G306)</f>
        <v>2.5140000000000384</v>
      </c>
      <c r="Q307" s="29">
        <f>IF(OR(履歴データ!$A$307="",履歴データ!$A$306=""),"",H307-H306)</f>
        <v>-0.2750091552734375</v>
      </c>
      <c r="R307" s="29">
        <f>IF(OR(履歴データ!$A$307="",履歴データ!$A$306=""),"",I307-I306)</f>
        <v>-4.6875E-2</v>
      </c>
      <c r="S307" s="28">
        <f>IF(OR(履歴データ!$A$307="",履歴データ!$A$306=""),"",(J307-J306)*100)</f>
        <v>0</v>
      </c>
      <c r="T307" s="11">
        <f>IF(OR(履歴データ!$A$307="",履歴データ!$A$306=""),"",-80000*K307)</f>
        <v>80000.000000005399</v>
      </c>
      <c r="U307" s="11">
        <f>IF(OR(履歴データ!$A$307="",履歴データ!$A$306=""),"",60000*L307)</f>
        <v>0</v>
      </c>
      <c r="V307" s="11">
        <f>IF(OR(履歴データ!$A$307="",履歴データ!$A$306=""),"",-50000*M307)</f>
        <v>90000.000000000568</v>
      </c>
      <c r="W307" s="11">
        <f>IF(OR(履歴データ!$A$307="",履歴データ!$A$306=""),"",-40000*N307)</f>
        <v>39999.999999999149</v>
      </c>
      <c r="X307" s="11">
        <f>IF(OR(履歴データ!$A$307="",履歴データ!$A$306=""),"",120*1000000*(-Q307/H306))</f>
        <v>218499.67115332739</v>
      </c>
      <c r="Y307" s="11">
        <f>IF(OR(履歴データ!$A$307="",履歴データ!$A$306=""),"",40000*(-S307)+(-506.3)*R307*1000)</f>
        <v>23732.8125</v>
      </c>
      <c r="Z307" s="11">
        <f>IF(OR(履歴データ!$A$307="",履歴データ!$A$306=""),"",-40000*O307)</f>
        <v>30399.999999998501</v>
      </c>
      <c r="AA307" s="11">
        <f>IF(OR(履歴データ!$A$307="",履歴データ!$A$306=""),"",-40000*P307)</f>
        <v>-100560.00000000154</v>
      </c>
      <c r="AB307" s="11">
        <f>IF(履歴データ!$A$307="","",123.3)</f>
        <v>123.3</v>
      </c>
      <c r="AC307">
        <f>IF(履歴データ!$A$307="","",SUM(T307:AA307))</f>
        <v>382072.48365332943</v>
      </c>
      <c r="AD307" s="29">
        <f>IF(履歴データ!$A$307="","",AC307/1000000)</f>
        <v>0.38207248365332941</v>
      </c>
      <c r="AE307" s="29">
        <f>IF(履歴データ!$A$307="",AE306,AE306+AC307/1000000)</f>
        <v>79.59493494136558</v>
      </c>
      <c r="AF307" s="12">
        <f>IF(OR(履歴データ!$A$307="",AE306=0),"",(AE307-AE306)/AE306)</f>
        <v>4.8233641835289161E-3</v>
      </c>
      <c r="AG307" s="29">
        <f t="shared" si="14"/>
        <v>102.17217746631495</v>
      </c>
      <c r="AH307" s="12">
        <f>IF(OR(履歴データ!$A$307="",AG307=0),"",AE307/AG307-1)</f>
        <v>-0.22097251017668518</v>
      </c>
      <c r="AJ307" s="28">
        <f t="shared" ca="1" si="12"/>
        <v>-14.109074759742761</v>
      </c>
      <c r="AK307" s="28">
        <f t="shared" ca="1" si="13"/>
        <v>-54.982195081527074</v>
      </c>
    </row>
    <row r="308" spans="1:37">
      <c r="A308" s="10">
        <f>IF(履歴データ!$A$308="","",履歴データ!$A$308)</f>
        <v>45373</v>
      </c>
      <c r="B308" s="28">
        <f>IF(履歴データ!$A$308="","",(履歴データ!$D$308-(履歴データ!$B$308+履歴データ!$F$308)/2)*100)</f>
        <v>-27.000000000000046</v>
      </c>
      <c r="C308" s="28">
        <f>IF(履歴データ!$A$308="","",(履歴データ!$H$308-(履歴データ!$G$308+履歴データ!$J$308)/2)*100)</f>
        <v>-23.4</v>
      </c>
      <c r="D308" s="28">
        <f>IF(履歴データ!$A$308="","",(履歴データ!$D$308-履歴データ!$H$308)*100)</f>
        <v>345.79999999999995</v>
      </c>
      <c r="E308" s="28">
        <f>IF(履歴データ!$A$308="","",(履歴データ!$D$308-履歴データ!$C$308)*100)</f>
        <v>1.9999999999999574</v>
      </c>
      <c r="F308" s="28">
        <f>IF(履歴データ!$A$308="","",(履歴データ!$R$308-履歴データ!$D$308)*100)</f>
        <v>-241.62</v>
      </c>
      <c r="G308" s="28">
        <f>IF(履歴データ!$A$308="","",(履歴データ!$S$308-履歴データ!$R$308)*100)</f>
        <v>-120.34117858886735</v>
      </c>
      <c r="H308" s="29">
        <f>IF(履歴データ!$A$308="","",履歴データ!$O$308)</f>
        <v>151.63299560546875</v>
      </c>
      <c r="I308" s="29">
        <f>IF(履歴データ!$A$308="","",履歴データ!$Q$308)</f>
        <v>110.75</v>
      </c>
      <c r="J308" s="29">
        <f>IF(履歴データ!$A$308="","",履歴データ!$D$308)</f>
        <v>4.22</v>
      </c>
      <c r="K308" s="28">
        <f>IF(OR(履歴データ!$A$308="",履歴データ!$A$307=""),"",B308-B307)</f>
        <v>-0.99999999999997868</v>
      </c>
      <c r="L308" s="28">
        <f>IF(OR(履歴データ!$A$308="",履歴データ!$A$307=""),"",C308-C307)</f>
        <v>-0.30000000000000071</v>
      </c>
      <c r="M308" s="28">
        <f>IF(OR(履歴データ!$A$308="",履歴データ!$A$307=""),"",D308-D307)</f>
        <v>-5</v>
      </c>
      <c r="N308" s="28">
        <f>IF(OR(履歴データ!$A$308="",履歴データ!$A$307=""),"",E308-E307)</f>
        <v>0.99999999999997868</v>
      </c>
      <c r="O308" s="28">
        <f>IF(OR(履歴データ!$A$308="",履歴データ!$A$307=""),"",F308-F307)</f>
        <v>-5.2600000000000477</v>
      </c>
      <c r="P308" s="28">
        <f>IF(OR(履歴データ!$A$308="",履歴データ!$A$307=""),"",G308-G307)</f>
        <v>9.0321785888670121</v>
      </c>
      <c r="Q308" s="29">
        <f>IF(OR(履歴データ!$A$308="",履歴データ!$A$307=""),"",H308-H307)</f>
        <v>0.8730010986328125</v>
      </c>
      <c r="R308" s="29">
        <f>IF(OR(履歴データ!$A$308="",履歴データ!$A$307=""),"",I308-I307)</f>
        <v>0.359375</v>
      </c>
      <c r="S308" s="28">
        <f>IF(OR(履歴データ!$A$308="",履歴データ!$A$307=""),"",(J308-J307)*100)</f>
        <v>-4.9999999999999822</v>
      </c>
      <c r="T308" s="11">
        <f>IF(OR(履歴データ!$A$308="",履歴データ!$A$307=""),"",-80000*K308)</f>
        <v>79999.999999998297</v>
      </c>
      <c r="U308" s="11">
        <f>IF(OR(履歴データ!$A$308="",履歴データ!$A$307=""),"",60000*L308)</f>
        <v>-18000.000000000044</v>
      </c>
      <c r="V308" s="11">
        <f>IF(OR(履歴データ!$A$308="",履歴データ!$A$307=""),"",-50000*M308)</f>
        <v>250000</v>
      </c>
      <c r="W308" s="11">
        <f>IF(OR(履歴データ!$A$308="",履歴データ!$A$307=""),"",-40000*N308)</f>
        <v>-39999.999999999149</v>
      </c>
      <c r="X308" s="11">
        <f>IF(OR(履歴データ!$A$308="",履歴データ!$A$307=""),"",120*1000000*(-Q308/H307))</f>
        <v>-694880.17811772577</v>
      </c>
      <c r="Y308" s="11">
        <f>IF(OR(履歴データ!$A$308="",履歴データ!$A$307=""),"",40000*(-S308)+(-506.3)*R308*1000)</f>
        <v>18048.437499999302</v>
      </c>
      <c r="Z308" s="11">
        <f>IF(OR(履歴データ!$A$308="",履歴データ!$A$307=""),"",-40000*O308)</f>
        <v>210400.00000000192</v>
      </c>
      <c r="AA308" s="11">
        <f>IF(OR(履歴データ!$A$308="",履歴データ!$A$307=""),"",-40000*P308)</f>
        <v>-361287.14355468046</v>
      </c>
      <c r="AB308" s="11">
        <f>IF(履歴データ!$A$308="","",123.3)</f>
        <v>123.3</v>
      </c>
      <c r="AC308">
        <f>IF(履歴データ!$A$308="","",SUM(T308:AA308))</f>
        <v>-555718.88417240581</v>
      </c>
      <c r="AD308" s="29">
        <f>IF(履歴データ!$A$308="","",AC308/1000000)</f>
        <v>-0.55571888417240578</v>
      </c>
      <c r="AE308" s="29">
        <f>IF(履歴データ!$A$308="",AE307,AE307+AC308/1000000)</f>
        <v>79.039216057193173</v>
      </c>
      <c r="AF308" s="12">
        <f>IF(OR(履歴データ!$A$308="",AE307=0),"",(AE308-AE307)/AE307)</f>
        <v>-6.9818372812514139E-3</v>
      </c>
      <c r="AG308" s="29">
        <f t="shared" si="14"/>
        <v>102.17217746631495</v>
      </c>
      <c r="AH308" s="12">
        <f>IF(OR(履歴データ!$A$308="",AG308=0),"",AE308/AG308-1)</f>
        <v>-0.22641155334825336</v>
      </c>
      <c r="AJ308" s="28">
        <f t="shared" ca="1" si="12"/>
        <v>-14.059301371037865</v>
      </c>
      <c r="AK308" s="28">
        <f t="shared" ca="1" si="13"/>
        <v>-54.97641291467643</v>
      </c>
    </row>
    <row r="309" spans="1:37">
      <c r="A309" s="10">
        <f>IF(履歴データ!$A$309="","",履歴データ!$A$309)</f>
        <v>45376</v>
      </c>
      <c r="B309" s="28">
        <f>IF(履歴データ!$A$309="","",(履歴データ!$D$309-(履歴データ!$B$309+履歴データ!$F$309)/2)*100)</f>
        <v>-23.000000000000043</v>
      </c>
      <c r="C309" s="28">
        <f>IF(履歴データ!$A$309="","",(履歴データ!$H$309-(履歴データ!$G$309+履歴データ!$J$309)/2)*100)</f>
        <v>-24.900000000000013</v>
      </c>
      <c r="D309" s="28">
        <f>IF(履歴データ!$A$309="","",(履歴データ!$D$309-履歴データ!$H$309)*100)</f>
        <v>349.8</v>
      </c>
      <c r="E309" s="28">
        <f>IF(履歴データ!$A$309="","",(履歴データ!$D$309-履歴データ!$C$309)*100)</f>
        <v>1.9999999999999574</v>
      </c>
      <c r="F309" s="28">
        <f>IF(履歴データ!$A$309="","",(履歴データ!$R$309-履歴データ!$D$309)*100)</f>
        <v>-251.45999999999998</v>
      </c>
      <c r="G309" s="28">
        <f>IF(履歴データ!$A$309="","",(履歴データ!$S$309-履歴データ!$R$309)*100)</f>
        <v>-110.87017858886747</v>
      </c>
      <c r="H309" s="29">
        <f>IF(履歴データ!$A$309="","",履歴データ!$O$309)</f>
        <v>151.30499267578125</v>
      </c>
      <c r="I309" s="29">
        <f>IF(履歴データ!$A$309="","",履歴データ!$Q$309)</f>
        <v>110.515625</v>
      </c>
      <c r="J309" s="29">
        <f>IF(履歴データ!$A$309="","",履歴データ!$D$309)</f>
        <v>4.25</v>
      </c>
      <c r="K309" s="28">
        <f>IF(OR(履歴データ!$A$309="",履歴データ!$A$308=""),"",B309-B308)</f>
        <v>4.0000000000000036</v>
      </c>
      <c r="L309" s="28">
        <f>IF(OR(履歴データ!$A$309="",履歴データ!$A$308=""),"",C309-C308)</f>
        <v>-1.5000000000000142</v>
      </c>
      <c r="M309" s="28">
        <f>IF(OR(履歴データ!$A$309="",履歴データ!$A$308=""),"",D309-D308)</f>
        <v>4.0000000000000568</v>
      </c>
      <c r="N309" s="28">
        <f>IF(OR(履歴データ!$A$309="",履歴データ!$A$308=""),"",E309-E308)</f>
        <v>0</v>
      </c>
      <c r="O309" s="28">
        <f>IF(OR(履歴データ!$A$309="",履歴データ!$A$308=""),"",F309-F308)</f>
        <v>-9.839999999999975</v>
      </c>
      <c r="P309" s="28">
        <f>IF(OR(履歴データ!$A$309="",履歴データ!$A$308=""),"",G309-G308)</f>
        <v>9.4709999999998757</v>
      </c>
      <c r="Q309" s="29">
        <f>IF(OR(履歴データ!$A$309="",履歴データ!$A$308=""),"",H309-H308)</f>
        <v>-0.3280029296875</v>
      </c>
      <c r="R309" s="29">
        <f>IF(OR(履歴データ!$A$309="",履歴データ!$A$308=""),"",I309-I308)</f>
        <v>-0.234375</v>
      </c>
      <c r="S309" s="28">
        <f>IF(OR(履歴データ!$A$309="",履歴データ!$A$308=""),"",(J309-J308)*100)</f>
        <v>3.0000000000000249</v>
      </c>
      <c r="T309" s="11">
        <f>IF(OR(履歴データ!$A$309="",履歴データ!$A$308=""),"",-80000*K309)</f>
        <v>-320000.00000000029</v>
      </c>
      <c r="U309" s="11">
        <f>IF(OR(履歴データ!$A$309="",履歴データ!$A$308=""),"",60000*L309)</f>
        <v>-90000.000000000859</v>
      </c>
      <c r="V309" s="11">
        <f>IF(OR(履歴データ!$A$309="",履歴データ!$A$308=""),"",-50000*M309)</f>
        <v>-200000.00000000285</v>
      </c>
      <c r="W309" s="11">
        <f>IF(OR(履歴データ!$A$309="",履歴データ!$A$308=""),"",-40000*N309)</f>
        <v>0</v>
      </c>
      <c r="X309" s="11">
        <f>IF(OR(履歴データ!$A$309="",履歴データ!$A$308=""),"",120*1000000*(-Q309/H308))</f>
        <v>259576.42929452515</v>
      </c>
      <c r="Y309" s="11">
        <f>IF(OR(履歴データ!$A$309="",履歴データ!$A$308=""),"",40000*(-S309)+(-506.3)*R309*1000)</f>
        <v>-1335.9375000009895</v>
      </c>
      <c r="Z309" s="11">
        <f>IF(OR(履歴データ!$A$309="",履歴データ!$A$308=""),"",-40000*O309)</f>
        <v>393599.99999999901</v>
      </c>
      <c r="AA309" s="11">
        <f>IF(OR(履歴データ!$A$309="",履歴データ!$A$308=""),"",-40000*P309)</f>
        <v>-378839.99999999505</v>
      </c>
      <c r="AB309" s="11">
        <f>IF(履歴データ!$A$309="","",123.3)</f>
        <v>123.3</v>
      </c>
      <c r="AC309">
        <f>IF(履歴データ!$A$309="","",SUM(T309:AA309))</f>
        <v>-336999.50820547581</v>
      </c>
      <c r="AD309" s="29">
        <f>IF(履歴データ!$A$309="","",AC309/1000000)</f>
        <v>-0.33699950820547581</v>
      </c>
      <c r="AE309" s="29">
        <f>IF(履歴データ!$A$309="",AE308,AE308+AC309/1000000)</f>
        <v>78.702216548987693</v>
      </c>
      <c r="AF309" s="12">
        <f>IF(OR(履歴データ!$A$309="",AE308=0),"",(AE309-AE308)/AE308)</f>
        <v>-4.263700034190944E-3</v>
      </c>
      <c r="AG309" s="29">
        <f t="shared" si="14"/>
        <v>102.17217746631495</v>
      </c>
      <c r="AH309" s="12">
        <f>IF(OR(履歴データ!$A$309="",AG309=0),"",AE309/AG309-1)</f>
        <v>-0.22970990243469214</v>
      </c>
      <c r="AJ309" s="28">
        <f t="shared" ca="1" si="12"/>
        <v>-13.969064797408301</v>
      </c>
      <c r="AK309" s="28">
        <f t="shared" ca="1" si="13"/>
        <v>-54.987284408940901</v>
      </c>
    </row>
    <row r="310" spans="1:37">
      <c r="A310" s="10">
        <f>IF(履歴データ!$A$310="","",履歴データ!$A$310)</f>
        <v>45377</v>
      </c>
      <c r="B310" s="28">
        <f>IF(履歴データ!$A$310="","",(履歴データ!$D$310-(履歴データ!$B$310+履歴データ!$F$310)/2)*100)</f>
        <v>-24.000000000000021</v>
      </c>
      <c r="C310" s="28">
        <f>IF(履歴データ!$A$310="","",(履歴データ!$H$310-(履歴データ!$G$310+履歴データ!$J$310)/2)*100)</f>
        <v>-24.2</v>
      </c>
      <c r="D310" s="28">
        <f>IF(履歴データ!$A$310="","",(履歴データ!$D$310-履歴データ!$H$310)*100)</f>
        <v>348.3</v>
      </c>
      <c r="E310" s="28">
        <f>IF(履歴データ!$A$310="","",(履歴データ!$D$310-履歴データ!$C$310)*100)</f>
        <v>2.0000000000000462</v>
      </c>
      <c r="F310" s="28">
        <f>IF(履歴データ!$A$310="","",(履歴データ!$R$310-履歴データ!$D$310)*100)</f>
        <v>-243.27000000000004</v>
      </c>
      <c r="G310" s="28">
        <f>IF(履歴データ!$A$310="","",(履歴データ!$S$310-履歴データ!$R$310)*100)</f>
        <v>-119.63882141113287</v>
      </c>
      <c r="H310" s="29">
        <f>IF(履歴データ!$A$310="","",履歴データ!$O$310)</f>
        <v>151.37300109863281</v>
      </c>
      <c r="I310" s="29">
        <f>IF(履歴データ!$A$310="","",履歴データ!$Q$310)</f>
        <v>110.640625</v>
      </c>
      <c r="J310" s="29">
        <f>IF(履歴データ!$A$310="","",履歴データ!$D$310)</f>
        <v>4.24</v>
      </c>
      <c r="K310" s="28">
        <f>IF(OR(履歴データ!$A$310="",履歴データ!$A$309=""),"",B310-B309)</f>
        <v>-0.99999999999997868</v>
      </c>
      <c r="L310" s="28">
        <f>IF(OR(履歴データ!$A$310="",履歴データ!$A$309=""),"",C310-C309)</f>
        <v>0.7000000000000135</v>
      </c>
      <c r="M310" s="28">
        <f>IF(OR(履歴データ!$A$310="",履歴データ!$A$309=""),"",D310-D309)</f>
        <v>-1.5</v>
      </c>
      <c r="N310" s="28">
        <f>IF(OR(履歴データ!$A$310="",履歴データ!$A$309=""),"",E310-E309)</f>
        <v>8.8817841970012523E-14</v>
      </c>
      <c r="O310" s="28">
        <f>IF(OR(履歴データ!$A$310="",履歴データ!$A$309=""),"",F310-F309)</f>
        <v>8.1899999999999409</v>
      </c>
      <c r="P310" s="28">
        <f>IF(OR(履歴データ!$A$310="",履歴データ!$A$309=""),"",G310-G309)</f>
        <v>-8.7686428222653916</v>
      </c>
      <c r="Q310" s="29">
        <f>IF(OR(履歴データ!$A$310="",履歴データ!$A$309=""),"",H310-H309)</f>
        <v>6.80084228515625E-2</v>
      </c>
      <c r="R310" s="29">
        <f>IF(OR(履歴データ!$A$310="",履歴データ!$A$309=""),"",I310-I309)</f>
        <v>0.125</v>
      </c>
      <c r="S310" s="28">
        <f>IF(OR(履歴データ!$A$310="",履歴データ!$A$309=""),"",(J310-J309)*100)</f>
        <v>-0.99999999999997868</v>
      </c>
      <c r="T310" s="11">
        <f>IF(OR(履歴データ!$A$310="",履歴データ!$A$309=""),"",-80000*K310)</f>
        <v>79999.999999998297</v>
      </c>
      <c r="U310" s="11">
        <f>IF(OR(履歴データ!$A$310="",履歴データ!$A$309=""),"",60000*L310)</f>
        <v>42000.000000000808</v>
      </c>
      <c r="V310" s="11">
        <f>IF(OR(履歴データ!$A$310="",履歴データ!$A$309=""),"",-50000*M310)</f>
        <v>75000</v>
      </c>
      <c r="W310" s="11">
        <f>IF(OR(履歴データ!$A$310="",履歴データ!$A$309=""),"",-40000*N310)</f>
        <v>-3.5527136788005009E-9</v>
      </c>
      <c r="X310" s="11">
        <f>IF(OR(履歴データ!$A$310="",履歴データ!$A$309=""),"",120*1000000*(-Q310/H309))</f>
        <v>-53937.484797180776</v>
      </c>
      <c r="Y310" s="11">
        <f>IF(OR(履歴データ!$A$310="",履歴データ!$A$309=""),"",40000*(-S310)+(-506.3)*R310*1000)</f>
        <v>-23287.500000000851</v>
      </c>
      <c r="Z310" s="11">
        <f>IF(OR(履歴データ!$A$310="",履歴データ!$A$309=""),"",-40000*O310)</f>
        <v>-327599.99999999761</v>
      </c>
      <c r="AA310" s="11">
        <f>IF(OR(履歴データ!$A$310="",履歴データ!$A$309=""),"",-40000*P310)</f>
        <v>350745.71289061569</v>
      </c>
      <c r="AB310" s="11">
        <f>IF(履歴データ!$A$310="","",123.3)</f>
        <v>123.3</v>
      </c>
      <c r="AC310">
        <f>IF(履歴データ!$A$310="","",SUM(T310:AA310))</f>
        <v>142920.728093432</v>
      </c>
      <c r="AD310" s="29">
        <f>IF(履歴データ!$A$310="","",AC310/1000000)</f>
        <v>0.14292072809343201</v>
      </c>
      <c r="AE310" s="29">
        <f>IF(履歴データ!$A$310="",AE309,AE309+AC310/1000000)</f>
        <v>78.845137277081122</v>
      </c>
      <c r="AF310" s="12">
        <f>IF(OR(履歴データ!$A$310="",AE309=0),"",(AE310-AE309)/AE309)</f>
        <v>1.815968270785222E-3</v>
      </c>
      <c r="AG310" s="29">
        <f t="shared" si="14"/>
        <v>102.17217746631495</v>
      </c>
      <c r="AH310" s="12">
        <f>IF(OR(履歴データ!$A$310="",AG310=0),"",AE310/AG310-1)</f>
        <v>-0.22831108005821343</v>
      </c>
      <c r="AJ310" s="28">
        <f t="shared" ca="1" si="12"/>
        <v>-13.897186658437384</v>
      </c>
      <c r="AK310" s="28">
        <f t="shared" ca="1" si="13"/>
        <v>-54.995670484419755</v>
      </c>
    </row>
    <row r="311" spans="1:37">
      <c r="A311" s="10">
        <f>IF(履歴データ!$A$311="","",履歴データ!$A$311)</f>
        <v>45378</v>
      </c>
      <c r="B311" s="28">
        <f>IF(履歴データ!$A$311="","",(履歴データ!$D$311-(履歴データ!$B$311+履歴データ!$F$311)/2)*100)</f>
        <v>-25</v>
      </c>
      <c r="C311" s="28">
        <f>IF(履歴データ!$A$311="","",(履歴データ!$H$311-(履歴データ!$G$311+履歴データ!$J$311)/2)*100)</f>
        <v>-24.549999999999994</v>
      </c>
      <c r="D311" s="28">
        <f>IF(履歴データ!$A$311="","",(履歴データ!$D$311-履歴データ!$H$311)*100)</f>
        <v>346.20000000000005</v>
      </c>
      <c r="E311" s="28">
        <f>IF(履歴データ!$A$311="","",(履歴データ!$D$311-履歴データ!$C$311)*100)</f>
        <v>2.0000000000000462</v>
      </c>
      <c r="F311" s="28">
        <f>IF(履歴データ!$A$311="","",(履歴データ!$R$311-履歴データ!$D$311)*100)</f>
        <v>-242.44000000000003</v>
      </c>
      <c r="G311" s="28">
        <f>IF(履歴データ!$A$311="","",(履歴データ!$S$311-履歴データ!$R$311)*100)</f>
        <v>-118.5736428222657</v>
      </c>
      <c r="H311" s="29">
        <f>IF(履歴データ!$A$311="","",履歴データ!$O$311)</f>
        <v>151.52999877929688</v>
      </c>
      <c r="I311" s="29">
        <f>IF(履歴データ!$A$311="","",履歴データ!$Q$311)</f>
        <v>110.875</v>
      </c>
      <c r="J311" s="29">
        <f>IF(履歴データ!$A$311="","",履歴データ!$D$311)</f>
        <v>4.2</v>
      </c>
      <c r="K311" s="28">
        <f>IF(OR(履歴データ!$A$311="",履歴データ!$A$310=""),"",B311-B310)</f>
        <v>-0.99999999999997868</v>
      </c>
      <c r="L311" s="28">
        <f>IF(OR(履歴データ!$A$311="",履歴データ!$A$310=""),"",C311-C310)</f>
        <v>-0.34999999999999432</v>
      </c>
      <c r="M311" s="28">
        <f>IF(OR(履歴データ!$A$311="",履歴データ!$A$310=""),"",D311-D310)</f>
        <v>-2.0999999999999659</v>
      </c>
      <c r="N311" s="28">
        <f>IF(OR(履歴データ!$A$311="",履歴データ!$A$310=""),"",E311-E310)</f>
        <v>0</v>
      </c>
      <c r="O311" s="28">
        <f>IF(OR(履歴データ!$A$311="",履歴データ!$A$310=""),"",F311-F310)</f>
        <v>0.83000000000001251</v>
      </c>
      <c r="P311" s="28">
        <f>IF(OR(履歴データ!$A$311="",履歴データ!$A$310=""),"",G311-G310)</f>
        <v>1.0651785888671697</v>
      </c>
      <c r="Q311" s="29">
        <f>IF(OR(履歴データ!$A$311="",履歴データ!$A$310=""),"",H311-H310)</f>
        <v>0.1569976806640625</v>
      </c>
      <c r="R311" s="29">
        <f>IF(OR(履歴データ!$A$311="",履歴データ!$A$310=""),"",I311-I310)</f>
        <v>0.234375</v>
      </c>
      <c r="S311" s="28">
        <f>IF(OR(履歴データ!$A$311="",履歴データ!$A$310=""),"",(J311-J310)*100)</f>
        <v>-4.0000000000000036</v>
      </c>
      <c r="T311" s="11">
        <f>IF(OR(履歴データ!$A$311="",履歴データ!$A$310=""),"",-80000*K311)</f>
        <v>79999.999999998297</v>
      </c>
      <c r="U311" s="11">
        <f>IF(OR(履歴データ!$A$311="",履歴データ!$A$310=""),"",60000*L311)</f>
        <v>-20999.999999999658</v>
      </c>
      <c r="V311" s="11">
        <f>IF(OR(履歴データ!$A$311="",履歴データ!$A$310=""),"",-50000*M311)</f>
        <v>104999.9999999983</v>
      </c>
      <c r="W311" s="11">
        <f>IF(OR(履歴データ!$A$311="",履歴データ!$A$310=""),"",-40000*N311)</f>
        <v>0</v>
      </c>
      <c r="X311" s="11">
        <f>IF(OR(履歴データ!$A$311="",履歴データ!$A$310=""),"",120*1000000*(-Q311/H310))</f>
        <v>-124458.92955119364</v>
      </c>
      <c r="Y311" s="11">
        <f>IF(OR(履歴データ!$A$311="",履歴データ!$A$310=""),"",40000*(-S311)+(-506.3)*R311*1000)</f>
        <v>41335.937500000146</v>
      </c>
      <c r="Z311" s="11">
        <f>IF(OR(履歴データ!$A$311="",履歴データ!$A$310=""),"",-40000*O311)</f>
        <v>-33200.000000000502</v>
      </c>
      <c r="AA311" s="11">
        <f>IF(OR(履歴データ!$A$311="",履歴データ!$A$310=""),"",-40000*P311)</f>
        <v>-42607.143554686787</v>
      </c>
      <c r="AB311" s="11">
        <f>IF(履歴データ!$A$311="","",123.3)</f>
        <v>123.3</v>
      </c>
      <c r="AC311">
        <f>IF(履歴データ!$A$311="","",SUM(T311:AA311))</f>
        <v>5069.8643941161645</v>
      </c>
      <c r="AD311" s="29">
        <f>IF(履歴データ!$A$311="","",AC311/1000000)</f>
        <v>5.0698643941161645E-3</v>
      </c>
      <c r="AE311" s="29">
        <f>IF(履歴データ!$A$311="",AE310,AE310+AC311/1000000)</f>
        <v>78.850207141475238</v>
      </c>
      <c r="AF311" s="12">
        <f>IF(OR(履歴データ!$A$311="",AE310=0),"",(AE311-AE310)/AE310)</f>
        <v>6.4301548189323423E-5</v>
      </c>
      <c r="AG311" s="29">
        <f t="shared" si="14"/>
        <v>102.17217746631495</v>
      </c>
      <c r="AH311" s="12">
        <f>IF(OR(履歴データ!$A$311="",AG311=0),"",AE311/AG311-1)</f>
        <v>-0.22826145926594066</v>
      </c>
      <c r="AJ311" s="28">
        <f t="shared" ca="1" si="12"/>
        <v>-13.834405321719355</v>
      </c>
      <c r="AK311" s="28">
        <f t="shared" ca="1" si="13"/>
        <v>-54.99892801161397</v>
      </c>
    </row>
    <row r="312" spans="1:37">
      <c r="A312" s="10">
        <f>IF(履歴データ!$A$312="","",履歴データ!$A$312)</f>
        <v>45379</v>
      </c>
      <c r="B312" s="28">
        <f>IF(履歴データ!$A$312="","",(履歴データ!$D$312-(履歴データ!$B$312+履歴データ!$F$312)/2)*100)</f>
        <v>-26.499999999999968</v>
      </c>
      <c r="C312" s="28">
        <f>IF(履歴データ!$A$312="","",(履歴データ!$H$312-(履歴データ!$G$312+履歴データ!$J$312)/2)*100)</f>
        <v>-24.3</v>
      </c>
      <c r="D312" s="28">
        <f>IF(履歴データ!$A$312="","",(履歴データ!$D$312-履歴データ!$H$312)*100)</f>
        <v>347</v>
      </c>
      <c r="E312" s="28">
        <f>IF(履歴データ!$A$312="","",(履歴データ!$D$312-履歴データ!$C$312)*100)</f>
        <v>-0.99999999999997868</v>
      </c>
      <c r="F312" s="28">
        <f>IF(履歴データ!$A$312="","",(履歴データ!$R$312-履歴データ!$D$312)*100)</f>
        <v>-247.24000000000004</v>
      </c>
      <c r="G312" s="28">
        <f>IF(履歴データ!$A$312="","",(履歴データ!$S$312-履歴データ!$R$312)*100)</f>
        <v>-117.28164282226577</v>
      </c>
      <c r="H312" s="29">
        <f>IF(履歴データ!$A$312="","",履歴データ!$O$312)</f>
        <v>151.28700256347656</v>
      </c>
      <c r="I312" s="29">
        <f>IF(履歴データ!$A$312="","",履歴データ!$Q$312)</f>
        <v>110.796875</v>
      </c>
      <c r="J312" s="29">
        <f>IF(履歴データ!$A$312="","",履歴データ!$D$312)</f>
        <v>4.2</v>
      </c>
      <c r="K312" s="28">
        <f>IF(OR(履歴データ!$A$312="",履歴データ!$A$311=""),"",B312-B311)</f>
        <v>-1.499999999999968</v>
      </c>
      <c r="L312" s="28">
        <f>IF(OR(履歴データ!$A$312="",履歴データ!$A$311=""),"",C312-C311)</f>
        <v>0.24999999999999289</v>
      </c>
      <c r="M312" s="28">
        <f>IF(OR(履歴データ!$A$312="",履歴データ!$A$311=""),"",D312-D311)</f>
        <v>0.79999999999995453</v>
      </c>
      <c r="N312" s="28">
        <f>IF(OR(履歴データ!$A$312="",履歴データ!$A$311=""),"",E312-E311)</f>
        <v>-3.0000000000000249</v>
      </c>
      <c r="O312" s="28">
        <f>IF(OR(履歴データ!$A$312="",履歴データ!$A$311=""),"",F312-F311)</f>
        <v>-4.8000000000000114</v>
      </c>
      <c r="P312" s="28">
        <f>IF(OR(履歴データ!$A$312="",履歴データ!$A$311=""),"",G312-G311)</f>
        <v>1.2919999999999305</v>
      </c>
      <c r="Q312" s="29">
        <f>IF(OR(履歴データ!$A$312="",履歴データ!$A$311=""),"",H312-H311)</f>
        <v>-0.2429962158203125</v>
      </c>
      <c r="R312" s="29">
        <f>IF(OR(履歴データ!$A$312="",履歴データ!$A$311=""),"",I312-I311)</f>
        <v>-7.8125E-2</v>
      </c>
      <c r="S312" s="28">
        <f>IF(OR(履歴データ!$A$312="",履歴データ!$A$311=""),"",(J312-J311)*100)</f>
        <v>0</v>
      </c>
      <c r="T312" s="11">
        <f>IF(OR(履歴データ!$A$312="",履歴データ!$A$311=""),"",-80000*K312)</f>
        <v>119999.99999999744</v>
      </c>
      <c r="U312" s="11">
        <f>IF(OR(履歴データ!$A$312="",履歴データ!$A$311=""),"",60000*L312)</f>
        <v>14999.999999999574</v>
      </c>
      <c r="V312" s="11">
        <f>IF(OR(履歴データ!$A$312="",履歴データ!$A$311=""),"",-50000*M312)</f>
        <v>-39999.99999999773</v>
      </c>
      <c r="W312" s="11">
        <f>IF(OR(履歴データ!$A$312="",履歴データ!$A$311=""),"",-40000*N312)</f>
        <v>120000.00000000099</v>
      </c>
      <c r="X312" s="11">
        <f>IF(OR(履歴データ!$A$312="",履歴データ!$A$311=""),"",120*1000000*(-Q312/H311))</f>
        <v>192434.14593375876</v>
      </c>
      <c r="Y312" s="11">
        <f>IF(OR(履歴データ!$A$312="",履歴データ!$A$311=""),"",40000*(-S312)+(-506.3)*R312*1000)</f>
        <v>39554.6875</v>
      </c>
      <c r="Z312" s="11">
        <f>IF(OR(履歴データ!$A$312="",履歴データ!$A$311=""),"",-40000*O312)</f>
        <v>192000.00000000047</v>
      </c>
      <c r="AA312" s="11">
        <f>IF(OR(履歴データ!$A$312="",履歴データ!$A$311=""),"",-40000*P312)</f>
        <v>-51679.999999997221</v>
      </c>
      <c r="AB312" s="11">
        <f>IF(履歴データ!$A$312="","",123.3)</f>
        <v>123.3</v>
      </c>
      <c r="AC312">
        <f>IF(履歴データ!$A$312="","",SUM(T312:AA312))</f>
        <v>587308.83343376231</v>
      </c>
      <c r="AD312" s="29">
        <f>IF(履歴データ!$A$312="","",AC312/1000000)</f>
        <v>0.58730883343376228</v>
      </c>
      <c r="AE312" s="29">
        <f>IF(履歴データ!$A$312="",AE311,AE311+AC312/1000000)</f>
        <v>79.437515974909005</v>
      </c>
      <c r="AF312" s="12">
        <f>IF(OR(履歴データ!$A$312="",AE311=0),"",(AE312-AE311)/AE311)</f>
        <v>7.4484120552784439E-3</v>
      </c>
      <c r="AG312" s="29">
        <f t="shared" si="14"/>
        <v>102.17217746631495</v>
      </c>
      <c r="AH312" s="12">
        <f>IF(OR(履歴データ!$A$312="",AG312=0),"",AE312/AG312-1)</f>
        <v>-0.22251323261561406</v>
      </c>
      <c r="AJ312" s="28">
        <f t="shared" ca="1" si="12"/>
        <v>-13.778511274053972</v>
      </c>
      <c r="AK312" s="28">
        <f t="shared" ca="1" si="13"/>
        <v>-54.991329995787297</v>
      </c>
    </row>
    <row r="313" spans="1:37">
      <c r="A313" s="10">
        <f>IF(履歴データ!$A$313="","",履歴データ!$A$313)</f>
        <v>45383</v>
      </c>
      <c r="B313" s="28">
        <f>IF(履歴データ!$A$313="","",(履歴データ!$D$313-(履歴データ!$B$313+履歴データ!$F$313)/2)*100)</f>
        <v>-26.499999999999968</v>
      </c>
      <c r="C313" s="28">
        <f>IF(履歴データ!$A$313="","",(履歴データ!$H$313-(履歴データ!$G$313+履歴データ!$J$313)/2)*100)</f>
        <v>-23.549999999999994</v>
      </c>
      <c r="D313" s="28">
        <f>IF(履歴データ!$A$313="","",(履歴データ!$D$313-履歴データ!$H$313)*100)</f>
        <v>356.5</v>
      </c>
      <c r="E313" s="28">
        <f>IF(履歴データ!$A$313="","",(履歴データ!$D$313-履歴データ!$C$313)*100)</f>
        <v>-0.99999999999997868</v>
      </c>
      <c r="F313" s="28">
        <f>IF(履歴データ!$A$313="","",(履歴データ!$R$313-履歴データ!$D$313)*100)</f>
        <v>-254.53</v>
      </c>
      <c r="G313" s="28">
        <f>IF(履歴データ!$A$313="","",(履歴データ!$S$313-履歴データ!$R$313)*100)</f>
        <v>-118.78200000000012</v>
      </c>
      <c r="H313" s="29">
        <f>IF(履歴データ!$A$313="","",履歴データ!$O$313)</f>
        <v>151.58099365234375</v>
      </c>
      <c r="I313" s="29">
        <f>IF(履歴データ!$A$313="","",履歴データ!$Q$313)</f>
        <v>109.921875</v>
      </c>
      <c r="J313" s="29">
        <f>IF(履歴データ!$A$313="","",履歴データ!$D$313)</f>
        <v>4.33</v>
      </c>
      <c r="K313" s="28">
        <f>IF(OR(履歴データ!$A$313="",履歴データ!$A$312=""),"",B313-B312)</f>
        <v>0</v>
      </c>
      <c r="L313" s="28">
        <f>IF(OR(履歴データ!$A$313="",履歴データ!$A$312=""),"",C313-C312)</f>
        <v>0.75000000000000711</v>
      </c>
      <c r="M313" s="28">
        <f>IF(OR(履歴データ!$A$313="",履歴データ!$A$312=""),"",D313-D312)</f>
        <v>9.5</v>
      </c>
      <c r="N313" s="28">
        <f>IF(OR(履歴データ!$A$313="",履歴データ!$A$312=""),"",E313-E312)</f>
        <v>0</v>
      </c>
      <c r="O313" s="28">
        <f>IF(OR(履歴データ!$A$313="",履歴データ!$A$312=""),"",F313-F312)</f>
        <v>-7.2899999999999636</v>
      </c>
      <c r="P313" s="28">
        <f>IF(OR(履歴データ!$A$313="",履歴データ!$A$312=""),"",G313-G312)</f>
        <v>-1.5003571777343581</v>
      </c>
      <c r="Q313" s="29">
        <f>IF(OR(履歴データ!$A$313="",履歴データ!$A$312=""),"",H313-H312)</f>
        <v>0.2939910888671875</v>
      </c>
      <c r="R313" s="29">
        <f>IF(OR(履歴データ!$A$313="",履歴データ!$A$312=""),"",I313-I312)</f>
        <v>-0.875</v>
      </c>
      <c r="S313" s="28">
        <f>IF(OR(履歴データ!$A$313="",履歴データ!$A$312=""),"",(J313-J312)*100)</f>
        <v>12.999999999999989</v>
      </c>
      <c r="T313" s="11">
        <f>IF(OR(履歴データ!$A$313="",履歴データ!$A$312=""),"",-80000*K313)</f>
        <v>0</v>
      </c>
      <c r="U313" s="11">
        <f>IF(OR(履歴データ!$A$313="",履歴データ!$A$312=""),"",60000*L313)</f>
        <v>45000.000000000429</v>
      </c>
      <c r="V313" s="11">
        <f>IF(OR(履歴データ!$A$313="",履歴データ!$A$312=""),"",-50000*M313)</f>
        <v>-475000</v>
      </c>
      <c r="W313" s="11">
        <f>IF(OR(履歴データ!$A$313="",履歴データ!$A$312=""),"",-40000*N313)</f>
        <v>0</v>
      </c>
      <c r="X313" s="11">
        <f>IF(OR(履歴データ!$A$313="",履歴データ!$A$312=""),"",120*1000000*(-Q313/H312))</f>
        <v>-233192.07907011226</v>
      </c>
      <c r="Y313" s="11">
        <f>IF(OR(履歴データ!$A$313="",履歴データ!$A$312=""),"",40000*(-S313)+(-506.3)*R313*1000)</f>
        <v>-76987.499999999593</v>
      </c>
      <c r="Z313" s="11">
        <f>IF(OR(履歴データ!$A$313="",履歴データ!$A$312=""),"",-40000*O313)</f>
        <v>291599.99999999854</v>
      </c>
      <c r="AA313" s="11">
        <f>IF(OR(履歴データ!$A$313="",履歴データ!$A$312=""),"",-40000*P313)</f>
        <v>60014.287109374323</v>
      </c>
      <c r="AB313" s="11">
        <f>IF(履歴データ!$A$313="","",123.3)</f>
        <v>123.3</v>
      </c>
      <c r="AC313">
        <f>IF(履歴データ!$A$313="","",SUM(T313:AA313))</f>
        <v>-388565.29196073866</v>
      </c>
      <c r="AD313" s="29">
        <f>IF(履歴データ!$A$313="","",AC313/1000000)</f>
        <v>-0.38856529196073863</v>
      </c>
      <c r="AE313" s="29">
        <f>IF(履歴データ!$A$313="",AE312,AE312+AC313/1000000)</f>
        <v>79.048950682948259</v>
      </c>
      <c r="AF313" s="12">
        <f>IF(OR(履歴データ!$A$313="",AE312=0),"",(AE313-AE312)/AE312)</f>
        <v>-4.8914582384912029E-3</v>
      </c>
      <c r="AG313" s="29">
        <f t="shared" si="14"/>
        <v>102.17217746631495</v>
      </c>
      <c r="AH313" s="12">
        <f>IF(OR(履歴データ!$A$313="",AG313=0),"",AE313/AG313-1)</f>
        <v>-0.22631627666925436</v>
      </c>
      <c r="AJ313" s="28">
        <f t="shared" ca="1" si="12"/>
        <v>-13.717931918985222</v>
      </c>
      <c r="AK313" s="28">
        <f t="shared" ca="1" si="13"/>
        <v>-54.976512525459221</v>
      </c>
    </row>
    <row r="314" spans="1:37">
      <c r="A314" s="10">
        <f>IF(履歴データ!$A$314="","",履歴データ!$A$314)</f>
        <v>45384</v>
      </c>
      <c r="B314" s="28">
        <f>IF(履歴データ!$A$314="","",(履歴データ!$D$314-(履歴データ!$B$314+履歴データ!$F$314)/2)*100)</f>
        <v>-24.500000000000011</v>
      </c>
      <c r="C314" s="28">
        <f>IF(履歴データ!$A$314="","",(履歴データ!$H$314-(履歴データ!$G$314+履歴データ!$J$314)/2)*100)</f>
        <v>-24.049999999999994</v>
      </c>
      <c r="D314" s="28">
        <f>IF(履歴データ!$A$314="","",(履歴データ!$D$314-履歴データ!$H$314)*100)</f>
        <v>359.00000000000006</v>
      </c>
      <c r="E314" s="28">
        <f>IF(履歴データ!$A$314="","",(履歴データ!$D$314-履歴データ!$C$314)*100)</f>
        <v>1.0000000000000675</v>
      </c>
      <c r="F314" s="28">
        <f>IF(履歴データ!$A$314="","",(履歴データ!$R$314-履歴データ!$D$314)*100)</f>
        <v>-257.53000000000003</v>
      </c>
      <c r="G314" s="28">
        <f>IF(履歴データ!$A$314="","",(履歴データ!$S$314-履歴データ!$R$314)*100)</f>
        <v>-116.67717858886731</v>
      </c>
      <c r="H314" s="29">
        <f>IF(履歴データ!$A$314="","",履歴データ!$O$314)</f>
        <v>151.53999328613281</v>
      </c>
      <c r="I314" s="29">
        <f>IF(履歴データ!$A$314="","",履歴データ!$Q$314)</f>
        <v>109.71875</v>
      </c>
      <c r="J314" s="29">
        <f>IF(履歴データ!$A$314="","",履歴データ!$D$314)</f>
        <v>4.3600000000000003</v>
      </c>
      <c r="K314" s="28">
        <f>IF(OR(履歴データ!$A$314="",履歴データ!$A$313=""),"",B314-B313)</f>
        <v>1.9999999999999574</v>
      </c>
      <c r="L314" s="28">
        <f>IF(OR(履歴データ!$A$314="",履歴データ!$A$313=""),"",C314-C313)</f>
        <v>-0.5</v>
      </c>
      <c r="M314" s="28">
        <f>IF(OR(履歴データ!$A$314="",履歴データ!$A$313=""),"",D314-D313)</f>
        <v>2.5000000000000568</v>
      </c>
      <c r="N314" s="28">
        <f>IF(OR(履歴データ!$A$314="",履歴データ!$A$313=""),"",E314-E313)</f>
        <v>2.0000000000000462</v>
      </c>
      <c r="O314" s="28">
        <f>IF(OR(履歴データ!$A$314="",履歴データ!$A$313=""),"",F314-F313)</f>
        <v>-3.0000000000000284</v>
      </c>
      <c r="P314" s="28">
        <f>IF(OR(履歴データ!$A$314="",履歴データ!$A$313=""),"",G314-G313)</f>
        <v>2.1048214111328178</v>
      </c>
      <c r="Q314" s="29">
        <f>IF(OR(履歴データ!$A$314="",履歴データ!$A$313=""),"",H314-H313)</f>
        <v>-4.10003662109375E-2</v>
      </c>
      <c r="R314" s="29">
        <f>IF(OR(履歴データ!$A$314="",履歴データ!$A$313=""),"",I314-I313)</f>
        <v>-0.203125</v>
      </c>
      <c r="S314" s="28">
        <f>IF(OR(履歴データ!$A$314="",履歴データ!$A$313=""),"",(J314-J313)*100)</f>
        <v>3.0000000000000249</v>
      </c>
      <c r="T314" s="11">
        <f>IF(OR(履歴データ!$A$314="",履歴データ!$A$313=""),"",-80000*K314)</f>
        <v>-159999.99999999659</v>
      </c>
      <c r="U314" s="11">
        <f>IF(OR(履歴データ!$A$314="",履歴データ!$A$313=""),"",60000*L314)</f>
        <v>-30000</v>
      </c>
      <c r="V314" s="11">
        <f>IF(OR(履歴データ!$A$314="",履歴データ!$A$313=""),"",-50000*M314)</f>
        <v>-125000.00000000284</v>
      </c>
      <c r="W314" s="11">
        <f>IF(OR(履歴データ!$A$314="",履歴データ!$A$313=""),"",-40000*N314)</f>
        <v>-80000.000000001848</v>
      </c>
      <c r="X314" s="11">
        <f>IF(OR(履歴データ!$A$314="",履歴データ!$A$313=""),"",120*1000000*(-Q314/H313))</f>
        <v>32458.185071650812</v>
      </c>
      <c r="Y314" s="11">
        <f>IF(OR(履歴データ!$A$314="",履歴データ!$A$313=""),"",40000*(-S314)+(-506.3)*R314*1000)</f>
        <v>-17157.812500000975</v>
      </c>
      <c r="Z314" s="11">
        <f>IF(OR(履歴データ!$A$314="",履歴データ!$A$313=""),"",-40000*O314)</f>
        <v>120000.00000000114</v>
      </c>
      <c r="AA314" s="11">
        <f>IF(OR(履歴データ!$A$314="",履歴データ!$A$313=""),"",-40000*P314)</f>
        <v>-84192.856445312718</v>
      </c>
      <c r="AB314" s="11">
        <f>IF(履歴データ!$A$314="","",123.3)</f>
        <v>123.3</v>
      </c>
      <c r="AC314">
        <f>IF(履歴データ!$A$314="","",SUM(T314:AA314))</f>
        <v>-343892.483873663</v>
      </c>
      <c r="AD314" s="29">
        <f>IF(履歴データ!$A$314="","",AC314/1000000)</f>
        <v>-0.343892483873663</v>
      </c>
      <c r="AE314" s="29">
        <f>IF(履歴データ!$A$314="",AE313,AE313+AC314/1000000)</f>
        <v>78.7050581990746</v>
      </c>
      <c r="AF314" s="12">
        <f>IF(OR(履歴データ!$A$314="",AE313=0),"",(AE314-AE313)/AE313)</f>
        <v>-4.3503737987990914E-3</v>
      </c>
      <c r="AG314" s="29">
        <f t="shared" si="14"/>
        <v>102.17217746631495</v>
      </c>
      <c r="AH314" s="12">
        <f>IF(OR(履歴データ!$A$314="",AG314=0),"",AE314/AG314-1)</f>
        <v>-0.22968209006778972</v>
      </c>
      <c r="AJ314" s="28">
        <f t="shared" ca="1" si="12"/>
        <v>-13.633861074574021</v>
      </c>
      <c r="AK314" s="28">
        <f t="shared" ca="1" si="13"/>
        <v>-54.961377020664081</v>
      </c>
    </row>
    <row r="315" spans="1:37">
      <c r="A315" s="10">
        <f>IF(履歴データ!$A$315="","",履歴データ!$A$315)</f>
        <v>45385</v>
      </c>
      <c r="B315" s="28">
        <f>IF(履歴データ!$A$315="","",(履歴データ!$D$315-(履歴データ!$B$315+履歴データ!$F$315)/2)*100)</f>
        <v>-23.499999999999943</v>
      </c>
      <c r="C315" s="28">
        <f>IF(履歴データ!$A$315="","",(履歴データ!$H$315-(履歴データ!$G$315+履歴データ!$J$315)/2)*100)</f>
        <v>-23.2</v>
      </c>
      <c r="D315" s="28">
        <f>IF(履歴データ!$A$315="","",(履歴データ!$D$315-履歴データ!$H$315)*100)</f>
        <v>359.00000000000006</v>
      </c>
      <c r="E315" s="28">
        <f>IF(履歴データ!$A$315="","",(履歴データ!$D$315-履歴データ!$C$315)*100)</f>
        <v>2.0000000000000462</v>
      </c>
      <c r="F315" s="28">
        <f>IF(履歴データ!$A$315="","",(履歴データ!$R$315-履歴データ!$D$315)*100)</f>
        <v>-248.85000000000002</v>
      </c>
      <c r="G315" s="28">
        <f>IF(履歴データ!$A$315="","",(履歴データ!$S$315-履歴データ!$R$315)*100)</f>
        <v>-125.00635717773451</v>
      </c>
      <c r="H315" s="29">
        <f>IF(履歴データ!$A$315="","",履歴データ!$O$315)</f>
        <v>151.58099365234375</v>
      </c>
      <c r="I315" s="29">
        <f>IF(履歴データ!$A$315="","",履歴データ!$Q$315)</f>
        <v>109.796875</v>
      </c>
      <c r="J315" s="29">
        <f>IF(履歴データ!$A$315="","",履歴データ!$D$315)</f>
        <v>4.3600000000000003</v>
      </c>
      <c r="K315" s="28">
        <f>IF(OR(履歴データ!$A$315="",履歴データ!$A$314=""),"",B315-B314)</f>
        <v>1.0000000000000675</v>
      </c>
      <c r="L315" s="28">
        <f>IF(OR(履歴データ!$A$315="",履歴データ!$A$314=""),"",C315-C314)</f>
        <v>0.84999999999999432</v>
      </c>
      <c r="M315" s="28">
        <f>IF(OR(履歴データ!$A$315="",履歴データ!$A$314=""),"",D315-D314)</f>
        <v>0</v>
      </c>
      <c r="N315" s="28">
        <f>IF(OR(履歴データ!$A$315="",履歴データ!$A$314=""),"",E315-E314)</f>
        <v>0.99999999999997868</v>
      </c>
      <c r="O315" s="28">
        <f>IF(OR(履歴データ!$A$315="",履歴データ!$A$314=""),"",F315-F314)</f>
        <v>8.6800000000000068</v>
      </c>
      <c r="P315" s="28">
        <f>IF(OR(履歴データ!$A$315="",履歴データ!$A$314=""),"",G315-G314)</f>
        <v>-8.3291785888672081</v>
      </c>
      <c r="Q315" s="29">
        <f>IF(OR(履歴データ!$A$315="",履歴データ!$A$314=""),"",H315-H314)</f>
        <v>4.10003662109375E-2</v>
      </c>
      <c r="R315" s="29">
        <f>IF(OR(履歴データ!$A$315="",履歴データ!$A$314=""),"",I315-I314)</f>
        <v>7.8125E-2</v>
      </c>
      <c r="S315" s="28">
        <f>IF(OR(履歴データ!$A$315="",履歴データ!$A$314=""),"",(J315-J314)*100)</f>
        <v>0</v>
      </c>
      <c r="T315" s="11">
        <f>IF(OR(履歴データ!$A$315="",履歴データ!$A$314=""),"",-80000*K315)</f>
        <v>-80000.000000005399</v>
      </c>
      <c r="U315" s="11">
        <f>IF(OR(履歴データ!$A$315="",履歴データ!$A$314=""),"",60000*L315)</f>
        <v>50999.999999999658</v>
      </c>
      <c r="V315" s="11">
        <f>IF(OR(履歴データ!$A$315="",履歴データ!$A$314=""),"",-50000*M315)</f>
        <v>0</v>
      </c>
      <c r="W315" s="11">
        <f>IF(OR(履歴データ!$A$315="",履歴データ!$A$314=""),"",-40000*N315)</f>
        <v>-39999.999999999149</v>
      </c>
      <c r="X315" s="11">
        <f>IF(OR(履歴データ!$A$315="",履歴データ!$A$314=""),"",120*1000000*(-Q315/H314))</f>
        <v>-32466.966895152458</v>
      </c>
      <c r="Y315" s="11">
        <f>IF(OR(履歴データ!$A$315="",履歴データ!$A$314=""),"",40000*(-S315)+(-506.3)*R315*1000)</f>
        <v>-39554.6875</v>
      </c>
      <c r="Z315" s="11">
        <f>IF(OR(履歴データ!$A$315="",履歴データ!$A$314=""),"",-40000*O315)</f>
        <v>-347200.00000000029</v>
      </c>
      <c r="AA315" s="11">
        <f>IF(OR(履歴データ!$A$315="",履歴データ!$A$314=""),"",-40000*P315)</f>
        <v>333167.14355468831</v>
      </c>
      <c r="AB315" s="11">
        <f>IF(履歴データ!$A$315="","",123.3)</f>
        <v>123.3</v>
      </c>
      <c r="AC315">
        <f>IF(履歴データ!$A$315="","",SUM(T315:AA315))</f>
        <v>-155054.51084046933</v>
      </c>
      <c r="AD315" s="29">
        <f>IF(履歴データ!$A$315="","",AC315/1000000)</f>
        <v>-0.15505451084046934</v>
      </c>
      <c r="AE315" s="29">
        <f>IF(履歴データ!$A$315="",AE314,AE314+AC315/1000000)</f>
        <v>78.550003688234128</v>
      </c>
      <c r="AF315" s="12">
        <f>IF(OR(履歴データ!$A$315="",AE314=0),"",(AE315-AE314)/AE314)</f>
        <v>-1.9700704680032247E-3</v>
      </c>
      <c r="AG315" s="29">
        <f t="shared" si="14"/>
        <v>102.17217746631495</v>
      </c>
      <c r="AH315" s="12">
        <f>IF(OR(履歴データ!$A$315="",AG315=0),"",AE315/AG315-1)</f>
        <v>-0.23119967063312119</v>
      </c>
      <c r="AJ315" s="28">
        <f t="shared" ca="1" si="12"/>
        <v>-13.536568344926373</v>
      </c>
      <c r="AK315" s="28">
        <f t="shared" ca="1" si="13"/>
        <v>-54.939622131264109</v>
      </c>
    </row>
    <row r="316" spans="1:37">
      <c r="A316" s="10">
        <f>IF(履歴データ!$A$316="","",履歴データ!$A$316)</f>
        <v>45386</v>
      </c>
      <c r="B316" s="28">
        <f>IF(履歴データ!$A$316="","",(履歴データ!$D$316-(履歴データ!$B$316+履歴データ!$F$316)/2)*100)</f>
        <v>-25.000000000000089</v>
      </c>
      <c r="C316" s="28">
        <f>IF(履歴データ!$A$316="","",(履歴データ!$H$316-(履歴データ!$G$316+履歴データ!$J$316)/2)*100)</f>
        <v>-22.300000000000008</v>
      </c>
      <c r="D316" s="28">
        <f>IF(履歴データ!$A$316="","",(履歴データ!$D$316-履歴データ!$H$316)*100)</f>
        <v>352.99999999999994</v>
      </c>
      <c r="E316" s="28">
        <f>IF(履歴データ!$A$316="","",(履歴データ!$D$316-履歴データ!$C$316)*100)</f>
        <v>0.99999999999997868</v>
      </c>
      <c r="F316" s="28">
        <f>IF(履歴データ!$A$316="","",(履歴データ!$R$316-履歴データ!$D$316)*100)</f>
        <v>-245.53999999999996</v>
      </c>
      <c r="G316" s="28">
        <f>IF(履歴データ!$A$316="","",(履歴データ!$S$316-履歴データ!$R$316)*100)</f>
        <v>-120.51000000000003</v>
      </c>
      <c r="H316" s="29">
        <f>IF(履歴データ!$A$316="","",履歴データ!$O$316)</f>
        <v>151.29200744628906</v>
      </c>
      <c r="I316" s="29">
        <f>IF(履歴データ!$A$316="","",履歴データ!$Q$316)</f>
        <v>110.125</v>
      </c>
      <c r="J316" s="29">
        <f>IF(履歴データ!$A$316="","",履歴データ!$D$316)</f>
        <v>4.3099999999999996</v>
      </c>
      <c r="K316" s="28">
        <f>IF(OR(履歴データ!$A$316="",履歴データ!$A$315=""),"",B316-B315)</f>
        <v>-1.5000000000001457</v>
      </c>
      <c r="L316" s="28">
        <f>IF(OR(履歴データ!$A$316="",履歴データ!$A$315=""),"",C316-C315)</f>
        <v>0.89999999999999147</v>
      </c>
      <c r="M316" s="28">
        <f>IF(OR(履歴データ!$A$316="",履歴データ!$A$315=""),"",D316-D315)</f>
        <v>-6.0000000000001137</v>
      </c>
      <c r="N316" s="28">
        <f>IF(OR(履歴データ!$A$316="",履歴データ!$A$315=""),"",E316-E315)</f>
        <v>-1.0000000000000675</v>
      </c>
      <c r="O316" s="28">
        <f>IF(OR(履歴データ!$A$316="",履歴データ!$A$315=""),"",F316-F315)</f>
        <v>3.3100000000000591</v>
      </c>
      <c r="P316" s="28">
        <f>IF(OR(履歴データ!$A$316="",履歴データ!$A$315=""),"",G316-G315)</f>
        <v>4.4963571777344811</v>
      </c>
      <c r="Q316" s="29">
        <f>IF(OR(履歴データ!$A$316="",履歴データ!$A$315=""),"",H316-H315)</f>
        <v>-0.2889862060546875</v>
      </c>
      <c r="R316" s="29">
        <f>IF(OR(履歴データ!$A$316="",履歴データ!$A$315=""),"",I316-I315)</f>
        <v>0.328125</v>
      </c>
      <c r="S316" s="28">
        <f>IF(OR(履歴データ!$A$316="",履歴データ!$A$315=""),"",(J316-J315)*100)</f>
        <v>-5.0000000000000711</v>
      </c>
      <c r="T316" s="11">
        <f>IF(OR(履歴データ!$A$316="",履歴データ!$A$315=""),"",-80000*K316)</f>
        <v>120000.00000001166</v>
      </c>
      <c r="U316" s="11">
        <f>IF(OR(履歴データ!$A$316="",履歴データ!$A$315=""),"",60000*L316)</f>
        <v>53999.999999999491</v>
      </c>
      <c r="V316" s="11">
        <f>IF(OR(履歴データ!$A$316="",履歴データ!$A$315=""),"",-50000*M316)</f>
        <v>300000.0000000057</v>
      </c>
      <c r="W316" s="11">
        <f>IF(OR(履歴データ!$A$316="",履歴データ!$A$315=""),"",-40000*N316)</f>
        <v>40000.000000002699</v>
      </c>
      <c r="X316" s="11">
        <f>IF(OR(履歴データ!$A$316="",履歴データ!$A$315=""),"",120*1000000*(-Q316/H315))</f>
        <v>228777.65800967423</v>
      </c>
      <c r="Y316" s="11">
        <f>IF(OR(履歴データ!$A$316="",履歴データ!$A$315=""),"",40000*(-S316)+(-506.3)*R316*1000)</f>
        <v>33870.312500002823</v>
      </c>
      <c r="Z316" s="11">
        <f>IF(OR(履歴データ!$A$316="",履歴データ!$A$315=""),"",-40000*O316)</f>
        <v>-132400.00000000236</v>
      </c>
      <c r="AA316" s="11">
        <f>IF(OR(履歴データ!$A$316="",履歴データ!$A$315=""),"",-40000*P316)</f>
        <v>-179854.28710937925</v>
      </c>
      <c r="AB316" s="11">
        <f>IF(履歴データ!$A$316="","",123.3)</f>
        <v>123.3</v>
      </c>
      <c r="AC316">
        <f>IF(履歴データ!$A$316="","",SUM(T316:AA316))</f>
        <v>464393.68340031494</v>
      </c>
      <c r="AD316" s="29">
        <f>IF(履歴データ!$A$316="","",AC316/1000000)</f>
        <v>0.46439368340031495</v>
      </c>
      <c r="AE316" s="29">
        <f>IF(履歴データ!$A$316="",AE315,AE315+AC316/1000000)</f>
        <v>79.014397371634445</v>
      </c>
      <c r="AF316" s="12">
        <f>IF(OR(履歴データ!$A$316="",AE315=0),"",(AE316-AE315)/AE315)</f>
        <v>5.9120771686211621E-3</v>
      </c>
      <c r="AG316" s="29">
        <f t="shared" si="14"/>
        <v>102.17217746631495</v>
      </c>
      <c r="AH316" s="12">
        <f>IF(OR(履歴データ!$A$316="",AG316=0),"",AE316/AG316-1)</f>
        <v>-0.22665446375864284</v>
      </c>
      <c r="AJ316" s="28">
        <f t="shared" ca="1" si="12"/>
        <v>-13.458470095616779</v>
      </c>
      <c r="AK316" s="28">
        <f t="shared" ca="1" si="13"/>
        <v>-54.918514031367351</v>
      </c>
    </row>
    <row r="317" spans="1:37">
      <c r="A317" s="10">
        <f>IF(履歴データ!$A$317="","",履歴データ!$A$317)</f>
        <v>45387</v>
      </c>
      <c r="B317" s="28">
        <f>IF(履歴データ!$A$317="","",(履歴データ!$D$317-(履歴データ!$B$317+履歴データ!$F$317)/2)*100)</f>
        <v>-24.500000000000011</v>
      </c>
      <c r="C317" s="28">
        <f>IF(履歴データ!$A$317="","",(履歴データ!$H$317-(履歴データ!$G$317+履歴データ!$J$317)/2)*100)</f>
        <v>-23.749999999999993</v>
      </c>
      <c r="D317" s="28">
        <f>IF(履歴データ!$A$317="","",(履歴データ!$D$317-履歴データ!$H$317)*100)</f>
        <v>361.9</v>
      </c>
      <c r="E317" s="28">
        <f>IF(履歴データ!$A$317="","",(履歴データ!$D$317-履歴データ!$C$317)*100)</f>
        <v>0.99999999999997868</v>
      </c>
      <c r="F317" s="28">
        <f>IF(履歴データ!$A$317="","",(履歴データ!$R$317-履歴データ!$D$317)*100)</f>
        <v>-260.15999999999997</v>
      </c>
      <c r="G317" s="28">
        <f>IF(履歴データ!$A$317="","",(履歴データ!$S$317-履歴データ!$R$317)*100)</f>
        <v>-116.34564282226563</v>
      </c>
      <c r="H317" s="29">
        <f>IF(履歴データ!$A$317="","",履歴データ!$O$317)</f>
        <v>151.29200744628906</v>
      </c>
      <c r="I317" s="29">
        <f>IF(履歴データ!$A$317="","",履歴データ!$Q$317)</f>
        <v>109.65625</v>
      </c>
      <c r="J317" s="29">
        <f>IF(履歴データ!$A$317="","",履歴データ!$D$317)</f>
        <v>4.3899999999999997</v>
      </c>
      <c r="K317" s="28">
        <f>IF(OR(履歴データ!$A$317="",履歴データ!$A$316=""),"",B317-B316)</f>
        <v>0.50000000000007816</v>
      </c>
      <c r="L317" s="28">
        <f>IF(OR(履歴データ!$A$317="",履歴データ!$A$316=""),"",C317-C316)</f>
        <v>-1.4499999999999851</v>
      </c>
      <c r="M317" s="28">
        <f>IF(OR(履歴データ!$A$317="",履歴データ!$A$316=""),"",D317-D316)</f>
        <v>8.9000000000000341</v>
      </c>
      <c r="N317" s="28">
        <f>IF(OR(履歴データ!$A$317="",履歴データ!$A$316=""),"",E317-E316)</f>
        <v>0</v>
      </c>
      <c r="O317" s="28">
        <f>IF(OR(履歴データ!$A$317="",履歴データ!$A$316=""),"",F317-F316)</f>
        <v>-14.620000000000005</v>
      </c>
      <c r="P317" s="28">
        <f>IF(OR(履歴データ!$A$317="",履歴データ!$A$316=""),"",G317-G316)</f>
        <v>4.1643571777344022</v>
      </c>
      <c r="Q317" s="29">
        <f>IF(OR(履歴データ!$A$317="",履歴データ!$A$316=""),"",H317-H316)</f>
        <v>0</v>
      </c>
      <c r="R317" s="29">
        <f>IF(OR(履歴データ!$A$317="",履歴データ!$A$316=""),"",I317-I316)</f>
        <v>-0.46875</v>
      </c>
      <c r="S317" s="28">
        <f>IF(OR(履歴データ!$A$317="",履歴データ!$A$316=""),"",(J317-J316)*100)</f>
        <v>8.0000000000000071</v>
      </c>
      <c r="T317" s="11">
        <f>IF(OR(履歴データ!$A$317="",履歴データ!$A$316=""),"",-80000*K317)</f>
        <v>-40000.00000000625</v>
      </c>
      <c r="U317" s="11">
        <f>IF(OR(履歴データ!$A$317="",履歴データ!$A$316=""),"",60000*L317)</f>
        <v>-86999.999999999098</v>
      </c>
      <c r="V317" s="11">
        <f>IF(OR(履歴データ!$A$317="",履歴データ!$A$316=""),"",-50000*M317)</f>
        <v>-445000.00000000169</v>
      </c>
      <c r="W317" s="11">
        <f>IF(OR(履歴データ!$A$317="",履歴データ!$A$316=""),"",-40000*N317)</f>
        <v>0</v>
      </c>
      <c r="X317" s="11">
        <f>IF(OR(履歴データ!$A$317="",履歴データ!$A$316=""),"",120*1000000*(-Q317/H316))</f>
        <v>0</v>
      </c>
      <c r="Y317" s="11">
        <f>IF(OR(履歴データ!$A$317="",履歴データ!$A$316=""),"",40000*(-S317)+(-506.3)*R317*1000)</f>
        <v>-82671.875000000291</v>
      </c>
      <c r="Z317" s="11">
        <f>IF(OR(履歴データ!$A$317="",履歴データ!$A$316=""),"",-40000*O317)</f>
        <v>584800.00000000023</v>
      </c>
      <c r="AA317" s="11">
        <f>IF(OR(履歴データ!$A$317="",履歴データ!$A$316=""),"",-40000*P317)</f>
        <v>-166574.28710937608</v>
      </c>
      <c r="AB317" s="11">
        <f>IF(履歴データ!$A$317="","",123.3)</f>
        <v>123.3</v>
      </c>
      <c r="AC317">
        <f>IF(履歴データ!$A$317="","",SUM(T317:AA317))</f>
        <v>-236446.16210938306</v>
      </c>
      <c r="AD317" s="29">
        <f>IF(履歴データ!$A$317="","",AC317/1000000)</f>
        <v>-0.23644616210938307</v>
      </c>
      <c r="AE317" s="29">
        <f>IF(履歴データ!$A$317="",AE316,AE316+AC317/1000000)</f>
        <v>78.777951209525057</v>
      </c>
      <c r="AF317" s="12">
        <f>IF(OR(履歴データ!$A$317="",AE316=0),"",(AE317-AE316)/AE316)</f>
        <v>-2.9924440351964312E-3</v>
      </c>
      <c r="AG317" s="29">
        <f t="shared" si="14"/>
        <v>102.17217746631495</v>
      </c>
      <c r="AH317" s="12">
        <f>IF(OR(履歴データ!$A$317="",AG317=0),"",AE317/AG317-1)</f>
        <v>-0.228968656995714</v>
      </c>
      <c r="AJ317" s="28">
        <f t="shared" ca="1" si="12"/>
        <v>-13.376089298398146</v>
      </c>
      <c r="AK317" s="28">
        <f t="shared" ca="1" si="13"/>
        <v>-54.901688479379629</v>
      </c>
    </row>
    <row r="318" spans="1:37">
      <c r="A318" s="10">
        <f>IF(履歴データ!$A$318="","",履歴データ!$A$318)</f>
        <v>45390</v>
      </c>
      <c r="B318" s="28">
        <f>IF(履歴データ!$A$318="","",(履歴データ!$D$318-(履歴データ!$B$318+履歴データ!$F$318)/2)*100)</f>
        <v>-24.500000000000011</v>
      </c>
      <c r="C318" s="28">
        <f>IF(履歴データ!$A$318="","",(履歴データ!$H$318-(履歴データ!$G$318+履歴データ!$J$318)/2)*100)</f>
        <v>-23.350000000000005</v>
      </c>
      <c r="D318" s="28">
        <f>IF(履歴データ!$A$318="","",(履歴データ!$D$318-履歴データ!$H$318)*100)</f>
        <v>362.8</v>
      </c>
      <c r="E318" s="28">
        <f>IF(履歴データ!$A$318="","",(履歴データ!$D$318-履歴データ!$C$318)*100)</f>
        <v>-0.99999999999997868</v>
      </c>
      <c r="F318" s="28">
        <f>IF(履歴データ!$A$318="","",(履歴データ!$R$318-履歴データ!$D$318)*100)</f>
        <v>-259.7</v>
      </c>
      <c r="G318" s="28">
        <f>IF(履歴データ!$A$318="","",(履歴データ!$S$318-履歴データ!$R$318)*100)</f>
        <v>-112.43882141113306</v>
      </c>
      <c r="H318" s="29">
        <f>IF(履歴データ!$A$318="","",履歴データ!$O$318)</f>
        <v>151.84300231933594</v>
      </c>
      <c r="I318" s="29">
        <f>IF(履歴データ!$A$318="","",履歴データ!$Q$318)</f>
        <v>109.265625</v>
      </c>
      <c r="J318" s="29">
        <f>IF(履歴データ!$A$318="","",履歴データ!$D$318)</f>
        <v>4.42</v>
      </c>
      <c r="K318" s="28">
        <f>IF(OR(履歴データ!$A$318="",履歴データ!$A$317=""),"",B318-B317)</f>
        <v>0</v>
      </c>
      <c r="L318" s="28">
        <f>IF(OR(履歴データ!$A$318="",履歴データ!$A$317=""),"",C318-C317)</f>
        <v>0.39999999999998792</v>
      </c>
      <c r="M318" s="28">
        <f>IF(OR(履歴データ!$A$318="",履歴データ!$A$317=""),"",D318-D317)</f>
        <v>0.90000000000003411</v>
      </c>
      <c r="N318" s="28">
        <f>IF(OR(履歴データ!$A$318="",履歴データ!$A$317=""),"",E318-E317)</f>
        <v>-1.9999999999999574</v>
      </c>
      <c r="O318" s="28">
        <f>IF(OR(履歴データ!$A$318="",履歴データ!$A$317=""),"",F318-F317)</f>
        <v>0.45999999999997954</v>
      </c>
      <c r="P318" s="28">
        <f>IF(OR(履歴データ!$A$318="",履歴データ!$A$317=""),"",G318-G317)</f>
        <v>3.9068214111325688</v>
      </c>
      <c r="Q318" s="29">
        <f>IF(OR(履歴データ!$A$318="",履歴データ!$A$317=""),"",H318-H317)</f>
        <v>0.550994873046875</v>
      </c>
      <c r="R318" s="29">
        <f>IF(OR(履歴データ!$A$318="",履歴データ!$A$317=""),"",I318-I317)</f>
        <v>-0.390625</v>
      </c>
      <c r="S318" s="28">
        <f>IF(OR(履歴データ!$A$318="",履歴データ!$A$317=""),"",(J318-J317)*100)</f>
        <v>3.0000000000000249</v>
      </c>
      <c r="T318" s="11">
        <f>IF(OR(履歴データ!$A$318="",履歴データ!$A$317=""),"",-80000*K318)</f>
        <v>0</v>
      </c>
      <c r="U318" s="11">
        <f>IF(OR(履歴データ!$A$318="",履歴データ!$A$317=""),"",60000*L318)</f>
        <v>23999.999999999276</v>
      </c>
      <c r="V318" s="11">
        <f>IF(OR(履歴データ!$A$318="",履歴データ!$A$317=""),"",-50000*M318)</f>
        <v>-45000.000000001703</v>
      </c>
      <c r="W318" s="11">
        <f>IF(OR(履歴データ!$A$318="",履歴データ!$A$317=""),"",-40000*N318)</f>
        <v>79999.999999998297</v>
      </c>
      <c r="X318" s="11">
        <f>IF(OR(履歴データ!$A$318="",履歴データ!$A$317=""),"",120*1000000*(-Q318/H317))</f>
        <v>-437031.57808318711</v>
      </c>
      <c r="Y318" s="11">
        <f>IF(OR(履歴データ!$A$318="",履歴データ!$A$317=""),"",40000*(-S318)+(-506.3)*R318*1000)</f>
        <v>77773.43749999901</v>
      </c>
      <c r="Z318" s="11">
        <f>IF(OR(履歴データ!$A$318="",履歴データ!$A$317=""),"",-40000*O318)</f>
        <v>-18399.999999999181</v>
      </c>
      <c r="AA318" s="11">
        <f>IF(OR(履歴データ!$A$318="",履歴データ!$A$317=""),"",-40000*P318)</f>
        <v>-156272.85644530275</v>
      </c>
      <c r="AB318" s="11">
        <f>IF(履歴データ!$A$318="","",123.3)</f>
        <v>123.3</v>
      </c>
      <c r="AC318">
        <f>IF(履歴データ!$A$318="","",SUM(T318:AA318))</f>
        <v>-474930.99702849414</v>
      </c>
      <c r="AD318" s="29">
        <f>IF(履歴データ!$A$318="","",AC318/1000000)</f>
        <v>-0.47493099702849412</v>
      </c>
      <c r="AE318" s="29">
        <f>IF(履歴データ!$A$318="",AE317,AE317+AC318/1000000)</f>
        <v>78.303020212496563</v>
      </c>
      <c r="AF318" s="12">
        <f>IF(OR(履歴データ!$A$318="",AE317=0),"",(AE318-AE317)/AE317)</f>
        <v>-6.0287299902649673E-3</v>
      </c>
      <c r="AG318" s="29">
        <f t="shared" si="14"/>
        <v>102.17217746631495</v>
      </c>
      <c r="AH318" s="12">
        <f>IF(OR(履歴データ!$A$318="",AG318=0),"",AE318/AG318-1)</f>
        <v>-0.23361699677671832</v>
      </c>
      <c r="AJ318" s="28">
        <f t="shared" ca="1" si="12"/>
        <v>-13.2934627185005</v>
      </c>
      <c r="AK318" s="28">
        <f t="shared" ca="1" si="13"/>
        <v>-54.881140456102678</v>
      </c>
    </row>
    <row r="319" spans="1:37">
      <c r="A319" s="10">
        <f>IF(履歴データ!$A$319="","",履歴データ!$A$319)</f>
        <v>45391</v>
      </c>
      <c r="B319" s="28">
        <f>IF(履歴データ!$A$319="","",(履歴データ!$D$319-(履歴データ!$B$319+履歴データ!$F$319)/2)*100)</f>
        <v>-25.999999999999979</v>
      </c>
      <c r="C319" s="28">
        <f>IF(履歴データ!$A$319="","",(履歴データ!$H$319-(履歴データ!$G$319+履歴データ!$J$319)/2)*100)</f>
        <v>-24.350000000000005</v>
      </c>
      <c r="D319" s="28">
        <f>IF(履歴データ!$A$319="","",(履歴データ!$D$319-履歴データ!$H$319)*100)</f>
        <v>357.40000000000003</v>
      </c>
      <c r="E319" s="28">
        <f>IF(履歴データ!$A$319="","",(履歴データ!$D$319-履歴データ!$C$319)*100)</f>
        <v>-0.99999999999997868</v>
      </c>
      <c r="F319" s="28">
        <f>IF(履歴データ!$A$319="","",(履歴データ!$R$319-履歴データ!$D$319)*100)</f>
        <v>-250.91000000000003</v>
      </c>
      <c r="G319" s="28">
        <f>IF(履歴データ!$A$319="","",(履歴データ!$S$319-履歴データ!$R$319)*100)</f>
        <v>-119.43835717773446</v>
      </c>
      <c r="H319" s="29">
        <f>IF(履歴データ!$A$319="","",履歴データ!$O$319)</f>
        <v>151.77699279785156</v>
      </c>
      <c r="I319" s="29">
        <f>IF(履歴データ!$A$319="","",履歴データ!$Q$319)</f>
        <v>109.640625</v>
      </c>
      <c r="J319" s="29">
        <f>IF(履歴データ!$A$319="","",履歴データ!$D$319)</f>
        <v>4.3600000000000003</v>
      </c>
      <c r="K319" s="28">
        <f>IF(OR(履歴データ!$A$319="",履歴データ!$A$318=""),"",B319-B318)</f>
        <v>-1.499999999999968</v>
      </c>
      <c r="L319" s="28">
        <f>IF(OR(履歴データ!$A$319="",履歴データ!$A$318=""),"",C319-C318)</f>
        <v>-1</v>
      </c>
      <c r="M319" s="28">
        <f>IF(OR(履歴データ!$A$319="",履歴データ!$A$318=""),"",D319-D318)</f>
        <v>-5.3999999999999773</v>
      </c>
      <c r="N319" s="28">
        <f>IF(OR(履歴データ!$A$319="",履歴データ!$A$318=""),"",E319-E318)</f>
        <v>0</v>
      </c>
      <c r="O319" s="28">
        <f>IF(OR(履歴データ!$A$319="",履歴データ!$A$318=""),"",F319-F318)</f>
        <v>8.7899999999999636</v>
      </c>
      <c r="P319" s="28">
        <f>IF(OR(履歴データ!$A$319="",履歴データ!$A$318=""),"",G319-G318)</f>
        <v>-6.9995357666013973</v>
      </c>
      <c r="Q319" s="29">
        <f>IF(OR(履歴データ!$A$319="",履歴データ!$A$318=""),"",H319-H318)</f>
        <v>-6.6009521484375E-2</v>
      </c>
      <c r="R319" s="29">
        <f>IF(OR(履歴データ!$A$319="",履歴データ!$A$318=""),"",I319-I318)</f>
        <v>0.375</v>
      </c>
      <c r="S319" s="28">
        <f>IF(OR(履歴データ!$A$319="",履歴データ!$A$318=""),"",(J319-J318)*100)</f>
        <v>-5.9999999999999609</v>
      </c>
      <c r="T319" s="11">
        <f>IF(OR(履歴データ!$A$319="",履歴データ!$A$318=""),"",-80000*K319)</f>
        <v>119999.99999999744</v>
      </c>
      <c r="U319" s="11">
        <f>IF(OR(履歴データ!$A$319="",履歴データ!$A$318=""),"",60000*L319)</f>
        <v>-60000</v>
      </c>
      <c r="V319" s="11">
        <f>IF(OR(履歴データ!$A$319="",履歴データ!$A$318=""),"",-50000*M319)</f>
        <v>269999.99999999884</v>
      </c>
      <c r="W319" s="11">
        <f>IF(OR(履歴データ!$A$319="",履歴データ!$A$318=""),"",-40000*N319)</f>
        <v>0</v>
      </c>
      <c r="X319" s="11">
        <f>IF(OR(履歴データ!$A$319="",履歴データ!$A$318=""),"",120*1000000*(-Q319/H318))</f>
        <v>52166.661993855407</v>
      </c>
      <c r="Y319" s="11">
        <f>IF(OR(履歴データ!$A$319="",履歴データ!$A$318=""),"",40000*(-S319)+(-506.3)*R319*1000)</f>
        <v>50137.499999998428</v>
      </c>
      <c r="Z319" s="11">
        <f>IF(OR(履歴データ!$A$319="",履歴データ!$A$318=""),"",-40000*O319)</f>
        <v>-351599.99999999854</v>
      </c>
      <c r="AA319" s="11">
        <f>IF(OR(履歴データ!$A$319="",履歴データ!$A$318=""),"",-40000*P319)</f>
        <v>279981.43066405586</v>
      </c>
      <c r="AB319" s="11">
        <f>IF(履歴データ!$A$319="","",123.3)</f>
        <v>123.3</v>
      </c>
      <c r="AC319">
        <f>IF(履歴データ!$A$319="","",SUM(T319:AA319))</f>
        <v>360685.5926579074</v>
      </c>
      <c r="AD319" s="29">
        <f>IF(履歴データ!$A$319="","",AC319/1000000)</f>
        <v>0.36068559265790739</v>
      </c>
      <c r="AE319" s="29">
        <f>IF(履歴データ!$A$319="",AE318,AE318+AC319/1000000)</f>
        <v>78.663705805154464</v>
      </c>
      <c r="AF319" s="12">
        <f>IF(OR(履歴データ!$A$319="",AE318=0),"",(AE319-AE318)/AE318)</f>
        <v>4.6062794471922412E-3</v>
      </c>
      <c r="AG319" s="29">
        <f t="shared" si="14"/>
        <v>102.17217746631495</v>
      </c>
      <c r="AH319" s="12">
        <f>IF(OR(履歴データ!$A$319="",AG319=0),"",AE319/AG319-1)</f>
        <v>-0.23008682250029344</v>
      </c>
      <c r="AJ319" s="28">
        <f t="shared" ca="1" si="12"/>
        <v>-13.226874969394963</v>
      </c>
      <c r="AK319" s="28">
        <f t="shared" ca="1" si="13"/>
        <v>-54.852490109970113</v>
      </c>
    </row>
    <row r="320" spans="1:37">
      <c r="A320" s="10">
        <f>IF(履歴データ!$A$320="","",履歴データ!$A$320)</f>
        <v>45392</v>
      </c>
      <c r="B320" s="28">
        <f>IF(履歴データ!$A$320="","",(履歴データ!$D$320-(履歴データ!$B$320+履歴データ!$F$320)/2)*100)</f>
        <v>-25.499999999999989</v>
      </c>
      <c r="C320" s="28">
        <f>IF(履歴データ!$A$320="","",(履歴データ!$H$320-(履歴データ!$G$320+履歴データ!$J$320)/2)*100)</f>
        <v>-24.399999999999988</v>
      </c>
      <c r="D320" s="28">
        <f>IF(履歴データ!$A$320="","",(履歴データ!$D$320-履歴データ!$H$320)*100)</f>
        <v>374.9</v>
      </c>
      <c r="E320" s="28">
        <f>IF(履歴データ!$A$320="","",(履歴データ!$D$320-履歴データ!$C$320)*100)</f>
        <v>-6.0000000000000497</v>
      </c>
      <c r="F320" s="28">
        <f>IF(履歴データ!$A$320="","",(履歴データ!$R$320-履歴データ!$D$320)*100)</f>
        <v>-275.5</v>
      </c>
      <c r="G320" s="28">
        <f>IF(履歴データ!$A$320="","",(履歴データ!$S$320-履歴データ!$R$320)*100)</f>
        <v>-109.63882141113305</v>
      </c>
      <c r="H320" s="29">
        <f>IF(履歴データ!$A$320="","",履歴データ!$O$320)</f>
        <v>152.96400451660156</v>
      </c>
      <c r="I320" s="29">
        <f>IF(履歴データ!$A$320="","",履歴データ!$Q$320)</f>
        <v>108.203125</v>
      </c>
      <c r="J320" s="29">
        <f>IF(履歴データ!$A$320="","",履歴データ!$D$320)</f>
        <v>4.55</v>
      </c>
      <c r="K320" s="28">
        <f>IF(OR(履歴データ!$A$320="",履歴データ!$A$319=""),"",B320-B319)</f>
        <v>0.49999999999998934</v>
      </c>
      <c r="L320" s="28">
        <f>IF(OR(履歴データ!$A$320="",履歴データ!$A$319=""),"",C320-C319)</f>
        <v>-4.9999999999982947E-2</v>
      </c>
      <c r="M320" s="28">
        <f>IF(OR(履歴データ!$A$320="",履歴データ!$A$319=""),"",D320-D319)</f>
        <v>17.499999999999943</v>
      </c>
      <c r="N320" s="28">
        <f>IF(OR(履歴データ!$A$320="",履歴データ!$A$319=""),"",E320-E319)</f>
        <v>-5.0000000000000711</v>
      </c>
      <c r="O320" s="28">
        <f>IF(OR(履歴データ!$A$320="",履歴データ!$A$319=""),"",F320-F319)</f>
        <v>-24.589999999999975</v>
      </c>
      <c r="P320" s="28">
        <f>IF(OR(履歴データ!$A$320="",履歴データ!$A$319=""),"",G320-G319)</f>
        <v>9.7995357666014087</v>
      </c>
      <c r="Q320" s="29">
        <f>IF(OR(履歴データ!$A$320="",履歴データ!$A$319=""),"",H320-H319)</f>
        <v>1.18701171875</v>
      </c>
      <c r="R320" s="29">
        <f>IF(OR(履歴データ!$A$320="",履歴データ!$A$319=""),"",I320-I319)</f>
        <v>-1.4375</v>
      </c>
      <c r="S320" s="28">
        <f>IF(OR(履歴データ!$A$320="",履歴データ!$A$319=""),"",(J320-J319)*100)</f>
        <v>18.99999999999995</v>
      </c>
      <c r="T320" s="11">
        <f>IF(OR(履歴データ!$A$320="",履歴データ!$A$319=""),"",-80000*K320)</f>
        <v>-39999.999999999149</v>
      </c>
      <c r="U320" s="11">
        <f>IF(OR(履歴データ!$A$320="",履歴データ!$A$319=""),"",60000*L320)</f>
        <v>-2999.9999999989768</v>
      </c>
      <c r="V320" s="11">
        <f>IF(OR(履歴データ!$A$320="",履歴データ!$A$319=""),"",-50000*M320)</f>
        <v>-874999.99999999721</v>
      </c>
      <c r="W320" s="11">
        <f>IF(OR(履歴データ!$A$320="",履歴データ!$A$319=""),"",-40000*N320)</f>
        <v>200000.00000000285</v>
      </c>
      <c r="X320" s="11">
        <f>IF(OR(履歴データ!$A$320="",履歴データ!$A$319=""),"",120*1000000*(-Q320/H319))</f>
        <v>-938491.42497976997</v>
      </c>
      <c r="Y320" s="11">
        <f>IF(OR(履歴データ!$A$320="",履歴データ!$A$319=""),"",40000*(-S320)+(-506.3)*R320*1000)</f>
        <v>-32193.749999998021</v>
      </c>
      <c r="Z320" s="11">
        <f>IF(OR(履歴データ!$A$320="",履歴データ!$A$319=""),"",-40000*O320)</f>
        <v>983599.99999999895</v>
      </c>
      <c r="AA320" s="11">
        <f>IF(OR(履歴データ!$A$320="",履歴データ!$A$319=""),"",-40000*P320)</f>
        <v>-391981.43066405633</v>
      </c>
      <c r="AB320" s="11">
        <f>IF(履歴データ!$A$320="","",123.3)</f>
        <v>123.3</v>
      </c>
      <c r="AC320">
        <f>IF(履歴データ!$A$320="","",SUM(T320:AA320))</f>
        <v>-1097066.6056438182</v>
      </c>
      <c r="AD320" s="29">
        <f>IF(履歴データ!$A$320="","",AC320/1000000)</f>
        <v>-1.0970666056438181</v>
      </c>
      <c r="AE320" s="29">
        <f>IF(履歴データ!$A$320="",AE319,AE319+AC320/1000000)</f>
        <v>77.566639199510647</v>
      </c>
      <c r="AF320" s="12">
        <f>IF(OR(履歴データ!$A$320="",AE319=0),"",(AE320-AE319)/AE319)</f>
        <v>-1.394628684747181E-2</v>
      </c>
      <c r="AG320" s="29">
        <f t="shared" si="14"/>
        <v>102.17217746631495</v>
      </c>
      <c r="AH320" s="12">
        <f>IF(OR(履歴データ!$A$320="",AG320=0),"",AE320/AG320-1)</f>
        <v>-0.24082425252135276</v>
      </c>
      <c r="AJ320" s="28">
        <f t="shared" ca="1" si="12"/>
        <v>-13.155340617729429</v>
      </c>
      <c r="AK320" s="28">
        <f t="shared" ca="1" si="13"/>
        <v>-54.808945096556279</v>
      </c>
    </row>
    <row r="321" spans="1:37">
      <c r="A321" s="10">
        <f>IF(履歴データ!$A$321="","",履歴データ!$A$321)</f>
        <v>45393</v>
      </c>
      <c r="B321" s="28">
        <f>IF(履歴データ!$A$321="","",(履歴データ!$D$321-(履歴データ!$B$321+履歴データ!$F$321)/2)*100)</f>
        <v>-23.000000000000043</v>
      </c>
      <c r="C321" s="28">
        <f>IF(履歴データ!$A$321="","",(履歴データ!$H$321-(履歴データ!$G$321+履歴データ!$J$321)/2)*100)</f>
        <v>-23.450000000000003</v>
      </c>
      <c r="D321" s="28">
        <f>IF(履歴データ!$A$321="","",(履歴データ!$D$321-履歴データ!$H$321)*100)</f>
        <v>370.59999999999997</v>
      </c>
      <c r="E321" s="28">
        <f>IF(履歴データ!$A$321="","",(履歴データ!$D$321-履歴データ!$C$321)*100)</f>
        <v>-5.0000000000000711</v>
      </c>
      <c r="F321" s="28">
        <f>IF(履歴データ!$A$321="","",(履歴データ!$R$321-履歴データ!$D$321)*100)</f>
        <v>-269.75</v>
      </c>
      <c r="G321" s="28">
        <f>IF(履歴データ!$A$321="","",(履歴データ!$S$321-履歴データ!$R$321)*100)</f>
        <v>-108.67117858886736</v>
      </c>
      <c r="H321" s="29">
        <f>IF(履歴データ!$A$321="","",履歴データ!$O$321)</f>
        <v>153.19200134277344</v>
      </c>
      <c r="I321" s="29">
        <f>IF(履歴データ!$A$321="","",履歴データ!$Q$321)</f>
        <v>108.109375</v>
      </c>
      <c r="J321" s="29">
        <f>IF(履歴データ!$A$321="","",履歴データ!$D$321)</f>
        <v>4.5599999999999996</v>
      </c>
      <c r="K321" s="28">
        <f>IF(OR(履歴データ!$A$321="",履歴データ!$A$320=""),"",B321-B320)</f>
        <v>2.4999999999999467</v>
      </c>
      <c r="L321" s="28">
        <f>IF(OR(履歴データ!$A$321="",履歴データ!$A$320=""),"",C321-C320)</f>
        <v>0.94999999999998508</v>
      </c>
      <c r="M321" s="28">
        <f>IF(OR(履歴データ!$A$321="",履歴データ!$A$320=""),"",D321-D320)</f>
        <v>-4.3000000000000114</v>
      </c>
      <c r="N321" s="28">
        <f>IF(OR(履歴データ!$A$321="",履歴データ!$A$320=""),"",E321-E320)</f>
        <v>0.99999999999997868</v>
      </c>
      <c r="O321" s="28">
        <f>IF(OR(履歴データ!$A$321="",履歴データ!$A$320=""),"",F321-F320)</f>
        <v>5.75</v>
      </c>
      <c r="P321" s="28">
        <f>IF(OR(履歴データ!$A$321="",履歴データ!$A$320=""),"",G321-G320)</f>
        <v>0.9676428222656881</v>
      </c>
      <c r="Q321" s="29">
        <f>IF(OR(履歴データ!$A$321="",履歴データ!$A$320=""),"",H321-H320)</f>
        <v>0.227996826171875</v>
      </c>
      <c r="R321" s="29">
        <f>IF(OR(履歴データ!$A$321="",履歴データ!$A$320=""),"",I321-I320)</f>
        <v>-9.375E-2</v>
      </c>
      <c r="S321" s="28">
        <f>IF(OR(履歴データ!$A$321="",履歴データ!$A$320=""),"",(J321-J320)*100)</f>
        <v>0.99999999999997868</v>
      </c>
      <c r="T321" s="11">
        <f>IF(OR(履歴データ!$A$321="",履歴データ!$A$320=""),"",-80000*K321)</f>
        <v>-199999.99999999575</v>
      </c>
      <c r="U321" s="11">
        <f>IF(OR(履歴データ!$A$321="",履歴データ!$A$320=""),"",60000*L321)</f>
        <v>56999.999999999105</v>
      </c>
      <c r="V321" s="11">
        <f>IF(OR(履歴データ!$A$321="",履歴データ!$A$320=""),"",-50000*M321)</f>
        <v>215000.00000000058</v>
      </c>
      <c r="W321" s="11">
        <f>IF(OR(履歴データ!$A$321="",履歴データ!$A$320=""),"",-40000*N321)</f>
        <v>-39999.999999999149</v>
      </c>
      <c r="X321" s="11">
        <f>IF(OR(履歴データ!$A$321="",履歴データ!$A$320=""),"",120*1000000*(-Q321/H320))</f>
        <v>-178863.12029478536</v>
      </c>
      <c r="Y321" s="11">
        <f>IF(OR(履歴データ!$A$321="",履歴データ!$A$320=""),"",40000*(-S321)+(-506.3)*R321*1000)</f>
        <v>7465.6250000008513</v>
      </c>
      <c r="Z321" s="11">
        <f>IF(OR(履歴データ!$A$321="",履歴データ!$A$320=""),"",-40000*O321)</f>
        <v>-230000</v>
      </c>
      <c r="AA321" s="11">
        <f>IF(OR(履歴データ!$A$321="",履歴データ!$A$320=""),"",-40000*P321)</f>
        <v>-38705.712890627525</v>
      </c>
      <c r="AB321" s="11">
        <f>IF(履歴データ!$A$321="","",123.3)</f>
        <v>123.3</v>
      </c>
      <c r="AC321">
        <f>IF(履歴データ!$A$321="","",SUM(T321:AA321))</f>
        <v>-408103.20818540727</v>
      </c>
      <c r="AD321" s="29">
        <f>IF(履歴データ!$A$321="","",AC321/1000000)</f>
        <v>-0.4081032081854073</v>
      </c>
      <c r="AE321" s="29">
        <f>IF(履歴データ!$A$321="",AE320,AE320+AC321/1000000)</f>
        <v>77.158535991325238</v>
      </c>
      <c r="AF321" s="12">
        <f>IF(OR(履歴データ!$A$321="",AE320=0),"",(AE321-AE320)/AE320)</f>
        <v>-5.2613238422734663E-3</v>
      </c>
      <c r="AG321" s="29">
        <f t="shared" si="14"/>
        <v>102.17217746631495</v>
      </c>
      <c r="AH321" s="12">
        <f>IF(OR(履歴データ!$A$321="",AG321=0),"",AE321/AG321-1)</f>
        <v>-0.24481852198203802</v>
      </c>
      <c r="AJ321" s="28">
        <f t="shared" ca="1" si="12"/>
        <v>-13.056055511337153</v>
      </c>
      <c r="AK321" s="28">
        <f t="shared" ca="1" si="13"/>
        <v>-54.773309568027926</v>
      </c>
    </row>
    <row r="322" spans="1:37">
      <c r="A322" s="10">
        <f>IF(履歴データ!$A$322="","",履歴データ!$A$322)</f>
        <v>45394</v>
      </c>
      <c r="B322" s="28">
        <f>IF(履歴データ!$A$322="","",(履歴データ!$D$322-(履歴データ!$B$322+履歴データ!$F$322)/2)*100)</f>
        <v>-24.500000000000011</v>
      </c>
      <c r="C322" s="28">
        <f>IF(履歴データ!$A$322="","",(履歴データ!$H$322-(履歴データ!$G$322+履歴データ!$J$322)/2)*100)</f>
        <v>-22.349999999999991</v>
      </c>
      <c r="D322" s="28">
        <f>IF(履歴データ!$A$322="","",(履歴データ!$D$322-履歴データ!$H$322)*100)</f>
        <v>363.6</v>
      </c>
      <c r="E322" s="28">
        <f>IF(履歴データ!$A$322="","",(履歴データ!$D$322-履歴データ!$C$322)*100)</f>
        <v>-4.0000000000000036</v>
      </c>
      <c r="F322" s="28">
        <f>IF(履歴データ!$A$322="","",(履歴データ!$R$322-履歴データ!$D$322)*100)</f>
        <v>-255.94</v>
      </c>
      <c r="G322" s="28">
        <f>IF(履歴データ!$A$322="","",(履歴データ!$S$322-履歴データ!$R$322)*100)</f>
        <v>-118.23517858886741</v>
      </c>
      <c r="H322" s="29">
        <f>IF(履歴データ!$A$322="","",履歴データ!$O$322)</f>
        <v>153.19200134277344</v>
      </c>
      <c r="I322" s="29">
        <f>IF(履歴データ!$A$322="","",履歴データ!$Q$322)</f>
        <v>108.6875</v>
      </c>
      <c r="J322" s="29">
        <f>IF(履歴データ!$A$322="","",履歴データ!$D$322)</f>
        <v>4.5</v>
      </c>
      <c r="K322" s="28">
        <f>IF(OR(履歴データ!$A$322="",履歴データ!$A$321=""),"",B322-B321)</f>
        <v>-1.499999999999968</v>
      </c>
      <c r="L322" s="28">
        <f>IF(OR(履歴データ!$A$322="",履歴データ!$A$321=""),"",C322-C321)</f>
        <v>1.1000000000000121</v>
      </c>
      <c r="M322" s="28">
        <f>IF(OR(履歴データ!$A$322="",履歴データ!$A$321=""),"",D322-D321)</f>
        <v>-6.9999999999999432</v>
      </c>
      <c r="N322" s="28">
        <f>IF(OR(履歴データ!$A$322="",履歴データ!$A$321=""),"",E322-E321)</f>
        <v>1.0000000000000675</v>
      </c>
      <c r="O322" s="28">
        <f>IF(OR(履歴データ!$A$322="",履歴データ!$A$321=""),"",F322-F321)</f>
        <v>13.810000000000002</v>
      </c>
      <c r="P322" s="28">
        <f>IF(OR(履歴データ!$A$322="",履歴データ!$A$321=""),"",G322-G321)</f>
        <v>-9.5640000000000498</v>
      </c>
      <c r="Q322" s="29">
        <f>IF(OR(履歴データ!$A$322="",履歴データ!$A$321=""),"",H322-H321)</f>
        <v>0</v>
      </c>
      <c r="R322" s="29">
        <f>IF(OR(履歴データ!$A$322="",履歴データ!$A$321=""),"",I322-I321)</f>
        <v>0.578125</v>
      </c>
      <c r="S322" s="28">
        <f>IF(OR(履歴データ!$A$322="",履歴データ!$A$321=""),"",(J322-J321)*100)</f>
        <v>-5.9999999999999609</v>
      </c>
      <c r="T322" s="11">
        <f>IF(OR(履歴データ!$A$322="",履歴データ!$A$321=""),"",-80000*K322)</f>
        <v>119999.99999999744</v>
      </c>
      <c r="U322" s="11">
        <f>IF(OR(履歴データ!$A$322="",履歴データ!$A$321=""),"",60000*L322)</f>
        <v>66000.000000000728</v>
      </c>
      <c r="V322" s="11">
        <f>IF(OR(履歴データ!$A$322="",履歴データ!$A$321=""),"",-50000*M322)</f>
        <v>349999.99999999715</v>
      </c>
      <c r="W322" s="11">
        <f>IF(OR(履歴データ!$A$322="",履歴データ!$A$321=""),"",-40000*N322)</f>
        <v>-40000.000000002699</v>
      </c>
      <c r="X322" s="11">
        <f>IF(OR(履歴データ!$A$322="",履歴データ!$A$321=""),"",120*1000000*(-Q322/H321))</f>
        <v>0</v>
      </c>
      <c r="Y322" s="11">
        <f>IF(OR(履歴データ!$A$322="",履歴データ!$A$321=""),"",40000*(-S322)+(-506.3)*R322*1000)</f>
        <v>-52704.68750000163</v>
      </c>
      <c r="Z322" s="11">
        <f>IF(OR(履歴データ!$A$322="",履歴データ!$A$321=""),"",-40000*O322)</f>
        <v>-552400.00000000012</v>
      </c>
      <c r="AA322" s="11">
        <f>IF(OR(履歴データ!$A$322="",履歴データ!$A$321=""),"",-40000*P322)</f>
        <v>382560.00000000198</v>
      </c>
      <c r="AB322" s="11">
        <f>IF(履歴データ!$A$322="","",123.3)</f>
        <v>123.3</v>
      </c>
      <c r="AC322">
        <f>IF(履歴データ!$A$322="","",SUM(T322:AA322))</f>
        <v>273455.3124999929</v>
      </c>
      <c r="AD322" s="29">
        <f>IF(履歴データ!$A$322="","",AC322/1000000)</f>
        <v>0.27345531249999289</v>
      </c>
      <c r="AE322" s="29">
        <f>IF(履歴データ!$A$322="",AE321,AE321+AC322/1000000)</f>
        <v>77.431991303825228</v>
      </c>
      <c r="AF322" s="12">
        <f>IF(OR(履歴データ!$A$322="",AE321=0),"",(AE322-AE321)/AE321)</f>
        <v>3.5440707756655017E-3</v>
      </c>
      <c r="AG322" s="29">
        <f t="shared" si="14"/>
        <v>102.17217746631495</v>
      </c>
      <c r="AH322" s="12">
        <f>IF(OR(履歴データ!$A$322="",AG322=0),"",AE322/AG322-1)</f>
        <v>-0.24214210537547065</v>
      </c>
      <c r="AJ322" s="28">
        <f t="shared" ref="AJ322:AJ385" ca="1" si="15">IF(ROW()-1&lt;2,"",IFERROR(AVERAGE(OFFSET($B$1,MAX(1,ROW()-252),0,MIN(252,ROW()-1),1))+2*STDEV(OFFSET($B$1,MAX(1,ROW()-252),0,MIN(252,ROW()-1),1)),""))</f>
        <v>-12.974941327476369</v>
      </c>
      <c r="AK322" s="28">
        <f t="shared" ref="AK322:AK385" ca="1" si="16">IF(ROW()-1&lt;2,"",IFERROR(AVERAGE(OFFSET($B$1,MAX(1,ROW()-252),0,MIN(252,ROW()-1),1))-2*STDEV(OFFSET($B$1,MAX(1,ROW()-252),0,MIN(252,ROW()-1),1)),""))</f>
        <v>-54.735376132841083</v>
      </c>
    </row>
    <row r="323" spans="1:37">
      <c r="A323" s="10">
        <f>IF(履歴データ!$A$323="","",履歴データ!$A$323)</f>
        <v>45397</v>
      </c>
      <c r="B323" s="28">
        <f>IF(履歴データ!$A$323="","",(履歴データ!$D$323-(履歴データ!$B$323+履歴データ!$F$323)/2)*100)</f>
        <v>-20.500000000000007</v>
      </c>
      <c r="C323" s="28">
        <f>IF(履歴データ!$A$323="","",(履歴データ!$H$323-(履歴データ!$G$323+履歴データ!$J$323)/2)*100)</f>
        <v>-22.050000000000004</v>
      </c>
      <c r="D323" s="28">
        <f>IF(履歴データ!$A$323="","",(履歴データ!$D$323-履歴データ!$H$323)*100)</f>
        <v>376.6</v>
      </c>
      <c r="E323" s="28">
        <f>IF(履歴データ!$A$323="","",(履歴データ!$D$323-履歴データ!$C$323)*100)</f>
        <v>-2.0000000000000462</v>
      </c>
      <c r="F323" s="28">
        <f>IF(履歴データ!$A$323="","",(履歴データ!$R$323-履歴データ!$D$323)*100)</f>
        <v>-280.67</v>
      </c>
      <c r="G323" s="28">
        <f>IF(履歴データ!$A$323="","",(履歴データ!$S$323-履歴データ!$R$323)*100)</f>
        <v>-107.03135717773445</v>
      </c>
      <c r="H323" s="29">
        <f>IF(履歴データ!$A$323="","",履歴データ!$O$323)</f>
        <v>154.20599365234375</v>
      </c>
      <c r="I323" s="29">
        <f>IF(履歴データ!$A$323="","",履歴データ!$Q$323)</f>
        <v>107.890625</v>
      </c>
      <c r="J323" s="29">
        <f>IF(履歴データ!$A$323="","",履歴データ!$D$323)</f>
        <v>4.63</v>
      </c>
      <c r="K323" s="28">
        <f>IF(OR(履歴データ!$A$323="",履歴データ!$A$322=""),"",B323-B322)</f>
        <v>4.0000000000000036</v>
      </c>
      <c r="L323" s="28">
        <f>IF(OR(履歴データ!$A$323="",履歴データ!$A$322=""),"",C323-C322)</f>
        <v>0.2999999999999865</v>
      </c>
      <c r="M323" s="28">
        <f>IF(OR(履歴データ!$A$323="",履歴データ!$A$322=""),"",D323-D322)</f>
        <v>13</v>
      </c>
      <c r="N323" s="28">
        <f>IF(OR(履歴データ!$A$323="",履歴データ!$A$322=""),"",E323-E322)</f>
        <v>1.9999999999999574</v>
      </c>
      <c r="O323" s="28">
        <f>IF(OR(履歴データ!$A$323="",履歴データ!$A$322=""),"",F323-F322)</f>
        <v>-24.730000000000018</v>
      </c>
      <c r="P323" s="28">
        <f>IF(OR(履歴データ!$A$323="",履歴データ!$A$322=""),"",G323-G322)</f>
        <v>11.203821411132964</v>
      </c>
      <c r="Q323" s="29">
        <f>IF(OR(履歴データ!$A$323="",履歴データ!$A$322=""),"",H323-H322)</f>
        <v>1.0139923095703125</v>
      </c>
      <c r="R323" s="29">
        <f>IF(OR(履歴データ!$A$323="",履歴データ!$A$322=""),"",I323-I322)</f>
        <v>-0.796875</v>
      </c>
      <c r="S323" s="28">
        <f>IF(OR(履歴データ!$A$323="",履歴データ!$A$322=""),"",(J323-J322)*100)</f>
        <v>12.999999999999989</v>
      </c>
      <c r="T323" s="11">
        <f>IF(OR(履歴データ!$A$323="",履歴データ!$A$322=""),"",-80000*K323)</f>
        <v>-320000.00000000029</v>
      </c>
      <c r="U323" s="11">
        <f>IF(OR(履歴データ!$A$323="",履歴データ!$A$322=""),"",60000*L323)</f>
        <v>17999.999999999189</v>
      </c>
      <c r="V323" s="11">
        <f>IF(OR(履歴データ!$A$323="",履歴データ!$A$322=""),"",-50000*M323)</f>
        <v>-650000</v>
      </c>
      <c r="W323" s="11">
        <f>IF(OR(履歴データ!$A$323="",履歴データ!$A$322=""),"",-40000*N323)</f>
        <v>-79999.999999998297</v>
      </c>
      <c r="X323" s="11">
        <f>IF(OR(履歴データ!$A$323="",履歴データ!$A$322=""),"",120*1000000*(-Q323/H322))</f>
        <v>-794291.32123011781</v>
      </c>
      <c r="Y323" s="11">
        <f>IF(OR(履歴データ!$A$323="",履歴データ!$A$322=""),"",40000*(-S323)+(-506.3)*R323*1000)</f>
        <v>-116542.18749999959</v>
      </c>
      <c r="Z323" s="11">
        <f>IF(OR(履歴データ!$A$323="",履歴データ!$A$322=""),"",-40000*O323)</f>
        <v>989200.0000000007</v>
      </c>
      <c r="AA323" s="11">
        <f>IF(OR(履歴データ!$A$323="",履歴データ!$A$322=""),"",-40000*P323)</f>
        <v>-448152.85644531855</v>
      </c>
      <c r="AB323" s="11">
        <f>IF(履歴データ!$A$323="","",123.3)</f>
        <v>123.3</v>
      </c>
      <c r="AC323">
        <f>IF(履歴データ!$A$323="","",SUM(T323:AA323))</f>
        <v>-1401786.3651754346</v>
      </c>
      <c r="AD323" s="29">
        <f>IF(履歴データ!$A$323="","",AC323/1000000)</f>
        <v>-1.4017863651754345</v>
      </c>
      <c r="AE323" s="29">
        <f>IF(履歴データ!$A$323="",AE322,AE322+AC323/1000000)</f>
        <v>76.030204938649788</v>
      </c>
      <c r="AF323" s="12">
        <f>IF(OR(履歴データ!$A$323="",AE322=0),"",(AE323-AE322)/AE322)</f>
        <v>-1.8103452353112736E-2</v>
      </c>
      <c r="AG323" s="29">
        <f t="shared" ref="AG323:AG386" si="17">MAX(AG322,AE323)</f>
        <v>102.17217746631495</v>
      </c>
      <c r="AH323" s="12">
        <f>IF(OR(履歴データ!$A$323="",AG323=0),"",AE323/AG323-1)</f>
        <v>-0.2558619496612361</v>
      </c>
      <c r="AJ323" s="28">
        <f t="shared" ca="1" si="15"/>
        <v>-12.844256277262133</v>
      </c>
      <c r="AK323" s="28">
        <f t="shared" ca="1" si="16"/>
        <v>-54.723204040198183</v>
      </c>
    </row>
    <row r="324" spans="1:37">
      <c r="A324" s="10">
        <f>IF(履歴データ!$A$324="","",履歴データ!$A$324)</f>
        <v>45398</v>
      </c>
      <c r="B324" s="28">
        <f>IF(履歴データ!$A$324="","",(履歴データ!$D$324-(履歴データ!$B$324+履歴データ!$F$324)/2)*100)</f>
        <v>-19.999999999999929</v>
      </c>
      <c r="C324" s="28">
        <f>IF(履歴データ!$A$324="","",(履歴データ!$H$324-(履歴データ!$G$324+履歴データ!$J$324)/2)*100)</f>
        <v>-22.400000000000009</v>
      </c>
      <c r="D324" s="28">
        <f>IF(履歴データ!$A$324="","",(履歴データ!$D$324-履歴データ!$H$324)*100)</f>
        <v>380</v>
      </c>
      <c r="E324" s="28">
        <f>IF(履歴データ!$A$324="","",(履歴データ!$D$324-履歴データ!$C$324)*100)</f>
        <v>-2.0000000000000462</v>
      </c>
      <c r="F324" s="28">
        <f>IF(履歴データ!$A$324="","",(履歴データ!$R$324-履歴データ!$D$324)*100)</f>
        <v>-274.47999999999996</v>
      </c>
      <c r="G324" s="28">
        <f>IF(履歴データ!$A$324="","",(履歴データ!$S$324-履歴データ!$R$324)*100)</f>
        <v>-115.46735717773441</v>
      </c>
      <c r="H324" s="29">
        <f>IF(履歴データ!$A$324="","",履歴データ!$O$324)</f>
        <v>154.697998046875</v>
      </c>
      <c r="I324" s="29">
        <f>IF(履歴データ!$A$324="","",履歴データ!$Q$324)</f>
        <v>107.671875</v>
      </c>
      <c r="J324" s="29">
        <f>IF(履歴データ!$A$324="","",履歴データ!$D$324)</f>
        <v>4.67</v>
      </c>
      <c r="K324" s="28">
        <f>IF(OR(履歴データ!$A$324="",履歴データ!$A$323=""),"",B324-B323)</f>
        <v>0.50000000000007816</v>
      </c>
      <c r="L324" s="28">
        <f>IF(OR(履歴データ!$A$324="",履歴データ!$A$323=""),"",C324-C323)</f>
        <v>-0.35000000000000497</v>
      </c>
      <c r="M324" s="28">
        <f>IF(OR(履歴データ!$A$324="",履歴データ!$A$323=""),"",D324-D323)</f>
        <v>3.3999999999999773</v>
      </c>
      <c r="N324" s="28">
        <f>IF(OR(履歴データ!$A$324="",履歴データ!$A$323=""),"",E324-E323)</f>
        <v>0</v>
      </c>
      <c r="O324" s="28">
        <f>IF(OR(履歴データ!$A$324="",履歴データ!$A$323=""),"",F324-F323)</f>
        <v>6.1900000000000546</v>
      </c>
      <c r="P324" s="28">
        <f>IF(OR(履歴データ!$A$324="",履歴データ!$A$323=""),"",G324-G323)</f>
        <v>-8.4359999999999644</v>
      </c>
      <c r="Q324" s="29">
        <f>IF(OR(履歴データ!$A$324="",履歴データ!$A$323=""),"",H324-H323)</f>
        <v>0.49200439453125</v>
      </c>
      <c r="R324" s="29">
        <f>IF(OR(履歴データ!$A$324="",履歴データ!$A$323=""),"",I324-I323)</f>
        <v>-0.21875</v>
      </c>
      <c r="S324" s="28">
        <f>IF(OR(履歴データ!$A$324="",履歴データ!$A$323=""),"",(J324-J323)*100)</f>
        <v>4.0000000000000036</v>
      </c>
      <c r="T324" s="11">
        <f>IF(OR(履歴データ!$A$324="",履歴データ!$A$323=""),"",-80000*K324)</f>
        <v>-40000.00000000625</v>
      </c>
      <c r="U324" s="11">
        <f>IF(OR(履歴データ!$A$324="",履歴データ!$A$323=""),"",60000*L324)</f>
        <v>-21000.000000000298</v>
      </c>
      <c r="V324" s="11">
        <f>IF(OR(履歴データ!$A$324="",履歴データ!$A$323=""),"",-50000*M324)</f>
        <v>-169999.99999999886</v>
      </c>
      <c r="W324" s="11">
        <f>IF(OR(履歴データ!$A$324="",履歴データ!$A$323=""),"",-40000*N324)</f>
        <v>0</v>
      </c>
      <c r="X324" s="11">
        <f>IF(OR(履歴データ!$A$324="",履歴データ!$A$323=""),"",120*1000000*(-Q324/H323))</f>
        <v>-382867.91547711444</v>
      </c>
      <c r="Y324" s="11">
        <f>IF(OR(履歴データ!$A$324="",履歴データ!$A$323=""),"",40000*(-S324)+(-506.3)*R324*1000)</f>
        <v>-49246.875000000146</v>
      </c>
      <c r="Z324" s="11">
        <f>IF(OR(履歴データ!$A$324="",履歴データ!$A$323=""),"",-40000*O324)</f>
        <v>-247600.00000000218</v>
      </c>
      <c r="AA324" s="11">
        <f>IF(OR(履歴データ!$A$324="",履歴データ!$A$323=""),"",-40000*P324)</f>
        <v>337439.9999999986</v>
      </c>
      <c r="AB324" s="11">
        <f>IF(履歴データ!$A$324="","",123.3)</f>
        <v>123.3</v>
      </c>
      <c r="AC324">
        <f>IF(履歴データ!$A$324="","",SUM(T324:AA324))</f>
        <v>-573274.79047712358</v>
      </c>
      <c r="AD324" s="29">
        <f>IF(履歴データ!$A$324="","",AC324/1000000)</f>
        <v>-0.5732747904771236</v>
      </c>
      <c r="AE324" s="29">
        <f>IF(履歴データ!$A$324="",AE323,AE323+AC324/1000000)</f>
        <v>75.45693014817266</v>
      </c>
      <c r="AF324" s="12">
        <f>IF(OR(履歴データ!$A$324="",AE323=0),"",(AE324-AE323)/AE323)</f>
        <v>-7.540092663694843E-3</v>
      </c>
      <c r="AG324" s="29">
        <f t="shared" si="17"/>
        <v>102.17217746631495</v>
      </c>
      <c r="AH324" s="12">
        <f>IF(OR(履歴データ!$A$324="",AG324=0),"",AE324/AG324-1)</f>
        <v>-0.2614728195153716</v>
      </c>
      <c r="AJ324" s="28">
        <f t="shared" ca="1" si="15"/>
        <v>-12.70833756353543</v>
      </c>
      <c r="AK324" s="28">
        <f t="shared" ca="1" si="16"/>
        <v>-54.720233865036001</v>
      </c>
    </row>
    <row r="325" spans="1:37">
      <c r="A325" s="10">
        <f>IF(履歴データ!$A$325="","",履歴データ!$A$325)</f>
        <v>45399</v>
      </c>
      <c r="B325" s="28">
        <f>IF(履歴データ!$A$325="","",(履歴データ!$D$325-(履歴データ!$B$325+履歴データ!$F$325)/2)*100)</f>
        <v>-23.000000000000043</v>
      </c>
      <c r="C325" s="28">
        <f>IF(履歴データ!$A$325="","",(履歴データ!$H$325-(履歴データ!$G$325+履歴データ!$J$325)/2)*100)</f>
        <v>-21.499999999999986</v>
      </c>
      <c r="D325" s="28">
        <f>IF(履歴データ!$A$325="","",(履歴データ!$D$325-履歴データ!$H$325)*100)</f>
        <v>370.09999999999997</v>
      </c>
      <c r="E325" s="28">
        <f>IF(履歴データ!$A$325="","",(履歴データ!$D$325-履歴データ!$C$325)*100)</f>
        <v>-3.0000000000000249</v>
      </c>
      <c r="F325" s="28">
        <f>IF(履歴データ!$A$325="","",(履歴データ!$R$325-履歴データ!$D$325)*100)</f>
        <v>-261.70999999999998</v>
      </c>
      <c r="G325" s="28">
        <f>IF(履歴データ!$A$325="","",(履歴データ!$S$325-履歴データ!$R$325)*100)</f>
        <v>-114.80000000000005</v>
      </c>
      <c r="H325" s="29">
        <f>IF(履歴データ!$A$325="","",履歴データ!$O$325)</f>
        <v>154.34199523925781</v>
      </c>
      <c r="I325" s="29">
        <f>IF(履歴データ!$A$325="","",履歴データ!$Q$325)</f>
        <v>108.15625</v>
      </c>
      <c r="J325" s="29">
        <f>IF(履歴データ!$A$325="","",履歴データ!$D$325)</f>
        <v>4.59</v>
      </c>
      <c r="K325" s="28">
        <f>IF(OR(履歴データ!$A$325="",履歴データ!$A$324=""),"",B325-B324)</f>
        <v>-3.0000000000001137</v>
      </c>
      <c r="L325" s="28">
        <f>IF(OR(履歴データ!$A$325="",履歴データ!$A$324=""),"",C325-C324)</f>
        <v>0.90000000000002345</v>
      </c>
      <c r="M325" s="28">
        <f>IF(OR(履歴データ!$A$325="",履歴データ!$A$324=""),"",D325-D324)</f>
        <v>-9.9000000000000341</v>
      </c>
      <c r="N325" s="28">
        <f>IF(OR(履歴データ!$A$325="",履歴データ!$A$324=""),"",E325-E324)</f>
        <v>-0.99999999999997868</v>
      </c>
      <c r="O325" s="28">
        <f>IF(OR(履歴データ!$A$325="",履歴データ!$A$324=""),"",F325-F324)</f>
        <v>12.769999999999982</v>
      </c>
      <c r="P325" s="28">
        <f>IF(OR(履歴データ!$A$325="",履歴データ!$A$324=""),"",G325-G324)</f>
        <v>0.66735717773435965</v>
      </c>
      <c r="Q325" s="29">
        <f>IF(OR(履歴データ!$A$325="",履歴データ!$A$324=""),"",H325-H324)</f>
        <v>-0.3560028076171875</v>
      </c>
      <c r="R325" s="29">
        <f>IF(OR(履歴データ!$A$325="",履歴データ!$A$324=""),"",I325-I324)</f>
        <v>0.484375</v>
      </c>
      <c r="S325" s="28">
        <f>IF(OR(履歴データ!$A$325="",履歴データ!$A$324=""),"",(J325-J324)*100)</f>
        <v>-8.0000000000000071</v>
      </c>
      <c r="T325" s="11">
        <f>IF(OR(履歴データ!$A$325="",履歴データ!$A$324=""),"",-80000*K325)</f>
        <v>240000.00000000908</v>
      </c>
      <c r="U325" s="11">
        <f>IF(OR(履歴データ!$A$325="",履歴データ!$A$324=""),"",60000*L325)</f>
        <v>54000.000000001404</v>
      </c>
      <c r="V325" s="11">
        <f>IF(OR(履歴データ!$A$325="",履歴データ!$A$324=""),"",-50000*M325)</f>
        <v>495000.00000000169</v>
      </c>
      <c r="W325" s="11">
        <f>IF(OR(履歴データ!$A$325="",履歴データ!$A$324=""),"",-40000*N325)</f>
        <v>39999.999999999149</v>
      </c>
      <c r="X325" s="11">
        <f>IF(OR(履歴データ!$A$325="",履歴データ!$A$324=""),"",120*1000000*(-Q325/H324))</f>
        <v>276153.13354680792</v>
      </c>
      <c r="Y325" s="11">
        <f>IF(OR(履歴データ!$A$325="",履歴データ!$A$324=""),"",40000*(-S325)+(-506.3)*R325*1000)</f>
        <v>74760.937500000262</v>
      </c>
      <c r="Z325" s="11">
        <f>IF(OR(履歴データ!$A$325="",履歴データ!$A$324=""),"",-40000*O325)</f>
        <v>-510799.9999999993</v>
      </c>
      <c r="AA325" s="11">
        <f>IF(OR(履歴データ!$A$325="",履歴データ!$A$324=""),"",-40000*P325)</f>
        <v>-26694.287109374385</v>
      </c>
      <c r="AB325" s="11">
        <f>IF(履歴データ!$A$325="","",123.3)</f>
        <v>123.3</v>
      </c>
      <c r="AC325">
        <f>IF(履歴データ!$A$325="","",SUM(T325:AA325))</f>
        <v>642419.78393744573</v>
      </c>
      <c r="AD325" s="29">
        <f>IF(履歴データ!$A$325="","",AC325/1000000)</f>
        <v>0.6424197839374457</v>
      </c>
      <c r="AE325" s="29">
        <f>IF(履歴データ!$A$325="",AE324,AE324+AC325/1000000)</f>
        <v>76.099349932110101</v>
      </c>
      <c r="AF325" s="12">
        <f>IF(OR(履歴データ!$A$325="",AE324=0),"",(AE325-AE324)/AE324)</f>
        <v>8.5137280654797344E-3</v>
      </c>
      <c r="AG325" s="29">
        <f t="shared" si="17"/>
        <v>102.17217746631495</v>
      </c>
      <c r="AH325" s="12">
        <f>IF(OR(履歴データ!$A$325="",AG325=0),"",AE325/AG325-1)</f>
        <v>-0.25518519993176003</v>
      </c>
      <c r="AJ325" s="28">
        <f t="shared" ca="1" si="15"/>
        <v>-12.612308770080091</v>
      </c>
      <c r="AK325" s="28">
        <f t="shared" ca="1" si="16"/>
        <v>-54.689278531507213</v>
      </c>
    </row>
    <row r="326" spans="1:37">
      <c r="A326" s="10">
        <f>IF(履歴データ!$A$326="","",履歴データ!$A$326)</f>
        <v>45400</v>
      </c>
      <c r="B326" s="28">
        <f>IF(履歴データ!$A$326="","",(履歴データ!$D$326-(履歴データ!$B$326+履歴データ!$F$326)/2)*100)</f>
        <v>-22.000000000000064</v>
      </c>
      <c r="C326" s="28">
        <f>IF(履歴データ!$A$326="","",(履歴データ!$H$326-(履歴データ!$G$326+履歴データ!$J$326)/2)*100)</f>
        <v>-21.499999999999986</v>
      </c>
      <c r="D326" s="28">
        <f>IF(履歴データ!$A$326="","",(履歴データ!$D$326-履歴データ!$H$326)*100)</f>
        <v>376.9</v>
      </c>
      <c r="E326" s="28">
        <f>IF(履歴データ!$A$326="","",(履歴データ!$D$326-履歴データ!$C$326)*100)</f>
        <v>-4.0000000000000036</v>
      </c>
      <c r="F326" s="28">
        <f>IF(履歴データ!$A$326="","",(履歴データ!$R$326-履歴データ!$D$326)*100)</f>
        <v>-268.49999999999994</v>
      </c>
      <c r="G326" s="28">
        <f>IF(履歴データ!$A$326="","",(履歴データ!$S$326-履歴データ!$R$326)*100)</f>
        <v>-119.6751785888674</v>
      </c>
      <c r="H326" s="29">
        <f>IF(履歴データ!$A$326="","",履歴データ!$O$326)</f>
        <v>154.61000061035156</v>
      </c>
      <c r="I326" s="29">
        <f>IF(履歴データ!$A$326="","",履歴データ!$Q$326)</f>
        <v>107.703125</v>
      </c>
      <c r="J326" s="29">
        <f>IF(履歴データ!$A$326="","",履歴データ!$D$326)</f>
        <v>4.6399999999999997</v>
      </c>
      <c r="K326" s="28">
        <f>IF(OR(履歴データ!$A$326="",履歴データ!$A$325=""),"",B326-B325)</f>
        <v>0.99999999999997868</v>
      </c>
      <c r="L326" s="28">
        <f>IF(OR(履歴データ!$A$326="",履歴データ!$A$325=""),"",C326-C325)</f>
        <v>0</v>
      </c>
      <c r="M326" s="28">
        <f>IF(OR(履歴データ!$A$326="",履歴データ!$A$325=""),"",D326-D325)</f>
        <v>6.8000000000000114</v>
      </c>
      <c r="N326" s="28">
        <f>IF(OR(履歴データ!$A$326="",履歴データ!$A$325=""),"",E326-E325)</f>
        <v>-0.99999999999997868</v>
      </c>
      <c r="O326" s="28">
        <f>IF(OR(履歴データ!$A$326="",履歴データ!$A$325=""),"",F326-F325)</f>
        <v>-6.7899999999999636</v>
      </c>
      <c r="P326" s="28">
        <f>IF(OR(履歴データ!$A$326="",履歴データ!$A$325=""),"",G326-G325)</f>
        <v>-4.8751785888673425</v>
      </c>
      <c r="Q326" s="29">
        <f>IF(OR(履歴データ!$A$326="",履歴データ!$A$325=""),"",H326-H325)</f>
        <v>0.26800537109375</v>
      </c>
      <c r="R326" s="29">
        <f>IF(OR(履歴データ!$A$326="",履歴データ!$A$325=""),"",I326-I325)</f>
        <v>-0.453125</v>
      </c>
      <c r="S326" s="28">
        <f>IF(OR(履歴データ!$A$326="",履歴データ!$A$325=""),"",(J326-J325)*100)</f>
        <v>4.9999999999999822</v>
      </c>
      <c r="T326" s="11">
        <f>IF(OR(履歴データ!$A$326="",履歴データ!$A$325=""),"",-80000*K326)</f>
        <v>-79999.999999998297</v>
      </c>
      <c r="U326" s="11">
        <f>IF(OR(履歴データ!$A$326="",履歴データ!$A$325=""),"",60000*L326)</f>
        <v>0</v>
      </c>
      <c r="V326" s="11">
        <f>IF(OR(履歴データ!$A$326="",履歴データ!$A$325=""),"",-50000*M326)</f>
        <v>-340000.00000000058</v>
      </c>
      <c r="W326" s="11">
        <f>IF(OR(履歴データ!$A$326="",履歴データ!$A$325=""),"",-40000*N326)</f>
        <v>39999.999999999149</v>
      </c>
      <c r="X326" s="11">
        <f>IF(OR(履歴データ!$A$326="",履歴データ!$A$325=""),"",120*1000000*(-Q326/H325))</f>
        <v>-208372.61097600317</v>
      </c>
      <c r="Y326" s="11">
        <f>IF(OR(履歴データ!$A$326="",履歴データ!$A$325=""),"",40000*(-S326)+(-506.3)*R326*1000)</f>
        <v>29417.187500000698</v>
      </c>
      <c r="Z326" s="11">
        <f>IF(OR(履歴データ!$A$326="",履歴データ!$A$325=""),"",-40000*O326)</f>
        <v>271599.99999999854</v>
      </c>
      <c r="AA326" s="11">
        <f>IF(OR(履歴データ!$A$326="",履歴データ!$A$325=""),"",-40000*P326)</f>
        <v>195007.1435546937</v>
      </c>
      <c r="AB326" s="11">
        <f>IF(履歴データ!$A$326="","",123.3)</f>
        <v>123.3</v>
      </c>
      <c r="AC326">
        <f>IF(履歴データ!$A$326="","",SUM(T326:AA326))</f>
        <v>-92348.279921309935</v>
      </c>
      <c r="AD326" s="29">
        <f>IF(履歴データ!$A$326="","",AC326/1000000)</f>
        <v>-9.2348279921309936E-2</v>
      </c>
      <c r="AE326" s="29">
        <f>IF(履歴データ!$A$326="",AE325,AE325+AC326/1000000)</f>
        <v>76.007001652188791</v>
      </c>
      <c r="AF326" s="12">
        <f>IF(OR(履歴データ!$A$326="",AE325=0),"",(AE326-AE325)/AE325)</f>
        <v>-1.2135225859839325E-3</v>
      </c>
      <c r="AG326" s="29">
        <f t="shared" si="17"/>
        <v>102.17217746631495</v>
      </c>
      <c r="AH326" s="12">
        <f>IF(OR(履歴データ!$A$326="",AG326=0),"",AE326/AG326-1)</f>
        <v>-0.2560890495140179</v>
      </c>
      <c r="AJ326" s="28">
        <f t="shared" ca="1" si="15"/>
        <v>-12.504906156021637</v>
      </c>
      <c r="AK326" s="28">
        <f t="shared" ca="1" si="16"/>
        <v>-54.657792256676785</v>
      </c>
    </row>
    <row r="327" spans="1:37">
      <c r="A327" s="10">
        <f>IF(履歴データ!$A$327="","",履歴データ!$A$327)</f>
        <v>45401</v>
      </c>
      <c r="B327" s="28">
        <f>IF(履歴データ!$A$327="","",(履歴データ!$D$327-(履歴データ!$B$327+履歴データ!$F$327)/2)*100)</f>
        <v>-22.499999999999964</v>
      </c>
      <c r="C327" s="28">
        <f>IF(履歴データ!$A$327="","",(履歴データ!$H$327-(履歴データ!$G$327+履歴データ!$J$327)/2)*100)</f>
        <v>-22.900000000000009</v>
      </c>
      <c r="D327" s="28">
        <f>IF(履歴データ!$A$327="","",(履歴データ!$D$327-履歴データ!$H$327)*100)</f>
        <v>378.3</v>
      </c>
      <c r="E327" s="28">
        <f>IF(履歴データ!$A$327="","",(履歴データ!$D$327-履歴データ!$C$327)*100)</f>
        <v>-4.0000000000000036</v>
      </c>
      <c r="F327" s="28">
        <f>IF(履歴データ!$A$327="","",(履歴データ!$R$327-履歴データ!$D$327)*100)</f>
        <v>-266.76</v>
      </c>
      <c r="G327" s="28">
        <f>IF(履歴データ!$A$327="","",(履歴データ!$S$327-履歴データ!$R$327)*100)</f>
        <v>-123.27400000000024</v>
      </c>
      <c r="H327" s="29">
        <f>IF(履歴データ!$A$327="","",履歴データ!$O$327)</f>
        <v>154.61000061035156</v>
      </c>
      <c r="I327" s="29">
        <f>IF(履歴データ!$A$327="","",履歴データ!$Q$327)</f>
        <v>107.90625</v>
      </c>
      <c r="J327" s="29">
        <f>IF(履歴データ!$A$327="","",履歴データ!$D$327)</f>
        <v>4.62</v>
      </c>
      <c r="K327" s="28">
        <f>IF(OR(履歴データ!$A$327="",履歴データ!$A$326=""),"",B327-B326)</f>
        <v>-0.49999999999990052</v>
      </c>
      <c r="L327" s="28">
        <f>IF(OR(履歴データ!$A$327="",履歴データ!$A$326=""),"",C327-C326)</f>
        <v>-1.4000000000000234</v>
      </c>
      <c r="M327" s="28">
        <f>IF(OR(履歴データ!$A$327="",履歴データ!$A$326=""),"",D327-D326)</f>
        <v>1.4000000000000341</v>
      </c>
      <c r="N327" s="28">
        <f>IF(OR(履歴データ!$A$327="",履歴データ!$A$326=""),"",E327-E326)</f>
        <v>0</v>
      </c>
      <c r="O327" s="28">
        <f>IF(OR(履歴データ!$A$327="",履歴データ!$A$326=""),"",F327-F326)</f>
        <v>1.7399999999999523</v>
      </c>
      <c r="P327" s="28">
        <f>IF(OR(履歴データ!$A$327="",履歴データ!$A$326=""),"",G327-G326)</f>
        <v>-3.598821411132846</v>
      </c>
      <c r="Q327" s="29">
        <f>IF(OR(履歴データ!$A$327="",履歴データ!$A$326=""),"",H327-H326)</f>
        <v>0</v>
      </c>
      <c r="R327" s="29">
        <f>IF(OR(履歴データ!$A$327="",履歴データ!$A$326=""),"",I327-I326)</f>
        <v>0.203125</v>
      </c>
      <c r="S327" s="28">
        <f>IF(OR(履歴データ!$A$327="",履歴データ!$A$326=""),"",(J327-J326)*100)</f>
        <v>-1.9999999999999574</v>
      </c>
      <c r="T327" s="11">
        <f>IF(OR(履歴データ!$A$327="",履歴データ!$A$326=""),"",-80000*K327)</f>
        <v>39999.99999999204</v>
      </c>
      <c r="U327" s="11">
        <f>IF(OR(履歴データ!$A$327="",履歴データ!$A$326=""),"",60000*L327)</f>
        <v>-84000.000000001412</v>
      </c>
      <c r="V327" s="11">
        <f>IF(OR(履歴データ!$A$327="",履歴データ!$A$326=""),"",-50000*M327)</f>
        <v>-70000.000000001703</v>
      </c>
      <c r="W327" s="11">
        <f>IF(OR(履歴データ!$A$327="",履歴データ!$A$326=""),"",-40000*N327)</f>
        <v>0</v>
      </c>
      <c r="X327" s="11">
        <f>IF(OR(履歴データ!$A$327="",履歴データ!$A$326=""),"",120*1000000*(-Q327/H326))</f>
        <v>0</v>
      </c>
      <c r="Y327" s="11">
        <f>IF(OR(履歴データ!$A$327="",履歴データ!$A$326=""),"",40000*(-S327)+(-506.3)*R327*1000)</f>
        <v>-22842.187500001717</v>
      </c>
      <c r="Z327" s="11">
        <f>IF(OR(履歴データ!$A$327="",履歴データ!$A$326=""),"",-40000*O327)</f>
        <v>-69599.999999998094</v>
      </c>
      <c r="AA327" s="11">
        <f>IF(OR(履歴データ!$A$327="",履歴データ!$A$326=""),"",-40000*P327)</f>
        <v>143952.85644531384</v>
      </c>
      <c r="AB327" s="11">
        <f>IF(履歴データ!$A$327="","",123.3)</f>
        <v>123.3</v>
      </c>
      <c r="AC327">
        <f>IF(履歴データ!$A$327="","",SUM(T327:AA327))</f>
        <v>-62489.331054697046</v>
      </c>
      <c r="AD327" s="29">
        <f>IF(履歴データ!$A$327="","",AC327/1000000)</f>
        <v>-6.2489331054697048E-2</v>
      </c>
      <c r="AE327" s="29">
        <f>IF(履歴データ!$A$327="",AE326,AE326+AC327/1000000)</f>
        <v>75.944512321134098</v>
      </c>
      <c r="AF327" s="12">
        <f>IF(OR(履歴データ!$A$327="",AE326=0),"",(AE327-AE326)/AE326)</f>
        <v>-8.2215229776654171E-4</v>
      </c>
      <c r="AG327" s="29">
        <f t="shared" si="17"/>
        <v>102.17217746631495</v>
      </c>
      <c r="AH327" s="12">
        <f>IF(OR(履歴データ!$A$327="",AG327=0),"",AE327/AG327-1)</f>
        <v>-0.25670065761129368</v>
      </c>
      <c r="AJ327" s="28">
        <f t="shared" ca="1" si="15"/>
        <v>-12.406404633639362</v>
      </c>
      <c r="AK327" s="28">
        <f t="shared" ca="1" si="16"/>
        <v>-54.609468382233651</v>
      </c>
    </row>
    <row r="328" spans="1:37">
      <c r="A328" s="10">
        <f>IF(履歴データ!$A$328="","",履歴データ!$A$328)</f>
        <v>45404</v>
      </c>
      <c r="B328" s="28">
        <f>IF(履歴データ!$A$328="","",(履歴データ!$D$328-(履歴データ!$B$328+履歴データ!$F$328)/2)*100)</f>
        <v>-22.499999999999964</v>
      </c>
      <c r="C328" s="28">
        <f>IF(履歴データ!$A$328="","",(履歴データ!$H$328-(履歴データ!$G$328+履歴データ!$J$328)/2)*100)</f>
        <v>-21.35</v>
      </c>
      <c r="D328" s="28">
        <f>IF(履歴データ!$A$328="","",(履歴データ!$D$328-履歴データ!$H$328)*100)</f>
        <v>373.50000000000006</v>
      </c>
      <c r="E328" s="28">
        <f>IF(履歴データ!$A$328="","",(履歴データ!$D$328-履歴データ!$C$328)*100)</f>
        <v>-4.0000000000000036</v>
      </c>
      <c r="F328" s="28">
        <f>IF(履歴データ!$A$328="","",(履歴データ!$R$328-履歴データ!$D$328)*100)</f>
        <v>-271.15999999999997</v>
      </c>
      <c r="G328" s="28">
        <f>IF(履歴データ!$A$328="","",(履歴データ!$S$328-履歴データ!$R$328)*100)</f>
        <v>-110.10400000000008</v>
      </c>
      <c r="H328" s="29">
        <f>IF(履歴データ!$A$328="","",履歴データ!$O$328)</f>
        <v>154.81300354003906</v>
      </c>
      <c r="I328" s="29">
        <f>IF(履歴データ!$A$328="","",履歴データ!$Q$328)</f>
        <v>107.859375</v>
      </c>
      <c r="J328" s="29">
        <f>IF(履歴データ!$A$328="","",履歴データ!$D$328)</f>
        <v>4.62</v>
      </c>
      <c r="K328" s="28">
        <f>IF(OR(履歴データ!$A$328="",履歴データ!$A$327=""),"",B328-B327)</f>
        <v>0</v>
      </c>
      <c r="L328" s="28">
        <f>IF(OR(履歴データ!$A$328="",履歴データ!$A$327=""),"",C328-C327)</f>
        <v>1.5500000000000078</v>
      </c>
      <c r="M328" s="28">
        <f>IF(OR(履歴データ!$A$328="",履歴データ!$A$327=""),"",D328-D327)</f>
        <v>-4.7999999999999545</v>
      </c>
      <c r="N328" s="28">
        <f>IF(OR(履歴データ!$A$328="",履歴データ!$A$327=""),"",E328-E327)</f>
        <v>0</v>
      </c>
      <c r="O328" s="28">
        <f>IF(OR(履歴データ!$A$328="",履歴データ!$A$327=""),"",F328-F327)</f>
        <v>-4.3999999999999773</v>
      </c>
      <c r="P328" s="28">
        <f>IF(OR(履歴データ!$A$328="",履歴データ!$A$327=""),"",G328-G327)</f>
        <v>13.170000000000158</v>
      </c>
      <c r="Q328" s="29">
        <f>IF(OR(履歴データ!$A$328="",履歴データ!$A$327=""),"",H328-H327)</f>
        <v>0.2030029296875</v>
      </c>
      <c r="R328" s="29">
        <f>IF(OR(履歴データ!$A$328="",履歴データ!$A$327=""),"",I328-I327)</f>
        <v>-4.6875E-2</v>
      </c>
      <c r="S328" s="28">
        <f>IF(OR(履歴データ!$A$328="",履歴データ!$A$327=""),"",(J328-J327)*100)</f>
        <v>0</v>
      </c>
      <c r="T328" s="11">
        <f>IF(OR(履歴データ!$A$328="",履歴データ!$A$327=""),"",-80000*K328)</f>
        <v>0</v>
      </c>
      <c r="U328" s="11">
        <f>IF(OR(履歴データ!$A$328="",履歴データ!$A$327=""),"",60000*L328)</f>
        <v>93000.000000000466</v>
      </c>
      <c r="V328" s="11">
        <f>IF(OR(履歴データ!$A$328="",履歴データ!$A$327=""),"",-50000*M328)</f>
        <v>239999.99999999773</v>
      </c>
      <c r="W328" s="11">
        <f>IF(OR(履歴データ!$A$328="",履歴データ!$A$327=""),"",-40000*N328)</f>
        <v>0</v>
      </c>
      <c r="X328" s="11">
        <f>IF(OR(履歴データ!$A$328="",履歴データ!$A$327=""),"",120*1000000*(-Q328/H327))</f>
        <v>-157559.99913545701</v>
      </c>
      <c r="Y328" s="11">
        <f>IF(OR(履歴データ!$A$328="",履歴データ!$A$327=""),"",40000*(-S328)+(-506.3)*R328*1000)</f>
        <v>23732.8125</v>
      </c>
      <c r="Z328" s="11">
        <f>IF(OR(履歴データ!$A$328="",履歴データ!$A$327=""),"",-40000*O328)</f>
        <v>175999.9999999991</v>
      </c>
      <c r="AA328" s="11">
        <f>IF(OR(履歴データ!$A$328="",履歴データ!$A$327=""),"",-40000*P328)</f>
        <v>-526800.00000000629</v>
      </c>
      <c r="AB328" s="11">
        <f>IF(履歴データ!$A$328="","",123.3)</f>
        <v>123.3</v>
      </c>
      <c r="AC328">
        <f>IF(履歴データ!$A$328="","",SUM(T328:AA328))</f>
        <v>-151627.186635466</v>
      </c>
      <c r="AD328" s="29">
        <f>IF(履歴データ!$A$328="","",AC328/1000000)</f>
        <v>-0.15162718663546601</v>
      </c>
      <c r="AE328" s="29">
        <f>IF(履歴データ!$A$328="",AE327,AE327+AC328/1000000)</f>
        <v>75.792885134498633</v>
      </c>
      <c r="AF328" s="12">
        <f>IF(OR(履歴データ!$A$328="",AE327=0),"",(AE328-AE327)/AE327)</f>
        <v>-1.9965522458595124E-3</v>
      </c>
      <c r="AG328" s="29">
        <f t="shared" si="17"/>
        <v>102.17217746631495</v>
      </c>
      <c r="AH328" s="12">
        <f>IF(OR(履歴データ!$A$328="",AG328=0),"",AE328/AG328-1)</f>
        <v>-0.25818469358268581</v>
      </c>
      <c r="AJ328" s="28">
        <f t="shared" ca="1" si="15"/>
        <v>-12.309921690673008</v>
      </c>
      <c r="AK328" s="28">
        <f t="shared" ca="1" si="16"/>
        <v>-54.55515767440636</v>
      </c>
    </row>
    <row r="329" spans="1:37">
      <c r="A329" s="10">
        <f>IF(履歴データ!$A$329="","",履歴データ!$A$329)</f>
        <v>45405</v>
      </c>
      <c r="B329" s="28">
        <f>IF(履歴データ!$A$329="","",(履歴データ!$D$329-(履歴データ!$B$329+履歴データ!$F$329)/2)*100)</f>
        <v>-18.499999999999961</v>
      </c>
      <c r="C329" s="28">
        <f>IF(履歴データ!$A$329="","",(履歴データ!$H$329-(履歴データ!$G$329+履歴データ!$J$329)/2)*100)</f>
        <v>-22.600000000000009</v>
      </c>
      <c r="D329" s="28">
        <f>IF(履歴データ!$A$329="","",(履歴データ!$D$329-履歴データ!$H$329)*100)</f>
        <v>372.40000000000003</v>
      </c>
      <c r="E329" s="28">
        <f>IF(履歴データ!$A$329="","",(履歴データ!$D$329-履歴データ!$C$329)*100)</f>
        <v>-1.9999999999999574</v>
      </c>
      <c r="F329" s="28">
        <f>IF(履歴データ!$A$329="","",(履歴データ!$R$329-履歴データ!$D$329)*100)</f>
        <v>-280.76000000000005</v>
      </c>
      <c r="G329" s="28">
        <f>IF(履歴データ!$A$329="","",(履歴データ!$S$329-履歴データ!$R$329)*100)</f>
        <v>-97.750000000000043</v>
      </c>
      <c r="H329" s="29">
        <f>IF(履歴データ!$A$329="","",履歴データ!$O$329)</f>
        <v>154.74400329589844</v>
      </c>
      <c r="I329" s="29">
        <f>IF(履歴データ!$A$329="","",履歴データ!$Q$329)</f>
        <v>108.078125</v>
      </c>
      <c r="J329" s="29">
        <f>IF(履歴データ!$A$329="","",履歴データ!$D$329)</f>
        <v>4.6100000000000003</v>
      </c>
      <c r="K329" s="28">
        <f>IF(OR(履歴データ!$A$329="",履歴データ!$A$328=""),"",B329-B328)</f>
        <v>4.0000000000000036</v>
      </c>
      <c r="L329" s="28">
        <f>IF(OR(履歴データ!$A$329="",履歴データ!$A$328=""),"",C329-C328)</f>
        <v>-1.2500000000000071</v>
      </c>
      <c r="M329" s="28">
        <f>IF(OR(履歴データ!$A$329="",履歴データ!$A$328=""),"",D329-D328)</f>
        <v>-1.1000000000000227</v>
      </c>
      <c r="N329" s="28">
        <f>IF(OR(履歴データ!$A$329="",履歴データ!$A$328=""),"",E329-E328)</f>
        <v>2.0000000000000462</v>
      </c>
      <c r="O329" s="28">
        <f>IF(OR(履歴データ!$A$329="",履歴データ!$A$328=""),"",F329-F328)</f>
        <v>-9.6000000000000796</v>
      </c>
      <c r="P329" s="28">
        <f>IF(OR(履歴データ!$A$329="",履歴データ!$A$328=""),"",G329-G328)</f>
        <v>12.354000000000042</v>
      </c>
      <c r="Q329" s="29">
        <f>IF(OR(履歴データ!$A$329="",履歴データ!$A$328=""),"",H329-H328)</f>
        <v>-6.9000244140625E-2</v>
      </c>
      <c r="R329" s="29">
        <f>IF(OR(履歴データ!$A$329="",履歴データ!$A$328=""),"",I329-I328)</f>
        <v>0.21875</v>
      </c>
      <c r="S329" s="28">
        <f>IF(OR(履歴データ!$A$329="",履歴データ!$A$328=""),"",(J329-J328)*100)</f>
        <v>-0.99999999999997868</v>
      </c>
      <c r="T329" s="11">
        <f>IF(OR(履歴データ!$A$329="",履歴データ!$A$328=""),"",-80000*K329)</f>
        <v>-320000.00000000029</v>
      </c>
      <c r="U329" s="11">
        <f>IF(OR(履歴データ!$A$329="",履歴データ!$A$328=""),"",60000*L329)</f>
        <v>-75000.000000000422</v>
      </c>
      <c r="V329" s="11">
        <f>IF(OR(履歴データ!$A$329="",履歴データ!$A$328=""),"",-50000*M329)</f>
        <v>55000.000000001135</v>
      </c>
      <c r="W329" s="11">
        <f>IF(OR(履歴データ!$A$329="",履歴データ!$A$328=""),"",-40000*N329)</f>
        <v>-80000.000000001848</v>
      </c>
      <c r="X329" s="11">
        <f>IF(OR(履歴データ!$A$329="",履歴データ!$A$328=""),"",120*1000000*(-Q329/H328))</f>
        <v>53484.068570076852</v>
      </c>
      <c r="Y329" s="11">
        <f>IF(OR(履歴データ!$A$329="",履歴データ!$A$328=""),"",40000*(-S329)+(-506.3)*R329*1000)</f>
        <v>-70753.125000000844</v>
      </c>
      <c r="Z329" s="11">
        <f>IF(OR(履歴データ!$A$329="",履歴データ!$A$328=""),"",-40000*O329)</f>
        <v>384000.0000000032</v>
      </c>
      <c r="AA329" s="11">
        <f>IF(OR(履歴データ!$A$329="",履歴データ!$A$328=""),"",-40000*P329)</f>
        <v>-494160.00000000169</v>
      </c>
      <c r="AB329" s="11">
        <f>IF(履歴データ!$A$329="","",123.3)</f>
        <v>123.3</v>
      </c>
      <c r="AC329">
        <f>IF(履歴データ!$A$329="","",SUM(T329:AA329))</f>
        <v>-547429.05642992386</v>
      </c>
      <c r="AD329" s="29">
        <f>IF(履歴データ!$A$329="","",AC329/1000000)</f>
        <v>-0.5474290564299239</v>
      </c>
      <c r="AE329" s="29">
        <f>IF(履歴データ!$A$329="",AE328,AE328+AC329/1000000)</f>
        <v>75.245456078068713</v>
      </c>
      <c r="AF329" s="12">
        <f>IF(OR(履歴データ!$A$329="",AE328=0),"",(AE329-AE328)/AE328)</f>
        <v>-7.2226971629128075E-3</v>
      </c>
      <c r="AG329" s="29">
        <f t="shared" si="17"/>
        <v>102.17217746631495</v>
      </c>
      <c r="AH329" s="12">
        <f>IF(OR(履歴データ!$A$329="",AG329=0),"",AE329/AG329-1)</f>
        <v>-0.26354260089175141</v>
      </c>
      <c r="AJ329" s="28">
        <f t="shared" ca="1" si="15"/>
        <v>-12.158169842954592</v>
      </c>
      <c r="AK329" s="28">
        <f t="shared" ca="1" si="16"/>
        <v>-54.532306347521597</v>
      </c>
    </row>
    <row r="330" spans="1:37">
      <c r="A330" s="10">
        <f>IF(履歴データ!$A$330="","",履歴データ!$A$330)</f>
        <v>45406</v>
      </c>
      <c r="B330" s="28">
        <f>IF(履歴データ!$A$330="","",(履歴データ!$D$330-(履歴データ!$B$330+履歴データ!$F$330)/2)*100)</f>
        <v>-18.499999999999961</v>
      </c>
      <c r="C330" s="28">
        <f>IF(履歴データ!$A$330="","",(履歴データ!$H$330-(履歴データ!$G$330+履歴データ!$J$330)/2)*100)</f>
        <v>-22.150000000000002</v>
      </c>
      <c r="D330" s="28">
        <f>IF(履歴データ!$A$330="","",(履歴データ!$D$330-履歴データ!$H$330)*100)</f>
        <v>375.90000000000003</v>
      </c>
      <c r="E330" s="28">
        <f>IF(履歴データ!$A$330="","",(履歴データ!$D$330-履歴データ!$C$330)*100)</f>
        <v>1.0000000000000675</v>
      </c>
      <c r="F330" s="28">
        <f>IF(履歴データ!$A$330="","",(履歴データ!$R$330-履歴データ!$D$330)*100)</f>
        <v>-279.43000000000006</v>
      </c>
      <c r="G330" s="28">
        <f>IF(履歴データ!$A$330="","",(履歴データ!$S$330-履歴データ!$R$330)*100)</f>
        <v>-106.23717858886732</v>
      </c>
      <c r="H330" s="29">
        <f>IF(履歴データ!$A$330="","",履歴データ!$O$330)</f>
        <v>155.25900268554688</v>
      </c>
      <c r="I330" s="29">
        <f>IF(履歴データ!$A$330="","",履歴データ!$Q$330)</f>
        <v>107.734375</v>
      </c>
      <c r="J330" s="29">
        <f>IF(履歴データ!$A$330="","",履歴データ!$D$330)</f>
        <v>4.6500000000000004</v>
      </c>
      <c r="K330" s="28">
        <f>IF(OR(履歴データ!$A$330="",履歴データ!$A$329=""),"",B330-B329)</f>
        <v>0</v>
      </c>
      <c r="L330" s="28">
        <f>IF(OR(履歴データ!$A$330="",履歴データ!$A$329=""),"",C330-C329)</f>
        <v>0.45000000000000639</v>
      </c>
      <c r="M330" s="28">
        <f>IF(OR(履歴データ!$A$330="",履歴データ!$A$329=""),"",D330-D329)</f>
        <v>3.5</v>
      </c>
      <c r="N330" s="28">
        <f>IF(OR(履歴データ!$A$330="",履歴データ!$A$329=""),"",E330-E329)</f>
        <v>3.0000000000000249</v>
      </c>
      <c r="O330" s="28">
        <f>IF(OR(履歴データ!$A$330="",履歴データ!$A$329=""),"",F330-F329)</f>
        <v>1.3299999999999841</v>
      </c>
      <c r="P330" s="28">
        <f>IF(OR(履歴データ!$A$330="",履歴データ!$A$329=""),"",G330-G329)</f>
        <v>-8.4871785888672804</v>
      </c>
      <c r="Q330" s="29">
        <f>IF(OR(履歴データ!$A$330="",履歴データ!$A$329=""),"",H330-H329)</f>
        <v>0.5149993896484375</v>
      </c>
      <c r="R330" s="29">
        <f>IF(OR(履歴データ!$A$330="",履歴データ!$A$329=""),"",I330-I329)</f>
        <v>-0.34375</v>
      </c>
      <c r="S330" s="28">
        <f>IF(OR(履歴データ!$A$330="",履歴データ!$A$329=""),"",(J330-J329)*100)</f>
        <v>4.0000000000000036</v>
      </c>
      <c r="T330" s="11">
        <f>IF(OR(履歴データ!$A$330="",履歴データ!$A$329=""),"",-80000*K330)</f>
        <v>0</v>
      </c>
      <c r="U330" s="11">
        <f>IF(OR(履歴データ!$A$330="",履歴データ!$A$329=""),"",60000*L330)</f>
        <v>27000.000000000382</v>
      </c>
      <c r="V330" s="11">
        <f>IF(OR(履歴データ!$A$330="",履歴データ!$A$329=""),"",-50000*M330)</f>
        <v>-175000</v>
      </c>
      <c r="W330" s="11">
        <f>IF(OR(履歴データ!$A$330="",履歴データ!$A$329=""),"",-40000*N330)</f>
        <v>-120000.00000000099</v>
      </c>
      <c r="X330" s="11">
        <f>IF(OR(履歴データ!$A$330="",履歴データ!$A$329=""),"",120*1000000*(-Q330/H329))</f>
        <v>-399368.79905866139</v>
      </c>
      <c r="Y330" s="11">
        <f>IF(OR(履歴データ!$A$330="",履歴データ!$A$329=""),"",40000*(-S330)+(-506.3)*R330*1000)</f>
        <v>14040.624999999854</v>
      </c>
      <c r="Z330" s="11">
        <f>IF(OR(履歴データ!$A$330="",履歴データ!$A$329=""),"",-40000*O330)</f>
        <v>-53199.99999999936</v>
      </c>
      <c r="AA330" s="11">
        <f>IF(OR(履歴データ!$A$330="",履歴データ!$A$329=""),"",-40000*P330)</f>
        <v>339487.14355469123</v>
      </c>
      <c r="AB330" s="11">
        <f>IF(履歴データ!$A$330="","",123.3)</f>
        <v>123.3</v>
      </c>
      <c r="AC330">
        <f>IF(履歴データ!$A$330="","",SUM(T330:AA330))</f>
        <v>-367041.03050397034</v>
      </c>
      <c r="AD330" s="29">
        <f>IF(履歴データ!$A$330="","",AC330/1000000)</f>
        <v>-0.36704103050397036</v>
      </c>
      <c r="AE330" s="29">
        <f>IF(履歴データ!$A$330="",AE329,AE329+AC330/1000000)</f>
        <v>74.878415047564744</v>
      </c>
      <c r="AF330" s="12">
        <f>IF(OR(履歴データ!$A$330="",AE329=0),"",(AE330-AE329)/AE329)</f>
        <v>-4.8779162176006601E-3</v>
      </c>
      <c r="AG330" s="29">
        <f t="shared" si="17"/>
        <v>102.17217746631495</v>
      </c>
      <c r="AH330" s="12">
        <f>IF(OR(履歴データ!$A$330="",AG330=0),"",AE330/AG330-1)</f>
        <v>-0.2671349783824335</v>
      </c>
      <c r="AJ330" s="28">
        <f t="shared" ca="1" si="15"/>
        <v>-12.008053779604221</v>
      </c>
      <c r="AK330" s="28">
        <f t="shared" ca="1" si="16"/>
        <v>-54.507819236268787</v>
      </c>
    </row>
    <row r="331" spans="1:37">
      <c r="A331" s="10">
        <f>IF(履歴データ!$A$331="","",履歴データ!$A$331)</f>
        <v>45407</v>
      </c>
      <c r="B331" s="28">
        <f>IF(履歴データ!$A$331="","",(履歴データ!$D$331-(履歴データ!$B$331+履歴データ!$F$331)/2)*100)</f>
        <v>-19.000000000000039</v>
      </c>
      <c r="C331" s="28">
        <f>IF(履歴データ!$A$331="","",(履歴データ!$H$331-(履歴データ!$G$331+履歴データ!$J$331)/2)*100)</f>
        <v>-21.650000000000002</v>
      </c>
      <c r="D331" s="28">
        <f>IF(履歴データ!$A$331="","",(履歴データ!$D$331-履歴データ!$H$331)*100)</f>
        <v>380.40000000000003</v>
      </c>
      <c r="E331" s="28">
        <f>IF(履歴データ!$A$331="","",(履歴データ!$D$331-履歴データ!$C$331)*100)</f>
        <v>0</v>
      </c>
      <c r="F331" s="28">
        <f>IF(履歴データ!$A$331="","",(履歴データ!$R$331-履歴データ!$D$331)*100)</f>
        <v>-273.75</v>
      </c>
      <c r="G331" s="28">
        <f>IF(履歴データ!$A$331="","",(履歴データ!$S$331-履歴データ!$R$331)*100)</f>
        <v>-115.68935717773434</v>
      </c>
      <c r="H331" s="29">
        <f>IF(履歴データ!$A$331="","",履歴データ!$O$331)</f>
        <v>155.59700012207031</v>
      </c>
      <c r="I331" s="29">
        <f>IF(履歴データ!$A$331="","",履歴データ!$Q$331)</f>
        <v>107.359375</v>
      </c>
      <c r="J331" s="29">
        <f>IF(履歴データ!$A$331="","",履歴データ!$D$331)</f>
        <v>4.7</v>
      </c>
      <c r="K331" s="28">
        <f>IF(OR(履歴データ!$A$331="",履歴データ!$A$330=""),"",B331-B330)</f>
        <v>-0.50000000000007816</v>
      </c>
      <c r="L331" s="28">
        <f>IF(OR(履歴データ!$A$331="",履歴データ!$A$330=""),"",C331-C330)</f>
        <v>0.5</v>
      </c>
      <c r="M331" s="28">
        <f>IF(OR(履歴データ!$A$331="",履歴データ!$A$330=""),"",D331-D330)</f>
        <v>4.5</v>
      </c>
      <c r="N331" s="28">
        <f>IF(OR(履歴データ!$A$331="",履歴データ!$A$330=""),"",E331-E330)</f>
        <v>-1.0000000000000675</v>
      </c>
      <c r="O331" s="28">
        <f>IF(OR(履歴データ!$A$331="",履歴データ!$A$330=""),"",F331-F330)</f>
        <v>5.6800000000000637</v>
      </c>
      <c r="P331" s="28">
        <f>IF(OR(履歴データ!$A$331="",履歴データ!$A$330=""),"",G331-G330)</f>
        <v>-9.4521785888670138</v>
      </c>
      <c r="Q331" s="29">
        <f>IF(OR(履歴データ!$A$331="",履歴データ!$A$330=""),"",H331-H330)</f>
        <v>0.3379974365234375</v>
      </c>
      <c r="R331" s="29">
        <f>IF(OR(履歴データ!$A$331="",履歴データ!$A$330=""),"",I331-I330)</f>
        <v>-0.375</v>
      </c>
      <c r="S331" s="28">
        <f>IF(OR(履歴データ!$A$331="",履歴データ!$A$330=""),"",(J331-J330)*100)</f>
        <v>4.9999999999999822</v>
      </c>
      <c r="T331" s="11">
        <f>IF(OR(履歴データ!$A$331="",履歴データ!$A$330=""),"",-80000*K331)</f>
        <v>40000.00000000625</v>
      </c>
      <c r="U331" s="11">
        <f>IF(OR(履歴データ!$A$331="",履歴データ!$A$330=""),"",60000*L331)</f>
        <v>30000</v>
      </c>
      <c r="V331" s="11">
        <f>IF(OR(履歴データ!$A$331="",履歴データ!$A$330=""),"",-50000*M331)</f>
        <v>-225000</v>
      </c>
      <c r="W331" s="11">
        <f>IF(OR(履歴データ!$A$331="",履歴データ!$A$330=""),"",-40000*N331)</f>
        <v>40000.000000002699</v>
      </c>
      <c r="X331" s="11">
        <f>IF(OR(履歴データ!$A$331="",履歴データ!$A$330=""),"",120*1000000*(-Q331/H330))</f>
        <v>-261238.90841267281</v>
      </c>
      <c r="Y331" s="11">
        <f>IF(OR(履歴データ!$A$331="",履歴データ!$A$330=""),"",40000*(-S331)+(-506.3)*R331*1000)</f>
        <v>-10137.499999999302</v>
      </c>
      <c r="Z331" s="11">
        <f>IF(OR(履歴データ!$A$331="",履歴データ!$A$330=""),"",-40000*O331)</f>
        <v>-227200.00000000256</v>
      </c>
      <c r="AA331" s="11">
        <f>IF(OR(履歴データ!$A$331="",履歴データ!$A$330=""),"",-40000*P331)</f>
        <v>378087.14355468057</v>
      </c>
      <c r="AB331" s="11">
        <f>IF(履歴データ!$A$331="","",123.3)</f>
        <v>123.3</v>
      </c>
      <c r="AC331">
        <f>IF(履歴データ!$A$331="","",SUM(T331:AA331))</f>
        <v>-235489.26485798514</v>
      </c>
      <c r="AD331" s="29">
        <f>IF(履歴データ!$A$331="","",AC331/1000000)</f>
        <v>-0.23548926485798513</v>
      </c>
      <c r="AE331" s="29">
        <f>IF(履歴データ!$A$331="",AE330,AE330+AC331/1000000)</f>
        <v>74.642925782706754</v>
      </c>
      <c r="AF331" s="12">
        <f>IF(OR(履歴データ!$A$331="",AE330=0),"",(AE331-AE330)/AE330)</f>
        <v>-3.1449552545737003E-3</v>
      </c>
      <c r="AG331" s="29">
        <f t="shared" si="17"/>
        <v>102.17217746631495</v>
      </c>
      <c r="AH331" s="12">
        <f>IF(OR(履歴データ!$A$331="",AG331=0),"",AE331/AG331-1)</f>
        <v>-0.26943980608306295</v>
      </c>
      <c r="AJ331" s="28">
        <f t="shared" ca="1" si="15"/>
        <v>-11.866936035137545</v>
      </c>
      <c r="AK331" s="28">
        <f t="shared" ca="1" si="16"/>
        <v>-54.47830206010056</v>
      </c>
    </row>
    <row r="332" spans="1:37">
      <c r="A332" s="10">
        <f>IF(履歴データ!$A$332="","",履歴データ!$A$332)</f>
        <v>45408</v>
      </c>
      <c r="B332" s="28">
        <f>IF(履歴データ!$A$332="","",(履歴データ!$D$332-(履歴データ!$B$332+履歴データ!$F$332)/2)*100)</f>
        <v>-20.000000000000018</v>
      </c>
      <c r="C332" s="28">
        <f>IF(履歴データ!$A$332="","",(履歴データ!$H$332-(履歴データ!$G$332+履歴データ!$J$332)/2)*100)</f>
        <v>-19.199999999999996</v>
      </c>
      <c r="D332" s="28">
        <f>IF(履歴データ!$A$332="","",(履歴データ!$D$332-履歴データ!$H$332)*100)</f>
        <v>374.5</v>
      </c>
      <c r="E332" s="28">
        <f>IF(履歴データ!$A$332="","",(履歴データ!$D$332-履歴データ!$C$332)*100)</f>
        <v>-0.99999999999997868</v>
      </c>
      <c r="F332" s="28">
        <f>IF(履歴データ!$A$332="","",(履歴データ!$R$332-履歴データ!$D$332)*100)</f>
        <v>-264.77</v>
      </c>
      <c r="G332" s="28">
        <f>IF(履歴データ!$A$332="","",(履歴データ!$S$332-履歴データ!$R$332)*100)</f>
        <v>-119.38917858886727</v>
      </c>
      <c r="H332" s="29">
        <f>IF(履歴データ!$A$332="","",履歴データ!$O$332)</f>
        <v>155.59700012207031</v>
      </c>
      <c r="I332" s="29">
        <f>IF(履歴データ!$A$332="","",履歴データ!$Q$332)</f>
        <v>107.578125</v>
      </c>
      <c r="J332" s="29">
        <f>IF(履歴データ!$A$332="","",履歴データ!$D$332)</f>
        <v>4.67</v>
      </c>
      <c r="K332" s="28">
        <f>IF(OR(履歴データ!$A$332="",履歴データ!$A$331=""),"",B332-B331)</f>
        <v>-0.99999999999997868</v>
      </c>
      <c r="L332" s="28">
        <f>IF(OR(履歴データ!$A$332="",履歴データ!$A$331=""),"",C332-C331)</f>
        <v>2.4500000000000064</v>
      </c>
      <c r="M332" s="28">
        <f>IF(OR(履歴データ!$A$332="",履歴データ!$A$331=""),"",D332-D331)</f>
        <v>-5.9000000000000341</v>
      </c>
      <c r="N332" s="28">
        <f>IF(OR(履歴データ!$A$332="",履歴データ!$A$331=""),"",E332-E331)</f>
        <v>-0.99999999999997868</v>
      </c>
      <c r="O332" s="28">
        <f>IF(OR(履歴データ!$A$332="",履歴データ!$A$331=""),"",F332-F331)</f>
        <v>8.9800000000000182</v>
      </c>
      <c r="P332" s="28">
        <f>IF(OR(履歴データ!$A$332="",履歴データ!$A$331=""),"",G332-G331)</f>
        <v>-3.6998214111329304</v>
      </c>
      <c r="Q332" s="29">
        <f>IF(OR(履歴データ!$A$332="",履歴データ!$A$331=""),"",H332-H331)</f>
        <v>0</v>
      </c>
      <c r="R332" s="29">
        <f>IF(OR(履歴データ!$A$332="",履歴データ!$A$331=""),"",I332-I331)</f>
        <v>0.21875</v>
      </c>
      <c r="S332" s="28">
        <f>IF(OR(履歴データ!$A$332="",履歴データ!$A$331=""),"",(J332-J331)*100)</f>
        <v>-3.0000000000000249</v>
      </c>
      <c r="T332" s="11">
        <f>IF(OR(履歴データ!$A$332="",履歴データ!$A$331=""),"",-80000*K332)</f>
        <v>79999.999999998297</v>
      </c>
      <c r="U332" s="11">
        <f>IF(OR(履歴データ!$A$332="",履歴データ!$A$331=""),"",60000*L332)</f>
        <v>147000.00000000038</v>
      </c>
      <c r="V332" s="11">
        <f>IF(OR(履歴データ!$A$332="",履歴データ!$A$331=""),"",-50000*M332)</f>
        <v>295000.00000000169</v>
      </c>
      <c r="W332" s="11">
        <f>IF(OR(履歴データ!$A$332="",履歴データ!$A$331=""),"",-40000*N332)</f>
        <v>39999.999999999149</v>
      </c>
      <c r="X332" s="11">
        <f>IF(OR(履歴データ!$A$332="",履歴データ!$A$331=""),"",120*1000000*(-Q332/H331))</f>
        <v>0</v>
      </c>
      <c r="Y332" s="11">
        <f>IF(OR(履歴データ!$A$332="",履歴データ!$A$331=""),"",40000*(-S332)+(-506.3)*R332*1000)</f>
        <v>9246.8750000009895</v>
      </c>
      <c r="Z332" s="11">
        <f>IF(OR(履歴データ!$A$332="",履歴データ!$A$331=""),"",-40000*O332)</f>
        <v>-359200.0000000007</v>
      </c>
      <c r="AA332" s="11">
        <f>IF(OR(履歴データ!$A$332="",履歴データ!$A$331=""),"",-40000*P332)</f>
        <v>147992.85644531721</v>
      </c>
      <c r="AB332" s="11">
        <f>IF(履歴データ!$A$332="","",123.3)</f>
        <v>123.3</v>
      </c>
      <c r="AC332">
        <f>IF(履歴データ!$A$332="","",SUM(T332:AA332))</f>
        <v>360039.73144531698</v>
      </c>
      <c r="AD332" s="29">
        <f>IF(履歴データ!$A$332="","",AC332/1000000)</f>
        <v>0.36003973144531698</v>
      </c>
      <c r="AE332" s="29">
        <f>IF(履歴データ!$A$332="",AE331,AE331+AC332/1000000)</f>
        <v>75.002965514152066</v>
      </c>
      <c r="AF332" s="12">
        <f>IF(OR(履歴データ!$A$332="",AE331=0),"",(AE332-AE331)/AE331)</f>
        <v>4.8234943589085004E-3</v>
      </c>
      <c r="AG332" s="29">
        <f t="shared" si="17"/>
        <v>102.17217746631495</v>
      </c>
      <c r="AH332" s="12">
        <f>IF(OR(履歴データ!$A$332="",AG332=0),"",AE332/AG332-1)</f>
        <v>-0.26591595310886151</v>
      </c>
      <c r="AJ332" s="28">
        <f t="shared" ca="1" si="15"/>
        <v>-11.743007805792811</v>
      </c>
      <c r="AK332" s="28">
        <f t="shared" ca="1" si="16"/>
        <v>-54.479214416429414</v>
      </c>
    </row>
    <row r="333" spans="1:37">
      <c r="A333" s="10">
        <f>IF(履歴データ!$A$333="","",履歴データ!$A$333)</f>
        <v>45411</v>
      </c>
      <c r="B333" s="28">
        <f>IF(履歴データ!$A$333="","",(履歴データ!$D$333-(履歴データ!$B$333+履歴データ!$F$333)/2)*100)</f>
        <v>-22.999999999999954</v>
      </c>
      <c r="C333" s="28">
        <f>IF(履歴データ!$A$333="","",(履歴データ!$H$333-(履歴データ!$G$333+履歴データ!$J$333)/2)*100)</f>
        <v>-19.199999999999996</v>
      </c>
      <c r="D333" s="28">
        <f>IF(履歴データ!$A$333="","",(履歴データ!$D$333-履歴データ!$H$333)*100)</f>
        <v>370.5</v>
      </c>
      <c r="E333" s="28">
        <f>IF(履歴データ!$A$333="","",(履歴データ!$D$333-履歴データ!$C$333)*100)</f>
        <v>-2.0000000000000462</v>
      </c>
      <c r="F333" s="28">
        <f>IF(履歴データ!$A$333="","",(履歴データ!$R$333-履歴データ!$D$333)*100)</f>
        <v>-266.08999999999997</v>
      </c>
      <c r="G333" s="28">
        <f>IF(履歴データ!$A$333="","",(履歴データ!$S$333-履歴データ!$R$333)*100)</f>
        <v>-114.06917858886727</v>
      </c>
      <c r="H333" s="29">
        <f>IF(履歴データ!$A$333="","",履歴データ!$O$333)</f>
        <v>156.31399536132813</v>
      </c>
      <c r="I333" s="29">
        <f>IF(履歴データ!$A$333="","",履歴データ!$Q$333)</f>
        <v>107.953125</v>
      </c>
      <c r="J333" s="29">
        <f>IF(履歴データ!$A$333="","",履歴データ!$D$333)</f>
        <v>4.63</v>
      </c>
      <c r="K333" s="28">
        <f>IF(OR(履歴データ!$A$333="",履歴データ!$A$332=""),"",B333-B332)</f>
        <v>-2.9999999999999361</v>
      </c>
      <c r="L333" s="28">
        <f>IF(OR(履歴データ!$A$333="",履歴データ!$A$332=""),"",C333-C332)</f>
        <v>0</v>
      </c>
      <c r="M333" s="28">
        <f>IF(OR(履歴データ!$A$333="",履歴データ!$A$332=""),"",D333-D332)</f>
        <v>-4</v>
      </c>
      <c r="N333" s="28">
        <f>IF(OR(履歴データ!$A$333="",履歴データ!$A$332=""),"",E333-E332)</f>
        <v>-1.0000000000000675</v>
      </c>
      <c r="O333" s="28">
        <f>IF(OR(履歴データ!$A$333="",履歴データ!$A$332=""),"",F333-F332)</f>
        <v>-1.3199999999999932</v>
      </c>
      <c r="P333" s="28">
        <f>IF(OR(履歴データ!$A$333="",履歴データ!$A$332=""),"",G333-G332)</f>
        <v>5.3199999999999932</v>
      </c>
      <c r="Q333" s="29">
        <f>IF(OR(履歴データ!$A$333="",履歴データ!$A$332=""),"",H333-H332)</f>
        <v>0.7169952392578125</v>
      </c>
      <c r="R333" s="29">
        <f>IF(OR(履歴データ!$A$333="",履歴データ!$A$332=""),"",I333-I332)</f>
        <v>0.375</v>
      </c>
      <c r="S333" s="28">
        <f>IF(OR(履歴データ!$A$333="",履歴データ!$A$332=""),"",(J333-J332)*100)</f>
        <v>-4.0000000000000036</v>
      </c>
      <c r="T333" s="11">
        <f>IF(OR(履歴データ!$A$333="",履歴データ!$A$332=""),"",-80000*K333)</f>
        <v>239999.99999999488</v>
      </c>
      <c r="U333" s="11">
        <f>IF(OR(履歴データ!$A$333="",履歴データ!$A$332=""),"",60000*L333)</f>
        <v>0</v>
      </c>
      <c r="V333" s="11">
        <f>IF(OR(履歴データ!$A$333="",履歴データ!$A$332=""),"",-50000*M333)</f>
        <v>200000</v>
      </c>
      <c r="W333" s="11">
        <f>IF(OR(履歴データ!$A$333="",履歴データ!$A$332=""),"",-40000*N333)</f>
        <v>40000.000000002699</v>
      </c>
      <c r="X333" s="11">
        <f>IF(OR(履歴データ!$A$333="",履歴データ!$A$332=""),"",120*1000000*(-Q333/H332))</f>
        <v>-552963.28748907172</v>
      </c>
      <c r="Y333" s="11">
        <f>IF(OR(履歴データ!$A$333="",履歴データ!$A$332=""),"",40000*(-S333)+(-506.3)*R333*1000)</f>
        <v>-29862.499999999854</v>
      </c>
      <c r="Z333" s="11">
        <f>IF(OR(履歴データ!$A$333="",履歴データ!$A$332=""),"",-40000*O333)</f>
        <v>52799.999999999724</v>
      </c>
      <c r="AA333" s="11">
        <f>IF(OR(履歴データ!$A$333="",履歴データ!$A$332=""),"",-40000*P333)</f>
        <v>-212799.99999999974</v>
      </c>
      <c r="AB333" s="11">
        <f>IF(履歴データ!$A$333="","",123.3)</f>
        <v>123.3</v>
      </c>
      <c r="AC333">
        <f>IF(履歴データ!$A$333="","",SUM(T333:AA333))</f>
        <v>-262825.78748907405</v>
      </c>
      <c r="AD333" s="29">
        <f>IF(履歴データ!$A$333="","",AC333/1000000)</f>
        <v>-0.26282578748907404</v>
      </c>
      <c r="AE333" s="29">
        <f>IF(履歴データ!$A$333="",AE332,AE332+AC333/1000000)</f>
        <v>74.740139726662989</v>
      </c>
      <c r="AF333" s="12">
        <f>IF(OR(履歴データ!$A$333="",AE332=0),"",(AE333-AE332)/AE332)</f>
        <v>-3.5042052762498579E-3</v>
      </c>
      <c r="AG333" s="29">
        <f t="shared" si="17"/>
        <v>102.17217746631495</v>
      </c>
      <c r="AH333" s="12">
        <f>IF(OR(履歴データ!$A$333="",AG333=0),"",AE333/AG333-1)</f>
        <v>-0.26848833429918828</v>
      </c>
      <c r="AJ333" s="28">
        <f t="shared" ca="1" si="15"/>
        <v>-11.655282919908228</v>
      </c>
      <c r="AK333" s="28">
        <f t="shared" ca="1" si="16"/>
        <v>-54.455828191202883</v>
      </c>
    </row>
    <row r="334" spans="1:37">
      <c r="A334" s="10">
        <f>IF(履歴データ!$A$334="","",履歴データ!$A$334)</f>
        <v>45412</v>
      </c>
      <c r="B334" s="28">
        <f>IF(履歴データ!$A$334="","",(履歴データ!$D$334-(履歴データ!$B$334+履歴データ!$F$334)/2)*100)</f>
        <v>-22.499999999999964</v>
      </c>
      <c r="C334" s="28">
        <f>IF(履歴データ!$A$334="","",(履歴データ!$H$334-(履歴データ!$G$334+履歴データ!$J$334)/2)*100)</f>
        <v>-21.4</v>
      </c>
      <c r="D334" s="28">
        <f>IF(履歴データ!$A$334="","",(履歴データ!$D$334-履歴データ!$H$334)*100)</f>
        <v>381.1</v>
      </c>
      <c r="E334" s="28">
        <f>IF(履歴データ!$A$334="","",(履歴データ!$D$334-履歴データ!$C$334)*100)</f>
        <v>-2.9999999999999361</v>
      </c>
      <c r="F334" s="28">
        <f>IF(履歴データ!$A$334="","",(履歴データ!$R$334-履歴データ!$D$334)*100)</f>
        <v>-272.52</v>
      </c>
      <c r="G334" s="28">
        <f>IF(履歴データ!$A$334="","",(履歴データ!$S$334-履歴データ!$R$334)*100)</f>
        <v>-119.77817858886721</v>
      </c>
      <c r="H334" s="29">
        <f>IF(履歴データ!$A$334="","",履歴データ!$O$334)</f>
        <v>157.72200012207031</v>
      </c>
      <c r="I334" s="29">
        <f>IF(履歴データ!$A$334="","",履歴データ!$Q$334)</f>
        <v>107.4375</v>
      </c>
      <c r="J334" s="29">
        <f>IF(履歴データ!$A$334="","",履歴データ!$D$334)</f>
        <v>4.6900000000000004</v>
      </c>
      <c r="K334" s="28">
        <f>IF(OR(履歴データ!$A$334="",履歴データ!$A$333=""),"",B334-B333)</f>
        <v>0.49999999999998934</v>
      </c>
      <c r="L334" s="28">
        <f>IF(OR(履歴データ!$A$334="",履歴データ!$A$333=""),"",C334-C333)</f>
        <v>-2.2000000000000028</v>
      </c>
      <c r="M334" s="28">
        <f>IF(OR(履歴データ!$A$334="",履歴データ!$A$333=""),"",D334-D333)</f>
        <v>10.600000000000023</v>
      </c>
      <c r="N334" s="28">
        <f>IF(OR(履歴データ!$A$334="",履歴データ!$A$333=""),"",E334-E333)</f>
        <v>-0.99999999999988987</v>
      </c>
      <c r="O334" s="28">
        <f>IF(OR(履歴データ!$A$334="",履歴データ!$A$333=""),"",F334-F333)</f>
        <v>-6.4300000000000068</v>
      </c>
      <c r="P334" s="28">
        <f>IF(OR(履歴データ!$A$334="",履歴データ!$A$333=""),"",G334-G333)</f>
        <v>-5.7089999999999321</v>
      </c>
      <c r="Q334" s="29">
        <f>IF(OR(履歴データ!$A$334="",履歴データ!$A$333=""),"",H334-H333)</f>
        <v>1.4080047607421875</v>
      </c>
      <c r="R334" s="29">
        <f>IF(OR(履歴データ!$A$334="",履歴データ!$A$333=""),"",I334-I333)</f>
        <v>-0.515625</v>
      </c>
      <c r="S334" s="28">
        <f>IF(OR(履歴データ!$A$334="",履歴データ!$A$333=""),"",(J334-J333)*100)</f>
        <v>6.0000000000000497</v>
      </c>
      <c r="T334" s="11">
        <f>IF(OR(履歴データ!$A$334="",履歴データ!$A$333=""),"",-80000*K334)</f>
        <v>-39999.999999999149</v>
      </c>
      <c r="U334" s="11">
        <f>IF(OR(履歴データ!$A$334="",履歴データ!$A$333=""),"",60000*L334)</f>
        <v>-132000.00000000017</v>
      </c>
      <c r="V334" s="11">
        <f>IF(OR(履歴データ!$A$334="",履歴データ!$A$333=""),"",-50000*M334)</f>
        <v>-530000.00000000116</v>
      </c>
      <c r="W334" s="11">
        <f>IF(OR(履歴データ!$A$334="",履歴データ!$A$333=""),"",-40000*N334)</f>
        <v>39999.999999995598</v>
      </c>
      <c r="X334" s="11">
        <f>IF(OR(履歴データ!$A$334="",履歴データ!$A$333=""),"",120*1000000*(-Q334/H333))</f>
        <v>-1080904.94967198</v>
      </c>
      <c r="Y334" s="11">
        <f>IF(OR(履歴データ!$A$334="",履歴データ!$A$333=""),"",40000*(-S334)+(-506.3)*R334*1000)</f>
        <v>21060.93749999805</v>
      </c>
      <c r="Z334" s="11">
        <f>IF(OR(履歴データ!$A$334="",履歴データ!$A$333=""),"",-40000*O334)</f>
        <v>257200.00000000026</v>
      </c>
      <c r="AA334" s="11">
        <f>IF(OR(履歴データ!$A$334="",履歴データ!$A$333=""),"",-40000*P334)</f>
        <v>228359.99999999729</v>
      </c>
      <c r="AB334" s="11">
        <f>IF(履歴データ!$A$334="","",123.3)</f>
        <v>123.3</v>
      </c>
      <c r="AC334">
        <f>IF(履歴データ!$A$334="","",SUM(T334:AA334))</f>
        <v>-1236284.0121719893</v>
      </c>
      <c r="AD334" s="29">
        <f>IF(履歴データ!$A$334="","",AC334/1000000)</f>
        <v>-1.2362840121719894</v>
      </c>
      <c r="AE334" s="29">
        <f>IF(履歴データ!$A$334="",AE333,AE333+AC334/1000000)</f>
        <v>73.503855714490996</v>
      </c>
      <c r="AF334" s="12">
        <f>IF(OR(履歴データ!$A$334="",AE333=0),"",(AE334-AE333)/AE333)</f>
        <v>-1.6541098487282566E-2</v>
      </c>
      <c r="AG334" s="29">
        <f t="shared" si="17"/>
        <v>102.17217746631495</v>
      </c>
      <c r="AH334" s="12">
        <f>IF(OR(履歴データ!$A$334="",AG334=0),"",AE334/AG334-1)</f>
        <v>-0.28058834080614148</v>
      </c>
      <c r="AJ334" s="28">
        <f t="shared" ca="1" si="15"/>
        <v>-11.561741254938866</v>
      </c>
      <c r="AK334" s="28">
        <f t="shared" ca="1" si="16"/>
        <v>-54.422385729188122</v>
      </c>
    </row>
    <row r="335" spans="1:37">
      <c r="A335" s="10">
        <f>IF(履歴データ!$A$335="","",履歴データ!$A$335)</f>
        <v>45413</v>
      </c>
      <c r="B335" s="28">
        <f>IF(履歴データ!$A$335="","",(履歴データ!$D$335-(履歴データ!$B$335+履歴データ!$F$335)/2)*100)</f>
        <v>-21.999999999999975</v>
      </c>
      <c r="C335" s="28">
        <f>IF(履歴データ!$A$335="","",(履歴データ!$H$335-(履歴データ!$G$335+履歴データ!$J$335)/2)*100)</f>
        <v>-21.699999999999996</v>
      </c>
      <c r="D335" s="28">
        <f>IF(履歴データ!$A$335="","",(履歴データ!$D$335-履歴データ!$H$335)*100)</f>
        <v>373.2</v>
      </c>
      <c r="E335" s="28">
        <f>IF(履歴データ!$A$335="","",(履歴データ!$D$335-履歴データ!$C$335)*100)</f>
        <v>-0.99999999999997868</v>
      </c>
      <c r="F335" s="28">
        <f>IF(履歴データ!$A$335="","",(履歴データ!$R$335-履歴データ!$D$335)*100)</f>
        <v>-260.92</v>
      </c>
      <c r="G335" s="28">
        <f>IF(履歴データ!$A$335="","",(履歴データ!$S$335-履歴データ!$R$335)*100)</f>
        <v>-120.81782141113302</v>
      </c>
      <c r="H335" s="29">
        <f>IF(履歴データ!$A$335="","",履歴データ!$O$335)</f>
        <v>155.70399475097656</v>
      </c>
      <c r="I335" s="29">
        <f>IF(履歴データ!$A$335="","",履歴データ!$Q$335)</f>
        <v>108.109375</v>
      </c>
      <c r="J335" s="29">
        <f>IF(履歴データ!$A$335="","",履歴データ!$D$335)</f>
        <v>4.63</v>
      </c>
      <c r="K335" s="28">
        <f>IF(OR(履歴データ!$A$335="",履歴データ!$A$334=""),"",B335-B334)</f>
        <v>0.49999999999998934</v>
      </c>
      <c r="L335" s="28">
        <f>IF(OR(履歴データ!$A$335="",履歴データ!$A$334=""),"",C335-C334)</f>
        <v>-0.29999999999999716</v>
      </c>
      <c r="M335" s="28">
        <f>IF(OR(履歴データ!$A$335="",履歴データ!$A$334=""),"",D335-D334)</f>
        <v>-7.9000000000000341</v>
      </c>
      <c r="N335" s="28">
        <f>IF(OR(履歴データ!$A$335="",履歴データ!$A$334=""),"",E335-E334)</f>
        <v>1.9999999999999574</v>
      </c>
      <c r="O335" s="28">
        <f>IF(OR(履歴データ!$A$335="",履歴データ!$A$334=""),"",F335-F334)</f>
        <v>11.599999999999966</v>
      </c>
      <c r="P335" s="28">
        <f>IF(OR(履歴データ!$A$335="",履歴データ!$A$334=""),"",G335-G334)</f>
        <v>-1.0396428222658187</v>
      </c>
      <c r="Q335" s="29">
        <f>IF(OR(履歴データ!$A$335="",履歴データ!$A$334=""),"",H335-H334)</f>
        <v>-2.01800537109375</v>
      </c>
      <c r="R335" s="29">
        <f>IF(OR(履歴データ!$A$335="",履歴データ!$A$334=""),"",I335-I334)</f>
        <v>0.671875</v>
      </c>
      <c r="S335" s="28">
        <f>IF(OR(履歴データ!$A$335="",履歴データ!$A$334=""),"",(J335-J334)*100)</f>
        <v>-6.0000000000000497</v>
      </c>
      <c r="T335" s="11">
        <f>IF(OR(履歴データ!$A$335="",履歴データ!$A$334=""),"",-80000*K335)</f>
        <v>-39999.999999999149</v>
      </c>
      <c r="U335" s="11">
        <f>IF(OR(履歴データ!$A$335="",履歴データ!$A$334=""),"",60000*L335)</f>
        <v>-17999.999999999829</v>
      </c>
      <c r="V335" s="11">
        <f>IF(OR(履歴データ!$A$335="",履歴データ!$A$334=""),"",-50000*M335)</f>
        <v>395000.00000000169</v>
      </c>
      <c r="W335" s="11">
        <f>IF(OR(履歴データ!$A$335="",履歴データ!$A$334=""),"",-40000*N335)</f>
        <v>-79999.999999998297</v>
      </c>
      <c r="X335" s="11">
        <f>IF(OR(履歴データ!$A$335="",履歴データ!$A$334=""),"",120*1000000*(-Q335/H334))</f>
        <v>1535363.7688073169</v>
      </c>
      <c r="Y335" s="11">
        <f>IF(OR(履歴データ!$A$335="",履歴データ!$A$334=""),"",40000*(-S335)+(-506.3)*R335*1000)</f>
        <v>-100170.31249999802</v>
      </c>
      <c r="Z335" s="11">
        <f>IF(OR(履歴データ!$A$335="",履歴データ!$A$334=""),"",-40000*O335)</f>
        <v>-463999.99999999866</v>
      </c>
      <c r="AA335" s="11">
        <f>IF(OR(履歴データ!$A$335="",履歴データ!$A$334=""),"",-40000*P335)</f>
        <v>41585.712890632749</v>
      </c>
      <c r="AB335" s="11">
        <f>IF(履歴データ!$A$335="","",123.3)</f>
        <v>123.3</v>
      </c>
      <c r="AC335">
        <f>IF(履歴データ!$A$335="","",SUM(T335:AA335))</f>
        <v>1269779.1691979573</v>
      </c>
      <c r="AD335" s="29">
        <f>IF(履歴データ!$A$335="","",AC335/1000000)</f>
        <v>1.2697791691979572</v>
      </c>
      <c r="AE335" s="29">
        <f>IF(履歴データ!$A$335="",AE334,AE334+AC335/1000000)</f>
        <v>74.773634883688956</v>
      </c>
      <c r="AF335" s="12">
        <f>IF(OR(履歴データ!$A$335="",AE334=0),"",(AE335-AE334)/AE334)</f>
        <v>1.7275000839821635E-2</v>
      </c>
      <c r="AG335" s="29">
        <f t="shared" si="17"/>
        <v>102.17217746631495</v>
      </c>
      <c r="AH335" s="12">
        <f>IF(OR(履歴データ!$A$335="",AG335=0),"",AE335/AG335-1)</f>
        <v>-0.26816050378939016</v>
      </c>
      <c r="AJ335" s="28">
        <f t="shared" ca="1" si="15"/>
        <v>-11.466917521003662</v>
      </c>
      <c r="AK335" s="28">
        <f t="shared" ca="1" si="16"/>
        <v>-54.36244755836141</v>
      </c>
    </row>
    <row r="336" spans="1:37">
      <c r="A336" s="10">
        <f>IF(履歴データ!$A$336="","",履歴データ!$A$336)</f>
        <v>45414</v>
      </c>
      <c r="B336" s="28">
        <f>IF(履歴データ!$A$336="","",(履歴データ!$D$336-(履歴データ!$B$336+履歴データ!$F$336)/2)*100)</f>
        <v>-21.499999999999986</v>
      </c>
      <c r="C336" s="28">
        <f>IF(履歴データ!$A$336="","",(履歴データ!$H$336-(履歴データ!$G$336+履歴データ!$J$336)/2)*100)</f>
        <v>-21.299999999999997</v>
      </c>
      <c r="D336" s="28">
        <f>IF(履歴データ!$A$336="","",(履歴データ!$D$336-履歴データ!$H$336)*100)</f>
        <v>367.2</v>
      </c>
      <c r="E336" s="28">
        <f>IF(履歴データ!$A$336="","",(履歴データ!$D$336-履歴データ!$C$336)*100)</f>
        <v>0.99999999999997868</v>
      </c>
      <c r="F336" s="28">
        <f>IF(履歴データ!$A$336="","",(履歴データ!$R$336-履歴データ!$D$336)*100)</f>
        <v>-256.3</v>
      </c>
      <c r="G336" s="28">
        <f>IF(履歴データ!$A$336="","",(履歴データ!$S$336-履歴データ!$R$336)*100)</f>
        <v>-120.2623571777345</v>
      </c>
      <c r="H336" s="29">
        <f>IF(履歴データ!$A$336="","",履歴データ!$O$336)</f>
        <v>153.04499816894531</v>
      </c>
      <c r="I336" s="29">
        <f>IF(履歴データ!$A$336="","",履歴データ!$Q$336)</f>
        <v>108.359375</v>
      </c>
      <c r="J336" s="29">
        <f>IF(履歴データ!$A$336="","",履歴データ!$D$336)</f>
        <v>4.58</v>
      </c>
      <c r="K336" s="28">
        <f>IF(OR(履歴データ!$A$336="",履歴データ!$A$335=""),"",B336-B335)</f>
        <v>0.49999999999998934</v>
      </c>
      <c r="L336" s="28">
        <f>IF(OR(履歴データ!$A$336="",履歴データ!$A$335=""),"",C336-C335)</f>
        <v>0.39999999999999858</v>
      </c>
      <c r="M336" s="28">
        <f>IF(OR(履歴データ!$A$336="",履歴データ!$A$335=""),"",D336-D335)</f>
        <v>-6</v>
      </c>
      <c r="N336" s="28">
        <f>IF(OR(履歴データ!$A$336="",履歴データ!$A$335=""),"",E336-E335)</f>
        <v>1.9999999999999574</v>
      </c>
      <c r="O336" s="28">
        <f>IF(OR(履歴データ!$A$336="",履歴データ!$A$335=""),"",F336-F335)</f>
        <v>4.6200000000000045</v>
      </c>
      <c r="P336" s="28">
        <f>IF(OR(履歴データ!$A$336="",履歴データ!$A$335=""),"",G336-G335)</f>
        <v>0.55546423339852424</v>
      </c>
      <c r="Q336" s="29">
        <f>IF(OR(履歴データ!$A$336="",履歴データ!$A$335=""),"",H336-H335)</f>
        <v>-2.65899658203125</v>
      </c>
      <c r="R336" s="29">
        <f>IF(OR(履歴データ!$A$336="",履歴データ!$A$335=""),"",I336-I335)</f>
        <v>0.25</v>
      </c>
      <c r="S336" s="28">
        <f>IF(OR(履歴データ!$A$336="",履歴データ!$A$335=""),"",(J336-J335)*100)</f>
        <v>-4.9999999999999822</v>
      </c>
      <c r="T336" s="11">
        <f>IF(OR(履歴データ!$A$336="",履歴データ!$A$335=""),"",-80000*K336)</f>
        <v>-39999.999999999149</v>
      </c>
      <c r="U336" s="11">
        <f>IF(OR(履歴データ!$A$336="",履歴データ!$A$335=""),"",60000*L336)</f>
        <v>23999.999999999916</v>
      </c>
      <c r="V336" s="11">
        <f>IF(OR(履歴データ!$A$336="",履歴データ!$A$335=""),"",-50000*M336)</f>
        <v>300000</v>
      </c>
      <c r="W336" s="11">
        <f>IF(OR(履歴データ!$A$336="",履歴データ!$A$335=""),"",-40000*N336)</f>
        <v>-79999.999999998297</v>
      </c>
      <c r="X336" s="11">
        <f>IF(OR(履歴データ!$A$336="",履歴データ!$A$335=""),"",120*1000000*(-Q336/H335))</f>
        <v>2049270.4143786828</v>
      </c>
      <c r="Y336" s="11">
        <f>IF(OR(履歴データ!$A$336="",履歴データ!$A$335=""),"",40000*(-S336)+(-506.3)*R336*1000)</f>
        <v>73424.999999999302</v>
      </c>
      <c r="Z336" s="11">
        <f>IF(OR(履歴データ!$A$336="",履歴データ!$A$335=""),"",-40000*O336)</f>
        <v>-184800.00000000017</v>
      </c>
      <c r="AA336" s="11">
        <f>IF(OR(履歴データ!$A$336="",履歴データ!$A$335=""),"",-40000*P336)</f>
        <v>-22218.569335940971</v>
      </c>
      <c r="AB336" s="11">
        <f>IF(履歴データ!$A$336="","",123.3)</f>
        <v>123.3</v>
      </c>
      <c r="AC336">
        <f>IF(履歴データ!$A$336="","",SUM(T336:AA336))</f>
        <v>2119676.8450427442</v>
      </c>
      <c r="AD336" s="29">
        <f>IF(履歴データ!$A$336="","",AC336/1000000)</f>
        <v>2.1196768450427443</v>
      </c>
      <c r="AE336" s="29">
        <f>IF(履歴データ!$A$336="",AE335,AE335+AC336/1000000)</f>
        <v>76.893311728731703</v>
      </c>
      <c r="AF336" s="12">
        <f>IF(OR(履歴データ!$A$336="",AE335=0),"",(AE336-AE335)/AE335)</f>
        <v>2.8347917662955972E-2</v>
      </c>
      <c r="AG336" s="29">
        <f t="shared" si="17"/>
        <v>102.17217746631495</v>
      </c>
      <c r="AH336" s="12">
        <f>IF(OR(履歴データ!$A$336="",AG336=0),"",AE336/AG336-1)</f>
        <v>-0.24741437800831256</v>
      </c>
      <c r="AJ336" s="28">
        <f t="shared" ca="1" si="15"/>
        <v>-11.364273607403863</v>
      </c>
      <c r="AK336" s="28">
        <f t="shared" ca="1" si="16"/>
        <v>-54.318266075135824</v>
      </c>
    </row>
    <row r="337" spans="1:37">
      <c r="A337" s="10">
        <f>IF(履歴データ!$A$337="","",履歴データ!$A$337)</f>
        <v>45415</v>
      </c>
      <c r="B337" s="28">
        <f>IF(履歴データ!$A$337="","",(履歴データ!$D$337-(履歴データ!$B$337+履歴データ!$F$337)/2)*100)</f>
        <v>-23.499999999999943</v>
      </c>
      <c r="C337" s="28">
        <f>IF(履歴データ!$A$337="","",(履歴データ!$H$337-(履歴データ!$G$337+履歴データ!$J$337)/2)*100)</f>
        <v>-21.299999999999997</v>
      </c>
      <c r="D337" s="28">
        <f>IF(履歴データ!$A$337="","",(履歴データ!$D$337-履歴データ!$H$337)*100)</f>
        <v>359.2</v>
      </c>
      <c r="E337" s="28">
        <f>IF(履歴データ!$A$337="","",(履歴データ!$D$337-履歴データ!$C$337)*100)</f>
        <v>1.9999999999999574</v>
      </c>
      <c r="F337" s="28">
        <f>IF(履歴データ!$A$337="","",(履歴データ!$R$337-履歴データ!$D$337)*100)</f>
        <v>-255.47</v>
      </c>
      <c r="G337" s="28">
        <f>IF(履歴データ!$A$337="","",(履歴データ!$S$337-履歴データ!$R$337)*100)</f>
        <v>-113.09235717773451</v>
      </c>
      <c r="H337" s="29">
        <f>IF(履歴データ!$A$337="","",履歴データ!$O$337)</f>
        <v>153.04499816894531</v>
      </c>
      <c r="I337" s="29">
        <f>IF(履歴データ!$A$337="","",履歴データ!$Q$337)</f>
        <v>108.859375</v>
      </c>
      <c r="J337" s="29">
        <f>IF(履歴データ!$A$337="","",履歴データ!$D$337)</f>
        <v>4.5</v>
      </c>
      <c r="K337" s="28">
        <f>IF(OR(履歴データ!$A$337="",履歴データ!$A$336=""),"",B337-B336)</f>
        <v>-1.9999999999999574</v>
      </c>
      <c r="L337" s="28">
        <f>IF(OR(履歴データ!$A$337="",履歴データ!$A$336=""),"",C337-C336)</f>
        <v>0</v>
      </c>
      <c r="M337" s="28">
        <f>IF(OR(履歴データ!$A$337="",履歴データ!$A$336=""),"",D337-D336)</f>
        <v>-8</v>
      </c>
      <c r="N337" s="28">
        <f>IF(OR(履歴データ!$A$337="",履歴データ!$A$336=""),"",E337-E336)</f>
        <v>0.99999999999997868</v>
      </c>
      <c r="O337" s="28">
        <f>IF(OR(履歴データ!$A$337="",履歴データ!$A$336=""),"",F337-F336)</f>
        <v>0.83000000000001251</v>
      </c>
      <c r="P337" s="28">
        <f>IF(OR(履歴データ!$A$337="",履歴データ!$A$336=""),"",G337-G336)</f>
        <v>7.1699999999999875</v>
      </c>
      <c r="Q337" s="29">
        <f>IF(OR(履歴データ!$A$337="",履歴データ!$A$336=""),"",H337-H336)</f>
        <v>0</v>
      </c>
      <c r="R337" s="29">
        <f>IF(OR(履歴データ!$A$337="",履歴データ!$A$336=""),"",I337-I336)</f>
        <v>0.5</v>
      </c>
      <c r="S337" s="28">
        <f>IF(OR(履歴データ!$A$337="",履歴データ!$A$336=""),"",(J337-J336)*100)</f>
        <v>-8.0000000000000071</v>
      </c>
      <c r="T337" s="11">
        <f>IF(OR(履歴データ!$A$337="",履歴データ!$A$336=""),"",-80000*K337)</f>
        <v>159999.99999999659</v>
      </c>
      <c r="U337" s="11">
        <f>IF(OR(履歴データ!$A$337="",履歴データ!$A$336=""),"",60000*L337)</f>
        <v>0</v>
      </c>
      <c r="V337" s="11">
        <f>IF(OR(履歴データ!$A$337="",履歴データ!$A$336=""),"",-50000*M337)</f>
        <v>400000</v>
      </c>
      <c r="W337" s="11">
        <f>IF(OR(履歴データ!$A$337="",履歴データ!$A$336=""),"",-40000*N337)</f>
        <v>-39999.999999999149</v>
      </c>
      <c r="X337" s="11">
        <f>IF(OR(履歴データ!$A$337="",履歴データ!$A$336=""),"",120*1000000*(-Q337/H336))</f>
        <v>0</v>
      </c>
      <c r="Y337" s="11">
        <f>IF(OR(履歴データ!$A$337="",履歴データ!$A$336=""),"",40000*(-S337)+(-506.3)*R337*1000)</f>
        <v>66850.000000000291</v>
      </c>
      <c r="Z337" s="11">
        <f>IF(OR(履歴データ!$A$337="",履歴データ!$A$336=""),"",-40000*O337)</f>
        <v>-33200.000000000502</v>
      </c>
      <c r="AA337" s="11">
        <f>IF(OR(履歴データ!$A$337="",履歴データ!$A$336=""),"",-40000*P337)</f>
        <v>-286799.99999999948</v>
      </c>
      <c r="AB337" s="11">
        <f>IF(履歴データ!$A$337="","",123.3)</f>
        <v>123.3</v>
      </c>
      <c r="AC337">
        <f>IF(履歴データ!$A$337="","",SUM(T337:AA337))</f>
        <v>266849.99999999785</v>
      </c>
      <c r="AD337" s="29">
        <f>IF(履歴データ!$A$337="","",AC337/1000000)</f>
        <v>0.26684999999999787</v>
      </c>
      <c r="AE337" s="29">
        <f>IF(履歴データ!$A$337="",AE336,AE336+AC337/1000000)</f>
        <v>77.160161728731694</v>
      </c>
      <c r="AF337" s="12">
        <f>IF(OR(履歴データ!$A$337="",AE336=0),"",(AE337-AE336)/AE336)</f>
        <v>3.4703928599329743E-3</v>
      </c>
      <c r="AG337" s="29">
        <f t="shared" si="17"/>
        <v>102.17217746631495</v>
      </c>
      <c r="AH337" s="12">
        <f>IF(OR(履歴データ!$A$337="",AG337=0),"",AE337/AG337-1)</f>
        <v>-0.24480261023926442</v>
      </c>
      <c r="AJ337" s="28">
        <f t="shared" ca="1" si="15"/>
        <v>-11.286629192010068</v>
      </c>
      <c r="AK337" s="28">
        <f t="shared" ca="1" si="16"/>
        <v>-54.260989855608983</v>
      </c>
    </row>
    <row r="338" spans="1:37">
      <c r="A338" s="10">
        <f>IF(履歴データ!$A$338="","",履歴データ!$A$338)</f>
        <v>45418</v>
      </c>
      <c r="B338" s="28">
        <f>IF(履歴データ!$A$338="","",(履歴データ!$D$338-(履歴データ!$B$338+履歴データ!$F$338)/2)*100)</f>
        <v>-24.000000000000021</v>
      </c>
      <c r="C338" s="28">
        <f>IF(履歴データ!$A$338="","",(履歴データ!$H$338-(履歴データ!$G$338+履歴データ!$J$338)/2)*100)</f>
        <v>-21.299999999999997</v>
      </c>
      <c r="D338" s="28">
        <f>IF(履歴データ!$A$338="","",(履歴データ!$D$338-履歴データ!$H$338)*100)</f>
        <v>358.20000000000005</v>
      </c>
      <c r="E338" s="28">
        <f>IF(履歴データ!$A$338="","",(履歴データ!$D$338-履歴データ!$C$338)*100)</f>
        <v>0.99999999999997868</v>
      </c>
      <c r="F338" s="28">
        <f>IF(履歴データ!$A$338="","",(履歴データ!$R$338-履歴データ!$D$338)*100)</f>
        <v>-261.81</v>
      </c>
      <c r="G338" s="28">
        <f>IF(履歴データ!$A$338="","",(履歴データ!$S$338-履歴データ!$R$338)*100)</f>
        <v>-105.7523571777345</v>
      </c>
      <c r="H338" s="29">
        <f>IF(履歴データ!$A$338="","",履歴データ!$O$338)</f>
        <v>154.23699951171875</v>
      </c>
      <c r="I338" s="29">
        <f>IF(履歴データ!$A$338="","",履歴データ!$Q$338)</f>
        <v>108.890625</v>
      </c>
      <c r="J338" s="29">
        <f>IF(履歴データ!$A$338="","",履歴データ!$D$338)</f>
        <v>4.49</v>
      </c>
      <c r="K338" s="28">
        <f>IF(OR(履歴データ!$A$338="",履歴データ!$A$337=""),"",B338-B337)</f>
        <v>-0.50000000000007816</v>
      </c>
      <c r="L338" s="28">
        <f>IF(OR(履歴データ!$A$338="",履歴データ!$A$337=""),"",C338-C337)</f>
        <v>0</v>
      </c>
      <c r="M338" s="28">
        <f>IF(OR(履歴データ!$A$338="",履歴データ!$A$337=""),"",D338-D337)</f>
        <v>-0.99999999999994316</v>
      </c>
      <c r="N338" s="28">
        <f>IF(OR(履歴データ!$A$338="",履歴データ!$A$337=""),"",E338-E337)</f>
        <v>-0.99999999999997868</v>
      </c>
      <c r="O338" s="28">
        <f>IF(OR(履歴データ!$A$338="",履歴データ!$A$337=""),"",F338-F337)</f>
        <v>-6.3400000000000034</v>
      </c>
      <c r="P338" s="28">
        <f>IF(OR(履歴データ!$A$338="",履歴データ!$A$337=""),"",G338-G337)</f>
        <v>7.3400000000000176</v>
      </c>
      <c r="Q338" s="29">
        <f>IF(OR(履歴データ!$A$338="",履歴データ!$A$337=""),"",H338-H337)</f>
        <v>1.1920013427734375</v>
      </c>
      <c r="R338" s="29">
        <f>IF(OR(履歴データ!$A$338="",履歴データ!$A$337=""),"",I338-I337)</f>
        <v>3.125E-2</v>
      </c>
      <c r="S338" s="28">
        <f>IF(OR(履歴データ!$A$338="",履歴データ!$A$337=""),"",(J338-J337)*100)</f>
        <v>-0.99999999999997868</v>
      </c>
      <c r="T338" s="11">
        <f>IF(OR(履歴データ!$A$338="",履歴データ!$A$337=""),"",-80000*K338)</f>
        <v>40000.00000000625</v>
      </c>
      <c r="U338" s="11">
        <f>IF(OR(履歴データ!$A$338="",履歴データ!$A$337=""),"",60000*L338)</f>
        <v>0</v>
      </c>
      <c r="V338" s="11">
        <f>IF(OR(履歴データ!$A$338="",履歴データ!$A$337=""),"",-50000*M338)</f>
        <v>49999.999999997155</v>
      </c>
      <c r="W338" s="11">
        <f>IF(OR(履歴データ!$A$338="",履歴データ!$A$337=""),"",-40000*N338)</f>
        <v>39999.999999999149</v>
      </c>
      <c r="X338" s="11">
        <f>IF(OR(履歴データ!$A$338="",履歴データ!$A$337=""),"",120*1000000*(-Q338/H337))</f>
        <v>-934628.13449748582</v>
      </c>
      <c r="Y338" s="11">
        <f>IF(OR(履歴データ!$A$338="",履歴データ!$A$337=""),"",40000*(-S338)+(-506.3)*R338*1000)</f>
        <v>24178.124999999149</v>
      </c>
      <c r="Z338" s="11">
        <f>IF(OR(履歴データ!$A$338="",履歴データ!$A$337=""),"",-40000*O338)</f>
        <v>253600.00000000015</v>
      </c>
      <c r="AA338" s="11">
        <f>IF(OR(履歴データ!$A$338="",履歴データ!$A$337=""),"",-40000*P338)</f>
        <v>-293600.0000000007</v>
      </c>
      <c r="AB338" s="11">
        <f>IF(履歴データ!$A$338="","",123.3)</f>
        <v>123.3</v>
      </c>
      <c r="AC338">
        <f>IF(履歴データ!$A$338="","",SUM(T338:AA338))</f>
        <v>-820450.00949748466</v>
      </c>
      <c r="AD338" s="29">
        <f>IF(履歴データ!$A$338="","",AC338/1000000)</f>
        <v>-0.8204500094974847</v>
      </c>
      <c r="AE338" s="29">
        <f>IF(履歴データ!$A$338="",AE337,AE337+AC338/1000000)</f>
        <v>76.339711719234202</v>
      </c>
      <c r="AF338" s="12">
        <f>IF(OR(履歴データ!$A$338="",AE337=0),"",(AE338-AE337)/AE337)</f>
        <v>-1.0633077887808333E-2</v>
      </c>
      <c r="AG338" s="29">
        <f t="shared" si="17"/>
        <v>102.17217746631495</v>
      </c>
      <c r="AH338" s="12">
        <f>IF(OR(履歴データ!$A$338="",AG338=0),"",AE338/AG338-1)</f>
        <v>-0.25283268290525984</v>
      </c>
      <c r="AJ338" s="28">
        <f t="shared" ca="1" si="15"/>
        <v>-11.217326385137955</v>
      </c>
      <c r="AK338" s="28">
        <f t="shared" ca="1" si="16"/>
        <v>-54.191403773592214</v>
      </c>
    </row>
    <row r="339" spans="1:37">
      <c r="A339" s="10">
        <f>IF(履歴データ!$A$339="","",履歴データ!$A$339)</f>
        <v>45419</v>
      </c>
      <c r="B339" s="28">
        <f>IF(履歴データ!$A$339="","",(履歴データ!$D$339-(履歴データ!$B$339+履歴データ!$F$339)/2)*100)</f>
        <v>-24.500000000000011</v>
      </c>
      <c r="C339" s="28">
        <f>IF(履歴データ!$A$339="","",(履歴データ!$H$339-(履歴データ!$G$339+履歴データ!$J$339)/2)*100)</f>
        <v>-23.249999999999993</v>
      </c>
      <c r="D339" s="28">
        <f>IF(履歴データ!$A$339="","",(履歴データ!$D$339-履歴データ!$H$339)*100)</f>
        <v>358.9</v>
      </c>
      <c r="E339" s="28">
        <f>IF(履歴データ!$A$339="","",(履歴データ!$D$339-履歴データ!$C$339)*100)</f>
        <v>-1.0000000000000675</v>
      </c>
      <c r="F339" s="28">
        <f>IF(履歴データ!$A$339="","",(履歴データ!$R$339-履歴データ!$D$339)*100)</f>
        <v>-259.80999999999995</v>
      </c>
      <c r="G339" s="28">
        <f>IF(履歴データ!$A$339="","",(履歴データ!$S$339-履歴データ!$R$339)*100)</f>
        <v>-106.62935717773433</v>
      </c>
      <c r="H339" s="29">
        <f>IF(履歴データ!$A$339="","",履歴データ!$O$339)</f>
        <v>154.74800109863281</v>
      </c>
      <c r="I339" s="29">
        <f>IF(履歴データ!$A$339="","",履歴データ!$Q$339)</f>
        <v>109.015625</v>
      </c>
      <c r="J339" s="29">
        <f>IF(履歴データ!$A$339="","",履歴データ!$D$339)</f>
        <v>4.47</v>
      </c>
      <c r="K339" s="28">
        <f>IF(OR(履歴データ!$A$339="",履歴データ!$A$338=""),"",B339-B338)</f>
        <v>-0.49999999999998934</v>
      </c>
      <c r="L339" s="28">
        <f>IF(OR(履歴データ!$A$339="",履歴データ!$A$338=""),"",C339-C338)</f>
        <v>-1.9499999999999957</v>
      </c>
      <c r="M339" s="28">
        <f>IF(OR(履歴データ!$A$339="",履歴データ!$A$338=""),"",D339-D338)</f>
        <v>0.69999999999993179</v>
      </c>
      <c r="N339" s="28">
        <f>IF(OR(履歴データ!$A$339="",履歴データ!$A$338=""),"",E339-E338)</f>
        <v>-2.0000000000000462</v>
      </c>
      <c r="O339" s="28">
        <f>IF(OR(履歴データ!$A$339="",履歴データ!$A$338=""),"",F339-F338)</f>
        <v>2.0000000000000568</v>
      </c>
      <c r="P339" s="28">
        <f>IF(OR(履歴データ!$A$339="",履歴データ!$A$338=""),"",G339-G338)</f>
        <v>-0.87699999999983902</v>
      </c>
      <c r="Q339" s="29">
        <f>IF(OR(履歴データ!$A$339="",履歴データ!$A$338=""),"",H339-H338)</f>
        <v>0.5110015869140625</v>
      </c>
      <c r="R339" s="29">
        <f>IF(OR(履歴データ!$A$339="",履歴データ!$A$338=""),"",I339-I338)</f>
        <v>0.125</v>
      </c>
      <c r="S339" s="28">
        <f>IF(OR(履歴データ!$A$339="",履歴データ!$A$338=""),"",(J339-J338)*100)</f>
        <v>-2.0000000000000462</v>
      </c>
      <c r="T339" s="11">
        <f>IF(OR(履歴データ!$A$339="",履歴データ!$A$338=""),"",-80000*K339)</f>
        <v>39999.999999999149</v>
      </c>
      <c r="U339" s="11">
        <f>IF(OR(履歴データ!$A$339="",履歴データ!$A$338=""),"",60000*L339)</f>
        <v>-116999.99999999974</v>
      </c>
      <c r="V339" s="11">
        <f>IF(OR(履歴データ!$A$339="",履歴データ!$A$338=""),"",-50000*M339)</f>
        <v>-34999.999999996588</v>
      </c>
      <c r="W339" s="11">
        <f>IF(OR(履歴データ!$A$339="",履歴データ!$A$338=""),"",-40000*N339)</f>
        <v>80000.000000001848</v>
      </c>
      <c r="X339" s="11">
        <f>IF(OR(履歴データ!$A$339="",履歴データ!$A$338=""),"",120*1000000*(-Q339/H338))</f>
        <v>-397571.20939731755</v>
      </c>
      <c r="Y339" s="11">
        <f>IF(OR(履歴データ!$A$339="",履歴データ!$A$338=""),"",40000*(-S339)+(-506.3)*R339*1000)</f>
        <v>16712.500000001848</v>
      </c>
      <c r="Z339" s="11">
        <f>IF(OR(履歴データ!$A$339="",履歴データ!$A$338=""),"",-40000*O339)</f>
        <v>-80000.00000000227</v>
      </c>
      <c r="AA339" s="11">
        <f>IF(OR(履歴データ!$A$339="",履歴データ!$A$338=""),"",-40000*P339)</f>
        <v>35079.999999993561</v>
      </c>
      <c r="AB339" s="11">
        <f>IF(履歴データ!$A$339="","",123.3)</f>
        <v>123.3</v>
      </c>
      <c r="AC339">
        <f>IF(履歴データ!$A$339="","",SUM(T339:AA339))</f>
        <v>-457778.70939731976</v>
      </c>
      <c r="AD339" s="29">
        <f>IF(履歴データ!$A$339="","",AC339/1000000)</f>
        <v>-0.45777870939731974</v>
      </c>
      <c r="AE339" s="29">
        <f>IF(履歴データ!$A$339="",AE338,AE338+AC339/1000000)</f>
        <v>75.881933009836885</v>
      </c>
      <c r="AF339" s="12">
        <f>IF(OR(履歴データ!$A$339="",AE338=0),"",(AE339-AE338)/AE338)</f>
        <v>-5.9965999227369008E-3</v>
      </c>
      <c r="AG339" s="29">
        <f t="shared" si="17"/>
        <v>102.17217746631495</v>
      </c>
      <c r="AH339" s="12">
        <f>IF(OR(履歴データ!$A$339="",AG339=0),"",AE339/AG339-1)</f>
        <v>-0.25731314638122171</v>
      </c>
      <c r="AJ339" s="28">
        <f t="shared" ca="1" si="15"/>
        <v>-11.149841950424516</v>
      </c>
      <c r="AK339" s="28">
        <f t="shared" ca="1" si="16"/>
        <v>-54.159681859099294</v>
      </c>
    </row>
    <row r="340" spans="1:37">
      <c r="A340" s="10">
        <f>IF(履歴データ!$A$340="","",履歴データ!$A$340)</f>
        <v>45420</v>
      </c>
      <c r="B340" s="28">
        <f>IF(履歴データ!$A$340="","",(履歴データ!$D$340-(履歴データ!$B$340+履歴データ!$F$340)/2)*100)</f>
        <v>-25.999999999999979</v>
      </c>
      <c r="C340" s="28">
        <f>IF(履歴データ!$A$340="","",(履歴データ!$H$340-(履歴データ!$G$340+履歴データ!$J$340)/2)*100)</f>
        <v>-22.550000000000004</v>
      </c>
      <c r="D340" s="28">
        <f>IF(履歴データ!$A$340="","",(履歴データ!$D$340-履歴データ!$H$340)*100)</f>
        <v>359.30000000000007</v>
      </c>
      <c r="E340" s="28">
        <f>IF(履歴データ!$A$340="","",(履歴データ!$D$340-履歴データ!$C$340)*100)</f>
        <v>-1.9999999999999574</v>
      </c>
      <c r="F340" s="28">
        <f>IF(履歴データ!$A$340="","",(履歴データ!$R$340-履歴データ!$D$340)*100)</f>
        <v>-271.46000000000004</v>
      </c>
      <c r="G340" s="28">
        <f>IF(履歴データ!$A$340="","",(履歴データ!$S$340-履歴データ!$R$340)*100)</f>
        <v>-92.82217858886743</v>
      </c>
      <c r="H340" s="29">
        <f>IF(履歴データ!$A$340="","",履歴データ!$O$340)</f>
        <v>155.41900634765625</v>
      </c>
      <c r="I340" s="29">
        <f>IF(履歴データ!$A$340="","",履歴データ!$Q$340)</f>
        <v>108.828125</v>
      </c>
      <c r="J340" s="29">
        <f>IF(履歴データ!$A$340="","",履歴データ!$D$340)</f>
        <v>4.4800000000000004</v>
      </c>
      <c r="K340" s="28">
        <f>IF(OR(履歴データ!$A$340="",履歴データ!$A$339=""),"",B340-B339)</f>
        <v>-1.499999999999968</v>
      </c>
      <c r="L340" s="28">
        <f>IF(OR(履歴データ!$A$340="",履歴データ!$A$339=""),"",C340-C339)</f>
        <v>0.69999999999998863</v>
      </c>
      <c r="M340" s="28">
        <f>IF(OR(履歴データ!$A$340="",履歴データ!$A$339=""),"",D340-D339)</f>
        <v>0.40000000000009095</v>
      </c>
      <c r="N340" s="28">
        <f>IF(OR(履歴データ!$A$340="",履歴データ!$A$339=""),"",E340-E339)</f>
        <v>-0.99999999999988987</v>
      </c>
      <c r="O340" s="28">
        <f>IF(OR(履歴データ!$A$340="",履歴データ!$A$339=""),"",F340-F339)</f>
        <v>-11.650000000000091</v>
      </c>
      <c r="P340" s="28">
        <f>IF(OR(履歴データ!$A$340="",履歴データ!$A$339=""),"",G340-G339)</f>
        <v>13.807178588866904</v>
      </c>
      <c r="Q340" s="29">
        <f>IF(OR(履歴データ!$A$340="",履歴データ!$A$339=""),"",H340-H339)</f>
        <v>0.6710052490234375</v>
      </c>
      <c r="R340" s="29">
        <f>IF(OR(履歴データ!$A$340="",履歴データ!$A$339=""),"",I340-I339)</f>
        <v>-0.1875</v>
      </c>
      <c r="S340" s="28">
        <f>IF(OR(履歴データ!$A$340="",履歴データ!$A$339=""),"",(J340-J339)*100)</f>
        <v>1.0000000000000675</v>
      </c>
      <c r="T340" s="11">
        <f>IF(OR(履歴データ!$A$340="",履歴データ!$A$339=""),"",-80000*K340)</f>
        <v>119999.99999999744</v>
      </c>
      <c r="U340" s="11">
        <f>IF(OR(履歴データ!$A$340="",履歴データ!$A$339=""),"",60000*L340)</f>
        <v>41999.999999999316</v>
      </c>
      <c r="V340" s="11">
        <f>IF(OR(履歴データ!$A$340="",履歴データ!$A$339=""),"",-50000*M340)</f>
        <v>-20000.000000004547</v>
      </c>
      <c r="W340" s="11">
        <f>IF(OR(履歴データ!$A$340="",履歴データ!$A$339=""),"",-40000*N340)</f>
        <v>39999.999999995598</v>
      </c>
      <c r="X340" s="11">
        <f>IF(OR(履歴データ!$A$340="",履歴データ!$A$339=""),"",120*1000000*(-Q340/H339))</f>
        <v>-520333.89324034314</v>
      </c>
      <c r="Y340" s="11">
        <f>IF(OR(履歴データ!$A$340="",履歴データ!$A$339=""),"",40000*(-S340)+(-506.3)*R340*1000)</f>
        <v>54931.249999997301</v>
      </c>
      <c r="Z340" s="11">
        <f>IF(OR(履歴データ!$A$340="",履歴データ!$A$339=""),"",-40000*O340)</f>
        <v>466000.00000000361</v>
      </c>
      <c r="AA340" s="11">
        <f>IF(OR(履歴データ!$A$340="",履歴データ!$A$339=""),"",-40000*P340)</f>
        <v>-552287.14355467621</v>
      </c>
      <c r="AB340" s="11">
        <f>IF(履歴データ!$A$340="","",123.3)</f>
        <v>123.3</v>
      </c>
      <c r="AC340">
        <f>IF(履歴データ!$A$340="","",SUM(T340:AA340))</f>
        <v>-369689.78679503058</v>
      </c>
      <c r="AD340" s="29">
        <f>IF(履歴データ!$A$340="","",AC340/1000000)</f>
        <v>-0.36968978679503056</v>
      </c>
      <c r="AE340" s="29">
        <f>IF(履歴データ!$A$340="",AE339,AE339+AC340/1000000)</f>
        <v>75.51224322304185</v>
      </c>
      <c r="AF340" s="12">
        <f>IF(OR(履歴データ!$A$340="",AE339=0),"",(AE340-AE339)/AE339)</f>
        <v>-4.8719078722877437E-3</v>
      </c>
      <c r="AG340" s="29">
        <f t="shared" si="17"/>
        <v>102.17217746631495</v>
      </c>
      <c r="AH340" s="12">
        <f>IF(OR(履歴データ!$A$340="",AG340=0),"",AE340/AG340-1)</f>
        <v>-0.26093144831001169</v>
      </c>
      <c r="AJ340" s="28">
        <f t="shared" ca="1" si="15"/>
        <v>-11.098156679186364</v>
      </c>
      <c r="AK340" s="28">
        <f t="shared" ca="1" si="16"/>
        <v>-54.100256019226336</v>
      </c>
    </row>
    <row r="341" spans="1:37">
      <c r="A341" s="10">
        <f>IF(履歴データ!$A$341="","",履歴データ!$A$341)</f>
        <v>45421</v>
      </c>
      <c r="B341" s="28">
        <f>IF(履歴データ!$A$341="","",(履歴データ!$D$341-(履歴データ!$B$341+履歴データ!$F$341)/2)*100)</f>
        <v>-24.999999999999911</v>
      </c>
      <c r="C341" s="28">
        <f>IF(履歴データ!$A$341="","",(履歴データ!$H$341-(履歴データ!$G$341+履歴データ!$J$341)/2)*100)</f>
        <v>-21.250000000000004</v>
      </c>
      <c r="D341" s="28">
        <f>IF(履歴データ!$A$341="","",(履歴データ!$D$341-履歴データ!$H$341)*100)</f>
        <v>353.40000000000003</v>
      </c>
      <c r="E341" s="28">
        <f>IF(履歴データ!$A$341="","",(履歴データ!$D$341-履歴データ!$C$341)*100)</f>
        <v>-1.9999999999999574</v>
      </c>
      <c r="F341" s="28">
        <f>IF(履歴データ!$A$341="","",(履歴データ!$R$341-履歴データ!$D$341)*100)</f>
        <v>-267.03000000000003</v>
      </c>
      <c r="G341" s="28">
        <f>IF(履歴データ!$A$341="","",(履歴データ!$S$341-履歴データ!$R$341)*100)</f>
        <v>-90.393357177734572</v>
      </c>
      <c r="H341" s="29">
        <f>IF(履歴データ!$A$341="","",履歴データ!$O$341)</f>
        <v>155.38900756835938</v>
      </c>
      <c r="I341" s="29">
        <f>IF(履歴データ!$A$341="","",履歴データ!$Q$341)</f>
        <v>109.09375</v>
      </c>
      <c r="J341" s="29">
        <f>IF(履歴データ!$A$341="","",履歴データ!$D$341)</f>
        <v>4.45</v>
      </c>
      <c r="K341" s="28">
        <f>IF(OR(履歴データ!$A$341="",履歴データ!$A$340=""),"",B341-B340)</f>
        <v>1.0000000000000675</v>
      </c>
      <c r="L341" s="28">
        <f>IF(OR(履歴データ!$A$341="",履歴データ!$A$340=""),"",C341-C340)</f>
        <v>1.3000000000000007</v>
      </c>
      <c r="M341" s="28">
        <f>IF(OR(履歴データ!$A$341="",履歴データ!$A$340=""),"",D341-D340)</f>
        <v>-5.9000000000000341</v>
      </c>
      <c r="N341" s="28">
        <f>IF(OR(履歴データ!$A$341="",履歴データ!$A$340=""),"",E341-E340)</f>
        <v>0</v>
      </c>
      <c r="O341" s="28">
        <f>IF(OR(履歴データ!$A$341="",履歴データ!$A$340=""),"",F341-F340)</f>
        <v>4.4300000000000068</v>
      </c>
      <c r="P341" s="28">
        <f>IF(OR(履歴データ!$A$341="",履歴データ!$A$340=""),"",G341-G340)</f>
        <v>2.4288214111328585</v>
      </c>
      <c r="Q341" s="29">
        <f>IF(OR(履歴データ!$A$341="",履歴データ!$A$340=""),"",H341-H340)</f>
        <v>-2.9998779296875E-2</v>
      </c>
      <c r="R341" s="29">
        <f>IF(OR(履歴データ!$A$341="",履歴データ!$A$340=""),"",I341-I340)</f>
        <v>0.265625</v>
      </c>
      <c r="S341" s="28">
        <f>IF(OR(履歴データ!$A$341="",履歴データ!$A$340=""),"",(J341-J340)*100)</f>
        <v>-3.0000000000000249</v>
      </c>
      <c r="T341" s="11">
        <f>IF(OR(履歴データ!$A$341="",履歴データ!$A$340=""),"",-80000*K341)</f>
        <v>-80000.000000005399</v>
      </c>
      <c r="U341" s="11">
        <f>IF(OR(履歴データ!$A$341="",履歴データ!$A$340=""),"",60000*L341)</f>
        <v>78000.000000000044</v>
      </c>
      <c r="V341" s="11">
        <f>IF(OR(履歴データ!$A$341="",履歴データ!$A$340=""),"",-50000*M341)</f>
        <v>295000.00000000169</v>
      </c>
      <c r="W341" s="11">
        <f>IF(OR(履歴データ!$A$341="",履歴データ!$A$340=""),"",-40000*N341)</f>
        <v>0</v>
      </c>
      <c r="X341" s="11">
        <f>IF(OR(履歴データ!$A$341="",履歴データ!$A$340=""),"",120*1000000*(-Q341/H340))</f>
        <v>23162.247656972533</v>
      </c>
      <c r="Y341" s="11">
        <f>IF(OR(履歴データ!$A$341="",履歴データ!$A$340=""),"",40000*(-S341)+(-506.3)*R341*1000)</f>
        <v>-14485.93749999901</v>
      </c>
      <c r="Z341" s="11">
        <f>IF(OR(履歴データ!$A$341="",履歴データ!$A$340=""),"",-40000*O341)</f>
        <v>-177200.00000000026</v>
      </c>
      <c r="AA341" s="11">
        <f>IF(OR(履歴データ!$A$341="",履歴データ!$A$340=""),"",-40000*P341)</f>
        <v>-97152.856445314348</v>
      </c>
      <c r="AB341" s="11">
        <f>IF(履歴データ!$A$341="","",123.3)</f>
        <v>123.3</v>
      </c>
      <c r="AC341">
        <f>IF(履歴データ!$A$341="","",SUM(T341:AA341))</f>
        <v>27323.453711655267</v>
      </c>
      <c r="AD341" s="29">
        <f>IF(履歴データ!$A$341="","",AC341/1000000)</f>
        <v>2.7323453711655267E-2</v>
      </c>
      <c r="AE341" s="29">
        <f>IF(履歴データ!$A$341="",AE340,AE340+AC341/1000000)</f>
        <v>75.539566676753509</v>
      </c>
      <c r="AF341" s="12">
        <f>IF(OR(履歴データ!$A$341="",AE340=0),"",(AE341-AE340)/AE340)</f>
        <v>3.6184137227857966E-4</v>
      </c>
      <c r="AG341" s="29">
        <f t="shared" si="17"/>
        <v>102.17217746631495</v>
      </c>
      <c r="AH341" s="12">
        <f>IF(OR(履歴データ!$A$341="",AG341=0),"",AE341/AG341-1)</f>
        <v>-0.26066402273106026</v>
      </c>
      <c r="AJ341" s="28">
        <f t="shared" ca="1" si="15"/>
        <v>-11.037860815840748</v>
      </c>
      <c r="AK341" s="28">
        <f t="shared" ca="1" si="16"/>
        <v>-54.041504263524331</v>
      </c>
    </row>
    <row r="342" spans="1:37">
      <c r="A342" s="10">
        <f>IF(履歴データ!$A$342="","",履歴データ!$A$342)</f>
        <v>45422</v>
      </c>
      <c r="B342" s="28">
        <f>IF(履歴データ!$A$342="","",(履歴データ!$D$342-(履歴データ!$B$342+履歴データ!$F$342)/2)*100)</f>
        <v>-25.499999999999989</v>
      </c>
      <c r="C342" s="28">
        <f>IF(履歴データ!$A$342="","",(履歴データ!$H$342-(履歴データ!$G$342+履歴データ!$J$342)/2)*100)</f>
        <v>-22.500000000000007</v>
      </c>
      <c r="D342" s="28">
        <f>IF(履歴データ!$A$342="","",(履歴データ!$D$342-履歴データ!$H$342)*100)</f>
        <v>358.3</v>
      </c>
      <c r="E342" s="28">
        <f>IF(履歴データ!$A$342="","",(履歴データ!$D$342-履歴データ!$C$342)*100)</f>
        <v>-1.9999999999999574</v>
      </c>
      <c r="F342" s="28">
        <f>IF(履歴データ!$A$342="","",(履歴データ!$R$342-履歴データ!$D$342)*100)</f>
        <v>-268.79000000000002</v>
      </c>
      <c r="G342" s="28">
        <f>IF(履歴データ!$A$342="","",(履歴データ!$S$342-履歴データ!$R$342)*100)</f>
        <v>-95.387357177734614</v>
      </c>
      <c r="H342" s="29">
        <f>IF(履歴データ!$A$342="","",履歴データ!$O$342)</f>
        <v>155.38900756835938</v>
      </c>
      <c r="I342" s="29">
        <f>IF(履歴データ!$A$342="","",履歴データ!$Q$342)</f>
        <v>108.703125</v>
      </c>
      <c r="J342" s="29">
        <f>IF(履歴データ!$A$342="","",履歴データ!$D$342)</f>
        <v>4.5</v>
      </c>
      <c r="K342" s="28">
        <f>IF(OR(履歴データ!$A$342="",履歴データ!$A$341=""),"",B342-B341)</f>
        <v>-0.50000000000007816</v>
      </c>
      <c r="L342" s="28">
        <f>IF(OR(履歴データ!$A$342="",履歴データ!$A$341=""),"",C342-C341)</f>
        <v>-1.2500000000000036</v>
      </c>
      <c r="M342" s="28">
        <f>IF(OR(履歴データ!$A$342="",履歴データ!$A$341=""),"",D342-D341)</f>
        <v>4.8999999999999773</v>
      </c>
      <c r="N342" s="28">
        <f>IF(OR(履歴データ!$A$342="",履歴データ!$A$341=""),"",E342-E341)</f>
        <v>0</v>
      </c>
      <c r="O342" s="28">
        <f>IF(OR(履歴データ!$A$342="",履歴データ!$A$341=""),"",F342-F341)</f>
        <v>-1.7599999999999909</v>
      </c>
      <c r="P342" s="28">
        <f>IF(OR(履歴データ!$A$342="",履歴データ!$A$341=""),"",G342-G341)</f>
        <v>-4.9940000000000424</v>
      </c>
      <c r="Q342" s="29">
        <f>IF(OR(履歴データ!$A$342="",履歴データ!$A$341=""),"",H342-H341)</f>
        <v>0</v>
      </c>
      <c r="R342" s="29">
        <f>IF(OR(履歴データ!$A$342="",履歴データ!$A$341=""),"",I342-I341)</f>
        <v>-0.390625</v>
      </c>
      <c r="S342" s="28">
        <f>IF(OR(履歴データ!$A$342="",履歴データ!$A$341=""),"",(J342-J341)*100)</f>
        <v>4.9999999999999822</v>
      </c>
      <c r="T342" s="11">
        <f>IF(OR(履歴データ!$A$342="",履歴データ!$A$341=""),"",-80000*K342)</f>
        <v>40000.00000000625</v>
      </c>
      <c r="U342" s="11">
        <f>IF(OR(履歴データ!$A$342="",履歴データ!$A$341=""),"",60000*L342)</f>
        <v>-75000.000000000218</v>
      </c>
      <c r="V342" s="11">
        <f>IF(OR(履歴データ!$A$342="",履歴データ!$A$341=""),"",-50000*M342)</f>
        <v>-244999.99999999886</v>
      </c>
      <c r="W342" s="11">
        <f>IF(OR(履歴データ!$A$342="",履歴データ!$A$341=""),"",-40000*N342)</f>
        <v>0</v>
      </c>
      <c r="X342" s="11">
        <f>IF(OR(履歴データ!$A$342="",履歴データ!$A$341=""),"",120*1000000*(-Q342/H341))</f>
        <v>0</v>
      </c>
      <c r="Y342" s="11">
        <f>IF(OR(履歴データ!$A$342="",履歴データ!$A$341=""),"",40000*(-S342)+(-506.3)*R342*1000)</f>
        <v>-2226.5624999993015</v>
      </c>
      <c r="Z342" s="11">
        <f>IF(OR(履歴データ!$A$342="",履歴データ!$A$341=""),"",-40000*O342)</f>
        <v>70399.999999999636</v>
      </c>
      <c r="AA342" s="11">
        <f>IF(OR(履歴データ!$A$342="",履歴データ!$A$341=""),"",-40000*P342)</f>
        <v>199760.00000000169</v>
      </c>
      <c r="AB342" s="11">
        <f>IF(履歴データ!$A$342="","",123.3)</f>
        <v>123.3</v>
      </c>
      <c r="AC342">
        <f>IF(履歴データ!$A$342="","",SUM(T342:AA342))</f>
        <v>-12066.562499990803</v>
      </c>
      <c r="AD342" s="29">
        <f>IF(履歴データ!$A$342="","",AC342/1000000)</f>
        <v>-1.2066562499990803E-2</v>
      </c>
      <c r="AE342" s="29">
        <f>IF(履歴データ!$A$342="",AE341,AE341+AC342/1000000)</f>
        <v>75.527500114253513</v>
      </c>
      <c r="AF342" s="12">
        <f>IF(OR(履歴データ!$A$342="",AE341=0),"",(AE342-AE341)/AE341)</f>
        <v>-1.5973830709978352E-4</v>
      </c>
      <c r="AG342" s="29">
        <f t="shared" si="17"/>
        <v>102.17217746631495</v>
      </c>
      <c r="AH342" s="12">
        <f>IF(OR(履歴データ!$A$342="",AG342=0),"",AE342/AG342-1)</f>
        <v>-0.26078212300844716</v>
      </c>
      <c r="AJ342" s="28">
        <f t="shared" ca="1" si="15"/>
        <v>-10.982890709357402</v>
      </c>
      <c r="AK342" s="28">
        <f t="shared" ca="1" si="16"/>
        <v>-53.981395004928302</v>
      </c>
    </row>
    <row r="343" spans="1:37">
      <c r="A343" s="10">
        <f>IF(履歴データ!$A$343="","",履歴データ!$A$343)</f>
        <v>45425</v>
      </c>
      <c r="B343" s="28">
        <f>IF(履歴データ!$A$343="","",(履歴データ!$D$343-(履歴データ!$B$343+履歴データ!$F$343)/2)*100)</f>
        <v>-25.999999999999979</v>
      </c>
      <c r="C343" s="28">
        <f>IF(履歴データ!$A$343="","",(履歴データ!$H$343-(履歴データ!$G$343+履歴データ!$J$343)/2)*100)</f>
        <v>-21.650000000000013</v>
      </c>
      <c r="D343" s="28">
        <f>IF(履歴データ!$A$343="","",(履歴データ!$D$343-履歴データ!$H$343)*100)</f>
        <v>353.40000000000009</v>
      </c>
      <c r="E343" s="28">
        <f>IF(履歴データ!$A$343="","",(履歴データ!$D$343-履歴データ!$C$343)*100)</f>
        <v>-1.9999999999999574</v>
      </c>
      <c r="F343" s="28">
        <f>IF(履歴データ!$A$343="","",(履歴データ!$R$343-履歴データ!$D$343)*100)</f>
        <v>-264.04000000000008</v>
      </c>
      <c r="G343" s="28">
        <f>IF(履歴データ!$A$343="","",(履歴データ!$S$343-履歴データ!$R$343)*100)</f>
        <v>-96.734178588867351</v>
      </c>
      <c r="H343" s="29">
        <f>IF(履歴データ!$A$343="","",履歴データ!$O$343)</f>
        <v>156.23300170898438</v>
      </c>
      <c r="I343" s="29">
        <f>IF(履歴データ!$A$343="","",履歴データ!$Q$343)</f>
        <v>108.828125</v>
      </c>
      <c r="J343" s="29">
        <f>IF(履歴データ!$A$343="","",履歴データ!$D$343)</f>
        <v>4.4800000000000004</v>
      </c>
      <c r="K343" s="28">
        <f>IF(OR(履歴データ!$A$343="",履歴データ!$A$342=""),"",B343-B342)</f>
        <v>-0.49999999999998934</v>
      </c>
      <c r="L343" s="28">
        <f>IF(OR(履歴データ!$A$343="",履歴データ!$A$342=""),"",C343-C342)</f>
        <v>0.84999999999999432</v>
      </c>
      <c r="M343" s="28">
        <f>IF(OR(履歴データ!$A$343="",履歴データ!$A$342=""),"",D343-D342)</f>
        <v>-4.8999999999999204</v>
      </c>
      <c r="N343" s="28">
        <f>IF(OR(履歴データ!$A$343="",履歴データ!$A$342=""),"",E343-E342)</f>
        <v>0</v>
      </c>
      <c r="O343" s="28">
        <f>IF(OR(履歴データ!$A$343="",履歴データ!$A$342=""),"",F343-F342)</f>
        <v>4.7499999999999432</v>
      </c>
      <c r="P343" s="28">
        <f>IF(OR(履歴データ!$A$343="",履歴データ!$A$342=""),"",G343-G342)</f>
        <v>-1.346821411132737</v>
      </c>
      <c r="Q343" s="29">
        <f>IF(OR(履歴データ!$A$343="",履歴データ!$A$342=""),"",H343-H342)</f>
        <v>0.843994140625</v>
      </c>
      <c r="R343" s="29">
        <f>IF(OR(履歴データ!$A$343="",履歴データ!$A$342=""),"",I343-I342)</f>
        <v>0.125</v>
      </c>
      <c r="S343" s="28">
        <f>IF(OR(履歴データ!$A$343="",履歴データ!$A$342=""),"",(J343-J342)*100)</f>
        <v>-1.9999999999999574</v>
      </c>
      <c r="T343" s="11">
        <f>IF(OR(履歴データ!$A$343="",履歴データ!$A$342=""),"",-80000*K343)</f>
        <v>39999.999999999149</v>
      </c>
      <c r="U343" s="11">
        <f>IF(OR(履歴データ!$A$343="",履歴データ!$A$342=""),"",60000*L343)</f>
        <v>50999.999999999658</v>
      </c>
      <c r="V343" s="11">
        <f>IF(OR(履歴データ!$A$343="",履歴データ!$A$342=""),"",-50000*M343)</f>
        <v>244999.99999999601</v>
      </c>
      <c r="W343" s="11">
        <f>IF(OR(履歴データ!$A$343="",履歴データ!$A$342=""),"",-40000*N343)</f>
        <v>0</v>
      </c>
      <c r="X343" s="11">
        <f>IF(OR(履歴データ!$A$343="",履歴データ!$A$342=""),"",120*1000000*(-Q343/H342))</f>
        <v>-651779.0316052105</v>
      </c>
      <c r="Y343" s="11">
        <f>IF(OR(履歴データ!$A$343="",履歴データ!$A$342=""),"",40000*(-S343)+(-506.3)*R343*1000)</f>
        <v>16712.499999998297</v>
      </c>
      <c r="Z343" s="11">
        <f>IF(OR(履歴データ!$A$343="",履歴データ!$A$342=""),"",-40000*O343)</f>
        <v>-189999.99999999773</v>
      </c>
      <c r="AA343" s="11">
        <f>IF(OR(履歴データ!$A$343="",履歴データ!$A$342=""),"",-40000*P343)</f>
        <v>53872.85644530948</v>
      </c>
      <c r="AB343" s="11">
        <f>IF(履歴データ!$A$343="","",123.3)</f>
        <v>123.3</v>
      </c>
      <c r="AC343">
        <f>IF(履歴データ!$A$343="","",SUM(T343:AA343))</f>
        <v>-435193.67515990563</v>
      </c>
      <c r="AD343" s="29">
        <f>IF(履歴データ!$A$343="","",AC343/1000000)</f>
        <v>-0.43519367515990565</v>
      </c>
      <c r="AE343" s="29">
        <f>IF(履歴データ!$A$343="",AE342,AE342+AC343/1000000)</f>
        <v>75.092306439093605</v>
      </c>
      <c r="AF343" s="12">
        <f>IF(OR(履歴データ!$A$343="",AE342=0),"",(AE343-AE342)/AE342)</f>
        <v>-5.7620558670891161E-3</v>
      </c>
      <c r="AG343" s="29">
        <f t="shared" si="17"/>
        <v>102.17217746631495</v>
      </c>
      <c r="AH343" s="12">
        <f>IF(OR(履歴データ!$A$343="",AG343=0),"",AE343/AG343-1)</f>
        <v>-0.26504153771362349</v>
      </c>
      <c r="AJ343" s="28">
        <f t="shared" ca="1" si="15"/>
        <v>-10.937784725631364</v>
      </c>
      <c r="AK343" s="28">
        <f t="shared" ca="1" si="16"/>
        <v>-53.899516861670222</v>
      </c>
    </row>
    <row r="344" spans="1:37">
      <c r="A344" s="10">
        <f>IF(履歴データ!$A$344="","",履歴データ!$A$344)</f>
        <v>45426</v>
      </c>
      <c r="B344" s="28">
        <f>IF(履歴データ!$A$344="","",(履歴データ!$D$344-(履歴データ!$B$344+履歴データ!$F$344)/2)*100)</f>
        <v>-24.999999999999911</v>
      </c>
      <c r="C344" s="28">
        <f>IF(履歴データ!$A$344="","",(履歴データ!$H$344-(履歴データ!$G$344+履歴データ!$J$344)/2)*100)</f>
        <v>-20.899999999999995</v>
      </c>
      <c r="D344" s="28">
        <f>IF(履歴データ!$A$344="","",(履歴データ!$D$344-履歴データ!$H$344)*100)</f>
        <v>348.1</v>
      </c>
      <c r="E344" s="28">
        <f>IF(履歴データ!$A$344="","",(履歴データ!$D$344-履歴データ!$C$344)*100)</f>
        <v>-0.99999999999997868</v>
      </c>
      <c r="F344" s="28">
        <f>IF(履歴データ!$A$344="","",(履歴データ!$R$344-履歴データ!$D$344)*100)</f>
        <v>-260.19</v>
      </c>
      <c r="G344" s="28">
        <f>IF(履歴データ!$A$344="","",(履歴データ!$S$344-履歴データ!$R$344)*100)</f>
        <v>-96.356357177734566</v>
      </c>
      <c r="H344" s="29">
        <f>IF(履歴データ!$A$344="","",履歴データ!$O$344)</f>
        <v>156.49800109863281</v>
      </c>
      <c r="I344" s="29">
        <f>IF(履歴データ!$A$344="","",履歴データ!$Q$344)</f>
        <v>109.09375</v>
      </c>
      <c r="J344" s="29">
        <f>IF(履歴データ!$A$344="","",履歴データ!$D$344)</f>
        <v>4.45</v>
      </c>
      <c r="K344" s="28">
        <f>IF(OR(履歴データ!$A$344="",履歴データ!$A$343=""),"",B344-B343)</f>
        <v>1.0000000000000675</v>
      </c>
      <c r="L344" s="28">
        <f>IF(OR(履歴データ!$A$344="",履歴データ!$A$343=""),"",C344-C343)</f>
        <v>0.75000000000001776</v>
      </c>
      <c r="M344" s="28">
        <f>IF(OR(履歴データ!$A$344="",履歴データ!$A$343=""),"",D344-D343)</f>
        <v>-5.3000000000000682</v>
      </c>
      <c r="N344" s="28">
        <f>IF(OR(履歴データ!$A$344="",履歴データ!$A$343=""),"",E344-E343)</f>
        <v>0.99999999999997868</v>
      </c>
      <c r="O344" s="28">
        <f>IF(OR(履歴データ!$A$344="",履歴データ!$A$343=""),"",F344-F343)</f>
        <v>3.8500000000000796</v>
      </c>
      <c r="P344" s="28">
        <f>IF(OR(履歴データ!$A$344="",履歴データ!$A$343=""),"",G344-G343)</f>
        <v>0.37782141113278556</v>
      </c>
      <c r="Q344" s="29">
        <f>IF(OR(履歴データ!$A$344="",履歴データ!$A$343=""),"",H344-H343)</f>
        <v>0.2649993896484375</v>
      </c>
      <c r="R344" s="29">
        <f>IF(OR(履歴データ!$A$344="",履歴データ!$A$343=""),"",I344-I343)</f>
        <v>0.265625</v>
      </c>
      <c r="S344" s="28">
        <f>IF(OR(履歴データ!$A$344="",履歴データ!$A$343=""),"",(J344-J343)*100)</f>
        <v>-3.0000000000000249</v>
      </c>
      <c r="T344" s="11">
        <f>IF(OR(履歴データ!$A$344="",履歴データ!$A$343=""),"",-80000*K344)</f>
        <v>-80000.000000005399</v>
      </c>
      <c r="U344" s="11">
        <f>IF(OR(履歴データ!$A$344="",履歴データ!$A$343=""),"",60000*L344)</f>
        <v>45000.000000001062</v>
      </c>
      <c r="V344" s="11">
        <f>IF(OR(履歴データ!$A$344="",履歴データ!$A$343=""),"",-50000*M344)</f>
        <v>265000.00000000343</v>
      </c>
      <c r="W344" s="11">
        <f>IF(OR(履歴データ!$A$344="",履歴データ!$A$343=""),"",-40000*N344)</f>
        <v>-39999.999999999149</v>
      </c>
      <c r="X344" s="11">
        <f>IF(OR(履歴データ!$A$344="",履歴データ!$A$343=""),"",120*1000000*(-Q344/H343))</f>
        <v>-203541.67435793308</v>
      </c>
      <c r="Y344" s="11">
        <f>IF(OR(履歴データ!$A$344="",履歴データ!$A$343=""),"",40000*(-S344)+(-506.3)*R344*1000)</f>
        <v>-14485.93749999901</v>
      </c>
      <c r="Z344" s="11">
        <f>IF(OR(履歴データ!$A$344="",履歴データ!$A$343=""),"",-40000*O344)</f>
        <v>-154000.00000000317</v>
      </c>
      <c r="AA344" s="11">
        <f>IF(OR(履歴データ!$A$344="",履歴データ!$A$343=""),"",-40000*P344)</f>
        <v>-15112.856445311423</v>
      </c>
      <c r="AB344" s="11">
        <f>IF(履歴データ!$A$344="","",123.3)</f>
        <v>123.3</v>
      </c>
      <c r="AC344">
        <f>IF(履歴データ!$A$344="","",SUM(T344:AA344))</f>
        <v>-197140.46830324674</v>
      </c>
      <c r="AD344" s="29">
        <f>IF(履歴データ!$A$344="","",AC344/1000000)</f>
        <v>-0.19714046830324675</v>
      </c>
      <c r="AE344" s="29">
        <f>IF(履歴データ!$A$344="",AE343,AE343+AC344/1000000)</f>
        <v>74.895165970790359</v>
      </c>
      <c r="AF344" s="12">
        <f>IF(OR(履歴データ!$A$344="",AE343=0),"",(AE344-AE343)/AE343)</f>
        <v>-2.625308472355209E-3</v>
      </c>
      <c r="AG344" s="29">
        <f t="shared" si="17"/>
        <v>102.17217746631495</v>
      </c>
      <c r="AH344" s="12">
        <f>IF(OR(履歴データ!$A$344="",AG344=0),"",AE344/AG344-1)</f>
        <v>-0.26697103039149306</v>
      </c>
      <c r="AJ344" s="28">
        <f t="shared" ca="1" si="15"/>
        <v>-10.884392377654649</v>
      </c>
      <c r="AK344" s="28">
        <f t="shared" ca="1" si="16"/>
        <v>-53.8179885747263</v>
      </c>
    </row>
    <row r="345" spans="1:37">
      <c r="A345" s="10">
        <f>IF(履歴データ!$A$345="","",履歴データ!$A$345)</f>
        <v>45427</v>
      </c>
      <c r="B345" s="28">
        <f>IF(履歴データ!$A$345="","",(履歴データ!$D$345-(履歴データ!$B$345+履歴データ!$F$345)/2)*100)</f>
        <v>-26.499999999999968</v>
      </c>
      <c r="C345" s="28">
        <f>IF(履歴データ!$A$345="","",(履歴データ!$H$345-(履歴データ!$G$345+履歴データ!$J$345)/2)*100)</f>
        <v>-21.35</v>
      </c>
      <c r="D345" s="28">
        <f>IF(履歴データ!$A$345="","",(履歴データ!$D$345-履歴データ!$H$345)*100)</f>
        <v>339.80000000000007</v>
      </c>
      <c r="E345" s="28">
        <f>IF(履歴データ!$A$345="","",(履歴データ!$D$345-履歴データ!$C$345)*100)</f>
        <v>1.0000000000000675</v>
      </c>
      <c r="F345" s="28">
        <f>IF(履歴データ!$A$345="","",(履歴データ!$R$345-履歴データ!$D$345)*100)</f>
        <v>-248.61000000000004</v>
      </c>
      <c r="G345" s="28">
        <f>IF(履歴データ!$A$345="","",(履歴データ!$S$345-履歴データ!$R$345)*100)</f>
        <v>-97.884000000000086</v>
      </c>
      <c r="H345" s="29">
        <f>IF(履歴データ!$A$345="","",履歴データ!$O$345)</f>
        <v>154.28199768066406</v>
      </c>
      <c r="I345" s="29">
        <f>IF(履歴データ!$A$345="","",履歴データ!$Q$345)</f>
        <v>109.71875</v>
      </c>
      <c r="J345" s="29">
        <f>IF(履歴データ!$A$345="","",履歴データ!$D$345)</f>
        <v>4.3600000000000003</v>
      </c>
      <c r="K345" s="28">
        <f>IF(OR(履歴データ!$A$345="",履歴データ!$A$344=""),"",B345-B344)</f>
        <v>-1.5000000000000568</v>
      </c>
      <c r="L345" s="28">
        <f>IF(OR(履歴データ!$A$345="",履歴データ!$A$344=""),"",C345-C344)</f>
        <v>-0.45000000000000639</v>
      </c>
      <c r="M345" s="28">
        <f>IF(OR(履歴データ!$A$345="",履歴データ!$A$344=""),"",D345-D344)</f>
        <v>-8.2999999999999545</v>
      </c>
      <c r="N345" s="28">
        <f>IF(OR(履歴データ!$A$345="",履歴データ!$A$344=""),"",E345-E344)</f>
        <v>2.0000000000000462</v>
      </c>
      <c r="O345" s="28">
        <f>IF(OR(履歴データ!$A$345="",履歴データ!$A$344=""),"",F345-F344)</f>
        <v>11.579999999999956</v>
      </c>
      <c r="P345" s="28">
        <f>IF(OR(履歴データ!$A$345="",履歴データ!$A$344=""),"",G345-G344)</f>
        <v>-1.5276428222655198</v>
      </c>
      <c r="Q345" s="29">
        <f>IF(OR(履歴データ!$A$345="",履歴データ!$A$344=""),"",H345-H344)</f>
        <v>-2.21600341796875</v>
      </c>
      <c r="R345" s="29">
        <f>IF(OR(履歴データ!$A$345="",履歴データ!$A$344=""),"",I345-I344)</f>
        <v>0.625</v>
      </c>
      <c r="S345" s="28">
        <f>IF(OR(履歴データ!$A$345="",履歴データ!$A$344=""),"",(J345-J344)*100)</f>
        <v>-8.9999999999999858</v>
      </c>
      <c r="T345" s="11">
        <f>IF(OR(履歴データ!$A$345="",履歴データ!$A$344=""),"",-80000*K345)</f>
        <v>120000.00000000454</v>
      </c>
      <c r="U345" s="11">
        <f>IF(OR(履歴データ!$A$345="",履歴データ!$A$344=""),"",60000*L345)</f>
        <v>-27000.000000000382</v>
      </c>
      <c r="V345" s="11">
        <f>IF(OR(履歴データ!$A$345="",履歴データ!$A$344=""),"",-50000*M345)</f>
        <v>414999.99999999773</v>
      </c>
      <c r="W345" s="11">
        <f>IF(OR(履歴データ!$A$345="",履歴データ!$A$344=""),"",-40000*N345)</f>
        <v>-80000.000000001848</v>
      </c>
      <c r="X345" s="11">
        <f>IF(OR(履歴データ!$A$345="",履歴データ!$A$344=""),"",120*1000000*(-Q345/H344))</f>
        <v>1699193.6528866829</v>
      </c>
      <c r="Y345" s="11">
        <f>IF(OR(履歴データ!$A$345="",履歴データ!$A$344=""),"",40000*(-S345)+(-506.3)*R345*1000)</f>
        <v>43562.499999999418</v>
      </c>
      <c r="Z345" s="11">
        <f>IF(OR(履歴データ!$A$345="",履歴データ!$A$344=""),"",-40000*O345)</f>
        <v>-463199.99999999825</v>
      </c>
      <c r="AA345" s="11">
        <f>IF(OR(履歴データ!$A$345="",履歴データ!$A$344=""),"",-40000*P345)</f>
        <v>61105.712890620794</v>
      </c>
      <c r="AB345" s="11">
        <f>IF(履歴データ!$A$345="","",123.3)</f>
        <v>123.3</v>
      </c>
      <c r="AC345">
        <f>IF(履歴データ!$A$345="","",SUM(T345:AA345))</f>
        <v>1768661.8657773053</v>
      </c>
      <c r="AD345" s="29">
        <f>IF(履歴データ!$A$345="","",AC345/1000000)</f>
        <v>1.7686618657773052</v>
      </c>
      <c r="AE345" s="29">
        <f>IF(履歴データ!$A$345="",AE344,AE344+AC345/1000000)</f>
        <v>76.663827836567663</v>
      </c>
      <c r="AF345" s="12">
        <f>IF(OR(履歴データ!$A$345="",AE344=0),"",(AE345-AE344)/AE344)</f>
        <v>2.3615167185384093E-2</v>
      </c>
      <c r="AG345" s="29">
        <f t="shared" si="17"/>
        <v>102.17217746631495</v>
      </c>
      <c r="AH345" s="12">
        <f>IF(OR(履歴データ!$A$345="",AG345=0),"",AE345/AG345-1)</f>
        <v>-0.24966042872245831</v>
      </c>
      <c r="AJ345" s="28">
        <f t="shared" ca="1" si="15"/>
        <v>-10.845098838589195</v>
      </c>
      <c r="AK345" s="28">
        <f t="shared" ca="1" si="16"/>
        <v>-53.734266240775881</v>
      </c>
    </row>
    <row r="346" spans="1:37">
      <c r="A346" s="10">
        <f>IF(履歴データ!$A$346="","",履歴データ!$A$346)</f>
        <v>45428</v>
      </c>
      <c r="B346" s="28">
        <f>IF(履歴データ!$A$346="","",(履歴データ!$D$346-(履歴データ!$B$346+履歴データ!$F$346)/2)*100)</f>
        <v>-27.000000000000046</v>
      </c>
      <c r="C346" s="28">
        <f>IF(履歴データ!$A$346="","",(履歴データ!$H$346-(履歴データ!$G$346+履歴データ!$J$346)/2)*100)</f>
        <v>-22.549999999999994</v>
      </c>
      <c r="D346" s="28">
        <f>IF(履歴データ!$A$346="","",(履歴データ!$D$346-履歴データ!$H$346)*100)</f>
        <v>344.59999999999997</v>
      </c>
      <c r="E346" s="28">
        <f>IF(履歴データ!$A$346="","",(履歴データ!$D$346-履歴データ!$C$346)*100)</f>
        <v>-2.0000000000000462</v>
      </c>
      <c r="F346" s="28">
        <f>IF(履歴データ!$A$346="","",(履歴データ!$R$346-履歴データ!$D$346)*100)</f>
        <v>-261.47999999999996</v>
      </c>
      <c r="G346" s="28">
        <f>IF(履歴データ!$A$346="","",(履歴データ!$S$346-履歴データ!$R$346)*100)</f>
        <v>-87.715642822265849</v>
      </c>
      <c r="H346" s="29">
        <f>IF(履歴データ!$A$346="","",履歴データ!$O$346)</f>
        <v>155.37899780273438</v>
      </c>
      <c r="I346" s="29">
        <f>IF(履歴データ!$A$346="","",履歴データ!$Q$346)</f>
        <v>109.484375</v>
      </c>
      <c r="J346" s="29">
        <f>IF(履歴データ!$A$346="","",履歴データ!$D$346)</f>
        <v>4.38</v>
      </c>
      <c r="K346" s="28">
        <f>IF(OR(履歴データ!$A$346="",履歴データ!$A$345=""),"",B346-B345)</f>
        <v>-0.50000000000007816</v>
      </c>
      <c r="L346" s="28">
        <f>IF(OR(履歴データ!$A$346="",履歴データ!$A$345=""),"",C346-C345)</f>
        <v>-1.1999999999999922</v>
      </c>
      <c r="M346" s="28">
        <f>IF(OR(履歴データ!$A$346="",履歴データ!$A$345=""),"",D346-D345)</f>
        <v>4.7999999999998977</v>
      </c>
      <c r="N346" s="28">
        <f>IF(OR(履歴データ!$A$346="",履歴データ!$A$345=""),"",E346-E345)</f>
        <v>-3.0000000000001137</v>
      </c>
      <c r="O346" s="28">
        <f>IF(OR(履歴データ!$A$346="",履歴データ!$A$345=""),"",F346-F345)</f>
        <v>-12.869999999999919</v>
      </c>
      <c r="P346" s="28">
        <f>IF(OR(履歴データ!$A$346="",履歴データ!$A$345=""),"",G346-G345)</f>
        <v>10.168357177734237</v>
      </c>
      <c r="Q346" s="29">
        <f>IF(OR(履歴データ!$A$346="",履歴データ!$A$345=""),"",H346-H345)</f>
        <v>1.0970001220703125</v>
      </c>
      <c r="R346" s="29">
        <f>IF(OR(履歴データ!$A$346="",履歴データ!$A$345=""),"",I346-I345)</f>
        <v>-0.234375</v>
      </c>
      <c r="S346" s="28">
        <f>IF(OR(履歴データ!$A$346="",履歴データ!$A$345=""),"",(J346-J345)*100)</f>
        <v>1.9999999999999574</v>
      </c>
      <c r="T346" s="11">
        <f>IF(OR(履歴データ!$A$346="",履歴データ!$A$345=""),"",-80000*K346)</f>
        <v>40000.00000000625</v>
      </c>
      <c r="U346" s="11">
        <f>IF(OR(履歴データ!$A$346="",履歴データ!$A$345=""),"",60000*L346)</f>
        <v>-71999.999999999534</v>
      </c>
      <c r="V346" s="11">
        <f>IF(OR(履歴データ!$A$346="",履歴データ!$A$345=""),"",-50000*M346)</f>
        <v>-239999.99999999488</v>
      </c>
      <c r="W346" s="11">
        <f>IF(OR(履歴データ!$A$346="",履歴データ!$A$345=""),"",-40000*N346)</f>
        <v>120000.00000000454</v>
      </c>
      <c r="X346" s="11">
        <f>IF(OR(履歴データ!$A$346="",履歴データ!$A$345=""),"",120*1000000*(-Q346/H345))</f>
        <v>-853242.8710244511</v>
      </c>
      <c r="Y346" s="11">
        <f>IF(OR(履歴データ!$A$346="",履歴データ!$A$345=""),"",40000*(-S346)+(-506.3)*R346*1000)</f>
        <v>38664.062500001703</v>
      </c>
      <c r="Z346" s="11">
        <f>IF(OR(履歴データ!$A$346="",履歴データ!$A$345=""),"",-40000*O346)</f>
        <v>514799.9999999968</v>
      </c>
      <c r="AA346" s="11">
        <f>IF(OR(履歴データ!$A$346="",履歴データ!$A$345=""),"",-40000*P346)</f>
        <v>-406734.28710936947</v>
      </c>
      <c r="AB346" s="11">
        <f>IF(履歴データ!$A$346="","",123.3)</f>
        <v>123.3</v>
      </c>
      <c r="AC346">
        <f>IF(履歴データ!$A$346="","",SUM(T346:AA346))</f>
        <v>-858513.09563380561</v>
      </c>
      <c r="AD346" s="29">
        <f>IF(履歴データ!$A$346="","",AC346/1000000)</f>
        <v>-0.85851309563380562</v>
      </c>
      <c r="AE346" s="29">
        <f>IF(履歴データ!$A$346="",AE345,AE345+AC346/1000000)</f>
        <v>75.805314740933852</v>
      </c>
      <c r="AF346" s="12">
        <f>IF(OR(履歴データ!$A$346="",AE345=0),"",(AE346-AE345)/AE345)</f>
        <v>-1.1198411556803465E-2</v>
      </c>
      <c r="AG346" s="29">
        <f t="shared" si="17"/>
        <v>102.17217746631495</v>
      </c>
      <c r="AH346" s="12">
        <f>IF(OR(履歴データ!$A$346="",AG346=0),"",AE346/AG346-1)</f>
        <v>-0.25806304004897973</v>
      </c>
      <c r="AJ346" s="28">
        <f t="shared" ca="1" si="15"/>
        <v>-10.809003249626372</v>
      </c>
      <c r="AK346" s="28">
        <f t="shared" ca="1" si="16"/>
        <v>-53.655282464659336</v>
      </c>
    </row>
    <row r="347" spans="1:37">
      <c r="A347" s="10">
        <f>IF(履歴データ!$A$347="","",履歴データ!$A$347)</f>
        <v>45429</v>
      </c>
      <c r="B347" s="28">
        <f>IF(履歴データ!$A$347="","",(履歴データ!$D$347-(履歴データ!$B$347+履歴データ!$F$347)/2)*100)</f>
        <v>-27.500000000000036</v>
      </c>
      <c r="C347" s="28">
        <f>IF(履歴データ!$A$347="","",(履歴データ!$H$347-(履歴データ!$G$347+履歴データ!$J$347)/2)*100)</f>
        <v>-21.700000000000021</v>
      </c>
      <c r="D347" s="28">
        <f>IF(履歴データ!$A$347="","",(履歴データ!$D$347-履歴データ!$H$347)*100)</f>
        <v>346.3</v>
      </c>
      <c r="E347" s="28">
        <f>IF(履歴データ!$A$347="","",(履歴データ!$D$347-履歴データ!$C$347)*100)</f>
        <v>-2.0000000000000462</v>
      </c>
      <c r="F347" s="28">
        <f>IF(履歴データ!$A$347="","",(履歴データ!$R$347-履歴データ!$D$347)*100)</f>
        <v>-262.98</v>
      </c>
      <c r="G347" s="28">
        <f>IF(履歴データ!$A$347="","",(履歴データ!$S$347-履歴データ!$R$347)*100)</f>
        <v>-86.532178588867254</v>
      </c>
      <c r="H347" s="29">
        <f>IF(履歴データ!$A$347="","",履歴データ!$O$347)</f>
        <v>155.37899780273438</v>
      </c>
      <c r="I347" s="29">
        <f>IF(履歴データ!$A$347="","",履歴データ!$Q$347)</f>
        <v>109.1875</v>
      </c>
      <c r="J347" s="29">
        <f>IF(履歴データ!$A$347="","",履歴データ!$D$347)</f>
        <v>4.42</v>
      </c>
      <c r="K347" s="28">
        <f>IF(OR(履歴データ!$A$347="",履歴データ!$A$346=""),"",B347-B346)</f>
        <v>-0.49999999999998934</v>
      </c>
      <c r="L347" s="28">
        <f>IF(OR(履歴データ!$A$347="",履歴データ!$A$346=""),"",C347-C346)</f>
        <v>0.849999999999973</v>
      </c>
      <c r="M347" s="28">
        <f>IF(OR(履歴データ!$A$347="",履歴データ!$A$346=""),"",D347-D346)</f>
        <v>1.7000000000000455</v>
      </c>
      <c r="N347" s="28">
        <f>IF(OR(履歴データ!$A$347="",履歴データ!$A$346=""),"",E347-E346)</f>
        <v>0</v>
      </c>
      <c r="O347" s="28">
        <f>IF(OR(履歴データ!$A$347="",履歴データ!$A$346=""),"",F347-F346)</f>
        <v>-1.5000000000000568</v>
      </c>
      <c r="P347" s="28">
        <f>IF(OR(履歴データ!$A$347="",履歴データ!$A$346=""),"",G347-G346)</f>
        <v>1.1834642333985954</v>
      </c>
      <c r="Q347" s="29">
        <f>IF(OR(履歴データ!$A$347="",履歴データ!$A$346=""),"",H347-H346)</f>
        <v>0</v>
      </c>
      <c r="R347" s="29">
        <f>IF(OR(履歴データ!$A$347="",履歴データ!$A$346=""),"",I347-I346)</f>
        <v>-0.296875</v>
      </c>
      <c r="S347" s="28">
        <f>IF(OR(履歴データ!$A$347="",履歴データ!$A$346=""),"",(J347-J346)*100)</f>
        <v>4.0000000000000036</v>
      </c>
      <c r="T347" s="11">
        <f>IF(OR(履歴データ!$A$347="",履歴データ!$A$346=""),"",-80000*K347)</f>
        <v>39999.999999999149</v>
      </c>
      <c r="U347" s="11">
        <f>IF(OR(履歴データ!$A$347="",履歴データ!$A$346=""),"",60000*L347)</f>
        <v>50999.999999998377</v>
      </c>
      <c r="V347" s="11">
        <f>IF(OR(履歴データ!$A$347="",履歴データ!$A$346=""),"",-50000*M347)</f>
        <v>-85000.00000000227</v>
      </c>
      <c r="W347" s="11">
        <f>IF(OR(履歴データ!$A$347="",履歴データ!$A$346=""),"",-40000*N347)</f>
        <v>0</v>
      </c>
      <c r="X347" s="11">
        <f>IF(OR(履歴データ!$A$347="",履歴データ!$A$346=""),"",120*1000000*(-Q347/H346))</f>
        <v>0</v>
      </c>
      <c r="Y347" s="11">
        <f>IF(OR(履歴データ!$A$347="",履歴データ!$A$346=""),"",40000*(-S347)+(-506.3)*R347*1000)</f>
        <v>-9692.1875000001455</v>
      </c>
      <c r="Z347" s="11">
        <f>IF(OR(履歴データ!$A$347="",履歴データ!$A$346=""),"",-40000*O347)</f>
        <v>60000.00000000227</v>
      </c>
      <c r="AA347" s="11">
        <f>IF(OR(履歴データ!$A$347="",履歴データ!$A$346=""),"",-40000*P347)</f>
        <v>-47338.569335943816</v>
      </c>
      <c r="AB347" s="11">
        <f>IF(履歴データ!$A$347="","",123.3)</f>
        <v>123.3</v>
      </c>
      <c r="AC347">
        <f>IF(履歴データ!$A$347="","",SUM(T347:AA347))</f>
        <v>8969.2431640535651</v>
      </c>
      <c r="AD347" s="29">
        <f>IF(履歴データ!$A$347="","",AC347/1000000)</f>
        <v>8.9692431640535659E-3</v>
      </c>
      <c r="AE347" s="29">
        <f>IF(履歴データ!$A$347="",AE346,AE346+AC347/1000000)</f>
        <v>75.814283984097912</v>
      </c>
      <c r="AF347" s="12">
        <f>IF(OR(履歴データ!$A$347="",AE346=0),"",(AE347-AE346)/AE346)</f>
        <v>1.1831945022209283E-4</v>
      </c>
      <c r="AG347" s="29">
        <f t="shared" si="17"/>
        <v>102.17217746631495</v>
      </c>
      <c r="AH347" s="12">
        <f>IF(OR(履歴データ!$A$347="",AG347=0),"",AE347/AG347-1)</f>
        <v>-0.25797525447577885</v>
      </c>
      <c r="AJ347" s="28">
        <f t="shared" ca="1" si="15"/>
        <v>-10.780718628798347</v>
      </c>
      <c r="AK347" s="28">
        <f t="shared" ca="1" si="16"/>
        <v>-53.564519466439755</v>
      </c>
    </row>
    <row r="348" spans="1:37">
      <c r="A348" s="10">
        <f>IF(履歴データ!$A$348="","",履歴データ!$A$348)</f>
        <v>45432</v>
      </c>
      <c r="B348" s="28">
        <f>IF(履歴データ!$A$348="","",(履歴データ!$D$348-(履歴データ!$B$348+履歴データ!$F$348)/2)*100)</f>
        <v>-25.999999999999979</v>
      </c>
      <c r="C348" s="28">
        <f>IF(履歴データ!$A$348="","",(履歴データ!$H$348-(履歴データ!$G$348+履歴データ!$J$348)/2)*100)</f>
        <v>-20.450000000000003</v>
      </c>
      <c r="D348" s="28">
        <f>IF(履歴データ!$A$348="","",(履歴データ!$D$348-履歴データ!$H$348)*100)</f>
        <v>345.3</v>
      </c>
      <c r="E348" s="28">
        <f>IF(履歴データ!$A$348="","",(履歴データ!$D$348-履歴データ!$C$348)*100)</f>
        <v>-1.9999999999999574</v>
      </c>
      <c r="F348" s="28">
        <f>IF(履歴データ!$A$348="","",(履歴データ!$R$348-履歴データ!$D$348)*100)</f>
        <v>-255.06000000000003</v>
      </c>
      <c r="G348" s="28">
        <f>IF(履歴データ!$A$348="","",(履歴データ!$S$348-履歴データ!$R$348)*100)</f>
        <v>-94.522821411132952</v>
      </c>
      <c r="H348" s="29">
        <f>IF(履歴データ!$A$348="","",履歴データ!$O$348)</f>
        <v>156.3699951171875</v>
      </c>
      <c r="I348" s="29">
        <f>IF(履歴データ!$A$348="","",履歴データ!$Q$348)</f>
        <v>109.09375</v>
      </c>
      <c r="J348" s="29">
        <f>IF(履歴データ!$A$348="","",履歴データ!$D$348)</f>
        <v>4.4400000000000004</v>
      </c>
      <c r="K348" s="28">
        <f>IF(OR(履歴データ!$A$348="",履歴データ!$A$347=""),"",B348-B347)</f>
        <v>1.5000000000000568</v>
      </c>
      <c r="L348" s="28">
        <f>IF(OR(履歴データ!$A$348="",履歴データ!$A$347=""),"",C348-C347)</f>
        <v>1.2500000000000178</v>
      </c>
      <c r="M348" s="28">
        <f>IF(OR(履歴データ!$A$348="",履歴データ!$A$347=""),"",D348-D347)</f>
        <v>-1</v>
      </c>
      <c r="N348" s="28">
        <f>IF(OR(履歴データ!$A$348="",履歴データ!$A$347=""),"",E348-E347)</f>
        <v>8.8817841970012523E-14</v>
      </c>
      <c r="O348" s="28">
        <f>IF(OR(履歴データ!$A$348="",履歴データ!$A$347=""),"",F348-F347)</f>
        <v>7.9199999999999875</v>
      </c>
      <c r="P348" s="28">
        <f>IF(OR(履歴データ!$A$348="",履歴データ!$A$347=""),"",G348-G347)</f>
        <v>-7.9906428222656984</v>
      </c>
      <c r="Q348" s="29">
        <f>IF(OR(履歴データ!$A$348="",履歴データ!$A$347=""),"",H348-H347)</f>
        <v>0.990997314453125</v>
      </c>
      <c r="R348" s="29">
        <f>IF(OR(履歴データ!$A$348="",履歴データ!$A$347=""),"",I348-I347)</f>
        <v>-9.375E-2</v>
      </c>
      <c r="S348" s="28">
        <f>IF(OR(履歴データ!$A$348="",履歴データ!$A$347=""),"",(J348-J347)*100)</f>
        <v>2.0000000000000462</v>
      </c>
      <c r="T348" s="11">
        <f>IF(OR(履歴データ!$A$348="",履歴データ!$A$347=""),"",-80000*K348)</f>
        <v>-120000.00000000454</v>
      </c>
      <c r="U348" s="11">
        <f>IF(OR(履歴データ!$A$348="",履歴データ!$A$347=""),"",60000*L348)</f>
        <v>75000.000000001062</v>
      </c>
      <c r="V348" s="11">
        <f>IF(OR(履歴データ!$A$348="",履歴データ!$A$347=""),"",-50000*M348)</f>
        <v>50000</v>
      </c>
      <c r="W348" s="11">
        <f>IF(OR(履歴データ!$A$348="",履歴データ!$A$347=""),"",-40000*N348)</f>
        <v>-3.5527136788005009E-9</v>
      </c>
      <c r="X348" s="11">
        <f>IF(OR(履歴データ!$A$348="",履歴データ!$A$347=""),"",120*1000000*(-Q348/H347))</f>
        <v>-765352.32828153973</v>
      </c>
      <c r="Y348" s="11">
        <f>IF(OR(履歴データ!$A$348="",履歴データ!$A$347=""),"",40000*(-S348)+(-506.3)*R348*1000)</f>
        <v>-32534.375000001848</v>
      </c>
      <c r="Z348" s="11">
        <f>IF(OR(履歴データ!$A$348="",履歴データ!$A$347=""),"",-40000*O348)</f>
        <v>-316799.99999999948</v>
      </c>
      <c r="AA348" s="11">
        <f>IF(OR(履歴データ!$A$348="",履歴データ!$A$347=""),"",-40000*P348)</f>
        <v>319625.71289062791</v>
      </c>
      <c r="AB348" s="11">
        <f>IF(履歴データ!$A$348="","",123.3)</f>
        <v>123.3</v>
      </c>
      <c r="AC348">
        <f>IF(履歴データ!$A$348="","",SUM(T348:AA348))</f>
        <v>-790060.9903909202</v>
      </c>
      <c r="AD348" s="29">
        <f>IF(履歴データ!$A$348="","",AC348/1000000)</f>
        <v>-0.79006099039092015</v>
      </c>
      <c r="AE348" s="29">
        <f>IF(履歴データ!$A$348="",AE347,AE347+AC348/1000000)</f>
        <v>75.024222993706985</v>
      </c>
      <c r="AF348" s="12">
        <f>IF(OR(履歴データ!$A$348="",AE347=0),"",(AE348-AE347)/AE347)</f>
        <v>-1.0421004444975603E-2</v>
      </c>
      <c r="AG348" s="29">
        <f t="shared" si="17"/>
        <v>102.17217746631495</v>
      </c>
      <c r="AH348" s="12">
        <f>IF(OR(履歴データ!$A$348="",AG348=0),"",AE348/AG348-1)</f>
        <v>-0.26570789764716862</v>
      </c>
      <c r="AJ348" s="28">
        <f t="shared" ca="1" si="15"/>
        <v>-10.743181378030474</v>
      </c>
      <c r="AK348" s="28">
        <f t="shared" ca="1" si="16"/>
        <v>-53.467136082286984</v>
      </c>
    </row>
    <row r="349" spans="1:37">
      <c r="A349" s="10">
        <f>IF(履歴データ!$A$349="","",履歴データ!$A$349)</f>
        <v>45433</v>
      </c>
      <c r="B349" s="28">
        <f>IF(履歴データ!$A$349="","",(履歴データ!$D$349-(履歴データ!$B$349+履歴データ!$F$349)/2)*100)</f>
        <v>-27.500000000000036</v>
      </c>
      <c r="C349" s="28">
        <f>IF(履歴データ!$A$349="","",(履歴データ!$H$349-(履歴データ!$G$349+履歴データ!$J$349)/2)*100)</f>
        <v>-20.199999999999996</v>
      </c>
      <c r="D349" s="28">
        <f>IF(履歴データ!$A$349="","",(履歴データ!$D$349-履歴データ!$H$349)*100)</f>
        <v>341.8</v>
      </c>
      <c r="E349" s="28">
        <f>IF(履歴データ!$A$349="","",(履歴データ!$D$349-履歴データ!$C$349)*100)</f>
        <v>-1.9999999999999574</v>
      </c>
      <c r="F349" s="28">
        <f>IF(履歴データ!$A$349="","",(履歴データ!$R$349-履歴データ!$D$349)*100)</f>
        <v>-249.78000000000003</v>
      </c>
      <c r="G349" s="28">
        <f>IF(履歴データ!$A$349="","",(履歴データ!$S$349-履歴データ!$R$349)*100)</f>
        <v>-98.556821411132972</v>
      </c>
      <c r="H349" s="29">
        <f>IF(履歴データ!$A$349="","",履歴データ!$O$349)</f>
        <v>156.25100708007813</v>
      </c>
      <c r="I349" s="29">
        <f>IF(履歴データ!$A$349="","",履歴データ!$Q$349)</f>
        <v>109.234375</v>
      </c>
      <c r="J349" s="29">
        <f>IF(履歴データ!$A$349="","",履歴データ!$D$349)</f>
        <v>4.41</v>
      </c>
      <c r="K349" s="28">
        <f>IF(OR(履歴データ!$A$349="",履歴データ!$A$348=""),"",B349-B348)</f>
        <v>-1.5000000000000568</v>
      </c>
      <c r="L349" s="28">
        <f>IF(OR(履歴データ!$A$349="",履歴データ!$A$348=""),"",C349-C348)</f>
        <v>0.25000000000000711</v>
      </c>
      <c r="M349" s="28">
        <f>IF(OR(履歴データ!$A$349="",履歴データ!$A$348=""),"",D349-D348)</f>
        <v>-3.5</v>
      </c>
      <c r="N349" s="28">
        <f>IF(OR(履歴データ!$A$349="",履歴データ!$A$348=""),"",E349-E348)</f>
        <v>0</v>
      </c>
      <c r="O349" s="28">
        <f>IF(OR(履歴データ!$A$349="",履歴データ!$A$348=""),"",F349-F348)</f>
        <v>5.2800000000000011</v>
      </c>
      <c r="P349" s="28">
        <f>IF(OR(履歴データ!$A$349="",履歴データ!$A$348=""),"",G349-G348)</f>
        <v>-4.0340000000000202</v>
      </c>
      <c r="Q349" s="29">
        <f>IF(OR(履歴データ!$A$349="",履歴データ!$A$348=""),"",H349-H348)</f>
        <v>-0.118988037109375</v>
      </c>
      <c r="R349" s="29">
        <f>IF(OR(履歴データ!$A$349="",履歴データ!$A$348=""),"",I349-I348)</f>
        <v>0.140625</v>
      </c>
      <c r="S349" s="28">
        <f>IF(OR(履歴データ!$A$349="",履歴データ!$A$348=""),"",(J349-J348)*100)</f>
        <v>-3.0000000000000249</v>
      </c>
      <c r="T349" s="11">
        <f>IF(OR(履歴データ!$A$349="",履歴データ!$A$348=""),"",-80000*K349)</f>
        <v>120000.00000000454</v>
      </c>
      <c r="U349" s="11">
        <f>IF(OR(履歴データ!$A$349="",履歴データ!$A$348=""),"",60000*L349)</f>
        <v>15000.000000000426</v>
      </c>
      <c r="V349" s="11">
        <f>IF(OR(履歴データ!$A$349="",履歴データ!$A$348=""),"",-50000*M349)</f>
        <v>175000</v>
      </c>
      <c r="W349" s="11">
        <f>IF(OR(履歴データ!$A$349="",履歴データ!$A$348=""),"",-40000*N349)</f>
        <v>0</v>
      </c>
      <c r="X349" s="11">
        <f>IF(OR(履歴データ!$A$349="",履歴データ!$A$348=""),"",120*1000000*(-Q349/H348))</f>
        <v>91312.687209744385</v>
      </c>
      <c r="Y349" s="11">
        <f>IF(OR(履歴データ!$A$349="",履歴データ!$A$348=""),"",40000*(-S349)+(-506.3)*R349*1000)</f>
        <v>48801.56250000099</v>
      </c>
      <c r="Z349" s="11">
        <f>IF(OR(履歴データ!$A$349="",履歴データ!$A$348=""),"",-40000*O349)</f>
        <v>-211200.00000000006</v>
      </c>
      <c r="AA349" s="11">
        <f>IF(OR(履歴データ!$A$349="",履歴データ!$A$348=""),"",-40000*P349)</f>
        <v>161360.00000000081</v>
      </c>
      <c r="AB349" s="11">
        <f>IF(履歴データ!$A$349="","",123.3)</f>
        <v>123.3</v>
      </c>
      <c r="AC349">
        <f>IF(履歴データ!$A$349="","",SUM(T349:AA349))</f>
        <v>400274.24970975111</v>
      </c>
      <c r="AD349" s="29">
        <f>IF(履歴データ!$A$349="","",AC349/1000000)</f>
        <v>0.40027424970975112</v>
      </c>
      <c r="AE349" s="29">
        <f>IF(履歴データ!$A$349="",AE348,AE348+AC349/1000000)</f>
        <v>75.424497243416738</v>
      </c>
      <c r="AF349" s="12">
        <f>IF(OR(履歴データ!$A$349="",AE348=0),"",(AE349-AE348)/AE348)</f>
        <v>5.3352668476596924E-3</v>
      </c>
      <c r="AG349" s="29">
        <f t="shared" si="17"/>
        <v>102.17217746631495</v>
      </c>
      <c r="AH349" s="12">
        <f>IF(OR(履歴データ!$A$349="",AG349=0),"",AE349/AG349-1)</f>
        <v>-0.26179025333698724</v>
      </c>
      <c r="AJ349" s="28">
        <f t="shared" ca="1" si="15"/>
        <v>-10.716409436908148</v>
      </c>
      <c r="AK349" s="28">
        <f t="shared" ca="1" si="16"/>
        <v>-53.374860404361684</v>
      </c>
    </row>
    <row r="350" spans="1:37">
      <c r="A350" s="10">
        <f>IF(履歴データ!$A$350="","",履歴データ!$A$350)</f>
        <v>45434</v>
      </c>
      <c r="B350" s="28">
        <f>IF(履歴データ!$A$350="","",(履歴データ!$D$350-(履歴データ!$B$350+履歴データ!$F$350)/2)*100)</f>
        <v>-27.500000000000036</v>
      </c>
      <c r="C350" s="28">
        <f>IF(履歴データ!$A$350="","",(履歴データ!$H$350-(履歴データ!$G$350+履歴データ!$J$350)/2)*100)</f>
        <v>-21.300000000000008</v>
      </c>
      <c r="D350" s="28">
        <f>IF(履歴データ!$A$350="","",(履歴データ!$D$350-履歴データ!$H$350)*100)</f>
        <v>342.3</v>
      </c>
      <c r="E350" s="28">
        <f>IF(履歴データ!$A$350="","",(履歴データ!$D$350-履歴データ!$C$350)*100)</f>
        <v>-4.0000000000000036</v>
      </c>
      <c r="F350" s="28">
        <f>IF(履歴データ!$A$350="","",(履歴データ!$R$350-履歴データ!$D$350)*100)</f>
        <v>-251.34999999999997</v>
      </c>
      <c r="G350" s="28">
        <f>IF(履歴データ!$A$350="","",(履歴データ!$S$350-履歴データ!$R$350)*100)</f>
        <v>-97.23282141113296</v>
      </c>
      <c r="H350" s="29">
        <f>IF(履歴データ!$A$350="","",履歴データ!$O$350)</f>
        <v>156.70399475097656</v>
      </c>
      <c r="I350" s="29">
        <f>IF(履歴データ!$A$350="","",履歴データ!$Q$350)</f>
        <v>109.03125</v>
      </c>
      <c r="J350" s="29">
        <f>IF(履歴データ!$A$350="","",履歴データ!$D$350)</f>
        <v>4.43</v>
      </c>
      <c r="K350" s="28">
        <f>IF(OR(履歴データ!$A$350="",履歴データ!$A$349=""),"",B350-B349)</f>
        <v>0</v>
      </c>
      <c r="L350" s="28">
        <f>IF(OR(履歴データ!$A$350="",履歴データ!$A$349=""),"",C350-C349)</f>
        <v>-1.1000000000000121</v>
      </c>
      <c r="M350" s="28">
        <f>IF(OR(履歴データ!$A$350="",履歴データ!$A$349=""),"",D350-D349)</f>
        <v>0.5</v>
      </c>
      <c r="N350" s="28">
        <f>IF(OR(履歴データ!$A$350="",履歴データ!$A$349=""),"",E350-E349)</f>
        <v>-2.0000000000000462</v>
      </c>
      <c r="O350" s="28">
        <f>IF(OR(履歴データ!$A$350="",履歴データ!$A$349=""),"",F350-F349)</f>
        <v>-1.5699999999999363</v>
      </c>
      <c r="P350" s="28">
        <f>IF(OR(履歴データ!$A$350="",履歴データ!$A$349=""),"",G350-G349)</f>
        <v>1.3240000000000123</v>
      </c>
      <c r="Q350" s="29">
        <f>IF(OR(履歴データ!$A$350="",履歴データ!$A$349=""),"",H350-H349)</f>
        <v>0.4529876708984375</v>
      </c>
      <c r="R350" s="29">
        <f>IF(OR(履歴データ!$A$350="",履歴データ!$A$349=""),"",I350-I349)</f>
        <v>-0.203125</v>
      </c>
      <c r="S350" s="28">
        <f>IF(OR(履歴データ!$A$350="",履歴データ!$A$349=""),"",(J350-J349)*100)</f>
        <v>1.9999999999999574</v>
      </c>
      <c r="T350" s="11">
        <f>IF(OR(履歴データ!$A$350="",履歴データ!$A$349=""),"",-80000*K350)</f>
        <v>0</v>
      </c>
      <c r="U350" s="11">
        <f>IF(OR(履歴データ!$A$350="",履歴データ!$A$349=""),"",60000*L350)</f>
        <v>-66000.000000000728</v>
      </c>
      <c r="V350" s="11">
        <f>IF(OR(履歴データ!$A$350="",履歴データ!$A$349=""),"",-50000*M350)</f>
        <v>-25000</v>
      </c>
      <c r="W350" s="11">
        <f>IF(OR(履歴データ!$A$350="",履歴データ!$A$349=""),"",-40000*N350)</f>
        <v>80000.000000001848</v>
      </c>
      <c r="X350" s="11">
        <f>IF(OR(履歴データ!$A$350="",履歴データ!$A$349=""),"",120*1000000*(-Q350/H349))</f>
        <v>-347892.28897548118</v>
      </c>
      <c r="Y350" s="11">
        <f>IF(OR(履歴データ!$A$350="",履歴データ!$A$349=""),"",40000*(-S350)+(-506.3)*R350*1000)</f>
        <v>22842.187500001717</v>
      </c>
      <c r="Z350" s="11">
        <f>IF(OR(履歴データ!$A$350="",履歴データ!$A$349=""),"",-40000*O350)</f>
        <v>62799.999999997453</v>
      </c>
      <c r="AA350" s="11">
        <f>IF(OR(履歴データ!$A$350="",履歴データ!$A$349=""),"",-40000*P350)</f>
        <v>-52960.000000000495</v>
      </c>
      <c r="AB350" s="11">
        <f>IF(履歴データ!$A$350="","",123.3)</f>
        <v>123.3</v>
      </c>
      <c r="AC350">
        <f>IF(履歴データ!$A$350="","",SUM(T350:AA350))</f>
        <v>-326210.10147548141</v>
      </c>
      <c r="AD350" s="29">
        <f>IF(履歴データ!$A$350="","",AC350/1000000)</f>
        <v>-0.32621010147548141</v>
      </c>
      <c r="AE350" s="29">
        <f>IF(履歴データ!$A$350="",AE349,AE349+AC350/1000000)</f>
        <v>75.098287141941256</v>
      </c>
      <c r="AF350" s="12">
        <f>IF(OR(履歴データ!$A$350="",AE349=0),"",(AE350-AE349)/AE349)</f>
        <v>-4.3249887423539232E-3</v>
      </c>
      <c r="AG350" s="29">
        <f t="shared" si="17"/>
        <v>102.17217746631495</v>
      </c>
      <c r="AH350" s="12">
        <f>IF(OR(履歴データ!$A$350="",AG350=0),"",AE350/AG350-1)</f>
        <v>-0.26498300218080073</v>
      </c>
      <c r="AJ350" s="28">
        <f t="shared" ca="1" si="15"/>
        <v>-10.6868333679421</v>
      </c>
      <c r="AK350" s="28">
        <f t="shared" ca="1" si="16"/>
        <v>-53.293325362216628</v>
      </c>
    </row>
    <row r="351" spans="1:37">
      <c r="A351" s="10">
        <f>IF(履歴データ!$A$351="","",履歴データ!$A$351)</f>
        <v>45435</v>
      </c>
      <c r="B351" s="28">
        <f>IF(履歴データ!$A$351="","",(履歴データ!$D$351-(履歴データ!$B$351+履歴データ!$F$351)/2)*100)</f>
        <v>-27.500000000000036</v>
      </c>
      <c r="C351" s="28">
        <f>IF(履歴データ!$A$351="","",(履歴データ!$H$351-(履歴データ!$G$351+履歴データ!$J$351)/2)*100)</f>
        <v>-21.150000000000023</v>
      </c>
      <c r="D351" s="28">
        <f>IF(履歴データ!$A$351="","",(履歴データ!$D$351-履歴データ!$H$351)*100)</f>
        <v>345.9</v>
      </c>
      <c r="E351" s="28">
        <f>IF(履歴データ!$A$351="","",(履歴データ!$D$351-履歴データ!$C$351)*100)</f>
        <v>-4.9999999999999822</v>
      </c>
      <c r="F351" s="28">
        <f>IF(履歴データ!$A$351="","",(履歴データ!$R$351-履歴データ!$D$351)*100)</f>
        <v>-249.25999999999993</v>
      </c>
      <c r="G351" s="28">
        <f>IF(履歴データ!$A$351="","",(履歴データ!$S$351-履歴データ!$R$351)*100)</f>
        <v>-102.79664282226572</v>
      </c>
      <c r="H351" s="29">
        <f>IF(履歴データ!$A$351="","",履歴データ!$O$351)</f>
        <v>156.97300720214844</v>
      </c>
      <c r="I351" s="29">
        <f>IF(履歴データ!$A$351="","",履歴データ!$Q$351)</f>
        <v>108.71875</v>
      </c>
      <c r="J351" s="29">
        <f>IF(履歴データ!$A$351="","",履歴データ!$D$351)</f>
        <v>4.47</v>
      </c>
      <c r="K351" s="28">
        <f>IF(OR(履歴データ!$A$351="",履歴データ!$A$350=""),"",B351-B350)</f>
        <v>0</v>
      </c>
      <c r="L351" s="28">
        <f>IF(OR(履歴データ!$A$351="",履歴データ!$A$350=""),"",C351-C350)</f>
        <v>0.14999999999998437</v>
      </c>
      <c r="M351" s="28">
        <f>IF(OR(履歴データ!$A$351="",履歴データ!$A$350=""),"",D351-D350)</f>
        <v>3.5999999999999659</v>
      </c>
      <c r="N351" s="28">
        <f>IF(OR(履歴データ!$A$351="",履歴データ!$A$350=""),"",E351-E350)</f>
        <v>-0.99999999999997868</v>
      </c>
      <c r="O351" s="28">
        <f>IF(OR(履歴データ!$A$351="",履歴データ!$A$350=""),"",F351-F350)</f>
        <v>2.0900000000000318</v>
      </c>
      <c r="P351" s="28">
        <f>IF(OR(履歴データ!$A$351="",履歴データ!$A$350=""),"",G351-G350)</f>
        <v>-5.5638214111327642</v>
      </c>
      <c r="Q351" s="29">
        <f>IF(OR(履歴データ!$A$351="",履歴データ!$A$350=""),"",H351-H350)</f>
        <v>0.269012451171875</v>
      </c>
      <c r="R351" s="29">
        <f>IF(OR(履歴データ!$A$351="",履歴データ!$A$350=""),"",I351-I350)</f>
        <v>-0.3125</v>
      </c>
      <c r="S351" s="28">
        <f>IF(OR(履歴データ!$A$351="",履歴データ!$A$350=""),"",(J351-J350)*100)</f>
        <v>4.0000000000000036</v>
      </c>
      <c r="T351" s="11">
        <f>IF(OR(履歴データ!$A$351="",履歴データ!$A$350=""),"",-80000*K351)</f>
        <v>0</v>
      </c>
      <c r="U351" s="11">
        <f>IF(OR(履歴データ!$A$351="",履歴データ!$A$350=""),"",60000*L351)</f>
        <v>8999.9999999990614</v>
      </c>
      <c r="V351" s="11">
        <f>IF(OR(履歴データ!$A$351="",履歴データ!$A$350=""),"",-50000*M351)</f>
        <v>-179999.99999999828</v>
      </c>
      <c r="W351" s="11">
        <f>IF(OR(履歴データ!$A$351="",履歴データ!$A$350=""),"",-40000*N351)</f>
        <v>39999.999999999149</v>
      </c>
      <c r="X351" s="11">
        <f>IF(OR(履歴データ!$A$351="",履歴データ!$A$350=""),"",120*1000000*(-Q351/H350))</f>
        <v>-206003.00708303304</v>
      </c>
      <c r="Y351" s="11">
        <f>IF(OR(履歴データ!$A$351="",履歴データ!$A$350=""),"",40000*(-S351)+(-506.3)*R351*1000)</f>
        <v>-1781.2500000001455</v>
      </c>
      <c r="Z351" s="11">
        <f>IF(OR(履歴データ!$A$351="",履歴データ!$A$350=""),"",-40000*O351)</f>
        <v>-83600.000000001281</v>
      </c>
      <c r="AA351" s="11">
        <f>IF(OR(履歴データ!$A$351="",履歴データ!$A$350=""),"",-40000*P351)</f>
        <v>222552.85644531058</v>
      </c>
      <c r="AB351" s="11">
        <f>IF(履歴データ!$A$351="","",123.3)</f>
        <v>123.3</v>
      </c>
      <c r="AC351">
        <f>IF(履歴データ!$A$351="","",SUM(T351:AA351))</f>
        <v>-199831.40063772391</v>
      </c>
      <c r="AD351" s="29">
        <f>IF(履歴データ!$A$351="","",AC351/1000000)</f>
        <v>-0.19983140063772392</v>
      </c>
      <c r="AE351" s="29">
        <f>IF(履歴データ!$A$351="",AE350,AE350+AC351/1000000)</f>
        <v>74.898455741303536</v>
      </c>
      <c r="AF351" s="12">
        <f>IF(OR(履歴データ!$A$351="",AE350=0),"",(AE351-AE350)/AE350)</f>
        <v>-2.6609315370938356E-3</v>
      </c>
      <c r="AG351" s="29">
        <f t="shared" si="17"/>
        <v>102.17217746631495</v>
      </c>
      <c r="AH351" s="12">
        <f>IF(OR(履歴データ!$A$351="",AG351=0),"",AE351/AG351-1)</f>
        <v>-0.26693883209059788</v>
      </c>
      <c r="AJ351" s="28">
        <f t="shared" ca="1" si="15"/>
        <v>-10.6563676983066</v>
      </c>
      <c r="AK351" s="28">
        <f t="shared" ca="1" si="16"/>
        <v>-53.216648174709277</v>
      </c>
    </row>
    <row r="352" spans="1:37">
      <c r="A352" s="10">
        <f>IF(履歴データ!$A$352="","",履歴データ!$A$352)</f>
        <v>45436</v>
      </c>
      <c r="B352" s="28">
        <f>IF(履歴データ!$A$352="","",(履歴データ!$D$352-(履歴データ!$B$352+履歴データ!$F$352)/2)*100)</f>
        <v>-29.000000000000004</v>
      </c>
      <c r="C352" s="28">
        <f>IF(履歴データ!$A$352="","",(履歴データ!$H$352-(履歴データ!$G$352+履歴データ!$J$352)/2)*100)</f>
        <v>-20.849999999999991</v>
      </c>
      <c r="D352" s="28">
        <f>IF(履歴データ!$A$352="","",(履歴データ!$D$352-履歴データ!$H$352)*100)</f>
        <v>344.4</v>
      </c>
      <c r="E352" s="28">
        <f>IF(履歴データ!$A$352="","",(履歴データ!$D$352-履歴データ!$C$352)*100)</f>
        <v>-7.0000000000000284</v>
      </c>
      <c r="F352" s="28">
        <f>IF(履歴データ!$A$352="","",(履歴データ!$R$352-履歴データ!$D$352)*100)</f>
        <v>-241.89</v>
      </c>
      <c r="G352" s="28">
        <f>IF(履歴データ!$A$352="","",(履歴データ!$S$352-履歴データ!$R$352)*100)</f>
        <v>-102.50135717773449</v>
      </c>
      <c r="H352" s="29">
        <f>IF(履歴データ!$A$352="","",履歴データ!$O$352)</f>
        <v>156.97300720214844</v>
      </c>
      <c r="I352" s="29">
        <f>IF(履歴データ!$A$352="","",履歴データ!$Q$352)</f>
        <v>108.703125</v>
      </c>
      <c r="J352" s="29">
        <f>IF(履歴データ!$A$352="","",履歴データ!$D$352)</f>
        <v>4.46</v>
      </c>
      <c r="K352" s="28">
        <f>IF(OR(履歴データ!$A$352="",履歴データ!$A$351=""),"",B352-B351)</f>
        <v>-1.499999999999968</v>
      </c>
      <c r="L352" s="28">
        <f>IF(OR(履歴データ!$A$352="",履歴データ!$A$351=""),"",C352-C351)</f>
        <v>0.30000000000003268</v>
      </c>
      <c r="M352" s="28">
        <f>IF(OR(履歴データ!$A$352="",履歴データ!$A$351=""),"",D352-D351)</f>
        <v>-1.5</v>
      </c>
      <c r="N352" s="28">
        <f>IF(OR(履歴データ!$A$352="",履歴データ!$A$351=""),"",E352-E351)</f>
        <v>-2.0000000000000462</v>
      </c>
      <c r="O352" s="28">
        <f>IF(OR(履歴データ!$A$352="",履歴データ!$A$351=""),"",F352-F351)</f>
        <v>7.3699999999999477</v>
      </c>
      <c r="P352" s="28">
        <f>IF(OR(履歴データ!$A$352="",履歴データ!$A$351=""),"",G352-G351)</f>
        <v>0.29528564453123352</v>
      </c>
      <c r="Q352" s="29">
        <f>IF(OR(履歴データ!$A$352="",履歴データ!$A$351=""),"",H352-H351)</f>
        <v>0</v>
      </c>
      <c r="R352" s="29">
        <f>IF(OR(履歴データ!$A$352="",履歴データ!$A$351=""),"",I352-I351)</f>
        <v>-1.5625E-2</v>
      </c>
      <c r="S352" s="28">
        <f>IF(OR(履歴データ!$A$352="",履歴データ!$A$351=""),"",(J352-J351)*100)</f>
        <v>-0.99999999999997868</v>
      </c>
      <c r="T352" s="11">
        <f>IF(OR(履歴データ!$A$352="",履歴データ!$A$351=""),"",-80000*K352)</f>
        <v>119999.99999999744</v>
      </c>
      <c r="U352" s="11">
        <f>IF(OR(履歴データ!$A$352="",履歴データ!$A$351=""),"",60000*L352)</f>
        <v>18000.000000001961</v>
      </c>
      <c r="V352" s="11">
        <f>IF(OR(履歴データ!$A$352="",履歴データ!$A$351=""),"",-50000*M352)</f>
        <v>75000</v>
      </c>
      <c r="W352" s="11">
        <f>IF(OR(履歴データ!$A$352="",履歴データ!$A$351=""),"",-40000*N352)</f>
        <v>80000.000000001848</v>
      </c>
      <c r="X352" s="11">
        <f>IF(OR(履歴データ!$A$352="",履歴データ!$A$351=""),"",120*1000000*(-Q352/H351))</f>
        <v>0</v>
      </c>
      <c r="Y352" s="11">
        <f>IF(OR(履歴データ!$A$352="",履歴データ!$A$351=""),"",40000*(-S352)+(-506.3)*R352*1000)</f>
        <v>47910.937499999149</v>
      </c>
      <c r="Z352" s="11">
        <f>IF(OR(履歴データ!$A$352="",履歴データ!$A$351=""),"",-40000*O352)</f>
        <v>-294799.9999999979</v>
      </c>
      <c r="AA352" s="11">
        <f>IF(OR(履歴データ!$A$352="",履歴データ!$A$351=""),"",-40000*P352)</f>
        <v>-11811.425781249342</v>
      </c>
      <c r="AB352" s="11">
        <f>IF(履歴データ!$A$352="","",123.3)</f>
        <v>123.3</v>
      </c>
      <c r="AC352">
        <f>IF(履歴データ!$A$352="","",SUM(T352:AA352))</f>
        <v>34299.5117187531</v>
      </c>
      <c r="AD352" s="29">
        <f>IF(履歴データ!$A$352="","",AC352/1000000)</f>
        <v>3.4299511718753097E-2</v>
      </c>
      <c r="AE352" s="29">
        <f>IF(履歴データ!$A$352="",AE351,AE351+AC352/1000000)</f>
        <v>74.932755253022293</v>
      </c>
      <c r="AF352" s="12">
        <f>IF(OR(履歴データ!$A$352="",AE351=0),"",(AE352-AE351)/AE351)</f>
        <v>4.579468478926486E-4</v>
      </c>
      <c r="AG352" s="29">
        <f t="shared" si="17"/>
        <v>102.17217746631495</v>
      </c>
      <c r="AH352" s="12">
        <f>IF(OR(履歴データ!$A$352="",AG352=0),"",AE352/AG352-1)</f>
        <v>-0.26660312903944128</v>
      </c>
      <c r="AJ352" s="28">
        <f t="shared" ca="1" si="15"/>
        <v>-10.636510952516208</v>
      </c>
      <c r="AK352" s="28">
        <f t="shared" ca="1" si="16"/>
        <v>-53.141266825261567</v>
      </c>
    </row>
    <row r="353" spans="1:37">
      <c r="A353" s="10">
        <f>IF(履歴データ!$A$353="","",履歴データ!$A$353)</f>
        <v>45440</v>
      </c>
      <c r="B353" s="28">
        <f>IF(履歴データ!$A$353="","",(履歴データ!$D$353-(履歴データ!$B$353+履歴データ!$F$353)/2)*100)</f>
        <v>-26.000000000000068</v>
      </c>
      <c r="C353" s="28">
        <f>IF(履歴データ!$A$353="","",(履歴データ!$H$353-(履歴データ!$G$353+履歴データ!$J$353)/2)*100)</f>
        <v>-19.150000000000023</v>
      </c>
      <c r="D353" s="28">
        <f>IF(履歴データ!$A$353="","",(履歴データ!$D$353-履歴データ!$H$353)*100)</f>
        <v>349.3</v>
      </c>
      <c r="E353" s="28">
        <f>IF(履歴データ!$A$353="","",(履歴データ!$D$353-履歴データ!$C$353)*100)</f>
        <v>-1.9999999999999574</v>
      </c>
      <c r="F353" s="28">
        <f>IF(履歴データ!$A$353="","",(履歴データ!$R$353-履歴データ!$D$353)*100)</f>
        <v>-251.24</v>
      </c>
      <c r="G353" s="28">
        <f>IF(履歴データ!$A$353="","",(履歴データ!$S$353-履歴データ!$R$353)*100)</f>
        <v>-103.25617858886731</v>
      </c>
      <c r="H353" s="29">
        <f>IF(履歴データ!$A$353="","",履歴データ!$O$353)</f>
        <v>157.26199340820313</v>
      </c>
      <c r="I353" s="29">
        <f>IF(履歴データ!$A$353="","",履歴データ!$Q$353)</f>
        <v>108.296875</v>
      </c>
      <c r="J353" s="29">
        <f>IF(履歴データ!$A$353="","",履歴データ!$D$353)</f>
        <v>4.54</v>
      </c>
      <c r="K353" s="28">
        <f>IF(OR(履歴データ!$A$353="",履歴データ!$A$352=""),"",B353-B352)</f>
        <v>2.9999999999999361</v>
      </c>
      <c r="L353" s="28">
        <f>IF(OR(履歴データ!$A$353="",履歴データ!$A$352=""),"",C353-C352)</f>
        <v>1.6999999999999673</v>
      </c>
      <c r="M353" s="28">
        <f>IF(OR(履歴データ!$A$353="",履歴データ!$A$352=""),"",D353-D352)</f>
        <v>4.9000000000000341</v>
      </c>
      <c r="N353" s="28">
        <f>IF(OR(履歴データ!$A$353="",履歴データ!$A$352=""),"",E353-E352)</f>
        <v>5.0000000000000711</v>
      </c>
      <c r="O353" s="28">
        <f>IF(OR(履歴データ!$A$353="",履歴データ!$A$352=""),"",F353-F352)</f>
        <v>-9.3500000000000227</v>
      </c>
      <c r="P353" s="28">
        <f>IF(OR(履歴データ!$A$353="",履歴データ!$A$352=""),"",G353-G352)</f>
        <v>-0.75482141113282353</v>
      </c>
      <c r="Q353" s="29">
        <f>IF(OR(履歴データ!$A$353="",履歴データ!$A$352=""),"",H353-H352)</f>
        <v>0.2889862060546875</v>
      </c>
      <c r="R353" s="29">
        <f>IF(OR(履歴データ!$A$353="",履歴データ!$A$352=""),"",I353-I352)</f>
        <v>-0.40625</v>
      </c>
      <c r="S353" s="28">
        <f>IF(OR(履歴データ!$A$353="",履歴データ!$A$352=""),"",(J353-J352)*100)</f>
        <v>8.0000000000000071</v>
      </c>
      <c r="T353" s="11">
        <f>IF(OR(履歴データ!$A$353="",履歴データ!$A$352=""),"",-80000*K353)</f>
        <v>-239999.99999999488</v>
      </c>
      <c r="U353" s="11">
        <f>IF(OR(履歴データ!$A$353="",履歴データ!$A$352=""),"",60000*L353)</f>
        <v>101999.99999999804</v>
      </c>
      <c r="V353" s="11">
        <f>IF(OR(履歴データ!$A$353="",履歴データ!$A$352=""),"",-50000*M353)</f>
        <v>-245000.00000000172</v>
      </c>
      <c r="W353" s="11">
        <f>IF(OR(履歴データ!$A$353="",履歴データ!$A$352=""),"",-40000*N353)</f>
        <v>-200000.00000000285</v>
      </c>
      <c r="X353" s="11">
        <f>IF(OR(履歴データ!$A$353="",履歴データ!$A$352=""),"",120*1000000*(-Q353/H352))</f>
        <v>-220919.15893478447</v>
      </c>
      <c r="Y353" s="11">
        <f>IF(OR(履歴データ!$A$353="",履歴データ!$A$352=""),"",40000*(-S353)+(-506.3)*R353*1000)</f>
        <v>-114315.62500000026</v>
      </c>
      <c r="Z353" s="11">
        <f>IF(OR(履歴データ!$A$353="",履歴データ!$A$352=""),"",-40000*O353)</f>
        <v>374000.00000000093</v>
      </c>
      <c r="AA353" s="11">
        <f>IF(OR(履歴データ!$A$353="",履歴データ!$A$352=""),"",-40000*P353)</f>
        <v>30192.85644531294</v>
      </c>
      <c r="AB353" s="11">
        <f>IF(履歴データ!$A$353="","",123.3)</f>
        <v>123.3</v>
      </c>
      <c r="AC353">
        <f>IF(履歴データ!$A$353="","",SUM(T353:AA353))</f>
        <v>-514041.9274894722</v>
      </c>
      <c r="AD353" s="29">
        <f>IF(履歴データ!$A$353="","",AC353/1000000)</f>
        <v>-0.51404192748947219</v>
      </c>
      <c r="AE353" s="29">
        <f>IF(履歴データ!$A$353="",AE352,AE352+AC353/1000000)</f>
        <v>74.418713325532821</v>
      </c>
      <c r="AF353" s="12">
        <f>IF(OR(履歴データ!$A$353="",AE352=0),"",(AE353-AE352)/AE352)</f>
        <v>-6.8600430579888426E-3</v>
      </c>
      <c r="AG353" s="29">
        <f t="shared" si="17"/>
        <v>102.17217746631495</v>
      </c>
      <c r="AH353" s="12">
        <f>IF(OR(履歴データ!$A$353="",AG353=0),"",AE353/AG353-1)</f>
        <v>-0.27163426315282502</v>
      </c>
      <c r="AJ353" s="28">
        <f t="shared" ca="1" si="15"/>
        <v>-10.5954514780693</v>
      </c>
      <c r="AK353" s="28">
        <f t="shared" ca="1" si="16"/>
        <v>-53.063278680660858</v>
      </c>
    </row>
    <row r="354" spans="1:37">
      <c r="A354" s="10">
        <f>IF(履歴データ!$A$354="","",履歴データ!$A$354)</f>
        <v>45441</v>
      </c>
      <c r="B354" s="28">
        <f>IF(履歴データ!$A$354="","",(履歴データ!$D$354-(履歴データ!$B$354+履歴データ!$F$354)/2)*100)</f>
        <v>-23.999999999999932</v>
      </c>
      <c r="C354" s="28">
        <f>IF(履歴データ!$A$354="","",(履歴データ!$H$354-(履歴データ!$G$354+履歴データ!$J$354)/2)*100)</f>
        <v>-18.350000000000001</v>
      </c>
      <c r="D354" s="28">
        <f>IF(履歴データ!$A$354="","",(履歴データ!$D$354-履歴データ!$H$354)*100)</f>
        <v>352.6</v>
      </c>
      <c r="E354" s="28">
        <f>IF(履歴データ!$A$354="","",(履歴データ!$D$354-履歴データ!$C$354)*100)</f>
        <v>-1.9999999999999574</v>
      </c>
      <c r="F354" s="28">
        <f>IF(履歴データ!$A$354="","",(履歴データ!$R$354-履歴データ!$D$354)*100)</f>
        <v>-257.54000000000002</v>
      </c>
      <c r="G354" s="28">
        <f>IF(履歴データ!$A$354="","",(履歴データ!$S$354-履歴データ!$R$354)*100)</f>
        <v>-100.44817858886725</v>
      </c>
      <c r="H354" s="29">
        <f>IF(履歴データ!$A$354="","",履歴データ!$O$354)</f>
        <v>157.60800170898438</v>
      </c>
      <c r="I354" s="29">
        <f>IF(履歴データ!$A$354="","",履歴データ!$Q$354)</f>
        <v>107.765625</v>
      </c>
      <c r="J354" s="29">
        <f>IF(履歴データ!$A$354="","",履歴データ!$D$354)</f>
        <v>4.6100000000000003</v>
      </c>
      <c r="K354" s="28">
        <f>IF(OR(履歴データ!$A$354="",履歴データ!$A$353=""),"",B354-B353)</f>
        <v>2.000000000000135</v>
      </c>
      <c r="L354" s="28">
        <f>IF(OR(履歴データ!$A$354="",履歴データ!$A$353=""),"",C354-C353)</f>
        <v>0.80000000000002203</v>
      </c>
      <c r="M354" s="28">
        <f>IF(OR(履歴データ!$A$354="",履歴データ!$A$353=""),"",D354-D353)</f>
        <v>3.3000000000000114</v>
      </c>
      <c r="N354" s="28">
        <f>IF(OR(履歴データ!$A$354="",履歴データ!$A$353=""),"",E354-E353)</f>
        <v>0</v>
      </c>
      <c r="O354" s="28">
        <f>IF(OR(履歴データ!$A$354="",履歴データ!$A$353=""),"",F354-F353)</f>
        <v>-6.3000000000000114</v>
      </c>
      <c r="P354" s="28">
        <f>IF(OR(履歴データ!$A$354="",履歴データ!$A$353=""),"",G354-G353)</f>
        <v>2.8080000000000638</v>
      </c>
      <c r="Q354" s="29">
        <f>IF(OR(履歴データ!$A$354="",履歴データ!$A$353=""),"",H354-H353)</f>
        <v>0.34600830078125</v>
      </c>
      <c r="R354" s="29">
        <f>IF(OR(履歴データ!$A$354="",履歴データ!$A$353=""),"",I354-I353)</f>
        <v>-0.53125</v>
      </c>
      <c r="S354" s="28">
        <f>IF(OR(履歴データ!$A$354="",履歴データ!$A$353=""),"",(J354-J353)*100)</f>
        <v>7.0000000000000284</v>
      </c>
      <c r="T354" s="11">
        <f>IF(OR(履歴データ!$A$354="",履歴データ!$A$353=""),"",-80000*K354)</f>
        <v>-160000.0000000108</v>
      </c>
      <c r="U354" s="11">
        <f>IF(OR(履歴データ!$A$354="",履歴データ!$A$353=""),"",60000*L354)</f>
        <v>48000.000000001324</v>
      </c>
      <c r="V354" s="11">
        <f>IF(OR(履歴データ!$A$354="",履歴データ!$A$353=""),"",-50000*M354)</f>
        <v>-165000.00000000058</v>
      </c>
      <c r="W354" s="11">
        <f>IF(OR(履歴データ!$A$354="",履歴データ!$A$353=""),"",-40000*N354)</f>
        <v>0</v>
      </c>
      <c r="X354" s="11">
        <f>IF(OR(履歴データ!$A$354="",履歴データ!$A$353=""),"",120*1000000*(-Q354/H353))</f>
        <v>-264024.35320767196</v>
      </c>
      <c r="Y354" s="11">
        <f>IF(OR(履歴データ!$A$354="",履歴データ!$A$353=""),"",40000*(-S354)+(-506.3)*R354*1000)</f>
        <v>-11028.125000001164</v>
      </c>
      <c r="Z354" s="11">
        <f>IF(OR(履歴データ!$A$354="",履歴データ!$A$353=""),"",-40000*O354)</f>
        <v>252000.00000000047</v>
      </c>
      <c r="AA354" s="11">
        <f>IF(OR(履歴データ!$A$354="",履歴データ!$A$353=""),"",-40000*P354)</f>
        <v>-112320.00000000255</v>
      </c>
      <c r="AB354" s="11">
        <f>IF(履歴データ!$A$354="","",123.3)</f>
        <v>123.3</v>
      </c>
      <c r="AC354">
        <f>IF(履歴データ!$A$354="","",SUM(T354:AA354))</f>
        <v>-412372.47820768529</v>
      </c>
      <c r="AD354" s="29">
        <f>IF(履歴データ!$A$354="","",AC354/1000000)</f>
        <v>-0.4123724782076853</v>
      </c>
      <c r="AE354" s="29">
        <f>IF(履歴データ!$A$354="",AE353,AE353+AC354/1000000)</f>
        <v>74.006340847325134</v>
      </c>
      <c r="AF354" s="12">
        <f>IF(OR(履歴データ!$A$354="",AE353=0),"",(AE354-AE353)/AE353)</f>
        <v>-5.5412470839670191E-3</v>
      </c>
      <c r="AG354" s="29">
        <f t="shared" si="17"/>
        <v>102.17217746631495</v>
      </c>
      <c r="AH354" s="12">
        <f>IF(OR(履歴データ!$A$354="",AG354=0),"",AE354/AG354-1)</f>
        <v>-0.27567031766819083</v>
      </c>
      <c r="AJ354" s="28">
        <f t="shared" ca="1" si="15"/>
        <v>-10.542282777823022</v>
      </c>
      <c r="AK354" s="28">
        <f t="shared" ca="1" si="16"/>
        <v>-52.969621984081726</v>
      </c>
    </row>
    <row r="355" spans="1:37">
      <c r="A355" s="10">
        <f>IF(履歴データ!$A$355="","",履歴データ!$A$355)</f>
        <v>45442</v>
      </c>
      <c r="B355" s="28">
        <f>IF(履歴データ!$A$355="","",(履歴データ!$D$355-(履歴データ!$B$355+履歴データ!$F$355)/2)*100)</f>
        <v>-25.499999999999989</v>
      </c>
      <c r="C355" s="28">
        <f>IF(履歴データ!$A$355="","",(履歴データ!$H$355-(履歴データ!$G$355+履歴データ!$J$355)/2)*100)</f>
        <v>-19.950000000000003</v>
      </c>
      <c r="D355" s="28">
        <f>IF(履歴データ!$A$355="","",(履歴データ!$D$355-履歴データ!$H$355)*100)</f>
        <v>348.4</v>
      </c>
      <c r="E355" s="28">
        <f>IF(履歴データ!$A$355="","",(履歴データ!$D$355-履歴データ!$C$355)*100)</f>
        <v>-2.0000000000000462</v>
      </c>
      <c r="F355" s="28">
        <f>IF(履歴データ!$A$355="","",(履歴データ!$R$355-履歴データ!$D$355)*100)</f>
        <v>-240.60999999999999</v>
      </c>
      <c r="G355" s="28">
        <f>IF(履歴データ!$A$355="","",(履歴データ!$S$355-履歴データ!$R$355)*100)</f>
        <v>-107.87017858886733</v>
      </c>
      <c r="H355" s="29">
        <f>IF(履歴データ!$A$355="","",履歴データ!$O$355)</f>
        <v>156.9530029296875</v>
      </c>
      <c r="I355" s="29">
        <f>IF(履歴データ!$A$355="","",履歴データ!$Q$355)</f>
        <v>108.234375</v>
      </c>
      <c r="J355" s="29">
        <f>IF(履歴データ!$A$355="","",履歴データ!$D$355)</f>
        <v>4.55</v>
      </c>
      <c r="K355" s="28">
        <f>IF(OR(履歴データ!$A$355="",履歴データ!$A$354=""),"",B355-B354)</f>
        <v>-1.5000000000000568</v>
      </c>
      <c r="L355" s="28">
        <f>IF(OR(履歴データ!$A$355="",履歴データ!$A$354=""),"",C355-C354)</f>
        <v>-1.6000000000000014</v>
      </c>
      <c r="M355" s="28">
        <f>IF(OR(履歴データ!$A$355="",履歴データ!$A$354=""),"",D355-D354)</f>
        <v>-4.2000000000000455</v>
      </c>
      <c r="N355" s="28">
        <f>IF(OR(履歴データ!$A$355="",履歴データ!$A$354=""),"",E355-E354)</f>
        <v>-8.8817841970012523E-14</v>
      </c>
      <c r="O355" s="28">
        <f>IF(OR(履歴データ!$A$355="",履歴データ!$A$354=""),"",F355-F354)</f>
        <v>16.930000000000035</v>
      </c>
      <c r="P355" s="28">
        <f>IF(OR(履歴データ!$A$355="",履歴データ!$A$354=""),"",G355-G354)</f>
        <v>-7.4220000000000823</v>
      </c>
      <c r="Q355" s="29">
        <f>IF(OR(履歴データ!$A$355="",履歴データ!$A$354=""),"",H355-H354)</f>
        <v>-0.654998779296875</v>
      </c>
      <c r="R355" s="29">
        <f>IF(OR(履歴データ!$A$355="",履歴データ!$A$354=""),"",I355-I354)</f>
        <v>0.46875</v>
      </c>
      <c r="S355" s="28">
        <f>IF(OR(履歴データ!$A$355="",履歴データ!$A$354=""),"",(J355-J354)*100)</f>
        <v>-6.0000000000000497</v>
      </c>
      <c r="T355" s="11">
        <f>IF(OR(履歴データ!$A$355="",履歴データ!$A$354=""),"",-80000*K355)</f>
        <v>120000.00000000454</v>
      </c>
      <c r="U355" s="11">
        <f>IF(OR(履歴データ!$A$355="",履歴データ!$A$354=""),"",60000*L355)</f>
        <v>-96000.000000000087</v>
      </c>
      <c r="V355" s="11">
        <f>IF(OR(履歴データ!$A$355="",履歴データ!$A$354=""),"",-50000*M355)</f>
        <v>210000.00000000227</v>
      </c>
      <c r="W355" s="11">
        <f>IF(OR(履歴データ!$A$355="",履歴データ!$A$354=""),"",-40000*N355)</f>
        <v>3.5527136788005009E-9</v>
      </c>
      <c r="X355" s="11">
        <f>IF(OR(履歴データ!$A$355="",履歴データ!$A$354=""),"",120*1000000*(-Q355/H354))</f>
        <v>498704.71462962817</v>
      </c>
      <c r="Y355" s="11">
        <f>IF(OR(履歴データ!$A$355="",履歴データ!$A$354=""),"",40000*(-S355)+(-506.3)*R355*1000)</f>
        <v>2671.8750000019791</v>
      </c>
      <c r="Z355" s="11">
        <f>IF(OR(履歴データ!$A$355="",履歴データ!$A$354=""),"",-40000*O355)</f>
        <v>-677200.0000000014</v>
      </c>
      <c r="AA355" s="11">
        <f>IF(OR(履歴データ!$A$355="",履歴データ!$A$354=""),"",-40000*P355)</f>
        <v>296880.00000000332</v>
      </c>
      <c r="AB355" s="11">
        <f>IF(履歴データ!$A$355="","",123.3)</f>
        <v>123.3</v>
      </c>
      <c r="AC355">
        <f>IF(履歴データ!$A$355="","",SUM(T355:AA355))</f>
        <v>355056.58962964237</v>
      </c>
      <c r="AD355" s="29">
        <f>IF(履歴データ!$A$355="","",AC355/1000000)</f>
        <v>0.35505658962964237</v>
      </c>
      <c r="AE355" s="29">
        <f>IF(履歴データ!$A$355="",AE354,AE354+AC355/1000000)</f>
        <v>74.361397436954775</v>
      </c>
      <c r="AF355" s="12">
        <f>IF(OR(履歴データ!$A$355="",AE354=0),"",(AE355-AE354)/AE354)</f>
        <v>4.7976509251027718E-3</v>
      </c>
      <c r="AG355" s="29">
        <f t="shared" si="17"/>
        <v>102.17217746631495</v>
      </c>
      <c r="AH355" s="12">
        <f>IF(OR(履歴データ!$A$355="",AG355=0),"",AE355/AG355-1)</f>
        <v>-0.27219523669767232</v>
      </c>
      <c r="AJ355" s="28">
        <f t="shared" ca="1" si="15"/>
        <v>-10.516715837833274</v>
      </c>
      <c r="AK355" s="28">
        <f t="shared" ca="1" si="16"/>
        <v>-52.84042701930958</v>
      </c>
    </row>
    <row r="356" spans="1:37">
      <c r="A356" s="10">
        <f>IF(履歴データ!$A$356="","",履歴データ!$A$356)</f>
        <v>45443</v>
      </c>
      <c r="B356" s="28">
        <f>IF(履歴データ!$A$356="","",(履歴データ!$D$356-(履歴データ!$B$356+履歴データ!$F$356)/2)*100)</f>
        <v>-25.999999999999979</v>
      </c>
      <c r="C356" s="28">
        <f>IF(履歴データ!$A$356="","",(履歴データ!$H$356-(履歴データ!$G$356+履歴データ!$J$356)/2)*100)</f>
        <v>-19.699999999999985</v>
      </c>
      <c r="D356" s="28">
        <f>IF(履歴データ!$A$356="","",(履歴データ!$D$356-履歴データ!$H$356)*100)</f>
        <v>343</v>
      </c>
      <c r="E356" s="28">
        <f>IF(履歴データ!$A$356="","",(履歴データ!$D$356-履歴データ!$C$356)*100)</f>
        <v>-0.99999999999997868</v>
      </c>
      <c r="F356" s="28">
        <f>IF(履歴データ!$A$356="","",(履歴データ!$R$356-履歴データ!$D$356)*100)</f>
        <v>-239.85999999999996</v>
      </c>
      <c r="G356" s="28">
        <f>IF(履歴データ!$A$356="","",(履歴データ!$S$356-履歴データ!$R$356)*100)</f>
        <v>-106.54964282226574</v>
      </c>
      <c r="H356" s="29">
        <f>IF(履歴データ!$A$356="","",履歴データ!$O$356)</f>
        <v>156.9530029296875</v>
      </c>
      <c r="I356" s="29">
        <f>IF(履歴データ!$A$356="","",履歴データ!$Q$356)</f>
        <v>108.484375</v>
      </c>
      <c r="J356" s="29">
        <f>IF(履歴データ!$A$356="","",履歴データ!$D$356)</f>
        <v>4.51</v>
      </c>
      <c r="K356" s="28">
        <f>IF(OR(履歴データ!$A$356="",履歴データ!$A$355=""),"",B356-B355)</f>
        <v>-0.49999999999998934</v>
      </c>
      <c r="L356" s="28">
        <f>IF(OR(履歴データ!$A$356="",履歴データ!$A$355=""),"",C356-C355)</f>
        <v>0.25000000000001776</v>
      </c>
      <c r="M356" s="28">
        <f>IF(OR(履歴データ!$A$356="",履歴データ!$A$355=""),"",D356-D355)</f>
        <v>-5.3999999999999773</v>
      </c>
      <c r="N356" s="28">
        <f>IF(OR(履歴データ!$A$356="",履歴データ!$A$355=""),"",E356-E355)</f>
        <v>1.0000000000000675</v>
      </c>
      <c r="O356" s="28">
        <f>IF(OR(履歴データ!$A$356="",履歴データ!$A$355=""),"",F356-F355)</f>
        <v>0.75000000000002842</v>
      </c>
      <c r="P356" s="28">
        <f>IF(OR(履歴データ!$A$356="",履歴データ!$A$355=""),"",G356-G355)</f>
        <v>1.3205357666015942</v>
      </c>
      <c r="Q356" s="29">
        <f>IF(OR(履歴データ!$A$356="",履歴データ!$A$355=""),"",H356-H355)</f>
        <v>0</v>
      </c>
      <c r="R356" s="29">
        <f>IF(OR(履歴データ!$A$356="",履歴データ!$A$355=""),"",I356-I355)</f>
        <v>0.25</v>
      </c>
      <c r="S356" s="28">
        <f>IF(OR(履歴データ!$A$356="",履歴データ!$A$355=""),"",(J356-J355)*100)</f>
        <v>-4.0000000000000036</v>
      </c>
      <c r="T356" s="11">
        <f>IF(OR(履歴データ!$A$356="",履歴データ!$A$355=""),"",-80000*K356)</f>
        <v>39999.999999999149</v>
      </c>
      <c r="U356" s="11">
        <f>IF(OR(履歴データ!$A$356="",履歴データ!$A$355=""),"",60000*L356)</f>
        <v>15000.000000001066</v>
      </c>
      <c r="V356" s="11">
        <f>IF(OR(履歴データ!$A$356="",履歴データ!$A$355=""),"",-50000*M356)</f>
        <v>269999.99999999884</v>
      </c>
      <c r="W356" s="11">
        <f>IF(OR(履歴データ!$A$356="",履歴データ!$A$355=""),"",-40000*N356)</f>
        <v>-40000.000000002699</v>
      </c>
      <c r="X356" s="11">
        <f>IF(OR(履歴データ!$A$356="",履歴データ!$A$355=""),"",120*1000000*(-Q356/H355))</f>
        <v>0</v>
      </c>
      <c r="Y356" s="11">
        <f>IF(OR(履歴データ!$A$356="",履歴データ!$A$355=""),"",40000*(-S356)+(-506.3)*R356*1000)</f>
        <v>33425.000000000146</v>
      </c>
      <c r="Z356" s="11">
        <f>IF(OR(履歴データ!$A$356="",履歴データ!$A$355=""),"",-40000*O356)</f>
        <v>-30000.000000001135</v>
      </c>
      <c r="AA356" s="11">
        <f>IF(OR(履歴データ!$A$356="",履歴データ!$A$355=""),"",-40000*P356)</f>
        <v>-52821.430664063766</v>
      </c>
      <c r="AB356" s="11">
        <f>IF(履歴データ!$A$356="","",123.3)</f>
        <v>123.3</v>
      </c>
      <c r="AC356">
        <f>IF(履歴データ!$A$356="","",SUM(T356:AA356))</f>
        <v>235603.56933593156</v>
      </c>
      <c r="AD356" s="29">
        <f>IF(履歴データ!$A$356="","",AC356/1000000)</f>
        <v>0.23560356933593157</v>
      </c>
      <c r="AE356" s="29">
        <f>IF(履歴データ!$A$356="",AE355,AE355+AC356/1000000)</f>
        <v>74.597001006290711</v>
      </c>
      <c r="AF356" s="12">
        <f>IF(OR(履歴データ!$A$356="",AE355=0),"",(AE356-AE355)/AE355)</f>
        <v>3.1683585496854847E-3</v>
      </c>
      <c r="AG356" s="29">
        <f t="shared" si="17"/>
        <v>102.17217746631495</v>
      </c>
      <c r="AH356" s="12">
        <f>IF(OR(履歴データ!$A$356="",AG356=0),"",AE356/AG356-1)</f>
        <v>-0.2698892902533615</v>
      </c>
      <c r="AJ356" s="28">
        <f t="shared" ca="1" si="15"/>
        <v>-10.527311626887574</v>
      </c>
      <c r="AK356" s="28">
        <f t="shared" ca="1" si="16"/>
        <v>-52.647291547715604</v>
      </c>
    </row>
    <row r="357" spans="1:37">
      <c r="A357" s="10">
        <f>IF(履歴データ!$A$357="","",履歴データ!$A$357)</f>
        <v>45446</v>
      </c>
      <c r="B357" s="28">
        <f>IF(履歴データ!$A$357="","",(履歴データ!$D$357-(履歴データ!$B$357+履歴データ!$F$357)/2)*100)</f>
        <v>-27.500000000000036</v>
      </c>
      <c r="C357" s="28">
        <f>IF(履歴データ!$A$357="","",(履歴データ!$H$357-(履歴データ!$G$357+履歴データ!$J$357)/2)*100)</f>
        <v>-21.35</v>
      </c>
      <c r="D357" s="28">
        <f>IF(履歴データ!$A$357="","",(履歴データ!$D$357-履歴データ!$H$357)*100)</f>
        <v>333.90000000000003</v>
      </c>
      <c r="E357" s="28">
        <f>IF(履歴データ!$A$357="","",(履歴データ!$D$357-履歴データ!$C$357)*100)</f>
        <v>-0.99999999999997868</v>
      </c>
      <c r="F357" s="28">
        <f>IF(履歴データ!$A$357="","",(履歴データ!$R$357-履歴データ!$D$357)*100)</f>
        <v>-234.42000000000002</v>
      </c>
      <c r="G357" s="28">
        <f>IF(履歴データ!$A$357="","",(履歴データ!$S$357-履歴データ!$R$357)*100)</f>
        <v>-100.41100000000012</v>
      </c>
      <c r="H357" s="29">
        <f>IF(履歴データ!$A$357="","",履歴データ!$O$357)</f>
        <v>156.07600402832031</v>
      </c>
      <c r="I357" s="29">
        <f>IF(履歴データ!$A$357="","",履歴データ!$Q$357)</f>
        <v>109.25</v>
      </c>
      <c r="J357" s="29">
        <f>IF(履歴データ!$A$357="","",履歴データ!$D$357)</f>
        <v>4.41</v>
      </c>
      <c r="K357" s="28">
        <f>IF(OR(履歴データ!$A$357="",履歴データ!$A$356=""),"",B357-B356)</f>
        <v>-1.5000000000000568</v>
      </c>
      <c r="L357" s="28">
        <f>IF(OR(履歴データ!$A$357="",履歴データ!$A$356=""),"",C357-C356)</f>
        <v>-1.6500000000000163</v>
      </c>
      <c r="M357" s="28">
        <f>IF(OR(履歴データ!$A$357="",履歴データ!$A$356=""),"",D357-D356)</f>
        <v>-9.0999999999999659</v>
      </c>
      <c r="N357" s="28">
        <f>IF(OR(履歴データ!$A$357="",履歴データ!$A$356=""),"",E357-E356)</f>
        <v>0</v>
      </c>
      <c r="O357" s="28">
        <f>IF(OR(履歴データ!$A$357="",履歴データ!$A$356=""),"",F357-F356)</f>
        <v>5.4399999999999409</v>
      </c>
      <c r="P357" s="28">
        <f>IF(OR(履歴データ!$A$357="",履歴データ!$A$356=""),"",G357-G356)</f>
        <v>6.1386428222656235</v>
      </c>
      <c r="Q357" s="29">
        <f>IF(OR(履歴データ!$A$357="",履歴データ!$A$356=""),"",H357-H356)</f>
        <v>-0.8769989013671875</v>
      </c>
      <c r="R357" s="29">
        <f>IF(OR(履歴データ!$A$357="",履歴データ!$A$356=""),"",I357-I356)</f>
        <v>0.765625</v>
      </c>
      <c r="S357" s="28">
        <f>IF(OR(履歴データ!$A$357="",履歴データ!$A$356=""),"",(J357-J356)*100)</f>
        <v>-9.9999999999999645</v>
      </c>
      <c r="T357" s="11">
        <f>IF(OR(履歴データ!$A$357="",履歴データ!$A$356=""),"",-80000*K357)</f>
        <v>120000.00000000454</v>
      </c>
      <c r="U357" s="11">
        <f>IF(OR(履歴データ!$A$357="",履歴データ!$A$356=""),"",60000*L357)</f>
        <v>-99000.000000000975</v>
      </c>
      <c r="V357" s="11">
        <f>IF(OR(履歴データ!$A$357="",履歴データ!$A$356=""),"",-50000*M357)</f>
        <v>454999.99999999831</v>
      </c>
      <c r="W357" s="11">
        <f>IF(OR(履歴データ!$A$357="",履歴データ!$A$356=""),"",-40000*N357)</f>
        <v>0</v>
      </c>
      <c r="X357" s="11">
        <f>IF(OR(履歴データ!$A$357="",履歴データ!$A$356=""),"",120*1000000*(-Q357/H356))</f>
        <v>670518.34752858046</v>
      </c>
      <c r="Y357" s="11">
        <f>IF(OR(履歴データ!$A$357="",履歴データ!$A$356=""),"",40000*(-S357)+(-506.3)*R357*1000)</f>
        <v>12364.062499998603</v>
      </c>
      <c r="Z357" s="11">
        <f>IF(OR(履歴データ!$A$357="",履歴データ!$A$356=""),"",-40000*O357)</f>
        <v>-217599.99999999764</v>
      </c>
      <c r="AA357" s="11">
        <f>IF(OR(履歴データ!$A$357="",履歴データ!$A$356=""),"",-40000*P357)</f>
        <v>-245545.71289062494</v>
      </c>
      <c r="AB357" s="11">
        <f>IF(履歴データ!$A$357="","",123.3)</f>
        <v>123.3</v>
      </c>
      <c r="AC357">
        <f>IF(履歴データ!$A$357="","",SUM(T357:AA357))</f>
        <v>695736.69713795837</v>
      </c>
      <c r="AD357" s="29">
        <f>IF(履歴データ!$A$357="","",AC357/1000000)</f>
        <v>0.69573669713795838</v>
      </c>
      <c r="AE357" s="29">
        <f>IF(履歴データ!$A$357="",AE356,AE356+AC357/1000000)</f>
        <v>75.292737703428671</v>
      </c>
      <c r="AF357" s="12">
        <f>IF(OR(履歴データ!$A$357="",AE356=0),"",(AE357-AE356)/AE356)</f>
        <v>9.3266041228559447E-3</v>
      </c>
      <c r="AG357" s="29">
        <f t="shared" si="17"/>
        <v>102.17217746631495</v>
      </c>
      <c r="AH357" s="12">
        <f>IF(OR(履歴データ!$A$357="",AG357=0),"",AE357/AG357-1)</f>
        <v>-0.26307983669769719</v>
      </c>
      <c r="AJ357" s="28">
        <f t="shared" ca="1" si="15"/>
        <v>-10.546794684713042</v>
      </c>
      <c r="AK357" s="28">
        <f t="shared" ca="1" si="16"/>
        <v>-52.461141823223457</v>
      </c>
    </row>
    <row r="358" spans="1:37">
      <c r="A358" s="10">
        <f>IF(履歴データ!$A$358="","",履歴データ!$A$358)</f>
        <v>45447</v>
      </c>
      <c r="B358" s="28">
        <f>IF(履歴データ!$A$358="","",(履歴データ!$D$358-(履歴データ!$B$358+履歴データ!$F$358)/2)*100)</f>
        <v>-29.499999999999993</v>
      </c>
      <c r="C358" s="28">
        <f>IF(履歴データ!$A$358="","",(履歴データ!$H$358-(履歴データ!$G$358+履歴データ!$J$358)/2)*100)</f>
        <v>-22.450000000000014</v>
      </c>
      <c r="D358" s="28">
        <f>IF(履歴データ!$A$358="","",(履歴データ!$D$358-履歴データ!$H$358)*100)</f>
        <v>328.7</v>
      </c>
      <c r="E358" s="28">
        <f>IF(履歴データ!$A$358="","",(履歴データ!$D$358-履歴データ!$C$358)*100)</f>
        <v>-1.9999999999999574</v>
      </c>
      <c r="F358" s="28">
        <f>IF(履歴データ!$A$358="","",(履歴データ!$R$358-履歴データ!$D$358)*100)</f>
        <v>-231.65</v>
      </c>
      <c r="G358" s="28">
        <f>IF(履歴データ!$A$358="","",(履歴データ!$S$358-履歴データ!$R$358)*100)</f>
        <v>-100.79382141113302</v>
      </c>
      <c r="H358" s="29">
        <f>IF(履歴データ!$A$358="","",履歴データ!$O$358)</f>
        <v>155.12399291992188</v>
      </c>
      <c r="I358" s="29">
        <f>IF(履歴データ!$A$358="","",履歴データ!$Q$358)</f>
        <v>109.703125</v>
      </c>
      <c r="J358" s="29">
        <f>IF(履歴データ!$A$358="","",履歴データ!$D$358)</f>
        <v>4.33</v>
      </c>
      <c r="K358" s="28">
        <f>IF(OR(履歴データ!$A$358="",履歴データ!$A$357=""),"",B358-B357)</f>
        <v>-1.9999999999999574</v>
      </c>
      <c r="L358" s="28">
        <f>IF(OR(履歴データ!$A$358="",履歴データ!$A$357=""),"",C358-C357)</f>
        <v>-1.1000000000000121</v>
      </c>
      <c r="M358" s="28">
        <f>IF(OR(履歴データ!$A$358="",履歴データ!$A$357=""),"",D358-D357)</f>
        <v>-5.2000000000000455</v>
      </c>
      <c r="N358" s="28">
        <f>IF(OR(履歴データ!$A$358="",履歴データ!$A$357=""),"",E358-E357)</f>
        <v>-0.99999999999997868</v>
      </c>
      <c r="O358" s="28">
        <f>IF(OR(履歴データ!$A$358="",履歴データ!$A$357=""),"",F358-F357)</f>
        <v>2.7700000000000102</v>
      </c>
      <c r="P358" s="28">
        <f>IF(OR(履歴データ!$A$358="",履歴データ!$A$357=""),"",G358-G357)</f>
        <v>-0.38282141113290891</v>
      </c>
      <c r="Q358" s="29">
        <f>IF(OR(履歴データ!$A$358="",履歴データ!$A$357=""),"",H358-H357)</f>
        <v>-0.9520111083984375</v>
      </c>
      <c r="R358" s="29">
        <f>IF(OR(履歴データ!$A$358="",履歴データ!$A$357=""),"",I358-I357)</f>
        <v>0.453125</v>
      </c>
      <c r="S358" s="28">
        <f>IF(OR(履歴データ!$A$358="",履歴データ!$A$357=""),"",(J358-J357)*100)</f>
        <v>-8.0000000000000071</v>
      </c>
      <c r="T358" s="11">
        <f>IF(OR(履歴データ!$A$358="",履歴データ!$A$357=""),"",-80000*K358)</f>
        <v>159999.99999999659</v>
      </c>
      <c r="U358" s="11">
        <f>IF(OR(履歴データ!$A$358="",履歴データ!$A$357=""),"",60000*L358)</f>
        <v>-66000.000000000728</v>
      </c>
      <c r="V358" s="11">
        <f>IF(OR(履歴データ!$A$358="",履歴データ!$A$357=""),"",-50000*M358)</f>
        <v>260000.00000000227</v>
      </c>
      <c r="W358" s="11">
        <f>IF(OR(履歴データ!$A$358="",履歴データ!$A$357=""),"",-40000*N358)</f>
        <v>39999.999999999149</v>
      </c>
      <c r="X358" s="11">
        <f>IF(OR(履歴データ!$A$358="",履歴データ!$A$357=""),"",120*1000000*(-Q358/H357))</f>
        <v>731959.62261490989</v>
      </c>
      <c r="Y358" s="11">
        <f>IF(OR(履歴データ!$A$358="",履歴データ!$A$357=""),"",40000*(-S358)+(-506.3)*R358*1000)</f>
        <v>90582.812500000291</v>
      </c>
      <c r="Z358" s="11">
        <f>IF(OR(履歴データ!$A$358="",履歴データ!$A$357=""),"",-40000*O358)</f>
        <v>-110800.00000000041</v>
      </c>
      <c r="AA358" s="11">
        <f>IF(OR(履歴データ!$A$358="",履歴データ!$A$357=""),"",-40000*P358)</f>
        <v>15312.856445316356</v>
      </c>
      <c r="AB358" s="11">
        <f>IF(履歴データ!$A$358="","",123.3)</f>
        <v>123.3</v>
      </c>
      <c r="AC358">
        <f>IF(履歴データ!$A$358="","",SUM(T358:AA358))</f>
        <v>1121055.2915602233</v>
      </c>
      <c r="AD358" s="29">
        <f>IF(履歴データ!$A$358="","",AC358/1000000)</f>
        <v>1.1210552915602234</v>
      </c>
      <c r="AE358" s="29">
        <f>IF(履歴データ!$A$358="",AE357,AE357+AC358/1000000)</f>
        <v>76.413792994988896</v>
      </c>
      <c r="AF358" s="12">
        <f>IF(OR(履歴データ!$A$358="",AE357=0),"",(AE358-AE357)/AE357)</f>
        <v>1.4889288472627481E-2</v>
      </c>
      <c r="AG358" s="29">
        <f t="shared" si="17"/>
        <v>102.17217746631495</v>
      </c>
      <c r="AH358" s="12">
        <f>IF(OR(履歴データ!$A$358="",AG358=0),"",AE358/AG358-1)</f>
        <v>-0.25210761980499352</v>
      </c>
      <c r="AJ358" s="28">
        <f t="shared" ca="1" si="15"/>
        <v>-10.571835598207478</v>
      </c>
      <c r="AK358" s="28">
        <f t="shared" ca="1" si="16"/>
        <v>-52.293243766871889</v>
      </c>
    </row>
    <row r="359" spans="1:37">
      <c r="A359" s="10">
        <f>IF(履歴データ!$A$359="","",履歴データ!$A$359)</f>
        <v>45448</v>
      </c>
      <c r="B359" s="28">
        <f>IF(履歴データ!$A$359="","",(履歴データ!$D$359-(履歴データ!$B$359+履歴データ!$F$359)/2)*100)</f>
        <v>-29.000000000000004</v>
      </c>
      <c r="C359" s="28">
        <f>IF(履歴データ!$A$359="","",(履歴データ!$H$359-(履歴データ!$G$359+履歴データ!$J$359)/2)*100)</f>
        <v>-21.999999999999996</v>
      </c>
      <c r="D359" s="28">
        <f>IF(履歴データ!$A$359="","",(履歴データ!$D$359-履歴データ!$H$359)*100)</f>
        <v>327.59999999999997</v>
      </c>
      <c r="E359" s="28">
        <f>IF(履歴データ!$A$359="","",(履歴データ!$D$359-履歴データ!$C$359)*100)</f>
        <v>-1.9999999999999574</v>
      </c>
      <c r="F359" s="28">
        <f>IF(履歴データ!$A$359="","",(履歴データ!$R$359-履歴データ!$D$359)*100)</f>
        <v>-231.29999999999998</v>
      </c>
      <c r="G359" s="28">
        <f>IF(履歴データ!$A$359="","",(履歴データ!$S$359-履歴データ!$R$359)*100)</f>
        <v>-97.845357177734527</v>
      </c>
      <c r="H359" s="29">
        <f>IF(履歴データ!$A$359="","",履歴データ!$O$359)</f>
        <v>155.92900085449219</v>
      </c>
      <c r="I359" s="29">
        <f>IF(履歴データ!$A$359="","",履歴データ!$Q$359)</f>
        <v>109.984375</v>
      </c>
      <c r="J359" s="29">
        <f>IF(履歴データ!$A$359="","",履歴データ!$D$359)</f>
        <v>4.29</v>
      </c>
      <c r="K359" s="28">
        <f>IF(OR(履歴データ!$A$359="",履歴データ!$A$358=""),"",B359-B358)</f>
        <v>0.49999999999998934</v>
      </c>
      <c r="L359" s="28">
        <f>IF(OR(履歴データ!$A$359="",履歴データ!$A$358=""),"",C359-C358)</f>
        <v>0.45000000000001705</v>
      </c>
      <c r="M359" s="28">
        <f>IF(OR(履歴データ!$A$359="",履歴データ!$A$358=""),"",D359-D358)</f>
        <v>-1.1000000000000227</v>
      </c>
      <c r="N359" s="28">
        <f>IF(OR(履歴データ!$A$359="",履歴データ!$A$358=""),"",E359-E358)</f>
        <v>0</v>
      </c>
      <c r="O359" s="28">
        <f>IF(OR(履歴データ!$A$359="",履歴データ!$A$358=""),"",F359-F358)</f>
        <v>0.35000000000002274</v>
      </c>
      <c r="P359" s="28">
        <f>IF(OR(履歴データ!$A$359="",履歴データ!$A$358=""),"",G359-G358)</f>
        <v>2.9484642333984965</v>
      </c>
      <c r="Q359" s="29">
        <f>IF(OR(履歴データ!$A$359="",履歴データ!$A$358=""),"",H359-H358)</f>
        <v>0.8050079345703125</v>
      </c>
      <c r="R359" s="29">
        <f>IF(OR(履歴データ!$A$359="",履歴データ!$A$358=""),"",I359-I358)</f>
        <v>0.28125</v>
      </c>
      <c r="S359" s="28">
        <f>IF(OR(履歴データ!$A$359="",履歴データ!$A$358=""),"",(J359-J358)*100)</f>
        <v>-4.0000000000000036</v>
      </c>
      <c r="T359" s="11">
        <f>IF(OR(履歴データ!$A$359="",履歴データ!$A$358=""),"",-80000*K359)</f>
        <v>-39999.999999999149</v>
      </c>
      <c r="U359" s="11">
        <f>IF(OR(履歴データ!$A$359="",履歴データ!$A$358=""),"",60000*L359)</f>
        <v>27000.000000001022</v>
      </c>
      <c r="V359" s="11">
        <f>IF(OR(履歴データ!$A$359="",履歴データ!$A$358=""),"",-50000*M359)</f>
        <v>55000.000000001135</v>
      </c>
      <c r="W359" s="11">
        <f>IF(OR(履歴データ!$A$359="",履歴データ!$A$358=""),"",-40000*N359)</f>
        <v>0</v>
      </c>
      <c r="X359" s="11">
        <f>IF(OR(履歴データ!$A$359="",履歴データ!$A$358=""),"",120*1000000*(-Q359/H358))</f>
        <v>-622733.79075733852</v>
      </c>
      <c r="Y359" s="11">
        <f>IF(OR(履歴データ!$A$359="",履歴データ!$A$358=""),"",40000*(-S359)+(-506.3)*R359*1000)</f>
        <v>17603.125000000146</v>
      </c>
      <c r="Z359" s="11">
        <f>IF(OR(履歴データ!$A$359="",履歴データ!$A$358=""),"",-40000*O359)</f>
        <v>-14000.000000000909</v>
      </c>
      <c r="AA359" s="11">
        <f>IF(OR(履歴データ!$A$359="",履歴データ!$A$358=""),"",-40000*P359)</f>
        <v>-117938.56933593986</v>
      </c>
      <c r="AB359" s="11">
        <f>IF(履歴データ!$A$359="","",123.3)</f>
        <v>123.3</v>
      </c>
      <c r="AC359">
        <f>IF(履歴データ!$A$359="","",SUM(T359:AA359))</f>
        <v>-695069.23509327613</v>
      </c>
      <c r="AD359" s="29">
        <f>IF(履歴データ!$A$359="","",AC359/1000000)</f>
        <v>-0.69506923509327612</v>
      </c>
      <c r="AE359" s="29">
        <f>IF(履歴データ!$A$359="",AE358,AE358+AC359/1000000)</f>
        <v>75.718723759895624</v>
      </c>
      <c r="AF359" s="12">
        <f>IF(OR(履歴データ!$A$359="",AE358=0),"",(AE359-AE358)/AE358)</f>
        <v>-9.0961226743299199E-3</v>
      </c>
      <c r="AG359" s="29">
        <f t="shared" si="17"/>
        <v>102.17217746631495</v>
      </c>
      <c r="AH359" s="12">
        <f>IF(OR(履歴データ!$A$359="",AG359=0),"",AE359/AG359-1)</f>
        <v>-0.2589105406424439</v>
      </c>
      <c r="AJ359" s="28">
        <f t="shared" ca="1" si="15"/>
        <v>-10.619002489810555</v>
      </c>
      <c r="AK359" s="28">
        <f t="shared" ca="1" si="16"/>
        <v>-52.079410208602141</v>
      </c>
    </row>
    <row r="360" spans="1:37">
      <c r="A360" s="10">
        <f>IF(履歴データ!$A$360="","",履歴データ!$A$360)</f>
        <v>45449</v>
      </c>
      <c r="B360" s="28">
        <f>IF(履歴データ!$A$360="","",(履歴データ!$D$360-(履歴データ!$B$360+履歴データ!$F$360)/2)*100)</f>
        <v>-29.499999999999904</v>
      </c>
      <c r="C360" s="28">
        <f>IF(履歴データ!$A$360="","",(履歴データ!$H$360-(履歴データ!$G$360+履歴データ!$J$360)/2)*100)</f>
        <v>-21.550000000000004</v>
      </c>
      <c r="D360" s="28">
        <f>IF(履歴データ!$A$360="","",(履歴データ!$D$360-履歴データ!$H$360)*100)</f>
        <v>330.8</v>
      </c>
      <c r="E360" s="28">
        <f>IF(履歴データ!$A$360="","",(履歴データ!$D$360-履歴データ!$C$360)*100)</f>
        <v>-0.99999999999997868</v>
      </c>
      <c r="F360" s="28">
        <f>IF(履歴データ!$A$360="","",(履歴データ!$R$360-履歴データ!$D$360)*100)</f>
        <v>-235.42000000000004</v>
      </c>
      <c r="G360" s="28">
        <f>IF(履歴データ!$A$360="","",(履歴データ!$S$360-履歴データ!$R$360)*100)</f>
        <v>-99.566000000000201</v>
      </c>
      <c r="H360" s="29">
        <f>IF(履歴データ!$A$360="","",履歴データ!$O$360)</f>
        <v>155.69700622558594</v>
      </c>
      <c r="I360" s="29">
        <f>IF(履歴データ!$A$360="","",履歴データ!$Q$360)</f>
        <v>110.0625</v>
      </c>
      <c r="J360" s="29">
        <f>IF(履歴データ!$A$360="","",履歴データ!$D$360)</f>
        <v>4.28</v>
      </c>
      <c r="K360" s="28">
        <f>IF(OR(履歴データ!$A$360="",履歴データ!$A$359=""),"",B360-B359)</f>
        <v>-0.49999999999990052</v>
      </c>
      <c r="L360" s="28">
        <f>IF(OR(履歴データ!$A$360="",履歴データ!$A$359=""),"",C360-C359)</f>
        <v>0.44999999999999218</v>
      </c>
      <c r="M360" s="28">
        <f>IF(OR(履歴データ!$A$360="",履歴データ!$A$359=""),"",D360-D359)</f>
        <v>3.2000000000000455</v>
      </c>
      <c r="N360" s="28">
        <f>IF(OR(履歴データ!$A$360="",履歴データ!$A$359=""),"",E360-E359)</f>
        <v>0.99999999999997868</v>
      </c>
      <c r="O360" s="28">
        <f>IF(OR(履歴データ!$A$360="",履歴データ!$A$359=""),"",F360-F359)</f>
        <v>-4.1200000000000614</v>
      </c>
      <c r="P360" s="28">
        <f>IF(OR(履歴データ!$A$360="",履歴データ!$A$359=""),"",G360-G359)</f>
        <v>-1.720642822265674</v>
      </c>
      <c r="Q360" s="29">
        <f>IF(OR(履歴データ!$A$360="",履歴データ!$A$359=""),"",H360-H359)</f>
        <v>-0.23199462890625</v>
      </c>
      <c r="R360" s="29">
        <f>IF(OR(履歴データ!$A$360="",履歴データ!$A$359=""),"",I360-I359)</f>
        <v>7.8125E-2</v>
      </c>
      <c r="S360" s="28">
        <f>IF(OR(履歴データ!$A$360="",履歴データ!$A$359=""),"",(J360-J359)*100)</f>
        <v>-0.99999999999997868</v>
      </c>
      <c r="T360" s="11">
        <f>IF(OR(履歴データ!$A$360="",履歴データ!$A$359=""),"",-80000*K360)</f>
        <v>39999.99999999204</v>
      </c>
      <c r="U360" s="11">
        <f>IF(OR(履歴データ!$A$360="",履歴データ!$A$359=""),"",60000*L360)</f>
        <v>26999.999999999531</v>
      </c>
      <c r="V360" s="11">
        <f>IF(OR(履歴データ!$A$360="",履歴データ!$A$359=""),"",-50000*M360)</f>
        <v>-160000.00000000227</v>
      </c>
      <c r="W360" s="11">
        <f>IF(OR(履歴データ!$A$360="",履歴データ!$A$359=""),"",-40000*N360)</f>
        <v>-39999.999999999149</v>
      </c>
      <c r="X360" s="11">
        <f>IF(OR(履歴データ!$A$360="",履歴データ!$A$359=""),"",120*1000000*(-Q360/H359))</f>
        <v>178538.66385463966</v>
      </c>
      <c r="Y360" s="11">
        <f>IF(OR(履歴データ!$A$360="",履歴データ!$A$359=""),"",40000*(-S360)+(-506.3)*R360*1000)</f>
        <v>445.31249999914871</v>
      </c>
      <c r="Z360" s="11">
        <f>IF(OR(履歴データ!$A$360="",履歴データ!$A$359=""),"",-40000*O360)</f>
        <v>164800.00000000244</v>
      </c>
      <c r="AA360" s="11">
        <f>IF(OR(履歴データ!$A$360="",履歴データ!$A$359=""),"",-40000*P360)</f>
        <v>68825.712890626965</v>
      </c>
      <c r="AB360" s="11">
        <f>IF(履歴データ!$A$360="","",123.3)</f>
        <v>123.3</v>
      </c>
      <c r="AC360">
        <f>IF(履歴データ!$A$360="","",SUM(T360:AA360))</f>
        <v>279609.6892452584</v>
      </c>
      <c r="AD360" s="29">
        <f>IF(履歴データ!$A$360="","",AC360/1000000)</f>
        <v>0.27960968924525842</v>
      </c>
      <c r="AE360" s="29">
        <f>IF(履歴データ!$A$360="",AE359,AE359+AC360/1000000)</f>
        <v>75.998333449140887</v>
      </c>
      <c r="AF360" s="12">
        <f>IF(OR(履歴データ!$A$360="",AE359=0),"",(AE360-AE359)/AE359)</f>
        <v>3.6927417072150589E-3</v>
      </c>
      <c r="AG360" s="29">
        <f t="shared" si="17"/>
        <v>102.17217746631495</v>
      </c>
      <c r="AH360" s="12">
        <f>IF(OR(履歴データ!$A$360="",AG360=0),"",AE360/AG360-1)</f>
        <v>-0.25617388868709678</v>
      </c>
      <c r="AJ360" s="28">
        <f t="shared" ca="1" si="15"/>
        <v>-10.656210905286176</v>
      </c>
      <c r="AK360" s="28">
        <f t="shared" ca="1" si="16"/>
        <v>-51.891408142332878</v>
      </c>
    </row>
    <row r="361" spans="1:37">
      <c r="A361" s="10">
        <f>IF(履歴データ!$A$361="","",履歴データ!$A$361)</f>
        <v>45450</v>
      </c>
      <c r="B361" s="28">
        <f>IF(履歴データ!$A$361="","",(履歴データ!$D$361-(履歴データ!$B$361+履歴データ!$F$361)/2)*100)</f>
        <v>-28.000000000000025</v>
      </c>
      <c r="C361" s="28">
        <f>IF(履歴データ!$A$361="","",(履歴データ!$H$361-(履歴データ!$G$361+履歴データ!$J$361)/2)*100)</f>
        <v>-21.100000000000009</v>
      </c>
      <c r="D361" s="28">
        <f>IF(履歴データ!$A$361="","",(履歴データ!$D$361-履歴データ!$H$361)*100)</f>
        <v>344.4</v>
      </c>
      <c r="E361" s="28">
        <f>IF(履歴データ!$A$361="","",(履歴データ!$D$361-履歴データ!$C$361)*100)</f>
        <v>-3.0000000000000249</v>
      </c>
      <c r="F361" s="28">
        <f>IF(履歴データ!$A$361="","",(履歴データ!$R$361-履歴データ!$D$361)*100)</f>
        <v>-244.29</v>
      </c>
      <c r="G361" s="28">
        <f>IF(履歴データ!$A$361="","",(履歴データ!$S$361-履歴データ!$R$361)*100)</f>
        <v>-106.92382141113302</v>
      </c>
      <c r="H361" s="29">
        <f>IF(履歴データ!$A$361="","",履歴データ!$O$361)</f>
        <v>155.69700622558594</v>
      </c>
      <c r="I361" s="29">
        <f>IF(履歴データ!$A$361="","",履歴データ!$Q$361)</f>
        <v>109.046875</v>
      </c>
      <c r="J361" s="29">
        <f>IF(履歴データ!$A$361="","",履歴データ!$D$361)</f>
        <v>4.43</v>
      </c>
      <c r="K361" s="28">
        <f>IF(OR(履歴データ!$A$361="",履歴データ!$A$360=""),"",B361-B360)</f>
        <v>1.4999999999998792</v>
      </c>
      <c r="L361" s="28">
        <f>IF(OR(履歴データ!$A$361="",履歴データ!$A$360=""),"",C361-C360)</f>
        <v>0.44999999999999574</v>
      </c>
      <c r="M361" s="28">
        <f>IF(OR(履歴データ!$A$361="",履歴データ!$A$360=""),"",D361-D360)</f>
        <v>13.599999999999966</v>
      </c>
      <c r="N361" s="28">
        <f>IF(OR(履歴データ!$A$361="",履歴データ!$A$360=""),"",E361-E360)</f>
        <v>-2.0000000000000462</v>
      </c>
      <c r="O361" s="28">
        <f>IF(OR(履歴データ!$A$361="",履歴データ!$A$360=""),"",F361-F360)</f>
        <v>-8.8699999999999477</v>
      </c>
      <c r="P361" s="28">
        <f>IF(OR(履歴データ!$A$361="",履歴データ!$A$360=""),"",G361-G360)</f>
        <v>-7.357821411132818</v>
      </c>
      <c r="Q361" s="29">
        <f>IF(OR(履歴データ!$A$361="",履歴データ!$A$360=""),"",H361-H360)</f>
        <v>0</v>
      </c>
      <c r="R361" s="29">
        <f>IF(OR(履歴データ!$A$361="",履歴データ!$A$360=""),"",I361-I360)</f>
        <v>-1.015625</v>
      </c>
      <c r="S361" s="28">
        <f>IF(OR(履歴データ!$A$361="",履歴データ!$A$360=""),"",(J361-J360)*100)</f>
        <v>14.999999999999947</v>
      </c>
      <c r="T361" s="11">
        <f>IF(OR(履歴データ!$A$361="",履歴データ!$A$360=""),"",-80000*K361)</f>
        <v>-119999.99999999034</v>
      </c>
      <c r="U361" s="11">
        <f>IF(OR(履歴データ!$A$361="",履歴データ!$A$360=""),"",60000*L361)</f>
        <v>26999.999999999745</v>
      </c>
      <c r="V361" s="11">
        <f>IF(OR(履歴データ!$A$361="",履歴データ!$A$360=""),"",-50000*M361)</f>
        <v>-679999.99999999825</v>
      </c>
      <c r="W361" s="11">
        <f>IF(OR(履歴データ!$A$361="",履歴データ!$A$360=""),"",-40000*N361)</f>
        <v>80000.000000001848</v>
      </c>
      <c r="X361" s="11">
        <f>IF(OR(履歴データ!$A$361="",履歴データ!$A$360=""),"",120*1000000*(-Q361/H360))</f>
        <v>0</v>
      </c>
      <c r="Y361" s="11">
        <f>IF(OR(履歴データ!$A$361="",履歴データ!$A$360=""),"",40000*(-S361)+(-506.3)*R361*1000)</f>
        <v>-85789.062499997905</v>
      </c>
      <c r="Z361" s="11">
        <f>IF(OR(履歴データ!$A$361="",履歴データ!$A$360=""),"",-40000*O361)</f>
        <v>354799.9999999979</v>
      </c>
      <c r="AA361" s="11">
        <f>IF(OR(履歴データ!$A$361="",履歴データ!$A$360=""),"",-40000*P361)</f>
        <v>294312.85644531273</v>
      </c>
      <c r="AB361" s="11">
        <f>IF(履歴データ!$A$361="","",123.3)</f>
        <v>123.3</v>
      </c>
      <c r="AC361">
        <f>IF(履歴データ!$A$361="","",SUM(T361:AA361))</f>
        <v>-129676.20605467423</v>
      </c>
      <c r="AD361" s="29">
        <f>IF(履歴データ!$A$361="","",AC361/1000000)</f>
        <v>-0.12967620605467423</v>
      </c>
      <c r="AE361" s="29">
        <f>IF(履歴データ!$A$361="",AE360,AE360+AC361/1000000)</f>
        <v>75.868657243086219</v>
      </c>
      <c r="AF361" s="12">
        <f>IF(OR(履歴データ!$A$361="",AE360=0),"",(AE361-AE360)/AE360)</f>
        <v>-1.7063032854720348E-3</v>
      </c>
      <c r="AG361" s="29">
        <f t="shared" si="17"/>
        <v>102.17217746631495</v>
      </c>
      <c r="AH361" s="12">
        <f>IF(OR(履歴データ!$A$361="",AG361=0),"",AE361/AG361-1)</f>
        <v>-0.25744308162464991</v>
      </c>
      <c r="AJ361" s="28">
        <f t="shared" ca="1" si="15"/>
        <v>-10.691187642776136</v>
      </c>
      <c r="AK361" s="28">
        <f t="shared" ca="1" si="16"/>
        <v>-51.689764738176244</v>
      </c>
    </row>
    <row r="362" spans="1:37">
      <c r="A362" s="10">
        <f>IF(履歴データ!$A$362="","",履歴データ!$A$362)</f>
        <v>45453</v>
      </c>
      <c r="B362" s="28">
        <f>IF(履歴データ!$A$362="","",(履歴データ!$D$362-(履歴データ!$B$362+履歴データ!$F$362)/2)*100)</f>
        <v>-26.000000000000068</v>
      </c>
      <c r="C362" s="28">
        <f>IF(履歴データ!$A$362="","",(履歴データ!$H$362-(履歴データ!$G$362+履歴データ!$J$362)/2)*100)</f>
        <v>-20.55</v>
      </c>
      <c r="D362" s="28">
        <f>IF(履歴データ!$A$362="","",(履歴データ!$D$362-履歴データ!$H$362)*100)</f>
        <v>342.5</v>
      </c>
      <c r="E362" s="28">
        <f>IF(履歴データ!$A$362="","",(履歴データ!$D$362-履歴データ!$C$362)*100)</f>
        <v>-1.0000000000000675</v>
      </c>
      <c r="F362" s="28">
        <f>IF(履歴データ!$A$362="","",(履歴データ!$R$362-履歴データ!$D$362)*100)</f>
        <v>-238.78</v>
      </c>
      <c r="G362" s="28">
        <f>IF(履歴データ!$A$362="","",(履歴データ!$S$362-履歴データ!$R$362)*100)</f>
        <v>-110.99635717773455</v>
      </c>
      <c r="H362" s="29">
        <f>IF(履歴データ!$A$362="","",履歴データ!$O$362)</f>
        <v>157.03999328613281</v>
      </c>
      <c r="I362" s="29">
        <f>IF(履歴データ!$A$362="","",履歴データ!$Q$362)</f>
        <v>108.828125</v>
      </c>
      <c r="J362" s="29">
        <f>IF(履歴データ!$A$362="","",履歴データ!$D$362)</f>
        <v>4.47</v>
      </c>
      <c r="K362" s="28">
        <f>IF(OR(履歴データ!$A$362="",履歴データ!$A$361=""),"",B362-B361)</f>
        <v>1.9999999999999574</v>
      </c>
      <c r="L362" s="28">
        <f>IF(OR(履歴データ!$A$362="",履歴データ!$A$361=""),"",C362-C361)</f>
        <v>0.55000000000000782</v>
      </c>
      <c r="M362" s="28">
        <f>IF(OR(履歴データ!$A$362="",履歴データ!$A$361=""),"",D362-D361)</f>
        <v>-1.8999999999999773</v>
      </c>
      <c r="N362" s="28">
        <f>IF(OR(履歴データ!$A$362="",履歴データ!$A$361=""),"",E362-E361)</f>
        <v>1.9999999999999574</v>
      </c>
      <c r="O362" s="28">
        <f>IF(OR(履歴データ!$A$362="",履歴データ!$A$361=""),"",F362-F361)</f>
        <v>5.5099999999999909</v>
      </c>
      <c r="P362" s="28">
        <f>IF(OR(履歴データ!$A$362="",履歴データ!$A$361=""),"",G362-G361)</f>
        <v>-4.0725357666015327</v>
      </c>
      <c r="Q362" s="29">
        <f>IF(OR(履歴データ!$A$362="",履歴データ!$A$361=""),"",H362-H361)</f>
        <v>1.342987060546875</v>
      </c>
      <c r="R362" s="29">
        <f>IF(OR(履歴データ!$A$362="",履歴データ!$A$361=""),"",I362-I361)</f>
        <v>-0.21875</v>
      </c>
      <c r="S362" s="28">
        <f>IF(OR(履歴データ!$A$362="",履歴データ!$A$361=""),"",(J362-J361)*100)</f>
        <v>4.0000000000000036</v>
      </c>
      <c r="T362" s="11">
        <f>IF(OR(履歴データ!$A$362="",履歴データ!$A$361=""),"",-80000*K362)</f>
        <v>-159999.99999999659</v>
      </c>
      <c r="U362" s="11">
        <f>IF(OR(履歴データ!$A$362="",履歴データ!$A$361=""),"",60000*L362)</f>
        <v>33000.000000000466</v>
      </c>
      <c r="V362" s="11">
        <f>IF(OR(履歴データ!$A$362="",履歴データ!$A$361=""),"",-50000*M362)</f>
        <v>94999.999999998865</v>
      </c>
      <c r="W362" s="11">
        <f>IF(OR(履歴データ!$A$362="",履歴データ!$A$361=""),"",-40000*N362)</f>
        <v>-79999.999999998297</v>
      </c>
      <c r="X362" s="11">
        <f>IF(OR(履歴データ!$A$362="",履歴データ!$A$361=""),"",120*1000000*(-Q362/H361))</f>
        <v>-1035077.3670761923</v>
      </c>
      <c r="Y362" s="11">
        <f>IF(OR(履歴データ!$A$362="",履歴データ!$A$361=""),"",40000*(-S362)+(-506.3)*R362*1000)</f>
        <v>-49246.875000000146</v>
      </c>
      <c r="Z362" s="11">
        <f>IF(OR(履歴データ!$A$362="",履歴データ!$A$361=""),"",-40000*O362)</f>
        <v>-220399.99999999965</v>
      </c>
      <c r="AA362" s="11">
        <f>IF(OR(履歴データ!$A$362="",履歴データ!$A$361=""),"",-40000*P362)</f>
        <v>162901.43066406131</v>
      </c>
      <c r="AB362" s="11">
        <f>IF(履歴データ!$A$362="","",123.3)</f>
        <v>123.3</v>
      </c>
      <c r="AC362">
        <f>IF(履歴データ!$A$362="","",SUM(T362:AA362))</f>
        <v>-1253822.8114121265</v>
      </c>
      <c r="AD362" s="29">
        <f>IF(履歴データ!$A$362="","",AC362/1000000)</f>
        <v>-1.2538228114121266</v>
      </c>
      <c r="AE362" s="29">
        <f>IF(履歴データ!$A$362="",AE361,AE361+AC362/1000000)</f>
        <v>74.614834431674097</v>
      </c>
      <c r="AF362" s="12">
        <f>IF(OR(履歴データ!$A$362="",AE361=0),"",(AE362-AE361)/AE361)</f>
        <v>-1.6526229104000385E-2</v>
      </c>
      <c r="AG362" s="29">
        <f t="shared" si="17"/>
        <v>102.17217746631495</v>
      </c>
      <c r="AH362" s="12">
        <f>IF(OR(履歴データ!$A$362="",AG362=0),"",AE362/AG362-1)</f>
        <v>-0.2697147473804814</v>
      </c>
      <c r="AJ362" s="28">
        <f t="shared" ca="1" si="15"/>
        <v>-10.69128110349201</v>
      </c>
      <c r="AK362" s="28">
        <f t="shared" ca="1" si="16"/>
        <v>-51.526972864761959</v>
      </c>
    </row>
    <row r="363" spans="1:37">
      <c r="A363" s="10">
        <f>IF(履歴データ!$A$363="","",履歴データ!$A$363)</f>
        <v>45454</v>
      </c>
      <c r="B363" s="28">
        <f>IF(履歴データ!$A$363="","",(履歴データ!$D$363-(履歴データ!$B$363+履歴データ!$F$363)/2)*100)</f>
        <v>-28.000000000000025</v>
      </c>
      <c r="C363" s="28">
        <f>IF(履歴データ!$A$363="","",(履歴データ!$H$363-(履歴データ!$G$363+履歴データ!$J$363)/2)*100)</f>
        <v>-20.650000000000013</v>
      </c>
      <c r="D363" s="28">
        <f>IF(履歴データ!$A$363="","",(履歴データ!$D$363-履歴データ!$H$363)*100)</f>
        <v>335.49999999999994</v>
      </c>
      <c r="E363" s="28">
        <f>IF(履歴データ!$A$363="","",(履歴データ!$D$363-履歴データ!$C$363)*100)</f>
        <v>-2.0000000000000462</v>
      </c>
      <c r="F363" s="28">
        <f>IF(履歴データ!$A$363="","",(履歴データ!$R$363-履歴データ!$D$363)*100)</f>
        <v>-212.60999999999996</v>
      </c>
      <c r="G363" s="28">
        <f>IF(履歴データ!$A$363="","",(履歴データ!$S$363-履歴データ!$R$363)*100)</f>
        <v>-130.04335717773458</v>
      </c>
      <c r="H363" s="29">
        <f>IF(履歴データ!$A$363="","",履歴データ!$O$363)</f>
        <v>157.10499572753906</v>
      </c>
      <c r="I363" s="29">
        <f>IF(履歴データ!$A$363="","",履歴データ!$Q$363)</f>
        <v>109.28125</v>
      </c>
      <c r="J363" s="29">
        <f>IF(履歴データ!$A$363="","",履歴データ!$D$363)</f>
        <v>4.3899999999999997</v>
      </c>
      <c r="K363" s="28">
        <f>IF(OR(履歴データ!$A$363="",履歴データ!$A$362=""),"",B363-B362)</f>
        <v>-1.9999999999999574</v>
      </c>
      <c r="L363" s="28">
        <f>IF(OR(履歴データ!$A$363="",履歴データ!$A$362=""),"",C363-C362)</f>
        <v>-0.10000000000001208</v>
      </c>
      <c r="M363" s="28">
        <f>IF(OR(履歴データ!$A$363="",履歴データ!$A$362=""),"",D363-D362)</f>
        <v>-7.0000000000000568</v>
      </c>
      <c r="N363" s="28">
        <f>IF(OR(履歴データ!$A$363="",履歴データ!$A$362=""),"",E363-E362)</f>
        <v>-0.99999999999997868</v>
      </c>
      <c r="O363" s="28">
        <f>IF(OR(履歴データ!$A$363="",履歴データ!$A$362=""),"",F363-F362)</f>
        <v>26.170000000000044</v>
      </c>
      <c r="P363" s="28">
        <f>IF(OR(履歴データ!$A$363="",履歴データ!$A$362=""),"",G363-G362)</f>
        <v>-19.047000000000025</v>
      </c>
      <c r="Q363" s="29">
        <f>IF(OR(履歴データ!$A$363="",履歴データ!$A$362=""),"",H363-H362)</f>
        <v>6.500244140625E-2</v>
      </c>
      <c r="R363" s="29">
        <f>IF(OR(履歴データ!$A$363="",履歴データ!$A$362=""),"",I363-I362)</f>
        <v>0.453125</v>
      </c>
      <c r="S363" s="28">
        <f>IF(OR(履歴データ!$A$363="",履歴データ!$A$362=""),"",(J363-J362)*100)</f>
        <v>-8.0000000000000071</v>
      </c>
      <c r="T363" s="11">
        <f>IF(OR(履歴データ!$A$363="",履歴データ!$A$362=""),"",-80000*K363)</f>
        <v>159999.99999999659</v>
      </c>
      <c r="U363" s="11">
        <f>IF(OR(履歴データ!$A$363="",履歴データ!$A$362=""),"",60000*L363)</f>
        <v>-6000.0000000007249</v>
      </c>
      <c r="V363" s="11">
        <f>IF(OR(履歴データ!$A$363="",履歴データ!$A$362=""),"",-50000*M363)</f>
        <v>350000.00000000285</v>
      </c>
      <c r="W363" s="11">
        <f>IF(OR(履歴データ!$A$363="",履歴データ!$A$362=""),"",-40000*N363)</f>
        <v>39999.999999999149</v>
      </c>
      <c r="X363" s="11">
        <f>IF(OR(履歴データ!$A$363="",履歴データ!$A$362=""),"",120*1000000*(-Q363/H362))</f>
        <v>-49670.741863428193</v>
      </c>
      <c r="Y363" s="11">
        <f>IF(OR(履歴データ!$A$363="",履歴データ!$A$362=""),"",40000*(-S363)+(-506.3)*R363*1000)</f>
        <v>90582.812500000291</v>
      </c>
      <c r="Z363" s="11">
        <f>IF(OR(履歴データ!$A$363="",履歴データ!$A$362=""),"",-40000*O363)</f>
        <v>-1046800.0000000017</v>
      </c>
      <c r="AA363" s="11">
        <f>IF(OR(履歴データ!$A$363="",履歴データ!$A$362=""),"",-40000*P363)</f>
        <v>761880.00000000105</v>
      </c>
      <c r="AB363" s="11">
        <f>IF(履歴データ!$A$363="","",123.3)</f>
        <v>123.3</v>
      </c>
      <c r="AC363">
        <f>IF(履歴データ!$A$363="","",SUM(T363:AA363))</f>
        <v>299992.07063656929</v>
      </c>
      <c r="AD363" s="29">
        <f>IF(履歴データ!$A$363="","",AC363/1000000)</f>
        <v>0.2999920706365693</v>
      </c>
      <c r="AE363" s="29">
        <f>IF(履歴データ!$A$363="",AE362,AE362+AC363/1000000)</f>
        <v>74.91482650231066</v>
      </c>
      <c r="AF363" s="12">
        <f>IF(OR(履歴データ!$A$363="",AE362=0),"",(AE363-AE362)/AE362)</f>
        <v>4.0205419327341676E-3</v>
      </c>
      <c r="AG363" s="29">
        <f t="shared" si="17"/>
        <v>102.17217746631495</v>
      </c>
      <c r="AH363" s="12">
        <f>IF(OR(履歴データ!$A$363="",AG363=0),"",AE363/AG363-1)</f>
        <v>-0.26677860489946725</v>
      </c>
      <c r="AJ363" s="28">
        <f t="shared" ca="1" si="15"/>
        <v>-10.715816603001656</v>
      </c>
      <c r="AK363" s="28">
        <f t="shared" ca="1" si="16"/>
        <v>-51.3476754604904</v>
      </c>
    </row>
    <row r="364" spans="1:37">
      <c r="A364" s="10">
        <f>IF(履歴データ!$A$364="","",履歴データ!$A$364)</f>
        <v>45455</v>
      </c>
      <c r="B364" s="28">
        <f>IF(履歴データ!$A$364="","",(履歴データ!$D$364-(履歴データ!$B$364+履歴データ!$F$364)/2)*100)</f>
        <v>-29.999999999999982</v>
      </c>
      <c r="C364" s="28">
        <f>IF(履歴データ!$A$364="","",(履歴データ!$H$364-(履歴データ!$G$364+履歴データ!$J$364)/2)*100)</f>
        <v>-21.35</v>
      </c>
      <c r="D364" s="28">
        <f>IF(履歴データ!$A$364="","",(履歴データ!$D$364-履歴データ!$H$364)*100)</f>
        <v>330.99999999999994</v>
      </c>
      <c r="E364" s="28">
        <f>IF(履歴データ!$A$364="","",(履歴データ!$D$364-履歴データ!$C$364)*100)</f>
        <v>-1.0000000000000675</v>
      </c>
      <c r="F364" s="28">
        <f>IF(履歴データ!$A$364="","",(履歴データ!$R$364-履歴データ!$D$364)*100)</f>
        <v>-206.24999999999994</v>
      </c>
      <c r="G364" s="28">
        <f>IF(履歴データ!$A$364="","",(履歴データ!$S$364-履歴データ!$R$364)*100)</f>
        <v>-127.00017858886734</v>
      </c>
      <c r="H364" s="29">
        <f>IF(履歴データ!$A$364="","",履歴データ!$O$364)</f>
        <v>156.80000305175781</v>
      </c>
      <c r="I364" s="29">
        <f>IF(履歴データ!$A$364="","",履歴データ!$Q$364)</f>
        <v>110.03125</v>
      </c>
      <c r="J364" s="29">
        <f>IF(履歴データ!$A$364="","",履歴データ!$D$364)</f>
        <v>4.3099999999999996</v>
      </c>
      <c r="K364" s="28">
        <f>IF(OR(履歴データ!$A$364="",履歴データ!$A$363=""),"",B364-B363)</f>
        <v>-1.9999999999999574</v>
      </c>
      <c r="L364" s="28">
        <f>IF(OR(履歴データ!$A$364="",履歴データ!$A$363=""),"",C364-C363)</f>
        <v>-0.69999999999998863</v>
      </c>
      <c r="M364" s="28">
        <f>IF(OR(履歴データ!$A$364="",履歴データ!$A$363=""),"",D364-D363)</f>
        <v>-4.5</v>
      </c>
      <c r="N364" s="28">
        <f>IF(OR(履歴データ!$A$364="",履歴データ!$A$363=""),"",E364-E363)</f>
        <v>0.99999999999997868</v>
      </c>
      <c r="O364" s="28">
        <f>IF(OR(履歴データ!$A$364="",履歴データ!$A$363=""),"",F364-F363)</f>
        <v>6.3600000000000136</v>
      </c>
      <c r="P364" s="28">
        <f>IF(OR(履歴データ!$A$364="",履歴データ!$A$363=""),"",G364-G363)</f>
        <v>3.0431785888672351</v>
      </c>
      <c r="Q364" s="29">
        <f>IF(OR(履歴データ!$A$364="",履歴データ!$A$363=""),"",H364-H363)</f>
        <v>-0.30499267578125</v>
      </c>
      <c r="R364" s="29">
        <f>IF(OR(履歴データ!$A$364="",履歴データ!$A$363=""),"",I364-I363)</f>
        <v>0.75</v>
      </c>
      <c r="S364" s="28">
        <f>IF(OR(履歴データ!$A$364="",履歴データ!$A$363=""),"",(J364-J363)*100)</f>
        <v>-8.0000000000000071</v>
      </c>
      <c r="T364" s="11">
        <f>IF(OR(履歴データ!$A$364="",履歴データ!$A$363=""),"",-80000*K364)</f>
        <v>159999.99999999659</v>
      </c>
      <c r="U364" s="11">
        <f>IF(OR(履歴データ!$A$364="",履歴データ!$A$363=""),"",60000*L364)</f>
        <v>-41999.999999999316</v>
      </c>
      <c r="V364" s="11">
        <f>IF(OR(履歴データ!$A$364="",履歴データ!$A$363=""),"",-50000*M364)</f>
        <v>225000</v>
      </c>
      <c r="W364" s="11">
        <f>IF(OR(履歴データ!$A$364="",履歴データ!$A$363=""),"",-40000*N364)</f>
        <v>-39999.999999999149</v>
      </c>
      <c r="X364" s="11">
        <f>IF(OR(履歴データ!$A$364="",履歴データ!$A$363=""),"",120*1000000*(-Q364/H363))</f>
        <v>232959.62629490407</v>
      </c>
      <c r="Y364" s="11">
        <f>IF(OR(履歴データ!$A$364="",履歴データ!$A$363=""),"",40000*(-S364)+(-506.3)*R364*1000)</f>
        <v>-59724.999999999709</v>
      </c>
      <c r="Z364" s="11">
        <f>IF(OR(履歴データ!$A$364="",履歴データ!$A$363=""),"",-40000*O364)</f>
        <v>-254400.00000000055</v>
      </c>
      <c r="AA364" s="11">
        <f>IF(OR(履歴データ!$A$364="",履歴データ!$A$363=""),"",-40000*P364)</f>
        <v>-121727.14355468941</v>
      </c>
      <c r="AB364" s="11">
        <f>IF(履歴データ!$A$364="","",123.3)</f>
        <v>123.3</v>
      </c>
      <c r="AC364">
        <f>IF(履歴データ!$A$364="","",SUM(T364:AA364))</f>
        <v>100107.48274021251</v>
      </c>
      <c r="AD364" s="29">
        <f>IF(履歴データ!$A$364="","",AC364/1000000)</f>
        <v>0.10010748274021251</v>
      </c>
      <c r="AE364" s="29">
        <f>IF(履歴データ!$A$364="",AE363,AE363+AC364/1000000)</f>
        <v>75.014933985050874</v>
      </c>
      <c r="AF364" s="12">
        <f>IF(OR(履歴データ!$A$364="",AE363=0),"",(AE364-AE363)/AE363)</f>
        <v>1.3362839829459637E-3</v>
      </c>
      <c r="AG364" s="29">
        <f t="shared" si="17"/>
        <v>102.17217746631495</v>
      </c>
      <c r="AH364" s="12">
        <f>IF(OR(履歴データ!$A$364="",AG364=0),"",AE364/AG364-1)</f>
        <v>-0.26579881289324114</v>
      </c>
      <c r="AJ364" s="28">
        <f t="shared" ca="1" si="15"/>
        <v>-10.76759061236794</v>
      </c>
      <c r="AK364" s="28">
        <f t="shared" ca="1" si="16"/>
        <v>-51.145107800330472</v>
      </c>
    </row>
    <row r="365" spans="1:37">
      <c r="A365" s="10">
        <f>IF(履歴データ!$A$365="","",履歴データ!$A$365)</f>
        <v>45456</v>
      </c>
      <c r="B365" s="28">
        <f>IF(履歴データ!$A$365="","",(履歴データ!$D$365-(履歴データ!$B$365+履歴データ!$F$365)/2)*100)</f>
        <v>-29.999999999999982</v>
      </c>
      <c r="C365" s="28">
        <f>IF(履歴データ!$A$365="","",(履歴データ!$H$365-(履歴データ!$G$365+履歴データ!$J$365)/2)*100)</f>
        <v>-21.550000000000004</v>
      </c>
      <c r="D365" s="28">
        <f>IF(履歴データ!$A$365="","",(履歴データ!$D$365-履歴データ!$H$365)*100)</f>
        <v>325.8</v>
      </c>
      <c r="E365" s="28">
        <f>IF(履歴データ!$A$365="","",(履歴データ!$D$365-履歴データ!$C$365)*100)</f>
        <v>0</v>
      </c>
      <c r="F365" s="28">
        <f>IF(履歴データ!$A$365="","",(履歴データ!$R$365-履歴データ!$D$365)*100)</f>
        <v>-212.34000000000003</v>
      </c>
      <c r="G365" s="28">
        <f>IF(履歴データ!$A$365="","",(履歴データ!$S$365-履歴データ!$R$365)*100)</f>
        <v>-115.48882141113293</v>
      </c>
      <c r="H365" s="29">
        <f>IF(履歴データ!$A$365="","",履歴データ!$O$365)</f>
        <v>157.12800598144531</v>
      </c>
      <c r="I365" s="29">
        <f>IF(履歴データ!$A$365="","",履歴データ!$Q$365)</f>
        <v>110.421875</v>
      </c>
      <c r="J365" s="29">
        <f>IF(履歴データ!$A$365="","",履歴データ!$D$365)</f>
        <v>4.24</v>
      </c>
      <c r="K365" s="28">
        <f>IF(OR(履歴データ!$A$365="",履歴データ!$A$364=""),"",B365-B364)</f>
        <v>0</v>
      </c>
      <c r="L365" s="28">
        <f>IF(OR(履歴データ!$A$365="",履歴データ!$A$364=""),"",C365-C364)</f>
        <v>-0.20000000000000284</v>
      </c>
      <c r="M365" s="28">
        <f>IF(OR(履歴データ!$A$365="",履歴データ!$A$364=""),"",D365-D364)</f>
        <v>-5.1999999999999318</v>
      </c>
      <c r="N365" s="28">
        <f>IF(OR(履歴データ!$A$365="",履歴データ!$A$364=""),"",E365-E364)</f>
        <v>1.0000000000000675</v>
      </c>
      <c r="O365" s="28">
        <f>IF(OR(履歴データ!$A$365="",履歴データ!$A$364=""),"",F365-F364)</f>
        <v>-6.0900000000000887</v>
      </c>
      <c r="P365" s="28">
        <f>IF(OR(履歴データ!$A$365="",履歴データ!$A$364=""),"",G365-G364)</f>
        <v>11.511357177734411</v>
      </c>
      <c r="Q365" s="29">
        <f>IF(OR(履歴データ!$A$365="",履歴データ!$A$364=""),"",H365-H364)</f>
        <v>0.3280029296875</v>
      </c>
      <c r="R365" s="29">
        <f>IF(OR(履歴データ!$A$365="",履歴データ!$A$364=""),"",I365-I364)</f>
        <v>0.390625</v>
      </c>
      <c r="S365" s="28">
        <f>IF(OR(履歴データ!$A$365="",履歴データ!$A$364=""),"",(J365-J364)*100)</f>
        <v>-6.9999999999999396</v>
      </c>
      <c r="T365" s="11">
        <f>IF(OR(履歴データ!$A$365="",履歴データ!$A$364=""),"",-80000*K365)</f>
        <v>0</v>
      </c>
      <c r="U365" s="11">
        <f>IF(OR(履歴データ!$A$365="",履歴データ!$A$364=""),"",60000*L365)</f>
        <v>-12000.000000000171</v>
      </c>
      <c r="V365" s="11">
        <f>IF(OR(履歴データ!$A$365="",履歴データ!$A$364=""),"",-50000*M365)</f>
        <v>259999.99999999659</v>
      </c>
      <c r="W365" s="11">
        <f>IF(OR(履歴データ!$A$365="",履歴データ!$A$364=""),"",-40000*N365)</f>
        <v>-40000.000000002699</v>
      </c>
      <c r="X365" s="11">
        <f>IF(OR(履歴データ!$A$365="",履歴データ!$A$364=""),"",120*1000000*(-Q365/H364))</f>
        <v>-251022.64538545712</v>
      </c>
      <c r="Y365" s="11">
        <f>IF(OR(履歴データ!$A$365="",履歴データ!$A$364=""),"",40000*(-S365)+(-506.3)*R365*1000)</f>
        <v>82226.562499997555</v>
      </c>
      <c r="Z365" s="11">
        <f>IF(OR(履歴データ!$A$365="",履歴データ!$A$364=""),"",-40000*O365)</f>
        <v>243600.00000000355</v>
      </c>
      <c r="AA365" s="11">
        <f>IF(OR(履歴データ!$A$365="",履歴データ!$A$364=""),"",-40000*P365)</f>
        <v>-460454.2871093764</v>
      </c>
      <c r="AB365" s="11">
        <f>IF(履歴データ!$A$365="","",123.3)</f>
        <v>123.3</v>
      </c>
      <c r="AC365">
        <f>IF(履歴データ!$A$365="","",SUM(T365:AA365))</f>
        <v>-177650.36999483872</v>
      </c>
      <c r="AD365" s="29">
        <f>IF(履歴データ!$A$365="","",AC365/1000000)</f>
        <v>-0.17765036999483871</v>
      </c>
      <c r="AE365" s="29">
        <f>IF(履歴データ!$A$365="",AE364,AE364+AC365/1000000)</f>
        <v>74.837283615056037</v>
      </c>
      <c r="AF365" s="12">
        <f>IF(OR(履歴データ!$A$365="",AE364=0),"",(AE365-AE364)/AE364)</f>
        <v>-2.3682000444103426E-3</v>
      </c>
      <c r="AG365" s="29">
        <f t="shared" si="17"/>
        <v>102.17217746631495</v>
      </c>
      <c r="AH365" s="12">
        <f>IF(OR(履歴データ!$A$365="",AG365=0),"",AE365/AG365-1)</f>
        <v>-0.26753754817715347</v>
      </c>
      <c r="AJ365" s="28">
        <f t="shared" ca="1" si="15"/>
        <v>-10.811286186353424</v>
      </c>
      <c r="AK365" s="28">
        <f t="shared" ca="1" si="16"/>
        <v>-50.958555083487852</v>
      </c>
    </row>
    <row r="366" spans="1:37">
      <c r="A366" s="10">
        <f>IF(履歴データ!$A$366="","",履歴データ!$A$366)</f>
        <v>45457</v>
      </c>
      <c r="B366" s="28">
        <f>IF(履歴データ!$A$366="","",(履歴データ!$D$366-(履歴データ!$B$366+履歴データ!$F$366)/2)*100)</f>
        <v>-30.499999999999972</v>
      </c>
      <c r="C366" s="28">
        <f>IF(履歴データ!$A$366="","",(履歴データ!$H$366-(履歴データ!$G$366+履歴データ!$J$366)/2)*100)</f>
        <v>-22.300000000000008</v>
      </c>
      <c r="D366" s="28">
        <f>IF(履歴データ!$A$366="","",(履歴データ!$D$366-履歴データ!$H$366)*100)</f>
        <v>325</v>
      </c>
      <c r="E366" s="28">
        <f>IF(履歴データ!$A$366="","",(履歴データ!$D$366-履歴データ!$C$366)*100)</f>
        <v>-1.9999999999999574</v>
      </c>
      <c r="F366" s="28">
        <f>IF(履歴データ!$A$366="","",(履歴データ!$R$366-履歴データ!$D$366)*100)</f>
        <v>-206.15</v>
      </c>
      <c r="G366" s="28">
        <f>IF(履歴データ!$A$366="","",(履歴データ!$S$366-履歴データ!$R$366)*100)</f>
        <v>-127.67664282226572</v>
      </c>
      <c r="H366" s="29">
        <f>IF(履歴データ!$A$366="","",履歴データ!$O$366)</f>
        <v>157.12800598144531</v>
      </c>
      <c r="I366" s="29">
        <f>IF(履歴データ!$A$366="","",履歴データ!$Q$366)</f>
        <v>110.46875</v>
      </c>
      <c r="J366" s="29">
        <f>IF(履歴データ!$A$366="","",履歴データ!$D$366)</f>
        <v>4.2</v>
      </c>
      <c r="K366" s="28">
        <f>IF(OR(履歴データ!$A$366="",履歴データ!$A$365=""),"",B366-B365)</f>
        <v>-0.49999999999998934</v>
      </c>
      <c r="L366" s="28">
        <f>IF(OR(履歴データ!$A$366="",履歴データ!$A$365=""),"",C366-C365)</f>
        <v>-0.75000000000000355</v>
      </c>
      <c r="M366" s="28">
        <f>IF(OR(履歴データ!$A$366="",履歴データ!$A$365=""),"",D366-D365)</f>
        <v>-0.80000000000001137</v>
      </c>
      <c r="N366" s="28">
        <f>IF(OR(履歴データ!$A$366="",履歴データ!$A$365=""),"",E366-E365)</f>
        <v>-1.9999999999999574</v>
      </c>
      <c r="O366" s="28">
        <f>IF(OR(履歴データ!$A$366="",履歴データ!$A$365=""),"",F366-F365)</f>
        <v>6.1900000000000261</v>
      </c>
      <c r="P366" s="28">
        <f>IF(OR(履歴データ!$A$366="",履歴データ!$A$365=""),"",G366-G365)</f>
        <v>-12.187821411132788</v>
      </c>
      <c r="Q366" s="29">
        <f>IF(OR(履歴データ!$A$366="",履歴データ!$A$365=""),"",H366-H365)</f>
        <v>0</v>
      </c>
      <c r="R366" s="29">
        <f>IF(OR(履歴データ!$A$366="",履歴データ!$A$365=""),"",I366-I365)</f>
        <v>4.6875E-2</v>
      </c>
      <c r="S366" s="28">
        <f>IF(OR(履歴データ!$A$366="",履歴データ!$A$365=""),"",(J366-J365)*100)</f>
        <v>-4.0000000000000036</v>
      </c>
      <c r="T366" s="11">
        <f>IF(OR(履歴データ!$A$366="",履歴データ!$A$365=""),"",-80000*K366)</f>
        <v>39999.999999999149</v>
      </c>
      <c r="U366" s="11">
        <f>IF(OR(履歴データ!$A$366="",履歴データ!$A$365=""),"",60000*L366)</f>
        <v>-45000.000000000211</v>
      </c>
      <c r="V366" s="11">
        <f>IF(OR(履歴データ!$A$366="",履歴データ!$A$365=""),"",-50000*M366)</f>
        <v>40000.000000000568</v>
      </c>
      <c r="W366" s="11">
        <f>IF(OR(履歴データ!$A$366="",履歴データ!$A$365=""),"",-40000*N366)</f>
        <v>79999.999999998297</v>
      </c>
      <c r="X366" s="11">
        <f>IF(OR(履歴データ!$A$366="",履歴データ!$A$365=""),"",120*1000000*(-Q366/H365))</f>
        <v>0</v>
      </c>
      <c r="Y366" s="11">
        <f>IF(OR(履歴データ!$A$366="",履歴データ!$A$365=""),"",40000*(-S366)+(-506.3)*R366*1000)</f>
        <v>136267.18750000015</v>
      </c>
      <c r="Z366" s="11">
        <f>IF(OR(履歴データ!$A$366="",履歴データ!$A$365=""),"",-40000*O366)</f>
        <v>-247600.00000000105</v>
      </c>
      <c r="AA366" s="11">
        <f>IF(OR(履歴データ!$A$366="",履歴データ!$A$365=""),"",-40000*P366)</f>
        <v>487512.85644531151</v>
      </c>
      <c r="AB366" s="11">
        <f>IF(履歴データ!$A$366="","",123.3)</f>
        <v>123.3</v>
      </c>
      <c r="AC366">
        <f>IF(履歴データ!$A$366="","",SUM(T366:AA366))</f>
        <v>491180.04394530843</v>
      </c>
      <c r="AD366" s="29">
        <f>IF(履歴データ!$A$366="","",AC366/1000000)</f>
        <v>0.4911800439453084</v>
      </c>
      <c r="AE366" s="29">
        <f>IF(履歴データ!$A$366="",AE365,AE365+AC366/1000000)</f>
        <v>75.328463659001343</v>
      </c>
      <c r="AF366" s="12">
        <f>IF(OR(履歴データ!$A$366="",AE365=0),"",(AE366-AE365)/AE365)</f>
        <v>6.5633066864346831E-3</v>
      </c>
      <c r="AG366" s="29">
        <f t="shared" si="17"/>
        <v>102.17217746631495</v>
      </c>
      <c r="AH366" s="12">
        <f>IF(OR(履歴データ!$A$366="",AG366=0),"",AE366/AG366-1)</f>
        <v>-0.26273017246954222</v>
      </c>
      <c r="AJ366" s="28">
        <f t="shared" ca="1" si="15"/>
        <v>-10.845162061474269</v>
      </c>
      <c r="AK366" s="28">
        <f t="shared" ca="1" si="16"/>
        <v>-50.797695081382869</v>
      </c>
    </row>
    <row r="367" spans="1:37">
      <c r="A367" s="10">
        <f>IF(履歴データ!$A$367="","",履歴データ!$A$367)</f>
        <v>45460</v>
      </c>
      <c r="B367" s="28">
        <f>IF(履歴データ!$A$367="","",(履歴データ!$D$367-(履歴データ!$B$367+履歴データ!$F$367)/2)*100)</f>
        <v>-29.499999999999993</v>
      </c>
      <c r="C367" s="28">
        <f>IF(履歴データ!$A$367="","",(履歴データ!$H$367-(履歴データ!$G$367+履歴データ!$J$367)/2)*100)</f>
        <v>-23.250000000000004</v>
      </c>
      <c r="D367" s="28">
        <f>IF(履歴データ!$A$367="","",(履歴データ!$D$367-履歴データ!$H$367)*100)</f>
        <v>333.3</v>
      </c>
      <c r="E367" s="28">
        <f>IF(履歴データ!$A$367="","",(履歴データ!$D$367-履歴データ!$C$367)*100)</f>
        <v>-1.9999999999999574</v>
      </c>
      <c r="F367" s="28">
        <f>IF(履歴データ!$A$367="","",(履歴データ!$R$367-履歴データ!$D$367)*100)</f>
        <v>-222.75</v>
      </c>
      <c r="G367" s="28">
        <f>IF(履歴データ!$A$367="","",(履歴データ!$S$367-履歴データ!$R$367)*100)</f>
        <v>-114.16535717773453</v>
      </c>
      <c r="H367" s="29">
        <f>IF(履歴データ!$A$367="","",履歴データ!$O$367)</f>
        <v>157.69999694824219</v>
      </c>
      <c r="I367" s="29">
        <f>IF(履歴データ!$A$367="","",履歴データ!$Q$367)</f>
        <v>110.0625</v>
      </c>
      <c r="J367" s="29">
        <f>IF(履歴データ!$A$367="","",履歴データ!$D$367)</f>
        <v>4.28</v>
      </c>
      <c r="K367" s="28">
        <f>IF(OR(履歴データ!$A$367="",履歴データ!$A$366=""),"",B367-B366)</f>
        <v>0.99999999999997868</v>
      </c>
      <c r="L367" s="28">
        <f>IF(OR(履歴データ!$A$367="",履歴データ!$A$366=""),"",C367-C366)</f>
        <v>-0.94999999999999574</v>
      </c>
      <c r="M367" s="28">
        <f>IF(OR(履歴データ!$A$367="",履歴データ!$A$366=""),"",D367-D366)</f>
        <v>8.3000000000000114</v>
      </c>
      <c r="N367" s="28">
        <f>IF(OR(履歴データ!$A$367="",履歴データ!$A$366=""),"",E367-E366)</f>
        <v>0</v>
      </c>
      <c r="O367" s="28">
        <f>IF(OR(履歴データ!$A$367="",履歴データ!$A$366=""),"",F367-F366)</f>
        <v>-16.599999999999994</v>
      </c>
      <c r="P367" s="28">
        <f>IF(OR(履歴データ!$A$367="",履歴データ!$A$366=""),"",G367-G366)</f>
        <v>13.511285644531185</v>
      </c>
      <c r="Q367" s="29">
        <f>IF(OR(履歴データ!$A$367="",履歴データ!$A$366=""),"",H367-H366)</f>
        <v>0.571990966796875</v>
      </c>
      <c r="R367" s="29">
        <f>IF(OR(履歴データ!$A$367="",履歴データ!$A$366=""),"",I367-I366)</f>
        <v>-0.40625</v>
      </c>
      <c r="S367" s="28">
        <f>IF(OR(履歴データ!$A$367="",履歴データ!$A$366=""),"",(J367-J366)*100)</f>
        <v>8.0000000000000071</v>
      </c>
      <c r="T367" s="11">
        <f>IF(OR(履歴データ!$A$367="",履歴データ!$A$366=""),"",-80000*K367)</f>
        <v>-79999.999999998297</v>
      </c>
      <c r="U367" s="11">
        <f>IF(OR(履歴データ!$A$367="",履歴データ!$A$366=""),"",60000*L367)</f>
        <v>-56999.999999999745</v>
      </c>
      <c r="V367" s="11">
        <f>IF(OR(履歴データ!$A$367="",履歴データ!$A$366=""),"",-50000*M367)</f>
        <v>-415000.00000000058</v>
      </c>
      <c r="W367" s="11">
        <f>IF(OR(履歴データ!$A$367="",履歴データ!$A$366=""),"",-40000*N367)</f>
        <v>0</v>
      </c>
      <c r="X367" s="11">
        <f>IF(OR(履歴データ!$A$367="",履歴データ!$A$366=""),"",120*1000000*(-Q367/H366))</f>
        <v>-436834.38599564694</v>
      </c>
      <c r="Y367" s="11">
        <f>IF(OR(履歴データ!$A$367="",履歴データ!$A$366=""),"",40000*(-S367)+(-506.3)*R367*1000)</f>
        <v>-114315.62500000026</v>
      </c>
      <c r="Z367" s="11">
        <f>IF(OR(履歴データ!$A$367="",履歴データ!$A$366=""),"",-40000*O367)</f>
        <v>663999.99999999977</v>
      </c>
      <c r="AA367" s="11">
        <f>IF(OR(履歴データ!$A$367="",履歴データ!$A$366=""),"",-40000*P367)</f>
        <v>-540451.42578124744</v>
      </c>
      <c r="AB367" s="11">
        <f>IF(履歴データ!$A$367="","",123.3)</f>
        <v>123.3</v>
      </c>
      <c r="AC367">
        <f>IF(履歴データ!$A$367="","",SUM(T367:AA367))</f>
        <v>-979601.43677689345</v>
      </c>
      <c r="AD367" s="29">
        <f>IF(履歴データ!$A$367="","",AC367/1000000)</f>
        <v>-0.97960143677689349</v>
      </c>
      <c r="AE367" s="29">
        <f>IF(履歴データ!$A$367="",AE366,AE366+AC367/1000000)</f>
        <v>74.348862222224454</v>
      </c>
      <c r="AF367" s="12">
        <f>IF(OR(履歴データ!$A$367="",AE366=0),"",(AE367-AE366)/AE366)</f>
        <v>-1.3004399521691717E-2</v>
      </c>
      <c r="AG367" s="29">
        <f t="shared" si="17"/>
        <v>102.17217746631495</v>
      </c>
      <c r="AH367" s="12">
        <f>IF(OR(履歴データ!$A$367="",AG367=0),"",AE367/AG367-1)</f>
        <v>-0.27231792386203713</v>
      </c>
      <c r="AJ367" s="28">
        <f t="shared" ca="1" si="15"/>
        <v>-10.899937602886069</v>
      </c>
      <c r="AK367" s="28">
        <f t="shared" ca="1" si="16"/>
        <v>-50.588157635209171</v>
      </c>
    </row>
    <row r="368" spans="1:37">
      <c r="A368" s="10">
        <f>IF(履歴データ!$A$368="","",履歴データ!$A$368)</f>
        <v>45461</v>
      </c>
      <c r="B368" s="28">
        <f>IF(履歴データ!$A$368="","",(履歴データ!$D$368-(履歴データ!$B$368+履歴データ!$F$368)/2)*100)</f>
        <v>-30.50000000000006</v>
      </c>
      <c r="C368" s="28">
        <f>IF(履歴データ!$A$368="","",(履歴データ!$H$368-(履歴データ!$G$368+履歴データ!$J$368)/2)*100)</f>
        <v>-22.549999999999994</v>
      </c>
      <c r="D368" s="28">
        <f>IF(履歴データ!$A$368="","",(履歴データ!$D$368-履歴データ!$H$368)*100)</f>
        <v>325.7</v>
      </c>
      <c r="E368" s="28">
        <f>IF(履歴データ!$A$368="","",(履歴データ!$D$368-履歴データ!$C$368)*100)</f>
        <v>-2.0000000000000462</v>
      </c>
      <c r="F368" s="28">
        <f>IF(履歴データ!$A$368="","",(履歴データ!$R$368-履歴データ!$D$368)*100)</f>
        <v>-214.56999999999996</v>
      </c>
      <c r="G368" s="28">
        <f>IF(履歴データ!$A$368="","",(履歴データ!$S$368-履歴データ!$R$368)*100)</f>
        <v>-117.74864282226582</v>
      </c>
      <c r="H368" s="29">
        <f>IF(履歴データ!$A$368="","",履歴データ!$O$368)</f>
        <v>157.87100219726563</v>
      </c>
      <c r="I368" s="29">
        <f>IF(履歴データ!$A$368="","",履歴データ!$Q$368)</f>
        <v>110.484375</v>
      </c>
      <c r="J368" s="29">
        <f>IF(履歴データ!$A$368="","",履歴データ!$D$368)</f>
        <v>4.22</v>
      </c>
      <c r="K368" s="28">
        <f>IF(OR(履歴データ!$A$368="",履歴データ!$A$367=""),"",B368-B367)</f>
        <v>-1.0000000000000675</v>
      </c>
      <c r="L368" s="28">
        <f>IF(OR(履歴データ!$A$368="",履歴データ!$A$367=""),"",C368-C367)</f>
        <v>0.70000000000000995</v>
      </c>
      <c r="M368" s="28">
        <f>IF(OR(履歴データ!$A$368="",履歴データ!$A$367=""),"",D368-D367)</f>
        <v>-7.6000000000000227</v>
      </c>
      <c r="N368" s="28">
        <f>IF(OR(履歴データ!$A$368="",履歴データ!$A$367=""),"",E368-E367)</f>
        <v>-8.8817841970012523E-14</v>
      </c>
      <c r="O368" s="28">
        <f>IF(OR(履歴データ!$A$368="",履歴データ!$A$367=""),"",F368-F367)</f>
        <v>8.1800000000000352</v>
      </c>
      <c r="P368" s="28">
        <f>IF(OR(履歴データ!$A$368="",履歴データ!$A$367=""),"",G368-G367)</f>
        <v>-3.5832856445312871</v>
      </c>
      <c r="Q368" s="29">
        <f>IF(OR(履歴データ!$A$368="",履歴データ!$A$367=""),"",H368-H367)</f>
        <v>0.1710052490234375</v>
      </c>
      <c r="R368" s="29">
        <f>IF(OR(履歴データ!$A$368="",履歴データ!$A$367=""),"",I368-I367)</f>
        <v>0.421875</v>
      </c>
      <c r="S368" s="28">
        <f>IF(OR(履歴データ!$A$368="",履歴データ!$A$367=""),"",(J368-J367)*100)</f>
        <v>-6.0000000000000497</v>
      </c>
      <c r="T368" s="11">
        <f>IF(OR(履歴データ!$A$368="",履歴データ!$A$367=""),"",-80000*K368)</f>
        <v>80000.000000005399</v>
      </c>
      <c r="U368" s="11">
        <f>IF(OR(履歴データ!$A$368="",履歴データ!$A$367=""),"",60000*L368)</f>
        <v>42000.000000000597</v>
      </c>
      <c r="V368" s="11">
        <f>IF(OR(履歴データ!$A$368="",履歴データ!$A$367=""),"",-50000*M368)</f>
        <v>380000.00000000116</v>
      </c>
      <c r="W368" s="11">
        <f>IF(OR(履歴データ!$A$368="",履歴データ!$A$367=""),"",-40000*N368)</f>
        <v>3.5527136788005009E-9</v>
      </c>
      <c r="X368" s="11">
        <f>IF(OR(履歴データ!$A$368="",履歴データ!$A$367=""),"",120*1000000*(-Q368/H367))</f>
        <v>-130124.47862980911</v>
      </c>
      <c r="Y368" s="11">
        <f>IF(OR(履歴データ!$A$368="",履歴データ!$A$367=""),"",40000*(-S368)+(-506.3)*R368*1000)</f>
        <v>26404.687500001979</v>
      </c>
      <c r="Z368" s="11">
        <f>IF(OR(履歴データ!$A$368="",履歴データ!$A$367=""),"",-40000*O368)</f>
        <v>-327200.0000000014</v>
      </c>
      <c r="AA368" s="11">
        <f>IF(OR(履歴データ!$A$368="",履歴データ!$A$367=""),"",-40000*P368)</f>
        <v>143331.42578125148</v>
      </c>
      <c r="AB368" s="11">
        <f>IF(履歴データ!$A$368="","",123.3)</f>
        <v>123.3</v>
      </c>
      <c r="AC368">
        <f>IF(履歴データ!$A$368="","",SUM(T368:AA368))</f>
        <v>214411.63465145367</v>
      </c>
      <c r="AD368" s="29">
        <f>IF(履歴データ!$A$368="","",AC368/1000000)</f>
        <v>0.21441163465145366</v>
      </c>
      <c r="AE368" s="29">
        <f>IF(履歴データ!$A$368="",AE367,AE367+AC368/1000000)</f>
        <v>74.563273856875909</v>
      </c>
      <c r="AF368" s="12">
        <f>IF(OR(履歴データ!$A$368="",AE367=0),"",(AE368-AE367)/AE367)</f>
        <v>2.8838589891341053E-3</v>
      </c>
      <c r="AG368" s="29">
        <f t="shared" si="17"/>
        <v>102.17217746631495</v>
      </c>
      <c r="AH368" s="12">
        <f>IF(OR(履歴データ!$A$368="",AG368=0),"",AE368/AG368-1)</f>
        <v>-0.27021939136553486</v>
      </c>
      <c r="AJ368" s="28">
        <f t="shared" ca="1" si="15"/>
        <v>-10.991035283385898</v>
      </c>
      <c r="AK368" s="28">
        <f t="shared" ca="1" si="16"/>
        <v>-50.330393288042671</v>
      </c>
    </row>
    <row r="369" spans="1:37">
      <c r="A369" s="10">
        <f>IF(履歴データ!$A$369="","",履歴データ!$A$369)</f>
        <v>45463</v>
      </c>
      <c r="B369" s="28">
        <f>IF(履歴データ!$A$369="","",(履歴データ!$D$369-(履歴データ!$B$369+履歴データ!$F$369)/2)*100)</f>
        <v>-29.499999999999993</v>
      </c>
      <c r="C369" s="28">
        <f>IF(履歴データ!$A$369="","",(履歴データ!$H$369-(履歴データ!$G$369+履歴データ!$J$369)/2)*100)</f>
        <v>-20.699999999999996</v>
      </c>
      <c r="D369" s="28">
        <f>IF(履歴データ!$A$369="","",(履歴データ!$D$369-履歴データ!$H$369)*100)</f>
        <v>327.7</v>
      </c>
      <c r="E369" s="28">
        <f>IF(履歴データ!$A$369="","",(履歴データ!$D$369-履歴データ!$C$369)*100)</f>
        <v>-0.99999999999997868</v>
      </c>
      <c r="F369" s="28">
        <f>IF(履歴データ!$A$369="","",(履歴データ!$R$369-履歴データ!$D$369)*100)</f>
        <v>-223.81000000000003</v>
      </c>
      <c r="G369" s="28">
        <f>IF(履歴データ!$A$369="","",(履歴データ!$S$369-履歴データ!$R$369)*100)</f>
        <v>-108.17600000000019</v>
      </c>
      <c r="H369" s="29">
        <f>IF(履歴データ!$A$369="","",履歴データ!$O$369)</f>
        <v>158.93099975585938</v>
      </c>
      <c r="I369" s="29">
        <f>IF(履歴データ!$A$369="","",履歴データ!$Q$369)</f>
        <v>110.546875</v>
      </c>
      <c r="J369" s="29">
        <f>IF(履歴データ!$A$369="","",履歴データ!$D$369)</f>
        <v>4.25</v>
      </c>
      <c r="K369" s="28">
        <f>IF(OR(履歴データ!$A$369="",履歴データ!$A$368=""),"",B369-B368)</f>
        <v>1.0000000000000675</v>
      </c>
      <c r="L369" s="28">
        <f>IF(OR(履歴データ!$A$369="",履歴データ!$A$368=""),"",C369-C368)</f>
        <v>1.8499999999999979</v>
      </c>
      <c r="M369" s="28">
        <f>IF(OR(履歴データ!$A$369="",履歴データ!$A$368=""),"",D369-D368)</f>
        <v>2</v>
      </c>
      <c r="N369" s="28">
        <f>IF(OR(履歴データ!$A$369="",履歴データ!$A$368=""),"",E369-E368)</f>
        <v>1.0000000000000675</v>
      </c>
      <c r="O369" s="28">
        <f>IF(OR(履歴データ!$A$369="",履歴データ!$A$368=""),"",F369-F368)</f>
        <v>-9.2400000000000659</v>
      </c>
      <c r="P369" s="28">
        <f>IF(OR(履歴データ!$A$369="",履歴データ!$A$368=""),"",G369-G368)</f>
        <v>9.5726428222656352</v>
      </c>
      <c r="Q369" s="29">
        <f>IF(OR(履歴データ!$A$369="",履歴データ!$A$368=""),"",H369-H368)</f>
        <v>1.05999755859375</v>
      </c>
      <c r="R369" s="29">
        <f>IF(OR(履歴データ!$A$369="",履歴データ!$A$368=""),"",I369-I368)</f>
        <v>6.25E-2</v>
      </c>
      <c r="S369" s="28">
        <f>IF(OR(履歴データ!$A$369="",履歴データ!$A$368=""),"",(J369-J368)*100)</f>
        <v>3.0000000000000249</v>
      </c>
      <c r="T369" s="11">
        <f>IF(OR(履歴データ!$A$369="",履歴データ!$A$368=""),"",-80000*K369)</f>
        <v>-80000.000000005399</v>
      </c>
      <c r="U369" s="11">
        <f>IF(OR(履歴データ!$A$369="",履歴データ!$A$368=""),"",60000*L369)</f>
        <v>110999.99999999987</v>
      </c>
      <c r="V369" s="11">
        <f>IF(OR(履歴データ!$A$369="",履歴データ!$A$368=""),"",-50000*M369)</f>
        <v>-100000</v>
      </c>
      <c r="W369" s="11">
        <f>IF(OR(履歴データ!$A$369="",履歴データ!$A$368=""),"",-40000*N369)</f>
        <v>-40000.000000002699</v>
      </c>
      <c r="X369" s="11">
        <f>IF(OR(履歴データ!$A$369="",履歴データ!$A$368=""),"",120*1000000*(-Q369/H368))</f>
        <v>-805719.25978090195</v>
      </c>
      <c r="Y369" s="11">
        <f>IF(OR(履歴データ!$A$369="",履歴データ!$A$368=""),"",40000*(-S369)+(-506.3)*R369*1000)</f>
        <v>-151643.75000000099</v>
      </c>
      <c r="Z369" s="11">
        <f>IF(OR(履歴データ!$A$369="",履歴データ!$A$368=""),"",-40000*O369)</f>
        <v>369600.00000000262</v>
      </c>
      <c r="AA369" s="11">
        <f>IF(OR(履歴データ!$A$369="",履歴データ!$A$368=""),"",-40000*P369)</f>
        <v>-382905.71289062541</v>
      </c>
      <c r="AB369" s="11">
        <f>IF(履歴データ!$A$369="","",123.3)</f>
        <v>123.3</v>
      </c>
      <c r="AC369">
        <f>IF(履歴データ!$A$369="","",SUM(T369:AA369))</f>
        <v>-1079668.7226715342</v>
      </c>
      <c r="AD369" s="29">
        <f>IF(履歴データ!$A$369="","",AC369/1000000)</f>
        <v>-1.0796687226715342</v>
      </c>
      <c r="AE369" s="29">
        <f>IF(履歴データ!$A$369="",AE368,AE368+AC369/1000000)</f>
        <v>73.483605134204382</v>
      </c>
      <c r="AF369" s="12">
        <f>IF(OR(履歴データ!$A$369="",AE368=0),"",(AE369-AE368)/AE368)</f>
        <v>-1.4479899645285831E-2</v>
      </c>
      <c r="AG369" s="29">
        <f t="shared" si="17"/>
        <v>102.17217746631495</v>
      </c>
      <c r="AH369" s="12">
        <f>IF(OR(履歴データ!$A$369="",AG369=0),"",AE369/AG369-1)</f>
        <v>-0.2807865413416375</v>
      </c>
      <c r="AJ369" s="28">
        <f t="shared" ca="1" si="15"/>
        <v>-11.074220045982948</v>
      </c>
      <c r="AK369" s="28">
        <f t="shared" ca="1" si="16"/>
        <v>-50.076573604810704</v>
      </c>
    </row>
    <row r="370" spans="1:37">
      <c r="A370" s="10">
        <f>IF(履歴データ!$A$370="","",履歴データ!$A$370)</f>
        <v>45464</v>
      </c>
      <c r="B370" s="28">
        <f>IF(履歴データ!$A$370="","",(履歴データ!$D$370-(履歴データ!$B$370+履歴データ!$F$370)/2)*100)</f>
        <v>-29.499999999999993</v>
      </c>
      <c r="C370" s="28">
        <f>IF(履歴データ!$A$370="","",(履歴データ!$H$370-(履歴データ!$G$370+履歴データ!$J$370)/2)*100)</f>
        <v>-20.05</v>
      </c>
      <c r="D370" s="28">
        <f>IF(履歴データ!$A$370="","",(履歴データ!$D$370-履歴データ!$H$370)*100)</f>
        <v>325.09999999999997</v>
      </c>
      <c r="E370" s="28">
        <f>IF(履歴データ!$A$370="","",(履歴データ!$D$370-履歴データ!$C$370)*100)</f>
        <v>-0.99999999999997868</v>
      </c>
      <c r="F370" s="28">
        <f>IF(履歴データ!$A$370="","",(履歴データ!$R$370-履歴データ!$D$370)*100)</f>
        <v>-219.43</v>
      </c>
      <c r="G370" s="28">
        <f>IF(履歴データ!$A$370="","",(履歴データ!$S$370-履歴データ!$R$370)*100)</f>
        <v>-113.43300000000002</v>
      </c>
      <c r="H370" s="29">
        <f>IF(履歴データ!$A$370="","",履歴データ!$O$370)</f>
        <v>158.93099975585938</v>
      </c>
      <c r="I370" s="29">
        <f>IF(履歴データ!$A$370="","",履歴データ!$Q$370)</f>
        <v>110.5</v>
      </c>
      <c r="J370" s="29">
        <f>IF(履歴データ!$A$370="","",履歴データ!$D$370)</f>
        <v>4.25</v>
      </c>
      <c r="K370" s="28">
        <f>IF(OR(履歴データ!$A$370="",履歴データ!$A$369=""),"",B370-B369)</f>
        <v>0</v>
      </c>
      <c r="L370" s="28">
        <f>IF(OR(履歴データ!$A$370="",履歴データ!$A$369=""),"",C370-C369)</f>
        <v>0.64999999999999503</v>
      </c>
      <c r="M370" s="28">
        <f>IF(OR(履歴データ!$A$370="",履歴データ!$A$369=""),"",D370-D369)</f>
        <v>-2.6000000000000227</v>
      </c>
      <c r="N370" s="28">
        <f>IF(OR(履歴データ!$A$370="",履歴データ!$A$369=""),"",E370-E369)</f>
        <v>0</v>
      </c>
      <c r="O370" s="28">
        <f>IF(OR(履歴データ!$A$370="",履歴データ!$A$369=""),"",F370-F369)</f>
        <v>4.3800000000000239</v>
      </c>
      <c r="P370" s="28">
        <f>IF(OR(履歴データ!$A$370="",履歴データ!$A$369=""),"",G370-G369)</f>
        <v>-5.2569999999998345</v>
      </c>
      <c r="Q370" s="29">
        <f>IF(OR(履歴データ!$A$370="",履歴データ!$A$369=""),"",H370-H369)</f>
        <v>0</v>
      </c>
      <c r="R370" s="29">
        <f>IF(OR(履歴データ!$A$370="",履歴データ!$A$369=""),"",I370-I369)</f>
        <v>-4.6875E-2</v>
      </c>
      <c r="S370" s="28">
        <f>IF(OR(履歴データ!$A$370="",履歴データ!$A$369=""),"",(J370-J369)*100)</f>
        <v>0</v>
      </c>
      <c r="T370" s="11">
        <f>IF(OR(履歴データ!$A$370="",履歴データ!$A$369=""),"",-80000*K370)</f>
        <v>0</v>
      </c>
      <c r="U370" s="11">
        <f>IF(OR(履歴データ!$A$370="",履歴データ!$A$369=""),"",60000*L370)</f>
        <v>38999.999999999702</v>
      </c>
      <c r="V370" s="11">
        <f>IF(OR(履歴データ!$A$370="",履歴データ!$A$369=""),"",-50000*M370)</f>
        <v>130000.00000000114</v>
      </c>
      <c r="W370" s="11">
        <f>IF(OR(履歴データ!$A$370="",履歴データ!$A$369=""),"",-40000*N370)</f>
        <v>0</v>
      </c>
      <c r="X370" s="11">
        <f>IF(OR(履歴データ!$A$370="",履歴データ!$A$369=""),"",120*1000000*(-Q370/H369))</f>
        <v>0</v>
      </c>
      <c r="Y370" s="11">
        <f>IF(OR(履歴データ!$A$370="",履歴データ!$A$369=""),"",40000*(-S370)+(-506.3)*R370*1000)</f>
        <v>23732.8125</v>
      </c>
      <c r="Z370" s="11">
        <f>IF(OR(履歴データ!$A$370="",履歴データ!$A$369=""),"",-40000*O370)</f>
        <v>-175200.00000000096</v>
      </c>
      <c r="AA370" s="11">
        <f>IF(OR(履歴データ!$A$370="",履歴データ!$A$369=""),"",-40000*P370)</f>
        <v>210279.99999999336</v>
      </c>
      <c r="AB370" s="11">
        <f>IF(履歴データ!$A$370="","",123.3)</f>
        <v>123.3</v>
      </c>
      <c r="AC370">
        <f>IF(履歴データ!$A$370="","",SUM(T370:AA370))</f>
        <v>227812.81249999325</v>
      </c>
      <c r="AD370" s="29">
        <f>IF(履歴データ!$A$370="","",AC370/1000000)</f>
        <v>0.22781281249999324</v>
      </c>
      <c r="AE370" s="29">
        <f>IF(履歴データ!$A$370="",AE369,AE369+AC370/1000000)</f>
        <v>73.711417946704373</v>
      </c>
      <c r="AF370" s="12">
        <f>IF(OR(履歴データ!$A$370="",AE369=0),"",(AE370-AE369)/AE369)</f>
        <v>3.100185573148357E-3</v>
      </c>
      <c r="AG370" s="29">
        <f t="shared" si="17"/>
        <v>102.17217746631495</v>
      </c>
      <c r="AH370" s="12">
        <f>IF(OR(履歴データ!$A$370="",AG370=0),"",AE370/AG370-1)</f>
        <v>-0.27855684615309073</v>
      </c>
      <c r="AJ370" s="28">
        <f t="shared" ca="1" si="15"/>
        <v>-11.166961633764394</v>
      </c>
      <c r="AK370" s="28">
        <f t="shared" ca="1" si="16"/>
        <v>-49.80922884242608</v>
      </c>
    </row>
    <row r="371" spans="1:37">
      <c r="A371" s="10">
        <f>IF(履歴データ!$A$371="","",履歴データ!$A$371)</f>
        <v>45467</v>
      </c>
      <c r="B371" s="28">
        <f>IF(履歴データ!$A$371="","",(履歴データ!$D$371-(履歴データ!$B$371+履歴データ!$F$371)/2)*100)</f>
        <v>-29.499999999999993</v>
      </c>
      <c r="C371" s="28">
        <f>IF(履歴データ!$A$371="","",(履歴データ!$H$371-(履歴データ!$G$371+履歴データ!$J$371)/2)*100)</f>
        <v>-19.850000000000012</v>
      </c>
      <c r="D371" s="28">
        <f>IF(履歴データ!$A$371="","",(履歴データ!$D$371-履歴データ!$H$371)*100)</f>
        <v>324</v>
      </c>
      <c r="E371" s="28">
        <f>IF(履歴データ!$A$371="","",(履歴データ!$D$371-履歴データ!$C$371)*100)</f>
        <v>-1.9999999999999574</v>
      </c>
      <c r="F371" s="28">
        <f>IF(履歴データ!$A$371="","",(履歴データ!$R$371-履歴データ!$D$371)*100)</f>
        <v>-221.51999999999998</v>
      </c>
      <c r="G371" s="28">
        <f>IF(履歴データ!$A$371="","",(履歴データ!$S$371-履歴データ!$R$371)*100)</f>
        <v>-110.11517858886725</v>
      </c>
      <c r="H371" s="29">
        <f>IF(履歴データ!$A$371="","",履歴データ!$O$371)</f>
        <v>159.68600463867188</v>
      </c>
      <c r="I371" s="29">
        <f>IF(履歴データ!$A$371="","",履歴データ!$Q$371)</f>
        <v>110.53125</v>
      </c>
      <c r="J371" s="29">
        <f>IF(履歴データ!$A$371="","",履歴データ!$D$371)</f>
        <v>4.25</v>
      </c>
      <c r="K371" s="28">
        <f>IF(OR(履歴データ!$A$371="",履歴データ!$A$370=""),"",B371-B370)</f>
        <v>0</v>
      </c>
      <c r="L371" s="28">
        <f>IF(OR(履歴データ!$A$371="",履歴データ!$A$370=""),"",C371-C370)</f>
        <v>0.19999999999998863</v>
      </c>
      <c r="M371" s="28">
        <f>IF(OR(履歴データ!$A$371="",履歴データ!$A$370=""),"",D371-D370)</f>
        <v>-1.0999999999999659</v>
      </c>
      <c r="N371" s="28">
        <f>IF(OR(履歴データ!$A$371="",履歴データ!$A$370=""),"",E371-E370)</f>
        <v>-0.99999999999997868</v>
      </c>
      <c r="O371" s="28">
        <f>IF(OR(履歴データ!$A$371="",履歴データ!$A$370=""),"",F371-F370)</f>
        <v>-2.089999999999975</v>
      </c>
      <c r="P371" s="28">
        <f>IF(OR(履歴データ!$A$371="",履歴データ!$A$370=""),"",G371-G370)</f>
        <v>3.3178214111327691</v>
      </c>
      <c r="Q371" s="29">
        <f>IF(OR(履歴データ!$A$371="",履歴データ!$A$370=""),"",H371-H370)</f>
        <v>0.7550048828125</v>
      </c>
      <c r="R371" s="29">
        <f>IF(OR(履歴データ!$A$371="",履歴データ!$A$370=""),"",I371-I370)</f>
        <v>3.125E-2</v>
      </c>
      <c r="S371" s="28">
        <f>IF(OR(履歴データ!$A$371="",履歴データ!$A$370=""),"",(J371-J370)*100)</f>
        <v>0</v>
      </c>
      <c r="T371" s="11">
        <f>IF(OR(履歴データ!$A$371="",履歴データ!$A$370=""),"",-80000*K371)</f>
        <v>0</v>
      </c>
      <c r="U371" s="11">
        <f>IF(OR(履歴データ!$A$371="",履歴データ!$A$370=""),"",60000*L371)</f>
        <v>11999.999999999318</v>
      </c>
      <c r="V371" s="11">
        <f>IF(OR(履歴データ!$A$371="",履歴データ!$A$370=""),"",-50000*M371)</f>
        <v>54999.999999998297</v>
      </c>
      <c r="W371" s="11">
        <f>IF(OR(履歴データ!$A$371="",履歴データ!$A$370=""),"",-40000*N371)</f>
        <v>39999.999999999149</v>
      </c>
      <c r="X371" s="11">
        <f>IF(OR(履歴データ!$A$371="",履歴データ!$A$370=""),"",120*1000000*(-Q371/H370))</f>
        <v>-570062.39233802957</v>
      </c>
      <c r="Y371" s="11">
        <f>IF(OR(履歴データ!$A$371="",履歴データ!$A$370=""),"",40000*(-S371)+(-506.3)*R371*1000)</f>
        <v>-15821.875</v>
      </c>
      <c r="Z371" s="11">
        <f>IF(OR(履歴データ!$A$371="",履歴データ!$A$370=""),"",-40000*O371)</f>
        <v>83599.999999998996</v>
      </c>
      <c r="AA371" s="11">
        <f>IF(OR(履歴データ!$A$371="",履歴データ!$A$370=""),"",-40000*P371)</f>
        <v>-132712.85644531075</v>
      </c>
      <c r="AB371" s="11">
        <f>IF(履歴データ!$A$371="","",123.3)</f>
        <v>123.3</v>
      </c>
      <c r="AC371">
        <f>IF(履歴データ!$A$371="","",SUM(T371:AA371))</f>
        <v>-527997.12378334464</v>
      </c>
      <c r="AD371" s="29">
        <f>IF(履歴データ!$A$371="","",AC371/1000000)</f>
        <v>-0.52799712378334462</v>
      </c>
      <c r="AE371" s="29">
        <f>IF(履歴データ!$A$371="",AE370,AE370+AC371/1000000)</f>
        <v>73.183420822921022</v>
      </c>
      <c r="AF371" s="12">
        <f>IF(OR(履歴データ!$A$371="",AE370=0),"",(AE371-AE370)/AE370)</f>
        <v>-7.1630303485018957E-3</v>
      </c>
      <c r="AG371" s="29">
        <f t="shared" si="17"/>
        <v>102.17217746631495</v>
      </c>
      <c r="AH371" s="12">
        <f>IF(OR(履歴データ!$A$371="",AG371=0),"",AE371/AG371-1)</f>
        <v>-0.28372456535881507</v>
      </c>
      <c r="AJ371" s="28">
        <f t="shared" ca="1" si="15"/>
        <v>-11.277023825767909</v>
      </c>
      <c r="AK371" s="28">
        <f t="shared" ca="1" si="16"/>
        <v>-49.516626967882885</v>
      </c>
    </row>
    <row r="372" spans="1:37">
      <c r="A372" s="10">
        <f>IF(履歴データ!$A$372="","",履歴データ!$A$372)</f>
        <v>45468</v>
      </c>
      <c r="B372" s="28">
        <f>IF(履歴データ!$A$372="","",(履歴データ!$D$372-(履歴データ!$B$372+履歴データ!$F$372)/2)*100)</f>
        <v>-27.500000000000036</v>
      </c>
      <c r="C372" s="28">
        <f>IF(履歴データ!$A$372="","",(履歴データ!$H$372-(履歴データ!$G$372+履歴データ!$J$372)/2)*100)</f>
        <v>-19.350000000000001</v>
      </c>
      <c r="D372" s="28">
        <f>IF(履歴データ!$A$372="","",(履歴データ!$D$372-履歴データ!$H$372)*100)</f>
        <v>321.00000000000006</v>
      </c>
      <c r="E372" s="28">
        <f>IF(履歴データ!$A$372="","",(履歴データ!$D$372-履歴データ!$C$372)*100)</f>
        <v>-1.9999999999999574</v>
      </c>
      <c r="F372" s="28">
        <f>IF(履歴データ!$A$372="","",(履歴データ!$R$372-履歴データ!$D$372)*100)</f>
        <v>-219.00000000000003</v>
      </c>
      <c r="G372" s="28">
        <f>IF(履歴データ!$A$372="","",(履歴データ!$S$372-履歴データ!$R$372)*100)</f>
        <v>-107.47800000000014</v>
      </c>
      <c r="H372" s="29">
        <f>IF(履歴データ!$A$372="","",履歴データ!$O$372)</f>
        <v>159.68600463867188</v>
      </c>
      <c r="I372" s="29">
        <f>IF(履歴データ!$A$372="","",履歴データ!$Q$372)</f>
        <v>110.59375</v>
      </c>
      <c r="J372" s="29">
        <f>IF(履歴データ!$A$372="","",履歴データ!$D$372)</f>
        <v>4.2300000000000004</v>
      </c>
      <c r="K372" s="28">
        <f>IF(OR(履歴データ!$A$372="",履歴データ!$A$371=""),"",B372-B371)</f>
        <v>1.9999999999999574</v>
      </c>
      <c r="L372" s="28">
        <f>IF(OR(履歴データ!$A$372="",履歴データ!$A$371=""),"",C372-C371)</f>
        <v>0.50000000000001066</v>
      </c>
      <c r="M372" s="28">
        <f>IF(OR(履歴データ!$A$372="",履歴データ!$A$371=""),"",D372-D371)</f>
        <v>-2.9999999999999432</v>
      </c>
      <c r="N372" s="28">
        <f>IF(OR(履歴データ!$A$372="",履歴データ!$A$371=""),"",E372-E371)</f>
        <v>0</v>
      </c>
      <c r="O372" s="28">
        <f>IF(OR(履歴データ!$A$372="",履歴データ!$A$371=""),"",F372-F371)</f>
        <v>2.5199999999999534</v>
      </c>
      <c r="P372" s="28">
        <f>IF(OR(履歴データ!$A$372="",履歴データ!$A$371=""),"",G372-G371)</f>
        <v>2.6371785888671155</v>
      </c>
      <c r="Q372" s="29">
        <f>IF(OR(履歴データ!$A$372="",履歴データ!$A$371=""),"",H372-H371)</f>
        <v>0</v>
      </c>
      <c r="R372" s="29">
        <f>IF(OR(履歴データ!$A$372="",履歴データ!$A$371=""),"",I372-I371)</f>
        <v>6.25E-2</v>
      </c>
      <c r="S372" s="28">
        <f>IF(OR(履歴データ!$A$372="",履歴データ!$A$371=""),"",(J372-J371)*100)</f>
        <v>-1.9999999999999574</v>
      </c>
      <c r="T372" s="11">
        <f>IF(OR(履歴データ!$A$372="",履歴データ!$A$371=""),"",-80000*K372)</f>
        <v>-159999.99999999659</v>
      </c>
      <c r="U372" s="11">
        <f>IF(OR(履歴データ!$A$372="",履歴データ!$A$371=""),"",60000*L372)</f>
        <v>30000.00000000064</v>
      </c>
      <c r="V372" s="11">
        <f>IF(OR(履歴データ!$A$372="",履歴データ!$A$371=""),"",-50000*M372)</f>
        <v>149999.99999999715</v>
      </c>
      <c r="W372" s="11">
        <f>IF(OR(履歴データ!$A$372="",履歴データ!$A$371=""),"",-40000*N372)</f>
        <v>0</v>
      </c>
      <c r="X372" s="11">
        <f>IF(OR(履歴データ!$A$372="",履歴データ!$A$371=""),"",120*1000000*(-Q372/H371))</f>
        <v>0</v>
      </c>
      <c r="Y372" s="11">
        <f>IF(OR(履歴データ!$A$372="",履歴データ!$A$371=""),"",40000*(-S372)+(-506.3)*R372*1000)</f>
        <v>48356.249999998297</v>
      </c>
      <c r="Z372" s="11">
        <f>IF(OR(履歴データ!$A$372="",履歴データ!$A$371=""),"",-40000*O372)</f>
        <v>-100799.99999999814</v>
      </c>
      <c r="AA372" s="11">
        <f>IF(OR(履歴データ!$A$372="",履歴データ!$A$371=""),"",-40000*P372)</f>
        <v>-105487.14355468462</v>
      </c>
      <c r="AB372" s="11">
        <f>IF(履歴データ!$A$372="","",123.3)</f>
        <v>123.3</v>
      </c>
      <c r="AC372">
        <f>IF(履歴データ!$A$372="","",SUM(T372:AA372))</f>
        <v>-137930.89355468325</v>
      </c>
      <c r="AD372" s="29">
        <f>IF(履歴データ!$A$372="","",AC372/1000000)</f>
        <v>-0.13793089355468324</v>
      </c>
      <c r="AE372" s="29">
        <f>IF(履歴データ!$A$372="",AE371,AE371+AC372/1000000)</f>
        <v>73.04548992936634</v>
      </c>
      <c r="AF372" s="12">
        <f>IF(OR(履歴データ!$A$372="",AE371=0),"",(AE372-AE371)/AE371)</f>
        <v>-1.8847286995291941E-3</v>
      </c>
      <c r="AG372" s="29">
        <f t="shared" si="17"/>
        <v>102.17217746631495</v>
      </c>
      <c r="AH372" s="12">
        <f>IF(OR(履歴データ!$A$372="",AG372=0),"",AE372/AG372-1)</f>
        <v>-0.28507455022725103</v>
      </c>
      <c r="AJ372" s="28">
        <f t="shared" ca="1" si="15"/>
        <v>-11.38002523339475</v>
      </c>
      <c r="AK372" s="28">
        <f t="shared" ca="1" si="16"/>
        <v>-49.215212861843341</v>
      </c>
    </row>
    <row r="373" spans="1:37">
      <c r="A373" s="10">
        <f>IF(履歴データ!$A$373="","",履歴データ!$A$373)</f>
        <v>45469</v>
      </c>
      <c r="B373" s="28">
        <f>IF(履歴データ!$A$373="","",(履歴データ!$D$373-(履歴データ!$B$373+履歴データ!$F$373)/2)*100)</f>
        <v>-25.999999999999979</v>
      </c>
      <c r="C373" s="28">
        <f>IF(履歴データ!$A$373="","",(履歴データ!$H$373-(履歴データ!$G$373+履歴データ!$J$373)/2)*100)</f>
        <v>-18.949999999999978</v>
      </c>
      <c r="D373" s="28">
        <f>IF(履歴データ!$A$373="","",(履歴データ!$D$373-履歴データ!$H$373)*100)</f>
        <v>327.60000000000002</v>
      </c>
      <c r="E373" s="28">
        <f>IF(履歴データ!$A$373="","",(履歴データ!$D$373-履歴データ!$C$373)*100)</f>
        <v>0</v>
      </c>
      <c r="F373" s="28">
        <f>IF(履歴データ!$A$373="","",(履歴データ!$R$373-履歴データ!$D$373)*100)</f>
        <v>-227.83</v>
      </c>
      <c r="G373" s="28">
        <f>IF(履歴データ!$A$373="","",(履歴データ!$S$373-履歴データ!$R$373)*100)</f>
        <v>-105.8940000000001</v>
      </c>
      <c r="H373" s="29">
        <f>IF(履歴データ!$A$373="","",履歴データ!$O$373)</f>
        <v>160.62100219726563</v>
      </c>
      <c r="I373" s="29">
        <f>IF(履歴データ!$A$373="","",履歴データ!$Q$373)</f>
        <v>110.0625</v>
      </c>
      <c r="J373" s="29">
        <f>IF(履歴データ!$A$373="","",履歴データ!$D$373)</f>
        <v>4.32</v>
      </c>
      <c r="K373" s="28">
        <f>IF(OR(履歴データ!$A$373="",履歴データ!$A$372=""),"",B373-B372)</f>
        <v>1.5000000000000568</v>
      </c>
      <c r="L373" s="28">
        <f>IF(OR(履歴データ!$A$373="",履歴データ!$A$372=""),"",C373-C372)</f>
        <v>0.40000000000002345</v>
      </c>
      <c r="M373" s="28">
        <f>IF(OR(履歴データ!$A$373="",履歴データ!$A$372=""),"",D373-D372)</f>
        <v>6.5999999999999659</v>
      </c>
      <c r="N373" s="28">
        <f>IF(OR(履歴データ!$A$373="",履歴データ!$A$372=""),"",E373-E372)</f>
        <v>1.9999999999999574</v>
      </c>
      <c r="O373" s="28">
        <f>IF(OR(履歴データ!$A$373="",履歴データ!$A$372=""),"",F373-F372)</f>
        <v>-8.8299999999999841</v>
      </c>
      <c r="P373" s="28">
        <f>IF(OR(履歴データ!$A$373="",履歴データ!$A$372=""),"",G373-G372)</f>
        <v>1.5840000000000316</v>
      </c>
      <c r="Q373" s="29">
        <f>IF(OR(履歴データ!$A$373="",履歴データ!$A$372=""),"",H373-H372)</f>
        <v>0.93499755859375</v>
      </c>
      <c r="R373" s="29">
        <f>IF(OR(履歴データ!$A$373="",履歴データ!$A$372=""),"",I373-I372)</f>
        <v>-0.53125</v>
      </c>
      <c r="S373" s="28">
        <f>IF(OR(履歴データ!$A$373="",履歴データ!$A$372=""),"",(J373-J372)*100)</f>
        <v>8.9999999999999858</v>
      </c>
      <c r="T373" s="11">
        <f>IF(OR(履歴データ!$A$373="",履歴データ!$A$372=""),"",-80000*K373)</f>
        <v>-120000.00000000454</v>
      </c>
      <c r="U373" s="11">
        <f>IF(OR(履歴データ!$A$373="",履歴データ!$A$372=""),"",60000*L373)</f>
        <v>24000.000000001408</v>
      </c>
      <c r="V373" s="11">
        <f>IF(OR(履歴データ!$A$373="",履歴データ!$A$372=""),"",-50000*M373)</f>
        <v>-329999.99999999831</v>
      </c>
      <c r="W373" s="11">
        <f>IF(OR(履歴データ!$A$373="",履歴データ!$A$372=""),"",-40000*N373)</f>
        <v>-79999.999999998297</v>
      </c>
      <c r="X373" s="11">
        <f>IF(OR(履歴データ!$A$373="",履歴データ!$A$372=""),"",120*1000000*(-Q373/H372))</f>
        <v>-702627.05416876648</v>
      </c>
      <c r="Y373" s="11">
        <f>IF(OR(履歴データ!$A$373="",履歴データ!$A$372=""),"",40000*(-S373)+(-506.3)*R373*1000)</f>
        <v>-91028.124999999418</v>
      </c>
      <c r="Z373" s="11">
        <f>IF(OR(履歴データ!$A$373="",履歴データ!$A$372=""),"",-40000*O373)</f>
        <v>353199.99999999936</v>
      </c>
      <c r="AA373" s="11">
        <f>IF(OR(履歴データ!$A$373="",履歴データ!$A$372=""),"",-40000*P373)</f>
        <v>-63360.000000001266</v>
      </c>
      <c r="AB373" s="11">
        <f>IF(履歴データ!$A$373="","",123.3)</f>
        <v>123.3</v>
      </c>
      <c r="AC373">
        <f>IF(履歴データ!$A$373="","",SUM(T373:AA373))</f>
        <v>-1009815.1791687679</v>
      </c>
      <c r="AD373" s="29">
        <f>IF(履歴データ!$A$373="","",AC373/1000000)</f>
        <v>-1.009815179168768</v>
      </c>
      <c r="AE373" s="29">
        <f>IF(履歴データ!$A$373="",AE372,AE372+AC373/1000000)</f>
        <v>72.035674750197572</v>
      </c>
      <c r="AF373" s="12">
        <f>IF(OR(履歴データ!$A$373="",AE372=0),"",(AE373-AE372)/AE372)</f>
        <v>-1.382446993161715E-2</v>
      </c>
      <c r="AG373" s="29">
        <f t="shared" si="17"/>
        <v>102.17217746631495</v>
      </c>
      <c r="AH373" s="12">
        <f>IF(OR(履歴データ!$A$373="",AG373=0),"",AE373/AG373-1)</f>
        <v>-0.29495801561098234</v>
      </c>
      <c r="AJ373" s="28">
        <f t="shared" ca="1" si="15"/>
        <v>-11.476970142109948</v>
      </c>
      <c r="AK373" s="28">
        <f t="shared" ca="1" si="16"/>
        <v>-48.907950492810684</v>
      </c>
    </row>
    <row r="374" spans="1:37">
      <c r="A374" s="10">
        <f>IF(履歴データ!$A$374="","",履歴データ!$A$374)</f>
        <v>45470</v>
      </c>
      <c r="B374" s="28">
        <f>IF(履歴データ!$A$374="","",(履歴データ!$D$374-(履歴データ!$B$374+履歴データ!$F$374)/2)*100)</f>
        <v>-27.499999999999947</v>
      </c>
      <c r="C374" s="28">
        <f>IF(履歴データ!$A$374="","",(履歴データ!$H$374-(履歴データ!$G$374+履歴データ!$J$374)/2)*100)</f>
        <v>-18.799999999999994</v>
      </c>
      <c r="D374" s="28">
        <f>IF(履歴データ!$A$374="","",(履歴データ!$D$374-履歴データ!$H$374)*100)</f>
        <v>319.8</v>
      </c>
      <c r="E374" s="28">
        <f>IF(履歴データ!$A$374="","",(履歴データ!$D$374-履歴データ!$C$374)*100)</f>
        <v>0</v>
      </c>
      <c r="F374" s="28">
        <f>IF(履歴データ!$A$374="","",(履歴データ!$R$374-履歴データ!$D$374)*100)</f>
        <v>-222.13</v>
      </c>
      <c r="G374" s="28">
        <f>IF(履歴データ!$A$374="","",(履歴データ!$S$374-履歴データ!$R$374)*100)</f>
        <v>-100.8763571777346</v>
      </c>
      <c r="H374" s="29">
        <f>IF(履歴データ!$A$374="","",履歴データ!$O$374)</f>
        <v>160.68699645996094</v>
      </c>
      <c r="I374" s="29">
        <f>IF(履歴データ!$A$374="","",履歴データ!$Q$374)</f>
        <v>110.25</v>
      </c>
      <c r="J374" s="29">
        <f>IF(履歴データ!$A$374="","",履歴データ!$D$374)</f>
        <v>4.29</v>
      </c>
      <c r="K374" s="28">
        <f>IF(OR(履歴データ!$A$374="",履歴データ!$A$373=""),"",B374-B373)</f>
        <v>-1.499999999999968</v>
      </c>
      <c r="L374" s="28">
        <f>IF(OR(履歴データ!$A$374="",履歴データ!$A$373=""),"",C374-C373)</f>
        <v>0.14999999999998437</v>
      </c>
      <c r="M374" s="28">
        <f>IF(OR(履歴データ!$A$374="",履歴データ!$A$373=""),"",D374-D373)</f>
        <v>-7.8000000000000114</v>
      </c>
      <c r="N374" s="28">
        <f>IF(OR(履歴データ!$A$374="",履歴データ!$A$373=""),"",E374-E373)</f>
        <v>0</v>
      </c>
      <c r="O374" s="28">
        <f>IF(OR(履歴データ!$A$374="",履歴データ!$A$373=""),"",F374-F373)</f>
        <v>5.7000000000000171</v>
      </c>
      <c r="P374" s="28">
        <f>IF(OR(履歴データ!$A$374="",履歴データ!$A$373=""),"",G374-G373)</f>
        <v>5.0176428222655005</v>
      </c>
      <c r="Q374" s="29">
        <f>IF(OR(履歴データ!$A$374="",履歴データ!$A$373=""),"",H374-H373)</f>
        <v>6.59942626953125E-2</v>
      </c>
      <c r="R374" s="29">
        <f>IF(OR(履歴データ!$A$374="",履歴データ!$A$373=""),"",I374-I373)</f>
        <v>0.1875</v>
      </c>
      <c r="S374" s="28">
        <f>IF(OR(履歴データ!$A$374="",履歴データ!$A$373=""),"",(J374-J373)*100)</f>
        <v>-3.0000000000000249</v>
      </c>
      <c r="T374" s="11">
        <f>IF(OR(履歴データ!$A$374="",履歴データ!$A$373=""),"",-80000*K374)</f>
        <v>119999.99999999744</v>
      </c>
      <c r="U374" s="11">
        <f>IF(OR(履歴データ!$A$374="",履歴データ!$A$373=""),"",60000*L374)</f>
        <v>8999.9999999990614</v>
      </c>
      <c r="V374" s="11">
        <f>IF(OR(履歴データ!$A$374="",履歴データ!$A$373=""),"",-50000*M374)</f>
        <v>390000.00000000058</v>
      </c>
      <c r="W374" s="11">
        <f>IF(OR(履歴データ!$A$374="",履歴データ!$A$373=""),"",-40000*N374)</f>
        <v>0</v>
      </c>
      <c r="X374" s="11">
        <f>IF(OR(履歴データ!$A$374="",履歴データ!$A$373=""),"",120*1000000*(-Q374/H373))</f>
        <v>-49304.333898449033</v>
      </c>
      <c r="Y374" s="11">
        <f>IF(OR(履歴データ!$A$374="",履歴データ!$A$373=""),"",40000*(-S374)+(-506.3)*R374*1000)</f>
        <v>25068.75000000099</v>
      </c>
      <c r="Z374" s="11">
        <f>IF(OR(履歴データ!$A$374="",履歴データ!$A$373=""),"",-40000*O374)</f>
        <v>-228000.00000000067</v>
      </c>
      <c r="AA374" s="11">
        <f>IF(OR(履歴データ!$A$374="",履歴データ!$A$373=""),"",-40000*P374)</f>
        <v>-200705.71289062002</v>
      </c>
      <c r="AB374" s="11">
        <f>IF(履歴データ!$A$374="","",123.3)</f>
        <v>123.3</v>
      </c>
      <c r="AC374">
        <f>IF(履歴データ!$A$374="","",SUM(T374:AA374))</f>
        <v>66058.703210928332</v>
      </c>
      <c r="AD374" s="29">
        <f>IF(履歴データ!$A$374="","",AC374/1000000)</f>
        <v>6.6058703210928327E-2</v>
      </c>
      <c r="AE374" s="29">
        <f>IF(履歴データ!$A$374="",AE373,AE373+AC374/1000000)</f>
        <v>72.101733453408499</v>
      </c>
      <c r="AF374" s="12">
        <f>IF(OR(履歴データ!$A$374="",AE373=0),"",(AE374-AE373)/AE373)</f>
        <v>9.1702761777415686E-4</v>
      </c>
      <c r="AG374" s="29">
        <f t="shared" si="17"/>
        <v>102.17217746631495</v>
      </c>
      <c r="AH374" s="12">
        <f>IF(OR(履歴データ!$A$374="",AG374=0),"",AE374/AG374-1)</f>
        <v>-0.29431147263960722</v>
      </c>
      <c r="AJ374" s="28">
        <f t="shared" ca="1" si="15"/>
        <v>-11.581233797117569</v>
      </c>
      <c r="AK374" s="28">
        <f t="shared" ca="1" si="16"/>
        <v>-48.60924239335862</v>
      </c>
    </row>
    <row r="375" spans="1:37">
      <c r="A375" s="10">
        <f>IF(履歴データ!$A$375="","",履歴データ!$A$375)</f>
        <v>45471</v>
      </c>
      <c r="B375" s="28">
        <f>IF(履歴データ!$A$375="","",(履歴データ!$D$375-(履歴データ!$B$375+履歴データ!$F$375)/2)*100)</f>
        <v>-24.999999999999911</v>
      </c>
      <c r="C375" s="28">
        <f>IF(履歴データ!$A$375="","",(履歴データ!$H$375-(履歴データ!$G$375+履歴データ!$J$375)/2)*100)</f>
        <v>-19.100000000000005</v>
      </c>
      <c r="D375" s="28">
        <f>IF(履歴データ!$A$375="","",(履歴データ!$D$375-履歴データ!$H$375)*100)</f>
        <v>329.8</v>
      </c>
      <c r="E375" s="28">
        <f>IF(履歴データ!$A$375="","",(履歴データ!$D$375-履歴データ!$C$375)*100)</f>
        <v>3.0000000000000249</v>
      </c>
      <c r="F375" s="28">
        <f>IF(履歴データ!$A$375="","",(履歴データ!$R$375-履歴データ!$D$375)*100)</f>
        <v>-227.12000000000003</v>
      </c>
      <c r="G375" s="28">
        <f>IF(履歴データ!$A$375="","",(履歴データ!$S$375-履歴データ!$R$375)*100)</f>
        <v>-108.32382141113301</v>
      </c>
      <c r="H375" s="29">
        <f>IF(履歴データ!$A$375="","",履歴データ!$O$375)</f>
        <v>160.68699645996094</v>
      </c>
      <c r="I375" s="29">
        <f>IF(履歴データ!$A$375="","",履歴データ!$Q$375)</f>
        <v>109.984375</v>
      </c>
      <c r="J375" s="29">
        <f>IF(履歴データ!$A$375="","",履歴データ!$D$375)</f>
        <v>4.3600000000000003</v>
      </c>
      <c r="K375" s="28">
        <f>IF(OR(履歴データ!$A$375="",履歴データ!$A$374=""),"",B375-B374)</f>
        <v>2.5000000000000355</v>
      </c>
      <c r="L375" s="28">
        <f>IF(OR(履歴データ!$A$375="",履歴データ!$A$374=""),"",C375-C374)</f>
        <v>-0.30000000000001137</v>
      </c>
      <c r="M375" s="28">
        <f>IF(OR(履歴データ!$A$375="",履歴データ!$A$374=""),"",D375-D374)</f>
        <v>10</v>
      </c>
      <c r="N375" s="28">
        <f>IF(OR(履歴データ!$A$375="",履歴データ!$A$374=""),"",E375-E374)</f>
        <v>3.0000000000000249</v>
      </c>
      <c r="O375" s="28">
        <f>IF(OR(履歴データ!$A$375="",履歴データ!$A$374=""),"",F375-F374)</f>
        <v>-4.9900000000000375</v>
      </c>
      <c r="P375" s="28">
        <f>IF(OR(履歴データ!$A$375="",履歴データ!$A$374=""),"",G375-G374)</f>
        <v>-7.4474642333984065</v>
      </c>
      <c r="Q375" s="29">
        <f>IF(OR(履歴データ!$A$375="",履歴データ!$A$374=""),"",H375-H374)</f>
        <v>0</v>
      </c>
      <c r="R375" s="29">
        <f>IF(OR(履歴データ!$A$375="",履歴データ!$A$374=""),"",I375-I374)</f>
        <v>-0.265625</v>
      </c>
      <c r="S375" s="28">
        <f>IF(OR(履歴データ!$A$375="",履歴データ!$A$374=""),"",(J375-J374)*100)</f>
        <v>7.0000000000000284</v>
      </c>
      <c r="T375" s="11">
        <f>IF(OR(履歴データ!$A$375="",履歴データ!$A$374=""),"",-80000*K375)</f>
        <v>-200000.00000000285</v>
      </c>
      <c r="U375" s="11">
        <f>IF(OR(履歴データ!$A$375="",履歴データ!$A$374=""),"",60000*L375)</f>
        <v>-18000.000000000684</v>
      </c>
      <c r="V375" s="11">
        <f>IF(OR(履歴データ!$A$375="",履歴データ!$A$374=""),"",-50000*M375)</f>
        <v>-500000</v>
      </c>
      <c r="W375" s="11">
        <f>IF(OR(履歴データ!$A$375="",履歴データ!$A$374=""),"",-40000*N375)</f>
        <v>-120000.00000000099</v>
      </c>
      <c r="X375" s="11">
        <f>IF(OR(履歴データ!$A$375="",履歴データ!$A$374=""),"",120*1000000*(-Q375/H374))</f>
        <v>0</v>
      </c>
      <c r="Y375" s="11">
        <f>IF(OR(履歴データ!$A$375="",履歴データ!$A$374=""),"",40000*(-S375)+(-506.3)*R375*1000)</f>
        <v>-145514.06250000116</v>
      </c>
      <c r="Z375" s="11">
        <f>IF(OR(履歴データ!$A$375="",履歴データ!$A$374=""),"",-40000*O375)</f>
        <v>199600.00000000151</v>
      </c>
      <c r="AA375" s="11">
        <f>IF(OR(履歴データ!$A$375="",履歴データ!$A$374=""),"",-40000*P375)</f>
        <v>297898.56933593628</v>
      </c>
      <c r="AB375" s="11">
        <f>IF(履歴データ!$A$375="","",123.3)</f>
        <v>123.3</v>
      </c>
      <c r="AC375">
        <f>IF(履歴データ!$A$375="","",SUM(T375:AA375))</f>
        <v>-486015.4931640678</v>
      </c>
      <c r="AD375" s="29">
        <f>IF(履歴データ!$A$375="","",AC375/1000000)</f>
        <v>-0.48601549316406778</v>
      </c>
      <c r="AE375" s="29">
        <f>IF(履歴データ!$A$375="",AE374,AE374+AC375/1000000)</f>
        <v>71.615717960244439</v>
      </c>
      <c r="AF375" s="12">
        <f>IF(OR(履歴データ!$A$375="",AE374=0),"",(AE375-AE374)/AE374)</f>
        <v>-6.740690825111988E-3</v>
      </c>
      <c r="AG375" s="29">
        <f t="shared" si="17"/>
        <v>102.17217746631495</v>
      </c>
      <c r="AH375" s="12">
        <f>IF(OR(履歴データ!$A$375="",AG375=0),"",AE375/AG375-1)</f>
        <v>-0.29906830082137226</v>
      </c>
      <c r="AJ375" s="28">
        <f t="shared" ca="1" si="15"/>
        <v>-11.671723580786182</v>
      </c>
      <c r="AK375" s="28">
        <f t="shared" ca="1" si="16"/>
        <v>-48.304466895404289</v>
      </c>
    </row>
    <row r="376" spans="1:37">
      <c r="A376" s="10">
        <f>IF(履歴データ!$A$376="","",履歴データ!$A$376)</f>
        <v>45474</v>
      </c>
      <c r="B376" s="28">
        <f>IF(履歴データ!$A$376="","",(履歴データ!$D$376-(履歴データ!$B$376+履歴データ!$F$376)/2)*100)</f>
        <v>-22.499999999999964</v>
      </c>
      <c r="C376" s="28">
        <f>IF(履歴データ!$A$376="","",(履歴データ!$H$376-(履歴データ!$G$376+履歴データ!$J$376)/2)*100)</f>
        <v>-17.849999999999987</v>
      </c>
      <c r="D376" s="28">
        <f>IF(履歴データ!$A$376="","",(履歴データ!$D$376-履歴データ!$H$376)*100)</f>
        <v>339.70000000000005</v>
      </c>
      <c r="E376" s="28">
        <f>IF(履歴データ!$A$376="","",(履歴データ!$D$376-履歴データ!$C$376)*100)</f>
        <v>4.0000000000000036</v>
      </c>
      <c r="F376" s="28">
        <f>IF(履歴データ!$A$376="","",(履歴データ!$R$376-履歴データ!$D$376)*100)</f>
        <v>-237.72000000000006</v>
      </c>
      <c r="G376" s="28">
        <f>IF(履歴データ!$A$376="","",(履歴データ!$S$376-履歴データ!$R$376)*100)</f>
        <v>-104.81264282226567</v>
      </c>
      <c r="H376" s="29">
        <f>IF(履歴データ!$A$376="","",履歴データ!$O$376)</f>
        <v>161.51199340820313</v>
      </c>
      <c r="I376" s="29">
        <f>IF(履歴データ!$A$376="","",履歴データ!$Q$376)</f>
        <v>109.171875</v>
      </c>
      <c r="J376" s="29">
        <f>IF(履歴データ!$A$376="","",履歴データ!$D$376)</f>
        <v>4.4800000000000004</v>
      </c>
      <c r="K376" s="28">
        <f>IF(OR(履歴データ!$A$376="",履歴データ!$A$375=""),"",B376-B375)</f>
        <v>2.4999999999999467</v>
      </c>
      <c r="L376" s="28">
        <f>IF(OR(履歴データ!$A$376="",履歴データ!$A$375=""),"",C376-C375)</f>
        <v>1.2500000000000178</v>
      </c>
      <c r="M376" s="28">
        <f>IF(OR(履歴データ!$A$376="",履歴データ!$A$375=""),"",D376-D375)</f>
        <v>9.9000000000000341</v>
      </c>
      <c r="N376" s="28">
        <f>IF(OR(履歴データ!$A$376="",履歴データ!$A$375=""),"",E376-E375)</f>
        <v>0.99999999999997868</v>
      </c>
      <c r="O376" s="28">
        <f>IF(OR(履歴データ!$A$376="",履歴データ!$A$375=""),"",F376-F375)</f>
        <v>-10.600000000000023</v>
      </c>
      <c r="P376" s="28">
        <f>IF(OR(履歴データ!$A$376="",履歴データ!$A$375=""),"",G376-G375)</f>
        <v>3.5111785888673381</v>
      </c>
      <c r="Q376" s="29">
        <f>IF(OR(履歴データ!$A$376="",履歴データ!$A$375=""),"",H376-H375)</f>
        <v>0.8249969482421875</v>
      </c>
      <c r="R376" s="29">
        <f>IF(OR(履歴データ!$A$376="",履歴データ!$A$375=""),"",I376-I375)</f>
        <v>-0.8125</v>
      </c>
      <c r="S376" s="28">
        <f>IF(OR(履歴データ!$A$376="",履歴データ!$A$375=""),"",(J376-J375)*100)</f>
        <v>12.000000000000011</v>
      </c>
      <c r="T376" s="11">
        <f>IF(OR(履歴データ!$A$376="",履歴データ!$A$375=""),"",-80000*K376)</f>
        <v>-199999.99999999575</v>
      </c>
      <c r="U376" s="11">
        <f>IF(OR(履歴データ!$A$376="",履歴データ!$A$375=""),"",60000*L376)</f>
        <v>75000.000000001062</v>
      </c>
      <c r="V376" s="11">
        <f>IF(OR(履歴データ!$A$376="",履歴データ!$A$375=""),"",-50000*M376)</f>
        <v>-495000.00000000169</v>
      </c>
      <c r="W376" s="11">
        <f>IF(OR(履歴データ!$A$376="",履歴データ!$A$375=""),"",-40000*N376)</f>
        <v>-39999.999999999149</v>
      </c>
      <c r="X376" s="11">
        <f>IF(OR(履歴データ!$A$376="",履歴データ!$A$375=""),"",120*1000000*(-Q376/H375))</f>
        <v>-616102.33541038691</v>
      </c>
      <c r="Y376" s="11">
        <f>IF(OR(履歴データ!$A$376="",履歴データ!$A$375=""),"",40000*(-S376)+(-506.3)*R376*1000)</f>
        <v>-68631.250000000349</v>
      </c>
      <c r="Z376" s="11">
        <f>IF(OR(履歴データ!$A$376="",履歴データ!$A$375=""),"",-40000*O376)</f>
        <v>424000.00000000093</v>
      </c>
      <c r="AA376" s="11">
        <f>IF(OR(履歴データ!$A$376="",履歴データ!$A$375=""),"",-40000*P376)</f>
        <v>-140447.14355469352</v>
      </c>
      <c r="AB376" s="11">
        <f>IF(履歴データ!$A$376="","",123.3)</f>
        <v>123.3</v>
      </c>
      <c r="AC376">
        <f>IF(履歴データ!$A$376="","",SUM(T376:AA376))</f>
        <v>-1061180.7289650757</v>
      </c>
      <c r="AD376" s="29">
        <f>IF(履歴データ!$A$376="","",AC376/1000000)</f>
        <v>-1.0611807289650756</v>
      </c>
      <c r="AE376" s="29">
        <f>IF(履歴データ!$A$376="",AE375,AE375+AC376/1000000)</f>
        <v>70.554537231279369</v>
      </c>
      <c r="AF376" s="12">
        <f>IF(OR(履歴データ!$A$376="",AE375=0),"",(AE376-AE375)/AE375)</f>
        <v>-1.4817707050764416E-2</v>
      </c>
      <c r="AG376" s="29">
        <f t="shared" si="17"/>
        <v>102.17217746631495</v>
      </c>
      <c r="AH376" s="12">
        <f>IF(OR(履歴データ!$A$376="",AG376=0),"",AE376/AG376-1)</f>
        <v>-0.30945450140239572</v>
      </c>
      <c r="AJ376" s="28">
        <f t="shared" ca="1" si="15"/>
        <v>-11.794061312061455</v>
      </c>
      <c r="AK376" s="28">
        <f t="shared" ca="1" si="16"/>
        <v>-47.924192656192517</v>
      </c>
    </row>
    <row r="377" spans="1:37">
      <c r="A377" s="10">
        <f>IF(履歴データ!$A$377="","",履歴データ!$A$377)</f>
        <v>45475</v>
      </c>
      <c r="B377" s="28">
        <f>IF(履歴データ!$A$377="","",(履歴データ!$D$377-(履歴データ!$B$377+履歴データ!$F$377)/2)*100)</f>
        <v>-24.000000000000021</v>
      </c>
      <c r="C377" s="28">
        <f>IF(履歴データ!$A$377="","",(履歴データ!$H$377-(履歴データ!$G$377+履歴データ!$J$377)/2)*100)</f>
        <v>-16.549999999999976</v>
      </c>
      <c r="D377" s="28">
        <f>IF(履歴データ!$A$377="","",(履歴データ!$D$377-履歴データ!$H$377)*100)</f>
        <v>332.59999999999997</v>
      </c>
      <c r="E377" s="28">
        <f>IF(履歴データ!$A$377="","",(履歴データ!$D$377-履歴データ!$C$377)*100)</f>
        <v>4.0000000000000036</v>
      </c>
      <c r="F377" s="28">
        <f>IF(履歴データ!$A$377="","",(履歴データ!$R$377-履歴データ!$D$377)*100)</f>
        <v>-227.54999999999995</v>
      </c>
      <c r="G377" s="28">
        <f>IF(履歴データ!$A$377="","",(履歴データ!$S$377-履歴データ!$R$377)*100)</f>
        <v>-112.7890000000002</v>
      </c>
      <c r="H377" s="29">
        <f>IF(履歴データ!$A$377="","",履歴データ!$O$377)</f>
        <v>161.50399780273438</v>
      </c>
      <c r="I377" s="29">
        <f>IF(履歴データ!$A$377="","",履歴データ!$Q$377)</f>
        <v>109.46875</v>
      </c>
      <c r="J377" s="29">
        <f>IF(履歴データ!$A$377="","",履歴データ!$D$377)</f>
        <v>4.43</v>
      </c>
      <c r="K377" s="28">
        <f>IF(OR(履歴データ!$A$377="",履歴データ!$A$376=""),"",B377-B376)</f>
        <v>-1.5000000000000568</v>
      </c>
      <c r="L377" s="28">
        <f>IF(OR(履歴データ!$A$377="",履歴データ!$A$376=""),"",C377-C376)</f>
        <v>1.3000000000000114</v>
      </c>
      <c r="M377" s="28">
        <f>IF(OR(履歴データ!$A$377="",履歴データ!$A$376=""),"",D377-D376)</f>
        <v>-7.1000000000000796</v>
      </c>
      <c r="N377" s="28">
        <f>IF(OR(履歴データ!$A$377="",履歴データ!$A$376=""),"",E377-E376)</f>
        <v>0</v>
      </c>
      <c r="O377" s="28">
        <f>IF(OR(履歴データ!$A$377="",履歴データ!$A$376=""),"",F377-F376)</f>
        <v>10.170000000000101</v>
      </c>
      <c r="P377" s="28">
        <f>IF(OR(履歴データ!$A$377="",履歴データ!$A$376=""),"",G377-G376)</f>
        <v>-7.9763571777345277</v>
      </c>
      <c r="Q377" s="29">
        <f>IF(OR(履歴データ!$A$377="",履歴データ!$A$376=""),"",H377-H376)</f>
        <v>-7.99560546875E-3</v>
      </c>
      <c r="R377" s="29">
        <f>IF(OR(履歴データ!$A$377="",履歴データ!$A$376=""),"",I377-I376)</f>
        <v>0.296875</v>
      </c>
      <c r="S377" s="28">
        <f>IF(OR(履歴データ!$A$377="",履歴データ!$A$376=""),"",(J377-J376)*100)</f>
        <v>-5.0000000000000711</v>
      </c>
      <c r="T377" s="11">
        <f>IF(OR(履歴データ!$A$377="",履歴データ!$A$376=""),"",-80000*K377)</f>
        <v>120000.00000000454</v>
      </c>
      <c r="U377" s="11">
        <f>IF(OR(履歴データ!$A$377="",履歴データ!$A$376=""),"",60000*L377)</f>
        <v>78000.000000000684</v>
      </c>
      <c r="V377" s="11">
        <f>IF(OR(履歴データ!$A$377="",履歴データ!$A$376=""),"",-50000*M377)</f>
        <v>355000.00000000396</v>
      </c>
      <c r="W377" s="11">
        <f>IF(OR(履歴データ!$A$377="",履歴データ!$A$376=""),"",-40000*N377)</f>
        <v>0</v>
      </c>
      <c r="X377" s="11">
        <f>IF(OR(履歴データ!$A$377="",履歴データ!$A$376=""),"",120*1000000*(-Q377/H376))</f>
        <v>5940.5659976286861</v>
      </c>
      <c r="Y377" s="11">
        <f>IF(OR(履歴データ!$A$377="",履歴データ!$A$376=""),"",40000*(-S377)+(-506.3)*R377*1000)</f>
        <v>49692.187500002852</v>
      </c>
      <c r="Z377" s="11">
        <f>IF(OR(履歴データ!$A$377="",履歴データ!$A$376=""),"",-40000*O377)</f>
        <v>-406800.00000000407</v>
      </c>
      <c r="AA377" s="11">
        <f>IF(OR(履歴データ!$A$377="",履歴データ!$A$376=""),"",-40000*P377)</f>
        <v>319054.28710938111</v>
      </c>
      <c r="AB377" s="11">
        <f>IF(履歴データ!$A$377="","",123.3)</f>
        <v>123.3</v>
      </c>
      <c r="AC377">
        <f>IF(履歴データ!$A$377="","",SUM(T377:AA377))</f>
        <v>520887.04060701787</v>
      </c>
      <c r="AD377" s="29">
        <f>IF(履歴データ!$A$377="","",AC377/1000000)</f>
        <v>0.52088704060701785</v>
      </c>
      <c r="AE377" s="29">
        <f>IF(履歴データ!$A$377="",AE376,AE376+AC377/1000000)</f>
        <v>71.075424271886391</v>
      </c>
      <c r="AF377" s="12">
        <f>IF(OR(履歴データ!$A$377="",AE376=0),"",(AE377-AE376)/AE376)</f>
        <v>7.3827575241481964E-3</v>
      </c>
      <c r="AG377" s="29">
        <f t="shared" si="17"/>
        <v>102.17217746631495</v>
      </c>
      <c r="AH377" s="12">
        <f>IF(OR(履歴データ!$A$377="",AG377=0),"",AE377/AG377-1)</f>
        <v>-0.30435637142685756</v>
      </c>
      <c r="AJ377" s="28">
        <f t="shared" ca="1" si="15"/>
        <v>-11.929142618756913</v>
      </c>
      <c r="AK377" s="28">
        <f t="shared" ca="1" si="16"/>
        <v>-47.547047857433562</v>
      </c>
    </row>
    <row r="378" spans="1:37">
      <c r="A378" s="10">
        <f>IF(履歴データ!$A$378="","",履歴データ!$A$378)</f>
        <v>45476</v>
      </c>
      <c r="B378" s="28">
        <f>IF(履歴データ!$A$378="","",(履歴データ!$D$378-(履歴データ!$B$378+履歴データ!$F$378)/2)*100)</f>
        <v>-25.999999999999979</v>
      </c>
      <c r="C378" s="28">
        <f>IF(履歴データ!$A$378="","",(履歴データ!$H$378-(履歴データ!$G$378+履歴データ!$J$378)/2)*100)</f>
        <v>-16.75</v>
      </c>
      <c r="D378" s="28">
        <f>IF(履歴データ!$A$378="","",(履歴データ!$D$378-履歴データ!$H$378)*100)</f>
        <v>326</v>
      </c>
      <c r="E378" s="28">
        <f>IF(履歴データ!$A$378="","",(履歴データ!$D$378-履歴データ!$C$378)*100)</f>
        <v>3.0000000000000249</v>
      </c>
      <c r="F378" s="28">
        <f>IF(履歴データ!$A$378="","",(履歴データ!$R$378-履歴データ!$D$378)*100)</f>
        <v>-219.41000000000003</v>
      </c>
      <c r="G378" s="28">
        <f>IF(履歴データ!$A$378="","",(履歴データ!$S$378-履歴データ!$R$378)*100)</f>
        <v>-107.96535717773455</v>
      </c>
      <c r="H378" s="29">
        <f>IF(履歴データ!$A$378="","",履歴データ!$O$378)</f>
        <v>161.62100219726563</v>
      </c>
      <c r="I378" s="29">
        <f>IF(履歴データ!$A$378="","",履歴データ!$Q$378)</f>
        <v>110.046875</v>
      </c>
      <c r="J378" s="29">
        <f>IF(履歴データ!$A$378="","",履歴データ!$D$378)</f>
        <v>4.3600000000000003</v>
      </c>
      <c r="K378" s="28">
        <f>IF(OR(履歴データ!$A$378="",履歴データ!$A$377=""),"",B378-B377)</f>
        <v>-1.9999999999999574</v>
      </c>
      <c r="L378" s="28">
        <f>IF(OR(履歴データ!$A$378="",履歴データ!$A$377=""),"",C378-C377)</f>
        <v>-0.20000000000002416</v>
      </c>
      <c r="M378" s="28">
        <f>IF(OR(履歴データ!$A$378="",履歴データ!$A$377=""),"",D378-D377)</f>
        <v>-6.5999999999999659</v>
      </c>
      <c r="N378" s="28">
        <f>IF(OR(履歴データ!$A$378="",履歴データ!$A$377=""),"",E378-E377)</f>
        <v>-0.99999999999997868</v>
      </c>
      <c r="O378" s="28">
        <f>IF(OR(履歴データ!$A$378="",履歴データ!$A$377=""),"",F378-F377)</f>
        <v>8.1399999999999295</v>
      </c>
      <c r="P378" s="28">
        <f>IF(OR(履歴データ!$A$378="",履歴データ!$A$377=""),"",G378-G377)</f>
        <v>4.8236428222656542</v>
      </c>
      <c r="Q378" s="29">
        <f>IF(OR(履歴データ!$A$378="",履歴データ!$A$377=""),"",H378-H377)</f>
        <v>0.11700439453125</v>
      </c>
      <c r="R378" s="29">
        <f>IF(OR(履歴データ!$A$378="",履歴データ!$A$377=""),"",I378-I377)</f>
        <v>0.578125</v>
      </c>
      <c r="S378" s="28">
        <f>IF(OR(履歴データ!$A$378="",履歴データ!$A$377=""),"",(J378-J377)*100)</f>
        <v>-6.9999999999999396</v>
      </c>
      <c r="T378" s="11">
        <f>IF(OR(履歴データ!$A$378="",履歴データ!$A$377=""),"",-80000*K378)</f>
        <v>159999.99999999659</v>
      </c>
      <c r="U378" s="11">
        <f>IF(OR(履歴データ!$A$378="",履歴データ!$A$377=""),"",60000*L378)</f>
        <v>-12000.00000000145</v>
      </c>
      <c r="V378" s="11">
        <f>IF(OR(履歴データ!$A$378="",履歴データ!$A$377=""),"",-50000*M378)</f>
        <v>329999.99999999831</v>
      </c>
      <c r="W378" s="11">
        <f>IF(OR(履歴データ!$A$378="",履歴データ!$A$377=""),"",-40000*N378)</f>
        <v>39999.999999999149</v>
      </c>
      <c r="X378" s="11">
        <f>IF(OR(履歴データ!$A$378="",履歴データ!$A$377=""),"",120*1000000*(-Q378/H377))</f>
        <v>-86936.097773254529</v>
      </c>
      <c r="Y378" s="11">
        <f>IF(OR(履歴データ!$A$378="",履歴データ!$A$377=""),"",40000*(-S378)+(-506.3)*R378*1000)</f>
        <v>-12704.687500002503</v>
      </c>
      <c r="Z378" s="11">
        <f>IF(OR(履歴データ!$A$378="",履歴データ!$A$377=""),"",-40000*O378)</f>
        <v>-325599.99999999721</v>
      </c>
      <c r="AA378" s="11">
        <f>IF(OR(履歴データ!$A$378="",履歴データ!$A$377=""),"",-40000*P378)</f>
        <v>-192945.71289062616</v>
      </c>
      <c r="AB378" s="11">
        <f>IF(履歴データ!$A$378="","",123.3)</f>
        <v>123.3</v>
      </c>
      <c r="AC378">
        <f>IF(履歴データ!$A$378="","",SUM(T378:AA378))</f>
        <v>-100186.49816388782</v>
      </c>
      <c r="AD378" s="29">
        <f>IF(履歴データ!$A$378="","",AC378/1000000)</f>
        <v>-0.10018649816388782</v>
      </c>
      <c r="AE378" s="29">
        <f>IF(履歴データ!$A$378="",AE377,AE377+AC378/1000000)</f>
        <v>70.975237773722498</v>
      </c>
      <c r="AF378" s="12">
        <f>IF(OR(履歴データ!$A$378="",AE377=0),"",(AE378-AE377)/AE377)</f>
        <v>-1.4095800227747852E-3</v>
      </c>
      <c r="AG378" s="29">
        <f t="shared" si="17"/>
        <v>102.17217746631495</v>
      </c>
      <c r="AH378" s="12">
        <f>IF(OR(履歴データ!$A$378="",AG378=0),"",AE378/AG378-1)</f>
        <v>-0.3053369367886648</v>
      </c>
      <c r="AJ378" s="28">
        <f t="shared" ca="1" si="15"/>
        <v>-12.097082211036899</v>
      </c>
      <c r="AK378" s="28">
        <f t="shared" ca="1" si="16"/>
        <v>-47.148949534994848</v>
      </c>
    </row>
    <row r="379" spans="1:37">
      <c r="A379" s="10">
        <f>IF(履歴データ!$A$379="","",履歴データ!$A$379)</f>
        <v>45478</v>
      </c>
      <c r="B379" s="28">
        <f>IF(履歴データ!$A$379="","",(履歴データ!$D$379-(履歴データ!$B$379+履歴データ!$F$379)/2)*100)</f>
        <v>-25.499999999999989</v>
      </c>
      <c r="C379" s="28">
        <f>IF(履歴データ!$A$379="","",(履歴データ!$H$379-(履歴データ!$G$379+履歴データ!$J$379)/2)*100)</f>
        <v>-20.100000000000009</v>
      </c>
      <c r="D379" s="28">
        <f>IF(履歴データ!$A$379="","",(履歴データ!$D$379-履歴データ!$H$379)*100)</f>
        <v>320.8</v>
      </c>
      <c r="E379" s="28">
        <f>IF(履歴データ!$A$379="","",(履歴データ!$D$379-履歴データ!$C$379)*100)</f>
        <v>6.0000000000000497</v>
      </c>
      <c r="F379" s="28">
        <f>IF(履歴データ!$A$379="","",(履歴データ!$R$379-履歴データ!$D$379)*100)</f>
        <v>-217.39000000000001</v>
      </c>
      <c r="G379" s="28">
        <f>IF(履歴データ!$A$379="","",(履歴データ!$S$379-履歴データ!$R$379)*100)</f>
        <v>-108.12435717773448</v>
      </c>
      <c r="H379" s="29">
        <f>IF(履歴データ!$A$379="","",履歴データ!$O$379)</f>
        <v>161.62100219726563</v>
      </c>
      <c r="I379" s="29">
        <f>IF(履歴データ!$A$379="","",履歴データ!$Q$379)</f>
        <v>110.609375</v>
      </c>
      <c r="J379" s="29">
        <f>IF(履歴データ!$A$379="","",履歴データ!$D$379)</f>
        <v>4.28</v>
      </c>
      <c r="K379" s="28">
        <f>IF(OR(履歴データ!$A$379="",履歴データ!$A$378=""),"",B379-B378)</f>
        <v>0.49999999999998934</v>
      </c>
      <c r="L379" s="28">
        <f>IF(OR(履歴データ!$A$379="",履歴データ!$A$378=""),"",C379-C378)</f>
        <v>-3.3500000000000085</v>
      </c>
      <c r="M379" s="28">
        <f>IF(OR(履歴データ!$A$379="",履歴データ!$A$378=""),"",D379-D378)</f>
        <v>-5.1999999999999886</v>
      </c>
      <c r="N379" s="28">
        <f>IF(OR(履歴データ!$A$379="",履歴データ!$A$378=""),"",E379-E378)</f>
        <v>3.0000000000000249</v>
      </c>
      <c r="O379" s="28">
        <f>IF(OR(履歴データ!$A$379="",履歴データ!$A$378=""),"",F379-F378)</f>
        <v>2.0200000000000102</v>
      </c>
      <c r="P379" s="28">
        <f>IF(OR(履歴データ!$A$379="",履歴データ!$A$378=""),"",G379-G378)</f>
        <v>-0.15899999999993497</v>
      </c>
      <c r="Q379" s="29">
        <f>IF(OR(履歴データ!$A$379="",履歴データ!$A$378=""),"",H379-H378)</f>
        <v>0</v>
      </c>
      <c r="R379" s="29">
        <f>IF(OR(履歴データ!$A$379="",履歴データ!$A$378=""),"",I379-I378)</f>
        <v>0.5625</v>
      </c>
      <c r="S379" s="28">
        <f>IF(OR(履歴データ!$A$379="",履歴データ!$A$378=""),"",(J379-J378)*100)</f>
        <v>-8.0000000000000071</v>
      </c>
      <c r="T379" s="11">
        <f>IF(OR(履歴データ!$A$379="",履歴データ!$A$378=""),"",-80000*K379)</f>
        <v>-39999.999999999149</v>
      </c>
      <c r="U379" s="11">
        <f>IF(OR(履歴データ!$A$379="",履歴データ!$A$378=""),"",60000*L379)</f>
        <v>-201000.00000000052</v>
      </c>
      <c r="V379" s="11">
        <f>IF(OR(履歴データ!$A$379="",履歴データ!$A$378=""),"",-50000*M379)</f>
        <v>259999.99999999942</v>
      </c>
      <c r="W379" s="11">
        <f>IF(OR(履歴データ!$A$379="",履歴データ!$A$378=""),"",-40000*N379)</f>
        <v>-120000.00000000099</v>
      </c>
      <c r="X379" s="11">
        <f>IF(OR(履歴データ!$A$379="",履歴データ!$A$378=""),"",120*1000000*(-Q379/H378))</f>
        <v>0</v>
      </c>
      <c r="Y379" s="11">
        <f>IF(OR(履歴データ!$A$379="",履歴データ!$A$378=""),"",40000*(-S379)+(-506.3)*R379*1000)</f>
        <v>35206.250000000291</v>
      </c>
      <c r="Z379" s="11">
        <f>IF(OR(履歴データ!$A$379="",履歴データ!$A$378=""),"",-40000*O379)</f>
        <v>-80800.000000000407</v>
      </c>
      <c r="AA379" s="11">
        <f>IF(OR(履歴データ!$A$379="",履歴データ!$A$378=""),"",-40000*P379)</f>
        <v>6359.9999999973988</v>
      </c>
      <c r="AB379" s="11">
        <f>IF(履歴データ!$A$379="","",123.3)</f>
        <v>123.3</v>
      </c>
      <c r="AC379">
        <f>IF(履歴データ!$A$379="","",SUM(T379:AA379))</f>
        <v>-140233.75000000396</v>
      </c>
      <c r="AD379" s="29">
        <f>IF(履歴データ!$A$379="","",AC379/1000000)</f>
        <v>-0.14023375000000396</v>
      </c>
      <c r="AE379" s="29">
        <f>IF(履歴データ!$A$379="",AE378,AE378+AC379/1000000)</f>
        <v>70.83500402372249</v>
      </c>
      <c r="AF379" s="12">
        <f>IF(OR(履歴データ!$A$379="",AE378=0),"",(AE379-AE378)/AE378)</f>
        <v>-1.9758123311553973E-3</v>
      </c>
      <c r="AG379" s="29">
        <f t="shared" si="17"/>
        <v>102.17217746631495</v>
      </c>
      <c r="AH379" s="12">
        <f>IF(OR(履歴データ!$A$379="",AG379=0),"",AE379/AG379-1)</f>
        <v>-0.30670946063495597</v>
      </c>
      <c r="AJ379" s="28">
        <f t="shared" ca="1" si="15"/>
        <v>-12.259351311849294</v>
      </c>
      <c r="AK379" s="28">
        <f t="shared" ca="1" si="16"/>
        <v>-46.756521704023726</v>
      </c>
    </row>
    <row r="380" spans="1:37">
      <c r="A380" s="10">
        <f>IF(履歴データ!$A$380="","",履歴データ!$A$380)</f>
        <v>45481</v>
      </c>
      <c r="B380" s="28">
        <f>IF(履歴データ!$A$380="","",(履歴データ!$D$380-(履歴データ!$B$380+履歴データ!$F$380)/2)*100)</f>
        <v>-25.999999999999979</v>
      </c>
      <c r="C380" s="28">
        <f>IF(履歴データ!$A$380="","",(履歴データ!$H$380-(履歴データ!$G$380+履歴データ!$J$380)/2)*100)</f>
        <v>-18.900000000000006</v>
      </c>
      <c r="D380" s="28">
        <f>IF(履歴データ!$A$380="","",(履歴データ!$D$380-履歴データ!$H$380)*100)</f>
        <v>318.8</v>
      </c>
      <c r="E380" s="28">
        <f>IF(履歴データ!$A$380="","",(履歴データ!$D$380-履歴データ!$C$380)*100)</f>
        <v>4.9999999999999822</v>
      </c>
      <c r="F380" s="28">
        <f>IF(履歴データ!$A$380="","",(履歴データ!$R$380-履歴データ!$D$380)*100)</f>
        <v>-219.94000000000003</v>
      </c>
      <c r="G380" s="28">
        <f>IF(履歴データ!$A$380="","",(履歴データ!$S$380-履歴データ!$R$380)*100)</f>
        <v>-99.96164282226583</v>
      </c>
      <c r="H380" s="29">
        <f>IF(履歴データ!$A$380="","",履歴データ!$O$380)</f>
        <v>160.85699462890625</v>
      </c>
      <c r="I380" s="29">
        <f>IF(履歴データ!$A$380="","",履歴データ!$Q$380)</f>
        <v>110.59375</v>
      </c>
      <c r="J380" s="29">
        <f>IF(履歴データ!$A$380="","",履歴データ!$D$380)</f>
        <v>4.28</v>
      </c>
      <c r="K380" s="28">
        <f>IF(OR(履歴データ!$A$380="",履歴データ!$A$379=""),"",B380-B379)</f>
        <v>-0.49999999999998934</v>
      </c>
      <c r="L380" s="28">
        <f>IF(OR(履歴データ!$A$380="",履歴データ!$A$379=""),"",C380-C379)</f>
        <v>1.2000000000000028</v>
      </c>
      <c r="M380" s="28">
        <f>IF(OR(履歴データ!$A$380="",履歴データ!$A$379=""),"",D380-D379)</f>
        <v>-2</v>
      </c>
      <c r="N380" s="28">
        <f>IF(OR(履歴データ!$A$380="",履歴データ!$A$379=""),"",E380-E379)</f>
        <v>-1.0000000000000675</v>
      </c>
      <c r="O380" s="28">
        <f>IF(OR(履歴データ!$A$380="",履歴データ!$A$379=""),"",F380-F379)</f>
        <v>-2.5500000000000114</v>
      </c>
      <c r="P380" s="28">
        <f>IF(OR(履歴データ!$A$380="",履歴データ!$A$379=""),"",G380-G379)</f>
        <v>8.1627143554686512</v>
      </c>
      <c r="Q380" s="29">
        <f>IF(OR(履歴データ!$A$380="",履歴データ!$A$379=""),"",H380-H379)</f>
        <v>-0.764007568359375</v>
      </c>
      <c r="R380" s="29">
        <f>IF(OR(履歴データ!$A$380="",履歴データ!$A$379=""),"",I380-I379)</f>
        <v>-1.5625E-2</v>
      </c>
      <c r="S380" s="28">
        <f>IF(OR(履歴データ!$A$380="",履歴データ!$A$379=""),"",(J380-J379)*100)</f>
        <v>0</v>
      </c>
      <c r="T380" s="11">
        <f>IF(OR(履歴データ!$A$380="",履歴データ!$A$379=""),"",-80000*K380)</f>
        <v>39999.999999999149</v>
      </c>
      <c r="U380" s="11">
        <f>IF(OR(履歴データ!$A$380="",履歴データ!$A$379=""),"",60000*L380)</f>
        <v>72000.000000000175</v>
      </c>
      <c r="V380" s="11">
        <f>IF(OR(履歴データ!$A$380="",履歴データ!$A$379=""),"",-50000*M380)</f>
        <v>100000</v>
      </c>
      <c r="W380" s="11">
        <f>IF(OR(履歴データ!$A$380="",履歴データ!$A$379=""),"",-40000*N380)</f>
        <v>40000.000000002699</v>
      </c>
      <c r="X380" s="11">
        <f>IF(OR(履歴データ!$A$380="",履歴データ!$A$379=""),"",120*1000000*(-Q380/H379))</f>
        <v>567258.62948940485</v>
      </c>
      <c r="Y380" s="11">
        <f>IF(OR(履歴データ!$A$380="",履歴データ!$A$379=""),"",40000*(-S380)+(-506.3)*R380*1000)</f>
        <v>7910.9375</v>
      </c>
      <c r="Z380" s="11">
        <f>IF(OR(履歴データ!$A$380="",履歴データ!$A$379=""),"",-40000*O380)</f>
        <v>102000.00000000045</v>
      </c>
      <c r="AA380" s="11">
        <f>IF(OR(履歴データ!$A$380="",履歴データ!$A$379=""),"",-40000*P380)</f>
        <v>-326508.57421874604</v>
      </c>
      <c r="AB380" s="11">
        <f>IF(履歴データ!$A$380="","",123.3)</f>
        <v>123.3</v>
      </c>
      <c r="AC380">
        <f>IF(履歴データ!$A$380="","",SUM(T380:AA380))</f>
        <v>602660.99277066137</v>
      </c>
      <c r="AD380" s="29">
        <f>IF(履歴データ!$A$380="","",AC380/1000000)</f>
        <v>0.60266099277066132</v>
      </c>
      <c r="AE380" s="29">
        <f>IF(履歴データ!$A$380="",AE379,AE379+AC380/1000000)</f>
        <v>71.437665016493156</v>
      </c>
      <c r="AF380" s="12">
        <f>IF(OR(履歴データ!$A$380="",AE379=0),"",(AE380-AE379)/AE379)</f>
        <v>8.5079545215926856E-3</v>
      </c>
      <c r="AG380" s="29">
        <f t="shared" si="17"/>
        <v>102.17217746631495</v>
      </c>
      <c r="AH380" s="12">
        <f>IF(OR(履歴データ!$A$380="",AG380=0),"",AE380/AG380-1)</f>
        <v>-0.30081097625578768</v>
      </c>
      <c r="AJ380" s="28">
        <f t="shared" ca="1" si="15"/>
        <v>-12.347010493461937</v>
      </c>
      <c r="AK380" s="28">
        <f t="shared" ca="1" si="16"/>
        <v>-46.482354585903153</v>
      </c>
    </row>
    <row r="381" spans="1:37">
      <c r="A381" s="10">
        <f>IF(履歴データ!$A$381="","",履歴データ!$A$381)</f>
        <v>45482</v>
      </c>
      <c r="B381" s="28">
        <f>IF(履歴データ!$A$381="","",(履歴データ!$D$381-(履歴データ!$B$381+履歴データ!$F$381)/2)*100)</f>
        <v>-25.499999999999989</v>
      </c>
      <c r="C381" s="28">
        <f>IF(履歴データ!$A$381="","",(履歴データ!$H$381-(履歴データ!$G$381+履歴データ!$J$381)/2)*100)</f>
        <v>-19.999999999999996</v>
      </c>
      <c r="D381" s="28">
        <f>IF(履歴データ!$A$381="","",(履歴データ!$D$381-履歴データ!$H$381)*100)</f>
        <v>322.10000000000002</v>
      </c>
      <c r="E381" s="28">
        <f>IF(履歴データ!$A$381="","",(履歴データ!$D$381-履歴データ!$C$381)*100)</f>
        <v>5.9999999999999609</v>
      </c>
      <c r="F381" s="28">
        <f>IF(履歴データ!$A$381="","",(履歴データ!$R$381-履歴データ!$D$381)*100)</f>
        <v>-223.89999999999998</v>
      </c>
      <c r="G381" s="28">
        <f>IF(履歴データ!$A$381="","",(履歴データ!$S$381-履歴データ!$R$381)*100)</f>
        <v>-103.26364282226575</v>
      </c>
      <c r="H381" s="29">
        <f>IF(履歴データ!$A$381="","",履歴データ!$O$381)</f>
        <v>161.33099365234375</v>
      </c>
      <c r="I381" s="29">
        <f>IF(履歴データ!$A$381="","",履歴データ!$Q$381)</f>
        <v>110.40625</v>
      </c>
      <c r="J381" s="29">
        <f>IF(履歴データ!$A$381="","",履歴データ!$D$381)</f>
        <v>4.3</v>
      </c>
      <c r="K381" s="28">
        <f>IF(OR(履歴データ!$A$381="",履歴データ!$A$380=""),"",B381-B380)</f>
        <v>0.49999999999998934</v>
      </c>
      <c r="L381" s="28">
        <f>IF(OR(履歴データ!$A$381="",履歴データ!$A$380=""),"",C381-C380)</f>
        <v>-1.0999999999999908</v>
      </c>
      <c r="M381" s="28">
        <f>IF(OR(履歴データ!$A$381="",履歴データ!$A$380=""),"",D381-D380)</f>
        <v>3.3000000000000114</v>
      </c>
      <c r="N381" s="28">
        <f>IF(OR(履歴データ!$A$381="",履歴データ!$A$380=""),"",E381-E380)</f>
        <v>0.99999999999997868</v>
      </c>
      <c r="O381" s="28">
        <f>IF(OR(履歴データ!$A$381="",履歴データ!$A$380=""),"",F381-F380)</f>
        <v>-3.9599999999999511</v>
      </c>
      <c r="P381" s="28">
        <f>IF(OR(履歴データ!$A$381="",履歴データ!$A$380=""),"",G381-G380)</f>
        <v>-3.3019999999999214</v>
      </c>
      <c r="Q381" s="29">
        <f>IF(OR(履歴データ!$A$381="",履歴データ!$A$380=""),"",H381-H380)</f>
        <v>0.4739990234375</v>
      </c>
      <c r="R381" s="29">
        <f>IF(OR(履歴データ!$A$381="",履歴データ!$A$380=""),"",I381-I380)</f>
        <v>-0.1875</v>
      </c>
      <c r="S381" s="28">
        <f>IF(OR(履歴データ!$A$381="",履歴データ!$A$380=""),"",(J381-J380)*100)</f>
        <v>1.9999999999999574</v>
      </c>
      <c r="T381" s="11">
        <f>IF(OR(履歴データ!$A$381="",履歴データ!$A$380=""),"",-80000*K381)</f>
        <v>-39999.999999999149</v>
      </c>
      <c r="U381" s="11">
        <f>IF(OR(履歴データ!$A$381="",履歴データ!$A$380=""),"",60000*L381)</f>
        <v>-65999.999999999447</v>
      </c>
      <c r="V381" s="11">
        <f>IF(OR(履歴データ!$A$381="",履歴データ!$A$380=""),"",-50000*M381)</f>
        <v>-165000.00000000058</v>
      </c>
      <c r="W381" s="11">
        <f>IF(OR(履歴データ!$A$381="",履歴データ!$A$380=""),"",-40000*N381)</f>
        <v>-39999.999999999149</v>
      </c>
      <c r="X381" s="11">
        <f>IF(OR(履歴データ!$A$381="",履歴データ!$A$380=""),"",120*1000000*(-Q381/H380))</f>
        <v>-353605.28116119979</v>
      </c>
      <c r="Y381" s="11">
        <f>IF(OR(履歴データ!$A$381="",履歴データ!$A$380=""),"",40000*(-S381)+(-506.3)*R381*1000)</f>
        <v>14931.250000001703</v>
      </c>
      <c r="Z381" s="11">
        <f>IF(OR(履歴データ!$A$381="",履歴データ!$A$380=""),"",-40000*O381)</f>
        <v>158399.99999999805</v>
      </c>
      <c r="AA381" s="11">
        <f>IF(OR(履歴データ!$A$381="",履歴データ!$A$380=""),"",-40000*P381)</f>
        <v>132079.99999999686</v>
      </c>
      <c r="AB381" s="11">
        <f>IF(履歴データ!$A$381="","",123.3)</f>
        <v>123.3</v>
      </c>
      <c r="AC381">
        <f>IF(履歴データ!$A$381="","",SUM(T381:AA381))</f>
        <v>-359194.03116120154</v>
      </c>
      <c r="AD381" s="29">
        <f>IF(履歴データ!$A$381="","",AC381/1000000)</f>
        <v>-0.35919403116120152</v>
      </c>
      <c r="AE381" s="29">
        <f>IF(履歴データ!$A$381="",AE380,AE380+AC381/1000000)</f>
        <v>71.078470985331961</v>
      </c>
      <c r="AF381" s="12">
        <f>IF(OR(履歴データ!$A$381="",AE380=0),"",(AE381-AE380)/AE380)</f>
        <v>-5.0280763107006105E-3</v>
      </c>
      <c r="AG381" s="29">
        <f t="shared" si="17"/>
        <v>102.17217746631495</v>
      </c>
      <c r="AH381" s="12">
        <f>IF(OR(履歴データ!$A$381="",AG381=0),"",AE381/AG381-1)</f>
        <v>-0.30432655202277781</v>
      </c>
      <c r="AJ381" s="28">
        <f t="shared" ca="1" si="15"/>
        <v>-12.376916826444166</v>
      </c>
      <c r="AK381" s="28">
        <f t="shared" ca="1" si="16"/>
        <v>-46.297686348159012</v>
      </c>
    </row>
    <row r="382" spans="1:37">
      <c r="A382" s="10">
        <f>IF(履歴データ!$A$382="","",履歴データ!$A$382)</f>
        <v>45483</v>
      </c>
      <c r="B382" s="28">
        <f>IF(履歴データ!$A$382="","",(履歴データ!$D$382-(履歴データ!$B$382+履歴データ!$F$382)/2)*100)</f>
        <v>-26.499999999999968</v>
      </c>
      <c r="C382" s="28">
        <f>IF(履歴データ!$A$382="","",(履歴データ!$H$382-(履歴データ!$G$382+履歴データ!$J$382)/2)*100)</f>
        <v>-18.850000000000012</v>
      </c>
      <c r="D382" s="28">
        <f>IF(履歴データ!$A$382="","",(履歴データ!$D$382-履歴データ!$H$382)*100)</f>
        <v>318.70000000000005</v>
      </c>
      <c r="E382" s="28">
        <f>IF(履歴データ!$A$382="","",(履歴データ!$D$382-履歴データ!$C$382)*100)</f>
        <v>4.0000000000000036</v>
      </c>
      <c r="F382" s="28">
        <f>IF(履歴データ!$A$382="","",(履歴データ!$R$382-履歴データ!$D$382)*100)</f>
        <v>-218.02</v>
      </c>
      <c r="G382" s="28">
        <f>IF(履歴データ!$A$382="","",(履歴データ!$S$382-履歴データ!$R$382)*100)</f>
        <v>-104.68800000000016</v>
      </c>
      <c r="H382" s="29">
        <f>IF(履歴データ!$A$382="","",履歴データ!$O$382)</f>
        <v>161.60699462890625</v>
      </c>
      <c r="I382" s="29">
        <f>IF(履歴データ!$A$382="","",履歴データ!$Q$382)</f>
        <v>110.5</v>
      </c>
      <c r="J382" s="29">
        <f>IF(履歴データ!$A$382="","",履歴データ!$D$382)</f>
        <v>4.28</v>
      </c>
      <c r="K382" s="28">
        <f>IF(OR(履歴データ!$A$382="",履歴データ!$A$381=""),"",B382-B381)</f>
        <v>-0.99999999999997868</v>
      </c>
      <c r="L382" s="28">
        <f>IF(OR(履歴データ!$A$382="",履歴データ!$A$381=""),"",C382-C381)</f>
        <v>1.1499999999999844</v>
      </c>
      <c r="M382" s="28">
        <f>IF(OR(履歴データ!$A$382="",履歴データ!$A$381=""),"",D382-D381)</f>
        <v>-3.3999999999999773</v>
      </c>
      <c r="N382" s="28">
        <f>IF(OR(履歴データ!$A$382="",履歴データ!$A$381=""),"",E382-E381)</f>
        <v>-1.9999999999999574</v>
      </c>
      <c r="O382" s="28">
        <f>IF(OR(履歴データ!$A$382="",履歴データ!$A$381=""),"",F382-F381)</f>
        <v>5.879999999999967</v>
      </c>
      <c r="P382" s="28">
        <f>IF(OR(履歴データ!$A$382="",履歴データ!$A$381=""),"",G382-G381)</f>
        <v>-1.4243571777344073</v>
      </c>
      <c r="Q382" s="29">
        <f>IF(OR(履歴データ!$A$382="",履歴データ!$A$381=""),"",H382-H381)</f>
        <v>0.2760009765625</v>
      </c>
      <c r="R382" s="29">
        <f>IF(OR(履歴データ!$A$382="",履歴データ!$A$381=""),"",I382-I381)</f>
        <v>9.375E-2</v>
      </c>
      <c r="S382" s="28">
        <f>IF(OR(履歴データ!$A$382="",履歴データ!$A$381=""),"",(J382-J381)*100)</f>
        <v>-1.9999999999999574</v>
      </c>
      <c r="T382" s="11">
        <f>IF(OR(履歴データ!$A$382="",履歴データ!$A$381=""),"",-80000*K382)</f>
        <v>79999.999999998297</v>
      </c>
      <c r="U382" s="11">
        <f>IF(OR(履歴データ!$A$382="",履歴データ!$A$381=""),"",60000*L382)</f>
        <v>68999.999999999069</v>
      </c>
      <c r="V382" s="11">
        <f>IF(OR(履歴データ!$A$382="",履歴データ!$A$381=""),"",-50000*M382)</f>
        <v>169999.99999999886</v>
      </c>
      <c r="W382" s="11">
        <f>IF(OR(履歴データ!$A$382="",履歴データ!$A$381=""),"",-40000*N382)</f>
        <v>79999.999999998297</v>
      </c>
      <c r="X382" s="11">
        <f>IF(OR(履歴データ!$A$382="",履歴データ!$A$381=""),"",120*1000000*(-Q382/H381))</f>
        <v>-205292.95975744983</v>
      </c>
      <c r="Y382" s="11">
        <f>IF(OR(履歴データ!$A$382="",履歴データ!$A$381=""),"",40000*(-S382)+(-506.3)*R382*1000)</f>
        <v>32534.374999998297</v>
      </c>
      <c r="Z382" s="11">
        <f>IF(OR(履歴データ!$A$382="",履歴データ!$A$381=""),"",-40000*O382)</f>
        <v>-235199.99999999869</v>
      </c>
      <c r="AA382" s="11">
        <f>IF(OR(履歴データ!$A$382="",履歴データ!$A$381=""),"",-40000*P382)</f>
        <v>56974.287109376295</v>
      </c>
      <c r="AB382" s="11">
        <f>IF(履歴データ!$A$382="","",123.3)</f>
        <v>123.3</v>
      </c>
      <c r="AC382">
        <f>IF(履歴データ!$A$382="","",SUM(T382:AA382))</f>
        <v>48015.702351920641</v>
      </c>
      <c r="AD382" s="29">
        <f>IF(履歴データ!$A$382="","",AC382/1000000)</f>
        <v>4.8015702351920639E-2</v>
      </c>
      <c r="AE382" s="29">
        <f>IF(履歴データ!$A$382="",AE381,AE381+AC382/1000000)</f>
        <v>71.126486687683879</v>
      </c>
      <c r="AF382" s="12">
        <f>IF(OR(履歴データ!$A$382="",AE381=0),"",(AE382-AE381)/AE381)</f>
        <v>6.7553088419455495E-4</v>
      </c>
      <c r="AG382" s="29">
        <f t="shared" si="17"/>
        <v>102.17217746631495</v>
      </c>
      <c r="AH382" s="12">
        <f>IF(OR(履歴データ!$A$382="",AG382=0),"",AE382/AG382-1)</f>
        <v>-0.30385660312335516</v>
      </c>
      <c r="AJ382" s="28">
        <f t="shared" ca="1" si="15"/>
        <v>-12.400693688002352</v>
      </c>
      <c r="AK382" s="28">
        <f t="shared" ca="1" si="16"/>
        <v>-46.138988851680182</v>
      </c>
    </row>
    <row r="383" spans="1:37">
      <c r="A383" s="10">
        <f>IF(履歴データ!$A$383="","",履歴データ!$A$383)</f>
        <v>45484</v>
      </c>
      <c r="B383" s="28">
        <f>IF(履歴データ!$A$383="","",(履歴データ!$D$383-(履歴データ!$B$383+履歴データ!$F$383)/2)*100)</f>
        <v>-25.499999999999989</v>
      </c>
      <c r="C383" s="28">
        <f>IF(履歴データ!$A$383="","",(履歴データ!$H$383-(履歴データ!$G$383+履歴データ!$J$383)/2)*100)</f>
        <v>-19.300000000000004</v>
      </c>
      <c r="D383" s="28">
        <f>IF(履歴データ!$A$383="","",(履歴データ!$D$383-履歴データ!$H$383)*100)</f>
        <v>311.10000000000002</v>
      </c>
      <c r="E383" s="28">
        <f>IF(履歴データ!$A$383="","",(履歴データ!$D$383-履歴データ!$C$383)*100)</f>
        <v>7.0000000000000284</v>
      </c>
      <c r="F383" s="28">
        <f>IF(履歴データ!$A$383="","",(履歴データ!$R$383-履歴データ!$D$383)*100)</f>
        <v>-211.77</v>
      </c>
      <c r="G383" s="28">
        <f>IF(履歴データ!$A$383="","",(履歴データ!$S$383-履歴データ!$R$383)*100)</f>
        <v>-101.88564282226568</v>
      </c>
      <c r="H383" s="29">
        <f>IF(履歴データ!$A$383="","",履歴データ!$O$383)</f>
        <v>158.20100402832031</v>
      </c>
      <c r="I383" s="29">
        <f>IF(履歴データ!$A$383="","",履歴データ!$Q$383)</f>
        <v>111.15625</v>
      </c>
      <c r="J383" s="29">
        <f>IF(履歴データ!$A$383="","",履歴データ!$D$383)</f>
        <v>4.2</v>
      </c>
      <c r="K383" s="28">
        <f>IF(OR(履歴データ!$A$383="",履歴データ!$A$382=""),"",B383-B382)</f>
        <v>0.99999999999997868</v>
      </c>
      <c r="L383" s="28">
        <f>IF(OR(履歴データ!$A$383="",履歴データ!$A$382=""),"",C383-C382)</f>
        <v>-0.44999999999999218</v>
      </c>
      <c r="M383" s="28">
        <f>IF(OR(履歴データ!$A$383="",履歴データ!$A$382=""),"",D383-D382)</f>
        <v>-7.6000000000000227</v>
      </c>
      <c r="N383" s="28">
        <f>IF(OR(履歴データ!$A$383="",履歴データ!$A$382=""),"",E383-E382)</f>
        <v>3.0000000000000249</v>
      </c>
      <c r="O383" s="28">
        <f>IF(OR(履歴データ!$A$383="",履歴データ!$A$382=""),"",F383-F382)</f>
        <v>6.25</v>
      </c>
      <c r="P383" s="28">
        <f>IF(OR(履歴データ!$A$383="",履歴データ!$A$382=""),"",G383-G382)</f>
        <v>2.8023571777344785</v>
      </c>
      <c r="Q383" s="29">
        <f>IF(OR(履歴データ!$A$383="",履歴データ!$A$382=""),"",H383-H382)</f>
        <v>-3.4059906005859375</v>
      </c>
      <c r="R383" s="29">
        <f>IF(OR(履歴データ!$A$383="",履歴データ!$A$382=""),"",I383-I382)</f>
        <v>0.65625</v>
      </c>
      <c r="S383" s="28">
        <f>IF(OR(履歴データ!$A$383="",履歴データ!$A$382=""),"",(J383-J382)*100)</f>
        <v>-8.0000000000000071</v>
      </c>
      <c r="T383" s="11">
        <f>IF(OR(履歴データ!$A$383="",履歴データ!$A$382=""),"",-80000*K383)</f>
        <v>-79999.999999998297</v>
      </c>
      <c r="U383" s="11">
        <f>IF(OR(履歴データ!$A$383="",履歴データ!$A$382=""),"",60000*L383)</f>
        <v>-26999.999999999531</v>
      </c>
      <c r="V383" s="11">
        <f>IF(OR(履歴データ!$A$383="",履歴データ!$A$382=""),"",-50000*M383)</f>
        <v>380000.00000000116</v>
      </c>
      <c r="W383" s="11">
        <f>IF(OR(履歴データ!$A$383="",履歴データ!$A$382=""),"",-40000*N383)</f>
        <v>-120000.00000000099</v>
      </c>
      <c r="X383" s="11">
        <f>IF(OR(履歴データ!$A$383="",履歴データ!$A$382=""),"",120*1000000*(-Q383/H382))</f>
        <v>2529091.4728588485</v>
      </c>
      <c r="Y383" s="11">
        <f>IF(OR(履歴データ!$A$383="",履歴データ!$A$382=""),"",40000*(-S383)+(-506.3)*R383*1000)</f>
        <v>-12259.374999999767</v>
      </c>
      <c r="Z383" s="11">
        <f>IF(OR(履歴データ!$A$383="",履歴データ!$A$382=""),"",-40000*O383)</f>
        <v>-250000</v>
      </c>
      <c r="AA383" s="11">
        <f>IF(OR(履歴データ!$A$383="",履歴データ!$A$382=""),"",-40000*P383)</f>
        <v>-112094.28710937913</v>
      </c>
      <c r="AB383" s="11">
        <f>IF(履歴データ!$A$383="","",123.3)</f>
        <v>123.3</v>
      </c>
      <c r="AC383">
        <f>IF(履歴データ!$A$383="","",SUM(T383:AA383))</f>
        <v>2307737.8107494717</v>
      </c>
      <c r="AD383" s="29">
        <f>IF(履歴データ!$A$383="","",AC383/1000000)</f>
        <v>2.3077378107494715</v>
      </c>
      <c r="AE383" s="29">
        <f>IF(履歴データ!$A$383="",AE382,AE382+AC383/1000000)</f>
        <v>73.434224498433352</v>
      </c>
      <c r="AF383" s="12">
        <f>IF(OR(履歴データ!$A$383="",AE382=0),"",(AE383-AE382)/AE382)</f>
        <v>3.2445547618325923E-2</v>
      </c>
      <c r="AG383" s="29">
        <f t="shared" si="17"/>
        <v>102.17217746631495</v>
      </c>
      <c r="AH383" s="12">
        <f>IF(OR(履歴データ!$A$383="",AG383=0),"",AE383/AG383-1)</f>
        <v>-0.28126984939081079</v>
      </c>
      <c r="AJ383" s="28">
        <f t="shared" ca="1" si="15"/>
        <v>-12.423975921329085</v>
      </c>
      <c r="AK383" s="28">
        <f t="shared" ca="1" si="16"/>
        <v>-45.968881221528065</v>
      </c>
    </row>
    <row r="384" spans="1:37">
      <c r="A384" s="10">
        <f>IF(履歴データ!$A$384="","",履歴データ!$A$384)</f>
        <v>45485</v>
      </c>
      <c r="B384" s="28">
        <f>IF(履歴データ!$A$384="","",(履歴データ!$D$384-(履歴データ!$B$384+履歴データ!$F$384)/2)*100)</f>
        <v>-24.000000000000021</v>
      </c>
      <c r="C384" s="28">
        <f>IF(履歴データ!$A$384="","",(履歴データ!$H$384-(履歴データ!$G$384+履歴データ!$J$384)/2)*100)</f>
        <v>-20.000000000000018</v>
      </c>
      <c r="D384" s="28">
        <f>IF(履歴データ!$A$384="","",(履歴データ!$D$384-履歴データ!$H$384)*100)</f>
        <v>312.5</v>
      </c>
      <c r="E384" s="28">
        <f>IF(履歴データ!$A$384="","",(履歴データ!$D$384-履歴データ!$C$384)*100)</f>
        <v>8.0000000000000071</v>
      </c>
      <c r="F384" s="28">
        <f>IF(履歴データ!$A$384="","",(履歴データ!$R$384-履歴データ!$D$384)*100)</f>
        <v>-214.74999999999994</v>
      </c>
      <c r="G384" s="28">
        <f>IF(履歴データ!$A$384="","",(履歴データ!$S$384-履歴データ!$R$384)*100)</f>
        <v>-101.99217858886729</v>
      </c>
      <c r="H384" s="29">
        <f>IF(履歴データ!$A$384="","",履歴データ!$O$384)</f>
        <v>158.20100402832031</v>
      </c>
      <c r="I384" s="29">
        <f>IF(履歴データ!$A$384="","",履歴データ!$Q$384)</f>
        <v>111.1875</v>
      </c>
      <c r="J384" s="29">
        <f>IF(履歴データ!$A$384="","",履歴データ!$D$384)</f>
        <v>4.18</v>
      </c>
      <c r="K384" s="28">
        <f>IF(OR(履歴データ!$A$384="",履歴データ!$A$383=""),"",B384-B383)</f>
        <v>1.499999999999968</v>
      </c>
      <c r="L384" s="28">
        <f>IF(OR(履歴データ!$A$384="",履歴データ!$A$383=""),"",C384-C383)</f>
        <v>-0.7000000000000135</v>
      </c>
      <c r="M384" s="28">
        <f>IF(OR(履歴データ!$A$384="",履歴データ!$A$383=""),"",D384-D383)</f>
        <v>1.3999999999999773</v>
      </c>
      <c r="N384" s="28">
        <f>IF(OR(履歴データ!$A$384="",履歴データ!$A$383=""),"",E384-E383)</f>
        <v>0.99999999999997868</v>
      </c>
      <c r="O384" s="28">
        <f>IF(OR(履歴データ!$A$384="",履歴データ!$A$383=""),"",F384-F383)</f>
        <v>-2.9799999999999329</v>
      </c>
      <c r="P384" s="28">
        <f>IF(OR(履歴データ!$A$384="",履歴データ!$A$383=""),"",G384-G383)</f>
        <v>-0.10653576660160979</v>
      </c>
      <c r="Q384" s="29">
        <f>IF(OR(履歴データ!$A$384="",履歴データ!$A$383=""),"",H384-H383)</f>
        <v>0</v>
      </c>
      <c r="R384" s="29">
        <f>IF(OR(履歴データ!$A$384="",履歴データ!$A$383=""),"",I384-I383)</f>
        <v>3.125E-2</v>
      </c>
      <c r="S384" s="28">
        <f>IF(OR(履歴データ!$A$384="",履歴データ!$A$383=""),"",(J384-J383)*100)</f>
        <v>-2.0000000000000462</v>
      </c>
      <c r="T384" s="11">
        <f>IF(OR(履歴データ!$A$384="",履歴データ!$A$383=""),"",-80000*K384)</f>
        <v>-119999.99999999744</v>
      </c>
      <c r="U384" s="11">
        <f>IF(OR(履歴データ!$A$384="",履歴データ!$A$383=""),"",60000*L384)</f>
        <v>-42000.000000000808</v>
      </c>
      <c r="V384" s="11">
        <f>IF(OR(履歴データ!$A$384="",履歴データ!$A$383=""),"",-50000*M384)</f>
        <v>-69999.999999998865</v>
      </c>
      <c r="W384" s="11">
        <f>IF(OR(履歴データ!$A$384="",履歴データ!$A$383=""),"",-40000*N384)</f>
        <v>-39999.999999999149</v>
      </c>
      <c r="X384" s="11">
        <f>IF(OR(履歴データ!$A$384="",履歴データ!$A$383=""),"",120*1000000*(-Q384/H383))</f>
        <v>0</v>
      </c>
      <c r="Y384" s="11">
        <f>IF(OR(履歴データ!$A$384="",履歴データ!$A$383=""),"",40000*(-S384)+(-506.3)*R384*1000)</f>
        <v>64178.125000001848</v>
      </c>
      <c r="Z384" s="11">
        <f>IF(OR(履歴データ!$A$384="",履歴データ!$A$383=""),"",-40000*O384)</f>
        <v>119199.99999999732</v>
      </c>
      <c r="AA384" s="11">
        <f>IF(OR(履歴データ!$A$384="",履歴データ!$A$383=""),"",-40000*P384)</f>
        <v>4261.4306640643917</v>
      </c>
      <c r="AB384" s="11">
        <f>IF(履歴データ!$A$384="","",123.3)</f>
        <v>123.3</v>
      </c>
      <c r="AC384">
        <f>IF(履歴データ!$A$384="","",SUM(T384:AA384))</f>
        <v>-84360.444335932698</v>
      </c>
      <c r="AD384" s="29">
        <f>IF(履歴データ!$A$384="","",AC384/1000000)</f>
        <v>-8.4360444335932691E-2</v>
      </c>
      <c r="AE384" s="29">
        <f>IF(履歴データ!$A$384="",AE383,AE383+AC384/1000000)</f>
        <v>73.349864054097424</v>
      </c>
      <c r="AF384" s="12">
        <f>IF(OR(履歴データ!$A$384="",AE383=0),"",(AE384-AE383)/AE383)</f>
        <v>-1.1487892043815077E-3</v>
      </c>
      <c r="AG384" s="29">
        <f t="shared" si="17"/>
        <v>102.17217746631495</v>
      </c>
      <c r="AH384" s="12">
        <f>IF(OR(履歴データ!$A$384="",AG384=0),"",AE384/AG384-1)</f>
        <v>-0.2820955188286941</v>
      </c>
      <c r="AJ384" s="28">
        <f t="shared" ca="1" si="15"/>
        <v>-12.465570019826195</v>
      </c>
      <c r="AK384" s="28">
        <f t="shared" ca="1" si="16"/>
        <v>-45.74871569445952</v>
      </c>
    </row>
    <row r="385" spans="1:37">
      <c r="A385" s="10">
        <f>IF(履歴データ!$A$385="","",履歴データ!$A$385)</f>
        <v>45488</v>
      </c>
      <c r="B385" s="28">
        <f>IF(履歴データ!$A$385="","",(履歴データ!$D$385-(履歴データ!$B$385+履歴データ!$F$385)/2)*100)</f>
        <v>-21.999999999999975</v>
      </c>
      <c r="C385" s="28">
        <f>IF(履歴データ!$A$385="","",(履歴データ!$H$385-(履歴データ!$G$385+履歴データ!$J$385)/2)*100)</f>
        <v>-20.000000000000018</v>
      </c>
      <c r="D385" s="28">
        <f>IF(履歴データ!$A$385="","",(履歴データ!$D$385-履歴データ!$H$385)*100)</f>
        <v>317.50000000000006</v>
      </c>
      <c r="E385" s="28">
        <f>IF(履歴データ!$A$385="","",(履歴データ!$D$385-履歴データ!$C$385)*100)</f>
        <v>10.000000000000053</v>
      </c>
      <c r="F385" s="28">
        <f>IF(履歴データ!$A$385="","",(履歴データ!$R$385-履歴データ!$D$385)*100)</f>
        <v>-215.09000000000006</v>
      </c>
      <c r="G385" s="28">
        <f>IF(履歴データ!$A$385="","",(履歴データ!$S$385-履歴データ!$R$385)*100)</f>
        <v>-106.65217858886726</v>
      </c>
      <c r="H385" s="29">
        <f>IF(履歴データ!$A$385="","",履歴データ!$O$385)</f>
        <v>158.14100646972656</v>
      </c>
      <c r="I385" s="29">
        <f>IF(履歴データ!$A$385="","",履歴データ!$Q$385)</f>
        <v>110.984375</v>
      </c>
      <c r="J385" s="29">
        <f>IF(履歴データ!$A$385="","",履歴データ!$D$385)</f>
        <v>4.2300000000000004</v>
      </c>
      <c r="K385" s="28">
        <f>IF(OR(履歴データ!$A$385="",履歴データ!$A$384=""),"",B385-B384)</f>
        <v>2.0000000000000462</v>
      </c>
      <c r="L385" s="28">
        <f>IF(OR(履歴データ!$A$385="",履歴データ!$A$384=""),"",C385-C384)</f>
        <v>0</v>
      </c>
      <c r="M385" s="28">
        <f>IF(OR(履歴データ!$A$385="",履歴データ!$A$384=""),"",D385-D384)</f>
        <v>5.0000000000000568</v>
      </c>
      <c r="N385" s="28">
        <f>IF(OR(履歴データ!$A$385="",履歴データ!$A$384=""),"",E385-E384)</f>
        <v>2.0000000000000462</v>
      </c>
      <c r="O385" s="28">
        <f>IF(OR(履歴データ!$A$385="",履歴データ!$A$384=""),"",F385-F384)</f>
        <v>-0.3400000000001171</v>
      </c>
      <c r="P385" s="28">
        <f>IF(OR(履歴データ!$A$385="",履歴データ!$A$384=""),"",G385-G384)</f>
        <v>-4.6599999999999682</v>
      </c>
      <c r="Q385" s="29">
        <f>IF(OR(履歴データ!$A$385="",履歴データ!$A$384=""),"",H385-H384)</f>
        <v>-5.999755859375E-2</v>
      </c>
      <c r="R385" s="29">
        <f>IF(OR(履歴データ!$A$385="",履歴データ!$A$384=""),"",I385-I384)</f>
        <v>-0.203125</v>
      </c>
      <c r="S385" s="28">
        <f>IF(OR(履歴データ!$A$385="",履歴データ!$A$384=""),"",(J385-J384)*100)</f>
        <v>5.0000000000000711</v>
      </c>
      <c r="T385" s="11">
        <f>IF(OR(履歴データ!$A$385="",履歴データ!$A$384=""),"",-80000*K385)</f>
        <v>-160000.0000000037</v>
      </c>
      <c r="U385" s="11">
        <f>IF(OR(履歴データ!$A$385="",履歴データ!$A$384=""),"",60000*L385)</f>
        <v>0</v>
      </c>
      <c r="V385" s="11">
        <f>IF(OR(履歴データ!$A$385="",履歴データ!$A$384=""),"",-50000*M385)</f>
        <v>-250000.00000000285</v>
      </c>
      <c r="W385" s="11">
        <f>IF(OR(履歴データ!$A$385="",履歴データ!$A$384=""),"",-40000*N385)</f>
        <v>-80000.000000001848</v>
      </c>
      <c r="X385" s="11">
        <f>IF(OR(履歴データ!$A$385="",履歴データ!$A$384=""),"",120*1000000*(-Q385/H384))</f>
        <v>45509.869393503635</v>
      </c>
      <c r="Y385" s="11">
        <f>IF(OR(履歴データ!$A$385="",履歴データ!$A$384=""),"",40000*(-S385)+(-506.3)*R385*1000)</f>
        <v>-97157.812500002838</v>
      </c>
      <c r="Z385" s="11">
        <f>IF(OR(履歴データ!$A$385="",履歴データ!$A$384=""),"",-40000*O385)</f>
        <v>13600.000000004684</v>
      </c>
      <c r="AA385" s="11">
        <f>IF(OR(履歴データ!$A$385="",履歴データ!$A$384=""),"",-40000*P385)</f>
        <v>186399.99999999872</v>
      </c>
      <c r="AB385" s="11">
        <f>IF(履歴データ!$A$385="","",123.3)</f>
        <v>123.3</v>
      </c>
      <c r="AC385">
        <f>IF(履歴データ!$A$385="","",SUM(T385:AA385))</f>
        <v>-341647.94310650416</v>
      </c>
      <c r="AD385" s="29">
        <f>IF(履歴データ!$A$385="","",AC385/1000000)</f>
        <v>-0.34164794310650415</v>
      </c>
      <c r="AE385" s="29">
        <f>IF(履歴データ!$A$385="",AE384,AE384+AC385/1000000)</f>
        <v>73.008216110990915</v>
      </c>
      <c r="AF385" s="12">
        <f>IF(OR(履歴データ!$A$385="",AE384=0),"",(AE385-AE384)/AE384)</f>
        <v>-4.657785634810915E-3</v>
      </c>
      <c r="AG385" s="29">
        <f t="shared" si="17"/>
        <v>102.17217746631495</v>
      </c>
      <c r="AH385" s="12">
        <f>IF(OR(履歴データ!$A$385="",AG385=0),"",AE385/AG385-1)</f>
        <v>-0.2854393640082602</v>
      </c>
      <c r="AJ385" s="28">
        <f t="shared" ca="1" si="15"/>
        <v>-12.511064537039765</v>
      </c>
      <c r="AK385" s="28">
        <f t="shared" ca="1" si="16"/>
        <v>-45.496871970896741</v>
      </c>
    </row>
    <row r="386" spans="1:37">
      <c r="A386" s="10">
        <f>IF(履歴データ!$A$386="","",履歴データ!$A$386)</f>
        <v>45489</v>
      </c>
      <c r="B386" s="28">
        <f>IF(履歴データ!$A$386="","",(履歴データ!$D$386-(履歴データ!$B$386+履歴データ!$F$386)/2)*100)</f>
        <v>-23.499999999999943</v>
      </c>
      <c r="C386" s="28">
        <f>IF(履歴データ!$A$386="","",(履歴データ!$H$386-(履歴データ!$G$386+履歴データ!$J$386)/2)*100)</f>
        <v>-21.199999999999996</v>
      </c>
      <c r="D386" s="28">
        <f>IF(履歴データ!$A$386="","",(履歴データ!$D$386-履歴データ!$H$386)*100)</f>
        <v>313.8</v>
      </c>
      <c r="E386" s="28">
        <f>IF(履歴データ!$A$386="","",(履歴データ!$D$386-履歴データ!$C$386)*100)</f>
        <v>8.0000000000000071</v>
      </c>
      <c r="F386" s="28">
        <f>IF(履歴データ!$A$386="","",(履歴データ!$R$386-履歴データ!$D$386)*100)</f>
        <v>-213.85</v>
      </c>
      <c r="G386" s="28">
        <f>IF(履歴データ!$A$386="","",(履歴データ!$S$386-履歴データ!$R$386)*100)</f>
        <v>-101.89217858886725</v>
      </c>
      <c r="H386" s="29">
        <f>IF(履歴データ!$A$386="","",履歴データ!$O$386)</f>
        <v>158.35000610351563</v>
      </c>
      <c r="I386" s="29">
        <f>IF(履歴データ!$A$386="","",履歴データ!$Q$386)</f>
        <v>111.328125</v>
      </c>
      <c r="J386" s="29">
        <f>IF(履歴データ!$A$386="","",履歴データ!$D$386)</f>
        <v>4.17</v>
      </c>
      <c r="K386" s="28">
        <f>IF(OR(履歴データ!$A$386="",履歴データ!$A$385=""),"",B386-B385)</f>
        <v>-1.499999999999968</v>
      </c>
      <c r="L386" s="28">
        <f>IF(OR(履歴データ!$A$386="",履歴データ!$A$385=""),"",C386-C385)</f>
        <v>-1.199999999999978</v>
      </c>
      <c r="M386" s="28">
        <f>IF(OR(履歴データ!$A$386="",履歴データ!$A$385=""),"",D386-D385)</f>
        <v>-3.7000000000000455</v>
      </c>
      <c r="N386" s="28">
        <f>IF(OR(履歴データ!$A$386="",履歴データ!$A$385=""),"",E386-E385)</f>
        <v>-2.0000000000000462</v>
      </c>
      <c r="O386" s="28">
        <f>IF(OR(履歴データ!$A$386="",履歴データ!$A$385=""),"",F386-F385)</f>
        <v>1.2400000000000659</v>
      </c>
      <c r="P386" s="28">
        <f>IF(OR(履歴データ!$A$386="",履歴データ!$A$385=""),"",G386-G385)</f>
        <v>4.7600000000000051</v>
      </c>
      <c r="Q386" s="29">
        <f>IF(OR(履歴データ!$A$386="",履歴データ!$A$385=""),"",H386-H385)</f>
        <v>0.2089996337890625</v>
      </c>
      <c r="R386" s="29">
        <f>IF(OR(履歴データ!$A$386="",履歴データ!$A$385=""),"",I386-I385)</f>
        <v>0.34375</v>
      </c>
      <c r="S386" s="28">
        <f>IF(OR(履歴データ!$A$386="",履歴データ!$A$385=""),"",(J386-J385)*100)</f>
        <v>-6.0000000000000497</v>
      </c>
      <c r="T386" s="11">
        <f>IF(OR(履歴データ!$A$386="",履歴データ!$A$385=""),"",-80000*K386)</f>
        <v>119999.99999999744</v>
      </c>
      <c r="U386" s="11">
        <f>IF(OR(履歴データ!$A$386="",履歴データ!$A$385=""),"",60000*L386)</f>
        <v>-71999.999999998676</v>
      </c>
      <c r="V386" s="11">
        <f>IF(OR(履歴データ!$A$386="",履歴データ!$A$385=""),"",-50000*M386)</f>
        <v>185000.00000000227</v>
      </c>
      <c r="W386" s="11">
        <f>IF(OR(履歴データ!$A$386="",履歴データ!$A$385=""),"",-40000*N386)</f>
        <v>80000.000000001848</v>
      </c>
      <c r="X386" s="11">
        <f>IF(OR(履歴データ!$A$386="",履歴データ!$A$385=""),"",120*1000000*(-Q386/H385))</f>
        <v>-158592.36395772296</v>
      </c>
      <c r="Y386" s="11">
        <f>IF(OR(履歴データ!$A$386="",履歴データ!$A$385=""),"",40000*(-S386)+(-506.3)*R386*1000)</f>
        <v>65959.375000001979</v>
      </c>
      <c r="Z386" s="11">
        <f>IF(OR(履歴データ!$A$386="",履歴データ!$A$385=""),"",-40000*O386)</f>
        <v>-49600.000000002634</v>
      </c>
      <c r="AA386" s="11">
        <f>IF(OR(履歴データ!$A$386="",履歴データ!$A$385=""),"",-40000*P386)</f>
        <v>-190400.0000000002</v>
      </c>
      <c r="AB386" s="11">
        <f>IF(履歴データ!$A$386="","",123.3)</f>
        <v>123.3</v>
      </c>
      <c r="AC386">
        <f>IF(履歴データ!$A$386="","",SUM(T386:AA386))</f>
        <v>-19632.988957720896</v>
      </c>
      <c r="AD386" s="29">
        <f>IF(履歴データ!$A$386="","",AC386/1000000)</f>
        <v>-1.9632988957720896E-2</v>
      </c>
      <c r="AE386" s="29">
        <f>IF(履歴データ!$A$386="",AE385,AE385+AC386/1000000)</f>
        <v>72.988583122033191</v>
      </c>
      <c r="AF386" s="12">
        <f>IF(OR(履歴データ!$A$386="",AE385=0),"",(AE386-AE385)/AE385)</f>
        <v>-2.6891478799971158E-4</v>
      </c>
      <c r="AG386" s="29">
        <f t="shared" si="17"/>
        <v>102.17217746631495</v>
      </c>
      <c r="AH386" s="12">
        <f>IF(OR(履歴データ!$A$386="",AG386=0),"",AE386/AG386-1)</f>
        <v>-0.28563151993020086</v>
      </c>
      <c r="AJ386" s="28">
        <f t="shared" ref="AJ386:AJ449" ca="1" si="18">IF(ROW()-1&lt;2,"",IFERROR(AVERAGE(OFFSET($B$1,MAX(1,ROW()-252),0,MIN(252,ROW()-1),1))+2*STDEV(OFFSET($B$1,MAX(1,ROW()-252),0,MIN(252,ROW()-1),1)),""))</f>
        <v>-12.582941501195275</v>
      </c>
      <c r="AK386" s="28">
        <f t="shared" ref="AK386:AK449" ca="1" si="19">IF(ROW()-1&lt;2,"",IFERROR(AVERAGE(OFFSET($B$1,MAX(1,ROW()-252),0,MIN(252,ROW()-1),1))-2*STDEV(OFFSET($B$1,MAX(1,ROW()-252),0,MIN(252,ROW()-1),1)),""))</f>
        <v>-45.226582308328531</v>
      </c>
    </row>
    <row r="387" spans="1:37">
      <c r="A387" s="10">
        <f>IF(履歴データ!$A$387="","",履歴データ!$A$387)</f>
        <v>45490</v>
      </c>
      <c r="B387" s="28">
        <f>IF(履歴データ!$A$387="","",(履歴データ!$D$387-(履歴データ!$B$387+履歴データ!$F$387)/2)*100)</f>
        <v>-23.499999999999943</v>
      </c>
      <c r="C387" s="28">
        <f>IF(履歴データ!$A$387="","",(履歴データ!$H$387-(履歴データ!$G$387+履歴データ!$J$387)/2)*100)</f>
        <v>-20.950000000000003</v>
      </c>
      <c r="D387" s="28">
        <f>IF(履歴データ!$A$387="","",(履歴データ!$D$387-履歴データ!$H$387)*100)</f>
        <v>311.8</v>
      </c>
      <c r="E387" s="28">
        <f>IF(履歴データ!$A$387="","",(履歴データ!$D$387-履歴データ!$C$387)*100)</f>
        <v>8.9999999999999858</v>
      </c>
      <c r="F387" s="28">
        <f>IF(履歴データ!$A$387="","",(履歴データ!$R$387-履歴データ!$D$387)*100)</f>
        <v>-216.12</v>
      </c>
      <c r="G387" s="28">
        <f>IF(履歴データ!$A$387="","",(履歴データ!$S$387-履歴データ!$R$387)*100)</f>
        <v>-99.850000000000065</v>
      </c>
      <c r="H387" s="29">
        <f>IF(履歴データ!$A$387="","",履歴データ!$O$387)</f>
        <v>155.68600463867188</v>
      </c>
      <c r="I387" s="29">
        <f>IF(履歴データ!$A$387="","",履歴データ!$Q$387)</f>
        <v>111.4375</v>
      </c>
      <c r="J387" s="29">
        <f>IF(履歴データ!$A$387="","",履歴データ!$D$387)</f>
        <v>4.16</v>
      </c>
      <c r="K387" s="28">
        <f>IF(OR(履歴データ!$A$387="",履歴データ!$A$386=""),"",B387-B386)</f>
        <v>0</v>
      </c>
      <c r="L387" s="28">
        <f>IF(OR(履歴データ!$A$387="",履歴データ!$A$386=""),"",C387-C386)</f>
        <v>0.24999999999999289</v>
      </c>
      <c r="M387" s="28">
        <f>IF(OR(履歴データ!$A$387="",履歴データ!$A$386=""),"",D387-D386)</f>
        <v>-2</v>
      </c>
      <c r="N387" s="28">
        <f>IF(OR(履歴データ!$A$387="",履歴データ!$A$386=""),"",E387-E386)</f>
        <v>0.99999999999997868</v>
      </c>
      <c r="O387" s="28">
        <f>IF(OR(履歴データ!$A$387="",履歴データ!$A$386=""),"",F387-F386)</f>
        <v>-2.2700000000000102</v>
      </c>
      <c r="P387" s="28">
        <f>IF(OR(履歴データ!$A$387="",履歴データ!$A$386=""),"",G387-G386)</f>
        <v>2.0421785888671877</v>
      </c>
      <c r="Q387" s="29">
        <f>IF(OR(履歴データ!$A$387="",履歴データ!$A$386=""),"",H387-H386)</f>
        <v>-2.66400146484375</v>
      </c>
      <c r="R387" s="29">
        <f>IF(OR(履歴データ!$A$387="",履歴データ!$A$386=""),"",I387-I386)</f>
        <v>0.109375</v>
      </c>
      <c r="S387" s="28">
        <f>IF(OR(履歴データ!$A$387="",履歴データ!$A$386=""),"",(J387-J386)*100)</f>
        <v>-0.99999999999997868</v>
      </c>
      <c r="T387" s="11">
        <f>IF(OR(履歴データ!$A$387="",履歴データ!$A$386=""),"",-80000*K387)</f>
        <v>0</v>
      </c>
      <c r="U387" s="11">
        <f>IF(OR(履歴データ!$A$387="",履歴データ!$A$386=""),"",60000*L387)</f>
        <v>14999.999999999574</v>
      </c>
      <c r="V387" s="11">
        <f>IF(OR(履歴データ!$A$387="",履歴データ!$A$386=""),"",-50000*M387)</f>
        <v>100000</v>
      </c>
      <c r="W387" s="11">
        <f>IF(OR(履歴データ!$A$387="",履歴データ!$A$386=""),"",-40000*N387)</f>
        <v>-39999.999999999149</v>
      </c>
      <c r="X387" s="11">
        <f>IF(OR(履歴データ!$A$387="",履歴データ!$A$386=""),"",120*1000000*(-Q387/H386))</f>
        <v>2018820.1039428478</v>
      </c>
      <c r="Y387" s="11">
        <f>IF(OR(履歴データ!$A$387="",履歴データ!$A$386=""),"",40000*(-S387)+(-506.3)*R387*1000)</f>
        <v>-15376.562500000851</v>
      </c>
      <c r="Z387" s="11">
        <f>IF(OR(履歴データ!$A$387="",履歴データ!$A$386=""),"",-40000*O387)</f>
        <v>90800.000000000407</v>
      </c>
      <c r="AA387" s="11">
        <f>IF(OR(履歴データ!$A$387="",履歴データ!$A$386=""),"",-40000*P387)</f>
        <v>-81687.143554687515</v>
      </c>
      <c r="AB387" s="11">
        <f>IF(履歴データ!$A$387="","",123.3)</f>
        <v>123.3</v>
      </c>
      <c r="AC387">
        <f>IF(履歴データ!$A$387="","",SUM(T387:AA387))</f>
        <v>2087556.3978881603</v>
      </c>
      <c r="AD387" s="29">
        <f>IF(履歴データ!$A$387="","",AC387/1000000)</f>
        <v>2.0875563978881604</v>
      </c>
      <c r="AE387" s="29">
        <f>IF(履歴データ!$A$387="",AE386,AE386+AC387/1000000)</f>
        <v>75.076139519921355</v>
      </c>
      <c r="AF387" s="12">
        <f>IF(OR(履歴データ!$A$387="",AE386=0),"",(AE387-AE386)/AE386)</f>
        <v>2.8601136076280266E-2</v>
      </c>
      <c r="AG387" s="29">
        <f t="shared" ref="AG387:AG450" si="20">MAX(AG386,AE387)</f>
        <v>102.17217746631495</v>
      </c>
      <c r="AH387" s="12">
        <f>IF(OR(履歴データ!$A$387="",AG387=0),"",AE387/AG387-1)</f>
        <v>-0.26519976982311899</v>
      </c>
      <c r="AJ387" s="28">
        <f t="shared" ca="1" si="18"/>
        <v>-12.692051688997825</v>
      </c>
      <c r="AK387" s="28">
        <f t="shared" ca="1" si="19"/>
        <v>-44.903186406240266</v>
      </c>
    </row>
    <row r="388" spans="1:37">
      <c r="A388" s="10">
        <f>IF(履歴データ!$A$388="","",履歴データ!$A$388)</f>
        <v>45491</v>
      </c>
      <c r="B388" s="28">
        <f>IF(履歴データ!$A$388="","",(履歴データ!$D$388-(履歴データ!$B$388+履歴データ!$F$388)/2)*100)</f>
        <v>-23.500000000000032</v>
      </c>
      <c r="C388" s="28">
        <f>IF(履歴データ!$A$388="","",(履歴データ!$H$388-(履歴データ!$G$388+履歴データ!$J$388)/2)*100)</f>
        <v>-20.650000000000013</v>
      </c>
      <c r="D388" s="28">
        <f>IF(履歴データ!$A$388="","",(履歴データ!$D$388-履歴データ!$H$388)*100)</f>
        <v>315.30000000000007</v>
      </c>
      <c r="E388" s="28">
        <f>IF(履歴データ!$A$388="","",(履歴データ!$D$388-履歴データ!$C$388)*100)</f>
        <v>8.9999999999999858</v>
      </c>
      <c r="F388" s="28">
        <f>IF(履歴データ!$A$388="","",(履歴データ!$R$388-履歴データ!$D$388)*100)</f>
        <v>-221.60000000000002</v>
      </c>
      <c r="G388" s="28">
        <f>IF(履歴データ!$A$388="","",(履歴データ!$S$388-履歴データ!$R$388)*100)</f>
        <v>-98.194642822265791</v>
      </c>
      <c r="H388" s="29">
        <f>IF(履歴データ!$A$388="","",履歴データ!$O$388)</f>
        <v>157.14999389648438</v>
      </c>
      <c r="I388" s="29">
        <f>IF(履歴データ!$A$388="","",履歴データ!$Q$388)</f>
        <v>111.21875</v>
      </c>
      <c r="J388" s="29">
        <f>IF(履歴データ!$A$388="","",履歴データ!$D$388)</f>
        <v>4.2</v>
      </c>
      <c r="K388" s="28">
        <f>IF(OR(履歴データ!$A$388="",履歴データ!$A$387=""),"",B388-B387)</f>
        <v>-8.8817841970012523E-14</v>
      </c>
      <c r="L388" s="28">
        <f>IF(OR(履歴データ!$A$388="",履歴データ!$A$387=""),"",C388-C387)</f>
        <v>0.29999999999999005</v>
      </c>
      <c r="M388" s="28">
        <f>IF(OR(履歴データ!$A$388="",履歴データ!$A$387=""),"",D388-D387)</f>
        <v>3.5000000000000568</v>
      </c>
      <c r="N388" s="28">
        <f>IF(OR(履歴データ!$A$388="",履歴データ!$A$387=""),"",E388-E387)</f>
        <v>0</v>
      </c>
      <c r="O388" s="28">
        <f>IF(OR(履歴データ!$A$388="",履歴データ!$A$387=""),"",F388-F387)</f>
        <v>-5.4800000000000182</v>
      </c>
      <c r="P388" s="28">
        <f>IF(OR(履歴データ!$A$388="",履歴データ!$A$387=""),"",G388-G387)</f>
        <v>1.6553571777342739</v>
      </c>
      <c r="Q388" s="29">
        <f>IF(OR(履歴データ!$A$388="",履歴データ!$A$387=""),"",H388-H387)</f>
        <v>1.4639892578125</v>
      </c>
      <c r="R388" s="29">
        <f>IF(OR(履歴データ!$A$388="",履歴データ!$A$387=""),"",I388-I387)</f>
        <v>-0.21875</v>
      </c>
      <c r="S388" s="28">
        <f>IF(OR(履歴データ!$A$388="",履歴データ!$A$387=""),"",(J388-J387)*100)</f>
        <v>4.0000000000000036</v>
      </c>
      <c r="T388" s="11">
        <f>IF(OR(履歴データ!$A$388="",履歴データ!$A$387=""),"",-80000*K388)</f>
        <v>7.1054273576010019E-9</v>
      </c>
      <c r="U388" s="11">
        <f>IF(OR(履歴データ!$A$388="",履歴データ!$A$387=""),"",60000*L388)</f>
        <v>17999.999999999403</v>
      </c>
      <c r="V388" s="11">
        <f>IF(OR(履歴データ!$A$388="",履歴データ!$A$387=""),"",-50000*M388)</f>
        <v>-175000.00000000285</v>
      </c>
      <c r="W388" s="11">
        <f>IF(OR(履歴データ!$A$388="",履歴データ!$A$387=""),"",-40000*N388)</f>
        <v>0</v>
      </c>
      <c r="X388" s="11">
        <f>IF(OR(履歴データ!$A$388="",履歴データ!$A$387=""),"",120*1000000*(-Q388/H387))</f>
        <v>-1128416.8499617467</v>
      </c>
      <c r="Y388" s="11">
        <f>IF(OR(履歴データ!$A$388="",履歴データ!$A$387=""),"",40000*(-S388)+(-506.3)*R388*1000)</f>
        <v>-49246.875000000146</v>
      </c>
      <c r="Z388" s="11">
        <f>IF(OR(履歴データ!$A$388="",履歴データ!$A$387=""),"",-40000*O388)</f>
        <v>219200.00000000073</v>
      </c>
      <c r="AA388" s="11">
        <f>IF(OR(履歴データ!$A$388="",履歴データ!$A$387=""),"",-40000*P388)</f>
        <v>-66214.287109370955</v>
      </c>
      <c r="AB388" s="11">
        <f>IF(履歴データ!$A$388="","",123.3)</f>
        <v>123.3</v>
      </c>
      <c r="AC388">
        <f>IF(履歴データ!$A$388="","",SUM(T388:AA388))</f>
        <v>-1181678.0120711136</v>
      </c>
      <c r="AD388" s="29">
        <f>IF(履歴データ!$A$388="","",AC388/1000000)</f>
        <v>-1.1816780120711137</v>
      </c>
      <c r="AE388" s="29">
        <f>IF(履歴データ!$A$388="",AE387,AE387+AC388/1000000)</f>
        <v>73.894461507850238</v>
      </c>
      <c r="AF388" s="12">
        <f>IF(OR(履歴データ!$A$388="",AE387=0),"",(AE388-AE387)/AE387)</f>
        <v>-1.5739727956544176E-2</v>
      </c>
      <c r="AG388" s="29">
        <f t="shared" si="20"/>
        <v>102.17217746631495</v>
      </c>
      <c r="AH388" s="12">
        <f>IF(OR(履歴データ!$A$388="",AG388=0),"",AE388/AG388-1)</f>
        <v>-0.27676532554850919</v>
      </c>
      <c r="AJ388" s="28">
        <f t="shared" ca="1" si="18"/>
        <v>-12.855045501164595</v>
      </c>
      <c r="AK388" s="28">
        <f t="shared" ca="1" si="19"/>
        <v>-44.506065609946518</v>
      </c>
    </row>
    <row r="389" spans="1:37">
      <c r="A389" s="10">
        <f>IF(履歴データ!$A$389="","",履歴データ!$A$389)</f>
        <v>45492</v>
      </c>
      <c r="B389" s="28">
        <f>IF(履歴データ!$A$389="","",(履歴データ!$D$389-(履歴データ!$B$389+履歴データ!$F$389)/2)*100)</f>
        <v>-22.000000000000064</v>
      </c>
      <c r="C389" s="28">
        <f>IF(履歴データ!$A$389="","",(履歴データ!$H$389-(履歴データ!$G$389+履歴データ!$J$389)/2)*100)</f>
        <v>-19.700000000000006</v>
      </c>
      <c r="D389" s="28">
        <f>IF(履歴データ!$A$389="","",(履歴データ!$D$389-履歴データ!$H$389)*100)</f>
        <v>319.7</v>
      </c>
      <c r="E389" s="28">
        <f>IF(履歴データ!$A$389="","",(履歴データ!$D$389-履歴データ!$C$389)*100)</f>
        <v>8.9999999999999858</v>
      </c>
      <c r="F389" s="28">
        <f>IF(履歴データ!$A$389="","",(履歴データ!$R$389-履歴データ!$D$389)*100)</f>
        <v>-228.54999999999998</v>
      </c>
      <c r="G389" s="28">
        <f>IF(履歴データ!$A$389="","",(履歴データ!$S$389-履歴データ!$R$389)*100)</f>
        <v>-96.595357177734513</v>
      </c>
      <c r="H389" s="29">
        <f>IF(履歴データ!$A$389="","",履歴データ!$O$389)</f>
        <v>157.14999389648438</v>
      </c>
      <c r="I389" s="29">
        <f>IF(履歴データ!$A$389="","",履歴データ!$Q$389)</f>
        <v>110.828125</v>
      </c>
      <c r="J389" s="29">
        <f>IF(履歴データ!$A$389="","",履歴データ!$D$389)</f>
        <v>4.25</v>
      </c>
      <c r="K389" s="28">
        <f>IF(OR(履歴データ!$A$389="",履歴データ!$A$388=""),"",B389-B388)</f>
        <v>1.499999999999968</v>
      </c>
      <c r="L389" s="28">
        <f>IF(OR(履歴データ!$A$389="",履歴データ!$A$388=""),"",C389-C388)</f>
        <v>0.95000000000000639</v>
      </c>
      <c r="M389" s="28">
        <f>IF(OR(履歴データ!$A$389="",履歴データ!$A$388=""),"",D389-D388)</f>
        <v>4.3999999999999204</v>
      </c>
      <c r="N389" s="28">
        <f>IF(OR(履歴データ!$A$389="",履歴データ!$A$388=""),"",E389-E388)</f>
        <v>0</v>
      </c>
      <c r="O389" s="28">
        <f>IF(OR(履歴データ!$A$389="",履歴データ!$A$388=""),"",F389-F388)</f>
        <v>-6.9499999999999602</v>
      </c>
      <c r="P389" s="28">
        <f>IF(OR(履歴データ!$A$389="",履歴データ!$A$388=""),"",G389-G388)</f>
        <v>1.5992856445312782</v>
      </c>
      <c r="Q389" s="29">
        <f>IF(OR(履歴データ!$A$389="",履歴データ!$A$388=""),"",H389-H388)</f>
        <v>0</v>
      </c>
      <c r="R389" s="29">
        <f>IF(OR(履歴データ!$A$389="",履歴データ!$A$388=""),"",I389-I388)</f>
        <v>-0.390625</v>
      </c>
      <c r="S389" s="28">
        <f>IF(OR(履歴データ!$A$389="",履歴データ!$A$388=""),"",(J389-J388)*100)</f>
        <v>4.9999999999999822</v>
      </c>
      <c r="T389" s="11">
        <f>IF(OR(履歴データ!$A$389="",履歴データ!$A$388=""),"",-80000*K389)</f>
        <v>-119999.99999999744</v>
      </c>
      <c r="U389" s="11">
        <f>IF(OR(履歴データ!$A$389="",履歴データ!$A$388=""),"",60000*L389)</f>
        <v>57000.000000000386</v>
      </c>
      <c r="V389" s="11">
        <f>IF(OR(履歴データ!$A$389="",履歴データ!$A$388=""),"",-50000*M389)</f>
        <v>-219999.99999999601</v>
      </c>
      <c r="W389" s="11">
        <f>IF(OR(履歴データ!$A$389="",履歴データ!$A$388=""),"",-40000*N389)</f>
        <v>0</v>
      </c>
      <c r="X389" s="11">
        <f>IF(OR(履歴データ!$A$389="",履歴データ!$A$388=""),"",120*1000000*(-Q389/H388))</f>
        <v>0</v>
      </c>
      <c r="Y389" s="11">
        <f>IF(OR(履歴データ!$A$389="",履歴データ!$A$388=""),"",40000*(-S389)+(-506.3)*R389*1000)</f>
        <v>-2226.5624999993015</v>
      </c>
      <c r="Z389" s="11">
        <f>IF(OR(履歴データ!$A$389="",履歴データ!$A$388=""),"",-40000*O389)</f>
        <v>277999.99999999843</v>
      </c>
      <c r="AA389" s="11">
        <f>IF(OR(履歴データ!$A$389="",履歴データ!$A$388=""),"",-40000*P389)</f>
        <v>-63971.425781251128</v>
      </c>
      <c r="AB389" s="11">
        <f>IF(履歴データ!$A$389="","",123.3)</f>
        <v>123.3</v>
      </c>
      <c r="AC389">
        <f>IF(履歴データ!$A$389="","",SUM(T389:AA389))</f>
        <v>-71197.988281245081</v>
      </c>
      <c r="AD389" s="29">
        <f>IF(履歴データ!$A$389="","",AC389/1000000)</f>
        <v>-7.1197988281245086E-2</v>
      </c>
      <c r="AE389" s="29">
        <f>IF(履歴データ!$A$389="",AE388,AE388+AC389/1000000)</f>
        <v>73.823263519568997</v>
      </c>
      <c r="AF389" s="12">
        <f>IF(OR(履歴データ!$A$389="",AE388=0),"",(AE389-AE388)/AE388)</f>
        <v>-9.6350912948567444E-4</v>
      </c>
      <c r="AG389" s="29">
        <f t="shared" si="20"/>
        <v>102.17217746631495</v>
      </c>
      <c r="AH389" s="12">
        <f>IF(OR(履歴データ!$A$389="",AG389=0),"",AE389/AG389-1)</f>
        <v>-0.27746216876010377</v>
      </c>
      <c r="AJ389" s="28">
        <f t="shared" ca="1" si="18"/>
        <v>-13.001327116194577</v>
      </c>
      <c r="AK389" s="28">
        <f t="shared" ca="1" si="19"/>
        <v>-44.117720502853047</v>
      </c>
    </row>
    <row r="390" spans="1:37">
      <c r="A390" s="10">
        <f>IF(履歴データ!$A$390="","",履歴データ!$A$390)</f>
        <v>45495</v>
      </c>
      <c r="B390" s="28">
        <f>IF(履歴データ!$A$390="","",(履歴データ!$D$390-(履歴データ!$B$390+履歴データ!$F$390)/2)*100)</f>
        <v>-23.000000000000043</v>
      </c>
      <c r="C390" s="28">
        <f>IF(履歴データ!$A$390="","",(履歴データ!$H$390-(履歴データ!$G$390+履歴データ!$J$390)/2)*100)</f>
        <v>-19.950000000000003</v>
      </c>
      <c r="D390" s="28">
        <f>IF(履歴データ!$A$390="","",(履歴データ!$D$390-履歴データ!$H$390)*100)</f>
        <v>319.7</v>
      </c>
      <c r="E390" s="28">
        <f>IF(履歴データ!$A$390="","",(履歴データ!$D$390-履歴データ!$C$390)*100)</f>
        <v>8.9999999999999858</v>
      </c>
      <c r="F390" s="28">
        <f>IF(履歴データ!$A$390="","",(履歴データ!$R$390-履歴データ!$D$390)*100)</f>
        <v>-227.03999999999996</v>
      </c>
      <c r="G390" s="28">
        <f>IF(履歴データ!$A$390="","",(履歴データ!$S$390-履歴データ!$R$390)*100)</f>
        <v>-95.772821411132966</v>
      </c>
      <c r="H390" s="29">
        <f>IF(履歴データ!$A$390="","",履歴データ!$O$390)</f>
        <v>156.89100646972656</v>
      </c>
      <c r="I390" s="29">
        <f>IF(履歴データ!$A$390="","",履歴データ!$Q$390)</f>
        <v>110.71875</v>
      </c>
      <c r="J390" s="29">
        <f>IF(履歴データ!$A$390="","",履歴データ!$D$390)</f>
        <v>4.26</v>
      </c>
      <c r="K390" s="28">
        <f>IF(OR(履歴データ!$A$390="",履歴データ!$A$389=""),"",B390-B389)</f>
        <v>-0.99999999999997868</v>
      </c>
      <c r="L390" s="28">
        <f>IF(OR(履歴データ!$A$390="",履歴データ!$A$389=""),"",C390-C389)</f>
        <v>-0.24999999999999645</v>
      </c>
      <c r="M390" s="28">
        <f>IF(OR(履歴データ!$A$390="",履歴データ!$A$389=""),"",D390-D389)</f>
        <v>0</v>
      </c>
      <c r="N390" s="28">
        <f>IF(OR(履歴データ!$A$390="",履歴データ!$A$389=""),"",E390-E389)</f>
        <v>0</v>
      </c>
      <c r="O390" s="28">
        <f>IF(OR(履歴データ!$A$390="",履歴データ!$A$389=""),"",F390-F389)</f>
        <v>1.5100000000000193</v>
      </c>
      <c r="P390" s="28">
        <f>IF(OR(履歴データ!$A$390="",履歴データ!$A$389=""),"",G390-G389)</f>
        <v>0.82253576660154692</v>
      </c>
      <c r="Q390" s="29">
        <f>IF(OR(履歴データ!$A$390="",履歴データ!$A$389=""),"",H390-H389)</f>
        <v>-0.2589874267578125</v>
      </c>
      <c r="R390" s="29">
        <f>IF(OR(履歴データ!$A$390="",履歴データ!$A$389=""),"",I390-I389)</f>
        <v>-0.109375</v>
      </c>
      <c r="S390" s="28">
        <f>IF(OR(履歴データ!$A$390="",履歴データ!$A$389=""),"",(J390-J389)*100)</f>
        <v>0.99999999999997868</v>
      </c>
      <c r="T390" s="11">
        <f>IF(OR(履歴データ!$A$390="",履歴データ!$A$389=""),"",-80000*K390)</f>
        <v>79999.999999998297</v>
      </c>
      <c r="U390" s="11">
        <f>IF(OR(履歴データ!$A$390="",履歴データ!$A$389=""),"",60000*L390)</f>
        <v>-14999.999999999787</v>
      </c>
      <c r="V390" s="11">
        <f>IF(OR(履歴データ!$A$390="",履歴データ!$A$389=""),"",-50000*M390)</f>
        <v>0</v>
      </c>
      <c r="W390" s="11">
        <f>IF(OR(履歴データ!$A$390="",履歴データ!$A$389=""),"",-40000*N390)</f>
        <v>0</v>
      </c>
      <c r="X390" s="11">
        <f>IF(OR(履歴データ!$A$390="",履歴データ!$A$389=""),"",120*1000000*(-Q390/H389))</f>
        <v>197763.23524014314</v>
      </c>
      <c r="Y390" s="11">
        <f>IF(OR(履歴データ!$A$390="",履歴データ!$A$389=""),"",40000*(-S390)+(-506.3)*R390*1000)</f>
        <v>15376.562500000851</v>
      </c>
      <c r="Z390" s="11">
        <f>IF(OR(履歴データ!$A$390="",履歴データ!$A$389=""),"",-40000*O390)</f>
        <v>-60400.000000000771</v>
      </c>
      <c r="AA390" s="11">
        <f>IF(OR(履歴データ!$A$390="",履歴データ!$A$389=""),"",-40000*P390)</f>
        <v>-32901.430664061874</v>
      </c>
      <c r="AB390" s="11">
        <f>IF(履歴データ!$A$390="","",123.3)</f>
        <v>123.3</v>
      </c>
      <c r="AC390">
        <f>IF(履歴データ!$A$390="","",SUM(T390:AA390))</f>
        <v>184838.36707607989</v>
      </c>
      <c r="AD390" s="29">
        <f>IF(履歴データ!$A$390="","",AC390/1000000)</f>
        <v>0.1848383670760799</v>
      </c>
      <c r="AE390" s="29">
        <f>IF(履歴データ!$A$390="",AE389,AE389+AC390/1000000)</f>
        <v>74.008101886645079</v>
      </c>
      <c r="AF390" s="12">
        <f>IF(OR(履歴データ!$A$390="",AE389=0),"",(AE390-AE389)/AE389)</f>
        <v>2.5037956636404417E-3</v>
      </c>
      <c r="AG390" s="29">
        <f t="shared" si="20"/>
        <v>102.17217746631495</v>
      </c>
      <c r="AH390" s="12">
        <f>IF(OR(履歴データ!$A$390="",AG390=0),"",AE390/AG390-1)</f>
        <v>-0.27565308167142921</v>
      </c>
      <c r="AJ390" s="28">
        <f t="shared" ca="1" si="18"/>
        <v>-13.19921664676904</v>
      </c>
      <c r="AK390" s="28">
        <f t="shared" ca="1" si="19"/>
        <v>-43.673799226246835</v>
      </c>
    </row>
    <row r="391" spans="1:37">
      <c r="A391" s="10">
        <f>IF(履歴データ!$A$391="","",履歴データ!$A$391)</f>
        <v>45496</v>
      </c>
      <c r="B391" s="28">
        <f>IF(履歴データ!$A$391="","",(履歴データ!$D$391-(履歴データ!$B$391+履歴データ!$F$391)/2)*100)</f>
        <v>-19.000000000000039</v>
      </c>
      <c r="C391" s="28">
        <f>IF(履歴データ!$A$391="","",(履歴データ!$H$391-(履歴データ!$G$391+履歴データ!$J$391)/2)*100)</f>
        <v>-19.850000000000012</v>
      </c>
      <c r="D391" s="28">
        <f>IF(履歴データ!$A$391="","",(履歴データ!$D$391-履歴データ!$H$391)*100)</f>
        <v>317.7</v>
      </c>
      <c r="E391" s="28">
        <f>IF(履歴データ!$A$391="","",(履歴データ!$D$391-履歴データ!$C$391)*100)</f>
        <v>9.9999999999999645</v>
      </c>
      <c r="F391" s="28">
        <f>IF(履歴データ!$A$391="","",(履歴データ!$R$391-履歴データ!$D$391)*100)</f>
        <v>-224.47</v>
      </c>
      <c r="G391" s="28">
        <f>IF(履歴データ!$A$391="","",(履歴データ!$S$391-履歴データ!$R$391)*100)</f>
        <v>-96.29035717773445</v>
      </c>
      <c r="H391" s="29">
        <f>IF(履歴データ!$A$391="","",履歴データ!$O$391)</f>
        <v>155.76800537109375</v>
      </c>
      <c r="I391" s="29">
        <f>IF(履歴データ!$A$391="","",履歴データ!$Q$391)</f>
        <v>110.875</v>
      </c>
      <c r="J391" s="29">
        <f>IF(履歴データ!$A$391="","",履歴データ!$D$391)</f>
        <v>4.25</v>
      </c>
      <c r="K391" s="28">
        <f>IF(OR(履歴データ!$A$391="",履歴データ!$A$390=""),"",B391-B390)</f>
        <v>4.0000000000000036</v>
      </c>
      <c r="L391" s="28">
        <f>IF(OR(履歴データ!$A$391="",履歴データ!$A$390=""),"",C391-C390)</f>
        <v>9.9999999999990763E-2</v>
      </c>
      <c r="M391" s="28">
        <f>IF(OR(履歴データ!$A$391="",履歴データ!$A$390=""),"",D391-D390)</f>
        <v>-2</v>
      </c>
      <c r="N391" s="28">
        <f>IF(OR(履歴データ!$A$391="",履歴データ!$A$390=""),"",E391-E390)</f>
        <v>0.99999999999997868</v>
      </c>
      <c r="O391" s="28">
        <f>IF(OR(履歴データ!$A$391="",履歴データ!$A$390=""),"",F391-F390)</f>
        <v>2.5699999999999648</v>
      </c>
      <c r="P391" s="28">
        <f>IF(OR(履歴データ!$A$391="",履歴データ!$A$390=""),"",G391-G390)</f>
        <v>-0.51753576660148326</v>
      </c>
      <c r="Q391" s="29">
        <f>IF(OR(履歴データ!$A$391="",履歴データ!$A$390=""),"",H391-H390)</f>
        <v>-1.1230010986328125</v>
      </c>
      <c r="R391" s="29">
        <f>IF(OR(履歴データ!$A$391="",履歴データ!$A$390=""),"",I391-I390)</f>
        <v>0.15625</v>
      </c>
      <c r="S391" s="28">
        <f>IF(OR(履歴データ!$A$391="",履歴データ!$A$390=""),"",(J391-J390)*100)</f>
        <v>-0.99999999999997868</v>
      </c>
      <c r="T391" s="11">
        <f>IF(OR(履歴データ!$A$391="",履歴データ!$A$390=""),"",-80000*K391)</f>
        <v>-320000.00000000029</v>
      </c>
      <c r="U391" s="11">
        <f>IF(OR(履歴データ!$A$391="",履歴データ!$A$390=""),"",60000*L391)</f>
        <v>5999.9999999994461</v>
      </c>
      <c r="V391" s="11">
        <f>IF(OR(履歴データ!$A$391="",履歴データ!$A$390=""),"",-50000*M391)</f>
        <v>100000</v>
      </c>
      <c r="W391" s="11">
        <f>IF(OR(履歴データ!$A$391="",履歴データ!$A$390=""),"",-40000*N391)</f>
        <v>-39999.999999999149</v>
      </c>
      <c r="X391" s="11">
        <f>IF(OR(履歴データ!$A$391="",履歴データ!$A$390=""),"",120*1000000*(-Q391/H390))</f>
        <v>858941.08826397639</v>
      </c>
      <c r="Y391" s="11">
        <f>IF(OR(履歴データ!$A$391="",履歴データ!$A$390=""),"",40000*(-S391)+(-506.3)*R391*1000)</f>
        <v>-39109.375000000851</v>
      </c>
      <c r="Z391" s="11">
        <f>IF(OR(履歴データ!$A$391="",履歴データ!$A$390=""),"",-40000*O391)</f>
        <v>-102799.99999999859</v>
      </c>
      <c r="AA391" s="11">
        <f>IF(OR(履歴データ!$A$391="",履歴データ!$A$390=""),"",-40000*P391)</f>
        <v>20701.430664059331</v>
      </c>
      <c r="AB391" s="11">
        <f>IF(履歴データ!$A$391="","",123.3)</f>
        <v>123.3</v>
      </c>
      <c r="AC391">
        <f>IF(履歴データ!$A$391="","",SUM(T391:AA391))</f>
        <v>483733.14392803633</v>
      </c>
      <c r="AD391" s="29">
        <f>IF(履歴データ!$A$391="","",AC391/1000000)</f>
        <v>0.48373314392803635</v>
      </c>
      <c r="AE391" s="29">
        <f>IF(履歴データ!$A$391="",AE390,AE390+AC391/1000000)</f>
        <v>74.491835030573114</v>
      </c>
      <c r="AF391" s="12">
        <f>IF(OR(履歴データ!$A$391="",AE390=0),"",(AE391-AE390)/AE390)</f>
        <v>6.5362187597912905E-3</v>
      </c>
      <c r="AG391" s="29">
        <f t="shared" si="20"/>
        <v>102.17217746631495</v>
      </c>
      <c r="AH391" s="12">
        <f>IF(OR(履歴データ!$A$391="",AG391=0),"",AE391/AG391-1)</f>
        <v>-0.2709185917552529</v>
      </c>
      <c r="AJ391" s="28">
        <f t="shared" ca="1" si="18"/>
        <v>-13.285741685629329</v>
      </c>
      <c r="AK391" s="28">
        <f t="shared" ca="1" si="19"/>
        <v>-43.337274187386541</v>
      </c>
    </row>
    <row r="392" spans="1:37">
      <c r="A392" s="10">
        <f>IF(履歴データ!$A$392="","",履歴データ!$A$392)</f>
        <v>45497</v>
      </c>
      <c r="B392" s="28">
        <f>IF(履歴データ!$A$392="","",(履歴データ!$D$392-(履歴データ!$B$392+履歴データ!$F$392)/2)*100)</f>
        <v>-17.499999999999982</v>
      </c>
      <c r="C392" s="28">
        <f>IF(履歴データ!$A$392="","",(履歴データ!$H$392-(履歴データ!$G$392+履歴データ!$J$392)/2)*100)</f>
        <v>-20.399999999999995</v>
      </c>
      <c r="D392" s="28">
        <f>IF(履歴データ!$A$392="","",(履歴データ!$D$392-履歴データ!$H$392)*100)</f>
        <v>319.60000000000002</v>
      </c>
      <c r="E392" s="28">
        <f>IF(履歴データ!$A$392="","",(履歴データ!$D$392-履歴データ!$C$392)*100)</f>
        <v>16.000000000000014</v>
      </c>
      <c r="F392" s="28">
        <f>IF(履歴データ!$A$392="","",(履歴データ!$R$392-履歴データ!$D$392)*100)</f>
        <v>-226.73000000000002</v>
      </c>
      <c r="G392" s="28">
        <f>IF(履歴データ!$A$392="","",(履歴データ!$S$392-履歴データ!$R$392)*100)</f>
        <v>-97.732000000000198</v>
      </c>
      <c r="H392" s="29">
        <f>IF(履歴データ!$A$392="","",履歴データ!$O$392)</f>
        <v>153.89100646972656</v>
      </c>
      <c r="I392" s="29">
        <f>IF(履歴データ!$A$392="","",履歴データ!$Q$392)</f>
        <v>110.671875</v>
      </c>
      <c r="J392" s="29">
        <f>IF(履歴データ!$A$392="","",履歴データ!$D$392)</f>
        <v>4.28</v>
      </c>
      <c r="K392" s="28">
        <f>IF(OR(履歴データ!$A$392="",履歴データ!$A$391=""),"",B392-B391)</f>
        <v>1.5000000000000568</v>
      </c>
      <c r="L392" s="28">
        <f>IF(OR(履歴データ!$A$392="",履歴データ!$A$391=""),"",C392-C391)</f>
        <v>-0.54999999999998295</v>
      </c>
      <c r="M392" s="28">
        <f>IF(OR(履歴データ!$A$392="",履歴データ!$A$391=""),"",D392-D391)</f>
        <v>1.9000000000000341</v>
      </c>
      <c r="N392" s="28">
        <f>IF(OR(履歴データ!$A$392="",履歴データ!$A$391=""),"",E392-E391)</f>
        <v>6.0000000000000497</v>
      </c>
      <c r="O392" s="28">
        <f>IF(OR(履歴データ!$A$392="",履歴データ!$A$391=""),"",F392-F391)</f>
        <v>-2.2600000000000193</v>
      </c>
      <c r="P392" s="28">
        <f>IF(OR(履歴データ!$A$392="",履歴データ!$A$391=""),"",G392-G391)</f>
        <v>-1.4416428222657487</v>
      </c>
      <c r="Q392" s="29">
        <f>IF(OR(履歴データ!$A$392="",履歴データ!$A$391=""),"",H392-H391)</f>
        <v>-1.8769989013671875</v>
      </c>
      <c r="R392" s="29">
        <f>IF(OR(履歴データ!$A$392="",履歴データ!$A$391=""),"",I392-I391)</f>
        <v>-0.203125</v>
      </c>
      <c r="S392" s="28">
        <f>IF(OR(履歴データ!$A$392="",履歴データ!$A$391=""),"",(J392-J391)*100)</f>
        <v>3.0000000000000249</v>
      </c>
      <c r="T392" s="11">
        <f>IF(OR(履歴データ!$A$392="",履歴データ!$A$391=""),"",-80000*K392)</f>
        <v>-120000.00000000454</v>
      </c>
      <c r="U392" s="11">
        <f>IF(OR(履歴データ!$A$392="",履歴データ!$A$391=""),"",60000*L392)</f>
        <v>-32999.999999998974</v>
      </c>
      <c r="V392" s="11">
        <f>IF(OR(履歴データ!$A$392="",履歴データ!$A$391=""),"",-50000*M392)</f>
        <v>-95000.000000001703</v>
      </c>
      <c r="W392" s="11">
        <f>IF(OR(履歴データ!$A$392="",履歴データ!$A$391=""),"",-40000*N392)</f>
        <v>-240000.00000000198</v>
      </c>
      <c r="X392" s="11">
        <f>IF(OR(履歴データ!$A$392="",履歴データ!$A$391=""),"",120*1000000*(-Q392/H391))</f>
        <v>1445995.7141228234</v>
      </c>
      <c r="Y392" s="11">
        <f>IF(OR(履歴データ!$A$392="",履歴データ!$A$391=""),"",40000*(-S392)+(-506.3)*R392*1000)</f>
        <v>-17157.812500000975</v>
      </c>
      <c r="Z392" s="11">
        <f>IF(OR(履歴データ!$A$392="",履歴データ!$A$391=""),"",-40000*O392)</f>
        <v>90400.000000000771</v>
      </c>
      <c r="AA392" s="11">
        <f>IF(OR(履歴データ!$A$392="",履歴データ!$A$391=""),"",-40000*P392)</f>
        <v>57665.712890629948</v>
      </c>
      <c r="AB392" s="11">
        <f>IF(履歴データ!$A$392="","",123.3)</f>
        <v>123.3</v>
      </c>
      <c r="AC392">
        <f>IF(履歴データ!$A$392="","",SUM(T392:AA392))</f>
        <v>1088903.6145134461</v>
      </c>
      <c r="AD392" s="29">
        <f>IF(履歴データ!$A$392="","",AC392/1000000)</f>
        <v>1.0889036145134461</v>
      </c>
      <c r="AE392" s="29">
        <f>IF(履歴データ!$A$392="",AE391,AE391+AC392/1000000)</f>
        <v>75.580738645086555</v>
      </c>
      <c r="AF392" s="12">
        <f>IF(OR(履歴データ!$A$392="",AE391=0),"",(AE392-AE391)/AE391)</f>
        <v>1.4617757960540653E-2</v>
      </c>
      <c r="AG392" s="29">
        <f t="shared" si="20"/>
        <v>102.17217746631495</v>
      </c>
      <c r="AH392" s="12">
        <f>IF(OR(履歴データ!$A$392="",AG392=0),"",AE392/AG392-1)</f>
        <v>-0.26026105619600115</v>
      </c>
      <c r="AJ392" s="28">
        <f t="shared" ca="1" si="18"/>
        <v>-13.399842819943819</v>
      </c>
      <c r="AK392" s="28">
        <f t="shared" ca="1" si="19"/>
        <v>-42.945395275294274</v>
      </c>
    </row>
    <row r="393" spans="1:37">
      <c r="A393" s="10">
        <f>IF(履歴データ!$A$393="","",履歴データ!$A$393)</f>
        <v>45498</v>
      </c>
      <c r="B393" s="28">
        <f>IF(履歴データ!$A$393="","",(履歴データ!$D$393-(履歴データ!$B$393+履歴データ!$F$393)/2)*100)</f>
        <v>-18.50000000000005</v>
      </c>
      <c r="C393" s="28">
        <f>IF(履歴データ!$A$393="","",(履歴データ!$H$393-(履歴データ!$G$393+履歴データ!$J$393)/2)*100)</f>
        <v>-20.75</v>
      </c>
      <c r="D393" s="28">
        <f>IF(履歴データ!$A$393="","",(履歴データ!$D$393-履歴データ!$H$393)*100)</f>
        <v>319.19999999999993</v>
      </c>
      <c r="E393" s="28">
        <f>IF(履歴データ!$A$393="","",(履歴データ!$D$393-履歴データ!$C$393)*100)</f>
        <v>13.999999999999968</v>
      </c>
      <c r="F393" s="28">
        <f>IF(履歴データ!$A$393="","",(履歴データ!$R$393-履歴データ!$D$393)*100)</f>
        <v>-223.81999999999996</v>
      </c>
      <c r="G393" s="28">
        <f>IF(履歴データ!$A$393="","",(履歴データ!$S$393-履歴データ!$R$393)*100)</f>
        <v>-96.309357177734569</v>
      </c>
      <c r="H393" s="29">
        <f>IF(履歴データ!$A$393="","",履歴データ!$O$393)</f>
        <v>153.69700622558594</v>
      </c>
      <c r="I393" s="29">
        <f>IF(履歴データ!$A$393="","",履歴データ!$Q$393)</f>
        <v>110.796875</v>
      </c>
      <c r="J393" s="29">
        <f>IF(履歴データ!$A$393="","",履歴データ!$D$393)</f>
        <v>4.2699999999999996</v>
      </c>
      <c r="K393" s="28">
        <f>IF(OR(履歴データ!$A$393="",履歴データ!$A$392=""),"",B393-B392)</f>
        <v>-1.0000000000000675</v>
      </c>
      <c r="L393" s="28">
        <f>IF(OR(履歴データ!$A$393="",履歴データ!$A$392=""),"",C393-C392)</f>
        <v>-0.35000000000000497</v>
      </c>
      <c r="M393" s="28">
        <f>IF(OR(履歴データ!$A$393="",履歴データ!$A$392=""),"",D393-D392)</f>
        <v>-0.40000000000009095</v>
      </c>
      <c r="N393" s="28">
        <f>IF(OR(履歴データ!$A$393="",履歴データ!$A$392=""),"",E393-E392)</f>
        <v>-2.0000000000000462</v>
      </c>
      <c r="O393" s="28">
        <f>IF(OR(履歴データ!$A$393="",履歴データ!$A$392=""),"",F393-F392)</f>
        <v>2.9100000000000534</v>
      </c>
      <c r="P393" s="28">
        <f>IF(OR(履歴データ!$A$393="",履歴データ!$A$392=""),"",G393-G392)</f>
        <v>1.4226428222656295</v>
      </c>
      <c r="Q393" s="29">
        <f>IF(OR(履歴データ!$A$393="",履歴データ!$A$392=""),"",H393-H392)</f>
        <v>-0.194000244140625</v>
      </c>
      <c r="R393" s="29">
        <f>IF(OR(履歴データ!$A$393="",履歴データ!$A$392=""),"",I393-I392)</f>
        <v>0.125</v>
      </c>
      <c r="S393" s="28">
        <f>IF(OR(履歴データ!$A$393="",履歴データ!$A$392=""),"",(J393-J392)*100)</f>
        <v>-1.0000000000000675</v>
      </c>
      <c r="T393" s="11">
        <f>IF(OR(履歴データ!$A$393="",履歴データ!$A$392=""),"",-80000*K393)</f>
        <v>80000.000000005399</v>
      </c>
      <c r="U393" s="11">
        <f>IF(OR(履歴データ!$A$393="",履歴データ!$A$392=""),"",60000*L393)</f>
        <v>-21000.000000000298</v>
      </c>
      <c r="V393" s="11">
        <f>IF(OR(履歴データ!$A$393="",履歴データ!$A$392=""),"",-50000*M393)</f>
        <v>20000.000000004547</v>
      </c>
      <c r="W393" s="11">
        <f>IF(OR(履歴データ!$A$393="",履歴データ!$A$392=""),"",-40000*N393)</f>
        <v>80000.000000001848</v>
      </c>
      <c r="X393" s="11">
        <f>IF(OR(履歴データ!$A$393="",履歴データ!$A$392=""),"",120*1000000*(-Q393/H392))</f>
        <v>151276.08708865417</v>
      </c>
      <c r="Y393" s="11">
        <f>IF(OR(履歴データ!$A$393="",履歴データ!$A$392=""),"",40000*(-S393)+(-506.3)*R393*1000)</f>
        <v>-23287.499999997301</v>
      </c>
      <c r="Z393" s="11">
        <f>IF(OR(履歴データ!$A$393="",履歴データ!$A$392=""),"",-40000*O393)</f>
        <v>-116400.00000000214</v>
      </c>
      <c r="AA393" s="11">
        <f>IF(OR(履歴データ!$A$393="",履歴データ!$A$392=""),"",-40000*P393)</f>
        <v>-56905.712890625182</v>
      </c>
      <c r="AB393" s="11">
        <f>IF(履歴データ!$A$393="","",123.3)</f>
        <v>123.3</v>
      </c>
      <c r="AC393">
        <f>IF(履歴データ!$A$393="","",SUM(T393:AA393))</f>
        <v>113682.87419804104</v>
      </c>
      <c r="AD393" s="29">
        <f>IF(履歴データ!$A$393="","",AC393/1000000)</f>
        <v>0.11368287419804105</v>
      </c>
      <c r="AE393" s="29">
        <f>IF(履歴データ!$A$393="",AE392,AE392+AC393/1000000)</f>
        <v>75.694421519284603</v>
      </c>
      <c r="AF393" s="12">
        <f>IF(OR(履歴データ!$A$393="",AE392=0),"",(AE393-AE392)/AE392)</f>
        <v>1.5041249428889836E-3</v>
      </c>
      <c r="AG393" s="29">
        <f t="shared" si="20"/>
        <v>102.17217746631495</v>
      </c>
      <c r="AH393" s="12">
        <f>IF(OR(履歴データ!$A$393="",AG393=0),"",AE393/AG393-1)</f>
        <v>-0.25914839639939913</v>
      </c>
      <c r="AJ393" s="28">
        <f t="shared" ca="1" si="18"/>
        <v>-13.495145711344231</v>
      </c>
      <c r="AK393" s="28">
        <f t="shared" ca="1" si="19"/>
        <v>-42.596124129925613</v>
      </c>
    </row>
    <row r="394" spans="1:37">
      <c r="A394" s="10">
        <f>IF(履歴データ!$A$394="","",履歴データ!$A$394)</f>
        <v>45499</v>
      </c>
      <c r="B394" s="28">
        <f>IF(履歴データ!$A$394="","",(履歴データ!$D$394-(履歴データ!$B$394+履歴データ!$F$394)/2)*100)</f>
        <v>-20.500000000000007</v>
      </c>
      <c r="C394" s="28">
        <f>IF(履歴データ!$A$394="","",(履歴データ!$H$394-(履歴データ!$G$394+履歴データ!$J$394)/2)*100)</f>
        <v>-21.299999999999986</v>
      </c>
      <c r="D394" s="28">
        <f>IF(履歴データ!$A$394="","",(履歴データ!$D$394-履歴データ!$H$394)*100)</f>
        <v>313.2</v>
      </c>
      <c r="E394" s="28">
        <f>IF(履歴データ!$A$394="","",(履歴データ!$D$394-履歴データ!$C$394)*100)</f>
        <v>14.000000000000057</v>
      </c>
      <c r="F394" s="28">
        <f>IF(履歴データ!$A$394="","",(履歴データ!$R$394-履歴データ!$D$394)*100)</f>
        <v>-224.88000000000002</v>
      </c>
      <c r="G394" s="28">
        <f>IF(履歴データ!$A$394="","",(履歴データ!$S$394-履歴データ!$R$394)*100)</f>
        <v>-90.529642822265714</v>
      </c>
      <c r="H394" s="29">
        <f>IF(履歴データ!$A$394="","",履歴データ!$O$394)</f>
        <v>153.69700622558594</v>
      </c>
      <c r="I394" s="29">
        <f>IF(履歴データ!$A$394="","",履歴データ!$Q$394)</f>
        <v>111.203125</v>
      </c>
      <c r="J394" s="29">
        <f>IF(履歴データ!$A$394="","",履歴データ!$D$394)</f>
        <v>4.2</v>
      </c>
      <c r="K394" s="28">
        <f>IF(OR(履歴データ!$A$394="",履歴データ!$A$393=""),"",B394-B393)</f>
        <v>-1.9999999999999574</v>
      </c>
      <c r="L394" s="28">
        <f>IF(OR(履歴データ!$A$394="",履歴データ!$A$393=""),"",C394-C393)</f>
        <v>-0.5499999999999865</v>
      </c>
      <c r="M394" s="28">
        <f>IF(OR(履歴データ!$A$394="",履歴データ!$A$393=""),"",D394-D393)</f>
        <v>-5.9999999999999432</v>
      </c>
      <c r="N394" s="28">
        <f>IF(OR(履歴データ!$A$394="",履歴データ!$A$393=""),"",E394-E393)</f>
        <v>8.8817841970012523E-14</v>
      </c>
      <c r="O394" s="28">
        <f>IF(OR(履歴データ!$A$394="",履歴データ!$A$393=""),"",F394-F393)</f>
        <v>-1.0600000000000591</v>
      </c>
      <c r="P394" s="28">
        <f>IF(OR(履歴データ!$A$394="",履歴データ!$A$393=""),"",G394-G393)</f>
        <v>5.7797143554688546</v>
      </c>
      <c r="Q394" s="29">
        <f>IF(OR(履歴データ!$A$394="",履歴データ!$A$393=""),"",H394-H393)</f>
        <v>0</v>
      </c>
      <c r="R394" s="29">
        <f>IF(OR(履歴データ!$A$394="",履歴データ!$A$393=""),"",I394-I393)</f>
        <v>0.40625</v>
      </c>
      <c r="S394" s="28">
        <f>IF(OR(履歴データ!$A$394="",履歴データ!$A$393=""),"",(J394-J393)*100)</f>
        <v>-6.9999999999999396</v>
      </c>
      <c r="T394" s="11">
        <f>IF(OR(履歴データ!$A$394="",履歴データ!$A$393=""),"",-80000*K394)</f>
        <v>159999.99999999659</v>
      </c>
      <c r="U394" s="11">
        <f>IF(OR(履歴データ!$A$394="",履歴データ!$A$393=""),"",60000*L394)</f>
        <v>-32999.999999999192</v>
      </c>
      <c r="V394" s="11">
        <f>IF(OR(履歴データ!$A$394="",履歴データ!$A$393=""),"",-50000*M394)</f>
        <v>299999.99999999715</v>
      </c>
      <c r="W394" s="11">
        <f>IF(OR(履歴データ!$A$394="",履歴データ!$A$393=""),"",-40000*N394)</f>
        <v>-3.5527136788005009E-9</v>
      </c>
      <c r="X394" s="11">
        <f>IF(OR(履歴データ!$A$394="",履歴データ!$A$393=""),"",120*1000000*(-Q394/H393))</f>
        <v>0</v>
      </c>
      <c r="Y394" s="11">
        <f>IF(OR(履歴データ!$A$394="",履歴データ!$A$393=""),"",40000*(-S394)+(-506.3)*R394*1000)</f>
        <v>74315.624999997526</v>
      </c>
      <c r="Z394" s="11">
        <f>IF(OR(履歴データ!$A$394="",履歴データ!$A$393=""),"",-40000*O394)</f>
        <v>42400.000000002365</v>
      </c>
      <c r="AA394" s="11">
        <f>IF(OR(履歴データ!$A$394="",履歴データ!$A$393=""),"",-40000*P394)</f>
        <v>-231188.57421875419</v>
      </c>
      <c r="AB394" s="11">
        <f>IF(履歴データ!$A$394="","",123.3)</f>
        <v>123.3</v>
      </c>
      <c r="AC394">
        <f>IF(履歴データ!$A$394="","",SUM(T394:AA394))</f>
        <v>312527.05078123661</v>
      </c>
      <c r="AD394" s="29">
        <f>IF(履歴データ!$A$394="","",AC394/1000000)</f>
        <v>0.3125270507812366</v>
      </c>
      <c r="AE394" s="29">
        <f>IF(履歴データ!$A$394="",AE393,AE393+AC394/1000000)</f>
        <v>76.006948570065845</v>
      </c>
      <c r="AF394" s="12">
        <f>IF(OR(履歴データ!$A$394="",AE393=0),"",(AE394-AE393)/AE393)</f>
        <v>4.1287989855582612E-3</v>
      </c>
      <c r="AG394" s="29">
        <f t="shared" si="20"/>
        <v>102.17217746631495</v>
      </c>
      <c r="AH394" s="12">
        <f>IF(OR(履歴データ!$A$394="",AG394=0),"",AE394/AG394-1)</f>
        <v>-0.2560895690500038</v>
      </c>
      <c r="AJ394" s="28">
        <f t="shared" ca="1" si="18"/>
        <v>-13.594640624586079</v>
      </c>
      <c r="AK394" s="28">
        <f t="shared" ca="1" si="19"/>
        <v>-42.27043874049329</v>
      </c>
    </row>
    <row r="395" spans="1:37">
      <c r="A395" s="10">
        <f>IF(履歴データ!$A$395="","",履歴データ!$A$395)</f>
        <v>45502</v>
      </c>
      <c r="B395" s="28">
        <f>IF(履歴データ!$A$395="","",(履歴データ!$D$395-(履歴データ!$B$395+履歴データ!$F$395)/2)*100)</f>
        <v>-22.000000000000064</v>
      </c>
      <c r="C395" s="28">
        <f>IF(履歴データ!$A$395="","",(履歴データ!$H$395-(履歴データ!$G$395+履歴データ!$J$395)/2)*100)</f>
        <v>-22.100000000000009</v>
      </c>
      <c r="D395" s="28">
        <f>IF(履歴データ!$A$395="","",(履歴データ!$D$395-履歴データ!$H$395)*100)</f>
        <v>312.89999999999998</v>
      </c>
      <c r="E395" s="28">
        <f>IF(履歴データ!$A$395="","",(履歴データ!$D$395-履歴データ!$C$395)*100)</f>
        <v>12.000000000000011</v>
      </c>
      <c r="F395" s="28">
        <f>IF(履歴データ!$A$395="","",(履歴データ!$R$395-履歴データ!$D$395)*100)</f>
        <v>-224.99</v>
      </c>
      <c r="G395" s="28">
        <f>IF(履歴データ!$A$395="","",(履歴データ!$S$395-履歴データ!$R$395)*100)</f>
        <v>-94.435642822265663</v>
      </c>
      <c r="H395" s="29">
        <f>IF(履歴データ!$A$395="","",履歴データ!$O$395)</f>
        <v>153.83299255371094</v>
      </c>
      <c r="I395" s="29">
        <f>IF(履歴データ!$A$395="","",履歴データ!$Q$395)</f>
        <v>111.34375</v>
      </c>
      <c r="J395" s="29">
        <f>IF(履歴データ!$A$395="","",履歴データ!$D$395)</f>
        <v>4.17</v>
      </c>
      <c r="K395" s="28">
        <f>IF(OR(履歴データ!$A$395="",履歴データ!$A$394=""),"",B395-B394)</f>
        <v>-1.5000000000000568</v>
      </c>
      <c r="L395" s="28">
        <f>IF(OR(履歴データ!$A$395="",履歴データ!$A$394=""),"",C395-C394)</f>
        <v>-0.80000000000002203</v>
      </c>
      <c r="M395" s="28">
        <f>IF(OR(履歴データ!$A$395="",履歴データ!$A$394=""),"",D395-D394)</f>
        <v>-0.30000000000001137</v>
      </c>
      <c r="N395" s="28">
        <f>IF(OR(履歴データ!$A$395="",履歴データ!$A$394=""),"",E395-E394)</f>
        <v>-2.0000000000000462</v>
      </c>
      <c r="O395" s="28">
        <f>IF(OR(履歴データ!$A$395="",履歴データ!$A$394=""),"",F395-F394)</f>
        <v>-0.10999999999998522</v>
      </c>
      <c r="P395" s="28">
        <f>IF(OR(履歴データ!$A$395="",履歴データ!$A$394=""),"",G395-G394)</f>
        <v>-3.9059999999999491</v>
      </c>
      <c r="Q395" s="29">
        <f>IF(OR(履歴データ!$A$395="",履歴データ!$A$394=""),"",H395-H394)</f>
        <v>0.135986328125</v>
      </c>
      <c r="R395" s="29">
        <f>IF(OR(履歴データ!$A$395="",履歴データ!$A$394=""),"",I395-I394)</f>
        <v>0.140625</v>
      </c>
      <c r="S395" s="28">
        <f>IF(OR(履歴データ!$A$395="",履歴データ!$A$394=""),"",(J395-J394)*100)</f>
        <v>-3.0000000000000249</v>
      </c>
      <c r="T395" s="11">
        <f>IF(OR(履歴データ!$A$395="",履歴データ!$A$394=""),"",-80000*K395)</f>
        <v>120000.00000000454</v>
      </c>
      <c r="U395" s="11">
        <f>IF(OR(履歴データ!$A$395="",履歴データ!$A$394=""),"",60000*L395)</f>
        <v>-48000.000000001324</v>
      </c>
      <c r="V395" s="11">
        <f>IF(OR(履歴データ!$A$395="",履歴データ!$A$394=""),"",-50000*M395)</f>
        <v>15000.000000000568</v>
      </c>
      <c r="W395" s="11">
        <f>IF(OR(履歴データ!$A$395="",履歴データ!$A$394=""),"",-40000*N395)</f>
        <v>80000.000000001848</v>
      </c>
      <c r="X395" s="11">
        <f>IF(OR(履歴データ!$A$395="",履歴データ!$A$394=""),"",120*1000000*(-Q395/H394))</f>
        <v>-106172.26565265059</v>
      </c>
      <c r="Y395" s="11">
        <f>IF(OR(履歴データ!$A$395="",履歴データ!$A$394=""),"",40000*(-S395)+(-506.3)*R395*1000)</f>
        <v>48801.56250000099</v>
      </c>
      <c r="Z395" s="11">
        <f>IF(OR(履歴データ!$A$395="",履歴データ!$A$394=""),"",-40000*O395)</f>
        <v>4399.9999999994088</v>
      </c>
      <c r="AA395" s="11">
        <f>IF(OR(履歴データ!$A$395="",履歴データ!$A$394=""),"",-40000*P395)</f>
        <v>156239.99999999796</v>
      </c>
      <c r="AB395" s="11">
        <f>IF(履歴データ!$A$395="","",123.3)</f>
        <v>123.3</v>
      </c>
      <c r="AC395">
        <f>IF(履歴データ!$A$395="","",SUM(T395:AA395))</f>
        <v>270269.2968473534</v>
      </c>
      <c r="AD395" s="29">
        <f>IF(履歴データ!$A$395="","",AC395/1000000)</f>
        <v>0.2702692968473534</v>
      </c>
      <c r="AE395" s="29">
        <f>IF(履歴データ!$A$395="",AE394,AE394+AC395/1000000)</f>
        <v>76.277217866913205</v>
      </c>
      <c r="AF395" s="12">
        <f>IF(OR(履歴データ!$A$395="",AE394=0),"",(AE395-AE394)/AE394)</f>
        <v>3.5558498523094407E-3</v>
      </c>
      <c r="AG395" s="29">
        <f t="shared" si="20"/>
        <v>102.17217746631495</v>
      </c>
      <c r="AH395" s="12">
        <f>IF(OR(履歴データ!$A$395="",AG395=0),"",AE395/AG395-1)</f>
        <v>-0.2534443352539788</v>
      </c>
      <c r="AJ395" s="28">
        <f t="shared" ca="1" si="18"/>
        <v>-13.783226470095023</v>
      </c>
      <c r="AK395" s="28">
        <f t="shared" ca="1" si="19"/>
        <v>-41.843757656889103</v>
      </c>
    </row>
    <row r="396" spans="1:37">
      <c r="A396" s="10">
        <f>IF(履歴データ!$A$396="","",履歴データ!$A$396)</f>
        <v>45503</v>
      </c>
      <c r="B396" s="28">
        <f>IF(履歴データ!$A$396="","",(履歴データ!$D$396-(履歴データ!$B$396+履歴データ!$F$396)/2)*100)</f>
        <v>-22.499999999999964</v>
      </c>
      <c r="C396" s="28">
        <f>IF(履歴データ!$A$396="","",(履歴データ!$H$396-(履歴データ!$G$396+履歴データ!$J$396)/2)*100)</f>
        <v>-24.049999999999994</v>
      </c>
      <c r="D396" s="28">
        <f>IF(履歴データ!$A$396="","",(履歴データ!$D$396-履歴データ!$H$396)*100)</f>
        <v>313.8</v>
      </c>
      <c r="E396" s="28">
        <f>IF(履歴データ!$A$396="","",(履歴データ!$D$396-履歴データ!$C$396)*100)</f>
        <v>12.000000000000011</v>
      </c>
      <c r="F396" s="28">
        <f>IF(履歴データ!$A$396="","",(履歴データ!$R$396-履歴データ!$D$396)*100)</f>
        <v>-223.56000000000003</v>
      </c>
      <c r="G396" s="28">
        <f>IF(履歴データ!$A$396="","",(履歴データ!$S$396-履歴データ!$R$396)*100)</f>
        <v>-96.496642822265727</v>
      </c>
      <c r="H396" s="29">
        <f>IF(履歴データ!$A$396="","",履歴データ!$O$396)</f>
        <v>152.66999816894531</v>
      </c>
      <c r="I396" s="29">
        <f>IF(履歴データ!$A$396="","",履歴データ!$Q$396)</f>
        <v>111.5625</v>
      </c>
      <c r="J396" s="29">
        <f>IF(履歴データ!$A$396="","",履歴データ!$D$396)</f>
        <v>4.1500000000000004</v>
      </c>
      <c r="K396" s="28">
        <f>IF(OR(履歴データ!$A$396="",履歴データ!$A$395=""),"",B396-B395)</f>
        <v>-0.49999999999990052</v>
      </c>
      <c r="L396" s="28">
        <f>IF(OR(履歴データ!$A$396="",履歴データ!$A$395=""),"",C396-C395)</f>
        <v>-1.9499999999999851</v>
      </c>
      <c r="M396" s="28">
        <f>IF(OR(履歴データ!$A$396="",履歴データ!$A$395=""),"",D396-D395)</f>
        <v>0.90000000000003411</v>
      </c>
      <c r="N396" s="28">
        <f>IF(OR(履歴データ!$A$396="",履歴データ!$A$395=""),"",E396-E395)</f>
        <v>0</v>
      </c>
      <c r="O396" s="28">
        <f>IF(OR(履歴データ!$A$396="",履歴データ!$A$395=""),"",F396-F395)</f>
        <v>1.4299999999999784</v>
      </c>
      <c r="P396" s="28">
        <f>IF(OR(履歴データ!$A$396="",履歴データ!$A$395=""),"",G396-G395)</f>
        <v>-2.0610000000000639</v>
      </c>
      <c r="Q396" s="29">
        <f>IF(OR(履歴データ!$A$396="",履歴データ!$A$395=""),"",H396-H395)</f>
        <v>-1.162994384765625</v>
      </c>
      <c r="R396" s="29">
        <f>IF(OR(履歴データ!$A$396="",履歴データ!$A$395=""),"",I396-I395)</f>
        <v>0.21875</v>
      </c>
      <c r="S396" s="28">
        <f>IF(OR(履歴データ!$A$396="",履歴データ!$A$395=""),"",(J396-J395)*100)</f>
        <v>-1.9999999999999574</v>
      </c>
      <c r="T396" s="11">
        <f>IF(OR(履歴データ!$A$396="",履歴データ!$A$395=""),"",-80000*K396)</f>
        <v>39999.99999999204</v>
      </c>
      <c r="U396" s="11">
        <f>IF(OR(履歴データ!$A$396="",履歴データ!$A$395=""),"",60000*L396)</f>
        <v>-116999.9999999991</v>
      </c>
      <c r="V396" s="11">
        <f>IF(OR(履歴データ!$A$396="",履歴データ!$A$395=""),"",-50000*M396)</f>
        <v>-45000.000000001703</v>
      </c>
      <c r="W396" s="11">
        <f>IF(OR(履歴データ!$A$396="",履歴データ!$A$395=""),"",-40000*N396)</f>
        <v>0</v>
      </c>
      <c r="X396" s="11">
        <f>IF(OR(履歴データ!$A$396="",履歴データ!$A$395=""),"",120*1000000*(-Q396/H395))</f>
        <v>907213.23075833509</v>
      </c>
      <c r="Y396" s="11">
        <f>IF(OR(履歴データ!$A$396="",履歴データ!$A$395=""),"",40000*(-S396)+(-506.3)*R396*1000)</f>
        <v>-30753.125000001703</v>
      </c>
      <c r="Z396" s="11">
        <f>IF(OR(履歴データ!$A$396="",履歴データ!$A$395=""),"",-40000*O396)</f>
        <v>-57199.999999999134</v>
      </c>
      <c r="AA396" s="11">
        <f>IF(OR(履歴データ!$A$396="",履歴データ!$A$395=""),"",-40000*P396)</f>
        <v>82440.000000002561</v>
      </c>
      <c r="AB396" s="11">
        <f>IF(履歴データ!$A$396="","",123.3)</f>
        <v>123.3</v>
      </c>
      <c r="AC396">
        <f>IF(履歴データ!$A$396="","",SUM(T396:AA396))</f>
        <v>779700.10575832799</v>
      </c>
      <c r="AD396" s="29">
        <f>IF(履歴データ!$A$396="","",AC396/1000000)</f>
        <v>0.77970010575832804</v>
      </c>
      <c r="AE396" s="29">
        <f>IF(履歴データ!$A$396="",AE395,AE395+AC396/1000000)</f>
        <v>77.056917972671528</v>
      </c>
      <c r="AF396" s="12">
        <f>IF(OR(履歴データ!$A$396="",AE395=0),"",(AE396-AE395)/AE395)</f>
        <v>1.0221926383297388E-2</v>
      </c>
      <c r="AG396" s="29">
        <f t="shared" si="20"/>
        <v>102.17217746631495</v>
      </c>
      <c r="AH396" s="12">
        <f>IF(OR(履歴データ!$A$396="",AG396=0),"",AE396/AG396-1)</f>
        <v>-0.24581309820791131</v>
      </c>
      <c r="AJ396" s="28">
        <f t="shared" ca="1" si="18"/>
        <v>-13.891025352319083</v>
      </c>
      <c r="AK396" s="28">
        <f t="shared" ca="1" si="19"/>
        <v>-41.537546076252355</v>
      </c>
    </row>
    <row r="397" spans="1:37">
      <c r="A397" s="10">
        <f>IF(履歴データ!$A$397="","",履歴データ!$A$397)</f>
        <v>45504</v>
      </c>
      <c r="B397" s="28">
        <f>IF(履歴データ!$A$397="","",(履歴データ!$D$397-(履歴データ!$B$397+履歴データ!$F$397)/2)*100)</f>
        <v>-23.000000000000043</v>
      </c>
      <c r="C397" s="28">
        <f>IF(履歴データ!$A$397="","",(履歴データ!$H$397-(履歴データ!$G$397+履歴データ!$J$397)/2)*100)</f>
        <v>-24.300000000000011</v>
      </c>
      <c r="D397" s="28">
        <f>IF(履歴データ!$A$397="","",(履歴データ!$D$397-履歴データ!$H$397)*100)</f>
        <v>301.99999999999994</v>
      </c>
      <c r="E397" s="28">
        <f>IF(履歴データ!$A$397="","",(履歴データ!$D$397-履歴データ!$C$397)*100)</f>
        <v>11.999999999999966</v>
      </c>
      <c r="F397" s="28">
        <f>IF(履歴データ!$A$397="","",(履歴データ!$R$397-履歴データ!$D$397)*100)</f>
        <v>-219.59</v>
      </c>
      <c r="G397" s="28">
        <f>IF(履歴データ!$A$397="","",(履歴データ!$S$397-履歴データ!$R$397)*100)</f>
        <v>-84.118000000000137</v>
      </c>
      <c r="H397" s="29">
        <f>IF(履歴データ!$A$397="","",履歴データ!$O$397)</f>
        <v>149.74400329589844</v>
      </c>
      <c r="I397" s="29">
        <f>IF(履歴データ!$A$397="","",履歴データ!$Q$397)</f>
        <v>111.8125</v>
      </c>
      <c r="J397" s="29">
        <f>IF(履歴データ!$A$397="","",履歴データ!$D$397)</f>
        <v>4.09</v>
      </c>
      <c r="K397" s="28">
        <f>IF(OR(履歴データ!$A$397="",履歴データ!$A$396=""),"",B397-B396)</f>
        <v>-0.50000000000007816</v>
      </c>
      <c r="L397" s="28">
        <f>IF(OR(履歴データ!$A$397="",履歴データ!$A$396=""),"",C397-C396)</f>
        <v>-0.25000000000001776</v>
      </c>
      <c r="M397" s="28">
        <f>IF(OR(履歴データ!$A$397="",履歴データ!$A$396=""),"",D397-D396)</f>
        <v>-11.800000000000068</v>
      </c>
      <c r="N397" s="28">
        <f>IF(OR(履歴データ!$A$397="",履歴データ!$A$396=""),"",E397-E396)</f>
        <v>-4.4408920985006262E-14</v>
      </c>
      <c r="O397" s="28">
        <f>IF(OR(履歴データ!$A$397="",履歴データ!$A$396=""),"",F397-F396)</f>
        <v>3.9700000000000273</v>
      </c>
      <c r="P397" s="28">
        <f>IF(OR(履歴データ!$A$397="",履歴データ!$A$396=""),"",G397-G396)</f>
        <v>12.37864282226559</v>
      </c>
      <c r="Q397" s="29">
        <f>IF(OR(履歴データ!$A$397="",履歴データ!$A$396=""),"",H397-H396)</f>
        <v>-2.925994873046875</v>
      </c>
      <c r="R397" s="29">
        <f>IF(OR(履歴データ!$A$397="",履歴データ!$A$396=""),"",I397-I396)</f>
        <v>0.25</v>
      </c>
      <c r="S397" s="28">
        <f>IF(OR(履歴データ!$A$397="",履歴データ!$A$396=""),"",(J397-J396)*100)</f>
        <v>-6.0000000000000497</v>
      </c>
      <c r="T397" s="11">
        <f>IF(OR(履歴データ!$A$397="",履歴データ!$A$396=""),"",-80000*K397)</f>
        <v>40000.00000000625</v>
      </c>
      <c r="U397" s="11">
        <f>IF(OR(履歴データ!$A$397="",履歴データ!$A$396=""),"",60000*L397)</f>
        <v>-15000.000000001066</v>
      </c>
      <c r="V397" s="11">
        <f>IF(OR(履歴データ!$A$397="",履歴データ!$A$396=""),"",-50000*M397)</f>
        <v>590000.00000000338</v>
      </c>
      <c r="W397" s="11">
        <f>IF(OR(履歴データ!$A$397="",履歴データ!$A$396=""),"",-40000*N397)</f>
        <v>1.7763568394002505E-9</v>
      </c>
      <c r="X397" s="11">
        <f>IF(OR(履歴データ!$A$397="",履歴データ!$A$396=""),"",120*1000000*(-Q397/H396))</f>
        <v>2299858.4461701158</v>
      </c>
      <c r="Y397" s="11">
        <f>IF(OR(履歴データ!$A$397="",履歴データ!$A$396=""),"",40000*(-S397)+(-506.3)*R397*1000)</f>
        <v>113425.00000000198</v>
      </c>
      <c r="Z397" s="11">
        <f>IF(OR(履歴データ!$A$397="",履歴データ!$A$396=""),"",-40000*O397)</f>
        <v>-158800.00000000111</v>
      </c>
      <c r="AA397" s="11">
        <f>IF(OR(履歴データ!$A$397="",履歴データ!$A$396=""),"",-40000*P397)</f>
        <v>-495145.7128906236</v>
      </c>
      <c r="AB397" s="11">
        <f>IF(履歴データ!$A$397="","",123.3)</f>
        <v>123.3</v>
      </c>
      <c r="AC397">
        <f>IF(履歴データ!$A$397="","",SUM(T397:AA397))</f>
        <v>2374337.7332795034</v>
      </c>
      <c r="AD397" s="29">
        <f>IF(履歴データ!$A$397="","",AC397/1000000)</f>
        <v>2.3743377332795035</v>
      </c>
      <c r="AE397" s="29">
        <f>IF(履歴データ!$A$397="",AE396,AE396+AC397/1000000)</f>
        <v>79.431255705951031</v>
      </c>
      <c r="AF397" s="12">
        <f>IF(OR(履歴データ!$A$397="",AE396=0),"",(AE397-AE396)/AE396)</f>
        <v>3.0812778342907118E-2</v>
      </c>
      <c r="AG397" s="29">
        <f t="shared" si="20"/>
        <v>102.17217746631495</v>
      </c>
      <c r="AH397" s="12">
        <f>IF(OR(履歴データ!$A$397="",AG397=0),"",AE397/AG397-1)</f>
        <v>-0.22257450437386783</v>
      </c>
      <c r="AJ397" s="28">
        <f t="shared" ca="1" si="18"/>
        <v>-14.040056321236364</v>
      </c>
      <c r="AK397" s="28">
        <f t="shared" ca="1" si="19"/>
        <v>-41.182165900985865</v>
      </c>
    </row>
    <row r="398" spans="1:37">
      <c r="A398" s="10">
        <f>IF(履歴データ!$A$398="","",履歴データ!$A$398)</f>
        <v>45505</v>
      </c>
      <c r="B398" s="28">
        <f>IF(履歴データ!$A$398="","",(履歴データ!$D$398-(履歴データ!$B$398+履歴データ!$F$398)/2)*100)</f>
        <v>-22.499999999999964</v>
      </c>
      <c r="C398" s="28">
        <f>IF(履歴データ!$A$398="","",(履歴データ!$H$398-(履歴データ!$G$398+履歴データ!$J$398)/2)*100)</f>
        <v>-26</v>
      </c>
      <c r="D398" s="28">
        <f>IF(履歴データ!$A$398="","",(履歴データ!$D$398-履歴データ!$H$398)*100)</f>
        <v>294.39999999999998</v>
      </c>
      <c r="E398" s="28">
        <f>IF(履歴データ!$A$398="","",(履歴データ!$D$398-履歴データ!$C$398)*100)</f>
        <v>15.000000000000036</v>
      </c>
      <c r="F398" s="28">
        <f>IF(履歴データ!$A$398="","",(履歴データ!$R$398-履歴データ!$D$398)*100)</f>
        <v>-215.62</v>
      </c>
      <c r="G398" s="28">
        <f>IF(履歴データ!$A$398="","",(履歴データ!$S$398-履歴データ!$R$398)*100)</f>
        <v>-81.946821411133016</v>
      </c>
      <c r="H398" s="29">
        <f>IF(履歴データ!$A$398="","",履歴データ!$O$398)</f>
        <v>149.20100402832031</v>
      </c>
      <c r="I398" s="29">
        <f>IF(履歴データ!$A$398="","",履歴データ!$Q$398)</f>
        <v>112.734375</v>
      </c>
      <c r="J398" s="29">
        <f>IF(履歴データ!$A$398="","",履歴データ!$D$398)</f>
        <v>3.99</v>
      </c>
      <c r="K398" s="28">
        <f>IF(OR(履歴データ!$A$398="",履歴データ!$A$397=""),"",B398-B397)</f>
        <v>0.50000000000007816</v>
      </c>
      <c r="L398" s="28">
        <f>IF(OR(履歴データ!$A$398="",履歴データ!$A$397=""),"",C398-C397)</f>
        <v>-1.6999999999999886</v>
      </c>
      <c r="M398" s="28">
        <f>IF(OR(履歴データ!$A$398="",履歴データ!$A$397=""),"",D398-D397)</f>
        <v>-7.5999999999999659</v>
      </c>
      <c r="N398" s="28">
        <f>IF(OR(履歴データ!$A$398="",履歴データ!$A$397=""),"",E398-E397)</f>
        <v>3.0000000000000693</v>
      </c>
      <c r="O398" s="28">
        <f>IF(OR(履歴データ!$A$398="",履歴データ!$A$397=""),"",F398-F397)</f>
        <v>3.9699999999999989</v>
      </c>
      <c r="P398" s="28">
        <f>IF(OR(履歴データ!$A$398="",履歴データ!$A$397=""),"",G398-G397)</f>
        <v>2.1711785888671216</v>
      </c>
      <c r="Q398" s="29">
        <f>IF(OR(履歴データ!$A$398="",履歴データ!$A$397=""),"",H398-H397)</f>
        <v>-0.542999267578125</v>
      </c>
      <c r="R398" s="29">
        <f>IF(OR(履歴データ!$A$398="",履歴データ!$A$397=""),"",I398-I397)</f>
        <v>0.921875</v>
      </c>
      <c r="S398" s="28">
        <f>IF(OR(履歴データ!$A$398="",履歴データ!$A$397=""),"",(J398-J397)*100)</f>
        <v>-9.9999999999999645</v>
      </c>
      <c r="T398" s="11">
        <f>IF(OR(履歴データ!$A$398="",履歴データ!$A$397=""),"",-80000*K398)</f>
        <v>-40000.00000000625</v>
      </c>
      <c r="U398" s="11">
        <f>IF(OR(履歴データ!$A$398="",履歴データ!$A$397=""),"",60000*L398)</f>
        <v>-101999.99999999932</v>
      </c>
      <c r="V398" s="11">
        <f>IF(OR(履歴データ!$A$398="",履歴データ!$A$397=""),"",-50000*M398)</f>
        <v>379999.99999999831</v>
      </c>
      <c r="W398" s="11">
        <f>IF(OR(履歴データ!$A$398="",履歴データ!$A$397=""),"",-40000*N398)</f>
        <v>-120000.00000000276</v>
      </c>
      <c r="X398" s="11">
        <f>IF(OR(履歴データ!$A$398="",履歴データ!$A$397=""),"",120*1000000*(-Q398/H397))</f>
        <v>435142.04692803056</v>
      </c>
      <c r="Y398" s="11">
        <f>IF(OR(履歴データ!$A$398="",履歴データ!$A$397=""),"",40000*(-S398)+(-506.3)*R398*1000)</f>
        <v>-66745.312500001397</v>
      </c>
      <c r="Z398" s="11">
        <f>IF(OR(履歴データ!$A$398="",履歴データ!$A$397=""),"",-40000*O398)</f>
        <v>-158799.99999999994</v>
      </c>
      <c r="AA398" s="11">
        <f>IF(OR(履歴データ!$A$398="",履歴データ!$A$397=""),"",-40000*P398)</f>
        <v>-86847.143554684866</v>
      </c>
      <c r="AB398" s="11">
        <f>IF(履歴データ!$A$398="","",123.3)</f>
        <v>123.3</v>
      </c>
      <c r="AC398">
        <f>IF(履歴データ!$A$398="","",SUM(T398:AA398))</f>
        <v>240749.59087333432</v>
      </c>
      <c r="AD398" s="29">
        <f>IF(履歴データ!$A$398="","",AC398/1000000)</f>
        <v>0.24074959087333433</v>
      </c>
      <c r="AE398" s="29">
        <f>IF(履歴データ!$A$398="",AE397,AE397+AC398/1000000)</f>
        <v>79.672005296824366</v>
      </c>
      <c r="AF398" s="12">
        <f>IF(OR(履歴データ!$A$398="",AE397=0),"",(AE398-AE397)/AE397)</f>
        <v>3.0309175995476322E-3</v>
      </c>
      <c r="AG398" s="29">
        <f t="shared" si="20"/>
        <v>102.17217746631495</v>
      </c>
      <c r="AH398" s="12">
        <f>IF(OR(履歴データ!$A$398="",AG398=0),"",AE398/AG398-1)</f>
        <v>-0.22021819175683754</v>
      </c>
      <c r="AJ398" s="28">
        <f t="shared" ca="1" si="18"/>
        <v>-14.171108560960457</v>
      </c>
      <c r="AK398" s="28">
        <f t="shared" ca="1" si="19"/>
        <v>-40.848732708880817</v>
      </c>
    </row>
    <row r="399" spans="1:37">
      <c r="A399" s="10">
        <f>IF(履歴データ!$A$399="","",履歴データ!$A$399)</f>
        <v>45506</v>
      </c>
      <c r="B399" s="28">
        <f>IF(履歴データ!$A$399="","",(履歴データ!$D$399-(履歴データ!$B$399+履歴データ!$F$399)/2)*100)</f>
        <v>-19.500000000000028</v>
      </c>
      <c r="C399" s="28">
        <f>IF(履歴データ!$A$399="","",(履歴データ!$H$399-(履歴データ!$G$399+履歴データ!$J$399)/2)*100)</f>
        <v>-28.000000000000004</v>
      </c>
      <c r="D399" s="28">
        <f>IF(履歴データ!$A$399="","",(履歴データ!$D$399-履歴データ!$H$399)*100)</f>
        <v>282.59999999999997</v>
      </c>
      <c r="E399" s="28">
        <f>IF(履歴データ!$A$399="","",(履歴データ!$D$399-履歴データ!$C$399)*100)</f>
        <v>17.999999999999972</v>
      </c>
      <c r="F399" s="28">
        <f>IF(履歴データ!$A$399="","",(履歴データ!$R$399-履歴データ!$D$399)*100)</f>
        <v>-202.83999999999995</v>
      </c>
      <c r="G399" s="28">
        <f>IF(履歴データ!$A$399="","",(履歴データ!$S$399-履歴データ!$R$399)*100)</f>
        <v>-81.164178588867372</v>
      </c>
      <c r="H399" s="29">
        <f>IF(履歴データ!$A$399="","",履歴データ!$O$399)</f>
        <v>149.20100402832031</v>
      </c>
      <c r="I399" s="29">
        <f>IF(履歴データ!$A$399="","",履歴データ!$Q$399)</f>
        <v>114.140625</v>
      </c>
      <c r="J399" s="29">
        <f>IF(履歴データ!$A$399="","",履歴データ!$D$399)</f>
        <v>3.8</v>
      </c>
      <c r="K399" s="28">
        <f>IF(OR(履歴データ!$A$399="",履歴データ!$A$398=""),"",B399-B398)</f>
        <v>2.9999999999999361</v>
      </c>
      <c r="L399" s="28">
        <f>IF(OR(履歴データ!$A$399="",履歴データ!$A$398=""),"",C399-C398)</f>
        <v>-2.0000000000000036</v>
      </c>
      <c r="M399" s="28">
        <f>IF(OR(履歴データ!$A$399="",履歴データ!$A$398=""),"",D399-D398)</f>
        <v>-11.800000000000011</v>
      </c>
      <c r="N399" s="28">
        <f>IF(OR(履歴データ!$A$399="",履歴データ!$A$398=""),"",E399-E398)</f>
        <v>2.9999999999999361</v>
      </c>
      <c r="O399" s="28">
        <f>IF(OR(履歴データ!$A$399="",履歴データ!$A$398=""),"",F399-F398)</f>
        <v>12.780000000000058</v>
      </c>
      <c r="P399" s="28">
        <f>IF(OR(履歴データ!$A$399="",履歴データ!$A$398=""),"",G399-G398)</f>
        <v>0.78264282226564319</v>
      </c>
      <c r="Q399" s="29">
        <f>IF(OR(履歴データ!$A$399="",履歴データ!$A$398=""),"",H399-H398)</f>
        <v>0</v>
      </c>
      <c r="R399" s="29">
        <f>IF(OR(履歴データ!$A$399="",履歴データ!$A$398=""),"",I399-I398)</f>
        <v>1.40625</v>
      </c>
      <c r="S399" s="28">
        <f>IF(OR(履歴データ!$A$399="",履歴データ!$A$398=""),"",(J399-J398)*100)</f>
        <v>-19.000000000000039</v>
      </c>
      <c r="T399" s="11">
        <f>IF(OR(履歴データ!$A$399="",履歴データ!$A$398=""),"",-80000*K399)</f>
        <v>-239999.99999999488</v>
      </c>
      <c r="U399" s="11">
        <f>IF(OR(履歴データ!$A$399="",履歴データ!$A$398=""),"",60000*L399)</f>
        <v>-120000.00000000022</v>
      </c>
      <c r="V399" s="11">
        <f>IF(OR(履歴データ!$A$399="",履歴データ!$A$398=""),"",-50000*M399)</f>
        <v>590000.00000000058</v>
      </c>
      <c r="W399" s="11">
        <f>IF(OR(履歴データ!$A$399="",履歴データ!$A$398=""),"",-40000*N399)</f>
        <v>-119999.99999999744</v>
      </c>
      <c r="X399" s="11">
        <f>IF(OR(履歴データ!$A$399="",履歴データ!$A$398=""),"",120*1000000*(-Q399/H398))</f>
        <v>0</v>
      </c>
      <c r="Y399" s="11">
        <f>IF(OR(履歴データ!$A$399="",履歴データ!$A$398=""),"",40000*(-S399)+(-506.3)*R399*1000)</f>
        <v>48015.625000001513</v>
      </c>
      <c r="Z399" s="11">
        <f>IF(OR(履歴データ!$A$399="",履歴データ!$A$398=""),"",-40000*O399)</f>
        <v>-511200.00000000233</v>
      </c>
      <c r="AA399" s="11">
        <f>IF(OR(履歴データ!$A$399="",履歴データ!$A$398=""),"",-40000*P399)</f>
        <v>-31305.712890625728</v>
      </c>
      <c r="AB399" s="11">
        <f>IF(履歴データ!$A$399="","",123.3)</f>
        <v>123.3</v>
      </c>
      <c r="AC399">
        <f>IF(履歴データ!$A$399="","",SUM(T399:AA399))</f>
        <v>-384490.08789061848</v>
      </c>
      <c r="AD399" s="29">
        <f>IF(履歴データ!$A$399="","",AC399/1000000)</f>
        <v>-0.3844900878906185</v>
      </c>
      <c r="AE399" s="29">
        <f>IF(履歴データ!$A$399="",AE398,AE398+AC399/1000000)</f>
        <v>79.287515208933755</v>
      </c>
      <c r="AF399" s="12">
        <f>IF(OR(履歴データ!$A$399="",AE398=0),"",(AE399-AE398)/AE398)</f>
        <v>-4.8259120183829114E-3</v>
      </c>
      <c r="AG399" s="29">
        <f t="shared" si="20"/>
        <v>102.17217746631495</v>
      </c>
      <c r="AH399" s="12">
        <f>IF(OR(履歴データ!$A$399="",AG399=0),"",AE399/AG399-1)</f>
        <v>-0.22398135015695464</v>
      </c>
      <c r="AJ399" s="28">
        <f t="shared" ca="1" si="18"/>
        <v>-14.244005958730758</v>
      </c>
      <c r="AK399" s="28">
        <f t="shared" ca="1" si="19"/>
        <v>-40.561549596824797</v>
      </c>
    </row>
    <row r="400" spans="1:37">
      <c r="A400" s="10">
        <f>IF(履歴データ!$A$400="","",履歴データ!$A$400)</f>
        <v>45509</v>
      </c>
      <c r="B400" s="28">
        <f>IF(履歴データ!$A$400="","",(履歴データ!$D$400-(履歴データ!$B$400+履歴データ!$F$400)/2)*100)</f>
        <v>-19.499999999999986</v>
      </c>
      <c r="C400" s="28">
        <f>IF(履歴データ!$A$400="","",(履歴データ!$H$400-(履歴データ!$G$400+履歴データ!$J$400)/2)*100)</f>
        <v>-32.950000000000003</v>
      </c>
      <c r="D400" s="28">
        <f>IF(履歴データ!$A$400="","",(履歴データ!$D$400-履歴データ!$H$400)*100)</f>
        <v>299.89999999999998</v>
      </c>
      <c r="E400" s="28">
        <f>IF(履歴データ!$A$400="","",(履歴データ!$D$400-履歴データ!$C$400)*100)</f>
        <v>15.99999999999997</v>
      </c>
      <c r="F400" s="28">
        <f>IF(履歴データ!$A$400="","",(履歴データ!$R$400-履歴データ!$D$400)*100)</f>
        <v>-220.5</v>
      </c>
      <c r="G400" s="28">
        <f>IF(履歴データ!$A$400="","",(履歴データ!$S$400-履歴データ!$R$400)*100)</f>
        <v>-85.358642822265622</v>
      </c>
      <c r="H400" s="29">
        <f>IF(履歴データ!$A$400="","",履歴データ!$O$400)</f>
        <v>145.78999328613281</v>
      </c>
      <c r="I400" s="29">
        <f>IF(履歴データ!$A$400="","",履歴データ!$Q$400)</f>
        <v>114.078125</v>
      </c>
      <c r="J400" s="29">
        <f>IF(履歴データ!$A$400="","",履歴データ!$D$400)</f>
        <v>3.78</v>
      </c>
      <c r="K400" s="28">
        <f>IF(OR(履歴データ!$A$400="",履歴データ!$A$399=""),"",B400-B399)</f>
        <v>4.2632564145606011E-14</v>
      </c>
      <c r="L400" s="28">
        <f>IF(OR(履歴データ!$A$400="",履歴データ!$A$399=""),"",C400-C399)</f>
        <v>-4.9499999999999993</v>
      </c>
      <c r="M400" s="28">
        <f>IF(OR(履歴データ!$A$400="",履歴データ!$A$399=""),"",D400-D399)</f>
        <v>17.300000000000011</v>
      </c>
      <c r="N400" s="28">
        <f>IF(OR(履歴データ!$A$400="",履歴データ!$A$399=""),"",E400-E399)</f>
        <v>-2.0000000000000018</v>
      </c>
      <c r="O400" s="28">
        <f>IF(OR(履歴データ!$A$400="",履歴データ!$A$399=""),"",F400-F399)</f>
        <v>-17.660000000000053</v>
      </c>
      <c r="P400" s="28">
        <f>IF(OR(履歴データ!$A$400="",履歴データ!$A$399=""),"",G400-G399)</f>
        <v>-4.19446423339825</v>
      </c>
      <c r="Q400" s="29">
        <f>IF(OR(履歴データ!$A$400="",履歴データ!$A$399=""),"",H400-H399)</f>
        <v>-3.4110107421875</v>
      </c>
      <c r="R400" s="29">
        <f>IF(OR(履歴データ!$A$400="",履歴データ!$A$399=""),"",I400-I399)</f>
        <v>-6.25E-2</v>
      </c>
      <c r="S400" s="28">
        <f>IF(OR(履歴データ!$A$400="",履歴データ!$A$399=""),"",(J400-J399)*100)</f>
        <v>-2.0000000000000018</v>
      </c>
      <c r="T400" s="11">
        <f>IF(OR(履歴データ!$A$400="",履歴データ!$A$399=""),"",-80000*K400)</f>
        <v>-3.4106051316484809E-9</v>
      </c>
      <c r="U400" s="11">
        <f>IF(OR(履歴データ!$A$400="",履歴データ!$A$399=""),"",60000*L400)</f>
        <v>-296999.99999999994</v>
      </c>
      <c r="V400" s="11">
        <f>IF(OR(履歴データ!$A$400="",履歴データ!$A$399=""),"",-50000*M400)</f>
        <v>-865000.00000000058</v>
      </c>
      <c r="W400" s="11">
        <f>IF(OR(履歴データ!$A$400="",履歴データ!$A$399=""),"",-40000*N400)</f>
        <v>80000.000000000073</v>
      </c>
      <c r="X400" s="11">
        <f>IF(OR(履歴データ!$A$400="",履歴データ!$A$399=""),"",120*1000000*(-Q400/H399))</f>
        <v>2743421.8136012373</v>
      </c>
      <c r="Y400" s="11">
        <f>IF(OR(履歴データ!$A$400="",履歴データ!$A$399=""),"",40000*(-S400)+(-506.3)*R400*1000)</f>
        <v>111643.75000000007</v>
      </c>
      <c r="Z400" s="11">
        <f>IF(OR(履歴データ!$A$400="",履歴データ!$A$399=""),"",-40000*O400)</f>
        <v>706400.0000000021</v>
      </c>
      <c r="AA400" s="11">
        <f>IF(OR(履歴データ!$A$400="",履歴データ!$A$399=""),"",-40000*P400)</f>
        <v>167778.56933592999</v>
      </c>
      <c r="AB400" s="11">
        <f>IF(履歴データ!$A$400="","",123.3)</f>
        <v>123.3</v>
      </c>
      <c r="AC400">
        <f>IF(履歴データ!$A$400="","",SUM(T400:AA400))</f>
        <v>2647244.1329371654</v>
      </c>
      <c r="AD400" s="29">
        <f>IF(履歴データ!$A$400="","",AC400/1000000)</f>
        <v>2.6472441329371654</v>
      </c>
      <c r="AE400" s="29">
        <f>IF(履歴データ!$A$400="",AE399,AE399+AC400/1000000)</f>
        <v>81.934759341870915</v>
      </c>
      <c r="AF400" s="12">
        <f>IF(OR(履歴データ!$A$400="",AE399=0),"",(AE400-AE399)/AE399)</f>
        <v>3.3387906355260344E-2</v>
      </c>
      <c r="AG400" s="29">
        <f t="shared" si="20"/>
        <v>102.17217746631495</v>
      </c>
      <c r="AH400" s="12">
        <f>IF(OR(履歴データ!$A$400="",AG400=0),"",AE400/AG400-1)</f>
        <v>-0.19807171214605945</v>
      </c>
      <c r="AJ400" s="28">
        <f t="shared" ca="1" si="18"/>
        <v>-14.286251194853564</v>
      </c>
      <c r="AK400" s="28">
        <f t="shared" ca="1" si="19"/>
        <v>-40.320891662289291</v>
      </c>
    </row>
    <row r="401" spans="1:37">
      <c r="A401" s="10">
        <f>IF(履歴データ!$A$401="","",履歴データ!$A$401)</f>
        <v>45510</v>
      </c>
      <c r="B401" s="28">
        <f>IF(履歴データ!$A$401="","",(履歴データ!$D$401-(履歴データ!$B$401+履歴データ!$F$401)/2)*100)</f>
        <v>-18.500000000000007</v>
      </c>
      <c r="C401" s="28">
        <f>IF(履歴データ!$A$401="","",(履歴データ!$H$401-(履歴データ!$G$401+履歴データ!$J$401)/2)*100)</f>
        <v>-29.599999999999994</v>
      </c>
      <c r="D401" s="28">
        <f>IF(履歴データ!$A$401="","",(履歴データ!$D$401-履歴データ!$H$401)*100)</f>
        <v>299.2</v>
      </c>
      <c r="E401" s="28">
        <f>IF(履歴データ!$A$401="","",(履歴データ!$D$401-履歴データ!$C$401)*100)</f>
        <v>16.999999999999993</v>
      </c>
      <c r="F401" s="28">
        <f>IF(履歴データ!$A$401="","",(履歴データ!$R$401-履歴データ!$D$401)*100)</f>
        <v>-239.61999999999998</v>
      </c>
      <c r="G401" s="28">
        <f>IF(履歴データ!$A$401="","",(履歴データ!$S$401-履歴データ!$R$401)*100)</f>
        <v>-61.926357177734559</v>
      </c>
      <c r="H401" s="29">
        <f>IF(履歴データ!$A$401="","",履歴データ!$O$401)</f>
        <v>144.73199462890625</v>
      </c>
      <c r="I401" s="29">
        <f>IF(履歴データ!$A$401="","",履歴データ!$Q$401)</f>
        <v>113.390625</v>
      </c>
      <c r="J401" s="29">
        <f>IF(履歴データ!$A$401="","",履歴データ!$D$401)</f>
        <v>3.9</v>
      </c>
      <c r="K401" s="28">
        <f>IF(OR(履歴データ!$A$401="",履歴データ!$A$400=""),"",B401-B400)</f>
        <v>0.99999999999997868</v>
      </c>
      <c r="L401" s="28">
        <f>IF(OR(履歴データ!$A$401="",履歴データ!$A$400=""),"",C401-C400)</f>
        <v>3.3500000000000085</v>
      </c>
      <c r="M401" s="28">
        <f>IF(OR(履歴データ!$A$401="",履歴データ!$A$400=""),"",D401-D400)</f>
        <v>-0.69999999999998863</v>
      </c>
      <c r="N401" s="28">
        <f>IF(OR(履歴データ!$A$401="",履歴データ!$A$400=""),"",E401-E400)</f>
        <v>1.0000000000000231</v>
      </c>
      <c r="O401" s="28">
        <f>IF(OR(履歴データ!$A$401="",履歴データ!$A$400=""),"",F401-F400)</f>
        <v>-19.119999999999976</v>
      </c>
      <c r="P401" s="28">
        <f>IF(OR(履歴データ!$A$401="",履歴データ!$A$400=""),"",G401-G400)</f>
        <v>23.432285644531063</v>
      </c>
      <c r="Q401" s="29">
        <f>IF(OR(履歴データ!$A$401="",履歴データ!$A$400=""),"",H401-H400)</f>
        <v>-1.0579986572265625</v>
      </c>
      <c r="R401" s="29">
        <f>IF(OR(履歴データ!$A$401="",履歴データ!$A$400=""),"",I401-I400)</f>
        <v>-0.6875</v>
      </c>
      <c r="S401" s="28">
        <f>IF(OR(履歴データ!$A$401="",履歴データ!$A$400=""),"",(J401-J400)*100)</f>
        <v>12.000000000000011</v>
      </c>
      <c r="T401" s="11">
        <f>IF(OR(履歴データ!$A$401="",履歴データ!$A$400=""),"",-80000*K401)</f>
        <v>-79999.999999998297</v>
      </c>
      <c r="U401" s="11">
        <f>IF(OR(履歴データ!$A$401="",履歴データ!$A$400=""),"",60000*L401)</f>
        <v>201000.00000000052</v>
      </c>
      <c r="V401" s="11">
        <f>IF(OR(履歴データ!$A$401="",履歴データ!$A$400=""),"",-50000*M401)</f>
        <v>34999.999999999432</v>
      </c>
      <c r="W401" s="11">
        <f>IF(OR(履歴データ!$A$401="",履歴データ!$A$400=""),"",-40000*N401)</f>
        <v>-40000.000000000924</v>
      </c>
      <c r="X401" s="11">
        <f>IF(OR(履歴データ!$A$401="",履歴データ!$A$400=""),"",120*1000000*(-Q401/H400))</f>
        <v>870840.55637489085</v>
      </c>
      <c r="Y401" s="11">
        <f>IF(OR(履歴データ!$A$401="",履歴データ!$A$400=""),"",40000*(-S401)+(-506.3)*R401*1000)</f>
        <v>-131918.75000000041</v>
      </c>
      <c r="Z401" s="11">
        <f>IF(OR(履歴データ!$A$401="",履歴データ!$A$400=""),"",-40000*O401)</f>
        <v>764799.99999999907</v>
      </c>
      <c r="AA401" s="11">
        <f>IF(OR(履歴データ!$A$401="",履歴データ!$A$400=""),"",-40000*P401)</f>
        <v>-937291.42578124255</v>
      </c>
      <c r="AB401" s="11">
        <f>IF(履歴データ!$A$401="","",123.3)</f>
        <v>123.3</v>
      </c>
      <c r="AC401">
        <f>IF(履歴データ!$A$401="","",SUM(T401:AA401))</f>
        <v>682430.38059364771</v>
      </c>
      <c r="AD401" s="29">
        <f>IF(履歴データ!$A$401="","",AC401/1000000)</f>
        <v>0.68243038059364769</v>
      </c>
      <c r="AE401" s="29">
        <f>IF(履歴データ!$A$401="",AE400,AE400+AC401/1000000)</f>
        <v>82.617189722464559</v>
      </c>
      <c r="AF401" s="12">
        <f>IF(OR(履歴データ!$A$401="",AE400=0),"",(AE401-AE400)/AE400)</f>
        <v>8.328948373988853E-3</v>
      </c>
      <c r="AG401" s="29">
        <f t="shared" si="20"/>
        <v>102.17217746631495</v>
      </c>
      <c r="AH401" s="12">
        <f>IF(OR(履歴データ!$A$401="",AG401=0),"",AE401/AG401-1)</f>
        <v>-0.19139249283688264</v>
      </c>
      <c r="AJ401" s="28">
        <f t="shared" ca="1" si="18"/>
        <v>-14.265764550017892</v>
      </c>
      <c r="AK401" s="28">
        <f t="shared" ca="1" si="19"/>
        <v>-40.162806878553539</v>
      </c>
    </row>
    <row r="402" spans="1:37">
      <c r="A402" s="10">
        <f>IF(履歴データ!$A$402="","",履歴データ!$A$402)</f>
        <v>45511</v>
      </c>
      <c r="B402" s="28">
        <f>IF(履歴データ!$A$402="","",(履歴データ!$D$402-(履歴データ!$B$402+履歴データ!$F$402)/2)*100)</f>
        <v>-16.999999999999993</v>
      </c>
      <c r="C402" s="28">
        <f>IF(履歴データ!$A$402="","",(履歴データ!$H$402-(履歴データ!$G$402+履歴データ!$J$402)/2)*100)</f>
        <v>-33.050000000000004</v>
      </c>
      <c r="D402" s="28">
        <f>IF(履歴データ!$A$402="","",(履歴データ!$D$402-履歴データ!$H$402)*100)</f>
        <v>306.10000000000002</v>
      </c>
      <c r="E402" s="28">
        <f>IF(履歴データ!$A$402="","",(履歴データ!$D$402-履歴データ!$C$402)*100)</f>
        <v>16.999999999999993</v>
      </c>
      <c r="F402" s="28">
        <f>IF(履歴データ!$A$402="","",(履歴データ!$R$402-履歴データ!$D$402)*100)</f>
        <v>-249.29999999999998</v>
      </c>
      <c r="G402" s="28">
        <f>IF(履歴データ!$A$402="","",(履歴データ!$S$402-履歴データ!$R$402)*100)</f>
        <v>-64.034642822265781</v>
      </c>
      <c r="H402" s="29">
        <f>IF(履歴データ!$A$402="","",履歴データ!$O$402)</f>
        <v>146.12399291992188</v>
      </c>
      <c r="I402" s="29">
        <f>IF(履歴データ!$A$402="","",履歴データ!$Q$402)</f>
        <v>112.890625</v>
      </c>
      <c r="J402" s="29">
        <f>IF(履歴データ!$A$402="","",履歴データ!$D$402)</f>
        <v>3.96</v>
      </c>
      <c r="K402" s="28">
        <f>IF(OR(履歴データ!$A$402="",履歴データ!$A$401=""),"",B402-B401)</f>
        <v>1.5000000000000142</v>
      </c>
      <c r="L402" s="28">
        <f>IF(OR(履歴データ!$A$402="",履歴データ!$A$401=""),"",C402-C401)</f>
        <v>-3.4500000000000099</v>
      </c>
      <c r="M402" s="28">
        <f>IF(OR(履歴データ!$A$402="",履歴データ!$A$401=""),"",D402-D401)</f>
        <v>6.9000000000000341</v>
      </c>
      <c r="N402" s="28">
        <f>IF(OR(履歴データ!$A$402="",履歴データ!$A$401=""),"",E402-E401)</f>
        <v>0</v>
      </c>
      <c r="O402" s="28">
        <f>IF(OR(履歴データ!$A$402="",履歴データ!$A$401=""),"",F402-F401)</f>
        <v>-9.6800000000000068</v>
      </c>
      <c r="P402" s="28">
        <f>IF(OR(履歴データ!$A$402="",履歴データ!$A$401=""),"",G402-G401)</f>
        <v>-2.1082856445312217</v>
      </c>
      <c r="Q402" s="29">
        <f>IF(OR(履歴データ!$A$402="",履歴データ!$A$401=""),"",H402-H401)</f>
        <v>1.391998291015625</v>
      </c>
      <c r="R402" s="29">
        <f>IF(OR(履歴データ!$A$402="",履歴データ!$A$401=""),"",I402-I401)</f>
        <v>-0.5</v>
      </c>
      <c r="S402" s="28">
        <f>IF(OR(履歴データ!$A$402="",履歴データ!$A$401=""),"",(J402-J401)*100)</f>
        <v>6.0000000000000053</v>
      </c>
      <c r="T402" s="11">
        <f>IF(OR(履歴データ!$A$402="",履歴データ!$A$401=""),"",-80000*K402)</f>
        <v>-120000.00000000114</v>
      </c>
      <c r="U402" s="11">
        <f>IF(OR(履歴データ!$A$402="",履歴データ!$A$401=""),"",60000*L402)</f>
        <v>-207000.00000000061</v>
      </c>
      <c r="V402" s="11">
        <f>IF(OR(履歴データ!$A$402="",履歴データ!$A$401=""),"",-50000*M402)</f>
        <v>-345000.00000000169</v>
      </c>
      <c r="W402" s="11">
        <f>IF(OR(履歴データ!$A$402="",履歴データ!$A$401=""),"",-40000*N402)</f>
        <v>0</v>
      </c>
      <c r="X402" s="11">
        <f>IF(OR(履歴データ!$A$402="",履歴データ!$A$401=""),"",120*1000000*(-Q402/H401))</f>
        <v>-1154131.782334418</v>
      </c>
      <c r="Y402" s="11">
        <f>IF(OR(履歴データ!$A$402="",履歴データ!$A$401=""),"",40000*(-S402)+(-506.3)*R402*1000)</f>
        <v>13149.999999999796</v>
      </c>
      <c r="Z402" s="11">
        <f>IF(OR(履歴データ!$A$402="",履歴データ!$A$401=""),"",-40000*O402)</f>
        <v>387200.00000000029</v>
      </c>
      <c r="AA402" s="11">
        <f>IF(OR(履歴データ!$A$402="",履歴データ!$A$401=""),"",-40000*P402)</f>
        <v>84331.425781248865</v>
      </c>
      <c r="AB402" s="11">
        <f>IF(履歴データ!$A$402="","",123.3)</f>
        <v>123.3</v>
      </c>
      <c r="AC402">
        <f>IF(履歴データ!$A$402="","",SUM(T402:AA402))</f>
        <v>-1341450.3565531727</v>
      </c>
      <c r="AD402" s="29">
        <f>IF(履歴データ!$A$402="","",AC402/1000000)</f>
        <v>-1.3414503565531728</v>
      </c>
      <c r="AE402" s="29">
        <f>IF(履歴データ!$A$402="",AE401,AE401+AC402/1000000)</f>
        <v>81.275739365911392</v>
      </c>
      <c r="AF402" s="12">
        <f>IF(OR(履歴データ!$A$402="",AE401=0),"",(AE402-AE401)/AE401)</f>
        <v>-1.6236940049153135E-2</v>
      </c>
      <c r="AG402" s="29">
        <f t="shared" si="20"/>
        <v>102.17217746631495</v>
      </c>
      <c r="AH402" s="12">
        <f>IF(OR(履歴データ!$A$402="",AG402=0),"",AE402/AG402-1)</f>
        <v>-0.20452180445398538</v>
      </c>
      <c r="AJ402" s="28">
        <f t="shared" ca="1" si="18"/>
        <v>-14.278727296392253</v>
      </c>
      <c r="AK402" s="28">
        <f t="shared" ca="1" si="19"/>
        <v>-39.931590163925208</v>
      </c>
    </row>
    <row r="403" spans="1:37">
      <c r="A403" s="10">
        <f>IF(履歴データ!$A$403="","",履歴データ!$A$403)</f>
        <v>45512</v>
      </c>
      <c r="B403" s="28">
        <f>IF(履歴データ!$A$403="","",(履歴データ!$D$403-(履歴データ!$B$403+履歴データ!$F$403)/2)*100)</f>
        <v>-16.999999999999993</v>
      </c>
      <c r="C403" s="28">
        <f>IF(履歴データ!$A$403="","",(履歴データ!$H$403-(履歴データ!$G$403+履歴データ!$J$403)/2)*100)</f>
        <v>-33.300000000000018</v>
      </c>
      <c r="D403" s="28">
        <f>IF(履歴データ!$A$403="","",(履歴データ!$D$403-履歴データ!$H$403)*100)</f>
        <v>313.5</v>
      </c>
      <c r="E403" s="28">
        <f>IF(履歴データ!$A$403="","",(履歴データ!$D$403-履歴データ!$C$403)*100)</f>
        <v>16.000000000000014</v>
      </c>
      <c r="F403" s="28">
        <f>IF(履歴データ!$A$403="","",(履歴データ!$R$403-履歴データ!$D$403)*100)</f>
        <v>-243.44</v>
      </c>
      <c r="G403" s="28">
        <f>IF(履歴データ!$A$403="","",(履歴データ!$S$403-履歴データ!$R$403)*100)</f>
        <v>-76.402642822265847</v>
      </c>
      <c r="H403" s="29">
        <f>IF(履歴データ!$A$403="","",履歴データ!$O$403)</f>
        <v>147.66900634765625</v>
      </c>
      <c r="I403" s="29">
        <f>IF(履歴データ!$A$403="","",履歴データ!$Q$403)</f>
        <v>112.65625</v>
      </c>
      <c r="J403" s="29">
        <f>IF(履歴データ!$A$403="","",履歴データ!$D$403)</f>
        <v>3.99</v>
      </c>
      <c r="K403" s="28">
        <f>IF(OR(履歴データ!$A$403="",履歴データ!$A$402=""),"",B403-B402)</f>
        <v>0</v>
      </c>
      <c r="L403" s="28">
        <f>IF(OR(履歴データ!$A$403="",履歴データ!$A$402=""),"",C403-C402)</f>
        <v>-0.25000000000001421</v>
      </c>
      <c r="M403" s="28">
        <f>IF(OR(履歴データ!$A$403="",履歴データ!$A$402=""),"",D403-D402)</f>
        <v>7.3999999999999773</v>
      </c>
      <c r="N403" s="28">
        <f>IF(OR(履歴データ!$A$403="",履歴データ!$A$402=""),"",E403-E402)</f>
        <v>-0.99999999999997868</v>
      </c>
      <c r="O403" s="28">
        <f>IF(OR(履歴データ!$A$403="",履歴データ!$A$402=""),"",F403-F402)</f>
        <v>5.8599999999999852</v>
      </c>
      <c r="P403" s="28">
        <f>IF(OR(履歴データ!$A$403="",履歴データ!$A$402=""),"",G403-G402)</f>
        <v>-12.368000000000066</v>
      </c>
      <c r="Q403" s="29">
        <f>IF(OR(履歴データ!$A$403="",履歴データ!$A$402=""),"",H403-H402)</f>
        <v>1.545013427734375</v>
      </c>
      <c r="R403" s="29">
        <f>IF(OR(履歴データ!$A$403="",履歴データ!$A$402=""),"",I403-I402)</f>
        <v>-0.234375</v>
      </c>
      <c r="S403" s="28">
        <f>IF(OR(履歴データ!$A$403="",履歴データ!$A$402=""),"",(J403-J402)*100)</f>
        <v>3.0000000000000249</v>
      </c>
      <c r="T403" s="11">
        <f>IF(OR(履歴データ!$A$403="",履歴データ!$A$402=""),"",-80000*K403)</f>
        <v>0</v>
      </c>
      <c r="U403" s="11">
        <f>IF(OR(履歴データ!$A$403="",履歴データ!$A$402=""),"",60000*L403)</f>
        <v>-15000.000000000853</v>
      </c>
      <c r="V403" s="11">
        <f>IF(OR(履歴データ!$A$403="",履歴データ!$A$402=""),"",-50000*M403)</f>
        <v>-369999.99999999884</v>
      </c>
      <c r="W403" s="11">
        <f>IF(OR(履歴データ!$A$403="",履歴データ!$A$402=""),"",-40000*N403)</f>
        <v>39999.999999999149</v>
      </c>
      <c r="X403" s="11">
        <f>IF(OR(履歴データ!$A$403="",履歴データ!$A$402=""),"",120*1000000*(-Q403/H402))</f>
        <v>-1268796.5037317851</v>
      </c>
      <c r="Y403" s="11">
        <f>IF(OR(履歴データ!$A$403="",履歴データ!$A$402=""),"",40000*(-S403)+(-506.3)*R403*1000)</f>
        <v>-1335.9375000009895</v>
      </c>
      <c r="Z403" s="11">
        <f>IF(OR(履歴データ!$A$403="",履歴データ!$A$402=""),"",-40000*O403)</f>
        <v>-234399.99999999942</v>
      </c>
      <c r="AA403" s="11">
        <f>IF(OR(履歴データ!$A$403="",履歴データ!$A$402=""),"",-40000*P403)</f>
        <v>494720.00000000262</v>
      </c>
      <c r="AB403" s="11">
        <f>IF(履歴データ!$A$403="","",123.3)</f>
        <v>123.3</v>
      </c>
      <c r="AC403">
        <f>IF(履歴データ!$A$403="","",SUM(T403:AA403))</f>
        <v>-1354812.4412317837</v>
      </c>
      <c r="AD403" s="29">
        <f>IF(履歴データ!$A$403="","",AC403/1000000)</f>
        <v>-1.3548124412317837</v>
      </c>
      <c r="AE403" s="29">
        <f>IF(履歴データ!$A$403="",AE402,AE402+AC403/1000000)</f>
        <v>79.920926924679605</v>
      </c>
      <c r="AF403" s="12">
        <f>IF(OR(履歴データ!$A$403="",AE402=0),"",(AE403-AE402)/AE402)</f>
        <v>-1.666933394641034E-2</v>
      </c>
      <c r="AG403" s="29">
        <f t="shared" si="20"/>
        <v>102.17217746631495</v>
      </c>
      <c r="AH403" s="12">
        <f>IF(OR(履歴データ!$A$403="",AG403=0),"",AE403/AG403-1)</f>
        <v>-0.21778189614262977</v>
      </c>
      <c r="AJ403" s="28">
        <f t="shared" ca="1" si="18"/>
        <v>-14.26322141604764</v>
      </c>
      <c r="AK403" s="28">
        <f t="shared" ca="1" si="19"/>
        <v>-39.744715091888871</v>
      </c>
    </row>
    <row r="404" spans="1:37">
      <c r="A404" s="10">
        <f>IF(履歴データ!$A$404="","",履歴データ!$A$404)</f>
        <v>45513</v>
      </c>
      <c r="B404" s="28">
        <f>IF(履歴データ!$A$404="","",(履歴データ!$D$404-(履歴データ!$B$404+履歴データ!$F$404)/2)*100)</f>
        <v>-20.000000000000064</v>
      </c>
      <c r="C404" s="28">
        <f>IF(履歴データ!$A$404="","",(履歴データ!$H$404-(履歴データ!$G$404+履歴データ!$J$404)/2)*100)</f>
        <v>-31.000000000000007</v>
      </c>
      <c r="D404" s="28">
        <f>IF(履歴データ!$A$404="","",(履歴データ!$D$404-履歴データ!$H$404)*100)</f>
        <v>305.90000000000003</v>
      </c>
      <c r="E404" s="28">
        <f>IF(履歴データ!$A$404="","",(履歴データ!$D$404-履歴データ!$C$404)*100)</f>
        <v>14.000000000000012</v>
      </c>
      <c r="F404" s="28">
        <f>IF(履歴データ!$A$404="","",(履歴データ!$R$404-履歴データ!$D$404)*100)</f>
        <v>-235.25</v>
      </c>
      <c r="G404" s="28">
        <f>IF(履歴データ!$A$404="","",(履歴データ!$S$404-履歴データ!$R$404)*100)</f>
        <v>-78.715642822265636</v>
      </c>
      <c r="H404" s="29">
        <f>IF(履歴データ!$A$404="","",履歴データ!$O$404)</f>
        <v>147.66900634765625</v>
      </c>
      <c r="I404" s="29">
        <f>IF(履歴データ!$A$404="","",履歴データ!$Q$404)</f>
        <v>112.953125</v>
      </c>
      <c r="J404" s="29">
        <f>IF(履歴データ!$A$404="","",履歴データ!$D$404)</f>
        <v>3.94</v>
      </c>
      <c r="K404" s="28">
        <f>IF(OR(履歴データ!$A$404="",履歴データ!$A$403=""),"",B404-B403)</f>
        <v>-3.0000000000000711</v>
      </c>
      <c r="L404" s="28">
        <f>IF(OR(履歴データ!$A$404="",履歴データ!$A$403=""),"",C404-C403)</f>
        <v>2.3000000000000114</v>
      </c>
      <c r="M404" s="28">
        <f>IF(OR(履歴データ!$A$404="",履歴データ!$A$403=""),"",D404-D403)</f>
        <v>-7.5999999999999659</v>
      </c>
      <c r="N404" s="28">
        <f>IF(OR(履歴データ!$A$404="",履歴データ!$A$403=""),"",E404-E403)</f>
        <v>-2.0000000000000018</v>
      </c>
      <c r="O404" s="28">
        <f>IF(OR(履歴データ!$A$404="",履歴データ!$A$403=""),"",F404-F403)</f>
        <v>8.1899999999999977</v>
      </c>
      <c r="P404" s="28">
        <f>IF(OR(履歴データ!$A$404="",履歴データ!$A$403=""),"",G404-G403)</f>
        <v>-2.3129999999997892</v>
      </c>
      <c r="Q404" s="29">
        <f>IF(OR(履歴データ!$A$404="",履歴データ!$A$403=""),"",H404-H403)</f>
        <v>0</v>
      </c>
      <c r="R404" s="29">
        <f>IF(OR(履歴データ!$A$404="",履歴データ!$A$403=""),"",I404-I403)</f>
        <v>0.296875</v>
      </c>
      <c r="S404" s="28">
        <f>IF(OR(履歴データ!$A$404="",履歴データ!$A$403=""),"",(J404-J403)*100)</f>
        <v>-5.0000000000000266</v>
      </c>
      <c r="T404" s="11">
        <f>IF(OR(履歴データ!$A$404="",履歴データ!$A$403=""),"",-80000*K404)</f>
        <v>240000.00000000568</v>
      </c>
      <c r="U404" s="11">
        <f>IF(OR(履歴データ!$A$404="",履歴データ!$A$403=""),"",60000*L404)</f>
        <v>138000.00000000067</v>
      </c>
      <c r="V404" s="11">
        <f>IF(OR(履歴データ!$A$404="",履歴データ!$A$403=""),"",-50000*M404)</f>
        <v>379999.99999999831</v>
      </c>
      <c r="W404" s="11">
        <f>IF(OR(履歴データ!$A$404="",履歴データ!$A$403=""),"",-40000*N404)</f>
        <v>80000.000000000073</v>
      </c>
      <c r="X404" s="11">
        <f>IF(OR(履歴データ!$A$404="",履歴データ!$A$403=""),"",120*1000000*(-Q404/H403))</f>
        <v>0</v>
      </c>
      <c r="Y404" s="11">
        <f>IF(OR(履歴データ!$A$404="",履歴データ!$A$403=""),"",40000*(-S404)+(-506.3)*R404*1000)</f>
        <v>49692.187500001077</v>
      </c>
      <c r="Z404" s="11">
        <f>IF(OR(履歴データ!$A$404="",履歴データ!$A$403=""),"",-40000*O404)</f>
        <v>-327599.99999999988</v>
      </c>
      <c r="AA404" s="11">
        <f>IF(OR(履歴データ!$A$404="",履歴データ!$A$403=""),"",-40000*P404)</f>
        <v>92519.999999991574</v>
      </c>
      <c r="AB404" s="11">
        <f>IF(履歴データ!$A$404="","",123.3)</f>
        <v>123.3</v>
      </c>
      <c r="AC404">
        <f>IF(履歴データ!$A$404="","",SUM(T404:AA404))</f>
        <v>652612.18749999756</v>
      </c>
      <c r="AD404" s="29">
        <f>IF(履歴データ!$A$404="","",AC404/1000000)</f>
        <v>0.65261218749999761</v>
      </c>
      <c r="AE404" s="29">
        <f>IF(履歴データ!$A$404="",AE403,AE403+AC404/1000000)</f>
        <v>80.573539112179603</v>
      </c>
      <c r="AF404" s="12">
        <f>IF(OR(履歴データ!$A$404="",AE403=0),"",(AE404-AE403)/AE403)</f>
        <v>8.1657234545720776E-3</v>
      </c>
      <c r="AG404" s="29">
        <f t="shared" si="20"/>
        <v>102.17217746631495</v>
      </c>
      <c r="AH404" s="12">
        <f>IF(OR(履歴データ!$A$404="",AG404=0),"",AE404/AG404-1)</f>
        <v>-0.2113945194253708</v>
      </c>
      <c r="AJ404" s="28">
        <f t="shared" ca="1" si="18"/>
        <v>-14.338624973234321</v>
      </c>
      <c r="AK404" s="28">
        <f t="shared" ca="1" si="19"/>
        <v>-39.470898836289493</v>
      </c>
    </row>
    <row r="405" spans="1:37">
      <c r="A405" s="10">
        <f>IF(履歴データ!$A$405="","",履歴データ!$A$405)</f>
        <v>45516</v>
      </c>
      <c r="B405" s="28">
        <f>IF(履歴データ!$A$405="","",(履歴データ!$D$405-(履歴データ!$B$405+履歴データ!$F$405)/2)*100)</f>
        <v>-19.999999999999972</v>
      </c>
      <c r="C405" s="28">
        <f>IF(履歴データ!$A$405="","",(履歴データ!$H$405-(履歴データ!$G$405+履歴データ!$J$405)/2)*100)</f>
        <v>-31.000000000000007</v>
      </c>
      <c r="D405" s="28">
        <f>IF(履歴データ!$A$405="","",(履歴データ!$D$405-履歴データ!$H$405)*100)</f>
        <v>301.90000000000003</v>
      </c>
      <c r="E405" s="28">
        <f>IF(履歴データ!$A$405="","",(履歴データ!$D$405-履歴データ!$C$405)*100)</f>
        <v>14.999999999999991</v>
      </c>
      <c r="F405" s="28">
        <f>IF(履歴データ!$A$405="","",(履歴データ!$R$405-履歴データ!$D$405)*100)</f>
        <v>-232.17999999999995</v>
      </c>
      <c r="G405" s="28">
        <f>IF(履歴データ!$A$405="","",(履歴データ!$S$405-履歴データ!$R$405)*100)</f>
        <v>-77.785642822265658</v>
      </c>
      <c r="H405" s="29">
        <f>IF(履歴データ!$A$405="","",履歴データ!$O$405)</f>
        <v>146.98199462890625</v>
      </c>
      <c r="I405" s="29">
        <f>IF(履歴データ!$A$405="","",履歴データ!$Q$405)</f>
        <v>113.234375</v>
      </c>
      <c r="J405" s="29">
        <f>IF(履歴データ!$A$405="","",履歴データ!$D$405)</f>
        <v>3.9</v>
      </c>
      <c r="K405" s="28">
        <f>IF(OR(履歴データ!$A$405="",履歴データ!$A$404=""),"",B405-B404)</f>
        <v>9.2370555648813024E-14</v>
      </c>
      <c r="L405" s="28">
        <f>IF(OR(履歴データ!$A$405="",履歴データ!$A$404=""),"",C405-C404)</f>
        <v>0</v>
      </c>
      <c r="M405" s="28">
        <f>IF(OR(履歴データ!$A$405="",履歴データ!$A$404=""),"",D405-D404)</f>
        <v>-4</v>
      </c>
      <c r="N405" s="28">
        <f>IF(OR(履歴データ!$A$405="",履歴データ!$A$404=""),"",E405-E404)</f>
        <v>0.99999999999997868</v>
      </c>
      <c r="O405" s="28">
        <f>IF(OR(履歴データ!$A$405="",履歴データ!$A$404=""),"",F405-F404)</f>
        <v>3.07000000000005</v>
      </c>
      <c r="P405" s="28">
        <f>IF(OR(履歴データ!$A$405="",履歴データ!$A$404=""),"",G405-G404)</f>
        <v>0.9299999999999784</v>
      </c>
      <c r="Q405" s="29">
        <f>IF(OR(履歴データ!$A$405="",履歴データ!$A$404=""),"",H405-H404)</f>
        <v>-0.68701171875</v>
      </c>
      <c r="R405" s="29">
        <f>IF(OR(履歴データ!$A$405="",履歴データ!$A$404=""),"",I405-I404)</f>
        <v>0.28125</v>
      </c>
      <c r="S405" s="28">
        <f>IF(OR(履歴データ!$A$405="",履歴データ!$A$404=""),"",(J405-J404)*100)</f>
        <v>-4.0000000000000036</v>
      </c>
      <c r="T405" s="11">
        <f>IF(OR(履歴データ!$A$405="",履歴データ!$A$404=""),"",-80000*K405)</f>
        <v>-7.3896444519050419E-9</v>
      </c>
      <c r="U405" s="11">
        <f>IF(OR(履歴データ!$A$405="",履歴データ!$A$404=""),"",60000*L405)</f>
        <v>0</v>
      </c>
      <c r="V405" s="11">
        <f>IF(OR(履歴データ!$A$405="",履歴データ!$A$404=""),"",-50000*M405)</f>
        <v>200000</v>
      </c>
      <c r="W405" s="11">
        <f>IF(OR(履歴データ!$A$405="",履歴データ!$A$404=""),"",-40000*N405)</f>
        <v>-39999.999999999149</v>
      </c>
      <c r="X405" s="11">
        <f>IF(OR(履歴データ!$A$405="",履歴データ!$A$404=""),"",120*1000000*(-Q405/H404))</f>
        <v>558285.10185751971</v>
      </c>
      <c r="Y405" s="11">
        <f>IF(OR(履歴データ!$A$405="",履歴データ!$A$404=""),"",40000*(-S405)+(-506.3)*R405*1000)</f>
        <v>17603.125000000146</v>
      </c>
      <c r="Z405" s="11">
        <f>IF(OR(履歴データ!$A$405="",履歴データ!$A$404=""),"",-40000*O405)</f>
        <v>-122800.00000000201</v>
      </c>
      <c r="AA405" s="11">
        <f>IF(OR(履歴データ!$A$405="",履歴データ!$A$404=""),"",-40000*P405)</f>
        <v>-37199.999999999134</v>
      </c>
      <c r="AB405" s="11">
        <f>IF(履歴データ!$A$405="","",123.3)</f>
        <v>123.3</v>
      </c>
      <c r="AC405">
        <f>IF(履歴データ!$A$405="","",SUM(T405:AA405))</f>
        <v>575888.22685751214</v>
      </c>
      <c r="AD405" s="29">
        <f>IF(履歴データ!$A$405="","",AC405/1000000)</f>
        <v>0.57588822685751218</v>
      </c>
      <c r="AE405" s="29">
        <f>IF(履歴データ!$A$405="",AE404,AE404+AC405/1000000)</f>
        <v>81.149427339037118</v>
      </c>
      <c r="AF405" s="12">
        <f>IF(OR(履歴データ!$A$405="",AE404=0),"",(AE405-AE404)/AE404)</f>
        <v>7.1473616922266099E-3</v>
      </c>
      <c r="AG405" s="29">
        <f t="shared" si="20"/>
        <v>102.17217746631495</v>
      </c>
      <c r="AH405" s="12">
        <f>IF(OR(履歴データ!$A$405="",AG405=0),"",AE405/AG405-1)</f>
        <v>-0.20575807082323172</v>
      </c>
      <c r="AJ405" s="28">
        <f t="shared" ca="1" si="18"/>
        <v>-14.495965672082944</v>
      </c>
      <c r="AK405" s="28">
        <f t="shared" ca="1" si="19"/>
        <v>-39.08736766125039</v>
      </c>
    </row>
    <row r="406" spans="1:37">
      <c r="A406" s="10">
        <f>IF(履歴データ!$A$406="","",履歴データ!$A$406)</f>
        <v>45517</v>
      </c>
      <c r="B406" s="28">
        <f>IF(履歴データ!$A$406="","",(履歴データ!$D$406-(履歴データ!$B$406+履歴データ!$F$406)/2)*100)</f>
        <v>-19.499999999999986</v>
      </c>
      <c r="C406" s="28">
        <f>IF(履歴データ!$A$406="","",(履歴データ!$H$406-(履歴データ!$G$406+履歴データ!$J$406)/2)*100)</f>
        <v>-32.149999999999991</v>
      </c>
      <c r="D406" s="28">
        <f>IF(履歴データ!$A$406="","",(履歴データ!$D$406-履歴データ!$H$406)*100)</f>
        <v>298.09999999999997</v>
      </c>
      <c r="E406" s="28">
        <f>IF(履歴データ!$A$406="","",(履歴データ!$D$406-履歴データ!$C$406)*100)</f>
        <v>16.999999999999993</v>
      </c>
      <c r="F406" s="28">
        <f>IF(履歴データ!$A$406="","",(履歴データ!$R$406-履歴データ!$D$406)*100)</f>
        <v>-229.03000000000003</v>
      </c>
      <c r="G406" s="28">
        <f>IF(履歴データ!$A$406="","",(履歴データ!$S$406-履歴データ!$R$406)*100)</f>
        <v>-70.147357177734619</v>
      </c>
      <c r="H406" s="29">
        <f>IF(履歴データ!$A$406="","",履歴データ!$O$406)</f>
        <v>146.97099304199219</v>
      </c>
      <c r="I406" s="29">
        <f>IF(履歴データ!$A$406="","",履歴データ!$Q$406)</f>
        <v>113.625</v>
      </c>
      <c r="J406" s="29">
        <f>IF(履歴データ!$A$406="","",履歴データ!$D$406)</f>
        <v>3.85</v>
      </c>
      <c r="K406" s="28">
        <f>IF(OR(履歴データ!$A$406="",履歴データ!$A$405=""),"",B406-B405)</f>
        <v>0.49999999999998579</v>
      </c>
      <c r="L406" s="28">
        <f>IF(OR(履歴データ!$A$406="",履歴データ!$A$405=""),"",C406-C405)</f>
        <v>-1.1499999999999844</v>
      </c>
      <c r="M406" s="28">
        <f>IF(OR(履歴データ!$A$406="",履歴データ!$A$405=""),"",D406-D405)</f>
        <v>-3.8000000000000682</v>
      </c>
      <c r="N406" s="28">
        <f>IF(OR(履歴データ!$A$406="",履歴データ!$A$405=""),"",E406-E405)</f>
        <v>2.0000000000000018</v>
      </c>
      <c r="O406" s="28">
        <f>IF(OR(履歴データ!$A$406="",履歴データ!$A$405=""),"",F406-F405)</f>
        <v>3.1499999999999204</v>
      </c>
      <c r="P406" s="28">
        <f>IF(OR(履歴データ!$A$406="",履歴データ!$A$405=""),"",G406-G405)</f>
        <v>7.6382856445310381</v>
      </c>
      <c r="Q406" s="29">
        <f>IF(OR(履歴データ!$A$406="",履歴データ!$A$405=""),"",H406-H405)</f>
        <v>-1.10015869140625E-2</v>
      </c>
      <c r="R406" s="29">
        <f>IF(OR(履歴データ!$A$406="",履歴データ!$A$405=""),"",I406-I405)</f>
        <v>0.390625</v>
      </c>
      <c r="S406" s="28">
        <f>IF(OR(履歴データ!$A$406="",履歴データ!$A$405=""),"",(J406-J405)*100)</f>
        <v>-4.9999999999999822</v>
      </c>
      <c r="T406" s="11">
        <f>IF(OR(履歴データ!$A$406="",履歴データ!$A$405=""),"",-80000*K406)</f>
        <v>-39999.999999998865</v>
      </c>
      <c r="U406" s="11">
        <f>IF(OR(履歴データ!$A$406="",履歴データ!$A$405=""),"",60000*L406)</f>
        <v>-68999.999999999069</v>
      </c>
      <c r="V406" s="11">
        <f>IF(OR(履歴データ!$A$406="",履歴データ!$A$405=""),"",-50000*M406)</f>
        <v>190000.00000000341</v>
      </c>
      <c r="W406" s="11">
        <f>IF(OR(履歴データ!$A$406="",履歴データ!$A$405=""),"",-40000*N406)</f>
        <v>-80000.000000000073</v>
      </c>
      <c r="X406" s="11">
        <f>IF(OR(履歴データ!$A$406="",履歴データ!$A$405=""),"",120*1000000*(-Q406/H405))</f>
        <v>8981.9874401667985</v>
      </c>
      <c r="Y406" s="11">
        <f>IF(OR(履歴データ!$A$406="",履歴データ!$A$405=""),"",40000*(-S406)+(-506.3)*R406*1000)</f>
        <v>2226.5624999993015</v>
      </c>
      <c r="Z406" s="11">
        <f>IF(OR(履歴データ!$A$406="",履歴データ!$A$405=""),"",-40000*O406)</f>
        <v>-125999.99999999681</v>
      </c>
      <c r="AA406" s="11">
        <f>IF(OR(履歴データ!$A$406="",履歴データ!$A$405=""),"",-40000*P406)</f>
        <v>-305531.4257812415</v>
      </c>
      <c r="AB406" s="11">
        <f>IF(履歴データ!$A$406="","",123.3)</f>
        <v>123.3</v>
      </c>
      <c r="AC406">
        <f>IF(履歴データ!$A$406="","",SUM(T406:AA406))</f>
        <v>-419322.87584106682</v>
      </c>
      <c r="AD406" s="29">
        <f>IF(履歴データ!$A$406="","",AC406/1000000)</f>
        <v>-0.41932287584106681</v>
      </c>
      <c r="AE406" s="29">
        <f>IF(履歴データ!$A$406="",AE405,AE405+AC406/1000000)</f>
        <v>80.730104463196056</v>
      </c>
      <c r="AF406" s="12">
        <f>IF(OR(履歴データ!$A$406="",AE405=0),"",(AE406-AE405)/AE405)</f>
        <v>-5.1672930985594886E-3</v>
      </c>
      <c r="AG406" s="29">
        <f t="shared" si="20"/>
        <v>102.17217746631495</v>
      </c>
      <c r="AH406" s="12">
        <f>IF(OR(履歴データ!$A$406="",AG406=0),"",AE406/AG406-1)</f>
        <v>-0.20986215166245337</v>
      </c>
      <c r="AJ406" s="28">
        <f t="shared" ca="1" si="18"/>
        <v>-14.558775623787838</v>
      </c>
      <c r="AK406" s="28">
        <f t="shared" ca="1" si="19"/>
        <v>-38.830113265101048</v>
      </c>
    </row>
    <row r="407" spans="1:37">
      <c r="A407" s="10">
        <f>IF(履歴データ!$A$407="","",履歴データ!$A$407)</f>
        <v>45518</v>
      </c>
      <c r="B407" s="28">
        <f>IF(履歴データ!$A$407="","",(履歴データ!$D$407-(履歴データ!$B$407+履歴データ!$F$407)/2)*100)</f>
        <v>-20.000000000000018</v>
      </c>
      <c r="C407" s="28">
        <f>IF(履歴データ!$A$407="","",(履歴データ!$H$407-(履歴データ!$G$407+履歴データ!$J$407)/2)*100)</f>
        <v>-34.050000000000004</v>
      </c>
      <c r="D407" s="28">
        <f>IF(履歴データ!$A$407="","",(履歴データ!$D$407-履歴データ!$H$407)*100)</f>
        <v>299.7</v>
      </c>
      <c r="E407" s="28">
        <f>IF(履歴データ!$A$407="","",(履歴データ!$D$407-履歴データ!$C$407)*100)</f>
        <v>16.000000000000014</v>
      </c>
      <c r="F407" s="28">
        <f>IF(履歴データ!$A$407="","",(履歴データ!$R$407-履歴データ!$D$407)*100)</f>
        <v>-229.93</v>
      </c>
      <c r="G407" s="28">
        <f>IF(履歴データ!$A$407="","",(履歴データ!$S$407-履歴データ!$R$407)*100)</f>
        <v>-78.122178588867229</v>
      </c>
      <c r="H407" s="29">
        <f>IF(履歴データ!$A$407="","",履歴データ!$O$407)</f>
        <v>147.25300598144531</v>
      </c>
      <c r="I407" s="29">
        <f>IF(履歴データ!$A$407="","",履歴データ!$Q$407)</f>
        <v>113.765625</v>
      </c>
      <c r="J407" s="29">
        <f>IF(履歴データ!$A$407="","",履歴データ!$D$407)</f>
        <v>3.83</v>
      </c>
      <c r="K407" s="28">
        <f>IF(OR(履歴データ!$A$407="",履歴データ!$A$406=""),"",B407-B406)</f>
        <v>-0.50000000000003197</v>
      </c>
      <c r="L407" s="28">
        <f>IF(OR(履歴データ!$A$407="",履歴データ!$A$406=""),"",C407-C406)</f>
        <v>-1.9000000000000128</v>
      </c>
      <c r="M407" s="28">
        <f>IF(OR(履歴データ!$A$407="",履歴データ!$A$406=""),"",D407-D406)</f>
        <v>1.6000000000000227</v>
      </c>
      <c r="N407" s="28">
        <f>IF(OR(履歴データ!$A$407="",履歴データ!$A$406=""),"",E407-E406)</f>
        <v>-0.99999999999997868</v>
      </c>
      <c r="O407" s="28">
        <f>IF(OR(履歴データ!$A$407="",履歴データ!$A$406=""),"",F407-F406)</f>
        <v>-0.89999999999997726</v>
      </c>
      <c r="P407" s="28">
        <f>IF(OR(履歴データ!$A$407="",履歴データ!$A$406=""),"",G407-G406)</f>
        <v>-7.9748214111326092</v>
      </c>
      <c r="Q407" s="29">
        <f>IF(OR(履歴データ!$A$407="",履歴データ!$A$406=""),"",H407-H406)</f>
        <v>0.282012939453125</v>
      </c>
      <c r="R407" s="29">
        <f>IF(OR(履歴データ!$A$407="",履歴データ!$A$406=""),"",I407-I406)</f>
        <v>0.140625</v>
      </c>
      <c r="S407" s="28">
        <f>IF(OR(履歴データ!$A$407="",履歴データ!$A$406=""),"",(J407-J406)*100)</f>
        <v>-2.0000000000000018</v>
      </c>
      <c r="T407" s="11">
        <f>IF(OR(履歴データ!$A$407="",履歴データ!$A$406=""),"",-80000*K407)</f>
        <v>40000.000000002561</v>
      </c>
      <c r="U407" s="11">
        <f>IF(OR(履歴データ!$A$407="",履歴データ!$A$406=""),"",60000*L407)</f>
        <v>-114000.00000000077</v>
      </c>
      <c r="V407" s="11">
        <f>IF(OR(履歴データ!$A$407="",履歴データ!$A$406=""),"",-50000*M407)</f>
        <v>-80000.000000001135</v>
      </c>
      <c r="W407" s="11">
        <f>IF(OR(履歴データ!$A$407="",履歴データ!$A$406=""),"",-40000*N407)</f>
        <v>39999.999999999149</v>
      </c>
      <c r="X407" s="11">
        <f>IF(OR(履歴データ!$A$407="",履歴データ!$A$406=""),"",120*1000000*(-Q407/H406))</f>
        <v>-230260.08080863871</v>
      </c>
      <c r="Y407" s="11">
        <f>IF(OR(履歴データ!$A$407="",履歴データ!$A$406=""),"",40000*(-S407)+(-506.3)*R407*1000)</f>
        <v>8801.5625000000728</v>
      </c>
      <c r="Z407" s="11">
        <f>IF(OR(履歴データ!$A$407="",履歴データ!$A$406=""),"",-40000*O407)</f>
        <v>35999.999999999091</v>
      </c>
      <c r="AA407" s="11">
        <f>IF(OR(履歴データ!$A$407="",履歴データ!$A$406=""),"",-40000*P407)</f>
        <v>318992.85644530435</v>
      </c>
      <c r="AB407" s="11">
        <f>IF(履歴データ!$A$407="","",123.3)</f>
        <v>123.3</v>
      </c>
      <c r="AC407">
        <f>IF(履歴データ!$A$407="","",SUM(T407:AA407))</f>
        <v>19534.338136664534</v>
      </c>
      <c r="AD407" s="29">
        <f>IF(履歴データ!$A$407="","",AC407/1000000)</f>
        <v>1.9534338136664532E-2</v>
      </c>
      <c r="AE407" s="29">
        <f>IF(履歴データ!$A$407="",AE406,AE406+AC407/1000000)</f>
        <v>80.749638801332722</v>
      </c>
      <c r="AF407" s="12">
        <f>IF(OR(履歴データ!$A$407="",AE406=0),"",(AE407-AE406)/AE406)</f>
        <v>2.419709260449549E-4</v>
      </c>
      <c r="AG407" s="29">
        <f t="shared" si="20"/>
        <v>102.17217746631495</v>
      </c>
      <c r="AH407" s="12">
        <f>IF(OR(履歴データ!$A$407="",AG407=0),"",AE407/AG407-1)</f>
        <v>-0.20967096127558804</v>
      </c>
      <c r="AJ407" s="28">
        <f t="shared" ca="1" si="18"/>
        <v>-14.597779217648398</v>
      </c>
      <c r="AK407" s="28">
        <f t="shared" ca="1" si="19"/>
        <v>-38.616506496637314</v>
      </c>
    </row>
    <row r="408" spans="1:37">
      <c r="A408" s="10">
        <f>IF(履歴データ!$A$408="","",履歴データ!$A$408)</f>
        <v>45519</v>
      </c>
      <c r="B408" s="28">
        <f>IF(履歴データ!$A$408="","",(履歴データ!$D$408-(履歴データ!$B$408+履歴データ!$F$408)/2)*100)</f>
        <v>-20.999999999999996</v>
      </c>
      <c r="C408" s="28">
        <f>IF(履歴データ!$A$408="","",(履歴データ!$H$408-(履歴データ!$G$408+履歴データ!$J$408)/2)*100)</f>
        <v>-32.500000000000014</v>
      </c>
      <c r="D408" s="28">
        <f>IF(履歴データ!$A$408="","",(履歴データ!$D$408-履歴データ!$H$408)*100)</f>
        <v>305.90000000000003</v>
      </c>
      <c r="E408" s="28">
        <f>IF(履歴データ!$A$408="","",(履歴データ!$D$408-履歴データ!$C$408)*100)</f>
        <v>12.999999999999989</v>
      </c>
      <c r="F408" s="28">
        <f>IF(履歴データ!$A$408="","",(履歴データ!$R$408-履歴データ!$D$408)*100)</f>
        <v>-246.65999999999997</v>
      </c>
      <c r="G408" s="28">
        <f>IF(履歴データ!$A$408="","",(履歴データ!$S$408-履歴データ!$R$408)*100)</f>
        <v>-66.007178588867333</v>
      </c>
      <c r="H408" s="29">
        <f>IF(履歴データ!$A$408="","",履歴データ!$O$408)</f>
        <v>149.22200012207031</v>
      </c>
      <c r="I408" s="29">
        <f>IF(履歴データ!$A$408="","",履歴データ!$Q$408)</f>
        <v>112.953125</v>
      </c>
      <c r="J408" s="29">
        <f>IF(履歴データ!$A$408="","",履歴データ!$D$408)</f>
        <v>3.92</v>
      </c>
      <c r="K408" s="28">
        <f>IF(OR(履歴データ!$A$408="",履歴データ!$A$407=""),"",B408-B407)</f>
        <v>-0.99999999999997868</v>
      </c>
      <c r="L408" s="28">
        <f>IF(OR(履歴データ!$A$408="",履歴データ!$A$407=""),"",C408-C407)</f>
        <v>1.5499999999999901</v>
      </c>
      <c r="M408" s="28">
        <f>IF(OR(履歴データ!$A$408="",履歴データ!$A$407=""),"",D408-D407)</f>
        <v>6.2000000000000455</v>
      </c>
      <c r="N408" s="28">
        <f>IF(OR(履歴データ!$A$408="",履歴データ!$A$407=""),"",E408-E407)</f>
        <v>-3.0000000000000249</v>
      </c>
      <c r="O408" s="28">
        <f>IF(OR(履歴データ!$A$408="",履歴データ!$A$407=""),"",F408-F407)</f>
        <v>-16.729999999999961</v>
      </c>
      <c r="P408" s="28">
        <f>IF(OR(履歴データ!$A$408="",履歴データ!$A$407=""),"",G408-G407)</f>
        <v>12.114999999999895</v>
      </c>
      <c r="Q408" s="29">
        <f>IF(OR(履歴データ!$A$408="",履歴データ!$A$407=""),"",H408-H407)</f>
        <v>1.968994140625</v>
      </c>
      <c r="R408" s="29">
        <f>IF(OR(履歴データ!$A$408="",履歴データ!$A$407=""),"",I408-I407)</f>
        <v>-0.8125</v>
      </c>
      <c r="S408" s="28">
        <f>IF(OR(履歴データ!$A$408="",履歴データ!$A$407=""),"",(J408-J407)*100)</f>
        <v>8.9999999999999858</v>
      </c>
      <c r="T408" s="11">
        <f>IF(OR(履歴データ!$A$408="",履歴データ!$A$407=""),"",-80000*K408)</f>
        <v>79999.999999998297</v>
      </c>
      <c r="U408" s="11">
        <f>IF(OR(履歴データ!$A$408="",履歴データ!$A$407=""),"",60000*L408)</f>
        <v>92999.999999999403</v>
      </c>
      <c r="V408" s="11">
        <f>IF(OR(履歴データ!$A$408="",履歴データ!$A$407=""),"",-50000*M408)</f>
        <v>-310000.00000000227</v>
      </c>
      <c r="W408" s="11">
        <f>IF(OR(履歴データ!$A$408="",履歴データ!$A$407=""),"",-40000*N408)</f>
        <v>120000.00000000099</v>
      </c>
      <c r="X408" s="11">
        <f>IF(OR(履歴データ!$A$408="",履歴データ!$A$407=""),"",120*1000000*(-Q408/H407))</f>
        <v>-1604580.4654390041</v>
      </c>
      <c r="Y408" s="11">
        <f>IF(OR(履歴データ!$A$408="",履歴データ!$A$407=""),"",40000*(-S408)+(-506.3)*R408*1000)</f>
        <v>51368.75000000064</v>
      </c>
      <c r="Z408" s="11">
        <f>IF(OR(履歴データ!$A$408="",履歴データ!$A$407=""),"",-40000*O408)</f>
        <v>669199.99999999849</v>
      </c>
      <c r="AA408" s="11">
        <f>IF(OR(履歴データ!$A$408="",履歴データ!$A$407=""),"",-40000*P408)</f>
        <v>-484599.99999999581</v>
      </c>
      <c r="AB408" s="11">
        <f>IF(履歴データ!$A$408="","",123.3)</f>
        <v>123.3</v>
      </c>
      <c r="AC408">
        <f>IF(履歴データ!$A$408="","",SUM(T408:AA408))</f>
        <v>-1385611.7154390044</v>
      </c>
      <c r="AD408" s="29">
        <f>IF(履歴データ!$A$408="","",AC408/1000000)</f>
        <v>-1.3856117154390044</v>
      </c>
      <c r="AE408" s="29">
        <f>IF(履歴データ!$A$408="",AE407,AE407+AC408/1000000)</f>
        <v>79.364027085893724</v>
      </c>
      <c r="AF408" s="12">
        <f>IF(OR(履歴データ!$A$408="",AE407=0),"",(AE408-AE407)/AE407)</f>
        <v>-1.7159354964398046E-2</v>
      </c>
      <c r="AG408" s="29">
        <f t="shared" si="20"/>
        <v>102.17217746631495</v>
      </c>
      <c r="AH408" s="12">
        <f>IF(OR(履歴データ!$A$408="",AG408=0),"",AE408/AG408-1)</f>
        <v>-0.22323249778973164</v>
      </c>
      <c r="AJ408" s="28">
        <f t="shared" ca="1" si="18"/>
        <v>-14.679524077486496</v>
      </c>
      <c r="AK408" s="28">
        <f t="shared" ca="1" si="19"/>
        <v>-38.356190208227787</v>
      </c>
    </row>
    <row r="409" spans="1:37">
      <c r="A409" s="10">
        <f>IF(履歴データ!$A$409="","",履歴データ!$A$409)</f>
        <v>45520</v>
      </c>
      <c r="B409" s="28">
        <f>IF(履歴データ!$A$409="","",(履歴データ!$D$409-(履歴データ!$B$409+履歴データ!$F$409)/2)*100)</f>
        <v>-21.500000000000028</v>
      </c>
      <c r="C409" s="28">
        <f>IF(履歴データ!$A$409="","",(履歴データ!$H$409-(履歴データ!$G$409+履歴データ!$J$409)/2)*100)</f>
        <v>-31.449999999999989</v>
      </c>
      <c r="D409" s="28">
        <f>IF(履歴データ!$A$409="","",(履歴データ!$D$409-履歴データ!$H$409)*100)</f>
        <v>299.2</v>
      </c>
      <c r="E409" s="28">
        <f>IF(履歴データ!$A$409="","",(履歴データ!$D$409-履歴データ!$C$409)*100)</f>
        <v>12.000000000000011</v>
      </c>
      <c r="F409" s="28">
        <f>IF(履歴データ!$A$409="","",(履歴データ!$R$409-履歴データ!$D$409)*100)</f>
        <v>-228.34000000000003</v>
      </c>
      <c r="G409" s="28">
        <f>IF(履歴データ!$A$409="","",(履歴データ!$S$409-履歴データ!$R$409)*100)</f>
        <v>-77.994642822265774</v>
      </c>
      <c r="H409" s="29">
        <f>IF(履歴データ!$A$409="","",履歴データ!$O$409)</f>
        <v>149.22200012207031</v>
      </c>
      <c r="I409" s="29">
        <f>IF(履歴データ!$A$409="","",履歴データ!$Q$409)</f>
        <v>113.109375</v>
      </c>
      <c r="J409" s="29">
        <f>IF(履歴データ!$A$409="","",履歴データ!$D$409)</f>
        <v>3.89</v>
      </c>
      <c r="K409" s="28">
        <f>IF(OR(履歴データ!$A$409="",履歴データ!$A$408=""),"",B409-B408)</f>
        <v>-0.50000000000003197</v>
      </c>
      <c r="L409" s="28">
        <f>IF(OR(履歴データ!$A$409="",履歴データ!$A$408=""),"",C409-C408)</f>
        <v>1.0500000000000256</v>
      </c>
      <c r="M409" s="28">
        <f>IF(OR(履歴データ!$A$409="",履歴データ!$A$408=""),"",D409-D408)</f>
        <v>-6.7000000000000455</v>
      </c>
      <c r="N409" s="28">
        <f>IF(OR(履歴データ!$A$409="",履歴データ!$A$408=""),"",E409-E408)</f>
        <v>-0.99999999999997868</v>
      </c>
      <c r="O409" s="28">
        <f>IF(OR(履歴データ!$A$409="",履歴データ!$A$408=""),"",F409-F408)</f>
        <v>18.319999999999936</v>
      </c>
      <c r="P409" s="28">
        <f>IF(OR(履歴データ!$A$409="",履歴データ!$A$408=""),"",G409-G408)</f>
        <v>-11.987464233398441</v>
      </c>
      <c r="Q409" s="29">
        <f>IF(OR(履歴データ!$A$409="",履歴データ!$A$408=""),"",H409-H408)</f>
        <v>0</v>
      </c>
      <c r="R409" s="29">
        <f>IF(OR(履歴データ!$A$409="",履歴データ!$A$408=""),"",I409-I408)</f>
        <v>0.15625</v>
      </c>
      <c r="S409" s="28">
        <f>IF(OR(履歴データ!$A$409="",履歴データ!$A$408=""),"",(J409-J408)*100)</f>
        <v>-2.9999999999999805</v>
      </c>
      <c r="T409" s="11">
        <f>IF(OR(履歴データ!$A$409="",履歴データ!$A$408=""),"",-80000*K409)</f>
        <v>40000.000000002561</v>
      </c>
      <c r="U409" s="11">
        <f>IF(OR(履歴データ!$A$409="",履歴データ!$A$408=""),"",60000*L409)</f>
        <v>63000.000000001535</v>
      </c>
      <c r="V409" s="11">
        <f>IF(OR(履歴データ!$A$409="",履歴データ!$A$408=""),"",-50000*M409)</f>
        <v>335000.00000000227</v>
      </c>
      <c r="W409" s="11">
        <f>IF(OR(履歴データ!$A$409="",履歴データ!$A$408=""),"",-40000*N409)</f>
        <v>39999.999999999149</v>
      </c>
      <c r="X409" s="11">
        <f>IF(OR(履歴データ!$A$409="",履歴データ!$A$408=""),"",120*1000000*(-Q409/H408))</f>
        <v>0</v>
      </c>
      <c r="Y409" s="11">
        <f>IF(OR(履歴データ!$A$409="",履歴データ!$A$408=""),"",40000*(-S409)+(-506.3)*R409*1000)</f>
        <v>40890.624999999214</v>
      </c>
      <c r="Z409" s="11">
        <f>IF(OR(履歴データ!$A$409="",履歴データ!$A$408=""),"",-40000*O409)</f>
        <v>-732799.99999999744</v>
      </c>
      <c r="AA409" s="11">
        <f>IF(OR(履歴データ!$A$409="",履歴データ!$A$408=""),"",-40000*P409)</f>
        <v>479498.56933593762</v>
      </c>
      <c r="AB409" s="11">
        <f>IF(履歴データ!$A$409="","",123.3)</f>
        <v>123.3</v>
      </c>
      <c r="AC409">
        <f>IF(履歴データ!$A$409="","",SUM(T409:AA409))</f>
        <v>265589.19433594495</v>
      </c>
      <c r="AD409" s="29">
        <f>IF(履歴データ!$A$409="","",AC409/1000000)</f>
        <v>0.26558919433594497</v>
      </c>
      <c r="AE409" s="29">
        <f>IF(履歴データ!$A$409="",AE408,AE408+AC409/1000000)</f>
        <v>79.629616280229669</v>
      </c>
      <c r="AF409" s="12">
        <f>IF(OR(履歴データ!$A$409="",AE408=0),"",(AE409-AE408)/AE408)</f>
        <v>3.3464682185104385E-3</v>
      </c>
      <c r="AG409" s="29">
        <f t="shared" si="20"/>
        <v>102.17217746631495</v>
      </c>
      <c r="AH409" s="12">
        <f>IF(OR(履歴データ!$A$409="",AG409=0),"",AE409/AG409-1)</f>
        <v>-0.22063307003041333</v>
      </c>
      <c r="AJ409" s="28">
        <f t="shared" ca="1" si="18"/>
        <v>-14.728047308112957</v>
      </c>
      <c r="AK409" s="28">
        <f t="shared" ca="1" si="19"/>
        <v>-38.152905072839424</v>
      </c>
    </row>
    <row r="410" spans="1:37">
      <c r="A410" s="10">
        <f>IF(履歴データ!$A$410="","",履歴データ!$A$410)</f>
        <v>45523</v>
      </c>
      <c r="B410" s="28">
        <f>IF(履歴データ!$A$410="","",(履歴データ!$D$410-(履歴データ!$B$410+履歴データ!$F$410)/2)*100)</f>
        <v>-22.500000000000007</v>
      </c>
      <c r="C410" s="28">
        <f>IF(履歴データ!$A$410="","",(履歴データ!$H$410-(履歴データ!$G$410+履歴データ!$J$410)/2)*100)</f>
        <v>-31.95</v>
      </c>
      <c r="D410" s="28">
        <f>IF(履歴データ!$A$410="","",(履歴データ!$D$410-履歴データ!$H$410)*100)</f>
        <v>294.59999999999997</v>
      </c>
      <c r="E410" s="28">
        <f>IF(履歴データ!$A$410="","",(履歴データ!$D$410-履歴データ!$C$410)*100)</f>
        <v>10.999999999999988</v>
      </c>
      <c r="F410" s="28">
        <f>IF(履歴データ!$A$410="","",(履歴データ!$R$410-履歴データ!$D$410)*100)</f>
        <v>-223.01000000000002</v>
      </c>
      <c r="G410" s="28">
        <f>IF(履歴データ!$A$410="","",(履歴データ!$S$410-履歴データ!$R$410)*100)</f>
        <v>-80.850821411132827</v>
      </c>
      <c r="H410" s="29">
        <f>IF(履歴データ!$A$410="","",履歴データ!$O$410)</f>
        <v>146.69900512695313</v>
      </c>
      <c r="I410" s="29">
        <f>IF(履歴データ!$A$410="","",履歴データ!$Q$410)</f>
        <v>113.21875</v>
      </c>
      <c r="J410" s="29">
        <f>IF(履歴データ!$A$410="","",履歴データ!$D$410)</f>
        <v>3.86</v>
      </c>
      <c r="K410" s="28">
        <f>IF(OR(履歴データ!$A$410="",履歴データ!$A$409=""),"",B410-B409)</f>
        <v>-0.99999999999997868</v>
      </c>
      <c r="L410" s="28">
        <f>IF(OR(履歴データ!$A$410="",履歴データ!$A$409=""),"",C410-C409)</f>
        <v>-0.50000000000001066</v>
      </c>
      <c r="M410" s="28">
        <f>IF(OR(履歴データ!$A$410="",履歴データ!$A$409=""),"",D410-D409)</f>
        <v>-4.6000000000000227</v>
      </c>
      <c r="N410" s="28">
        <f>IF(OR(履歴データ!$A$410="",履歴データ!$A$409=""),"",E410-E409)</f>
        <v>-1.0000000000000231</v>
      </c>
      <c r="O410" s="28">
        <f>IF(OR(履歴データ!$A$410="",履歴データ!$A$409=""),"",F410-F409)</f>
        <v>5.3300000000000125</v>
      </c>
      <c r="P410" s="28">
        <f>IF(OR(履歴データ!$A$410="",履歴データ!$A$409=""),"",G410-G409)</f>
        <v>-2.8561785888670528</v>
      </c>
      <c r="Q410" s="29">
        <f>IF(OR(履歴データ!$A$410="",履歴データ!$A$409=""),"",H410-H409)</f>
        <v>-2.5229949951171875</v>
      </c>
      <c r="R410" s="29">
        <f>IF(OR(履歴データ!$A$410="",履歴データ!$A$409=""),"",I410-I409)</f>
        <v>0.109375</v>
      </c>
      <c r="S410" s="28">
        <f>IF(OR(履歴データ!$A$410="",履歴データ!$A$409=""),"",(J410-J409)*100)</f>
        <v>-3.0000000000000249</v>
      </c>
      <c r="T410" s="11">
        <f>IF(OR(履歴データ!$A$410="",履歴データ!$A$409=""),"",-80000*K410)</f>
        <v>79999.999999998297</v>
      </c>
      <c r="U410" s="11">
        <f>IF(OR(履歴データ!$A$410="",履歴データ!$A$409=""),"",60000*L410)</f>
        <v>-30000.00000000064</v>
      </c>
      <c r="V410" s="11">
        <f>IF(OR(履歴データ!$A$410="",履歴データ!$A$409=""),"",-50000*M410)</f>
        <v>230000.00000000114</v>
      </c>
      <c r="W410" s="11">
        <f>IF(OR(履歴データ!$A$410="",履歴データ!$A$409=""),"",-40000*N410)</f>
        <v>40000.000000000924</v>
      </c>
      <c r="X410" s="11">
        <f>IF(OR(履歴データ!$A$410="",履歴データ!$A$409=""),"",120*1000000*(-Q410/H409))</f>
        <v>2028919.3226628227</v>
      </c>
      <c r="Y410" s="11">
        <f>IF(OR(履歴データ!$A$410="",履歴データ!$A$409=""),"",40000*(-S410)+(-506.3)*R410*1000)</f>
        <v>64623.43750000099</v>
      </c>
      <c r="Z410" s="11">
        <f>IF(OR(履歴データ!$A$410="",履歴データ!$A$409=""),"",-40000*O410)</f>
        <v>-213200.00000000049</v>
      </c>
      <c r="AA410" s="11">
        <f>IF(OR(履歴データ!$A$410="",履歴データ!$A$409=""),"",-40000*P410)</f>
        <v>114247.14355468212</v>
      </c>
      <c r="AB410" s="11">
        <f>IF(履歴データ!$A$410="","",123.3)</f>
        <v>123.3</v>
      </c>
      <c r="AC410">
        <f>IF(履歴データ!$A$410="","",SUM(T410:AA410))</f>
        <v>2314589.9037175048</v>
      </c>
      <c r="AD410" s="29">
        <f>IF(履歴データ!$A$410="","",AC410/1000000)</f>
        <v>2.3145899037175046</v>
      </c>
      <c r="AE410" s="29">
        <f>IF(履歴データ!$A$410="",AE409,AE409+AC410/1000000)</f>
        <v>81.944206183947173</v>
      </c>
      <c r="AF410" s="12">
        <f>IF(OR(履歴データ!$A$410="",AE409=0),"",(AE410-AE409)/AE409)</f>
        <v>2.9066947849806068E-2</v>
      </c>
      <c r="AG410" s="29">
        <f t="shared" si="20"/>
        <v>102.17217746631495</v>
      </c>
      <c r="AH410" s="12">
        <f>IF(OR(履歴データ!$A$410="",AG410=0),"",AE410/AG410-1)</f>
        <v>-0.19797925212112388</v>
      </c>
      <c r="AJ410" s="28">
        <f t="shared" ca="1" si="18"/>
        <v>-14.767318338359848</v>
      </c>
      <c r="AK410" s="28">
        <f t="shared" ca="1" si="19"/>
        <v>-37.978713407671897</v>
      </c>
    </row>
    <row r="411" spans="1:37">
      <c r="A411" s="10">
        <f>IF(履歴データ!$A$411="","",履歴データ!$A$411)</f>
        <v>45524</v>
      </c>
      <c r="B411" s="28">
        <f>IF(履歴データ!$A$411="","",(履歴データ!$D$411-(履歴データ!$B$411+履歴データ!$F$411)/2)*100)</f>
        <v>-21.000000000000043</v>
      </c>
      <c r="C411" s="28">
        <f>IF(履歴データ!$A$411="","",(履歴データ!$H$411-(履歴データ!$G$411+履歴データ!$J$411)/2)*100)</f>
        <v>-32.449999999999989</v>
      </c>
      <c r="D411" s="28">
        <f>IF(履歴データ!$A$411="","",(履歴データ!$D$411-履歴データ!$H$411)*100)</f>
        <v>290.39999999999998</v>
      </c>
      <c r="E411" s="28">
        <f>IF(履歴データ!$A$411="","",(履歴データ!$D$411-履歴データ!$C$411)*100)</f>
        <v>11.999999999999966</v>
      </c>
      <c r="F411" s="28">
        <f>IF(履歴データ!$A$411="","",(履歴データ!$R$411-履歴データ!$D$411)*100)</f>
        <v>-220.10999999999999</v>
      </c>
      <c r="G411" s="28">
        <f>IF(履歴データ!$A$411="","",(履歴データ!$S$411-履歴データ!$R$411)*100)</f>
        <v>-79.926178588867458</v>
      </c>
      <c r="H411" s="29">
        <f>IF(履歴データ!$A$411="","",履歴データ!$O$411)</f>
        <v>145.34700012207031</v>
      </c>
      <c r="I411" s="29">
        <f>IF(履歴データ!$A$411="","",履歴データ!$Q$411)</f>
        <v>113.5625</v>
      </c>
      <c r="J411" s="29">
        <f>IF(履歴データ!$A$411="","",履歴データ!$D$411)</f>
        <v>3.82</v>
      </c>
      <c r="K411" s="28">
        <f>IF(OR(履歴データ!$A$411="",履歴データ!$A$410=""),"",B411-B410)</f>
        <v>1.4999999999999645</v>
      </c>
      <c r="L411" s="28">
        <f>IF(OR(履歴データ!$A$411="",履歴データ!$A$410=""),"",C411-C410)</f>
        <v>-0.49999999999998934</v>
      </c>
      <c r="M411" s="28">
        <f>IF(OR(履歴データ!$A$411="",履歴データ!$A$410=""),"",D411-D410)</f>
        <v>-4.1999999999999886</v>
      </c>
      <c r="N411" s="28">
        <f>IF(OR(履歴データ!$A$411="",履歴データ!$A$410=""),"",E411-E410)</f>
        <v>0.99999999999997868</v>
      </c>
      <c r="O411" s="28">
        <f>IF(OR(履歴データ!$A$411="",履歴データ!$A$410=""),"",F411-F410)</f>
        <v>2.9000000000000341</v>
      </c>
      <c r="P411" s="28">
        <f>IF(OR(履歴データ!$A$411="",履歴データ!$A$410=""),"",G411-G410)</f>
        <v>0.92464282226536909</v>
      </c>
      <c r="Q411" s="29">
        <f>IF(OR(履歴データ!$A$411="",履歴データ!$A$410=""),"",H411-H410)</f>
        <v>-1.3520050048828125</v>
      </c>
      <c r="R411" s="29">
        <f>IF(OR(履歴データ!$A$411="",履歴データ!$A$410=""),"",I411-I410)</f>
        <v>0.34375</v>
      </c>
      <c r="S411" s="28">
        <f>IF(OR(履歴データ!$A$411="",履歴データ!$A$410=""),"",(J411-J410)*100)</f>
        <v>-4.0000000000000036</v>
      </c>
      <c r="T411" s="11">
        <f>IF(OR(履歴データ!$A$411="",履歴データ!$A$410=""),"",-80000*K411)</f>
        <v>-119999.99999999716</v>
      </c>
      <c r="U411" s="11">
        <f>IF(OR(履歴データ!$A$411="",履歴データ!$A$410=""),"",60000*L411)</f>
        <v>-29999.99999999936</v>
      </c>
      <c r="V411" s="11">
        <f>IF(OR(履歴データ!$A$411="",履歴データ!$A$410=""),"",-50000*M411)</f>
        <v>209999.99999999942</v>
      </c>
      <c r="W411" s="11">
        <f>IF(OR(履歴データ!$A$411="",履歴データ!$A$410=""),"",-40000*N411)</f>
        <v>-39999.999999999149</v>
      </c>
      <c r="X411" s="11">
        <f>IF(OR(履歴データ!$A$411="",履歴データ!$A$410=""),"",120*1000000*(-Q411/H410))</f>
        <v>1105942.0644709533</v>
      </c>
      <c r="Y411" s="11">
        <f>IF(OR(履歴データ!$A$411="",履歴データ!$A$410=""),"",40000*(-S411)+(-506.3)*R411*1000)</f>
        <v>-14040.624999999854</v>
      </c>
      <c r="Z411" s="11">
        <f>IF(OR(履歴データ!$A$411="",履歴データ!$A$410=""),"",-40000*O411)</f>
        <v>-116000.00000000137</v>
      </c>
      <c r="AA411" s="11">
        <f>IF(OR(履歴データ!$A$411="",履歴データ!$A$410=""),"",-40000*P411)</f>
        <v>-36985.712890614763</v>
      </c>
      <c r="AB411" s="11">
        <f>IF(履歴データ!$A$411="","",123.3)</f>
        <v>123.3</v>
      </c>
      <c r="AC411">
        <f>IF(履歴データ!$A$411="","",SUM(T411:AA411))</f>
        <v>958915.72658034111</v>
      </c>
      <c r="AD411" s="29">
        <f>IF(履歴データ!$A$411="","",AC411/1000000)</f>
        <v>0.95891572658034108</v>
      </c>
      <c r="AE411" s="29">
        <f>IF(履歴データ!$A$411="",AE410,AE410+AC411/1000000)</f>
        <v>82.903121910527517</v>
      </c>
      <c r="AF411" s="12">
        <f>IF(OR(履歴データ!$A$411="",AE410=0),"",(AE411-AE410)/AE410)</f>
        <v>1.1702056450797551E-2</v>
      </c>
      <c r="AG411" s="29">
        <f t="shared" si="20"/>
        <v>102.17217746631495</v>
      </c>
      <c r="AH411" s="12">
        <f>IF(OR(履歴データ!$A$411="",AG411=0),"",AE411/AG411-1)</f>
        <v>-0.18859396005473439</v>
      </c>
      <c r="AJ411" s="28">
        <f t="shared" ca="1" si="18"/>
        <v>-14.767955514012595</v>
      </c>
      <c r="AK411" s="28">
        <f t="shared" ca="1" si="19"/>
        <v>-37.847123851066769</v>
      </c>
    </row>
    <row r="412" spans="1:37">
      <c r="A412" s="10">
        <f>IF(履歴データ!$A$412="","",履歴データ!$A$412)</f>
        <v>45525</v>
      </c>
      <c r="B412" s="28">
        <f>IF(履歴データ!$A$412="","",(履歴データ!$D$412-(履歴データ!$B$412+履歴データ!$F$412)/2)*100)</f>
        <v>-19.999999999999972</v>
      </c>
      <c r="C412" s="28">
        <f>IF(履歴データ!$A$412="","",(履歴データ!$H$412-(履歴データ!$G$412+履歴データ!$J$412)/2)*100)</f>
        <v>-33.099999999999987</v>
      </c>
      <c r="D412" s="28">
        <f>IF(履歴データ!$A$412="","",(履歴データ!$D$412-履歴データ!$H$412)*100)</f>
        <v>289.40000000000003</v>
      </c>
      <c r="E412" s="28">
        <f>IF(履歴データ!$A$412="","",(履歴データ!$D$412-履歴データ!$C$412)*100)</f>
        <v>14.999999999999991</v>
      </c>
      <c r="F412" s="28">
        <f>IF(履歴データ!$A$412="","",(履歴データ!$R$412-履歴データ!$D$412)*100)</f>
        <v>-223.40999999999997</v>
      </c>
      <c r="G412" s="28">
        <f>IF(履歴データ!$A$412="","",(履歴データ!$S$412-履歴データ!$R$412)*100)</f>
        <v>-74.152357177734515</v>
      </c>
      <c r="H412" s="29">
        <f>IF(履歴データ!$A$412="","",履歴データ!$O$412)</f>
        <v>145.11799621582031</v>
      </c>
      <c r="I412" s="29">
        <f>IF(履歴データ!$A$412="","",履歴データ!$Q$412)</f>
        <v>113.890625</v>
      </c>
      <c r="J412" s="29">
        <f>IF(履歴データ!$A$412="","",履歴データ!$D$412)</f>
        <v>3.79</v>
      </c>
      <c r="K412" s="28">
        <f>IF(OR(履歴データ!$A$412="",履歴データ!$A$411=""),"",B412-B411)</f>
        <v>1.0000000000000711</v>
      </c>
      <c r="L412" s="28">
        <f>IF(OR(履歴データ!$A$412="",履歴データ!$A$411=""),"",C412-C411)</f>
        <v>-0.64999999999999858</v>
      </c>
      <c r="M412" s="28">
        <f>IF(OR(履歴データ!$A$412="",履歴データ!$A$411=""),"",D412-D411)</f>
        <v>-0.99999999999994316</v>
      </c>
      <c r="N412" s="28">
        <f>IF(OR(履歴データ!$A$412="",履歴データ!$A$411=""),"",E412-E411)</f>
        <v>3.0000000000000249</v>
      </c>
      <c r="O412" s="28">
        <f>IF(OR(履歴データ!$A$412="",履歴データ!$A$411=""),"",F412-F411)</f>
        <v>-3.2999999999999829</v>
      </c>
      <c r="P412" s="28">
        <f>IF(OR(履歴データ!$A$412="",履歴データ!$A$411=""),"",G412-G411)</f>
        <v>5.7738214111329427</v>
      </c>
      <c r="Q412" s="29">
        <f>IF(OR(履歴データ!$A$412="",履歴データ!$A$411=""),"",H412-H411)</f>
        <v>-0.22900390625</v>
      </c>
      <c r="R412" s="29">
        <f>IF(OR(履歴データ!$A$412="",履歴データ!$A$411=""),"",I412-I411)</f>
        <v>0.328125</v>
      </c>
      <c r="S412" s="28">
        <f>IF(OR(履歴データ!$A$412="",履歴データ!$A$411=""),"",(J412-J411)*100)</f>
        <v>-2.9999999999999805</v>
      </c>
      <c r="T412" s="11">
        <f>IF(OR(履歴データ!$A$412="",履歴データ!$A$411=""),"",-80000*K412)</f>
        <v>-80000.00000000569</v>
      </c>
      <c r="U412" s="11">
        <f>IF(OR(履歴データ!$A$412="",履歴データ!$A$411=""),"",60000*L412)</f>
        <v>-38999.999999999913</v>
      </c>
      <c r="V412" s="11">
        <f>IF(OR(履歴データ!$A$412="",履歴データ!$A$411=""),"",-50000*M412)</f>
        <v>49999.999999997155</v>
      </c>
      <c r="W412" s="11">
        <f>IF(OR(履歴データ!$A$412="",履歴データ!$A$411=""),"",-40000*N412)</f>
        <v>-120000.00000000099</v>
      </c>
      <c r="X412" s="11">
        <f>IF(OR(履歴データ!$A$412="",履歴データ!$A$411=""),"",120*1000000*(-Q412/H411))</f>
        <v>189068.01466091772</v>
      </c>
      <c r="Y412" s="11">
        <f>IF(OR(履歴データ!$A$412="",履歴データ!$A$411=""),"",40000*(-S412)+(-506.3)*R412*1000)</f>
        <v>-46129.687500000815</v>
      </c>
      <c r="Z412" s="11">
        <f>IF(OR(履歴データ!$A$412="",履歴データ!$A$411=""),"",-40000*O412)</f>
        <v>131999.99999999933</v>
      </c>
      <c r="AA412" s="11">
        <f>IF(OR(履歴データ!$A$412="",履歴データ!$A$411=""),"",-40000*P412)</f>
        <v>-230952.85644531771</v>
      </c>
      <c r="AB412" s="11">
        <f>IF(履歴データ!$A$412="","",123.3)</f>
        <v>123.3</v>
      </c>
      <c r="AC412">
        <f>IF(履歴データ!$A$412="","",SUM(T412:AA412))</f>
        <v>-145014.52928441091</v>
      </c>
      <c r="AD412" s="29">
        <f>IF(履歴データ!$A$412="","",AC412/1000000)</f>
        <v>-0.14501452928441091</v>
      </c>
      <c r="AE412" s="29">
        <f>IF(履歴データ!$A$412="",AE411,AE411+AC412/1000000)</f>
        <v>82.758107381243107</v>
      </c>
      <c r="AF412" s="12">
        <f>IF(OR(履歴データ!$A$412="",AE411=0),"",(AE412-AE411)/AE411)</f>
        <v>-1.7492046854509957E-3</v>
      </c>
      <c r="AG412" s="29">
        <f t="shared" si="20"/>
        <v>102.17217746631495</v>
      </c>
      <c r="AH412" s="12">
        <f>IF(OR(履歴データ!$A$412="",AG412=0),"",AE412/AG412-1)</f>
        <v>-0.19001327530160983</v>
      </c>
      <c r="AJ412" s="28">
        <f t="shared" ca="1" si="18"/>
        <v>-14.777628868202829</v>
      </c>
      <c r="AK412" s="28">
        <f t="shared" ca="1" si="19"/>
        <v>-37.686656846082883</v>
      </c>
    </row>
    <row r="413" spans="1:37">
      <c r="A413" s="10">
        <f>IF(履歴データ!$A$413="","",履歴データ!$A$413)</f>
        <v>45526</v>
      </c>
      <c r="B413" s="28">
        <f>IF(履歴データ!$A$413="","",(履歴データ!$D$413-(履歴データ!$B$413+履歴データ!$F$413)/2)*100)</f>
        <v>-20.000000000000064</v>
      </c>
      <c r="C413" s="28">
        <f>IF(履歴データ!$A$413="","",(履歴データ!$H$413-(履歴データ!$G$413+履歴データ!$J$413)/2)*100)</f>
        <v>-32.449999999999989</v>
      </c>
      <c r="D413" s="28">
        <f>IF(履歴データ!$A$413="","",(履歴データ!$D$413-履歴データ!$H$413)*100)</f>
        <v>296</v>
      </c>
      <c r="E413" s="28">
        <f>IF(履歴データ!$A$413="","",(履歴データ!$D$413-履歴データ!$C$413)*100)</f>
        <v>13.999999999999968</v>
      </c>
      <c r="F413" s="28">
        <f>IF(履歴データ!$A$413="","",(履歴データ!$R$413-履歴データ!$D$413)*100)</f>
        <v>-230.45</v>
      </c>
      <c r="G413" s="28">
        <f>IF(履歴データ!$A$413="","",(履歴データ!$S$413-履歴データ!$R$413)*100)</f>
        <v>-68.499642822265884</v>
      </c>
      <c r="H413" s="29">
        <f>IF(履歴データ!$A$413="","",履歴データ!$O$413)</f>
        <v>146.20199584960938</v>
      </c>
      <c r="I413" s="29">
        <f>IF(履歴データ!$A$413="","",履歴データ!$Q$413)</f>
        <v>113.296875</v>
      </c>
      <c r="J413" s="29">
        <f>IF(履歴データ!$A$413="","",履歴データ!$D$413)</f>
        <v>3.86</v>
      </c>
      <c r="K413" s="28">
        <f>IF(OR(履歴データ!$A$413="",履歴データ!$A$412=""),"",B413-B412)</f>
        <v>-9.2370555648813024E-14</v>
      </c>
      <c r="L413" s="28">
        <f>IF(OR(履歴データ!$A$413="",履歴データ!$A$412=""),"",C413-C412)</f>
        <v>0.64999999999999858</v>
      </c>
      <c r="M413" s="28">
        <f>IF(OR(履歴データ!$A$413="",履歴データ!$A$412=""),"",D413-D412)</f>
        <v>6.5999999999999659</v>
      </c>
      <c r="N413" s="28">
        <f>IF(OR(履歴データ!$A$413="",履歴データ!$A$412=""),"",E413-E412)</f>
        <v>-1.0000000000000231</v>
      </c>
      <c r="O413" s="28">
        <f>IF(OR(履歴データ!$A$413="",履歴データ!$A$412=""),"",F413-F412)</f>
        <v>-7.0400000000000205</v>
      </c>
      <c r="P413" s="28">
        <f>IF(OR(履歴データ!$A$413="",履歴データ!$A$412=""),"",G413-G412)</f>
        <v>5.6527143554686319</v>
      </c>
      <c r="Q413" s="29">
        <f>IF(OR(履歴データ!$A$413="",履歴データ!$A$412=""),"",H413-H412)</f>
        <v>1.0839996337890625</v>
      </c>
      <c r="R413" s="29">
        <f>IF(OR(履歴データ!$A$413="",履歴データ!$A$412=""),"",I413-I412)</f>
        <v>-0.59375</v>
      </c>
      <c r="S413" s="28">
        <f>IF(OR(履歴データ!$A$413="",履歴データ!$A$412=""),"",(J413-J412)*100)</f>
        <v>6.999999999999984</v>
      </c>
      <c r="T413" s="11">
        <f>IF(OR(履歴データ!$A$413="",履歴データ!$A$412=""),"",-80000*K413)</f>
        <v>7.3896444519050419E-9</v>
      </c>
      <c r="U413" s="11">
        <f>IF(OR(履歴データ!$A$413="",履歴データ!$A$412=""),"",60000*L413)</f>
        <v>38999.999999999913</v>
      </c>
      <c r="V413" s="11">
        <f>IF(OR(履歴データ!$A$413="",履歴データ!$A$412=""),"",-50000*M413)</f>
        <v>-329999.99999999831</v>
      </c>
      <c r="W413" s="11">
        <f>IF(OR(履歴データ!$A$413="",履歴データ!$A$412=""),"",-40000*N413)</f>
        <v>40000.000000000924</v>
      </c>
      <c r="X413" s="11">
        <f>IF(OR(履歴データ!$A$413="",履歴データ!$A$412=""),"",120*1000000*(-Q413/H412))</f>
        <v>-896373.70585817518</v>
      </c>
      <c r="Y413" s="11">
        <f>IF(OR(履歴データ!$A$413="",履歴データ!$A$412=""),"",40000*(-S413)+(-506.3)*R413*1000)</f>
        <v>20615.62500000064</v>
      </c>
      <c r="Z413" s="11">
        <f>IF(OR(履歴データ!$A$413="",履歴データ!$A$412=""),"",-40000*O413)</f>
        <v>281600.00000000081</v>
      </c>
      <c r="AA413" s="11">
        <f>IF(OR(履歴データ!$A$413="",履歴データ!$A$412=""),"",-40000*P413)</f>
        <v>-226108.57421874529</v>
      </c>
      <c r="AB413" s="11">
        <f>IF(履歴データ!$A$413="","",123.3)</f>
        <v>123.3</v>
      </c>
      <c r="AC413">
        <f>IF(履歴データ!$A$413="","",SUM(T413:AA413))</f>
        <v>-1071266.6550769091</v>
      </c>
      <c r="AD413" s="29">
        <f>IF(履歴データ!$A$413="","",AC413/1000000)</f>
        <v>-1.0712666550769092</v>
      </c>
      <c r="AE413" s="29">
        <f>IF(履歴データ!$A$413="",AE412,AE412+AC413/1000000)</f>
        <v>81.686840726166196</v>
      </c>
      <c r="AF413" s="12">
        <f>IF(OR(履歴データ!$A$413="",AE412=0),"",(AE413-AE412)/AE412)</f>
        <v>-1.2944552370463115E-2</v>
      </c>
      <c r="AG413" s="29">
        <f t="shared" si="20"/>
        <v>102.17217746631495</v>
      </c>
      <c r="AH413" s="12">
        <f>IF(OR(履歴データ!$A$413="",AG413=0),"",AE413/AG413-1)</f>
        <v>-0.20049819087884801</v>
      </c>
      <c r="AJ413" s="28">
        <f t="shared" ca="1" si="18"/>
        <v>-14.764734490172623</v>
      </c>
      <c r="AK413" s="28">
        <f t="shared" ca="1" si="19"/>
        <v>-37.564630589192461</v>
      </c>
    </row>
    <row r="414" spans="1:37">
      <c r="A414" s="10">
        <f>IF(履歴データ!$A$414="","",履歴データ!$A$414)</f>
        <v>45527</v>
      </c>
      <c r="B414" s="28">
        <f>IF(履歴データ!$A$414="","",(履歴データ!$D$414-(履歴データ!$B$414+履歴データ!$F$414)/2)*100)</f>
        <v>-18.999999999999993</v>
      </c>
      <c r="C414" s="28">
        <f>IF(履歴データ!$A$414="","",(履歴データ!$H$414-(履歴データ!$G$414+履歴データ!$J$414)/2)*100)</f>
        <v>-30.999999999999982</v>
      </c>
      <c r="D414" s="28">
        <f>IF(履歴データ!$A$414="","",(履歴データ!$D$414-履歴データ!$H$414)*100)</f>
        <v>289.10000000000002</v>
      </c>
      <c r="E414" s="28">
        <f>IF(履歴データ!$A$414="","",(履歴データ!$D$414-履歴データ!$C$414)*100)</f>
        <v>16.000000000000014</v>
      </c>
      <c r="F414" s="28">
        <f>IF(履歴データ!$A$414="","",(履歴データ!$R$414-履歴データ!$D$414)*100)</f>
        <v>-216.23999999999998</v>
      </c>
      <c r="G414" s="28">
        <f>IF(履歴データ!$A$414="","",(履歴データ!$S$414-履歴データ!$R$414)*100)</f>
        <v>-82.094642822265769</v>
      </c>
      <c r="H414" s="29">
        <f>IF(履歴データ!$A$414="","",履歴データ!$O$414)</f>
        <v>146.20199584960938</v>
      </c>
      <c r="I414" s="29">
        <f>IF(履歴データ!$A$414="","",履歴データ!$Q$414)</f>
        <v>113.703125</v>
      </c>
      <c r="J414" s="29">
        <f>IF(履歴データ!$A$414="","",履歴データ!$D$414)</f>
        <v>3.81</v>
      </c>
      <c r="K414" s="28">
        <f>IF(OR(履歴データ!$A$414="",履歴データ!$A$413=""),"",B414-B413)</f>
        <v>1.0000000000000711</v>
      </c>
      <c r="L414" s="28">
        <f>IF(OR(履歴データ!$A$414="",履歴データ!$A$413=""),"",C414-C413)</f>
        <v>1.4500000000000064</v>
      </c>
      <c r="M414" s="28">
        <f>IF(OR(履歴データ!$A$414="",履歴データ!$A$413=""),"",D414-D413)</f>
        <v>-6.8999999999999773</v>
      </c>
      <c r="N414" s="28">
        <f>IF(OR(履歴データ!$A$414="",履歴データ!$A$413=""),"",E414-E413)</f>
        <v>2.0000000000000462</v>
      </c>
      <c r="O414" s="28">
        <f>IF(OR(履歴データ!$A$414="",履歴データ!$A$413=""),"",F414-F413)</f>
        <v>14.210000000000008</v>
      </c>
      <c r="P414" s="28">
        <f>IF(OR(履歴データ!$A$414="",履歴データ!$A$413=""),"",G414-G413)</f>
        <v>-13.594999999999885</v>
      </c>
      <c r="Q414" s="29">
        <f>IF(OR(履歴データ!$A$414="",履歴データ!$A$413=""),"",H414-H413)</f>
        <v>0</v>
      </c>
      <c r="R414" s="29">
        <f>IF(OR(履歴データ!$A$414="",履歴データ!$A$413=""),"",I414-I413)</f>
        <v>0.40625</v>
      </c>
      <c r="S414" s="28">
        <f>IF(OR(履歴データ!$A$414="",履歴データ!$A$413=""),"",(J414-J413)*100)</f>
        <v>-4.9999999999999822</v>
      </c>
      <c r="T414" s="11">
        <f>IF(OR(履歴データ!$A$414="",履歴データ!$A$413=""),"",-80000*K414)</f>
        <v>-80000.00000000569</v>
      </c>
      <c r="U414" s="11">
        <f>IF(OR(履歴データ!$A$414="",履歴データ!$A$413=""),"",60000*L414)</f>
        <v>87000.000000000378</v>
      </c>
      <c r="V414" s="11">
        <f>IF(OR(履歴データ!$A$414="",履歴データ!$A$413=""),"",-50000*M414)</f>
        <v>344999.99999999884</v>
      </c>
      <c r="W414" s="11">
        <f>IF(OR(履歴データ!$A$414="",履歴データ!$A$413=""),"",-40000*N414)</f>
        <v>-80000.000000001848</v>
      </c>
      <c r="X414" s="11">
        <f>IF(OR(履歴データ!$A$414="",履歴データ!$A$413=""),"",120*1000000*(-Q414/H413))</f>
        <v>0</v>
      </c>
      <c r="Y414" s="11">
        <f>IF(OR(履歴データ!$A$414="",履歴データ!$A$413=""),"",40000*(-S414)+(-506.3)*R414*1000)</f>
        <v>-5684.3750000007276</v>
      </c>
      <c r="Z414" s="11">
        <f>IF(OR(履歴データ!$A$414="",履歴データ!$A$413=""),"",-40000*O414)</f>
        <v>-568400.00000000035</v>
      </c>
      <c r="AA414" s="11">
        <f>IF(OR(履歴データ!$A$414="",履歴データ!$A$413=""),"",-40000*P414)</f>
        <v>543799.99999999546</v>
      </c>
      <c r="AB414" s="11">
        <f>IF(履歴データ!$A$414="","",123.3)</f>
        <v>123.3</v>
      </c>
      <c r="AC414">
        <f>IF(履歴データ!$A$414="","",SUM(T414:AA414))</f>
        <v>241715.62499998603</v>
      </c>
      <c r="AD414" s="29">
        <f>IF(履歴データ!$A$414="","",AC414/1000000)</f>
        <v>0.24171562499998603</v>
      </c>
      <c r="AE414" s="29">
        <f>IF(履歴データ!$A$414="",AE413,AE413+AC414/1000000)</f>
        <v>81.928556351166179</v>
      </c>
      <c r="AF414" s="12">
        <f>IF(OR(履歴データ!$A$414="",AE413=0),"",(AE414-AE413)/AE413)</f>
        <v>2.9590521906737947E-3</v>
      </c>
      <c r="AG414" s="29">
        <f t="shared" si="20"/>
        <v>102.17217746631495</v>
      </c>
      <c r="AH414" s="12">
        <f>IF(OR(履歴データ!$A$414="",AG414=0),"",AE414/AG414-1)</f>
        <v>-0.19813242329912051</v>
      </c>
      <c r="AJ414" s="28">
        <f t="shared" ca="1" si="18"/>
        <v>-14.752541469900235</v>
      </c>
      <c r="AK414" s="28">
        <f t="shared" ca="1" si="19"/>
        <v>-37.426029958671194</v>
      </c>
    </row>
    <row r="415" spans="1:37">
      <c r="A415" s="10">
        <f>IF(履歴データ!$A$415="","",履歴データ!$A$415)</f>
        <v>45530</v>
      </c>
      <c r="B415" s="28">
        <f>IF(履歴データ!$A$415="","",(履歴データ!$D$415-(履歴データ!$B$415+履歴データ!$F$415)/2)*100)</f>
        <v>-18.999999999999993</v>
      </c>
      <c r="C415" s="28">
        <f>IF(履歴データ!$A$415="","",(履歴データ!$H$415-(履歴データ!$G$415+履歴データ!$J$415)/2)*100)</f>
        <v>-31.849999999999991</v>
      </c>
      <c r="D415" s="28">
        <f>IF(履歴データ!$A$415="","",(履歴データ!$D$415-履歴データ!$H$415)*100)</f>
        <v>290.99999999999994</v>
      </c>
      <c r="E415" s="28">
        <f>IF(履歴データ!$A$415="","",(履歴データ!$D$415-履歴データ!$C$415)*100)</f>
        <v>15.99999999999997</v>
      </c>
      <c r="F415" s="28">
        <f>IF(履歴データ!$A$415="","",(履歴データ!$R$415-履歴データ!$D$415)*100)</f>
        <v>-217.07</v>
      </c>
      <c r="G415" s="28">
        <f>IF(履歴データ!$A$415="","",(履歴データ!$S$415-履歴データ!$R$415)*100)</f>
        <v>-82.44000000000004</v>
      </c>
      <c r="H415" s="29">
        <f>IF(履歴データ!$A$415="","",履歴データ!$O$415)</f>
        <v>144.51600646972656</v>
      </c>
      <c r="I415" s="29">
        <f>IF(履歴データ!$A$415="","",履歴データ!$Q$415)</f>
        <v>113.59375</v>
      </c>
      <c r="J415" s="29">
        <f>IF(履歴データ!$A$415="","",履歴データ!$D$415)</f>
        <v>3.82</v>
      </c>
      <c r="K415" s="28">
        <f>IF(OR(履歴データ!$A$415="",履歴データ!$A$414=""),"",B415-B414)</f>
        <v>0</v>
      </c>
      <c r="L415" s="28">
        <f>IF(OR(履歴データ!$A$415="",履歴データ!$A$414=""),"",C415-C414)</f>
        <v>-0.85000000000000853</v>
      </c>
      <c r="M415" s="28">
        <f>IF(OR(履歴データ!$A$415="",履歴データ!$A$414=""),"",D415-D414)</f>
        <v>1.8999999999999204</v>
      </c>
      <c r="N415" s="28">
        <f>IF(OR(履歴データ!$A$415="",履歴データ!$A$414=""),"",E415-E414)</f>
        <v>-4.4408920985006262E-14</v>
      </c>
      <c r="O415" s="28">
        <f>IF(OR(履歴データ!$A$415="",履歴データ!$A$414=""),"",F415-F414)</f>
        <v>-0.83000000000001251</v>
      </c>
      <c r="P415" s="28">
        <f>IF(OR(履歴データ!$A$415="",履歴データ!$A$414=""),"",G415-G414)</f>
        <v>-0.34535717773427166</v>
      </c>
      <c r="Q415" s="29">
        <f>IF(OR(履歴データ!$A$415="",履歴データ!$A$414=""),"",H415-H414)</f>
        <v>-1.6859893798828125</v>
      </c>
      <c r="R415" s="29">
        <f>IF(OR(履歴データ!$A$415="",履歴データ!$A$414=""),"",I415-I414)</f>
        <v>-0.109375</v>
      </c>
      <c r="S415" s="28">
        <f>IF(OR(履歴データ!$A$415="",履歴データ!$A$414=""),"",(J415-J414)*100)</f>
        <v>0.99999999999997868</v>
      </c>
      <c r="T415" s="11">
        <f>IF(OR(履歴データ!$A$415="",履歴データ!$A$414=""),"",-80000*K415)</f>
        <v>0</v>
      </c>
      <c r="U415" s="11">
        <f>IF(OR(履歴データ!$A$415="",履歴データ!$A$414=""),"",60000*L415)</f>
        <v>-51000.000000000509</v>
      </c>
      <c r="V415" s="11">
        <f>IF(OR(履歴データ!$A$415="",履歴データ!$A$414=""),"",-50000*M415)</f>
        <v>-94999.999999996027</v>
      </c>
      <c r="W415" s="11">
        <f>IF(OR(履歴データ!$A$415="",履歴データ!$A$414=""),"",-40000*N415)</f>
        <v>1.7763568394002505E-9</v>
      </c>
      <c r="X415" s="11">
        <f>IF(OR(履歴データ!$A$415="",履歴データ!$A$414=""),"",120*1000000*(-Q415/H414))</f>
        <v>1383830.1208558916</v>
      </c>
      <c r="Y415" s="11">
        <f>IF(OR(履歴データ!$A$415="",履歴データ!$A$414=""),"",40000*(-S415)+(-506.3)*R415*1000)</f>
        <v>15376.562500000851</v>
      </c>
      <c r="Z415" s="11">
        <f>IF(OR(履歴データ!$A$415="",履歴データ!$A$414=""),"",-40000*O415)</f>
        <v>33200.000000000502</v>
      </c>
      <c r="AA415" s="11">
        <f>IF(OR(履歴データ!$A$415="",履歴データ!$A$414=""),"",-40000*P415)</f>
        <v>13814.287109370867</v>
      </c>
      <c r="AB415" s="11">
        <f>IF(履歴データ!$A$415="","",123.3)</f>
        <v>123.3</v>
      </c>
      <c r="AC415">
        <f>IF(履歴データ!$A$415="","",SUM(T415:AA415))</f>
        <v>1300220.9704652689</v>
      </c>
      <c r="AD415" s="29">
        <f>IF(履歴データ!$A$415="","",AC415/1000000)</f>
        <v>1.300220970465269</v>
      </c>
      <c r="AE415" s="29">
        <f>IF(履歴データ!$A$415="",AE414,AE414+AC415/1000000)</f>
        <v>83.228777321631455</v>
      </c>
      <c r="AF415" s="12">
        <f>IF(OR(履歴データ!$A$415="",AE414=0),"",(AE415-AE414)/AE414)</f>
        <v>1.5870180415387829E-2</v>
      </c>
      <c r="AG415" s="29">
        <f t="shared" si="20"/>
        <v>102.17217746631495</v>
      </c>
      <c r="AH415" s="12">
        <f>IF(OR(履歴データ!$A$415="",AG415=0),"",AE415/AG415-1)</f>
        <v>-0.18540664018762765</v>
      </c>
      <c r="AJ415" s="28">
        <f t="shared" ca="1" si="18"/>
        <v>-14.806279445190878</v>
      </c>
      <c r="AK415" s="28">
        <f t="shared" ca="1" si="19"/>
        <v>-37.189752300840865</v>
      </c>
    </row>
    <row r="416" spans="1:37">
      <c r="A416" s="10">
        <f>IF(履歴データ!$A$416="","",履歴データ!$A$416)</f>
        <v>45531</v>
      </c>
      <c r="B416" s="28">
        <f>IF(履歴データ!$A$416="","",(履歴データ!$D$416-(履歴データ!$B$416+履歴データ!$F$416)/2)*100)</f>
        <v>-14.999999999999991</v>
      </c>
      <c r="C416" s="28">
        <f>IF(履歴データ!$A$416="","",(履歴データ!$H$416-(履歴データ!$G$416+履歴データ!$J$416)/2)*100)</f>
        <v>-31.599999999999994</v>
      </c>
      <c r="D416" s="28">
        <f>IF(履歴データ!$A$416="","",(履歴データ!$D$416-履歴データ!$H$416)*100)</f>
        <v>292.39999999999998</v>
      </c>
      <c r="E416" s="28">
        <f>IF(履歴データ!$A$416="","",(履歴データ!$D$416-履歴データ!$C$416)*100)</f>
        <v>16.999999999999993</v>
      </c>
      <c r="F416" s="28">
        <f>IF(履歴データ!$A$416="","",(履歴データ!$R$416-履歴データ!$D$416)*100)</f>
        <v>-218.07</v>
      </c>
      <c r="G416" s="28">
        <f>IF(履歴データ!$A$416="","",(履歴データ!$S$416-履歴データ!$R$416)*100)</f>
        <v>-83.843178588867289</v>
      </c>
      <c r="H416" s="29">
        <f>IF(履歴データ!$A$416="","",履歴データ!$O$416)</f>
        <v>143.97500610351563</v>
      </c>
      <c r="I416" s="29">
        <f>IF(履歴データ!$A$416="","",履歴データ!$Q$416)</f>
        <v>113.515625</v>
      </c>
      <c r="J416" s="29">
        <f>IF(履歴データ!$A$416="","",履歴データ!$D$416)</f>
        <v>3.83</v>
      </c>
      <c r="K416" s="28">
        <f>IF(OR(履歴データ!$A$416="",履歴データ!$A$415=""),"",B416-B415)</f>
        <v>4.0000000000000018</v>
      </c>
      <c r="L416" s="28">
        <f>IF(OR(履歴データ!$A$416="",履歴データ!$A$415=""),"",C416-C415)</f>
        <v>0.24999999999999645</v>
      </c>
      <c r="M416" s="28">
        <f>IF(OR(履歴データ!$A$416="",履歴データ!$A$415=""),"",D416-D415)</f>
        <v>1.4000000000000341</v>
      </c>
      <c r="N416" s="28">
        <f>IF(OR(履歴データ!$A$416="",履歴データ!$A$415=""),"",E416-E415)</f>
        <v>1.0000000000000231</v>
      </c>
      <c r="O416" s="28">
        <f>IF(OR(履歴データ!$A$416="",履歴データ!$A$415=""),"",F416-F415)</f>
        <v>-1</v>
      </c>
      <c r="P416" s="28">
        <f>IF(OR(履歴データ!$A$416="",履歴データ!$A$415=""),"",G416-G415)</f>
        <v>-1.4031785888672488</v>
      </c>
      <c r="Q416" s="29">
        <f>IF(OR(履歴データ!$A$416="",履歴データ!$A$415=""),"",H416-H415)</f>
        <v>-0.5410003662109375</v>
      </c>
      <c r="R416" s="29">
        <f>IF(OR(履歴データ!$A$416="",履歴データ!$A$415=""),"",I416-I415)</f>
        <v>-7.8125E-2</v>
      </c>
      <c r="S416" s="28">
        <f>IF(OR(履歴データ!$A$416="",履歴データ!$A$415=""),"",(J416-J415)*100)</f>
        <v>1.0000000000000231</v>
      </c>
      <c r="T416" s="11">
        <f>IF(OR(履歴データ!$A$416="",履歴データ!$A$415=""),"",-80000*K416)</f>
        <v>-320000.00000000012</v>
      </c>
      <c r="U416" s="11">
        <f>IF(OR(履歴データ!$A$416="",履歴データ!$A$415=""),"",60000*L416)</f>
        <v>14999.999999999787</v>
      </c>
      <c r="V416" s="11">
        <f>IF(OR(履歴データ!$A$416="",履歴データ!$A$415=""),"",-50000*M416)</f>
        <v>-70000.000000001703</v>
      </c>
      <c r="W416" s="11">
        <f>IF(OR(履歴データ!$A$416="",履歴データ!$A$415=""),"",-40000*N416)</f>
        <v>-40000.000000000924</v>
      </c>
      <c r="X416" s="11">
        <f>IF(OR(履歴データ!$A$416="",履歴データ!$A$415=""),"",120*1000000*(-Q416/H415))</f>
        <v>449223.89935340523</v>
      </c>
      <c r="Y416" s="11">
        <f>IF(OR(履歴データ!$A$416="",履歴データ!$A$415=""),"",40000*(-S416)+(-506.3)*R416*1000)</f>
        <v>-445.31250000092405</v>
      </c>
      <c r="Z416" s="11">
        <f>IF(OR(履歴データ!$A$416="",履歴データ!$A$415=""),"",-40000*O416)</f>
        <v>40000</v>
      </c>
      <c r="AA416" s="11">
        <f>IF(OR(履歴データ!$A$416="",履歴データ!$A$415=""),"",-40000*P416)</f>
        <v>56127.143554689952</v>
      </c>
      <c r="AB416" s="11">
        <f>IF(履歴データ!$A$416="","",123.3)</f>
        <v>123.3</v>
      </c>
      <c r="AC416">
        <f>IF(履歴データ!$A$416="","",SUM(T416:AA416))</f>
        <v>129905.73040809127</v>
      </c>
      <c r="AD416" s="29">
        <f>IF(履歴データ!$A$416="","",AC416/1000000)</f>
        <v>0.12990573040809128</v>
      </c>
      <c r="AE416" s="29">
        <f>IF(履歴データ!$A$416="",AE415,AE415+AC416/1000000)</f>
        <v>83.358683052039552</v>
      </c>
      <c r="AF416" s="12">
        <f>IF(OR(履歴データ!$A$416="",AE415=0),"",(AE416-AE415)/AE415)</f>
        <v>1.5608270911644708E-3</v>
      </c>
      <c r="AG416" s="29">
        <f t="shared" si="20"/>
        <v>102.17217746631495</v>
      </c>
      <c r="AH416" s="12">
        <f>IF(OR(履歴データ!$A$416="",AG416=0),"",AE416/AG416-1)</f>
        <v>-0.18413520080334977</v>
      </c>
      <c r="AJ416" s="28">
        <f t="shared" ca="1" si="18"/>
        <v>-14.77939256550108</v>
      </c>
      <c r="AK416" s="28">
        <f t="shared" ca="1" si="19"/>
        <v>-37.010289974181461</v>
      </c>
    </row>
    <row r="417" spans="1:37">
      <c r="A417" s="10">
        <f>IF(履歴データ!$A$417="","",履歴データ!$A$417)</f>
        <v>45532</v>
      </c>
      <c r="B417" s="28">
        <f>IF(履歴データ!$A$417="","",(履歴データ!$D$417-(履歴データ!$B$417+履歴データ!$F$417)/2)*100)</f>
        <v>-14.000000000000012</v>
      </c>
      <c r="C417" s="28">
        <f>IF(履歴データ!$A$417="","",(履歴データ!$H$417-(履歴データ!$G$417+履歴データ!$J$417)/2)*100)</f>
        <v>-30.54999999999999</v>
      </c>
      <c r="D417" s="28">
        <f>IF(履歴データ!$A$417="","",(履歴データ!$D$417-履歴データ!$H$417)*100)</f>
        <v>291.89999999999998</v>
      </c>
      <c r="E417" s="28">
        <f>IF(履歴データ!$A$417="","",(履歴データ!$D$417-履歴データ!$C$417)*100)</f>
        <v>20.999999999999996</v>
      </c>
      <c r="F417" s="28">
        <f>IF(履歴データ!$A$417="","",(履歴データ!$R$417-履歴データ!$D$417)*100)</f>
        <v>-206.74</v>
      </c>
      <c r="G417" s="28">
        <f>IF(履歴データ!$A$417="","",(履歴データ!$S$417-履歴データ!$R$417)*100)</f>
        <v>-93.36682141113279</v>
      </c>
      <c r="H417" s="29">
        <f>IF(履歴データ!$A$417="","",履歴データ!$O$417)</f>
        <v>144.43299865722656</v>
      </c>
      <c r="I417" s="29">
        <f>IF(履歴データ!$A$417="","",履歴データ!$Q$417)</f>
        <v>113.53125</v>
      </c>
      <c r="J417" s="29">
        <f>IF(履歴データ!$A$417="","",履歴データ!$D$417)</f>
        <v>3.84</v>
      </c>
      <c r="K417" s="28">
        <f>IF(OR(履歴データ!$A$417="",履歴データ!$A$416=""),"",B417-B416)</f>
        <v>0.99999999999997868</v>
      </c>
      <c r="L417" s="28">
        <f>IF(OR(履歴データ!$A$417="",履歴データ!$A$416=""),"",C417-C416)</f>
        <v>1.0500000000000043</v>
      </c>
      <c r="M417" s="28">
        <f>IF(OR(履歴データ!$A$417="",履歴データ!$A$416=""),"",D417-D416)</f>
        <v>-0.5</v>
      </c>
      <c r="N417" s="28">
        <f>IF(OR(履歴データ!$A$417="",履歴データ!$A$416=""),"",E417-E416)</f>
        <v>4.0000000000000036</v>
      </c>
      <c r="O417" s="28">
        <f>IF(OR(履歴データ!$A$417="",履歴データ!$A$416=""),"",F417-F416)</f>
        <v>11.329999999999984</v>
      </c>
      <c r="P417" s="28">
        <f>IF(OR(履歴データ!$A$417="",履歴データ!$A$416=""),"",G417-G416)</f>
        <v>-9.5236428222655007</v>
      </c>
      <c r="Q417" s="29">
        <f>IF(OR(履歴データ!$A$417="",履歴データ!$A$416=""),"",H417-H416)</f>
        <v>0.4579925537109375</v>
      </c>
      <c r="R417" s="29">
        <f>IF(OR(履歴データ!$A$417="",履歴データ!$A$416=""),"",I417-I416)</f>
        <v>1.5625E-2</v>
      </c>
      <c r="S417" s="28">
        <f>IF(OR(履歴データ!$A$417="",履歴データ!$A$416=""),"",(J417-J416)*100)</f>
        <v>0.99999999999997868</v>
      </c>
      <c r="T417" s="11">
        <f>IF(OR(履歴データ!$A$417="",履歴データ!$A$416=""),"",-80000*K417)</f>
        <v>-79999.999999998297</v>
      </c>
      <c r="U417" s="11">
        <f>IF(OR(履歴データ!$A$417="",履歴データ!$A$416=""),"",60000*L417)</f>
        <v>63000.000000000255</v>
      </c>
      <c r="V417" s="11">
        <f>IF(OR(履歴データ!$A$417="",履歴データ!$A$416=""),"",-50000*M417)</f>
        <v>25000</v>
      </c>
      <c r="W417" s="11">
        <f>IF(OR(履歴データ!$A$417="",履歴データ!$A$416=""),"",-40000*N417)</f>
        <v>-160000.00000000015</v>
      </c>
      <c r="X417" s="11">
        <f>IF(OR(履歴データ!$A$417="",履歴データ!$A$416=""),"",120*1000000*(-Q417/H416))</f>
        <v>-381726.71724561567</v>
      </c>
      <c r="Y417" s="11">
        <f>IF(OR(履歴データ!$A$417="",履歴データ!$A$416=""),"",40000*(-S417)+(-506.3)*R417*1000)</f>
        <v>-47910.937499999149</v>
      </c>
      <c r="Z417" s="11">
        <f>IF(OR(履歴データ!$A$417="",履歴データ!$A$416=""),"",-40000*O417)</f>
        <v>-453199.99999999936</v>
      </c>
      <c r="AA417" s="11">
        <f>IF(OR(履歴データ!$A$417="",履歴データ!$A$416=""),"",-40000*P417)</f>
        <v>380945.71289062005</v>
      </c>
      <c r="AB417" s="11">
        <f>IF(履歴データ!$A$417="","",123.3)</f>
        <v>123.3</v>
      </c>
      <c r="AC417">
        <f>IF(履歴データ!$A$417="","",SUM(T417:AA417))</f>
        <v>-653891.94185499242</v>
      </c>
      <c r="AD417" s="29">
        <f>IF(履歴データ!$A$417="","",AC417/1000000)</f>
        <v>-0.65389194185499244</v>
      </c>
      <c r="AE417" s="29">
        <f>IF(履歴データ!$A$417="",AE416,AE416+AC417/1000000)</f>
        <v>82.704791110184559</v>
      </c>
      <c r="AF417" s="12">
        <f>IF(OR(履歴データ!$A$417="",AE416=0),"",(AE417-AE416)/AE416)</f>
        <v>-7.8443170874806043E-3</v>
      </c>
      <c r="AG417" s="29">
        <f t="shared" si="20"/>
        <v>102.17217746631495</v>
      </c>
      <c r="AH417" s="12">
        <f>IF(OR(履歴データ!$A$417="",AG417=0),"",AE417/AG417-1)</f>
        <v>-0.19053510298876208</v>
      </c>
      <c r="AJ417" s="28">
        <f t="shared" ca="1" si="18"/>
        <v>-14.745816651056533</v>
      </c>
      <c r="AK417" s="28">
        <f t="shared" ca="1" si="19"/>
        <v>-36.82561192037204</v>
      </c>
    </row>
    <row r="418" spans="1:37">
      <c r="A418" s="10">
        <f>IF(履歴データ!$A$418="","",履歴データ!$A$418)</f>
        <v>45533</v>
      </c>
      <c r="B418" s="28">
        <f>IF(履歴データ!$A$418="","",(履歴データ!$D$418-(履歴データ!$B$418+履歴データ!$F$418)/2)*100)</f>
        <v>-13.999999999999968</v>
      </c>
      <c r="C418" s="28">
        <f>IF(履歴データ!$A$418="","",(履歴データ!$H$418-(履歴データ!$G$418+履歴データ!$J$418)/2)*100)</f>
        <v>-31.54999999999999</v>
      </c>
      <c r="D418" s="28">
        <f>IF(履歴データ!$A$418="","",(履歴データ!$D$418-履歴データ!$H$418)*100)</f>
        <v>295.3</v>
      </c>
      <c r="E418" s="28">
        <f>IF(履歴データ!$A$418="","",(履歴データ!$D$418-履歴データ!$C$418)*100)</f>
        <v>20.999999999999996</v>
      </c>
      <c r="F418" s="28">
        <f>IF(履歴データ!$A$418="","",(履歴データ!$R$418-履歴データ!$D$418)*100)</f>
        <v>-210.64</v>
      </c>
      <c r="G418" s="28">
        <f>IF(履歴データ!$A$418="","",(履歴データ!$S$418-履歴データ!$R$418)*100)</f>
        <v>-90.88817858886739</v>
      </c>
      <c r="H418" s="29">
        <f>IF(履歴データ!$A$418="","",履歴データ!$O$418)</f>
        <v>144.88999938964844</v>
      </c>
      <c r="I418" s="29">
        <f>IF(履歴データ!$A$418="","",履歴データ!$Q$418)</f>
        <v>113.3125</v>
      </c>
      <c r="J418" s="29">
        <f>IF(履歴データ!$A$418="","",履歴データ!$D$418)</f>
        <v>3.87</v>
      </c>
      <c r="K418" s="28">
        <f>IF(OR(履歴データ!$A$418="",履歴データ!$A$417=""),"",B418-B417)</f>
        <v>4.4408920985006262E-14</v>
      </c>
      <c r="L418" s="28">
        <f>IF(OR(履歴データ!$A$418="",履歴データ!$A$417=""),"",C418-C417)</f>
        <v>-1</v>
      </c>
      <c r="M418" s="28">
        <f>IF(OR(履歴データ!$A$418="",履歴データ!$A$417=""),"",D418-D417)</f>
        <v>3.4000000000000341</v>
      </c>
      <c r="N418" s="28">
        <f>IF(OR(履歴データ!$A$418="",履歴データ!$A$417=""),"",E418-E417)</f>
        <v>0</v>
      </c>
      <c r="O418" s="28">
        <f>IF(OR(履歴データ!$A$418="",履歴データ!$A$417=""),"",F418-F417)</f>
        <v>-3.8999999999999773</v>
      </c>
      <c r="P418" s="28">
        <f>IF(OR(履歴データ!$A$418="",履歴データ!$A$417=""),"",G418-G417)</f>
        <v>2.4786428222653996</v>
      </c>
      <c r="Q418" s="29">
        <f>IF(OR(履歴データ!$A$418="",履歴データ!$A$417=""),"",H418-H417)</f>
        <v>0.457000732421875</v>
      </c>
      <c r="R418" s="29">
        <f>IF(OR(履歴データ!$A$418="",履歴データ!$A$417=""),"",I418-I417)</f>
        <v>-0.21875</v>
      </c>
      <c r="S418" s="28">
        <f>IF(OR(履歴データ!$A$418="",履歴データ!$A$417=""),"",(J418-J417)*100)</f>
        <v>3.0000000000000249</v>
      </c>
      <c r="T418" s="11">
        <f>IF(OR(履歴データ!$A$418="",履歴データ!$A$417=""),"",-80000*K418)</f>
        <v>-3.5527136788005009E-9</v>
      </c>
      <c r="U418" s="11">
        <f>IF(OR(履歴データ!$A$418="",履歴データ!$A$417=""),"",60000*L418)</f>
        <v>-60000</v>
      </c>
      <c r="V418" s="11">
        <f>IF(OR(履歴データ!$A$418="",履歴データ!$A$417=""),"",-50000*M418)</f>
        <v>-170000.00000000172</v>
      </c>
      <c r="W418" s="11">
        <f>IF(OR(履歴データ!$A$418="",履歴データ!$A$417=""),"",-40000*N418)</f>
        <v>0</v>
      </c>
      <c r="X418" s="11">
        <f>IF(OR(履歴データ!$A$418="",履歴データ!$A$417=""),"",120*1000000*(-Q418/H417))</f>
        <v>-379692.23377251491</v>
      </c>
      <c r="Y418" s="11">
        <f>IF(OR(履歴データ!$A$418="",履歴データ!$A$417=""),"",40000*(-S418)+(-506.3)*R418*1000)</f>
        <v>-9246.8750000009895</v>
      </c>
      <c r="Z418" s="11">
        <f>IF(OR(履歴データ!$A$418="",履歴データ!$A$417=""),"",-40000*O418)</f>
        <v>155999.9999999991</v>
      </c>
      <c r="AA418" s="11">
        <f>IF(OR(履歴データ!$A$418="",履歴データ!$A$417=""),"",-40000*P418)</f>
        <v>-99145.712890615978</v>
      </c>
      <c r="AB418" s="11">
        <f>IF(履歴データ!$A$418="","",123.3)</f>
        <v>123.3</v>
      </c>
      <c r="AC418">
        <f>IF(履歴データ!$A$418="","",SUM(T418:AA418))</f>
        <v>-562084.82166313799</v>
      </c>
      <c r="AD418" s="29">
        <f>IF(履歴データ!$A$418="","",AC418/1000000)</f>
        <v>-0.562084821663138</v>
      </c>
      <c r="AE418" s="29">
        <f>IF(履歴データ!$A$418="",AE417,AE417+AC418/1000000)</f>
        <v>82.142706288521424</v>
      </c>
      <c r="AF418" s="12">
        <f>IF(OR(履歴データ!$A$418="",AE417=0),"",(AE418-AE417)/AE417)</f>
        <v>-6.7962788384809472E-3</v>
      </c>
      <c r="AG418" s="29">
        <f t="shared" si="20"/>
        <v>102.17217746631495</v>
      </c>
      <c r="AH418" s="12">
        <f>IF(OR(履歴データ!$A$418="",AG418=0),"",AE418/AG418-1)</f>
        <v>-0.19603645213881271</v>
      </c>
      <c r="AJ418" s="28">
        <f t="shared" ca="1" si="18"/>
        <v>-14.758235183547924</v>
      </c>
      <c r="AK418" s="28">
        <f t="shared" ca="1" si="19"/>
        <v>-36.579066403753671</v>
      </c>
    </row>
    <row r="419" spans="1:37">
      <c r="A419" s="10">
        <f>IF(履歴データ!$A$419="","",履歴データ!$A$419)</f>
        <v>45534</v>
      </c>
      <c r="B419" s="28">
        <f>IF(履歴データ!$A$419="","",(履歴データ!$D$419-(履歴データ!$B$419+履歴データ!$F$419)/2)*100)</f>
        <v>-14.499999999999957</v>
      </c>
      <c r="C419" s="28">
        <f>IF(履歴データ!$A$419="","",(履歴データ!$H$419-(履歴データ!$G$419+履歴データ!$J$419)/2)*100)</f>
        <v>-31.500000000000007</v>
      </c>
      <c r="D419" s="28">
        <f>IF(履歴データ!$A$419="","",(履歴データ!$D$419-履歴データ!$H$419)*100)</f>
        <v>298.8</v>
      </c>
      <c r="E419" s="28">
        <f>IF(履歴データ!$A$419="","",(履歴データ!$D$419-履歴データ!$C$419)*100)</f>
        <v>20.000000000000018</v>
      </c>
      <c r="F419" s="28">
        <f>IF(履歴データ!$A$419="","",(履歴データ!$R$419-履歴データ!$D$419)*100)</f>
        <v>-210.92000000000004</v>
      </c>
      <c r="G419" s="28">
        <f>IF(履歴データ!$A$419="","",(履歴データ!$S$419-履歴データ!$R$419)*100)</f>
        <v>-94.432821411132764</v>
      </c>
      <c r="H419" s="29">
        <f>IF(履歴データ!$A$419="","",履歴データ!$O$419)</f>
        <v>144.88999938964844</v>
      </c>
      <c r="I419" s="29">
        <f>IF(履歴データ!$A$419="","",履歴データ!$Q$419)</f>
        <v>113.046875</v>
      </c>
      <c r="J419" s="29">
        <f>IF(履歴データ!$A$419="","",履歴データ!$D$419)</f>
        <v>3.91</v>
      </c>
      <c r="K419" s="28">
        <f>IF(OR(履歴データ!$A$419="",履歴データ!$A$418=""),"",B419-B418)</f>
        <v>-0.49999999999998934</v>
      </c>
      <c r="L419" s="28">
        <f>IF(OR(履歴データ!$A$419="",履歴データ!$A$418=""),"",C419-C418)</f>
        <v>4.9999999999982947E-2</v>
      </c>
      <c r="M419" s="28">
        <f>IF(OR(履歴データ!$A$419="",履歴データ!$A$418=""),"",D419-D418)</f>
        <v>3.5</v>
      </c>
      <c r="N419" s="28">
        <f>IF(OR(履歴データ!$A$419="",履歴データ!$A$418=""),"",E419-E418)</f>
        <v>-0.99999999999997868</v>
      </c>
      <c r="O419" s="28">
        <f>IF(OR(履歴データ!$A$419="",履歴データ!$A$418=""),"",F419-F418)</f>
        <v>-0.28000000000005798</v>
      </c>
      <c r="P419" s="28">
        <f>IF(OR(履歴データ!$A$419="",履歴データ!$A$418=""),"",G419-G418)</f>
        <v>-3.5446428222653736</v>
      </c>
      <c r="Q419" s="29">
        <f>IF(OR(履歴データ!$A$419="",履歴データ!$A$418=""),"",H419-H418)</f>
        <v>0</v>
      </c>
      <c r="R419" s="29">
        <f>IF(OR(履歴データ!$A$419="",履歴データ!$A$418=""),"",I419-I418)</f>
        <v>-0.265625</v>
      </c>
      <c r="S419" s="28">
        <f>IF(OR(履歴データ!$A$419="",履歴データ!$A$418=""),"",(J419-J418)*100)</f>
        <v>4.0000000000000036</v>
      </c>
      <c r="T419" s="11">
        <f>IF(OR(履歴データ!$A$419="",履歴データ!$A$418=""),"",-80000*K419)</f>
        <v>39999.999999999149</v>
      </c>
      <c r="U419" s="11">
        <f>IF(OR(履歴データ!$A$419="",履歴データ!$A$418=""),"",60000*L419)</f>
        <v>2999.9999999989768</v>
      </c>
      <c r="V419" s="11">
        <f>IF(OR(履歴データ!$A$419="",履歴データ!$A$418=""),"",-50000*M419)</f>
        <v>-175000</v>
      </c>
      <c r="W419" s="11">
        <f>IF(OR(履歴データ!$A$419="",履歴データ!$A$418=""),"",-40000*N419)</f>
        <v>39999.999999999149</v>
      </c>
      <c r="X419" s="11">
        <f>IF(OR(履歴データ!$A$419="",履歴データ!$A$418=""),"",120*1000000*(-Q419/H418))</f>
        <v>0</v>
      </c>
      <c r="Y419" s="11">
        <f>IF(OR(履歴データ!$A$419="",履歴データ!$A$418=""),"",40000*(-S419)+(-506.3)*R419*1000)</f>
        <v>-25514.062500000146</v>
      </c>
      <c r="Z419" s="11">
        <f>IF(OR(履歴データ!$A$419="",履歴データ!$A$418=""),"",-40000*O419)</f>
        <v>11200.000000002319</v>
      </c>
      <c r="AA419" s="11">
        <f>IF(OR(履歴データ!$A$419="",履歴データ!$A$418=""),"",-40000*P419)</f>
        <v>141785.71289061496</v>
      </c>
      <c r="AB419" s="11">
        <f>IF(履歴データ!$A$419="","",123.3)</f>
        <v>123.3</v>
      </c>
      <c r="AC419">
        <f>IF(履歴データ!$A$419="","",SUM(T419:AA419))</f>
        <v>35471.650390614421</v>
      </c>
      <c r="AD419" s="29">
        <f>IF(履歴データ!$A$419="","",AC419/1000000)</f>
        <v>3.5471650390614423E-2</v>
      </c>
      <c r="AE419" s="29">
        <f>IF(履歴データ!$A$419="",AE418,AE418+AC419/1000000)</f>
        <v>82.178177938912043</v>
      </c>
      <c r="AF419" s="12">
        <f>IF(OR(履歴データ!$A$419="",AE418=0),"",(AE419-AE418)/AE418)</f>
        <v>4.3182958041371151E-4</v>
      </c>
      <c r="AG419" s="29">
        <f t="shared" si="20"/>
        <v>102.17217746631495</v>
      </c>
      <c r="AH419" s="12">
        <f>IF(OR(履歴データ!$A$419="",AG419=0),"",AE419/AG419-1)</f>
        <v>-0.19568927689727189</v>
      </c>
      <c r="AJ419" s="28">
        <f t="shared" ca="1" si="18"/>
        <v>-14.776557071361077</v>
      </c>
      <c r="AK419" s="28">
        <f t="shared" ca="1" si="19"/>
        <v>-36.334554039750039</v>
      </c>
    </row>
    <row r="420" spans="1:37">
      <c r="A420" s="10">
        <f>IF(履歴データ!$A$420="","",履歴データ!$A$420)</f>
        <v>45538</v>
      </c>
      <c r="B420" s="28">
        <f>IF(履歴データ!$A$420="","",(履歴データ!$D$420-(履歴データ!$B$420+履歴データ!$F$420)/2)*100)</f>
        <v>-16.500000000000004</v>
      </c>
      <c r="C420" s="28">
        <f>IF(履歴データ!$A$420="","",(履歴データ!$H$420-(履歴データ!$G$420+履歴データ!$J$420)/2)*100)</f>
        <v>-30.100000000000016</v>
      </c>
      <c r="D420" s="28">
        <f>IF(履歴データ!$A$420="","",(履歴データ!$D$420-履歴データ!$H$420)*100)</f>
        <v>288.8</v>
      </c>
      <c r="E420" s="28">
        <f>IF(履歴データ!$A$420="","",(履歴データ!$D$420-履歴データ!$C$420)*100)</f>
        <v>18.999999999999993</v>
      </c>
      <c r="F420" s="28">
        <f>IF(履歴データ!$A$420="","",(履歴データ!$R$420-履歴データ!$D$420)*100)</f>
        <v>-202.98</v>
      </c>
      <c r="G420" s="28">
        <f>IF(履歴データ!$A$420="","",(履歴データ!$S$420-履歴データ!$R$420)*100)</f>
        <v>-91.86482141113288</v>
      </c>
      <c r="H420" s="29">
        <f>IF(履歴データ!$A$420="","",履歴データ!$O$420)</f>
        <v>145.35299682617188</v>
      </c>
      <c r="I420" s="29">
        <f>IF(履歴データ!$A$420="","",履歴データ!$Q$420)</f>
        <v>113.484375</v>
      </c>
      <c r="J420" s="29">
        <f>IF(履歴データ!$A$420="","",履歴データ!$D$420)</f>
        <v>3.84</v>
      </c>
      <c r="K420" s="28">
        <f>IF(OR(履歴データ!$A$420="",履歴データ!$A$419=""),"",B420-B419)</f>
        <v>-2.0000000000000462</v>
      </c>
      <c r="L420" s="28">
        <f>IF(OR(履歴データ!$A$420="",履歴データ!$A$419=""),"",C420-C419)</f>
        <v>1.3999999999999915</v>
      </c>
      <c r="M420" s="28">
        <f>IF(OR(履歴データ!$A$420="",履歴データ!$A$419=""),"",D420-D419)</f>
        <v>-10</v>
      </c>
      <c r="N420" s="28">
        <f>IF(OR(履歴データ!$A$420="",履歴データ!$A$419=""),"",E420-E419)</f>
        <v>-1.0000000000000249</v>
      </c>
      <c r="O420" s="28">
        <f>IF(OR(履歴データ!$A$420="",履歴データ!$A$419=""),"",F420-F419)</f>
        <v>7.9400000000000546</v>
      </c>
      <c r="P420" s="28">
        <f>IF(OR(履歴データ!$A$420="",履歴データ!$A$419=""),"",G420-G419)</f>
        <v>2.5679999999998842</v>
      </c>
      <c r="Q420" s="29">
        <f>IF(OR(履歴データ!$A$420="",履歴データ!$A$419=""),"",H420-H419)</f>
        <v>0.4629974365234375</v>
      </c>
      <c r="R420" s="29">
        <f>IF(OR(履歴データ!$A$420="",履歴データ!$A$419=""),"",I420-I419)</f>
        <v>0.4375</v>
      </c>
      <c r="S420" s="28">
        <f>IF(OR(履歴データ!$A$420="",履歴データ!$A$419=""),"",(J420-J419)*100)</f>
        <v>-7.0000000000000284</v>
      </c>
      <c r="T420" s="11">
        <f>IF(OR(履歴データ!$A$420="",履歴データ!$A$419=""),"",-80000*K420)</f>
        <v>160000.0000000037</v>
      </c>
      <c r="U420" s="11">
        <f>IF(OR(履歴データ!$A$420="",履歴データ!$A$419=""),"",60000*L420)</f>
        <v>83999.999999999491</v>
      </c>
      <c r="V420" s="11">
        <f>IF(OR(履歴データ!$A$420="",履歴データ!$A$419=""),"",-50000*M420)</f>
        <v>500000</v>
      </c>
      <c r="W420" s="11">
        <f>IF(OR(履歴データ!$A$420="",履歴データ!$A$419=""),"",-40000*N420)</f>
        <v>40000.000000000997</v>
      </c>
      <c r="X420" s="11">
        <f>IF(OR(履歴データ!$A$420="",履歴データ!$A$419=""),"",120*1000000*(-Q420/H419))</f>
        <v>-383461.19550596067</v>
      </c>
      <c r="Y420" s="11">
        <f>IF(OR(履歴データ!$A$420="",履歴データ!$A$419=""),"",40000*(-S420)+(-506.3)*R420*1000)</f>
        <v>58493.750000001164</v>
      </c>
      <c r="Z420" s="11">
        <f>IF(OR(履歴データ!$A$420="",履歴データ!$A$419=""),"",-40000*O420)</f>
        <v>-317600.00000000221</v>
      </c>
      <c r="AA420" s="11">
        <f>IF(OR(履歴データ!$A$420="",履歴データ!$A$419=""),"",-40000*P420)</f>
        <v>-102719.99999999537</v>
      </c>
      <c r="AB420" s="11">
        <f>IF(履歴データ!$A$420="","",123.3)</f>
        <v>123.3</v>
      </c>
      <c r="AC420">
        <f>IF(履歴データ!$A$420="","",SUM(T420:AA420))</f>
        <v>38712.554494047217</v>
      </c>
      <c r="AD420" s="29">
        <f>IF(履歴データ!$A$420="","",AC420/1000000)</f>
        <v>3.8712554494047216E-2</v>
      </c>
      <c r="AE420" s="29">
        <f>IF(履歴データ!$A$420="",AE419,AE419+AC420/1000000)</f>
        <v>82.216890493406083</v>
      </c>
      <c r="AF420" s="12">
        <f>IF(OR(履歴データ!$A$420="",AE419=0),"",(AE420-AE419)/AE419)</f>
        <v>4.7108071102303675E-4</v>
      </c>
      <c r="AG420" s="29">
        <f t="shared" si="20"/>
        <v>102.17217746631495</v>
      </c>
      <c r="AH420" s="12">
        <f>IF(OR(履歴データ!$A$420="",AG420=0),"",AE420/AG420-1)</f>
        <v>-0.19531038162994918</v>
      </c>
      <c r="AJ420" s="28">
        <f t="shared" ca="1" si="18"/>
        <v>-14.874455942660555</v>
      </c>
      <c r="AK420" s="28">
        <f t="shared" ca="1" si="19"/>
        <v>-36.014432946228339</v>
      </c>
    </row>
    <row r="421" spans="1:37">
      <c r="A421" s="10">
        <f>IF(履歴データ!$A$421="","",履歴データ!$A$421)</f>
        <v>45539</v>
      </c>
      <c r="B421" s="28">
        <f>IF(履歴データ!$A$421="","",(履歴データ!$D$421-(履歴データ!$B$421+履歴データ!$F$421)/2)*100)</f>
        <v>-13.999999999999968</v>
      </c>
      <c r="C421" s="28">
        <f>IF(履歴データ!$A$421="","",(履歴データ!$H$421-(履歴データ!$G$421+履歴データ!$J$421)/2)*100)</f>
        <v>-31.600000000000005</v>
      </c>
      <c r="D421" s="28">
        <f>IF(履歴データ!$A$421="","",(履歴データ!$D$421-履歴データ!$H$421)*100)</f>
        <v>285.29999999999995</v>
      </c>
      <c r="E421" s="28">
        <f>IF(履歴データ!$A$421="","",(履歴データ!$D$421-履歴データ!$C$421)*100)</f>
        <v>20.999999999999996</v>
      </c>
      <c r="F421" s="28">
        <f>IF(履歴データ!$A$421="","",(履歴データ!$R$421-履歴データ!$D$421)*100)</f>
        <v>-200.33000000000004</v>
      </c>
      <c r="G421" s="28">
        <f>IF(履歴データ!$A$421="","",(履歴データ!$S$421-履歴データ!$R$421)*100)</f>
        <v>-93.478357177734466</v>
      </c>
      <c r="H421" s="29">
        <f>IF(履歴データ!$A$421="","",履歴データ!$O$421)</f>
        <v>143.32400512695313</v>
      </c>
      <c r="I421" s="29">
        <f>IF(履歴データ!$A$421="","",履歴データ!$Q$421)</f>
        <v>114.03125</v>
      </c>
      <c r="J421" s="29">
        <f>IF(履歴データ!$A$421="","",履歴データ!$D$421)</f>
        <v>3.77</v>
      </c>
      <c r="K421" s="28">
        <f>IF(OR(履歴データ!$A$421="",履歴データ!$A$420=""),"",B421-B420)</f>
        <v>2.5000000000000355</v>
      </c>
      <c r="L421" s="28">
        <f>IF(OR(履歴データ!$A$421="",履歴データ!$A$420=""),"",C421-C420)</f>
        <v>-1.4999999999999893</v>
      </c>
      <c r="M421" s="28">
        <f>IF(OR(履歴データ!$A$421="",履歴データ!$A$420=""),"",D421-D420)</f>
        <v>-3.5000000000000568</v>
      </c>
      <c r="N421" s="28">
        <f>IF(OR(履歴データ!$A$421="",履歴データ!$A$420=""),"",E421-E420)</f>
        <v>2.0000000000000036</v>
      </c>
      <c r="O421" s="28">
        <f>IF(OR(履歴データ!$A$421="",履歴データ!$A$420=""),"",F421-F420)</f>
        <v>2.6499999999999488</v>
      </c>
      <c r="P421" s="28">
        <f>IF(OR(履歴データ!$A$421="",履歴データ!$A$420=""),"",G421-G420)</f>
        <v>-1.6135357666015864</v>
      </c>
      <c r="Q421" s="29">
        <f>IF(OR(履歴データ!$A$421="",履歴データ!$A$420=""),"",H421-H420)</f>
        <v>-2.02899169921875</v>
      </c>
      <c r="R421" s="29">
        <f>IF(OR(履歴データ!$A$421="",履歴データ!$A$420=""),"",I421-I420)</f>
        <v>0.546875</v>
      </c>
      <c r="S421" s="28">
        <f>IF(OR(履歴データ!$A$421="",履歴データ!$A$420=""),"",(J421-J420)*100)</f>
        <v>-6.999999999999984</v>
      </c>
      <c r="T421" s="11">
        <f>IF(OR(履歴データ!$A$421="",履歴データ!$A$420=""),"",-80000*K421)</f>
        <v>-200000.00000000285</v>
      </c>
      <c r="U421" s="11">
        <f>IF(OR(履歴データ!$A$421="",履歴データ!$A$420=""),"",60000*L421)</f>
        <v>-89999.99999999936</v>
      </c>
      <c r="V421" s="11">
        <f>IF(OR(履歴データ!$A$421="",履歴データ!$A$420=""),"",-50000*M421)</f>
        <v>175000.00000000285</v>
      </c>
      <c r="W421" s="11">
        <f>IF(OR(履歴データ!$A$421="",履歴データ!$A$420=""),"",-40000*N421)</f>
        <v>-80000.000000000146</v>
      </c>
      <c r="X421" s="11">
        <f>IF(OR(履歴データ!$A$421="",履歴データ!$A$420=""),"",120*1000000*(-Q421/H420))</f>
        <v>1675087.6089429883</v>
      </c>
      <c r="Y421" s="11">
        <f>IF(OR(履歴データ!$A$421="",履歴データ!$A$420=""),"",40000*(-S421)+(-506.3)*R421*1000)</f>
        <v>3117.1874999993597</v>
      </c>
      <c r="Z421" s="11">
        <f>IF(OR(履歴データ!$A$421="",履歴データ!$A$420=""),"",-40000*O421)</f>
        <v>-105999.99999999795</v>
      </c>
      <c r="AA421" s="11">
        <f>IF(OR(履歴データ!$A$421="",履歴データ!$A$420=""),"",-40000*P421)</f>
        <v>64541.430664063453</v>
      </c>
      <c r="AB421" s="11">
        <f>IF(履歴データ!$A$421="","",123.3)</f>
        <v>123.3</v>
      </c>
      <c r="AC421">
        <f>IF(履歴データ!$A$421="","",SUM(T421:AA421))</f>
        <v>1441746.2271070536</v>
      </c>
      <c r="AD421" s="29">
        <f>IF(履歴データ!$A$421="","",AC421/1000000)</f>
        <v>1.4417462271070536</v>
      </c>
      <c r="AE421" s="29">
        <f>IF(履歴データ!$A$421="",AE420,AE420+AC421/1000000)</f>
        <v>83.658636720513144</v>
      </c>
      <c r="AF421" s="12">
        <f>IF(OR(履歴データ!$A$421="",AE420=0),"",(AE421-AE420)/AE420)</f>
        <v>1.7535888531599122E-2</v>
      </c>
      <c r="AG421" s="29">
        <f t="shared" si="20"/>
        <v>102.17217746631495</v>
      </c>
      <c r="AH421" s="12">
        <f>IF(OR(履歴データ!$A$421="",AG421=0),"",AE421/AG421-1)</f>
        <v>-0.18119943417967688</v>
      </c>
      <c r="AJ421" s="28">
        <f t="shared" ca="1" si="18"/>
        <v>-14.908090635854734</v>
      </c>
      <c r="AK421" s="28">
        <f t="shared" ca="1" si="19"/>
        <v>-35.746671268907171</v>
      </c>
    </row>
    <row r="422" spans="1:37">
      <c r="A422" s="10">
        <f>IF(履歴データ!$A$422="","",履歴データ!$A$422)</f>
        <v>45540</v>
      </c>
      <c r="B422" s="28">
        <f>IF(履歴データ!$A$422="","",(履歴データ!$D$422-(履歴データ!$B$422+履歴データ!$F$422)/2)*100)</f>
        <v>-15.49999999999998</v>
      </c>
      <c r="C422" s="28">
        <f>IF(履歴データ!$A$422="","",(履歴データ!$H$422-(履歴データ!$G$422+履歴データ!$J$422)/2)*100)</f>
        <v>-31.849999999999991</v>
      </c>
      <c r="D422" s="28">
        <f>IF(履歴データ!$A$422="","",(履歴データ!$D$422-履歴データ!$H$422)*100)</f>
        <v>282.60000000000002</v>
      </c>
      <c r="E422" s="28">
        <f>IF(履歴データ!$A$422="","",(履歴データ!$D$422-履歴データ!$C$422)*100)</f>
        <v>18.999999999999993</v>
      </c>
      <c r="F422" s="28">
        <f>IF(履歴データ!$A$422="","",(履歴データ!$R$422-履歴データ!$D$422)*100)</f>
        <v>-202.99</v>
      </c>
      <c r="G422" s="28">
        <f>IF(履歴データ!$A$422="","",(履歴データ!$S$422-履歴データ!$R$422)*100)</f>
        <v>-146.45435717773455</v>
      </c>
      <c r="H422" s="29">
        <f>IF(履歴データ!$A$422="","",履歴データ!$O$422)</f>
        <v>143.39300537109375</v>
      </c>
      <c r="I422" s="29">
        <f>IF(履歴データ!$A$422="","",履歴データ!$Q$422)</f>
        <v>114.234375</v>
      </c>
      <c r="J422" s="29">
        <f>IF(履歴データ!$A$422="","",履歴データ!$D$422)</f>
        <v>3.73</v>
      </c>
      <c r="K422" s="28">
        <f>IF(OR(履歴データ!$A$422="",履歴データ!$A$421=""),"",B422-B421)</f>
        <v>-1.5000000000000124</v>
      </c>
      <c r="L422" s="28">
        <f>IF(OR(履歴データ!$A$422="",履歴データ!$A$421=""),"",C422-C421)</f>
        <v>-0.24999999999998579</v>
      </c>
      <c r="M422" s="28">
        <f>IF(OR(履歴データ!$A$422="",履歴データ!$A$421=""),"",D422-D421)</f>
        <v>-2.6999999999999318</v>
      </c>
      <c r="N422" s="28">
        <f>IF(OR(履歴データ!$A$422="",履歴データ!$A$421=""),"",E422-E421)</f>
        <v>-2.0000000000000036</v>
      </c>
      <c r="O422" s="28">
        <f>IF(OR(履歴データ!$A$422="",履歴データ!$A$421=""),"",F422-F421)</f>
        <v>-2.6599999999999682</v>
      </c>
      <c r="P422" s="28">
        <f>IF(OR(履歴データ!$A$422="",履歴データ!$A$421=""),"",G422-G421)</f>
        <v>-52.976000000000084</v>
      </c>
      <c r="Q422" s="29">
        <f>IF(OR(履歴データ!$A$422="",履歴データ!$A$421=""),"",H422-H421)</f>
        <v>6.9000244140625E-2</v>
      </c>
      <c r="R422" s="29">
        <f>IF(OR(履歴データ!$A$422="",履歴データ!$A$421=""),"",I422-I421)</f>
        <v>0.203125</v>
      </c>
      <c r="S422" s="28">
        <f>IF(OR(履歴データ!$A$422="",履歴データ!$A$421=""),"",(J422-J421)*100)</f>
        <v>-4.0000000000000036</v>
      </c>
      <c r="T422" s="11">
        <f>IF(OR(履歴データ!$A$422="",履歴データ!$A$421=""),"",-80000*K422)</f>
        <v>120000.00000000099</v>
      </c>
      <c r="U422" s="11">
        <f>IF(OR(履歴データ!$A$422="",履歴データ!$A$421=""),"",60000*L422)</f>
        <v>-14999.999999999147</v>
      </c>
      <c r="V422" s="11">
        <f>IF(OR(履歴データ!$A$422="",履歴データ!$A$421=""),"",-50000*M422)</f>
        <v>134999.99999999659</v>
      </c>
      <c r="W422" s="11">
        <f>IF(OR(履歴データ!$A$422="",履歴データ!$A$421=""),"",-40000*N422)</f>
        <v>80000.000000000146</v>
      </c>
      <c r="X422" s="11">
        <f>IF(OR(履歴データ!$A$422="",履歴データ!$A$421=""),"",120*1000000*(-Q422/H421))</f>
        <v>-57771.406049815167</v>
      </c>
      <c r="Y422" s="11">
        <f>IF(OR(履歴データ!$A$422="",履歴データ!$A$421=""),"",40000*(-S422)+(-506.3)*R422*1000)</f>
        <v>57157.812500000131</v>
      </c>
      <c r="Z422" s="11">
        <f>IF(OR(履歴データ!$A$422="",履歴データ!$A$421=""),"",-40000*O422)</f>
        <v>106399.99999999872</v>
      </c>
      <c r="AA422" s="11">
        <f>IF(OR(履歴データ!$A$422="",履歴データ!$A$421=""),"",-40000*P422)</f>
        <v>2119040.0000000033</v>
      </c>
      <c r="AB422" s="11">
        <f>IF(履歴データ!$A$422="","",123.3)</f>
        <v>123.3</v>
      </c>
      <c r="AC422">
        <f>IF(履歴データ!$A$422="","",SUM(T422:AA422))</f>
        <v>2544826.4064501855</v>
      </c>
      <c r="AD422" s="29">
        <f>IF(履歴データ!$A$422="","",AC422/1000000)</f>
        <v>2.5448264064501855</v>
      </c>
      <c r="AE422" s="29">
        <f>IF(履歴データ!$A$422="",AE421,AE421+AC422/1000000)</f>
        <v>86.203463126963328</v>
      </c>
      <c r="AF422" s="12">
        <f>IF(OR(履歴データ!$A$422="",AE421=0),"",(AE422-AE421)/AE421)</f>
        <v>3.0419171363644651E-2</v>
      </c>
      <c r="AG422" s="29">
        <f t="shared" si="20"/>
        <v>102.17217746631495</v>
      </c>
      <c r="AH422" s="12">
        <f>IF(OR(履歴データ!$A$422="",AG422=0),"",AE422/AG422-1)</f>
        <v>-0.15629219945533934</v>
      </c>
      <c r="AJ422" s="28">
        <f t="shared" ca="1" si="18"/>
        <v>-14.903887130119312</v>
      </c>
      <c r="AK422" s="28">
        <f t="shared" ca="1" si="19"/>
        <v>-35.556430330198154</v>
      </c>
    </row>
    <row r="423" spans="1:37">
      <c r="A423" s="10">
        <f>IF(履歴データ!$A$423="","",履歴データ!$A$423)</f>
        <v>45541</v>
      </c>
      <c r="B423" s="28">
        <f>IF(履歴データ!$A$423="","",(履歴データ!$D$423-(履歴データ!$B$423+履歴データ!$F$423)/2)*100)</f>
        <v>-12.5</v>
      </c>
      <c r="C423" s="28">
        <f>IF(履歴データ!$A$423="","",(履歴データ!$H$423-(履歴データ!$G$423+履歴データ!$J$423)/2)*100)</f>
        <v>-33.249999999999993</v>
      </c>
      <c r="D423" s="28">
        <f>IF(履歴データ!$A$423="","",(履歴データ!$D$423-履歴データ!$H$423)*100)</f>
        <v>284.00000000000006</v>
      </c>
      <c r="E423" s="28">
        <f>IF(履歴データ!$A$423="","",(履歴データ!$D$423-履歴データ!$C$423)*100)</f>
        <v>22.000000000000021</v>
      </c>
      <c r="F423" s="28">
        <f>IF(履歴データ!$A$423="","",(履歴データ!$R$423-履歴データ!$D$423)*100)</f>
        <v>-202.80000000000004</v>
      </c>
      <c r="G423" s="28">
        <f>IF(履歴データ!$A$423="","",(履歴データ!$S$423-履歴データ!$R$423)*100)</f>
        <v>-80.571000000000097</v>
      </c>
      <c r="H423" s="29">
        <f>IF(履歴データ!$A$423="","",履歴データ!$O$423)</f>
        <v>143.39300537109375</v>
      </c>
      <c r="I423" s="29">
        <f>IF(履歴データ!$A$423="","",履歴データ!$Q$423)</f>
        <v>114.515625</v>
      </c>
      <c r="J423" s="29">
        <f>IF(履歴データ!$A$423="","",履歴データ!$D$423)</f>
        <v>3.72</v>
      </c>
      <c r="K423" s="28">
        <f>IF(OR(履歴データ!$A$423="",履歴データ!$A$422=""),"",B423-B422)</f>
        <v>2.9999999999999805</v>
      </c>
      <c r="L423" s="28">
        <f>IF(OR(履歴データ!$A$423="",履歴データ!$A$422=""),"",C423-C422)</f>
        <v>-1.4000000000000021</v>
      </c>
      <c r="M423" s="28">
        <f>IF(OR(履歴データ!$A$423="",履歴データ!$A$422=""),"",D423-D422)</f>
        <v>1.4000000000000341</v>
      </c>
      <c r="N423" s="28">
        <f>IF(OR(履歴データ!$A$423="",履歴データ!$A$422=""),"",E423-E422)</f>
        <v>3.0000000000000284</v>
      </c>
      <c r="O423" s="28">
        <f>IF(OR(履歴データ!$A$423="",履歴データ!$A$422=""),"",F423-F422)</f>
        <v>0.1899999999999693</v>
      </c>
      <c r="P423" s="28">
        <f>IF(OR(履歴データ!$A$423="",履歴データ!$A$422=""),"",G423-G422)</f>
        <v>65.883357177734453</v>
      </c>
      <c r="Q423" s="29">
        <f>IF(OR(履歴データ!$A$423="",履歴データ!$A$422=""),"",H423-H422)</f>
        <v>0</v>
      </c>
      <c r="R423" s="29">
        <f>IF(OR(履歴データ!$A$423="",履歴データ!$A$422=""),"",I423-I422)</f>
        <v>0.28125</v>
      </c>
      <c r="S423" s="28">
        <f>IF(OR(履歴データ!$A$423="",履歴データ!$A$422=""),"",(J423-J422)*100)</f>
        <v>-0.99999999999997868</v>
      </c>
      <c r="T423" s="11">
        <f>IF(OR(履歴データ!$A$423="",履歴データ!$A$422=""),"",-80000*K423)</f>
        <v>-239999.99999999843</v>
      </c>
      <c r="U423" s="11">
        <f>IF(OR(履歴データ!$A$423="",履歴データ!$A$422=""),"",60000*L423)</f>
        <v>-84000.000000000131</v>
      </c>
      <c r="V423" s="11">
        <f>IF(OR(履歴データ!$A$423="",履歴データ!$A$422=""),"",-50000*M423)</f>
        <v>-70000.000000001703</v>
      </c>
      <c r="W423" s="11">
        <f>IF(OR(履歴データ!$A$423="",履歴データ!$A$422=""),"",-40000*N423)</f>
        <v>-120000.00000000114</v>
      </c>
      <c r="X423" s="11">
        <f>IF(OR(履歴データ!$A$423="",履歴データ!$A$422=""),"",120*1000000*(-Q423/H422))</f>
        <v>0</v>
      </c>
      <c r="Y423" s="11">
        <f>IF(OR(履歴データ!$A$423="",履歴データ!$A$422=""),"",40000*(-S423)+(-506.3)*R423*1000)</f>
        <v>-102396.87500000084</v>
      </c>
      <c r="Z423" s="11">
        <f>IF(OR(履歴データ!$A$423="",履歴データ!$A$422=""),"",-40000*O423)</f>
        <v>-7599.9999999987722</v>
      </c>
      <c r="AA423" s="11">
        <f>IF(OR(履歴データ!$A$423="",履歴データ!$A$422=""),"",-40000*P423)</f>
        <v>-2635334.2871093783</v>
      </c>
      <c r="AB423" s="11">
        <f>IF(履歴データ!$A$423="","",123.3)</f>
        <v>123.3</v>
      </c>
      <c r="AC423">
        <f>IF(履歴データ!$A$423="","",SUM(T423:AA423))</f>
        <v>-3259331.1621093792</v>
      </c>
      <c r="AD423" s="29">
        <f>IF(履歴データ!$A$423="","",AC423/1000000)</f>
        <v>-3.2593311621093792</v>
      </c>
      <c r="AE423" s="29">
        <f>IF(履歴データ!$A$423="",AE422,AE422+AC423/1000000)</f>
        <v>82.944131964853952</v>
      </c>
      <c r="AF423" s="12">
        <f>IF(OR(履歴データ!$A$423="",AE422=0),"",(AE423-AE422)/AE422)</f>
        <v>-3.7809747356772949E-2</v>
      </c>
      <c r="AG423" s="29">
        <f t="shared" si="20"/>
        <v>102.17217746631495</v>
      </c>
      <c r="AH423" s="12">
        <f>IF(OR(履歴データ!$A$423="",AG423=0),"",AE423/AG423-1)</f>
        <v>-0.18819257823687152</v>
      </c>
      <c r="AJ423" s="28">
        <f t="shared" ca="1" si="18"/>
        <v>-14.822165129222832</v>
      </c>
      <c r="AK423" s="28">
        <f t="shared" ca="1" si="19"/>
        <v>-35.427834870777168</v>
      </c>
    </row>
    <row r="424" spans="1:37">
      <c r="A424" s="10">
        <f>IF(履歴データ!$A$424="","",履歴データ!$A$424)</f>
        <v>45544</v>
      </c>
      <c r="B424" s="28">
        <f>IF(履歴データ!$A$424="","",(履歴データ!$D$424-(履歴データ!$B$424+履歴データ!$F$424)/2)*100)</f>
        <v>-13.999999999999968</v>
      </c>
      <c r="C424" s="28">
        <f>IF(履歴データ!$A$424="","",(履歴データ!$H$424-(履歴データ!$G$424+履歴データ!$J$424)/2)*100)</f>
        <v>-31.099999999999994</v>
      </c>
      <c r="D424" s="28">
        <f>IF(履歴データ!$A$424="","",(履歴データ!$D$424-履歴データ!$H$424)*100)</f>
        <v>277.50000000000006</v>
      </c>
      <c r="E424" s="28">
        <f>IF(履歴データ!$A$424="","",(履歴データ!$D$424-履歴データ!$C$424)*100)</f>
        <v>20.999999999999996</v>
      </c>
      <c r="F424" s="28">
        <f>IF(履歴データ!$A$424="","",(履歴データ!$R$424-履歴データ!$D$424)*100)</f>
        <v>-207.68000000000004</v>
      </c>
      <c r="G424" s="28">
        <f>IF(履歴データ!$A$424="","",(履歴データ!$S$424-履歴データ!$R$424)*100)</f>
        <v>-70.183000000000035</v>
      </c>
      <c r="H424" s="29">
        <f>IF(履歴データ!$A$424="","",履歴データ!$O$424)</f>
        <v>143.177001953125</v>
      </c>
      <c r="I424" s="29">
        <f>IF(履歴データ!$A$424="","",履歴データ!$Q$424)</f>
        <v>114.515625</v>
      </c>
      <c r="J424" s="29">
        <f>IF(履歴データ!$A$424="","",履歴データ!$D$424)</f>
        <v>3.7</v>
      </c>
      <c r="K424" s="28">
        <f>IF(OR(履歴データ!$A$424="",履歴データ!$A$423=""),"",B424-B423)</f>
        <v>-1.499999999999968</v>
      </c>
      <c r="L424" s="28">
        <f>IF(OR(履歴データ!$A$424="",履歴データ!$A$423=""),"",C424-C423)</f>
        <v>2.1499999999999986</v>
      </c>
      <c r="M424" s="28">
        <f>IF(OR(履歴データ!$A$424="",履歴データ!$A$423=""),"",D424-D423)</f>
        <v>-6.5</v>
      </c>
      <c r="N424" s="28">
        <f>IF(OR(履歴データ!$A$424="",履歴データ!$A$423=""),"",E424-E423)</f>
        <v>-1.0000000000000249</v>
      </c>
      <c r="O424" s="28">
        <f>IF(OR(履歴データ!$A$424="",履歴データ!$A$423=""),"",F424-F423)</f>
        <v>-4.8799999999999955</v>
      </c>
      <c r="P424" s="28">
        <f>IF(OR(履歴データ!$A$424="",履歴データ!$A$423=""),"",G424-G423)</f>
        <v>10.388000000000062</v>
      </c>
      <c r="Q424" s="29">
        <f>IF(OR(履歴データ!$A$424="",履歴データ!$A$423=""),"",H424-H423)</f>
        <v>-0.21600341796875</v>
      </c>
      <c r="R424" s="29">
        <f>IF(OR(履歴データ!$A$424="",履歴データ!$A$423=""),"",I424-I423)</f>
        <v>0</v>
      </c>
      <c r="S424" s="28">
        <f>IF(OR(履歴データ!$A$424="",履歴データ!$A$423=""),"",(J424-J423)*100)</f>
        <v>-2.0000000000000018</v>
      </c>
      <c r="T424" s="11">
        <f>IF(OR(履歴データ!$A$424="",履歴データ!$A$423=""),"",-80000*K424)</f>
        <v>119999.99999999744</v>
      </c>
      <c r="U424" s="11">
        <f>IF(OR(履歴データ!$A$424="",履歴データ!$A$423=""),"",60000*L424)</f>
        <v>128999.99999999991</v>
      </c>
      <c r="V424" s="11">
        <f>IF(OR(履歴データ!$A$424="",履歴データ!$A$423=""),"",-50000*M424)</f>
        <v>325000</v>
      </c>
      <c r="W424" s="11">
        <f>IF(OR(履歴データ!$A$424="",履歴データ!$A$423=""),"",-40000*N424)</f>
        <v>40000.000000000997</v>
      </c>
      <c r="X424" s="11">
        <f>IF(OR(履歴データ!$A$424="",履歴データ!$A$423=""),"",120*1000000*(-Q424/H423))</f>
        <v>180764.81547457149</v>
      </c>
      <c r="Y424" s="11">
        <f>IF(OR(履歴データ!$A$424="",履歴データ!$A$423=""),"",40000*(-S424)+(-506.3)*R424*1000)</f>
        <v>80000.000000000073</v>
      </c>
      <c r="Z424" s="11">
        <f>IF(OR(履歴データ!$A$424="",履歴データ!$A$423=""),"",-40000*O424)</f>
        <v>195199.99999999983</v>
      </c>
      <c r="AA424" s="11">
        <f>IF(OR(履歴データ!$A$424="",履歴データ!$A$423=""),"",-40000*P424)</f>
        <v>-415520.0000000025</v>
      </c>
      <c r="AB424" s="11">
        <f>IF(履歴データ!$A$424="","",123.3)</f>
        <v>123.3</v>
      </c>
      <c r="AC424">
        <f>IF(履歴データ!$A$424="","",SUM(T424:AA424))</f>
        <v>654444.81547456724</v>
      </c>
      <c r="AD424" s="29">
        <f>IF(履歴データ!$A$424="","",AC424/1000000)</f>
        <v>0.65444481547456723</v>
      </c>
      <c r="AE424" s="29">
        <f>IF(履歴データ!$A$424="",AE423,AE423+AC424/1000000)</f>
        <v>83.598576780328514</v>
      </c>
      <c r="AF424" s="12">
        <f>IF(OR(履歴データ!$A$424="",AE423=0),"",(AE424-AE423)/AE423)</f>
        <v>7.8901882504704649E-3</v>
      </c>
      <c r="AG424" s="29">
        <f t="shared" si="20"/>
        <v>102.17217746631495</v>
      </c>
      <c r="AH424" s="12">
        <f>IF(OR(履歴データ!$A$424="",AG424=0),"",AE424/AG424-1)</f>
        <v>-0.18178726485603136</v>
      </c>
      <c r="AJ424" s="28">
        <f t="shared" ca="1" si="18"/>
        <v>-14.778195668695222</v>
      </c>
      <c r="AK424" s="28">
        <f t="shared" ca="1" si="19"/>
        <v>-35.273391632892071</v>
      </c>
    </row>
    <row r="425" spans="1:37">
      <c r="A425" s="10">
        <f>IF(履歴データ!$A$425="","",履歴データ!$A$425)</f>
        <v>45545</v>
      </c>
      <c r="B425" s="28">
        <f>IF(履歴データ!$A$425="","",(履歴データ!$D$425-(履歴データ!$B$425+履歴データ!$F$425)/2)*100)</f>
        <v>-13.000000000000034</v>
      </c>
      <c r="C425" s="28">
        <f>IF(履歴データ!$A$425="","",(履歴データ!$H$425-(履歴データ!$G$425+履歴データ!$J$425)/2)*100)</f>
        <v>-31.699999999999985</v>
      </c>
      <c r="D425" s="28">
        <f>IF(履歴データ!$A$425="","",(履歴データ!$D$425-履歴データ!$H$425)*100)</f>
        <v>272.39999999999998</v>
      </c>
      <c r="E425" s="28">
        <f>IF(履歴データ!$A$425="","",(履歴データ!$D$425-履歴データ!$C$425)*100)</f>
        <v>21.999999999999975</v>
      </c>
      <c r="F425" s="28">
        <f>IF(履歴データ!$A$425="","",(履歴データ!$R$425-履歴データ!$D$425)*100)</f>
        <v>-202.59999999999997</v>
      </c>
      <c r="G425" s="28">
        <f>IF(履歴データ!$A$425="","",(履歴データ!$S$425-履歴データ!$R$425)*100)</f>
        <v>-71.315357177734512</v>
      </c>
      <c r="H425" s="29">
        <f>IF(履歴データ!$A$425="","",履歴データ!$O$425)</f>
        <v>142.23399353027344</v>
      </c>
      <c r="I425" s="29">
        <f>IF(履歴データ!$A$425="","",履歴データ!$Q$425)</f>
        <v>114.921875</v>
      </c>
      <c r="J425" s="29">
        <f>IF(履歴データ!$A$425="","",履歴データ!$D$425)</f>
        <v>3.65</v>
      </c>
      <c r="K425" s="28">
        <f>IF(OR(履歴データ!$A$425="",履歴データ!$A$424=""),"",B425-B424)</f>
        <v>0.99999999999993427</v>
      </c>
      <c r="L425" s="28">
        <f>IF(OR(履歴データ!$A$425="",履歴データ!$A$424=""),"",C425-C424)</f>
        <v>-0.59999999999999076</v>
      </c>
      <c r="M425" s="28">
        <f>IF(OR(履歴データ!$A$425="",履歴データ!$A$424=""),"",D425-D424)</f>
        <v>-5.1000000000000796</v>
      </c>
      <c r="N425" s="28">
        <f>IF(OR(履歴データ!$A$425="",履歴データ!$A$424=""),"",E425-E424)</f>
        <v>0.99999999999997868</v>
      </c>
      <c r="O425" s="28">
        <f>IF(OR(履歴データ!$A$425="",履歴データ!$A$424=""),"",F425-F424)</f>
        <v>5.0800000000000693</v>
      </c>
      <c r="P425" s="28">
        <f>IF(OR(履歴データ!$A$425="",履歴データ!$A$424=""),"",G425-G424)</f>
        <v>-1.1323571777344767</v>
      </c>
      <c r="Q425" s="29">
        <f>IF(OR(履歴データ!$A$425="",履歴データ!$A$424=""),"",H425-H424)</f>
        <v>-0.9430084228515625</v>
      </c>
      <c r="R425" s="29">
        <f>IF(OR(履歴データ!$A$425="",履歴データ!$A$424=""),"",I425-I424)</f>
        <v>0.40625</v>
      </c>
      <c r="S425" s="28">
        <f>IF(OR(履歴データ!$A$425="",履歴データ!$A$424=""),"",(J425-J424)*100)</f>
        <v>-5.0000000000000266</v>
      </c>
      <c r="T425" s="11">
        <f>IF(OR(履歴データ!$A$425="",履歴データ!$A$424=""),"",-80000*K425)</f>
        <v>-79999.999999994747</v>
      </c>
      <c r="U425" s="11">
        <f>IF(OR(履歴データ!$A$425="",履歴データ!$A$424=""),"",60000*L425)</f>
        <v>-35999.999999999447</v>
      </c>
      <c r="V425" s="11">
        <f>IF(OR(履歴データ!$A$425="",履歴データ!$A$424=""),"",-50000*M425)</f>
        <v>255000.00000000399</v>
      </c>
      <c r="W425" s="11">
        <f>IF(OR(履歴データ!$A$425="",履歴データ!$A$424=""),"",-40000*N425)</f>
        <v>-39999.999999999149</v>
      </c>
      <c r="X425" s="11">
        <f>IF(OR(履歴データ!$A$425="",履歴データ!$A$424=""),"",120*1000000*(-Q425/H424))</f>
        <v>790357.45405002614</v>
      </c>
      <c r="Y425" s="11">
        <f>IF(OR(履歴データ!$A$425="",履歴データ!$A$424=""),"",40000*(-S425)+(-506.3)*R425*1000)</f>
        <v>-5684.3749999989523</v>
      </c>
      <c r="Z425" s="11">
        <f>IF(OR(履歴データ!$A$425="",履歴データ!$A$424=""),"",-40000*O425)</f>
        <v>-203200.00000000276</v>
      </c>
      <c r="AA425" s="11">
        <f>IF(OR(履歴データ!$A$425="",履歴データ!$A$424=""),"",-40000*P425)</f>
        <v>45294.287109379067</v>
      </c>
      <c r="AB425" s="11">
        <f>IF(履歴データ!$A$425="","",123.3)</f>
        <v>123.3</v>
      </c>
      <c r="AC425">
        <f>IF(履歴データ!$A$425="","",SUM(T425:AA425))</f>
        <v>725767.36615941406</v>
      </c>
      <c r="AD425" s="29">
        <f>IF(履歴データ!$A$425="","",AC425/1000000)</f>
        <v>0.72576736615941406</v>
      </c>
      <c r="AE425" s="29">
        <f>IF(履歴データ!$A$425="",AE424,AE424+AC425/1000000)</f>
        <v>84.324344146487931</v>
      </c>
      <c r="AF425" s="12">
        <f>IF(OR(履歴データ!$A$425="",AE424=0),"",(AE425-AE424)/AE424)</f>
        <v>8.6815756213949845E-3</v>
      </c>
      <c r="AG425" s="29">
        <f t="shared" si="20"/>
        <v>102.17217746631495</v>
      </c>
      <c r="AH425" s="12">
        <f>IF(OR(履歴データ!$A$425="",AG425=0),"",AE425/AG425-1)</f>
        <v>-0.17468388912149058</v>
      </c>
      <c r="AJ425" s="28">
        <f t="shared" ca="1" si="18"/>
        <v>-14.699374274760993</v>
      </c>
      <c r="AK425" s="28">
        <f t="shared" ca="1" si="19"/>
        <v>-35.15380032841361</v>
      </c>
    </row>
    <row r="426" spans="1:37">
      <c r="A426" s="10">
        <f>IF(履歴データ!$A$426="","",履歴データ!$A$426)</f>
        <v>45546</v>
      </c>
      <c r="B426" s="28">
        <f>IF(履歴データ!$A$426="","",(履歴データ!$D$426-(履歴データ!$B$426+履歴データ!$F$426)/2)*100)</f>
        <v>-14.000000000000012</v>
      </c>
      <c r="C426" s="28">
        <f>IF(履歴データ!$A$426="","",(履歴データ!$H$426-(履歴データ!$G$426+履歴データ!$J$426)/2)*100)</f>
        <v>-34.249999999999993</v>
      </c>
      <c r="D426" s="28">
        <f>IF(履歴データ!$A$426="","",(履歴データ!$D$426-履歴データ!$H$426)*100)</f>
        <v>276.39999999999998</v>
      </c>
      <c r="E426" s="28">
        <f>IF(履歴データ!$A$426="","",(履歴データ!$D$426-履歴データ!$C$426)*100)</f>
        <v>19.999999999999972</v>
      </c>
      <c r="F426" s="28">
        <f>IF(履歴データ!$A$426="","",(履歴データ!$R$426-履歴データ!$D$426)*100)</f>
        <v>-205.22</v>
      </c>
      <c r="G426" s="28">
        <f>IF(履歴データ!$A$426="","",(履歴データ!$S$426-履歴データ!$R$426)*100)</f>
        <v>-73.781999999999996</v>
      </c>
      <c r="H426" s="29">
        <f>IF(履歴データ!$A$426="","",履歴データ!$O$426)</f>
        <v>142.58999633789063</v>
      </c>
      <c r="I426" s="29">
        <f>IF(履歴データ!$A$426="","",履歴データ!$Q$426)</f>
        <v>114.78125</v>
      </c>
      <c r="J426" s="29">
        <f>IF(履歴データ!$A$426="","",履歴データ!$D$426)</f>
        <v>3.65</v>
      </c>
      <c r="K426" s="28">
        <f>IF(OR(履歴データ!$A$426="",履歴データ!$A$425=""),"",B426-B425)</f>
        <v>-0.99999999999997868</v>
      </c>
      <c r="L426" s="28">
        <f>IF(OR(履歴データ!$A$426="",履歴データ!$A$425=""),"",C426-C425)</f>
        <v>-2.5500000000000078</v>
      </c>
      <c r="M426" s="28">
        <f>IF(OR(履歴データ!$A$426="",履歴データ!$A$425=""),"",D426-D425)</f>
        <v>4</v>
      </c>
      <c r="N426" s="28">
        <f>IF(OR(履歴データ!$A$426="",履歴データ!$A$425=""),"",E426-E425)</f>
        <v>-2.0000000000000036</v>
      </c>
      <c r="O426" s="28">
        <f>IF(OR(履歴データ!$A$426="",履歴データ!$A$425=""),"",F426-F425)</f>
        <v>-2.620000000000033</v>
      </c>
      <c r="P426" s="28">
        <f>IF(OR(履歴データ!$A$426="",履歴データ!$A$425=""),"",G426-G425)</f>
        <v>-2.4666428222654844</v>
      </c>
      <c r="Q426" s="29">
        <f>IF(OR(履歴データ!$A$426="",履歴データ!$A$425=""),"",H426-H425)</f>
        <v>0.3560028076171875</v>
      </c>
      <c r="R426" s="29">
        <f>IF(OR(履歴データ!$A$426="",履歴データ!$A$425=""),"",I426-I425)</f>
        <v>-0.140625</v>
      </c>
      <c r="S426" s="28">
        <f>IF(OR(履歴データ!$A$426="",履歴データ!$A$425=""),"",(J426-J425)*100)</f>
        <v>0</v>
      </c>
      <c r="T426" s="11">
        <f>IF(OR(履歴データ!$A$426="",履歴データ!$A$425=""),"",-80000*K426)</f>
        <v>79999.999999998297</v>
      </c>
      <c r="U426" s="11">
        <f>IF(OR(履歴データ!$A$426="",履歴データ!$A$425=""),"",60000*L426)</f>
        <v>-153000.00000000047</v>
      </c>
      <c r="V426" s="11">
        <f>IF(OR(履歴データ!$A$426="",履歴データ!$A$425=""),"",-50000*M426)</f>
        <v>-200000</v>
      </c>
      <c r="W426" s="11">
        <f>IF(OR(履歴データ!$A$426="",履歴データ!$A$425=""),"",-40000*N426)</f>
        <v>80000.000000000146</v>
      </c>
      <c r="X426" s="11">
        <f>IF(OR(履歴データ!$A$426="",履歴データ!$A$425=""),"",120*1000000*(-Q426/H425))</f>
        <v>-300352.50964791194</v>
      </c>
      <c r="Y426" s="11">
        <f>IF(OR(履歴データ!$A$426="",履歴データ!$A$425=""),"",40000*(-S426)+(-506.3)*R426*1000)</f>
        <v>71198.4375</v>
      </c>
      <c r="Z426" s="11">
        <f>IF(OR(履歴データ!$A$426="",履歴データ!$A$425=""),"",-40000*O426)</f>
        <v>104800.00000000132</v>
      </c>
      <c r="AA426" s="11">
        <f>IF(OR(履歴データ!$A$426="",履歴データ!$A$425=""),"",-40000*P426)</f>
        <v>98665.712890619368</v>
      </c>
      <c r="AB426" s="11">
        <f>IF(履歴データ!$A$426="","",123.3)</f>
        <v>123.3</v>
      </c>
      <c r="AC426">
        <f>IF(履歴データ!$A$426="","",SUM(T426:AA426))</f>
        <v>-218688.35925729328</v>
      </c>
      <c r="AD426" s="29">
        <f>IF(履歴データ!$A$426="","",AC426/1000000)</f>
        <v>-0.2186883592572933</v>
      </c>
      <c r="AE426" s="29">
        <f>IF(履歴データ!$A$426="",AE425,AE425+AC426/1000000)</f>
        <v>84.105655787230631</v>
      </c>
      <c r="AF426" s="12">
        <f>IF(OR(履歴データ!$A$426="",AE425=0),"",(AE426-AE425)/AE425)</f>
        <v>-2.5934190354021027E-3</v>
      </c>
      <c r="AG426" s="29">
        <f t="shared" si="20"/>
        <v>102.17217746631495</v>
      </c>
      <c r="AH426" s="12">
        <f>IF(OR(履歴データ!$A$426="",AG426=0),"",AE426/AG426-1)</f>
        <v>-0.17682427963366698</v>
      </c>
      <c r="AJ426" s="28">
        <f t="shared" ca="1" si="18"/>
        <v>-14.672919875793328</v>
      </c>
      <c r="AK426" s="28">
        <f t="shared" ca="1" si="19"/>
        <v>-34.977873775000326</v>
      </c>
    </row>
    <row r="427" spans="1:37">
      <c r="A427" s="10">
        <f>IF(履歴データ!$A$427="","",履歴データ!$A$427)</f>
        <v>45547</v>
      </c>
      <c r="B427" s="28">
        <f>IF(履歴データ!$A$427="","",(履歴データ!$D$427-(履歴データ!$B$427+履歴データ!$F$427)/2)*100)</f>
        <v>-14.000000000000012</v>
      </c>
      <c r="C427" s="28">
        <f>IF(履歴データ!$A$427="","",(履歴データ!$H$427-(履歴データ!$G$427+履歴データ!$J$427)/2)*100)</f>
        <v>-33.649999999999991</v>
      </c>
      <c r="D427" s="28">
        <f>IF(履歴データ!$A$427="","",(履歴データ!$D$427-履歴データ!$H$427)*100)</f>
        <v>278.40000000000003</v>
      </c>
      <c r="E427" s="28">
        <f>IF(履歴データ!$A$427="","",(履歴データ!$D$427-履歴データ!$C$427)*100)</f>
        <v>20.999999999999996</v>
      </c>
      <c r="F427" s="28">
        <f>IF(履歴データ!$A$427="","",(履歴データ!$R$427-履歴データ!$D$427)*100)</f>
        <v>-216.23999999999998</v>
      </c>
      <c r="G427" s="28">
        <f>IF(履歴データ!$A$427="","",(履歴データ!$S$427-履歴データ!$R$427)*100)</f>
        <v>-62.429357177734545</v>
      </c>
      <c r="H427" s="29">
        <f>IF(履歴データ!$A$427="","",履歴データ!$O$427)</f>
        <v>141.49899291992188</v>
      </c>
      <c r="I427" s="29">
        <f>IF(履歴データ!$A$427="","",履歴データ!$Q$427)</f>
        <v>114.6875</v>
      </c>
      <c r="J427" s="29">
        <f>IF(履歴データ!$A$427="","",履歴データ!$D$427)</f>
        <v>3.68</v>
      </c>
      <c r="K427" s="28">
        <f>IF(OR(履歴データ!$A$427="",履歴データ!$A$426=""),"",B427-B426)</f>
        <v>0</v>
      </c>
      <c r="L427" s="28">
        <f>IF(OR(履歴データ!$A$427="",履歴データ!$A$426=""),"",C427-C426)</f>
        <v>0.60000000000000142</v>
      </c>
      <c r="M427" s="28">
        <f>IF(OR(履歴データ!$A$427="",履歴データ!$A$426=""),"",D427-D426)</f>
        <v>2.0000000000000568</v>
      </c>
      <c r="N427" s="28">
        <f>IF(OR(履歴データ!$A$427="",履歴データ!$A$426=""),"",E427-E426)</f>
        <v>1.0000000000000249</v>
      </c>
      <c r="O427" s="28">
        <f>IF(OR(履歴データ!$A$427="",履歴データ!$A$426=""),"",F427-F426)</f>
        <v>-11.019999999999982</v>
      </c>
      <c r="P427" s="28">
        <f>IF(OR(履歴データ!$A$427="",履歴データ!$A$426=""),"",G427-G426)</f>
        <v>11.352642822265452</v>
      </c>
      <c r="Q427" s="29">
        <f>IF(OR(履歴データ!$A$427="",履歴データ!$A$426=""),"",H427-H426)</f>
        <v>-1.09100341796875</v>
      </c>
      <c r="R427" s="29">
        <f>IF(OR(履歴データ!$A$427="",履歴データ!$A$426=""),"",I427-I426)</f>
        <v>-9.375E-2</v>
      </c>
      <c r="S427" s="28">
        <f>IF(OR(履歴データ!$A$427="",履歴データ!$A$426=""),"",(J427-J426)*100)</f>
        <v>3.0000000000000249</v>
      </c>
      <c r="T427" s="11">
        <f>IF(OR(履歴データ!$A$427="",履歴データ!$A$426=""),"",-80000*K427)</f>
        <v>0</v>
      </c>
      <c r="U427" s="11">
        <f>IF(OR(履歴データ!$A$427="",履歴データ!$A$426=""),"",60000*L427)</f>
        <v>36000.000000000087</v>
      </c>
      <c r="V427" s="11">
        <f>IF(OR(履歴データ!$A$427="",履歴データ!$A$426=""),"",-50000*M427)</f>
        <v>-100000.00000000284</v>
      </c>
      <c r="W427" s="11">
        <f>IF(OR(履歴データ!$A$427="",履歴データ!$A$426=""),"",-40000*N427)</f>
        <v>-40000.000000000997</v>
      </c>
      <c r="X427" s="11">
        <f>IF(OR(履歴データ!$A$427="",履歴データ!$A$426=""),"",120*1000000*(-Q427/H426))</f>
        <v>918159.85355671367</v>
      </c>
      <c r="Y427" s="11">
        <f>IF(OR(履歴データ!$A$427="",履歴データ!$A$426=""),"",40000*(-S427)+(-506.3)*R427*1000)</f>
        <v>-72534.37500000099</v>
      </c>
      <c r="Z427" s="11">
        <f>IF(OR(履歴データ!$A$427="",履歴データ!$A$426=""),"",-40000*O427)</f>
        <v>440799.9999999993</v>
      </c>
      <c r="AA427" s="11">
        <f>IF(OR(履歴データ!$A$427="",履歴データ!$A$426=""),"",-40000*P427)</f>
        <v>-454105.71289061807</v>
      </c>
      <c r="AB427" s="11">
        <f>IF(履歴データ!$A$427="","",123.3)</f>
        <v>123.3</v>
      </c>
      <c r="AC427">
        <f>IF(履歴データ!$A$427="","",SUM(T427:AA427))</f>
        <v>728319.76566609018</v>
      </c>
      <c r="AD427" s="29">
        <f>IF(履歴データ!$A$427="","",AC427/1000000)</f>
        <v>0.72831976566609014</v>
      </c>
      <c r="AE427" s="29">
        <f>IF(履歴データ!$A$427="",AE426,AE426+AC427/1000000)</f>
        <v>84.833975552896717</v>
      </c>
      <c r="AF427" s="12">
        <f>IF(OR(履歴データ!$A$427="",AE426=0),"",(AE427-AE426)/AE426)</f>
        <v>8.6595813188661136E-3</v>
      </c>
      <c r="AG427" s="29">
        <f t="shared" si="20"/>
        <v>102.17217746631495</v>
      </c>
      <c r="AH427" s="12">
        <f>IF(OR(履歴データ!$A$427="",AG427=0),"",AE427/AG427-1)</f>
        <v>-0.16969592254343846</v>
      </c>
      <c r="AJ427" s="28">
        <f t="shared" ca="1" si="18"/>
        <v>-14.623830947358533</v>
      </c>
      <c r="AK427" s="28">
        <f t="shared" ca="1" si="19"/>
        <v>-34.836486512958928</v>
      </c>
    </row>
    <row r="428" spans="1:37">
      <c r="A428" s="10">
        <f>IF(履歴データ!$A$428="","",履歴データ!$A$428)</f>
        <v>45548</v>
      </c>
      <c r="B428" s="28">
        <f>IF(履歴データ!$A$428="","",(履歴データ!$D$428-(履歴データ!$B$428+履歴データ!$F$428)/2)*100)</f>
        <v>-11.499999999999977</v>
      </c>
      <c r="C428" s="28">
        <f>IF(履歴データ!$A$428="","",(履歴データ!$H$428-(履歴データ!$G$428+履歴データ!$J$428)/2)*100)</f>
        <v>-34.04999999999999</v>
      </c>
      <c r="D428" s="28">
        <f>IF(履歴データ!$A$428="","",(履歴データ!$D$428-履歴データ!$H$428)*100)</f>
        <v>278.2</v>
      </c>
      <c r="E428" s="28">
        <f>IF(履歴データ!$A$428="","",(履歴データ!$D$428-履歴データ!$C$428)*100)</f>
        <v>23</v>
      </c>
      <c r="F428" s="28">
        <f>IF(履歴データ!$A$428="","",(履歴データ!$R$428-履歴データ!$D$428)*100)</f>
        <v>-206.56</v>
      </c>
      <c r="G428" s="28">
        <f>IF(履歴データ!$A$428="","",(履歴データ!$S$428-履歴データ!$R$428)*100)</f>
        <v>-78.00235717773451</v>
      </c>
      <c r="H428" s="29">
        <f>IF(履歴データ!$A$428="","",履歴データ!$O$428)</f>
        <v>141.49899291992188</v>
      </c>
      <c r="I428" s="29">
        <f>IF(履歴データ!$A$428="","",履歴データ!$Q$428)</f>
        <v>114.921875</v>
      </c>
      <c r="J428" s="29">
        <f>IF(履歴データ!$A$428="","",履歴データ!$D$428)</f>
        <v>3.66</v>
      </c>
      <c r="K428" s="28">
        <f>IF(OR(履歴データ!$A$428="",履歴データ!$A$427=""),"",B428-B427)</f>
        <v>2.5000000000000355</v>
      </c>
      <c r="L428" s="28">
        <f>IF(OR(履歴データ!$A$428="",履歴データ!$A$427=""),"",C428-C427)</f>
        <v>-0.39999999999999858</v>
      </c>
      <c r="M428" s="28">
        <f>IF(OR(履歴データ!$A$428="",履歴データ!$A$427=""),"",D428-D427)</f>
        <v>-0.20000000000004547</v>
      </c>
      <c r="N428" s="28">
        <f>IF(OR(履歴データ!$A$428="",履歴データ!$A$427=""),"",E428-E427)</f>
        <v>2.0000000000000036</v>
      </c>
      <c r="O428" s="28">
        <f>IF(OR(履歴データ!$A$428="",履歴データ!$A$427=""),"",F428-F427)</f>
        <v>9.6799999999999784</v>
      </c>
      <c r="P428" s="28">
        <f>IF(OR(履歴データ!$A$428="",履歴データ!$A$427=""),"",G428-G427)</f>
        <v>-15.572999999999965</v>
      </c>
      <c r="Q428" s="29">
        <f>IF(OR(履歴データ!$A$428="",履歴データ!$A$427=""),"",H428-H427)</f>
        <v>0</v>
      </c>
      <c r="R428" s="29">
        <f>IF(OR(履歴データ!$A$428="",履歴データ!$A$427=""),"",I428-I427)</f>
        <v>0.234375</v>
      </c>
      <c r="S428" s="28">
        <f>IF(OR(履歴データ!$A$428="",履歴データ!$A$427=""),"",(J428-J427)*100)</f>
        <v>-2.0000000000000018</v>
      </c>
      <c r="T428" s="11">
        <f>IF(OR(履歴データ!$A$428="",履歴データ!$A$427=""),"",-80000*K428)</f>
        <v>-200000.00000000285</v>
      </c>
      <c r="U428" s="11">
        <f>IF(OR(履歴データ!$A$428="",履歴データ!$A$427=""),"",60000*L428)</f>
        <v>-23999.999999999916</v>
      </c>
      <c r="V428" s="11">
        <f>IF(OR(履歴データ!$A$428="",履歴データ!$A$427=""),"",-50000*M428)</f>
        <v>10000.000000002274</v>
      </c>
      <c r="W428" s="11">
        <f>IF(OR(履歴データ!$A$428="",履歴データ!$A$427=""),"",-40000*N428)</f>
        <v>-80000.000000000146</v>
      </c>
      <c r="X428" s="11">
        <f>IF(OR(履歴データ!$A$428="",履歴データ!$A$427=""),"",120*1000000*(-Q428/H427))</f>
        <v>0</v>
      </c>
      <c r="Y428" s="11">
        <f>IF(OR(履歴データ!$A$428="",履歴データ!$A$427=""),"",40000*(-S428)+(-506.3)*R428*1000)</f>
        <v>-38664.062499999927</v>
      </c>
      <c r="Z428" s="11">
        <f>IF(OR(履歴データ!$A$428="",履歴データ!$A$427=""),"",-40000*O428)</f>
        <v>-387199.99999999913</v>
      </c>
      <c r="AA428" s="11">
        <f>IF(OR(履歴データ!$A$428="",履歴データ!$A$427=""),"",-40000*P428)</f>
        <v>622919.9999999986</v>
      </c>
      <c r="AB428" s="11">
        <f>IF(履歴データ!$A$428="","",123.3)</f>
        <v>123.3</v>
      </c>
      <c r="AC428">
        <f>IF(履歴データ!$A$428="","",SUM(T428:AA428))</f>
        <v>-96944.062500001164</v>
      </c>
      <c r="AD428" s="29">
        <f>IF(履歴データ!$A$428="","",AC428/1000000)</f>
        <v>-9.6944062500001163E-2</v>
      </c>
      <c r="AE428" s="29">
        <f>IF(履歴データ!$A$428="",AE427,AE427+AC428/1000000)</f>
        <v>84.737031490396717</v>
      </c>
      <c r="AF428" s="12">
        <f>IF(OR(履歴データ!$A$428="",AE427=0),"",(AE428-AE427)/AE427)</f>
        <v>-1.1427504354025314E-3</v>
      </c>
      <c r="AG428" s="29">
        <f t="shared" si="20"/>
        <v>102.17217746631495</v>
      </c>
      <c r="AH428" s="12">
        <f>IF(OR(履歴データ!$A$428="",AG428=0),"",AE428/AG428-1)</f>
        <v>-0.17064475288946845</v>
      </c>
      <c r="AJ428" s="28">
        <f t="shared" ca="1" si="18"/>
        <v>-14.549228746082676</v>
      </c>
      <c r="AK428" s="28">
        <f t="shared" ca="1" si="19"/>
        <v>-34.688866492012558</v>
      </c>
    </row>
    <row r="429" spans="1:37">
      <c r="A429" s="10">
        <f>IF(履歴データ!$A$429="","",履歴データ!$A$429)</f>
        <v>45551</v>
      </c>
      <c r="B429" s="28">
        <f>IF(履歴データ!$A$429="","",(履歴データ!$D$429-(履歴データ!$B$429+履歴データ!$F$429)/2)*100)</f>
        <v>-12.000000000000011</v>
      </c>
      <c r="C429" s="28">
        <f>IF(履歴データ!$A$429="","",(履歴データ!$H$429-(履歴データ!$G$429+履歴データ!$J$429)/2)*100)</f>
        <v>-34.04999999999999</v>
      </c>
      <c r="D429" s="28">
        <f>IF(履歴データ!$A$429="","",(履歴データ!$D$429-履歴データ!$H$429)*100)</f>
        <v>275.2</v>
      </c>
      <c r="E429" s="28">
        <f>IF(履歴データ!$A$429="","",(履歴データ!$D$429-履歴データ!$C$429)*100)</f>
        <v>21.999999999999975</v>
      </c>
      <c r="F429" s="28">
        <f>IF(履歴データ!$A$429="","",(履歴データ!$R$429-履歴データ!$D$429)*100)</f>
        <v>-205.11999999999998</v>
      </c>
      <c r="G429" s="28">
        <f>IF(履歴データ!$A$429="","",(履歴データ!$S$429-履歴データ!$R$429)*100)</f>
        <v>-76.442357177734507</v>
      </c>
      <c r="H429" s="29">
        <f>IF(履歴データ!$A$429="","",履歴データ!$O$429)</f>
        <v>140.78999328613281</v>
      </c>
      <c r="I429" s="29">
        <f>IF(履歴データ!$A$429="","",履歴データ!$Q$429)</f>
        <v>115.078125</v>
      </c>
      <c r="J429" s="29">
        <f>IF(履歴データ!$A$429="","",履歴データ!$D$429)</f>
        <v>3.63</v>
      </c>
      <c r="K429" s="28">
        <f>IF(OR(履歴データ!$A$429="",履歴データ!$A$428=""),"",B429-B428)</f>
        <v>-0.50000000000003375</v>
      </c>
      <c r="L429" s="28">
        <f>IF(OR(履歴データ!$A$429="",履歴データ!$A$428=""),"",C429-C428)</f>
        <v>0</v>
      </c>
      <c r="M429" s="28">
        <f>IF(OR(履歴データ!$A$429="",履歴データ!$A$428=""),"",D429-D428)</f>
        <v>-3</v>
      </c>
      <c r="N429" s="28">
        <f>IF(OR(履歴データ!$A$429="",履歴データ!$A$428=""),"",E429-E428)</f>
        <v>-1.0000000000000249</v>
      </c>
      <c r="O429" s="28">
        <f>IF(OR(履歴データ!$A$429="",履歴データ!$A$428=""),"",F429-F428)</f>
        <v>1.4400000000000261</v>
      </c>
      <c r="P429" s="28">
        <f>IF(OR(履歴データ!$A$429="",履歴データ!$A$428=""),"",G429-G428)</f>
        <v>1.5600000000000023</v>
      </c>
      <c r="Q429" s="29">
        <f>IF(OR(履歴データ!$A$429="",履歴データ!$A$428=""),"",H429-H428)</f>
        <v>-0.7089996337890625</v>
      </c>
      <c r="R429" s="29">
        <f>IF(OR(履歴データ!$A$429="",履歴データ!$A$428=""),"",I429-I428)</f>
        <v>0.15625</v>
      </c>
      <c r="S429" s="28">
        <f>IF(OR(履歴データ!$A$429="",履歴データ!$A$428=""),"",(J429-J428)*100)</f>
        <v>-3.0000000000000249</v>
      </c>
      <c r="T429" s="11">
        <f>IF(OR(履歴データ!$A$429="",履歴データ!$A$428=""),"",-80000*K429)</f>
        <v>40000.000000002699</v>
      </c>
      <c r="U429" s="11">
        <f>IF(OR(履歴データ!$A$429="",履歴データ!$A$428=""),"",60000*L429)</f>
        <v>0</v>
      </c>
      <c r="V429" s="11">
        <f>IF(OR(履歴データ!$A$429="",履歴データ!$A$428=""),"",-50000*M429)</f>
        <v>150000</v>
      </c>
      <c r="W429" s="11">
        <f>IF(OR(履歴データ!$A$429="",履歴データ!$A$428=""),"",-40000*N429)</f>
        <v>40000.000000000997</v>
      </c>
      <c r="X429" s="11">
        <f>IF(OR(履歴データ!$A$429="",履歴データ!$A$428=""),"",120*1000000*(-Q429/H428))</f>
        <v>601276.05362418771</v>
      </c>
      <c r="Y429" s="11">
        <f>IF(OR(履歴データ!$A$429="",履歴データ!$A$428=""),"",40000*(-S429)+(-506.3)*R429*1000)</f>
        <v>40890.62500000099</v>
      </c>
      <c r="Z429" s="11">
        <f>IF(OR(履歴データ!$A$429="",履歴データ!$A$428=""),"",-40000*O429)</f>
        <v>-57600.000000001048</v>
      </c>
      <c r="AA429" s="11">
        <f>IF(OR(履歴データ!$A$429="",履歴データ!$A$428=""),"",-40000*P429)</f>
        <v>-62400.000000000087</v>
      </c>
      <c r="AB429" s="11">
        <f>IF(履歴データ!$A$429="","",123.3)</f>
        <v>123.3</v>
      </c>
      <c r="AC429">
        <f>IF(履歴データ!$A$429="","",SUM(T429:AA429))</f>
        <v>752166.67862419132</v>
      </c>
      <c r="AD429" s="29">
        <f>IF(履歴データ!$A$429="","",AC429/1000000)</f>
        <v>0.75216667862419129</v>
      </c>
      <c r="AE429" s="29">
        <f>IF(履歴データ!$A$429="",AE428,AE428+AC429/1000000)</f>
        <v>85.489198169020909</v>
      </c>
      <c r="AF429" s="12">
        <f>IF(OR(履歴データ!$A$429="",AE428=0),"",(AE429-AE428)/AE428)</f>
        <v>8.8764813375535306E-3</v>
      </c>
      <c r="AG429" s="29">
        <f t="shared" si="20"/>
        <v>102.17217746631495</v>
      </c>
      <c r="AH429" s="12">
        <f>IF(OR(履歴データ!$A$429="",AG429=0),"",AE429/AG429-1)</f>
        <v>-0.16328299651628975</v>
      </c>
      <c r="AJ429" s="28">
        <f t="shared" ca="1" si="18"/>
        <v>-14.501974837216316</v>
      </c>
      <c r="AK429" s="28">
        <f t="shared" ca="1" si="19"/>
        <v>-34.513898178656703</v>
      </c>
    </row>
    <row r="430" spans="1:37">
      <c r="A430" s="10">
        <f>IF(履歴データ!$A$430="","",履歴データ!$A$430)</f>
        <v>45552</v>
      </c>
      <c r="B430" s="28">
        <f>IF(履歴データ!$A$430="","",(履歴データ!$D$430-(履歴データ!$B$430+履歴データ!$F$430)/2)*100)</f>
        <v>-12.5</v>
      </c>
      <c r="C430" s="28">
        <f>IF(履歴データ!$A$430="","",(履歴データ!$H$430-(履歴データ!$G$430+履歴データ!$J$430)/2)*100)</f>
        <v>-34.000000000000007</v>
      </c>
      <c r="D430" s="28">
        <f>IF(履歴データ!$A$430="","",(履歴データ!$D$430-履歴データ!$H$430)*100)</f>
        <v>278.7</v>
      </c>
      <c r="E430" s="28">
        <f>IF(履歴データ!$A$430="","",(履歴データ!$D$430-履歴データ!$C$430)*100)</f>
        <v>20.999999999999996</v>
      </c>
      <c r="F430" s="28">
        <f>IF(履歴データ!$A$430="","",(履歴データ!$R$430-履歴データ!$D$430)*100)</f>
        <v>-208.12999999999997</v>
      </c>
      <c r="G430" s="28">
        <f>IF(履歴データ!$A$430="","",(履歴データ!$S$430-履歴データ!$R$430)*100)</f>
        <v>-70.170357177734417</v>
      </c>
      <c r="H430" s="29">
        <f>IF(履歴データ!$A$430="","",履歴データ!$O$430)</f>
        <v>142.01499938964844</v>
      </c>
      <c r="I430" s="29">
        <f>IF(履歴データ!$A$430="","",履歴データ!$Q$430)</f>
        <v>114.921875</v>
      </c>
      <c r="J430" s="29">
        <f>IF(履歴データ!$A$430="","",履歴データ!$D$430)</f>
        <v>3.65</v>
      </c>
      <c r="K430" s="28">
        <f>IF(OR(履歴データ!$A$430="",履歴データ!$A$429=""),"",B430-B429)</f>
        <v>-0.49999999999998934</v>
      </c>
      <c r="L430" s="28">
        <f>IF(OR(履歴データ!$A$430="",履歴データ!$A$429=""),"",C430-C429)</f>
        <v>4.9999999999982947E-2</v>
      </c>
      <c r="M430" s="28">
        <f>IF(OR(履歴データ!$A$430="",履歴データ!$A$429=""),"",D430-D429)</f>
        <v>3.5</v>
      </c>
      <c r="N430" s="28">
        <f>IF(OR(履歴データ!$A$430="",履歴データ!$A$429=""),"",E430-E429)</f>
        <v>-0.99999999999997868</v>
      </c>
      <c r="O430" s="28">
        <f>IF(OR(履歴データ!$A$430="",履歴データ!$A$429=""),"",F430-F429)</f>
        <v>-3.0099999999999909</v>
      </c>
      <c r="P430" s="28">
        <f>IF(OR(履歴データ!$A$430="",履歴データ!$A$429=""),"",G430-G429)</f>
        <v>6.2720000000000908</v>
      </c>
      <c r="Q430" s="29">
        <f>IF(OR(履歴データ!$A$430="",履歴データ!$A$429=""),"",H430-H429)</f>
        <v>1.225006103515625</v>
      </c>
      <c r="R430" s="29">
        <f>IF(OR(履歴データ!$A$430="",履歴データ!$A$429=""),"",I430-I429)</f>
        <v>-0.15625</v>
      </c>
      <c r="S430" s="28">
        <f>IF(OR(履歴データ!$A$430="",履歴データ!$A$429=""),"",(J430-J429)*100)</f>
        <v>2.0000000000000018</v>
      </c>
      <c r="T430" s="11">
        <f>IF(OR(履歴データ!$A$430="",履歴データ!$A$429=""),"",-80000*K430)</f>
        <v>39999.999999999149</v>
      </c>
      <c r="U430" s="11">
        <f>IF(OR(履歴データ!$A$430="",履歴データ!$A$429=""),"",60000*L430)</f>
        <v>2999.9999999989768</v>
      </c>
      <c r="V430" s="11">
        <f>IF(OR(履歴データ!$A$430="",履歴データ!$A$429=""),"",-50000*M430)</f>
        <v>-175000</v>
      </c>
      <c r="W430" s="11">
        <f>IF(OR(履歴データ!$A$430="",履歴データ!$A$429=""),"",-40000*N430)</f>
        <v>39999.999999999149</v>
      </c>
      <c r="X430" s="11">
        <f>IF(OR(履歴データ!$A$430="",履歴データ!$A$429=""),"",120*1000000*(-Q430/H429))</f>
        <v>-1044113.4983444447</v>
      </c>
      <c r="Y430" s="11">
        <f>IF(OR(履歴データ!$A$430="",履歴データ!$A$429=""),"",40000*(-S430)+(-506.3)*R430*1000)</f>
        <v>-890.62500000007276</v>
      </c>
      <c r="Z430" s="11">
        <f>IF(OR(履歴データ!$A$430="",履歴データ!$A$429=""),"",-40000*O430)</f>
        <v>120399.99999999964</v>
      </c>
      <c r="AA430" s="11">
        <f>IF(OR(履歴データ!$A$430="",履歴データ!$A$429=""),"",-40000*P430)</f>
        <v>-250880.00000000364</v>
      </c>
      <c r="AB430" s="11">
        <f>IF(履歴データ!$A$430="","",123.3)</f>
        <v>123.3</v>
      </c>
      <c r="AC430">
        <f>IF(履歴データ!$A$430="","",SUM(T430:AA430))</f>
        <v>-1267484.1233444514</v>
      </c>
      <c r="AD430" s="29">
        <f>IF(履歴データ!$A$430="","",AC430/1000000)</f>
        <v>-1.2674841233444514</v>
      </c>
      <c r="AE430" s="29">
        <f>IF(履歴データ!$A$430="",AE429,AE429+AC430/1000000)</f>
        <v>84.221714045676464</v>
      </c>
      <c r="AF430" s="12">
        <f>IF(OR(履歴データ!$A$430="",AE429=0),"",(AE430-AE429)/AE429)</f>
        <v>-1.4826248818458905E-2</v>
      </c>
      <c r="AG430" s="29">
        <f t="shared" si="20"/>
        <v>102.17217746631495</v>
      </c>
      <c r="AH430" s="12">
        <f>IF(OR(履歴データ!$A$430="",AG430=0),"",AE430/AG430-1)</f>
        <v>-0.17568837100057455</v>
      </c>
      <c r="AJ430" s="28">
        <f t="shared" ca="1" si="18"/>
        <v>-14.482597654928046</v>
      </c>
      <c r="AK430" s="28">
        <f t="shared" ca="1" si="19"/>
        <v>-34.311053138722741</v>
      </c>
    </row>
    <row r="431" spans="1:37">
      <c r="A431" s="10">
        <f>IF(履歴データ!$A$431="","",履歴データ!$A$431)</f>
        <v>45553</v>
      </c>
      <c r="B431" s="28">
        <f>IF(履歴データ!$A$431="","",(履歴データ!$D$431-(履歴データ!$B$431+履歴データ!$F$431)/2)*100)</f>
        <v>-12.000000000000011</v>
      </c>
      <c r="C431" s="28">
        <f>IF(履歴データ!$A$431="","",(履歴データ!$H$431-(履歴データ!$G$431+履歴データ!$J$431)/2)*100)</f>
        <v>-34.150000000000006</v>
      </c>
      <c r="D431" s="28">
        <f>IF(履歴データ!$A$431="","",(履歴データ!$D$431-履歴データ!$H$431)*100)</f>
        <v>284.00000000000006</v>
      </c>
      <c r="E431" s="28">
        <f>IF(履歴データ!$A$431="","",(履歴データ!$D$431-履歴データ!$C$431)*100)</f>
        <v>23</v>
      </c>
      <c r="F431" s="28">
        <f>IF(履歴データ!$A$431="","",(履歴データ!$R$431-履歴データ!$D$431)*100)</f>
        <v>-213.09000000000003</v>
      </c>
      <c r="G431" s="28">
        <f>IF(履歴データ!$A$431="","",(履歴データ!$S$431-履歴データ!$R$431)*100)</f>
        <v>-76.349357177734348</v>
      </c>
      <c r="H431" s="29">
        <f>IF(履歴データ!$A$431="","",履歴データ!$O$431)</f>
        <v>142.71000671386719</v>
      </c>
      <c r="I431" s="29">
        <f>IF(履歴データ!$A$431="","",履歴データ!$Q$431)</f>
        <v>114.640625</v>
      </c>
      <c r="J431" s="29">
        <f>IF(履歴データ!$A$431="","",履歴データ!$D$431)</f>
        <v>3.7</v>
      </c>
      <c r="K431" s="28">
        <f>IF(OR(履歴データ!$A$431="",履歴データ!$A$430=""),"",B431-B430)</f>
        <v>0.49999999999998934</v>
      </c>
      <c r="L431" s="28">
        <f>IF(OR(履歴データ!$A$431="",履歴データ!$A$430=""),"",C431-C430)</f>
        <v>-0.14999999999999858</v>
      </c>
      <c r="M431" s="28">
        <f>IF(OR(履歴データ!$A$431="",履歴データ!$A$430=""),"",D431-D430)</f>
        <v>5.3000000000000682</v>
      </c>
      <c r="N431" s="28">
        <f>IF(OR(履歴データ!$A$431="",履歴データ!$A$430=""),"",E431-E430)</f>
        <v>2.0000000000000036</v>
      </c>
      <c r="O431" s="28">
        <f>IF(OR(履歴データ!$A$431="",履歴データ!$A$430=""),"",F431-F430)</f>
        <v>-4.9600000000000648</v>
      </c>
      <c r="P431" s="28">
        <f>IF(OR(履歴データ!$A$431="",履歴データ!$A$430=""),"",G431-G430)</f>
        <v>-6.178999999999931</v>
      </c>
      <c r="Q431" s="29">
        <f>IF(OR(履歴データ!$A$431="",履歴データ!$A$430=""),"",H431-H430)</f>
        <v>0.69500732421875</v>
      </c>
      <c r="R431" s="29">
        <f>IF(OR(履歴データ!$A$431="",履歴データ!$A$430=""),"",I431-I430)</f>
        <v>-0.28125</v>
      </c>
      <c r="S431" s="28">
        <f>IF(OR(履歴データ!$A$431="",履歴データ!$A$430=""),"",(J431-J430)*100)</f>
        <v>5.0000000000000266</v>
      </c>
      <c r="T431" s="11">
        <f>IF(OR(履歴データ!$A$431="",履歴データ!$A$430=""),"",-80000*K431)</f>
        <v>-39999.999999999149</v>
      </c>
      <c r="U431" s="11">
        <f>IF(OR(履歴データ!$A$431="",履歴データ!$A$430=""),"",60000*L431)</f>
        <v>-8999.9999999999145</v>
      </c>
      <c r="V431" s="11">
        <f>IF(OR(履歴データ!$A$431="",履歴データ!$A$430=""),"",-50000*M431)</f>
        <v>-265000.00000000343</v>
      </c>
      <c r="W431" s="11">
        <f>IF(OR(履歴データ!$A$431="",履歴データ!$A$430=""),"",-40000*N431)</f>
        <v>-80000.000000000146</v>
      </c>
      <c r="X431" s="11">
        <f>IF(OR(履歴データ!$A$431="",履歴データ!$A$430=""),"",120*1000000*(-Q431/H430))</f>
        <v>-587268.10030412278</v>
      </c>
      <c r="Y431" s="11">
        <f>IF(OR(履歴データ!$A$431="",履歴データ!$A$430=""),"",40000*(-S431)+(-506.3)*R431*1000)</f>
        <v>-57603.125000001077</v>
      </c>
      <c r="Z431" s="11">
        <f>IF(OR(履歴データ!$A$431="",履歴データ!$A$430=""),"",-40000*O431)</f>
        <v>198400.00000000259</v>
      </c>
      <c r="AA431" s="11">
        <f>IF(OR(履歴データ!$A$431="",履歴データ!$A$430=""),"",-40000*P431)</f>
        <v>247159.99999999724</v>
      </c>
      <c r="AB431" s="11">
        <f>IF(履歴データ!$A$431="","",123.3)</f>
        <v>123.3</v>
      </c>
      <c r="AC431">
        <f>IF(履歴データ!$A$431="","",SUM(T431:AA431))</f>
        <v>-593311.22530412674</v>
      </c>
      <c r="AD431" s="29">
        <f>IF(履歴データ!$A$431="","",AC431/1000000)</f>
        <v>-0.59331122530412672</v>
      </c>
      <c r="AE431" s="29">
        <f>IF(履歴データ!$A$431="",AE430,AE430+AC431/1000000)</f>
        <v>83.628402820372344</v>
      </c>
      <c r="AF431" s="12">
        <f>IF(OR(履歴データ!$A$431="",AE430=0),"",(AE431-AE430)/AE430)</f>
        <v>-7.0446348905027767E-3</v>
      </c>
      <c r="AG431" s="29">
        <f t="shared" si="20"/>
        <v>102.17217746631495</v>
      </c>
      <c r="AH431" s="12">
        <f>IF(OR(履歴データ!$A$431="",AG431=0),"",AE431/AG431-1)</f>
        <v>-0.18149534546287105</v>
      </c>
      <c r="AJ431" s="28">
        <f t="shared" ca="1" si="18"/>
        <v>-14.425785493691283</v>
      </c>
      <c r="AK431" s="28">
        <f t="shared" ca="1" si="19"/>
        <v>-34.153579585673796</v>
      </c>
    </row>
    <row r="432" spans="1:37">
      <c r="A432" s="10">
        <f>IF(履歴データ!$A$432="","",履歴データ!$A$432)</f>
        <v>45554</v>
      </c>
      <c r="B432" s="28">
        <f>IF(履歴データ!$A$432="","",(履歴データ!$D$432-(履歴データ!$B$432+履歴データ!$F$432)/2)*100)</f>
        <v>-9.4999999999999751</v>
      </c>
      <c r="C432" s="28">
        <f>IF(履歴データ!$A$432="","",(履歴データ!$H$432-(履歴データ!$G$432+履歴データ!$J$432)/2)*100)</f>
        <v>-34.650000000000006</v>
      </c>
      <c r="D432" s="28">
        <f>IF(履歴データ!$A$432="","",(履歴データ!$D$432-履歴データ!$H$432)*100)</f>
        <v>284.10000000000002</v>
      </c>
      <c r="E432" s="28">
        <f>IF(履歴データ!$A$432="","",(履歴データ!$D$432-履歴データ!$C$432)*100)</f>
        <v>23.999999999999979</v>
      </c>
      <c r="F432" s="28">
        <f>IF(履歴データ!$A$432="","",(履歴データ!$R$432-履歴データ!$D$432)*100)</f>
        <v>-206.90999999999997</v>
      </c>
      <c r="G432" s="28">
        <f>IF(履歴データ!$A$432="","",(履歴データ!$S$432-履歴データ!$R$432)*100)</f>
        <v>-78.688821411132921</v>
      </c>
      <c r="H432" s="29">
        <f>IF(履歴データ!$A$432="","",履歴データ!$O$432)</f>
        <v>142.85800170898438</v>
      </c>
      <c r="I432" s="29">
        <f>IF(履歴データ!$A$432="","",履歴データ!$Q$432)</f>
        <v>114.328125</v>
      </c>
      <c r="J432" s="29">
        <f>IF(履歴データ!$A$432="","",履歴データ!$D$432)</f>
        <v>3.73</v>
      </c>
      <c r="K432" s="28">
        <f>IF(OR(履歴データ!$A$432="",履歴データ!$A$431=""),"",B432-B431)</f>
        <v>2.5000000000000355</v>
      </c>
      <c r="L432" s="28">
        <f>IF(OR(履歴データ!$A$432="",履歴データ!$A$431=""),"",C432-C431)</f>
        <v>-0.5</v>
      </c>
      <c r="M432" s="28">
        <f>IF(OR(履歴データ!$A$432="",履歴データ!$A$431=""),"",D432-D431)</f>
        <v>9.9999999999965894E-2</v>
      </c>
      <c r="N432" s="28">
        <f>IF(OR(履歴データ!$A$432="",履歴データ!$A$431=""),"",E432-E431)</f>
        <v>0.99999999999997868</v>
      </c>
      <c r="O432" s="28">
        <f>IF(OR(履歴データ!$A$432="",履歴データ!$A$431=""),"",F432-F431)</f>
        <v>6.1800000000000637</v>
      </c>
      <c r="P432" s="28">
        <f>IF(OR(履歴データ!$A$432="",履歴データ!$A$431=""),"",G432-G431)</f>
        <v>-2.3394642333985729</v>
      </c>
      <c r="Q432" s="29">
        <f>IF(OR(履歴データ!$A$432="",履歴データ!$A$431=""),"",H432-H431)</f>
        <v>0.1479949951171875</v>
      </c>
      <c r="R432" s="29">
        <f>IF(OR(履歴データ!$A$432="",履歴データ!$A$431=""),"",I432-I431)</f>
        <v>-0.3125</v>
      </c>
      <c r="S432" s="28">
        <f>IF(OR(履歴データ!$A$432="",履歴データ!$A$431=""),"",(J432-J431)*100)</f>
        <v>2.9999999999999805</v>
      </c>
      <c r="T432" s="11">
        <f>IF(OR(履歴データ!$A$432="",履歴データ!$A$431=""),"",-80000*K432)</f>
        <v>-200000.00000000285</v>
      </c>
      <c r="U432" s="11">
        <f>IF(OR(履歴データ!$A$432="",履歴データ!$A$431=""),"",60000*L432)</f>
        <v>-30000</v>
      </c>
      <c r="V432" s="11">
        <f>IF(OR(履歴データ!$A$432="",履歴データ!$A$431=""),"",-50000*M432)</f>
        <v>-4999.9999999982947</v>
      </c>
      <c r="W432" s="11">
        <f>IF(OR(履歴データ!$A$432="",履歴データ!$A$431=""),"",-40000*N432)</f>
        <v>-39999.999999999149</v>
      </c>
      <c r="X432" s="11">
        <f>IF(OR(履歴データ!$A$432="",履歴データ!$A$431=""),"",120*1000000*(-Q432/H431))</f>
        <v>-124443.967336292</v>
      </c>
      <c r="Y432" s="11">
        <f>IF(OR(履歴データ!$A$432="",履歴データ!$A$431=""),"",40000*(-S432)+(-506.3)*R432*1000)</f>
        <v>38218.750000000786</v>
      </c>
      <c r="Z432" s="11">
        <f>IF(OR(履歴データ!$A$432="",履歴データ!$A$431=""),"",-40000*O432)</f>
        <v>-247200.00000000256</v>
      </c>
      <c r="AA432" s="11">
        <f>IF(OR(履歴データ!$A$432="",履歴データ!$A$431=""),"",-40000*P432)</f>
        <v>93578.569335942913</v>
      </c>
      <c r="AB432" s="11">
        <f>IF(履歴データ!$A$432="","",123.3)</f>
        <v>123.3</v>
      </c>
      <c r="AC432">
        <f>IF(履歴データ!$A$432="","",SUM(T432:AA432))</f>
        <v>-514846.6480003511</v>
      </c>
      <c r="AD432" s="29">
        <f>IF(履歴データ!$A$432="","",AC432/1000000)</f>
        <v>-0.51484664800035107</v>
      </c>
      <c r="AE432" s="29">
        <f>IF(履歴データ!$A$432="",AE431,AE431+AC432/1000000)</f>
        <v>83.113556172371986</v>
      </c>
      <c r="AF432" s="12">
        <f>IF(OR(履歴データ!$A$432="",AE431=0),"",(AE432-AE431)/AE431)</f>
        <v>-6.1563611241770393E-3</v>
      </c>
      <c r="AG432" s="29">
        <f t="shared" si="20"/>
        <v>102.17217746631495</v>
      </c>
      <c r="AH432" s="12">
        <f>IF(OR(履歴データ!$A$432="",AG432=0),"",AE432/AG432-1)</f>
        <v>-0.18653435569802146</v>
      </c>
      <c r="AJ432" s="28">
        <f t="shared" ca="1" si="18"/>
        <v>-14.341501805870072</v>
      </c>
      <c r="AK432" s="28">
        <f t="shared" ca="1" si="19"/>
        <v>-33.991831527463262</v>
      </c>
    </row>
    <row r="433" spans="1:37">
      <c r="A433" s="10">
        <f>IF(履歴データ!$A$433="","",履歴データ!$A$433)</f>
        <v>45555</v>
      </c>
      <c r="B433" s="28">
        <f>IF(履歴データ!$A$433="","",(履歴データ!$D$433-(履歴データ!$B$433+履歴データ!$F$433)/2)*100)</f>
        <v>-8.0000000000000071</v>
      </c>
      <c r="C433" s="28">
        <f>IF(履歴データ!$A$433="","",(履歴データ!$H$433-(履歴データ!$G$433+履歴データ!$J$433)/2)*100)</f>
        <v>-35.100000000000009</v>
      </c>
      <c r="D433" s="28">
        <f>IF(履歴データ!$A$433="","",(履歴データ!$D$433-履歴データ!$H$433)*100)</f>
        <v>283.2</v>
      </c>
      <c r="E433" s="28">
        <f>IF(履歴データ!$A$433="","",(履歴データ!$D$433-履歴データ!$C$433)*100)</f>
        <v>25</v>
      </c>
      <c r="F433" s="28">
        <f>IF(履歴データ!$A$433="","",(履歴データ!$R$433-履歴データ!$D$433)*100)</f>
        <v>-203.56</v>
      </c>
      <c r="G433" s="28">
        <f>IF(履歴データ!$A$433="","",(履歴データ!$S$433-履歴データ!$R$433)*100)</f>
        <v>-82.915821411132924</v>
      </c>
      <c r="H433" s="29">
        <f>IF(履歴データ!$A$433="","",履歴データ!$O$433)</f>
        <v>142.85800170898438</v>
      </c>
      <c r="I433" s="29">
        <f>IF(履歴データ!$A$433="","",履歴データ!$Q$433)</f>
        <v>114.84375</v>
      </c>
      <c r="J433" s="29">
        <f>IF(履歴データ!$A$433="","",履歴データ!$D$433)</f>
        <v>3.73</v>
      </c>
      <c r="K433" s="28">
        <f>IF(OR(履歴データ!$A$433="",履歴データ!$A$432=""),"",B433-B432)</f>
        <v>1.499999999999968</v>
      </c>
      <c r="L433" s="28">
        <f>IF(OR(履歴データ!$A$433="",履歴データ!$A$432=""),"",C433-C432)</f>
        <v>-0.45000000000000284</v>
      </c>
      <c r="M433" s="28">
        <f>IF(OR(履歴データ!$A$433="",履歴データ!$A$432=""),"",D433-D432)</f>
        <v>-0.90000000000003411</v>
      </c>
      <c r="N433" s="28">
        <f>IF(OR(履歴データ!$A$433="",履歴データ!$A$432=""),"",E433-E432)</f>
        <v>1.0000000000000213</v>
      </c>
      <c r="O433" s="28">
        <f>IF(OR(履歴データ!$A$433="",履歴データ!$A$432=""),"",F433-F432)</f>
        <v>3.3499999999999659</v>
      </c>
      <c r="P433" s="28">
        <f>IF(OR(履歴データ!$A$433="",履歴データ!$A$432=""),"",G433-G432)</f>
        <v>-4.2270000000000039</v>
      </c>
      <c r="Q433" s="29">
        <f>IF(OR(履歴データ!$A$433="",履歴データ!$A$432=""),"",H433-H432)</f>
        <v>0</v>
      </c>
      <c r="R433" s="29">
        <f>IF(OR(履歴データ!$A$433="",履歴データ!$A$432=""),"",I433-I432)</f>
        <v>0.515625</v>
      </c>
      <c r="S433" s="28">
        <f>IF(OR(履歴データ!$A$433="",履歴データ!$A$432=""),"",(J433-J432)*100)</f>
        <v>0</v>
      </c>
      <c r="T433" s="11">
        <f>IF(OR(履歴データ!$A$433="",履歴データ!$A$432=""),"",-80000*K433)</f>
        <v>-119999.99999999744</v>
      </c>
      <c r="U433" s="11">
        <f>IF(OR(履歴データ!$A$433="",履歴データ!$A$432=""),"",60000*L433)</f>
        <v>-27000.000000000171</v>
      </c>
      <c r="V433" s="11">
        <f>IF(OR(履歴データ!$A$433="",履歴データ!$A$432=""),"",-50000*M433)</f>
        <v>45000.000000001703</v>
      </c>
      <c r="W433" s="11">
        <f>IF(OR(履歴データ!$A$433="",履歴データ!$A$432=""),"",-40000*N433)</f>
        <v>-40000.000000000851</v>
      </c>
      <c r="X433" s="11">
        <f>IF(OR(履歴データ!$A$433="",履歴データ!$A$432=""),"",120*1000000*(-Q433/H432))</f>
        <v>0</v>
      </c>
      <c r="Y433" s="11">
        <f>IF(OR(履歴データ!$A$433="",履歴データ!$A$432=""),"",40000*(-S433)+(-506.3)*R433*1000)</f>
        <v>-261060.93750000003</v>
      </c>
      <c r="Z433" s="11">
        <f>IF(OR(履歴データ!$A$433="",履歴データ!$A$432=""),"",-40000*O433)</f>
        <v>-133999.99999999863</v>
      </c>
      <c r="AA433" s="11">
        <f>IF(OR(履歴データ!$A$433="",履歴データ!$A$432=""),"",-40000*P433)</f>
        <v>169080.00000000015</v>
      </c>
      <c r="AB433" s="11">
        <f>IF(履歴データ!$A$433="","",123.3)</f>
        <v>123.3</v>
      </c>
      <c r="AC433">
        <f>IF(履歴データ!$A$433="","",SUM(T433:AA433))</f>
        <v>-367980.93749999534</v>
      </c>
      <c r="AD433" s="29">
        <f>IF(履歴データ!$A$433="","",AC433/1000000)</f>
        <v>-0.36798093749999533</v>
      </c>
      <c r="AE433" s="29">
        <f>IF(履歴データ!$A$433="",AE432,AE432+AC433/1000000)</f>
        <v>82.745575234871993</v>
      </c>
      <c r="AF433" s="12">
        <f>IF(OR(履歴データ!$A$433="",AE432=0),"",(AE433-AE432)/AE432)</f>
        <v>-4.4274478730861357E-3</v>
      </c>
      <c r="AG433" s="29">
        <f t="shared" si="20"/>
        <v>102.17217746631495</v>
      </c>
      <c r="AH433" s="12">
        <f>IF(OR(履歴データ!$A$433="",AG433=0),"",AE433/AG433-1)</f>
        <v>-0.19013593243471483</v>
      </c>
      <c r="AJ433" s="28">
        <f t="shared" ca="1" si="18"/>
        <v>-14.178206754181257</v>
      </c>
      <c r="AK433" s="28">
        <f t="shared" ca="1" si="19"/>
        <v>-33.913063087088574</v>
      </c>
    </row>
    <row r="434" spans="1:37">
      <c r="A434" s="10">
        <f>IF(履歴データ!$A$434="","",履歴データ!$A$434)</f>
        <v>45558</v>
      </c>
      <c r="B434" s="28">
        <f>IF(履歴データ!$A$434="","",(履歴データ!$D$434-(履歴データ!$B$434+履歴データ!$F$434)/2)*100)</f>
        <v>-8.0000000000000071</v>
      </c>
      <c r="C434" s="28">
        <f>IF(履歴データ!$A$434="","",(履歴データ!$H$434-(履歴データ!$G$434+履歴データ!$J$434)/2)*100)</f>
        <v>-35.100000000000009</v>
      </c>
      <c r="D434" s="28">
        <f>IF(履歴データ!$A$434="","",(履歴データ!$D$434-履歴データ!$H$434)*100)</f>
        <v>285.2</v>
      </c>
      <c r="E434" s="28">
        <f>IF(履歴データ!$A$434="","",(履歴データ!$D$434-履歴データ!$C$434)*100)</f>
        <v>24.000000000000021</v>
      </c>
      <c r="F434" s="28">
        <f>IF(履歴データ!$A$434="","",(履歴データ!$R$434-履歴データ!$D$434)*100)</f>
        <v>-202.42</v>
      </c>
      <c r="G434" s="28">
        <f>IF(履歴データ!$A$434="","",(履歴データ!$S$434-履歴データ!$R$434)*100)</f>
        <v>-86.055821411132925</v>
      </c>
      <c r="H434" s="29">
        <f>IF(履歴データ!$A$434="","",履歴データ!$O$434)</f>
        <v>143.63800048828125</v>
      </c>
      <c r="I434" s="29">
        <f>IF(履歴データ!$A$434="","",履歴データ!$Q$434)</f>
        <v>114.765625</v>
      </c>
      <c r="J434" s="29">
        <f>IF(履歴データ!$A$434="","",履歴データ!$D$434)</f>
        <v>3.75</v>
      </c>
      <c r="K434" s="28">
        <f>IF(OR(履歴データ!$A$434="",履歴データ!$A$433=""),"",B434-B433)</f>
        <v>0</v>
      </c>
      <c r="L434" s="28">
        <f>IF(OR(履歴データ!$A$434="",履歴データ!$A$433=""),"",C434-C433)</f>
        <v>0</v>
      </c>
      <c r="M434" s="28">
        <f>IF(OR(履歴データ!$A$434="",履歴データ!$A$433=""),"",D434-D433)</f>
        <v>2</v>
      </c>
      <c r="N434" s="28">
        <f>IF(OR(履歴データ!$A$434="",履歴データ!$A$433=""),"",E434-E433)</f>
        <v>-0.99999999999997868</v>
      </c>
      <c r="O434" s="28">
        <f>IF(OR(履歴データ!$A$434="",履歴データ!$A$433=""),"",F434-F433)</f>
        <v>1.1400000000000148</v>
      </c>
      <c r="P434" s="28">
        <f>IF(OR(履歴データ!$A$434="",履歴データ!$A$433=""),"",G434-G433)</f>
        <v>-3.1400000000000006</v>
      </c>
      <c r="Q434" s="29">
        <f>IF(OR(履歴データ!$A$434="",履歴データ!$A$433=""),"",H434-H433)</f>
        <v>0.779998779296875</v>
      </c>
      <c r="R434" s="29">
        <f>IF(OR(履歴データ!$A$434="",履歴データ!$A$433=""),"",I434-I433)</f>
        <v>-7.8125E-2</v>
      </c>
      <c r="S434" s="28">
        <f>IF(OR(履歴データ!$A$434="",履歴データ!$A$433=""),"",(J434-J433)*100)</f>
        <v>2.0000000000000018</v>
      </c>
      <c r="T434" s="11">
        <f>IF(OR(履歴データ!$A$434="",履歴データ!$A$433=""),"",-80000*K434)</f>
        <v>0</v>
      </c>
      <c r="U434" s="11">
        <f>IF(OR(履歴データ!$A$434="",履歴データ!$A$433=""),"",60000*L434)</f>
        <v>0</v>
      </c>
      <c r="V434" s="11">
        <f>IF(OR(履歴データ!$A$434="",履歴データ!$A$433=""),"",-50000*M434)</f>
        <v>-100000</v>
      </c>
      <c r="W434" s="11">
        <f>IF(OR(履歴データ!$A$434="",履歴データ!$A$433=""),"",-40000*N434)</f>
        <v>39999.999999999149</v>
      </c>
      <c r="X434" s="11">
        <f>IF(OR(履歴データ!$A$434="",履歴データ!$A$433=""),"",120*1000000*(-Q434/H433))</f>
        <v>-655195.03560113488</v>
      </c>
      <c r="Y434" s="11">
        <f>IF(OR(履歴データ!$A$434="",履歴データ!$A$433=""),"",40000*(-S434)+(-506.3)*R434*1000)</f>
        <v>-40445.312500000073</v>
      </c>
      <c r="Z434" s="11">
        <f>IF(OR(履歴データ!$A$434="",履歴データ!$A$433=""),"",-40000*O434)</f>
        <v>-45600.000000000589</v>
      </c>
      <c r="AA434" s="11">
        <f>IF(OR(履歴データ!$A$434="",履歴データ!$A$433=""),"",-40000*P434)</f>
        <v>125600.00000000003</v>
      </c>
      <c r="AB434" s="11">
        <f>IF(履歴データ!$A$434="","",123.3)</f>
        <v>123.3</v>
      </c>
      <c r="AC434">
        <f>IF(履歴データ!$A$434="","",SUM(T434:AA434))</f>
        <v>-675640.34810113639</v>
      </c>
      <c r="AD434" s="29">
        <f>IF(履歴データ!$A$434="","",AC434/1000000)</f>
        <v>-0.67564034810113638</v>
      </c>
      <c r="AE434" s="29">
        <f>IF(履歴データ!$A$434="",AE433,AE433+AC434/1000000)</f>
        <v>82.069934886770852</v>
      </c>
      <c r="AF434" s="12">
        <f>IF(OR(履歴データ!$A$434="",AE433=0),"",(AE434-AE433)/AE433)</f>
        <v>-8.1652746528541979E-3</v>
      </c>
      <c r="AG434" s="29">
        <f t="shared" si="20"/>
        <v>102.17217746631495</v>
      </c>
      <c r="AH434" s="12">
        <f>IF(OR(履歴データ!$A$434="",AG434=0),"",AE434/AG434-1)</f>
        <v>-0.19674869497786307</v>
      </c>
      <c r="AJ434" s="28">
        <f t="shared" ca="1" si="18"/>
        <v>-14.074998942104372</v>
      </c>
      <c r="AK434" s="28">
        <f t="shared" ca="1" si="19"/>
        <v>-33.75436613726071</v>
      </c>
    </row>
    <row r="435" spans="1:37">
      <c r="A435" s="10">
        <f>IF(履歴データ!$A$435="","",履歴データ!$A$435)</f>
        <v>45559</v>
      </c>
      <c r="B435" s="28">
        <f>IF(履歴データ!$A$435="","",(履歴データ!$D$435-(履歴データ!$B$435+履歴データ!$F$435)/2)*100)</f>
        <v>-4.9999999999999822</v>
      </c>
      <c r="C435" s="28">
        <f>IF(履歴データ!$A$435="","",(履歴データ!$H$435-(履歴データ!$G$435+履歴データ!$J$435)/2)*100)</f>
        <v>-36.850000000000016</v>
      </c>
      <c r="D435" s="28">
        <f>IF(履歴データ!$A$435="","",(履歴データ!$D$435-履歴データ!$H$435)*100)</f>
        <v>289.20000000000005</v>
      </c>
      <c r="E435" s="28">
        <f>IF(履歴データ!$A$435="","",(履歴データ!$D$435-履歴データ!$C$435)*100)</f>
        <v>27</v>
      </c>
      <c r="F435" s="28">
        <f>IF(履歴データ!$A$435="","",(履歴データ!$R$435-履歴データ!$D$435)*100)</f>
        <v>-197.11000000000004</v>
      </c>
      <c r="G435" s="28">
        <f>IF(履歴データ!$A$435="","",(履歴データ!$S$435-履歴データ!$R$435)*100)</f>
        <v>-94.575357177734659</v>
      </c>
      <c r="H435" s="29">
        <f>IF(履歴データ!$A$435="","",履歴データ!$O$435)</f>
        <v>142.96299743652344</v>
      </c>
      <c r="I435" s="29">
        <f>IF(履歴データ!$A$435="","",履歴データ!$Q$435)</f>
        <v>114.84375</v>
      </c>
      <c r="J435" s="29">
        <f>IF(履歴データ!$A$435="","",履歴データ!$D$435)</f>
        <v>3.74</v>
      </c>
      <c r="K435" s="28">
        <f>IF(OR(履歴データ!$A$435="",履歴データ!$A$434=""),"",B435-B434)</f>
        <v>3.0000000000000249</v>
      </c>
      <c r="L435" s="28">
        <f>IF(OR(履歴データ!$A$435="",履歴データ!$A$434=""),"",C435-C434)</f>
        <v>-1.7500000000000071</v>
      </c>
      <c r="M435" s="28">
        <f>IF(OR(履歴データ!$A$435="",履歴データ!$A$434=""),"",D435-D434)</f>
        <v>4.0000000000000568</v>
      </c>
      <c r="N435" s="28">
        <f>IF(OR(履歴データ!$A$435="",履歴データ!$A$434=""),"",E435-E434)</f>
        <v>2.9999999999999787</v>
      </c>
      <c r="O435" s="28">
        <f>IF(OR(履歴データ!$A$435="",履歴データ!$A$434=""),"",F435-F434)</f>
        <v>5.3099999999999454</v>
      </c>
      <c r="P435" s="28">
        <f>IF(OR(履歴データ!$A$435="",履歴データ!$A$434=""),"",G435-G434)</f>
        <v>-8.5195357666017344</v>
      </c>
      <c r="Q435" s="29">
        <f>IF(OR(履歴データ!$A$435="",履歴データ!$A$434=""),"",H435-H434)</f>
        <v>-0.6750030517578125</v>
      </c>
      <c r="R435" s="29">
        <f>IF(OR(履歴データ!$A$435="",履歴データ!$A$434=""),"",I435-I434)</f>
        <v>7.8125E-2</v>
      </c>
      <c r="S435" s="28">
        <f>IF(OR(履歴データ!$A$435="",履歴データ!$A$434=""),"",(J435-J434)*100)</f>
        <v>-0.99999999999997868</v>
      </c>
      <c r="T435" s="11">
        <f>IF(OR(履歴データ!$A$435="",履歴データ!$A$434=""),"",-80000*K435)</f>
        <v>-240000.00000000198</v>
      </c>
      <c r="U435" s="11">
        <f>IF(OR(履歴データ!$A$435="",履歴データ!$A$434=""),"",60000*L435)</f>
        <v>-105000.00000000042</v>
      </c>
      <c r="V435" s="11">
        <f>IF(OR(履歴データ!$A$435="",履歴データ!$A$434=""),"",-50000*M435)</f>
        <v>-200000.00000000285</v>
      </c>
      <c r="W435" s="11">
        <f>IF(OR(履歴データ!$A$435="",履歴データ!$A$434=""),"",-40000*N435)</f>
        <v>-119999.99999999914</v>
      </c>
      <c r="X435" s="11">
        <f>IF(OR(履歴データ!$A$435="",履歴データ!$A$434=""),"",120*1000000*(-Q435/H434))</f>
        <v>563920.1738786801</v>
      </c>
      <c r="Y435" s="11">
        <f>IF(OR(履歴データ!$A$435="",履歴データ!$A$434=""),"",40000*(-S435)+(-506.3)*R435*1000)</f>
        <v>445.31249999914871</v>
      </c>
      <c r="Z435" s="11">
        <f>IF(OR(履歴データ!$A$435="",履歴データ!$A$434=""),"",-40000*O435)</f>
        <v>-212399.99999999782</v>
      </c>
      <c r="AA435" s="11">
        <f>IF(OR(履歴データ!$A$435="",履歴データ!$A$434=""),"",-40000*P435)</f>
        <v>340781.43066406937</v>
      </c>
      <c r="AB435" s="11">
        <f>IF(履歴データ!$A$435="","",123.3)</f>
        <v>123.3</v>
      </c>
      <c r="AC435">
        <f>IF(履歴データ!$A$435="","",SUM(T435:AA435))</f>
        <v>27746.917042746383</v>
      </c>
      <c r="AD435" s="29">
        <f>IF(履歴データ!$A$435="","",AC435/1000000)</f>
        <v>2.7746917042746382E-2</v>
      </c>
      <c r="AE435" s="29">
        <f>IF(履歴データ!$A$435="",AE434,AE434+AC435/1000000)</f>
        <v>82.0976818038136</v>
      </c>
      <c r="AF435" s="12">
        <f>IF(OR(履歴データ!$A$435="",AE434=0),"",(AE435-AE434)/AE434)</f>
        <v>3.3808869327153123E-4</v>
      </c>
      <c r="AG435" s="29">
        <f t="shared" si="20"/>
        <v>102.17217746631495</v>
      </c>
      <c r="AH435" s="12">
        <f>IF(OR(履歴データ!$A$435="",AG435=0),"",AE435/AG435-1)</f>
        <v>-0.19647712479377955</v>
      </c>
      <c r="AJ435" s="28">
        <f t="shared" ca="1" si="18"/>
        <v>-13.770387749058637</v>
      </c>
      <c r="AK435" s="28">
        <f t="shared" ca="1" si="19"/>
        <v>-33.820882092211207</v>
      </c>
    </row>
    <row r="436" spans="1:37">
      <c r="A436" s="10">
        <f>IF(履歴データ!$A$436="","",履歴データ!$A$436)</f>
        <v>45560</v>
      </c>
      <c r="B436" s="28">
        <f>IF(履歴データ!$A$436="","",(履歴データ!$D$436-(履歴データ!$B$436+履歴データ!$F$436)/2)*100)</f>
        <v>-4.4999999999999929</v>
      </c>
      <c r="C436" s="28">
        <f>IF(履歴データ!$A$436="","",(履歴データ!$H$436-(履歴データ!$G$436+履歴データ!$J$436)/2)*100)</f>
        <v>-35.6</v>
      </c>
      <c r="D436" s="28">
        <f>IF(履歴データ!$A$436="","",(履歴データ!$D$436-履歴データ!$H$436)*100)</f>
        <v>293.8</v>
      </c>
      <c r="E436" s="28">
        <f>IF(履歴データ!$A$436="","",(履歴データ!$D$436-履歴データ!$C$436)*100)</f>
        <v>27</v>
      </c>
      <c r="F436" s="28">
        <f>IF(履歴データ!$A$436="","",(履歴データ!$R$436-履歴データ!$D$436)*100)</f>
        <v>-206.21999999999997</v>
      </c>
      <c r="G436" s="28">
        <f>IF(履歴データ!$A$436="","",(履歴データ!$S$436-履歴データ!$R$436)*100)</f>
        <v>-89.58835717773448</v>
      </c>
      <c r="H436" s="29">
        <f>IF(履歴データ!$A$436="","",履歴データ!$O$436)</f>
        <v>144.68299865722656</v>
      </c>
      <c r="I436" s="29">
        <f>IF(履歴データ!$A$436="","",履歴データ!$Q$436)</f>
        <v>114.546875</v>
      </c>
      <c r="J436" s="29">
        <f>IF(履歴データ!$A$436="","",履歴データ!$D$436)</f>
        <v>3.79</v>
      </c>
      <c r="K436" s="28">
        <f>IF(OR(履歴データ!$A$436="",履歴データ!$A$435=""),"",B436-B435)</f>
        <v>0.49999999999998934</v>
      </c>
      <c r="L436" s="28">
        <f>IF(OR(履歴データ!$A$436="",履歴データ!$A$435=""),"",C436-C435)</f>
        <v>1.2500000000000142</v>
      </c>
      <c r="M436" s="28">
        <f>IF(OR(履歴データ!$A$436="",履歴データ!$A$435=""),"",D436-D435)</f>
        <v>4.5999999999999659</v>
      </c>
      <c r="N436" s="28">
        <f>IF(OR(履歴データ!$A$436="",履歴データ!$A$435=""),"",E436-E435)</f>
        <v>0</v>
      </c>
      <c r="O436" s="28">
        <f>IF(OR(履歴データ!$A$436="",履歴データ!$A$435=""),"",F436-F435)</f>
        <v>-9.1099999999999284</v>
      </c>
      <c r="P436" s="28">
        <f>IF(OR(履歴データ!$A$436="",履歴データ!$A$435=""),"",G436-G435)</f>
        <v>4.9870000000001795</v>
      </c>
      <c r="Q436" s="29">
        <f>IF(OR(履歴データ!$A$436="",履歴データ!$A$435=""),"",H436-H435)</f>
        <v>1.720001220703125</v>
      </c>
      <c r="R436" s="29">
        <f>IF(OR(履歴データ!$A$436="",履歴データ!$A$435=""),"",I436-I435)</f>
        <v>-0.296875</v>
      </c>
      <c r="S436" s="28">
        <f>IF(OR(履歴データ!$A$436="",履歴データ!$A$435=""),"",(J436-J435)*100)</f>
        <v>4.9999999999999822</v>
      </c>
      <c r="T436" s="11">
        <f>IF(OR(履歴データ!$A$436="",履歴データ!$A$435=""),"",-80000*K436)</f>
        <v>-39999.999999999149</v>
      </c>
      <c r="U436" s="11">
        <f>IF(OR(履歴データ!$A$436="",履歴データ!$A$435=""),"",60000*L436)</f>
        <v>75000.000000000859</v>
      </c>
      <c r="V436" s="11">
        <f>IF(OR(履歴データ!$A$436="",履歴データ!$A$435=""),"",-50000*M436)</f>
        <v>-229999.99999999828</v>
      </c>
      <c r="W436" s="11">
        <f>IF(OR(履歴データ!$A$436="",履歴データ!$A$435=""),"",-40000*N436)</f>
        <v>0</v>
      </c>
      <c r="X436" s="11">
        <f>IF(OR(履歴データ!$A$436="",履歴データ!$A$435=""),"",120*1000000*(-Q436/H435))</f>
        <v>-1443731.2464438085</v>
      </c>
      <c r="Y436" s="11">
        <f>IF(OR(履歴データ!$A$436="",履歴データ!$A$435=""),"",40000*(-S436)+(-506.3)*R436*1000)</f>
        <v>-49692.187499999302</v>
      </c>
      <c r="Z436" s="11">
        <f>IF(OR(履歴データ!$A$436="",履歴データ!$A$435=""),"",-40000*O436)</f>
        <v>364399.99999999715</v>
      </c>
      <c r="AA436" s="11">
        <f>IF(OR(履歴データ!$A$436="",履歴データ!$A$435=""),"",-40000*P436)</f>
        <v>-199480.00000000719</v>
      </c>
      <c r="AB436" s="11">
        <f>IF(履歴データ!$A$436="","",123.3)</f>
        <v>123.3</v>
      </c>
      <c r="AC436">
        <f>IF(履歴データ!$A$436="","",SUM(T436:AA436))</f>
        <v>-1523503.4339438144</v>
      </c>
      <c r="AD436" s="29">
        <f>IF(履歴データ!$A$436="","",AC436/1000000)</f>
        <v>-1.5235034339438143</v>
      </c>
      <c r="AE436" s="29">
        <f>IF(履歴データ!$A$436="",AE435,AE435+AC436/1000000)</f>
        <v>80.574178369869784</v>
      </c>
      <c r="AF436" s="12">
        <f>IF(OR(履歴データ!$A$436="",AE435=0),"",(AE436-AE435)/AE435)</f>
        <v>-1.8557204058264238E-2</v>
      </c>
      <c r="AG436" s="29">
        <f t="shared" si="20"/>
        <v>102.17217746631495</v>
      </c>
      <c r="AH436" s="12">
        <f>IF(OR(履歴データ!$A$436="",AG436=0),"",AE436/AG436-1)</f>
        <v>-0.21138826275446454</v>
      </c>
      <c r="AJ436" s="28">
        <f t="shared" ca="1" si="18"/>
        <v>-13.497227488158973</v>
      </c>
      <c r="AK436" s="28">
        <f t="shared" ca="1" si="19"/>
        <v>-33.832137591206106</v>
      </c>
    </row>
    <row r="437" spans="1:37">
      <c r="A437" s="10">
        <f>IF(履歴データ!$A$437="","",履歴データ!$A$437)</f>
        <v>45561</v>
      </c>
      <c r="B437" s="28">
        <f>IF(履歴データ!$A$437="","",(履歴データ!$D$437-(履歴データ!$B$437+履歴データ!$F$437)/2)*100)</f>
        <v>-7.0000000000000284</v>
      </c>
      <c r="C437" s="28">
        <f>IF(履歴データ!$A$437="","",(履歴データ!$H$437-(履歴データ!$G$437+履歴データ!$J$437)/2)*100)</f>
        <v>-35.300000000000011</v>
      </c>
      <c r="D437" s="28">
        <f>IF(履歴データ!$A$437="","",(履歴データ!$D$437-履歴データ!$H$437)*100)</f>
        <v>291.8</v>
      </c>
      <c r="E437" s="28">
        <f>IF(履歴データ!$A$437="","",(履歴データ!$D$437-履歴データ!$C$437)*100)</f>
        <v>24.000000000000021</v>
      </c>
      <c r="F437" s="28">
        <f>IF(履歴データ!$A$437="","",(履歴データ!$R$437-履歴データ!$D$437)*100)</f>
        <v>-202.85000000000002</v>
      </c>
      <c r="G437" s="28">
        <f>IF(履歴データ!$A$437="","",(履歴データ!$S$437-履歴データ!$R$437)*100)</f>
        <v>-96.466357177734551</v>
      </c>
      <c r="H437" s="29">
        <f>IF(履歴データ!$A$437="","",履歴データ!$O$437)</f>
        <v>145.07600402832031</v>
      </c>
      <c r="I437" s="29">
        <f>IF(履歴データ!$A$437="","",履歴データ!$Q$437)</f>
        <v>114.40625</v>
      </c>
      <c r="J437" s="29">
        <f>IF(履歴データ!$A$437="","",履歴データ!$D$437)</f>
        <v>3.79</v>
      </c>
      <c r="K437" s="28">
        <f>IF(OR(履歴データ!$A$437="",履歴データ!$A$436=""),"",B437-B436)</f>
        <v>-2.5000000000000355</v>
      </c>
      <c r="L437" s="28">
        <f>IF(OR(履歴データ!$A$437="",履歴データ!$A$436=""),"",C437-C436)</f>
        <v>0.29999999999999005</v>
      </c>
      <c r="M437" s="28">
        <f>IF(OR(履歴データ!$A$437="",履歴データ!$A$436=""),"",D437-D436)</f>
        <v>-2</v>
      </c>
      <c r="N437" s="28">
        <f>IF(OR(履歴データ!$A$437="",履歴データ!$A$436=""),"",E437-E436)</f>
        <v>-2.9999999999999787</v>
      </c>
      <c r="O437" s="28">
        <f>IF(OR(履歴データ!$A$437="",履歴データ!$A$436=""),"",F437-F436)</f>
        <v>3.3699999999999477</v>
      </c>
      <c r="P437" s="28">
        <f>IF(OR(履歴データ!$A$437="",履歴データ!$A$436=""),"",G437-G436)</f>
        <v>-6.8780000000000712</v>
      </c>
      <c r="Q437" s="29">
        <f>IF(OR(履歴データ!$A$437="",履歴データ!$A$436=""),"",H437-H436)</f>
        <v>0.39300537109375</v>
      </c>
      <c r="R437" s="29">
        <f>IF(OR(履歴データ!$A$437="",履歴データ!$A$436=""),"",I437-I436)</f>
        <v>-0.140625</v>
      </c>
      <c r="S437" s="28">
        <f>IF(OR(履歴データ!$A$437="",履歴データ!$A$436=""),"",(J437-J436)*100)</f>
        <v>0</v>
      </c>
      <c r="T437" s="11">
        <f>IF(OR(履歴データ!$A$437="",履歴データ!$A$436=""),"",-80000*K437)</f>
        <v>200000.00000000285</v>
      </c>
      <c r="U437" s="11">
        <f>IF(OR(履歴データ!$A$437="",履歴データ!$A$436=""),"",60000*L437)</f>
        <v>17999.999999999403</v>
      </c>
      <c r="V437" s="11">
        <f>IF(OR(履歴データ!$A$437="",履歴データ!$A$436=""),"",-50000*M437)</f>
        <v>100000</v>
      </c>
      <c r="W437" s="11">
        <f>IF(OR(履歴データ!$A$437="",履歴データ!$A$436=""),"",-40000*N437)</f>
        <v>119999.99999999914</v>
      </c>
      <c r="X437" s="11">
        <f>IF(OR(履歴データ!$A$437="",履歴データ!$A$436=""),"",120*1000000*(-Q437/H436))</f>
        <v>-325958.43996142142</v>
      </c>
      <c r="Y437" s="11">
        <f>IF(OR(履歴データ!$A$437="",履歴データ!$A$436=""),"",40000*(-S437)+(-506.3)*R437*1000)</f>
        <v>71198.4375</v>
      </c>
      <c r="Z437" s="11">
        <f>IF(OR(履歴データ!$A$437="",履歴データ!$A$436=""),"",-40000*O437)</f>
        <v>-134799.9999999979</v>
      </c>
      <c r="AA437" s="11">
        <f>IF(OR(履歴データ!$A$437="",履歴データ!$A$436=""),"",-40000*P437)</f>
        <v>275120.00000000285</v>
      </c>
      <c r="AB437" s="11">
        <f>IF(履歴データ!$A$437="","",123.3)</f>
        <v>123.3</v>
      </c>
      <c r="AC437">
        <f>IF(履歴データ!$A$437="","",SUM(T437:AA437))</f>
        <v>323559.99753858492</v>
      </c>
      <c r="AD437" s="29">
        <f>IF(履歴データ!$A$437="","",AC437/1000000)</f>
        <v>0.32355999753858494</v>
      </c>
      <c r="AE437" s="29">
        <f>IF(履歴データ!$A$437="",AE436,AE436+AC437/1000000)</f>
        <v>80.897738367408365</v>
      </c>
      <c r="AF437" s="12">
        <f>IF(OR(履歴データ!$A$437="",AE436=0),"",(AE437-AE436)/AE436)</f>
        <v>4.0156785223834715E-3</v>
      </c>
      <c r="AG437" s="29">
        <f t="shared" si="20"/>
        <v>102.17217746631495</v>
      </c>
      <c r="AH437" s="12">
        <f>IF(OR(履歴データ!$A$437="",AG437=0),"",AE437/AG437-1)</f>
        <v>-0.20822145153870808</v>
      </c>
      <c r="AJ437" s="28">
        <f t="shared" ca="1" si="18"/>
        <v>-13.247863527871646</v>
      </c>
      <c r="AK437" s="28">
        <f t="shared" ca="1" si="19"/>
        <v>-33.87515234514423</v>
      </c>
    </row>
    <row r="438" spans="1:37">
      <c r="A438" s="10">
        <f>IF(履歴データ!$A$438="","",履歴データ!$A$438)</f>
        <v>45562</v>
      </c>
      <c r="B438" s="28">
        <f>IF(履歴データ!$A$438="","",(履歴データ!$D$438-(履歴データ!$B$438+履歴データ!$F$438)/2)*100)</f>
        <v>-7.4999999999999734</v>
      </c>
      <c r="C438" s="28">
        <f>IF(履歴データ!$A$438="","",(履歴データ!$H$438-(履歴データ!$G$438+履歴データ!$J$438)/2)*100)</f>
        <v>-37.349999999999994</v>
      </c>
      <c r="D438" s="28">
        <f>IF(履歴データ!$A$438="","",(履歴データ!$D$438-履歴データ!$H$438)*100)</f>
        <v>290.09999999999997</v>
      </c>
      <c r="E438" s="28">
        <f>IF(履歴データ!$A$438="","",(履歴データ!$D$438-履歴データ!$C$438)*100)</f>
        <v>25</v>
      </c>
      <c r="F438" s="28">
        <f>IF(履歴データ!$A$438="","",(履歴データ!$R$438-履歴データ!$D$438)*100)</f>
        <v>-198.51000000000002</v>
      </c>
      <c r="G438" s="28">
        <f>IF(履歴データ!$A$438="","",(履歴データ!$S$438-履歴データ!$R$438)*100)</f>
        <v>-96.63100000000027</v>
      </c>
      <c r="H438" s="29">
        <f>IF(履歴データ!$A$438="","",履歴データ!$O$438)</f>
        <v>145.07600402832031</v>
      </c>
      <c r="I438" s="29">
        <f>IF(履歴データ!$A$438="","",履歴データ!$Q$438)</f>
        <v>114.734375</v>
      </c>
      <c r="J438" s="29">
        <f>IF(履歴データ!$A$438="","",履歴データ!$D$438)</f>
        <v>3.75</v>
      </c>
      <c r="K438" s="28">
        <f>IF(OR(履歴データ!$A$438="",履歴データ!$A$437=""),"",B438-B437)</f>
        <v>-0.49999999999994493</v>
      </c>
      <c r="L438" s="28">
        <f>IF(OR(履歴データ!$A$438="",履歴データ!$A$437=""),"",C438-C437)</f>
        <v>-2.0499999999999829</v>
      </c>
      <c r="M438" s="28">
        <f>IF(OR(履歴データ!$A$438="",履歴データ!$A$437=""),"",D438-D437)</f>
        <v>-1.7000000000000455</v>
      </c>
      <c r="N438" s="28">
        <f>IF(OR(履歴データ!$A$438="",履歴データ!$A$437=""),"",E438-E437)</f>
        <v>0.99999999999997868</v>
      </c>
      <c r="O438" s="28">
        <f>IF(OR(履歴データ!$A$438="",履歴データ!$A$437=""),"",F438-F437)</f>
        <v>4.3400000000000034</v>
      </c>
      <c r="P438" s="28">
        <f>IF(OR(履歴データ!$A$438="",履歴データ!$A$437=""),"",G438-G437)</f>
        <v>-0.16464282226571925</v>
      </c>
      <c r="Q438" s="29">
        <f>IF(OR(履歴データ!$A$438="",履歴データ!$A$437=""),"",H438-H437)</f>
        <v>0</v>
      </c>
      <c r="R438" s="29">
        <f>IF(OR(履歴データ!$A$438="",履歴データ!$A$437=""),"",I438-I437)</f>
        <v>0.328125</v>
      </c>
      <c r="S438" s="28">
        <f>IF(OR(履歴データ!$A$438="",履歴データ!$A$437=""),"",(J438-J437)*100)</f>
        <v>-4.0000000000000036</v>
      </c>
      <c r="T438" s="11">
        <f>IF(OR(履歴データ!$A$438="",履歴データ!$A$437=""),"",-80000*K438)</f>
        <v>39999.999999995598</v>
      </c>
      <c r="U438" s="11">
        <f>IF(OR(履歴データ!$A$438="",履歴データ!$A$437=""),"",60000*L438)</f>
        <v>-122999.99999999898</v>
      </c>
      <c r="V438" s="11">
        <f>IF(OR(履歴データ!$A$438="",履歴データ!$A$437=""),"",-50000*M438)</f>
        <v>85000.00000000227</v>
      </c>
      <c r="W438" s="11">
        <f>IF(OR(履歴データ!$A$438="",履歴データ!$A$437=""),"",-40000*N438)</f>
        <v>-39999.999999999149</v>
      </c>
      <c r="X438" s="11">
        <f>IF(OR(履歴データ!$A$438="",履歴データ!$A$437=""),"",120*1000000*(-Q438/H437))</f>
        <v>0</v>
      </c>
      <c r="Y438" s="11">
        <f>IF(OR(履歴データ!$A$438="",履歴データ!$A$437=""),"",40000*(-S438)+(-506.3)*R438*1000)</f>
        <v>-6129.6874999998836</v>
      </c>
      <c r="Z438" s="11">
        <f>IF(OR(履歴データ!$A$438="",履歴データ!$A$437=""),"",-40000*O438)</f>
        <v>-173600.00000000015</v>
      </c>
      <c r="AA438" s="11">
        <f>IF(OR(履歴データ!$A$438="",履歴データ!$A$437=""),"",-40000*P438)</f>
        <v>6585.7128906287699</v>
      </c>
      <c r="AB438" s="11">
        <f>IF(履歴データ!$A$438="","",123.3)</f>
        <v>123.3</v>
      </c>
      <c r="AC438">
        <f>IF(履歴データ!$A$438="","",SUM(T438:AA438))</f>
        <v>-211143.97460937151</v>
      </c>
      <c r="AD438" s="29">
        <f>IF(履歴データ!$A$438="","",AC438/1000000)</f>
        <v>-0.21114397460937151</v>
      </c>
      <c r="AE438" s="29">
        <f>IF(履歴データ!$A$438="",AE437,AE437+AC438/1000000)</f>
        <v>80.686594392798995</v>
      </c>
      <c r="AF438" s="12">
        <f>IF(OR(履歴データ!$A$438="",AE437=0),"",(AE438-AE437)/AE437)</f>
        <v>-2.6100108466621283E-3</v>
      </c>
      <c r="AG438" s="29">
        <f t="shared" si="20"/>
        <v>102.17217746631495</v>
      </c>
      <c r="AH438" s="12">
        <f>IF(OR(履歴データ!$A$438="",AG438=0),"",AE438/AG438-1)</f>
        <v>-0.21028800213834653</v>
      </c>
      <c r="AJ438" s="28">
        <f t="shared" ca="1" si="18"/>
        <v>-13.000891654247337</v>
      </c>
      <c r="AK438" s="28">
        <f t="shared" ca="1" si="19"/>
        <v>-33.935616282260597</v>
      </c>
    </row>
    <row r="439" spans="1:37">
      <c r="A439" s="10">
        <f>IF(履歴データ!$A$439="","",履歴データ!$A$439)</f>
        <v>45565</v>
      </c>
      <c r="B439" s="28">
        <f>IF(履歴データ!$A$439="","",(履歴データ!$D$439-(履歴データ!$B$439+履歴データ!$F$439)/2)*100)</f>
        <v>-8.9999999999999858</v>
      </c>
      <c r="C439" s="28">
        <f>IF(履歴データ!$A$439="","",(履歴データ!$H$439-(履歴データ!$G$439+履歴データ!$J$439)/2)*100)</f>
        <v>-34.900000000000006</v>
      </c>
      <c r="D439" s="28">
        <f>IF(履歴データ!$A$439="","",(履歴データ!$D$439-履歴データ!$H$439)*100)</f>
        <v>291.59999999999997</v>
      </c>
      <c r="E439" s="28">
        <f>IF(履歴データ!$A$439="","",(履歴データ!$D$439-履歴データ!$C$439)*100)</f>
        <v>23</v>
      </c>
      <c r="F439" s="28">
        <f>IF(履歴データ!$A$439="","",(履歴データ!$R$439-履歴データ!$D$439)*100)</f>
        <v>-207.97</v>
      </c>
      <c r="G439" s="28">
        <f>IF(履歴データ!$A$439="","",(履歴データ!$S$439-履歴データ!$R$439)*100)</f>
        <v>-85.804178588867359</v>
      </c>
      <c r="H439" s="29">
        <f>IF(履歴データ!$A$439="","",履歴データ!$O$439)</f>
        <v>143.71000671386719</v>
      </c>
      <c r="I439" s="29">
        <f>IF(履歴データ!$A$439="","",履歴データ!$Q$439)</f>
        <v>114.28125</v>
      </c>
      <c r="J439" s="29">
        <f>IF(履歴データ!$A$439="","",履歴データ!$D$439)</f>
        <v>3.81</v>
      </c>
      <c r="K439" s="28">
        <f>IF(OR(履歴データ!$A$439="",履歴データ!$A$438=""),"",B439-B438)</f>
        <v>-1.5000000000000124</v>
      </c>
      <c r="L439" s="28">
        <f>IF(OR(履歴データ!$A$439="",履歴データ!$A$438=""),"",C439-C438)</f>
        <v>2.4499999999999886</v>
      </c>
      <c r="M439" s="28">
        <f>IF(OR(履歴データ!$A$439="",履歴データ!$A$438=""),"",D439-D438)</f>
        <v>1.5</v>
      </c>
      <c r="N439" s="28">
        <f>IF(OR(履歴データ!$A$439="",履歴データ!$A$438=""),"",E439-E438)</f>
        <v>-2</v>
      </c>
      <c r="O439" s="28">
        <f>IF(OR(履歴データ!$A$439="",履歴データ!$A$438=""),"",F439-F438)</f>
        <v>-9.4599999999999795</v>
      </c>
      <c r="P439" s="28">
        <f>IF(OR(履歴データ!$A$439="",履歴データ!$A$438=""),"",G439-G438)</f>
        <v>10.826821411132912</v>
      </c>
      <c r="Q439" s="29">
        <f>IF(OR(履歴データ!$A$439="",履歴データ!$A$438=""),"",H439-H438)</f>
        <v>-1.365997314453125</v>
      </c>
      <c r="R439" s="29">
        <f>IF(OR(履歴データ!$A$439="",履歴データ!$A$438=""),"",I439-I438)</f>
        <v>-0.453125</v>
      </c>
      <c r="S439" s="28">
        <f>IF(OR(履歴データ!$A$439="",履歴データ!$A$438=""),"",(J439-J438)*100)</f>
        <v>6.0000000000000053</v>
      </c>
      <c r="T439" s="11">
        <f>IF(OR(履歴データ!$A$439="",履歴データ!$A$438=""),"",-80000*K439)</f>
        <v>120000.00000000099</v>
      </c>
      <c r="U439" s="11">
        <f>IF(OR(履歴データ!$A$439="",履歴データ!$A$438=""),"",60000*L439)</f>
        <v>146999.99999999933</v>
      </c>
      <c r="V439" s="11">
        <f>IF(OR(履歴データ!$A$439="",履歴データ!$A$438=""),"",-50000*M439)</f>
        <v>-75000</v>
      </c>
      <c r="W439" s="11">
        <f>IF(OR(履歴データ!$A$439="",履歴データ!$A$438=""),"",-40000*N439)</f>
        <v>80000</v>
      </c>
      <c r="X439" s="11">
        <f>IF(OR(履歴データ!$A$439="",履歴データ!$A$438=""),"",120*1000000*(-Q439/H438))</f>
        <v>1129888.2873998666</v>
      </c>
      <c r="Y439" s="11">
        <f>IF(OR(履歴データ!$A$439="",履歴データ!$A$438=""),"",40000*(-S439)+(-506.3)*R439*1000)</f>
        <v>-10582.812500000204</v>
      </c>
      <c r="Z439" s="11">
        <f>IF(OR(履歴データ!$A$439="",履歴データ!$A$438=""),"",-40000*O439)</f>
        <v>378399.99999999919</v>
      </c>
      <c r="AA439" s="11">
        <f>IF(OR(履歴データ!$A$439="",履歴データ!$A$438=""),"",-40000*P439)</f>
        <v>-433072.85644531646</v>
      </c>
      <c r="AB439" s="11">
        <f>IF(履歴データ!$A$439="","",123.3)</f>
        <v>123.3</v>
      </c>
      <c r="AC439">
        <f>IF(履歴データ!$A$439="","",SUM(T439:AA439))</f>
        <v>1336632.6184545497</v>
      </c>
      <c r="AD439" s="29">
        <f>IF(履歴データ!$A$439="","",AC439/1000000)</f>
        <v>1.3366326184545496</v>
      </c>
      <c r="AE439" s="29">
        <f>IF(履歴データ!$A$439="",AE438,AE438+AC439/1000000)</f>
        <v>82.023227011253539</v>
      </c>
      <c r="AF439" s="12">
        <f>IF(OR(履歴データ!$A$439="",AE438=0),"",(AE439-AE438)/AE438)</f>
        <v>1.6565733484146583E-2</v>
      </c>
      <c r="AG439" s="29">
        <f t="shared" si="20"/>
        <v>102.17217746631495</v>
      </c>
      <c r="AH439" s="12">
        <f>IF(OR(履歴データ!$A$439="",AG439=0),"",AE439/AG439-1)</f>
        <v>-0.19720584365253735</v>
      </c>
      <c r="AJ439" s="28">
        <f t="shared" ca="1" si="18"/>
        <v>-12.795944092800205</v>
      </c>
      <c r="AK439" s="28">
        <f t="shared" ca="1" si="19"/>
        <v>-33.969928923072814</v>
      </c>
    </row>
    <row r="440" spans="1:37">
      <c r="A440" s="10">
        <f>IF(履歴データ!$A$440="","",履歴データ!$A$440)</f>
        <v>45566</v>
      </c>
      <c r="B440" s="28">
        <f>IF(履歴データ!$A$440="","",(履歴データ!$D$440-(履歴データ!$B$440+履歴データ!$F$440)/2)*100)</f>
        <v>-10.499999999999954</v>
      </c>
      <c r="C440" s="28">
        <f>IF(履歴データ!$A$440="","",(履歴データ!$H$440-(履歴データ!$G$440+履歴データ!$J$440)/2)*100)</f>
        <v>-34.799999999999997</v>
      </c>
      <c r="D440" s="28">
        <f>IF(履歴データ!$A$440="","",(履歴データ!$D$440-履歴データ!$H$440)*100)</f>
        <v>284.60000000000002</v>
      </c>
      <c r="E440" s="28">
        <f>IF(履歴データ!$A$440="","",(履歴データ!$D$440-履歴データ!$C$440)*100)</f>
        <v>23.000000000000043</v>
      </c>
      <c r="F440" s="28">
        <f>IF(履歴データ!$A$440="","",(履歴データ!$R$440-履歴データ!$D$440)*100)</f>
        <v>-198.67000000000002</v>
      </c>
      <c r="G440" s="28">
        <f>IF(履歴データ!$A$440="","",(履歴データ!$S$440-履歴データ!$R$440)*100)</f>
        <v>-87.578000000000131</v>
      </c>
      <c r="H440" s="29">
        <f>IF(履歴データ!$A$440="","",履歴データ!$O$440)</f>
        <v>143.73599243164063</v>
      </c>
      <c r="I440" s="29">
        <f>IF(履歴データ!$A$440="","",履歴データ!$Q$440)</f>
        <v>114.6875</v>
      </c>
      <c r="J440" s="29">
        <f>IF(履歴データ!$A$440="","",履歴データ!$D$440)</f>
        <v>3.74</v>
      </c>
      <c r="K440" s="28">
        <f>IF(OR(履歴データ!$A$440="",履歴データ!$A$439=""),"",B440-B439)</f>
        <v>-1.499999999999968</v>
      </c>
      <c r="L440" s="28">
        <f>IF(OR(履歴データ!$A$440="",履歴データ!$A$439=""),"",C440-C439)</f>
        <v>0.10000000000000853</v>
      </c>
      <c r="M440" s="28">
        <f>IF(OR(履歴データ!$A$440="",履歴データ!$A$439=""),"",D440-D439)</f>
        <v>-6.9999999999999432</v>
      </c>
      <c r="N440" s="28">
        <f>IF(OR(履歴データ!$A$440="",履歴データ!$A$439=""),"",E440-E439)</f>
        <v>4.2632564145606011E-14</v>
      </c>
      <c r="O440" s="28">
        <f>IF(OR(履歴データ!$A$440="",履歴データ!$A$439=""),"",F440-F439)</f>
        <v>9.2999999999999829</v>
      </c>
      <c r="P440" s="28">
        <f>IF(OR(履歴データ!$A$440="",履歴データ!$A$439=""),"",G440-G439)</f>
        <v>-1.7738214111327721</v>
      </c>
      <c r="Q440" s="29">
        <f>IF(OR(履歴データ!$A$440="",履歴データ!$A$439=""),"",H440-H439)</f>
        <v>2.59857177734375E-2</v>
      </c>
      <c r="R440" s="29">
        <f>IF(OR(履歴データ!$A$440="",履歴データ!$A$439=""),"",I440-I439)</f>
        <v>0.40625</v>
      </c>
      <c r="S440" s="28">
        <f>IF(OR(履歴データ!$A$440="",履歴データ!$A$439=""),"",(J440-J439)*100)</f>
        <v>-6.999999999999984</v>
      </c>
      <c r="T440" s="11">
        <f>IF(OR(履歴データ!$A$440="",履歴データ!$A$439=""),"",-80000*K440)</f>
        <v>119999.99999999744</v>
      </c>
      <c r="U440" s="11">
        <f>IF(OR(履歴データ!$A$440="",履歴データ!$A$439=""),"",60000*L440)</f>
        <v>6000.0000000005111</v>
      </c>
      <c r="V440" s="11">
        <f>IF(OR(履歴データ!$A$440="",履歴データ!$A$439=""),"",-50000*M440)</f>
        <v>349999.99999999715</v>
      </c>
      <c r="W440" s="11">
        <f>IF(OR(履歴データ!$A$440="",履歴データ!$A$439=""),"",-40000*N440)</f>
        <v>-1.7053025658242404E-9</v>
      </c>
      <c r="X440" s="11">
        <f>IF(OR(履歴データ!$A$440="",履歴データ!$A$439=""),"",120*1000000*(-Q440/H439))</f>
        <v>-21698.462091238656</v>
      </c>
      <c r="Y440" s="11">
        <f>IF(OR(履歴データ!$A$440="",履歴データ!$A$439=""),"",40000*(-S440)+(-506.3)*R440*1000)</f>
        <v>74315.624999999331</v>
      </c>
      <c r="Z440" s="11">
        <f>IF(OR(履歴データ!$A$440="",履歴データ!$A$439=""),"",-40000*O440)</f>
        <v>-371999.9999999993</v>
      </c>
      <c r="AA440" s="11">
        <f>IF(OR(履歴データ!$A$440="",履歴データ!$A$439=""),"",-40000*P440)</f>
        <v>70952.856445310885</v>
      </c>
      <c r="AB440" s="11">
        <f>IF(履歴データ!$A$440="","",123.3)</f>
        <v>123.3</v>
      </c>
      <c r="AC440">
        <f>IF(履歴データ!$A$440="","",SUM(T440:AA440))</f>
        <v>227570.01935406565</v>
      </c>
      <c r="AD440" s="29">
        <f>IF(履歴データ!$A$440="","",AC440/1000000)</f>
        <v>0.22757001935406565</v>
      </c>
      <c r="AE440" s="29">
        <f>IF(履歴データ!$A$440="",AE439,AE439+AC440/1000000)</f>
        <v>82.2507970306076</v>
      </c>
      <c r="AF440" s="12">
        <f>IF(OR(履歴データ!$A$440="",AE439=0),"",(AE440-AE439)/AE439)</f>
        <v>2.7744582558650007E-3</v>
      </c>
      <c r="AG440" s="29">
        <f t="shared" si="20"/>
        <v>102.17217746631495</v>
      </c>
      <c r="AH440" s="12">
        <f>IF(OR(履歴データ!$A$440="",AG440=0),"",AE440/AG440-1)</f>
        <v>-0.19497852477769895</v>
      </c>
      <c r="AJ440" s="28">
        <f t="shared" ca="1" si="18"/>
        <v>-12.620783933294023</v>
      </c>
      <c r="AK440" s="28">
        <f t="shared" ca="1" si="19"/>
        <v>-34.00223193972186</v>
      </c>
    </row>
    <row r="441" spans="1:37">
      <c r="A441" s="10">
        <f>IF(履歴データ!$A$441="","",履歴データ!$A$441)</f>
        <v>45567</v>
      </c>
      <c r="B441" s="28">
        <f>IF(履歴データ!$A$441="","",(履歴データ!$D$441-(履歴データ!$B$441+履歴データ!$F$441)/2)*100)</f>
        <v>-9.4999999999999751</v>
      </c>
      <c r="C441" s="28">
        <f>IF(履歴データ!$A$441="","",(履歴データ!$H$441-(履歴データ!$G$441+履歴データ!$J$441)/2)*100)</f>
        <v>-36.700000000000003</v>
      </c>
      <c r="D441" s="28">
        <f>IF(履歴データ!$A$441="","",(履歴データ!$D$441-履歴データ!$H$441)*100)</f>
        <v>293.10000000000002</v>
      </c>
      <c r="E441" s="28">
        <f>IF(履歴データ!$A$441="","",(履歴データ!$D$441-履歴データ!$C$441)*100)</f>
        <v>24.000000000000021</v>
      </c>
      <c r="F441" s="28">
        <f>IF(履歴データ!$A$441="","",(履歴データ!$R$441-履歴データ!$D$441)*100)</f>
        <v>-215.74999999999997</v>
      </c>
      <c r="G441" s="28">
        <f>IF(履歴データ!$A$441="","",(履歴データ!$S$441-履歴データ!$R$441)*100)</f>
        <v>-83.74182141113306</v>
      </c>
      <c r="H441" s="29">
        <f>IF(履歴データ!$A$441="","",履歴データ!$O$441)</f>
        <v>146.58200073242188</v>
      </c>
      <c r="I441" s="29">
        <f>IF(履歴データ!$A$441="","",履歴データ!$Q$441)</f>
        <v>114.421875</v>
      </c>
      <c r="J441" s="29">
        <f>IF(履歴データ!$A$441="","",履歴データ!$D$441)</f>
        <v>3.79</v>
      </c>
      <c r="K441" s="28">
        <f>IF(OR(履歴データ!$A$441="",履歴データ!$A$440=""),"",B441-B440)</f>
        <v>0.99999999999997868</v>
      </c>
      <c r="L441" s="28">
        <f>IF(OR(履歴データ!$A$441="",履歴データ!$A$440=""),"",C441-C440)</f>
        <v>-1.9000000000000057</v>
      </c>
      <c r="M441" s="28">
        <f>IF(OR(履歴データ!$A$441="",履歴データ!$A$440=""),"",D441-D440)</f>
        <v>8.5</v>
      </c>
      <c r="N441" s="28">
        <f>IF(OR(履歴データ!$A$441="",履歴データ!$A$440=""),"",E441-E440)</f>
        <v>0.99999999999997868</v>
      </c>
      <c r="O441" s="28">
        <f>IF(OR(履歴データ!$A$441="",履歴データ!$A$440=""),"",F441-F440)</f>
        <v>-17.079999999999956</v>
      </c>
      <c r="P441" s="28">
        <f>IF(OR(履歴データ!$A$441="",履歴データ!$A$440=""),"",G441-G440)</f>
        <v>3.836178588867071</v>
      </c>
      <c r="Q441" s="29">
        <f>IF(OR(履歴データ!$A$441="",履歴データ!$A$440=""),"",H441-H440)</f>
        <v>2.84600830078125</v>
      </c>
      <c r="R441" s="29">
        <f>IF(OR(履歴データ!$A$441="",履歴データ!$A$440=""),"",I441-I440)</f>
        <v>-0.265625</v>
      </c>
      <c r="S441" s="28">
        <f>IF(OR(履歴データ!$A$441="",履歴データ!$A$440=""),"",(J441-J440)*100)</f>
        <v>4.9999999999999822</v>
      </c>
      <c r="T441" s="11">
        <f>IF(OR(履歴データ!$A$441="",履歴データ!$A$440=""),"",-80000*K441)</f>
        <v>-79999.999999998297</v>
      </c>
      <c r="U441" s="11">
        <f>IF(OR(履歴データ!$A$441="",履歴データ!$A$440=""),"",60000*L441)</f>
        <v>-114000.00000000033</v>
      </c>
      <c r="V441" s="11">
        <f>IF(OR(履歴データ!$A$441="",履歴データ!$A$440=""),"",-50000*M441)</f>
        <v>-425000</v>
      </c>
      <c r="W441" s="11">
        <f>IF(OR(履歴データ!$A$441="",履歴データ!$A$440=""),"",-40000*N441)</f>
        <v>-39999.999999999149</v>
      </c>
      <c r="X441" s="11">
        <f>IF(OR(履歴データ!$A$441="",履歴データ!$A$440=""),"",120*1000000*(-Q441/H440))</f>
        <v>-2376029.7634301577</v>
      </c>
      <c r="Y441" s="11">
        <f>IF(OR(履歴データ!$A$441="",履歴データ!$A$440=""),"",40000*(-S441)+(-506.3)*R441*1000)</f>
        <v>-65514.062499999302</v>
      </c>
      <c r="Z441" s="11">
        <f>IF(OR(履歴データ!$A$441="",履歴データ!$A$440=""),"",-40000*O441)</f>
        <v>683199.99999999825</v>
      </c>
      <c r="AA441" s="11">
        <f>IF(OR(履歴データ!$A$441="",履歴データ!$A$440=""),"",-40000*P441)</f>
        <v>-153447.14355468284</v>
      </c>
      <c r="AB441" s="11">
        <f>IF(履歴データ!$A$441="","",123.3)</f>
        <v>123.3</v>
      </c>
      <c r="AC441">
        <f>IF(履歴データ!$A$441="","",SUM(T441:AA441))</f>
        <v>-2570790.9694848396</v>
      </c>
      <c r="AD441" s="29">
        <f>IF(履歴データ!$A$441="","",AC441/1000000)</f>
        <v>-2.5707909694848396</v>
      </c>
      <c r="AE441" s="29">
        <f>IF(履歴データ!$A$441="",AE440,AE440+AC441/1000000)</f>
        <v>79.680006061122754</v>
      </c>
      <c r="AF441" s="12">
        <f>IF(OR(履歴データ!$A$441="",AE440=0),"",(AE441-AE440)/AE440)</f>
        <v>-3.1255514381559005E-2</v>
      </c>
      <c r="AG441" s="29">
        <f t="shared" si="20"/>
        <v>102.17217746631495</v>
      </c>
      <c r="AH441" s="12">
        <f>IF(OR(履歴データ!$A$441="",AG441=0),"",AE441/AG441-1)</f>
        <v>-0.22013988507397353</v>
      </c>
      <c r="AJ441" s="28">
        <f t="shared" ca="1" si="18"/>
        <v>-12.427100711393749</v>
      </c>
      <c r="AK441" s="28">
        <f t="shared" ca="1" si="19"/>
        <v>-34.04115325686022</v>
      </c>
    </row>
    <row r="442" spans="1:37">
      <c r="A442" s="10">
        <f>IF(履歴データ!$A$442="","",履歴データ!$A$442)</f>
        <v>45568</v>
      </c>
      <c r="B442" s="28">
        <f>IF(履歴データ!$A$442="","",(履歴データ!$D$442-(履歴データ!$B$442+履歴データ!$F$442)/2)*100)</f>
        <v>-8.9999999999999858</v>
      </c>
      <c r="C442" s="28">
        <f>IF(履歴データ!$A$442="","",(履歴データ!$H$442-(履歴データ!$G$442+履歴データ!$J$442)/2)*100)</f>
        <v>-36.549999999999997</v>
      </c>
      <c r="D442" s="28">
        <f>IF(履歴データ!$A$442="","",(履歴データ!$D$442-履歴データ!$H$442)*100)</f>
        <v>298.3</v>
      </c>
      <c r="E442" s="28">
        <f>IF(履歴データ!$A$442="","",(履歴データ!$D$442-履歴データ!$C$442)*100)</f>
        <v>23</v>
      </c>
      <c r="F442" s="28">
        <f>IF(履歴データ!$A$442="","",(履歴データ!$R$442-履歴データ!$D$442)*100)</f>
        <v>-214.71999999999997</v>
      </c>
      <c r="G442" s="28">
        <f>IF(履歴データ!$A$442="","",(履歴データ!$S$442-履歴データ!$R$442)*100)</f>
        <v>-87.614642822265793</v>
      </c>
      <c r="H442" s="29">
        <f>IF(履歴データ!$A$442="","",履歴データ!$O$442)</f>
        <v>146.83999633789063</v>
      </c>
      <c r="I442" s="29">
        <f>IF(履歴データ!$A$442="","",履歴データ!$Q$442)</f>
        <v>113.90625</v>
      </c>
      <c r="J442" s="29">
        <f>IF(履歴データ!$A$442="","",履歴データ!$D$442)</f>
        <v>3.85</v>
      </c>
      <c r="K442" s="28">
        <f>IF(OR(履歴データ!$A$442="",履歴データ!$A$441=""),"",B442-B441)</f>
        <v>0.49999999999998934</v>
      </c>
      <c r="L442" s="28">
        <f>IF(OR(履歴データ!$A$442="",履歴データ!$A$441=""),"",C442-C441)</f>
        <v>0.15000000000000568</v>
      </c>
      <c r="M442" s="28">
        <f>IF(OR(履歴データ!$A$442="",履歴データ!$A$441=""),"",D442-D441)</f>
        <v>5.1999999999999886</v>
      </c>
      <c r="N442" s="28">
        <f>IF(OR(履歴データ!$A$442="",履歴データ!$A$441=""),"",E442-E441)</f>
        <v>-1.0000000000000213</v>
      </c>
      <c r="O442" s="28">
        <f>IF(OR(履歴データ!$A$442="",履歴データ!$A$441=""),"",F442-F441)</f>
        <v>1.0300000000000011</v>
      </c>
      <c r="P442" s="28">
        <f>IF(OR(履歴データ!$A$442="",履歴データ!$A$441=""),"",G442-G441)</f>
        <v>-3.8728214111327333</v>
      </c>
      <c r="Q442" s="29">
        <f>IF(OR(履歴データ!$A$442="",履歴データ!$A$441=""),"",H442-H441)</f>
        <v>0.25799560546875</v>
      </c>
      <c r="R442" s="29">
        <f>IF(OR(履歴データ!$A$442="",履歴データ!$A$441=""),"",I442-I441)</f>
        <v>-0.515625</v>
      </c>
      <c r="S442" s="28">
        <f>IF(OR(履歴データ!$A$442="",履歴データ!$A$441=""),"",(J442-J441)*100)</f>
        <v>6.0000000000000053</v>
      </c>
      <c r="T442" s="11">
        <f>IF(OR(履歴データ!$A$442="",履歴データ!$A$441=""),"",-80000*K442)</f>
        <v>-39999.999999999149</v>
      </c>
      <c r="U442" s="11">
        <f>IF(OR(履歴データ!$A$442="",履歴データ!$A$441=""),"",60000*L442)</f>
        <v>9000.000000000342</v>
      </c>
      <c r="V442" s="11">
        <f>IF(OR(履歴データ!$A$442="",履歴データ!$A$441=""),"",-50000*M442)</f>
        <v>-259999.99999999942</v>
      </c>
      <c r="W442" s="11">
        <f>IF(OR(履歴データ!$A$442="",履歴データ!$A$441=""),"",-40000*N442)</f>
        <v>40000.000000000851</v>
      </c>
      <c r="X442" s="11">
        <f>IF(OR(履歴データ!$A$442="",履歴データ!$A$441=""),"",120*1000000*(-Q442/H441))</f>
        <v>-211209.23784336229</v>
      </c>
      <c r="Y442" s="11">
        <f>IF(OR(履歴データ!$A$442="",履歴データ!$A$441=""),"",40000*(-S442)+(-506.3)*R442*1000)</f>
        <v>21060.937499999825</v>
      </c>
      <c r="Z442" s="11">
        <f>IF(OR(履歴データ!$A$442="",履歴データ!$A$441=""),"",-40000*O442)</f>
        <v>-41200.000000000044</v>
      </c>
      <c r="AA442" s="11">
        <f>IF(OR(履歴データ!$A$442="",履歴データ!$A$441=""),"",-40000*P442)</f>
        <v>154912.85644530933</v>
      </c>
      <c r="AB442" s="11">
        <f>IF(履歴データ!$A$442="","",123.3)</f>
        <v>123.3</v>
      </c>
      <c r="AC442">
        <f>IF(履歴データ!$A$442="","",SUM(T442:AA442))</f>
        <v>-327435.44389805058</v>
      </c>
      <c r="AD442" s="29">
        <f>IF(履歴データ!$A$442="","",AC442/1000000)</f>
        <v>-0.32743544389805057</v>
      </c>
      <c r="AE442" s="29">
        <f>IF(履歴データ!$A$442="",AE441,AE441+AC442/1000000)</f>
        <v>79.3525706172247</v>
      </c>
      <c r="AF442" s="12">
        <f>IF(OR(履歴データ!$A$442="",AE441=0),"",(AE442-AE441)/AE441)</f>
        <v>-4.1093802584161098E-3</v>
      </c>
      <c r="AG442" s="29">
        <f t="shared" si="20"/>
        <v>102.17217746631495</v>
      </c>
      <c r="AH442" s="12">
        <f>IF(OR(履歴データ!$A$442="",AG442=0),"",AE442/AG442-1)</f>
        <v>-0.22334462683457657</v>
      </c>
      <c r="AJ442" s="28">
        <f t="shared" ca="1" si="18"/>
        <v>-12.219552507428453</v>
      </c>
      <c r="AK442" s="28">
        <f t="shared" ca="1" si="19"/>
        <v>-34.101876064000116</v>
      </c>
    </row>
    <row r="443" spans="1:37">
      <c r="A443" s="10">
        <f>IF(履歴データ!$A$443="","",履歴データ!$A$443)</f>
        <v>45569</v>
      </c>
      <c r="B443" s="28">
        <f>IF(履歴データ!$A$443="","",(履歴データ!$D$443-(履歴データ!$B$443+履歴データ!$F$443)/2)*100)</f>
        <v>-11.499999999999977</v>
      </c>
      <c r="C443" s="28">
        <f>IF(履歴データ!$A$443="","",(履歴データ!$H$443-(履歴データ!$G$443+履歴データ!$J$443)/2)*100)</f>
        <v>-34.900000000000006</v>
      </c>
      <c r="D443" s="28">
        <f>IF(履歴データ!$A$443="","",(履歴データ!$D$443-履歴データ!$H$443)*100)</f>
        <v>309.39999999999998</v>
      </c>
      <c r="E443" s="28">
        <f>IF(履歴データ!$A$443="","",(履歴データ!$D$443-履歴データ!$C$443)*100)</f>
        <v>16.999999999999993</v>
      </c>
      <c r="F443" s="28">
        <f>IF(履歴データ!$A$443="","",(履歴データ!$R$443-履歴データ!$D$443)*100)</f>
        <v>-236.87</v>
      </c>
      <c r="G443" s="28">
        <f>IF(履歴データ!$A$443="","",(履歴データ!$S$443-履歴データ!$R$443)*100)</f>
        <v>-78.990821411132828</v>
      </c>
      <c r="H443" s="29">
        <f>IF(履歴データ!$A$443="","",履歴データ!$O$443)</f>
        <v>146.83999633789063</v>
      </c>
      <c r="I443" s="29">
        <f>IF(履歴データ!$A$443="","",履歴データ!$Q$443)</f>
        <v>112.84375</v>
      </c>
      <c r="J443" s="29">
        <f>IF(履歴データ!$A$443="","",履歴データ!$D$443)</f>
        <v>3.98</v>
      </c>
      <c r="K443" s="28">
        <f>IF(OR(履歴データ!$A$443="",履歴データ!$A$442=""),"",B443-B442)</f>
        <v>-2.4999999999999911</v>
      </c>
      <c r="L443" s="28">
        <f>IF(OR(履歴データ!$A$443="",履歴データ!$A$442=""),"",C443-C442)</f>
        <v>1.6499999999999915</v>
      </c>
      <c r="M443" s="28">
        <f>IF(OR(履歴データ!$A$443="",履歴データ!$A$442=""),"",D443-D442)</f>
        <v>11.099999999999966</v>
      </c>
      <c r="N443" s="28">
        <f>IF(OR(履歴データ!$A$443="",履歴データ!$A$442=""),"",E443-E442)</f>
        <v>-6.0000000000000071</v>
      </c>
      <c r="O443" s="28">
        <f>IF(OR(履歴データ!$A$443="",履歴データ!$A$442=""),"",F443-F442)</f>
        <v>-22.150000000000034</v>
      </c>
      <c r="P443" s="28">
        <f>IF(OR(履歴データ!$A$443="",履歴データ!$A$442=""),"",G443-G442)</f>
        <v>8.6238214111329654</v>
      </c>
      <c r="Q443" s="29">
        <f>IF(OR(履歴データ!$A$443="",履歴データ!$A$442=""),"",H443-H442)</f>
        <v>0</v>
      </c>
      <c r="R443" s="29">
        <f>IF(OR(履歴データ!$A$443="",履歴データ!$A$442=""),"",I443-I442)</f>
        <v>-1.0625</v>
      </c>
      <c r="S443" s="28">
        <f>IF(OR(履歴データ!$A$443="",履歴データ!$A$442=""),"",(J443-J442)*100)</f>
        <v>12.999999999999989</v>
      </c>
      <c r="T443" s="11">
        <f>IF(OR(履歴データ!$A$443="",履歴データ!$A$442=""),"",-80000*K443)</f>
        <v>199999.9999999993</v>
      </c>
      <c r="U443" s="11">
        <f>IF(OR(履歴データ!$A$443="",履歴データ!$A$442=""),"",60000*L443)</f>
        <v>98999.999999999491</v>
      </c>
      <c r="V443" s="11">
        <f>IF(OR(履歴データ!$A$443="",履歴データ!$A$442=""),"",-50000*M443)</f>
        <v>-554999.99999999825</v>
      </c>
      <c r="W443" s="11">
        <f>IF(OR(履歴データ!$A$443="",履歴データ!$A$442=""),"",-40000*N443)</f>
        <v>240000.00000000029</v>
      </c>
      <c r="X443" s="11">
        <f>IF(OR(履歴データ!$A$443="",履歴データ!$A$442=""),"",120*1000000*(-Q443/H442))</f>
        <v>0</v>
      </c>
      <c r="Y443" s="11">
        <f>IF(OR(履歴データ!$A$443="",履歴データ!$A$442=""),"",40000*(-S443)+(-506.3)*R443*1000)</f>
        <v>17943.750000000407</v>
      </c>
      <c r="Z443" s="11">
        <f>IF(OR(履歴データ!$A$443="",履歴データ!$A$442=""),"",-40000*O443)</f>
        <v>886000.0000000014</v>
      </c>
      <c r="AA443" s="11">
        <f>IF(OR(履歴データ!$A$443="",履歴データ!$A$442=""),"",-40000*P443)</f>
        <v>-344952.85644531861</v>
      </c>
      <c r="AB443" s="11">
        <f>IF(履歴データ!$A$443="","",123.3)</f>
        <v>123.3</v>
      </c>
      <c r="AC443">
        <f>IF(履歴データ!$A$443="","",SUM(T443:AA443))</f>
        <v>542990.89355468401</v>
      </c>
      <c r="AD443" s="29">
        <f>IF(履歴データ!$A$443="","",AC443/1000000)</f>
        <v>0.542990893554684</v>
      </c>
      <c r="AE443" s="29">
        <f>IF(履歴データ!$A$443="",AE442,AE442+AC443/1000000)</f>
        <v>79.895561510779388</v>
      </c>
      <c r="AF443" s="12">
        <f>IF(OR(履歴データ!$A$443="",AE442=0),"",(AE443-AE442)/AE442)</f>
        <v>6.8427637483091585E-3</v>
      </c>
      <c r="AG443" s="29">
        <f t="shared" si="20"/>
        <v>102.17217746631495</v>
      </c>
      <c r="AH443" s="12">
        <f>IF(OR(履歴データ!$A$443="",AG443=0),"",AE443/AG443-1)</f>
        <v>-0.21803015760215072</v>
      </c>
      <c r="AJ443" s="28">
        <f t="shared" ca="1" si="18"/>
        <v>-12.072324809611215</v>
      </c>
      <c r="AK443" s="28">
        <f t="shared" ca="1" si="19"/>
        <v>-34.149897412611004</v>
      </c>
    </row>
    <row r="444" spans="1:37">
      <c r="A444" s="10">
        <f>IF(履歴データ!$A$444="","",履歴データ!$A$444)</f>
        <v>45572</v>
      </c>
      <c r="B444" s="28">
        <f>IF(履歴データ!$A$444="","",(履歴データ!$D$444-(履歴データ!$B$444+履歴データ!$F$444)/2)*100)</f>
        <v>-11.499999999999932</v>
      </c>
      <c r="C444" s="28">
        <f>IF(履歴データ!$A$444="","",(履歴データ!$H$444-(履歴データ!$G$444+履歴データ!$J$444)/2)*100)</f>
        <v>-34.299999999999983</v>
      </c>
      <c r="D444" s="28">
        <f>IF(履歴データ!$A$444="","",(履歴データ!$D$444-履歴データ!$H$444)*100)</f>
        <v>310.40000000000003</v>
      </c>
      <c r="E444" s="28">
        <f>IF(履歴データ!$A$444="","",(履歴データ!$D$444-履歴データ!$C$444)*100)</f>
        <v>17.000000000000036</v>
      </c>
      <c r="F444" s="28">
        <f>IF(履歴データ!$A$444="","",(履歴データ!$R$444-履歴データ!$D$444)*100)</f>
        <v>-229.28000000000003</v>
      </c>
      <c r="G444" s="28">
        <f>IF(履歴データ!$A$444="","",(履歴データ!$S$444-履歴データ!$R$444)*100)</f>
        <v>-85.441821411132906</v>
      </c>
      <c r="H444" s="29">
        <f>IF(履歴データ!$A$444="","",履歴データ!$O$444)</f>
        <v>148.14599609375</v>
      </c>
      <c r="I444" s="29">
        <f>IF(履歴データ!$A$444="","",履歴データ!$Q$444)</f>
        <v>112.484375</v>
      </c>
      <c r="J444" s="29">
        <f>IF(履歴データ!$A$444="","",履歴データ!$D$444)</f>
        <v>4.03</v>
      </c>
      <c r="K444" s="28">
        <f>IF(OR(履歴データ!$A$444="",履歴データ!$A$443=""),"",B444-B443)</f>
        <v>4.4408920985006262E-14</v>
      </c>
      <c r="L444" s="28">
        <f>IF(OR(履歴データ!$A$444="",履歴データ!$A$443=""),"",C444-C443)</f>
        <v>0.60000000000002274</v>
      </c>
      <c r="M444" s="28">
        <f>IF(OR(履歴データ!$A$444="",履歴データ!$A$443=""),"",D444-D443)</f>
        <v>1.0000000000000568</v>
      </c>
      <c r="N444" s="28">
        <f>IF(OR(履歴データ!$A$444="",履歴データ!$A$443=""),"",E444-E443)</f>
        <v>4.2632564145606011E-14</v>
      </c>
      <c r="O444" s="28">
        <f>IF(OR(履歴データ!$A$444="",履歴データ!$A$443=""),"",F444-F443)</f>
        <v>7.589999999999975</v>
      </c>
      <c r="P444" s="28">
        <f>IF(OR(履歴データ!$A$444="",履歴データ!$A$443=""),"",G444-G443)</f>
        <v>-6.4510000000000787</v>
      </c>
      <c r="Q444" s="29">
        <f>IF(OR(履歴データ!$A$444="",履歴データ!$A$443=""),"",H444-H443)</f>
        <v>1.305999755859375</v>
      </c>
      <c r="R444" s="29">
        <f>IF(OR(履歴データ!$A$444="",履歴データ!$A$443=""),"",I444-I443)</f>
        <v>-0.359375</v>
      </c>
      <c r="S444" s="28">
        <f>IF(OR(履歴データ!$A$444="",履歴データ!$A$443=""),"",(J444-J443)*100)</f>
        <v>5.0000000000000266</v>
      </c>
      <c r="T444" s="11">
        <f>IF(OR(履歴データ!$A$444="",履歴データ!$A$443=""),"",-80000*K444)</f>
        <v>-3.5527136788005009E-9</v>
      </c>
      <c r="U444" s="11">
        <f>IF(OR(履歴データ!$A$444="",履歴データ!$A$443=""),"",60000*L444)</f>
        <v>36000.000000001368</v>
      </c>
      <c r="V444" s="11">
        <f>IF(OR(履歴データ!$A$444="",履歴データ!$A$443=""),"",-50000*M444)</f>
        <v>-50000.000000002845</v>
      </c>
      <c r="W444" s="11">
        <f>IF(OR(履歴データ!$A$444="",履歴データ!$A$443=""),"",-40000*N444)</f>
        <v>-1.7053025658242404E-9</v>
      </c>
      <c r="X444" s="11">
        <f>IF(OR(履歴データ!$A$444="",履歴データ!$A$443=""),"",120*1000000*(-Q444/H443))</f>
        <v>-1067283.9458705771</v>
      </c>
      <c r="Y444" s="11">
        <f>IF(OR(履歴データ!$A$444="",履歴データ!$A$443=""),"",40000*(-S444)+(-506.3)*R444*1000)</f>
        <v>-18048.437500001077</v>
      </c>
      <c r="Z444" s="11">
        <f>IF(OR(履歴データ!$A$444="",履歴データ!$A$443=""),"",-40000*O444)</f>
        <v>-303599.99999999901</v>
      </c>
      <c r="AA444" s="11">
        <f>IF(OR(履歴データ!$A$444="",履歴データ!$A$443=""),"",-40000*P444)</f>
        <v>258040.00000000314</v>
      </c>
      <c r="AB444" s="11">
        <f>IF(履歴データ!$A$444="","",123.3)</f>
        <v>123.3</v>
      </c>
      <c r="AC444">
        <f>IF(履歴データ!$A$444="","",SUM(T444:AA444))</f>
        <v>-1144892.3833705811</v>
      </c>
      <c r="AD444" s="29">
        <f>IF(履歴データ!$A$444="","",AC444/1000000)</f>
        <v>-1.1448923833705811</v>
      </c>
      <c r="AE444" s="29">
        <f>IF(履歴データ!$A$444="",AE443,AE443+AC444/1000000)</f>
        <v>78.750669127408813</v>
      </c>
      <c r="AF444" s="12">
        <f>IF(OR(履歴データ!$A$444="",AE443=0),"",(AE444-AE443)/AE443)</f>
        <v>-1.4329862156561823E-2</v>
      </c>
      <c r="AG444" s="29">
        <f t="shared" si="20"/>
        <v>102.17217746631495</v>
      </c>
      <c r="AH444" s="12">
        <f>IF(OR(履歴データ!$A$444="",AG444=0),"",AE444/AG444-1)</f>
        <v>-0.22923567765430031</v>
      </c>
      <c r="AJ444" s="28">
        <f t="shared" ca="1" si="18"/>
        <v>-11.930183857342916</v>
      </c>
      <c r="AK444" s="28">
        <f t="shared" ca="1" si="19"/>
        <v>-34.200768523609469</v>
      </c>
    </row>
    <row r="445" spans="1:37">
      <c r="A445" s="10">
        <f>IF(履歴データ!$A$445="","",履歴データ!$A$445)</f>
        <v>45573</v>
      </c>
      <c r="B445" s="28">
        <f>IF(履歴データ!$A$445="","",(履歴データ!$D$445-(履歴データ!$B$445+履歴データ!$F$445)/2)*100)</f>
        <v>-11.000000000000032</v>
      </c>
      <c r="C445" s="28">
        <f>IF(履歴データ!$A$445="","",(履歴データ!$H$445-(履歴データ!$G$445+履歴データ!$J$445)/2)*100)</f>
        <v>-33.799999999999997</v>
      </c>
      <c r="D445" s="28">
        <f>IF(履歴データ!$A$445="","",(履歴データ!$D$445-履歴データ!$H$445)*100)</f>
        <v>311.39999999999998</v>
      </c>
      <c r="E445" s="28">
        <f>IF(履歴データ!$A$445="","",(履歴データ!$D$445-履歴データ!$C$445)*100)</f>
        <v>18.000000000000014</v>
      </c>
      <c r="F445" s="28">
        <f>IF(履歴データ!$A$445="","",(履歴データ!$R$445-履歴データ!$D$445)*100)</f>
        <v>-229.89</v>
      </c>
      <c r="G445" s="28">
        <f>IF(履歴データ!$A$445="","",(履歴データ!$S$445-履歴データ!$R$445)*100)</f>
        <v>-86.708821411132917</v>
      </c>
      <c r="H445" s="29">
        <f>IF(履歴データ!$A$445="","",履歴データ!$O$445)</f>
        <v>148.15899658203125</v>
      </c>
      <c r="I445" s="29">
        <f>IF(履歴データ!$A$445="","",履歴データ!$Q$445)</f>
        <v>112.46875</v>
      </c>
      <c r="J445" s="29">
        <f>IF(履歴データ!$A$445="","",履歴データ!$D$445)</f>
        <v>4.04</v>
      </c>
      <c r="K445" s="28">
        <f>IF(OR(履歴データ!$A$445="",履歴データ!$A$444=""),"",B445-B444)</f>
        <v>0.49999999999990052</v>
      </c>
      <c r="L445" s="28">
        <f>IF(OR(履歴データ!$A$445="",履歴データ!$A$444=""),"",C445-C444)</f>
        <v>0.49999999999998579</v>
      </c>
      <c r="M445" s="28">
        <f>IF(OR(履歴データ!$A$445="",履歴データ!$A$444=""),"",D445-D444)</f>
        <v>0.99999999999994316</v>
      </c>
      <c r="N445" s="28">
        <f>IF(OR(履歴データ!$A$445="",履歴データ!$A$444=""),"",E445-E444)</f>
        <v>0.99999999999997868</v>
      </c>
      <c r="O445" s="28">
        <f>IF(OR(履歴データ!$A$445="",履歴データ!$A$444=""),"",F445-F444)</f>
        <v>-0.6099999999999568</v>
      </c>
      <c r="P445" s="28">
        <f>IF(OR(履歴データ!$A$445="",履歴データ!$A$444=""),"",G445-G444)</f>
        <v>-1.2670000000000101</v>
      </c>
      <c r="Q445" s="29">
        <f>IF(OR(履歴データ!$A$445="",履歴データ!$A$444=""),"",H445-H444)</f>
        <v>1.300048828125E-2</v>
      </c>
      <c r="R445" s="29">
        <f>IF(OR(履歴データ!$A$445="",履歴データ!$A$444=""),"",I445-I444)</f>
        <v>-1.5625E-2</v>
      </c>
      <c r="S445" s="28">
        <f>IF(OR(履歴データ!$A$445="",履歴データ!$A$444=""),"",(J445-J444)*100)</f>
        <v>0.99999999999997868</v>
      </c>
      <c r="T445" s="11">
        <f>IF(OR(履歴データ!$A$445="",履歴データ!$A$444=""),"",-80000*K445)</f>
        <v>-39999.99999999204</v>
      </c>
      <c r="U445" s="11">
        <f>IF(OR(履歴データ!$A$445="",履歴データ!$A$444=""),"",60000*L445)</f>
        <v>29999.999999999149</v>
      </c>
      <c r="V445" s="11">
        <f>IF(OR(履歴データ!$A$445="",履歴データ!$A$444=""),"",-50000*M445)</f>
        <v>-49999.999999997155</v>
      </c>
      <c r="W445" s="11">
        <f>IF(OR(履歴データ!$A$445="",履歴データ!$A$444=""),"",-40000*N445)</f>
        <v>-39999.999999999149</v>
      </c>
      <c r="X445" s="11">
        <f>IF(OR(履歴データ!$A$445="",履歴データ!$A$444=""),"",120*1000000*(-Q445/H444))</f>
        <v>-10530.548478426383</v>
      </c>
      <c r="Y445" s="11">
        <f>IF(OR(履歴データ!$A$445="",履歴データ!$A$444=""),"",40000*(-S445)+(-506.3)*R445*1000)</f>
        <v>-32089.062499999149</v>
      </c>
      <c r="Z445" s="11">
        <f>IF(OR(履歴データ!$A$445="",履歴データ!$A$444=""),"",-40000*O445)</f>
        <v>24399.999999998272</v>
      </c>
      <c r="AA445" s="11">
        <f>IF(OR(履歴データ!$A$445="",履歴データ!$A$444=""),"",-40000*P445)</f>
        <v>50680.000000000407</v>
      </c>
      <c r="AB445" s="11">
        <f>IF(履歴データ!$A$445="","",123.3)</f>
        <v>123.3</v>
      </c>
      <c r="AC445">
        <f>IF(履歴データ!$A$445="","",SUM(T445:AA445))</f>
        <v>-67539.610978416065</v>
      </c>
      <c r="AD445" s="29">
        <f>IF(履歴データ!$A$445="","",AC445/1000000)</f>
        <v>-6.753961097841607E-2</v>
      </c>
      <c r="AE445" s="29">
        <f>IF(履歴データ!$A$445="",AE444,AE444+AC445/1000000)</f>
        <v>78.683129516430398</v>
      </c>
      <c r="AF445" s="12">
        <f>IF(OR(履歴データ!$A$445="",AE444=0),"",(AE445-AE444)/AE444)</f>
        <v>-8.5763856646276654E-4</v>
      </c>
      <c r="AG445" s="29">
        <f t="shared" si="20"/>
        <v>102.17217746631495</v>
      </c>
      <c r="AH445" s="12">
        <f>IF(OR(履歴データ!$A$445="",AG445=0),"",AE445/AG445-1)</f>
        <v>-0.2298967148627975</v>
      </c>
      <c r="AJ445" s="28">
        <f t="shared" ca="1" si="18"/>
        <v>-11.776003768710595</v>
      </c>
      <c r="AK445" s="28">
        <f t="shared" ca="1" si="19"/>
        <v>-34.251774009067184</v>
      </c>
    </row>
    <row r="446" spans="1:37">
      <c r="A446" s="10">
        <f>IF(履歴データ!$A$446="","",履歴データ!$A$446)</f>
        <v>45574</v>
      </c>
      <c r="B446" s="28">
        <f>IF(履歴データ!$A$446="","",(履歴データ!$D$446-(履歴データ!$B$446+履歴データ!$F$446)/2)*100)</f>
        <v>-10.500000000000043</v>
      </c>
      <c r="C446" s="28">
        <f>IF(履歴データ!$A$446="","",(履歴データ!$H$446-(履歴データ!$G$446+履歴データ!$J$446)/2)*100)</f>
        <v>-33.649999999999991</v>
      </c>
      <c r="D446" s="28">
        <f>IF(履歴データ!$A$446="","",(履歴データ!$D$446-履歴データ!$H$446)*100)</f>
        <v>312.39999999999998</v>
      </c>
      <c r="E446" s="28">
        <f>IF(履歴データ!$A$446="","",(履歴データ!$D$446-履歴データ!$C$446)*100)</f>
        <v>14.999999999999947</v>
      </c>
      <c r="F446" s="28">
        <f>IF(履歴データ!$A$446="","",(履歴データ!$R$446-履歴データ!$D$446)*100)</f>
        <v>-231.29999999999998</v>
      </c>
      <c r="G446" s="28">
        <f>IF(履歴データ!$A$446="","",(履歴データ!$S$446-履歴データ!$R$446)*100)</f>
        <v>-85.194000000000102</v>
      </c>
      <c r="H446" s="29">
        <f>IF(履歴データ!$A$446="","",履歴データ!$O$446)</f>
        <v>149.16000366210938</v>
      </c>
      <c r="I446" s="29">
        <f>IF(履歴データ!$A$446="","",履歴データ!$Q$446)</f>
        <v>112.203125</v>
      </c>
      <c r="J446" s="29">
        <f>IF(履歴データ!$A$446="","",履歴データ!$D$446)</f>
        <v>4.0599999999999996</v>
      </c>
      <c r="K446" s="28">
        <f>IF(OR(履歴データ!$A$446="",履歴データ!$A$445=""),"",B446-B445)</f>
        <v>0.49999999999998934</v>
      </c>
      <c r="L446" s="28">
        <f>IF(OR(履歴データ!$A$446="",履歴データ!$A$445=""),"",C446-C445)</f>
        <v>0.15000000000000568</v>
      </c>
      <c r="M446" s="28">
        <f>IF(OR(履歴データ!$A$446="",履歴データ!$A$445=""),"",D446-D445)</f>
        <v>1</v>
      </c>
      <c r="N446" s="28">
        <f>IF(OR(履歴データ!$A$446="",履歴データ!$A$445=""),"",E446-E445)</f>
        <v>-3.0000000000000675</v>
      </c>
      <c r="O446" s="28">
        <f>IF(OR(履歴データ!$A$446="",履歴データ!$A$445=""),"",F446-F445)</f>
        <v>-1.4099999999999966</v>
      </c>
      <c r="P446" s="28">
        <f>IF(OR(履歴データ!$A$446="",履歴データ!$A$445=""),"",G446-G445)</f>
        <v>1.5148214111328144</v>
      </c>
      <c r="Q446" s="29">
        <f>IF(OR(履歴データ!$A$446="",履歴データ!$A$445=""),"",H446-H445)</f>
        <v>1.001007080078125</v>
      </c>
      <c r="R446" s="29">
        <f>IF(OR(履歴データ!$A$446="",履歴データ!$A$445=""),"",I446-I445)</f>
        <v>-0.265625</v>
      </c>
      <c r="S446" s="28">
        <f>IF(OR(履歴データ!$A$446="",履歴データ!$A$445=""),"",(J446-J445)*100)</f>
        <v>1.9999999999999574</v>
      </c>
      <c r="T446" s="11">
        <f>IF(OR(履歴データ!$A$446="",履歴データ!$A$445=""),"",-80000*K446)</f>
        <v>-39999.999999999149</v>
      </c>
      <c r="U446" s="11">
        <f>IF(OR(履歴データ!$A$446="",履歴データ!$A$445=""),"",60000*L446)</f>
        <v>9000.000000000342</v>
      </c>
      <c r="V446" s="11">
        <f>IF(OR(履歴データ!$A$446="",履歴データ!$A$445=""),"",-50000*M446)</f>
        <v>-50000</v>
      </c>
      <c r="W446" s="11">
        <f>IF(OR(履歴データ!$A$446="",履歴データ!$A$445=""),"",-40000*N446)</f>
        <v>120000.00000000271</v>
      </c>
      <c r="X446" s="11">
        <f>IF(OR(履歴データ!$A$446="",履歴データ!$A$445=""),"",120*1000000*(-Q446/H445))</f>
        <v>-810756.36566469085</v>
      </c>
      <c r="Y446" s="11">
        <f>IF(OR(履歴データ!$A$446="",履歴データ!$A$445=""),"",40000*(-S446)+(-506.3)*R446*1000)</f>
        <v>54485.937500001703</v>
      </c>
      <c r="Z446" s="11">
        <f>IF(OR(履歴データ!$A$446="",履歴データ!$A$445=""),"",-40000*O446)</f>
        <v>56399.999999999862</v>
      </c>
      <c r="AA446" s="11">
        <f>IF(OR(履歴データ!$A$446="",履歴データ!$A$445=""),"",-40000*P446)</f>
        <v>-60592.85644531258</v>
      </c>
      <c r="AB446" s="11">
        <f>IF(履歴データ!$A$446="","",123.3)</f>
        <v>123.3</v>
      </c>
      <c r="AC446">
        <f>IF(履歴データ!$A$446="","",SUM(T446:AA446))</f>
        <v>-721463.28460999799</v>
      </c>
      <c r="AD446" s="29">
        <f>IF(履歴データ!$A$446="","",AC446/1000000)</f>
        <v>-0.72146328460999798</v>
      </c>
      <c r="AE446" s="29">
        <f>IF(履歴データ!$A$446="",AE445,AE445+AC446/1000000)</f>
        <v>77.961666231820402</v>
      </c>
      <c r="AF446" s="12">
        <f>IF(OR(履歴データ!$A$446="",AE445=0),"",(AE446-AE445)/AE445)</f>
        <v>-9.1692245725856891E-3</v>
      </c>
      <c r="AG446" s="29">
        <f t="shared" si="20"/>
        <v>102.17217746631495</v>
      </c>
      <c r="AH446" s="12">
        <f>IF(OR(履歴データ!$A$446="",AG446=0),"",AE446/AG446-1)</f>
        <v>-0.23695796482830644</v>
      </c>
      <c r="AJ446" s="28">
        <f t="shared" ca="1" si="18"/>
        <v>-11.614562380707746</v>
      </c>
      <c r="AK446" s="28">
        <f t="shared" ca="1" si="19"/>
        <v>-34.310040793895432</v>
      </c>
    </row>
    <row r="447" spans="1:37">
      <c r="A447" s="10">
        <f>IF(履歴データ!$A$447="","",履歴データ!$A$447)</f>
        <v>45575</v>
      </c>
      <c r="B447" s="28">
        <f>IF(履歴データ!$A$447="","",(履歴データ!$D$447-(履歴データ!$B$447+履歴データ!$F$447)/2)*100)</f>
        <v>-8.9999999999999858</v>
      </c>
      <c r="C447" s="28">
        <f>IF(履歴データ!$A$447="","",(履歴データ!$H$447-(履歴データ!$G$447+履歴データ!$J$447)/2)*100)</f>
        <v>-33.149999999999991</v>
      </c>
      <c r="D447" s="28">
        <f>IF(履歴データ!$A$447="","",(履歴データ!$D$447-履歴データ!$H$447)*100)</f>
        <v>313</v>
      </c>
      <c r="E447" s="28">
        <f>IF(履歴データ!$A$447="","",(履歴データ!$D$447-履歴データ!$C$447)*100)</f>
        <v>17.999999999999972</v>
      </c>
      <c r="F447" s="28">
        <f>IF(履歴データ!$A$447="","",(履歴データ!$R$447-履歴データ!$D$447)*100)</f>
        <v>-231.64999999999995</v>
      </c>
      <c r="G447" s="28">
        <f>IF(履歴データ!$A$447="","",(履歴データ!$S$447-履歴データ!$R$447)*100)</f>
        <v>-83.634357177734458</v>
      </c>
      <c r="H447" s="29">
        <f>IF(履歴データ!$A$447="","",履歴データ!$O$447)</f>
        <v>148.70399475097656</v>
      </c>
      <c r="I447" s="29">
        <f>IF(履歴データ!$A$447="","",履歴データ!$Q$447)</f>
        <v>112.078125</v>
      </c>
      <c r="J447" s="29">
        <f>IF(履歴データ!$A$447="","",履歴データ!$D$447)</f>
        <v>4.09</v>
      </c>
      <c r="K447" s="28">
        <f>IF(OR(履歴データ!$A$447="",履歴データ!$A$446=""),"",B447-B446)</f>
        <v>1.5000000000000568</v>
      </c>
      <c r="L447" s="28">
        <f>IF(OR(履歴データ!$A$447="",履歴データ!$A$446=""),"",C447-C446)</f>
        <v>0.5</v>
      </c>
      <c r="M447" s="28">
        <f>IF(OR(履歴データ!$A$447="",履歴データ!$A$446=""),"",D447-D446)</f>
        <v>0.60000000000002274</v>
      </c>
      <c r="N447" s="28">
        <f>IF(OR(履歴データ!$A$447="",履歴データ!$A$446=""),"",E447-E446)</f>
        <v>3.0000000000000249</v>
      </c>
      <c r="O447" s="28">
        <f>IF(OR(履歴データ!$A$447="",履歴データ!$A$446=""),"",F447-F446)</f>
        <v>-0.34999999999996589</v>
      </c>
      <c r="P447" s="28">
        <f>IF(OR(履歴データ!$A$447="",履歴データ!$A$446=""),"",G447-G446)</f>
        <v>1.5596428222656442</v>
      </c>
      <c r="Q447" s="29">
        <f>IF(OR(履歴データ!$A$447="",履歴データ!$A$446=""),"",H447-H446)</f>
        <v>-0.4560089111328125</v>
      </c>
      <c r="R447" s="29">
        <f>IF(OR(履歴データ!$A$447="",履歴データ!$A$446=""),"",I447-I446)</f>
        <v>-0.125</v>
      </c>
      <c r="S447" s="28">
        <f>IF(OR(履歴データ!$A$447="",履歴データ!$A$446=""),"",(J447-J446)*100)</f>
        <v>3.0000000000000249</v>
      </c>
      <c r="T447" s="11">
        <f>IF(OR(履歴データ!$A$447="",履歴データ!$A$446=""),"",-80000*K447)</f>
        <v>-120000.00000000454</v>
      </c>
      <c r="U447" s="11">
        <f>IF(OR(履歴データ!$A$447="",履歴データ!$A$446=""),"",60000*L447)</f>
        <v>30000</v>
      </c>
      <c r="V447" s="11">
        <f>IF(OR(履歴データ!$A$447="",履歴データ!$A$446=""),"",-50000*M447)</f>
        <v>-30000.000000001135</v>
      </c>
      <c r="W447" s="11">
        <f>IF(OR(履歴データ!$A$447="",履歴データ!$A$446=""),"",-40000*N447)</f>
        <v>-120000.00000000099</v>
      </c>
      <c r="X447" s="11">
        <f>IF(OR(履歴データ!$A$447="",履歴データ!$A$446=""),"",120*1000000*(-Q447/H446))</f>
        <v>366861.5445994261</v>
      </c>
      <c r="Y447" s="11">
        <f>IF(OR(履歴データ!$A$447="",履歴データ!$A$446=""),"",40000*(-S447)+(-506.3)*R447*1000)</f>
        <v>-56712.50000000099</v>
      </c>
      <c r="Z447" s="11">
        <f>IF(OR(履歴データ!$A$447="",履歴データ!$A$446=""),"",-40000*O447)</f>
        <v>13999.999999998636</v>
      </c>
      <c r="AA447" s="11">
        <f>IF(OR(履歴データ!$A$447="",履歴データ!$A$446=""),"",-40000*P447)</f>
        <v>-62385.712890625771</v>
      </c>
      <c r="AB447" s="11">
        <f>IF(履歴データ!$A$447="","",123.3)</f>
        <v>123.3</v>
      </c>
      <c r="AC447">
        <f>IF(履歴データ!$A$447="","",SUM(T447:AA447))</f>
        <v>21763.331708791302</v>
      </c>
      <c r="AD447" s="29">
        <f>IF(履歴データ!$A$447="","",AC447/1000000)</f>
        <v>2.17633317087913E-2</v>
      </c>
      <c r="AE447" s="29">
        <f>IF(履歴データ!$A$447="",AE446,AE446+AC447/1000000)</f>
        <v>77.983429563529199</v>
      </c>
      <c r="AF447" s="12">
        <f>IF(OR(履歴データ!$A$447="",AE446=0),"",(AE447-AE446)/AE446)</f>
        <v>2.7915426594505612E-4</v>
      </c>
      <c r="AG447" s="29">
        <f t="shared" si="20"/>
        <v>102.17217746631495</v>
      </c>
      <c r="AH447" s="12">
        <f>IF(OR(履歴データ!$A$447="",AG447=0),"",AE447/AG447-1)</f>
        <v>-0.23674495838909293</v>
      </c>
      <c r="AJ447" s="28">
        <f t="shared" ca="1" si="18"/>
        <v>-11.419286023711088</v>
      </c>
      <c r="AK447" s="28">
        <f t="shared" ca="1" si="19"/>
        <v>-34.382301277876216</v>
      </c>
    </row>
    <row r="448" spans="1:37">
      <c r="A448" s="10">
        <f>IF(履歴データ!$A$448="","",履歴データ!$A$448)</f>
        <v>45576</v>
      </c>
      <c r="B448" s="28">
        <f>IF(履歴データ!$A$448="","",(履歴データ!$D$448-(履歴データ!$B$448+履歴データ!$F$448)/2)*100)</f>
        <v>-8.9999999999999858</v>
      </c>
      <c r="C448" s="28">
        <f>IF(履歴データ!$A$448="","",(履歴データ!$H$448-(履歴データ!$G$448+履歴データ!$J$448)/2)*100)</f>
        <v>-33.299999999999997</v>
      </c>
      <c r="D448" s="28">
        <f>IF(履歴データ!$A$448="","",(履歴データ!$D$448-履歴データ!$H$448)*100)</f>
        <v>313</v>
      </c>
      <c r="E448" s="28">
        <f>IF(履歴データ!$A$448="","",(履歴データ!$D$448-履歴データ!$C$448)*100)</f>
        <v>20.000000000000018</v>
      </c>
      <c r="F448" s="28">
        <f>IF(履歴データ!$A$448="","",(履歴データ!$R$448-履歴データ!$D$448)*100)</f>
        <v>-231.38</v>
      </c>
      <c r="G448" s="28">
        <f>IF(履歴データ!$A$448="","",(履歴データ!$S$448-履歴データ!$R$448)*100)</f>
        <v>-82.553642822265743</v>
      </c>
      <c r="H448" s="29">
        <f>IF(履歴データ!$A$448="","",履歴データ!$O$448)</f>
        <v>148.70399475097656</v>
      </c>
      <c r="I448" s="29">
        <f>IF(履歴データ!$A$448="","",履歴データ!$Q$448)</f>
        <v>112.25</v>
      </c>
      <c r="J448" s="29">
        <f>IF(履歴データ!$A$448="","",履歴データ!$D$448)</f>
        <v>4.08</v>
      </c>
      <c r="K448" s="28">
        <f>IF(OR(履歴データ!$A$448="",履歴データ!$A$447=""),"",B448-B447)</f>
        <v>0</v>
      </c>
      <c r="L448" s="28">
        <f>IF(OR(履歴データ!$A$448="",履歴データ!$A$447=""),"",C448-C447)</f>
        <v>-0.15000000000000568</v>
      </c>
      <c r="M448" s="28">
        <f>IF(OR(履歴データ!$A$448="",履歴データ!$A$447=""),"",D448-D447)</f>
        <v>0</v>
      </c>
      <c r="N448" s="28">
        <f>IF(OR(履歴データ!$A$448="",履歴データ!$A$447=""),"",E448-E447)</f>
        <v>2.0000000000000462</v>
      </c>
      <c r="O448" s="28">
        <f>IF(OR(履歴データ!$A$448="",履歴データ!$A$447=""),"",F448-F447)</f>
        <v>0.26999999999995339</v>
      </c>
      <c r="P448" s="28">
        <f>IF(OR(履歴データ!$A$448="",履歴データ!$A$447=""),"",G448-G447)</f>
        <v>1.0807143554687144</v>
      </c>
      <c r="Q448" s="29">
        <f>IF(OR(履歴データ!$A$448="",履歴データ!$A$447=""),"",H448-H447)</f>
        <v>0</v>
      </c>
      <c r="R448" s="29">
        <f>IF(OR(履歴データ!$A$448="",履歴データ!$A$447=""),"",I448-I447)</f>
        <v>0.171875</v>
      </c>
      <c r="S448" s="28">
        <f>IF(OR(履歴データ!$A$448="",履歴データ!$A$447=""),"",(J448-J447)*100)</f>
        <v>-0.99999999999997868</v>
      </c>
      <c r="T448" s="11">
        <f>IF(OR(履歴データ!$A$448="",履歴データ!$A$447=""),"",-80000*K448)</f>
        <v>0</v>
      </c>
      <c r="U448" s="11">
        <f>IF(OR(履歴データ!$A$448="",履歴データ!$A$447=""),"",60000*L448)</f>
        <v>-9000.000000000342</v>
      </c>
      <c r="V448" s="11">
        <f>IF(OR(履歴データ!$A$448="",履歴データ!$A$447=""),"",-50000*M448)</f>
        <v>0</v>
      </c>
      <c r="W448" s="11">
        <f>IF(OR(履歴データ!$A$448="",履歴データ!$A$447=""),"",-40000*N448)</f>
        <v>-80000.000000001848</v>
      </c>
      <c r="X448" s="11">
        <f>IF(OR(履歴データ!$A$448="",履歴データ!$A$447=""),"",120*1000000*(-Q448/H447))</f>
        <v>0</v>
      </c>
      <c r="Y448" s="11">
        <f>IF(OR(履歴データ!$A$448="",履歴データ!$A$447=""),"",40000*(-S448)+(-506.3)*R448*1000)</f>
        <v>-47020.312500000851</v>
      </c>
      <c r="Z448" s="11">
        <f>IF(OR(履歴データ!$A$448="",履歴データ!$A$447=""),"",-40000*O448)</f>
        <v>-10799.999999998136</v>
      </c>
      <c r="AA448" s="11">
        <f>IF(OR(履歴データ!$A$448="",履歴データ!$A$447=""),"",-40000*P448)</f>
        <v>-43228.574218748574</v>
      </c>
      <c r="AB448" s="11">
        <f>IF(履歴データ!$A$448="","",123.3)</f>
        <v>123.3</v>
      </c>
      <c r="AC448">
        <f>IF(履歴データ!$A$448="","",SUM(T448:AA448))</f>
        <v>-190048.88671874974</v>
      </c>
      <c r="AD448" s="29">
        <f>IF(履歴データ!$A$448="","",AC448/1000000)</f>
        <v>-0.19004888671874973</v>
      </c>
      <c r="AE448" s="29">
        <f>IF(履歴データ!$A$448="",AE447,AE447+AC448/1000000)</f>
        <v>77.793380676810443</v>
      </c>
      <c r="AF448" s="12">
        <f>IF(OR(履歴データ!$A$448="",AE447=0),"",(AE448-AE447)/AE447)</f>
        <v>-2.4370419175259901E-3</v>
      </c>
      <c r="AG448" s="29">
        <f t="shared" si="20"/>
        <v>102.17217746631495</v>
      </c>
      <c r="AH448" s="12">
        <f>IF(OR(履歴データ!$A$448="",AG448=0),"",AE448/AG448-1)</f>
        <v>-0.23860504291926177</v>
      </c>
      <c r="AJ448" s="28">
        <f t="shared" ca="1" si="18"/>
        <v>-11.229397061556394</v>
      </c>
      <c r="AK448" s="28">
        <f t="shared" ca="1" si="19"/>
        <v>-34.421396589237261</v>
      </c>
    </row>
    <row r="449" spans="1:37">
      <c r="A449" s="10">
        <f>IF(履歴データ!$A$449="","",履歴データ!$A$449)</f>
        <v>45580</v>
      </c>
      <c r="B449" s="28">
        <f>IF(履歴データ!$A$449="","",(履歴データ!$D$449-(履歴データ!$B$449+履歴データ!$F$449)/2)*100)</f>
        <v>-10.499999999999954</v>
      </c>
      <c r="C449" s="28">
        <f>IF(履歴データ!$A$449="","",(履歴データ!$H$449-(履歴データ!$G$449+履歴データ!$J$449)/2)*100)</f>
        <v>-31.299999999999994</v>
      </c>
      <c r="D449" s="28">
        <f>IF(履歴データ!$A$449="","",(履歴データ!$D$449-履歴データ!$H$449)*100)</f>
        <v>305.40000000000003</v>
      </c>
      <c r="E449" s="28">
        <f>IF(履歴データ!$A$449="","",(履歴データ!$D$449-履歴データ!$C$449)*100)</f>
        <v>17.000000000000036</v>
      </c>
      <c r="F449" s="28">
        <f>IF(履歴データ!$A$449="","",(履歴データ!$R$449-履歴データ!$D$449)*100)</f>
        <v>-226.8</v>
      </c>
      <c r="G449" s="28">
        <f>IF(履歴データ!$A$449="","",(履歴データ!$S$449-履歴データ!$R$449)*100)</f>
        <v>-80.555000000000149</v>
      </c>
      <c r="H449" s="29">
        <f>IF(履歴データ!$A$449="","",履歴データ!$O$449)</f>
        <v>149.0989990234375</v>
      </c>
      <c r="I449" s="29">
        <f>IF(履歴データ!$A$449="","",履歴データ!$Q$449)</f>
        <v>112.4375</v>
      </c>
      <c r="J449" s="29">
        <f>IF(履歴データ!$A$449="","",履歴データ!$D$449)</f>
        <v>4.03</v>
      </c>
      <c r="K449" s="28">
        <f>IF(OR(履歴データ!$A$449="",履歴データ!$A$448=""),"",B449-B448)</f>
        <v>-1.499999999999968</v>
      </c>
      <c r="L449" s="28">
        <f>IF(OR(履歴データ!$A$449="",履歴データ!$A$448=""),"",C449-C448)</f>
        <v>2.0000000000000036</v>
      </c>
      <c r="M449" s="28">
        <f>IF(OR(履歴データ!$A$449="",履歴データ!$A$448=""),"",D449-D448)</f>
        <v>-7.5999999999999659</v>
      </c>
      <c r="N449" s="28">
        <f>IF(OR(履歴データ!$A$449="",履歴データ!$A$448=""),"",E449-E448)</f>
        <v>-2.9999999999999822</v>
      </c>
      <c r="O449" s="28">
        <f>IF(OR(履歴データ!$A$449="",履歴データ!$A$448=""),"",F449-F448)</f>
        <v>4.5799999999999841</v>
      </c>
      <c r="P449" s="28">
        <f>IF(OR(履歴データ!$A$449="",履歴データ!$A$448=""),"",G449-G448)</f>
        <v>1.9986428222655945</v>
      </c>
      <c r="Q449" s="29">
        <f>IF(OR(履歴データ!$A$449="",履歴データ!$A$448=""),"",H449-H448)</f>
        <v>0.3950042724609375</v>
      </c>
      <c r="R449" s="29">
        <f>IF(OR(履歴データ!$A$449="",履歴データ!$A$448=""),"",I449-I448)</f>
        <v>0.1875</v>
      </c>
      <c r="S449" s="28">
        <f>IF(OR(履歴データ!$A$449="",履歴データ!$A$448=""),"",(J449-J448)*100)</f>
        <v>-4.9999999999999822</v>
      </c>
      <c r="T449" s="11">
        <f>IF(OR(履歴データ!$A$449="",履歴データ!$A$448=""),"",-80000*K449)</f>
        <v>119999.99999999744</v>
      </c>
      <c r="U449" s="11">
        <f>IF(OR(履歴データ!$A$449="",履歴データ!$A$448=""),"",60000*L449)</f>
        <v>120000.00000000022</v>
      </c>
      <c r="V449" s="11">
        <f>IF(OR(履歴データ!$A$449="",履歴データ!$A$448=""),"",-50000*M449)</f>
        <v>379999.99999999831</v>
      </c>
      <c r="W449" s="11">
        <f>IF(OR(履歴データ!$A$449="",履歴データ!$A$448=""),"",-40000*N449)</f>
        <v>119999.99999999929</v>
      </c>
      <c r="X449" s="11">
        <f>IF(OR(履歴データ!$A$449="",履歴データ!$A$448=""),"",120*1000000*(-Q449/H448))</f>
        <v>-318757.49387022579</v>
      </c>
      <c r="Y449" s="11">
        <f>IF(OR(履歴データ!$A$449="",履歴データ!$A$448=""),"",40000*(-S449)+(-506.3)*R449*1000)</f>
        <v>105068.7499999993</v>
      </c>
      <c r="Z449" s="11">
        <f>IF(OR(履歴データ!$A$449="",履歴データ!$A$448=""),"",-40000*O449)</f>
        <v>-183199.99999999936</v>
      </c>
      <c r="AA449" s="11">
        <f>IF(OR(履歴データ!$A$449="",履歴データ!$A$448=""),"",-40000*P449)</f>
        <v>-79945.712890623778</v>
      </c>
      <c r="AB449" s="11">
        <f>IF(履歴データ!$A$449="","",123.3)</f>
        <v>123.3</v>
      </c>
      <c r="AC449">
        <f>IF(履歴データ!$A$449="","",SUM(T449:AA449))</f>
        <v>263165.54323914577</v>
      </c>
      <c r="AD449" s="29">
        <f>IF(履歴データ!$A$449="","",AC449/1000000)</f>
        <v>0.26316554323914576</v>
      </c>
      <c r="AE449" s="29">
        <f>IF(履歴データ!$A$449="",AE448,AE448+AC449/1000000)</f>
        <v>78.056546220049583</v>
      </c>
      <c r="AF449" s="12">
        <f>IF(OR(履歴データ!$A$449="",AE448=0),"",(AE449-AE448)/AE448)</f>
        <v>3.3828783496689867E-3</v>
      </c>
      <c r="AG449" s="29">
        <f t="shared" si="20"/>
        <v>102.17217746631495</v>
      </c>
      <c r="AH449" s="12">
        <f>IF(OR(履歴データ!$A$449="",AG449=0),"",AE449/AG449-1)</f>
        <v>-0.23602933640340618</v>
      </c>
      <c r="AJ449" s="28">
        <f t="shared" ca="1" si="18"/>
        <v>-11.07148226188102</v>
      </c>
      <c r="AK449" s="28">
        <f t="shared" ca="1" si="19"/>
        <v>-34.456295515896755</v>
      </c>
    </row>
    <row r="450" spans="1:37">
      <c r="A450" s="10">
        <f>IF(履歴データ!$A$450="","",履歴データ!$A$450)</f>
        <v>45581</v>
      </c>
      <c r="B450" s="28">
        <f>IF(履歴データ!$A$450="","",(履歴データ!$D$450-(履歴データ!$B$450+履歴データ!$F$450)/2)*100)</f>
        <v>-9.5000000000000639</v>
      </c>
      <c r="C450" s="28">
        <f>IF(履歴データ!$A$450="","",(履歴データ!$H$450-(履歴データ!$G$450+履歴データ!$J$450)/2)*100)</f>
        <v>-32.799999999999997</v>
      </c>
      <c r="D450" s="28">
        <f>IF(履歴データ!$A$450="","",(履歴データ!$D$450-履歴データ!$H$450)*100)</f>
        <v>306.29999999999995</v>
      </c>
      <c r="E450" s="28">
        <f>IF(履歴データ!$A$450="","",(履歴データ!$D$450-履歴データ!$C$450)*100)</f>
        <v>17.999999999999972</v>
      </c>
      <c r="F450" s="28">
        <f>IF(履歴データ!$A$450="","",(履歴データ!$R$450-履歴データ!$D$450)*100)</f>
        <v>-225.46999999999997</v>
      </c>
      <c r="G450" s="28">
        <f>IF(履歴データ!$A$450="","",(履歴データ!$S$450-履歴データ!$R$450)*100)</f>
        <v>-84.919178588867283</v>
      </c>
      <c r="H450" s="29">
        <f>IF(履歴データ!$A$450="","",履歴データ!$O$450)</f>
        <v>149.57600402832031</v>
      </c>
      <c r="I450" s="29">
        <f>IF(履歴データ!$A$450="","",履歴データ!$Q$450)</f>
        <v>112.53125</v>
      </c>
      <c r="J450" s="29">
        <f>IF(履歴データ!$A$450="","",履歴データ!$D$450)</f>
        <v>4.0199999999999996</v>
      </c>
      <c r="K450" s="28">
        <f>IF(OR(履歴データ!$A$450="",履歴データ!$A$449=""),"",B450-B449)</f>
        <v>0.99999999999988987</v>
      </c>
      <c r="L450" s="28">
        <f>IF(OR(履歴データ!$A$450="",履歴データ!$A$449=""),"",C450-C449)</f>
        <v>-1.5000000000000036</v>
      </c>
      <c r="M450" s="28">
        <f>IF(OR(履歴データ!$A$450="",履歴データ!$A$449=""),"",D450-D449)</f>
        <v>0.89999999999992042</v>
      </c>
      <c r="N450" s="28">
        <f>IF(OR(履歴データ!$A$450="",履歴データ!$A$449=""),"",E450-E449)</f>
        <v>0.99999999999993605</v>
      </c>
      <c r="O450" s="28">
        <f>IF(OR(履歴データ!$A$450="",履歴データ!$A$449=""),"",F450-F449)</f>
        <v>1.3300000000000409</v>
      </c>
      <c r="P450" s="28">
        <f>IF(OR(履歴データ!$A$450="",履歴データ!$A$449=""),"",G450-G449)</f>
        <v>-4.3641785888671336</v>
      </c>
      <c r="Q450" s="29">
        <f>IF(OR(履歴データ!$A$450="",履歴データ!$A$449=""),"",H450-H449)</f>
        <v>0.4770050048828125</v>
      </c>
      <c r="R450" s="29">
        <f>IF(OR(履歴データ!$A$450="",履歴データ!$A$449=""),"",I450-I449)</f>
        <v>9.375E-2</v>
      </c>
      <c r="S450" s="28">
        <f>IF(OR(履歴データ!$A$450="",履歴データ!$A$449=""),"",(J450-J449)*100)</f>
        <v>-1.0000000000000675</v>
      </c>
      <c r="T450" s="11">
        <f>IF(OR(履歴データ!$A$450="",履歴データ!$A$449=""),"",-80000*K450)</f>
        <v>-79999.999999991196</v>
      </c>
      <c r="U450" s="11">
        <f>IF(OR(履歴データ!$A$450="",履歴データ!$A$449=""),"",60000*L450)</f>
        <v>-90000.000000000218</v>
      </c>
      <c r="V450" s="11">
        <f>IF(OR(履歴データ!$A$450="",履歴データ!$A$449=""),"",-50000*M450)</f>
        <v>-44999.99999999602</v>
      </c>
      <c r="W450" s="11">
        <f>IF(OR(履歴データ!$A$450="",履歴データ!$A$449=""),"",-40000*N450)</f>
        <v>-39999.999999997439</v>
      </c>
      <c r="X450" s="11">
        <f>IF(OR(履歴データ!$A$450="",履歴データ!$A$449=""),"",120*1000000*(-Q450/H449))</f>
        <v>-383910.02596160694</v>
      </c>
      <c r="Y450" s="11">
        <f>IF(OR(履歴データ!$A$450="",履歴データ!$A$449=""),"",40000*(-S450)+(-506.3)*R450*1000)</f>
        <v>-7465.6249999973006</v>
      </c>
      <c r="Z450" s="11">
        <f>IF(OR(履歴データ!$A$450="",履歴データ!$A$449=""),"",-40000*O450)</f>
        <v>-53200.000000001637</v>
      </c>
      <c r="AA450" s="11">
        <f>IF(OR(履歴データ!$A$450="",履歴データ!$A$449=""),"",-40000*P450)</f>
        <v>174567.14355468535</v>
      </c>
      <c r="AB450" s="11">
        <f>IF(履歴データ!$A$450="","",123.3)</f>
        <v>123.3</v>
      </c>
      <c r="AC450">
        <f>IF(履歴データ!$A$450="","",SUM(T450:AA450))</f>
        <v>-525008.50740690553</v>
      </c>
      <c r="AD450" s="29">
        <f>IF(履歴データ!$A$450="","",AC450/1000000)</f>
        <v>-0.52500850740690552</v>
      </c>
      <c r="AE450" s="29">
        <f>IF(履歴データ!$A$450="",AE449,AE449+AC450/1000000)</f>
        <v>77.531537712642674</v>
      </c>
      <c r="AF450" s="12">
        <f>IF(OR(履歴データ!$A$450="",AE449=0),"",(AE450-AE449)/AE449)</f>
        <v>-6.7260022743877894E-3</v>
      </c>
      <c r="AG450" s="29">
        <f t="shared" si="20"/>
        <v>102.17217746631495</v>
      </c>
      <c r="AH450" s="12">
        <f>IF(OR(履歴データ!$A$450="",AG450=0),"",AE450/AG450-1)</f>
        <v>-0.24116780482432243</v>
      </c>
      <c r="AJ450" s="28">
        <f t="shared" ref="AJ450:AJ513" ca="1" si="21">IF(ROW()-1&lt;2,"",IFERROR(AVERAGE(OFFSET($B$1,MAX(1,ROW()-252),0,MIN(252,ROW()-1),1))+2*STDEV(OFFSET($B$1,MAX(1,ROW()-252),0,MIN(252,ROW()-1),1)),""))</f>
        <v>-10.898212440528875</v>
      </c>
      <c r="AK450" s="28">
        <f t="shared" ref="AK450:AK513" ca="1" si="22">IF(ROW()-1&lt;2,"",IFERROR(AVERAGE(OFFSET($B$1,MAX(1,ROW()-252),0,MIN(252,ROW()-1),1))-2*STDEV(OFFSET($B$1,MAX(1,ROW()-252),0,MIN(252,ROW()-1),1)),""))</f>
        <v>-34.482739940423507</v>
      </c>
    </row>
    <row r="451" spans="1:37">
      <c r="A451" s="10">
        <f>IF(履歴データ!$A$451="","",履歴データ!$A$451)</f>
        <v>45582</v>
      </c>
      <c r="B451" s="28">
        <f>IF(履歴データ!$A$451="","",(履歴データ!$D$451-(履歴データ!$B$451+履歴データ!$F$451)/2)*100)</f>
        <v>-8.4999999999999964</v>
      </c>
      <c r="C451" s="28">
        <f>IF(履歴データ!$A$451="","",(履歴データ!$H$451-(履歴データ!$G$451+履歴データ!$J$451)/2)*100)</f>
        <v>-31.500000000000007</v>
      </c>
      <c r="D451" s="28">
        <f>IF(履歴データ!$A$451="","",(履歴データ!$D$451-履歴データ!$H$451)*100)</f>
        <v>312.29999999999995</v>
      </c>
      <c r="E451" s="28">
        <f>IF(履歴データ!$A$451="","",(履歴データ!$D$451-履歴データ!$C$451)*100)</f>
        <v>18.999999999999993</v>
      </c>
      <c r="F451" s="28">
        <f>IF(履歴データ!$A$451="","",(履歴データ!$R$451-履歴データ!$D$451)*100)</f>
        <v>-242.50999999999996</v>
      </c>
      <c r="G451" s="28">
        <f>IF(履歴データ!$A$451="","",(履歴データ!$S$451-履歴データ!$R$451)*100)</f>
        <v>-71.897357177734449</v>
      </c>
      <c r="H451" s="29">
        <f>IF(履歴データ!$A$451="","",履歴データ!$O$451)</f>
        <v>150.10000610351563</v>
      </c>
      <c r="I451" s="29">
        <f>IF(履歴データ!$A$451="","",履歴データ!$Q$451)</f>
        <v>112.046875</v>
      </c>
      <c r="J451" s="29">
        <f>IF(履歴データ!$A$451="","",履歴データ!$D$451)</f>
        <v>4.09</v>
      </c>
      <c r="K451" s="28">
        <f>IF(OR(履歴データ!$A$451="",履歴データ!$A$450=""),"",B451-B450)</f>
        <v>1.0000000000000675</v>
      </c>
      <c r="L451" s="28">
        <f>IF(OR(履歴データ!$A$451="",履歴データ!$A$450=""),"",C451-C450)</f>
        <v>1.2999999999999901</v>
      </c>
      <c r="M451" s="28">
        <f>IF(OR(履歴データ!$A$451="",履歴データ!$A$450=""),"",D451-D450)</f>
        <v>6</v>
      </c>
      <c r="N451" s="28">
        <f>IF(OR(履歴データ!$A$451="",履歴データ!$A$450=""),"",E451-E450)</f>
        <v>1.0000000000000213</v>
      </c>
      <c r="O451" s="28">
        <f>IF(OR(履歴データ!$A$451="",履歴データ!$A$450=""),"",F451-F450)</f>
        <v>-17.039999999999992</v>
      </c>
      <c r="P451" s="28">
        <f>IF(OR(履歴データ!$A$451="",履歴データ!$A$450=""),"",G451-G450)</f>
        <v>13.021821411132834</v>
      </c>
      <c r="Q451" s="29">
        <f>IF(OR(履歴データ!$A$451="",履歴データ!$A$450=""),"",H451-H450)</f>
        <v>0.5240020751953125</v>
      </c>
      <c r="R451" s="29">
        <f>IF(OR(履歴データ!$A$451="",履歴データ!$A$450=""),"",I451-I450)</f>
        <v>-0.484375</v>
      </c>
      <c r="S451" s="28">
        <f>IF(OR(履歴データ!$A$451="",履歴データ!$A$450=""),"",(J451-J450)*100)</f>
        <v>7.0000000000000284</v>
      </c>
      <c r="T451" s="11">
        <f>IF(OR(履歴データ!$A$451="",履歴データ!$A$450=""),"",-80000*K451)</f>
        <v>-80000.000000005399</v>
      </c>
      <c r="U451" s="11">
        <f>IF(OR(履歴データ!$A$451="",履歴データ!$A$450=""),"",60000*L451)</f>
        <v>77999.999999999403</v>
      </c>
      <c r="V451" s="11">
        <f>IF(OR(履歴データ!$A$451="",履歴データ!$A$450=""),"",-50000*M451)</f>
        <v>-300000</v>
      </c>
      <c r="W451" s="11">
        <f>IF(OR(履歴データ!$A$451="",履歴データ!$A$450=""),"",-40000*N451)</f>
        <v>-40000.000000000851</v>
      </c>
      <c r="X451" s="11">
        <f>IF(OR(履歴データ!$A$451="",履歴データ!$A$450=""),"",120*1000000*(-Q451/H450))</f>
        <v>-420389.95112833689</v>
      </c>
      <c r="Y451" s="11">
        <f>IF(OR(履歴データ!$A$451="",履歴データ!$A$450=""),"",40000*(-S451)+(-506.3)*R451*1000)</f>
        <v>-34760.937500001135</v>
      </c>
      <c r="Z451" s="11">
        <f>IF(OR(履歴データ!$A$451="",履歴データ!$A$450=""),"",-40000*O451)</f>
        <v>681599.99999999965</v>
      </c>
      <c r="AA451" s="11">
        <f>IF(OR(履歴データ!$A$451="",履歴データ!$A$450=""),"",-40000*P451)</f>
        <v>-520872.85644531337</v>
      </c>
      <c r="AB451" s="11">
        <f>IF(履歴データ!$A$451="","",123.3)</f>
        <v>123.3</v>
      </c>
      <c r="AC451">
        <f>IF(履歴データ!$A$451="","",SUM(T451:AA451))</f>
        <v>-636423.74507365865</v>
      </c>
      <c r="AD451" s="29">
        <f>IF(履歴データ!$A$451="","",AC451/1000000)</f>
        <v>-0.63642374507365862</v>
      </c>
      <c r="AE451" s="29">
        <f>IF(履歴データ!$A$451="",AE450,AE450+AC451/1000000)</f>
        <v>76.895113967569017</v>
      </c>
      <c r="AF451" s="12">
        <f>IF(OR(履歴データ!$A$451="",AE450=0),"",(AE451-AE450)/AE450)</f>
        <v>-8.2085789067211853E-3</v>
      </c>
      <c r="AG451" s="29">
        <f t="shared" ref="AG451:AG514" si="23">MAX(AG450,AE451)</f>
        <v>102.17217746631495</v>
      </c>
      <c r="AH451" s="12">
        <f>IF(OR(履歴データ!$A$451="",AG451=0),"",AE451/AG451-1)</f>
        <v>-0.24739673877538237</v>
      </c>
      <c r="AJ451" s="28">
        <f t="shared" ca="1" si="21"/>
        <v>-10.70283039753226</v>
      </c>
      <c r="AK451" s="28">
        <f t="shared" ca="1" si="22"/>
        <v>-34.531296586594721</v>
      </c>
    </row>
    <row r="452" spans="1:37">
      <c r="A452" s="10">
        <f>IF(履歴データ!$A$452="","",履歴データ!$A$452)</f>
        <v>45583</v>
      </c>
      <c r="B452" s="28">
        <f>IF(履歴データ!$A$452="","",(履歴データ!$D$452-(履歴データ!$B$452+履歴データ!$F$452)/2)*100)</f>
        <v>-8.4999999999999964</v>
      </c>
      <c r="C452" s="28">
        <f>IF(履歴データ!$A$452="","",(履歴データ!$H$452-(履歴データ!$G$452+履歴データ!$J$452)/2)*100)</f>
        <v>-31.65</v>
      </c>
      <c r="D452" s="28">
        <f>IF(履歴データ!$A$452="","",(履歴データ!$D$452-履歴データ!$H$452)*100)</f>
        <v>310.8</v>
      </c>
      <c r="E452" s="28">
        <f>IF(履歴データ!$A$452="","",(履歴データ!$D$452-履歴データ!$C$452)*100)</f>
        <v>20.000000000000018</v>
      </c>
      <c r="F452" s="28">
        <f>IF(履歴データ!$A$452="","",(履歴データ!$R$452-履歴データ!$D$452)*100)</f>
        <v>-235.23000000000002</v>
      </c>
      <c r="G452" s="28">
        <f>IF(履歴データ!$A$452="","",(履歴データ!$S$452-履歴データ!$R$452)*100)</f>
        <v>-78.002000000000166</v>
      </c>
      <c r="H452" s="29">
        <f>IF(履歴データ!$A$452="","",履歴データ!$O$452)</f>
        <v>150.10000610351563</v>
      </c>
      <c r="I452" s="29">
        <f>IF(履歴データ!$A$452="","",履歴データ!$Q$452)</f>
        <v>112.21875</v>
      </c>
      <c r="J452" s="29">
        <f>IF(履歴データ!$A$452="","",履歴データ!$D$452)</f>
        <v>4.08</v>
      </c>
      <c r="K452" s="28">
        <f>IF(OR(履歴データ!$A$452="",履歴データ!$A$451=""),"",B452-B451)</f>
        <v>0</v>
      </c>
      <c r="L452" s="28">
        <f>IF(OR(履歴データ!$A$452="",履歴データ!$A$451=""),"",C452-C451)</f>
        <v>-0.14999999999999147</v>
      </c>
      <c r="M452" s="28">
        <f>IF(OR(履歴データ!$A$452="",履歴データ!$A$451=""),"",D452-D451)</f>
        <v>-1.4999999999999432</v>
      </c>
      <c r="N452" s="28">
        <f>IF(OR(履歴データ!$A$452="",履歴データ!$A$451=""),"",E452-E451)</f>
        <v>1.0000000000000249</v>
      </c>
      <c r="O452" s="28">
        <f>IF(OR(履歴データ!$A$452="",履歴データ!$A$451=""),"",F452-F451)</f>
        <v>7.2799999999999443</v>
      </c>
      <c r="P452" s="28">
        <f>IF(OR(履歴データ!$A$452="",履歴データ!$A$451=""),"",G452-G451)</f>
        <v>-6.104642822265717</v>
      </c>
      <c r="Q452" s="29">
        <f>IF(OR(履歴データ!$A$452="",履歴データ!$A$451=""),"",H452-H451)</f>
        <v>0</v>
      </c>
      <c r="R452" s="29">
        <f>IF(OR(履歴データ!$A$452="",履歴データ!$A$451=""),"",I452-I451)</f>
        <v>0.171875</v>
      </c>
      <c r="S452" s="28">
        <f>IF(OR(履歴データ!$A$452="",履歴データ!$A$451=""),"",(J452-J451)*100)</f>
        <v>-0.99999999999997868</v>
      </c>
      <c r="T452" s="11">
        <f>IF(OR(履歴データ!$A$452="",履歴データ!$A$451=""),"",-80000*K452)</f>
        <v>0</v>
      </c>
      <c r="U452" s="11">
        <f>IF(OR(履歴データ!$A$452="",履歴データ!$A$451=""),"",60000*L452)</f>
        <v>-8999.9999999994889</v>
      </c>
      <c r="V452" s="11">
        <f>IF(OR(履歴データ!$A$452="",履歴データ!$A$451=""),"",-50000*M452)</f>
        <v>74999.999999997162</v>
      </c>
      <c r="W452" s="11">
        <f>IF(OR(履歴データ!$A$452="",履歴データ!$A$451=""),"",-40000*N452)</f>
        <v>-40000.000000000997</v>
      </c>
      <c r="X452" s="11">
        <f>IF(OR(履歴データ!$A$452="",履歴データ!$A$451=""),"",120*1000000*(-Q452/H451))</f>
        <v>0</v>
      </c>
      <c r="Y452" s="11">
        <f>IF(OR(履歴データ!$A$452="",履歴データ!$A$451=""),"",40000*(-S452)+(-506.3)*R452*1000)</f>
        <v>-47020.312500000851</v>
      </c>
      <c r="Z452" s="11">
        <f>IF(OR(履歴データ!$A$452="",履歴データ!$A$451=""),"",-40000*O452)</f>
        <v>-291199.99999999779</v>
      </c>
      <c r="AA452" s="11">
        <f>IF(OR(履歴データ!$A$452="",履歴データ!$A$451=""),"",-40000*P452)</f>
        <v>244185.71289062867</v>
      </c>
      <c r="AB452" s="11">
        <f>IF(履歴データ!$A$452="","",123.3)</f>
        <v>123.3</v>
      </c>
      <c r="AC452">
        <f>IF(履歴データ!$A$452="","",SUM(T452:AA452))</f>
        <v>-68034.599609373312</v>
      </c>
      <c r="AD452" s="29">
        <f>IF(履歴データ!$A$452="","",AC452/1000000)</f>
        <v>-6.8034599609373317E-2</v>
      </c>
      <c r="AE452" s="29">
        <f>IF(履歴データ!$A$452="",AE451,AE451+AC452/1000000)</f>
        <v>76.827079367959641</v>
      </c>
      <c r="AF452" s="12">
        <f>IF(OR(履歴データ!$A$452="",AE451=0),"",(AE452-AE451)/AE451)</f>
        <v>-8.8477142563401763E-4</v>
      </c>
      <c r="AG452" s="29">
        <f t="shared" si="23"/>
        <v>102.17217746631495</v>
      </c>
      <c r="AH452" s="12">
        <f>IF(OR(履歴データ!$A$452="",AG452=0),"",AE452/AG452-1)</f>
        <v>-0.24806262063575291</v>
      </c>
      <c r="AJ452" s="28">
        <f t="shared" ca="1" si="21"/>
        <v>-10.51186586317198</v>
      </c>
      <c r="AK452" s="28">
        <f t="shared" ca="1" si="22"/>
        <v>-34.603213501907391</v>
      </c>
    </row>
    <row r="453" spans="1:37">
      <c r="A453" s="10">
        <f>IF(履歴データ!$A$453="","",履歴データ!$A$453)</f>
        <v>45586</v>
      </c>
      <c r="B453" s="28">
        <f>IF(履歴データ!$A$453="","",(履歴データ!$D$453-(履歴データ!$B$453+履歴データ!$F$453)/2)*100)</f>
        <v>-6.4999999999999503</v>
      </c>
      <c r="C453" s="28">
        <f>IF(履歴データ!$A$453="","",(履歴データ!$H$453-(履歴データ!$G$453+履歴データ!$J$453)/2)*100)</f>
        <v>-33.15</v>
      </c>
      <c r="D453" s="28">
        <f>IF(履歴データ!$A$453="","",(履歴データ!$D$453-履歴データ!$H$453)*100)</f>
        <v>322.70000000000005</v>
      </c>
      <c r="E453" s="28">
        <f>IF(履歴データ!$A$453="","",(履歴データ!$D$453-履歴データ!$C$453)*100)</f>
        <v>21.000000000000043</v>
      </c>
      <c r="F453" s="28">
        <f>IF(履歴データ!$A$453="","",(履歴データ!$R$453-履歴データ!$D$453)*100)</f>
        <v>-249.05000000000004</v>
      </c>
      <c r="G453" s="28">
        <f>IF(履歴データ!$A$453="","",(履歴データ!$S$453-履歴データ!$R$453)*100)</f>
        <v>-77.286821411132991</v>
      </c>
      <c r="H453" s="29">
        <f>IF(履歴データ!$A$453="","",履歴データ!$O$453)</f>
        <v>150.60499572753906</v>
      </c>
      <c r="I453" s="29">
        <f>IF(履歴データ!$A$453="","",履歴データ!$Q$453)</f>
        <v>111.515625</v>
      </c>
      <c r="J453" s="29">
        <f>IF(履歴データ!$A$453="","",履歴データ!$D$453)</f>
        <v>4.1900000000000004</v>
      </c>
      <c r="K453" s="28">
        <f>IF(OR(履歴データ!$A$453="",履歴データ!$A$452=""),"",B453-B452)</f>
        <v>2.0000000000000462</v>
      </c>
      <c r="L453" s="28">
        <f>IF(OR(履歴データ!$A$453="",履歴データ!$A$452=""),"",C453-C452)</f>
        <v>-1.5</v>
      </c>
      <c r="M453" s="28">
        <f>IF(OR(履歴データ!$A$453="",履歴データ!$A$452=""),"",D453-D452)</f>
        <v>11.900000000000034</v>
      </c>
      <c r="N453" s="28">
        <f>IF(OR(履歴データ!$A$453="",履歴データ!$A$452=""),"",E453-E452)</f>
        <v>1.0000000000000249</v>
      </c>
      <c r="O453" s="28">
        <f>IF(OR(履歴データ!$A$453="",履歴データ!$A$452=""),"",F453-F452)</f>
        <v>-13.820000000000022</v>
      </c>
      <c r="P453" s="28">
        <f>IF(OR(履歴データ!$A$453="",履歴データ!$A$452=""),"",G453-G452)</f>
        <v>0.71517858886717534</v>
      </c>
      <c r="Q453" s="29">
        <f>IF(OR(履歴データ!$A$453="",履歴データ!$A$452=""),"",H453-H452)</f>
        <v>0.5049896240234375</v>
      </c>
      <c r="R453" s="29">
        <f>IF(OR(履歴データ!$A$453="",履歴データ!$A$452=""),"",I453-I452)</f>
        <v>-0.703125</v>
      </c>
      <c r="S453" s="28">
        <f>IF(OR(履歴データ!$A$453="",履歴データ!$A$452=""),"",(J453-J452)*100)</f>
        <v>11.000000000000032</v>
      </c>
      <c r="T453" s="11">
        <f>IF(OR(履歴データ!$A$453="",履歴データ!$A$452=""),"",-80000*K453)</f>
        <v>-160000.0000000037</v>
      </c>
      <c r="U453" s="11">
        <f>IF(OR(履歴データ!$A$453="",履歴データ!$A$452=""),"",60000*L453)</f>
        <v>-90000</v>
      </c>
      <c r="V453" s="11">
        <f>IF(OR(履歴データ!$A$453="",履歴データ!$A$452=""),"",-50000*M453)</f>
        <v>-595000.00000000175</v>
      </c>
      <c r="W453" s="11">
        <f>IF(OR(履歴データ!$A$453="",履歴データ!$A$452=""),"",-40000*N453)</f>
        <v>-40000.000000000997</v>
      </c>
      <c r="X453" s="11">
        <f>IF(OR(履歴データ!$A$453="",履歴データ!$A$452=""),"",120*1000000*(-Q453/H452))</f>
        <v>-403722.53443494806</v>
      </c>
      <c r="Y453" s="11">
        <f>IF(OR(履歴データ!$A$453="",履歴データ!$A$452=""),"",40000*(-S453)+(-506.3)*R453*1000)</f>
        <v>-84007.812500001281</v>
      </c>
      <c r="Z453" s="11">
        <f>IF(OR(履歴データ!$A$453="",履歴データ!$A$452=""),"",-40000*O453)</f>
        <v>552800.00000000081</v>
      </c>
      <c r="AA453" s="11">
        <f>IF(OR(履歴データ!$A$453="",履歴データ!$A$452=""),"",-40000*P453)</f>
        <v>-28607.143554687013</v>
      </c>
      <c r="AB453" s="11">
        <f>IF(履歴データ!$A$453="","",123.3)</f>
        <v>123.3</v>
      </c>
      <c r="AC453">
        <f>IF(履歴データ!$A$453="","",SUM(T453:AA453))</f>
        <v>-848537.49048964225</v>
      </c>
      <c r="AD453" s="29">
        <f>IF(履歴データ!$A$453="","",AC453/1000000)</f>
        <v>-0.84853749048964222</v>
      </c>
      <c r="AE453" s="29">
        <f>IF(履歴データ!$A$453="",AE452,AE452+AC453/1000000)</f>
        <v>75.978541877469993</v>
      </c>
      <c r="AF453" s="12">
        <f>IF(OR(履歴データ!$A$453="",AE452=0),"",(AE453-AE452)/AE452)</f>
        <v>-1.1044770899406673E-2</v>
      </c>
      <c r="AG453" s="29">
        <f t="shared" si="23"/>
        <v>102.17217746631495</v>
      </c>
      <c r="AH453" s="12">
        <f>IF(OR(履歴データ!$A$453="",AG453=0),"",AE453/AG453-1)</f>
        <v>-0.25636759672153131</v>
      </c>
      <c r="AJ453" s="28">
        <f t="shared" ca="1" si="21"/>
        <v>-10.305992589587836</v>
      </c>
      <c r="AK453" s="28">
        <f t="shared" ca="1" si="22"/>
        <v>-34.713848680253435</v>
      </c>
    </row>
    <row r="454" spans="1:37">
      <c r="A454" s="10">
        <f>IF(履歴データ!$A$454="","",履歴データ!$A$454)</f>
        <v>45587</v>
      </c>
      <c r="B454" s="28">
        <f>IF(履歴データ!$A$454="","",(履歴データ!$D$454-(履歴データ!$B$454+履歴データ!$F$454)/2)*100)</f>
        <v>-5.9999999999999609</v>
      </c>
      <c r="C454" s="28">
        <f>IF(履歴データ!$A$454="","",(履歴データ!$H$454-(履歴データ!$G$454+履歴データ!$J$454)/2)*100)</f>
        <v>-33.800000000000018</v>
      </c>
      <c r="D454" s="28">
        <f>IF(履歴データ!$A$454="","",(履歴データ!$D$454-履歴データ!$H$454)*100)</f>
        <v>321.7</v>
      </c>
      <c r="E454" s="28">
        <f>IF(履歴データ!$A$454="","",(履歴データ!$D$454-履歴データ!$C$454)*100)</f>
        <v>20.000000000000018</v>
      </c>
      <c r="F454" s="28">
        <f>IF(履歴データ!$A$454="","",(履歴データ!$R$454-履歴データ!$D$454)*100)</f>
        <v>-240.99000000000004</v>
      </c>
      <c r="G454" s="28">
        <f>IF(履歴データ!$A$454="","",(履歴データ!$S$454-履歴データ!$R$454)*100)</f>
        <v>-82.663357177734582</v>
      </c>
      <c r="H454" s="29">
        <f>IF(履歴データ!$A$454="","",履歴データ!$O$454)</f>
        <v>151.13800048828125</v>
      </c>
      <c r="I454" s="29">
        <f>IF(履歴データ!$A$454="","",履歴データ!$Q$454)</f>
        <v>111.34375</v>
      </c>
      <c r="J454" s="29">
        <f>IF(履歴データ!$A$454="","",履歴データ!$D$454)</f>
        <v>4.2</v>
      </c>
      <c r="K454" s="28">
        <f>IF(OR(履歴データ!$A$454="",履歴データ!$A$453=""),"",B454-B453)</f>
        <v>0.49999999999998934</v>
      </c>
      <c r="L454" s="28">
        <f>IF(OR(履歴データ!$A$454="",履歴データ!$A$453=""),"",C454-C453)</f>
        <v>-0.6500000000000199</v>
      </c>
      <c r="M454" s="28">
        <f>IF(OR(履歴データ!$A$454="",履歴データ!$A$453=""),"",D454-D453)</f>
        <v>-1.0000000000000568</v>
      </c>
      <c r="N454" s="28">
        <f>IF(OR(履歴データ!$A$454="",履歴データ!$A$453=""),"",E454-E453)</f>
        <v>-1.0000000000000249</v>
      </c>
      <c r="O454" s="28">
        <f>IF(OR(履歴データ!$A$454="",履歴データ!$A$453=""),"",F454-F453)</f>
        <v>8.0600000000000023</v>
      </c>
      <c r="P454" s="28">
        <f>IF(OR(履歴データ!$A$454="",履歴データ!$A$453=""),"",G454-G453)</f>
        <v>-5.3765357666015916</v>
      </c>
      <c r="Q454" s="29">
        <f>IF(OR(履歴データ!$A$454="",履歴データ!$A$453=""),"",H454-H453)</f>
        <v>0.5330047607421875</v>
      </c>
      <c r="R454" s="29">
        <f>IF(OR(履歴データ!$A$454="",履歴データ!$A$453=""),"",I454-I453)</f>
        <v>-0.171875</v>
      </c>
      <c r="S454" s="28">
        <f>IF(OR(履歴データ!$A$454="",履歴データ!$A$453=""),"",(J454-J453)*100)</f>
        <v>0.99999999999997868</v>
      </c>
      <c r="T454" s="11">
        <f>IF(OR(履歴データ!$A$454="",履歴データ!$A$453=""),"",-80000*K454)</f>
        <v>-39999.999999999149</v>
      </c>
      <c r="U454" s="11">
        <f>IF(OR(履歴データ!$A$454="",履歴データ!$A$453=""),"",60000*L454)</f>
        <v>-39000.000000001193</v>
      </c>
      <c r="V454" s="11">
        <f>IF(OR(履歴データ!$A$454="",履歴データ!$A$453=""),"",-50000*M454)</f>
        <v>50000.000000002845</v>
      </c>
      <c r="W454" s="11">
        <f>IF(OR(履歴データ!$A$454="",履歴データ!$A$453=""),"",-40000*N454)</f>
        <v>40000.000000000997</v>
      </c>
      <c r="X454" s="11">
        <f>IF(OR(履歴データ!$A$454="",履歴データ!$A$453=""),"",120*1000000*(-Q454/H453))</f>
        <v>-424690.90072399843</v>
      </c>
      <c r="Y454" s="11">
        <f>IF(OR(履歴データ!$A$454="",履歴データ!$A$453=""),"",40000*(-S454)+(-506.3)*R454*1000)</f>
        <v>47020.312500000851</v>
      </c>
      <c r="Z454" s="11">
        <f>IF(OR(履歴データ!$A$454="",履歴データ!$A$453=""),"",-40000*O454)</f>
        <v>-322400.00000000012</v>
      </c>
      <c r="AA454" s="11">
        <f>IF(OR(履歴データ!$A$454="",履歴データ!$A$453=""),"",-40000*P454)</f>
        <v>215061.43066406366</v>
      </c>
      <c r="AB454" s="11">
        <f>IF(履歴データ!$A$454="","",123.3)</f>
        <v>123.3</v>
      </c>
      <c r="AC454">
        <f>IF(履歴データ!$A$454="","",SUM(T454:AA454))</f>
        <v>-474009.15755993058</v>
      </c>
      <c r="AD454" s="29">
        <f>IF(履歴データ!$A$454="","",AC454/1000000)</f>
        <v>-0.47400915755993056</v>
      </c>
      <c r="AE454" s="29">
        <f>IF(履歴データ!$A$454="",AE453,AE453+AC454/1000000)</f>
        <v>75.50453271991006</v>
      </c>
      <c r="AF454" s="12">
        <f>IF(OR(履歴データ!$A$454="",AE453=0),"",(AE454-AE453)/AE453)</f>
        <v>-6.2387240640175033E-3</v>
      </c>
      <c r="AG454" s="29">
        <f t="shared" si="23"/>
        <v>102.17217746631495</v>
      </c>
      <c r="AH454" s="12">
        <f>IF(OR(履歴データ!$A$454="",AG454=0),"",AE454/AG454-1)</f>
        <v>-0.2610069140906478</v>
      </c>
      <c r="AJ454" s="28">
        <f t="shared" ca="1" si="21"/>
        <v>-10.137118247216895</v>
      </c>
      <c r="AK454" s="28">
        <f t="shared" ca="1" si="22"/>
        <v>-34.815262705164052</v>
      </c>
    </row>
    <row r="455" spans="1:37">
      <c r="A455" s="10">
        <f>IF(履歴データ!$A$455="","",履歴データ!$A$455)</f>
        <v>45588</v>
      </c>
      <c r="B455" s="28">
        <f>IF(履歴データ!$A$455="","",(履歴データ!$D$455-(履歴データ!$B$455+履歴データ!$F$455)/2)*100)</f>
        <v>-4.9999999999999822</v>
      </c>
      <c r="C455" s="28">
        <f>IF(履歴データ!$A$455="","",(履歴データ!$H$455-(履歴データ!$G$455+履歴データ!$J$455)/2)*100)</f>
        <v>-33.550000000000004</v>
      </c>
      <c r="D455" s="28">
        <f>IF(履歴データ!$A$455="","",(履歴データ!$D$455-履歴データ!$H$455)*100)</f>
        <v>325.7</v>
      </c>
      <c r="E455" s="28">
        <f>IF(履歴データ!$A$455="","",(履歴データ!$D$455-履歴データ!$C$455)*100)</f>
        <v>19.000000000000039</v>
      </c>
      <c r="F455" s="28">
        <f>IF(履歴データ!$A$455="","",(履歴データ!$R$455-履歴データ!$D$455)*100)</f>
        <v>-239.04000000000005</v>
      </c>
      <c r="G455" s="28">
        <f>IF(履歴データ!$A$455="","",(履歴データ!$S$455-履歴データ!$R$455)*100)</f>
        <v>-87.736357177734561</v>
      </c>
      <c r="H455" s="29">
        <f>IF(履歴データ!$A$455="","",履歴データ!$O$455)</f>
        <v>152.76899719238281</v>
      </c>
      <c r="I455" s="29">
        <f>IF(履歴データ!$A$455="","",履歴データ!$Q$455)</f>
        <v>111.03125</v>
      </c>
      <c r="J455" s="29">
        <f>IF(履歴データ!$A$455="","",履歴データ!$D$455)</f>
        <v>4.24</v>
      </c>
      <c r="K455" s="28">
        <f>IF(OR(履歴データ!$A$455="",履歴データ!$A$454=""),"",B455-B454)</f>
        <v>0.99999999999997868</v>
      </c>
      <c r="L455" s="28">
        <f>IF(OR(履歴データ!$A$455="",履歴データ!$A$454=""),"",C455-C454)</f>
        <v>0.25000000000001421</v>
      </c>
      <c r="M455" s="28">
        <f>IF(OR(履歴データ!$A$455="",履歴データ!$A$454=""),"",D455-D454)</f>
        <v>4</v>
      </c>
      <c r="N455" s="28">
        <f>IF(OR(履歴データ!$A$455="",履歴データ!$A$454=""),"",E455-E454)</f>
        <v>-0.99999999999997868</v>
      </c>
      <c r="O455" s="28">
        <f>IF(OR(履歴データ!$A$455="",履歴データ!$A$454=""),"",F455-F454)</f>
        <v>1.9499999999999886</v>
      </c>
      <c r="P455" s="28">
        <f>IF(OR(履歴データ!$A$455="",履歴データ!$A$454=""),"",G455-G454)</f>
        <v>-5.0729999999999791</v>
      </c>
      <c r="Q455" s="29">
        <f>IF(OR(履歴データ!$A$455="",履歴データ!$A$454=""),"",H455-H454)</f>
        <v>1.6309967041015625</v>
      </c>
      <c r="R455" s="29">
        <f>IF(OR(履歴データ!$A$455="",履歴データ!$A$454=""),"",I455-I454)</f>
        <v>-0.3125</v>
      </c>
      <c r="S455" s="28">
        <f>IF(OR(履歴データ!$A$455="",履歴データ!$A$454=""),"",(J455-J454)*100)</f>
        <v>4.0000000000000036</v>
      </c>
      <c r="T455" s="11">
        <f>IF(OR(履歴データ!$A$455="",履歴データ!$A$454=""),"",-80000*K455)</f>
        <v>-79999.999999998297</v>
      </c>
      <c r="U455" s="11">
        <f>IF(OR(履歴データ!$A$455="",履歴データ!$A$454=""),"",60000*L455)</f>
        <v>15000.000000000853</v>
      </c>
      <c r="V455" s="11">
        <f>IF(OR(履歴データ!$A$455="",履歴データ!$A$454=""),"",-50000*M455)</f>
        <v>-200000</v>
      </c>
      <c r="W455" s="11">
        <f>IF(OR(履歴データ!$A$455="",履歴データ!$A$454=""),"",-40000*N455)</f>
        <v>39999.999999999149</v>
      </c>
      <c r="X455" s="11">
        <f>IF(OR(履歴データ!$A$455="",履歴データ!$A$454=""),"",120*1000000*(-Q455/H454))</f>
        <v>-1294972.8318482218</v>
      </c>
      <c r="Y455" s="11">
        <f>IF(OR(履歴データ!$A$455="",履歴データ!$A$454=""),"",40000*(-S455)+(-506.3)*R455*1000)</f>
        <v>-1781.2500000001455</v>
      </c>
      <c r="Z455" s="11">
        <f>IF(OR(履歴データ!$A$455="",履歴データ!$A$454=""),"",-40000*O455)</f>
        <v>-77999.999999999549</v>
      </c>
      <c r="AA455" s="11">
        <f>IF(OR(履歴データ!$A$455="",履歴データ!$A$454=""),"",-40000*P455)</f>
        <v>202919.99999999916</v>
      </c>
      <c r="AB455" s="11">
        <f>IF(履歴データ!$A$455="","",123.3)</f>
        <v>123.3</v>
      </c>
      <c r="AC455">
        <f>IF(履歴データ!$A$455="","",SUM(T455:AA455))</f>
        <v>-1396834.0818482209</v>
      </c>
      <c r="AD455" s="29">
        <f>IF(履歴データ!$A$455="","",AC455/1000000)</f>
        <v>-1.396834081848221</v>
      </c>
      <c r="AE455" s="29">
        <f>IF(履歴データ!$A$455="",AE454,AE454+AC455/1000000)</f>
        <v>74.107698638061834</v>
      </c>
      <c r="AF455" s="12">
        <f>IF(OR(履歴データ!$A$455="",AE454=0),"",(AE455-AE454)/AE454)</f>
        <v>-1.8500003000215773E-2</v>
      </c>
      <c r="AG455" s="29">
        <f t="shared" si="23"/>
        <v>102.17217746631495</v>
      </c>
      <c r="AH455" s="12">
        <f>IF(OR(履歴データ!$A$455="",AG455=0),"",AE455/AG455-1)</f>
        <v>-0.2746782883971095</v>
      </c>
      <c r="AJ455" s="28">
        <f t="shared" ca="1" si="21"/>
        <v>-9.937593799140128</v>
      </c>
      <c r="AK455" s="28">
        <f t="shared" ca="1" si="22"/>
        <v>-34.935422073875742</v>
      </c>
    </row>
    <row r="456" spans="1:37">
      <c r="A456" s="10">
        <f>IF(履歴データ!$A$456="","",履歴データ!$A$456)</f>
        <v>45589</v>
      </c>
      <c r="B456" s="28">
        <f>IF(履歴データ!$A$456="","",(履歴データ!$D$456-(履歴データ!$B$456+履歴データ!$F$456)/2)*100)</f>
        <v>-5.9999999999999609</v>
      </c>
      <c r="C456" s="28">
        <f>IF(履歴データ!$A$456="","",(履歴データ!$H$456-(履歴データ!$G$456+履歴データ!$J$456)/2)*100)</f>
        <v>-35.25</v>
      </c>
      <c r="D456" s="28">
        <f>IF(履歴データ!$A$456="","",(履歴データ!$D$456-履歴データ!$H$456)*100)</f>
        <v>324.60000000000002</v>
      </c>
      <c r="E456" s="28">
        <f>IF(履歴データ!$A$456="","",(履歴データ!$D$456-履歴データ!$C$456)*100)</f>
        <v>17.999999999999972</v>
      </c>
      <c r="F456" s="28">
        <f>IF(履歴データ!$A$456="","",(履歴データ!$R$456-履歴データ!$D$456)*100)</f>
        <v>-237.88</v>
      </c>
      <c r="G456" s="28">
        <f>IF(履歴データ!$A$456="","",(履歴データ!$S$456-履歴データ!$R$456)*100)</f>
        <v>-89.404357177734454</v>
      </c>
      <c r="H456" s="29">
        <f>IF(履歴データ!$A$456="","",履歴データ!$O$456)</f>
        <v>151.78300476074219</v>
      </c>
      <c r="I456" s="29">
        <f>IF(履歴データ!$A$456="","",履歴データ!$Q$456)</f>
        <v>111.28125</v>
      </c>
      <c r="J456" s="29">
        <f>IF(履歴データ!$A$456="","",履歴データ!$D$456)</f>
        <v>4.21</v>
      </c>
      <c r="K456" s="28">
        <f>IF(OR(履歴データ!$A$456="",履歴データ!$A$455=""),"",B456-B455)</f>
        <v>-0.99999999999997868</v>
      </c>
      <c r="L456" s="28">
        <f>IF(OR(履歴データ!$A$456="",履歴データ!$A$455=""),"",C456-C455)</f>
        <v>-1.6999999999999957</v>
      </c>
      <c r="M456" s="28">
        <f>IF(OR(履歴データ!$A$456="",履歴データ!$A$455=""),"",D456-D455)</f>
        <v>-1.0999999999999659</v>
      </c>
      <c r="N456" s="28">
        <f>IF(OR(履歴データ!$A$456="",履歴データ!$A$455=""),"",E456-E455)</f>
        <v>-1.0000000000000675</v>
      </c>
      <c r="O456" s="28">
        <f>IF(OR(履歴データ!$A$456="",履歴データ!$A$455=""),"",F456-F455)</f>
        <v>1.1600000000000534</v>
      </c>
      <c r="P456" s="28">
        <f>IF(OR(履歴データ!$A$456="",履歴データ!$A$455=""),"",G456-G455)</f>
        <v>-1.6679999999998927</v>
      </c>
      <c r="Q456" s="29">
        <f>IF(OR(履歴データ!$A$456="",履歴データ!$A$455=""),"",H456-H455)</f>
        <v>-0.985992431640625</v>
      </c>
      <c r="R456" s="29">
        <f>IF(OR(履歴データ!$A$456="",履歴データ!$A$455=""),"",I456-I455)</f>
        <v>0.25</v>
      </c>
      <c r="S456" s="28">
        <f>IF(OR(履歴データ!$A$456="",履歴データ!$A$455=""),"",(J456-J455)*100)</f>
        <v>-3.0000000000000249</v>
      </c>
      <c r="T456" s="11">
        <f>IF(OR(履歴データ!$A$456="",履歴データ!$A$455=""),"",-80000*K456)</f>
        <v>79999.999999998297</v>
      </c>
      <c r="U456" s="11">
        <f>IF(OR(履歴データ!$A$456="",履歴データ!$A$455=""),"",60000*L456)</f>
        <v>-101999.99999999974</v>
      </c>
      <c r="V456" s="11">
        <f>IF(OR(履歴データ!$A$456="",履歴データ!$A$455=""),"",-50000*M456)</f>
        <v>54999.999999998297</v>
      </c>
      <c r="W456" s="11">
        <f>IF(OR(履歴データ!$A$456="",履歴データ!$A$455=""),"",-40000*N456)</f>
        <v>40000.000000002699</v>
      </c>
      <c r="X456" s="11">
        <f>IF(OR(履歴データ!$A$456="",履歴データ!$A$455=""),"",120*1000000*(-Q456/H455))</f>
        <v>774496.74980765337</v>
      </c>
      <c r="Y456" s="11">
        <f>IF(OR(履歴データ!$A$456="",履歴データ!$A$455=""),"",40000*(-S456)+(-506.3)*R456*1000)</f>
        <v>-6574.9999999990105</v>
      </c>
      <c r="Z456" s="11">
        <f>IF(OR(履歴データ!$A$456="",履歴データ!$A$455=""),"",-40000*O456)</f>
        <v>-46400.000000002139</v>
      </c>
      <c r="AA456" s="11">
        <f>IF(OR(履歴データ!$A$456="",履歴データ!$A$455=""),"",-40000*P456)</f>
        <v>66719.999999995707</v>
      </c>
      <c r="AB456" s="11">
        <f>IF(履歴データ!$A$456="","",123.3)</f>
        <v>123.3</v>
      </c>
      <c r="AC456">
        <f>IF(履歴データ!$A$456="","",SUM(T456:AA456))</f>
        <v>861241.74980764755</v>
      </c>
      <c r="AD456" s="29">
        <f>IF(履歴データ!$A$456="","",AC456/1000000)</f>
        <v>0.86124174980764756</v>
      </c>
      <c r="AE456" s="29">
        <f>IF(履歴データ!$A$456="",AE455,AE455+AC456/1000000)</f>
        <v>74.96894038786948</v>
      </c>
      <c r="AF456" s="12">
        <f>IF(OR(履歴データ!$A$456="",AE455=0),"",(AE456-AE455)/AE455)</f>
        <v>1.1621488261481535E-2</v>
      </c>
      <c r="AG456" s="29">
        <f t="shared" si="23"/>
        <v>102.17217746631495</v>
      </c>
      <c r="AH456" s="12">
        <f>IF(OR(履歴データ!$A$456="",AG456=0),"",AE456/AG456-1)</f>
        <v>-0.26624897063991881</v>
      </c>
      <c r="AJ456" s="28">
        <f t="shared" ca="1" si="21"/>
        <v>-9.7417893531078903</v>
      </c>
      <c r="AK456" s="28">
        <f t="shared" ca="1" si="22"/>
        <v>-35.043924932606394</v>
      </c>
    </row>
    <row r="457" spans="1:37">
      <c r="A457" s="10">
        <f>IF(履歴データ!$A$457="","",履歴データ!$A$457)</f>
        <v>45590</v>
      </c>
      <c r="B457" s="28">
        <f>IF(履歴データ!$A$457="","",(履歴データ!$D$457-(履歴データ!$B$457+履歴データ!$F$457)/2)*100)</f>
        <v>-6.0000000000000497</v>
      </c>
      <c r="C457" s="28">
        <f>IF(履歴データ!$A$457="","",(履歴データ!$H$457-(履歴データ!$G$457+履歴データ!$J$457)/2)*100)</f>
        <v>-34.899999999999984</v>
      </c>
      <c r="D457" s="28">
        <f>IF(履歴データ!$A$457="","",(履歴データ!$D$457-履歴データ!$H$457)*100)</f>
        <v>329.5</v>
      </c>
      <c r="E457" s="28">
        <f>IF(履歴データ!$A$457="","",(履歴データ!$D$457-履歴データ!$C$457)*100)</f>
        <v>17.999999999999972</v>
      </c>
      <c r="F457" s="28">
        <f>IF(履歴データ!$A$457="","",(履歴データ!$R$457-履歴データ!$D$457)*100)</f>
        <v>-248.58</v>
      </c>
      <c r="G457" s="28">
        <f>IF(履歴データ!$A$457="","",(履歴データ!$S$457-履歴データ!$R$457)*100)</f>
        <v>-80.950357177734418</v>
      </c>
      <c r="H457" s="29">
        <f>IF(履歴データ!$A$457="","",履歴データ!$O$457)</f>
        <v>151.78300476074219</v>
      </c>
      <c r="I457" s="29">
        <f>IF(履歴データ!$A$457="","",履歴データ!$Q$457)</f>
        <v>111.0625</v>
      </c>
      <c r="J457" s="29">
        <f>IF(履歴データ!$A$457="","",履歴データ!$D$457)</f>
        <v>4.25</v>
      </c>
      <c r="K457" s="28">
        <f>IF(OR(履歴データ!$A$457="",履歴データ!$A$456=""),"",B457-B456)</f>
        <v>-8.8817841970012523E-14</v>
      </c>
      <c r="L457" s="28">
        <f>IF(OR(履歴データ!$A$457="",履歴データ!$A$456=""),"",C457-C456)</f>
        <v>0.35000000000001563</v>
      </c>
      <c r="M457" s="28">
        <f>IF(OR(履歴データ!$A$457="",履歴データ!$A$456=""),"",D457-D456)</f>
        <v>4.8999999999999773</v>
      </c>
      <c r="N457" s="28">
        <f>IF(OR(履歴データ!$A$457="",履歴データ!$A$456=""),"",E457-E456)</f>
        <v>0</v>
      </c>
      <c r="O457" s="28">
        <f>IF(OR(履歴データ!$A$457="",履歴データ!$A$456=""),"",F457-F456)</f>
        <v>-10.700000000000017</v>
      </c>
      <c r="P457" s="28">
        <f>IF(OR(履歴データ!$A$457="",履歴データ!$A$456=""),"",G457-G456)</f>
        <v>8.4540000000000362</v>
      </c>
      <c r="Q457" s="29">
        <f>IF(OR(履歴データ!$A$457="",履歴データ!$A$456=""),"",H457-H456)</f>
        <v>0</v>
      </c>
      <c r="R457" s="29">
        <f>IF(OR(履歴データ!$A$457="",履歴データ!$A$456=""),"",I457-I456)</f>
        <v>-0.21875</v>
      </c>
      <c r="S457" s="28">
        <f>IF(OR(履歴データ!$A$457="",履歴データ!$A$456=""),"",(J457-J456)*100)</f>
        <v>4.0000000000000036</v>
      </c>
      <c r="T457" s="11">
        <f>IF(OR(履歴データ!$A$457="",履歴データ!$A$456=""),"",-80000*K457)</f>
        <v>7.1054273576010019E-9</v>
      </c>
      <c r="U457" s="11">
        <f>IF(OR(履歴データ!$A$457="",履歴データ!$A$456=""),"",60000*L457)</f>
        <v>21000.000000000939</v>
      </c>
      <c r="V457" s="11">
        <f>IF(OR(履歴データ!$A$457="",履歴データ!$A$456=""),"",-50000*M457)</f>
        <v>-244999.99999999886</v>
      </c>
      <c r="W457" s="11">
        <f>IF(OR(履歴データ!$A$457="",履歴データ!$A$456=""),"",-40000*N457)</f>
        <v>0</v>
      </c>
      <c r="X457" s="11">
        <f>IF(OR(履歴データ!$A$457="",履歴データ!$A$456=""),"",120*1000000*(-Q457/H456))</f>
        <v>0</v>
      </c>
      <c r="Y457" s="11">
        <f>IF(OR(履歴データ!$A$457="",履歴データ!$A$456=""),"",40000*(-S457)+(-506.3)*R457*1000)</f>
        <v>-49246.875000000146</v>
      </c>
      <c r="Z457" s="11">
        <f>IF(OR(履歴データ!$A$457="",履歴データ!$A$456=""),"",-40000*O457)</f>
        <v>428000.0000000007</v>
      </c>
      <c r="AA457" s="11">
        <f>IF(OR(履歴データ!$A$457="",履歴データ!$A$456=""),"",-40000*P457)</f>
        <v>-338160.00000000146</v>
      </c>
      <c r="AB457" s="11">
        <f>IF(履歴データ!$A$457="","",123.3)</f>
        <v>123.3</v>
      </c>
      <c r="AC457">
        <f>IF(履歴データ!$A$457="","",SUM(T457:AA457))</f>
        <v>-183406.87499999173</v>
      </c>
      <c r="AD457" s="29">
        <f>IF(履歴データ!$A$457="","",AC457/1000000)</f>
        <v>-0.18340687499999173</v>
      </c>
      <c r="AE457" s="29">
        <f>IF(履歴データ!$A$457="",AE456,AE456+AC457/1000000)</f>
        <v>74.785533512869492</v>
      </c>
      <c r="AF457" s="12">
        <f>IF(OR(履歴データ!$A$457="",AE456=0),"",(AE457-AE456)/AE456)</f>
        <v>-2.4464381389291347E-3</v>
      </c>
      <c r="AG457" s="29">
        <f t="shared" si="23"/>
        <v>102.17217746631495</v>
      </c>
      <c r="AH457" s="12">
        <f>IF(OR(履歴データ!$A$457="",AG457=0),"",AE457/AG457-1)</f>
        <v>-0.26804404714262386</v>
      </c>
      <c r="AJ457" s="28">
        <f t="shared" ca="1" si="21"/>
        <v>-9.5596456983833864</v>
      </c>
      <c r="AK457" s="28">
        <f t="shared" ca="1" si="22"/>
        <v>-35.146703507965825</v>
      </c>
    </row>
    <row r="458" spans="1:37">
      <c r="A458" s="10">
        <f>IF(履歴データ!$A$458="","",履歴データ!$A$458)</f>
        <v>45593</v>
      </c>
      <c r="B458" s="28">
        <f>IF(履歴データ!$A$458="","",(履歴データ!$D$458-(履歴データ!$B$458+履歴データ!$F$458)/2)*100)</f>
        <v>-4.4999999999999929</v>
      </c>
      <c r="C458" s="28">
        <f>IF(履歴データ!$A$458="","",(履歴データ!$H$458-(履歴データ!$G$458+履歴データ!$J$458)/2)*100)</f>
        <v>-34.75</v>
      </c>
      <c r="D458" s="28">
        <f>IF(履歴データ!$A$458="","",(履歴データ!$D$458-履歴データ!$H$458)*100)</f>
        <v>329.90000000000003</v>
      </c>
      <c r="E458" s="28">
        <f>IF(履歴データ!$A$458="","",(履歴データ!$D$458-履歴データ!$C$458)*100)</f>
        <v>16.999999999999993</v>
      </c>
      <c r="F458" s="28">
        <f>IF(履歴データ!$A$458="","",(履歴データ!$R$458-履歴データ!$D$458)*100)</f>
        <v>-247.31000000000006</v>
      </c>
      <c r="G458" s="28">
        <f>IF(履歴データ!$A$458="","",(履歴データ!$S$458-履歴データ!$R$458)*100)</f>
        <v>-85.571178588867383</v>
      </c>
      <c r="H458" s="29">
        <f>IF(履歴データ!$A$458="","",履歴データ!$O$458)</f>
        <v>152.95199584960938</v>
      </c>
      <c r="I458" s="29">
        <f>IF(履歴データ!$A$458="","",履歴データ!$Q$458)</f>
        <v>110.703125</v>
      </c>
      <c r="J458" s="29">
        <f>IF(履歴データ!$A$458="","",履歴データ!$D$458)</f>
        <v>4.28</v>
      </c>
      <c r="K458" s="28">
        <f>IF(OR(履歴データ!$A$458="",履歴データ!$A$457=""),"",B458-B457)</f>
        <v>1.5000000000000568</v>
      </c>
      <c r="L458" s="28">
        <f>IF(OR(履歴データ!$A$458="",履歴データ!$A$457=""),"",C458-C457)</f>
        <v>0.14999999999998437</v>
      </c>
      <c r="M458" s="28">
        <f>IF(OR(履歴データ!$A$458="",履歴データ!$A$457=""),"",D458-D457)</f>
        <v>0.40000000000003411</v>
      </c>
      <c r="N458" s="28">
        <f>IF(OR(履歴データ!$A$458="",履歴データ!$A$457=""),"",E458-E457)</f>
        <v>-0.99999999999997868</v>
      </c>
      <c r="O458" s="28">
        <f>IF(OR(履歴データ!$A$458="",履歴データ!$A$457=""),"",F458-F457)</f>
        <v>1.2699999999999534</v>
      </c>
      <c r="P458" s="28">
        <f>IF(OR(履歴データ!$A$458="",履歴データ!$A$457=""),"",G458-G457)</f>
        <v>-4.6208214111329653</v>
      </c>
      <c r="Q458" s="29">
        <f>IF(OR(履歴データ!$A$458="",履歴データ!$A$457=""),"",H458-H457)</f>
        <v>1.1689910888671875</v>
      </c>
      <c r="R458" s="29">
        <f>IF(OR(履歴データ!$A$458="",履歴データ!$A$457=""),"",I458-I457)</f>
        <v>-0.359375</v>
      </c>
      <c r="S458" s="28">
        <f>IF(OR(履歴データ!$A$458="",履歴データ!$A$457=""),"",(J458-J457)*100)</f>
        <v>3.0000000000000249</v>
      </c>
      <c r="T458" s="11">
        <f>IF(OR(履歴データ!$A$458="",履歴データ!$A$457=""),"",-80000*K458)</f>
        <v>-120000.00000000454</v>
      </c>
      <c r="U458" s="11">
        <f>IF(OR(履歴データ!$A$458="",履歴データ!$A$457=""),"",60000*L458)</f>
        <v>8999.9999999990614</v>
      </c>
      <c r="V458" s="11">
        <f>IF(OR(履歴データ!$A$458="",履歴データ!$A$457=""),"",-50000*M458)</f>
        <v>-20000.000000001706</v>
      </c>
      <c r="W458" s="11">
        <f>IF(OR(履歴データ!$A$458="",履歴データ!$A$457=""),"",-40000*N458)</f>
        <v>39999.999999999149</v>
      </c>
      <c r="X458" s="11">
        <f>IF(OR(履歴データ!$A$458="",履歴データ!$A$457=""),"",120*1000000*(-Q458/H457))</f>
        <v>-924207.10003195854</v>
      </c>
      <c r="Y458" s="11">
        <f>IF(OR(履歴データ!$A$458="",履歴データ!$A$457=""),"",40000*(-S458)+(-506.3)*R458*1000)</f>
        <v>61951.56249999901</v>
      </c>
      <c r="Z458" s="11">
        <f>IF(OR(履歴データ!$A$458="",履歴データ!$A$457=""),"",-40000*O458)</f>
        <v>-50799.999999998137</v>
      </c>
      <c r="AA458" s="11">
        <f>IF(OR(履歴データ!$A$458="",履歴データ!$A$457=""),"",-40000*P458)</f>
        <v>184832.85644531861</v>
      </c>
      <c r="AB458" s="11">
        <f>IF(履歴データ!$A$458="","",123.3)</f>
        <v>123.3</v>
      </c>
      <c r="AC458">
        <f>IF(履歴データ!$A$458="","",SUM(T458:AA458))</f>
        <v>-819222.68108664709</v>
      </c>
      <c r="AD458" s="29">
        <f>IF(履歴データ!$A$458="","",AC458/1000000)</f>
        <v>-0.81922268108664709</v>
      </c>
      <c r="AE458" s="29">
        <f>IF(履歴データ!$A$458="",AE457,AE457+AC458/1000000)</f>
        <v>73.966310831782849</v>
      </c>
      <c r="AF458" s="12">
        <f>IF(OR(履歴データ!$A$458="",AE457=0),"",(AE458-AE457)/AE457)</f>
        <v>-1.0954293465669625E-2</v>
      </c>
      <c r="AG458" s="29">
        <f t="shared" si="23"/>
        <v>102.17217746631495</v>
      </c>
      <c r="AH458" s="12">
        <f>IF(OR(履歴データ!$A$458="",AG458=0),"",AE458/AG458-1)</f>
        <v>-0.27606210745416737</v>
      </c>
      <c r="AJ458" s="28">
        <f t="shared" ca="1" si="21"/>
        <v>-9.3752946491916838</v>
      </c>
      <c r="AK458" s="28">
        <f t="shared" ca="1" si="22"/>
        <v>-35.259625985728945</v>
      </c>
    </row>
    <row r="459" spans="1:37">
      <c r="A459" s="10">
        <f>IF(履歴データ!$A$459="","",履歴データ!$A$459)</f>
        <v>45594</v>
      </c>
      <c r="B459" s="28">
        <f>IF(履歴データ!$A$459="","",(履歴データ!$D$459-(履歴データ!$B$459+履歴データ!$F$459)/2)*100)</f>
        <v>-3.4999999999999254</v>
      </c>
      <c r="C459" s="28">
        <f>IF(履歴データ!$A$459="","",(履歴データ!$H$459-(履歴データ!$G$459+履歴データ!$J$459)/2)*100)</f>
        <v>-33.950000000000003</v>
      </c>
      <c r="D459" s="28">
        <f>IF(履歴データ!$A$459="","",(履歴データ!$D$459-履歴データ!$H$459)*100)</f>
        <v>329.90000000000003</v>
      </c>
      <c r="E459" s="28">
        <f>IF(履歴データ!$A$459="","",(履歴データ!$D$459-履歴データ!$C$459)*100)</f>
        <v>16.999999999999993</v>
      </c>
      <c r="F459" s="28">
        <f>IF(履歴データ!$A$459="","",(履歴データ!$R$459-履歴データ!$D$459)*100)</f>
        <v>-248.60000000000002</v>
      </c>
      <c r="G459" s="28">
        <f>IF(履歴データ!$A$459="","",(履歴データ!$S$459-履歴データ!$R$459)*100)</f>
        <v>-83.755000000000152</v>
      </c>
      <c r="H459" s="29">
        <f>IF(履歴データ!$A$459="","",履歴データ!$O$459)</f>
        <v>153.17900085449219</v>
      </c>
      <c r="I459" s="29">
        <f>IF(履歴データ!$A$459="","",履歴データ!$Q$459)</f>
        <v>110.75</v>
      </c>
      <c r="J459" s="29">
        <f>IF(履歴データ!$A$459="","",履歴データ!$D$459)</f>
        <v>4.28</v>
      </c>
      <c r="K459" s="28">
        <f>IF(OR(履歴データ!$A$459="",履歴データ!$A$458=""),"",B459-B458)</f>
        <v>1.0000000000000675</v>
      </c>
      <c r="L459" s="28">
        <f>IF(OR(履歴データ!$A$459="",履歴データ!$A$458=""),"",C459-C458)</f>
        <v>0.79999999999999716</v>
      </c>
      <c r="M459" s="28">
        <f>IF(OR(履歴データ!$A$459="",履歴データ!$A$458=""),"",D459-D458)</f>
        <v>0</v>
      </c>
      <c r="N459" s="28">
        <f>IF(OR(履歴データ!$A$459="",履歴データ!$A$458=""),"",E459-E458)</f>
        <v>0</v>
      </c>
      <c r="O459" s="28">
        <f>IF(OR(履歴データ!$A$459="",履歴データ!$A$458=""),"",F459-F458)</f>
        <v>-1.2899999999999636</v>
      </c>
      <c r="P459" s="28">
        <f>IF(OR(履歴データ!$A$459="",履歴データ!$A$458=""),"",G459-G458)</f>
        <v>1.8161785888672313</v>
      </c>
      <c r="Q459" s="29">
        <f>IF(OR(履歴データ!$A$459="",履歴データ!$A$458=""),"",H459-H458)</f>
        <v>0.2270050048828125</v>
      </c>
      <c r="R459" s="29">
        <f>IF(OR(履歴データ!$A$459="",履歴データ!$A$458=""),"",I459-I458)</f>
        <v>4.6875E-2</v>
      </c>
      <c r="S459" s="28">
        <f>IF(OR(履歴データ!$A$459="",履歴データ!$A$458=""),"",(J459-J458)*100)</f>
        <v>0</v>
      </c>
      <c r="T459" s="11">
        <f>IF(OR(履歴データ!$A$459="",履歴データ!$A$458=""),"",-80000*K459)</f>
        <v>-80000.000000005399</v>
      </c>
      <c r="U459" s="11">
        <f>IF(OR(履歴データ!$A$459="",履歴データ!$A$458=""),"",60000*L459)</f>
        <v>47999.999999999833</v>
      </c>
      <c r="V459" s="11">
        <f>IF(OR(履歴データ!$A$459="",履歴データ!$A$458=""),"",-50000*M459)</f>
        <v>0</v>
      </c>
      <c r="W459" s="11">
        <f>IF(OR(履歴データ!$A$459="",履歴データ!$A$458=""),"",-40000*N459)</f>
        <v>0</v>
      </c>
      <c r="X459" s="11">
        <f>IF(OR(履歴データ!$A$459="",履歴データ!$A$458=""),"",120*1000000*(-Q459/H458))</f>
        <v>-178099.02011819396</v>
      </c>
      <c r="Y459" s="11">
        <f>IF(OR(履歴データ!$A$459="",履歴データ!$A$458=""),"",40000*(-S459)+(-506.3)*R459*1000)</f>
        <v>-23732.8125</v>
      </c>
      <c r="Z459" s="11">
        <f>IF(OR(履歴データ!$A$459="",履歴データ!$A$458=""),"",-40000*O459)</f>
        <v>51599.999999998545</v>
      </c>
      <c r="AA459" s="11">
        <f>IF(OR(履歴データ!$A$459="",履歴データ!$A$458=""),"",-40000*P459)</f>
        <v>-72647.143554689246</v>
      </c>
      <c r="AB459" s="11">
        <f>IF(履歴データ!$A$459="","",123.3)</f>
        <v>123.3</v>
      </c>
      <c r="AC459">
        <f>IF(履歴データ!$A$459="","",SUM(T459:AA459))</f>
        <v>-254878.97617289022</v>
      </c>
      <c r="AD459" s="29">
        <f>IF(履歴データ!$A$459="","",AC459/1000000)</f>
        <v>-0.25487897617289024</v>
      </c>
      <c r="AE459" s="29">
        <f>IF(履歴データ!$A$459="",AE458,AE458+AC459/1000000)</f>
        <v>73.711431855609959</v>
      </c>
      <c r="AF459" s="12">
        <f>IF(OR(履歴データ!$A$459="",AE458=0),"",(AE459-AE458)/AE458)</f>
        <v>-3.4458792564705004E-3</v>
      </c>
      <c r="AG459" s="29">
        <f t="shared" si="23"/>
        <v>102.17217746631495</v>
      </c>
      <c r="AH459" s="12">
        <f>IF(OR(履歴データ!$A$459="",AG459=0),"",AE459/AG459-1)</f>
        <v>-0.27855671002106408</v>
      </c>
      <c r="AJ459" s="28">
        <f t="shared" ca="1" si="21"/>
        <v>-9.1399958277547206</v>
      </c>
      <c r="AK459" s="28">
        <f t="shared" ca="1" si="22"/>
        <v>-35.399686711927814</v>
      </c>
    </row>
    <row r="460" spans="1:37">
      <c r="A460" s="10">
        <f>IF(履歴データ!$A$460="","",履歴データ!$A$460)</f>
        <v>45595</v>
      </c>
      <c r="B460" s="28">
        <f>IF(履歴データ!$A$460="","",(履歴データ!$D$460-(履歴データ!$B$460+履歴データ!$F$460)/2)*100)</f>
        <v>-3.0000000000000249</v>
      </c>
      <c r="C460" s="28">
        <f>IF(履歴データ!$A$460="","",(履歴データ!$H$460-(履歴データ!$G$460+履歴データ!$J$460)/2)*100)</f>
        <v>-36.100000000000009</v>
      </c>
      <c r="D460" s="28">
        <f>IF(履歴データ!$A$460="","",(履歴データ!$D$460-履歴データ!$H$460)*100)</f>
        <v>332.90000000000003</v>
      </c>
      <c r="E460" s="28">
        <f>IF(履歴データ!$A$460="","",(履歴データ!$D$460-履歴データ!$C$460)*100)</f>
        <v>15.000000000000036</v>
      </c>
      <c r="F460" s="28">
        <f>IF(履歴データ!$A$460="","",(履歴データ!$R$460-履歴データ!$D$460)*100)</f>
        <v>-239.36</v>
      </c>
      <c r="G460" s="28">
        <f>IF(履歴データ!$A$460="","",(履歴データ!$S$460-履歴データ!$R$460)*100)</f>
        <v>-94.872000000000185</v>
      </c>
      <c r="H460" s="29">
        <f>IF(履歴データ!$A$460="","",履歴データ!$O$460)</f>
        <v>153.27400207519531</v>
      </c>
      <c r="I460" s="29">
        <f>IF(履歴データ!$A$460="","",履歴データ!$Q$460)</f>
        <v>110.703125</v>
      </c>
      <c r="J460" s="29">
        <f>IF(履歴データ!$A$460="","",履歴データ!$D$460)</f>
        <v>4.29</v>
      </c>
      <c r="K460" s="28">
        <f>IF(OR(履歴データ!$A$460="",履歴データ!$A$459=""),"",B460-B459)</f>
        <v>0.49999999999990052</v>
      </c>
      <c r="L460" s="28">
        <f>IF(OR(履歴データ!$A$460="",履歴データ!$A$459=""),"",C460-C459)</f>
        <v>-2.1500000000000057</v>
      </c>
      <c r="M460" s="28">
        <f>IF(OR(履歴データ!$A$460="",履歴データ!$A$459=""),"",D460-D459)</f>
        <v>3</v>
      </c>
      <c r="N460" s="28">
        <f>IF(OR(履歴データ!$A$460="",履歴データ!$A$459=""),"",E460-E459)</f>
        <v>-1.9999999999999574</v>
      </c>
      <c r="O460" s="28">
        <f>IF(OR(履歴データ!$A$460="",履歴データ!$A$459=""),"",F460-F459)</f>
        <v>9.2400000000000091</v>
      </c>
      <c r="P460" s="28">
        <f>IF(OR(履歴データ!$A$460="",履歴データ!$A$459=""),"",G460-G459)</f>
        <v>-11.117000000000033</v>
      </c>
      <c r="Q460" s="29">
        <f>IF(OR(履歴データ!$A$460="",履歴データ!$A$459=""),"",H460-H459)</f>
        <v>9.5001220703125E-2</v>
      </c>
      <c r="R460" s="29">
        <f>IF(OR(履歴データ!$A$460="",履歴データ!$A$459=""),"",I460-I459)</f>
        <v>-4.6875E-2</v>
      </c>
      <c r="S460" s="28">
        <f>IF(OR(履歴データ!$A$460="",履歴データ!$A$459=""),"",(J460-J459)*100)</f>
        <v>0.99999999999997868</v>
      </c>
      <c r="T460" s="11">
        <f>IF(OR(履歴データ!$A$460="",履歴データ!$A$459=""),"",-80000*K460)</f>
        <v>-39999.99999999204</v>
      </c>
      <c r="U460" s="11">
        <f>IF(OR(履歴データ!$A$460="",履歴データ!$A$459=""),"",60000*L460)</f>
        <v>-129000.00000000033</v>
      </c>
      <c r="V460" s="11">
        <f>IF(OR(履歴データ!$A$460="",履歴データ!$A$459=""),"",-50000*M460)</f>
        <v>-150000</v>
      </c>
      <c r="W460" s="11">
        <f>IF(OR(履歴データ!$A$460="",履歴データ!$A$459=""),"",-40000*N460)</f>
        <v>79999.999999998297</v>
      </c>
      <c r="X460" s="11">
        <f>IF(OR(履歴データ!$A$460="",履歴データ!$A$459=""),"",120*1000000*(-Q460/H459))</f>
        <v>-74423.690067049247</v>
      </c>
      <c r="Y460" s="11">
        <f>IF(OR(履歴データ!$A$460="",履歴データ!$A$459=""),"",40000*(-S460)+(-506.3)*R460*1000)</f>
        <v>-16267.187499999149</v>
      </c>
      <c r="Z460" s="11">
        <f>IF(OR(履歴データ!$A$460="",履歴データ!$A$459=""),"",-40000*O460)</f>
        <v>-369600.00000000035</v>
      </c>
      <c r="AA460" s="11">
        <f>IF(OR(履歴データ!$A$460="",履歴データ!$A$459=""),"",-40000*P460)</f>
        <v>444680.00000000134</v>
      </c>
      <c r="AB460" s="11">
        <f>IF(履歴データ!$A$460="","",123.3)</f>
        <v>123.3</v>
      </c>
      <c r="AC460">
        <f>IF(履歴データ!$A$460="","",SUM(T460:AA460))</f>
        <v>-254610.87756704149</v>
      </c>
      <c r="AD460" s="29">
        <f>IF(履歴データ!$A$460="","",AC460/1000000)</f>
        <v>-0.25461087756704148</v>
      </c>
      <c r="AE460" s="29">
        <f>IF(履歴データ!$A$460="",AE459,AE459+AC460/1000000)</f>
        <v>73.456820978042913</v>
      </c>
      <c r="AF460" s="12">
        <f>IF(OR(履歴データ!$A$460="",AE459=0),"",(AE460-AE459)/AE459)</f>
        <v>-3.4541572610581228E-3</v>
      </c>
      <c r="AG460" s="29">
        <f t="shared" si="23"/>
        <v>102.17217746631495</v>
      </c>
      <c r="AH460" s="12">
        <f>IF(OR(履歴データ!$A$460="",AG460=0),"",AE460/AG460-1)</f>
        <v>-0.28104868859958643</v>
      </c>
      <c r="AJ460" s="28">
        <f t="shared" ca="1" si="21"/>
        <v>-8.878040538028193</v>
      </c>
      <c r="AK460" s="28">
        <f t="shared" ca="1" si="22"/>
        <v>-35.550530890543236</v>
      </c>
    </row>
    <row r="461" spans="1:37">
      <c r="A461" s="10">
        <f>IF(履歴データ!$A$461="","",履歴データ!$A$461)</f>
        <v>45596</v>
      </c>
      <c r="B461" s="28">
        <f>IF(履歴データ!$A$461="","",(履歴データ!$D$461-(履歴データ!$B$461+履歴データ!$F$461)/2)*100)</f>
        <v>-3.4999999999999254</v>
      </c>
      <c r="C461" s="28">
        <f>IF(履歴データ!$A$461="","",(履歴データ!$H$461-(履歴データ!$G$461+履歴データ!$J$461)/2)*100)</f>
        <v>-36.450000000000017</v>
      </c>
      <c r="D461" s="28">
        <f>IF(履歴データ!$A$461="","",(履歴データ!$D$461-履歴データ!$H$461)*100)</f>
        <v>333.3</v>
      </c>
      <c r="E461" s="28">
        <f>IF(履歴データ!$A$461="","",(履歴データ!$D$461-履歴データ!$C$461)*100)</f>
        <v>12.999999999999989</v>
      </c>
      <c r="F461" s="28">
        <f>IF(履歴データ!$A$461="","",(履歴データ!$R$461-履歴データ!$D$461)*100)</f>
        <v>-240.17</v>
      </c>
      <c r="G461" s="28">
        <f>IF(履歴データ!$A$461="","",(履歴データ!$S$461-履歴データ!$R$461)*100)</f>
        <v>-92.185000000000159</v>
      </c>
      <c r="H461" s="29">
        <f>IF(履歴データ!$A$461="","",履歴データ!$O$461)</f>
        <v>153.20399475097656</v>
      </c>
      <c r="I461" s="29">
        <f>IF(履歴データ!$A$461="","",履歴データ!$Q$461)</f>
        <v>110.46875</v>
      </c>
      <c r="J461" s="29">
        <f>IF(履歴データ!$A$461="","",履歴データ!$D$461)</f>
        <v>4.28</v>
      </c>
      <c r="K461" s="28">
        <f>IF(OR(履歴データ!$A$461="",履歴データ!$A$460=""),"",B461-B460)</f>
        <v>-0.49999999999990052</v>
      </c>
      <c r="L461" s="28">
        <f>IF(OR(履歴データ!$A$461="",履歴データ!$A$460=""),"",C461-C460)</f>
        <v>-0.35000000000000853</v>
      </c>
      <c r="M461" s="28">
        <f>IF(OR(履歴データ!$A$461="",履歴データ!$A$460=""),"",D461-D460)</f>
        <v>0.39999999999997726</v>
      </c>
      <c r="N461" s="28">
        <f>IF(OR(履歴データ!$A$461="",履歴データ!$A$460=""),"",E461-E460)</f>
        <v>-2.0000000000000462</v>
      </c>
      <c r="O461" s="28">
        <f>IF(OR(履歴データ!$A$461="",履歴データ!$A$460=""),"",F461-F460)</f>
        <v>-0.80999999999997385</v>
      </c>
      <c r="P461" s="28">
        <f>IF(OR(履歴データ!$A$461="",履歴データ!$A$460=""),"",G461-G460)</f>
        <v>2.687000000000026</v>
      </c>
      <c r="Q461" s="29">
        <f>IF(OR(履歴データ!$A$461="",履歴データ!$A$460=""),"",H461-H460)</f>
        <v>-7.000732421875E-2</v>
      </c>
      <c r="R461" s="29">
        <f>IF(OR(履歴データ!$A$461="",履歴データ!$A$460=""),"",I461-I460)</f>
        <v>-0.234375</v>
      </c>
      <c r="S461" s="28">
        <f>IF(OR(履歴データ!$A$461="",履歴データ!$A$460=""),"",(J461-J460)*100)</f>
        <v>-0.99999999999997868</v>
      </c>
      <c r="T461" s="11">
        <f>IF(OR(履歴データ!$A$461="",履歴データ!$A$460=""),"",-80000*K461)</f>
        <v>39999.99999999204</v>
      </c>
      <c r="U461" s="11">
        <f>IF(OR(履歴データ!$A$461="",履歴データ!$A$460=""),"",60000*L461)</f>
        <v>-21000.000000000513</v>
      </c>
      <c r="V461" s="11">
        <f>IF(OR(履歴データ!$A$461="",履歴データ!$A$460=""),"",-50000*M461)</f>
        <v>-19999.999999998865</v>
      </c>
      <c r="W461" s="11">
        <f>IF(OR(履歴データ!$A$461="",履歴データ!$A$460=""),"",-40000*N461)</f>
        <v>80000.000000001848</v>
      </c>
      <c r="X461" s="11">
        <f>IF(OR(履歴データ!$A$461="",履歴データ!$A$460=""),"",120*1000000*(-Q461/H460))</f>
        <v>54809.548863535121</v>
      </c>
      <c r="Y461" s="11">
        <f>IF(OR(履歴データ!$A$461="",履歴データ!$A$460=""),"",40000*(-S461)+(-506.3)*R461*1000)</f>
        <v>158664.06249999916</v>
      </c>
      <c r="Z461" s="11">
        <f>IF(OR(履歴データ!$A$461="",履歴データ!$A$460=""),"",-40000*O461)</f>
        <v>32399.999999998952</v>
      </c>
      <c r="AA461" s="11">
        <f>IF(OR(履歴データ!$A$461="",履歴データ!$A$460=""),"",-40000*P461)</f>
        <v>-107480.00000000105</v>
      </c>
      <c r="AB461" s="11">
        <f>IF(履歴データ!$A$461="","",123.3)</f>
        <v>123.3</v>
      </c>
      <c r="AC461">
        <f>IF(履歴データ!$A$461="","",SUM(T461:AA461))</f>
        <v>217393.61136352667</v>
      </c>
      <c r="AD461" s="29">
        <f>IF(履歴データ!$A$461="","",AC461/1000000)</f>
        <v>0.21739361136352667</v>
      </c>
      <c r="AE461" s="29">
        <f>IF(履歴データ!$A$461="",AE460,AE460+AC461/1000000)</f>
        <v>73.674214589406446</v>
      </c>
      <c r="AF461" s="12">
        <f>IF(OR(履歴データ!$A$461="",AE460=0),"",(AE461-AE460)/AE460)</f>
        <v>2.9594748107669264E-3</v>
      </c>
      <c r="AG461" s="29">
        <f t="shared" si="23"/>
        <v>102.17217746631495</v>
      </c>
      <c r="AH461" s="12">
        <f>IF(OR(履歴データ!$A$461="",AG461=0),"",AE461/AG461-1)</f>
        <v>-0.27892097030332907</v>
      </c>
      <c r="AJ461" s="28">
        <f t="shared" ca="1" si="21"/>
        <v>-8.6496713146435891</v>
      </c>
      <c r="AK461" s="28">
        <f t="shared" ca="1" si="22"/>
        <v>-35.683662018689745</v>
      </c>
    </row>
    <row r="462" spans="1:37">
      <c r="A462" s="10">
        <f>IF(履歴データ!$A$462="","",履歴データ!$A$462)</f>
        <v>45597</v>
      </c>
      <c r="B462" s="28">
        <f>IF(履歴データ!$A$462="","",(履歴データ!$D$462-(履歴データ!$B$462+履歴データ!$F$462)/2)*100)</f>
        <v>-2.0000000000000462</v>
      </c>
      <c r="C462" s="28">
        <f>IF(履歴データ!$A$462="","",(履歴データ!$H$462-(履歴データ!$G$462+履歴データ!$J$462)/2)*100)</f>
        <v>-37.5</v>
      </c>
      <c r="D462" s="28">
        <f>IF(履歴データ!$A$462="","",(履歴データ!$D$462-履歴データ!$H$462)*100)</f>
        <v>341.8</v>
      </c>
      <c r="E462" s="28">
        <f>IF(履歴データ!$A$462="","",(履歴データ!$D$462-履歴データ!$C$462)*100)</f>
        <v>15.000000000000036</v>
      </c>
      <c r="F462" s="28">
        <f>IF(履歴データ!$A$462="","",(履歴データ!$R$462-履歴データ!$D$462)*100)</f>
        <v>-260.29000000000002</v>
      </c>
      <c r="G462" s="28">
        <f>IF(履歴データ!$A$462="","",(履歴データ!$S$462-履歴データ!$R$462)*100)</f>
        <v>-84.923821411132991</v>
      </c>
      <c r="H462" s="29">
        <f>IF(履歴データ!$A$462="","",履歴データ!$O$462)</f>
        <v>151.97999572753906</v>
      </c>
      <c r="I462" s="29">
        <f>IF(履歴データ!$A$462="","",履歴データ!$Q$462)</f>
        <v>110.03125</v>
      </c>
      <c r="J462" s="29">
        <f>IF(履歴データ!$A$462="","",履歴データ!$D$462)</f>
        <v>4.37</v>
      </c>
      <c r="K462" s="28">
        <f>IF(OR(履歴データ!$A$462="",履歴データ!$A$461=""),"",B462-B461)</f>
        <v>1.4999999999998792</v>
      </c>
      <c r="L462" s="28">
        <f>IF(OR(履歴データ!$A$462="",履歴データ!$A$461=""),"",C462-C461)</f>
        <v>-1.0499999999999829</v>
      </c>
      <c r="M462" s="28">
        <f>IF(OR(履歴データ!$A$462="",履歴データ!$A$461=""),"",D462-D461)</f>
        <v>8.5</v>
      </c>
      <c r="N462" s="28">
        <f>IF(OR(履歴データ!$A$462="",履歴データ!$A$461=""),"",E462-E461)</f>
        <v>2.0000000000000462</v>
      </c>
      <c r="O462" s="28">
        <f>IF(OR(履歴データ!$A$462="",履歴データ!$A$461=""),"",F462-F461)</f>
        <v>-20.120000000000033</v>
      </c>
      <c r="P462" s="28">
        <f>IF(OR(履歴データ!$A$462="",履歴データ!$A$461=""),"",G462-G461)</f>
        <v>7.2611785888671676</v>
      </c>
      <c r="Q462" s="29">
        <f>IF(OR(履歴データ!$A$462="",履歴データ!$A$461=""),"",H462-H461)</f>
        <v>-1.2239990234375</v>
      </c>
      <c r="R462" s="29">
        <f>IF(OR(履歴データ!$A$462="",履歴データ!$A$461=""),"",I462-I461)</f>
        <v>-0.4375</v>
      </c>
      <c r="S462" s="28">
        <f>IF(OR(履歴データ!$A$462="",履歴データ!$A$461=""),"",(J462-J461)*100)</f>
        <v>8.9999999999999858</v>
      </c>
      <c r="T462" s="11">
        <f>IF(OR(履歴データ!$A$462="",履歴データ!$A$461=""),"",-80000*K462)</f>
        <v>-119999.99999999034</v>
      </c>
      <c r="U462" s="11">
        <f>IF(OR(履歴データ!$A$462="",履歴データ!$A$461=""),"",60000*L462)</f>
        <v>-62999.999999998974</v>
      </c>
      <c r="V462" s="11">
        <f>IF(OR(履歴データ!$A$462="",履歴データ!$A$461=""),"",-50000*M462)</f>
        <v>-425000</v>
      </c>
      <c r="W462" s="11">
        <f>IF(OR(履歴データ!$A$462="",履歴データ!$A$461=""),"",-40000*N462)</f>
        <v>-80000.000000001848</v>
      </c>
      <c r="X462" s="11">
        <f>IF(OR(履歴データ!$A$462="",履歴データ!$A$461=""),"",120*1000000*(-Q462/H461))</f>
        <v>958720.97233002307</v>
      </c>
      <c r="Y462" s="11">
        <f>IF(OR(履歴データ!$A$462="",履歴データ!$A$461=""),"",40000*(-S462)+(-506.3)*R462*1000)</f>
        <v>-138493.74999999942</v>
      </c>
      <c r="Z462" s="11">
        <f>IF(OR(履歴データ!$A$462="",履歴データ!$A$461=""),"",-40000*O462)</f>
        <v>804800.00000000128</v>
      </c>
      <c r="AA462" s="11">
        <f>IF(OR(履歴データ!$A$462="",履歴データ!$A$461=""),"",-40000*P462)</f>
        <v>-290447.14355468669</v>
      </c>
      <c r="AB462" s="11">
        <f>IF(履歴データ!$A$462="","",123.3)</f>
        <v>123.3</v>
      </c>
      <c r="AC462">
        <f>IF(履歴データ!$A$462="","",SUM(T462:AA462))</f>
        <v>646580.07877534709</v>
      </c>
      <c r="AD462" s="29">
        <f>IF(履歴データ!$A$462="","",AC462/1000000)</f>
        <v>0.64658007877534707</v>
      </c>
      <c r="AE462" s="29">
        <f>IF(履歴データ!$A$462="",AE461,AE461+AC462/1000000)</f>
        <v>74.32079466818179</v>
      </c>
      <c r="AF462" s="12">
        <f>IF(OR(履歴データ!$A$462="",AE461=0),"",(AE462-AE461)/AE461)</f>
        <v>8.7762059273898928E-3</v>
      </c>
      <c r="AG462" s="29">
        <f t="shared" si="23"/>
        <v>102.17217746631495</v>
      </c>
      <c r="AH462" s="12">
        <f>IF(OR(履歴データ!$A$462="",AG462=0),"",AE462/AG462-1)</f>
        <v>-0.2725926322487886</v>
      </c>
      <c r="AJ462" s="28">
        <f t="shared" ca="1" si="21"/>
        <v>-8.363684999251122</v>
      </c>
      <c r="AK462" s="28">
        <f t="shared" ca="1" si="22"/>
        <v>-35.846632461066342</v>
      </c>
    </row>
    <row r="463" spans="1:37">
      <c r="A463" s="10">
        <f>IF(履歴データ!$A$463="","",履歴データ!$A$463)</f>
        <v>45600</v>
      </c>
      <c r="B463" s="28">
        <f>IF(履歴データ!$A$463="","",(履歴データ!$D$463-(履歴データ!$B$463+履歴データ!$F$463)/2)*100)</f>
        <v>-2.5000000000000355</v>
      </c>
      <c r="C463" s="28">
        <f>IF(履歴データ!$A$463="","",(履歴データ!$H$463-(履歴データ!$G$463+履歴データ!$J$463)/2)*100)</f>
        <v>-37.5</v>
      </c>
      <c r="D463" s="28">
        <f>IF(履歴データ!$A$463="","",(履歴データ!$D$463-履歴データ!$H$463)*100)</f>
        <v>335.79999999999995</v>
      </c>
      <c r="E463" s="28">
        <f>IF(履歴データ!$A$463="","",(履歴データ!$D$463-履歴データ!$C$463)*100)</f>
        <v>13.999999999999968</v>
      </c>
      <c r="F463" s="28">
        <f>IF(履歴データ!$A$463="","",(履歴データ!$R$463-履歴データ!$D$463)*100)</f>
        <v>-244.45999999999995</v>
      </c>
      <c r="G463" s="28">
        <f>IF(履歴データ!$A$463="","",(履歴データ!$S$463-履歴データ!$R$463)*100)</f>
        <v>-94.753821411133003</v>
      </c>
      <c r="H463" s="29">
        <f>IF(履歴データ!$A$463="","",履歴データ!$O$463)</f>
        <v>152.28700256347656</v>
      </c>
      <c r="I463" s="29">
        <f>IF(履歴データ!$A$463="","",履歴データ!$Q$463)</f>
        <v>110.359375</v>
      </c>
      <c r="J463" s="29">
        <f>IF(履歴データ!$A$463="","",履歴データ!$D$463)</f>
        <v>4.3099999999999996</v>
      </c>
      <c r="K463" s="28">
        <f>IF(OR(履歴データ!$A$463="",履歴データ!$A$462=""),"",B463-B462)</f>
        <v>-0.49999999999998934</v>
      </c>
      <c r="L463" s="28">
        <f>IF(OR(履歴データ!$A$463="",履歴データ!$A$462=""),"",C463-C462)</f>
        <v>0</v>
      </c>
      <c r="M463" s="28">
        <f>IF(OR(履歴データ!$A$463="",履歴データ!$A$462=""),"",D463-D462)</f>
        <v>-6.0000000000000568</v>
      </c>
      <c r="N463" s="28">
        <f>IF(OR(履歴データ!$A$463="",履歴データ!$A$462=""),"",E463-E462)</f>
        <v>-1.0000000000000675</v>
      </c>
      <c r="O463" s="28">
        <f>IF(OR(履歴データ!$A$463="",履歴データ!$A$462=""),"",F463-F462)</f>
        <v>15.830000000000069</v>
      </c>
      <c r="P463" s="28">
        <f>IF(OR(履歴データ!$A$463="",履歴データ!$A$462=""),"",G463-G462)</f>
        <v>-9.8300000000000125</v>
      </c>
      <c r="Q463" s="29">
        <f>IF(OR(履歴データ!$A$463="",履歴データ!$A$462=""),"",H463-H462)</f>
        <v>0.3070068359375</v>
      </c>
      <c r="R463" s="29">
        <f>IF(OR(履歴データ!$A$463="",履歴データ!$A$462=""),"",I463-I462)</f>
        <v>0.328125</v>
      </c>
      <c r="S463" s="28">
        <f>IF(OR(履歴データ!$A$463="",履歴データ!$A$462=""),"",(J463-J462)*100)</f>
        <v>-6.0000000000000497</v>
      </c>
      <c r="T463" s="11">
        <f>IF(OR(履歴データ!$A$463="",履歴データ!$A$462=""),"",-80000*K463)</f>
        <v>39999.999999999149</v>
      </c>
      <c r="U463" s="11">
        <f>IF(OR(履歴データ!$A$463="",履歴データ!$A$462=""),"",60000*L463)</f>
        <v>0</v>
      </c>
      <c r="V463" s="11">
        <f>IF(OR(履歴データ!$A$463="",履歴データ!$A$462=""),"",-50000*M463)</f>
        <v>300000.00000000285</v>
      </c>
      <c r="W463" s="11">
        <f>IF(OR(履歴データ!$A$463="",履歴データ!$A$462=""),"",-40000*N463)</f>
        <v>40000.000000002699</v>
      </c>
      <c r="X463" s="11">
        <f>IF(OR(履歴データ!$A$463="",履歴データ!$A$462=""),"",120*1000000*(-Q463/H462))</f>
        <v>-242405.72014849962</v>
      </c>
      <c r="Y463" s="11">
        <f>IF(OR(履歴データ!$A$463="",履歴データ!$A$462=""),"",40000*(-S463)+(-506.3)*R463*1000)</f>
        <v>73870.31250000195</v>
      </c>
      <c r="Z463" s="11">
        <f>IF(OR(履歴データ!$A$463="",履歴データ!$A$462=""),"",-40000*O463)</f>
        <v>-633200.00000000279</v>
      </c>
      <c r="AA463" s="11">
        <f>IF(OR(履歴データ!$A$463="",履歴データ!$A$462=""),"",-40000*P463)</f>
        <v>393200.00000000052</v>
      </c>
      <c r="AB463" s="11">
        <f>IF(履歴データ!$A$463="","",123.3)</f>
        <v>123.3</v>
      </c>
      <c r="AC463">
        <f>IF(履歴データ!$A$463="","",SUM(T463:AA463))</f>
        <v>-28535.407648495282</v>
      </c>
      <c r="AD463" s="29">
        <f>IF(履歴データ!$A$463="","",AC463/1000000)</f>
        <v>-2.8535407648495281E-2</v>
      </c>
      <c r="AE463" s="29">
        <f>IF(履歴データ!$A$463="",AE462,AE462+AC463/1000000)</f>
        <v>74.292259260533299</v>
      </c>
      <c r="AF463" s="12">
        <f>IF(OR(履歴データ!$A$463="",AE462=0),"",(AE463-AE462)/AE462)</f>
        <v>-3.839491729857309E-4</v>
      </c>
      <c r="AG463" s="29">
        <f t="shared" si="23"/>
        <v>102.17217746631495</v>
      </c>
      <c r="AH463" s="12">
        <f>IF(OR(履歴データ!$A$463="",AG463=0),"",AE463/AG463-1)</f>
        <v>-0.2728719197060604</v>
      </c>
      <c r="AJ463" s="28">
        <f t="shared" ca="1" si="21"/>
        <v>-8.0870946674516837</v>
      </c>
      <c r="AK463" s="28">
        <f t="shared" ca="1" si="22"/>
        <v>-35.996238665881648</v>
      </c>
    </row>
    <row r="464" spans="1:37">
      <c r="A464" s="10">
        <f>IF(履歴データ!$A$464="","",履歴データ!$A$464)</f>
        <v>45601</v>
      </c>
      <c r="B464" s="28">
        <f>IF(履歴データ!$A$464="","",(履歴データ!$D$464-(履歴データ!$B$464+履歴データ!$F$464)/2)*100)</f>
        <v>-5.5000000000000604</v>
      </c>
      <c r="C464" s="28">
        <f>IF(履歴データ!$A$464="","",(履歴データ!$H$464-(履歴データ!$G$464+履歴データ!$J$464)/2)*100)</f>
        <v>-38.000000000000014</v>
      </c>
      <c r="D464" s="28">
        <f>IF(履歴データ!$A$464="","",(履歴データ!$D$464-履歴データ!$H$464)*100)</f>
        <v>331.59999999999997</v>
      </c>
      <c r="E464" s="28">
        <f>IF(履歴データ!$A$464="","",(履歴データ!$D$464-履歴データ!$C$464)*100)</f>
        <v>9.9999999999999645</v>
      </c>
      <c r="F464" s="28">
        <f>IF(履歴データ!$A$464="","",(履歴データ!$R$464-履歴データ!$D$464)*100)</f>
        <v>-245.01</v>
      </c>
      <c r="G464" s="28">
        <f>IF(履歴データ!$A$464="","",(履歴データ!$S$464-履歴データ!$R$464)*100)</f>
        <v>-96.219821411132969</v>
      </c>
      <c r="H464" s="29">
        <f>IF(履歴データ!$A$464="","",履歴データ!$O$464)</f>
        <v>152.2760009765625</v>
      </c>
      <c r="I464" s="29">
        <f>IF(履歴データ!$A$464="","",履歴データ!$Q$464)</f>
        <v>110.40625</v>
      </c>
      <c r="J464" s="29">
        <f>IF(履歴データ!$A$464="","",履歴データ!$D$464)</f>
        <v>4.26</v>
      </c>
      <c r="K464" s="28">
        <f>IF(OR(履歴データ!$A$464="",履歴データ!$A$463=""),"",B464-B463)</f>
        <v>-3.0000000000000249</v>
      </c>
      <c r="L464" s="28">
        <f>IF(OR(履歴データ!$A$464="",履歴データ!$A$463=""),"",C464-C463)</f>
        <v>-0.50000000000001421</v>
      </c>
      <c r="M464" s="28">
        <f>IF(OR(履歴データ!$A$464="",履歴データ!$A$463=""),"",D464-D463)</f>
        <v>-4.1999999999999886</v>
      </c>
      <c r="N464" s="28">
        <f>IF(OR(履歴データ!$A$464="",履歴データ!$A$463=""),"",E464-E463)</f>
        <v>-4.0000000000000036</v>
      </c>
      <c r="O464" s="28">
        <f>IF(OR(履歴データ!$A$464="",履歴データ!$A$463=""),"",F464-F463)</f>
        <v>-0.55000000000003979</v>
      </c>
      <c r="P464" s="28">
        <f>IF(OR(履歴データ!$A$464="",履歴データ!$A$463=""),"",G464-G463)</f>
        <v>-1.4659999999999656</v>
      </c>
      <c r="Q464" s="29">
        <f>IF(OR(履歴データ!$A$464="",履歴データ!$A$463=""),"",H464-H463)</f>
        <v>-1.10015869140625E-2</v>
      </c>
      <c r="R464" s="29">
        <f>IF(OR(履歴データ!$A$464="",履歴データ!$A$463=""),"",I464-I463)</f>
        <v>4.6875E-2</v>
      </c>
      <c r="S464" s="28">
        <f>IF(OR(履歴データ!$A$464="",履歴データ!$A$463=""),"",(J464-J463)*100)</f>
        <v>-4.9999999999999822</v>
      </c>
      <c r="T464" s="11">
        <f>IF(OR(履歴データ!$A$464="",履歴データ!$A$463=""),"",-80000*K464)</f>
        <v>240000.00000000198</v>
      </c>
      <c r="U464" s="11">
        <f>IF(OR(履歴データ!$A$464="",履歴データ!$A$463=""),"",60000*L464)</f>
        <v>-30000.000000000851</v>
      </c>
      <c r="V464" s="11">
        <f>IF(OR(履歴データ!$A$464="",履歴データ!$A$463=""),"",-50000*M464)</f>
        <v>209999.99999999942</v>
      </c>
      <c r="W464" s="11">
        <f>IF(OR(履歴データ!$A$464="",履歴データ!$A$463=""),"",-40000*N464)</f>
        <v>160000.00000000015</v>
      </c>
      <c r="X464" s="11">
        <f>IF(OR(履歴データ!$A$464="",履歴データ!$A$463=""),"",120*1000000*(-Q464/H463))</f>
        <v>8669.0945876173228</v>
      </c>
      <c r="Y464" s="11">
        <f>IF(OR(履歴データ!$A$464="",履歴データ!$A$463=""),"",40000*(-S464)+(-506.3)*R464*1000)</f>
        <v>176267.1874999993</v>
      </c>
      <c r="Z464" s="11">
        <f>IF(OR(履歴データ!$A$464="",履歴データ!$A$463=""),"",-40000*O464)</f>
        <v>22000.000000001593</v>
      </c>
      <c r="AA464" s="11">
        <f>IF(OR(履歴データ!$A$464="",履歴データ!$A$463=""),"",-40000*P464)</f>
        <v>58639.999999998625</v>
      </c>
      <c r="AB464" s="11">
        <f>IF(履歴データ!$A$464="","",123.3)</f>
        <v>123.3</v>
      </c>
      <c r="AC464">
        <f>IF(履歴データ!$A$464="","",SUM(T464:AA464))</f>
        <v>845576.28208761755</v>
      </c>
      <c r="AD464" s="29">
        <f>IF(履歴データ!$A$464="","",AC464/1000000)</f>
        <v>0.84557628208761759</v>
      </c>
      <c r="AE464" s="29">
        <f>IF(履歴データ!$A$464="",AE463,AE463+AC464/1000000)</f>
        <v>75.13783554262092</v>
      </c>
      <c r="AF464" s="12">
        <f>IF(OR(履歴データ!$A$464="",AE463=0),"",(AE464-AE463)/AE463)</f>
        <v>1.138175484907915E-2</v>
      </c>
      <c r="AG464" s="29">
        <f t="shared" si="23"/>
        <v>102.17217746631495</v>
      </c>
      <c r="AH464" s="12">
        <f>IF(OR(履歴データ!$A$464="",AG464=0),"",AE464/AG464-1)</f>
        <v>-0.26459592615227323</v>
      </c>
      <c r="AJ464" s="28">
        <f t="shared" ca="1" si="21"/>
        <v>-7.8634780456510924</v>
      </c>
      <c r="AK464" s="28">
        <f t="shared" ca="1" si="22"/>
        <v>-36.08096639879335</v>
      </c>
    </row>
    <row r="465" spans="1:37">
      <c r="A465" s="10">
        <f>IF(履歴データ!$A$465="","",履歴データ!$A$465)</f>
        <v>45602</v>
      </c>
      <c r="B465" s="28">
        <f>IF(履歴データ!$A$465="","",(履歴データ!$D$465-(履歴データ!$B$465+履歴データ!$F$465)/2)*100)</f>
        <v>-1.499999999999968</v>
      </c>
      <c r="C465" s="28">
        <f>IF(履歴データ!$A$465="","",(履歴データ!$H$465-(履歴データ!$G$465+履歴データ!$J$465)/2)*100)</f>
        <v>-35</v>
      </c>
      <c r="D465" s="28">
        <f>IF(履歴データ!$A$465="","",(履歴データ!$D$465-履歴データ!$H$465)*100)</f>
        <v>342.7</v>
      </c>
      <c r="E465" s="28">
        <f>IF(履歴データ!$A$465="","",(履歴データ!$D$465-履歴データ!$C$465)*100)</f>
        <v>15.000000000000036</v>
      </c>
      <c r="F465" s="28">
        <f>IF(履歴データ!$A$465="","",(履歴データ!$R$465-履歴データ!$D$465)*100)</f>
        <v>-255.64999999999998</v>
      </c>
      <c r="G465" s="28">
        <f>IF(履歴データ!$A$465="","",(履歴データ!$S$465-履歴データ!$R$465)*100)</f>
        <v>-89.652642822265676</v>
      </c>
      <c r="H465" s="29">
        <f>IF(履歴データ!$A$465="","",履歴データ!$O$465)</f>
        <v>151.43499755859375</v>
      </c>
      <c r="I465" s="29">
        <f>IF(履歴データ!$A$465="","",履歴データ!$Q$465)</f>
        <v>109.546875</v>
      </c>
      <c r="J465" s="29">
        <f>IF(履歴データ!$A$465="","",履歴データ!$D$465)</f>
        <v>4.42</v>
      </c>
      <c r="K465" s="28">
        <f>IF(OR(履歴データ!$A$465="",履歴データ!$A$464=""),"",B465-B464)</f>
        <v>4.0000000000000924</v>
      </c>
      <c r="L465" s="28">
        <f>IF(OR(履歴データ!$A$465="",履歴データ!$A$464=""),"",C465-C464)</f>
        <v>3.0000000000000142</v>
      </c>
      <c r="M465" s="28">
        <f>IF(OR(履歴データ!$A$465="",履歴データ!$A$464=""),"",D465-D464)</f>
        <v>11.100000000000023</v>
      </c>
      <c r="N465" s="28">
        <f>IF(OR(履歴データ!$A$465="",履歴データ!$A$464=""),"",E465-E464)</f>
        <v>5.0000000000000711</v>
      </c>
      <c r="O465" s="28">
        <f>IF(OR(履歴データ!$A$465="",履歴データ!$A$464=""),"",F465-F464)</f>
        <v>-10.639999999999986</v>
      </c>
      <c r="P465" s="28">
        <f>IF(OR(履歴データ!$A$465="",履歴データ!$A$464=""),"",G465-G464)</f>
        <v>6.5671785888672929</v>
      </c>
      <c r="Q465" s="29">
        <f>IF(OR(履歴データ!$A$465="",履歴データ!$A$464=""),"",H465-H464)</f>
        <v>-0.84100341796875</v>
      </c>
      <c r="R465" s="29">
        <f>IF(OR(履歴データ!$A$465="",履歴データ!$A$464=""),"",I465-I464)</f>
        <v>-0.859375</v>
      </c>
      <c r="S465" s="28">
        <f>IF(OR(履歴データ!$A$465="",履歴データ!$A$464=""),"",(J465-J464)*100)</f>
        <v>16.000000000000014</v>
      </c>
      <c r="T465" s="11">
        <f>IF(OR(履歴データ!$A$465="",履歴データ!$A$464=""),"",-80000*K465)</f>
        <v>-320000.00000000739</v>
      </c>
      <c r="U465" s="11">
        <f>IF(OR(履歴データ!$A$465="",履歴データ!$A$464=""),"",60000*L465)</f>
        <v>180000.00000000084</v>
      </c>
      <c r="V465" s="11">
        <f>IF(OR(履歴データ!$A$465="",履歴データ!$A$464=""),"",-50000*M465)</f>
        <v>-555000.00000000116</v>
      </c>
      <c r="W465" s="11">
        <f>IF(OR(履歴データ!$A$465="",履歴データ!$A$464=""),"",-40000*N465)</f>
        <v>-200000.00000000285</v>
      </c>
      <c r="X465" s="11">
        <f>IF(OR(履歴データ!$A$465="",履歴データ!$A$464=""),"",120*1000000*(-Q465/H464))</f>
        <v>662746.65416110528</v>
      </c>
      <c r="Y465" s="11">
        <f>IF(OR(履歴データ!$A$465="",履歴データ!$A$464=""),"",40000*(-S465)+(-506.3)*R465*1000)</f>
        <v>-204898.43750000058</v>
      </c>
      <c r="Z465" s="11">
        <f>IF(OR(履歴データ!$A$465="",履歴データ!$A$464=""),"",-40000*O465)</f>
        <v>425599.99999999948</v>
      </c>
      <c r="AA465" s="11">
        <f>IF(OR(履歴データ!$A$465="",履歴データ!$A$464=""),"",-40000*P465)</f>
        <v>-262687.14355469169</v>
      </c>
      <c r="AB465" s="11">
        <f>IF(履歴データ!$A$465="","",123.3)</f>
        <v>123.3</v>
      </c>
      <c r="AC465">
        <f>IF(履歴データ!$A$465="","",SUM(T465:AA465))</f>
        <v>-274238.92689359799</v>
      </c>
      <c r="AD465" s="29">
        <f>IF(履歴データ!$A$465="","",AC465/1000000)</f>
        <v>-0.27423892689359797</v>
      </c>
      <c r="AE465" s="29">
        <f>IF(履歴データ!$A$465="",AE464,AE464+AC465/1000000)</f>
        <v>74.863596615727317</v>
      </c>
      <c r="AF465" s="12">
        <f>IF(OR(履歴データ!$A$465="",AE464=0),"",(AE465-AE464)/AE464)</f>
        <v>-3.6498113754959574E-3</v>
      </c>
      <c r="AG465" s="29">
        <f t="shared" si="23"/>
        <v>102.17217746631495</v>
      </c>
      <c r="AH465" s="12">
        <f>IF(OR(履歴データ!$A$465="",AG465=0),"",AE465/AG465-1)</f>
        <v>-0.26728001230658882</v>
      </c>
      <c r="AJ465" s="28">
        <f t="shared" ca="1" si="21"/>
        <v>-7.5450196036746497</v>
      </c>
      <c r="AK465" s="28">
        <f t="shared" ca="1" si="22"/>
        <v>-36.228789920134872</v>
      </c>
    </row>
    <row r="466" spans="1:37">
      <c r="A466" s="10">
        <f>IF(履歴データ!$A$466="","",履歴データ!$A$466)</f>
        <v>45603</v>
      </c>
      <c r="B466" s="28">
        <f>IF(履歴データ!$A$466="","",(履歴データ!$D$466-(履歴データ!$B$466+履歴データ!$F$466)/2)*100)</f>
        <v>-5.5000000000000604</v>
      </c>
      <c r="C466" s="28">
        <f>IF(履歴データ!$A$466="","",(履歴データ!$H$466-(履歴データ!$G$466+履歴データ!$J$466)/2)*100)</f>
        <v>-34.749999999999993</v>
      </c>
      <c r="D466" s="28">
        <f>IF(履歴データ!$A$466="","",(履歴データ!$D$466-履歴データ!$H$466)*100)</f>
        <v>329.4</v>
      </c>
      <c r="E466" s="28">
        <f>IF(履歴データ!$A$466="","",(履歴データ!$D$466-履歴データ!$C$466)*100)</f>
        <v>13.999999999999968</v>
      </c>
      <c r="F466" s="28">
        <f>IF(履歴データ!$A$466="","",(履歴データ!$R$466-履歴データ!$D$466)*100)</f>
        <v>-236.29999999999995</v>
      </c>
      <c r="G466" s="28">
        <f>IF(履歴データ!$A$466="","",(履歴データ!$S$466-履歴データ!$R$466)*100)</f>
        <v>-95.371642822265827</v>
      </c>
      <c r="H466" s="29">
        <f>IF(履歴データ!$A$466="","",履歴データ!$O$466)</f>
        <v>154.32000732421875</v>
      </c>
      <c r="I466" s="29">
        <f>IF(履歴データ!$A$466="","",履歴データ!$Q$466)</f>
        <v>110.1875</v>
      </c>
      <c r="J466" s="29">
        <f>IF(履歴データ!$A$466="","",履歴データ!$D$466)</f>
        <v>4.3099999999999996</v>
      </c>
      <c r="K466" s="28">
        <f>IF(OR(履歴データ!$A$466="",履歴データ!$A$465=""),"",B466-B465)</f>
        <v>-4.0000000000000924</v>
      </c>
      <c r="L466" s="28">
        <f>IF(OR(履歴データ!$A$466="",履歴データ!$A$465=""),"",C466-C465)</f>
        <v>0.25000000000000711</v>
      </c>
      <c r="M466" s="28">
        <f>IF(OR(履歴データ!$A$466="",履歴データ!$A$465=""),"",D466-D465)</f>
        <v>-13.300000000000011</v>
      </c>
      <c r="N466" s="28">
        <f>IF(OR(履歴データ!$A$466="",履歴データ!$A$465=""),"",E466-E465)</f>
        <v>-1.0000000000000675</v>
      </c>
      <c r="O466" s="28">
        <f>IF(OR(履歴データ!$A$466="",履歴データ!$A$465=""),"",F466-F465)</f>
        <v>19.350000000000023</v>
      </c>
      <c r="P466" s="28">
        <f>IF(OR(履歴データ!$A$466="",履歴データ!$A$465=""),"",G466-G465)</f>
        <v>-5.7190000000001504</v>
      </c>
      <c r="Q466" s="29">
        <f>IF(OR(履歴データ!$A$466="",履歴データ!$A$465=""),"",H466-H465)</f>
        <v>2.885009765625</v>
      </c>
      <c r="R466" s="29">
        <f>IF(OR(履歴データ!$A$466="",履歴データ!$A$465=""),"",I466-I465)</f>
        <v>0.640625</v>
      </c>
      <c r="S466" s="28">
        <f>IF(OR(履歴データ!$A$466="",履歴データ!$A$465=""),"",(J466-J465)*100)</f>
        <v>-11.000000000000032</v>
      </c>
      <c r="T466" s="11">
        <f>IF(OR(履歴データ!$A$466="",履歴データ!$A$465=""),"",-80000*K466)</f>
        <v>320000.00000000739</v>
      </c>
      <c r="U466" s="11">
        <f>IF(OR(履歴データ!$A$466="",履歴データ!$A$465=""),"",60000*L466)</f>
        <v>15000.000000000426</v>
      </c>
      <c r="V466" s="11">
        <f>IF(OR(履歴データ!$A$466="",履歴データ!$A$465=""),"",-50000*M466)</f>
        <v>665000.00000000058</v>
      </c>
      <c r="W466" s="11">
        <f>IF(OR(履歴データ!$A$466="",履歴データ!$A$465=""),"",-40000*N466)</f>
        <v>40000.000000002699</v>
      </c>
      <c r="X466" s="11">
        <f>IF(OR(履歴データ!$A$466="",履歴データ!$A$465=""),"",120*1000000*(-Q466/H465))</f>
        <v>-2286137.1377580445</v>
      </c>
      <c r="Y466" s="11">
        <f>IF(OR(履歴データ!$A$466="",履歴データ!$A$465=""),"",40000*(-S466)+(-506.3)*R466*1000)</f>
        <v>115651.56250000128</v>
      </c>
      <c r="Z466" s="11">
        <f>IF(OR(履歴データ!$A$466="",履歴データ!$A$465=""),"",-40000*O466)</f>
        <v>-774000.00000000093</v>
      </c>
      <c r="AA466" s="11">
        <f>IF(OR(履歴データ!$A$466="",履歴データ!$A$465=""),"",-40000*P466)</f>
        <v>228760.00000000602</v>
      </c>
      <c r="AB466" s="11">
        <f>IF(履歴データ!$A$466="","",123.3)</f>
        <v>123.3</v>
      </c>
      <c r="AC466">
        <f>IF(履歴データ!$A$466="","",SUM(T466:AA466))</f>
        <v>-1675725.5752580268</v>
      </c>
      <c r="AD466" s="29">
        <f>IF(履歴データ!$A$466="","",AC466/1000000)</f>
        <v>-1.6757255752580269</v>
      </c>
      <c r="AE466" s="29">
        <f>IF(履歴データ!$A$466="",AE465,AE465+AC466/1000000)</f>
        <v>73.18787104046929</v>
      </c>
      <c r="AF466" s="12">
        <f>IF(OR(履歴データ!$A$466="",AE465=0),"",(AE466-AE465)/AE465)</f>
        <v>-2.2383717200490365E-2</v>
      </c>
      <c r="AG466" s="29">
        <f t="shared" si="23"/>
        <v>102.17217746631495</v>
      </c>
      <c r="AH466" s="12">
        <f>IF(OR(履歴データ!$A$466="",AG466=0),"",AE466/AG466-1)</f>
        <v>-0.2836810092982649</v>
      </c>
      <c r="AJ466" s="28">
        <f t="shared" ca="1" si="21"/>
        <v>-7.3337450704305898</v>
      </c>
      <c r="AK466" s="28">
        <f t="shared" ca="1" si="22"/>
        <v>-36.313080326394811</v>
      </c>
    </row>
    <row r="467" spans="1:37">
      <c r="A467" s="10">
        <f>IF(履歴データ!$A$467="","",履歴データ!$A$467)</f>
        <v>45604</v>
      </c>
      <c r="B467" s="28">
        <f>IF(履歴データ!$A$467="","",(履歴データ!$D$467-(履歴データ!$B$467+履歴データ!$F$467)/2)*100)</f>
        <v>-6.5000000000000391</v>
      </c>
      <c r="C467" s="28">
        <f>IF(履歴データ!$A$467="","",(履歴データ!$H$467-(履歴データ!$G$467+履歴データ!$J$467)/2)*100)</f>
        <v>-34.85</v>
      </c>
      <c r="D467" s="28">
        <f>IF(履歴データ!$A$467="","",(履歴データ!$D$467-履歴データ!$H$467)*100)</f>
        <v>328.9</v>
      </c>
      <c r="E467" s="28">
        <f>IF(履歴データ!$A$467="","",(履歴データ!$D$467-履歴データ!$C$467)*100)</f>
        <v>9.9999999999999645</v>
      </c>
      <c r="F467" s="28">
        <f>IF(履歴データ!$A$467="","",(履歴データ!$R$467-履歴データ!$D$467)*100)</f>
        <v>-226.6</v>
      </c>
      <c r="G467" s="28">
        <f>IF(履歴データ!$A$467="","",(履歴データ!$S$467-履歴データ!$R$467)*100)</f>
        <v>-106.0010000000001</v>
      </c>
      <c r="H467" s="29">
        <f>IF(履歴データ!$A$467="","",履歴データ!$O$467)</f>
        <v>153.17999267578125</v>
      </c>
      <c r="I467" s="29">
        <f>IF(履歴データ!$A$467="","",履歴データ!$Q$467)</f>
        <v>110.28125</v>
      </c>
      <c r="J467" s="29">
        <f>IF(履歴データ!$A$467="","",履歴データ!$D$467)</f>
        <v>4.3</v>
      </c>
      <c r="K467" s="28">
        <f>IF(OR(履歴データ!$A$467="",履歴データ!$A$466=""),"",B467-B466)</f>
        <v>-0.99999999999997868</v>
      </c>
      <c r="L467" s="28">
        <f>IF(OR(履歴データ!$A$467="",履歴データ!$A$466=""),"",C467-C466)</f>
        <v>-0.10000000000000853</v>
      </c>
      <c r="M467" s="28">
        <f>IF(OR(履歴データ!$A$467="",履歴データ!$A$466=""),"",D467-D466)</f>
        <v>-0.5</v>
      </c>
      <c r="N467" s="28">
        <f>IF(OR(履歴データ!$A$467="",履歴データ!$A$466=""),"",E467-E466)</f>
        <v>-4.0000000000000036</v>
      </c>
      <c r="O467" s="28">
        <f>IF(OR(履歴データ!$A$467="",履歴データ!$A$466=""),"",F467-F466)</f>
        <v>9.6999999999999602</v>
      </c>
      <c r="P467" s="28">
        <f>IF(OR(履歴データ!$A$467="",履歴データ!$A$466=""),"",G467-G466)</f>
        <v>-10.629357177734278</v>
      </c>
      <c r="Q467" s="29">
        <f>IF(OR(履歴データ!$A$467="",履歴データ!$A$466=""),"",H467-H466)</f>
        <v>-1.1400146484375</v>
      </c>
      <c r="R467" s="29">
        <f>IF(OR(履歴データ!$A$467="",履歴データ!$A$466=""),"",I467-I466)</f>
        <v>9.375E-2</v>
      </c>
      <c r="S467" s="28">
        <f>IF(OR(履歴データ!$A$467="",履歴データ!$A$466=""),"",(J467-J466)*100)</f>
        <v>-0.99999999999997868</v>
      </c>
      <c r="T467" s="11">
        <f>IF(OR(履歴データ!$A$467="",履歴データ!$A$466=""),"",-80000*K467)</f>
        <v>79999.999999998297</v>
      </c>
      <c r="U467" s="11">
        <f>IF(OR(履歴データ!$A$467="",履歴データ!$A$466=""),"",60000*L467)</f>
        <v>-6000.0000000005111</v>
      </c>
      <c r="V467" s="11">
        <f>IF(OR(履歴データ!$A$467="",履歴データ!$A$466=""),"",-50000*M467)</f>
        <v>25000</v>
      </c>
      <c r="W467" s="11">
        <f>IF(OR(履歴データ!$A$467="",履歴データ!$A$466=""),"",-40000*N467)</f>
        <v>160000.00000000015</v>
      </c>
      <c r="X467" s="11">
        <f>IF(OR(履歴データ!$A$467="",履歴データ!$A$466=""),"",120*1000000*(-Q467/H466))</f>
        <v>886481.0220303206</v>
      </c>
      <c r="Y467" s="11">
        <f>IF(OR(履歴データ!$A$467="",履歴データ!$A$466=""),"",40000*(-S467)+(-506.3)*R467*1000)</f>
        <v>-7465.6250000008513</v>
      </c>
      <c r="Z467" s="11">
        <f>IF(OR(履歴データ!$A$467="",履歴データ!$A$466=""),"",-40000*O467)</f>
        <v>-387999.99999999843</v>
      </c>
      <c r="AA467" s="11">
        <f>IF(OR(履歴データ!$A$467="",履歴データ!$A$466=""),"",-40000*P467)</f>
        <v>425174.2871093711</v>
      </c>
      <c r="AB467" s="11">
        <f>IF(履歴データ!$A$467="","",123.3)</f>
        <v>123.3</v>
      </c>
      <c r="AC467">
        <f>IF(履歴データ!$A$467="","",SUM(T467:AA467))</f>
        <v>1175189.6841396904</v>
      </c>
      <c r="AD467" s="29">
        <f>IF(履歴データ!$A$467="","",AC467/1000000)</f>
        <v>1.1751896841396903</v>
      </c>
      <c r="AE467" s="29">
        <f>IF(履歴データ!$A$467="",AE466,AE466+AC467/1000000)</f>
        <v>74.363060724608985</v>
      </c>
      <c r="AF467" s="12">
        <f>IF(OR(履歴データ!$A$467="",AE466=0),"",(AE467-AE466)/AE466)</f>
        <v>1.6057164492322418E-2</v>
      </c>
      <c r="AG467" s="29">
        <f t="shared" si="23"/>
        <v>102.17217746631495</v>
      </c>
      <c r="AH467" s="12">
        <f>IF(OR(履歴データ!$A$467="",AG467=0),"",AE467/AG467-1)</f>
        <v>-0.27217895743559273</v>
      </c>
      <c r="AJ467" s="28">
        <f t="shared" ca="1" si="21"/>
        <v>-7.1380199781356612</v>
      </c>
      <c r="AK467" s="28">
        <f t="shared" ca="1" si="22"/>
        <v>-36.361980021864341</v>
      </c>
    </row>
    <row r="468" spans="1:37">
      <c r="A468" s="10">
        <f>IF(履歴データ!$A$468="","",履歴データ!$A$468)</f>
        <v>45608</v>
      </c>
      <c r="B468" s="28">
        <f>IF(履歴データ!$A$468="","",(履歴データ!$D$468-(履歴データ!$B$468+履歴データ!$F$468)/2)*100)</f>
        <v>-3.0000000000000249</v>
      </c>
      <c r="C468" s="28">
        <f>IF(履歴データ!$A$468="","",(履歴データ!$H$468-(履歴データ!$G$468+履歴データ!$J$468)/2)*100)</f>
        <v>-34.85</v>
      </c>
      <c r="D468" s="28">
        <f>IF(履歴データ!$A$468="","",(履歴データ!$D$468-履歴データ!$H$468)*100)</f>
        <v>341.09999999999997</v>
      </c>
      <c r="E468" s="28">
        <f>IF(履歴データ!$A$468="","",(履歴データ!$D$468-履歴データ!$C$468)*100)</f>
        <v>10.999999999999943</v>
      </c>
      <c r="F468" s="28">
        <f>IF(履歴データ!$A$468="","",(履歴データ!$R$468-履歴データ!$D$468)*100)</f>
        <v>-247.61999999999995</v>
      </c>
      <c r="G468" s="28">
        <f>IF(履歴データ!$A$468="","",(履歴データ!$S$468-履歴データ!$R$468)*100)</f>
        <v>-96.928642822265829</v>
      </c>
      <c r="H468" s="29">
        <f>IF(履歴データ!$A$468="","",履歴データ!$O$468)</f>
        <v>153.47999572753906</v>
      </c>
      <c r="I468" s="29">
        <f>IF(履歴データ!$A$468="","",履歴データ!$Q$468)</f>
        <v>109.421875</v>
      </c>
      <c r="J468" s="29">
        <f>IF(履歴データ!$A$468="","",履歴データ!$D$468)</f>
        <v>4.43</v>
      </c>
      <c r="K468" s="28">
        <f>IF(OR(履歴データ!$A$468="",履歴データ!$A$467=""),"",B468-B467)</f>
        <v>3.5000000000000142</v>
      </c>
      <c r="L468" s="28">
        <f>IF(OR(履歴データ!$A$468="",履歴データ!$A$467=""),"",C468-C467)</f>
        <v>0</v>
      </c>
      <c r="M468" s="28">
        <f>IF(OR(履歴データ!$A$468="",履歴データ!$A$467=""),"",D468-D467)</f>
        <v>12.199999999999989</v>
      </c>
      <c r="N468" s="28">
        <f>IF(OR(履歴データ!$A$468="",履歴データ!$A$467=""),"",E468-E467)</f>
        <v>0.99999999999997868</v>
      </c>
      <c r="O468" s="28">
        <f>IF(OR(履歴データ!$A$468="",履歴データ!$A$467=""),"",F468-F467)</f>
        <v>-21.019999999999953</v>
      </c>
      <c r="P468" s="28">
        <f>IF(OR(履歴データ!$A$468="",履歴データ!$A$467=""),"",G468-G467)</f>
        <v>9.0723571777342755</v>
      </c>
      <c r="Q468" s="29">
        <f>IF(OR(履歴データ!$A$468="",履歴データ!$A$467=""),"",H468-H467)</f>
        <v>0.3000030517578125</v>
      </c>
      <c r="R468" s="29">
        <f>IF(OR(履歴データ!$A$468="",履歴データ!$A$467=""),"",I468-I467)</f>
        <v>-0.859375</v>
      </c>
      <c r="S468" s="28">
        <f>IF(OR(履歴データ!$A$468="",履歴データ!$A$467=""),"",(J468-J467)*100)</f>
        <v>12.999999999999989</v>
      </c>
      <c r="T468" s="11">
        <f>IF(OR(履歴データ!$A$468="",履歴データ!$A$467=""),"",-80000*K468)</f>
        <v>-280000.00000000116</v>
      </c>
      <c r="U468" s="11">
        <f>IF(OR(履歴データ!$A$468="",履歴データ!$A$467=""),"",60000*L468)</f>
        <v>0</v>
      </c>
      <c r="V468" s="11">
        <f>IF(OR(履歴データ!$A$468="",履歴データ!$A$467=""),"",-50000*M468)</f>
        <v>-609999.99999999942</v>
      </c>
      <c r="W468" s="11">
        <f>IF(OR(履歴データ!$A$468="",履歴データ!$A$467=""),"",-40000*N468)</f>
        <v>-39999.999999999149</v>
      </c>
      <c r="X468" s="11">
        <f>IF(OR(履歴データ!$A$468="",履歴データ!$A$467=""),"",120*1000000*(-Q468/H467))</f>
        <v>-235020.02828225354</v>
      </c>
      <c r="Y468" s="11">
        <f>IF(OR(履歴データ!$A$468="",履歴データ!$A$467=""),"",40000*(-S468)+(-506.3)*R468*1000)</f>
        <v>-84898.437499999593</v>
      </c>
      <c r="Z468" s="11">
        <f>IF(OR(履歴データ!$A$468="",履歴データ!$A$467=""),"",-40000*O468)</f>
        <v>840799.99999999814</v>
      </c>
      <c r="AA468" s="11">
        <f>IF(OR(履歴データ!$A$468="",履歴データ!$A$467=""),"",-40000*P468)</f>
        <v>-362894.28710937104</v>
      </c>
      <c r="AB468" s="11">
        <f>IF(履歴データ!$A$468="","",123.3)</f>
        <v>123.3</v>
      </c>
      <c r="AC468">
        <f>IF(履歴データ!$A$468="","",SUM(T468:AA468))</f>
        <v>-772012.75289162574</v>
      </c>
      <c r="AD468" s="29">
        <f>IF(履歴データ!$A$468="","",AC468/1000000)</f>
        <v>-0.77201275289162574</v>
      </c>
      <c r="AE468" s="29">
        <f>IF(履歴データ!$A$468="",AE467,AE467+AC468/1000000)</f>
        <v>73.591047971717359</v>
      </c>
      <c r="AF468" s="12">
        <f>IF(OR(履歴データ!$A$468="",AE467=0),"",(AE468-AE467)/AE467)</f>
        <v>-1.0381669949689741E-2</v>
      </c>
      <c r="AG468" s="29">
        <f t="shared" si="23"/>
        <v>102.17217746631495</v>
      </c>
      <c r="AH468" s="12">
        <f>IF(OR(履歴データ!$A$468="",AG468=0),"",AE468/AG468-1)</f>
        <v>-0.27973495528193548</v>
      </c>
      <c r="AJ468" s="28">
        <f t="shared" ca="1" si="21"/>
        <v>-6.8762608091768023</v>
      </c>
      <c r="AK468" s="28">
        <f t="shared" ca="1" si="22"/>
        <v>-36.413421730505732</v>
      </c>
    </row>
    <row r="469" spans="1:37">
      <c r="A469" s="10">
        <f>IF(履歴データ!$A$469="","",履歴データ!$A$469)</f>
        <v>45609</v>
      </c>
      <c r="B469" s="28">
        <f>IF(履歴データ!$A$469="","",(履歴データ!$D$469-(履歴データ!$B$469+履歴データ!$F$469)/2)*100)</f>
        <v>-0.99999999999988987</v>
      </c>
      <c r="C469" s="28">
        <f>IF(履歴データ!$A$469="","",(履歴データ!$H$469-(履歴データ!$G$469+履歴データ!$J$469)/2)*100)</f>
        <v>-33.350000000000016</v>
      </c>
      <c r="D469" s="28">
        <f>IF(履歴データ!$A$469="","",(履歴データ!$D$469-履歴データ!$H$469)*100)</f>
        <v>338.70000000000005</v>
      </c>
      <c r="E469" s="28">
        <f>IF(履歴データ!$A$469="","",(履歴データ!$D$469-履歴データ!$C$469)*100)</f>
        <v>14.000000000000057</v>
      </c>
      <c r="F469" s="28">
        <f>IF(履歴データ!$A$469="","",(履歴データ!$R$469-履歴データ!$D$469)*100)</f>
        <v>-252.86000000000004</v>
      </c>
      <c r="G469" s="28">
        <f>IF(履歴データ!$A$469="","",(履歴データ!$S$469-履歴データ!$R$469)*100)</f>
        <v>-85.848000000000141</v>
      </c>
      <c r="H469" s="29">
        <f>IF(履歴データ!$A$469="","",履歴データ!$O$469)</f>
        <v>154.65499877929688</v>
      </c>
      <c r="I469" s="29">
        <f>IF(履歴データ!$A$469="","",履歴データ!$Q$469)</f>
        <v>109.421875</v>
      </c>
      <c r="J469" s="29">
        <f>IF(履歴データ!$A$469="","",履歴データ!$D$469)</f>
        <v>4.4400000000000004</v>
      </c>
      <c r="K469" s="28">
        <f>IF(OR(履歴データ!$A$469="",履歴データ!$A$468=""),"",B469-B468)</f>
        <v>2.000000000000135</v>
      </c>
      <c r="L469" s="28">
        <f>IF(OR(履歴データ!$A$469="",履歴データ!$A$468=""),"",C469-C468)</f>
        <v>1.4999999999999858</v>
      </c>
      <c r="M469" s="28">
        <f>IF(OR(履歴データ!$A$469="",履歴データ!$A$468=""),"",D469-D468)</f>
        <v>-2.3999999999999204</v>
      </c>
      <c r="N469" s="28">
        <f>IF(OR(履歴データ!$A$469="",履歴データ!$A$468=""),"",E469-E468)</f>
        <v>3.0000000000001137</v>
      </c>
      <c r="O469" s="28">
        <f>IF(OR(履歴データ!$A$469="",履歴データ!$A$468=""),"",F469-F468)</f>
        <v>-5.2400000000000944</v>
      </c>
      <c r="P469" s="28">
        <f>IF(OR(履歴データ!$A$469="",履歴データ!$A$468=""),"",G469-G468)</f>
        <v>11.080642822265688</v>
      </c>
      <c r="Q469" s="29">
        <f>IF(OR(履歴データ!$A$469="",履歴データ!$A$468=""),"",H469-H468)</f>
        <v>1.1750030517578125</v>
      </c>
      <c r="R469" s="29">
        <f>IF(OR(履歴データ!$A$469="",履歴データ!$A$468=""),"",I469-I468)</f>
        <v>0</v>
      </c>
      <c r="S469" s="28">
        <f>IF(OR(履歴データ!$A$469="",履歴データ!$A$468=""),"",(J469-J468)*100)</f>
        <v>1.0000000000000675</v>
      </c>
      <c r="T469" s="11">
        <f>IF(OR(履歴データ!$A$469="",履歴データ!$A$468=""),"",-80000*K469)</f>
        <v>-160000.0000000108</v>
      </c>
      <c r="U469" s="11">
        <f>IF(OR(履歴データ!$A$469="",履歴データ!$A$468=""),"",60000*L469)</f>
        <v>89999.999999999141</v>
      </c>
      <c r="V469" s="11">
        <f>IF(OR(履歴データ!$A$469="",履歴データ!$A$468=""),"",-50000*M469)</f>
        <v>119999.99999999603</v>
      </c>
      <c r="W469" s="11">
        <f>IF(OR(履歴データ!$A$469="",履歴データ!$A$468=""),"",-40000*N469)</f>
        <v>-120000.00000000454</v>
      </c>
      <c r="X469" s="11">
        <f>IF(OR(履歴データ!$A$469="",履歴データ!$A$468=""),"",120*1000000*(-Q469/H468))</f>
        <v>-918688.88543132576</v>
      </c>
      <c r="Y469" s="11">
        <f>IF(OR(履歴データ!$A$469="",履歴データ!$A$468=""),"",40000*(-S469)+(-506.3)*R469*1000)</f>
        <v>-40000.000000002699</v>
      </c>
      <c r="Z469" s="11">
        <f>IF(OR(履歴データ!$A$469="",履歴データ!$A$468=""),"",-40000*O469)</f>
        <v>209600.00000000378</v>
      </c>
      <c r="AA469" s="11">
        <f>IF(OR(履歴データ!$A$469="",履歴データ!$A$468=""),"",-40000*P469)</f>
        <v>-443225.7128906275</v>
      </c>
      <c r="AB469" s="11">
        <f>IF(履歴データ!$A$469="","",123.3)</f>
        <v>123.3</v>
      </c>
      <c r="AC469">
        <f>IF(履歴データ!$A$469="","",SUM(T469:AA469))</f>
        <v>-1262314.5983219724</v>
      </c>
      <c r="AD469" s="29">
        <f>IF(履歴データ!$A$469="","",AC469/1000000)</f>
        <v>-1.2623145983219723</v>
      </c>
      <c r="AE469" s="29">
        <f>IF(履歴データ!$A$469="",AE468,AE468+AC469/1000000)</f>
        <v>72.32873337339538</v>
      </c>
      <c r="AF469" s="12">
        <f>IF(OR(履歴データ!$A$469="",AE468=0),"",(AE469-AE468)/AE468)</f>
        <v>-1.7153099909748719E-2</v>
      </c>
      <c r="AG469" s="29">
        <f t="shared" si="23"/>
        <v>102.17217746631495</v>
      </c>
      <c r="AH469" s="12">
        <f>IF(OR(履歴データ!$A$469="",AG469=0),"",AE469/AG469-1)</f>
        <v>-0.29208973355548407</v>
      </c>
      <c r="AJ469" s="28">
        <f t="shared" ca="1" si="21"/>
        <v>-6.5639408289599732</v>
      </c>
      <c r="AK469" s="28">
        <f t="shared" ca="1" si="22"/>
        <v>-36.511455996436844</v>
      </c>
    </row>
    <row r="470" spans="1:37">
      <c r="A470" s="10">
        <f>IF(履歴データ!$A$470="","",履歴データ!$A$470)</f>
        <v>45610</v>
      </c>
      <c r="B470" s="28">
        <f>IF(履歴データ!$A$470="","",(履歴データ!$D$470-(履歴データ!$B$470+履歴データ!$F$470)/2)*100)</f>
        <v>-3.0000000000000249</v>
      </c>
      <c r="C470" s="28">
        <f>IF(履歴データ!$A$470="","",(履歴データ!$H$470-(履歴データ!$G$470+履歴データ!$J$470)/2)*100)</f>
        <v>-33.050000000000004</v>
      </c>
      <c r="D470" s="28">
        <f>IF(履歴データ!$A$470="","",(履歴データ!$D$470-履歴データ!$H$470)*100)</f>
        <v>336.09999999999997</v>
      </c>
      <c r="E470" s="28">
        <f>IF(履歴データ!$A$470="","",(履歴データ!$D$470-履歴データ!$C$470)*100)</f>
        <v>10.999999999999943</v>
      </c>
      <c r="F470" s="28">
        <f>IF(履歴データ!$A$470="","",(履歴データ!$R$470-履歴データ!$D$470)*100)</f>
        <v>-248.74999999999997</v>
      </c>
      <c r="G470" s="28">
        <f>IF(履歴データ!$A$470="","",(履歴データ!$S$470-履歴データ!$R$470)*100)</f>
        <v>-88.958000000000141</v>
      </c>
      <c r="H470" s="29">
        <f>IF(履歴データ!$A$470="","",履歴データ!$O$470)</f>
        <v>155.42900085449219</v>
      </c>
      <c r="I470" s="29">
        <f>IF(履歴データ!$A$470="","",履歴データ!$Q$470)</f>
        <v>109.546875</v>
      </c>
      <c r="J470" s="29">
        <f>IF(履歴データ!$A$470="","",履歴データ!$D$470)</f>
        <v>4.43</v>
      </c>
      <c r="K470" s="28">
        <f>IF(OR(履歴データ!$A$470="",履歴データ!$A$469=""),"",B470-B469)</f>
        <v>-2.000000000000135</v>
      </c>
      <c r="L470" s="28">
        <f>IF(OR(履歴データ!$A$470="",履歴データ!$A$469=""),"",C470-C469)</f>
        <v>0.30000000000001137</v>
      </c>
      <c r="M470" s="28">
        <f>IF(OR(履歴データ!$A$470="",履歴データ!$A$469=""),"",D470-D469)</f>
        <v>-2.6000000000000796</v>
      </c>
      <c r="N470" s="28">
        <f>IF(OR(履歴データ!$A$470="",履歴データ!$A$469=""),"",E470-E469)</f>
        <v>-3.0000000000001137</v>
      </c>
      <c r="O470" s="28">
        <f>IF(OR(履歴データ!$A$470="",履歴データ!$A$469=""),"",F470-F469)</f>
        <v>4.1100000000000705</v>
      </c>
      <c r="P470" s="28">
        <f>IF(OR(履歴データ!$A$470="",履歴データ!$A$469=""),"",G470-G469)</f>
        <v>-3.1099999999999994</v>
      </c>
      <c r="Q470" s="29">
        <f>IF(OR(履歴データ!$A$470="",履歴データ!$A$469=""),"",H470-H469)</f>
        <v>0.7740020751953125</v>
      </c>
      <c r="R470" s="29">
        <f>IF(OR(履歴データ!$A$470="",履歴データ!$A$469=""),"",I470-I469)</f>
        <v>0.125</v>
      </c>
      <c r="S470" s="28">
        <f>IF(OR(履歴データ!$A$470="",履歴データ!$A$469=""),"",(J470-J469)*100)</f>
        <v>-1.0000000000000675</v>
      </c>
      <c r="T470" s="11">
        <f>IF(OR(履歴データ!$A$470="",履歴データ!$A$469=""),"",-80000*K470)</f>
        <v>160000.0000000108</v>
      </c>
      <c r="U470" s="11">
        <f>IF(OR(履歴データ!$A$470="",履歴データ!$A$469=""),"",60000*L470)</f>
        <v>18000.000000000684</v>
      </c>
      <c r="V470" s="11">
        <f>IF(OR(履歴データ!$A$470="",履歴データ!$A$469=""),"",-50000*M470)</f>
        <v>130000.00000000397</v>
      </c>
      <c r="W470" s="11">
        <f>IF(OR(履歴データ!$A$470="",履歴データ!$A$469=""),"",-40000*N470)</f>
        <v>120000.00000000454</v>
      </c>
      <c r="X470" s="11">
        <f>IF(OR(履歴データ!$A$470="",履歴データ!$A$469=""),"",120*1000000*(-Q470/H469))</f>
        <v>-600564.15736024082</v>
      </c>
      <c r="Y470" s="11">
        <f>IF(OR(履歴データ!$A$470="",履歴データ!$A$469=""),"",40000*(-S470)+(-506.3)*R470*1000)</f>
        <v>-23287.499999997301</v>
      </c>
      <c r="Z470" s="11">
        <f>IF(OR(履歴データ!$A$470="",履歴データ!$A$469=""),"",-40000*O470)</f>
        <v>-164400.00000000282</v>
      </c>
      <c r="AA470" s="11">
        <f>IF(OR(履歴データ!$A$470="",履歴データ!$A$469=""),"",-40000*P470)</f>
        <v>124399.99999999997</v>
      </c>
      <c r="AB470" s="11">
        <f>IF(履歴データ!$A$470="","",123.3)</f>
        <v>123.3</v>
      </c>
      <c r="AC470">
        <f>IF(履歴データ!$A$470="","",SUM(T470:AA470))</f>
        <v>-235851.657360221</v>
      </c>
      <c r="AD470" s="29">
        <f>IF(履歴データ!$A$470="","",AC470/1000000)</f>
        <v>-0.23585165736022098</v>
      </c>
      <c r="AE470" s="29">
        <f>IF(履歴データ!$A$470="",AE469,AE469+AC470/1000000)</f>
        <v>72.092881716035166</v>
      </c>
      <c r="AF470" s="12">
        <f>IF(OR(履歴データ!$A$470="",AE469=0),"",(AE470-AE469)/AE469)</f>
        <v>-3.2608293600640825E-3</v>
      </c>
      <c r="AG470" s="29">
        <f t="shared" si="23"/>
        <v>102.17217746631495</v>
      </c>
      <c r="AH470" s="12">
        <f>IF(OR(履歴データ!$A$470="",AG470=0),"",AE470/AG470-1)</f>
        <v>-0.29439810813659717</v>
      </c>
      <c r="AJ470" s="28">
        <f t="shared" ca="1" si="21"/>
        <v>-6.3049097063786697</v>
      </c>
      <c r="AK470" s="28">
        <f t="shared" ca="1" si="22"/>
        <v>-36.576042674573713</v>
      </c>
    </row>
    <row r="471" spans="1:37">
      <c r="A471" s="10">
        <f>IF(履歴データ!$A$471="","",履歴データ!$A$471)</f>
        <v>45611</v>
      </c>
      <c r="B471" s="28">
        <f>IF(履歴データ!$A$471="","",(履歴データ!$D$471-(履歴データ!$B$471+履歴データ!$F$471)/2)*100)</f>
        <v>-2.5000000000000355</v>
      </c>
      <c r="C471" s="28">
        <f>IF(履歴データ!$A$471="","",(履歴データ!$H$471-(履歴データ!$G$471+履歴データ!$J$471)/2)*100)</f>
        <v>-32.599999999999987</v>
      </c>
      <c r="D471" s="28">
        <f>IF(履歴データ!$A$471="","",(履歴データ!$D$471-履歴データ!$H$471)*100)</f>
        <v>334.8</v>
      </c>
      <c r="E471" s="28">
        <f>IF(履歴データ!$A$471="","",(履歴データ!$D$471-履歴データ!$C$471)*100)</f>
        <v>12.999999999999989</v>
      </c>
      <c r="F471" s="28">
        <f>IF(履歴データ!$A$471="","",(履歴データ!$R$471-履歴データ!$D$471)*100)</f>
        <v>-255.91999999999996</v>
      </c>
      <c r="G471" s="28">
        <f>IF(履歴データ!$A$471="","",(履歴データ!$S$471-履歴データ!$R$471)*100)</f>
        <v>-80.911000000000129</v>
      </c>
      <c r="H471" s="29">
        <f>IF(履歴データ!$A$471="","",履歴データ!$O$471)</f>
        <v>156.46800231933594</v>
      </c>
      <c r="I471" s="29">
        <f>IF(履歴データ!$A$471="","",履歴データ!$Q$471)</f>
        <v>109.53125</v>
      </c>
      <c r="J471" s="29">
        <f>IF(履歴データ!$A$471="","",履歴データ!$D$471)</f>
        <v>4.43</v>
      </c>
      <c r="K471" s="28">
        <f>IF(OR(履歴データ!$A$471="",履歴データ!$A$470=""),"",B471-B470)</f>
        <v>0.49999999999998934</v>
      </c>
      <c r="L471" s="28">
        <f>IF(OR(履歴データ!$A$471="",履歴データ!$A$470=""),"",C471-C470)</f>
        <v>0.45000000000001705</v>
      </c>
      <c r="M471" s="28">
        <f>IF(OR(履歴データ!$A$471="",履歴データ!$A$470=""),"",D471-D470)</f>
        <v>-1.2999999999999545</v>
      </c>
      <c r="N471" s="28">
        <f>IF(OR(履歴データ!$A$471="",履歴データ!$A$470=""),"",E471-E470)</f>
        <v>2.0000000000000462</v>
      </c>
      <c r="O471" s="28">
        <f>IF(OR(履歴データ!$A$471="",履歴データ!$A$470=""),"",F471-F470)</f>
        <v>-7.1699999999999875</v>
      </c>
      <c r="P471" s="28">
        <f>IF(OR(履歴データ!$A$471="",履歴データ!$A$470=""),"",G471-G470)</f>
        <v>8.0470000000000113</v>
      </c>
      <c r="Q471" s="29">
        <f>IF(OR(履歴データ!$A$471="",履歴データ!$A$470=""),"",H471-H470)</f>
        <v>1.03900146484375</v>
      </c>
      <c r="R471" s="29">
        <f>IF(OR(履歴データ!$A$471="",履歴データ!$A$470=""),"",I471-I470)</f>
        <v>-1.5625E-2</v>
      </c>
      <c r="S471" s="28">
        <f>IF(OR(履歴データ!$A$471="",履歴データ!$A$470=""),"",(J471-J470)*100)</f>
        <v>0</v>
      </c>
      <c r="T471" s="11">
        <f>IF(OR(履歴データ!$A$471="",履歴データ!$A$470=""),"",-80000*K471)</f>
        <v>-39999.999999999149</v>
      </c>
      <c r="U471" s="11">
        <f>IF(OR(履歴データ!$A$471="",履歴データ!$A$470=""),"",60000*L471)</f>
        <v>27000.000000001022</v>
      </c>
      <c r="V471" s="11">
        <f>IF(OR(履歴データ!$A$471="",履歴データ!$A$470=""),"",-50000*M471)</f>
        <v>64999.99999999773</v>
      </c>
      <c r="W471" s="11">
        <f>IF(OR(履歴データ!$A$471="",履歴データ!$A$470=""),"",-40000*N471)</f>
        <v>-80000.000000001848</v>
      </c>
      <c r="X471" s="11">
        <f>IF(OR(履歴データ!$A$471="",履歴データ!$A$470=""),"",120*1000000*(-Q471/H470))</f>
        <v>-802168.0323221772</v>
      </c>
      <c r="Y471" s="11">
        <f>IF(OR(履歴データ!$A$471="",履歴データ!$A$470=""),"",40000*(-S471)+(-506.3)*R471*1000)</f>
        <v>7910.9375</v>
      </c>
      <c r="Z471" s="11">
        <f>IF(OR(履歴データ!$A$471="",履歴データ!$A$470=""),"",-40000*O471)</f>
        <v>286799.99999999948</v>
      </c>
      <c r="AA471" s="11">
        <f>IF(OR(履歴データ!$A$471="",履歴データ!$A$470=""),"",-40000*P471)</f>
        <v>-321880.00000000047</v>
      </c>
      <c r="AB471" s="11">
        <f>IF(履歴データ!$A$471="","",123.3)</f>
        <v>123.3</v>
      </c>
      <c r="AC471">
        <f>IF(履歴データ!$A$471="","",SUM(T471:AA471))</f>
        <v>-857337.09482218046</v>
      </c>
      <c r="AD471" s="29">
        <f>IF(履歴データ!$A$471="","",AC471/1000000)</f>
        <v>-0.85733709482218046</v>
      </c>
      <c r="AE471" s="29">
        <f>IF(履歴データ!$A$471="",AE470,AE470+AC471/1000000)</f>
        <v>71.235544621212981</v>
      </c>
      <c r="AF471" s="12">
        <f>IF(OR(履歴データ!$A$471="",AE470=0),"",(AE471-AE470)/AE470)</f>
        <v>-1.1892118533964678E-2</v>
      </c>
      <c r="AG471" s="29">
        <f t="shared" si="23"/>
        <v>102.17217746631495</v>
      </c>
      <c r="AH471" s="12">
        <f>IF(OR(履歴データ!$A$471="",AG471=0),"",AE471/AG471-1)</f>
        <v>-0.30278920947242649</v>
      </c>
      <c r="AJ471" s="28">
        <f t="shared" ca="1" si="21"/>
        <v>-6.0356080688820004</v>
      </c>
      <c r="AK471" s="28">
        <f t="shared" ca="1" si="22"/>
        <v>-36.662804629530697</v>
      </c>
    </row>
    <row r="472" spans="1:37">
      <c r="A472" s="10">
        <f>IF(履歴データ!$A$472="","",履歴データ!$A$472)</f>
        <v>45614</v>
      </c>
      <c r="B472" s="28">
        <f>IF(履歴データ!$A$472="","",(履歴データ!$D$472-(履歴データ!$B$472+履歴データ!$F$472)/2)*100)</f>
        <v>-3.0000000000000249</v>
      </c>
      <c r="C472" s="28">
        <f>IF(履歴データ!$A$472="","",(履歴データ!$H$472-(履歴データ!$G$472+履歴データ!$J$472)/2)*100)</f>
        <v>-32.699999999999996</v>
      </c>
      <c r="D472" s="28">
        <f>IF(履歴データ!$A$472="","",(履歴データ!$D$472-履歴データ!$H$472)*100)</f>
        <v>333.7</v>
      </c>
      <c r="E472" s="28">
        <f>IF(履歴データ!$A$472="","",(履歴データ!$D$472-履歴データ!$C$472)*100)</f>
        <v>13.999999999999968</v>
      </c>
      <c r="F472" s="28">
        <f>IF(履歴データ!$A$472="","",(履歴データ!$R$472-履歴データ!$D$472)*100)</f>
        <v>-260.12</v>
      </c>
      <c r="G472" s="28">
        <f>IF(履歴データ!$A$472="","",(履歴データ!$S$472-履歴データ!$R$472)*100)</f>
        <v>-75.360178588867342</v>
      </c>
      <c r="H472" s="29">
        <f>IF(履歴データ!$A$472="","",履歴データ!$O$472)</f>
        <v>154.66400146484375</v>
      </c>
      <c r="I472" s="29">
        <f>IF(履歴データ!$A$472="","",履歴データ!$Q$472)</f>
        <v>109.625</v>
      </c>
      <c r="J472" s="29">
        <f>IF(履歴データ!$A$472="","",履歴データ!$D$472)</f>
        <v>4.42</v>
      </c>
      <c r="K472" s="28">
        <f>IF(OR(履歴データ!$A$472="",履歴データ!$A$471=""),"",B472-B471)</f>
        <v>-0.49999999999998934</v>
      </c>
      <c r="L472" s="28">
        <f>IF(OR(履歴データ!$A$472="",履歴データ!$A$471=""),"",C472-C471)</f>
        <v>-0.10000000000000853</v>
      </c>
      <c r="M472" s="28">
        <f>IF(OR(履歴データ!$A$472="",履歴データ!$A$471=""),"",D472-D471)</f>
        <v>-1.1000000000000227</v>
      </c>
      <c r="N472" s="28">
        <f>IF(OR(履歴データ!$A$472="",履歴データ!$A$471=""),"",E472-E471)</f>
        <v>0.99999999999997868</v>
      </c>
      <c r="O472" s="28">
        <f>IF(OR(履歴データ!$A$472="",履歴データ!$A$471=""),"",F472-F471)</f>
        <v>-4.2000000000000455</v>
      </c>
      <c r="P472" s="28">
        <f>IF(OR(履歴データ!$A$472="",履歴データ!$A$471=""),"",G472-G471)</f>
        <v>5.5508214111327874</v>
      </c>
      <c r="Q472" s="29">
        <f>IF(OR(履歴データ!$A$472="",履歴データ!$A$471=""),"",H472-H471)</f>
        <v>-1.8040008544921875</v>
      </c>
      <c r="R472" s="29">
        <f>IF(OR(履歴データ!$A$472="",履歴データ!$A$471=""),"",I472-I471)</f>
        <v>9.375E-2</v>
      </c>
      <c r="S472" s="28">
        <f>IF(OR(履歴データ!$A$472="",履歴データ!$A$471=""),"",(J472-J471)*100)</f>
        <v>-0.99999999999997868</v>
      </c>
      <c r="T472" s="11">
        <f>IF(OR(履歴データ!$A$472="",履歴データ!$A$471=""),"",-80000*K472)</f>
        <v>39999.999999999149</v>
      </c>
      <c r="U472" s="11">
        <f>IF(OR(履歴データ!$A$472="",履歴データ!$A$471=""),"",60000*L472)</f>
        <v>-6000.0000000005111</v>
      </c>
      <c r="V472" s="11">
        <f>IF(OR(履歴データ!$A$472="",履歴データ!$A$471=""),"",-50000*M472)</f>
        <v>55000.000000001135</v>
      </c>
      <c r="W472" s="11">
        <f>IF(OR(履歴データ!$A$472="",履歴データ!$A$471=""),"",-40000*N472)</f>
        <v>-39999.999999999149</v>
      </c>
      <c r="X472" s="11">
        <f>IF(OR(履歴データ!$A$472="",履歴データ!$A$471=""),"",120*1000000*(-Q472/H471))</f>
        <v>1383542.3174717072</v>
      </c>
      <c r="Y472" s="11">
        <f>IF(OR(履歴データ!$A$472="",履歴データ!$A$471=""),"",40000*(-S472)+(-506.3)*R472*1000)</f>
        <v>-7465.6250000008513</v>
      </c>
      <c r="Z472" s="11">
        <f>IF(OR(履歴データ!$A$472="",履歴データ!$A$471=""),"",-40000*O472)</f>
        <v>168000.0000000018</v>
      </c>
      <c r="AA472" s="11">
        <f>IF(OR(履歴データ!$A$472="",履歴データ!$A$471=""),"",-40000*P472)</f>
        <v>-222032.85644531148</v>
      </c>
      <c r="AB472" s="11">
        <f>IF(履歴データ!$A$472="","",123.3)</f>
        <v>123.3</v>
      </c>
      <c r="AC472">
        <f>IF(履歴データ!$A$472="","",SUM(T472:AA472))</f>
        <v>1371043.8360263973</v>
      </c>
      <c r="AD472" s="29">
        <f>IF(履歴データ!$A$472="","",AC472/1000000)</f>
        <v>1.3710438360263972</v>
      </c>
      <c r="AE472" s="29">
        <f>IF(履歴データ!$A$472="",AE471,AE471+AC472/1000000)</f>
        <v>72.606588457239383</v>
      </c>
      <c r="AF472" s="12">
        <f>IF(OR(履歴データ!$A$472="",AE471=0),"",(AE472-AE471)/AE471)</f>
        <v>1.9246625309271851E-2</v>
      </c>
      <c r="AG472" s="29">
        <f t="shared" si="23"/>
        <v>102.17217746631495</v>
      </c>
      <c r="AH472" s="12">
        <f>IF(OR(履歴データ!$A$472="",AG472=0),"",AE472/AG472-1)</f>
        <v>-0.28937025462556099</v>
      </c>
      <c r="AJ472" s="28">
        <f t="shared" ca="1" si="21"/>
        <v>-5.782937149864054</v>
      </c>
      <c r="AK472" s="28">
        <f t="shared" ca="1" si="22"/>
        <v>-36.728967612040705</v>
      </c>
    </row>
    <row r="473" spans="1:37">
      <c r="A473" s="10">
        <f>IF(履歴データ!$A$473="","",履歴データ!$A$473)</f>
        <v>45615</v>
      </c>
      <c r="B473" s="28">
        <f>IF(履歴データ!$A$473="","",(履歴データ!$D$473-(履歴データ!$B$473+履歴データ!$F$473)/2)*100)</f>
        <v>-3.0000000000000249</v>
      </c>
      <c r="C473" s="28">
        <f>IF(履歴データ!$A$473="","",(履歴データ!$H$473-(履歴データ!$G$473+履歴データ!$J$473)/2)*100)</f>
        <v>-32.599999999999987</v>
      </c>
      <c r="D473" s="28">
        <f>IF(履歴データ!$A$473="","",(履歴データ!$D$473-履歴データ!$H$473)*100)</f>
        <v>331.19999999999993</v>
      </c>
      <c r="E473" s="28">
        <f>IF(履歴データ!$A$473="","",(履歴データ!$D$473-履歴データ!$C$473)*100)</f>
        <v>13.999999999999968</v>
      </c>
      <c r="F473" s="28">
        <f>IF(履歴データ!$A$473="","",(履歴データ!$R$473-履歴データ!$D$473)*100)</f>
        <v>-255.72999999999996</v>
      </c>
      <c r="G473" s="28">
        <f>IF(履歴データ!$A$473="","",(履歴データ!$S$473-履歴データ!$R$473)*100)</f>
        <v>-72.891357177734491</v>
      </c>
      <c r="H473" s="29">
        <f>IF(履歴データ!$A$473="","",履歴データ!$O$473)</f>
        <v>154.61700439453125</v>
      </c>
      <c r="I473" s="29">
        <f>IF(履歴データ!$A$473="","",履歴データ!$Q$473)</f>
        <v>109.84375</v>
      </c>
      <c r="J473" s="29">
        <f>IF(履歴データ!$A$473="","",履歴データ!$D$473)</f>
        <v>4.3899999999999997</v>
      </c>
      <c r="K473" s="28">
        <f>IF(OR(履歴データ!$A$473="",履歴データ!$A$472=""),"",B473-B472)</f>
        <v>0</v>
      </c>
      <c r="L473" s="28">
        <f>IF(OR(履歴データ!$A$473="",履歴データ!$A$472=""),"",C473-C472)</f>
        <v>0.10000000000000853</v>
      </c>
      <c r="M473" s="28">
        <f>IF(OR(履歴データ!$A$473="",履歴データ!$A$472=""),"",D473-D472)</f>
        <v>-2.5000000000000568</v>
      </c>
      <c r="N473" s="28">
        <f>IF(OR(履歴データ!$A$473="",履歴データ!$A$472=""),"",E473-E472)</f>
        <v>0</v>
      </c>
      <c r="O473" s="28">
        <f>IF(OR(履歴データ!$A$473="",履歴データ!$A$472=""),"",F473-F472)</f>
        <v>4.3900000000000432</v>
      </c>
      <c r="P473" s="28">
        <f>IF(OR(履歴データ!$A$473="",履歴データ!$A$472=""),"",G473-G472)</f>
        <v>2.4688214111328506</v>
      </c>
      <c r="Q473" s="29">
        <f>IF(OR(履歴データ!$A$473="",履歴データ!$A$472=""),"",H473-H472)</f>
        <v>-4.69970703125E-2</v>
      </c>
      <c r="R473" s="29">
        <f>IF(OR(履歴データ!$A$473="",履歴データ!$A$472=""),"",I473-I472)</f>
        <v>0.21875</v>
      </c>
      <c r="S473" s="28">
        <f>IF(OR(履歴データ!$A$473="",履歴データ!$A$472=""),"",(J473-J472)*100)</f>
        <v>-3.0000000000000249</v>
      </c>
      <c r="T473" s="11">
        <f>IF(OR(履歴データ!$A$473="",履歴データ!$A$472=""),"",-80000*K473)</f>
        <v>0</v>
      </c>
      <c r="U473" s="11">
        <f>IF(OR(履歴データ!$A$473="",履歴データ!$A$472=""),"",60000*L473)</f>
        <v>6000.0000000005111</v>
      </c>
      <c r="V473" s="11">
        <f>IF(OR(履歴データ!$A$473="",履歴データ!$A$472=""),"",-50000*M473)</f>
        <v>125000.00000000284</v>
      </c>
      <c r="W473" s="11">
        <f>IF(OR(履歴データ!$A$473="",履歴データ!$A$472=""),"",-40000*N473)</f>
        <v>0</v>
      </c>
      <c r="X473" s="11">
        <f>IF(OR(履歴データ!$A$473="",履歴データ!$A$472=""),"",120*1000000*(-Q473/H472))</f>
        <v>36463.872550083564</v>
      </c>
      <c r="Y473" s="11">
        <f>IF(OR(履歴データ!$A$473="",履歴データ!$A$472=""),"",40000*(-S473)+(-506.3)*R473*1000)</f>
        <v>9246.8750000009895</v>
      </c>
      <c r="Z473" s="11">
        <f>IF(OR(履歴データ!$A$473="",履歴データ!$A$472=""),"",-40000*O473)</f>
        <v>-175600.00000000172</v>
      </c>
      <c r="AA473" s="11">
        <f>IF(OR(履歴データ!$A$473="",履歴データ!$A$472=""),"",-40000*P473)</f>
        <v>-98752.856445314028</v>
      </c>
      <c r="AB473" s="11">
        <f>IF(履歴データ!$A$473="","",123.3)</f>
        <v>123.3</v>
      </c>
      <c r="AC473">
        <f>IF(履歴データ!$A$473="","",SUM(T473:AA473))</f>
        <v>-97642.108895227851</v>
      </c>
      <c r="AD473" s="29">
        <f>IF(履歴データ!$A$473="","",AC473/1000000)</f>
        <v>-9.7642108895227855E-2</v>
      </c>
      <c r="AE473" s="29">
        <f>IF(履歴データ!$A$473="",AE472,AE472+AC473/1000000)</f>
        <v>72.508946348344153</v>
      </c>
      <c r="AF473" s="12">
        <f>IF(OR(履歴データ!$A$473="",AE472=0),"",(AE473-AE472)/AE472)</f>
        <v>-1.3448105877159372E-3</v>
      </c>
      <c r="AG473" s="29">
        <f t="shared" si="23"/>
        <v>102.17217746631495</v>
      </c>
      <c r="AH473" s="12">
        <f>IF(OR(履歴データ!$A$473="",AG473=0),"",AE473/AG473-1)</f>
        <v>-0.29032591703108646</v>
      </c>
      <c r="AJ473" s="28">
        <f t="shared" ca="1" si="21"/>
        <v>-5.5335175951380329</v>
      </c>
      <c r="AK473" s="28">
        <f t="shared" ca="1" si="22"/>
        <v>-36.795847484227053</v>
      </c>
    </row>
    <row r="474" spans="1:37">
      <c r="A474" s="10">
        <f>IF(履歴データ!$A$474="","",履歴データ!$A$474)</f>
        <v>45616</v>
      </c>
      <c r="B474" s="28">
        <f>IF(履歴データ!$A$474="","",(履歴データ!$D$474-(履歴データ!$B$474+履歴データ!$F$474)/2)*100)</f>
        <v>-3.9999999999999147</v>
      </c>
      <c r="C474" s="28">
        <f>IF(履歴データ!$A$474="","",(履歴データ!$H$474-(履歴データ!$G$474+履歴データ!$J$474)/2)*100)</f>
        <v>-32.750000000000014</v>
      </c>
      <c r="D474" s="28">
        <f>IF(履歴データ!$A$474="","",(履歴データ!$D$474-履歴データ!$H$474)*100)</f>
        <v>333.3</v>
      </c>
      <c r="E474" s="28">
        <f>IF(履歴データ!$A$474="","",(履歴データ!$D$474-履歴データ!$C$474)*100)</f>
        <v>12.999999999999989</v>
      </c>
      <c r="F474" s="28">
        <f>IF(履歴データ!$A$474="","",(履歴データ!$R$474-履歴データ!$D$474)*100)</f>
        <v>-259.47000000000003</v>
      </c>
      <c r="G474" s="28">
        <f>IF(履歴データ!$A$474="","",(履歴データ!$S$474-履歴データ!$R$474)*100)</f>
        <v>-75.887178588867357</v>
      </c>
      <c r="H474" s="29">
        <f>IF(履歴データ!$A$474="","",履歴データ!$O$474)</f>
        <v>154.71800231933594</v>
      </c>
      <c r="I474" s="29">
        <f>IF(履歴データ!$A$474="","",履歴データ!$Q$474)</f>
        <v>109.6875</v>
      </c>
      <c r="J474" s="29">
        <f>IF(履歴データ!$A$474="","",履歴データ!$D$474)</f>
        <v>4.41</v>
      </c>
      <c r="K474" s="28">
        <f>IF(OR(履歴データ!$A$474="",履歴データ!$A$473=""),"",B474-B473)</f>
        <v>-0.99999999999988987</v>
      </c>
      <c r="L474" s="28">
        <f>IF(OR(履歴データ!$A$474="",履歴データ!$A$473=""),"",C474-C473)</f>
        <v>-0.150000000000027</v>
      </c>
      <c r="M474" s="28">
        <f>IF(OR(履歴データ!$A$474="",履歴データ!$A$473=""),"",D474-D473)</f>
        <v>2.1000000000000796</v>
      </c>
      <c r="N474" s="28">
        <f>IF(OR(履歴データ!$A$474="",履歴データ!$A$473=""),"",E474-E473)</f>
        <v>-0.99999999999997868</v>
      </c>
      <c r="O474" s="28">
        <f>IF(OR(履歴データ!$A$474="",履歴データ!$A$473=""),"",F474-F473)</f>
        <v>-3.7400000000000659</v>
      </c>
      <c r="P474" s="28">
        <f>IF(OR(履歴データ!$A$474="",履歴データ!$A$473=""),"",G474-G473)</f>
        <v>-2.9958214111328658</v>
      </c>
      <c r="Q474" s="29">
        <f>IF(OR(履歴データ!$A$474="",履歴データ!$A$473=""),"",H474-H473)</f>
        <v>0.1009979248046875</v>
      </c>
      <c r="R474" s="29">
        <f>IF(OR(履歴データ!$A$474="",履歴データ!$A$473=""),"",I474-I473)</f>
        <v>-0.15625</v>
      </c>
      <c r="S474" s="28">
        <f>IF(OR(履歴データ!$A$474="",履歴データ!$A$473=""),"",(J474-J473)*100)</f>
        <v>2.0000000000000462</v>
      </c>
      <c r="T474" s="11">
        <f>IF(OR(履歴データ!$A$474="",履歴データ!$A$473=""),"",-80000*K474)</f>
        <v>79999.999999991196</v>
      </c>
      <c r="U474" s="11">
        <f>IF(OR(履歴データ!$A$474="",履歴データ!$A$473=""),"",60000*L474)</f>
        <v>-9000.0000000016207</v>
      </c>
      <c r="V474" s="11">
        <f>IF(OR(履歴データ!$A$474="",履歴データ!$A$473=""),"",-50000*M474)</f>
        <v>-105000.00000000397</v>
      </c>
      <c r="W474" s="11">
        <f>IF(OR(履歴データ!$A$474="",履歴データ!$A$473=""),"",-40000*N474)</f>
        <v>39999.999999999149</v>
      </c>
      <c r="X474" s="11">
        <f>IF(OR(履歴データ!$A$474="",履歴データ!$A$473=""),"",120*1000000*(-Q474/H473))</f>
        <v>-78385.627919920895</v>
      </c>
      <c r="Y474" s="11">
        <f>IF(OR(履歴データ!$A$474="",履歴データ!$A$473=""),"",40000*(-S474)+(-506.3)*R474*1000)</f>
        <v>-890.62500000184809</v>
      </c>
      <c r="Z474" s="11">
        <f>IF(OR(履歴データ!$A$474="",履歴データ!$A$473=""),"",-40000*O474)</f>
        <v>149600.00000000265</v>
      </c>
      <c r="AA474" s="11">
        <f>IF(OR(履歴データ!$A$474="",履歴データ!$A$473=""),"",-40000*P474)</f>
        <v>119832.85644531464</v>
      </c>
      <c r="AB474" s="11">
        <f>IF(履歴データ!$A$474="","",123.3)</f>
        <v>123.3</v>
      </c>
      <c r="AC474">
        <f>IF(履歴データ!$A$474="","",SUM(T474:AA474))</f>
        <v>196156.60352537929</v>
      </c>
      <c r="AD474" s="29">
        <f>IF(履歴データ!$A$474="","",AC474/1000000)</f>
        <v>0.19615660352537928</v>
      </c>
      <c r="AE474" s="29">
        <f>IF(履歴データ!$A$474="",AE473,AE473+AC474/1000000)</f>
        <v>72.705102951869534</v>
      </c>
      <c r="AF474" s="12">
        <f>IF(OR(履歴データ!$A$474="",AE473=0),"",(AE474-AE473)/AE473)</f>
        <v>2.7052744992737097E-3</v>
      </c>
      <c r="AG474" s="29">
        <f t="shared" si="23"/>
        <v>102.17217746631495</v>
      </c>
      <c r="AH474" s="12">
        <f>IF(OR(履歴データ!$A$474="",AG474=0),"",AE474/AG474-1)</f>
        <v>-0.2884060538316352</v>
      </c>
      <c r="AJ474" s="28">
        <f t="shared" ca="1" si="21"/>
        <v>-5.3135704510926782</v>
      </c>
      <c r="AK474" s="28">
        <f t="shared" ca="1" si="22"/>
        <v>-36.825318437796206</v>
      </c>
    </row>
    <row r="475" spans="1:37">
      <c r="A475" s="10">
        <f>IF(履歴データ!$A$475="","",履歴データ!$A$475)</f>
        <v>45617</v>
      </c>
      <c r="B475" s="28">
        <f>IF(履歴データ!$A$475="","",(履歴データ!$D$475-(履歴データ!$B$475+履歴データ!$F$475)/2)*100)</f>
        <v>-4.4999999999999929</v>
      </c>
      <c r="C475" s="28">
        <f>IF(履歴データ!$A$475="","",(履歴データ!$H$475-(履歴データ!$G$475+履歴データ!$J$475)/2)*100)</f>
        <v>-30.899999999999995</v>
      </c>
      <c r="D475" s="28">
        <f>IF(履歴データ!$A$475="","",(履歴データ!$D$475-履歴データ!$H$475)*100)</f>
        <v>332.4</v>
      </c>
      <c r="E475" s="28">
        <f>IF(履歴データ!$A$475="","",(履歴データ!$D$475-履歴データ!$C$475)*100)</f>
        <v>12.999999999999989</v>
      </c>
      <c r="F475" s="28">
        <f>IF(履歴データ!$A$475="","",(履歴データ!$R$475-履歴データ!$D$475)*100)</f>
        <v>-255.11999999999998</v>
      </c>
      <c r="G475" s="28">
        <f>IF(履歴データ!$A$475="","",(履歴データ!$S$475-履歴データ!$R$475)*100)</f>
        <v>-79.430821411132868</v>
      </c>
      <c r="H475" s="29">
        <f>IF(履歴データ!$A$475="","",履歴データ!$O$475)</f>
        <v>155.29499816894531</v>
      </c>
      <c r="I475" s="29">
        <f>IF(履歴データ!$A$475="","",履歴データ!$Q$475)</f>
        <v>109.5</v>
      </c>
      <c r="J475" s="29">
        <f>IF(履歴データ!$A$475="","",履歴データ!$D$475)</f>
        <v>4.43</v>
      </c>
      <c r="K475" s="28">
        <f>IF(OR(履歴データ!$A$475="",履歴データ!$A$474=""),"",B475-B474)</f>
        <v>-0.50000000000007816</v>
      </c>
      <c r="L475" s="28">
        <f>IF(OR(履歴データ!$A$475="",履歴データ!$A$474=""),"",C475-C474)</f>
        <v>1.8500000000000192</v>
      </c>
      <c r="M475" s="28">
        <f>IF(OR(履歴データ!$A$475="",履歴データ!$A$474=""),"",D475-D474)</f>
        <v>-0.90000000000003411</v>
      </c>
      <c r="N475" s="28">
        <f>IF(OR(履歴データ!$A$475="",履歴データ!$A$474=""),"",E475-E474)</f>
        <v>0</v>
      </c>
      <c r="O475" s="28">
        <f>IF(OR(履歴データ!$A$475="",履歴データ!$A$474=""),"",F475-F474)</f>
        <v>4.3500000000000512</v>
      </c>
      <c r="P475" s="28">
        <f>IF(OR(履歴データ!$A$475="",履歴データ!$A$474=""),"",G475-G474)</f>
        <v>-3.543642822265511</v>
      </c>
      <c r="Q475" s="29">
        <f>IF(OR(履歴データ!$A$475="",履歴データ!$A$474=""),"",H475-H474)</f>
        <v>0.576995849609375</v>
      </c>
      <c r="R475" s="29">
        <f>IF(OR(履歴データ!$A$475="",履歴データ!$A$474=""),"",I475-I474)</f>
        <v>-0.1875</v>
      </c>
      <c r="S475" s="28">
        <f>IF(OR(履歴データ!$A$475="",履歴データ!$A$474=""),"",(J475-J474)*100)</f>
        <v>1.9999999999999574</v>
      </c>
      <c r="T475" s="11">
        <f>IF(OR(履歴データ!$A$475="",履歴データ!$A$474=""),"",-80000*K475)</f>
        <v>40000.00000000625</v>
      </c>
      <c r="U475" s="11">
        <f>IF(OR(履歴データ!$A$475="",履歴データ!$A$474=""),"",60000*L475)</f>
        <v>111000.00000000115</v>
      </c>
      <c r="V475" s="11">
        <f>IF(OR(履歴データ!$A$475="",履歴データ!$A$474=""),"",-50000*M475)</f>
        <v>45000.000000001703</v>
      </c>
      <c r="W475" s="11">
        <f>IF(OR(履歴データ!$A$475="",履歴データ!$A$474=""),"",-40000*N475)</f>
        <v>0</v>
      </c>
      <c r="X475" s="11">
        <f>IF(OR(履歴データ!$A$475="",履歴データ!$A$474=""),"",120*1000000*(-Q475/H474))</f>
        <v>-447520.65638887696</v>
      </c>
      <c r="Y475" s="11">
        <f>IF(OR(履歴データ!$A$475="",履歴データ!$A$474=""),"",40000*(-S475)+(-506.3)*R475*1000)</f>
        <v>14931.250000001703</v>
      </c>
      <c r="Z475" s="11">
        <f>IF(OR(履歴データ!$A$475="",履歴データ!$A$474=""),"",-40000*O475)</f>
        <v>-174000.00000000204</v>
      </c>
      <c r="AA475" s="11">
        <f>IF(OR(履歴データ!$A$475="",履歴データ!$A$474=""),"",-40000*P475)</f>
        <v>141745.71289062043</v>
      </c>
      <c r="AB475" s="11">
        <f>IF(履歴データ!$A$475="","",123.3)</f>
        <v>123.3</v>
      </c>
      <c r="AC475">
        <f>IF(履歴データ!$A$475="","",SUM(T475:AA475))</f>
        <v>-268843.69349824777</v>
      </c>
      <c r="AD475" s="29">
        <f>IF(履歴データ!$A$475="","",AC475/1000000)</f>
        <v>-0.26884369349824777</v>
      </c>
      <c r="AE475" s="29">
        <f>IF(履歴データ!$A$475="",AE474,AE474+AC475/1000000)</f>
        <v>72.43625925837128</v>
      </c>
      <c r="AF475" s="12">
        <f>IF(OR(履歴データ!$A$475="",AE474=0),"",(AE475-AE474)/AE474)</f>
        <v>-3.6977279803348624E-3</v>
      </c>
      <c r="AG475" s="29">
        <f t="shared" si="23"/>
        <v>102.17217746631495</v>
      </c>
      <c r="AH475" s="12">
        <f>IF(OR(履歴データ!$A$475="",AG475=0),"",AE475/AG475-1)</f>
        <v>-0.29103733467701887</v>
      </c>
      <c r="AJ475" s="28">
        <f t="shared" ca="1" si="21"/>
        <v>-5.1130433222916363</v>
      </c>
      <c r="AK475" s="28">
        <f t="shared" ca="1" si="22"/>
        <v>-36.827432868184552</v>
      </c>
    </row>
    <row r="476" spans="1:37">
      <c r="A476" s="10">
        <f>IF(履歴データ!$A$476="","",履歴データ!$A$476)</f>
        <v>45618</v>
      </c>
      <c r="B476" s="28">
        <f>IF(履歴データ!$A$476="","",(履歴データ!$D$476-(履歴データ!$B$476+履歴データ!$F$476)/2)*100)</f>
        <v>-7.4999999999999289</v>
      </c>
      <c r="C476" s="28">
        <f>IF(履歴データ!$A$476="","",(履歴データ!$H$476-(履歴データ!$G$476+履歴データ!$J$476)/2)*100)</f>
        <v>-33.049999999999983</v>
      </c>
      <c r="D476" s="28">
        <f>IF(履歴データ!$A$476="","",(履歴データ!$D$476-履歴データ!$H$476)*100)</f>
        <v>331.8</v>
      </c>
      <c r="E476" s="28">
        <f>IF(履歴データ!$A$476="","",(履歴データ!$D$476-履歴データ!$C$476)*100)</f>
        <v>11.000000000000032</v>
      </c>
      <c r="F476" s="28">
        <f>IF(履歴データ!$A$476="","",(履歴データ!$R$476-履歴データ!$D$476)*100)</f>
        <v>-255.57</v>
      </c>
      <c r="G476" s="28">
        <f>IF(履歴データ!$A$476="","",(履歴データ!$S$476-履歴データ!$R$476)*100)</f>
        <v>-77.857821411132889</v>
      </c>
      <c r="H476" s="29">
        <f>IF(履歴データ!$A$476="","",履歴データ!$O$476)</f>
        <v>154.21800231933594</v>
      </c>
      <c r="I476" s="29">
        <f>IF(履歴データ!$A$476="","",履歴データ!$Q$476)</f>
        <v>109.640625</v>
      </c>
      <c r="J476" s="29">
        <f>IF(履歴データ!$A$476="","",履歴データ!$D$476)</f>
        <v>4.41</v>
      </c>
      <c r="K476" s="28">
        <f>IF(OR(履歴データ!$A$476="",履歴データ!$A$475=""),"",B476-B475)</f>
        <v>-2.9999999999999361</v>
      </c>
      <c r="L476" s="28">
        <f>IF(OR(履歴データ!$A$476="",履歴データ!$A$475=""),"",C476-C475)</f>
        <v>-2.1499999999999879</v>
      </c>
      <c r="M476" s="28">
        <f>IF(OR(履歴データ!$A$476="",履歴データ!$A$475=""),"",D476-D475)</f>
        <v>-0.59999999999996589</v>
      </c>
      <c r="N476" s="28">
        <f>IF(OR(履歴データ!$A$476="",履歴データ!$A$475=""),"",E476-E475)</f>
        <v>-1.9999999999999574</v>
      </c>
      <c r="O476" s="28">
        <f>IF(OR(履歴データ!$A$476="",履歴データ!$A$475=""),"",F476-F475)</f>
        <v>-0.45000000000001705</v>
      </c>
      <c r="P476" s="28">
        <f>IF(OR(履歴データ!$A$476="",履歴データ!$A$475=""),"",G476-G475)</f>
        <v>1.5729999999999791</v>
      </c>
      <c r="Q476" s="29">
        <f>IF(OR(履歴データ!$A$476="",履歴データ!$A$475=""),"",H476-H475)</f>
        <v>-1.076995849609375</v>
      </c>
      <c r="R476" s="29">
        <f>IF(OR(履歴データ!$A$476="",履歴データ!$A$475=""),"",I476-I475)</f>
        <v>0.140625</v>
      </c>
      <c r="S476" s="28">
        <f>IF(OR(履歴データ!$A$476="",履歴データ!$A$475=""),"",(J476-J475)*100)</f>
        <v>-1.9999999999999574</v>
      </c>
      <c r="T476" s="11">
        <f>IF(OR(履歴データ!$A$476="",履歴データ!$A$475=""),"",-80000*K476)</f>
        <v>239999.99999999488</v>
      </c>
      <c r="U476" s="11">
        <f>IF(OR(履歴データ!$A$476="",履歴データ!$A$475=""),"",60000*L476)</f>
        <v>-128999.99999999927</v>
      </c>
      <c r="V476" s="11">
        <f>IF(OR(履歴データ!$A$476="",履歴データ!$A$475=""),"",-50000*M476)</f>
        <v>29999.999999998294</v>
      </c>
      <c r="W476" s="11">
        <f>IF(OR(履歴データ!$A$476="",履歴データ!$A$475=""),"",-40000*N476)</f>
        <v>79999.999999998297</v>
      </c>
      <c r="X476" s="11">
        <f>IF(OR(履歴データ!$A$476="",履歴データ!$A$475=""),"",120*1000000*(-Q476/H475))</f>
        <v>832219.3469008283</v>
      </c>
      <c r="Y476" s="11">
        <f>IF(OR(履歴データ!$A$476="",履歴データ!$A$475=""),"",40000*(-S476)+(-506.3)*R476*1000)</f>
        <v>8801.5624999982974</v>
      </c>
      <c r="Z476" s="11">
        <f>IF(OR(履歴データ!$A$476="",履歴データ!$A$475=""),"",-40000*O476)</f>
        <v>18000.000000000684</v>
      </c>
      <c r="AA476" s="11">
        <f>IF(OR(履歴データ!$A$476="",履歴データ!$A$475=""),"",-40000*P476)</f>
        <v>-62919.999999999163</v>
      </c>
      <c r="AB476" s="11">
        <f>IF(履歴データ!$A$476="","",123.3)</f>
        <v>123.3</v>
      </c>
      <c r="AC476">
        <f>IF(履歴データ!$A$476="","",SUM(T476:AA476))</f>
        <v>1017100.9094008204</v>
      </c>
      <c r="AD476" s="29">
        <f>IF(履歴データ!$A$476="","",AC476/1000000)</f>
        <v>1.0171009094008203</v>
      </c>
      <c r="AE476" s="29">
        <f>IF(履歴データ!$A$476="",AE475,AE475+AC476/1000000)</f>
        <v>73.453360167772104</v>
      </c>
      <c r="AF476" s="12">
        <f>IF(OR(履歴データ!$A$476="",AE475=0),"",(AE476-AE475)/AE475)</f>
        <v>1.4041322948123942E-2</v>
      </c>
      <c r="AG476" s="29">
        <f t="shared" si="23"/>
        <v>102.17217746631495</v>
      </c>
      <c r="AH476" s="12">
        <f>IF(OR(履歴データ!$A$476="",AG476=0),"",AE476/AG476-1)</f>
        <v>-0.28108256093505612</v>
      </c>
      <c r="AJ476" s="28">
        <f t="shared" ca="1" si="21"/>
        <v>-4.9803125427450166</v>
      </c>
      <c r="AK476" s="28">
        <f t="shared" ca="1" si="22"/>
        <v>-36.773655711223242</v>
      </c>
    </row>
    <row r="477" spans="1:37">
      <c r="A477" s="10">
        <f>IF(履歴データ!$A$477="","",履歴データ!$A$477)</f>
        <v>45621</v>
      </c>
      <c r="B477" s="28">
        <f>IF(履歴データ!$A$477="","",(履歴データ!$D$477-(履歴データ!$B$477+履歴データ!$F$477)/2)*100)</f>
        <v>-6.0000000000000497</v>
      </c>
      <c r="C477" s="28">
        <f>IF(履歴データ!$A$477="","",(履歴データ!$H$477-(履歴データ!$G$477+履歴データ!$J$477)/2)*100)</f>
        <v>-33.84999999999998</v>
      </c>
      <c r="D477" s="28">
        <f>IF(履歴データ!$A$477="","",(履歴データ!$D$477-履歴データ!$H$477)*100)</f>
        <v>318.59999999999997</v>
      </c>
      <c r="E477" s="28">
        <f>IF(履歴データ!$A$477="","",(履歴データ!$D$477-履歴データ!$C$477)*100)</f>
        <v>9.9999999999999645</v>
      </c>
      <c r="F477" s="28">
        <f>IF(履歴データ!$A$477="","",(履歴データ!$R$477-履歴データ!$D$477)*100)</f>
        <v>-244.52999999999997</v>
      </c>
      <c r="G477" s="28">
        <f>IF(履歴データ!$A$477="","",(履歴データ!$S$477-履歴データ!$R$477)*100)</f>
        <v>-72.442178588867279</v>
      </c>
      <c r="H477" s="29">
        <f>IF(履歴データ!$A$477="","",履歴データ!$O$477)</f>
        <v>154.14599609375</v>
      </c>
      <c r="I477" s="29">
        <f>IF(履歴データ!$A$477="","",履歴データ!$Q$477)</f>
        <v>110.53125</v>
      </c>
      <c r="J477" s="29">
        <f>IF(履歴データ!$A$477="","",履歴データ!$D$477)</f>
        <v>4.2699999999999996</v>
      </c>
      <c r="K477" s="28">
        <f>IF(OR(履歴データ!$A$477="",履歴データ!$A$476=""),"",B477-B476)</f>
        <v>1.4999999999998792</v>
      </c>
      <c r="L477" s="28">
        <f>IF(OR(履歴データ!$A$477="",履歴データ!$A$476=""),"",C477-C476)</f>
        <v>-0.79999999999999716</v>
      </c>
      <c r="M477" s="28">
        <f>IF(OR(履歴データ!$A$477="",履歴データ!$A$476=""),"",D477-D476)</f>
        <v>-13.200000000000045</v>
      </c>
      <c r="N477" s="28">
        <f>IF(OR(履歴データ!$A$477="",履歴データ!$A$476=""),"",E477-E476)</f>
        <v>-1.0000000000000675</v>
      </c>
      <c r="O477" s="28">
        <f>IF(OR(履歴データ!$A$477="",履歴データ!$A$476=""),"",F477-F476)</f>
        <v>11.04000000000002</v>
      </c>
      <c r="P477" s="28">
        <f>IF(OR(履歴データ!$A$477="",履歴データ!$A$476=""),"",G477-G476)</f>
        <v>5.4156428222656103</v>
      </c>
      <c r="Q477" s="29">
        <f>IF(OR(履歴データ!$A$477="",履歴データ!$A$476=""),"",H477-H476)</f>
        <v>-7.20062255859375E-2</v>
      </c>
      <c r="R477" s="29">
        <f>IF(OR(履歴データ!$A$477="",履歴データ!$A$476=""),"",I477-I476)</f>
        <v>0.890625</v>
      </c>
      <c r="S477" s="28">
        <f>IF(OR(履歴データ!$A$477="",履歴データ!$A$476=""),"",(J477-J476)*100)</f>
        <v>-14.000000000000057</v>
      </c>
      <c r="T477" s="11">
        <f>IF(OR(履歴データ!$A$477="",履歴データ!$A$476=""),"",-80000*K477)</f>
        <v>-119999.99999999034</v>
      </c>
      <c r="U477" s="11">
        <f>IF(OR(履歴データ!$A$477="",履歴データ!$A$476=""),"",60000*L477)</f>
        <v>-47999.999999999833</v>
      </c>
      <c r="V477" s="11">
        <f>IF(OR(履歴データ!$A$477="",履歴データ!$A$476=""),"",-50000*M477)</f>
        <v>660000.00000000233</v>
      </c>
      <c r="W477" s="11">
        <f>IF(OR(履歴データ!$A$477="",履歴データ!$A$476=""),"",-40000*N477)</f>
        <v>40000.000000002699</v>
      </c>
      <c r="X477" s="11">
        <f>IF(OR(履歴データ!$A$477="",履歴データ!$A$476=""),"",120*1000000*(-Q477/H476))</f>
        <v>56029.431975265048</v>
      </c>
      <c r="Y477" s="11">
        <f>IF(OR(履歴データ!$A$477="",履歴データ!$A$476=""),"",40000*(-S477)+(-506.3)*R477*1000)</f>
        <v>109076.56250000227</v>
      </c>
      <c r="Z477" s="11">
        <f>IF(OR(履歴データ!$A$477="",履歴データ!$A$476=""),"",-40000*O477)</f>
        <v>-441600.00000000081</v>
      </c>
      <c r="AA477" s="11">
        <f>IF(OR(履歴データ!$A$477="",履歴データ!$A$476=""),"",-40000*P477)</f>
        <v>-216625.71289062442</v>
      </c>
      <c r="AB477" s="11">
        <f>IF(履歴データ!$A$477="","",123.3)</f>
        <v>123.3</v>
      </c>
      <c r="AC477">
        <f>IF(履歴データ!$A$477="","",SUM(T477:AA477))</f>
        <v>38880.28158465703</v>
      </c>
      <c r="AD477" s="29">
        <f>IF(履歴データ!$A$477="","",AC477/1000000)</f>
        <v>3.8880281584657027E-2</v>
      </c>
      <c r="AE477" s="29">
        <f>IF(履歴データ!$A$477="",AE476,AE476+AC477/1000000)</f>
        <v>73.492240449356757</v>
      </c>
      <c r="AF477" s="12">
        <f>IF(OR(履歴データ!$A$477="",AE476=0),"",(AE477-AE476)/AE476)</f>
        <v>5.2931930541840649E-4</v>
      </c>
      <c r="AG477" s="29">
        <f t="shared" si="23"/>
        <v>102.17217746631495</v>
      </c>
      <c r="AH477" s="12">
        <f>IF(OR(履歴データ!$A$477="",AG477=0),"",AE477/AG477-1)</f>
        <v>-0.28070202405555711</v>
      </c>
      <c r="AJ477" s="28">
        <f t="shared" ca="1" si="21"/>
        <v>-4.8198885237454938</v>
      </c>
      <c r="AK477" s="28">
        <f t="shared" ca="1" si="22"/>
        <v>-36.73963528577832</v>
      </c>
    </row>
    <row r="478" spans="1:37">
      <c r="A478" s="10">
        <f>IF(履歴データ!$A$478="","",履歴データ!$A$478)</f>
        <v>45622</v>
      </c>
      <c r="B478" s="28">
        <f>IF(履歴データ!$A$478="","",(履歴データ!$D$478-(履歴データ!$B$478+履歴データ!$F$478)/2)*100)</f>
        <v>-4.5000000000000817</v>
      </c>
      <c r="C478" s="28">
        <f>IF(履歴データ!$A$478="","",(履歴データ!$H$478-(履歴データ!$G$478+履歴データ!$J$478)/2)*100)</f>
        <v>-34.749999999999993</v>
      </c>
      <c r="D478" s="28">
        <f>IF(履歴データ!$A$478="","",(履歴データ!$D$478-履歴データ!$H$478)*100)</f>
        <v>322.60000000000002</v>
      </c>
      <c r="E478" s="28">
        <f>IF(履歴データ!$A$478="","",(履歴データ!$D$478-履歴データ!$C$478)*100)</f>
        <v>12.999999999999989</v>
      </c>
      <c r="F478" s="28">
        <f>IF(履歴データ!$A$478="","",(履歴データ!$R$478-履歴データ!$D$478)*100)</f>
        <v>-260.25</v>
      </c>
      <c r="G478" s="28">
        <f>IF(履歴データ!$A$478="","",(履歴データ!$S$478-履歴データ!$R$478)*100)</f>
        <v>-61.125357177734529</v>
      </c>
      <c r="H478" s="29">
        <f>IF(履歴データ!$A$478="","",履歴データ!$O$478)</f>
        <v>154.37800598144531</v>
      </c>
      <c r="I478" s="29">
        <f>IF(履歴データ!$A$478="","",履歴データ!$Q$478)</f>
        <v>110.328125</v>
      </c>
      <c r="J478" s="29">
        <f>IF(履歴データ!$A$478="","",履歴データ!$D$478)</f>
        <v>4.3</v>
      </c>
      <c r="K478" s="28">
        <f>IF(OR(履歴データ!$A$478="",履歴データ!$A$477=""),"",B478-B477)</f>
        <v>1.499999999999968</v>
      </c>
      <c r="L478" s="28">
        <f>IF(OR(履歴データ!$A$478="",履歴データ!$A$477=""),"",C478-C477)</f>
        <v>-0.90000000000001279</v>
      </c>
      <c r="M478" s="28">
        <f>IF(OR(履歴データ!$A$478="",履歴データ!$A$477=""),"",D478-D477)</f>
        <v>4.0000000000000568</v>
      </c>
      <c r="N478" s="28">
        <f>IF(OR(履歴データ!$A$478="",履歴データ!$A$477=""),"",E478-E477)</f>
        <v>3.0000000000000249</v>
      </c>
      <c r="O478" s="28">
        <f>IF(OR(履歴データ!$A$478="",履歴データ!$A$477=""),"",F478-F477)</f>
        <v>-15.720000000000027</v>
      </c>
      <c r="P478" s="28">
        <f>IF(OR(履歴データ!$A$478="",履歴データ!$A$477=""),"",G478-G477)</f>
        <v>11.31682141113275</v>
      </c>
      <c r="Q478" s="29">
        <f>IF(OR(履歴データ!$A$478="",履歴データ!$A$477=""),"",H478-H477)</f>
        <v>0.2320098876953125</v>
      </c>
      <c r="R478" s="29">
        <f>IF(OR(履歴データ!$A$478="",履歴データ!$A$477=""),"",I478-I477)</f>
        <v>-0.203125</v>
      </c>
      <c r="S478" s="28">
        <f>IF(OR(履歴データ!$A$478="",履歴データ!$A$477=""),"",(J478-J477)*100)</f>
        <v>3.0000000000000249</v>
      </c>
      <c r="T478" s="11">
        <f>IF(OR(履歴データ!$A$478="",履歴データ!$A$477=""),"",-80000*K478)</f>
        <v>-119999.99999999744</v>
      </c>
      <c r="U478" s="11">
        <f>IF(OR(履歴データ!$A$478="",履歴データ!$A$477=""),"",60000*L478)</f>
        <v>-54000.000000000764</v>
      </c>
      <c r="V478" s="11">
        <f>IF(OR(履歴データ!$A$478="",履歴データ!$A$477=""),"",-50000*M478)</f>
        <v>-200000.00000000285</v>
      </c>
      <c r="W478" s="11">
        <f>IF(OR(履歴データ!$A$478="",履歴データ!$A$477=""),"",-40000*N478)</f>
        <v>-120000.00000000099</v>
      </c>
      <c r="X478" s="11">
        <f>IF(OR(履歴データ!$A$478="",履歴データ!$A$477=""),"",120*1000000*(-Q478/H477))</f>
        <v>-180615.69699484622</v>
      </c>
      <c r="Y478" s="11">
        <f>IF(OR(履歴データ!$A$478="",履歴データ!$A$477=""),"",40000*(-S478)+(-506.3)*R478*1000)</f>
        <v>-17157.812500000975</v>
      </c>
      <c r="Z478" s="11">
        <f>IF(OR(履歴データ!$A$478="",履歴データ!$A$477=""),"",-40000*O478)</f>
        <v>628800.00000000105</v>
      </c>
      <c r="AA478" s="11">
        <f>IF(OR(履歴データ!$A$478="",履歴データ!$A$477=""),"",-40000*P478)</f>
        <v>-452672.85644531</v>
      </c>
      <c r="AB478" s="11">
        <f>IF(履歴データ!$A$478="","",123.3)</f>
        <v>123.3</v>
      </c>
      <c r="AC478">
        <f>IF(履歴データ!$A$478="","",SUM(T478:AA478))</f>
        <v>-515646.3659401582</v>
      </c>
      <c r="AD478" s="29">
        <f>IF(履歴データ!$A$478="","",AC478/1000000)</f>
        <v>-0.51564636594015822</v>
      </c>
      <c r="AE478" s="29">
        <f>IF(履歴データ!$A$478="",AE477,AE477+AC478/1000000)</f>
        <v>72.9765940834166</v>
      </c>
      <c r="AF478" s="12">
        <f>IF(OR(履歴データ!$A$478="",AE477=0),"",(AE478-AE477)/AE477)</f>
        <v>-7.0163375451247371E-3</v>
      </c>
      <c r="AG478" s="29">
        <f t="shared" si="23"/>
        <v>102.17217746631495</v>
      </c>
      <c r="AH478" s="12">
        <f>IF(OR(履歴データ!$A$478="",AG478=0),"",AE478/AG478-1)</f>
        <v>-0.28574886145030831</v>
      </c>
      <c r="AJ478" s="28">
        <f t="shared" ca="1" si="21"/>
        <v>-4.630355092133783</v>
      </c>
      <c r="AK478" s="28">
        <f t="shared" ca="1" si="22"/>
        <v>-36.726787765009078</v>
      </c>
    </row>
    <row r="479" spans="1:37">
      <c r="A479" s="10">
        <f>IF(履歴データ!$A$479="","",履歴データ!$A$479)</f>
        <v>45623</v>
      </c>
      <c r="B479" s="28">
        <f>IF(履歴データ!$A$479="","",(履歴データ!$D$479-(履歴データ!$B$479+履歴データ!$F$479)/2)*100)</f>
        <v>-6.5000000000000391</v>
      </c>
      <c r="C479" s="28">
        <f>IF(履歴データ!$A$479="","",(履歴データ!$H$479-(履歴データ!$G$479+履歴データ!$J$479)/2)*100)</f>
        <v>-35.099999999999994</v>
      </c>
      <c r="D479" s="28">
        <f>IF(履歴データ!$A$479="","",(履歴データ!$D$479-履歴データ!$H$479)*100)</f>
        <v>316.7</v>
      </c>
      <c r="E479" s="28">
        <f>IF(履歴データ!$A$479="","",(履歴データ!$D$479-履歴データ!$C$479)*100)</f>
        <v>13.999999999999968</v>
      </c>
      <c r="F479" s="28">
        <f>IF(履歴データ!$A$479="","",(履歴データ!$R$479-履歴データ!$D$479)*100)</f>
        <v>-253.69000000000003</v>
      </c>
      <c r="G479" s="28">
        <f>IF(履歴データ!$A$479="","",(履歴データ!$S$479-履歴データ!$R$479)*100)</f>
        <v>-64.965642822265693</v>
      </c>
      <c r="H479" s="29">
        <f>IF(履歴データ!$A$479="","",履歴データ!$O$479)</f>
        <v>153.00900268554688</v>
      </c>
      <c r="I479" s="29">
        <f>IF(履歴データ!$A$479="","",履歴データ!$Q$479)</f>
        <v>110.734375</v>
      </c>
      <c r="J479" s="29">
        <f>IF(履歴データ!$A$479="","",履歴データ!$D$479)</f>
        <v>4.25</v>
      </c>
      <c r="K479" s="28">
        <f>IF(OR(履歴データ!$A$479="",履歴データ!$A$478=""),"",B479-B478)</f>
        <v>-1.9999999999999574</v>
      </c>
      <c r="L479" s="28">
        <f>IF(OR(履歴データ!$A$479="",履歴データ!$A$478=""),"",C479-C478)</f>
        <v>-0.35000000000000142</v>
      </c>
      <c r="M479" s="28">
        <f>IF(OR(履歴データ!$A$479="",履歴データ!$A$478=""),"",D479-D478)</f>
        <v>-5.9000000000000341</v>
      </c>
      <c r="N479" s="28">
        <f>IF(OR(履歴データ!$A$479="",履歴データ!$A$478=""),"",E479-E478)</f>
        <v>0.99999999999997868</v>
      </c>
      <c r="O479" s="28">
        <f>IF(OR(履歴データ!$A$479="",履歴データ!$A$478=""),"",F479-F478)</f>
        <v>6.5599999999999739</v>
      </c>
      <c r="P479" s="28">
        <f>IF(OR(履歴データ!$A$479="",履歴データ!$A$478=""),"",G479-G478)</f>
        <v>-3.8402856445311642</v>
      </c>
      <c r="Q479" s="29">
        <f>IF(OR(履歴データ!$A$479="",履歴データ!$A$478=""),"",H479-H478)</f>
        <v>-1.3690032958984375</v>
      </c>
      <c r="R479" s="29">
        <f>IF(OR(履歴データ!$A$479="",履歴データ!$A$478=""),"",I479-I478)</f>
        <v>0.40625</v>
      </c>
      <c r="S479" s="28">
        <f>IF(OR(履歴データ!$A$479="",履歴データ!$A$478=""),"",(J479-J478)*100)</f>
        <v>-4.9999999999999822</v>
      </c>
      <c r="T479" s="11">
        <f>IF(OR(履歴データ!$A$479="",履歴データ!$A$478=""),"",-80000*K479)</f>
        <v>159999.99999999659</v>
      </c>
      <c r="U479" s="11">
        <f>IF(OR(履歴データ!$A$479="",履歴データ!$A$478=""),"",60000*L479)</f>
        <v>-21000.000000000084</v>
      </c>
      <c r="V479" s="11">
        <f>IF(OR(履歴データ!$A$479="",履歴データ!$A$478=""),"",-50000*M479)</f>
        <v>295000.00000000169</v>
      </c>
      <c r="W479" s="11">
        <f>IF(OR(履歴データ!$A$479="",履歴データ!$A$478=""),"",-40000*N479)</f>
        <v>-39999.999999999149</v>
      </c>
      <c r="X479" s="11">
        <f>IF(OR(履歴データ!$A$479="",履歴データ!$A$478=""),"",120*1000000*(-Q479/H478))</f>
        <v>1064143.7843649655</v>
      </c>
      <c r="Y479" s="11">
        <f>IF(OR(履歴データ!$A$479="",履歴データ!$A$478=""),"",40000*(-S479)+(-506.3)*R479*1000)</f>
        <v>-5684.3750000007276</v>
      </c>
      <c r="Z479" s="11">
        <f>IF(OR(履歴データ!$A$479="",履歴データ!$A$478=""),"",-40000*O479)</f>
        <v>-262399.99999999895</v>
      </c>
      <c r="AA479" s="11">
        <f>IF(OR(履歴データ!$A$479="",履歴データ!$A$478=""),"",-40000*P479)</f>
        <v>153611.42578124657</v>
      </c>
      <c r="AB479" s="11">
        <f>IF(履歴データ!$A$479="","",123.3)</f>
        <v>123.3</v>
      </c>
      <c r="AC479">
        <f>IF(履歴データ!$A$479="","",SUM(T479:AA479))</f>
        <v>1343670.8351462113</v>
      </c>
      <c r="AD479" s="29">
        <f>IF(履歴データ!$A$479="","",AC479/1000000)</f>
        <v>1.3436708351462112</v>
      </c>
      <c r="AE479" s="29">
        <f>IF(履歴データ!$A$479="",AE478,AE478+AC479/1000000)</f>
        <v>74.320264918562813</v>
      </c>
      <c r="AF479" s="12">
        <f>IF(OR(履歴データ!$A$479="",AE478=0),"",(AE479-AE478)/AE478)</f>
        <v>1.8412353330854506E-2</v>
      </c>
      <c r="AG479" s="29">
        <f t="shared" si="23"/>
        <v>102.17217746631495</v>
      </c>
      <c r="AH479" s="12">
        <f>IF(OR(履歴データ!$A$479="",AG479=0),"",AE479/AG479-1)</f>
        <v>-0.27259781712036635</v>
      </c>
      <c r="AJ479" s="28">
        <f t="shared" ca="1" si="21"/>
        <v>-4.476762524892262</v>
      </c>
      <c r="AK479" s="28">
        <f t="shared" ca="1" si="22"/>
        <v>-36.701808903679179</v>
      </c>
    </row>
    <row r="480" spans="1:37">
      <c r="A480" s="10">
        <f>IF(履歴データ!$A$480="","",履歴データ!$A$480)</f>
        <v>45625</v>
      </c>
      <c r="B480" s="28">
        <f>IF(履歴データ!$A$480="","",(履歴データ!$D$480-(履歴データ!$B$480+履歴データ!$F$480)/2)*100)</f>
        <v>-6.5000000000000391</v>
      </c>
      <c r="C480" s="28">
        <f>IF(履歴データ!$A$480="","",(履歴データ!$H$480-(履歴データ!$G$480+履歴データ!$J$480)/2)*100)</f>
        <v>-36.149999999999991</v>
      </c>
      <c r="D480" s="28">
        <f>IF(履歴データ!$A$480="","",(履歴データ!$D$480-履歴データ!$H$480)*100)</f>
        <v>311.59999999999997</v>
      </c>
      <c r="E480" s="28">
        <f>IF(履歴データ!$A$480="","",(履歴データ!$D$480-履歴データ!$C$480)*100)</f>
        <v>12.999999999999989</v>
      </c>
      <c r="F480" s="28">
        <f>IF(履歴データ!$A$480="","",(履歴データ!$R$480-履歴データ!$D$480)*100)</f>
        <v>-247.98999999999998</v>
      </c>
      <c r="G480" s="28">
        <f>IF(履歴データ!$A$480="","",(履歴データ!$S$480-履歴データ!$R$480)*100)</f>
        <v>-66.296642822265724</v>
      </c>
      <c r="H480" s="29">
        <f>IF(履歴データ!$A$480="","",履歴データ!$O$480)</f>
        <v>151.17399597167969</v>
      </c>
      <c r="I480" s="29">
        <f>IF(履歴データ!$A$480="","",履歴データ!$Q$480)</f>
        <v>111.015625</v>
      </c>
      <c r="J480" s="29">
        <f>IF(履歴データ!$A$480="","",履歴データ!$D$480)</f>
        <v>4.18</v>
      </c>
      <c r="K480" s="28">
        <f>IF(OR(履歴データ!$A$480="",履歴データ!$A$479=""),"",B480-B479)</f>
        <v>0</v>
      </c>
      <c r="L480" s="28">
        <f>IF(OR(履歴データ!$A$480="",履歴データ!$A$479=""),"",C480-C479)</f>
        <v>-1.0499999999999972</v>
      </c>
      <c r="M480" s="28">
        <f>IF(OR(履歴データ!$A$480="",履歴データ!$A$479=""),"",D480-D479)</f>
        <v>-5.1000000000000227</v>
      </c>
      <c r="N480" s="28">
        <f>IF(OR(履歴データ!$A$480="",履歴データ!$A$479=""),"",E480-E479)</f>
        <v>-0.99999999999997868</v>
      </c>
      <c r="O480" s="28">
        <f>IF(OR(履歴データ!$A$480="",履歴データ!$A$479=""),"",F480-F479)</f>
        <v>5.7000000000000455</v>
      </c>
      <c r="P480" s="28">
        <f>IF(OR(履歴データ!$A$480="",履歴データ!$A$479=""),"",G480-G479)</f>
        <v>-1.3310000000000315</v>
      </c>
      <c r="Q480" s="29">
        <f>IF(OR(履歴データ!$A$480="",履歴データ!$A$479=""),"",H480-H479)</f>
        <v>-1.8350067138671875</v>
      </c>
      <c r="R480" s="29">
        <f>IF(OR(履歴データ!$A$480="",履歴データ!$A$479=""),"",I480-I479)</f>
        <v>0.28125</v>
      </c>
      <c r="S480" s="28">
        <f>IF(OR(履歴データ!$A$480="",履歴データ!$A$479=""),"",(J480-J479)*100)</f>
        <v>-7.0000000000000284</v>
      </c>
      <c r="T480" s="11">
        <f>IF(OR(履歴データ!$A$480="",履歴データ!$A$479=""),"",-80000*K480)</f>
        <v>0</v>
      </c>
      <c r="U480" s="11">
        <f>IF(OR(履歴データ!$A$480="",履歴データ!$A$479=""),"",60000*L480)</f>
        <v>-62999.999999999833</v>
      </c>
      <c r="V480" s="11">
        <f>IF(OR(履歴データ!$A$480="",履歴データ!$A$479=""),"",-50000*M480)</f>
        <v>255000.00000000114</v>
      </c>
      <c r="W480" s="11">
        <f>IF(OR(履歴データ!$A$480="",履歴データ!$A$479=""),"",-40000*N480)</f>
        <v>39999.999999999149</v>
      </c>
      <c r="X480" s="11">
        <f>IF(OR(履歴データ!$A$480="",履歴データ!$A$479=""),"",120*1000000*(-Q480/H479))</f>
        <v>1439136.2717173146</v>
      </c>
      <c r="Y480" s="11">
        <f>IF(OR(履歴データ!$A$480="",履歴データ!$A$479=""),"",40000*(-S480)+(-506.3)*R480*1000)</f>
        <v>137603.12500000116</v>
      </c>
      <c r="Z480" s="11">
        <f>IF(OR(履歴データ!$A$480="",履歴データ!$A$479=""),"",-40000*O480)</f>
        <v>-228000.0000000018</v>
      </c>
      <c r="AA480" s="11">
        <f>IF(OR(履歴データ!$A$480="",履歴データ!$A$479=""),"",-40000*P480)</f>
        <v>53240.000000001259</v>
      </c>
      <c r="AB480" s="11">
        <f>IF(履歴データ!$A$480="","",123.3)</f>
        <v>123.3</v>
      </c>
      <c r="AC480">
        <f>IF(履歴データ!$A$480="","",SUM(T480:AA480))</f>
        <v>1633979.3967173155</v>
      </c>
      <c r="AD480" s="29">
        <f>IF(履歴データ!$A$480="","",AC480/1000000)</f>
        <v>1.6339793967173155</v>
      </c>
      <c r="AE480" s="29">
        <f>IF(履歴データ!$A$480="",AE479,AE479+AC480/1000000)</f>
        <v>75.954244315280135</v>
      </c>
      <c r="AF480" s="12">
        <f>IF(OR(履歴データ!$A$480="",AE479=0),"",(AE480-AE479)/AE479)</f>
        <v>2.1985650865316099E-2</v>
      </c>
      <c r="AG480" s="29">
        <f t="shared" si="23"/>
        <v>102.17217746631495</v>
      </c>
      <c r="AH480" s="12">
        <f>IF(OR(履歴データ!$A$480="",AG480=0),"",AE480/AG480-1)</f>
        <v>-0.25660540668890586</v>
      </c>
      <c r="AJ480" s="28">
        <f t="shared" ca="1" si="21"/>
        <v>-4.3277322688354793</v>
      </c>
      <c r="AK480" s="28">
        <f t="shared" ca="1" si="22"/>
        <v>-36.668299477196271</v>
      </c>
    </row>
    <row r="481" spans="1:37">
      <c r="A481" s="10">
        <f>IF(履歴データ!$A$481="","",履歴データ!$A$481)</f>
        <v>45628</v>
      </c>
      <c r="B481" s="28">
        <f>IF(履歴データ!$A$481="","",(履歴データ!$D$481-(履歴データ!$B$481+履歴データ!$F$481)/2)*100)</f>
        <v>-7.5000000000000178</v>
      </c>
      <c r="C481" s="28">
        <f>IF(履歴データ!$A$481="","",(履歴データ!$H$481-(履歴データ!$G$481+履歴データ!$J$481)/2)*100)</f>
        <v>-34.699999999999996</v>
      </c>
      <c r="D481" s="28">
        <f>IF(履歴データ!$A$481="","",(履歴データ!$D$481-履歴データ!$H$481)*100)</f>
        <v>309.90000000000003</v>
      </c>
      <c r="E481" s="28">
        <f>IF(履歴データ!$A$481="","",(履歴データ!$D$481-履歴データ!$C$481)*100)</f>
        <v>11.000000000000032</v>
      </c>
      <c r="F481" s="28">
        <f>IF(履歴データ!$A$481="","",(履歴データ!$R$481-履歴データ!$D$481)*100)</f>
        <v>-255.76000000000002</v>
      </c>
      <c r="G481" s="28">
        <f>IF(履歴データ!$A$481="","",(履歴データ!$S$481-履歴データ!$R$481)*100)</f>
        <v>-51.458178588867256</v>
      </c>
      <c r="H481" s="29">
        <f>IF(履歴データ!$A$481="","",履歴データ!$O$481)</f>
        <v>149.89799499511719</v>
      </c>
      <c r="I481" s="29">
        <f>IF(履歴データ!$A$481="","",履歴データ!$Q$481)</f>
        <v>110.953125</v>
      </c>
      <c r="J481" s="29">
        <f>IF(履歴データ!$A$481="","",履歴データ!$D$481)</f>
        <v>4.1900000000000004</v>
      </c>
      <c r="K481" s="28">
        <f>IF(OR(履歴データ!$A$481="",履歴データ!$A$480=""),"",B481-B480)</f>
        <v>-0.99999999999997868</v>
      </c>
      <c r="L481" s="28">
        <f>IF(OR(履歴データ!$A$481="",履歴データ!$A$480=""),"",C481-C480)</f>
        <v>1.4499999999999957</v>
      </c>
      <c r="M481" s="28">
        <f>IF(OR(履歴データ!$A$481="",履歴データ!$A$480=""),"",D481-D480)</f>
        <v>-1.6999999999999318</v>
      </c>
      <c r="N481" s="28">
        <f>IF(OR(履歴データ!$A$481="",履歴データ!$A$480=""),"",E481-E480)</f>
        <v>-1.9999999999999574</v>
      </c>
      <c r="O481" s="28">
        <f>IF(OR(履歴データ!$A$481="",履歴データ!$A$480=""),"",F481-F480)</f>
        <v>-7.7700000000000387</v>
      </c>
      <c r="P481" s="28">
        <f>IF(OR(履歴データ!$A$481="",履歴データ!$A$480=""),"",G481-G480)</f>
        <v>14.838464233398469</v>
      </c>
      <c r="Q481" s="29">
        <f>IF(OR(履歴データ!$A$481="",履歴データ!$A$480=""),"",H481-H480)</f>
        <v>-1.2760009765625</v>
      </c>
      <c r="R481" s="29">
        <f>IF(OR(履歴データ!$A$481="",履歴データ!$A$480=""),"",I481-I480)</f>
        <v>-6.25E-2</v>
      </c>
      <c r="S481" s="28">
        <f>IF(OR(履歴データ!$A$481="",履歴データ!$A$480=""),"",(J481-J480)*100)</f>
        <v>1.0000000000000675</v>
      </c>
      <c r="T481" s="11">
        <f>IF(OR(履歴データ!$A$481="",履歴データ!$A$480=""),"",-80000*K481)</f>
        <v>79999.999999998297</v>
      </c>
      <c r="U481" s="11">
        <f>IF(OR(履歴データ!$A$481="",履歴データ!$A$480=""),"",60000*L481)</f>
        <v>86999.999999999738</v>
      </c>
      <c r="V481" s="11">
        <f>IF(OR(履歴データ!$A$481="",履歴データ!$A$480=""),"",-50000*M481)</f>
        <v>84999.999999996595</v>
      </c>
      <c r="W481" s="11">
        <f>IF(OR(履歴データ!$A$481="",履歴データ!$A$480=""),"",-40000*N481)</f>
        <v>79999.999999998297</v>
      </c>
      <c r="X481" s="11">
        <f>IF(OR(履歴データ!$A$481="",履歴データ!$A$480=""),"",120*1000000*(-Q481/H480))</f>
        <v>1012873.3860827816</v>
      </c>
      <c r="Y481" s="11">
        <f>IF(OR(履歴データ!$A$481="",履歴データ!$A$480=""),"",40000*(-S481)+(-506.3)*R481*1000)</f>
        <v>-8356.2500000026994</v>
      </c>
      <c r="Z481" s="11">
        <f>IF(OR(履歴データ!$A$481="",履歴データ!$A$480=""),"",-40000*O481)</f>
        <v>310800.00000000157</v>
      </c>
      <c r="AA481" s="11">
        <f>IF(OR(履歴データ!$A$481="",履歴データ!$A$480=""),"",-40000*P481)</f>
        <v>-593538.56933593878</v>
      </c>
      <c r="AB481" s="11">
        <f>IF(履歴データ!$A$481="","",123.3)</f>
        <v>123.3</v>
      </c>
      <c r="AC481">
        <f>IF(履歴データ!$A$481="","",SUM(T481:AA481))</f>
        <v>1053778.5667468347</v>
      </c>
      <c r="AD481" s="29">
        <f>IF(履歴データ!$A$481="","",AC481/1000000)</f>
        <v>1.0537785667468347</v>
      </c>
      <c r="AE481" s="29">
        <f>IF(履歴データ!$A$481="",AE480,AE480+AC481/1000000)</f>
        <v>77.008022882026964</v>
      </c>
      <c r="AF481" s="12">
        <f>IF(OR(履歴データ!$A$481="",AE480=0),"",(AE481-AE480)/AE480)</f>
        <v>1.3873860193680237E-2</v>
      </c>
      <c r="AG481" s="29">
        <f t="shared" si="23"/>
        <v>102.17217746631495</v>
      </c>
      <c r="AH481" s="12">
        <f>IF(OR(履歴データ!$A$481="",AG481=0),"",AE481/AG481-1)</f>
        <v>-0.24629165403257003</v>
      </c>
      <c r="AJ481" s="28">
        <f t="shared" ca="1" si="21"/>
        <v>-4.1936418164406994</v>
      </c>
      <c r="AK481" s="28">
        <f t="shared" ca="1" si="22"/>
        <v>-36.635723262924387</v>
      </c>
    </row>
    <row r="482" spans="1:37">
      <c r="A482" s="10">
        <f>IF(履歴データ!$A$482="","",履歴データ!$A$482)</f>
        <v>45629</v>
      </c>
      <c r="B482" s="28">
        <f>IF(履歴データ!$A$482="","",(履歴データ!$D$482-(履歴データ!$B$482+履歴データ!$F$482)/2)*100)</f>
        <v>-5.4999999999999716</v>
      </c>
      <c r="C482" s="28">
        <f>IF(履歴データ!$A$482="","",(履歴データ!$H$482-(履歴データ!$G$482+履歴データ!$J$482)/2)*100)</f>
        <v>-34.399999999999984</v>
      </c>
      <c r="D482" s="28">
        <f>IF(履歴データ!$A$482="","",(履歴データ!$D$482-履歴データ!$H$482)*100)</f>
        <v>313.90000000000003</v>
      </c>
      <c r="E482" s="28">
        <f>IF(履歴データ!$A$482="","",(履歴データ!$D$482-履歴データ!$C$482)*100)</f>
        <v>12.000000000000011</v>
      </c>
      <c r="F482" s="28">
        <f>IF(履歴データ!$A$482="","",(履歴データ!$R$482-履歴データ!$D$482)*100)</f>
        <v>-260.27000000000004</v>
      </c>
      <c r="G482" s="28">
        <f>IF(履歴データ!$A$482="","",(履歴データ!$S$482-履歴データ!$R$482)*100)</f>
        <v>-52.702178588867277</v>
      </c>
      <c r="H482" s="29">
        <f>IF(履歴データ!$A$482="","",履歴データ!$O$482)</f>
        <v>149.50799560546875</v>
      </c>
      <c r="I482" s="29">
        <f>IF(履歴データ!$A$482="","",履歴データ!$Q$482)</f>
        <v>110.8125</v>
      </c>
      <c r="J482" s="29">
        <f>IF(履歴データ!$A$482="","",履歴データ!$D$482)</f>
        <v>4.2300000000000004</v>
      </c>
      <c r="K482" s="28">
        <f>IF(OR(履歴データ!$A$482="",履歴データ!$A$481=""),"",B482-B481)</f>
        <v>2.0000000000000462</v>
      </c>
      <c r="L482" s="28">
        <f>IF(OR(履歴データ!$A$482="",履歴データ!$A$481=""),"",C482-C481)</f>
        <v>0.30000000000001137</v>
      </c>
      <c r="M482" s="28">
        <f>IF(OR(履歴データ!$A$482="",履歴データ!$A$481=""),"",D482-D481)</f>
        <v>4</v>
      </c>
      <c r="N482" s="28">
        <f>IF(OR(履歴データ!$A$482="",履歴データ!$A$481=""),"",E482-E481)</f>
        <v>0.99999999999997868</v>
      </c>
      <c r="O482" s="28">
        <f>IF(OR(履歴データ!$A$482="",履歴データ!$A$481=""),"",F482-F481)</f>
        <v>-4.5100000000000193</v>
      </c>
      <c r="P482" s="28">
        <f>IF(OR(履歴データ!$A$482="",履歴データ!$A$481=""),"",G482-G481)</f>
        <v>-1.2440000000000211</v>
      </c>
      <c r="Q482" s="29">
        <f>IF(OR(履歴データ!$A$482="",履歴データ!$A$481=""),"",H482-H481)</f>
        <v>-0.3899993896484375</v>
      </c>
      <c r="R482" s="29">
        <f>IF(OR(履歴データ!$A$482="",履歴データ!$A$481=""),"",I482-I481)</f>
        <v>-0.140625</v>
      </c>
      <c r="S482" s="28">
        <f>IF(OR(履歴データ!$A$482="",履歴データ!$A$481=""),"",(J482-J481)*100)</f>
        <v>4.0000000000000036</v>
      </c>
      <c r="T482" s="11">
        <f>IF(OR(履歴データ!$A$482="",履歴データ!$A$481=""),"",-80000*K482)</f>
        <v>-160000.0000000037</v>
      </c>
      <c r="U482" s="11">
        <f>IF(OR(履歴データ!$A$482="",履歴データ!$A$481=""),"",60000*L482)</f>
        <v>18000.000000000684</v>
      </c>
      <c r="V482" s="11">
        <f>IF(OR(履歴データ!$A$482="",履歴データ!$A$481=""),"",-50000*M482)</f>
        <v>-200000</v>
      </c>
      <c r="W482" s="11">
        <f>IF(OR(履歴データ!$A$482="",履歴データ!$A$481=""),"",-40000*N482)</f>
        <v>-39999.999999999149</v>
      </c>
      <c r="X482" s="11">
        <f>IF(OR(履歴データ!$A$482="",履歴データ!$A$481=""),"",120*1000000*(-Q482/H481))</f>
        <v>312211.82617777493</v>
      </c>
      <c r="Y482" s="11">
        <f>IF(OR(履歴データ!$A$482="",履歴データ!$A$481=""),"",40000*(-S482)+(-506.3)*R482*1000)</f>
        <v>-88801.562500000146</v>
      </c>
      <c r="Z482" s="11">
        <f>IF(OR(履歴データ!$A$482="",履歴データ!$A$481=""),"",-40000*O482)</f>
        <v>180400.00000000079</v>
      </c>
      <c r="AA482" s="11">
        <f>IF(OR(履歴データ!$A$482="",履歴データ!$A$481=""),"",-40000*P482)</f>
        <v>49760.000000000844</v>
      </c>
      <c r="AB482" s="11">
        <f>IF(履歴データ!$A$482="","",123.3)</f>
        <v>123.3</v>
      </c>
      <c r="AC482">
        <f>IF(履歴データ!$A$482="","",SUM(T482:AA482))</f>
        <v>71570.263677774259</v>
      </c>
      <c r="AD482" s="29">
        <f>IF(履歴データ!$A$482="","",AC482/1000000)</f>
        <v>7.1570263677774262E-2</v>
      </c>
      <c r="AE482" s="29">
        <f>IF(履歴データ!$A$482="",AE481,AE481+AC482/1000000)</f>
        <v>77.079593145704735</v>
      </c>
      <c r="AF482" s="12">
        <f>IF(OR(履歴データ!$A$482="",AE481=0),"",(AE482-AE481)/AE481)</f>
        <v>9.2938710798241451E-4</v>
      </c>
      <c r="AG482" s="29">
        <f t="shared" si="23"/>
        <v>102.17217746631495</v>
      </c>
      <c r="AH482" s="12">
        <f>IF(OR(履歴データ!$A$482="",AG482=0),"",AE482/AG482-1)</f>
        <v>-0.24559116721264906</v>
      </c>
      <c r="AJ482" s="28">
        <f t="shared" ca="1" si="21"/>
        <v>-4.0214891934331938</v>
      </c>
      <c r="AK482" s="28">
        <f t="shared" ca="1" si="22"/>
        <v>-36.637240965296968</v>
      </c>
    </row>
    <row r="483" spans="1:37">
      <c r="A483" s="10">
        <f>IF(履歴データ!$A$483="","",履歴データ!$A$483)</f>
        <v>45630</v>
      </c>
      <c r="B483" s="28">
        <f>IF(履歴データ!$A$483="","",(履歴データ!$D$483-(履歴データ!$B$483+履歴データ!$F$483)/2)*100)</f>
        <v>-4.9999999999999822</v>
      </c>
      <c r="C483" s="28">
        <f>IF(履歴データ!$A$483="","",(履歴データ!$H$483-(履歴データ!$G$483+履歴データ!$J$483)/2)*100)</f>
        <v>-34.9</v>
      </c>
      <c r="D483" s="28">
        <f>IF(履歴データ!$A$483="","",(履歴データ!$D$483-履歴データ!$H$483)*100)</f>
        <v>312.20000000000005</v>
      </c>
      <c r="E483" s="28">
        <f>IF(履歴データ!$A$483="","",(履歴データ!$D$483-履歴データ!$C$483)*100)</f>
        <v>12.000000000000011</v>
      </c>
      <c r="F483" s="28">
        <f>IF(履歴データ!$A$483="","",(履歴データ!$R$483-履歴データ!$D$483)*100)</f>
        <v>-256.91000000000008</v>
      </c>
      <c r="G483" s="28">
        <f>IF(履歴データ!$A$483="","",(履歴データ!$S$483-履歴データ!$R$483)*100)</f>
        <v>-56.447178588867366</v>
      </c>
      <c r="H483" s="29">
        <f>IF(履歴データ!$A$483="","",履歴データ!$O$483)</f>
        <v>149.64700317382813</v>
      </c>
      <c r="I483" s="29">
        <f>IF(履歴データ!$A$483="","",履歴データ!$Q$483)</f>
        <v>111.109375</v>
      </c>
      <c r="J483" s="29">
        <f>IF(履歴データ!$A$483="","",履歴データ!$D$483)</f>
        <v>4.1900000000000004</v>
      </c>
      <c r="K483" s="28">
        <f>IF(OR(履歴データ!$A$483="",履歴データ!$A$482=""),"",B483-B482)</f>
        <v>0.49999999999998934</v>
      </c>
      <c r="L483" s="28">
        <f>IF(OR(履歴データ!$A$483="",履歴データ!$A$482=""),"",C483-C482)</f>
        <v>-0.50000000000001421</v>
      </c>
      <c r="M483" s="28">
        <f>IF(OR(履歴データ!$A$483="",履歴データ!$A$482=""),"",D483-D482)</f>
        <v>-1.6999999999999886</v>
      </c>
      <c r="N483" s="28">
        <f>IF(OR(履歴データ!$A$483="",履歴データ!$A$482=""),"",E483-E482)</f>
        <v>0</v>
      </c>
      <c r="O483" s="28">
        <f>IF(OR(履歴データ!$A$483="",履歴データ!$A$482=""),"",F483-F482)</f>
        <v>3.3599999999999568</v>
      </c>
      <c r="P483" s="28">
        <f>IF(OR(履歴データ!$A$483="",履歴データ!$A$482=""),"",G483-G482)</f>
        <v>-3.7450000000000898</v>
      </c>
      <c r="Q483" s="29">
        <f>IF(OR(履歴データ!$A$483="",履歴データ!$A$482=""),"",H483-H482)</f>
        <v>0.139007568359375</v>
      </c>
      <c r="R483" s="29">
        <f>IF(OR(履歴データ!$A$483="",履歴データ!$A$482=""),"",I483-I482)</f>
        <v>0.296875</v>
      </c>
      <c r="S483" s="28">
        <f>IF(OR(履歴データ!$A$483="",履歴データ!$A$482=""),"",(J483-J482)*100)</f>
        <v>-4.0000000000000036</v>
      </c>
      <c r="T483" s="11">
        <f>IF(OR(履歴データ!$A$483="",履歴データ!$A$482=""),"",-80000*K483)</f>
        <v>-39999.999999999149</v>
      </c>
      <c r="U483" s="11">
        <f>IF(OR(履歴データ!$A$483="",履歴データ!$A$482=""),"",60000*L483)</f>
        <v>-30000.000000000851</v>
      </c>
      <c r="V483" s="11">
        <f>IF(OR(履歴データ!$A$483="",履歴データ!$A$482=""),"",-50000*M483)</f>
        <v>84999.999999999432</v>
      </c>
      <c r="W483" s="11">
        <f>IF(OR(履歴データ!$A$483="",履歴データ!$A$482=""),"",-40000*N483)</f>
        <v>0</v>
      </c>
      <c r="X483" s="11">
        <f>IF(OR(履歴データ!$A$483="",履歴データ!$A$482=""),"",120*1000000*(-Q483/H482))</f>
        <v>-111572.0141626649</v>
      </c>
      <c r="Y483" s="11">
        <f>IF(OR(履歴データ!$A$483="",履歴データ!$A$482=""),"",40000*(-S483)+(-506.3)*R483*1000)</f>
        <v>9692.1875000001455</v>
      </c>
      <c r="Z483" s="11">
        <f>IF(OR(履歴データ!$A$483="",履歴データ!$A$482=""),"",-40000*O483)</f>
        <v>-134399.99999999828</v>
      </c>
      <c r="AA483" s="11">
        <f>IF(OR(履歴データ!$A$483="",履歴データ!$A$482=""),"",-40000*P483)</f>
        <v>149800.00000000358</v>
      </c>
      <c r="AB483" s="11">
        <f>IF(履歴データ!$A$483="","",123.3)</f>
        <v>123.3</v>
      </c>
      <c r="AC483">
        <f>IF(履歴データ!$A$483="","",SUM(T483:AA483))</f>
        <v>-71479.826662660023</v>
      </c>
      <c r="AD483" s="29">
        <f>IF(履歴データ!$A$483="","",AC483/1000000)</f>
        <v>-7.147982666266002E-2</v>
      </c>
      <c r="AE483" s="29">
        <f>IF(履歴データ!$A$483="",AE482,AE482+AC483/1000000)</f>
        <v>77.008113319042081</v>
      </c>
      <c r="AF483" s="12">
        <f>IF(OR(履歴データ!$A$483="",AE482=0),"",(AE483-AE482)/AE482)</f>
        <v>-9.2735085572563485E-4</v>
      </c>
      <c r="AG483" s="29">
        <f t="shared" si="23"/>
        <v>102.17217746631495</v>
      </c>
      <c r="AH483" s="12">
        <f>IF(OR(履歴データ!$A$483="",AG483=0),"",AE483/AG483-1)</f>
        <v>-0.24629076888930146</v>
      </c>
      <c r="AJ483" s="28">
        <f t="shared" ca="1" si="21"/>
        <v>-3.841132189026073</v>
      </c>
      <c r="AK483" s="28">
        <f t="shared" ca="1" si="22"/>
        <v>-36.646963049069171</v>
      </c>
    </row>
    <row r="484" spans="1:37">
      <c r="A484" s="10">
        <f>IF(履歴データ!$A$484="","",履歴データ!$A$484)</f>
        <v>45631</v>
      </c>
      <c r="B484" s="28">
        <f>IF(履歴データ!$A$484="","",(履歴データ!$D$484-(履歴データ!$B$484+履歴データ!$F$484)/2)*100)</f>
        <v>-7.0000000000000284</v>
      </c>
      <c r="C484" s="28">
        <f>IF(履歴データ!$A$484="","",(履歴データ!$H$484-(履歴データ!$G$484+履歴データ!$J$484)/2)*100)</f>
        <v>-34.650000000000006</v>
      </c>
      <c r="D484" s="28">
        <f>IF(履歴データ!$A$484="","",(履歴データ!$D$484-履歴データ!$H$484)*100)</f>
        <v>308.8</v>
      </c>
      <c r="E484" s="28">
        <f>IF(履歴データ!$A$484="","",(履歴データ!$D$484-履歴データ!$C$484)*100)</f>
        <v>9.9999999999999645</v>
      </c>
      <c r="F484" s="28">
        <f>IF(履歴データ!$A$484="","",(履歴データ!$R$484-履歴データ!$D$484)*100)</f>
        <v>-252.33999999999997</v>
      </c>
      <c r="G484" s="28">
        <f>IF(履歴データ!$A$484="","",(履歴データ!$S$484-履歴データ!$R$484)*100)</f>
        <v>-56.561642822265831</v>
      </c>
      <c r="H484" s="29">
        <f>IF(履歴データ!$A$484="","",履歴データ!$O$484)</f>
        <v>150.56700134277344</v>
      </c>
      <c r="I484" s="29">
        <f>IF(履歴データ!$A$484="","",履歴データ!$Q$484)</f>
        <v>111.0625</v>
      </c>
      <c r="J484" s="29">
        <f>IF(履歴データ!$A$484="","",履歴データ!$D$484)</f>
        <v>4.17</v>
      </c>
      <c r="K484" s="28">
        <f>IF(OR(履歴データ!$A$484="",履歴データ!$A$483=""),"",B484-B483)</f>
        <v>-2.0000000000000462</v>
      </c>
      <c r="L484" s="28">
        <f>IF(OR(履歴データ!$A$484="",履歴データ!$A$483=""),"",C484-C483)</f>
        <v>0.24999999999999289</v>
      </c>
      <c r="M484" s="28">
        <f>IF(OR(履歴データ!$A$484="",履歴データ!$A$483=""),"",D484-D483)</f>
        <v>-3.4000000000000341</v>
      </c>
      <c r="N484" s="28">
        <f>IF(OR(履歴データ!$A$484="",履歴データ!$A$483=""),"",E484-E483)</f>
        <v>-2.0000000000000462</v>
      </c>
      <c r="O484" s="28">
        <f>IF(OR(履歴データ!$A$484="",履歴データ!$A$483=""),"",F484-F483)</f>
        <v>4.5700000000001069</v>
      </c>
      <c r="P484" s="28">
        <f>IF(OR(履歴データ!$A$484="",履歴データ!$A$483=""),"",G484-G483)</f>
        <v>-0.1144642333984649</v>
      </c>
      <c r="Q484" s="29">
        <f>IF(OR(履歴データ!$A$484="",履歴データ!$A$483=""),"",H484-H483)</f>
        <v>0.9199981689453125</v>
      </c>
      <c r="R484" s="29">
        <f>IF(OR(履歴データ!$A$484="",履歴データ!$A$483=""),"",I484-I483)</f>
        <v>-4.6875E-2</v>
      </c>
      <c r="S484" s="28">
        <f>IF(OR(履歴データ!$A$484="",履歴データ!$A$483=""),"",(J484-J483)*100)</f>
        <v>-2.0000000000000462</v>
      </c>
      <c r="T484" s="11">
        <f>IF(OR(履歴データ!$A$484="",履歴データ!$A$483=""),"",-80000*K484)</f>
        <v>160000.0000000037</v>
      </c>
      <c r="U484" s="11">
        <f>IF(OR(履歴データ!$A$484="",履歴データ!$A$483=""),"",60000*L484)</f>
        <v>14999.999999999574</v>
      </c>
      <c r="V484" s="11">
        <f>IF(OR(履歴データ!$A$484="",履歴データ!$A$483=""),"",-50000*M484)</f>
        <v>170000.00000000172</v>
      </c>
      <c r="W484" s="11">
        <f>IF(OR(履歴データ!$A$484="",履歴データ!$A$483=""),"",-40000*N484)</f>
        <v>80000.000000001848</v>
      </c>
      <c r="X484" s="11">
        <f>IF(OR(履歴データ!$A$484="",履歴データ!$A$483=""),"",120*1000000*(-Q484/H483))</f>
        <v>-737734.65510163584</v>
      </c>
      <c r="Y484" s="11">
        <f>IF(OR(履歴データ!$A$484="",履歴データ!$A$483=""),"",40000*(-S484)+(-506.3)*R484*1000)</f>
        <v>103732.81250000185</v>
      </c>
      <c r="Z484" s="11">
        <f>IF(OR(履歴データ!$A$484="",履歴データ!$A$483=""),"",-40000*O484)</f>
        <v>-182800.00000000428</v>
      </c>
      <c r="AA484" s="11">
        <f>IF(OR(履歴データ!$A$484="",履歴データ!$A$483=""),"",-40000*P484)</f>
        <v>4578.5693359385959</v>
      </c>
      <c r="AB484" s="11">
        <f>IF(履歴データ!$A$484="","",123.3)</f>
        <v>123.3</v>
      </c>
      <c r="AC484">
        <f>IF(履歴データ!$A$484="","",SUM(T484:AA484))</f>
        <v>-387223.27326569281</v>
      </c>
      <c r="AD484" s="29">
        <f>IF(履歴データ!$A$484="","",AC484/1000000)</f>
        <v>-0.38722327326569284</v>
      </c>
      <c r="AE484" s="29">
        <f>IF(履歴データ!$A$484="",AE483,AE483+AC484/1000000)</f>
        <v>76.620890045776392</v>
      </c>
      <c r="AF484" s="12">
        <f>IF(OR(履歴データ!$A$484="",AE483=0),"",(AE484-AE483)/AE483)</f>
        <v>-5.0283438533474572E-3</v>
      </c>
      <c r="AG484" s="29">
        <f t="shared" si="23"/>
        <v>102.17217746631495</v>
      </c>
      <c r="AH484" s="12">
        <f>IF(OR(履歴データ!$A$484="",AG484=0),"",AE484/AG484-1)</f>
        <v>-0.25008067806876821</v>
      </c>
      <c r="AJ484" s="28">
        <f t="shared" ca="1" si="21"/>
        <v>-3.6974602783192374</v>
      </c>
      <c r="AK484" s="28">
        <f t="shared" ca="1" si="22"/>
        <v>-36.639841308982355</v>
      </c>
    </row>
    <row r="485" spans="1:37">
      <c r="A485" s="10">
        <f>IF(履歴データ!$A$485="","",履歴データ!$A$485)</f>
        <v>45632</v>
      </c>
      <c r="B485" s="28">
        <f>IF(履歴データ!$A$485="","",(履歴データ!$D$485-(履歴データ!$B$485+履歴データ!$F$485)/2)*100)</f>
        <v>-6.9999999999999396</v>
      </c>
      <c r="C485" s="28">
        <f>IF(履歴データ!$A$485="","",(履歴データ!$H$485-(履歴データ!$G$485+履歴データ!$J$485)/2)*100)</f>
        <v>-34.5</v>
      </c>
      <c r="D485" s="28">
        <f>IF(履歴データ!$A$485="","",(履歴データ!$D$485-履歴データ!$H$485)*100)</f>
        <v>308.20000000000005</v>
      </c>
      <c r="E485" s="28">
        <f>IF(履歴データ!$A$485="","",(履歴データ!$D$485-履歴データ!$C$485)*100)</f>
        <v>12.000000000000011</v>
      </c>
      <c r="F485" s="28">
        <f>IF(履歴データ!$A$485="","",(履歴データ!$R$485-履歴データ!$D$485)*100)</f>
        <v>-250.56000000000003</v>
      </c>
      <c r="G485" s="28">
        <f>IF(履歴データ!$A$485="","",(履歴データ!$S$485-履歴データ!$R$485)*100)</f>
        <v>-60.726642822265745</v>
      </c>
      <c r="H485" s="29">
        <f>IF(履歴データ!$A$485="","",履歴データ!$O$485)</f>
        <v>150.20700073242188</v>
      </c>
      <c r="I485" s="29">
        <f>IF(履歴データ!$A$485="","",履歴データ!$Q$485)</f>
        <v>111.328125</v>
      </c>
      <c r="J485" s="29">
        <f>IF(履歴データ!$A$485="","",履歴データ!$D$485)</f>
        <v>4.1500000000000004</v>
      </c>
      <c r="K485" s="28">
        <f>IF(OR(履歴データ!$A$485="",履歴データ!$A$484=""),"",B485-B484)</f>
        <v>8.8817841970012523E-14</v>
      </c>
      <c r="L485" s="28">
        <f>IF(OR(履歴データ!$A$485="",履歴データ!$A$484=""),"",C485-C484)</f>
        <v>0.15000000000000568</v>
      </c>
      <c r="M485" s="28">
        <f>IF(OR(履歴データ!$A$485="",履歴データ!$A$484=""),"",D485-D484)</f>
        <v>-0.59999999999996589</v>
      </c>
      <c r="N485" s="28">
        <f>IF(OR(履歴データ!$A$485="",履歴データ!$A$484=""),"",E485-E484)</f>
        <v>2.0000000000000462</v>
      </c>
      <c r="O485" s="28">
        <f>IF(OR(履歴データ!$A$485="",履歴データ!$A$484=""),"",F485-F484)</f>
        <v>1.7799999999999443</v>
      </c>
      <c r="P485" s="28">
        <f>IF(OR(履歴データ!$A$485="",履歴データ!$A$484=""),"",G485-G484)</f>
        <v>-4.1649999999999139</v>
      </c>
      <c r="Q485" s="29">
        <f>IF(OR(履歴データ!$A$485="",履歴データ!$A$484=""),"",H485-H484)</f>
        <v>-0.3600006103515625</v>
      </c>
      <c r="R485" s="29">
        <f>IF(OR(履歴データ!$A$485="",履歴データ!$A$484=""),"",I485-I484)</f>
        <v>0.265625</v>
      </c>
      <c r="S485" s="28">
        <f>IF(OR(履歴データ!$A$485="",履歴データ!$A$484=""),"",(J485-J484)*100)</f>
        <v>-1.9999999999999574</v>
      </c>
      <c r="T485" s="11">
        <f>IF(OR(履歴データ!$A$485="",履歴データ!$A$484=""),"",-80000*K485)</f>
        <v>-7.1054273576010019E-9</v>
      </c>
      <c r="U485" s="11">
        <f>IF(OR(履歴データ!$A$485="",履歴データ!$A$484=""),"",60000*L485)</f>
        <v>9000.000000000342</v>
      </c>
      <c r="V485" s="11">
        <f>IF(OR(履歴データ!$A$485="",履歴データ!$A$484=""),"",-50000*M485)</f>
        <v>29999.999999998294</v>
      </c>
      <c r="W485" s="11">
        <f>IF(OR(履歴データ!$A$485="",履歴データ!$A$484=""),"",-40000*N485)</f>
        <v>-80000.000000001848</v>
      </c>
      <c r="X485" s="11">
        <f>IF(OR(履歴データ!$A$485="",履歴データ!$A$484=""),"",120*1000000*(-Q485/H484))</f>
        <v>286915.9434466011</v>
      </c>
      <c r="Y485" s="11">
        <f>IF(OR(履歴データ!$A$485="",履歴データ!$A$484=""),"",40000*(-S485)+(-506.3)*R485*1000)</f>
        <v>-54485.937500001703</v>
      </c>
      <c r="Z485" s="11">
        <f>IF(OR(履歴データ!$A$485="",履歴データ!$A$484=""),"",-40000*O485)</f>
        <v>-71199.999999997774</v>
      </c>
      <c r="AA485" s="11">
        <f>IF(OR(履歴データ!$A$485="",履歴データ!$A$484=""),"",-40000*P485)</f>
        <v>166599.99999999657</v>
      </c>
      <c r="AB485" s="11">
        <f>IF(履歴データ!$A$485="","",123.3)</f>
        <v>123.3</v>
      </c>
      <c r="AC485">
        <f>IF(履歴データ!$A$485="","",SUM(T485:AA485))</f>
        <v>286830.00594658789</v>
      </c>
      <c r="AD485" s="29">
        <f>IF(履歴データ!$A$485="","",AC485/1000000)</f>
        <v>0.28683000594658786</v>
      </c>
      <c r="AE485" s="29">
        <f>IF(履歴データ!$A$485="",AE484,AE484+AC485/1000000)</f>
        <v>76.907720051722976</v>
      </c>
      <c r="AF485" s="12">
        <f>IF(OR(履歴データ!$A$485="",AE484=0),"",(AE485-AE484)/AE484)</f>
        <v>3.7434961376097311E-3</v>
      </c>
      <c r="AG485" s="29">
        <f t="shared" si="23"/>
        <v>102.17217746631495</v>
      </c>
      <c r="AH485" s="12">
        <f>IF(OR(履歴データ!$A$485="",AG485=0),"",AE485/AG485-1)</f>
        <v>-0.24727335798359973</v>
      </c>
      <c r="AJ485" s="28">
        <f t="shared" ca="1" si="21"/>
        <v>-3.5547099210140409</v>
      </c>
      <c r="AK485" s="28">
        <f t="shared" ca="1" si="22"/>
        <v>-36.635766269462152</v>
      </c>
    </row>
    <row r="486" spans="1:37">
      <c r="A486" s="10">
        <f>IF(履歴データ!$A$486="","",履歴データ!$A$486)</f>
        <v>45635</v>
      </c>
      <c r="B486" s="28">
        <f>IF(履歴データ!$A$486="","",(履歴データ!$D$486-(履歴データ!$B$486+履歴データ!$F$486)/2)*100)</f>
        <v>-5.9999999999999609</v>
      </c>
      <c r="C486" s="28">
        <f>IF(履歴データ!$A$486="","",(履歴データ!$H$486-(履歴データ!$G$486+履歴データ!$J$486)/2)*100)</f>
        <v>-34.749999999999993</v>
      </c>
      <c r="D486" s="28">
        <f>IF(履歴データ!$A$486="","",(履歴データ!$D$486-履歴データ!$H$486)*100)</f>
        <v>314.59999999999997</v>
      </c>
      <c r="E486" s="28">
        <f>IF(履歴データ!$A$486="","",(履歴データ!$D$486-履歴データ!$C$486)*100)</f>
        <v>12.999999999999989</v>
      </c>
      <c r="F486" s="28">
        <f>IF(履歴データ!$A$486="","",(履歴データ!$R$486-履歴データ!$D$486)*100)</f>
        <v>-256.29000000000002</v>
      </c>
      <c r="G486" s="28">
        <f>IF(履歴データ!$A$486="","",(履歴データ!$S$486-履歴データ!$R$486)*100)</f>
        <v>-62.978357177734502</v>
      </c>
      <c r="H486" s="29">
        <f>IF(履歴データ!$A$486="","",履歴データ!$O$486)</f>
        <v>150.02999877929688</v>
      </c>
      <c r="I486" s="29">
        <f>IF(履歴データ!$A$486="","",履歴データ!$Q$486)</f>
        <v>111.0625</v>
      </c>
      <c r="J486" s="29">
        <f>IF(履歴データ!$A$486="","",履歴データ!$D$486)</f>
        <v>4.2</v>
      </c>
      <c r="K486" s="28">
        <f>IF(OR(履歴データ!$A$486="",履歴データ!$A$485=""),"",B486-B485)</f>
        <v>0.99999999999997868</v>
      </c>
      <c r="L486" s="28">
        <f>IF(OR(履歴データ!$A$486="",履歴データ!$A$485=""),"",C486-C485)</f>
        <v>-0.24999999999999289</v>
      </c>
      <c r="M486" s="28">
        <f>IF(OR(履歴データ!$A$486="",履歴データ!$A$485=""),"",D486-D485)</f>
        <v>6.3999999999999204</v>
      </c>
      <c r="N486" s="28">
        <f>IF(OR(履歴データ!$A$486="",履歴データ!$A$485=""),"",E486-E485)</f>
        <v>0.99999999999997868</v>
      </c>
      <c r="O486" s="28">
        <f>IF(OR(履歴データ!$A$486="",履歴データ!$A$485=""),"",F486-F485)</f>
        <v>-5.7299999999999898</v>
      </c>
      <c r="P486" s="28">
        <f>IF(OR(履歴データ!$A$486="",履歴データ!$A$485=""),"",G486-G485)</f>
        <v>-2.2517143554687564</v>
      </c>
      <c r="Q486" s="29">
        <f>IF(OR(履歴データ!$A$486="",履歴データ!$A$485=""),"",H486-H485)</f>
        <v>-0.177001953125</v>
      </c>
      <c r="R486" s="29">
        <f>IF(OR(履歴データ!$A$486="",履歴データ!$A$485=""),"",I486-I485)</f>
        <v>-0.265625</v>
      </c>
      <c r="S486" s="28">
        <f>IF(OR(履歴データ!$A$486="",履歴データ!$A$485=""),"",(J486-J485)*100)</f>
        <v>4.9999999999999822</v>
      </c>
      <c r="T486" s="11">
        <f>IF(OR(履歴データ!$A$486="",履歴データ!$A$485=""),"",-80000*K486)</f>
        <v>-79999.999999998297</v>
      </c>
      <c r="U486" s="11">
        <f>IF(OR(履歴データ!$A$486="",履歴データ!$A$485=""),"",60000*L486)</f>
        <v>-14999.999999999574</v>
      </c>
      <c r="V486" s="11">
        <f>IF(OR(履歴データ!$A$486="",履歴データ!$A$485=""),"",-50000*M486)</f>
        <v>-319999.99999999604</v>
      </c>
      <c r="W486" s="11">
        <f>IF(OR(履歴データ!$A$486="",履歴データ!$A$485=""),"",-40000*N486)</f>
        <v>-39999.999999999149</v>
      </c>
      <c r="X486" s="11">
        <f>IF(OR(履歴データ!$A$486="",履歴データ!$A$485=""),"",120*1000000*(-Q486/H485))</f>
        <v>141406.42094862985</v>
      </c>
      <c r="Y486" s="11">
        <f>IF(OR(履歴データ!$A$486="",履歴データ!$A$485=""),"",40000*(-S486)+(-506.3)*R486*1000)</f>
        <v>-65514.062499999302</v>
      </c>
      <c r="Z486" s="11">
        <f>IF(OR(履歴データ!$A$486="",履歴データ!$A$485=""),"",-40000*O486)</f>
        <v>229199.99999999959</v>
      </c>
      <c r="AA486" s="11">
        <f>IF(OR(履歴データ!$A$486="",履歴データ!$A$485=""),"",-40000*P486)</f>
        <v>90068.574218750262</v>
      </c>
      <c r="AB486" s="11">
        <f>IF(履歴データ!$A$486="","",123.3)</f>
        <v>123.3</v>
      </c>
      <c r="AC486">
        <f>IF(履歴データ!$A$486="","",SUM(T486:AA486))</f>
        <v>-59839.067332612671</v>
      </c>
      <c r="AD486" s="29">
        <f>IF(履歴データ!$A$486="","",AC486/1000000)</f>
        <v>-5.9839067332612669E-2</v>
      </c>
      <c r="AE486" s="29">
        <f>IF(履歴データ!$A$486="",AE485,AE485+AC486/1000000)</f>
        <v>76.847880984390358</v>
      </c>
      <c r="AF486" s="12">
        <f>IF(OR(履歴データ!$A$486="",AE485=0),"",(AE486-AE485)/AE485)</f>
        <v>-7.7806320733957732E-4</v>
      </c>
      <c r="AG486" s="29">
        <f t="shared" si="23"/>
        <v>102.17217746631495</v>
      </c>
      <c r="AH486" s="12">
        <f>IF(OR(履歴データ!$A$486="",AG486=0),"",AE486/AG486-1)</f>
        <v>-0.24785902688893691</v>
      </c>
      <c r="AJ486" s="28">
        <f t="shared" ca="1" si="21"/>
        <v>-3.3966161639470975</v>
      </c>
      <c r="AK486" s="28">
        <f t="shared" ca="1" si="22"/>
        <v>-36.639098121767191</v>
      </c>
    </row>
    <row r="487" spans="1:37">
      <c r="A487" s="10">
        <f>IF(履歴データ!$A$487="","",履歴データ!$A$487)</f>
        <v>45636</v>
      </c>
      <c r="B487" s="28">
        <f>IF(履歴データ!$A$487="","",(履歴データ!$D$487-(履歴データ!$B$487+履歴データ!$F$487)/2)*100)</f>
        <v>-6.0000000000000497</v>
      </c>
      <c r="C487" s="28">
        <f>IF(履歴データ!$A$487="","",(履歴データ!$H$487-(履歴データ!$G$487+履歴データ!$J$487)/2)*100)</f>
        <v>-33.050000000000004</v>
      </c>
      <c r="D487" s="28">
        <f>IF(履歴データ!$A$487="","",(履歴データ!$D$487-履歴データ!$H$487)*100)</f>
        <v>314.19999999999993</v>
      </c>
      <c r="E487" s="28">
        <f>IF(履歴データ!$A$487="","",(履歴データ!$D$487-履歴データ!$C$487)*100)</f>
        <v>12.999999999999989</v>
      </c>
      <c r="F487" s="28">
        <f>IF(履歴データ!$A$487="","",(履歴データ!$R$487-履歴データ!$D$487)*100)</f>
        <v>-255.57999999999996</v>
      </c>
      <c r="G487" s="28">
        <f>IF(履歴データ!$A$487="","",(履歴データ!$S$487-履歴データ!$R$487)*100)</f>
        <v>-59.900178588867334</v>
      </c>
      <c r="H487" s="29">
        <f>IF(履歴データ!$A$487="","",履歴データ!$O$487)</f>
        <v>151.40800476074219</v>
      </c>
      <c r="I487" s="29">
        <f>IF(履歴データ!$A$487="","",履歴データ!$Q$487)</f>
        <v>110.875</v>
      </c>
      <c r="J487" s="29">
        <f>IF(履歴データ!$A$487="","",履歴データ!$D$487)</f>
        <v>4.22</v>
      </c>
      <c r="K487" s="28">
        <f>IF(OR(履歴データ!$A$487="",履歴データ!$A$486=""),"",B487-B486)</f>
        <v>-8.8817841970012523E-14</v>
      </c>
      <c r="L487" s="28">
        <f>IF(OR(履歴データ!$A$487="",履歴データ!$A$486=""),"",C487-C486)</f>
        <v>1.6999999999999886</v>
      </c>
      <c r="M487" s="28">
        <f>IF(OR(履歴データ!$A$487="",履歴データ!$A$486=""),"",D487-D486)</f>
        <v>-0.40000000000003411</v>
      </c>
      <c r="N487" s="28">
        <f>IF(OR(履歴データ!$A$487="",履歴データ!$A$486=""),"",E487-E486)</f>
        <v>0</v>
      </c>
      <c r="O487" s="28">
        <f>IF(OR(履歴データ!$A$487="",履歴データ!$A$486=""),"",F487-F486)</f>
        <v>0.7100000000000648</v>
      </c>
      <c r="P487" s="28">
        <f>IF(OR(履歴データ!$A$487="",履歴データ!$A$486=""),"",G487-G486)</f>
        <v>3.0781785888671678</v>
      </c>
      <c r="Q487" s="29">
        <f>IF(OR(履歴データ!$A$487="",履歴データ!$A$486=""),"",H487-H486)</f>
        <v>1.3780059814453125</v>
      </c>
      <c r="R487" s="29">
        <f>IF(OR(履歴データ!$A$487="",履歴データ!$A$486=""),"",I487-I486)</f>
        <v>-0.1875</v>
      </c>
      <c r="S487" s="28">
        <f>IF(OR(履歴データ!$A$487="",履歴データ!$A$486=""),"",(J487-J486)*100)</f>
        <v>1.9999999999999574</v>
      </c>
      <c r="T487" s="11">
        <f>IF(OR(履歴データ!$A$487="",履歴データ!$A$486=""),"",-80000*K487)</f>
        <v>7.1054273576010019E-9</v>
      </c>
      <c r="U487" s="11">
        <f>IF(OR(履歴データ!$A$487="",履歴データ!$A$486=""),"",60000*L487)</f>
        <v>101999.99999999932</v>
      </c>
      <c r="V487" s="11">
        <f>IF(OR(履歴データ!$A$487="",履歴データ!$A$486=""),"",-50000*M487)</f>
        <v>20000.000000001706</v>
      </c>
      <c r="W487" s="11">
        <f>IF(OR(履歴データ!$A$487="",履歴データ!$A$486=""),"",-40000*N487)</f>
        <v>0</v>
      </c>
      <c r="X487" s="11">
        <f>IF(OR(履歴データ!$A$487="",履歴データ!$A$486=""),"",120*1000000*(-Q487/H486))</f>
        <v>-1102184.3572543983</v>
      </c>
      <c r="Y487" s="11">
        <f>IF(OR(履歴データ!$A$487="",履歴データ!$A$486=""),"",40000*(-S487)+(-506.3)*R487*1000)</f>
        <v>14931.250000001703</v>
      </c>
      <c r="Z487" s="11">
        <f>IF(OR(履歴データ!$A$487="",履歴データ!$A$486=""),"",-40000*O487)</f>
        <v>-28400.00000000259</v>
      </c>
      <c r="AA487" s="11">
        <f>IF(OR(履歴データ!$A$487="",履歴データ!$A$486=""),"",-40000*P487)</f>
        <v>-123127.14355468671</v>
      </c>
      <c r="AB487" s="11">
        <f>IF(履歴データ!$A$487="","",123.3)</f>
        <v>123.3</v>
      </c>
      <c r="AC487">
        <f>IF(履歴データ!$A$487="","",SUM(T487:AA487))</f>
        <v>-1116780.2508090776</v>
      </c>
      <c r="AD487" s="29">
        <f>IF(履歴データ!$A$487="","",AC487/1000000)</f>
        <v>-1.1167802508090776</v>
      </c>
      <c r="AE487" s="29">
        <f>IF(履歴データ!$A$487="",AE486,AE486+AC487/1000000)</f>
        <v>75.731100733581286</v>
      </c>
      <c r="AF487" s="12">
        <f>IF(OR(履歴データ!$A$487="",AE486=0),"",(AE487-AE486)/AE486)</f>
        <v>-1.4532349317945623E-2</v>
      </c>
      <c r="AG487" s="29">
        <f t="shared" si="23"/>
        <v>102.17217746631495</v>
      </c>
      <c r="AH487" s="12">
        <f>IF(OR(履歴データ!$A$487="",AG487=0),"",AE487/AG487-1)</f>
        <v>-0.25878940224652647</v>
      </c>
      <c r="AJ487" s="28">
        <f t="shared" ca="1" si="21"/>
        <v>-3.2509176595839229</v>
      </c>
      <c r="AK487" s="28">
        <f t="shared" ca="1" si="22"/>
        <v>-36.602256943590675</v>
      </c>
    </row>
    <row r="488" spans="1:37">
      <c r="A488" s="10">
        <f>IF(履歴データ!$A$488="","",履歴データ!$A$488)</f>
        <v>45637</v>
      </c>
      <c r="B488" s="28">
        <f>IF(履歴データ!$A$488="","",(履歴データ!$D$488-(履歴データ!$B$488+履歴データ!$F$488)/2)*100)</f>
        <v>-5.5000000000000604</v>
      </c>
      <c r="C488" s="28">
        <f>IF(履歴データ!$A$488="","",(履歴データ!$H$488-(履歴データ!$G$488+履歴データ!$J$488)/2)*100)</f>
        <v>-32.800000000000004</v>
      </c>
      <c r="D488" s="28">
        <f>IF(履歴データ!$A$488="","",(履歴データ!$D$488-履歴データ!$H$488)*100)</f>
        <v>317.69999999999993</v>
      </c>
      <c r="E488" s="28">
        <f>IF(履歴データ!$A$488="","",(履歴データ!$D$488-履歴データ!$C$488)*100)</f>
        <v>12.999999999999989</v>
      </c>
      <c r="F488" s="28">
        <f>IF(履歴データ!$A$488="","",(履歴データ!$R$488-履歴データ!$D$488)*100)</f>
        <v>-254.32999999999998</v>
      </c>
      <c r="G488" s="28">
        <f>IF(履歴データ!$A$488="","",(履歴データ!$S$488-履歴データ!$R$488)*100)</f>
        <v>-68.833642822265745</v>
      </c>
      <c r="H488" s="29">
        <f>IF(履歴データ!$A$488="","",履歴データ!$O$488)</f>
        <v>151.8070068359375</v>
      </c>
      <c r="I488" s="29">
        <f>IF(履歴データ!$A$488="","",履歴データ!$Q$488)</f>
        <v>110.609375</v>
      </c>
      <c r="J488" s="29">
        <f>IF(履歴データ!$A$488="","",履歴データ!$D$488)</f>
        <v>4.26</v>
      </c>
      <c r="K488" s="28">
        <f>IF(OR(履歴データ!$A$488="",履歴データ!$A$487=""),"",B488-B487)</f>
        <v>0.49999999999998934</v>
      </c>
      <c r="L488" s="28">
        <f>IF(OR(履歴データ!$A$488="",履歴データ!$A$487=""),"",C488-C487)</f>
        <v>0.25</v>
      </c>
      <c r="M488" s="28">
        <f>IF(OR(履歴データ!$A$488="",履歴データ!$A$487=""),"",D488-D487)</f>
        <v>3.5</v>
      </c>
      <c r="N488" s="28">
        <f>IF(OR(履歴データ!$A$488="",履歴データ!$A$487=""),"",E488-E487)</f>
        <v>0</v>
      </c>
      <c r="O488" s="28">
        <f>IF(OR(履歴データ!$A$488="",履歴データ!$A$487=""),"",F488-F487)</f>
        <v>1.2499999999999716</v>
      </c>
      <c r="P488" s="28">
        <f>IF(OR(履歴データ!$A$488="",履歴データ!$A$487=""),"",G488-G487)</f>
        <v>-8.9334642333984107</v>
      </c>
      <c r="Q488" s="29">
        <f>IF(OR(履歴データ!$A$488="",履歴データ!$A$487=""),"",H488-H487)</f>
        <v>0.3990020751953125</v>
      </c>
      <c r="R488" s="29">
        <f>IF(OR(履歴データ!$A$488="",履歴データ!$A$487=""),"",I488-I487)</f>
        <v>-0.265625</v>
      </c>
      <c r="S488" s="28">
        <f>IF(OR(履歴データ!$A$488="",履歴データ!$A$487=""),"",(J488-J487)*100)</f>
        <v>4.0000000000000036</v>
      </c>
      <c r="T488" s="11">
        <f>IF(OR(履歴データ!$A$488="",履歴データ!$A$487=""),"",-80000*K488)</f>
        <v>-39999.999999999149</v>
      </c>
      <c r="U488" s="11">
        <f>IF(OR(履歴データ!$A$488="",履歴データ!$A$487=""),"",60000*L488)</f>
        <v>15000</v>
      </c>
      <c r="V488" s="11">
        <f>IF(OR(履歴データ!$A$488="",履歴データ!$A$487=""),"",-50000*M488)</f>
        <v>-175000</v>
      </c>
      <c r="W488" s="11">
        <f>IF(OR(履歴データ!$A$488="",履歴データ!$A$487=""),"",-40000*N488)</f>
        <v>0</v>
      </c>
      <c r="X488" s="11">
        <f>IF(OR(履歴データ!$A$488="",履歴データ!$A$487=""),"",120*1000000*(-Q488/H487))</f>
        <v>-316233.27378957794</v>
      </c>
      <c r="Y488" s="11">
        <f>IF(OR(履歴データ!$A$488="",履歴データ!$A$487=""),"",40000*(-S488)+(-506.3)*R488*1000)</f>
        <v>-25514.062500000146</v>
      </c>
      <c r="Z488" s="11">
        <f>IF(OR(履歴データ!$A$488="",履歴データ!$A$487=""),"",-40000*O488)</f>
        <v>-49999.999999998865</v>
      </c>
      <c r="AA488" s="11">
        <f>IF(OR(履歴データ!$A$488="",履歴データ!$A$487=""),"",-40000*P488)</f>
        <v>357338.56933593645</v>
      </c>
      <c r="AB488" s="11">
        <f>IF(履歴データ!$A$488="","",123.3)</f>
        <v>123.3</v>
      </c>
      <c r="AC488">
        <f>IF(履歴データ!$A$488="","",SUM(T488:AA488))</f>
        <v>-234408.76695363957</v>
      </c>
      <c r="AD488" s="29">
        <f>IF(履歴データ!$A$488="","",AC488/1000000)</f>
        <v>-0.23440876695363957</v>
      </c>
      <c r="AE488" s="29">
        <f>IF(履歴データ!$A$488="",AE487,AE487+AC488/1000000)</f>
        <v>75.496691966627651</v>
      </c>
      <c r="AF488" s="12">
        <f>IF(OR(履歴データ!$A$488="",AE487=0),"",(AE488-AE487)/AE487)</f>
        <v>-3.0952774313722817E-3</v>
      </c>
      <c r="AG488" s="29">
        <f t="shared" si="23"/>
        <v>102.17217746631495</v>
      </c>
      <c r="AH488" s="12">
        <f>IF(OR(履歴データ!$A$488="",AG488=0),"",AE488/AG488-1)</f>
        <v>-0.26108365468164674</v>
      </c>
      <c r="AJ488" s="28">
        <f t="shared" ca="1" si="21"/>
        <v>-3.0926425606505461</v>
      </c>
      <c r="AK488" s="28">
        <f t="shared" ca="1" si="22"/>
        <v>-36.585928867920892</v>
      </c>
    </row>
    <row r="489" spans="1:37">
      <c r="A489" s="10">
        <f>IF(履歴データ!$A$489="","",履歴データ!$A$489)</f>
        <v>45638</v>
      </c>
      <c r="B489" s="28">
        <f>IF(履歴データ!$A$489="","",(履歴データ!$D$489-(履歴データ!$B$489+履歴データ!$F$489)/2)*100)</f>
        <v>-4.4999999999999929</v>
      </c>
      <c r="C489" s="28">
        <f>IF(履歴データ!$A$489="","",(履歴データ!$H$489-(履歴データ!$G$489+履歴データ!$J$489)/2)*100)</f>
        <v>-33.300000000000018</v>
      </c>
      <c r="D489" s="28">
        <f>IF(履歴データ!$A$489="","",(履歴データ!$D$489-履歴データ!$H$489)*100)</f>
        <v>325.50000000000006</v>
      </c>
      <c r="E489" s="28">
        <f>IF(履歴データ!$A$489="","",(履歴データ!$D$489-履歴データ!$C$489)*100)</f>
        <v>14.000000000000057</v>
      </c>
      <c r="F489" s="28">
        <f>IF(履歴データ!$A$489="","",(履歴データ!$R$489-履歴データ!$D$489)*100)</f>
        <v>-256.83000000000004</v>
      </c>
      <c r="G489" s="28">
        <f>IF(履歴データ!$A$489="","",(履歴データ!$S$489-履歴データ!$R$489)*100)</f>
        <v>-70.579642822265725</v>
      </c>
      <c r="H489" s="29">
        <f>IF(履歴データ!$A$489="","",履歴データ!$O$489)</f>
        <v>152.2449951171875</v>
      </c>
      <c r="I489" s="29">
        <f>IF(履歴データ!$A$489="","",履歴データ!$Q$489)</f>
        <v>110.3125</v>
      </c>
      <c r="J489" s="29">
        <f>IF(履歴データ!$A$489="","",履歴データ!$D$489)</f>
        <v>4.32</v>
      </c>
      <c r="K489" s="28">
        <f>IF(OR(履歴データ!$A$489="",履歴データ!$A$488=""),"",B489-B488)</f>
        <v>1.0000000000000675</v>
      </c>
      <c r="L489" s="28">
        <f>IF(OR(履歴データ!$A$489="",履歴データ!$A$488=""),"",C489-C488)</f>
        <v>-0.50000000000001421</v>
      </c>
      <c r="M489" s="28">
        <f>IF(OR(履歴データ!$A$489="",履歴データ!$A$488=""),"",D489-D488)</f>
        <v>7.8000000000001251</v>
      </c>
      <c r="N489" s="28">
        <f>IF(OR(履歴データ!$A$489="",履歴データ!$A$488=""),"",E489-E488)</f>
        <v>1.0000000000000675</v>
      </c>
      <c r="O489" s="28">
        <f>IF(OR(履歴データ!$A$489="",履歴データ!$A$488=""),"",F489-F488)</f>
        <v>-2.5000000000000568</v>
      </c>
      <c r="P489" s="28">
        <f>IF(OR(履歴データ!$A$489="",履歴データ!$A$488=""),"",G489-G488)</f>
        <v>-1.7459999999999809</v>
      </c>
      <c r="Q489" s="29">
        <f>IF(OR(履歴データ!$A$489="",履歴データ!$A$488=""),"",H489-H488)</f>
        <v>0.43798828125</v>
      </c>
      <c r="R489" s="29">
        <f>IF(OR(履歴データ!$A$489="",履歴データ!$A$488=""),"",I489-I488)</f>
        <v>-0.296875</v>
      </c>
      <c r="S489" s="28">
        <f>IF(OR(履歴データ!$A$489="",履歴データ!$A$488=""),"",(J489-J488)*100)</f>
        <v>6.0000000000000497</v>
      </c>
      <c r="T489" s="11">
        <f>IF(OR(履歴データ!$A$489="",履歴データ!$A$488=""),"",-80000*K489)</f>
        <v>-80000.000000005399</v>
      </c>
      <c r="U489" s="11">
        <f>IF(OR(履歴データ!$A$489="",履歴データ!$A$488=""),"",60000*L489)</f>
        <v>-30000.000000000851</v>
      </c>
      <c r="V489" s="11">
        <f>IF(OR(履歴データ!$A$489="",履歴データ!$A$488=""),"",-50000*M489)</f>
        <v>-390000.00000000623</v>
      </c>
      <c r="W489" s="11">
        <f>IF(OR(履歴データ!$A$489="",履歴データ!$A$488=""),"",-40000*N489)</f>
        <v>-40000.000000002699</v>
      </c>
      <c r="X489" s="11">
        <f>IF(OR(履歴データ!$A$489="",履歴データ!$A$488=""),"",120*1000000*(-Q489/H488))</f>
        <v>-346219.8145228019</v>
      </c>
      <c r="Y489" s="11">
        <f>IF(OR(履歴データ!$A$489="",履歴データ!$A$488=""),"",40000*(-S489)+(-506.3)*R489*1000)</f>
        <v>-89692.187500001979</v>
      </c>
      <c r="Z489" s="11">
        <f>IF(OR(履歴データ!$A$489="",履歴データ!$A$488=""),"",-40000*O489)</f>
        <v>100000.00000000227</v>
      </c>
      <c r="AA489" s="11">
        <f>IF(OR(履歴データ!$A$489="",履歴データ!$A$488=""),"",-40000*P489)</f>
        <v>69839.999999999243</v>
      </c>
      <c r="AB489" s="11">
        <f>IF(履歴データ!$A$489="","",123.3)</f>
        <v>123.3</v>
      </c>
      <c r="AC489">
        <f>IF(履歴データ!$A$489="","",SUM(T489:AA489))</f>
        <v>-806072.0020228175</v>
      </c>
      <c r="AD489" s="29">
        <f>IF(履歴データ!$A$489="","",AC489/1000000)</f>
        <v>-0.80607200202281748</v>
      </c>
      <c r="AE489" s="29">
        <f>IF(履歴データ!$A$489="",AE488,AE488+AC489/1000000)</f>
        <v>74.690619964604835</v>
      </c>
      <c r="AF489" s="12">
        <f>IF(OR(履歴データ!$A$489="",AE488=0),"",(AE489-AE488)/AE488)</f>
        <v>-1.0676918167210954E-2</v>
      </c>
      <c r="AG489" s="29">
        <f t="shared" si="23"/>
        <v>102.17217746631495</v>
      </c>
      <c r="AH489" s="12">
        <f>IF(OR(履歴データ!$A$489="",AG489=0),"",AE489/AG489-1)</f>
        <v>-0.26897300403302538</v>
      </c>
      <c r="AJ489" s="28">
        <f t="shared" ca="1" si="21"/>
        <v>-2.9203513015961171</v>
      </c>
      <c r="AK489" s="28">
        <f t="shared" ca="1" si="22"/>
        <v>-36.57171219046738</v>
      </c>
    </row>
    <row r="490" spans="1:37">
      <c r="A490" s="10">
        <f>IF(履歴データ!$A$490="","",履歴データ!$A$490)</f>
        <v>45639</v>
      </c>
      <c r="B490" s="28">
        <f>IF(履歴データ!$A$490="","",(履歴データ!$D$490-(履歴データ!$B$490+履歴データ!$F$490)/2)*100)</f>
        <v>-2.9999999999999361</v>
      </c>
      <c r="C490" s="28">
        <f>IF(履歴データ!$A$490="","",(履歴データ!$H$490-(履歴データ!$G$490+履歴データ!$J$490)/2)*100)</f>
        <v>-33.700000000000017</v>
      </c>
      <c r="D490" s="28">
        <f>IF(履歴データ!$A$490="","",(履歴データ!$D$490-履歴データ!$H$490)*100)</f>
        <v>334.50000000000006</v>
      </c>
      <c r="E490" s="28">
        <f>IF(履歴データ!$A$490="","",(履歴データ!$D$490-履歴データ!$C$490)*100)</f>
        <v>15.000000000000036</v>
      </c>
      <c r="F490" s="28">
        <f>IF(履歴データ!$A$490="","",(履歴データ!$R$490-履歴データ!$D$490)*100)</f>
        <v>-264.23000000000008</v>
      </c>
      <c r="G490" s="28">
        <f>IF(履歴データ!$A$490="","",(履歴データ!$S$490-履歴データ!$R$490)*100)</f>
        <v>-74.863000000000056</v>
      </c>
      <c r="H490" s="29">
        <f>IF(履歴データ!$A$490="","",履歴データ!$O$490)</f>
        <v>152.58700561523438</v>
      </c>
      <c r="I490" s="29">
        <f>IF(履歴データ!$A$490="","",履歴データ!$Q$490)</f>
        <v>109.828125</v>
      </c>
      <c r="J490" s="29">
        <f>IF(履歴データ!$A$490="","",履歴データ!$D$490)</f>
        <v>4.4000000000000004</v>
      </c>
      <c r="K490" s="28">
        <f>IF(OR(履歴データ!$A$490="",履歴データ!$A$489=""),"",B490-B489)</f>
        <v>1.5000000000000568</v>
      </c>
      <c r="L490" s="28">
        <f>IF(OR(履歴データ!$A$490="",履歴データ!$A$489=""),"",C490-C489)</f>
        <v>-0.39999999999999858</v>
      </c>
      <c r="M490" s="28">
        <f>IF(OR(履歴データ!$A$490="",履歴データ!$A$489=""),"",D490-D489)</f>
        <v>9</v>
      </c>
      <c r="N490" s="28">
        <f>IF(OR(履歴データ!$A$490="",履歴データ!$A$489=""),"",E490-E489)</f>
        <v>0.99999999999997868</v>
      </c>
      <c r="O490" s="28">
        <f>IF(OR(履歴データ!$A$490="",履歴データ!$A$489=""),"",F490-F489)</f>
        <v>-7.4000000000000341</v>
      </c>
      <c r="P490" s="28">
        <f>IF(OR(履歴データ!$A$490="",履歴データ!$A$489=""),"",G490-G489)</f>
        <v>-4.2833571777343309</v>
      </c>
      <c r="Q490" s="29">
        <f>IF(OR(履歴データ!$A$490="",履歴データ!$A$489=""),"",H490-H489)</f>
        <v>0.342010498046875</v>
      </c>
      <c r="R490" s="29">
        <f>IF(OR(履歴データ!$A$490="",履歴データ!$A$489=""),"",I490-I489)</f>
        <v>-0.484375</v>
      </c>
      <c r="S490" s="28">
        <f>IF(OR(履歴データ!$A$490="",履歴データ!$A$489=""),"",(J490-J489)*100)</f>
        <v>8.0000000000000071</v>
      </c>
      <c r="T490" s="11">
        <f>IF(OR(履歴データ!$A$490="",履歴データ!$A$489=""),"",-80000*K490)</f>
        <v>-120000.00000000454</v>
      </c>
      <c r="U490" s="11">
        <f>IF(OR(履歴データ!$A$490="",履歴データ!$A$489=""),"",60000*L490)</f>
        <v>-23999.999999999916</v>
      </c>
      <c r="V490" s="11">
        <f>IF(OR(履歴データ!$A$490="",履歴データ!$A$489=""),"",-50000*M490)</f>
        <v>-450000</v>
      </c>
      <c r="W490" s="11">
        <f>IF(OR(履歴データ!$A$490="",履歴データ!$A$489=""),"",-40000*N490)</f>
        <v>-39999.999999999149</v>
      </c>
      <c r="X490" s="11">
        <f>IF(OR(履歴データ!$A$490="",履歴データ!$A$489=""),"",120*1000000*(-Q490/H489))</f>
        <v>-269573.78621237649</v>
      </c>
      <c r="Y490" s="11">
        <f>IF(OR(履歴データ!$A$490="",履歴データ!$A$489=""),"",40000*(-S490)+(-506.3)*R490*1000)</f>
        <v>-74760.937500000262</v>
      </c>
      <c r="Z490" s="11">
        <f>IF(OR(履歴データ!$A$490="",履歴データ!$A$489=""),"",-40000*O490)</f>
        <v>296000.00000000134</v>
      </c>
      <c r="AA490" s="11">
        <f>IF(OR(履歴データ!$A$490="",履歴データ!$A$489=""),"",-40000*P490)</f>
        <v>171334.28710937322</v>
      </c>
      <c r="AB490" s="11">
        <f>IF(履歴データ!$A$490="","",123.3)</f>
        <v>123.3</v>
      </c>
      <c r="AC490">
        <f>IF(履歴データ!$A$490="","",SUM(T490:AA490))</f>
        <v>-511000.43660300563</v>
      </c>
      <c r="AD490" s="29">
        <f>IF(履歴データ!$A$490="","",AC490/1000000)</f>
        <v>-0.51100043660300565</v>
      </c>
      <c r="AE490" s="29">
        <f>IF(履歴データ!$A$490="",AE489,AE489+AC490/1000000)</f>
        <v>74.179619528001822</v>
      </c>
      <c r="AF490" s="12">
        <f>IF(OR(履歴データ!$A$490="",AE489=0),"",(AE490-AE489)/AE489)</f>
        <v>-6.8415610533848923E-3</v>
      </c>
      <c r="AG490" s="29">
        <f t="shared" si="23"/>
        <v>102.17217746631495</v>
      </c>
      <c r="AH490" s="12">
        <f>IF(OR(履歴データ!$A$490="",AG490=0),"",AE490/AG490-1)</f>
        <v>-0.27397436985760593</v>
      </c>
      <c r="AJ490" s="28">
        <f t="shared" ca="1" si="21"/>
        <v>-2.7241388018474737</v>
      </c>
      <c r="AK490" s="28">
        <f t="shared" ca="1" si="22"/>
        <v>-36.565543737835064</v>
      </c>
    </row>
    <row r="491" spans="1:37">
      <c r="A491" s="10">
        <f>IF(履歴データ!$A$491="","",履歴データ!$A$491)</f>
        <v>45642</v>
      </c>
      <c r="B491" s="28">
        <f>IF(履歴データ!$A$491="","",(履歴データ!$D$491-(履歴データ!$B$491+履歴データ!$F$491)/2)*100)</f>
        <v>-3.5000000000000142</v>
      </c>
      <c r="C491" s="28">
        <f>IF(履歴データ!$A$491="","",(履歴データ!$H$491-(履歴データ!$G$491+履歴データ!$J$491)/2)*100)</f>
        <v>-33.5</v>
      </c>
      <c r="D491" s="28">
        <f>IF(履歴データ!$A$491="","",(履歴データ!$D$491-履歴データ!$H$491)*100)</f>
        <v>330.59999999999997</v>
      </c>
      <c r="E491" s="28">
        <f>IF(履歴データ!$A$491="","",(履歴データ!$D$491-履歴データ!$C$491)*100)</f>
        <v>13.999999999999968</v>
      </c>
      <c r="F491" s="28">
        <f>IF(履歴データ!$A$491="","",(履歴データ!$R$491-履歴データ!$D$491)*100)</f>
        <v>-264.65999999999997</v>
      </c>
      <c r="G491" s="28">
        <f>IF(履歴データ!$A$491="","",(履歴データ!$S$491-履歴データ!$R$491)*100)</f>
        <v>-71.328178588867246</v>
      </c>
      <c r="H491" s="29">
        <f>IF(履歴データ!$A$491="","",履歴データ!$O$491)</f>
        <v>153.4530029296875</v>
      </c>
      <c r="I491" s="29">
        <f>IF(履歴データ!$A$491="","",履歴データ!$Q$491)</f>
        <v>109.8125</v>
      </c>
      <c r="J491" s="29">
        <f>IF(履歴データ!$A$491="","",履歴データ!$D$491)</f>
        <v>4.3899999999999997</v>
      </c>
      <c r="K491" s="28">
        <f>IF(OR(履歴データ!$A$491="",履歴データ!$A$490=""),"",B491-B490)</f>
        <v>-0.50000000000007816</v>
      </c>
      <c r="L491" s="28">
        <f>IF(OR(履歴データ!$A$491="",履歴データ!$A$490=""),"",C491-C490)</f>
        <v>0.20000000000001705</v>
      </c>
      <c r="M491" s="28">
        <f>IF(OR(履歴データ!$A$491="",履歴データ!$A$490=""),"",D491-D490)</f>
        <v>-3.9000000000000909</v>
      </c>
      <c r="N491" s="28">
        <f>IF(OR(履歴データ!$A$491="",履歴データ!$A$490=""),"",E491-E490)</f>
        <v>-1.0000000000000675</v>
      </c>
      <c r="O491" s="28">
        <f>IF(OR(履歴データ!$A$491="",履歴データ!$A$490=""),"",F491-F490)</f>
        <v>-0.42999999999989313</v>
      </c>
      <c r="P491" s="28">
        <f>IF(OR(履歴データ!$A$491="",履歴データ!$A$490=""),"",G491-G490)</f>
        <v>3.5348214111328105</v>
      </c>
      <c r="Q491" s="29">
        <f>IF(OR(履歴データ!$A$491="",履歴データ!$A$490=""),"",H491-H490)</f>
        <v>0.865997314453125</v>
      </c>
      <c r="R491" s="29">
        <f>IF(OR(履歴データ!$A$491="",履歴データ!$A$490=""),"",I491-I490)</f>
        <v>-1.5625E-2</v>
      </c>
      <c r="S491" s="28">
        <f>IF(OR(履歴データ!$A$491="",履歴データ!$A$490=""),"",(J491-J490)*100)</f>
        <v>-1.0000000000000675</v>
      </c>
      <c r="T491" s="11">
        <f>IF(OR(履歴データ!$A$491="",履歴データ!$A$490=""),"",-80000*K491)</f>
        <v>40000.00000000625</v>
      </c>
      <c r="U491" s="11">
        <f>IF(OR(履歴データ!$A$491="",履歴データ!$A$490=""),"",60000*L491)</f>
        <v>12000.000000001022</v>
      </c>
      <c r="V491" s="11">
        <f>IF(OR(履歴データ!$A$491="",履歴データ!$A$490=""),"",-50000*M491)</f>
        <v>195000.00000000454</v>
      </c>
      <c r="W491" s="11">
        <f>IF(OR(履歴データ!$A$491="",履歴データ!$A$490=""),"",-40000*N491)</f>
        <v>40000.000000002699</v>
      </c>
      <c r="X491" s="11">
        <f>IF(OR(履歴データ!$A$491="",履歴データ!$A$490=""),"",120*1000000*(-Q491/H490))</f>
        <v>-681051.95010131062</v>
      </c>
      <c r="Y491" s="11">
        <f>IF(OR(履歴データ!$A$491="",履歴データ!$A$490=""),"",40000*(-S491)+(-506.3)*R491*1000)</f>
        <v>47910.937500002699</v>
      </c>
      <c r="Z491" s="11">
        <f>IF(OR(履歴データ!$A$491="",履歴データ!$A$490=""),"",-40000*O491)</f>
        <v>17199.999999995725</v>
      </c>
      <c r="AA491" s="11">
        <f>IF(OR(履歴データ!$A$491="",履歴データ!$A$490=""),"",-40000*P491)</f>
        <v>-141392.85644531241</v>
      </c>
      <c r="AB491" s="11">
        <f>IF(履歴データ!$A$491="","",123.3)</f>
        <v>123.3</v>
      </c>
      <c r="AC491">
        <f>IF(履歴データ!$A$491="","",SUM(T491:AA491))</f>
        <v>-470333.86904661008</v>
      </c>
      <c r="AD491" s="29">
        <f>IF(履歴データ!$A$491="","",AC491/1000000)</f>
        <v>-0.47033386904661006</v>
      </c>
      <c r="AE491" s="29">
        <f>IF(履歴データ!$A$491="",AE490,AE490+AC491/1000000)</f>
        <v>73.70928565895521</v>
      </c>
      <c r="AF491" s="12">
        <f>IF(OR(履歴データ!$A$491="",AE490=0),"",(AE491-AE490)/AE490)</f>
        <v>-6.3404729228769873E-3</v>
      </c>
      <c r="AG491" s="29">
        <f t="shared" si="23"/>
        <v>102.17217746631495</v>
      </c>
      <c r="AH491" s="12">
        <f>IF(OR(履歴データ!$A$491="",AG491=0),"",AE491/AG491-1)</f>
        <v>-0.27857771570683854</v>
      </c>
      <c r="AJ491" s="28">
        <f t="shared" ca="1" si="21"/>
        <v>-2.5580206347355912</v>
      </c>
      <c r="AK491" s="28">
        <f t="shared" ca="1" si="22"/>
        <v>-36.509439682724732</v>
      </c>
    </row>
    <row r="492" spans="1:37">
      <c r="A492" s="10">
        <f>IF(履歴データ!$A$492="","",履歴データ!$A$492)</f>
        <v>45643</v>
      </c>
      <c r="B492" s="28">
        <f>IF(履歴データ!$A$492="","",(履歴データ!$D$492-(履歴データ!$B$492+履歴データ!$F$492)/2)*100)</f>
        <v>-1.9999999999999574</v>
      </c>
      <c r="C492" s="28">
        <f>IF(履歴データ!$A$492="","",(履歴データ!$H$492-(履歴データ!$G$492+履歴データ!$J$492)/2)*100)</f>
        <v>-33.54999999999999</v>
      </c>
      <c r="D492" s="28">
        <f>IF(履歴データ!$A$492="","",(履歴データ!$D$492-履歴データ!$H$492)*100)</f>
        <v>330.6</v>
      </c>
      <c r="E492" s="28">
        <f>IF(履歴データ!$A$492="","",(履歴データ!$D$492-履歴データ!$C$492)*100)</f>
        <v>14.000000000000057</v>
      </c>
      <c r="F492" s="28">
        <f>IF(履歴データ!$A$492="","",(履歴データ!$R$492-履歴データ!$D$492)*100)</f>
        <v>-258.73</v>
      </c>
      <c r="G492" s="28">
        <f>IF(履歴データ!$A$492="","",(履歴データ!$S$492-履歴データ!$R$492)*100)</f>
        <v>-75.276357177734582</v>
      </c>
      <c r="H492" s="29">
        <f>IF(履歴データ!$A$492="","",履歴データ!$O$492)</f>
        <v>154.08599853515625</v>
      </c>
      <c r="I492" s="29">
        <f>IF(履歴データ!$A$492="","",履歴データ!$Q$492)</f>
        <v>109.890625</v>
      </c>
      <c r="J492" s="29">
        <f>IF(履歴データ!$A$492="","",履歴データ!$D$492)</f>
        <v>4.4000000000000004</v>
      </c>
      <c r="K492" s="28">
        <f>IF(OR(履歴データ!$A$492="",履歴データ!$A$491=""),"",B492-B491)</f>
        <v>1.5000000000000568</v>
      </c>
      <c r="L492" s="28">
        <f>IF(OR(履歴データ!$A$492="",履歴データ!$A$491=""),"",C492-C491)</f>
        <v>-4.9999999999990052E-2</v>
      </c>
      <c r="M492" s="28">
        <f>IF(OR(履歴データ!$A$492="",履歴データ!$A$491=""),"",D492-D491)</f>
        <v>5.6843418860808015E-14</v>
      </c>
      <c r="N492" s="28">
        <f>IF(OR(履歴データ!$A$492="",履歴データ!$A$491=""),"",E492-E491)</f>
        <v>8.8817841970012523E-14</v>
      </c>
      <c r="O492" s="28">
        <f>IF(OR(履歴データ!$A$492="",履歴データ!$A$491=""),"",F492-F491)</f>
        <v>5.92999999999995</v>
      </c>
      <c r="P492" s="28">
        <f>IF(OR(履歴データ!$A$492="",履歴データ!$A$491=""),"",G492-G491)</f>
        <v>-3.9481785888673357</v>
      </c>
      <c r="Q492" s="29">
        <f>IF(OR(履歴データ!$A$492="",履歴データ!$A$491=""),"",H492-H491)</f>
        <v>0.63299560546875</v>
      </c>
      <c r="R492" s="29">
        <f>IF(OR(履歴データ!$A$492="",履歴データ!$A$491=""),"",I492-I491)</f>
        <v>7.8125E-2</v>
      </c>
      <c r="S492" s="28">
        <f>IF(OR(履歴データ!$A$492="",履歴データ!$A$491=""),"",(J492-J491)*100)</f>
        <v>1.0000000000000675</v>
      </c>
      <c r="T492" s="11">
        <f>IF(OR(履歴データ!$A$492="",履歴データ!$A$491=""),"",-80000*K492)</f>
        <v>-120000.00000000454</v>
      </c>
      <c r="U492" s="11">
        <f>IF(OR(履歴データ!$A$492="",履歴データ!$A$491=""),"",60000*L492)</f>
        <v>-2999.9999999994034</v>
      </c>
      <c r="V492" s="11">
        <f>IF(OR(履歴データ!$A$492="",履歴データ!$A$491=""),"",-50000*M492)</f>
        <v>-2.8421709430404007E-9</v>
      </c>
      <c r="W492" s="11">
        <f>IF(OR(履歴データ!$A$492="",履歴データ!$A$491=""),"",-40000*N492)</f>
        <v>-3.5527136788005009E-9</v>
      </c>
      <c r="X492" s="11">
        <f>IF(OR(履歴データ!$A$492="",履歴データ!$A$491=""),"",120*1000000*(-Q492/H491))</f>
        <v>-495001.53927293821</v>
      </c>
      <c r="Y492" s="11">
        <f>IF(OR(履歴データ!$A$492="",履歴データ!$A$491=""),"",40000*(-S492)+(-506.3)*R492*1000)</f>
        <v>-79554.687500002707</v>
      </c>
      <c r="Z492" s="11">
        <f>IF(OR(履歴データ!$A$492="",履歴データ!$A$491=""),"",-40000*O492)</f>
        <v>-237199.99999999799</v>
      </c>
      <c r="AA492" s="11">
        <f>IF(OR(履歴データ!$A$492="",履歴データ!$A$491=""),"",-40000*P492)</f>
        <v>157927.14355469344</v>
      </c>
      <c r="AB492" s="11">
        <f>IF(履歴データ!$A$492="","",123.3)</f>
        <v>123.3</v>
      </c>
      <c r="AC492">
        <f>IF(履歴データ!$A$492="","",SUM(T492:AA492))</f>
        <v>-776829.08321825578</v>
      </c>
      <c r="AD492" s="29">
        <f>IF(履歴データ!$A$492="","",AC492/1000000)</f>
        <v>-0.77682908321825583</v>
      </c>
      <c r="AE492" s="29">
        <f>IF(履歴データ!$A$492="",AE491,AE491+AC492/1000000)</f>
        <v>72.93245657573695</v>
      </c>
      <c r="AF492" s="12">
        <f>IF(OR(履歴データ!$A$492="",AE491=0),"",(AE492-AE491)/AE491)</f>
        <v>-1.053909390483803E-2</v>
      </c>
      <c r="AG492" s="29">
        <f t="shared" si="23"/>
        <v>102.17217746631495</v>
      </c>
      <c r="AH492" s="12">
        <f>IF(OR(履歴データ!$A$492="",AG492=0),"",AE492/AG492-1)</f>
        <v>-0.28618085290604689</v>
      </c>
      <c r="AJ492" s="28">
        <f t="shared" ca="1" si="21"/>
        <v>-2.3479263929733776</v>
      </c>
      <c r="AK492" s="28">
        <f t="shared" ca="1" si="22"/>
        <v>-36.509216464169477</v>
      </c>
    </row>
    <row r="493" spans="1:37">
      <c r="A493" s="10">
        <f>IF(履歴データ!$A$493="","",履歴データ!$A$493)</f>
        <v>45644</v>
      </c>
      <c r="B493" s="28">
        <f>IF(履歴データ!$A$493="","",(履歴データ!$D$493-(履歴データ!$B$493+履歴データ!$F$493)/2)*100)</f>
        <v>0</v>
      </c>
      <c r="C493" s="28">
        <f>IF(履歴データ!$A$493="","",(履歴データ!$H$493-(履歴データ!$G$493+履歴データ!$J$493)/2)*100)</f>
        <v>-33.550000000000011</v>
      </c>
      <c r="D493" s="28">
        <f>IF(履歴データ!$A$493="","",(履歴データ!$D$493-履歴データ!$H$493)*100)</f>
        <v>342.1</v>
      </c>
      <c r="E493" s="28">
        <f>IF(履歴データ!$A$493="","",(履歴データ!$D$493-履歴データ!$C$493)*100)</f>
        <v>9.9999999999999645</v>
      </c>
      <c r="F493" s="28">
        <f>IF(履歴データ!$A$493="","",(履歴データ!$R$493-履歴データ!$D$493)*100)</f>
        <v>-267.25000000000006</v>
      </c>
      <c r="G493" s="28">
        <f>IF(履歴データ!$A$493="","",(履歴データ!$S$493-履歴データ!$R$493)*100)</f>
        <v>-76.405642822265676</v>
      </c>
      <c r="H493" s="29">
        <f>IF(履歴データ!$A$493="","",履歴データ!$O$493)</f>
        <v>153.57200622558594</v>
      </c>
      <c r="I493" s="29">
        <f>IF(履歴データ!$A$493="","",履歴データ!$Q$493)</f>
        <v>109.0625</v>
      </c>
      <c r="J493" s="29">
        <f>IF(履歴データ!$A$493="","",履歴データ!$D$493)</f>
        <v>4.5</v>
      </c>
      <c r="K493" s="28">
        <f>IF(OR(履歴データ!$A$493="",履歴データ!$A$492=""),"",B493-B492)</f>
        <v>1.9999999999999574</v>
      </c>
      <c r="L493" s="28">
        <f>IF(OR(履歴データ!$A$493="",履歴データ!$A$492=""),"",C493-C492)</f>
        <v>-2.1316282072803006E-14</v>
      </c>
      <c r="M493" s="28">
        <f>IF(OR(履歴データ!$A$493="",履歴データ!$A$492=""),"",D493-D492)</f>
        <v>11.5</v>
      </c>
      <c r="N493" s="28">
        <f>IF(OR(履歴データ!$A$493="",履歴データ!$A$492=""),"",E493-E492)</f>
        <v>-4.0000000000000924</v>
      </c>
      <c r="O493" s="28">
        <f>IF(OR(履歴データ!$A$493="",履歴データ!$A$492=""),"",F493-F492)</f>
        <v>-8.5200000000000387</v>
      </c>
      <c r="P493" s="28">
        <f>IF(OR(履歴データ!$A$493="",履歴データ!$A$492=""),"",G493-G492)</f>
        <v>-1.1292856445310946</v>
      </c>
      <c r="Q493" s="29">
        <f>IF(OR(履歴データ!$A$493="",履歴データ!$A$492=""),"",H493-H492)</f>
        <v>-0.5139923095703125</v>
      </c>
      <c r="R493" s="29">
        <f>IF(OR(履歴データ!$A$493="",履歴データ!$A$492=""),"",I493-I492)</f>
        <v>-0.828125</v>
      </c>
      <c r="S493" s="28">
        <f>IF(OR(履歴データ!$A$493="",履歴データ!$A$492=""),"",(J493-J492)*100)</f>
        <v>9.9999999999999645</v>
      </c>
      <c r="T493" s="11">
        <f>IF(OR(履歴データ!$A$493="",履歴データ!$A$492=""),"",-80000*K493)</f>
        <v>-159999.99999999659</v>
      </c>
      <c r="U493" s="11">
        <f>IF(OR(履歴データ!$A$493="",履歴データ!$A$492=""),"",60000*L493)</f>
        <v>-1.2789769243681803E-9</v>
      </c>
      <c r="V493" s="11">
        <f>IF(OR(履歴データ!$A$493="",履歴データ!$A$492=""),"",-50000*M493)</f>
        <v>-575000</v>
      </c>
      <c r="W493" s="11">
        <f>IF(OR(履歴データ!$A$493="",履歴データ!$A$492=""),"",-40000*N493)</f>
        <v>160000.0000000037</v>
      </c>
      <c r="X493" s="11">
        <f>IF(OR(履歴データ!$A$493="",履歴データ!$A$492=""),"",120*1000000*(-Q493/H492))</f>
        <v>400289.95323909854</v>
      </c>
      <c r="Y493" s="11">
        <f>IF(OR(履歴データ!$A$493="",履歴データ!$A$492=""),"",40000*(-S493)+(-506.3)*R493*1000)</f>
        <v>19279.687500001397</v>
      </c>
      <c r="Z493" s="11">
        <f>IF(OR(履歴データ!$A$493="",履歴データ!$A$492=""),"",-40000*O493)</f>
        <v>340800.00000000157</v>
      </c>
      <c r="AA493" s="11">
        <f>IF(OR(履歴データ!$A$493="",履歴データ!$A$492=""),"",-40000*P493)</f>
        <v>45171.425781243786</v>
      </c>
      <c r="AB493" s="11">
        <f>IF(履歴データ!$A$493="","",123.3)</f>
        <v>123.3</v>
      </c>
      <c r="AC493">
        <f>IF(履歴データ!$A$493="","",SUM(T493:AA493))</f>
        <v>230541.0665203511</v>
      </c>
      <c r="AD493" s="29">
        <f>IF(履歴データ!$A$493="","",AC493/1000000)</f>
        <v>0.23054106652035111</v>
      </c>
      <c r="AE493" s="29">
        <f>IF(履歴データ!$A$493="",AE492,AE492+AC493/1000000)</f>
        <v>73.162997642257295</v>
      </c>
      <c r="AF493" s="12">
        <f>IF(OR(履歴データ!$A$493="",AE492=0),"",(AE493-AE492)/AE492)</f>
        <v>3.1610215443783826E-3</v>
      </c>
      <c r="AG493" s="29">
        <f t="shared" si="23"/>
        <v>102.17217746631495</v>
      </c>
      <c r="AH493" s="12">
        <f>IF(OR(履歴データ!$A$493="",AG493=0),"",AE493/AG493-1)</f>
        <v>-0.28392445520329312</v>
      </c>
      <c r="AJ493" s="28">
        <f t="shared" ca="1" si="21"/>
        <v>-2.0970225504897577</v>
      </c>
      <c r="AK493" s="28">
        <f t="shared" ca="1" si="22"/>
        <v>-36.537898084430878</v>
      </c>
    </row>
    <row r="494" spans="1:37">
      <c r="A494" s="10">
        <f>IF(履歴データ!$A$494="","",履歴データ!$A$494)</f>
        <v>45645</v>
      </c>
      <c r="B494" s="28">
        <f>IF(履歴データ!$A$494="","",(履歴データ!$D$494-(履歴データ!$B$494+履歴データ!$F$494)/2)*100)</f>
        <v>4.0000000000000036</v>
      </c>
      <c r="C494" s="28">
        <f>IF(履歴データ!$A$494="","",(履歴データ!$H$494-(履歴データ!$G$494+履歴データ!$J$494)/2)*100)</f>
        <v>-32.85</v>
      </c>
      <c r="D494" s="28">
        <f>IF(履歴データ!$A$494="","",(履歴データ!$D$494-履歴データ!$H$494)*100)</f>
        <v>347.3</v>
      </c>
      <c r="E494" s="28">
        <f>IF(履歴データ!$A$494="","",(履歴データ!$D$494-履歴データ!$C$494)*100)</f>
        <v>14.000000000000057</v>
      </c>
      <c r="F494" s="28">
        <f>IF(履歴データ!$A$494="","",(履歴データ!$R$494-履歴データ!$D$494)*100)</f>
        <v>-274.25000000000006</v>
      </c>
      <c r="G494" s="28">
        <f>IF(履歴データ!$A$494="","",(履歴データ!$S$494-履歴データ!$R$494)*100)</f>
        <v>-77.282642822265686</v>
      </c>
      <c r="H494" s="29">
        <f>IF(履歴データ!$A$494="","",履歴データ!$O$494)</f>
        <v>154.67300415039063</v>
      </c>
      <c r="I494" s="29">
        <f>IF(履歴データ!$A$494="","",履歴データ!$Q$494)</f>
        <v>108.703125</v>
      </c>
      <c r="J494" s="29">
        <f>IF(履歴データ!$A$494="","",履歴データ!$D$494)</f>
        <v>4.57</v>
      </c>
      <c r="K494" s="28">
        <f>IF(OR(履歴データ!$A$494="",履歴データ!$A$493=""),"",B494-B493)</f>
        <v>4.0000000000000036</v>
      </c>
      <c r="L494" s="28">
        <f>IF(OR(履歴データ!$A$494="",履歴データ!$A$493=""),"",C494-C493)</f>
        <v>0.70000000000000995</v>
      </c>
      <c r="M494" s="28">
        <f>IF(OR(履歴データ!$A$494="",履歴データ!$A$493=""),"",D494-D493)</f>
        <v>5.1999999999999886</v>
      </c>
      <c r="N494" s="28">
        <f>IF(OR(履歴データ!$A$494="",履歴データ!$A$493=""),"",E494-E493)</f>
        <v>4.0000000000000924</v>
      </c>
      <c r="O494" s="28">
        <f>IF(OR(履歴データ!$A$494="",履歴データ!$A$493=""),"",F494-F493)</f>
        <v>-7</v>
      </c>
      <c r="P494" s="28">
        <f>IF(OR(履歴データ!$A$494="",履歴データ!$A$493=""),"",G494-G493)</f>
        <v>-0.87700000000000955</v>
      </c>
      <c r="Q494" s="29">
        <f>IF(OR(履歴データ!$A$494="",履歴データ!$A$493=""),"",H494-H493)</f>
        <v>1.1009979248046875</v>
      </c>
      <c r="R494" s="29">
        <f>IF(OR(履歴データ!$A$494="",履歴データ!$A$493=""),"",I494-I493)</f>
        <v>-0.359375</v>
      </c>
      <c r="S494" s="28">
        <f>IF(OR(履歴データ!$A$494="",履歴データ!$A$493=""),"",(J494-J493)*100)</f>
        <v>7.0000000000000284</v>
      </c>
      <c r="T494" s="11">
        <f>IF(OR(履歴データ!$A$494="",履歴データ!$A$493=""),"",-80000*K494)</f>
        <v>-320000.00000000029</v>
      </c>
      <c r="U494" s="11">
        <f>IF(OR(履歴データ!$A$494="",履歴データ!$A$493=""),"",60000*L494)</f>
        <v>42000.000000000597</v>
      </c>
      <c r="V494" s="11">
        <f>IF(OR(履歴データ!$A$494="",履歴データ!$A$493=""),"",-50000*M494)</f>
        <v>-259999.99999999942</v>
      </c>
      <c r="W494" s="11">
        <f>IF(OR(履歴データ!$A$494="",履歴データ!$A$493=""),"",-40000*N494)</f>
        <v>-160000.0000000037</v>
      </c>
      <c r="X494" s="11">
        <f>IF(OR(履歴データ!$A$494="",履歴データ!$A$493=""),"",120*1000000*(-Q494/H493))</f>
        <v>-860311.42148711882</v>
      </c>
      <c r="Y494" s="11">
        <f>IF(OR(履歴データ!$A$494="",履歴データ!$A$493=""),"",40000*(-S494)+(-506.3)*R494*1000)</f>
        <v>-98048.437500001164</v>
      </c>
      <c r="Z494" s="11">
        <f>IF(OR(履歴データ!$A$494="",履歴データ!$A$493=""),"",-40000*O494)</f>
        <v>280000</v>
      </c>
      <c r="AA494" s="11">
        <f>IF(OR(履歴データ!$A$494="",履歴データ!$A$493=""),"",-40000*P494)</f>
        <v>35080.000000000378</v>
      </c>
      <c r="AB494" s="11">
        <f>IF(履歴データ!$A$494="","",123.3)</f>
        <v>123.3</v>
      </c>
      <c r="AC494">
        <f>IF(履歴データ!$A$494="","",SUM(T494:AA494))</f>
        <v>-1341279.8589871223</v>
      </c>
      <c r="AD494" s="29">
        <f>IF(履歴データ!$A$494="","",AC494/1000000)</f>
        <v>-1.3412798589871222</v>
      </c>
      <c r="AE494" s="29">
        <f>IF(履歴データ!$A$494="",AE493,AE493+AC494/1000000)</f>
        <v>71.821717783270174</v>
      </c>
      <c r="AF494" s="12">
        <f>IF(OR(履歴データ!$A$494="",AE493=0),"",(AE494-AE493)/AE493)</f>
        <v>-1.8332762492121134E-2</v>
      </c>
      <c r="AG494" s="29">
        <f t="shared" si="23"/>
        <v>102.17217746631495</v>
      </c>
      <c r="AH494" s="12">
        <f>IF(OR(履歴データ!$A$494="",AG494=0),"",AE494/AG494-1)</f>
        <v>-0.29705209809246735</v>
      </c>
      <c r="AJ494" s="28">
        <f t="shared" ca="1" si="21"/>
        <v>-1.7729514698672482</v>
      </c>
      <c r="AK494" s="28">
        <f t="shared" ca="1" si="22"/>
        <v>-36.584191387275609</v>
      </c>
    </row>
    <row r="495" spans="1:37">
      <c r="A495" s="10">
        <f>IF(履歴データ!$A$495="","",履歴データ!$A$495)</f>
        <v>45646</v>
      </c>
      <c r="B495" s="28">
        <f>IF(履歴データ!$A$495="","",(履歴データ!$D$495-(履歴データ!$B$495+履歴データ!$F$495)/2)*100)</f>
        <v>0.99999999999997868</v>
      </c>
      <c r="C495" s="28">
        <f>IF(履歴データ!$A$495="","",(履歴データ!$H$495-(履歴データ!$G$495+履歴データ!$J$495)/2)*100)</f>
        <v>-33.25</v>
      </c>
      <c r="D495" s="28">
        <f>IF(履歴データ!$A$495="","",(履歴データ!$D$495-履歴データ!$H$495)*100)</f>
        <v>344.99999999999994</v>
      </c>
      <c r="E495" s="28">
        <f>IF(履歴データ!$A$495="","",(履歴データ!$D$495-履歴データ!$C$495)*100)</f>
        <v>14.999999999999947</v>
      </c>
      <c r="F495" s="28">
        <f>IF(履歴データ!$A$495="","",(履歴データ!$R$495-履歴データ!$D$495)*100)</f>
        <v>-262.36999999999995</v>
      </c>
      <c r="G495" s="28">
        <f>IF(履歴データ!$A$495="","",(履歴データ!$S$495-履歴データ!$R$495)*100)</f>
        <v>-88.021357177734501</v>
      </c>
      <c r="H495" s="29">
        <f>IF(履歴データ!$A$495="","",履歴データ!$O$495)</f>
        <v>157.64399719238281</v>
      </c>
      <c r="I495" s="29">
        <f>IF(履歴データ!$A$495="","",履歴データ!$Q$495)</f>
        <v>108.96875</v>
      </c>
      <c r="J495" s="29">
        <f>IF(履歴データ!$A$495="","",履歴データ!$D$495)</f>
        <v>4.5199999999999996</v>
      </c>
      <c r="K495" s="28">
        <f>IF(OR(履歴データ!$A$495="",履歴データ!$A$494=""),"",B495-B494)</f>
        <v>-3.0000000000000249</v>
      </c>
      <c r="L495" s="28">
        <f>IF(OR(履歴データ!$A$495="",履歴データ!$A$494=""),"",C495-C494)</f>
        <v>-0.39999999999999858</v>
      </c>
      <c r="M495" s="28">
        <f>IF(OR(履歴データ!$A$495="",履歴データ!$A$494=""),"",D495-D494)</f>
        <v>-2.3000000000000682</v>
      </c>
      <c r="N495" s="28">
        <f>IF(OR(履歴データ!$A$495="",履歴データ!$A$494=""),"",E495-E494)</f>
        <v>0.99999999999988987</v>
      </c>
      <c r="O495" s="28">
        <f>IF(OR(履歴データ!$A$495="",履歴データ!$A$494=""),"",F495-F494)</f>
        <v>11.880000000000109</v>
      </c>
      <c r="P495" s="28">
        <f>IF(OR(履歴データ!$A$495="",履歴データ!$A$494=""),"",G495-G494)</f>
        <v>-10.738714355468815</v>
      </c>
      <c r="Q495" s="29">
        <f>IF(OR(履歴データ!$A$495="",履歴データ!$A$494=""),"",H495-H494)</f>
        <v>2.9709930419921875</v>
      </c>
      <c r="R495" s="29">
        <f>IF(OR(履歴データ!$A$495="",履歴データ!$A$494=""),"",I495-I494)</f>
        <v>0.265625</v>
      </c>
      <c r="S495" s="28">
        <f>IF(OR(履歴データ!$A$495="",履歴データ!$A$494=""),"",(J495-J494)*100)</f>
        <v>-5.0000000000000711</v>
      </c>
      <c r="T495" s="11">
        <f>IF(OR(履歴データ!$A$495="",履歴データ!$A$494=""),"",-80000*K495)</f>
        <v>240000.00000000198</v>
      </c>
      <c r="U495" s="11">
        <f>IF(OR(履歴データ!$A$495="",履歴データ!$A$494=""),"",60000*L495)</f>
        <v>-23999.999999999916</v>
      </c>
      <c r="V495" s="11">
        <f>IF(OR(履歴データ!$A$495="",履歴データ!$A$494=""),"",-50000*M495)</f>
        <v>115000.00000000341</v>
      </c>
      <c r="W495" s="11">
        <f>IF(OR(履歴データ!$A$495="",履歴データ!$A$494=""),"",-40000*N495)</f>
        <v>-39999.999999995598</v>
      </c>
      <c r="X495" s="11">
        <f>IF(OR(履歴データ!$A$495="",履歴データ!$A$494=""),"",120*1000000*(-Q495/H494))</f>
        <v>-2304986.3613718539</v>
      </c>
      <c r="Y495" s="11">
        <f>IF(OR(履歴データ!$A$495="",履歴データ!$A$494=""),"",40000*(-S495)+(-506.3)*R495*1000)</f>
        <v>65514.062500002852</v>
      </c>
      <c r="Z495" s="11">
        <f>IF(OR(履歴データ!$A$495="",履歴データ!$A$494=""),"",-40000*O495)</f>
        <v>-475200.00000000437</v>
      </c>
      <c r="AA495" s="11">
        <f>IF(OR(履歴データ!$A$495="",履歴データ!$A$494=""),"",-40000*P495)</f>
        <v>429548.57421875262</v>
      </c>
      <c r="AB495" s="11">
        <f>IF(履歴データ!$A$495="","",123.3)</f>
        <v>123.3</v>
      </c>
      <c r="AC495">
        <f>IF(履歴データ!$A$495="","",SUM(T495:AA495))</f>
        <v>-1994123.7246530929</v>
      </c>
      <c r="AD495" s="29">
        <f>IF(履歴データ!$A$495="","",AC495/1000000)</f>
        <v>-1.994123724653093</v>
      </c>
      <c r="AE495" s="29">
        <f>IF(履歴データ!$A$495="",AE494,AE494+AC495/1000000)</f>
        <v>69.82759405861708</v>
      </c>
      <c r="AF495" s="12">
        <f>IF(OR(履歴データ!$A$495="",AE494=0),"",(AE495-AE494)/AE494)</f>
        <v>-2.7764912706078376E-2</v>
      </c>
      <c r="AG495" s="29">
        <f t="shared" si="23"/>
        <v>102.17217746631495</v>
      </c>
      <c r="AH495" s="12">
        <f>IF(OR(履歴データ!$A$495="",AG495=0),"",AE495/AG495-1)</f>
        <v>-0.31656938522585099</v>
      </c>
      <c r="AJ495" s="28">
        <f t="shared" ca="1" si="21"/>
        <v>-1.5138601562566762</v>
      </c>
      <c r="AK495" s="28">
        <f t="shared" ca="1" si="22"/>
        <v>-36.605187462790951</v>
      </c>
    </row>
    <row r="496" spans="1:37">
      <c r="A496" s="10">
        <f>IF(履歴データ!$A$496="","",履歴データ!$A$496)</f>
        <v>45649</v>
      </c>
      <c r="B496" s="28">
        <f>IF(履歴データ!$A$496="","",(履歴データ!$D$496-(履歴データ!$B$496+履歴データ!$F$496)/2)*100)</f>
        <v>4.9999999999999822</v>
      </c>
      <c r="C496" s="28">
        <f>IF(履歴データ!$A$496="","",(履歴データ!$H$496-(履歴データ!$G$496+履歴データ!$J$496)/2)*100)</f>
        <v>-33.100000000000016</v>
      </c>
      <c r="D496" s="28">
        <f>IF(履歴データ!$A$496="","",(履歴データ!$D$496-履歴データ!$H$496)*100)</f>
        <v>350.9</v>
      </c>
      <c r="E496" s="28">
        <f>IF(履歴データ!$A$496="","",(履歴データ!$D$496-履歴データ!$C$496)*100)</f>
        <v>14.999999999999947</v>
      </c>
      <c r="F496" s="28">
        <f>IF(履歴データ!$A$496="","",(履歴データ!$R$496-履歴データ!$D$496)*100)</f>
        <v>-274.74999999999994</v>
      </c>
      <c r="G496" s="28">
        <f>IF(履歴データ!$A$496="","",(履歴データ!$S$496-履歴データ!$R$496)*100)</f>
        <v>-81.238178588867243</v>
      </c>
      <c r="H496" s="29">
        <f>IF(履歴データ!$A$496="","",履歴データ!$O$496)</f>
        <v>156.53300476074219</v>
      </c>
      <c r="I496" s="29">
        <f>IF(履歴データ!$A$496="","",履歴データ!$Q$496)</f>
        <v>108.46875</v>
      </c>
      <c r="J496" s="29">
        <f>IF(履歴データ!$A$496="","",履歴データ!$D$496)</f>
        <v>4.59</v>
      </c>
      <c r="K496" s="28">
        <f>IF(OR(履歴データ!$A$496="",履歴データ!$A$495=""),"",B496-B495)</f>
        <v>4.0000000000000036</v>
      </c>
      <c r="L496" s="28">
        <f>IF(OR(履歴データ!$A$496="",履歴データ!$A$495=""),"",C496-C495)</f>
        <v>0.14999999999998437</v>
      </c>
      <c r="M496" s="28">
        <f>IF(OR(履歴データ!$A$496="",履歴データ!$A$495=""),"",D496-D495)</f>
        <v>5.9000000000000341</v>
      </c>
      <c r="N496" s="28">
        <f>IF(OR(履歴データ!$A$496="",履歴データ!$A$495=""),"",E496-E495)</f>
        <v>0</v>
      </c>
      <c r="O496" s="28">
        <f>IF(OR(履歴データ!$A$496="",履歴データ!$A$495=""),"",F496-F495)</f>
        <v>-12.379999999999995</v>
      </c>
      <c r="P496" s="28">
        <f>IF(OR(履歴データ!$A$496="",履歴データ!$A$495=""),"",G496-G495)</f>
        <v>6.7831785888672584</v>
      </c>
      <c r="Q496" s="29">
        <f>IF(OR(履歴データ!$A$496="",履歴データ!$A$495=""),"",H496-H495)</f>
        <v>-1.110992431640625</v>
      </c>
      <c r="R496" s="29">
        <f>IF(OR(履歴データ!$A$496="",履歴データ!$A$495=""),"",I496-I495)</f>
        <v>-0.5</v>
      </c>
      <c r="S496" s="28">
        <f>IF(OR(履歴データ!$A$496="",履歴データ!$A$495=""),"",(J496-J495)*100)</f>
        <v>7.0000000000000284</v>
      </c>
      <c r="T496" s="11">
        <f>IF(OR(履歴データ!$A$496="",履歴データ!$A$495=""),"",-80000*K496)</f>
        <v>-320000.00000000029</v>
      </c>
      <c r="U496" s="11">
        <f>IF(OR(履歴データ!$A$496="",履歴データ!$A$495=""),"",60000*L496)</f>
        <v>8999.9999999990614</v>
      </c>
      <c r="V496" s="11">
        <f>IF(OR(履歴データ!$A$496="",履歴データ!$A$495=""),"",-50000*M496)</f>
        <v>-295000.00000000169</v>
      </c>
      <c r="W496" s="11">
        <f>IF(OR(履歴データ!$A$496="",履歴データ!$A$495=""),"",-40000*N496)</f>
        <v>0</v>
      </c>
      <c r="X496" s="11">
        <f>IF(OR(履歴データ!$A$496="",履歴データ!$A$495=""),"",120*1000000*(-Q496/H495))</f>
        <v>845697.2302863989</v>
      </c>
      <c r="Y496" s="11">
        <f>IF(OR(履歴データ!$A$496="",履歴データ!$A$495=""),"",40000*(-S496)+(-506.3)*R496*1000)</f>
        <v>-26850.000000001164</v>
      </c>
      <c r="Z496" s="11">
        <f>IF(OR(履歴データ!$A$496="",履歴データ!$A$495=""),"",-40000*O496)</f>
        <v>495199.99999999983</v>
      </c>
      <c r="AA496" s="11">
        <f>IF(OR(履歴データ!$A$496="",履歴データ!$A$495=""),"",-40000*P496)</f>
        <v>-271327.14355469035</v>
      </c>
      <c r="AB496" s="11">
        <f>IF(履歴データ!$A$496="","",123.3)</f>
        <v>123.3</v>
      </c>
      <c r="AC496">
        <f>IF(履歴データ!$A$496="","",SUM(T496:AA496))</f>
        <v>436720.08673170436</v>
      </c>
      <c r="AD496" s="29">
        <f>IF(履歴データ!$A$496="","",AC496/1000000)</f>
        <v>0.43672008673170437</v>
      </c>
      <c r="AE496" s="29">
        <f>IF(履歴データ!$A$496="",AE495,AE495+AC496/1000000)</f>
        <v>70.264314145348791</v>
      </c>
      <c r="AF496" s="12">
        <f>IF(OR(履歴データ!$A$496="",AE495=0),"",(AE496-AE495)/AE495)</f>
        <v>6.2542622672221004E-3</v>
      </c>
      <c r="AG496" s="29">
        <f t="shared" si="23"/>
        <v>102.17217746631495</v>
      </c>
      <c r="AH496" s="12">
        <f>IF(OR(履歴データ!$A$496="",AG496=0),"",AE496/AG496-1)</f>
        <v>-0.31229503091960464</v>
      </c>
      <c r="AJ496" s="28">
        <f t="shared" ca="1" si="21"/>
        <v>-1.1643281236492307</v>
      </c>
      <c r="AK496" s="28">
        <f t="shared" ca="1" si="22"/>
        <v>-36.684878225557114</v>
      </c>
    </row>
    <row r="497" spans="1:37">
      <c r="A497" s="10">
        <f>IF(履歴データ!$A$497="","",履歴データ!$A$497)</f>
        <v>45650</v>
      </c>
      <c r="B497" s="28">
        <f>IF(履歴データ!$A$497="","",(履歴データ!$D$497-(履歴データ!$B$497+履歴データ!$F$497)/2)*100)</f>
        <v>6.4999999999999503</v>
      </c>
      <c r="C497" s="28">
        <f>IF(履歴データ!$A$497="","",(履歴データ!$H$497-(履歴データ!$G$497+履歴データ!$J$497)/2)*100)</f>
        <v>-32.200000000000003</v>
      </c>
      <c r="D497" s="28">
        <f>IF(履歴データ!$A$497="","",(履歴データ!$D$497-履歴データ!$H$497)*100)</f>
        <v>350.4</v>
      </c>
      <c r="E497" s="28">
        <f>IF(履歴データ!$A$497="","",(履歴データ!$D$497-履歴データ!$C$497)*100)</f>
        <v>16.000000000000014</v>
      </c>
      <c r="F497" s="28">
        <f>IF(履歴データ!$A$497="","",(履歴データ!$R$497-履歴データ!$D$497)*100)</f>
        <v>-274.14</v>
      </c>
      <c r="G497" s="28">
        <f>IF(履歴データ!$A$497="","",(履歴データ!$S$497-履歴データ!$R$497)*100)</f>
        <v>-82.023642822265757</v>
      </c>
      <c r="H497" s="29">
        <f>IF(履歴データ!$A$497="","",履歴データ!$O$497)</f>
        <v>157.16499328613281</v>
      </c>
      <c r="I497" s="29">
        <f>IF(履歴データ!$A$497="","",履歴データ!$Q$497)</f>
        <v>108.5625</v>
      </c>
      <c r="J497" s="29">
        <f>IF(履歴データ!$A$497="","",履歴データ!$D$497)</f>
        <v>4.59</v>
      </c>
      <c r="K497" s="28">
        <f>IF(OR(履歴データ!$A$497="",履歴データ!$A$496=""),"",B497-B496)</f>
        <v>1.499999999999968</v>
      </c>
      <c r="L497" s="28">
        <f>IF(OR(履歴データ!$A$497="",履歴データ!$A$496=""),"",C497-C496)</f>
        <v>0.90000000000001279</v>
      </c>
      <c r="M497" s="28">
        <f>IF(OR(履歴データ!$A$497="",履歴データ!$A$496=""),"",D497-D496)</f>
        <v>-0.5</v>
      </c>
      <c r="N497" s="28">
        <f>IF(OR(履歴データ!$A$497="",履歴データ!$A$496=""),"",E497-E496)</f>
        <v>1.0000000000000675</v>
      </c>
      <c r="O497" s="28">
        <f>IF(OR(履歴データ!$A$497="",履歴データ!$A$496=""),"",F497-F496)</f>
        <v>0.6099999999999568</v>
      </c>
      <c r="P497" s="28">
        <f>IF(OR(履歴データ!$A$497="",履歴データ!$A$496=""),"",G497-G496)</f>
        <v>-0.78546423339851401</v>
      </c>
      <c r="Q497" s="29">
        <f>IF(OR(履歴データ!$A$497="",履歴データ!$A$496=""),"",H497-H496)</f>
        <v>0.631988525390625</v>
      </c>
      <c r="R497" s="29">
        <f>IF(OR(履歴データ!$A$497="",履歴データ!$A$496=""),"",I497-I496)</f>
        <v>9.375E-2</v>
      </c>
      <c r="S497" s="28">
        <f>IF(OR(履歴データ!$A$497="",履歴データ!$A$496=""),"",(J497-J496)*100)</f>
        <v>0</v>
      </c>
      <c r="T497" s="11">
        <f>IF(OR(履歴データ!$A$497="",履歴データ!$A$496=""),"",-80000*K497)</f>
        <v>-119999.99999999744</v>
      </c>
      <c r="U497" s="11">
        <f>IF(OR(履歴データ!$A$497="",履歴データ!$A$496=""),"",60000*L497)</f>
        <v>54000.000000000764</v>
      </c>
      <c r="V497" s="11">
        <f>IF(OR(履歴データ!$A$497="",履歴データ!$A$496=""),"",-50000*M497)</f>
        <v>25000</v>
      </c>
      <c r="W497" s="11">
        <f>IF(OR(履歴データ!$A$497="",履歴データ!$A$496=""),"",-40000*N497)</f>
        <v>-40000.000000002699</v>
      </c>
      <c r="X497" s="11">
        <f>IF(OR(履歴データ!$A$497="",履歴データ!$A$496=""),"",120*1000000*(-Q497/H496))</f>
        <v>-484489.6650568546</v>
      </c>
      <c r="Y497" s="11">
        <f>IF(OR(履歴データ!$A$497="",履歴データ!$A$496=""),"",40000*(-S497)+(-506.3)*R497*1000)</f>
        <v>-47465.625</v>
      </c>
      <c r="Z497" s="11">
        <f>IF(OR(履歴データ!$A$497="",履歴データ!$A$496=""),"",-40000*O497)</f>
        <v>-24399.999999998272</v>
      </c>
      <c r="AA497" s="11">
        <f>IF(OR(履歴データ!$A$497="",履歴データ!$A$496=""),"",-40000*P497)</f>
        <v>31418.56933594056</v>
      </c>
      <c r="AB497" s="11">
        <f>IF(履歴データ!$A$497="","",123.3)</f>
        <v>123.3</v>
      </c>
      <c r="AC497">
        <f>IF(履歴データ!$A$497="","",SUM(T497:AA497))</f>
        <v>-605936.72072091175</v>
      </c>
      <c r="AD497" s="29">
        <f>IF(履歴データ!$A$497="","",AC497/1000000)</f>
        <v>-0.60593672072091176</v>
      </c>
      <c r="AE497" s="29">
        <f>IF(履歴データ!$A$497="",AE496,AE496+AC497/1000000)</f>
        <v>69.658377424627886</v>
      </c>
      <c r="AF497" s="12">
        <f>IF(OR(履歴データ!$A$497="",AE496=0),"",(AE497-AE496)/AE496)</f>
        <v>-8.6236765859190479E-3</v>
      </c>
      <c r="AG497" s="29">
        <f t="shared" si="23"/>
        <v>102.17217746631495</v>
      </c>
      <c r="AH497" s="12">
        <f>IF(OR(履歴データ!$A$497="",AG497=0),"",AE497/AG497-1)</f>
        <v>-0.31822557615948344</v>
      </c>
      <c r="AJ497" s="28">
        <f t="shared" ca="1" si="21"/>
        <v>-0.78838425067823792</v>
      </c>
      <c r="AK497" s="28">
        <f t="shared" ca="1" si="22"/>
        <v>-36.771139558845576</v>
      </c>
    </row>
    <row r="498" spans="1:37">
      <c r="A498" s="10">
        <f>IF(履歴データ!$A$498="","",履歴データ!$A$498)</f>
        <v>45652</v>
      </c>
      <c r="B498" s="28">
        <f>IF(履歴データ!$A$498="","",(履歴データ!$D$498-(履歴データ!$B$498+履歴データ!$F$498)/2)*100)</f>
        <v>5.0000000000000711</v>
      </c>
      <c r="C498" s="28">
        <f>IF(履歴データ!$A$498="","",(履歴データ!$H$498-(履歴データ!$G$498+履歴データ!$J$498)/2)*100)</f>
        <v>-31.349999999999987</v>
      </c>
      <c r="D498" s="28">
        <f>IF(履歴データ!$A$498="","",(履歴データ!$D$498-履歴データ!$H$498)*100)</f>
        <v>347.70000000000005</v>
      </c>
      <c r="E498" s="28">
        <f>IF(履歴データ!$A$498="","",(履歴データ!$D$498-履歴データ!$C$498)*100)</f>
        <v>16.000000000000014</v>
      </c>
      <c r="F498" s="28">
        <f>IF(履歴データ!$A$498="","",(履歴データ!$R$498-履歴データ!$D$498)*100)</f>
        <v>-272.01</v>
      </c>
      <c r="G498" s="28">
        <f>IF(履歴データ!$A$498="","",(履歴データ!$S$498-履歴データ!$R$498)*100)</f>
        <v>-81.224178588867389</v>
      </c>
      <c r="H498" s="29">
        <f>IF(履歴データ!$A$498="","",履歴データ!$O$498)</f>
        <v>157.13299560546875</v>
      </c>
      <c r="I498" s="29">
        <f>IF(履歴データ!$A$498="","",履歴データ!$Q$498)</f>
        <v>108.65625</v>
      </c>
      <c r="J498" s="29">
        <f>IF(履歴データ!$A$498="","",履歴データ!$D$498)</f>
        <v>4.58</v>
      </c>
      <c r="K498" s="28">
        <f>IF(OR(履歴データ!$A$498="",履歴データ!$A$497=""),"",B498-B497)</f>
        <v>-1.4999999999998792</v>
      </c>
      <c r="L498" s="28">
        <f>IF(OR(履歴データ!$A$498="",履歴データ!$A$497=""),"",C498-C497)</f>
        <v>0.85000000000001563</v>
      </c>
      <c r="M498" s="28">
        <f>IF(OR(履歴データ!$A$498="",履歴データ!$A$497=""),"",D498-D497)</f>
        <v>-2.6999999999999318</v>
      </c>
      <c r="N498" s="28">
        <f>IF(OR(履歴データ!$A$498="",履歴データ!$A$497=""),"",E498-E497)</f>
        <v>0</v>
      </c>
      <c r="O498" s="28">
        <f>IF(OR(履歴データ!$A$498="",履歴データ!$A$497=""),"",F498-F497)</f>
        <v>2.1299999999999955</v>
      </c>
      <c r="P498" s="28">
        <f>IF(OR(履歴データ!$A$498="",履歴データ!$A$497=""),"",G498-G497)</f>
        <v>0.7994642333983677</v>
      </c>
      <c r="Q498" s="29">
        <f>IF(OR(履歴データ!$A$498="",履歴データ!$A$497=""),"",H498-H497)</f>
        <v>-3.19976806640625E-2</v>
      </c>
      <c r="R498" s="29">
        <f>IF(OR(履歴データ!$A$498="",履歴データ!$A$497=""),"",I498-I497)</f>
        <v>9.375E-2</v>
      </c>
      <c r="S498" s="28">
        <f>IF(OR(履歴データ!$A$498="",履歴データ!$A$497=""),"",(J498-J497)*100)</f>
        <v>-0.99999999999997868</v>
      </c>
      <c r="T498" s="11">
        <f>IF(OR(履歴データ!$A$498="",履歴データ!$A$497=""),"",-80000*K498)</f>
        <v>119999.99999999034</v>
      </c>
      <c r="U498" s="11">
        <f>IF(OR(履歴データ!$A$498="",履歴データ!$A$497=""),"",60000*L498)</f>
        <v>51000.000000000939</v>
      </c>
      <c r="V498" s="11">
        <f>IF(OR(履歴データ!$A$498="",履歴データ!$A$497=""),"",-50000*M498)</f>
        <v>134999.99999999659</v>
      </c>
      <c r="W498" s="11">
        <f>IF(OR(履歴データ!$A$498="",履歴データ!$A$497=""),"",-40000*N498)</f>
        <v>0</v>
      </c>
      <c r="X498" s="11">
        <f>IF(OR(履歴データ!$A$498="",履歴データ!$A$497=""),"",120*1000000*(-Q498/H497))</f>
        <v>24431.150979639249</v>
      </c>
      <c r="Y498" s="11">
        <f>IF(OR(履歴データ!$A$498="",履歴データ!$A$497=""),"",40000*(-S498)+(-506.3)*R498*1000)</f>
        <v>-7465.6250000008513</v>
      </c>
      <c r="Z498" s="11">
        <f>IF(OR(履歴データ!$A$498="",履歴データ!$A$497=""),"",-40000*O498)</f>
        <v>-85199.999999999825</v>
      </c>
      <c r="AA498" s="11">
        <f>IF(OR(履歴データ!$A$498="",履歴データ!$A$497=""),"",-40000*P498)</f>
        <v>-31978.569335934706</v>
      </c>
      <c r="AB498" s="11">
        <f>IF(履歴データ!$A$498="","",123.3)</f>
        <v>123.3</v>
      </c>
      <c r="AC498">
        <f>IF(履歴データ!$A$498="","",SUM(T498:AA498))</f>
        <v>205786.95664369175</v>
      </c>
      <c r="AD498" s="29">
        <f>IF(履歴データ!$A$498="","",AC498/1000000)</f>
        <v>0.20578695664369176</v>
      </c>
      <c r="AE498" s="29">
        <f>IF(履歴データ!$A$498="",AE497,AE497+AC498/1000000)</f>
        <v>69.864164381271578</v>
      </c>
      <c r="AF498" s="12">
        <f>IF(OR(履歴データ!$A$498="",AE497=0),"",(AE498-AE497)/AE497)</f>
        <v>2.9542312676800247E-3</v>
      </c>
      <c r="AG498" s="29">
        <f t="shared" si="23"/>
        <v>102.17217746631495</v>
      </c>
      <c r="AH498" s="12">
        <f>IF(OR(履歴データ!$A$498="",AG498=0),"",AE498/AG498-1)</f>
        <v>-0.31621145683906926</v>
      </c>
      <c r="AJ498" s="28">
        <f t="shared" ca="1" si="21"/>
        <v>-0.45243740271709498</v>
      </c>
      <c r="AK498" s="28">
        <f t="shared" ca="1" si="22"/>
        <v>-36.837245136965443</v>
      </c>
    </row>
    <row r="499" spans="1:37">
      <c r="A499" s="10">
        <f>IF(履歴データ!$A$499="","",履歴データ!$A$499)</f>
        <v>45653</v>
      </c>
      <c r="B499" s="28">
        <f>IF(履歴データ!$A$499="","",(履歴データ!$D$499-(履歴データ!$B$499+履歴データ!$F$499)/2)*100)</f>
        <v>5.5000000000000604</v>
      </c>
      <c r="C499" s="28">
        <f>IF(履歴データ!$A$499="","",(履歴データ!$H$499-(履歴データ!$G$499+履歴データ!$J$499)/2)*100)</f>
        <v>-31.149999999999988</v>
      </c>
      <c r="D499" s="28">
        <f>IF(履歴データ!$A$499="","",(履歴データ!$D$499-履歴データ!$H$499)*100)</f>
        <v>350.1</v>
      </c>
      <c r="E499" s="28">
        <f>IF(履歴データ!$A$499="","",(履歴データ!$D$499-履歴データ!$C$499)*100)</f>
        <v>16.999999999999993</v>
      </c>
      <c r="F499" s="28">
        <f>IF(履歴データ!$A$499="","",(履歴データ!$R$499-履歴データ!$D$499)*100)</f>
        <v>-276.01</v>
      </c>
      <c r="G499" s="28">
        <f>IF(履歴データ!$A$499="","",(履歴データ!$S$499-履歴データ!$R$499)*100)</f>
        <v>-80.698000000000164</v>
      </c>
      <c r="H499" s="29">
        <f>IF(履歴データ!$A$499="","",履歴データ!$O$499)</f>
        <v>157.74800109863281</v>
      </c>
      <c r="I499" s="29">
        <f>IF(履歴データ!$A$499="","",履歴データ!$Q$499)</f>
        <v>108.4375</v>
      </c>
      <c r="J499" s="29">
        <f>IF(履歴データ!$A$499="","",履歴データ!$D$499)</f>
        <v>4.62</v>
      </c>
      <c r="K499" s="28">
        <f>IF(OR(履歴データ!$A$499="",履歴データ!$A$498=""),"",B499-B498)</f>
        <v>0.49999999999998934</v>
      </c>
      <c r="L499" s="28">
        <f>IF(OR(履歴データ!$A$499="",履歴データ!$A$498=""),"",C499-C498)</f>
        <v>0.19999999999999929</v>
      </c>
      <c r="M499" s="28">
        <f>IF(OR(履歴データ!$A$499="",履歴データ!$A$498=""),"",D499-D498)</f>
        <v>2.3999999999999773</v>
      </c>
      <c r="N499" s="28">
        <f>IF(OR(履歴データ!$A$499="",履歴データ!$A$498=""),"",E499-E498)</f>
        <v>0.99999999999997868</v>
      </c>
      <c r="O499" s="28">
        <f>IF(OR(履歴データ!$A$499="",履歴データ!$A$498=""),"",F499-F498)</f>
        <v>-4</v>
      </c>
      <c r="P499" s="28">
        <f>IF(OR(履歴データ!$A$499="",履歴データ!$A$498=""),"",G499-G498)</f>
        <v>0.52617858886722502</v>
      </c>
      <c r="Q499" s="29">
        <f>IF(OR(履歴データ!$A$499="",履歴データ!$A$498=""),"",H499-H498)</f>
        <v>0.6150054931640625</v>
      </c>
      <c r="R499" s="29">
        <f>IF(OR(履歴データ!$A$499="",履歴データ!$A$498=""),"",I499-I498)</f>
        <v>-0.21875</v>
      </c>
      <c r="S499" s="28">
        <f>IF(OR(履歴データ!$A$499="",履歴データ!$A$498=""),"",(J499-J498)*100)</f>
        <v>4.0000000000000036</v>
      </c>
      <c r="T499" s="11">
        <f>IF(OR(履歴データ!$A$499="",履歴データ!$A$498=""),"",-80000*K499)</f>
        <v>-39999.999999999149</v>
      </c>
      <c r="U499" s="11">
        <f>IF(OR(履歴データ!$A$499="",履歴データ!$A$498=""),"",60000*L499)</f>
        <v>11999.999999999958</v>
      </c>
      <c r="V499" s="11">
        <f>IF(OR(履歴データ!$A$499="",履歴データ!$A$498=""),"",-50000*M499)</f>
        <v>-119999.99999999886</v>
      </c>
      <c r="W499" s="11">
        <f>IF(OR(履歴データ!$A$499="",履歴データ!$A$498=""),"",-40000*N499)</f>
        <v>-39999.999999999149</v>
      </c>
      <c r="X499" s="11">
        <f>IF(OR(履歴データ!$A$499="",履歴データ!$A$498=""),"",120*1000000*(-Q499/H498))</f>
        <v>-469670.03267084027</v>
      </c>
      <c r="Y499" s="11">
        <f>IF(OR(履歴データ!$A$499="",履歴データ!$A$498=""),"",40000*(-S499)+(-506.3)*R499*1000)</f>
        <v>-49246.875000000146</v>
      </c>
      <c r="Z499" s="11">
        <f>IF(OR(履歴データ!$A$499="",履歴データ!$A$498=""),"",-40000*O499)</f>
        <v>160000</v>
      </c>
      <c r="AA499" s="11">
        <f>IF(OR(履歴データ!$A$499="",履歴データ!$A$498=""),"",-40000*P499)</f>
        <v>-21047.143554688999</v>
      </c>
      <c r="AB499" s="11">
        <f>IF(履歴データ!$A$499="","",123.3)</f>
        <v>123.3</v>
      </c>
      <c r="AC499">
        <f>IF(履歴データ!$A$499="","",SUM(T499:AA499))</f>
        <v>-567964.05122552661</v>
      </c>
      <c r="AD499" s="29">
        <f>IF(履歴データ!$A$499="","",AC499/1000000)</f>
        <v>-0.56796405122552662</v>
      </c>
      <c r="AE499" s="29">
        <f>IF(履歴データ!$A$499="",AE498,AE498+AC499/1000000)</f>
        <v>69.296200330046048</v>
      </c>
      <c r="AF499" s="12">
        <f>IF(OR(履歴データ!$A$499="",AE498=0),"",(AE499-AE498)/AE498)</f>
        <v>-8.1295476193770089E-3</v>
      </c>
      <c r="AG499" s="29">
        <f t="shared" si="23"/>
        <v>102.17217746631495</v>
      </c>
      <c r="AH499" s="12">
        <f>IF(OR(履歴データ!$A$499="",AG499=0),"",AE499/AG499-1)</f>
        <v>-0.32177034836228047</v>
      </c>
      <c r="AJ499" s="28">
        <f t="shared" ca="1" si="21"/>
        <v>-0.10570266941565265</v>
      </c>
      <c r="AK499" s="28">
        <f t="shared" ca="1" si="22"/>
        <v>-36.918106854393869</v>
      </c>
    </row>
    <row r="500" spans="1:37">
      <c r="A500" s="10">
        <f>IF(履歴データ!$A$500="","",履歴データ!$A$500)</f>
        <v>45656</v>
      </c>
      <c r="B500" s="28">
        <f>IF(履歴データ!$A$500="","",(履歴データ!$D$500-(履歴データ!$B$500+履歴データ!$F$500)/2)*100)</f>
        <v>4.4999999999999929</v>
      </c>
      <c r="C500" s="28">
        <f>IF(履歴データ!$A$500="","",(履歴データ!$H$500-(履歴データ!$G$500+履歴データ!$J$500)/2)*100)</f>
        <v>-31.45</v>
      </c>
      <c r="D500" s="28">
        <f>IF(履歴データ!$A$500="","",(履歴データ!$D$500-履歴データ!$H$500)*100)</f>
        <v>343.9</v>
      </c>
      <c r="E500" s="28">
        <f>IF(履歴データ!$A$500="","",(履歴データ!$D$500-履歴データ!$C$500)*100)</f>
        <v>17.999999999999972</v>
      </c>
      <c r="F500" s="28">
        <f>IF(履歴データ!$A$500="","",(履歴データ!$R$500-履歴データ!$D$500)*100)</f>
        <v>-261.36999999999995</v>
      </c>
      <c r="G500" s="28">
        <f>IF(履歴データ!$A$500="","",(履歴データ!$S$500-履歴データ!$R$500)*100)</f>
        <v>-88.338000000000136</v>
      </c>
      <c r="H500" s="29">
        <f>IF(履歴データ!$A$500="","",履歴データ!$O$500)</f>
        <v>157.87300109863281</v>
      </c>
      <c r="I500" s="29">
        <f>IF(履歴データ!$A$500="","",履歴データ!$Q$500)</f>
        <v>108.96875</v>
      </c>
      <c r="J500" s="29">
        <f>IF(履歴データ!$A$500="","",履歴データ!$D$500)</f>
        <v>4.55</v>
      </c>
      <c r="K500" s="28">
        <f>IF(OR(履歴データ!$A$500="",履歴データ!$A$499=""),"",B500-B499)</f>
        <v>-1.0000000000000675</v>
      </c>
      <c r="L500" s="28">
        <f>IF(OR(履歴データ!$A$500="",履歴データ!$A$499=""),"",C500-C499)</f>
        <v>-0.30000000000001137</v>
      </c>
      <c r="M500" s="28">
        <f>IF(OR(履歴データ!$A$500="",履歴データ!$A$499=""),"",D500-D499)</f>
        <v>-6.2000000000000455</v>
      </c>
      <c r="N500" s="28">
        <f>IF(OR(履歴データ!$A$500="",履歴データ!$A$499=""),"",E500-E499)</f>
        <v>0.99999999999997868</v>
      </c>
      <c r="O500" s="28">
        <f>IF(OR(履歴データ!$A$500="",履歴データ!$A$499=""),"",F500-F499)</f>
        <v>14.640000000000043</v>
      </c>
      <c r="P500" s="28">
        <f>IF(OR(履歴データ!$A$500="",履歴データ!$A$499=""),"",G500-G499)</f>
        <v>-7.6399999999999721</v>
      </c>
      <c r="Q500" s="29">
        <f>IF(OR(履歴データ!$A$500="",履歴データ!$A$499=""),"",H500-H499)</f>
        <v>0.125</v>
      </c>
      <c r="R500" s="29">
        <f>IF(OR(履歴データ!$A$500="",履歴データ!$A$499=""),"",I500-I499)</f>
        <v>0.53125</v>
      </c>
      <c r="S500" s="28">
        <f>IF(OR(履歴データ!$A$500="",履歴データ!$A$499=""),"",(J500-J499)*100)</f>
        <v>-7.0000000000000284</v>
      </c>
      <c r="T500" s="11">
        <f>IF(OR(履歴データ!$A$500="",履歴データ!$A$499=""),"",-80000*K500)</f>
        <v>80000.000000005399</v>
      </c>
      <c r="U500" s="11">
        <f>IF(OR(履歴データ!$A$500="",履歴データ!$A$499=""),"",60000*L500)</f>
        <v>-18000.000000000684</v>
      </c>
      <c r="V500" s="11">
        <f>IF(OR(履歴データ!$A$500="",履歴データ!$A$499=""),"",-50000*M500)</f>
        <v>310000.00000000227</v>
      </c>
      <c r="W500" s="11">
        <f>IF(OR(履歴データ!$A$500="",履歴データ!$A$499=""),"",-40000*N500)</f>
        <v>-39999.999999999149</v>
      </c>
      <c r="X500" s="11">
        <f>IF(OR(履歴データ!$A$500="",履歴データ!$A$499=""),"",120*1000000*(-Q500/H499))</f>
        <v>-95088.368128488466</v>
      </c>
      <c r="Y500" s="11">
        <f>IF(OR(履歴データ!$A$500="",履歴データ!$A$499=""),"",40000*(-S500)+(-506.3)*R500*1000)</f>
        <v>11028.125000001164</v>
      </c>
      <c r="Z500" s="11">
        <f>IF(OR(履歴データ!$A$500="",履歴データ!$A$499=""),"",-40000*O500)</f>
        <v>-585600.00000000175</v>
      </c>
      <c r="AA500" s="11">
        <f>IF(OR(履歴データ!$A$500="",履歴データ!$A$499=""),"",-40000*P500)</f>
        <v>305599.99999999889</v>
      </c>
      <c r="AB500" s="11">
        <f>IF(履歴データ!$A$500="","",123.3)</f>
        <v>123.3</v>
      </c>
      <c r="AC500">
        <f>IF(履歴データ!$A$500="","",SUM(T500:AA500))</f>
        <v>-32060.243128482311</v>
      </c>
      <c r="AD500" s="29">
        <f>IF(履歴データ!$A$500="","",AC500/1000000)</f>
        <v>-3.206024312848231E-2</v>
      </c>
      <c r="AE500" s="29">
        <f>IF(履歴データ!$A$500="",AE499,AE499+AC500/1000000)</f>
        <v>69.264140086917564</v>
      </c>
      <c r="AF500" s="12">
        <f>IF(OR(履歴データ!$A$500="",AE499=0),"",(AE500-AE499)/AE499)</f>
        <v>-4.6265513802757566E-4</v>
      </c>
      <c r="AG500" s="29">
        <f t="shared" si="23"/>
        <v>102.17217746631495</v>
      </c>
      <c r="AH500" s="12">
        <f>IF(OR(履歴データ!$A$500="",AG500=0),"",AE500/AG500-1)</f>
        <v>-0.32208413479537323</v>
      </c>
      <c r="AJ500" s="28">
        <f t="shared" ca="1" si="21"/>
        <v>0.21758969840375997</v>
      </c>
      <c r="AK500" s="28">
        <f t="shared" ca="1" si="22"/>
        <v>-36.999335730149795</v>
      </c>
    </row>
    <row r="501" spans="1:37">
      <c r="A501" s="10">
        <f>IF(履歴データ!$A$501="","",履歴データ!$A$501)</f>
        <v>45657</v>
      </c>
      <c r="B501" s="28">
        <f>IF(履歴データ!$A$501="","",(履歴データ!$D$501-(履歴データ!$B$501+履歴データ!$F$501)/2)*100)</f>
        <v>6.4999999999999503</v>
      </c>
      <c r="C501" s="28">
        <f>IF(履歴データ!$A$501="","",(履歴データ!$H$501-(履歴データ!$G$501+履歴データ!$J$501)/2)*100)</f>
        <v>-31.45</v>
      </c>
      <c r="D501" s="28">
        <f>IF(履歴データ!$A$501="","",(履歴データ!$D$501-履歴データ!$H$501)*100)</f>
        <v>346.90000000000003</v>
      </c>
      <c r="E501" s="28">
        <f>IF(履歴データ!$A$501="","",(履歴データ!$D$501-履歴データ!$C$501)*100)</f>
        <v>20.000000000000018</v>
      </c>
      <c r="F501" s="28">
        <f>IF(履歴データ!$A$501="","",(履歴データ!$R$501-履歴データ!$D$501)*100)</f>
        <v>-268.59000000000003</v>
      </c>
      <c r="G501" s="28">
        <f>IF(履歴データ!$A$501="","",(履歴データ!$S$501-履歴データ!$R$501)*100)</f>
        <v>-84.118000000000137</v>
      </c>
      <c r="H501" s="29">
        <f>IF(履歴データ!$A$501="","",履歴データ!$O$501)</f>
        <v>156.9949951171875</v>
      </c>
      <c r="I501" s="29">
        <f>IF(履歴データ!$A$501="","",履歴データ!$Q$501)</f>
        <v>108.75</v>
      </c>
      <c r="J501" s="29">
        <f>IF(履歴データ!$A$501="","",履歴データ!$D$501)</f>
        <v>4.58</v>
      </c>
      <c r="K501" s="28">
        <f>IF(OR(履歴データ!$A$501="",履歴データ!$A$500=""),"",B501-B500)</f>
        <v>1.9999999999999574</v>
      </c>
      <c r="L501" s="28">
        <f>IF(OR(履歴データ!$A$501="",履歴データ!$A$500=""),"",C501-C500)</f>
        <v>0</v>
      </c>
      <c r="M501" s="28">
        <f>IF(OR(履歴データ!$A$501="",履歴データ!$A$500=""),"",D501-D500)</f>
        <v>3.0000000000000568</v>
      </c>
      <c r="N501" s="28">
        <f>IF(OR(履歴データ!$A$501="",履歴データ!$A$500=""),"",E501-E500)</f>
        <v>2.0000000000000462</v>
      </c>
      <c r="O501" s="28">
        <f>IF(OR(履歴データ!$A$501="",履歴データ!$A$500=""),"",F501-F500)</f>
        <v>-7.2200000000000841</v>
      </c>
      <c r="P501" s="28">
        <f>IF(OR(履歴データ!$A$501="",履歴データ!$A$500=""),"",G501-G500)</f>
        <v>4.2199999999999989</v>
      </c>
      <c r="Q501" s="29">
        <f>IF(OR(履歴データ!$A$501="",履歴データ!$A$500=""),"",H501-H500)</f>
        <v>-0.8780059814453125</v>
      </c>
      <c r="R501" s="29">
        <f>IF(OR(履歴データ!$A$501="",履歴データ!$A$500=""),"",I501-I500)</f>
        <v>-0.21875</v>
      </c>
      <c r="S501" s="28">
        <f>IF(OR(履歴データ!$A$501="",履歴データ!$A$500=""),"",(J501-J500)*100)</f>
        <v>3.0000000000000249</v>
      </c>
      <c r="T501" s="11">
        <f>IF(OR(履歴データ!$A$501="",履歴データ!$A$500=""),"",-80000*K501)</f>
        <v>-159999.99999999659</v>
      </c>
      <c r="U501" s="11">
        <f>IF(OR(履歴データ!$A$501="",履歴データ!$A$500=""),"",60000*L501)</f>
        <v>0</v>
      </c>
      <c r="V501" s="11">
        <f>IF(OR(履歴データ!$A$501="",履歴データ!$A$500=""),"",-50000*M501)</f>
        <v>-150000.00000000285</v>
      </c>
      <c r="W501" s="11">
        <f>IF(OR(履歴データ!$A$501="",履歴データ!$A$500=""),"",-40000*N501)</f>
        <v>-80000.000000001848</v>
      </c>
      <c r="X501" s="11">
        <f>IF(OR(履歴データ!$A$501="",履歴データ!$A$500=""),"",120*1000000*(-Q501/H500))</f>
        <v>667376.41674153192</v>
      </c>
      <c r="Y501" s="11">
        <f>IF(OR(履歴データ!$A$501="",履歴データ!$A$500=""),"",40000*(-S501)+(-506.3)*R501*1000)</f>
        <v>-9246.8750000009895</v>
      </c>
      <c r="Z501" s="11">
        <f>IF(OR(履歴データ!$A$501="",履歴データ!$A$500=""),"",-40000*O501)</f>
        <v>288800.00000000338</v>
      </c>
      <c r="AA501" s="11">
        <f>IF(OR(履歴データ!$A$501="",履歴データ!$A$500=""),"",-40000*P501)</f>
        <v>-168799.99999999994</v>
      </c>
      <c r="AB501" s="11">
        <f>IF(履歴データ!$A$501="","",123.3)</f>
        <v>123.3</v>
      </c>
      <c r="AC501">
        <f>IF(履歴データ!$A$501="","",SUM(T501:AA501))</f>
        <v>388129.54174153303</v>
      </c>
      <c r="AD501" s="29">
        <f>IF(履歴データ!$A$501="","",AC501/1000000)</f>
        <v>0.38812954174153302</v>
      </c>
      <c r="AE501" s="29">
        <f>IF(履歴データ!$A$501="",AE500,AE500+AC501/1000000)</f>
        <v>69.652269628659099</v>
      </c>
      <c r="AF501" s="12">
        <f>IF(OR(履歴データ!$A$501="",AE500=0),"",(AE501-AE500)/AE500)</f>
        <v>5.6036145291702448E-3</v>
      </c>
      <c r="AG501" s="29">
        <f t="shared" si="23"/>
        <v>102.17217746631495</v>
      </c>
      <c r="AH501" s="12">
        <f>IF(OR(履歴データ!$A$501="",AG501=0),"",AE501/AG501-1)</f>
        <v>-0.31828535560355764</v>
      </c>
      <c r="AJ501" s="28">
        <f t="shared" ca="1" si="21"/>
        <v>0.574651665581694</v>
      </c>
      <c r="AK501" s="28">
        <f t="shared" ca="1" si="22"/>
        <v>-37.078619919549951</v>
      </c>
    </row>
    <row r="502" spans="1:37">
      <c r="A502" s="10">
        <f>IF(履歴データ!$A$502="","",履歴データ!$A$502)</f>
        <v>45659</v>
      </c>
      <c r="B502" s="28">
        <f>IF(履歴データ!$A$502="","",(履歴データ!$D$502-(履歴データ!$B$502+履歴データ!$F$502)/2)*100)</f>
        <v>5.0000000000000711</v>
      </c>
      <c r="C502" s="28">
        <f>IF(履歴データ!$A$502="","",(履歴データ!$H$502-(履歴データ!$G$502+履歴データ!$J$502)/2)*100)</f>
        <v>-31.45</v>
      </c>
      <c r="D502" s="28">
        <f>IF(履歴データ!$A$502="","",(履歴データ!$D$502-履歴データ!$H$502)*100)</f>
        <v>345.90000000000003</v>
      </c>
      <c r="E502" s="28">
        <f>IF(履歴データ!$A$502="","",(履歴データ!$D$502-履歴データ!$C$502)*100)</f>
        <v>19.000000000000039</v>
      </c>
      <c r="F502" s="28">
        <f>IF(履歴データ!$A$502="","",(履歴データ!$R$502-履歴データ!$D$502)*100)</f>
        <v>-268.99</v>
      </c>
      <c r="G502" s="28">
        <f>IF(履歴データ!$A$502="","",(履歴データ!$S$502-履歴データ!$R$502)*100)</f>
        <v>-82.71800000000016</v>
      </c>
      <c r="H502" s="29">
        <f>IF(履歴データ!$A$502="","",履歴データ!$O$502)</f>
        <v>157.718994140625</v>
      </c>
      <c r="I502" s="29">
        <f>IF(履歴データ!$A$502="","",履歴データ!$Q$502)</f>
        <v>108.8125</v>
      </c>
      <c r="J502" s="29">
        <f>IF(履歴データ!$A$502="","",履歴データ!$D$502)</f>
        <v>4.57</v>
      </c>
      <c r="K502" s="28">
        <f>IF(OR(履歴データ!$A$502="",履歴データ!$A$501=""),"",B502-B501)</f>
        <v>-1.4999999999998792</v>
      </c>
      <c r="L502" s="28">
        <f>IF(OR(履歴データ!$A$502="",履歴データ!$A$501=""),"",C502-C501)</f>
        <v>0</v>
      </c>
      <c r="M502" s="28">
        <f>IF(OR(履歴データ!$A$502="",履歴データ!$A$501=""),"",D502-D501)</f>
        <v>-1</v>
      </c>
      <c r="N502" s="28">
        <f>IF(OR(履歴データ!$A$502="",履歴データ!$A$501=""),"",E502-E501)</f>
        <v>-0.99999999999997868</v>
      </c>
      <c r="O502" s="28">
        <f>IF(OR(履歴データ!$A$502="",履歴データ!$A$501=""),"",F502-F501)</f>
        <v>-0.39999999999997726</v>
      </c>
      <c r="P502" s="28">
        <f>IF(OR(履歴データ!$A$502="",履歴データ!$A$501=""),"",G502-G501)</f>
        <v>1.3999999999999773</v>
      </c>
      <c r="Q502" s="29">
        <f>IF(OR(履歴データ!$A$502="",履歴データ!$A$501=""),"",H502-H501)</f>
        <v>0.7239990234375</v>
      </c>
      <c r="R502" s="29">
        <f>IF(OR(履歴データ!$A$502="",履歴データ!$A$501=""),"",I502-I501)</f>
        <v>6.25E-2</v>
      </c>
      <c r="S502" s="28">
        <f>IF(OR(履歴データ!$A$502="",履歴データ!$A$501=""),"",(J502-J501)*100)</f>
        <v>-0.99999999999997868</v>
      </c>
      <c r="T502" s="11">
        <f>IF(OR(履歴データ!$A$502="",履歴データ!$A$501=""),"",-80000*K502)</f>
        <v>119999.99999999034</v>
      </c>
      <c r="U502" s="11">
        <f>IF(OR(履歴データ!$A$502="",履歴データ!$A$501=""),"",60000*L502)</f>
        <v>0</v>
      </c>
      <c r="V502" s="11">
        <f>IF(OR(履歴データ!$A$502="",履歴データ!$A$501=""),"",-50000*M502)</f>
        <v>50000</v>
      </c>
      <c r="W502" s="11">
        <f>IF(OR(履歴データ!$A$502="",履歴データ!$A$501=""),"",-40000*N502)</f>
        <v>39999.999999999149</v>
      </c>
      <c r="X502" s="11">
        <f>IF(OR(履歴データ!$A$502="",履歴データ!$A$501=""),"",120*1000000*(-Q502/H501))</f>
        <v>-553392.69094310491</v>
      </c>
      <c r="Y502" s="11">
        <f>IF(OR(履歴データ!$A$502="",履歴データ!$A$501=""),"",40000*(-S502)+(-506.3)*R502*1000)</f>
        <v>8356.2499999991487</v>
      </c>
      <c r="Z502" s="11">
        <f>IF(OR(履歴データ!$A$502="",履歴データ!$A$501=""),"",-40000*O502)</f>
        <v>15999.999999999091</v>
      </c>
      <c r="AA502" s="11">
        <f>IF(OR(履歴データ!$A$502="",履歴データ!$A$501=""),"",-40000*P502)</f>
        <v>-55999.999999999091</v>
      </c>
      <c r="AB502" s="11">
        <f>IF(履歴データ!$A$502="","",123.3)</f>
        <v>123.3</v>
      </c>
      <c r="AC502">
        <f>IF(履歴データ!$A$502="","",SUM(T502:AA502))</f>
        <v>-375036.44094311626</v>
      </c>
      <c r="AD502" s="29">
        <f>IF(履歴データ!$A$502="","",AC502/1000000)</f>
        <v>-0.37503644094311628</v>
      </c>
      <c r="AE502" s="29">
        <f>IF(履歴データ!$A$502="",AE501,AE501+AC502/1000000)</f>
        <v>69.277233187715979</v>
      </c>
      <c r="AF502" s="12">
        <f>IF(OR(履歴データ!$A$502="",AE501=0),"",(AE502-AE501)/AE501)</f>
        <v>-5.3844109164363479E-3</v>
      </c>
      <c r="AG502" s="29">
        <f t="shared" si="23"/>
        <v>102.17217746631495</v>
      </c>
      <c r="AH502" s="12">
        <f>IF(OR(履歴データ!$A$502="",AG502=0),"",AE502/AG502-1)</f>
        <v>-0.32195598737674036</v>
      </c>
      <c r="AJ502" s="28">
        <f t="shared" ca="1" si="21"/>
        <v>0.89146510110767707</v>
      </c>
      <c r="AK502" s="28">
        <f t="shared" ca="1" si="22"/>
        <v>-37.133528593171171</v>
      </c>
    </row>
    <row r="503" spans="1:37">
      <c r="A503" s="10">
        <f>IF(履歴データ!$A$503="","",履歴データ!$A$503)</f>
        <v>45660</v>
      </c>
      <c r="B503" s="28">
        <f>IF(履歴データ!$A$503="","",(履歴データ!$D$503-(履歴データ!$B$503+履歴データ!$F$503)/2)*100)</f>
        <v>4.9999999999998934</v>
      </c>
      <c r="C503" s="28">
        <f>IF(履歴データ!$A$503="","",(履歴データ!$H$503-(履歴データ!$G$503+履歴データ!$J$503)/2)*100)</f>
        <v>-31.45</v>
      </c>
      <c r="D503" s="28">
        <f>IF(履歴データ!$A$503="","",(履歴データ!$D$503-履歴データ!$H$503)*100)</f>
        <v>348.9</v>
      </c>
      <c r="E503" s="28">
        <f>IF(履歴データ!$A$503="","",(履歴データ!$D$503-履歴データ!$C$503)*100)</f>
        <v>18.99999999999995</v>
      </c>
      <c r="F503" s="28">
        <f>IF(履歴データ!$A$503="","",(履歴データ!$R$503-履歴データ!$D$503)*100)</f>
        <v>-268.52999999999997</v>
      </c>
      <c r="G503" s="28">
        <f>IF(履歴データ!$A$503="","",(履歴データ!$S$503-履歴データ!$R$503)*100)</f>
        <v>-86.178000000000154</v>
      </c>
      <c r="H503" s="29">
        <f>IF(履歴データ!$A$503="","",履歴データ!$O$503)</f>
        <v>157.36199951171875</v>
      </c>
      <c r="I503" s="29">
        <f>IF(履歴データ!$A$503="","",履歴データ!$Q$503)</f>
        <v>108.640625</v>
      </c>
      <c r="J503" s="29">
        <f>IF(履歴データ!$A$503="","",履歴データ!$D$503)</f>
        <v>4.5999999999999996</v>
      </c>
      <c r="K503" s="28">
        <f>IF(OR(履歴データ!$A$503="",履歴データ!$A$502=""),"",B503-B502)</f>
        <v>-1.7763568394002505E-13</v>
      </c>
      <c r="L503" s="28">
        <f>IF(OR(履歴データ!$A$503="",履歴データ!$A$502=""),"",C503-C502)</f>
        <v>0</v>
      </c>
      <c r="M503" s="28">
        <f>IF(OR(履歴データ!$A$503="",履歴データ!$A$502=""),"",D503-D502)</f>
        <v>2.9999999999999432</v>
      </c>
      <c r="N503" s="28">
        <f>IF(OR(履歴データ!$A$503="",履歴データ!$A$502=""),"",E503-E502)</f>
        <v>-8.8817841970012523E-14</v>
      </c>
      <c r="O503" s="28">
        <f>IF(OR(履歴データ!$A$503="",履歴データ!$A$502=""),"",F503-F502)</f>
        <v>0.46000000000003638</v>
      </c>
      <c r="P503" s="28">
        <f>IF(OR(履歴データ!$A$503="",履歴データ!$A$502=""),"",G503-G502)</f>
        <v>-3.4599999999999937</v>
      </c>
      <c r="Q503" s="29">
        <f>IF(OR(履歴データ!$A$503="",履歴データ!$A$502=""),"",H503-H502)</f>
        <v>-0.35699462890625</v>
      </c>
      <c r="R503" s="29">
        <f>IF(OR(履歴データ!$A$503="",履歴データ!$A$502=""),"",I503-I502)</f>
        <v>-0.171875</v>
      </c>
      <c r="S503" s="28">
        <f>IF(OR(履歴データ!$A$503="",履歴データ!$A$502=""),"",(J503-J502)*100)</f>
        <v>2.9999999999999361</v>
      </c>
      <c r="T503" s="11">
        <f>IF(OR(履歴データ!$A$503="",履歴データ!$A$502=""),"",-80000*K503)</f>
        <v>1.4210854715202004E-8</v>
      </c>
      <c r="U503" s="11">
        <f>IF(OR(履歴データ!$A$503="",履歴データ!$A$502=""),"",60000*L503)</f>
        <v>0</v>
      </c>
      <c r="V503" s="11">
        <f>IF(OR(履歴データ!$A$503="",履歴データ!$A$502=""),"",-50000*M503)</f>
        <v>-149999.99999999715</v>
      </c>
      <c r="W503" s="11">
        <f>IF(OR(履歴データ!$A$503="",履歴データ!$A$502=""),"",-40000*N503)</f>
        <v>3.5527136788005009E-9</v>
      </c>
      <c r="X503" s="11">
        <f>IF(OR(履歴データ!$A$503="",履歴データ!$A$502=""),"",120*1000000*(-Q503/H502))</f>
        <v>271618.23914850538</v>
      </c>
      <c r="Y503" s="11">
        <f>IF(OR(履歴データ!$A$503="",履歴データ!$A$502=""),"",40000*(-S503)+(-506.3)*R503*1000)</f>
        <v>-32979.687499997439</v>
      </c>
      <c r="Z503" s="11">
        <f>IF(OR(履歴データ!$A$503="",履歴データ!$A$502=""),"",-40000*O503)</f>
        <v>-18400.000000001455</v>
      </c>
      <c r="AA503" s="11">
        <f>IF(OR(履歴データ!$A$503="",履歴データ!$A$502=""),"",-40000*P503)</f>
        <v>138399.99999999974</v>
      </c>
      <c r="AB503" s="11">
        <f>IF(履歴データ!$A$503="","",123.3)</f>
        <v>123.3</v>
      </c>
      <c r="AC503">
        <f>IF(履歴データ!$A$503="","",SUM(T503:AA503))</f>
        <v>208638.55164852683</v>
      </c>
      <c r="AD503" s="29">
        <f>IF(履歴データ!$A$503="","",AC503/1000000)</f>
        <v>0.20863855164852682</v>
      </c>
      <c r="AE503" s="29">
        <f>IF(履歴データ!$A$503="",AE502,AE502+AC503/1000000)</f>
        <v>69.485871739364512</v>
      </c>
      <c r="AF503" s="12">
        <f>IF(OR(履歴データ!$A$503="",AE502=0),"",(AE503-AE502)/AE502)</f>
        <v>3.0116467134765532E-3</v>
      </c>
      <c r="AG503" s="29">
        <f t="shared" si="23"/>
        <v>102.17217746631495</v>
      </c>
      <c r="AH503" s="12">
        <f>IF(OR(履歴データ!$A$503="",AG503=0),"",AE503/AG503-1)</f>
        <v>-0.31991395835453107</v>
      </c>
      <c r="AJ503" s="28">
        <f t="shared" ca="1" si="21"/>
        <v>1.212157829462793</v>
      </c>
      <c r="AK503" s="28">
        <f t="shared" ca="1" si="22"/>
        <v>-37.21612608343105</v>
      </c>
    </row>
    <row r="504" spans="1:37">
      <c r="A504" s="10">
        <f>IF(履歴データ!$A$504="","",履歴データ!$A$504)</f>
        <v>45663</v>
      </c>
      <c r="B504" s="28">
        <f>IF(履歴データ!$A$504="","",(履歴データ!$D$504-(履歴データ!$B$504+履歴データ!$F$504)/2)*100)</f>
        <v>5.5000000000000604</v>
      </c>
      <c r="C504" s="28">
        <f>IF(履歴データ!$A$504="","",(履歴データ!$H$504-(履歴データ!$G$504+履歴データ!$J$504)/2)*100)</f>
        <v>-30.499999999999993</v>
      </c>
      <c r="D504" s="28">
        <f>IF(履歴データ!$A$504="","",(履歴データ!$D$504-履歴データ!$H$504)*100)</f>
        <v>347.5</v>
      </c>
      <c r="E504" s="28">
        <f>IF(履歴データ!$A$504="","",(履歴データ!$D$504-履歴データ!$C$504)*100)</f>
        <v>20.000000000000018</v>
      </c>
      <c r="F504" s="28">
        <f>IF(履歴データ!$A$504="","",(履歴データ!$R$504-履歴データ!$D$504)*100)</f>
        <v>-266.15000000000003</v>
      </c>
      <c r="G504" s="28">
        <f>IF(履歴データ!$A$504="","",(履歴データ!$S$504-履歴データ!$R$504)*100)</f>
        <v>-87.751642822265822</v>
      </c>
      <c r="H504" s="29">
        <f>IF(履歴データ!$A$504="","",履歴データ!$O$504)</f>
        <v>157.48100280761719</v>
      </c>
      <c r="I504" s="29">
        <f>IF(履歴データ!$A$504="","",履歴データ!$Q$504)</f>
        <v>108.53125</v>
      </c>
      <c r="J504" s="29">
        <f>IF(履歴データ!$A$504="","",履歴データ!$D$504)</f>
        <v>4.62</v>
      </c>
      <c r="K504" s="28">
        <f>IF(OR(履歴データ!$A$504="",履歴データ!$A$503=""),"",B504-B503)</f>
        <v>0.50000000000016698</v>
      </c>
      <c r="L504" s="28">
        <f>IF(OR(履歴データ!$A$504="",履歴データ!$A$503=""),"",C504-C503)</f>
        <v>0.95000000000000639</v>
      </c>
      <c r="M504" s="28">
        <f>IF(OR(履歴データ!$A$504="",履歴データ!$A$503=""),"",D504-D503)</f>
        <v>-1.3999999999999773</v>
      </c>
      <c r="N504" s="28">
        <f>IF(OR(履歴データ!$A$504="",履歴データ!$A$503=""),"",E504-E503)</f>
        <v>1.0000000000000675</v>
      </c>
      <c r="O504" s="28">
        <f>IF(OR(履歴データ!$A$504="",履歴データ!$A$503=""),"",F504-F503)</f>
        <v>2.3799999999999386</v>
      </c>
      <c r="P504" s="28">
        <f>IF(OR(履歴データ!$A$504="",履歴データ!$A$503=""),"",G504-G503)</f>
        <v>-1.5736428222656684</v>
      </c>
      <c r="Q504" s="29">
        <f>IF(OR(履歴データ!$A$504="",履歴データ!$A$503=""),"",H504-H503)</f>
        <v>0.1190032958984375</v>
      </c>
      <c r="R504" s="29">
        <f>IF(OR(履歴データ!$A$504="",履歴データ!$A$503=""),"",I504-I503)</f>
        <v>-0.109375</v>
      </c>
      <c r="S504" s="28">
        <f>IF(OR(履歴データ!$A$504="",履歴データ!$A$503=""),"",(J504-J503)*100)</f>
        <v>2.0000000000000462</v>
      </c>
      <c r="T504" s="11">
        <f>IF(OR(履歴データ!$A$504="",履歴データ!$A$503=""),"",-80000*K504)</f>
        <v>-40000.000000013359</v>
      </c>
      <c r="U504" s="11">
        <f>IF(OR(履歴データ!$A$504="",履歴データ!$A$503=""),"",60000*L504)</f>
        <v>57000.000000000386</v>
      </c>
      <c r="V504" s="11">
        <f>IF(OR(履歴データ!$A$504="",履歴データ!$A$503=""),"",-50000*M504)</f>
        <v>69999.999999998865</v>
      </c>
      <c r="W504" s="11">
        <f>IF(OR(履歴データ!$A$504="",履歴データ!$A$503=""),"",-40000*N504)</f>
        <v>-40000.000000002699</v>
      </c>
      <c r="X504" s="11">
        <f>IF(OR(履歴データ!$A$504="",履歴データ!$A$503=""),"",120*1000000*(-Q504/H503))</f>
        <v>-90748.691247717899</v>
      </c>
      <c r="Y504" s="11">
        <f>IF(OR(履歴データ!$A$504="",履歴データ!$A$503=""),"",40000*(-S504)+(-506.3)*R504*1000)</f>
        <v>-24623.437500001848</v>
      </c>
      <c r="Z504" s="11">
        <f>IF(OR(履歴データ!$A$504="",履歴データ!$A$503=""),"",-40000*O504)</f>
        <v>-95199.999999997541</v>
      </c>
      <c r="AA504" s="11">
        <f>IF(OR(履歴データ!$A$504="",履歴データ!$A$503=""),"",-40000*P504)</f>
        <v>62945.712890626739</v>
      </c>
      <c r="AB504" s="11">
        <f>IF(履歴データ!$A$504="","",123.3)</f>
        <v>123.3</v>
      </c>
      <c r="AC504">
        <f>IF(履歴データ!$A$504="","",SUM(T504:AA504))</f>
        <v>-100626.41585710738</v>
      </c>
      <c r="AD504" s="29">
        <f>IF(履歴データ!$A$504="","",AC504/1000000)</f>
        <v>-0.10062641585710738</v>
      </c>
      <c r="AE504" s="29">
        <f>IF(履歴データ!$A$504="",AE503,AE503+AC504/1000000)</f>
        <v>69.385245323507405</v>
      </c>
      <c r="AF504" s="12">
        <f>IF(OR(履歴データ!$A$504="",AE503=0),"",(AE504-AE503)/AE503)</f>
        <v>-1.4481564861781981E-3</v>
      </c>
      <c r="AG504" s="29">
        <f t="shared" si="23"/>
        <v>102.17217746631495</v>
      </c>
      <c r="AH504" s="12">
        <f>IF(OR(履歴データ!$A$504="",AG504=0),"",AE504/AG504-1)</f>
        <v>-0.32089882936689917</v>
      </c>
      <c r="AJ504" s="28">
        <f t="shared" ca="1" si="21"/>
        <v>1.5382617550480795</v>
      </c>
      <c r="AK504" s="28">
        <f t="shared" ca="1" si="22"/>
        <v>-37.296198262984589</v>
      </c>
    </row>
    <row r="505" spans="1:37">
      <c r="A505" s="10">
        <f>IF(履歴データ!$A$505="","",履歴データ!$A$505)</f>
        <v>45664</v>
      </c>
      <c r="B505" s="28">
        <f>IF(履歴データ!$A$505="","",(履歴データ!$D$505-(履歴データ!$B$505+履歴データ!$F$505)/2)*100)</f>
        <v>6.4999999999999503</v>
      </c>
      <c r="C505" s="28">
        <f>IF(履歴データ!$A$505="","",(履歴データ!$H$505-(履歴データ!$G$505+履歴データ!$J$505)/2)*100)</f>
        <v>-30.700000000000017</v>
      </c>
      <c r="D505" s="28">
        <f>IF(履歴データ!$A$505="","",(履歴データ!$D$505-履歴データ!$H$505)*100)</f>
        <v>352.20000000000005</v>
      </c>
      <c r="E505" s="28">
        <f>IF(履歴データ!$A$505="","",(履歴データ!$D$505-履歴データ!$C$505)*100)</f>
        <v>20.999999999999996</v>
      </c>
      <c r="F505" s="28">
        <f>IF(履歴データ!$A$505="","",(履歴データ!$R$505-履歴データ!$D$505)*100)</f>
        <v>-271.23999999999995</v>
      </c>
      <c r="G505" s="28">
        <f>IF(履歴データ!$A$505="","",(履歴データ!$S$505-履歴データ!$R$505)*100)</f>
        <v>-87.310821411132864</v>
      </c>
      <c r="H505" s="29">
        <f>IF(履歴データ!$A$505="","",履歴データ!$O$505)</f>
        <v>157.74299621582031</v>
      </c>
      <c r="I505" s="29">
        <f>IF(履歴データ!$A$505="","",履歴データ!$Q$505)</f>
        <v>108.171875</v>
      </c>
      <c r="J505" s="29">
        <f>IF(履歴データ!$A$505="","",履歴データ!$D$505)</f>
        <v>4.67</v>
      </c>
      <c r="K505" s="28">
        <f>IF(OR(履歴データ!$A$505="",履歴データ!$A$504=""),"",B505-B504)</f>
        <v>0.99999999999988987</v>
      </c>
      <c r="L505" s="28">
        <f>IF(OR(履歴データ!$A$505="",履歴データ!$A$504=""),"",C505-C504)</f>
        <v>-0.20000000000002416</v>
      </c>
      <c r="M505" s="28">
        <f>IF(OR(履歴データ!$A$505="",履歴データ!$A$504=""),"",D505-D504)</f>
        <v>4.7000000000000455</v>
      </c>
      <c r="N505" s="28">
        <f>IF(OR(履歴データ!$A$505="",履歴データ!$A$504=""),"",E505-E504)</f>
        <v>0.99999999999997868</v>
      </c>
      <c r="O505" s="28">
        <f>IF(OR(履歴データ!$A$505="",履歴データ!$A$504=""),"",F505-F504)</f>
        <v>-5.0899999999999181</v>
      </c>
      <c r="P505" s="28">
        <f>IF(OR(履歴データ!$A$505="",履歴データ!$A$504=""),"",G505-G504)</f>
        <v>0.44082141113295847</v>
      </c>
      <c r="Q505" s="29">
        <f>IF(OR(履歴データ!$A$505="",履歴データ!$A$504=""),"",H505-H504)</f>
        <v>0.261993408203125</v>
      </c>
      <c r="R505" s="29">
        <f>IF(OR(履歴データ!$A$505="",履歴データ!$A$504=""),"",I505-I504)</f>
        <v>-0.359375</v>
      </c>
      <c r="S505" s="28">
        <f>IF(OR(履歴データ!$A$505="",履歴データ!$A$504=""),"",(J505-J504)*100)</f>
        <v>4.9999999999999822</v>
      </c>
      <c r="T505" s="11">
        <f>IF(OR(履歴データ!$A$505="",履歴データ!$A$504=""),"",-80000*K505)</f>
        <v>-79999.999999991196</v>
      </c>
      <c r="U505" s="11">
        <f>IF(OR(履歴データ!$A$505="",履歴データ!$A$504=""),"",60000*L505)</f>
        <v>-12000.00000000145</v>
      </c>
      <c r="V505" s="11">
        <f>IF(OR(履歴データ!$A$505="",履歴データ!$A$504=""),"",-50000*M505)</f>
        <v>-235000.00000000227</v>
      </c>
      <c r="W505" s="11">
        <f>IF(OR(履歴データ!$A$505="",履歴データ!$A$504=""),"",-40000*N505)</f>
        <v>-39999.999999999149</v>
      </c>
      <c r="X505" s="11">
        <f>IF(OR(履歴データ!$A$505="",履歴データ!$A$504=""),"",120*1000000*(-Q505/H504))</f>
        <v>-199638.1050658024</v>
      </c>
      <c r="Y505" s="11">
        <f>IF(OR(履歴データ!$A$505="",履歴データ!$A$504=""),"",40000*(-S505)+(-506.3)*R505*1000)</f>
        <v>-18048.437499999302</v>
      </c>
      <c r="Z505" s="11">
        <f>IF(OR(履歴データ!$A$505="",履歴データ!$A$504=""),"",-40000*O505)</f>
        <v>203599.99999999674</v>
      </c>
      <c r="AA505" s="11">
        <f>IF(OR(履歴データ!$A$505="",履歴データ!$A$504=""),"",-40000*P505)</f>
        <v>-17632.856445318339</v>
      </c>
      <c r="AB505" s="11">
        <f>IF(履歴データ!$A$505="","",123.3)</f>
        <v>123.3</v>
      </c>
      <c r="AC505">
        <f>IF(履歴データ!$A$505="","",SUM(T505:AA505))</f>
        <v>-398719.39901111741</v>
      </c>
      <c r="AD505" s="29">
        <f>IF(履歴データ!$A$505="","",AC505/1000000)</f>
        <v>-0.39871939901111741</v>
      </c>
      <c r="AE505" s="29">
        <f>IF(履歴データ!$A$505="",AE504,AE504+AC505/1000000)</f>
        <v>68.986525924496291</v>
      </c>
      <c r="AF505" s="12">
        <f>IF(OR(履歴データ!$A$505="",AE504=0),"",(AE505-AE504)/AE504)</f>
        <v>-5.7464580135458488E-3</v>
      </c>
      <c r="AG505" s="29">
        <f t="shared" si="23"/>
        <v>102.17217746631495</v>
      </c>
      <c r="AH505" s="12">
        <f>IF(OR(履歴データ!$A$505="",AG505=0),"",AE505/AG505-1)</f>
        <v>-0.32480125573089214</v>
      </c>
      <c r="AJ505" s="28">
        <f t="shared" ca="1" si="21"/>
        <v>1.8740670063000948</v>
      </c>
      <c r="AK505" s="28">
        <f t="shared" ca="1" si="22"/>
        <v>-37.35819399042709</v>
      </c>
    </row>
    <row r="506" spans="1:37">
      <c r="A506" s="10">
        <f>IF(履歴データ!$A$506="","",履歴データ!$A$506)</f>
        <v>45665</v>
      </c>
      <c r="B506" s="28">
        <f>IF(履歴データ!$A$506="","",(履歴データ!$D$506-(履歴データ!$B$506+履歴データ!$F$506)/2)*100)</f>
        <v>7.4999999999999289</v>
      </c>
      <c r="C506" s="28">
        <f>IF(履歴データ!$A$506="","",(履歴データ!$H$506-(履歴データ!$G$506+履歴データ!$J$506)/2)*100)</f>
        <v>-28.900000000000013</v>
      </c>
      <c r="D506" s="28">
        <f>IF(履歴データ!$A$506="","",(履歴データ!$D$506-履歴データ!$H$506)*100)</f>
        <v>348.8</v>
      </c>
      <c r="E506" s="28">
        <f>IF(履歴データ!$A$506="","",(履歴データ!$D$506-履歴データ!$C$506)*100)</f>
        <v>21.999999999999975</v>
      </c>
      <c r="F506" s="28">
        <f>IF(履歴データ!$A$506="","",(履歴データ!$R$506-履歴データ!$D$506)*100)</f>
        <v>-267.19</v>
      </c>
      <c r="G506" s="28">
        <f>IF(履歴データ!$A$506="","",(履歴データ!$S$506-履歴データ!$R$506)*100)</f>
        <v>-80.836821411133016</v>
      </c>
      <c r="H506" s="29">
        <f>IF(履歴データ!$A$506="","",履歴データ!$O$506)</f>
        <v>158.23599243164063</v>
      </c>
      <c r="I506" s="29">
        <f>IF(履歴データ!$A$506="","",履歴データ!$Q$506)</f>
        <v>108.140625</v>
      </c>
      <c r="J506" s="29">
        <f>IF(履歴データ!$A$506="","",履歴データ!$D$506)</f>
        <v>4.67</v>
      </c>
      <c r="K506" s="28">
        <f>IF(OR(履歴データ!$A$506="",履歴データ!$A$505=""),"",B506-B505)</f>
        <v>0.99999999999997868</v>
      </c>
      <c r="L506" s="28">
        <f>IF(OR(履歴データ!$A$506="",履歴データ!$A$505=""),"",C506-C505)</f>
        <v>1.8000000000000043</v>
      </c>
      <c r="M506" s="28">
        <f>IF(OR(履歴データ!$A$506="",履歴データ!$A$505=""),"",D506-D505)</f>
        <v>-3.4000000000000341</v>
      </c>
      <c r="N506" s="28">
        <f>IF(OR(履歴データ!$A$506="",履歴データ!$A$505=""),"",E506-E505)</f>
        <v>0.99999999999997868</v>
      </c>
      <c r="O506" s="28">
        <f>IF(OR(履歴データ!$A$506="",履歴データ!$A$505=""),"",F506-F505)</f>
        <v>4.0499999999999545</v>
      </c>
      <c r="P506" s="28">
        <f>IF(OR(履歴データ!$A$506="",履歴データ!$A$505=""),"",G506-G505)</f>
        <v>6.4739999999998474</v>
      </c>
      <c r="Q506" s="29">
        <f>IF(OR(履歴データ!$A$506="",履歴データ!$A$505=""),"",H506-H505)</f>
        <v>0.4929962158203125</v>
      </c>
      <c r="R506" s="29">
        <f>IF(OR(履歴データ!$A$506="",履歴データ!$A$505=""),"",I506-I505)</f>
        <v>-3.125E-2</v>
      </c>
      <c r="S506" s="28">
        <f>IF(OR(履歴データ!$A$506="",履歴データ!$A$505=""),"",(J506-J505)*100)</f>
        <v>0</v>
      </c>
      <c r="T506" s="11">
        <f>IF(OR(履歴データ!$A$506="",履歴データ!$A$505=""),"",-80000*K506)</f>
        <v>-79999.999999998297</v>
      </c>
      <c r="U506" s="11">
        <f>IF(OR(履歴データ!$A$506="",履歴データ!$A$505=""),"",60000*L506)</f>
        <v>108000.00000000026</v>
      </c>
      <c r="V506" s="11">
        <f>IF(OR(履歴データ!$A$506="",履歴データ!$A$505=""),"",-50000*M506)</f>
        <v>170000.00000000172</v>
      </c>
      <c r="W506" s="11">
        <f>IF(OR(履歴データ!$A$506="",履歴データ!$A$505=""),"",-40000*N506)</f>
        <v>-39999.999999999149</v>
      </c>
      <c r="X506" s="11">
        <f>IF(OR(履歴データ!$A$506="",履歴データ!$A$505=""),"",120*1000000*(-Q506/H505))</f>
        <v>-375037.54409163614</v>
      </c>
      <c r="Y506" s="11">
        <f>IF(OR(履歴データ!$A$506="",履歴データ!$A$505=""),"",40000*(-S506)+(-506.3)*R506*1000)</f>
        <v>15821.875</v>
      </c>
      <c r="Z506" s="11">
        <f>IF(OR(履歴データ!$A$506="",履歴データ!$A$505=""),"",-40000*O506)</f>
        <v>-161999.9999999982</v>
      </c>
      <c r="AA506" s="11">
        <f>IF(OR(履歴データ!$A$506="",履歴データ!$A$505=""),"",-40000*P506)</f>
        <v>-258959.99999999389</v>
      </c>
      <c r="AB506" s="11">
        <f>IF(履歴データ!$A$506="","",123.3)</f>
        <v>123.3</v>
      </c>
      <c r="AC506">
        <f>IF(履歴データ!$A$506="","",SUM(T506:AA506))</f>
        <v>-622175.66909162374</v>
      </c>
      <c r="AD506" s="29">
        <f>IF(履歴データ!$A$506="","",AC506/1000000)</f>
        <v>-0.6221756690916237</v>
      </c>
      <c r="AE506" s="29">
        <f>IF(履歴データ!$A$506="",AE505,AE505+AC506/1000000)</f>
        <v>68.364350255404673</v>
      </c>
      <c r="AF506" s="12">
        <f>IF(OR(履歴データ!$A$506="",AE505=0),"",(AE506-AE505)/AE505)</f>
        <v>-9.0187998417628808E-3</v>
      </c>
      <c r="AG506" s="29">
        <f t="shared" si="23"/>
        <v>102.17217746631495</v>
      </c>
      <c r="AH506" s="12">
        <f>IF(OR(履歴データ!$A$506="",AG506=0),"",AE506/AG506-1)</f>
        <v>-0.33089073805886482</v>
      </c>
      <c r="AJ506" s="28">
        <f t="shared" ca="1" si="21"/>
        <v>2.2335000217138905</v>
      </c>
      <c r="AK506" s="28">
        <f t="shared" ca="1" si="22"/>
        <v>-37.447785735999602</v>
      </c>
    </row>
    <row r="507" spans="1:37">
      <c r="A507" s="10">
        <f>IF(履歴データ!$A$507="","",履歴データ!$A$507)</f>
        <v>45666</v>
      </c>
      <c r="B507" s="28">
        <f>IF(履歴データ!$A$507="","",(履歴データ!$D$507-(履歴データ!$B$507+履歴データ!$F$507)/2)*100)</f>
        <v>8.4999999999999964</v>
      </c>
      <c r="C507" s="28">
        <f>IF(履歴データ!$A$507="","",(履歴データ!$H$507-(履歴データ!$G$507+履歴データ!$J$507)/2)*100)</f>
        <v>-28.6</v>
      </c>
      <c r="D507" s="28">
        <f>IF(履歴データ!$A$507="","",(履歴データ!$D$507-履歴データ!$H$507)*100)</f>
        <v>350.2</v>
      </c>
      <c r="E507" s="28">
        <f>IF(履歴データ!$A$507="","",(履歴データ!$D$507-履歴データ!$C$507)*100)</f>
        <v>21.999999999999975</v>
      </c>
      <c r="F507" s="28">
        <f>IF(履歴データ!$A$507="","",(履歴データ!$R$507-履歴データ!$D$507)*100)</f>
        <v>-270.93</v>
      </c>
      <c r="G507" s="28">
        <f>IF(履歴データ!$A$507="","",(履歴データ!$S$507-履歴データ!$R$507)*100)</f>
        <v>-81.254000000000119</v>
      </c>
      <c r="H507" s="29">
        <f>IF(履歴データ!$A$507="","",履歴データ!$O$507)</f>
        <v>158.19200134277344</v>
      </c>
      <c r="I507" s="29">
        <f>IF(履歴データ!$A$507="","",履歴データ!$Q$507)</f>
        <v>108.21875</v>
      </c>
      <c r="J507" s="29">
        <f>IF(履歴データ!$A$507="","",履歴データ!$D$507)</f>
        <v>4.68</v>
      </c>
      <c r="K507" s="28">
        <f>IF(OR(履歴データ!$A$507="",履歴データ!$A$506=""),"",B507-B506)</f>
        <v>1.0000000000000675</v>
      </c>
      <c r="L507" s="28">
        <f>IF(OR(履歴データ!$A$507="",履歴データ!$A$506=""),"",C507-C506)</f>
        <v>0.30000000000001137</v>
      </c>
      <c r="M507" s="28">
        <f>IF(OR(履歴データ!$A$507="",履歴データ!$A$506=""),"",D507-D506)</f>
        <v>1.3999999999999773</v>
      </c>
      <c r="N507" s="28">
        <f>IF(OR(履歴データ!$A$507="",履歴データ!$A$506=""),"",E507-E506)</f>
        <v>0</v>
      </c>
      <c r="O507" s="28">
        <f>IF(OR(履歴データ!$A$507="",履歴データ!$A$506=""),"",F507-F506)</f>
        <v>-3.7400000000000091</v>
      </c>
      <c r="P507" s="28">
        <f>IF(OR(履歴データ!$A$507="",履歴データ!$A$506=""),"",G507-G506)</f>
        <v>-0.41717858886710246</v>
      </c>
      <c r="Q507" s="29">
        <f>IF(OR(履歴データ!$A$507="",履歴データ!$A$506=""),"",H507-H506)</f>
        <v>-4.39910888671875E-2</v>
      </c>
      <c r="R507" s="29">
        <f>IF(OR(履歴データ!$A$507="",履歴データ!$A$506=""),"",I507-I506)</f>
        <v>7.8125E-2</v>
      </c>
      <c r="S507" s="28">
        <f>IF(OR(履歴データ!$A$507="",履歴データ!$A$506=""),"",(J507-J506)*100)</f>
        <v>0.99999999999997868</v>
      </c>
      <c r="T507" s="11">
        <f>IF(OR(履歴データ!$A$507="",履歴データ!$A$506=""),"",-80000*K507)</f>
        <v>-80000.000000005399</v>
      </c>
      <c r="U507" s="11">
        <f>IF(OR(履歴データ!$A$507="",履歴データ!$A$506=""),"",60000*L507)</f>
        <v>18000.000000000684</v>
      </c>
      <c r="V507" s="11">
        <f>IF(OR(履歴データ!$A$507="",履歴データ!$A$506=""),"",-50000*M507)</f>
        <v>-69999.999999998865</v>
      </c>
      <c r="W507" s="11">
        <f>IF(OR(履歴データ!$A$507="",履歴データ!$A$506=""),"",-40000*N507)</f>
        <v>0</v>
      </c>
      <c r="X507" s="11">
        <f>IF(OR(履歴データ!$A$507="",履歴データ!$A$506=""),"",120*1000000*(-Q507/H506))</f>
        <v>33361.124627464553</v>
      </c>
      <c r="Y507" s="11">
        <f>IF(OR(履歴データ!$A$507="",履歴データ!$A$506=""),"",40000*(-S507)+(-506.3)*R507*1000)</f>
        <v>-79554.687499999156</v>
      </c>
      <c r="Z507" s="11">
        <f>IF(OR(履歴データ!$A$507="",履歴データ!$A$506=""),"",-40000*O507)</f>
        <v>149600.00000000035</v>
      </c>
      <c r="AA507" s="11">
        <f>IF(OR(履歴データ!$A$507="",履歴データ!$A$506=""),"",-40000*P507)</f>
        <v>16687.143554684098</v>
      </c>
      <c r="AB507" s="11">
        <f>IF(履歴データ!$A$507="","",123.3)</f>
        <v>123.3</v>
      </c>
      <c r="AC507">
        <f>IF(履歴データ!$A$507="","",SUM(T507:AA507))</f>
        <v>-11906.419317853721</v>
      </c>
      <c r="AD507" s="29">
        <f>IF(履歴データ!$A$507="","",AC507/1000000)</f>
        <v>-1.190641931785372E-2</v>
      </c>
      <c r="AE507" s="29">
        <f>IF(履歴データ!$A$507="",AE506,AE506+AC507/1000000)</f>
        <v>68.35244383608682</v>
      </c>
      <c r="AF507" s="12">
        <f>IF(OR(履歴データ!$A$507="",AE506=0),"",(AE507-AE506)/AE506)</f>
        <v>-1.7416122984232992E-4</v>
      </c>
      <c r="AG507" s="29">
        <f t="shared" si="23"/>
        <v>102.17217746631495</v>
      </c>
      <c r="AH507" s="12">
        <f>IF(OR(履歴データ!$A$507="",AG507=0),"",AE507/AG507-1)</f>
        <v>-0.33100727095082338</v>
      </c>
      <c r="AJ507" s="28">
        <f t="shared" ca="1" si="21"/>
        <v>2.6137704215815987</v>
      </c>
      <c r="AK507" s="28">
        <f t="shared" ca="1" si="22"/>
        <v>-37.558214866026042</v>
      </c>
    </row>
    <row r="508" spans="1:37">
      <c r="A508" s="10">
        <f>IF(履歴データ!$A$508="","",履歴データ!$A$508)</f>
        <v>45667</v>
      </c>
      <c r="B508" s="28">
        <f>IF(履歴データ!$A$508="","",(履歴データ!$D$508-(履歴データ!$B$508+履歴データ!$F$508)/2)*100)</f>
        <v>8.9999999999999858</v>
      </c>
      <c r="C508" s="28">
        <f>IF(履歴データ!$A$508="","",(履歴データ!$H$508-(履歴データ!$G$508+履歴データ!$J$508)/2)*100)</f>
        <v>-27.300000000000011</v>
      </c>
      <c r="D508" s="28">
        <f>IF(履歴データ!$A$508="","",(履歴データ!$D$508-履歴データ!$H$508)*100)</f>
        <v>356.79999999999995</v>
      </c>
      <c r="E508" s="28">
        <f>IF(履歴データ!$A$508="","",(履歴データ!$D$508-履歴データ!$C$508)*100)</f>
        <v>17.999999999999972</v>
      </c>
      <c r="F508" s="28">
        <f>IF(履歴データ!$A$508="","",(履歴データ!$R$508-履歴データ!$D$508)*100)</f>
        <v>-283.58</v>
      </c>
      <c r="G508" s="28">
        <f>IF(履歴データ!$A$508="","",(履歴データ!$S$508-履歴データ!$R$508)*100)</f>
        <v>-79.358000000000146</v>
      </c>
      <c r="H508" s="29">
        <f>IF(履歴データ!$A$508="","",履歴データ!$O$508)</f>
        <v>158.04800415039063</v>
      </c>
      <c r="I508" s="29">
        <f>IF(履歴データ!$A$508="","",履歴データ!$Q$508)</f>
        <v>107.390625</v>
      </c>
      <c r="J508" s="29">
        <f>IF(履歴データ!$A$508="","",履歴データ!$D$508)</f>
        <v>4.7699999999999996</v>
      </c>
      <c r="K508" s="28">
        <f>IF(OR(履歴データ!$A$508="",履歴データ!$A$507=""),"",B508-B507)</f>
        <v>0.49999999999998934</v>
      </c>
      <c r="L508" s="28">
        <f>IF(OR(履歴データ!$A$508="",履歴データ!$A$507=""),"",C508-C507)</f>
        <v>1.2999999999999901</v>
      </c>
      <c r="M508" s="28">
        <f>IF(OR(履歴データ!$A$508="",履歴データ!$A$507=""),"",D508-D507)</f>
        <v>6.5999999999999659</v>
      </c>
      <c r="N508" s="28">
        <f>IF(OR(履歴データ!$A$508="",履歴データ!$A$507=""),"",E508-E507)</f>
        <v>-4.0000000000000036</v>
      </c>
      <c r="O508" s="28">
        <f>IF(OR(履歴データ!$A$508="",履歴データ!$A$507=""),"",F508-F507)</f>
        <v>-12.649999999999977</v>
      </c>
      <c r="P508" s="28">
        <f>IF(OR(履歴データ!$A$508="",履歴データ!$A$507=""),"",G508-G507)</f>
        <v>1.8959999999999724</v>
      </c>
      <c r="Q508" s="29">
        <f>IF(OR(履歴データ!$A$508="",履歴データ!$A$507=""),"",H508-H507)</f>
        <v>-0.1439971923828125</v>
      </c>
      <c r="R508" s="29">
        <f>IF(OR(履歴データ!$A$508="",履歴データ!$A$507=""),"",I508-I507)</f>
        <v>-0.828125</v>
      </c>
      <c r="S508" s="28">
        <f>IF(OR(履歴データ!$A$508="",履歴データ!$A$507=""),"",(J508-J507)*100)</f>
        <v>8.9999999999999858</v>
      </c>
      <c r="T508" s="11">
        <f>IF(OR(履歴データ!$A$508="",履歴データ!$A$507=""),"",-80000*K508)</f>
        <v>-39999.999999999149</v>
      </c>
      <c r="U508" s="11">
        <f>IF(OR(履歴データ!$A$508="",履歴データ!$A$507=""),"",60000*L508)</f>
        <v>77999.999999999403</v>
      </c>
      <c r="V508" s="11">
        <f>IF(OR(履歴データ!$A$508="",履歴データ!$A$507=""),"",-50000*M508)</f>
        <v>-329999.99999999831</v>
      </c>
      <c r="W508" s="11">
        <f>IF(OR(履歴データ!$A$508="",履歴データ!$A$507=""),"",-40000*N508)</f>
        <v>160000.00000000015</v>
      </c>
      <c r="X508" s="11">
        <f>IF(OR(履歴データ!$A$508="",履歴データ!$A$507=""),"",120*1000000*(-Q508/H507))</f>
        <v>109232.2174273249</v>
      </c>
      <c r="Y508" s="11">
        <f>IF(OR(履歴データ!$A$508="",履歴データ!$A$507=""),"",40000*(-S508)+(-506.3)*R508*1000)</f>
        <v>59279.687500000582</v>
      </c>
      <c r="Z508" s="11">
        <f>IF(OR(履歴データ!$A$508="",履歴データ!$A$507=""),"",-40000*O508)</f>
        <v>505999.99999999907</v>
      </c>
      <c r="AA508" s="11">
        <f>IF(OR(履歴データ!$A$508="",履歴データ!$A$507=""),"",-40000*P508)</f>
        <v>-75839.999999998894</v>
      </c>
      <c r="AB508" s="11">
        <f>IF(履歴データ!$A$508="","",123.3)</f>
        <v>123.3</v>
      </c>
      <c r="AC508">
        <f>IF(履歴データ!$A$508="","",SUM(T508:AA508))</f>
        <v>466671.90492732771</v>
      </c>
      <c r="AD508" s="29">
        <f>IF(履歴データ!$A$508="","",AC508/1000000)</f>
        <v>0.46667190492732769</v>
      </c>
      <c r="AE508" s="29">
        <f>IF(履歴データ!$A$508="",AE507,AE507+AC508/1000000)</f>
        <v>68.819115741014144</v>
      </c>
      <c r="AF508" s="12">
        <f>IF(OR(履歴データ!$A$508="",AE507=0),"",(AE508-AE507)/AE507)</f>
        <v>6.8274355492896595E-3</v>
      </c>
      <c r="AG508" s="29">
        <f t="shared" si="23"/>
        <v>102.17217746631495</v>
      </c>
      <c r="AH508" s="12">
        <f>IF(OR(履歴データ!$A$508="",AG508=0),"",AE508/AG508-1)</f>
        <v>-0.3264397662102968</v>
      </c>
      <c r="AJ508" s="28">
        <f t="shared" ca="1" si="21"/>
        <v>2.9996917698767227</v>
      </c>
      <c r="AK508" s="28">
        <f t="shared" ca="1" si="22"/>
        <v>-37.670326690511644</v>
      </c>
    </row>
    <row r="509" spans="1:37">
      <c r="A509" s="10">
        <f>IF(履歴データ!$A$509="","",履歴データ!$A$509)</f>
        <v>45670</v>
      </c>
      <c r="B509" s="28">
        <f>IF(履歴データ!$A$509="","",(履歴データ!$D$509-(履歴データ!$B$509+履歴データ!$F$509)/2)*100)</f>
        <v>10.499999999999954</v>
      </c>
      <c r="C509" s="28">
        <f>IF(履歴データ!$A$509="","",(履歴データ!$H$509-(履歴データ!$G$509+履歴データ!$J$509)/2)*100)</f>
        <v>-27.300000000000011</v>
      </c>
      <c r="D509" s="28">
        <f>IF(履歴データ!$A$509="","",(履歴データ!$D$509-履歴データ!$H$509)*100)</f>
        <v>358.8</v>
      </c>
      <c r="E509" s="28">
        <f>IF(履歴データ!$A$509="","",(履歴データ!$D$509-履歴データ!$C$509)*100)</f>
        <v>17.999999999999972</v>
      </c>
      <c r="F509" s="28">
        <f>IF(履歴データ!$A$509="","",(履歴データ!$R$509-履歴データ!$D$509)*100)</f>
        <v>-283.38</v>
      </c>
      <c r="G509" s="28">
        <f>IF(履歴データ!$A$509="","",(履歴データ!$S$509-履歴データ!$R$509)*100)</f>
        <v>-81.558000000000149</v>
      </c>
      <c r="H509" s="29">
        <f>IF(履歴データ!$A$509="","",履歴データ!$O$509)</f>
        <v>157.88699340820313</v>
      </c>
      <c r="I509" s="29">
        <f>IF(履歴データ!$A$509="","",履歴データ!$Q$509)</f>
        <v>107.234375</v>
      </c>
      <c r="J509" s="29">
        <f>IF(履歴データ!$A$509="","",履歴データ!$D$509)</f>
        <v>4.79</v>
      </c>
      <c r="K509" s="28">
        <f>IF(OR(履歴データ!$A$509="",履歴データ!$A$508=""),"",B509-B508)</f>
        <v>1.499999999999968</v>
      </c>
      <c r="L509" s="28">
        <f>IF(OR(履歴データ!$A$509="",履歴データ!$A$508=""),"",C509-C508)</f>
        <v>0</v>
      </c>
      <c r="M509" s="28">
        <f>IF(OR(履歴データ!$A$509="",履歴データ!$A$508=""),"",D509-D508)</f>
        <v>2.0000000000000568</v>
      </c>
      <c r="N509" s="28">
        <f>IF(OR(履歴データ!$A$509="",履歴データ!$A$508=""),"",E509-E508)</f>
        <v>0</v>
      </c>
      <c r="O509" s="28">
        <f>IF(OR(履歴データ!$A$509="",履歴データ!$A$508=""),"",F509-F508)</f>
        <v>0.19999999999998863</v>
      </c>
      <c r="P509" s="28">
        <f>IF(OR(履歴データ!$A$509="",履歴データ!$A$508=""),"",G509-G508)</f>
        <v>-2.2000000000000028</v>
      </c>
      <c r="Q509" s="29">
        <f>IF(OR(履歴データ!$A$509="",履歴データ!$A$508=""),"",H509-H508)</f>
        <v>-0.1610107421875</v>
      </c>
      <c r="R509" s="29">
        <f>IF(OR(履歴データ!$A$509="",履歴データ!$A$508=""),"",I509-I508)</f>
        <v>-0.15625</v>
      </c>
      <c r="S509" s="28">
        <f>IF(OR(履歴データ!$A$509="",履歴データ!$A$508=""),"",(J509-J508)*100)</f>
        <v>2.0000000000000462</v>
      </c>
      <c r="T509" s="11">
        <f>IF(OR(履歴データ!$A$509="",履歴データ!$A$508=""),"",-80000*K509)</f>
        <v>-119999.99999999744</v>
      </c>
      <c r="U509" s="11">
        <f>IF(OR(履歴データ!$A$509="",履歴データ!$A$508=""),"",60000*L509)</f>
        <v>0</v>
      </c>
      <c r="V509" s="11">
        <f>IF(OR(履歴データ!$A$509="",履歴データ!$A$508=""),"",-50000*M509)</f>
        <v>-100000.00000000284</v>
      </c>
      <c r="W509" s="11">
        <f>IF(OR(履歴データ!$A$509="",履歴データ!$A$508=""),"",-40000*N509)</f>
        <v>0</v>
      </c>
      <c r="X509" s="11">
        <f>IF(OR(履歴データ!$A$509="",履歴データ!$A$508=""),"",120*1000000*(-Q509/H508))</f>
        <v>122249.49733699151</v>
      </c>
      <c r="Y509" s="11">
        <f>IF(OR(履歴データ!$A$509="",履歴データ!$A$508=""),"",40000*(-S509)+(-506.3)*R509*1000)</f>
        <v>-890.62500000184809</v>
      </c>
      <c r="Z509" s="11">
        <f>IF(OR(履歴データ!$A$509="",履歴データ!$A$508=""),"",-40000*O509)</f>
        <v>-7999.9999999995453</v>
      </c>
      <c r="AA509" s="11">
        <f>IF(OR(履歴データ!$A$509="",履歴データ!$A$508=""),"",-40000*P509)</f>
        <v>88000.000000000116</v>
      </c>
      <c r="AB509" s="11">
        <f>IF(履歴データ!$A$509="","",123.3)</f>
        <v>123.3</v>
      </c>
      <c r="AC509">
        <f>IF(履歴データ!$A$509="","",SUM(T509:AA509))</f>
        <v>-18641.127663010062</v>
      </c>
      <c r="AD509" s="29">
        <f>IF(履歴データ!$A$509="","",AC509/1000000)</f>
        <v>-1.864112766301006E-2</v>
      </c>
      <c r="AE509" s="29">
        <f>IF(履歴データ!$A$509="",AE508,AE508+AC509/1000000)</f>
        <v>68.800474613351128</v>
      </c>
      <c r="AF509" s="12">
        <f>IF(OR(履歴データ!$A$509="",AE508=0),"",(AE509-AE508)/AE508)</f>
        <v>-2.7087136273544379E-4</v>
      </c>
      <c r="AG509" s="29">
        <f t="shared" si="23"/>
        <v>102.17217746631495</v>
      </c>
      <c r="AH509" s="12">
        <f>IF(OR(履歴データ!$A$509="",AG509=0),"",AE509/AG509-1)</f>
        <v>-0.32662221438870775</v>
      </c>
      <c r="AJ509" s="28">
        <f t="shared" ca="1" si="21"/>
        <v>3.417304118940347</v>
      </c>
      <c r="AK509" s="28">
        <f t="shared" ca="1" si="22"/>
        <v>-37.806193007829236</v>
      </c>
    </row>
    <row r="510" spans="1:37">
      <c r="A510" s="10">
        <f>IF(履歴データ!$A$510="","",履歴データ!$A$510)</f>
        <v>45671</v>
      </c>
      <c r="B510" s="28">
        <f>IF(履歴データ!$A$510="","",(履歴データ!$D$510-(履歴データ!$B$510+履歴データ!$F$510)/2)*100)</f>
        <v>10.499999999999954</v>
      </c>
      <c r="C510" s="28">
        <f>IF(履歴データ!$A$510="","",(履歴データ!$H$510-(履歴データ!$G$510+履歴データ!$J$510)/2)*100)</f>
        <v>-26.250000000000018</v>
      </c>
      <c r="D510" s="28">
        <f>IF(履歴データ!$A$510="","",(履歴データ!$D$510-履歴データ!$H$510)*100)</f>
        <v>353.40000000000003</v>
      </c>
      <c r="E510" s="28">
        <f>IF(履歴データ!$A$510="","",(履歴データ!$D$510-履歴データ!$C$510)*100)</f>
        <v>19.000000000000039</v>
      </c>
      <c r="F510" s="28">
        <f>IF(履歴データ!$A$510="","",(履歴データ!$R$510-履歴データ!$D$510)*100)</f>
        <v>-279.83000000000004</v>
      </c>
      <c r="G510" s="28">
        <f>IF(履歴データ!$A$510="","",(履歴データ!$S$510-履歴データ!$R$510)*100)</f>
        <v>-73.93482141113293</v>
      </c>
      <c r="H510" s="29">
        <f>IF(履歴データ!$A$510="","",履歴データ!$O$510)</f>
        <v>157.36399841308594</v>
      </c>
      <c r="I510" s="29">
        <f>IF(履歴データ!$A$510="","",履歴データ!$Q$510)</f>
        <v>107.359375</v>
      </c>
      <c r="J510" s="29">
        <f>IF(履歴データ!$A$510="","",履歴データ!$D$510)</f>
        <v>4.78</v>
      </c>
      <c r="K510" s="28">
        <f>IF(OR(履歴データ!$A$510="",履歴データ!$A$509=""),"",B510-B509)</f>
        <v>0</v>
      </c>
      <c r="L510" s="28">
        <f>IF(OR(履歴データ!$A$510="",履歴データ!$A$509=""),"",C510-C509)</f>
        <v>1.0499999999999936</v>
      </c>
      <c r="M510" s="28">
        <f>IF(OR(履歴データ!$A$510="",履歴データ!$A$509=""),"",D510-D509)</f>
        <v>-5.3999999999999773</v>
      </c>
      <c r="N510" s="28">
        <f>IF(OR(履歴データ!$A$510="",履歴データ!$A$509=""),"",E510-E509)</f>
        <v>1.0000000000000675</v>
      </c>
      <c r="O510" s="28">
        <f>IF(OR(履歴データ!$A$510="",履歴データ!$A$509=""),"",F510-F509)</f>
        <v>3.5499999999999545</v>
      </c>
      <c r="P510" s="28">
        <f>IF(OR(履歴データ!$A$510="",履歴データ!$A$509=""),"",G510-G509)</f>
        <v>7.6231785888672192</v>
      </c>
      <c r="Q510" s="29">
        <f>IF(OR(履歴データ!$A$510="",履歴データ!$A$509=""),"",H510-H509)</f>
        <v>-0.5229949951171875</v>
      </c>
      <c r="R510" s="29">
        <f>IF(OR(履歴データ!$A$510="",履歴データ!$A$509=""),"",I510-I509)</f>
        <v>0.125</v>
      </c>
      <c r="S510" s="28">
        <f>IF(OR(履歴データ!$A$510="",履歴データ!$A$509=""),"",(J510-J509)*100)</f>
        <v>-0.99999999999997868</v>
      </c>
      <c r="T510" s="11">
        <f>IF(OR(履歴データ!$A$510="",履歴データ!$A$509=""),"",-80000*K510)</f>
        <v>0</v>
      </c>
      <c r="U510" s="11">
        <f>IF(OR(履歴データ!$A$510="",履歴データ!$A$509=""),"",60000*L510)</f>
        <v>62999.999999999614</v>
      </c>
      <c r="V510" s="11">
        <f>IF(OR(履歴データ!$A$510="",履歴データ!$A$509=""),"",-50000*M510)</f>
        <v>269999.99999999884</v>
      </c>
      <c r="W510" s="11">
        <f>IF(OR(履歴データ!$A$510="",履歴データ!$A$509=""),"",-40000*N510)</f>
        <v>-40000.000000002699</v>
      </c>
      <c r="X510" s="11">
        <f>IF(OR(履歴データ!$A$510="",履歴データ!$A$509=""),"",120*1000000*(-Q510/H509))</f>
        <v>397495.69017254963</v>
      </c>
      <c r="Y510" s="11">
        <f>IF(OR(履歴データ!$A$510="",履歴データ!$A$509=""),"",40000*(-S510)+(-506.3)*R510*1000)</f>
        <v>-23287.500000000851</v>
      </c>
      <c r="Z510" s="11">
        <f>IF(OR(履歴データ!$A$510="",履歴データ!$A$509=""),"",-40000*O510)</f>
        <v>-141999.9999999982</v>
      </c>
      <c r="AA510" s="11">
        <f>IF(OR(履歴データ!$A$510="",履歴データ!$A$509=""),"",-40000*P510)</f>
        <v>-304927.14355468878</v>
      </c>
      <c r="AB510" s="11">
        <f>IF(履歴データ!$A$510="","",123.3)</f>
        <v>123.3</v>
      </c>
      <c r="AC510">
        <f>IF(履歴データ!$A$510="","",SUM(T510:AA510))</f>
        <v>220281.04661785753</v>
      </c>
      <c r="AD510" s="29">
        <f>IF(履歴データ!$A$510="","",AC510/1000000)</f>
        <v>0.22028104661785752</v>
      </c>
      <c r="AE510" s="29">
        <f>IF(履歴データ!$A$510="",AE509,AE509+AC510/1000000)</f>
        <v>69.020755659968984</v>
      </c>
      <c r="AF510" s="12">
        <f>IF(OR(履歴データ!$A$510="",AE509=0),"",(AE510-AE509)/AE509)</f>
        <v>3.201737311491008E-3</v>
      </c>
      <c r="AG510" s="29">
        <f t="shared" si="23"/>
        <v>102.17217746631495</v>
      </c>
      <c r="AH510" s="12">
        <f>IF(OR(履歴データ!$A$510="",AG510=0),"",AE510/AG510-1)</f>
        <v>-0.32446623560778698</v>
      </c>
      <c r="AJ510" s="28">
        <f t="shared" ca="1" si="21"/>
        <v>3.8283856327672581</v>
      </c>
      <c r="AK510" s="28">
        <f t="shared" ca="1" si="22"/>
        <v>-37.939496743878372</v>
      </c>
    </row>
    <row r="511" spans="1:37">
      <c r="A511" s="10">
        <f>IF(履歴データ!$A$511="","",履歴データ!$A$511)</f>
        <v>45672</v>
      </c>
      <c r="B511" s="28">
        <f>IF(履歴データ!$A$511="","",(履歴データ!$D$511-(履歴データ!$B$511+履歴データ!$F$511)/2)*100)</f>
        <v>8.5000000000000853</v>
      </c>
      <c r="C511" s="28">
        <f>IF(履歴データ!$A$511="","",(履歴データ!$H$511-(履歴データ!$G$511+履歴データ!$J$511)/2)*100)</f>
        <v>-27.200000000000003</v>
      </c>
      <c r="D511" s="28">
        <f>IF(履歴データ!$A$511="","",(履歴データ!$D$511-履歴データ!$H$511)*100)</f>
        <v>340.5</v>
      </c>
      <c r="E511" s="28">
        <f>IF(履歴データ!$A$511="","",(履歴データ!$D$511-履歴データ!$C$511)*100)</f>
        <v>20.999999999999996</v>
      </c>
      <c r="F511" s="28">
        <f>IF(履歴データ!$A$511="","",(履歴データ!$R$511-履歴データ!$D$511)*100)</f>
        <v>-272.5</v>
      </c>
      <c r="G511" s="28">
        <f>IF(履歴データ!$A$511="","",(履歴データ!$S$511-履歴データ!$R$511)*100)</f>
        <v>-72.246642822265756</v>
      </c>
      <c r="H511" s="29">
        <f>IF(履歴データ!$A$511="","",履歴データ!$O$511)</f>
        <v>158.05000305175781</v>
      </c>
      <c r="I511" s="29">
        <f>IF(履歴データ!$A$511="","",履歴データ!$Q$511)</f>
        <v>108.328125</v>
      </c>
      <c r="J511" s="29">
        <f>IF(履歴データ!$A$511="","",履歴データ!$D$511)</f>
        <v>4.66</v>
      </c>
      <c r="K511" s="28">
        <f>IF(OR(履歴データ!$A$511="",履歴データ!$A$510=""),"",B511-B510)</f>
        <v>-1.9999999999998685</v>
      </c>
      <c r="L511" s="28">
        <f>IF(OR(履歴データ!$A$511="",履歴データ!$A$510=""),"",C511-C510)</f>
        <v>-0.94999999999998508</v>
      </c>
      <c r="M511" s="28">
        <f>IF(OR(履歴データ!$A$511="",履歴データ!$A$510=""),"",D511-D510)</f>
        <v>-12.900000000000034</v>
      </c>
      <c r="N511" s="28">
        <f>IF(OR(履歴データ!$A$511="",履歴データ!$A$510=""),"",E511-E510)</f>
        <v>1.9999999999999574</v>
      </c>
      <c r="O511" s="28">
        <f>IF(OR(履歴データ!$A$511="",履歴データ!$A$510=""),"",F511-F510)</f>
        <v>7.3300000000000409</v>
      </c>
      <c r="P511" s="28">
        <f>IF(OR(履歴データ!$A$511="",履歴データ!$A$510=""),"",G511-G510)</f>
        <v>1.6881785888671743</v>
      </c>
      <c r="Q511" s="29">
        <f>IF(OR(履歴データ!$A$511="",履歴データ!$A$510=""),"",H511-H510)</f>
        <v>0.686004638671875</v>
      </c>
      <c r="R511" s="29">
        <f>IF(OR(履歴データ!$A$511="",履歴データ!$A$510=""),"",I511-I510)</f>
        <v>0.96875</v>
      </c>
      <c r="S511" s="28">
        <f>IF(OR(履歴データ!$A$511="",履歴データ!$A$510=""),"",(J511-J510)*100)</f>
        <v>-12.000000000000011</v>
      </c>
      <c r="T511" s="11">
        <f>IF(OR(履歴データ!$A$511="",履歴データ!$A$510=""),"",-80000*K511)</f>
        <v>159999.99999998949</v>
      </c>
      <c r="U511" s="11">
        <f>IF(OR(履歴データ!$A$511="",履歴データ!$A$510=""),"",60000*L511)</f>
        <v>-56999.999999999105</v>
      </c>
      <c r="V511" s="11">
        <f>IF(OR(履歴データ!$A$511="",履歴データ!$A$510=""),"",-50000*M511)</f>
        <v>645000.00000000175</v>
      </c>
      <c r="W511" s="11">
        <f>IF(OR(履歴データ!$A$511="",履歴データ!$A$510=""),"",-40000*N511)</f>
        <v>-79999.999999998297</v>
      </c>
      <c r="X511" s="11">
        <f>IF(OR(履歴データ!$A$511="",履歴データ!$A$510=""),"",120*1000000*(-Q511/H510))</f>
        <v>-523121.91778789635</v>
      </c>
      <c r="Y511" s="11">
        <f>IF(OR(履歴データ!$A$511="",履歴データ!$A$510=""),"",40000*(-S511)+(-506.3)*R511*1000)</f>
        <v>-10478.124999999651</v>
      </c>
      <c r="Z511" s="11">
        <f>IF(OR(履歴データ!$A$511="",履歴データ!$A$510=""),"",-40000*O511)</f>
        <v>-293200.00000000163</v>
      </c>
      <c r="AA511" s="11">
        <f>IF(OR(履歴データ!$A$511="",履歴データ!$A$510=""),"",-40000*P511)</f>
        <v>-67527.143554686976</v>
      </c>
      <c r="AB511" s="11">
        <f>IF(履歴データ!$A$511="","",123.3)</f>
        <v>123.3</v>
      </c>
      <c r="AC511">
        <f>IF(履歴データ!$A$511="","",SUM(T511:AA511))</f>
        <v>-226327.18634259078</v>
      </c>
      <c r="AD511" s="29">
        <f>IF(履歴データ!$A$511="","",AC511/1000000)</f>
        <v>-0.22632718634259077</v>
      </c>
      <c r="AE511" s="29">
        <f>IF(履歴データ!$A$511="",AE510,AE510+AC511/1000000)</f>
        <v>68.794428473626397</v>
      </c>
      <c r="AF511" s="12">
        <f>IF(OR(履歴データ!$A$511="",AE510=0),"",(AE511-AE510)/AE510)</f>
        <v>-3.2791177694082175E-3</v>
      </c>
      <c r="AG511" s="29">
        <f t="shared" si="23"/>
        <v>102.17217746631495</v>
      </c>
      <c r="AH511" s="12">
        <f>IF(OR(履歴データ!$A$511="",AG511=0),"",AE511/AG511-1)</f>
        <v>-0.32668139037844068</v>
      </c>
      <c r="AJ511" s="28">
        <f t="shared" ca="1" si="21"/>
        <v>4.185291443438949</v>
      </c>
      <c r="AK511" s="28">
        <f t="shared" ca="1" si="22"/>
        <v>-38.03846604661355</v>
      </c>
    </row>
    <row r="512" spans="1:37">
      <c r="A512" s="10">
        <f>IF(履歴データ!$A$512="","",履歴データ!$A$512)</f>
        <v>45673</v>
      </c>
      <c r="B512" s="28">
        <f>IF(履歴データ!$A$512="","",(履歴データ!$D$512-(履歴データ!$B$512+履歴データ!$F$512)/2)*100)</f>
        <v>7.5000000000000178</v>
      </c>
      <c r="C512" s="28">
        <f>IF(履歴データ!$A$512="","",(履歴データ!$H$512-(履歴データ!$G$512+履歴データ!$J$512)/2)*100)</f>
        <v>-30.099999999999994</v>
      </c>
      <c r="D512" s="28">
        <f>IF(履歴データ!$A$512="","",(履歴データ!$D$512-履歴データ!$H$512)*100)</f>
        <v>340.30000000000007</v>
      </c>
      <c r="E512" s="28">
        <f>IF(履歴データ!$A$512="","",(履歴データ!$D$512-履歴データ!$C$512)*100)</f>
        <v>22.000000000000064</v>
      </c>
      <c r="F512" s="28">
        <f>IF(履歴データ!$A$512="","",(履歴データ!$R$512-履歴データ!$D$512)*100)</f>
        <v>-275.14000000000004</v>
      </c>
      <c r="G512" s="28">
        <f>IF(履歴データ!$A$512="","",(履歴データ!$S$512-履歴データ!$R$512)*100)</f>
        <v>-68.465357177734546</v>
      </c>
      <c r="H512" s="29">
        <f>IF(履歴データ!$A$512="","",履歴データ!$O$512)</f>
        <v>156.2550048828125</v>
      </c>
      <c r="I512" s="29">
        <f>IF(履歴データ!$A$512="","",履歴データ!$Q$512)</f>
        <v>108.609375</v>
      </c>
      <c r="J512" s="29">
        <f>IF(履歴データ!$A$512="","",履歴データ!$D$512)</f>
        <v>4.6100000000000003</v>
      </c>
      <c r="K512" s="28">
        <f>IF(OR(履歴データ!$A$512="",履歴データ!$A$511=""),"",B512-B511)</f>
        <v>-1.0000000000000675</v>
      </c>
      <c r="L512" s="28">
        <f>IF(OR(履歴データ!$A$512="",履歴データ!$A$511=""),"",C512-C511)</f>
        <v>-2.8999999999999915</v>
      </c>
      <c r="M512" s="28">
        <f>IF(OR(履歴データ!$A$512="",履歴データ!$A$511=""),"",D512-D511)</f>
        <v>-0.19999999999993179</v>
      </c>
      <c r="N512" s="28">
        <f>IF(OR(履歴データ!$A$512="",履歴データ!$A$511=""),"",E512-E511)</f>
        <v>1.0000000000000675</v>
      </c>
      <c r="O512" s="28">
        <f>IF(OR(履歴データ!$A$512="",履歴データ!$A$511=""),"",F512-F511)</f>
        <v>-2.6400000000000432</v>
      </c>
      <c r="P512" s="28">
        <f>IF(OR(履歴データ!$A$512="",履歴データ!$A$511=""),"",G512-G511)</f>
        <v>3.7812856445312093</v>
      </c>
      <c r="Q512" s="29">
        <f>IF(OR(履歴データ!$A$512="",履歴データ!$A$511=""),"",H512-H511)</f>
        <v>-1.7949981689453125</v>
      </c>
      <c r="R512" s="29">
        <f>IF(OR(履歴データ!$A$512="",履歴データ!$A$511=""),"",I512-I511)</f>
        <v>0.28125</v>
      </c>
      <c r="S512" s="28">
        <f>IF(OR(履歴データ!$A$512="",履歴データ!$A$511=""),"",(J512-J511)*100)</f>
        <v>-4.9999999999999822</v>
      </c>
      <c r="T512" s="11">
        <f>IF(OR(履歴データ!$A$512="",履歴データ!$A$511=""),"",-80000*K512)</f>
        <v>80000.000000005399</v>
      </c>
      <c r="U512" s="11">
        <f>IF(OR(履歴データ!$A$512="",履歴データ!$A$511=""),"",60000*L512)</f>
        <v>-173999.99999999948</v>
      </c>
      <c r="V512" s="11">
        <f>IF(OR(履歴データ!$A$512="",履歴データ!$A$511=""),"",-50000*M512)</f>
        <v>9999.9999999965894</v>
      </c>
      <c r="W512" s="11">
        <f>IF(OR(履歴データ!$A$512="",履歴データ!$A$511=""),"",-40000*N512)</f>
        <v>-40000.000000002699</v>
      </c>
      <c r="X512" s="11">
        <f>IF(OR(履歴データ!$A$512="",履歴データ!$A$511=""),"",120*1000000*(-Q512/H511))</f>
        <v>1362858.4379267548</v>
      </c>
      <c r="Y512" s="11">
        <f>IF(OR(履歴データ!$A$512="",履歴データ!$A$511=""),"",40000*(-S512)+(-506.3)*R512*1000)</f>
        <v>57603.124999999302</v>
      </c>
      <c r="Z512" s="11">
        <f>IF(OR(履歴データ!$A$512="",履歴データ!$A$511=""),"",-40000*O512)</f>
        <v>105600.00000000173</v>
      </c>
      <c r="AA512" s="11">
        <f>IF(OR(履歴データ!$A$512="",履歴データ!$A$511=""),"",-40000*P512)</f>
        <v>-151251.42578124837</v>
      </c>
      <c r="AB512" s="11">
        <f>IF(履歴データ!$A$512="","",123.3)</f>
        <v>123.3</v>
      </c>
      <c r="AC512">
        <f>IF(履歴データ!$A$512="","",SUM(T512:AA512))</f>
        <v>1250810.1371455071</v>
      </c>
      <c r="AD512" s="29">
        <f>IF(履歴データ!$A$512="","",AC512/1000000)</f>
        <v>1.2508101371455072</v>
      </c>
      <c r="AE512" s="29">
        <f>IF(履歴データ!$A$512="",AE511,AE511+AC512/1000000)</f>
        <v>70.045238610771904</v>
      </c>
      <c r="AF512" s="12">
        <f>IF(OR(履歴データ!$A$512="",AE511=0),"",(AE512-AE511)/AE511)</f>
        <v>1.818185229382388E-2</v>
      </c>
      <c r="AG512" s="29">
        <f t="shared" si="23"/>
        <v>102.17217746631495</v>
      </c>
      <c r="AH512" s="12">
        <f>IF(OR(履歴データ!$A$512="",AG512=0),"",AE512/AG512-1)</f>
        <v>-0.31443921087161864</v>
      </c>
      <c r="AJ512" s="28">
        <f t="shared" ca="1" si="21"/>
        <v>4.514989586960489</v>
      </c>
      <c r="AK512" s="28">
        <f t="shared" ca="1" si="22"/>
        <v>-38.141973713944616</v>
      </c>
    </row>
    <row r="513" spans="1:37">
      <c r="A513" s="10">
        <f>IF(履歴データ!$A$513="","",履歴データ!$A$513)</f>
        <v>45674</v>
      </c>
      <c r="B513" s="28">
        <f>IF(履歴データ!$A$513="","",(履歴データ!$D$513-(履歴データ!$B$513+履歴データ!$F$513)/2)*100)</f>
        <v>5.5000000000000604</v>
      </c>
      <c r="C513" s="28">
        <f>IF(履歴データ!$A$513="","",(履歴データ!$H$513-(履歴データ!$G$513+履歴データ!$J$513)/2)*100)</f>
        <v>-28.449999999999996</v>
      </c>
      <c r="D513" s="28">
        <f>IF(履歴データ!$A$513="","",(履歴データ!$D$513-履歴データ!$H$513)*100)</f>
        <v>340.30000000000007</v>
      </c>
      <c r="E513" s="28">
        <f>IF(履歴データ!$A$513="","",(履歴データ!$D$513-履歴データ!$C$513)*100)</f>
        <v>19.000000000000039</v>
      </c>
      <c r="F513" s="28">
        <f>IF(履歴データ!$A$513="","",(履歴データ!$R$513-履歴データ!$D$513)*100)</f>
        <v>-278.85000000000002</v>
      </c>
      <c r="G513" s="28">
        <f>IF(履歴データ!$A$513="","",(履歴データ!$S$513-履歴データ!$R$513)*100)</f>
        <v>-61.422821411132979</v>
      </c>
      <c r="H513" s="29">
        <f>IF(履歴データ!$A$513="","",履歴データ!$O$513)</f>
        <v>155.35600280761719</v>
      </c>
      <c r="I513" s="29">
        <f>IF(履歴データ!$A$513="","",履歴データ!$Q$513)</f>
        <v>108.546875</v>
      </c>
      <c r="J513" s="29">
        <f>IF(履歴データ!$A$513="","",履歴データ!$D$513)</f>
        <v>4.6100000000000003</v>
      </c>
      <c r="K513" s="28">
        <f>IF(OR(履歴データ!$A$513="",履歴データ!$A$512=""),"",B513-B512)</f>
        <v>-1.9999999999999574</v>
      </c>
      <c r="L513" s="28">
        <f>IF(OR(履歴データ!$A$513="",履歴データ!$A$512=""),"",C513-C512)</f>
        <v>1.6499999999999986</v>
      </c>
      <c r="M513" s="28">
        <f>IF(OR(履歴データ!$A$513="",履歴データ!$A$512=""),"",D513-D512)</f>
        <v>0</v>
      </c>
      <c r="N513" s="28">
        <f>IF(OR(履歴データ!$A$513="",履歴データ!$A$512=""),"",E513-E512)</f>
        <v>-3.0000000000000249</v>
      </c>
      <c r="O513" s="28">
        <f>IF(OR(履歴データ!$A$513="",履歴データ!$A$512=""),"",F513-F512)</f>
        <v>-3.7099999999999795</v>
      </c>
      <c r="P513" s="28">
        <f>IF(OR(履歴データ!$A$513="",履歴データ!$A$512=""),"",G513-G512)</f>
        <v>7.0425357666015671</v>
      </c>
      <c r="Q513" s="29">
        <f>IF(OR(履歴データ!$A$513="",履歴データ!$A$512=""),"",H513-H512)</f>
        <v>-0.8990020751953125</v>
      </c>
      <c r="R513" s="29">
        <f>IF(OR(履歴データ!$A$513="",履歴データ!$A$512=""),"",I513-I512)</f>
        <v>-6.25E-2</v>
      </c>
      <c r="S513" s="28">
        <f>IF(OR(履歴データ!$A$513="",履歴データ!$A$512=""),"",(J513-J512)*100)</f>
        <v>0</v>
      </c>
      <c r="T513" s="11">
        <f>IF(OR(履歴データ!$A$513="",履歴データ!$A$512=""),"",-80000*K513)</f>
        <v>159999.99999999659</v>
      </c>
      <c r="U513" s="11">
        <f>IF(OR(履歴データ!$A$513="",履歴データ!$A$512=""),"",60000*L513)</f>
        <v>98999.999999999913</v>
      </c>
      <c r="V513" s="11">
        <f>IF(OR(履歴データ!$A$513="",履歴データ!$A$512=""),"",-50000*M513)</f>
        <v>0</v>
      </c>
      <c r="W513" s="11">
        <f>IF(OR(履歴データ!$A$513="",履歴データ!$A$512=""),"",-40000*N513)</f>
        <v>120000.00000000099</v>
      </c>
      <c r="X513" s="11">
        <f>IF(OR(履歴データ!$A$513="",履歴データ!$A$512=""),"",120*1000000*(-Q513/H512))</f>
        <v>690411.47900731303</v>
      </c>
      <c r="Y513" s="11">
        <f>IF(OR(履歴データ!$A$513="",履歴データ!$A$512=""),"",40000*(-S513)+(-506.3)*R513*1000)</f>
        <v>31643.75</v>
      </c>
      <c r="Z513" s="11">
        <f>IF(OR(履歴データ!$A$513="",履歴データ!$A$512=""),"",-40000*O513)</f>
        <v>148399.99999999919</v>
      </c>
      <c r="AA513" s="11">
        <f>IF(OR(履歴データ!$A$513="",履歴データ!$A$512=""),"",-40000*P513)</f>
        <v>-281701.43066406267</v>
      </c>
      <c r="AB513" s="11">
        <f>IF(履歴データ!$A$513="","",123.3)</f>
        <v>123.3</v>
      </c>
      <c r="AC513">
        <f>IF(履歴データ!$A$513="","",SUM(T513:AA513))</f>
        <v>967753.79834324704</v>
      </c>
      <c r="AD513" s="29">
        <f>IF(履歴データ!$A$513="","",AC513/1000000)</f>
        <v>0.96775379834324704</v>
      </c>
      <c r="AE513" s="29">
        <f>IF(履歴データ!$A$513="",AE512,AE512+AC513/1000000)</f>
        <v>71.012992409115157</v>
      </c>
      <c r="AF513" s="12">
        <f>IF(OR(履歴データ!$A$513="",AE512=0),"",(AE513-AE512)/AE512)</f>
        <v>1.3816125371788326E-2</v>
      </c>
      <c r="AG513" s="29">
        <f t="shared" si="23"/>
        <v>102.17217746631495</v>
      </c>
      <c r="AH513" s="12">
        <f>IF(OR(履歴データ!$A$513="",AG513=0),"",AE513/AG513-1)</f>
        <v>-0.30496741705903874</v>
      </c>
      <c r="AJ513" s="28">
        <f t="shared" ca="1" si="21"/>
        <v>4.7947625523614157</v>
      </c>
      <c r="AK513" s="28">
        <f t="shared" ca="1" si="22"/>
        <v>-38.227302234901103</v>
      </c>
    </row>
    <row r="514" spans="1:37">
      <c r="A514" s="10">
        <f>IF(履歴データ!$A$514="","",履歴データ!$A$514)</f>
        <v>45678</v>
      </c>
      <c r="B514" s="28">
        <f>IF(履歴データ!$A$514="","",(履歴データ!$D$514-(履歴データ!$B$514+履歴データ!$F$514)/2)*100)</f>
        <v>2.5000000000000355</v>
      </c>
      <c r="C514" s="28">
        <f>IF(履歴データ!$A$514="","",(履歴データ!$H$514-(履歴データ!$G$514+履歴データ!$J$514)/2)*100)</f>
        <v>-27.700000000000014</v>
      </c>
      <c r="D514" s="28">
        <f>IF(履歴データ!$A$514="","",(履歴データ!$D$514-履歴データ!$H$514)*100)</f>
        <v>337.6</v>
      </c>
      <c r="E514" s="28">
        <f>IF(履歴データ!$A$514="","",(履歴データ!$D$514-履歴データ!$C$514)*100)</f>
        <v>16.999999999999993</v>
      </c>
      <c r="F514" s="28">
        <f>IF(履歴データ!$A$514="","",(履歴データ!$R$514-履歴データ!$D$514)*100)</f>
        <v>-280.55</v>
      </c>
      <c r="G514" s="28">
        <f>IF(履歴データ!$A$514="","",(履歴データ!$S$514-履歴データ!$R$514)*100)</f>
        <v>-62.563357177734424</v>
      </c>
      <c r="H514" s="29">
        <f>IF(履歴データ!$A$514="","",履歴データ!$O$514)</f>
        <v>155.24899291992188</v>
      </c>
      <c r="I514" s="29">
        <f>IF(履歴データ!$A$514="","",履歴データ!$Q$514)</f>
        <v>108.734375</v>
      </c>
      <c r="J514" s="29">
        <f>IF(履歴データ!$A$514="","",履歴データ!$D$514)</f>
        <v>4.57</v>
      </c>
      <c r="K514" s="28">
        <f>IF(OR(履歴データ!$A$514="",履歴データ!$A$513=""),"",B514-B513)</f>
        <v>-3.0000000000000249</v>
      </c>
      <c r="L514" s="28">
        <f>IF(OR(履歴データ!$A$514="",履歴データ!$A$513=""),"",C514-C513)</f>
        <v>0.74999999999998224</v>
      </c>
      <c r="M514" s="28">
        <f>IF(OR(履歴データ!$A$514="",履歴データ!$A$513=""),"",D514-D513)</f>
        <v>-2.7000000000000455</v>
      </c>
      <c r="N514" s="28">
        <f>IF(OR(履歴データ!$A$514="",履歴データ!$A$513=""),"",E514-E513)</f>
        <v>-2.0000000000000462</v>
      </c>
      <c r="O514" s="28">
        <f>IF(OR(履歴データ!$A$514="",履歴データ!$A$513=""),"",F514-F513)</f>
        <v>-1.6999999999999886</v>
      </c>
      <c r="P514" s="28">
        <f>IF(OR(履歴データ!$A$514="",履歴データ!$A$513=""),"",G514-G513)</f>
        <v>-1.1405357666014453</v>
      </c>
      <c r="Q514" s="29">
        <f>IF(OR(履歴データ!$A$514="",履歴データ!$A$513=""),"",H514-H513)</f>
        <v>-0.1070098876953125</v>
      </c>
      <c r="R514" s="29">
        <f>IF(OR(履歴データ!$A$514="",履歴データ!$A$513=""),"",I514-I513)</f>
        <v>0.1875</v>
      </c>
      <c r="S514" s="28">
        <f>IF(OR(履歴データ!$A$514="",履歴データ!$A$513=""),"",(J514-J513)*100)</f>
        <v>-4.0000000000000036</v>
      </c>
      <c r="T514" s="11">
        <f>IF(OR(履歴データ!$A$514="",履歴データ!$A$513=""),"",-80000*K514)</f>
        <v>240000.00000000198</v>
      </c>
      <c r="U514" s="11">
        <f>IF(OR(履歴データ!$A$514="",履歴データ!$A$513=""),"",60000*L514)</f>
        <v>44999.999999998938</v>
      </c>
      <c r="V514" s="11">
        <f>IF(OR(履歴データ!$A$514="",履歴データ!$A$513=""),"",-50000*M514)</f>
        <v>135000.00000000227</v>
      </c>
      <c r="W514" s="11">
        <f>IF(OR(履歴データ!$A$514="",履歴データ!$A$513=""),"",-40000*N514)</f>
        <v>80000.000000001848</v>
      </c>
      <c r="X514" s="11">
        <f>IF(OR(履歴データ!$A$514="",履歴データ!$A$513=""),"",120*1000000*(-Q514/H513))</f>
        <v>82656.519808501995</v>
      </c>
      <c r="Y514" s="11">
        <f>IF(OR(履歴データ!$A$514="",履歴データ!$A$513=""),"",40000*(-S514)+(-506.3)*R514*1000)</f>
        <v>65068.750000000146</v>
      </c>
      <c r="Z514" s="11">
        <f>IF(OR(履歴データ!$A$514="",履歴データ!$A$513=""),"",-40000*O514)</f>
        <v>67999.999999999549</v>
      </c>
      <c r="AA514" s="11">
        <f>IF(OR(履歴データ!$A$514="",履歴データ!$A$513=""),"",-40000*P514)</f>
        <v>45621.430664057814</v>
      </c>
      <c r="AB514" s="11">
        <f>IF(履歴データ!$A$514="","",123.3)</f>
        <v>123.3</v>
      </c>
      <c r="AC514">
        <f>IF(履歴データ!$A$514="","",SUM(T514:AA514))</f>
        <v>761346.70047256455</v>
      </c>
      <c r="AD514" s="29">
        <f>IF(履歴データ!$A$514="","",AC514/1000000)</f>
        <v>0.76134670047256459</v>
      </c>
      <c r="AE514" s="29">
        <f>IF(履歴データ!$A$514="",AE513,AE513+AC514/1000000)</f>
        <v>71.774339109587714</v>
      </c>
      <c r="AF514" s="12">
        <f>IF(OR(履歴データ!$A$514="",AE513=0),"",(AE514-AE513)/AE513)</f>
        <v>1.072123106834225E-2</v>
      </c>
      <c r="AG514" s="29">
        <f t="shared" si="23"/>
        <v>102.17217746631495</v>
      </c>
      <c r="AH514" s="12">
        <f>IF(OR(履歴データ!$A$514="",AG514=0),"",AE514/AG514-1)</f>
        <v>-0.29751581213730194</v>
      </c>
      <c r="AJ514" s="28">
        <f t="shared" ref="AJ514:AJ577" ca="1" si="24">IF(ROW()-1&lt;2,"",IFERROR(AVERAGE(OFFSET($B$1,MAX(1,ROW()-252),0,MIN(252,ROW()-1),1))+2*STDEV(OFFSET($B$1,MAX(1,ROW()-252),0,MIN(252,ROW()-1),1)),""))</f>
        <v>5.0170900535045284</v>
      </c>
      <c r="AK514" s="28">
        <f t="shared" ref="AK514:AK577" ca="1" si="25">IF(ROW()-1&lt;2,"",IFERROR(AVERAGE(OFFSET($B$1,MAX(1,ROW()-252),0,MIN(252,ROW()-1),1))-2*STDEV(OFFSET($B$1,MAX(1,ROW()-252),0,MIN(252,ROW()-1),1)),""))</f>
        <v>-38.251217037631505</v>
      </c>
    </row>
    <row r="515" spans="1:37">
      <c r="A515" s="10">
        <f>IF(履歴データ!$A$515="","",履歴データ!$A$515)</f>
        <v>45679</v>
      </c>
      <c r="B515" s="28">
        <f>IF(履歴データ!$A$515="","",(履歴データ!$D$515-(履歴データ!$B$515+履歴データ!$F$515)/2)*100)</f>
        <v>4.4999999999999929</v>
      </c>
      <c r="C515" s="28">
        <f>IF(履歴データ!$A$515="","",(履歴データ!$H$515-(履歴データ!$G$515+履歴データ!$J$515)/2)*100)</f>
        <v>-27.449999999999996</v>
      </c>
      <c r="D515" s="28">
        <f>IF(履歴データ!$A$515="","",(履歴データ!$D$515-履歴データ!$H$515)*100)</f>
        <v>339.49999999999994</v>
      </c>
      <c r="E515" s="28">
        <f>IF(履歴データ!$A$515="","",(履歴データ!$D$515-履歴データ!$C$515)*100)</f>
        <v>16.999999999999993</v>
      </c>
      <c r="F515" s="28">
        <f>IF(履歴データ!$A$515="","",(履歴データ!$R$515-履歴データ!$D$515)*100)</f>
        <v>-288.01999999999992</v>
      </c>
      <c r="G515" s="28">
        <f>IF(履歴データ!$A$515="","",(履歴データ!$S$515-履歴データ!$R$515)*100)</f>
        <v>-59.672000000000189</v>
      </c>
      <c r="H515" s="29">
        <f>IF(履歴データ!$A$515="","",履歴データ!$O$515)</f>
        <v>155.77400207519531</v>
      </c>
      <c r="I515" s="29">
        <f>IF(履歴データ!$A$515="","",履歴データ!$Q$515)</f>
        <v>108.5625</v>
      </c>
      <c r="J515" s="29">
        <f>IF(履歴データ!$A$515="","",履歴データ!$D$515)</f>
        <v>4.5999999999999996</v>
      </c>
      <c r="K515" s="28">
        <f>IF(OR(履歴データ!$A$515="",履歴データ!$A$514=""),"",B515-B514)</f>
        <v>1.9999999999999574</v>
      </c>
      <c r="L515" s="28">
        <f>IF(OR(履歴データ!$A$515="",履歴データ!$A$514=""),"",C515-C514)</f>
        <v>0.25000000000001776</v>
      </c>
      <c r="M515" s="28">
        <f>IF(OR(履歴データ!$A$515="",履歴データ!$A$514=""),"",D515-D514)</f>
        <v>1.8999999999999204</v>
      </c>
      <c r="N515" s="28">
        <f>IF(OR(履歴データ!$A$515="",履歴データ!$A$514=""),"",E515-E514)</f>
        <v>0</v>
      </c>
      <c r="O515" s="28">
        <f>IF(OR(履歴データ!$A$515="",履歴データ!$A$514=""),"",F515-F514)</f>
        <v>-7.4699999999999136</v>
      </c>
      <c r="P515" s="28">
        <f>IF(OR(履歴データ!$A$515="",履歴データ!$A$514=""),"",G515-G514)</f>
        <v>2.8913571777342355</v>
      </c>
      <c r="Q515" s="29">
        <f>IF(OR(履歴データ!$A$515="",履歴データ!$A$514=""),"",H515-H514)</f>
        <v>0.5250091552734375</v>
      </c>
      <c r="R515" s="29">
        <f>IF(OR(履歴データ!$A$515="",履歴データ!$A$514=""),"",I515-I514)</f>
        <v>-0.171875</v>
      </c>
      <c r="S515" s="28">
        <f>IF(OR(履歴データ!$A$515="",履歴データ!$A$514=""),"",(J515-J514)*100)</f>
        <v>2.9999999999999361</v>
      </c>
      <c r="T515" s="11">
        <f>IF(OR(履歴データ!$A$515="",履歴データ!$A$514=""),"",-80000*K515)</f>
        <v>-159999.99999999659</v>
      </c>
      <c r="U515" s="11">
        <f>IF(OR(履歴データ!$A$515="",履歴データ!$A$514=""),"",60000*L515)</f>
        <v>15000.000000001066</v>
      </c>
      <c r="V515" s="11">
        <f>IF(OR(履歴データ!$A$515="",履歴データ!$A$514=""),"",-50000*M515)</f>
        <v>-94999.999999996027</v>
      </c>
      <c r="W515" s="11">
        <f>IF(OR(履歴データ!$A$515="",履歴データ!$A$514=""),"",-40000*N515)</f>
        <v>0</v>
      </c>
      <c r="X515" s="11">
        <f>IF(OR(履歴データ!$A$515="",履歴データ!$A$514=""),"",120*1000000*(-Q515/H514))</f>
        <v>-405806.81038819201</v>
      </c>
      <c r="Y515" s="11">
        <f>IF(OR(履歴データ!$A$515="",履歴データ!$A$514=""),"",40000*(-S515)+(-506.3)*R515*1000)</f>
        <v>-32979.687499997439</v>
      </c>
      <c r="Z515" s="11">
        <f>IF(OR(履歴データ!$A$515="",履歴データ!$A$514=""),"",-40000*O515)</f>
        <v>298799.99999999657</v>
      </c>
      <c r="AA515" s="11">
        <f>IF(OR(履歴データ!$A$515="",履歴データ!$A$514=""),"",-40000*P515)</f>
        <v>-115654.28710936943</v>
      </c>
      <c r="AB515" s="11">
        <f>IF(履歴データ!$A$515="","",123.3)</f>
        <v>123.3</v>
      </c>
      <c r="AC515">
        <f>IF(履歴データ!$A$515="","",SUM(T515:AA515))</f>
        <v>-495640.78499755386</v>
      </c>
      <c r="AD515" s="29">
        <f>IF(履歴データ!$A$515="","",AC515/1000000)</f>
        <v>-0.49564078499755387</v>
      </c>
      <c r="AE515" s="29">
        <f>IF(履歴データ!$A$515="",AE514,AE514+AC515/1000000)</f>
        <v>71.278698324590167</v>
      </c>
      <c r="AF515" s="12">
        <f>IF(OR(履歴データ!$A$515="",AE514=0),"",(AE515-AE514)/AE514)</f>
        <v>-6.9055429997172809E-3</v>
      </c>
      <c r="AG515" s="29">
        <f t="shared" ref="AG515:AG578" si="26">MAX(AG514,AE515)</f>
        <v>102.17217746631495</v>
      </c>
      <c r="AH515" s="12">
        <f>IF(OR(履歴データ!$A$515="",AG515=0),"",AE515/AG515-1)</f>
        <v>-0.30236684690320925</v>
      </c>
      <c r="AJ515" s="28">
        <f t="shared" ca="1" si="24"/>
        <v>5.2741890634865136</v>
      </c>
      <c r="AK515" s="28">
        <f t="shared" ca="1" si="25"/>
        <v>-38.301966841264289</v>
      </c>
    </row>
    <row r="516" spans="1:37">
      <c r="A516" s="10">
        <f>IF(履歴データ!$A$516="","",履歴データ!$A$516)</f>
        <v>45680</v>
      </c>
      <c r="B516" s="28">
        <f>IF(履歴データ!$A$516="","",(履歴データ!$D$516-(履歴データ!$B$516+履歴データ!$F$516)/2)*100)</f>
        <v>7.0000000000000284</v>
      </c>
      <c r="C516" s="28">
        <f>IF(履歴データ!$A$516="","",(履歴データ!$H$516-(履歴データ!$G$516+履歴データ!$J$516)/2)*100)</f>
        <v>-27.149999999999984</v>
      </c>
      <c r="D516" s="28">
        <f>IF(履歴データ!$A$516="","",(履歴データ!$D$516-履歴データ!$H$516)*100)</f>
        <v>343.50000000000006</v>
      </c>
      <c r="E516" s="28">
        <f>IF(履歴データ!$A$516="","",(履歴データ!$D$516-履歴データ!$C$516)*100)</f>
        <v>20.000000000000018</v>
      </c>
      <c r="F516" s="28">
        <f>IF(履歴データ!$A$516="","",(履歴データ!$R$516-履歴データ!$D$516)*100)</f>
        <v>-293.70999999999998</v>
      </c>
      <c r="G516" s="28">
        <f>IF(履歴データ!$A$516="","",(履歴データ!$S$516-履歴データ!$R$516)*100)</f>
        <v>-58.631178588867236</v>
      </c>
      <c r="H516" s="29">
        <f>IF(履歴データ!$A$516="","",履歴データ!$O$516)</f>
        <v>156.44000244140625</v>
      </c>
      <c r="I516" s="29">
        <f>IF(履歴データ!$A$516="","",履歴データ!$Q$516)</f>
        <v>108.375</v>
      </c>
      <c r="J516" s="29">
        <f>IF(履歴データ!$A$516="","",履歴データ!$D$516)</f>
        <v>4.6500000000000004</v>
      </c>
      <c r="K516" s="28">
        <f>IF(OR(履歴データ!$A$516="",履歴データ!$A$515=""),"",B516-B515)</f>
        <v>2.5000000000000355</v>
      </c>
      <c r="L516" s="28">
        <f>IF(OR(履歴データ!$A$516="",履歴データ!$A$515=""),"",C516-C515)</f>
        <v>0.30000000000001137</v>
      </c>
      <c r="M516" s="28">
        <f>IF(OR(履歴データ!$A$516="",履歴データ!$A$515=""),"",D516-D515)</f>
        <v>4.0000000000001137</v>
      </c>
      <c r="N516" s="28">
        <f>IF(OR(履歴データ!$A$516="",履歴データ!$A$515=""),"",E516-E515)</f>
        <v>3.0000000000000249</v>
      </c>
      <c r="O516" s="28">
        <f>IF(OR(履歴データ!$A$516="",履歴データ!$A$515=""),"",F516-F515)</f>
        <v>-5.6900000000000546</v>
      </c>
      <c r="P516" s="28">
        <f>IF(OR(履歴データ!$A$516="",履歴データ!$A$515=""),"",G516-G515)</f>
        <v>1.0408214111329528</v>
      </c>
      <c r="Q516" s="29">
        <f>IF(OR(履歴データ!$A$516="",履歴データ!$A$515=""),"",H516-H515)</f>
        <v>0.6660003662109375</v>
      </c>
      <c r="R516" s="29">
        <f>IF(OR(履歴データ!$A$516="",履歴データ!$A$515=""),"",I516-I515)</f>
        <v>-0.1875</v>
      </c>
      <c r="S516" s="28">
        <f>IF(OR(履歴データ!$A$516="",履歴データ!$A$515=""),"",(J516-J515)*100)</f>
        <v>5.0000000000000711</v>
      </c>
      <c r="T516" s="11">
        <f>IF(OR(履歴データ!$A$516="",履歴データ!$A$515=""),"",-80000*K516)</f>
        <v>-200000.00000000285</v>
      </c>
      <c r="U516" s="11">
        <f>IF(OR(履歴データ!$A$516="",履歴データ!$A$515=""),"",60000*L516)</f>
        <v>18000.000000000684</v>
      </c>
      <c r="V516" s="11">
        <f>IF(OR(履歴データ!$A$516="",履歴データ!$A$515=""),"",-50000*M516)</f>
        <v>-200000.00000000568</v>
      </c>
      <c r="W516" s="11">
        <f>IF(OR(履歴データ!$A$516="",履歴データ!$A$515=""),"",-40000*N516)</f>
        <v>-120000.00000000099</v>
      </c>
      <c r="X516" s="11">
        <f>IF(OR(履歴データ!$A$516="",履歴データ!$A$515=""),"",120*1000000*(-Q516/H515))</f>
        <v>-513051.23371442594</v>
      </c>
      <c r="Y516" s="11">
        <f>IF(OR(履歴データ!$A$516="",履歴データ!$A$515=""),"",40000*(-S516)+(-506.3)*R516*1000)</f>
        <v>-105068.75000000285</v>
      </c>
      <c r="Z516" s="11">
        <f>IF(OR(履歴データ!$A$516="",履歴データ!$A$515=""),"",-40000*O516)</f>
        <v>227600.00000000218</v>
      </c>
      <c r="AA516" s="11">
        <f>IF(OR(履歴データ!$A$516="",履歴データ!$A$515=""),"",-40000*P516)</f>
        <v>-41632.85644531811</v>
      </c>
      <c r="AB516" s="11">
        <f>IF(履歴データ!$A$516="","",123.3)</f>
        <v>123.3</v>
      </c>
      <c r="AC516">
        <f>IF(履歴データ!$A$516="","",SUM(T516:AA516))</f>
        <v>-934152.84015975345</v>
      </c>
      <c r="AD516" s="29">
        <f>IF(履歴データ!$A$516="","",AC516/1000000)</f>
        <v>-0.93415284015975342</v>
      </c>
      <c r="AE516" s="29">
        <f>IF(履歴データ!$A$516="",AE515,AE515+AC516/1000000)</f>
        <v>70.344545484430412</v>
      </c>
      <c r="AF516" s="12">
        <f>IF(OR(履歴データ!$A$516="",AE515=0),"",(AE516-AE515)/AE515)</f>
        <v>-1.3105638319961919E-2</v>
      </c>
      <c r="AG516" s="29">
        <f t="shared" si="26"/>
        <v>102.17217746631495</v>
      </c>
      <c r="AH516" s="12">
        <f>IF(OR(履歴データ!$A$516="",AG516=0),"",AE516/AG516-1)</f>
        <v>-0.31150977468771046</v>
      </c>
      <c r="AJ516" s="28">
        <f t="shared" ca="1" si="24"/>
        <v>5.5782845581882441</v>
      </c>
      <c r="AK516" s="28">
        <f t="shared" ca="1" si="25"/>
        <v>-38.371935351839035</v>
      </c>
    </row>
    <row r="517" spans="1:37">
      <c r="A517" s="10">
        <f>IF(履歴データ!$A$517="","",履歴データ!$A$517)</f>
        <v>45681</v>
      </c>
      <c r="B517" s="28">
        <f>IF(履歴データ!$A$517="","",(履歴データ!$D$517-(履歴データ!$B$517+履歴データ!$F$517)/2)*100)</f>
        <v>7.0000000000000284</v>
      </c>
      <c r="C517" s="28">
        <f>IF(履歴データ!$A$517="","",(履歴データ!$H$517-(履歴データ!$G$517+履歴データ!$J$517)/2)*100)</f>
        <v>-25.950000000000006</v>
      </c>
      <c r="D517" s="28">
        <f>IF(履歴データ!$A$517="","",(履歴データ!$D$517-履歴データ!$H$517)*100)</f>
        <v>339.2</v>
      </c>
      <c r="E517" s="28">
        <f>IF(履歴データ!$A$517="","",(履歴データ!$D$517-履歴データ!$C$517)*100)</f>
        <v>20.000000000000018</v>
      </c>
      <c r="F517" s="28">
        <f>IF(履歴データ!$A$517="","",(履歴データ!$R$517-履歴データ!$D$517)*100)</f>
        <v>-286.27</v>
      </c>
      <c r="G517" s="28">
        <f>IF(履歴データ!$A$517="","",(履歴データ!$S$517-履歴データ!$R$517)*100)</f>
        <v>-61.615642822265706</v>
      </c>
      <c r="H517" s="29">
        <f>IF(履歴データ!$A$517="","",履歴データ!$O$517)</f>
        <v>156.15499877929688</v>
      </c>
      <c r="I517" s="29">
        <f>IF(履歴データ!$A$517="","",履歴データ!$Q$517)</f>
        <v>108.46875</v>
      </c>
      <c r="J517" s="29">
        <f>IF(履歴データ!$A$517="","",履歴データ!$D$517)</f>
        <v>4.63</v>
      </c>
      <c r="K517" s="28">
        <f>IF(OR(履歴データ!$A$517="",履歴データ!$A$516=""),"",B517-B516)</f>
        <v>0</v>
      </c>
      <c r="L517" s="28">
        <f>IF(OR(履歴データ!$A$517="",履歴データ!$A$516=""),"",C517-C516)</f>
        <v>1.199999999999978</v>
      </c>
      <c r="M517" s="28">
        <f>IF(OR(履歴データ!$A$517="",履歴データ!$A$516=""),"",D517-D516)</f>
        <v>-4.3000000000000682</v>
      </c>
      <c r="N517" s="28">
        <f>IF(OR(履歴データ!$A$517="",履歴データ!$A$516=""),"",E517-E516)</f>
        <v>0</v>
      </c>
      <c r="O517" s="28">
        <f>IF(OR(履歴データ!$A$517="",履歴データ!$A$516=""),"",F517-F516)</f>
        <v>7.4399999999999977</v>
      </c>
      <c r="P517" s="28">
        <f>IF(OR(履歴データ!$A$517="",履歴データ!$A$516=""),"",G517-G516)</f>
        <v>-2.9844642333984694</v>
      </c>
      <c r="Q517" s="29">
        <f>IF(OR(履歴データ!$A$517="",履歴データ!$A$516=""),"",H517-H516)</f>
        <v>-0.285003662109375</v>
      </c>
      <c r="R517" s="29">
        <f>IF(OR(履歴データ!$A$517="",履歴データ!$A$516=""),"",I517-I516)</f>
        <v>9.375E-2</v>
      </c>
      <c r="S517" s="28">
        <f>IF(OR(履歴データ!$A$517="",履歴データ!$A$516=""),"",(J517-J516)*100)</f>
        <v>-2.0000000000000462</v>
      </c>
      <c r="T517" s="11">
        <f>IF(OR(履歴データ!$A$517="",履歴データ!$A$516=""),"",-80000*K517)</f>
        <v>0</v>
      </c>
      <c r="U517" s="11">
        <f>IF(OR(履歴データ!$A$517="",履歴データ!$A$516=""),"",60000*L517)</f>
        <v>71999.999999998676</v>
      </c>
      <c r="V517" s="11">
        <f>IF(OR(履歴データ!$A$517="",履歴データ!$A$516=""),"",-50000*M517)</f>
        <v>215000.00000000341</v>
      </c>
      <c r="W517" s="11">
        <f>IF(OR(履歴データ!$A$517="",履歴データ!$A$516=""),"",-40000*N517)</f>
        <v>0</v>
      </c>
      <c r="X517" s="11">
        <f>IF(OR(履歴データ!$A$517="",履歴データ!$A$516=""),"",120*1000000*(-Q517/H516))</f>
        <v>218616.97084755919</v>
      </c>
      <c r="Y517" s="11">
        <f>IF(OR(履歴データ!$A$517="",履歴データ!$A$516=""),"",40000*(-S517)+(-506.3)*R517*1000)</f>
        <v>32534.375000001848</v>
      </c>
      <c r="Z517" s="11">
        <f>IF(OR(履歴データ!$A$517="",履歴データ!$A$516=""),"",-40000*O517)</f>
        <v>-297599.99999999988</v>
      </c>
      <c r="AA517" s="11">
        <f>IF(OR(履歴データ!$A$517="",履歴データ!$A$516=""),"",-40000*P517)</f>
        <v>119378.56933593878</v>
      </c>
      <c r="AB517" s="11">
        <f>IF(履歴データ!$A$517="","",123.3)</f>
        <v>123.3</v>
      </c>
      <c r="AC517">
        <f>IF(履歴データ!$A$517="","",SUM(T517:AA517))</f>
        <v>359929.91518350202</v>
      </c>
      <c r="AD517" s="29">
        <f>IF(履歴データ!$A$517="","",AC517/1000000)</f>
        <v>0.35992991518350204</v>
      </c>
      <c r="AE517" s="29">
        <f>IF(履歴データ!$A$517="",AE516,AE516+AC517/1000000)</f>
        <v>70.704475399613912</v>
      </c>
      <c r="AF517" s="12">
        <f>IF(OR(履歴データ!$A$517="",AE516=0),"",(AE517-AE516)/AE516)</f>
        <v>5.1166712742946683E-3</v>
      </c>
      <c r="AG517" s="29">
        <f t="shared" si="26"/>
        <v>102.17217746631495</v>
      </c>
      <c r="AH517" s="12">
        <f>IF(OR(履歴データ!$A$517="",AG517=0),"",AE517/AG517-1)</f>
        <v>-0.30798699652922235</v>
      </c>
      <c r="AJ517" s="28">
        <f t="shared" ca="1" si="24"/>
        <v>5.877451087856155</v>
      </c>
      <c r="AK517" s="28">
        <f t="shared" ca="1" si="25"/>
        <v>-38.429038389443463</v>
      </c>
    </row>
    <row r="518" spans="1:37">
      <c r="A518" s="10">
        <f>IF(履歴データ!$A$518="","",履歴データ!$A$518)</f>
        <v>45684</v>
      </c>
      <c r="B518" s="28">
        <f>IF(履歴データ!$A$518="","",(履歴データ!$D$518-(履歴データ!$B$518+履歴データ!$F$518)/2)*100)</f>
        <v>6.5000000000000391</v>
      </c>
      <c r="C518" s="28">
        <f>IF(履歴データ!$A$518="","",(履歴データ!$H$518-(履歴データ!$G$518+履歴データ!$J$518)/2)*100)</f>
        <v>-26.200000000000003</v>
      </c>
      <c r="D518" s="28">
        <f>IF(履歴データ!$A$518="","",(履歴データ!$D$518-履歴データ!$H$518)*100)</f>
        <v>330.5</v>
      </c>
      <c r="E518" s="28">
        <f>IF(履歴データ!$A$518="","",(履歴データ!$D$518-履歴データ!$C$518)*100)</f>
        <v>20.999999999999996</v>
      </c>
      <c r="F518" s="28">
        <f>IF(履歴データ!$A$518="","",(履歴データ!$R$518-履歴データ!$D$518)*100)</f>
        <v>-271.67</v>
      </c>
      <c r="G518" s="28">
        <f>IF(履歴データ!$A$518="","",(履歴データ!$S$518-履歴データ!$R$518)*100)</f>
        <v>-68.495821411132951</v>
      </c>
      <c r="H518" s="29">
        <f>IF(履歴データ!$A$518="","",履歴データ!$O$518)</f>
        <v>155.74400329589844</v>
      </c>
      <c r="I518" s="29">
        <f>IF(履歴データ!$A$518="","",履歴データ!$Q$518)</f>
        <v>109.15625</v>
      </c>
      <c r="J518" s="29">
        <f>IF(履歴データ!$A$518="","",履歴データ!$D$518)</f>
        <v>4.53</v>
      </c>
      <c r="K518" s="28">
        <f>IF(OR(履歴データ!$A$518="",履歴データ!$A$517=""),"",B518-B517)</f>
        <v>-0.49999999999998934</v>
      </c>
      <c r="L518" s="28">
        <f>IF(OR(履歴データ!$A$518="",履歴データ!$A$517=""),"",C518-C517)</f>
        <v>-0.24999999999999645</v>
      </c>
      <c r="M518" s="28">
        <f>IF(OR(履歴データ!$A$518="",履歴データ!$A$517=""),"",D518-D517)</f>
        <v>-8.6999999999999886</v>
      </c>
      <c r="N518" s="28">
        <f>IF(OR(履歴データ!$A$518="",履歴データ!$A$517=""),"",E518-E517)</f>
        <v>0.99999999999997868</v>
      </c>
      <c r="O518" s="28">
        <f>IF(OR(履歴データ!$A$518="",履歴データ!$A$517=""),"",F518-F517)</f>
        <v>14.599999999999966</v>
      </c>
      <c r="P518" s="28">
        <f>IF(OR(履歴データ!$A$518="",履歴データ!$A$517=""),"",G518-G517)</f>
        <v>-6.8801785888672455</v>
      </c>
      <c r="Q518" s="29">
        <f>IF(OR(履歴データ!$A$518="",履歴データ!$A$517=""),"",H518-H517)</f>
        <v>-0.4109954833984375</v>
      </c>
      <c r="R518" s="29">
        <f>IF(OR(履歴データ!$A$518="",履歴データ!$A$517=""),"",I518-I517)</f>
        <v>0.6875</v>
      </c>
      <c r="S518" s="28">
        <f>IF(OR(履歴データ!$A$518="",履歴データ!$A$517=""),"",(J518-J517)*100)</f>
        <v>-9.9999999999999645</v>
      </c>
      <c r="T518" s="11">
        <f>IF(OR(履歴データ!$A$518="",履歴データ!$A$517=""),"",-80000*K518)</f>
        <v>39999.999999999149</v>
      </c>
      <c r="U518" s="11">
        <f>IF(OR(履歴データ!$A$518="",履歴データ!$A$517=""),"",60000*L518)</f>
        <v>-14999.999999999787</v>
      </c>
      <c r="V518" s="11">
        <f>IF(OR(履歴データ!$A$518="",履歴データ!$A$517=""),"",-50000*M518)</f>
        <v>434999.99999999942</v>
      </c>
      <c r="W518" s="11">
        <f>IF(OR(履歴データ!$A$518="",履歴データ!$A$517=""),"",-40000*N518)</f>
        <v>-39999.999999999149</v>
      </c>
      <c r="X518" s="11">
        <f>IF(OR(履歴データ!$A$518="",履歴データ!$A$517=""),"",120*1000000*(-Q518/H517))</f>
        <v>315836.56234738033</v>
      </c>
      <c r="Y518" s="11">
        <f>IF(OR(履歴データ!$A$518="",履歴データ!$A$517=""),"",40000*(-S518)+(-506.3)*R518*1000)</f>
        <v>51918.749999998603</v>
      </c>
      <c r="Z518" s="11">
        <f>IF(OR(履歴データ!$A$518="",履歴データ!$A$517=""),"",-40000*O518)</f>
        <v>-583999.9999999986</v>
      </c>
      <c r="AA518" s="11">
        <f>IF(OR(履歴データ!$A$518="",履歴データ!$A$517=""),"",-40000*P518)</f>
        <v>275207.14355468983</v>
      </c>
      <c r="AB518" s="11">
        <f>IF(履歴データ!$A$518="","",123.3)</f>
        <v>123.3</v>
      </c>
      <c r="AC518">
        <f>IF(履歴データ!$A$518="","",SUM(T518:AA518))</f>
        <v>478962.45590206981</v>
      </c>
      <c r="AD518" s="29">
        <f>IF(履歴データ!$A$518="","",AC518/1000000)</f>
        <v>0.47896245590206982</v>
      </c>
      <c r="AE518" s="29">
        <f>IF(履歴データ!$A$518="",AE517,AE517+AC518/1000000)</f>
        <v>71.183437855515976</v>
      </c>
      <c r="AF518" s="12">
        <f>IF(OR(履歴データ!$A$518="",AE517=0),"",(AE518-AE517)/AE517)</f>
        <v>6.7741462360765801E-3</v>
      </c>
      <c r="AG518" s="29">
        <f t="shared" si="26"/>
        <v>102.17217746631495</v>
      </c>
      <c r="AH518" s="12">
        <f>IF(OR(履歴データ!$A$518="",AG518=0),"",AE518/AG518-1)</f>
        <v>-0.30329919924644477</v>
      </c>
      <c r="AJ518" s="28">
        <f t="shared" ca="1" si="24"/>
        <v>6.1629973190746625</v>
      </c>
      <c r="AK518" s="28">
        <f t="shared" ca="1" si="25"/>
        <v>-38.500298906376258</v>
      </c>
    </row>
    <row r="519" spans="1:37">
      <c r="A519" s="10">
        <f>IF(履歴データ!$A$519="","",履歴データ!$A$519)</f>
        <v>45685</v>
      </c>
      <c r="B519" s="28">
        <f>IF(履歴データ!$A$519="","",(履歴データ!$D$519-(履歴データ!$B$519+履歴データ!$F$519)/2)*100)</f>
        <v>6.4999999999999503</v>
      </c>
      <c r="C519" s="28">
        <f>IF(履歴データ!$A$519="","",(履歴データ!$H$519-(履歴データ!$G$519+履歴データ!$J$519)/2)*100)</f>
        <v>-27.199999999999982</v>
      </c>
      <c r="D519" s="28">
        <f>IF(履歴データ!$A$519="","",(履歴データ!$D$519-履歴データ!$H$519)*100)</f>
        <v>334.9</v>
      </c>
      <c r="E519" s="28">
        <f>IF(履歴データ!$A$519="","",(履歴データ!$D$519-履歴データ!$C$519)*100)</f>
        <v>21.999999999999975</v>
      </c>
      <c r="F519" s="28">
        <f>IF(履歴データ!$A$519="","",(履歴データ!$R$519-履歴データ!$D$519)*100)</f>
        <v>-277.23999999999995</v>
      </c>
      <c r="G519" s="28">
        <f>IF(履歴データ!$A$519="","",(履歴データ!$S$519-履歴データ!$R$519)*100)</f>
        <v>-65.978178588867252</v>
      </c>
      <c r="H519" s="29">
        <f>IF(履歴データ!$A$519="","",履歴データ!$O$519)</f>
        <v>154.90899658203125</v>
      </c>
      <c r="I519" s="29">
        <f>IF(履歴データ!$A$519="","",履歴データ!$Q$519)</f>
        <v>109.03125</v>
      </c>
      <c r="J519" s="29">
        <f>IF(履歴データ!$A$519="","",履歴データ!$D$519)</f>
        <v>4.55</v>
      </c>
      <c r="K519" s="28">
        <f>IF(OR(履歴データ!$A$519="",履歴データ!$A$518=""),"",B519-B518)</f>
        <v>-8.8817841970012523E-14</v>
      </c>
      <c r="L519" s="28">
        <f>IF(OR(履歴データ!$A$519="",履歴データ!$A$518=""),"",C519-C518)</f>
        <v>-0.99999999999997868</v>
      </c>
      <c r="M519" s="28">
        <f>IF(OR(履歴データ!$A$519="",履歴データ!$A$518=""),"",D519-D518)</f>
        <v>4.3999999999999773</v>
      </c>
      <c r="N519" s="28">
        <f>IF(OR(履歴データ!$A$519="",履歴データ!$A$518=""),"",E519-E518)</f>
        <v>0.99999999999997868</v>
      </c>
      <c r="O519" s="28">
        <f>IF(OR(履歴データ!$A$519="",履歴データ!$A$518=""),"",F519-F518)</f>
        <v>-5.5699999999999363</v>
      </c>
      <c r="P519" s="28">
        <f>IF(OR(履歴データ!$A$519="",履歴データ!$A$518=""),"",G519-G518)</f>
        <v>2.5176428222656995</v>
      </c>
      <c r="Q519" s="29">
        <f>IF(OR(履歴データ!$A$519="",履歴データ!$A$518=""),"",H519-H518)</f>
        <v>-0.8350067138671875</v>
      </c>
      <c r="R519" s="29">
        <f>IF(OR(履歴データ!$A$519="",履歴データ!$A$518=""),"",I519-I518)</f>
        <v>-0.125</v>
      </c>
      <c r="S519" s="28">
        <f>IF(OR(履歴データ!$A$519="",履歴データ!$A$518=""),"",(J519-J518)*100)</f>
        <v>1.9999999999999574</v>
      </c>
      <c r="T519" s="11">
        <f>IF(OR(履歴データ!$A$519="",履歴データ!$A$518=""),"",-80000*K519)</f>
        <v>7.1054273576010019E-9</v>
      </c>
      <c r="U519" s="11">
        <f>IF(OR(履歴データ!$A$519="",履歴データ!$A$518=""),"",60000*L519)</f>
        <v>-59999.999999998719</v>
      </c>
      <c r="V519" s="11">
        <f>IF(OR(履歴データ!$A$519="",履歴データ!$A$518=""),"",-50000*M519)</f>
        <v>-219999.99999999886</v>
      </c>
      <c r="W519" s="11">
        <f>IF(OR(履歴データ!$A$519="",履歴データ!$A$518=""),"",-40000*N519)</f>
        <v>-39999.999999999149</v>
      </c>
      <c r="X519" s="11">
        <f>IF(OR(履歴データ!$A$519="",履歴データ!$A$518=""),"",120*1000000*(-Q519/H518))</f>
        <v>643368.62764270115</v>
      </c>
      <c r="Y519" s="11">
        <f>IF(OR(履歴データ!$A$519="",履歴データ!$A$518=""),"",40000*(-S519)+(-506.3)*R519*1000)</f>
        <v>-16712.499999998297</v>
      </c>
      <c r="Z519" s="11">
        <f>IF(OR(履歴データ!$A$519="",履歴データ!$A$518=""),"",-40000*O519)</f>
        <v>222799.99999999744</v>
      </c>
      <c r="AA519" s="11">
        <f>IF(OR(履歴データ!$A$519="",履歴データ!$A$518=""),"",-40000*P519)</f>
        <v>-100705.71289062798</v>
      </c>
      <c r="AB519" s="11">
        <f>IF(履歴データ!$A$519="","",123.3)</f>
        <v>123.3</v>
      </c>
      <c r="AC519">
        <f>IF(履歴データ!$A$519="","",SUM(T519:AA519))</f>
        <v>428750.41475208272</v>
      </c>
      <c r="AD519" s="29">
        <f>IF(履歴データ!$A$519="","",AC519/1000000)</f>
        <v>0.4287504147520827</v>
      </c>
      <c r="AE519" s="29">
        <f>IF(履歴データ!$A$519="",AE518,AE518+AC519/1000000)</f>
        <v>71.612188270268064</v>
      </c>
      <c r="AF519" s="12">
        <f>IF(OR(履歴データ!$A$519="",AE518=0),"",(AE519-AE518)/AE518)</f>
        <v>6.0231765656266921E-3</v>
      </c>
      <c r="AG519" s="29">
        <f t="shared" si="26"/>
        <v>102.17217746631495</v>
      </c>
      <c r="AH519" s="12">
        <f>IF(OR(履歴データ!$A$519="",AG519=0),"",AE519/AG519-1)</f>
        <v>-0.29910284731009262</v>
      </c>
      <c r="AJ519" s="28">
        <f t="shared" ca="1" si="24"/>
        <v>6.4439002153905527</v>
      </c>
      <c r="AK519" s="28">
        <f t="shared" ca="1" si="25"/>
        <v>-38.574852596342936</v>
      </c>
    </row>
    <row r="520" spans="1:37">
      <c r="A520" s="10">
        <f>IF(履歴データ!$A$520="","",履歴データ!$A$520)</f>
        <v>45686</v>
      </c>
      <c r="B520" s="28">
        <f>IF(履歴データ!$A$520="","",(履歴データ!$D$520-(履歴データ!$B$520+履歴データ!$F$520)/2)*100)</f>
        <v>4.9999999999999822</v>
      </c>
      <c r="C520" s="28">
        <f>IF(履歴データ!$A$520="","",(履歴データ!$H$520-(履歴データ!$G$520+履歴データ!$J$520)/2)*100)</f>
        <v>-27.349999999999987</v>
      </c>
      <c r="D520" s="28">
        <f>IF(履歴データ!$A$520="","",(履歴データ!$D$520-履歴データ!$H$520)*100)</f>
        <v>334.9</v>
      </c>
      <c r="E520" s="28">
        <f>IF(履歴データ!$A$520="","",(履歴データ!$D$520-履歴データ!$C$520)*100)</f>
        <v>20.000000000000018</v>
      </c>
      <c r="F520" s="28">
        <f>IF(履歴データ!$A$520="","",(履歴データ!$R$520-履歴データ!$D$520)*100)</f>
        <v>-269.43</v>
      </c>
      <c r="G520" s="28">
        <f>IF(履歴データ!$A$520="","",(履歴データ!$S$520-履歴データ!$R$520)*100)</f>
        <v>-75.542178588867273</v>
      </c>
      <c r="H520" s="29">
        <f>IF(履歴データ!$A$520="","",履歴データ!$O$520)</f>
        <v>155.55900573730469</v>
      </c>
      <c r="I520" s="29">
        <f>IF(履歴データ!$A$520="","",履歴データ!$Q$520)</f>
        <v>108.953125</v>
      </c>
      <c r="J520" s="29">
        <f>IF(履歴データ!$A$520="","",履歴データ!$D$520)</f>
        <v>4.55</v>
      </c>
      <c r="K520" s="28">
        <f>IF(OR(履歴データ!$A$520="",履歴データ!$A$519=""),"",B520-B519)</f>
        <v>-1.499999999999968</v>
      </c>
      <c r="L520" s="28">
        <f>IF(OR(履歴データ!$A$520="",履歴データ!$A$519=""),"",C520-C519)</f>
        <v>-0.15000000000000568</v>
      </c>
      <c r="M520" s="28">
        <f>IF(OR(履歴データ!$A$520="",履歴データ!$A$519=""),"",D520-D519)</f>
        <v>0</v>
      </c>
      <c r="N520" s="28">
        <f>IF(OR(履歴データ!$A$520="",履歴データ!$A$519=""),"",E520-E519)</f>
        <v>-1.9999999999999574</v>
      </c>
      <c r="O520" s="28">
        <f>IF(OR(履歴データ!$A$520="",履歴データ!$A$519=""),"",F520-F519)</f>
        <v>7.8099999999999454</v>
      </c>
      <c r="P520" s="28">
        <f>IF(OR(履歴データ!$A$520="",履歴データ!$A$519=""),"",G520-G519)</f>
        <v>-9.5640000000000214</v>
      </c>
      <c r="Q520" s="29">
        <f>IF(OR(履歴データ!$A$520="",履歴データ!$A$519=""),"",H520-H519)</f>
        <v>0.6500091552734375</v>
      </c>
      <c r="R520" s="29">
        <f>IF(OR(履歴データ!$A$520="",履歴データ!$A$519=""),"",I520-I519)</f>
        <v>-7.8125E-2</v>
      </c>
      <c r="S520" s="28">
        <f>IF(OR(履歴データ!$A$520="",履歴データ!$A$519=""),"",(J520-J519)*100)</f>
        <v>0</v>
      </c>
      <c r="T520" s="11">
        <f>IF(OR(履歴データ!$A$520="",履歴データ!$A$519=""),"",-80000*K520)</f>
        <v>119999.99999999744</v>
      </c>
      <c r="U520" s="11">
        <f>IF(OR(履歴データ!$A$520="",履歴データ!$A$519=""),"",60000*L520)</f>
        <v>-9000.000000000342</v>
      </c>
      <c r="V520" s="11">
        <f>IF(OR(履歴データ!$A$520="",履歴データ!$A$519=""),"",-50000*M520)</f>
        <v>0</v>
      </c>
      <c r="W520" s="11">
        <f>IF(OR(履歴データ!$A$520="",履歴データ!$A$519=""),"",-40000*N520)</f>
        <v>79999.999999998297</v>
      </c>
      <c r="X520" s="11">
        <f>IF(OR(履歴データ!$A$520="",履歴データ!$A$519=""),"",120*1000000*(-Q520/H519))</f>
        <v>-503528.5254817814</v>
      </c>
      <c r="Y520" s="11">
        <f>IF(OR(履歴データ!$A$520="",履歴データ!$A$519=""),"",40000*(-S520)+(-506.3)*R520*1000)</f>
        <v>39554.6875</v>
      </c>
      <c r="Z520" s="11">
        <f>IF(OR(履歴データ!$A$520="",履歴データ!$A$519=""),"",-40000*O520)</f>
        <v>-312399.99999999779</v>
      </c>
      <c r="AA520" s="11">
        <f>IF(OR(履歴データ!$A$520="",履歴データ!$A$519=""),"",-40000*P520)</f>
        <v>382560.00000000087</v>
      </c>
      <c r="AB520" s="11">
        <f>IF(履歴データ!$A$520="","",123.3)</f>
        <v>123.3</v>
      </c>
      <c r="AC520">
        <f>IF(履歴データ!$A$520="","",SUM(T520:AA520))</f>
        <v>-202813.83798178291</v>
      </c>
      <c r="AD520" s="29">
        <f>IF(履歴データ!$A$520="","",AC520/1000000)</f>
        <v>-0.2028138379817829</v>
      </c>
      <c r="AE520" s="29">
        <f>IF(履歴データ!$A$520="",AE519,AE519+AC520/1000000)</f>
        <v>71.409374432286285</v>
      </c>
      <c r="AF520" s="12">
        <f>IF(OR(履歴データ!$A$520="",AE519=0),"",(AE520-AE519)/AE519)</f>
        <v>-2.8321133996960014E-3</v>
      </c>
      <c r="AG520" s="29">
        <f t="shared" si="26"/>
        <v>102.17217746631495</v>
      </c>
      <c r="AH520" s="12">
        <f>IF(OR(履歴データ!$A$520="",AG520=0),"",AE520/AG520-1)</f>
        <v>-0.30108786752803451</v>
      </c>
      <c r="AJ520" s="28">
        <f t="shared" ca="1" si="24"/>
        <v>6.6918480395269597</v>
      </c>
      <c r="AK520" s="28">
        <f t="shared" ca="1" si="25"/>
        <v>-38.63232423000315</v>
      </c>
    </row>
    <row r="521" spans="1:37">
      <c r="A521" s="10">
        <f>IF(履歴データ!$A$521="","",履歴データ!$A$521)</f>
        <v>45687</v>
      </c>
      <c r="B521" s="28">
        <f>IF(履歴データ!$A$521="","",(履歴データ!$D$521-(履歴データ!$B$521+履歴データ!$F$521)/2)*100)</f>
        <v>4.9999999999999822</v>
      </c>
      <c r="C521" s="28">
        <f>IF(履歴データ!$A$521="","",(履歴データ!$H$521-(履歴データ!$G$521+履歴データ!$J$521)/2)*100)</f>
        <v>-27.499999999999993</v>
      </c>
      <c r="D521" s="28">
        <f>IF(履歴データ!$A$521="","",(履歴データ!$D$521-履歴データ!$H$521)*100)</f>
        <v>329.9</v>
      </c>
      <c r="E521" s="28">
        <f>IF(履歴データ!$A$521="","",(履歴データ!$D$521-履歴データ!$C$521)*100)</f>
        <v>20.999999999999996</v>
      </c>
      <c r="F521" s="28">
        <f>IF(履歴データ!$A$521="","",(履歴データ!$R$521-履歴データ!$D$521)*100)</f>
        <v>-264.71999999999997</v>
      </c>
      <c r="G521" s="28">
        <f>IF(履歴データ!$A$521="","",(履歴データ!$S$521-履歴データ!$R$521)*100)</f>
        <v>-74.972000000000193</v>
      </c>
      <c r="H521" s="29">
        <f>IF(履歴データ!$A$521="","",履歴データ!$O$521)</f>
        <v>155.16999816894531</v>
      </c>
      <c r="I521" s="29">
        <f>IF(履歴データ!$A$521="","",履歴データ!$Q$521)</f>
        <v>109.234375</v>
      </c>
      <c r="J521" s="29">
        <f>IF(履歴データ!$A$521="","",履歴データ!$D$521)</f>
        <v>4.5199999999999996</v>
      </c>
      <c r="K521" s="28">
        <f>IF(OR(履歴データ!$A$521="",履歴データ!$A$520=""),"",B521-B520)</f>
        <v>0</v>
      </c>
      <c r="L521" s="28">
        <f>IF(OR(履歴データ!$A$521="",履歴データ!$A$520=""),"",C521-C520)</f>
        <v>-0.15000000000000568</v>
      </c>
      <c r="M521" s="28">
        <f>IF(OR(履歴データ!$A$521="",履歴データ!$A$520=""),"",D521-D520)</f>
        <v>-5</v>
      </c>
      <c r="N521" s="28">
        <f>IF(OR(履歴データ!$A$521="",履歴データ!$A$520=""),"",E521-E520)</f>
        <v>0.99999999999997868</v>
      </c>
      <c r="O521" s="28">
        <f>IF(OR(履歴データ!$A$521="",履歴データ!$A$520=""),"",F521-F520)</f>
        <v>4.7100000000000364</v>
      </c>
      <c r="P521" s="28">
        <f>IF(OR(履歴データ!$A$521="",履歴データ!$A$520=""),"",G521-G520)</f>
        <v>0.57017858886707984</v>
      </c>
      <c r="Q521" s="29">
        <f>IF(OR(履歴データ!$A$521="",履歴データ!$A$520=""),"",H521-H520)</f>
        <v>-0.389007568359375</v>
      </c>
      <c r="R521" s="29">
        <f>IF(OR(履歴データ!$A$521="",履歴データ!$A$520=""),"",I521-I520)</f>
        <v>0.28125</v>
      </c>
      <c r="S521" s="28">
        <f>IF(OR(履歴データ!$A$521="",履歴データ!$A$520=""),"",(J521-J520)*100)</f>
        <v>-3.0000000000000249</v>
      </c>
      <c r="T521" s="11">
        <f>IF(OR(履歴データ!$A$521="",履歴データ!$A$520=""),"",-80000*K521)</f>
        <v>0</v>
      </c>
      <c r="U521" s="11">
        <f>IF(OR(履歴データ!$A$521="",履歴データ!$A$520=""),"",60000*L521)</f>
        <v>-9000.000000000342</v>
      </c>
      <c r="V521" s="11">
        <f>IF(OR(履歴データ!$A$521="",履歴データ!$A$520=""),"",-50000*M521)</f>
        <v>250000</v>
      </c>
      <c r="W521" s="11">
        <f>IF(OR(履歴データ!$A$521="",履歴データ!$A$520=""),"",-40000*N521)</f>
        <v>-39999.999999999149</v>
      </c>
      <c r="X521" s="11">
        <f>IF(OR(履歴データ!$A$521="",履歴データ!$A$520=""),"",120*1000000*(-Q521/H520))</f>
        <v>300084.89692943846</v>
      </c>
      <c r="Y521" s="11">
        <f>IF(OR(履歴データ!$A$521="",履歴データ!$A$520=""),"",40000*(-S521)+(-506.3)*R521*1000)</f>
        <v>-22396.87499999901</v>
      </c>
      <c r="Z521" s="11">
        <f>IF(OR(履歴データ!$A$521="",履歴データ!$A$520=""),"",-40000*O521)</f>
        <v>-188400.00000000146</v>
      </c>
      <c r="AA521" s="11">
        <f>IF(OR(履歴データ!$A$521="",履歴データ!$A$520=""),"",-40000*P521)</f>
        <v>-22807.143554683193</v>
      </c>
      <c r="AB521" s="11">
        <f>IF(履歴データ!$A$521="","",123.3)</f>
        <v>123.3</v>
      </c>
      <c r="AC521">
        <f>IF(履歴データ!$A$521="","",SUM(T521:AA521))</f>
        <v>267480.87837475527</v>
      </c>
      <c r="AD521" s="29">
        <f>IF(履歴データ!$A$521="","",AC521/1000000)</f>
        <v>0.26748087837475526</v>
      </c>
      <c r="AE521" s="29">
        <f>IF(履歴データ!$A$521="",AE520,AE520+AC521/1000000)</f>
        <v>71.67685531066104</v>
      </c>
      <c r="AF521" s="12">
        <f>IF(OR(履歴データ!$A$521="",AE520=0),"",(AE521-AE520)/AE520)</f>
        <v>3.7457389943724123E-3</v>
      </c>
      <c r="AG521" s="29">
        <f t="shared" si="26"/>
        <v>102.17217746631495</v>
      </c>
      <c r="AH521" s="12">
        <f>IF(OR(履歴データ!$A$521="",AG521=0),"",AE521/AG521-1)</f>
        <v>-0.29846992509979431</v>
      </c>
      <c r="AJ521" s="28">
        <f t="shared" ca="1" si="24"/>
        <v>6.9393438787411643</v>
      </c>
      <c r="AK521" s="28">
        <f t="shared" ca="1" si="25"/>
        <v>-38.673470862868157</v>
      </c>
    </row>
    <row r="522" spans="1:37">
      <c r="A522" s="10">
        <f>IF(履歴データ!$A$522="","",履歴データ!$A$522)</f>
        <v>45688</v>
      </c>
      <c r="B522" s="28">
        <f>IF(履歴データ!$A$522="","",(履歴データ!$D$522-(履歴データ!$B$522+履歴データ!$F$522)/2)*100)</f>
        <v>5.4999999999999716</v>
      </c>
      <c r="C522" s="28">
        <f>IF(履歴データ!$A$522="","",(履歴データ!$H$522-(履歴データ!$G$522+履歴データ!$J$522)/2)*100)</f>
        <v>-25.950000000000006</v>
      </c>
      <c r="D522" s="28">
        <f>IF(履歴データ!$A$522="","",(履歴データ!$D$522-履歴データ!$H$522)*100)</f>
        <v>333</v>
      </c>
      <c r="E522" s="28">
        <f>IF(履歴データ!$A$522="","",(履歴データ!$D$522-履歴データ!$C$522)*100)</f>
        <v>21.999999999999975</v>
      </c>
      <c r="F522" s="28">
        <f>IF(履歴データ!$A$522="","",(履歴データ!$R$522-履歴データ!$D$522)*100)</f>
        <v>-273.96000000000004</v>
      </c>
      <c r="G522" s="28">
        <f>IF(履歴データ!$A$522="","",(履歴データ!$S$522-履歴データ!$R$522)*100)</f>
        <v>-78.748000000000147</v>
      </c>
      <c r="H522" s="29">
        <f>IF(履歴データ!$A$522="","",履歴データ!$O$522)</f>
        <v>154.09700012207031</v>
      </c>
      <c r="I522" s="29">
        <f>IF(履歴データ!$A$522="","",履歴データ!$Q$522)</f>
        <v>108.84375</v>
      </c>
      <c r="J522" s="29">
        <f>IF(履歴データ!$A$522="","",履歴データ!$D$522)</f>
        <v>4.58</v>
      </c>
      <c r="K522" s="28">
        <f>IF(OR(履歴データ!$A$522="",履歴データ!$A$521=""),"",B522-B521)</f>
        <v>0.49999999999998934</v>
      </c>
      <c r="L522" s="28">
        <f>IF(OR(履歴データ!$A$522="",履歴データ!$A$521=""),"",C522-C521)</f>
        <v>1.5499999999999865</v>
      </c>
      <c r="M522" s="28">
        <f>IF(OR(履歴データ!$A$522="",履歴データ!$A$521=""),"",D522-D521)</f>
        <v>3.1000000000000227</v>
      </c>
      <c r="N522" s="28">
        <f>IF(OR(履歴データ!$A$522="",履歴データ!$A$521=""),"",E522-E521)</f>
        <v>0.99999999999997868</v>
      </c>
      <c r="O522" s="28">
        <f>IF(OR(履歴データ!$A$522="",履歴データ!$A$521=""),"",F522-F521)</f>
        <v>-9.2400000000000659</v>
      </c>
      <c r="P522" s="28">
        <f>IF(OR(履歴データ!$A$522="",履歴データ!$A$521=""),"",G522-G521)</f>
        <v>-3.7759999999999536</v>
      </c>
      <c r="Q522" s="29">
        <f>IF(OR(履歴データ!$A$522="",履歴データ!$A$521=""),"",H522-H521)</f>
        <v>-1.072998046875</v>
      </c>
      <c r="R522" s="29">
        <f>IF(OR(履歴データ!$A$522="",履歴データ!$A$521=""),"",I522-I521)</f>
        <v>-0.390625</v>
      </c>
      <c r="S522" s="28">
        <f>IF(OR(履歴データ!$A$522="",履歴データ!$A$521=""),"",(J522-J521)*100)</f>
        <v>6.0000000000000497</v>
      </c>
      <c r="T522" s="11">
        <f>IF(OR(履歴データ!$A$522="",履歴データ!$A$521=""),"",-80000*K522)</f>
        <v>-39999.999999999149</v>
      </c>
      <c r="U522" s="11">
        <f>IF(OR(履歴データ!$A$522="",履歴データ!$A$521=""),"",60000*L522)</f>
        <v>92999.999999999185</v>
      </c>
      <c r="V522" s="11">
        <f>IF(OR(履歴データ!$A$522="",履歴データ!$A$521=""),"",-50000*M522)</f>
        <v>-155000.00000000114</v>
      </c>
      <c r="W522" s="11">
        <f>IF(OR(履歴データ!$A$522="",履歴データ!$A$521=""),"",-40000*N522)</f>
        <v>-39999.999999999149</v>
      </c>
      <c r="X522" s="11">
        <f>IF(OR(履歴データ!$A$522="",履歴データ!$A$521=""),"",120*1000000*(-Q522/H521))</f>
        <v>829798.07401176554</v>
      </c>
      <c r="Y522" s="11">
        <f>IF(OR(履歴データ!$A$522="",履歴データ!$A$521=""),"",40000*(-S522)+(-506.3)*R522*1000)</f>
        <v>-42226.562500001979</v>
      </c>
      <c r="Z522" s="11">
        <f>IF(OR(履歴データ!$A$522="",履歴データ!$A$521=""),"",-40000*O522)</f>
        <v>369600.00000000262</v>
      </c>
      <c r="AA522" s="11">
        <f>IF(OR(履歴データ!$A$522="",履歴データ!$A$521=""),"",-40000*P522)</f>
        <v>151039.99999999814</v>
      </c>
      <c r="AB522" s="11">
        <f>IF(履歴データ!$A$522="","",123.3)</f>
        <v>123.3</v>
      </c>
      <c r="AC522">
        <f>IF(履歴データ!$A$522="","",SUM(T522:AA522))</f>
        <v>1166211.511511764</v>
      </c>
      <c r="AD522" s="29">
        <f>IF(履歴データ!$A$522="","",AC522/1000000)</f>
        <v>1.1662115115117639</v>
      </c>
      <c r="AE522" s="29">
        <f>IF(履歴データ!$A$522="",AE521,AE521+AC522/1000000)</f>
        <v>72.843066822172801</v>
      </c>
      <c r="AF522" s="12">
        <f>IF(OR(履歴データ!$A$522="",AE521=0),"",(AE522-AE521)/AE521)</f>
        <v>1.6270405648478582E-2</v>
      </c>
      <c r="AG522" s="29">
        <f t="shared" si="26"/>
        <v>102.17217746631495</v>
      </c>
      <c r="AH522" s="12">
        <f>IF(OR(履歴データ!$A$522="",AG522=0),"",AE522/AG522-1)</f>
        <v>-0.28705574620656038</v>
      </c>
      <c r="AJ522" s="28">
        <f t="shared" ca="1" si="24"/>
        <v>7.1933315010182586</v>
      </c>
      <c r="AK522" s="28">
        <f t="shared" ca="1" si="25"/>
        <v>-38.709204516891276</v>
      </c>
    </row>
    <row r="523" spans="1:37">
      <c r="A523" s="10">
        <f>IF(履歴データ!$A$523="","",履歴データ!$A$523)</f>
        <v>45691</v>
      </c>
      <c r="B523" s="28">
        <f>IF(履歴データ!$A$523="","",(履歴データ!$D$523-(履歴データ!$B$523+履歴データ!$F$523)/2)*100)</f>
        <v>2.5000000000000355</v>
      </c>
      <c r="C523" s="28">
        <f>IF(履歴データ!$A$523="","",(履歴データ!$H$523-(履歴データ!$G$523+履歴データ!$J$523)/2)*100)</f>
        <v>-25.70000000000001</v>
      </c>
      <c r="D523" s="28">
        <f>IF(履歴データ!$A$523="","",(履歴データ!$D$523-履歴データ!$H$523)*100)</f>
        <v>328.6</v>
      </c>
      <c r="E523" s="28">
        <f>IF(履歴データ!$A$523="","",(履歴データ!$D$523-履歴データ!$C$523)*100)</f>
        <v>19.000000000000039</v>
      </c>
      <c r="F523" s="28">
        <f>IF(履歴データ!$A$523="","",(履歴データ!$R$523-履歴データ!$D$523)*100)</f>
        <v>-275.49</v>
      </c>
      <c r="G523" s="28">
        <f>IF(履歴データ!$A$523="","",(履歴データ!$S$523-履歴データ!$R$523)*100)</f>
        <v>-55.678000000000161</v>
      </c>
      <c r="H523" s="29">
        <f>IF(履歴データ!$A$523="","",履歴データ!$O$523)</f>
        <v>155.36300659179688</v>
      </c>
      <c r="I523" s="29">
        <f>IF(履歴データ!$A$523="","",履歴データ!$Q$523)</f>
        <v>108.953125</v>
      </c>
      <c r="J523" s="29">
        <f>IF(履歴データ!$A$523="","",履歴データ!$D$523)</f>
        <v>4.54</v>
      </c>
      <c r="K523" s="28">
        <f>IF(OR(履歴データ!$A$523="",履歴データ!$A$522=""),"",B523-B522)</f>
        <v>-2.9999999999999361</v>
      </c>
      <c r="L523" s="28">
        <f>IF(OR(履歴データ!$A$523="",履歴データ!$A$522=""),"",C523-C522)</f>
        <v>0.24999999999999645</v>
      </c>
      <c r="M523" s="28">
        <f>IF(OR(履歴データ!$A$523="",履歴データ!$A$522=""),"",D523-D522)</f>
        <v>-4.3999999999999773</v>
      </c>
      <c r="N523" s="28">
        <f>IF(OR(履歴データ!$A$523="",履歴データ!$A$522=""),"",E523-E522)</f>
        <v>-2.9999999999999361</v>
      </c>
      <c r="O523" s="28">
        <f>IF(OR(履歴データ!$A$523="",履歴データ!$A$522=""),"",F523-F522)</f>
        <v>-1.5299999999999727</v>
      </c>
      <c r="P523" s="28">
        <f>IF(OR(履歴データ!$A$523="",履歴データ!$A$522=""),"",G523-G522)</f>
        <v>23.069999999999986</v>
      </c>
      <c r="Q523" s="29">
        <f>IF(OR(履歴データ!$A$523="",履歴データ!$A$522=""),"",H523-H522)</f>
        <v>1.2660064697265625</v>
      </c>
      <c r="R523" s="29">
        <f>IF(OR(履歴データ!$A$523="",履歴データ!$A$522=""),"",I523-I522)</f>
        <v>0.109375</v>
      </c>
      <c r="S523" s="28">
        <f>IF(OR(履歴データ!$A$523="",履歴データ!$A$522=""),"",(J523-J522)*100)</f>
        <v>-4.0000000000000036</v>
      </c>
      <c r="T523" s="11">
        <f>IF(OR(履歴データ!$A$523="",履歴データ!$A$522=""),"",-80000*K523)</f>
        <v>239999.99999999488</v>
      </c>
      <c r="U523" s="11">
        <f>IF(OR(履歴データ!$A$523="",履歴データ!$A$522=""),"",60000*L523)</f>
        <v>14999.999999999787</v>
      </c>
      <c r="V523" s="11">
        <f>IF(OR(履歴データ!$A$523="",履歴データ!$A$522=""),"",-50000*M523)</f>
        <v>219999.99999999886</v>
      </c>
      <c r="W523" s="11">
        <f>IF(OR(履歴データ!$A$523="",履歴データ!$A$522=""),"",-40000*N523)</f>
        <v>119999.99999999744</v>
      </c>
      <c r="X523" s="11">
        <f>IF(OR(履歴データ!$A$523="",履歴データ!$A$522=""),"",120*1000000*(-Q523/H522))</f>
        <v>-985877.57222295762</v>
      </c>
      <c r="Y523" s="11">
        <f>IF(OR(履歴データ!$A$523="",履歴データ!$A$522=""),"",40000*(-S523)+(-506.3)*R523*1000)</f>
        <v>104623.43750000015</v>
      </c>
      <c r="Z523" s="11">
        <f>IF(OR(履歴データ!$A$523="",履歴データ!$A$522=""),"",-40000*O523)</f>
        <v>61199.999999998909</v>
      </c>
      <c r="AA523" s="11">
        <f>IF(OR(履歴データ!$A$523="",履歴データ!$A$522=""),"",-40000*P523)</f>
        <v>-922799.99999999942</v>
      </c>
      <c r="AB523" s="11">
        <f>IF(履歴データ!$A$523="","",123.3)</f>
        <v>123.3</v>
      </c>
      <c r="AC523">
        <f>IF(履歴データ!$A$523="","",SUM(T523:AA523))</f>
        <v>-1147854.1347229672</v>
      </c>
      <c r="AD523" s="29">
        <f>IF(履歴データ!$A$523="","",AC523/1000000)</f>
        <v>-1.1478541347229672</v>
      </c>
      <c r="AE523" s="29">
        <f>IF(履歴データ!$A$523="",AE522,AE522+AC523/1000000)</f>
        <v>71.695212687449839</v>
      </c>
      <c r="AF523" s="12">
        <f>IF(OR(履歴データ!$A$523="",AE522=0),"",(AE523-AE522)/AE522)</f>
        <v>-1.5757905107498377E-2</v>
      </c>
      <c r="AG523" s="29">
        <f t="shared" si="26"/>
        <v>102.17217746631495</v>
      </c>
      <c r="AH523" s="12">
        <f>IF(OR(履歴データ!$A$523="",AG523=0),"",AE523/AG523-1)</f>
        <v>-0.29829025410477361</v>
      </c>
      <c r="AJ523" s="28">
        <f t="shared" ca="1" si="24"/>
        <v>7.3844881308994577</v>
      </c>
      <c r="AK523" s="28">
        <f t="shared" ca="1" si="25"/>
        <v>-38.674170670582001</v>
      </c>
    </row>
    <row r="524" spans="1:37">
      <c r="A524" s="10">
        <f>IF(履歴データ!$A$524="","",履歴データ!$A$524)</f>
        <v>45692</v>
      </c>
      <c r="B524" s="28">
        <f>IF(履歴データ!$A$524="","",(履歴データ!$D$524-(履歴データ!$B$524+履歴データ!$F$524)/2)*100)</f>
        <v>3.9999999999999147</v>
      </c>
      <c r="C524" s="28">
        <f>IF(履歴データ!$A$524="","",(履歴データ!$H$524-(履歴データ!$G$524+履歴データ!$J$524)/2)*100)</f>
        <v>-25</v>
      </c>
      <c r="D524" s="28">
        <f>IF(履歴データ!$A$524="","",(履歴データ!$D$524-履歴データ!$H$524)*100)</f>
        <v>323.79999999999995</v>
      </c>
      <c r="E524" s="28">
        <f>IF(履歴データ!$A$524="","",(履歴データ!$D$524-履歴データ!$C$524)*100)</f>
        <v>20.999999999999996</v>
      </c>
      <c r="F524" s="28">
        <f>IF(履歴データ!$A$524="","",(履歴データ!$R$524-履歴データ!$D$524)*100)</f>
        <v>-270.70999999999998</v>
      </c>
      <c r="G524" s="28">
        <f>IF(履歴データ!$A$524="","",(履歴データ!$S$524-履歴データ!$R$524)*100)</f>
        <v>-54.774642822265832</v>
      </c>
      <c r="H524" s="29">
        <f>IF(履歴データ!$A$524="","",履歴データ!$O$524)</f>
        <v>155.27699279785156</v>
      </c>
      <c r="I524" s="29">
        <f>IF(履歴データ!$A$524="","",履歴データ!$Q$524)</f>
        <v>109.203125</v>
      </c>
      <c r="J524" s="29">
        <f>IF(履歴データ!$A$524="","",履歴データ!$D$524)</f>
        <v>4.5199999999999996</v>
      </c>
      <c r="K524" s="28">
        <f>IF(OR(履歴データ!$A$524="",履歴データ!$A$523=""),"",B524-B523)</f>
        <v>1.4999999999998792</v>
      </c>
      <c r="L524" s="28">
        <f>IF(OR(履歴データ!$A$524="",履歴データ!$A$523=""),"",C524-C523)</f>
        <v>0.70000000000000995</v>
      </c>
      <c r="M524" s="28">
        <f>IF(OR(履歴データ!$A$524="",履歴データ!$A$523=""),"",D524-D523)</f>
        <v>-4.8000000000000682</v>
      </c>
      <c r="N524" s="28">
        <f>IF(OR(履歴データ!$A$524="",履歴データ!$A$523=""),"",E524-E523)</f>
        <v>1.9999999999999574</v>
      </c>
      <c r="O524" s="28">
        <f>IF(OR(履歴データ!$A$524="",履歴データ!$A$523=""),"",F524-F523)</f>
        <v>4.7800000000000296</v>
      </c>
      <c r="P524" s="28">
        <f>IF(OR(履歴データ!$A$524="",履歴データ!$A$523=""),"",G524-G523)</f>
        <v>0.90335717773432833</v>
      </c>
      <c r="Q524" s="29">
        <f>IF(OR(履歴データ!$A$524="",履歴データ!$A$523=""),"",H524-H523)</f>
        <v>-8.60137939453125E-2</v>
      </c>
      <c r="R524" s="29">
        <f>IF(OR(履歴データ!$A$524="",履歴データ!$A$523=""),"",I524-I523)</f>
        <v>0.25</v>
      </c>
      <c r="S524" s="28">
        <f>IF(OR(履歴データ!$A$524="",履歴データ!$A$523=""),"",(J524-J523)*100)</f>
        <v>-2.0000000000000462</v>
      </c>
      <c r="T524" s="11">
        <f>IF(OR(履歴データ!$A$524="",履歴データ!$A$523=""),"",-80000*K524)</f>
        <v>-119999.99999999034</v>
      </c>
      <c r="U524" s="11">
        <f>IF(OR(履歴データ!$A$524="",履歴データ!$A$523=""),"",60000*L524)</f>
        <v>42000.000000000597</v>
      </c>
      <c r="V524" s="11">
        <f>IF(OR(履歴データ!$A$524="",履歴データ!$A$523=""),"",-50000*M524)</f>
        <v>240000.00000000341</v>
      </c>
      <c r="W524" s="11">
        <f>IF(OR(履歴データ!$A$524="",履歴データ!$A$523=""),"",-40000*N524)</f>
        <v>-79999.999999998297</v>
      </c>
      <c r="X524" s="11">
        <f>IF(OR(履歴データ!$A$524="",履歴データ!$A$523=""),"",120*1000000*(-Q524/H523))</f>
        <v>66435.733318142942</v>
      </c>
      <c r="Y524" s="11">
        <f>IF(OR(履歴データ!$A$524="",履歴データ!$A$523=""),"",40000*(-S524)+(-506.3)*R524*1000)</f>
        <v>-46574.999999998152</v>
      </c>
      <c r="Z524" s="11">
        <f>IF(OR(履歴データ!$A$524="",履歴データ!$A$523=""),"",-40000*O524)</f>
        <v>-191200.00000000119</v>
      </c>
      <c r="AA524" s="11">
        <f>IF(OR(履歴データ!$A$524="",履歴データ!$A$523=""),"",-40000*P524)</f>
        <v>-36134.28710937313</v>
      </c>
      <c r="AB524" s="11">
        <f>IF(履歴データ!$A$524="","",123.3)</f>
        <v>123.3</v>
      </c>
      <c r="AC524">
        <f>IF(履歴データ!$A$524="","",SUM(T524:AA524))</f>
        <v>-125473.55379121416</v>
      </c>
      <c r="AD524" s="29">
        <f>IF(履歴データ!$A$524="","",AC524/1000000)</f>
        <v>-0.12547355379121417</v>
      </c>
      <c r="AE524" s="29">
        <f>IF(履歴データ!$A$524="",AE523,AE523+AC524/1000000)</f>
        <v>71.569739133658629</v>
      </c>
      <c r="AF524" s="12">
        <f>IF(OR(履歴データ!$A$524="",AE523=0),"",(AE524-AE523)/AE523)</f>
        <v>-1.7500966813251914E-3</v>
      </c>
      <c r="AG524" s="29">
        <f t="shared" si="26"/>
        <v>102.17217746631495</v>
      </c>
      <c r="AH524" s="12">
        <f>IF(OR(履歴データ!$A$524="",AG524=0),"",AE524/AG524-1)</f>
        <v>-0.29951831400231843</v>
      </c>
      <c r="AJ524" s="28">
        <f t="shared" ca="1" si="24"/>
        <v>7.600069067316312</v>
      </c>
      <c r="AK524" s="28">
        <f t="shared" ca="1" si="25"/>
        <v>-38.655624622871869</v>
      </c>
    </row>
    <row r="525" spans="1:37">
      <c r="A525" s="10">
        <f>IF(履歴データ!$A$525="","",履歴データ!$A$525)</f>
        <v>45693</v>
      </c>
      <c r="B525" s="28">
        <f>IF(履歴データ!$A$525="","",(履歴データ!$D$525-(履歴データ!$B$525+履歴データ!$F$525)/2)*100)</f>
        <v>2.5000000000000355</v>
      </c>
      <c r="C525" s="28">
        <f>IF(履歴データ!$A$525="","",(履歴データ!$H$525-(履歴データ!$G$525+履歴データ!$J$525)/2)*100)</f>
        <v>-25.049999999999994</v>
      </c>
      <c r="D525" s="28">
        <f>IF(履歴データ!$A$525="","",(履歴データ!$D$525-履歴データ!$H$525)*100)</f>
        <v>314.10000000000002</v>
      </c>
      <c r="E525" s="28">
        <f>IF(履歴データ!$A$525="","",(履歴データ!$D$525-履歴データ!$C$525)*100)</f>
        <v>18.99999999999995</v>
      </c>
      <c r="F525" s="28">
        <f>IF(履歴データ!$A$525="","",(履歴データ!$R$525-履歴データ!$D$525)*100)</f>
        <v>-264.23999999999995</v>
      </c>
      <c r="G525" s="28">
        <f>IF(履歴データ!$A$525="","",(履歴データ!$S$525-履歴データ!$R$525)*100)</f>
        <v>-52.244642822265838</v>
      </c>
      <c r="H525" s="29">
        <f>IF(履歴データ!$A$525="","",履歴データ!$O$525)</f>
        <v>154.13299560546875</v>
      </c>
      <c r="I525" s="29">
        <f>IF(履歴データ!$A$525="","",履歴データ!$Q$525)</f>
        <v>109.75</v>
      </c>
      <c r="J525" s="29">
        <f>IF(履歴データ!$A$525="","",履歴データ!$D$525)</f>
        <v>4.43</v>
      </c>
      <c r="K525" s="28">
        <f>IF(OR(履歴データ!$A$525="",履歴データ!$A$524=""),"",B525-B524)</f>
        <v>-1.4999999999998792</v>
      </c>
      <c r="L525" s="28">
        <f>IF(OR(履歴データ!$A$525="",履歴データ!$A$524=""),"",C525-C524)</f>
        <v>-4.9999999999993605E-2</v>
      </c>
      <c r="M525" s="28">
        <f>IF(OR(履歴データ!$A$525="",履歴データ!$A$524=""),"",D525-D524)</f>
        <v>-9.6999999999999318</v>
      </c>
      <c r="N525" s="28">
        <f>IF(OR(履歴データ!$A$525="",履歴データ!$A$524=""),"",E525-E524)</f>
        <v>-2.0000000000000462</v>
      </c>
      <c r="O525" s="28">
        <f>IF(OR(履歴データ!$A$525="",履歴データ!$A$524=""),"",F525-F524)</f>
        <v>6.4700000000000273</v>
      </c>
      <c r="P525" s="28">
        <f>IF(OR(履歴データ!$A$525="",履歴データ!$A$524=""),"",G525-G524)</f>
        <v>2.529999999999994</v>
      </c>
      <c r="Q525" s="29">
        <f>IF(OR(履歴データ!$A$525="",履歴データ!$A$524=""),"",H525-H524)</f>
        <v>-1.1439971923828125</v>
      </c>
      <c r="R525" s="29">
        <f>IF(OR(履歴データ!$A$525="",履歴データ!$A$524=""),"",I525-I524)</f>
        <v>0.546875</v>
      </c>
      <c r="S525" s="28">
        <f>IF(OR(履歴データ!$A$525="",履歴データ!$A$524=""),"",(J525-J524)*100)</f>
        <v>-8.9999999999999858</v>
      </c>
      <c r="T525" s="11">
        <f>IF(OR(履歴データ!$A$525="",履歴データ!$A$524=""),"",-80000*K525)</f>
        <v>119999.99999999034</v>
      </c>
      <c r="U525" s="11">
        <f>IF(OR(履歴データ!$A$525="",履歴データ!$A$524=""),"",60000*L525)</f>
        <v>-2999.9999999996162</v>
      </c>
      <c r="V525" s="11">
        <f>IF(OR(履歴データ!$A$525="",履歴データ!$A$524=""),"",-50000*M525)</f>
        <v>484999.99999999657</v>
      </c>
      <c r="W525" s="11">
        <f>IF(OR(履歴データ!$A$525="",履歴データ!$A$524=""),"",-40000*N525)</f>
        <v>80000.000000001848</v>
      </c>
      <c r="X525" s="11">
        <f>IF(OR(履歴データ!$A$525="",履歴データ!$A$524=""),"",120*1000000*(-Q525/H524))</f>
        <v>884095.32289600687</v>
      </c>
      <c r="Y525" s="11">
        <f>IF(OR(履歴データ!$A$525="",履歴データ!$A$524=""),"",40000*(-S525)+(-506.3)*R525*1000)</f>
        <v>83117.187499999418</v>
      </c>
      <c r="Z525" s="11">
        <f>IF(OR(履歴データ!$A$525="",履歴データ!$A$524=""),"",-40000*O525)</f>
        <v>-258800.00000000111</v>
      </c>
      <c r="AA525" s="11">
        <f>IF(OR(履歴データ!$A$525="",履歴データ!$A$524=""),"",-40000*P525)</f>
        <v>-101199.99999999977</v>
      </c>
      <c r="AB525" s="11">
        <f>IF(履歴データ!$A$525="","",123.3)</f>
        <v>123.3</v>
      </c>
      <c r="AC525">
        <f>IF(履歴データ!$A$525="","",SUM(T525:AA525))</f>
        <v>1289212.5103959944</v>
      </c>
      <c r="AD525" s="29">
        <f>IF(履歴データ!$A$525="","",AC525/1000000)</f>
        <v>1.2892125103959944</v>
      </c>
      <c r="AE525" s="29">
        <f>IF(履歴データ!$A$525="",AE524,AE524+AC525/1000000)</f>
        <v>72.858951644054628</v>
      </c>
      <c r="AF525" s="12">
        <f>IF(OR(履歴データ!$A$525="",AE524=0),"",(AE525-AE524)/AE524)</f>
        <v>1.8013374451293661E-2</v>
      </c>
      <c r="AG525" s="29">
        <f t="shared" si="26"/>
        <v>102.17217746631495</v>
      </c>
      <c r="AH525" s="12">
        <f>IF(OR(履歴データ!$A$525="",AG525=0),"",AE525/AG525-1)</f>
        <v>-0.28690027509616867</v>
      </c>
      <c r="AJ525" s="28">
        <f t="shared" ca="1" si="24"/>
        <v>7.7781365727099754</v>
      </c>
      <c r="AK525" s="28">
        <f t="shared" ca="1" si="25"/>
        <v>-38.591628636202039</v>
      </c>
    </row>
    <row r="526" spans="1:37">
      <c r="A526" s="10">
        <f>IF(履歴データ!$A$526="","",履歴データ!$A$526)</f>
        <v>45694</v>
      </c>
      <c r="B526" s="28">
        <f>IF(履歴データ!$A$526="","",(履歴データ!$D$526-(履歴データ!$B$526+履歴データ!$F$526)/2)*100)</f>
        <v>2.0000000000000462</v>
      </c>
      <c r="C526" s="28">
        <f>IF(履歴データ!$A$526="","",(履歴データ!$H$526-(履歴データ!$G$526+履歴データ!$J$526)/2)*100)</f>
        <v>-24.550000000000004</v>
      </c>
      <c r="D526" s="28">
        <f>IF(履歴データ!$A$526="","",(履歴データ!$D$526-履歴データ!$H$526)*100)</f>
        <v>318</v>
      </c>
      <c r="E526" s="28">
        <f>IF(履歴データ!$A$526="","",(履歴データ!$D$526-履歴データ!$C$526)*100)</f>
        <v>16.999999999999993</v>
      </c>
      <c r="F526" s="28">
        <f>IF(履歴データ!$A$526="","",(履歴データ!$R$526-履歴データ!$D$526)*100)</f>
        <v>-271.06000000000006</v>
      </c>
      <c r="G526" s="28">
        <f>IF(履歴データ!$A$526="","",(履歴データ!$S$526-履歴データ!$R$526)*100)</f>
        <v>-63.736821411133015</v>
      </c>
      <c r="H526" s="29">
        <f>IF(履歴データ!$A$526="","",履歴データ!$O$526)</f>
        <v>152.60600280761719</v>
      </c>
      <c r="I526" s="29">
        <f>IF(履歴データ!$A$526="","",履歴データ!$Q$526)</f>
        <v>109.578125</v>
      </c>
      <c r="J526" s="29">
        <f>IF(履歴データ!$A$526="","",履歴データ!$D$526)</f>
        <v>4.45</v>
      </c>
      <c r="K526" s="28">
        <f>IF(OR(履歴データ!$A$526="",履歴データ!$A$525=""),"",B526-B525)</f>
        <v>-0.49999999999998934</v>
      </c>
      <c r="L526" s="28">
        <f>IF(OR(履歴データ!$A$526="",履歴データ!$A$525=""),"",C526-C525)</f>
        <v>0.49999999999998934</v>
      </c>
      <c r="M526" s="28">
        <f>IF(OR(履歴データ!$A$526="",履歴データ!$A$525=""),"",D526-D525)</f>
        <v>3.8999999999999773</v>
      </c>
      <c r="N526" s="28">
        <f>IF(OR(履歴データ!$A$526="",履歴データ!$A$525=""),"",E526-E525)</f>
        <v>-1.9999999999999574</v>
      </c>
      <c r="O526" s="28">
        <f>IF(OR(履歴データ!$A$526="",履歴データ!$A$525=""),"",F526-F525)</f>
        <v>-6.8200000000001069</v>
      </c>
      <c r="P526" s="28">
        <f>IF(OR(履歴データ!$A$526="",履歴データ!$A$525=""),"",G526-G525)</f>
        <v>-11.492178588867176</v>
      </c>
      <c r="Q526" s="29">
        <f>IF(OR(履歴データ!$A$526="",履歴データ!$A$525=""),"",H526-H525)</f>
        <v>-1.5269927978515625</v>
      </c>
      <c r="R526" s="29">
        <f>IF(OR(履歴データ!$A$526="",履歴データ!$A$525=""),"",I526-I525)</f>
        <v>-0.171875</v>
      </c>
      <c r="S526" s="28">
        <f>IF(OR(履歴データ!$A$526="",履歴データ!$A$525=""),"",(J526-J525)*100)</f>
        <v>2.0000000000000462</v>
      </c>
      <c r="T526" s="11">
        <f>IF(OR(履歴データ!$A$526="",履歴データ!$A$525=""),"",-80000*K526)</f>
        <v>39999.999999999149</v>
      </c>
      <c r="U526" s="11">
        <f>IF(OR(履歴データ!$A$526="",履歴データ!$A$525=""),"",60000*L526)</f>
        <v>29999.99999999936</v>
      </c>
      <c r="V526" s="11">
        <f>IF(OR(履歴データ!$A$526="",履歴データ!$A$525=""),"",-50000*M526)</f>
        <v>-194999.99999999886</v>
      </c>
      <c r="W526" s="11">
        <f>IF(OR(履歴データ!$A$526="",履歴データ!$A$525=""),"",-40000*N526)</f>
        <v>79999.999999998297</v>
      </c>
      <c r="X526" s="11">
        <f>IF(OR(履歴データ!$A$526="",履歴データ!$A$525=""),"",120*1000000*(-Q526/H525))</f>
        <v>1188837.8281521315</v>
      </c>
      <c r="Y526" s="11">
        <f>IF(OR(履歴データ!$A$526="",履歴データ!$A$525=""),"",40000*(-S526)+(-506.3)*R526*1000)</f>
        <v>7020.3124999981519</v>
      </c>
      <c r="Z526" s="11">
        <f>IF(OR(履歴データ!$A$526="",履歴データ!$A$525=""),"",-40000*O526)</f>
        <v>272800.00000000425</v>
      </c>
      <c r="AA526" s="11">
        <f>IF(OR(履歴データ!$A$526="",履歴データ!$A$525=""),"",-40000*P526)</f>
        <v>459687.14355468703</v>
      </c>
      <c r="AB526" s="11">
        <f>IF(履歴データ!$A$526="","",123.3)</f>
        <v>123.3</v>
      </c>
      <c r="AC526">
        <f>IF(履歴データ!$A$526="","",SUM(T526:AA526))</f>
        <v>1883345.2842068188</v>
      </c>
      <c r="AD526" s="29">
        <f>IF(履歴データ!$A$526="","",AC526/1000000)</f>
        <v>1.8833452842068188</v>
      </c>
      <c r="AE526" s="29">
        <f>IF(履歴データ!$A$526="",AE525,AE525+AC526/1000000)</f>
        <v>74.742296928261453</v>
      </c>
      <c r="AF526" s="12">
        <f>IF(OR(履歴データ!$A$526="",AE525=0),"",(AE526-AE525)/AE525)</f>
        <v>2.5849195489494922E-2</v>
      </c>
      <c r="AG526" s="29">
        <f t="shared" si="26"/>
        <v>102.17217746631495</v>
      </c>
      <c r="AH526" s="12">
        <f>IF(OR(履歴データ!$A$526="",AG526=0),"",AE526/AG526-1)</f>
        <v>-0.2684672209036244</v>
      </c>
      <c r="AJ526" s="28">
        <f t="shared" ca="1" si="24"/>
        <v>7.9536550735491627</v>
      </c>
      <c r="AK526" s="28">
        <f t="shared" ca="1" si="25"/>
        <v>-38.544924914819006</v>
      </c>
    </row>
    <row r="527" spans="1:37">
      <c r="A527" s="10">
        <f>IF(履歴データ!$A$527="","",履歴データ!$A$527)</f>
        <v>45695</v>
      </c>
      <c r="B527" s="28">
        <f>IF(履歴データ!$A$527="","",(履歴データ!$D$527-(履歴データ!$B$527+履歴データ!$F$527)/2)*100)</f>
        <v>0</v>
      </c>
      <c r="C527" s="28">
        <f>IF(履歴データ!$A$527="","",(履歴データ!$H$527-(履歴データ!$G$527+履歴データ!$J$527)/2)*100)</f>
        <v>-23.70000000000001</v>
      </c>
      <c r="D527" s="28">
        <f>IF(履歴データ!$A$527="","",(履歴データ!$D$527-履歴データ!$H$527)*100)</f>
        <v>318.3</v>
      </c>
      <c r="E527" s="28">
        <f>IF(履歴データ!$A$527="","",(履歴データ!$D$527-履歴データ!$C$527)*100)</f>
        <v>15.000000000000036</v>
      </c>
      <c r="F527" s="28">
        <f>IF(履歴データ!$A$527="","",(履歴データ!$R$527-履歴データ!$D$527)*100)</f>
        <v>-276.96000000000004</v>
      </c>
      <c r="G527" s="28">
        <f>IF(履歴データ!$A$527="","",(履歴データ!$S$527-履歴データ!$R$527)*100)</f>
        <v>-42.542821411132991</v>
      </c>
      <c r="H527" s="29">
        <f>IF(履歴データ!$A$527="","",履歴データ!$O$527)</f>
        <v>151.1929931640625</v>
      </c>
      <c r="I527" s="29">
        <f>IF(履歴データ!$A$527="","",履歴データ!$Q$527)</f>
        <v>109.234375</v>
      </c>
      <c r="J527" s="29">
        <f>IF(履歴データ!$A$527="","",履歴データ!$D$527)</f>
        <v>4.49</v>
      </c>
      <c r="K527" s="28">
        <f>IF(OR(履歴データ!$A$527="",履歴データ!$A$526=""),"",B527-B526)</f>
        <v>-2.0000000000000462</v>
      </c>
      <c r="L527" s="28">
        <f>IF(OR(履歴データ!$A$527="",履歴データ!$A$526=""),"",C527-C526)</f>
        <v>0.84999999999999432</v>
      </c>
      <c r="M527" s="28">
        <f>IF(OR(履歴データ!$A$527="",履歴データ!$A$526=""),"",D527-D526)</f>
        <v>0.30000000000001137</v>
      </c>
      <c r="N527" s="28">
        <f>IF(OR(履歴データ!$A$527="",履歴データ!$A$526=""),"",E527-E526)</f>
        <v>-1.9999999999999574</v>
      </c>
      <c r="O527" s="28">
        <f>IF(OR(履歴データ!$A$527="",履歴データ!$A$526=""),"",F527-F526)</f>
        <v>-5.8999999999999773</v>
      </c>
      <c r="P527" s="28">
        <f>IF(OR(履歴データ!$A$527="",履歴データ!$A$526=""),"",G527-G526)</f>
        <v>21.194000000000024</v>
      </c>
      <c r="Q527" s="29">
        <f>IF(OR(履歴データ!$A$527="",履歴データ!$A$526=""),"",H527-H526)</f>
        <v>-1.4130096435546875</v>
      </c>
      <c r="R527" s="29">
        <f>IF(OR(履歴データ!$A$527="",履歴データ!$A$526=""),"",I527-I526)</f>
        <v>-0.34375</v>
      </c>
      <c r="S527" s="28">
        <f>IF(OR(履歴データ!$A$527="",履歴データ!$A$526=""),"",(J527-J526)*100)</f>
        <v>4.0000000000000036</v>
      </c>
      <c r="T527" s="11">
        <f>IF(OR(履歴データ!$A$527="",履歴データ!$A$526=""),"",-80000*K527)</f>
        <v>160000.0000000037</v>
      </c>
      <c r="U527" s="11">
        <f>IF(OR(履歴データ!$A$527="",履歴データ!$A$526=""),"",60000*L527)</f>
        <v>50999.999999999658</v>
      </c>
      <c r="V527" s="11">
        <f>IF(OR(履歴データ!$A$527="",履歴データ!$A$526=""),"",-50000*M527)</f>
        <v>-15000.000000000568</v>
      </c>
      <c r="W527" s="11">
        <f>IF(OR(履歴データ!$A$527="",履歴データ!$A$526=""),"",-40000*N527)</f>
        <v>79999.999999998297</v>
      </c>
      <c r="X527" s="11">
        <f>IF(OR(履歴データ!$A$527="",履歴データ!$A$526=""),"",120*1000000*(-Q527/H526))</f>
        <v>1111104.1119419124</v>
      </c>
      <c r="Y527" s="11">
        <f>IF(OR(履歴データ!$A$527="",履歴データ!$A$526=""),"",40000*(-S527)+(-506.3)*R527*1000)</f>
        <v>14040.624999999854</v>
      </c>
      <c r="Z527" s="11">
        <f>IF(OR(履歴データ!$A$527="",履歴データ!$A$526=""),"",-40000*O527)</f>
        <v>235999.9999999991</v>
      </c>
      <c r="AA527" s="11">
        <f>IF(OR(履歴データ!$A$527="",履歴データ!$A$526=""),"",-40000*P527)</f>
        <v>-847760.00000000093</v>
      </c>
      <c r="AB527" s="11">
        <f>IF(履歴データ!$A$527="","",123.3)</f>
        <v>123.3</v>
      </c>
      <c r="AC527">
        <f>IF(履歴データ!$A$527="","",SUM(T527:AA527))</f>
        <v>789384.73694191151</v>
      </c>
      <c r="AD527" s="29">
        <f>IF(履歴データ!$A$527="","",AC527/1000000)</f>
        <v>0.78938473694191147</v>
      </c>
      <c r="AE527" s="29">
        <f>IF(履歴データ!$A$527="",AE526,AE526+AC527/1000000)</f>
        <v>75.531681665203365</v>
      </c>
      <c r="AF527" s="12">
        <f>IF(OR(履歴データ!$A$527="",AE526=0),"",(AE527-AE526)/AE526)</f>
        <v>1.056141929514921E-2</v>
      </c>
      <c r="AG527" s="29">
        <f t="shared" si="26"/>
        <v>102.17217746631495</v>
      </c>
      <c r="AH527" s="12">
        <f>IF(OR(履歴データ!$A$527="",AG527=0),"",AE527/AG527-1)</f>
        <v>-0.26074119649544192</v>
      </c>
      <c r="AJ527" s="28">
        <f t="shared" ca="1" si="24"/>
        <v>8.103203273687777</v>
      </c>
      <c r="AK527" s="28">
        <f t="shared" ca="1" si="25"/>
        <v>-38.507965178449687</v>
      </c>
    </row>
    <row r="528" spans="1:37">
      <c r="A528" s="10">
        <f>IF(履歴データ!$A$528="","",履歴データ!$A$528)</f>
        <v>45698</v>
      </c>
      <c r="B528" s="28">
        <f>IF(履歴データ!$A$528="","",(履歴データ!$D$528-(履歴データ!$B$528+履歴データ!$F$528)/2)*100)</f>
        <v>1.499999999999968</v>
      </c>
      <c r="C528" s="28">
        <f>IF(履歴データ!$A$528="","",(履歴データ!$H$528-(履歴データ!$G$528+履歴データ!$J$528)/2)*100)</f>
        <v>-22.799999999999997</v>
      </c>
      <c r="D528" s="28">
        <f>IF(履歴データ!$A$528="","",(履歴データ!$D$528-履歴データ!$H$528)*100)</f>
        <v>319.2</v>
      </c>
      <c r="E528" s="28">
        <f>IF(履歴データ!$A$528="","",(履歴データ!$D$528-履歴データ!$C$528)*100)</f>
        <v>16.999999999999993</v>
      </c>
      <c r="F528" s="28">
        <f>IF(履歴データ!$A$528="","",(履歴データ!$R$528-履歴データ!$D$528)*100)</f>
        <v>-277.06</v>
      </c>
      <c r="G528" s="28">
        <f>IF(履歴データ!$A$528="","",(履歴データ!$S$528-履歴データ!$R$528)*100)</f>
        <v>-46.196821411132859</v>
      </c>
      <c r="H528" s="29">
        <f>IF(履歴データ!$A$528="","",履歴データ!$O$528)</f>
        <v>151.84599304199219</v>
      </c>
      <c r="I528" s="29">
        <f>IF(履歴データ!$A$528="","",履歴データ!$Q$528)</f>
        <v>109.21875</v>
      </c>
      <c r="J528" s="29">
        <f>IF(履歴データ!$A$528="","",履歴データ!$D$528)</f>
        <v>4.51</v>
      </c>
      <c r="K528" s="28">
        <f>IF(OR(履歴データ!$A$528="",履歴データ!$A$527=""),"",B528-B527)</f>
        <v>1.499999999999968</v>
      </c>
      <c r="L528" s="28">
        <f>IF(OR(履歴データ!$A$528="",履歴データ!$A$527=""),"",C528-C527)</f>
        <v>0.90000000000001279</v>
      </c>
      <c r="M528" s="28">
        <f>IF(OR(履歴データ!$A$528="",履歴データ!$A$527=""),"",D528-D527)</f>
        <v>0.89999999999997726</v>
      </c>
      <c r="N528" s="28">
        <f>IF(OR(履歴データ!$A$528="",履歴データ!$A$527=""),"",E528-E527)</f>
        <v>1.9999999999999574</v>
      </c>
      <c r="O528" s="28">
        <f>IF(OR(履歴データ!$A$528="",履歴データ!$A$527=""),"",F528-F527)</f>
        <v>-9.9999999999965894E-2</v>
      </c>
      <c r="P528" s="28">
        <f>IF(OR(履歴データ!$A$528="",履歴データ!$A$527=""),"",G528-G527)</f>
        <v>-3.6539999999998685</v>
      </c>
      <c r="Q528" s="29">
        <f>IF(OR(履歴データ!$A$528="",履歴データ!$A$527=""),"",H528-H527)</f>
        <v>0.6529998779296875</v>
      </c>
      <c r="R528" s="29">
        <f>IF(OR(履歴データ!$A$528="",履歴データ!$A$527=""),"",I528-I527)</f>
        <v>-1.5625E-2</v>
      </c>
      <c r="S528" s="28">
        <f>IF(OR(履歴データ!$A$528="",履歴データ!$A$527=""),"",(J528-J527)*100)</f>
        <v>1.9999999999999574</v>
      </c>
      <c r="T528" s="11">
        <f>IF(OR(履歴データ!$A$528="",履歴データ!$A$527=""),"",-80000*K528)</f>
        <v>-119999.99999999744</v>
      </c>
      <c r="U528" s="11">
        <f>IF(OR(履歴データ!$A$528="",履歴データ!$A$527=""),"",60000*L528)</f>
        <v>54000.000000000764</v>
      </c>
      <c r="V528" s="11">
        <f>IF(OR(履歴データ!$A$528="",履歴データ!$A$527=""),"",-50000*M528)</f>
        <v>-44999.999999998865</v>
      </c>
      <c r="W528" s="11">
        <f>IF(OR(履歴データ!$A$528="",履歴データ!$A$527=""),"",-40000*N528)</f>
        <v>-79999.999999998297</v>
      </c>
      <c r="X528" s="11">
        <f>IF(OR(履歴データ!$A$528="",履歴データ!$A$527=""),"",120*1000000*(-Q528/H527))</f>
        <v>-518277.88915146707</v>
      </c>
      <c r="Y528" s="11">
        <f>IF(OR(履歴データ!$A$528="",履歴データ!$A$527=""),"",40000*(-S528)+(-506.3)*R528*1000)</f>
        <v>-72089.062499998297</v>
      </c>
      <c r="Z528" s="11">
        <f>IF(OR(履歴データ!$A$528="",履歴データ!$A$527=""),"",-40000*O528)</f>
        <v>3999.9999999986358</v>
      </c>
      <c r="AA528" s="11">
        <f>IF(OR(履歴データ!$A$528="",履歴データ!$A$527=""),"",-40000*P528)</f>
        <v>146159.99999999473</v>
      </c>
      <c r="AB528" s="11">
        <f>IF(履歴データ!$A$528="","",123.3)</f>
        <v>123.3</v>
      </c>
      <c r="AC528">
        <f>IF(履歴データ!$A$528="","",SUM(T528:AA528))</f>
        <v>-631206.95165146585</v>
      </c>
      <c r="AD528" s="29">
        <f>IF(履歴データ!$A$528="","",AC528/1000000)</f>
        <v>-0.6312069516514659</v>
      </c>
      <c r="AE528" s="29">
        <f>IF(履歴データ!$A$528="",AE527,AE527+AC528/1000000)</f>
        <v>74.900474713551901</v>
      </c>
      <c r="AF528" s="12">
        <f>IF(OR(履歴データ!$A$528="",AE527=0),"",(AE528-AE527)/AE527)</f>
        <v>-8.3568502347042845E-3</v>
      </c>
      <c r="AG528" s="29">
        <f t="shared" si="26"/>
        <v>102.17217746631495</v>
      </c>
      <c r="AH528" s="12">
        <f>IF(OR(履歴データ!$A$528="",AG528=0),"",AE528/AG528-1)</f>
        <v>-0.26691907160101613</v>
      </c>
      <c r="AJ528" s="28">
        <f t="shared" ca="1" si="24"/>
        <v>8.2698871771485134</v>
      </c>
      <c r="AK528" s="28">
        <f t="shared" ca="1" si="25"/>
        <v>-38.464331621592962</v>
      </c>
    </row>
    <row r="529" spans="1:37">
      <c r="A529" s="10">
        <f>IF(履歴データ!$A$529="","",履歴データ!$A$529)</f>
        <v>45699</v>
      </c>
      <c r="B529" s="28">
        <f>IF(履歴データ!$A$529="","",(履歴データ!$D$529-(履歴データ!$B$529+履歴データ!$F$529)/2)*100)</f>
        <v>2.0000000000000462</v>
      </c>
      <c r="C529" s="28">
        <f>IF(履歴データ!$A$529="","",(履歴データ!$H$529-(履歴データ!$G$529+履歴データ!$J$529)/2)*100)</f>
        <v>-22.799999999999997</v>
      </c>
      <c r="D529" s="28">
        <f>IF(履歴データ!$A$529="","",(履歴データ!$D$529-履歴データ!$H$529)*100)</f>
        <v>322.2</v>
      </c>
      <c r="E529" s="28">
        <f>IF(履歴データ!$A$529="","",(履歴データ!$D$529-履歴データ!$C$529)*100)</f>
        <v>16.999999999999993</v>
      </c>
      <c r="F529" s="28">
        <f>IF(履歴データ!$A$529="","",(履歴データ!$R$529-履歴データ!$D$529)*100)</f>
        <v>-280.45</v>
      </c>
      <c r="G529" s="28">
        <f>IF(履歴データ!$A$529="","",(履歴データ!$S$529-履歴データ!$R$529)*100)</f>
        <v>-45.806821411132859</v>
      </c>
      <c r="H529" s="29">
        <f>IF(履歴データ!$A$529="","",履歴データ!$O$529)</f>
        <v>151.75900268554688</v>
      </c>
      <c r="I529" s="29">
        <f>IF(履歴データ!$A$529="","",履歴データ!$Q$529)</f>
        <v>108.953125</v>
      </c>
      <c r="J529" s="29">
        <f>IF(履歴データ!$A$529="","",履歴データ!$D$529)</f>
        <v>4.54</v>
      </c>
      <c r="K529" s="28">
        <f>IF(OR(履歴データ!$A$529="",履歴データ!$A$528=""),"",B529-B528)</f>
        <v>0.50000000000007816</v>
      </c>
      <c r="L529" s="28">
        <f>IF(OR(履歴データ!$A$529="",履歴データ!$A$528=""),"",C529-C528)</f>
        <v>0</v>
      </c>
      <c r="M529" s="28">
        <f>IF(OR(履歴データ!$A$529="",履歴データ!$A$528=""),"",D529-D528)</f>
        <v>3</v>
      </c>
      <c r="N529" s="28">
        <f>IF(OR(履歴データ!$A$529="",履歴データ!$A$528=""),"",E529-E528)</f>
        <v>0</v>
      </c>
      <c r="O529" s="28">
        <f>IF(OR(履歴データ!$A$529="",履歴データ!$A$528=""),"",F529-F528)</f>
        <v>-3.3899999999999864</v>
      </c>
      <c r="P529" s="28">
        <f>IF(OR(履歴データ!$A$529="",履歴データ!$A$528=""),"",G529-G528)</f>
        <v>0.39000000000000057</v>
      </c>
      <c r="Q529" s="29">
        <f>IF(OR(履歴データ!$A$529="",履歴データ!$A$528=""),"",H529-H528)</f>
        <v>-8.69903564453125E-2</v>
      </c>
      <c r="R529" s="29">
        <f>IF(OR(履歴データ!$A$529="",履歴データ!$A$528=""),"",I529-I528)</f>
        <v>-0.265625</v>
      </c>
      <c r="S529" s="28">
        <f>IF(OR(履歴データ!$A$529="",履歴データ!$A$528=""),"",(J529-J528)*100)</f>
        <v>3.0000000000000249</v>
      </c>
      <c r="T529" s="11">
        <f>IF(OR(履歴データ!$A$529="",履歴データ!$A$528=""),"",-80000*K529)</f>
        <v>-40000.00000000625</v>
      </c>
      <c r="U529" s="11">
        <f>IF(OR(履歴データ!$A$529="",履歴データ!$A$528=""),"",60000*L529)</f>
        <v>0</v>
      </c>
      <c r="V529" s="11">
        <f>IF(OR(履歴データ!$A$529="",履歴データ!$A$528=""),"",-50000*M529)</f>
        <v>-150000</v>
      </c>
      <c r="W529" s="11">
        <f>IF(OR(履歴データ!$A$529="",履歴データ!$A$528=""),"",-40000*N529)</f>
        <v>0</v>
      </c>
      <c r="X529" s="11">
        <f>IF(OR(履歴データ!$A$529="",履歴データ!$A$528=""),"",120*1000000*(-Q529/H528))</f>
        <v>68746.251147705261</v>
      </c>
      <c r="Y529" s="11">
        <f>IF(OR(履歴データ!$A$529="",履歴データ!$A$528=""),"",40000*(-S529)+(-506.3)*R529*1000)</f>
        <v>14485.93749999901</v>
      </c>
      <c r="Z529" s="11">
        <f>IF(OR(履歴データ!$A$529="",履歴データ!$A$528=""),"",-40000*O529)</f>
        <v>135599.99999999945</v>
      </c>
      <c r="AA529" s="11">
        <f>IF(OR(履歴データ!$A$529="",履歴データ!$A$528=""),"",-40000*P529)</f>
        <v>-15600.000000000022</v>
      </c>
      <c r="AB529" s="11">
        <f>IF(履歴データ!$A$529="","",123.3)</f>
        <v>123.3</v>
      </c>
      <c r="AC529">
        <f>IF(履歴データ!$A$529="","",SUM(T529:AA529))</f>
        <v>13232.18864769744</v>
      </c>
      <c r="AD529" s="29">
        <f>IF(履歴データ!$A$529="","",AC529/1000000)</f>
        <v>1.323218864769744E-2</v>
      </c>
      <c r="AE529" s="29">
        <f>IF(履歴データ!$A$529="",AE528,AE528+AC529/1000000)</f>
        <v>74.913706902199593</v>
      </c>
      <c r="AF529" s="12">
        <f>IF(OR(履歴データ!$A$529="",AE528=0),"",(AE529-AE528)/AE528)</f>
        <v>1.7666361526140598E-4</v>
      </c>
      <c r="AG529" s="29">
        <f t="shared" si="26"/>
        <v>102.17217746631495</v>
      </c>
      <c r="AH529" s="12">
        <f>IF(OR(履歴データ!$A$529="",AG529=0),"",AE529/AG529-1)</f>
        <v>-0.26678956287392597</v>
      </c>
      <c r="AJ529" s="28">
        <f t="shared" ca="1" si="24"/>
        <v>8.4351421549239411</v>
      </c>
      <c r="AK529" s="28">
        <f t="shared" ca="1" si="25"/>
        <v>-38.39942786920966</v>
      </c>
    </row>
    <row r="530" spans="1:37">
      <c r="A530" s="10">
        <f>IF(履歴データ!$A$530="","",履歴データ!$A$530)</f>
        <v>45700</v>
      </c>
      <c r="B530" s="28">
        <f>IF(履歴データ!$A$530="","",(履歴データ!$D$530-(履歴データ!$B$530+履歴データ!$F$530)/2)*100)</f>
        <v>2.4999999999999467</v>
      </c>
      <c r="C530" s="28">
        <f>IF(履歴データ!$A$530="","",(履歴データ!$H$530-(履歴データ!$G$530+履歴データ!$J$530)/2)*100)</f>
        <v>-20.449999999999989</v>
      </c>
      <c r="D530" s="28">
        <f>IF(履歴データ!$A$530="","",(履歴データ!$D$530-履歴データ!$H$530)*100)</f>
        <v>327.39999999999998</v>
      </c>
      <c r="E530" s="28">
        <f>IF(履歴データ!$A$530="","",(履歴データ!$D$530-履歴データ!$C$530)*100)</f>
        <v>13.999999999999968</v>
      </c>
      <c r="F530" s="28">
        <f>IF(履歴データ!$A$530="","",(履歴データ!$R$530-履歴データ!$D$530)*100)</f>
        <v>-282.26</v>
      </c>
      <c r="G530" s="28">
        <f>IF(履歴データ!$A$530="","",(履歴データ!$S$530-履歴データ!$R$530)*100)</f>
        <v>-53.049178588867328</v>
      </c>
      <c r="H530" s="29">
        <f>IF(履歴データ!$A$530="","",履歴データ!$O$530)</f>
        <v>152.73899841308594</v>
      </c>
      <c r="I530" s="29">
        <f>IF(履歴データ!$A$530="","",履歴データ!$Q$530)</f>
        <v>108.265625</v>
      </c>
      <c r="J530" s="29">
        <f>IF(履歴データ!$A$530="","",履歴データ!$D$530)</f>
        <v>4.62</v>
      </c>
      <c r="K530" s="28">
        <f>IF(OR(履歴データ!$A$530="",履歴データ!$A$529=""),"",B530-B529)</f>
        <v>0.49999999999990052</v>
      </c>
      <c r="L530" s="28">
        <f>IF(OR(履歴データ!$A$530="",履歴データ!$A$529=""),"",C530-C529)</f>
        <v>2.3500000000000085</v>
      </c>
      <c r="M530" s="28">
        <f>IF(OR(履歴データ!$A$530="",履歴データ!$A$529=""),"",D530-D529)</f>
        <v>5.1999999999999886</v>
      </c>
      <c r="N530" s="28">
        <f>IF(OR(履歴データ!$A$530="",履歴データ!$A$529=""),"",E530-E529)</f>
        <v>-3.0000000000000249</v>
      </c>
      <c r="O530" s="28">
        <f>IF(OR(履歴データ!$A$530="",履歴データ!$A$529=""),"",F530-F529)</f>
        <v>-1.8100000000000023</v>
      </c>
      <c r="P530" s="28">
        <f>IF(OR(履歴データ!$A$530="",履歴データ!$A$529=""),"",G530-G529)</f>
        <v>-7.2423571777344691</v>
      </c>
      <c r="Q530" s="29">
        <f>IF(OR(履歴データ!$A$530="",履歴データ!$A$529=""),"",H530-H529)</f>
        <v>0.9799957275390625</v>
      </c>
      <c r="R530" s="29">
        <f>IF(OR(履歴データ!$A$530="",履歴データ!$A$529=""),"",I530-I529)</f>
        <v>-0.6875</v>
      </c>
      <c r="S530" s="28">
        <f>IF(OR(履歴データ!$A$530="",履歴データ!$A$529=""),"",(J530-J529)*100)</f>
        <v>8.0000000000000071</v>
      </c>
      <c r="T530" s="11">
        <f>IF(OR(履歴データ!$A$530="",履歴データ!$A$529=""),"",-80000*K530)</f>
        <v>-39999.99999999204</v>
      </c>
      <c r="U530" s="11">
        <f>IF(OR(履歴データ!$A$530="",履歴データ!$A$529=""),"",60000*L530)</f>
        <v>141000.00000000052</v>
      </c>
      <c r="V530" s="11">
        <f>IF(OR(履歴データ!$A$530="",履歴データ!$A$529=""),"",-50000*M530)</f>
        <v>-259999.99999999942</v>
      </c>
      <c r="W530" s="11">
        <f>IF(OR(履歴データ!$A$530="",履歴データ!$A$529=""),"",-40000*N530)</f>
        <v>120000.00000000099</v>
      </c>
      <c r="X530" s="11">
        <f>IF(OR(履歴データ!$A$530="",履歴データ!$A$529=""),"",120*1000000*(-Q530/H529))</f>
        <v>-774909.46318591863</v>
      </c>
      <c r="Y530" s="11">
        <f>IF(OR(履歴データ!$A$530="",履歴データ!$A$529=""),"",40000*(-S530)+(-506.3)*R530*1000)</f>
        <v>28081.249999999709</v>
      </c>
      <c r="Z530" s="11">
        <f>IF(OR(履歴データ!$A$530="",履歴データ!$A$529=""),"",-40000*O530)</f>
        <v>72400.000000000087</v>
      </c>
      <c r="AA530" s="11">
        <f>IF(OR(履歴データ!$A$530="",履歴データ!$A$529=""),"",-40000*P530)</f>
        <v>289694.28710937878</v>
      </c>
      <c r="AB530" s="11">
        <f>IF(履歴データ!$A$530="","",123.3)</f>
        <v>123.3</v>
      </c>
      <c r="AC530">
        <f>IF(履歴データ!$A$530="","",SUM(T530:AA530))</f>
        <v>-423733.92607652984</v>
      </c>
      <c r="AD530" s="29">
        <f>IF(履歴データ!$A$530="","",AC530/1000000)</f>
        <v>-0.42373392607652982</v>
      </c>
      <c r="AE530" s="29">
        <f>IF(履歴データ!$A$530="",AE529,AE529+AC530/1000000)</f>
        <v>74.489972976123056</v>
      </c>
      <c r="AF530" s="12">
        <f>IF(OR(履歴データ!$A$530="",AE529=0),"",(AE530-AE529)/AE529)</f>
        <v>-5.6562936690574463E-3</v>
      </c>
      <c r="AG530" s="29">
        <f t="shared" si="26"/>
        <v>102.17217746631495</v>
      </c>
      <c r="AH530" s="12">
        <f>IF(OR(履歴データ!$A$530="",AG530=0),"",AE530/AG530-1)</f>
        <v>-0.27093681642752909</v>
      </c>
      <c r="AJ530" s="28">
        <f t="shared" ca="1" si="24"/>
        <v>8.6097479585742001</v>
      </c>
      <c r="AK530" s="28">
        <f t="shared" ca="1" si="25"/>
        <v>-38.347843196669444</v>
      </c>
    </row>
    <row r="531" spans="1:37">
      <c r="A531" s="10">
        <f>IF(履歴データ!$A$531="","",履歴データ!$A$531)</f>
        <v>45701</v>
      </c>
      <c r="B531" s="28">
        <f>IF(履歴データ!$A$531="","",(履歴データ!$D$531-(履歴データ!$B$531+履歴データ!$F$531)/2)*100)</f>
        <v>0.49999999999998934</v>
      </c>
      <c r="C531" s="28">
        <f>IF(履歴データ!$A$531="","",(履歴データ!$H$531-(履歴データ!$G$531+履歴データ!$J$531)/2)*100)</f>
        <v>-19.900000000000006</v>
      </c>
      <c r="D531" s="28">
        <f>IF(履歴データ!$A$531="","",(履歴データ!$D$531-履歴データ!$H$531)*100)</f>
        <v>316.29999999999995</v>
      </c>
      <c r="E531" s="28">
        <f>IF(履歴データ!$A$531="","",(履歴データ!$D$531-履歴データ!$C$531)*100)</f>
        <v>12.999999999999989</v>
      </c>
      <c r="F531" s="28">
        <f>IF(履歴データ!$A$531="","",(履歴データ!$R$531-履歴データ!$D$531)*100)</f>
        <v>-270.74</v>
      </c>
      <c r="G531" s="28">
        <f>IF(履歴データ!$A$531="","",(履歴データ!$S$531-履歴データ!$R$531)*100)</f>
        <v>-56.674000000000134</v>
      </c>
      <c r="H531" s="29">
        <f>IF(履歴データ!$A$531="","",履歴データ!$O$531)</f>
        <v>154.2550048828125</v>
      </c>
      <c r="I531" s="29">
        <f>IF(履歴データ!$A$531="","",履歴データ!$Q$531)</f>
        <v>108.96875</v>
      </c>
      <c r="J531" s="29">
        <f>IF(履歴データ!$A$531="","",履歴データ!$D$531)</f>
        <v>4.5199999999999996</v>
      </c>
      <c r="K531" s="28">
        <f>IF(OR(履歴データ!$A$531="",履歴データ!$A$530=""),"",B531-B530)</f>
        <v>-1.9999999999999574</v>
      </c>
      <c r="L531" s="28">
        <f>IF(OR(履歴データ!$A$531="",履歴データ!$A$530=""),"",C531-C530)</f>
        <v>0.54999999999998295</v>
      </c>
      <c r="M531" s="28">
        <f>IF(OR(履歴データ!$A$531="",履歴データ!$A$530=""),"",D531-D530)</f>
        <v>-11.100000000000023</v>
      </c>
      <c r="N531" s="28">
        <f>IF(OR(履歴データ!$A$531="",履歴データ!$A$530=""),"",E531-E530)</f>
        <v>-0.99999999999997868</v>
      </c>
      <c r="O531" s="28">
        <f>IF(OR(履歴データ!$A$531="",履歴データ!$A$530=""),"",F531-F530)</f>
        <v>11.519999999999982</v>
      </c>
      <c r="P531" s="28">
        <f>IF(OR(履歴データ!$A$531="",履歴データ!$A$530=""),"",G531-G530)</f>
        <v>-3.6248214111328068</v>
      </c>
      <c r="Q531" s="29">
        <f>IF(OR(履歴データ!$A$531="",履歴データ!$A$530=""),"",H531-H530)</f>
        <v>1.5160064697265625</v>
      </c>
      <c r="R531" s="29">
        <f>IF(OR(履歴データ!$A$531="",履歴データ!$A$530=""),"",I531-I530)</f>
        <v>0.703125</v>
      </c>
      <c r="S531" s="28">
        <f>IF(OR(履歴データ!$A$531="",履歴データ!$A$530=""),"",(J531-J530)*100)</f>
        <v>-10.000000000000053</v>
      </c>
      <c r="T531" s="11">
        <f>IF(OR(履歴データ!$A$531="",履歴データ!$A$530=""),"",-80000*K531)</f>
        <v>159999.99999999659</v>
      </c>
      <c r="U531" s="11">
        <f>IF(OR(履歴データ!$A$531="",履歴データ!$A$530=""),"",60000*L531)</f>
        <v>32999.999999998974</v>
      </c>
      <c r="V531" s="11">
        <f>IF(OR(履歴データ!$A$531="",履歴データ!$A$530=""),"",-50000*M531)</f>
        <v>555000.00000000116</v>
      </c>
      <c r="W531" s="11">
        <f>IF(OR(履歴データ!$A$531="",履歴データ!$A$530=""),"",-40000*N531)</f>
        <v>39999.999999999149</v>
      </c>
      <c r="X531" s="11">
        <f>IF(OR(履歴データ!$A$531="",履歴データ!$A$530=""),"",120*1000000*(-Q531/H530))</f>
        <v>-1191056.4967512672</v>
      </c>
      <c r="Y531" s="11">
        <f>IF(OR(履歴データ!$A$531="",履歴データ!$A$530=""),"",40000*(-S531)+(-506.3)*R531*1000)</f>
        <v>44007.812500002154</v>
      </c>
      <c r="Z531" s="11">
        <f>IF(OR(履歴データ!$A$531="",履歴データ!$A$530=""),"",-40000*O531)</f>
        <v>-460799.9999999993</v>
      </c>
      <c r="AA531" s="11">
        <f>IF(OR(履歴データ!$A$531="",履歴データ!$A$530=""),"",-40000*P531)</f>
        <v>144992.85644531227</v>
      </c>
      <c r="AB531" s="11">
        <f>IF(履歴データ!$A$531="","",123.3)</f>
        <v>123.3</v>
      </c>
      <c r="AC531">
        <f>IF(履歴データ!$A$531="","",SUM(T531:AA531))</f>
        <v>-674855.82780595613</v>
      </c>
      <c r="AD531" s="29">
        <f>IF(履歴データ!$A$531="","",AC531/1000000)</f>
        <v>-0.6748558278059561</v>
      </c>
      <c r="AE531" s="29">
        <f>IF(履歴データ!$A$531="",AE530,AE530+AC531/1000000)</f>
        <v>73.8151171483171</v>
      </c>
      <c r="AF531" s="12">
        <f>IF(OR(履歴データ!$A$531="",AE530=0),"",(AE531-AE530)/AE530)</f>
        <v>-9.0596868389558136E-3</v>
      </c>
      <c r="AG531" s="29">
        <f t="shared" si="26"/>
        <v>102.17217746631495</v>
      </c>
      <c r="AH531" s="12">
        <f>IF(OR(履歴データ!$A$531="",AG531=0),"",AE531/AG531-1)</f>
        <v>-0.27754190055650774</v>
      </c>
      <c r="AJ531" s="28">
        <f t="shared" ca="1" si="24"/>
        <v>8.753784442922333</v>
      </c>
      <c r="AK531" s="28">
        <f t="shared" ca="1" si="25"/>
        <v>-38.28553047466837</v>
      </c>
    </row>
    <row r="532" spans="1:37">
      <c r="A532" s="10">
        <f>IF(履歴データ!$A$532="","",履歴データ!$A$532)</f>
        <v>45702</v>
      </c>
      <c r="B532" s="28">
        <f>IF(履歴データ!$A$532="","",(履歴データ!$D$532-(履歴データ!$B$532+履歴データ!$F$532)/2)*100)</f>
        <v>-0.49999999999998934</v>
      </c>
      <c r="C532" s="28">
        <f>IF(履歴データ!$A$532="","",(履歴データ!$H$532-(履歴データ!$G$532+履歴データ!$J$532)/2)*100)</f>
        <v>-19.500000000000007</v>
      </c>
      <c r="D532" s="28">
        <f>IF(履歴データ!$A$532="","",(履歴データ!$D$532-履歴データ!$H$532)*100)</f>
        <v>311.29999999999995</v>
      </c>
      <c r="E532" s="28">
        <f>IF(履歴データ!$A$532="","",(履歴データ!$D$532-履歴データ!$C$532)*100)</f>
        <v>13.999999999999968</v>
      </c>
      <c r="F532" s="28">
        <f>IF(履歴データ!$A$532="","",(履歴データ!$R$532-履歴データ!$D$532)*100)</f>
        <v>-270.21999999999997</v>
      </c>
      <c r="G532" s="28">
        <f>IF(履歴データ!$A$532="","",(履歴データ!$S$532-履歴データ!$R$532)*100)</f>
        <v>-45.704178588867236</v>
      </c>
      <c r="H532" s="29">
        <f>IF(履歴データ!$A$532="","",履歴データ!$O$532)</f>
        <v>152.98899841308594</v>
      </c>
      <c r="I532" s="29">
        <f>IF(履歴データ!$A$532="","",履歴データ!$Q$532)</f>
        <v>109.3125</v>
      </c>
      <c r="J532" s="29">
        <f>IF(履歴データ!$A$532="","",履歴データ!$D$532)</f>
        <v>4.47</v>
      </c>
      <c r="K532" s="28">
        <f>IF(OR(履歴データ!$A$532="",履歴データ!$A$531=""),"",B532-B531)</f>
        <v>-0.99999999999997868</v>
      </c>
      <c r="L532" s="28">
        <f>IF(OR(履歴データ!$A$532="",履歴データ!$A$531=""),"",C532-C531)</f>
        <v>0.39999999999999858</v>
      </c>
      <c r="M532" s="28">
        <f>IF(OR(履歴データ!$A$532="",履歴データ!$A$531=""),"",D532-D531)</f>
        <v>-5</v>
      </c>
      <c r="N532" s="28">
        <f>IF(OR(履歴データ!$A$532="",履歴データ!$A$531=""),"",E532-E531)</f>
        <v>0.99999999999997868</v>
      </c>
      <c r="O532" s="28">
        <f>IF(OR(履歴データ!$A$532="",履歴データ!$A$531=""),"",F532-F531)</f>
        <v>0.52000000000003865</v>
      </c>
      <c r="P532" s="28">
        <f>IF(OR(履歴データ!$A$532="",履歴データ!$A$531=""),"",G532-G531)</f>
        <v>10.969821411132898</v>
      </c>
      <c r="Q532" s="29">
        <f>IF(OR(履歴データ!$A$532="",履歴データ!$A$531=""),"",H532-H531)</f>
        <v>-1.2660064697265625</v>
      </c>
      <c r="R532" s="29">
        <f>IF(OR(履歴データ!$A$532="",履歴データ!$A$531=""),"",I532-I531)</f>
        <v>0.34375</v>
      </c>
      <c r="S532" s="28">
        <f>IF(OR(履歴データ!$A$532="",履歴データ!$A$531=""),"",(J532-J531)*100)</f>
        <v>-4.9999999999999822</v>
      </c>
      <c r="T532" s="11">
        <f>IF(OR(履歴データ!$A$532="",履歴データ!$A$531=""),"",-80000*K532)</f>
        <v>79999.999999998297</v>
      </c>
      <c r="U532" s="11">
        <f>IF(OR(履歴データ!$A$532="",履歴データ!$A$531=""),"",60000*L532)</f>
        <v>23999.999999999916</v>
      </c>
      <c r="V532" s="11">
        <f>IF(OR(履歴データ!$A$532="",履歴データ!$A$531=""),"",-50000*M532)</f>
        <v>250000</v>
      </c>
      <c r="W532" s="11">
        <f>IF(OR(履歴データ!$A$532="",履歴データ!$A$531=""),"",-40000*N532)</f>
        <v>-39999.999999999149</v>
      </c>
      <c r="X532" s="11">
        <f>IF(OR(履歴データ!$A$532="",履歴データ!$A$531=""),"",120*1000000*(-Q532/H531))</f>
        <v>984867.72913852416</v>
      </c>
      <c r="Y532" s="11">
        <f>IF(OR(履歴データ!$A$532="",履歴データ!$A$531=""),"",40000*(-S532)+(-506.3)*R532*1000)</f>
        <v>25959.374999999302</v>
      </c>
      <c r="Z532" s="11">
        <f>IF(OR(履歴データ!$A$532="",履歴データ!$A$531=""),"",-40000*O532)</f>
        <v>-20800.000000001546</v>
      </c>
      <c r="AA532" s="11">
        <f>IF(OR(履歴データ!$A$532="",履歴データ!$A$531=""),"",-40000*P532)</f>
        <v>-438792.85644531593</v>
      </c>
      <c r="AB532" s="11">
        <f>IF(履歴データ!$A$532="","",123.3)</f>
        <v>123.3</v>
      </c>
      <c r="AC532">
        <f>IF(履歴データ!$A$532="","",SUM(T532:AA532))</f>
        <v>865234.24769320502</v>
      </c>
      <c r="AD532" s="29">
        <f>IF(履歴データ!$A$532="","",AC532/1000000)</f>
        <v>0.86523424769320501</v>
      </c>
      <c r="AE532" s="29">
        <f>IF(履歴データ!$A$532="",AE531,AE531+AC532/1000000)</f>
        <v>74.680351396010309</v>
      </c>
      <c r="AF532" s="12">
        <f>IF(OR(履歴データ!$A$532="",AE531=0),"",(AE532-AE531)/AE531)</f>
        <v>1.1721640242806761E-2</v>
      </c>
      <c r="AG532" s="29">
        <f t="shared" si="26"/>
        <v>102.17217746631495</v>
      </c>
      <c r="AH532" s="12">
        <f>IF(OR(履歴データ!$A$532="",AG532=0),"",AE532/AG532-1)</f>
        <v>-0.26907350662432927</v>
      </c>
      <c r="AJ532" s="28">
        <f t="shared" ca="1" si="24"/>
        <v>8.8850675460673489</v>
      </c>
      <c r="AK532" s="28">
        <f t="shared" ca="1" si="25"/>
        <v>-38.226337387337196</v>
      </c>
    </row>
    <row r="533" spans="1:37">
      <c r="A533" s="10">
        <f>IF(履歴データ!$A$533="","",履歴データ!$A$533)</f>
        <v>45706</v>
      </c>
      <c r="B533" s="28">
        <f>IF(履歴データ!$A$533="","",(履歴データ!$D$533-(履歴データ!$B$533+履歴データ!$F$533)/2)*100)</f>
        <v>2.0000000000000462</v>
      </c>
      <c r="C533" s="28">
        <f>IF(履歴データ!$A$533="","",(履歴データ!$H$533-(履歴データ!$G$533+履歴データ!$J$533)/2)*100)</f>
        <v>-14.900000000000002</v>
      </c>
      <c r="D533" s="28">
        <f>IF(履歴データ!$A$533="","",(履歴データ!$D$533-履歴データ!$H$533)*100)</f>
        <v>311.8</v>
      </c>
      <c r="E533" s="28">
        <f>IF(履歴データ!$A$533="","",(履歴データ!$D$533-履歴データ!$C$533)*100)</f>
        <v>14.999999999999947</v>
      </c>
      <c r="F533" s="28">
        <f>IF(履歴データ!$A$533="","",(履歴データ!$R$533-履歴データ!$D$533)*100)</f>
        <v>-277.09999999999997</v>
      </c>
      <c r="G533" s="28">
        <f>IF(履歴データ!$A$533="","",(履歴データ!$S$533-履歴データ!$R$533)*100)</f>
        <v>-44.544000000000139</v>
      </c>
      <c r="H533" s="29">
        <f>IF(履歴データ!$A$533="","",履歴データ!$O$533)</f>
        <v>151.44400024414063</v>
      </c>
      <c r="I533" s="29">
        <f>IF(履歴データ!$A$533="","",履歴データ!$Q$533)</f>
        <v>108.84375</v>
      </c>
      <c r="J533" s="29">
        <f>IF(履歴データ!$A$533="","",履歴データ!$D$533)</f>
        <v>4.55</v>
      </c>
      <c r="K533" s="28">
        <f>IF(OR(履歴データ!$A$533="",履歴データ!$A$532=""),"",B533-B532)</f>
        <v>2.5000000000000355</v>
      </c>
      <c r="L533" s="28">
        <f>IF(OR(履歴データ!$A$533="",履歴データ!$A$532=""),"",C533-C532)</f>
        <v>4.600000000000005</v>
      </c>
      <c r="M533" s="28">
        <f>IF(OR(履歴データ!$A$533="",履歴データ!$A$532=""),"",D533-D532)</f>
        <v>0.50000000000005684</v>
      </c>
      <c r="N533" s="28">
        <f>IF(OR(履歴データ!$A$533="",履歴データ!$A$532=""),"",E533-E532)</f>
        <v>0.99999999999997868</v>
      </c>
      <c r="O533" s="28">
        <f>IF(OR(履歴データ!$A$533="",履歴データ!$A$532=""),"",F533-F532)</f>
        <v>-6.8799999999999955</v>
      </c>
      <c r="P533" s="28">
        <f>IF(OR(履歴データ!$A$533="",履歴データ!$A$532=""),"",G533-G532)</f>
        <v>1.1601785888670975</v>
      </c>
      <c r="Q533" s="29">
        <f>IF(OR(履歴データ!$A$533="",履歴データ!$A$532=""),"",H533-H532)</f>
        <v>-1.5449981689453125</v>
      </c>
      <c r="R533" s="29">
        <f>IF(OR(履歴データ!$A$533="",履歴データ!$A$532=""),"",I533-I532)</f>
        <v>-0.46875</v>
      </c>
      <c r="S533" s="28">
        <f>IF(OR(履歴データ!$A$533="",履歴データ!$A$532=""),"",(J533-J532)*100)</f>
        <v>8.0000000000000071</v>
      </c>
      <c r="T533" s="11">
        <f>IF(OR(履歴データ!$A$533="",履歴データ!$A$532=""),"",-80000*K533)</f>
        <v>-200000.00000000285</v>
      </c>
      <c r="U533" s="11">
        <f>IF(OR(履歴データ!$A$533="",履歴データ!$A$532=""),"",60000*L533)</f>
        <v>276000.00000000029</v>
      </c>
      <c r="V533" s="11">
        <f>IF(OR(履歴データ!$A$533="",履歴データ!$A$532=""),"",-50000*M533)</f>
        <v>-25000.000000002841</v>
      </c>
      <c r="W533" s="11">
        <f>IF(OR(履歴データ!$A$533="",履歴データ!$A$532=""),"",-40000*N533)</f>
        <v>-39999.999999999149</v>
      </c>
      <c r="X533" s="11">
        <f>IF(OR(履歴データ!$A$533="",履歴データ!$A$532=""),"",120*1000000*(-Q533/H532))</f>
        <v>1211850.4088303077</v>
      </c>
      <c r="Y533" s="11">
        <f>IF(OR(履歴データ!$A$533="",履歴データ!$A$532=""),"",40000*(-S533)+(-506.3)*R533*1000)</f>
        <v>-82671.875000000291</v>
      </c>
      <c r="Z533" s="11">
        <f>IF(OR(履歴データ!$A$533="",履歴データ!$A$532=""),"",-40000*O533)</f>
        <v>275199.99999999983</v>
      </c>
      <c r="AA533" s="11">
        <f>IF(OR(履歴データ!$A$533="",履歴データ!$A$532=""),"",-40000*P533)</f>
        <v>-46407.143554683898</v>
      </c>
      <c r="AB533" s="11">
        <f>IF(履歴データ!$A$533="","",123.3)</f>
        <v>123.3</v>
      </c>
      <c r="AC533">
        <f>IF(履歴データ!$A$533="","",SUM(T533:AA533))</f>
        <v>1368971.3902756185</v>
      </c>
      <c r="AD533" s="29">
        <f>IF(履歴データ!$A$533="","",AC533/1000000)</f>
        <v>1.3689713902756184</v>
      </c>
      <c r="AE533" s="29">
        <f>IF(履歴データ!$A$533="",AE532,AE532+AC533/1000000)</f>
        <v>76.049322786285927</v>
      </c>
      <c r="AF533" s="12">
        <f>IF(OR(履歴データ!$A$533="",AE532=0),"",(AE533-AE532)/AE532)</f>
        <v>1.8331078586070412E-2</v>
      </c>
      <c r="AG533" s="29">
        <f t="shared" si="26"/>
        <v>102.17217746631495</v>
      </c>
      <c r="AH533" s="12">
        <f>IF(OR(履歴データ!$A$533="",AG533=0),"",AE533/AG533-1)</f>
        <v>-0.25567483563361892</v>
      </c>
      <c r="AJ533" s="28">
        <f t="shared" ca="1" si="24"/>
        <v>9.0518150760228089</v>
      </c>
      <c r="AK533" s="28">
        <f t="shared" ca="1" si="25"/>
        <v>-38.186735710943452</v>
      </c>
    </row>
    <row r="534" spans="1:37">
      <c r="A534" s="10">
        <f>IF(履歴データ!$A$534="","",履歴データ!$A$534)</f>
        <v>45707</v>
      </c>
      <c r="B534" s="28">
        <f>IF(履歴データ!$A$534="","",(履歴データ!$D$534-(履歴データ!$B$534+履歴データ!$F$534)/2)*100)</f>
        <v>1.0000000000000675</v>
      </c>
      <c r="C534" s="28">
        <f>IF(履歴データ!$A$534="","",(履歴データ!$H$534-(履歴データ!$G$534+履歴データ!$J$534)/2)*100)</f>
        <v>-14.149999999999995</v>
      </c>
      <c r="D534" s="28">
        <f>IF(履歴データ!$A$534="","",(履歴データ!$D$534-履歴データ!$H$534)*100)</f>
        <v>309.8</v>
      </c>
      <c r="E534" s="28">
        <f>IF(履歴データ!$A$534="","",(履歴データ!$D$534-履歴データ!$C$534)*100)</f>
        <v>16.000000000000014</v>
      </c>
      <c r="F534" s="28">
        <f>IF(履歴データ!$A$534="","",(履歴データ!$R$534-履歴データ!$D$534)*100)</f>
        <v>-264.80000000000007</v>
      </c>
      <c r="G534" s="28">
        <f>IF(履歴データ!$A$534="","",(履歴データ!$S$534-履歴データ!$R$534)*100)</f>
        <v>-64.315642822265701</v>
      </c>
      <c r="H534" s="29">
        <f>IF(履歴データ!$A$534="","",履歴データ!$O$534)</f>
        <v>151.93099975585938</v>
      </c>
      <c r="I534" s="29">
        <f>IF(履歴データ!$A$534="","",履歴データ!$Q$534)</f>
        <v>108.953125</v>
      </c>
      <c r="J534" s="29">
        <f>IF(履歴データ!$A$534="","",履歴データ!$D$534)</f>
        <v>4.53</v>
      </c>
      <c r="K534" s="28">
        <f>IF(OR(履歴データ!$A$534="",履歴データ!$A$533=""),"",B534-B533)</f>
        <v>-0.99999999999997868</v>
      </c>
      <c r="L534" s="28">
        <f>IF(OR(履歴データ!$A$534="",履歴データ!$A$533=""),"",C534-C533)</f>
        <v>0.75000000000000711</v>
      </c>
      <c r="M534" s="28">
        <f>IF(OR(履歴データ!$A$534="",履歴データ!$A$533=""),"",D534-D533)</f>
        <v>-2</v>
      </c>
      <c r="N534" s="28">
        <f>IF(OR(履歴データ!$A$534="",履歴データ!$A$533=""),"",E534-E533)</f>
        <v>1.0000000000000675</v>
      </c>
      <c r="O534" s="28">
        <f>IF(OR(履歴データ!$A$534="",履歴データ!$A$533=""),"",F534-F533)</f>
        <v>12.299999999999898</v>
      </c>
      <c r="P534" s="28">
        <f>IF(OR(履歴データ!$A$534="",履歴データ!$A$533=""),"",G534-G533)</f>
        <v>-19.771642822265562</v>
      </c>
      <c r="Q534" s="29">
        <f>IF(OR(履歴データ!$A$534="",履歴データ!$A$533=""),"",H534-H533)</f>
        <v>0.48699951171875</v>
      </c>
      <c r="R534" s="29">
        <f>IF(OR(履歴データ!$A$534="",履歴データ!$A$533=""),"",I534-I533)</f>
        <v>0.109375</v>
      </c>
      <c r="S534" s="28">
        <f>IF(OR(履歴データ!$A$534="",履歴データ!$A$533=""),"",(J534-J533)*100)</f>
        <v>-1.9999999999999574</v>
      </c>
      <c r="T534" s="11">
        <f>IF(OR(履歴データ!$A$534="",履歴データ!$A$533=""),"",-80000*K534)</f>
        <v>79999.999999998297</v>
      </c>
      <c r="U534" s="11">
        <f>IF(OR(履歴データ!$A$534="",履歴データ!$A$533=""),"",60000*L534)</f>
        <v>45000.000000000429</v>
      </c>
      <c r="V534" s="11">
        <f>IF(OR(履歴データ!$A$534="",履歴データ!$A$533=""),"",-50000*M534)</f>
        <v>100000</v>
      </c>
      <c r="W534" s="11">
        <f>IF(OR(履歴データ!$A$534="",履歴データ!$A$533=""),"",-40000*N534)</f>
        <v>-40000.000000002699</v>
      </c>
      <c r="X534" s="11">
        <f>IF(OR(履歴データ!$A$534="",履歴データ!$A$533=""),"",120*1000000*(-Q534/H533))</f>
        <v>-385884.82417289453</v>
      </c>
      <c r="Y534" s="11">
        <f>IF(OR(履歴データ!$A$534="",履歴データ!$A$533=""),"",40000*(-S534)+(-506.3)*R534*1000)</f>
        <v>24623.437499998297</v>
      </c>
      <c r="Z534" s="11">
        <f>IF(OR(履歴データ!$A$534="",履歴データ!$A$533=""),"",-40000*O534)</f>
        <v>-491999.99999999593</v>
      </c>
      <c r="AA534" s="11">
        <f>IF(OR(履歴データ!$A$534="",履歴データ!$A$533=""),"",-40000*P534)</f>
        <v>790865.71289062244</v>
      </c>
      <c r="AB534" s="11">
        <f>IF(履歴データ!$A$534="","",123.3)</f>
        <v>123.3</v>
      </c>
      <c r="AC534">
        <f>IF(履歴データ!$A$534="","",SUM(T534:AA534))</f>
        <v>122604.32621772634</v>
      </c>
      <c r="AD534" s="29">
        <f>IF(履歴データ!$A$534="","",AC534/1000000)</f>
        <v>0.12260432621772634</v>
      </c>
      <c r="AE534" s="29">
        <f>IF(履歴データ!$A$534="",AE533,AE533+AC534/1000000)</f>
        <v>76.171927112503653</v>
      </c>
      <c r="AF534" s="12">
        <f>IF(OR(履歴データ!$A$534="",AE533=0),"",(AE534-AE533)/AE533)</f>
        <v>1.6121685470134792E-3</v>
      </c>
      <c r="AG534" s="29">
        <f t="shared" si="26"/>
        <v>102.17217746631495</v>
      </c>
      <c r="AH534" s="12">
        <f>IF(OR(履歴データ!$A$534="",AG534=0),"",AE534/AG534-1)</f>
        <v>-0.25447485801487679</v>
      </c>
      <c r="AJ534" s="28">
        <f t="shared" ca="1" si="24"/>
        <v>9.2030113146114996</v>
      </c>
      <c r="AK534" s="28">
        <f t="shared" ca="1" si="25"/>
        <v>-38.143487505087691</v>
      </c>
    </row>
    <row r="535" spans="1:37">
      <c r="A535" s="10">
        <f>IF(履歴データ!$A$535="","",履歴データ!$A$535)</f>
        <v>45708</v>
      </c>
      <c r="B535" s="28">
        <f>IF(履歴データ!$A$535="","",(履歴データ!$D$535-(履歴データ!$B$535+履歴データ!$F$535)/2)*100)</f>
        <v>-0.99999999999997868</v>
      </c>
      <c r="C535" s="28">
        <f>IF(履歴データ!$A$535="","",(履歴データ!$H$535-(履歴データ!$G$535+履歴データ!$J$535)/2)*100)</f>
        <v>-13.049999999999983</v>
      </c>
      <c r="D535" s="28">
        <f>IF(履歴データ!$A$535="","",(履歴データ!$D$535-履歴データ!$H$535)*100)</f>
        <v>305.90000000000003</v>
      </c>
      <c r="E535" s="28">
        <f>IF(履歴データ!$A$535="","",(履歴データ!$D$535-履歴データ!$C$535)*100)</f>
        <v>16.000000000000014</v>
      </c>
      <c r="F535" s="28">
        <f>IF(履歴データ!$A$535="","",(履歴データ!$R$535-履歴データ!$D$535)*100)</f>
        <v>-252.17000000000002</v>
      </c>
      <c r="G535" s="28">
        <f>IF(履歴データ!$A$535="","",(履歴データ!$S$535-履歴データ!$R$535)*100)</f>
        <v>-53.423821411132892</v>
      </c>
      <c r="H535" s="29">
        <f>IF(履歴データ!$A$535="","",履歴データ!$O$535)</f>
        <v>151.22000122070313</v>
      </c>
      <c r="I535" s="29">
        <f>IF(履歴データ!$A$535="","",履歴データ!$Q$535)</f>
        <v>109.171875</v>
      </c>
      <c r="J535" s="29">
        <f>IF(履歴データ!$A$535="","",履歴データ!$D$535)</f>
        <v>4.5</v>
      </c>
      <c r="K535" s="28">
        <f>IF(OR(履歴データ!$A$535="",履歴データ!$A$534=""),"",B535-B534)</f>
        <v>-2.0000000000000462</v>
      </c>
      <c r="L535" s="28">
        <f>IF(OR(履歴データ!$A$535="",履歴データ!$A$534=""),"",C535-C534)</f>
        <v>1.1000000000000121</v>
      </c>
      <c r="M535" s="28">
        <f>IF(OR(履歴データ!$A$535="",履歴データ!$A$534=""),"",D535-D534)</f>
        <v>-3.8999999999999773</v>
      </c>
      <c r="N535" s="28">
        <f>IF(OR(履歴データ!$A$535="",履歴データ!$A$534=""),"",E535-E534)</f>
        <v>0</v>
      </c>
      <c r="O535" s="28">
        <f>IF(OR(履歴データ!$A$535="",履歴データ!$A$534=""),"",F535-F534)</f>
        <v>12.630000000000052</v>
      </c>
      <c r="P535" s="28">
        <f>IF(OR(履歴データ!$A$535="",履歴データ!$A$534=""),"",G535-G534)</f>
        <v>10.89182141113281</v>
      </c>
      <c r="Q535" s="29">
        <f>IF(OR(履歴データ!$A$535="",履歴データ!$A$534=""),"",H535-H534)</f>
        <v>-0.71099853515625</v>
      </c>
      <c r="R535" s="29">
        <f>IF(OR(履歴データ!$A$535="",履歴データ!$A$534=""),"",I535-I534)</f>
        <v>0.21875</v>
      </c>
      <c r="S535" s="28">
        <f>IF(OR(履歴データ!$A$535="",履歴データ!$A$534=""),"",(J535-J534)*100)</f>
        <v>-3.0000000000000249</v>
      </c>
      <c r="T535" s="11">
        <f>IF(OR(履歴データ!$A$535="",履歴データ!$A$534=""),"",-80000*K535)</f>
        <v>160000.0000000037</v>
      </c>
      <c r="U535" s="11">
        <f>IF(OR(履歴データ!$A$535="",履歴データ!$A$534=""),"",60000*L535)</f>
        <v>66000.000000000728</v>
      </c>
      <c r="V535" s="11">
        <f>IF(OR(履歴データ!$A$535="",履歴データ!$A$534=""),"",-50000*M535)</f>
        <v>194999.99999999886</v>
      </c>
      <c r="W535" s="11">
        <f>IF(OR(履歴データ!$A$535="",履歴データ!$A$534=""),"",-40000*N535)</f>
        <v>0</v>
      </c>
      <c r="X535" s="11">
        <f>IF(OR(履歴データ!$A$535="",履歴データ!$A$534=""),"",120*1000000*(-Q535/H534))</f>
        <v>561569.55694263801</v>
      </c>
      <c r="Y535" s="11">
        <f>IF(OR(履歴データ!$A$535="",履歴データ!$A$534=""),"",40000*(-S535)+(-506.3)*R535*1000)</f>
        <v>9246.8750000009895</v>
      </c>
      <c r="Z535" s="11">
        <f>IF(OR(履歴データ!$A$535="",履歴データ!$A$534=""),"",-40000*O535)</f>
        <v>-505200.0000000021</v>
      </c>
      <c r="AA535" s="11">
        <f>IF(OR(履歴データ!$A$535="",履歴データ!$A$534=""),"",-40000*P535)</f>
        <v>-435672.85644531238</v>
      </c>
      <c r="AB535" s="11">
        <f>IF(履歴データ!$A$535="","",123.3)</f>
        <v>123.3</v>
      </c>
      <c r="AC535">
        <f>IF(履歴データ!$A$535="","",SUM(T535:AA535))</f>
        <v>50943.575497327722</v>
      </c>
      <c r="AD535" s="29">
        <f>IF(履歴データ!$A$535="","",AC535/1000000)</f>
        <v>5.0943575497327719E-2</v>
      </c>
      <c r="AE535" s="29">
        <f>IF(履歴データ!$A$535="",AE534,AE534+AC535/1000000)</f>
        <v>76.222870688000981</v>
      </c>
      <c r="AF535" s="12">
        <f>IF(OR(履歴データ!$A$535="",AE534=0),"",(AE535-AE534)/AE534)</f>
        <v>6.687972515397446E-4</v>
      </c>
      <c r="AG535" s="29">
        <f t="shared" si="26"/>
        <v>102.17217746631495</v>
      </c>
      <c r="AH535" s="12">
        <f>IF(OR(履歴データ!$A$535="",AG535=0),"",AE535/AG535-1)</f>
        <v>-0.25397625284896341</v>
      </c>
      <c r="AJ535" s="28">
        <f t="shared" ca="1" si="24"/>
        <v>9.3212224030603306</v>
      </c>
      <c r="AK535" s="28">
        <f t="shared" ca="1" si="25"/>
        <v>-38.071222403060332</v>
      </c>
    </row>
    <row r="536" spans="1:37">
      <c r="A536" s="10">
        <f>IF(履歴データ!$A$536="","",履歴データ!$A$536)</f>
        <v>45709</v>
      </c>
      <c r="B536" s="28">
        <f>IF(履歴データ!$A$536="","",(履歴データ!$D$536-(履歴データ!$B$536+履歴データ!$F$536)/2)*100)</f>
        <v>-0.99999999999997868</v>
      </c>
      <c r="C536" s="28">
        <f>IF(履歴データ!$A$536="","",(履歴データ!$H$536-(履歴データ!$G$536+履歴データ!$J$536)/2)*100)</f>
        <v>-14.949999999999996</v>
      </c>
      <c r="D536" s="28">
        <f>IF(履歴データ!$A$536="","",(履歴データ!$D$536-履歴データ!$H$536)*100)</f>
        <v>299.3</v>
      </c>
      <c r="E536" s="28">
        <f>IF(履歴データ!$A$536="","",(履歴データ!$D$536-履歴データ!$C$536)*100)</f>
        <v>16.000000000000014</v>
      </c>
      <c r="F536" s="28">
        <f>IF(履歴データ!$A$536="","",(履歴データ!$R$536-履歴データ!$D$536)*100)</f>
        <v>-247.43</v>
      </c>
      <c r="G536" s="28">
        <f>IF(履歴データ!$A$536="","",(履歴データ!$S$536-履歴データ!$R$536)*100)</f>
        <v>-59.810821411132899</v>
      </c>
      <c r="H536" s="29">
        <f>IF(履歴データ!$A$536="","",履歴データ!$O$536)</f>
        <v>149.40800476074219</v>
      </c>
      <c r="I536" s="29">
        <f>IF(履歴データ!$A$536="","",履歴データ!$Q$536)</f>
        <v>109.6875</v>
      </c>
      <c r="J536" s="29">
        <f>IF(履歴データ!$A$536="","",履歴データ!$D$536)</f>
        <v>4.42</v>
      </c>
      <c r="K536" s="28">
        <f>IF(OR(履歴データ!$A$536="",履歴データ!$A$535=""),"",B536-B535)</f>
        <v>0</v>
      </c>
      <c r="L536" s="28">
        <f>IF(OR(履歴データ!$A$536="",履歴データ!$A$535=""),"",C536-C535)</f>
        <v>-1.9000000000000128</v>
      </c>
      <c r="M536" s="28">
        <f>IF(OR(履歴データ!$A$536="",履歴データ!$A$535=""),"",D536-D535)</f>
        <v>-6.6000000000000227</v>
      </c>
      <c r="N536" s="28">
        <f>IF(OR(履歴データ!$A$536="",履歴データ!$A$535=""),"",E536-E535)</f>
        <v>0</v>
      </c>
      <c r="O536" s="28">
        <f>IF(OR(履歴データ!$A$536="",履歴データ!$A$535=""),"",F536-F535)</f>
        <v>4.7400000000000091</v>
      </c>
      <c r="P536" s="28">
        <f>IF(OR(履歴データ!$A$536="",履歴データ!$A$535=""),"",G536-G535)</f>
        <v>-6.3870000000000076</v>
      </c>
      <c r="Q536" s="29">
        <f>IF(OR(履歴データ!$A$536="",履歴データ!$A$535=""),"",H536-H535)</f>
        <v>-1.8119964599609375</v>
      </c>
      <c r="R536" s="29">
        <f>IF(OR(履歴データ!$A$536="",履歴データ!$A$535=""),"",I536-I535)</f>
        <v>0.515625</v>
      </c>
      <c r="S536" s="28">
        <f>IF(OR(履歴データ!$A$536="",履歴データ!$A$535=""),"",(J536-J535)*100)</f>
        <v>-8.0000000000000071</v>
      </c>
      <c r="T536" s="11">
        <f>IF(OR(履歴データ!$A$536="",履歴データ!$A$535=""),"",-80000*K536)</f>
        <v>0</v>
      </c>
      <c r="U536" s="11">
        <f>IF(OR(履歴データ!$A$536="",履歴データ!$A$535=""),"",60000*L536)</f>
        <v>-114000.00000000077</v>
      </c>
      <c r="V536" s="11">
        <f>IF(OR(履歴データ!$A$536="",履歴データ!$A$535=""),"",-50000*M536)</f>
        <v>330000.00000000116</v>
      </c>
      <c r="W536" s="11">
        <f>IF(OR(履歴データ!$A$536="",履歴データ!$A$535=""),"",-40000*N536)</f>
        <v>0</v>
      </c>
      <c r="X536" s="11">
        <f>IF(OR(履歴データ!$A$536="",履歴データ!$A$535=""),"",120*1000000*(-Q536/H535))</f>
        <v>1437902.2182255043</v>
      </c>
      <c r="Y536" s="11">
        <f>IF(OR(履歴データ!$A$536="",履歴データ!$A$535=""),"",40000*(-S536)+(-506.3)*R536*1000)</f>
        <v>58939.062500000262</v>
      </c>
      <c r="Z536" s="11">
        <f>IF(OR(履歴データ!$A$536="",履歴データ!$A$535=""),"",-40000*O536)</f>
        <v>-189600.00000000035</v>
      </c>
      <c r="AA536" s="11">
        <f>IF(OR(履歴データ!$A$536="",履歴データ!$A$535=""),"",-40000*P536)</f>
        <v>255480.00000000029</v>
      </c>
      <c r="AB536" s="11">
        <f>IF(履歴データ!$A$536="","",123.3)</f>
        <v>123.3</v>
      </c>
      <c r="AC536">
        <f>IF(履歴データ!$A$536="","",SUM(T536:AA536))</f>
        <v>1778721.280725505</v>
      </c>
      <c r="AD536" s="29">
        <f>IF(履歴データ!$A$536="","",AC536/1000000)</f>
        <v>1.7787212807255051</v>
      </c>
      <c r="AE536" s="29">
        <f>IF(履歴データ!$A$536="",AE535,AE535+AC536/1000000)</f>
        <v>78.001591968726487</v>
      </c>
      <c r="AF536" s="12">
        <f>IF(OR(履歴データ!$A$536="",AE535=0),"",(AE536-AE535)/AE535)</f>
        <v>2.3335794948031424E-2</v>
      </c>
      <c r="AG536" s="29">
        <f t="shared" si="26"/>
        <v>102.17217746631495</v>
      </c>
      <c r="AH536" s="12">
        <f>IF(OR(履歴データ!$A$536="",AG536=0),"",AE536/AG536-1)</f>
        <v>-0.23656719565908479</v>
      </c>
      <c r="AJ536" s="28">
        <f t="shared" ca="1" si="24"/>
        <v>9.4394083215422206</v>
      </c>
      <c r="AK536" s="28">
        <f t="shared" ca="1" si="25"/>
        <v>-38.00290038503428</v>
      </c>
    </row>
    <row r="537" spans="1:37">
      <c r="A537" s="10">
        <f>IF(履歴データ!$A$537="","",履歴データ!$A$537)</f>
        <v>45712</v>
      </c>
      <c r="B537" s="28">
        <f>IF(履歴データ!$A$537="","",(履歴データ!$D$537-(履歴データ!$B$537+履歴データ!$F$537)/2)*100)</f>
        <v>0.50000000000007816</v>
      </c>
      <c r="C537" s="28">
        <f>IF(履歴データ!$A$537="","",(履歴データ!$H$537-(履歴データ!$G$537+履歴データ!$J$537)/2)*100)</f>
        <v>-14.949999999999996</v>
      </c>
      <c r="D537" s="28">
        <f>IF(履歴データ!$A$537="","",(履歴データ!$D$537-履歴データ!$H$537)*100)</f>
        <v>297.3</v>
      </c>
      <c r="E537" s="28">
        <f>IF(履歴データ!$A$537="","",(履歴データ!$D$537-履歴データ!$C$537)*100)</f>
        <v>16.999999999999993</v>
      </c>
      <c r="F537" s="28">
        <f>IF(履歴データ!$A$537="","",(履歴データ!$R$537-履歴データ!$D$537)*100)</f>
        <v>-249.74000000000004</v>
      </c>
      <c r="G537" s="28">
        <f>IF(履歴データ!$A$537="","",(履歴データ!$S$537-履歴データ!$R$537)*100)</f>
        <v>-55.500821411132904</v>
      </c>
      <c r="H537" s="29">
        <f>IF(履歴データ!$A$537="","",履歴データ!$O$537)</f>
        <v>149.38699340820313</v>
      </c>
      <c r="I537" s="29">
        <f>IF(履歴データ!$A$537="","",履歴データ!$Q$537)</f>
        <v>109.875</v>
      </c>
      <c r="J537" s="29">
        <f>IF(履歴データ!$A$537="","",履歴データ!$D$537)</f>
        <v>4.4000000000000004</v>
      </c>
      <c r="K537" s="28">
        <f>IF(OR(履歴データ!$A$537="",履歴データ!$A$536=""),"",B537-B536)</f>
        <v>1.5000000000000568</v>
      </c>
      <c r="L537" s="28">
        <f>IF(OR(履歴データ!$A$537="",履歴データ!$A$536=""),"",C537-C536)</f>
        <v>0</v>
      </c>
      <c r="M537" s="28">
        <f>IF(OR(履歴データ!$A$537="",履歴データ!$A$536=""),"",D537-D536)</f>
        <v>-2</v>
      </c>
      <c r="N537" s="28">
        <f>IF(OR(履歴データ!$A$537="",履歴データ!$A$536=""),"",E537-E536)</f>
        <v>0.99999999999997868</v>
      </c>
      <c r="O537" s="28">
        <f>IF(OR(履歴データ!$A$537="",履歴データ!$A$536=""),"",F537-F536)</f>
        <v>-2.3100000000000307</v>
      </c>
      <c r="P537" s="28">
        <f>IF(OR(履歴データ!$A$537="",履歴データ!$A$536=""),"",G537-G536)</f>
        <v>4.3099999999999952</v>
      </c>
      <c r="Q537" s="29">
        <f>IF(OR(履歴データ!$A$537="",履歴データ!$A$536=""),"",H537-H536)</f>
        <v>-2.10113525390625E-2</v>
      </c>
      <c r="R537" s="29">
        <f>IF(OR(履歴データ!$A$537="",履歴データ!$A$536=""),"",I537-I536)</f>
        <v>0.1875</v>
      </c>
      <c r="S537" s="28">
        <f>IF(OR(履歴データ!$A$537="",履歴データ!$A$536=""),"",(J537-J536)*100)</f>
        <v>-1.9999999999999574</v>
      </c>
      <c r="T537" s="11">
        <f>IF(OR(履歴データ!$A$537="",履歴データ!$A$536=""),"",-80000*K537)</f>
        <v>-120000.00000000454</v>
      </c>
      <c r="U537" s="11">
        <f>IF(OR(履歴データ!$A$537="",履歴データ!$A$536=""),"",60000*L537)</f>
        <v>0</v>
      </c>
      <c r="V537" s="11">
        <f>IF(OR(履歴データ!$A$537="",履歴データ!$A$536=""),"",-50000*M537)</f>
        <v>100000</v>
      </c>
      <c r="W537" s="11">
        <f>IF(OR(履歴データ!$A$537="",履歴データ!$A$536=""),"",-40000*N537)</f>
        <v>-39999.999999999149</v>
      </c>
      <c r="X537" s="11">
        <f>IF(OR(履歴データ!$A$537="",履歴データ!$A$536=""),"",120*1000000*(-Q537/H536))</f>
        <v>16875.684195938091</v>
      </c>
      <c r="Y537" s="11">
        <f>IF(OR(履歴データ!$A$537="",履歴データ!$A$536=""),"",40000*(-S537)+(-506.3)*R537*1000)</f>
        <v>-14931.250000001703</v>
      </c>
      <c r="Z537" s="11">
        <f>IF(OR(履歴データ!$A$537="",履歴データ!$A$536=""),"",-40000*O537)</f>
        <v>92400.000000001222</v>
      </c>
      <c r="AA537" s="11">
        <f>IF(OR(履歴データ!$A$537="",履歴データ!$A$536=""),"",-40000*P537)</f>
        <v>-172399.9999999998</v>
      </c>
      <c r="AB537" s="11">
        <f>IF(履歴データ!$A$537="","",123.3)</f>
        <v>123.3</v>
      </c>
      <c r="AC537">
        <f>IF(履歴データ!$A$537="","",SUM(T537:AA537))</f>
        <v>-138055.56580406587</v>
      </c>
      <c r="AD537" s="29">
        <f>IF(履歴データ!$A$537="","",AC537/1000000)</f>
        <v>-0.13805556580406589</v>
      </c>
      <c r="AE537" s="29">
        <f>IF(履歴データ!$A$537="",AE536,AE536+AC537/1000000)</f>
        <v>77.863536402922421</v>
      </c>
      <c r="AF537" s="12">
        <f>IF(OR(履歴データ!$A$537="",AE536=0),"",(AE537-AE536)/AE536)</f>
        <v>-1.7699070277875548E-3</v>
      </c>
      <c r="AG537" s="29">
        <f t="shared" si="26"/>
        <v>102.17217746631495</v>
      </c>
      <c r="AH537" s="12">
        <f>IF(OR(履歴データ!$A$537="",AG537=0),"",AE537/AG537-1)</f>
        <v>-0.23791840074473136</v>
      </c>
      <c r="AJ537" s="28">
        <f t="shared" ca="1" si="24"/>
        <v>9.5760748338561772</v>
      </c>
      <c r="AK537" s="28">
        <f t="shared" ca="1" si="25"/>
        <v>-37.941154198935543</v>
      </c>
    </row>
    <row r="538" spans="1:37">
      <c r="A538" s="10">
        <f>IF(履歴データ!$A$538="","",履歴データ!$A$538)</f>
        <v>45713</v>
      </c>
      <c r="B538" s="28">
        <f>IF(履歴データ!$A$538="","",(履歴データ!$D$538-(履歴データ!$B$538+履歴データ!$F$538)/2)*100)</f>
        <v>-1.0000000000000675</v>
      </c>
      <c r="C538" s="28">
        <f>IF(履歴データ!$A$538="","",(履歴データ!$H$538-(履歴データ!$G$538+履歴データ!$J$538)/2)*100)</f>
        <v>-17.399999999999991</v>
      </c>
      <c r="D538" s="28">
        <f>IF(履歴データ!$A$538="","",(履歴データ!$D$538-履歴データ!$H$538)*100)</f>
        <v>291.29999999999995</v>
      </c>
      <c r="E538" s="28">
        <f>IF(履歴データ!$A$538="","",(履歴データ!$D$538-履歴データ!$C$538)*100)</f>
        <v>17.999999999999972</v>
      </c>
      <c r="F538" s="28">
        <f>IF(履歴データ!$A$538="","",(履歴データ!$R$538-履歴データ!$D$538)*100)</f>
        <v>-241.70999999999995</v>
      </c>
      <c r="G538" s="28">
        <f>IF(履歴データ!$A$538="","",(履歴データ!$S$538-履歴データ!$R$538)*100)</f>
        <v>-48.795000000000208</v>
      </c>
      <c r="H538" s="29">
        <f>IF(履歴データ!$A$538="","",履歴データ!$O$538)</f>
        <v>149.86399841308594</v>
      </c>
      <c r="I538" s="29">
        <f>IF(履歴データ!$A$538="","",履歴データ!$Q$538)</f>
        <v>110.515625</v>
      </c>
      <c r="J538" s="29">
        <f>IF(履歴データ!$A$538="","",履歴データ!$D$538)</f>
        <v>4.3</v>
      </c>
      <c r="K538" s="28">
        <f>IF(OR(履歴データ!$A$538="",履歴データ!$A$537=""),"",B538-B537)</f>
        <v>-1.5000000000001457</v>
      </c>
      <c r="L538" s="28">
        <f>IF(OR(履歴データ!$A$538="",履歴データ!$A$537=""),"",C538-C537)</f>
        <v>-2.4499999999999957</v>
      </c>
      <c r="M538" s="28">
        <f>IF(OR(履歴データ!$A$538="",履歴データ!$A$537=""),"",D538-D537)</f>
        <v>-6.0000000000000568</v>
      </c>
      <c r="N538" s="28">
        <f>IF(OR(履歴データ!$A$538="",履歴データ!$A$537=""),"",E538-E537)</f>
        <v>0.99999999999997868</v>
      </c>
      <c r="O538" s="28">
        <f>IF(OR(履歴データ!$A$538="",履歴データ!$A$537=""),"",F538-F537)</f>
        <v>8.0300000000000864</v>
      </c>
      <c r="P538" s="28">
        <f>IF(OR(履歴データ!$A$538="",履歴データ!$A$537=""),"",G538-G537)</f>
        <v>6.7058214111326961</v>
      </c>
      <c r="Q538" s="29">
        <f>IF(OR(履歴データ!$A$538="",履歴データ!$A$537=""),"",H538-H537)</f>
        <v>0.4770050048828125</v>
      </c>
      <c r="R538" s="29">
        <f>IF(OR(履歴データ!$A$538="",履歴データ!$A$537=""),"",I538-I537)</f>
        <v>0.640625</v>
      </c>
      <c r="S538" s="28">
        <f>IF(OR(履歴データ!$A$538="",履歴データ!$A$537=""),"",(J538-J537)*100)</f>
        <v>-10.000000000000053</v>
      </c>
      <c r="T538" s="11">
        <f>IF(OR(履歴データ!$A$538="",履歴データ!$A$537=""),"",-80000*K538)</f>
        <v>120000.00000001166</v>
      </c>
      <c r="U538" s="11">
        <f>IF(OR(履歴データ!$A$538="",履歴データ!$A$537=""),"",60000*L538)</f>
        <v>-146999.99999999974</v>
      </c>
      <c r="V538" s="11">
        <f>IF(OR(履歴データ!$A$538="",履歴データ!$A$537=""),"",-50000*M538)</f>
        <v>300000.00000000285</v>
      </c>
      <c r="W538" s="11">
        <f>IF(OR(履歴データ!$A$538="",履歴データ!$A$537=""),"",-40000*N538)</f>
        <v>-39999.999999999149</v>
      </c>
      <c r="X538" s="11">
        <f>IF(OR(履歴データ!$A$538="",履歴データ!$A$537=""),"",120*1000000*(-Q538/H537))</f>
        <v>-383169.90843725158</v>
      </c>
      <c r="Y538" s="11">
        <f>IF(OR(履歴データ!$A$538="",履歴データ!$A$537=""),"",40000*(-S538)+(-506.3)*R538*1000)</f>
        <v>75651.562500002154</v>
      </c>
      <c r="Z538" s="11">
        <f>IF(OR(履歴データ!$A$538="",履歴データ!$A$537=""),"",-40000*O538)</f>
        <v>-321200.00000000343</v>
      </c>
      <c r="AA538" s="11">
        <f>IF(OR(履歴データ!$A$538="",履歴データ!$A$537=""),"",-40000*P538)</f>
        <v>-268232.85644530784</v>
      </c>
      <c r="AB538" s="11">
        <f>IF(履歴データ!$A$538="","",123.3)</f>
        <v>123.3</v>
      </c>
      <c r="AC538">
        <f>IF(履歴データ!$A$538="","",SUM(T538:AA538))</f>
        <v>-663951.2023825451</v>
      </c>
      <c r="AD538" s="29">
        <f>IF(履歴データ!$A$538="","",AC538/1000000)</f>
        <v>-0.66395120238254512</v>
      </c>
      <c r="AE538" s="29">
        <f>IF(履歴データ!$A$538="",AE537,AE537+AC538/1000000)</f>
        <v>77.199585200539872</v>
      </c>
      <c r="AF538" s="12">
        <f>IF(OR(履歴データ!$A$538="",AE537=0),"",(AE538-AE537)/AE537)</f>
        <v>-8.527113371100738E-3</v>
      </c>
      <c r="AG538" s="29">
        <f t="shared" si="26"/>
        <v>102.17217746631495</v>
      </c>
      <c r="AH538" s="12">
        <f>IF(OR(履歴データ!$A$538="",AG538=0),"",AE538/AG538-1)</f>
        <v>-0.24441675693961074</v>
      </c>
      <c r="AJ538" s="28">
        <f t="shared" ca="1" si="24"/>
        <v>9.6911646151628741</v>
      </c>
      <c r="AK538" s="28">
        <f t="shared" ca="1" si="25"/>
        <v>-37.869736043734299</v>
      </c>
    </row>
    <row r="539" spans="1:37">
      <c r="A539" s="10">
        <f>IF(履歴データ!$A$539="","",履歴データ!$A$539)</f>
        <v>45714</v>
      </c>
      <c r="B539" s="28">
        <f>IF(履歴データ!$A$539="","",(履歴データ!$D$539-(履歴データ!$B$539+履歴データ!$F$539)/2)*100)</f>
        <v>-2.9999999999999361</v>
      </c>
      <c r="C539" s="28">
        <f>IF(履歴データ!$A$539="","",(履歴データ!$H$539-(履歴データ!$G$539+履歴データ!$J$539)/2)*100)</f>
        <v>-18.700000000000006</v>
      </c>
      <c r="D539" s="28">
        <f>IF(履歴データ!$A$539="","",(履歴データ!$D$539-履歴データ!$H$539)*100)</f>
        <v>287.7</v>
      </c>
      <c r="E539" s="28">
        <f>IF(履歴データ!$A$539="","",(履歴データ!$D$539-履歴データ!$C$539)*100)</f>
        <v>19.000000000000039</v>
      </c>
      <c r="F539" s="28">
        <f>IF(履歴データ!$A$539="","",(履歴データ!$R$539-履歴データ!$D$539)*100)</f>
        <v>-240.16000000000003</v>
      </c>
      <c r="G539" s="28">
        <f>IF(履歴データ!$A$539="","",(履歴データ!$S$539-履歴データ!$R$539)*100)</f>
        <v>-57.62300000000009</v>
      </c>
      <c r="H539" s="29">
        <f>IF(履歴データ!$A$539="","",履歴データ!$O$539)</f>
        <v>149.0780029296875</v>
      </c>
      <c r="I539" s="29">
        <f>IF(履歴データ!$A$539="","",履歴データ!$Q$539)</f>
        <v>110.84375</v>
      </c>
      <c r="J539" s="29">
        <f>IF(履歴データ!$A$539="","",履歴データ!$D$539)</f>
        <v>4.25</v>
      </c>
      <c r="K539" s="28">
        <f>IF(OR(履歴データ!$A$539="",履歴データ!$A$538=""),"",B539-B538)</f>
        <v>-1.9999999999998685</v>
      </c>
      <c r="L539" s="28">
        <f>IF(OR(履歴データ!$A$539="",履歴データ!$A$538=""),"",C539-C538)</f>
        <v>-1.3000000000000149</v>
      </c>
      <c r="M539" s="28">
        <f>IF(OR(履歴データ!$A$539="",履歴データ!$A$538=""),"",D539-D538)</f>
        <v>-3.5999999999999659</v>
      </c>
      <c r="N539" s="28">
        <f>IF(OR(履歴データ!$A$539="",履歴データ!$A$538=""),"",E539-E538)</f>
        <v>1.0000000000000675</v>
      </c>
      <c r="O539" s="28">
        <f>IF(OR(履歴データ!$A$539="",履歴データ!$A$538=""),"",F539-F538)</f>
        <v>1.5499999999999261</v>
      </c>
      <c r="P539" s="28">
        <f>IF(OR(履歴データ!$A$539="",履歴データ!$A$538=""),"",G539-G538)</f>
        <v>-8.8279999999998822</v>
      </c>
      <c r="Q539" s="29">
        <f>IF(OR(履歴データ!$A$539="",履歴データ!$A$538=""),"",H539-H538)</f>
        <v>-0.7859954833984375</v>
      </c>
      <c r="R539" s="29">
        <f>IF(OR(履歴データ!$A$539="",履歴データ!$A$538=""),"",I539-I538)</f>
        <v>0.328125</v>
      </c>
      <c r="S539" s="28">
        <f>IF(OR(履歴データ!$A$539="",履歴データ!$A$538=""),"",(J539-J538)*100)</f>
        <v>-4.9999999999999822</v>
      </c>
      <c r="T539" s="11">
        <f>IF(OR(履歴データ!$A$539="",履歴データ!$A$538=""),"",-80000*K539)</f>
        <v>159999.99999998949</v>
      </c>
      <c r="U539" s="11">
        <f>IF(OR(履歴データ!$A$539="",履歴データ!$A$538=""),"",60000*L539)</f>
        <v>-78000.000000000902</v>
      </c>
      <c r="V539" s="11">
        <f>IF(OR(履歴データ!$A$539="",履歴データ!$A$538=""),"",-50000*M539)</f>
        <v>179999.99999999828</v>
      </c>
      <c r="W539" s="11">
        <f>IF(OR(履歴データ!$A$539="",履歴データ!$A$538=""),"",-40000*N539)</f>
        <v>-40000.000000002699</v>
      </c>
      <c r="X539" s="11">
        <f>IF(OR(履歴データ!$A$539="",履歴データ!$A$538=""),"",120*1000000*(-Q539/H538))</f>
        <v>629367.01947474957</v>
      </c>
      <c r="Y539" s="11">
        <f>IF(OR(履歴データ!$A$539="",履歴データ!$A$538=""),"",40000*(-S539)+(-506.3)*R539*1000)</f>
        <v>33870.312499999272</v>
      </c>
      <c r="Z539" s="11">
        <f>IF(OR(履歴データ!$A$539="",履歴データ!$A$538=""),"",-40000*O539)</f>
        <v>-61999.999999997046</v>
      </c>
      <c r="AA539" s="11">
        <f>IF(OR(履歴データ!$A$539="",履歴データ!$A$538=""),"",-40000*P539)</f>
        <v>353119.99999999529</v>
      </c>
      <c r="AB539" s="11">
        <f>IF(履歴データ!$A$539="","",123.3)</f>
        <v>123.3</v>
      </c>
      <c r="AC539">
        <f>IF(履歴データ!$A$539="","",SUM(T539:AA539))</f>
        <v>1176357.3319747313</v>
      </c>
      <c r="AD539" s="29">
        <f>IF(履歴データ!$A$539="","",AC539/1000000)</f>
        <v>1.1763573319747314</v>
      </c>
      <c r="AE539" s="29">
        <f>IF(履歴データ!$A$539="",AE538,AE538+AC539/1000000)</f>
        <v>78.3759425325146</v>
      </c>
      <c r="AF539" s="12">
        <f>IF(OR(履歴データ!$A$539="",AE538=0),"",(AE539-AE538)/AE538)</f>
        <v>1.523787114812764E-2</v>
      </c>
      <c r="AG539" s="29">
        <f t="shared" si="26"/>
        <v>102.17217746631495</v>
      </c>
      <c r="AH539" s="12">
        <f>IF(OR(履歴データ!$A$539="",AG539=0),"",AE539/AG539-1)</f>
        <v>-0.2329032768401722</v>
      </c>
      <c r="AJ539" s="28">
        <f t="shared" ca="1" si="24"/>
        <v>9.7791389932460397</v>
      </c>
      <c r="AK539" s="28">
        <f t="shared" ca="1" si="25"/>
        <v>-37.783107247214289</v>
      </c>
    </row>
    <row r="540" spans="1:37">
      <c r="A540" s="10">
        <f>IF(履歴データ!$A$540="","",履歴データ!$A$540)</f>
        <v>45715</v>
      </c>
      <c r="B540" s="28">
        <f>IF(履歴データ!$A$540="","",(履歴データ!$D$540-(履歴データ!$B$540+履歴データ!$F$540)/2)*100)</f>
        <v>-2.4999999999999467</v>
      </c>
      <c r="C540" s="28">
        <f>IF(履歴データ!$A$540="","",(履歴データ!$H$540-(履歴データ!$G$540+履歴データ!$J$540)/2)*100)</f>
        <v>-18.400000000000016</v>
      </c>
      <c r="D540" s="28">
        <f>IF(履歴データ!$A$540="","",(履歴データ!$D$540-履歴データ!$H$540)*100)</f>
        <v>289.20000000000005</v>
      </c>
      <c r="E540" s="28">
        <f>IF(履歴データ!$A$540="","",(履歴データ!$D$540-履歴データ!$C$540)*100)</f>
        <v>20.000000000000018</v>
      </c>
      <c r="F540" s="28">
        <f>IF(履歴データ!$A$540="","",(履歴データ!$R$540-履歴データ!$D$540)*100)</f>
        <v>-244.43</v>
      </c>
      <c r="G540" s="28">
        <f>IF(履歴データ!$A$540="","",(履歴データ!$S$540-履歴データ!$R$540)*100)</f>
        <v>-51.91564282226571</v>
      </c>
      <c r="H540" s="29">
        <f>IF(履歴データ!$A$540="","",履歴データ!$O$540)</f>
        <v>148.83799743652344</v>
      </c>
      <c r="I540" s="29">
        <f>IF(履歴データ!$A$540="","",履歴データ!$Q$540)</f>
        <v>110.609375</v>
      </c>
      <c r="J540" s="29">
        <f>IF(履歴データ!$A$540="","",履歴データ!$D$540)</f>
        <v>4.29</v>
      </c>
      <c r="K540" s="28">
        <f>IF(OR(履歴データ!$A$540="",履歴データ!$A$539=""),"",B540-B539)</f>
        <v>0.49999999999998934</v>
      </c>
      <c r="L540" s="28">
        <f>IF(OR(履歴データ!$A$540="",履歴データ!$A$539=""),"",C540-C539)</f>
        <v>0.29999999999999005</v>
      </c>
      <c r="M540" s="28">
        <f>IF(OR(履歴データ!$A$540="",履歴データ!$A$539=""),"",D540-D539)</f>
        <v>1.5000000000000568</v>
      </c>
      <c r="N540" s="28">
        <f>IF(OR(履歴データ!$A$540="",履歴データ!$A$539=""),"",E540-E539)</f>
        <v>0.99999999999997868</v>
      </c>
      <c r="O540" s="28">
        <f>IF(OR(履歴データ!$A$540="",履歴データ!$A$539=""),"",F540-F539)</f>
        <v>-4.2699999999999818</v>
      </c>
      <c r="P540" s="28">
        <f>IF(OR(履歴データ!$A$540="",履歴データ!$A$539=""),"",G540-G539)</f>
        <v>5.7073571777343801</v>
      </c>
      <c r="Q540" s="29">
        <f>IF(OR(履歴データ!$A$540="",履歴データ!$A$539=""),"",H540-H539)</f>
        <v>-0.2400054931640625</v>
      </c>
      <c r="R540" s="29">
        <f>IF(OR(履歴データ!$A$540="",履歴データ!$A$539=""),"",I540-I539)</f>
        <v>-0.234375</v>
      </c>
      <c r="S540" s="28">
        <f>IF(OR(履歴データ!$A$540="",履歴データ!$A$539=""),"",(J540-J539)*100)</f>
        <v>4.0000000000000036</v>
      </c>
      <c r="T540" s="11">
        <f>IF(OR(履歴データ!$A$540="",履歴データ!$A$539=""),"",-80000*K540)</f>
        <v>-39999.999999999149</v>
      </c>
      <c r="U540" s="11">
        <f>IF(OR(履歴データ!$A$540="",履歴データ!$A$539=""),"",60000*L540)</f>
        <v>17999.999999999403</v>
      </c>
      <c r="V540" s="11">
        <f>IF(OR(履歴データ!$A$540="",履歴データ!$A$539=""),"",-50000*M540)</f>
        <v>-75000.000000002838</v>
      </c>
      <c r="W540" s="11">
        <f>IF(OR(履歴データ!$A$540="",履歴データ!$A$539=""),"",-40000*N540)</f>
        <v>-39999.999999999149</v>
      </c>
      <c r="X540" s="11">
        <f>IF(OR(履歴データ!$A$540="",履歴データ!$A$539=""),"",120*1000000*(-Q540/H539))</f>
        <v>193191.87682753775</v>
      </c>
      <c r="Y540" s="11">
        <f>IF(OR(履歴データ!$A$540="",履歴データ!$A$539=""),"",40000*(-S540)+(-506.3)*R540*1000)</f>
        <v>-41335.937500000146</v>
      </c>
      <c r="Z540" s="11">
        <f>IF(OR(履歴データ!$A$540="",履歴データ!$A$539=""),"",-40000*O540)</f>
        <v>170799.99999999927</v>
      </c>
      <c r="AA540" s="11">
        <f>IF(OR(履歴データ!$A$540="",履歴データ!$A$539=""),"",-40000*P540)</f>
        <v>-228294.2871093752</v>
      </c>
      <c r="AB540" s="11">
        <f>IF(履歴データ!$A$540="","",123.3)</f>
        <v>123.3</v>
      </c>
      <c r="AC540">
        <f>IF(履歴データ!$A$540="","",SUM(T540:AA540))</f>
        <v>-42638.347781840072</v>
      </c>
      <c r="AD540" s="29">
        <f>IF(履歴データ!$A$540="","",AC540/1000000)</f>
        <v>-4.2638347781840072E-2</v>
      </c>
      <c r="AE540" s="29">
        <f>IF(履歴データ!$A$540="",AE539,AE539+AC540/1000000)</f>
        <v>78.333304184732754</v>
      </c>
      <c r="AF540" s="12">
        <f>IF(OR(履歴データ!$A$540="",AE539=0),"",(AE540-AE539)/AE539)</f>
        <v>-5.4402341336000468E-4</v>
      </c>
      <c r="AG540" s="29">
        <f t="shared" si="26"/>
        <v>102.17217746631495</v>
      </c>
      <c r="AH540" s="12">
        <f>IF(OR(履歴データ!$A$540="",AG540=0),"",AE540/AG540-1)</f>
        <v>-0.23332059541788286</v>
      </c>
      <c r="AJ540" s="28">
        <f t="shared" ca="1" si="24"/>
        <v>9.8677525118767306</v>
      </c>
      <c r="AK540" s="28">
        <f t="shared" ca="1" si="25"/>
        <v>-37.685212829337047</v>
      </c>
    </row>
    <row r="541" spans="1:37">
      <c r="A541" s="10">
        <f>IF(履歴データ!$A$541="","",履歴データ!$A$541)</f>
        <v>45716</v>
      </c>
      <c r="B541" s="28">
        <f>IF(履歴データ!$A$541="","",(履歴データ!$D$541-(履歴データ!$B$541+履歴データ!$F$541)/2)*100)</f>
        <v>-0.99999999999997868</v>
      </c>
      <c r="C541" s="28">
        <f>IF(履歴データ!$A$541="","",(履歴データ!$H$541-(履歴データ!$G$541+履歴データ!$J$541)/2)*100)</f>
        <v>-20.000000000000018</v>
      </c>
      <c r="D541" s="28">
        <f>IF(履歴データ!$A$541="","",(履歴データ!$D$541-履歴データ!$H$541)*100)</f>
        <v>286.2</v>
      </c>
      <c r="E541" s="28">
        <f>IF(履歴データ!$A$541="","",(履歴データ!$D$541-履歴データ!$C$541)*100)</f>
        <v>20.999999999999996</v>
      </c>
      <c r="F541" s="28">
        <f>IF(履歴データ!$A$541="","",(履歴データ!$R$541-履歴データ!$D$541)*100)</f>
        <v>-235.98</v>
      </c>
      <c r="G541" s="28">
        <f>IF(履歴データ!$A$541="","",(履歴データ!$S$541-履歴データ!$R$541)*100)</f>
        <v>-44.140000000000136</v>
      </c>
      <c r="H541" s="29">
        <f>IF(履歴データ!$A$541="","",履歴データ!$O$541)</f>
        <v>150.01199340820313</v>
      </c>
      <c r="I541" s="29">
        <f>IF(履歴データ!$A$541="","",履歴データ!$Q$541)</f>
        <v>111.0625</v>
      </c>
      <c r="J541" s="29">
        <f>IF(履歴データ!$A$541="","",履歴データ!$D$541)</f>
        <v>4.24</v>
      </c>
      <c r="K541" s="28">
        <f>IF(OR(履歴データ!$A$541="",履歴データ!$A$540=""),"",B541-B540)</f>
        <v>1.499999999999968</v>
      </c>
      <c r="L541" s="28">
        <f>IF(OR(履歴データ!$A$541="",履歴データ!$A$540=""),"",C541-C540)</f>
        <v>-1.6000000000000014</v>
      </c>
      <c r="M541" s="28">
        <f>IF(OR(履歴データ!$A$541="",履歴データ!$A$540=""),"",D541-D540)</f>
        <v>-3.0000000000000568</v>
      </c>
      <c r="N541" s="28">
        <f>IF(OR(履歴データ!$A$541="",履歴データ!$A$540=""),"",E541-E540)</f>
        <v>0.99999999999997868</v>
      </c>
      <c r="O541" s="28">
        <f>IF(OR(履歴データ!$A$541="",履歴データ!$A$540=""),"",F541-F540)</f>
        <v>8.4500000000000171</v>
      </c>
      <c r="P541" s="28">
        <f>IF(OR(履歴データ!$A$541="",履歴データ!$A$540=""),"",G541-G540)</f>
        <v>7.7756428222655742</v>
      </c>
      <c r="Q541" s="29">
        <f>IF(OR(履歴データ!$A$541="",履歴データ!$A$540=""),"",H541-H540)</f>
        <v>1.1739959716796875</v>
      </c>
      <c r="R541" s="29">
        <f>IF(OR(履歴データ!$A$541="",履歴データ!$A$540=""),"",I541-I540)</f>
        <v>0.453125</v>
      </c>
      <c r="S541" s="28">
        <f>IF(OR(履歴データ!$A$541="",履歴データ!$A$540=""),"",(J541-J540)*100)</f>
        <v>-4.9999999999999822</v>
      </c>
      <c r="T541" s="11">
        <f>IF(OR(履歴データ!$A$541="",履歴データ!$A$540=""),"",-80000*K541)</f>
        <v>-119999.99999999744</v>
      </c>
      <c r="U541" s="11">
        <f>IF(OR(履歴データ!$A$541="",履歴データ!$A$540=""),"",60000*L541)</f>
        <v>-96000.000000000087</v>
      </c>
      <c r="V541" s="11">
        <f>IF(OR(履歴データ!$A$541="",履歴データ!$A$540=""),"",-50000*M541)</f>
        <v>150000.00000000285</v>
      </c>
      <c r="W541" s="11">
        <f>IF(OR(履歴データ!$A$541="",履歴データ!$A$540=""),"",-40000*N541)</f>
        <v>-39999.999999999149</v>
      </c>
      <c r="X541" s="11">
        <f>IF(OR(履歴データ!$A$541="",履歴データ!$A$540=""),"",120*1000000*(-Q541/H540))</f>
        <v>-946529.24003257253</v>
      </c>
      <c r="Y541" s="11">
        <f>IF(OR(履歴データ!$A$541="",履歴データ!$A$540=""),"",40000*(-S541)+(-506.3)*R541*1000)</f>
        <v>-29417.187500000698</v>
      </c>
      <c r="Z541" s="11">
        <f>IF(OR(履歴データ!$A$541="",履歴データ!$A$540=""),"",-40000*O541)</f>
        <v>-338000.0000000007</v>
      </c>
      <c r="AA541" s="11">
        <f>IF(OR(履歴データ!$A$541="",履歴データ!$A$540=""),"",-40000*P541)</f>
        <v>-311025.71289062296</v>
      </c>
      <c r="AB541" s="11">
        <f>IF(履歴データ!$A$541="","",123.3)</f>
        <v>123.3</v>
      </c>
      <c r="AC541">
        <f>IF(履歴データ!$A$541="","",SUM(T541:AA541))</f>
        <v>-1730972.1404231905</v>
      </c>
      <c r="AD541" s="29">
        <f>IF(履歴データ!$A$541="","",AC541/1000000)</f>
        <v>-1.7309721404231906</v>
      </c>
      <c r="AE541" s="29">
        <f>IF(履歴データ!$A$541="",AE540,AE540+AC541/1000000)</f>
        <v>76.602332044309563</v>
      </c>
      <c r="AF541" s="12">
        <f>IF(OR(履歴データ!$A$541="",AE540=0),"",(AE541-AE540)/AE540)</f>
        <v>-2.2097524908958957E-2</v>
      </c>
      <c r="AG541" s="29">
        <f t="shared" si="26"/>
        <v>102.17217746631495</v>
      </c>
      <c r="AH541" s="12">
        <f>IF(OR(履歴データ!$A$541="",AG541=0),"",AE541/AG541-1)</f>
        <v>-0.25026231265782195</v>
      </c>
      <c r="AJ541" s="28">
        <f t="shared" ca="1" si="24"/>
        <v>9.970791098545682</v>
      </c>
      <c r="AK541" s="28">
        <f t="shared" ca="1" si="25"/>
        <v>-37.585870463625049</v>
      </c>
    </row>
    <row r="542" spans="1:37">
      <c r="A542" s="10">
        <f>IF(履歴データ!$A$542="","",履歴データ!$A$542)</f>
        <v>45719</v>
      </c>
      <c r="B542" s="28">
        <f>IF(履歴データ!$A$542="","",(履歴データ!$D$542-(履歴データ!$B$542+履歴データ!$F$542)/2)*100)</f>
        <v>-4.4999999999999929</v>
      </c>
      <c r="C542" s="28">
        <f>IF(履歴データ!$A$542="","",(履歴データ!$H$542-(履歴データ!$G$542+履歴データ!$J$542)/2)*100)</f>
        <v>-17.700000000000003</v>
      </c>
      <c r="D542" s="28">
        <f>IF(履歴データ!$A$542="","",(履歴データ!$D$542-履歴データ!$H$542)*100)</f>
        <v>274.8</v>
      </c>
      <c r="E542" s="28">
        <f>IF(履歴データ!$A$542="","",(履歴データ!$D$542-履歴データ!$C$542)*100)</f>
        <v>18.999999999999993</v>
      </c>
      <c r="F542" s="28">
        <f>IF(履歴データ!$A$542="","",(履歴データ!$R$542-履歴データ!$D$542)*100)</f>
        <v>-233.27</v>
      </c>
      <c r="G542" s="28">
        <f>IF(履歴データ!$A$542="","",(履歴データ!$S$542-履歴データ!$R$542)*100)</f>
        <v>-52.882000000000204</v>
      </c>
      <c r="H542" s="29">
        <f>IF(履歴データ!$A$542="","",履歴データ!$O$542)</f>
        <v>150.77099609375</v>
      </c>
      <c r="I542" s="29">
        <f>IF(履歴データ!$A$542="","",履歴データ!$Q$542)</f>
        <v>111.375</v>
      </c>
      <c r="J542" s="29">
        <f>IF(履歴データ!$A$542="","",履歴データ!$D$542)</f>
        <v>4.16</v>
      </c>
      <c r="K542" s="28">
        <f>IF(OR(履歴データ!$A$542="",履歴データ!$A$541=""),"",B542-B541)</f>
        <v>-3.5000000000000142</v>
      </c>
      <c r="L542" s="28">
        <f>IF(OR(履歴データ!$A$542="",履歴データ!$A$541=""),"",C542-C541)</f>
        <v>2.3000000000000149</v>
      </c>
      <c r="M542" s="28">
        <f>IF(OR(履歴データ!$A$542="",履歴データ!$A$541=""),"",D542-D541)</f>
        <v>-11.399999999999977</v>
      </c>
      <c r="N542" s="28">
        <f>IF(OR(履歴データ!$A$542="",履歴データ!$A$541=""),"",E542-E541)</f>
        <v>-2.0000000000000036</v>
      </c>
      <c r="O542" s="28">
        <f>IF(OR(履歴データ!$A$542="",履歴データ!$A$541=""),"",F542-F541)</f>
        <v>2.7099999999999795</v>
      </c>
      <c r="P542" s="28">
        <f>IF(OR(履歴データ!$A$542="",履歴データ!$A$541=""),"",G542-G541)</f>
        <v>-8.7420000000000684</v>
      </c>
      <c r="Q542" s="29">
        <f>IF(OR(履歴データ!$A$542="",履歴データ!$A$541=""),"",H542-H541)</f>
        <v>0.759002685546875</v>
      </c>
      <c r="R542" s="29">
        <f>IF(OR(履歴データ!$A$542="",履歴データ!$A$541=""),"",I542-I541)</f>
        <v>0.3125</v>
      </c>
      <c r="S542" s="28">
        <f>IF(OR(履歴データ!$A$542="",履歴データ!$A$541=""),"",(J542-J541)*100)</f>
        <v>-8.0000000000000071</v>
      </c>
      <c r="T542" s="11">
        <f>IF(OR(履歴データ!$A$542="",履歴データ!$A$541=""),"",-80000*K542)</f>
        <v>280000.00000000116</v>
      </c>
      <c r="U542" s="11">
        <f>IF(OR(履歴データ!$A$542="",履歴データ!$A$541=""),"",60000*L542)</f>
        <v>138000.0000000009</v>
      </c>
      <c r="V542" s="11">
        <f>IF(OR(履歴データ!$A$542="",履歴データ!$A$541=""),"",-50000*M542)</f>
        <v>569999.99999999884</v>
      </c>
      <c r="W542" s="11">
        <f>IF(OR(履歴データ!$A$542="",履歴データ!$A$541=""),"",-40000*N542)</f>
        <v>80000.000000000146</v>
      </c>
      <c r="X542" s="11">
        <f>IF(OR(履歴データ!$A$542="",履歴データ!$A$541=""),"",120*1000000*(-Q542/H541))</f>
        <v>-607153.6028308284</v>
      </c>
      <c r="Y542" s="11">
        <f>IF(OR(履歴データ!$A$542="",履歴データ!$A$541=""),"",40000*(-S542)+(-506.3)*R542*1000)</f>
        <v>161781.25000000029</v>
      </c>
      <c r="Z542" s="11">
        <f>IF(OR(履歴データ!$A$542="",履歴データ!$A$541=""),"",-40000*O542)</f>
        <v>-108399.99999999919</v>
      </c>
      <c r="AA542" s="11">
        <f>IF(OR(履歴データ!$A$542="",履歴データ!$A$541=""),"",-40000*P542)</f>
        <v>349680.00000000274</v>
      </c>
      <c r="AB542" s="11">
        <f>IF(履歴データ!$A$542="","",123.3)</f>
        <v>123.3</v>
      </c>
      <c r="AC542">
        <f>IF(履歴データ!$A$542="","",SUM(T542:AA542))</f>
        <v>863907.64716917649</v>
      </c>
      <c r="AD542" s="29">
        <f>IF(履歴データ!$A$542="","",AC542/1000000)</f>
        <v>0.86390764716917645</v>
      </c>
      <c r="AE542" s="29">
        <f>IF(履歴データ!$A$542="",AE541,AE541+AC542/1000000)</f>
        <v>77.466239691478734</v>
      </c>
      <c r="AF542" s="12">
        <f>IF(OR(履歴データ!$A$542="",AE541=0),"",(AE542-AE541)/AE541)</f>
        <v>1.1277824370535552E-2</v>
      </c>
      <c r="AG542" s="29">
        <f t="shared" si="26"/>
        <v>102.17217746631495</v>
      </c>
      <c r="AH542" s="12">
        <f>IF(OR(履歴データ!$A$542="",AG542=0),"",AE542/AG542-1)</f>
        <v>-0.24180690269600535</v>
      </c>
      <c r="AJ542" s="28">
        <f t="shared" ca="1" si="24"/>
        <v>10.03469937116842</v>
      </c>
      <c r="AK542" s="28">
        <f t="shared" ca="1" si="25"/>
        <v>-37.479143815612865</v>
      </c>
    </row>
    <row r="543" spans="1:37">
      <c r="A543" s="10">
        <f>IF(履歴データ!$A$543="","",履歴データ!$A$543)</f>
        <v>45720</v>
      </c>
      <c r="B543" s="28">
        <f>IF(履歴データ!$A$543="","",(履歴データ!$D$543-(履歴データ!$B$543+履歴データ!$F$543)/2)*100)</f>
        <v>-2.5000000000000355</v>
      </c>
      <c r="C543" s="28">
        <f>IF(履歴データ!$A$543="","",(履歴データ!$H$543-(履歴データ!$G$543+履歴データ!$J$543)/2)*100)</f>
        <v>-16.75</v>
      </c>
      <c r="D543" s="28">
        <f>IF(履歴データ!$A$543="","",(履歴データ!$D$543-履歴データ!$H$543)*100)</f>
        <v>279.2</v>
      </c>
      <c r="E543" s="28">
        <f>IF(履歴データ!$A$543="","",(履歴データ!$D$543-履歴データ!$C$543)*100)</f>
        <v>20.999999999999996</v>
      </c>
      <c r="F543" s="28">
        <f>IF(履歴データ!$A$543="","",(履歴データ!$R$543-履歴データ!$D$543)*100)</f>
        <v>-230.20999999999998</v>
      </c>
      <c r="G543" s="28">
        <f>IF(履歴データ!$A$543="","",(履歴データ!$S$543-履歴データ!$R$543)*100)</f>
        <v>-87.901178588867396</v>
      </c>
      <c r="H543" s="29">
        <f>IF(履歴データ!$A$543="","",履歴データ!$O$543)</f>
        <v>149.30499267578125</v>
      </c>
      <c r="I543" s="29">
        <f>IF(履歴データ!$A$543="","",履歴データ!$Q$543)</f>
        <v>111.21875</v>
      </c>
      <c r="J543" s="29">
        <f>IF(履歴データ!$A$543="","",履歴データ!$D$543)</f>
        <v>4.22</v>
      </c>
      <c r="K543" s="28">
        <f>IF(OR(履歴データ!$A$543="",履歴データ!$A$542=""),"",B543-B542)</f>
        <v>1.9999999999999574</v>
      </c>
      <c r="L543" s="28">
        <f>IF(OR(履歴データ!$A$543="",履歴データ!$A$542=""),"",C543-C542)</f>
        <v>0.95000000000000284</v>
      </c>
      <c r="M543" s="28">
        <f>IF(OR(履歴データ!$A$543="",履歴データ!$A$542=""),"",D543-D542)</f>
        <v>4.3999999999999773</v>
      </c>
      <c r="N543" s="28">
        <f>IF(OR(履歴データ!$A$543="",履歴データ!$A$542=""),"",E543-E542)</f>
        <v>2.0000000000000036</v>
      </c>
      <c r="O543" s="28">
        <f>IF(OR(履歴データ!$A$543="",履歴データ!$A$542=""),"",F543-F542)</f>
        <v>3.0600000000000307</v>
      </c>
      <c r="P543" s="28">
        <f>IF(OR(履歴データ!$A$543="",履歴データ!$A$542=""),"",G543-G542)</f>
        <v>-35.019178588867192</v>
      </c>
      <c r="Q543" s="29">
        <f>IF(OR(履歴データ!$A$543="",履歴データ!$A$542=""),"",H543-H542)</f>
        <v>-1.46600341796875</v>
      </c>
      <c r="R543" s="29">
        <f>IF(OR(履歴データ!$A$543="",履歴データ!$A$542=""),"",I543-I542)</f>
        <v>-0.15625</v>
      </c>
      <c r="S543" s="28">
        <f>IF(OR(履歴データ!$A$543="",履歴データ!$A$542=""),"",(J543-J542)*100)</f>
        <v>5.9999999999999609</v>
      </c>
      <c r="T543" s="11">
        <f>IF(OR(履歴データ!$A$543="",履歴データ!$A$542=""),"",-80000*K543)</f>
        <v>-159999.99999999659</v>
      </c>
      <c r="U543" s="11">
        <f>IF(OR(履歴データ!$A$543="",履歴データ!$A$542=""),"",60000*L543)</f>
        <v>57000.000000000167</v>
      </c>
      <c r="V543" s="11">
        <f>IF(OR(履歴データ!$A$543="",履歴データ!$A$542=""),"",-50000*M543)</f>
        <v>-219999.99999999886</v>
      </c>
      <c r="W543" s="11">
        <f>IF(OR(履歴データ!$A$543="",履歴データ!$A$542=""),"",-40000*N543)</f>
        <v>-80000.000000000146</v>
      </c>
      <c r="X543" s="11">
        <f>IF(OR(履歴データ!$A$543="",履歴データ!$A$542=""),"",120*1000000*(-Q543/H542))</f>
        <v>1166805.3850812393</v>
      </c>
      <c r="Y543" s="11">
        <f>IF(OR(履歴データ!$A$543="",履歴データ!$A$542=""),"",40000*(-S543)+(-506.3)*R543*1000)</f>
        <v>-160890.62499999843</v>
      </c>
      <c r="Z543" s="11">
        <f>IF(OR(履歴データ!$A$543="",履歴データ!$A$542=""),"",-40000*O543)</f>
        <v>-122400.00000000122</v>
      </c>
      <c r="AA543" s="11">
        <f>IF(OR(履歴データ!$A$543="",履歴データ!$A$542=""),"",-40000*P543)</f>
        <v>1400767.1435546877</v>
      </c>
      <c r="AB543" s="11">
        <f>IF(履歴データ!$A$543="","",123.3)</f>
        <v>123.3</v>
      </c>
      <c r="AC543">
        <f>IF(履歴データ!$A$543="","",SUM(T543:AA543))</f>
        <v>1881281.9036359319</v>
      </c>
      <c r="AD543" s="29">
        <f>IF(履歴データ!$A$543="","",AC543/1000000)</f>
        <v>1.8812819036359318</v>
      </c>
      <c r="AE543" s="29">
        <f>IF(履歴データ!$A$543="",AE542,AE542+AC543/1000000)</f>
        <v>79.347521595114671</v>
      </c>
      <c r="AF543" s="12">
        <f>IF(OR(履歴データ!$A$543="",AE542=0),"",(AE543-AE542)/AE542)</f>
        <v>2.4285184244497125E-2</v>
      </c>
      <c r="AG543" s="29">
        <f t="shared" si="26"/>
        <v>102.17217746631495</v>
      </c>
      <c r="AH543" s="12">
        <f>IF(OR(履歴データ!$A$543="",AG543=0),"",AE543/AG543-1)</f>
        <v>-0.22339404363507198</v>
      </c>
      <c r="AJ543" s="28">
        <f t="shared" ca="1" si="24"/>
        <v>10.122892007984264</v>
      </c>
      <c r="AK543" s="28">
        <f t="shared" ca="1" si="25"/>
        <v>-37.388765023857282</v>
      </c>
    </row>
    <row r="544" spans="1:37">
      <c r="A544" s="10">
        <f>IF(履歴データ!$A$544="","",履歴データ!$A$544)</f>
        <v>45721</v>
      </c>
      <c r="B544" s="28">
        <f>IF(履歴データ!$A$544="","",(履歴データ!$D$544-(履歴データ!$B$544+履歴データ!$F$544)/2)*100)</f>
        <v>0</v>
      </c>
      <c r="C544" s="28">
        <f>IF(履歴データ!$A$544="","",(履歴データ!$H$544-(履歴データ!$G$544+履歴データ!$J$544)/2)*100)</f>
        <v>-16.199999999999992</v>
      </c>
      <c r="D544" s="28">
        <f>IF(履歴データ!$A$544="","",(履歴データ!$D$544-履歴データ!$H$544)*100)</f>
        <v>283.20000000000005</v>
      </c>
      <c r="E544" s="28">
        <f>IF(履歴データ!$A$544="","",(履歴データ!$D$544-履歴データ!$C$544)*100)</f>
        <v>20.000000000000018</v>
      </c>
      <c r="F544" s="28">
        <f>IF(履歴データ!$A$544="","",(履歴データ!$R$544-履歴データ!$D$544)*100)</f>
        <v>-239.94</v>
      </c>
      <c r="G544" s="28">
        <f>IF(履歴データ!$A$544="","",(履歴データ!$S$544-履歴データ!$R$544)*100)</f>
        <v>-49.26664282226578</v>
      </c>
      <c r="H544" s="29">
        <f>IF(履歴データ!$A$544="","",履歴データ!$O$544)</f>
        <v>149.79899597167969</v>
      </c>
      <c r="I544" s="29">
        <f>IF(履歴データ!$A$544="","",履歴データ!$Q$544)</f>
        <v>110.84375</v>
      </c>
      <c r="J544" s="29">
        <f>IF(履歴データ!$A$544="","",履歴データ!$D$544)</f>
        <v>4.28</v>
      </c>
      <c r="K544" s="28">
        <f>IF(OR(履歴データ!$A$544="",履歴データ!$A$543=""),"",B544-B543)</f>
        <v>2.5000000000000355</v>
      </c>
      <c r="L544" s="28">
        <f>IF(OR(履歴データ!$A$544="",履歴データ!$A$543=""),"",C544-C543)</f>
        <v>0.55000000000000782</v>
      </c>
      <c r="M544" s="28">
        <f>IF(OR(履歴データ!$A$544="",履歴データ!$A$543=""),"",D544-D543)</f>
        <v>4.0000000000000568</v>
      </c>
      <c r="N544" s="28">
        <f>IF(OR(履歴データ!$A$544="",履歴データ!$A$543=""),"",E544-E543)</f>
        <v>-0.99999999999997868</v>
      </c>
      <c r="O544" s="28">
        <f>IF(OR(履歴データ!$A$544="",履歴データ!$A$543=""),"",F544-F543)</f>
        <v>-9.7300000000000182</v>
      </c>
      <c r="P544" s="28">
        <f>IF(OR(履歴データ!$A$544="",履歴データ!$A$543=""),"",G544-G543)</f>
        <v>38.634535766601616</v>
      </c>
      <c r="Q544" s="29">
        <f>IF(OR(履歴データ!$A$544="",履歴データ!$A$543=""),"",H544-H543)</f>
        <v>0.4940032958984375</v>
      </c>
      <c r="R544" s="29">
        <f>IF(OR(履歴データ!$A$544="",履歴データ!$A$543=""),"",I544-I543)</f>
        <v>-0.375</v>
      </c>
      <c r="S544" s="28">
        <f>IF(OR(履歴データ!$A$544="",履歴データ!$A$543=""),"",(J544-J543)*100)</f>
        <v>6.0000000000000497</v>
      </c>
      <c r="T544" s="11">
        <f>IF(OR(履歴データ!$A$544="",履歴データ!$A$543=""),"",-80000*K544)</f>
        <v>-200000.00000000285</v>
      </c>
      <c r="U544" s="11">
        <f>IF(OR(履歴データ!$A$544="",履歴データ!$A$543=""),"",60000*L544)</f>
        <v>33000.000000000466</v>
      </c>
      <c r="V544" s="11">
        <f>IF(OR(履歴データ!$A$544="",履歴データ!$A$543=""),"",-50000*M544)</f>
        <v>-200000.00000000285</v>
      </c>
      <c r="W544" s="11">
        <f>IF(OR(履歴データ!$A$544="",履歴データ!$A$543=""),"",-40000*N544)</f>
        <v>39999.999999999149</v>
      </c>
      <c r="X544" s="11">
        <f>IF(OR(履歴データ!$A$544="",履歴データ!$A$543=""),"",120*1000000*(-Q544/H543))</f>
        <v>-397042.28536108672</v>
      </c>
      <c r="Y544" s="11">
        <f>IF(OR(履歴データ!$A$544="",履歴データ!$A$543=""),"",40000*(-S544)+(-506.3)*R544*1000)</f>
        <v>-50137.500000001979</v>
      </c>
      <c r="Z544" s="11">
        <f>IF(OR(履歴データ!$A$544="",履歴データ!$A$543=""),"",-40000*O544)</f>
        <v>389200.0000000007</v>
      </c>
      <c r="AA544" s="11">
        <f>IF(OR(履歴データ!$A$544="",履歴データ!$A$543=""),"",-40000*P544)</f>
        <v>-1545381.4306640646</v>
      </c>
      <c r="AB544" s="11">
        <f>IF(履歴データ!$A$544="","",123.3)</f>
        <v>123.3</v>
      </c>
      <c r="AC544">
        <f>IF(履歴データ!$A$544="","",SUM(T544:AA544))</f>
        <v>-1930361.2160251588</v>
      </c>
      <c r="AD544" s="29">
        <f>IF(履歴データ!$A$544="","",AC544/1000000)</f>
        <v>-1.9303612160251589</v>
      </c>
      <c r="AE544" s="29">
        <f>IF(履歴データ!$A$544="",AE543,AE543+AC544/1000000)</f>
        <v>77.417160379089509</v>
      </c>
      <c r="AF544" s="12">
        <f>IF(OR(履歴データ!$A$544="",AE543=0),"",(AE544-AE543)/AE543)</f>
        <v>-2.4327933339558922E-2</v>
      </c>
      <c r="AG544" s="29">
        <f t="shared" si="26"/>
        <v>102.17217746631495</v>
      </c>
      <c r="AH544" s="12">
        <f>IF(OR(履歴データ!$A$544="",AG544=0),"",AE544/AG544-1)</f>
        <v>-0.24228726157262237</v>
      </c>
      <c r="AJ544" s="28">
        <f t="shared" ca="1" si="24"/>
        <v>10.236204181123314</v>
      </c>
      <c r="AK544" s="28">
        <f t="shared" ca="1" si="25"/>
        <v>-37.29572799064713</v>
      </c>
    </row>
    <row r="545" spans="1:37">
      <c r="A545" s="10">
        <f>IF(履歴データ!$A$545="","",履歴データ!$A$545)</f>
        <v>45722</v>
      </c>
      <c r="B545" s="28">
        <f>IF(履歴データ!$A$545="","",(履歴データ!$D$545-(履歴データ!$B$545+履歴データ!$F$545)/2)*100)</f>
        <v>2.0000000000000462</v>
      </c>
      <c r="C545" s="28">
        <f>IF(履歴データ!$A$545="","",(履歴データ!$H$545-(履歴データ!$G$545+履歴データ!$J$545)/2)*100)</f>
        <v>-14.000000000000012</v>
      </c>
      <c r="D545" s="28">
        <f>IF(履歴データ!$A$545="","",(履歴データ!$D$545-履歴データ!$H$545)*100)</f>
        <v>277.3</v>
      </c>
      <c r="E545" s="28">
        <f>IF(履歴データ!$A$545="","",(履歴データ!$D$545-履歴データ!$C$545)*100)</f>
        <v>23.000000000000043</v>
      </c>
      <c r="F545" s="28">
        <f>IF(履歴データ!$A$545="","",(履歴データ!$R$545-履歴データ!$D$545)*100)</f>
        <v>-227.16</v>
      </c>
      <c r="G545" s="28">
        <f>IF(履歴データ!$A$545="","",(履歴データ!$S$545-履歴データ!$R$545)*100)</f>
        <v>-61.64335717773448</v>
      </c>
      <c r="H545" s="29">
        <f>IF(履歴データ!$A$545="","",履歴データ!$O$545)</f>
        <v>148.89799499511719</v>
      </c>
      <c r="I545" s="29">
        <f>IF(履歴データ!$A$545="","",履歴データ!$Q$545)</f>
        <v>110.78125</v>
      </c>
      <c r="J545" s="29">
        <f>IF(履歴データ!$A$545="","",履歴データ!$D$545)</f>
        <v>4.29</v>
      </c>
      <c r="K545" s="28">
        <f>IF(OR(履歴データ!$A$545="",履歴データ!$A$544=""),"",B545-B544)</f>
        <v>2.0000000000000462</v>
      </c>
      <c r="L545" s="28">
        <f>IF(OR(履歴データ!$A$545="",履歴データ!$A$544=""),"",C545-C544)</f>
        <v>2.1999999999999797</v>
      </c>
      <c r="M545" s="28">
        <f>IF(OR(履歴データ!$A$545="",履歴データ!$A$544=""),"",D545-D544)</f>
        <v>-5.9000000000000341</v>
      </c>
      <c r="N545" s="28">
        <f>IF(OR(履歴データ!$A$545="",履歴データ!$A$544=""),"",E545-E544)</f>
        <v>3.0000000000000249</v>
      </c>
      <c r="O545" s="28">
        <f>IF(OR(履歴データ!$A$545="",履歴データ!$A$544=""),"",F545-F544)</f>
        <v>12.780000000000001</v>
      </c>
      <c r="P545" s="28">
        <f>IF(OR(履歴データ!$A$545="",履歴データ!$A$544=""),"",G545-G544)</f>
        <v>-12.3767143554687</v>
      </c>
      <c r="Q545" s="29">
        <f>IF(OR(履歴データ!$A$545="",履歴データ!$A$544=""),"",H545-H544)</f>
        <v>-0.9010009765625</v>
      </c>
      <c r="R545" s="29">
        <f>IF(OR(履歴データ!$A$545="",履歴データ!$A$544=""),"",I545-I544)</f>
        <v>-6.25E-2</v>
      </c>
      <c r="S545" s="28">
        <f>IF(OR(履歴データ!$A$545="",履歴データ!$A$544=""),"",(J545-J544)*100)</f>
        <v>0.99999999999997868</v>
      </c>
      <c r="T545" s="11">
        <f>IF(OR(履歴データ!$A$545="",履歴データ!$A$544=""),"",-80000*K545)</f>
        <v>-160000.0000000037</v>
      </c>
      <c r="U545" s="11">
        <f>IF(OR(履歴データ!$A$545="",履歴データ!$A$544=""),"",60000*L545)</f>
        <v>131999.99999999878</v>
      </c>
      <c r="V545" s="11">
        <f>IF(OR(履歴データ!$A$545="",履歴データ!$A$544=""),"",-50000*M545)</f>
        <v>295000.00000000169</v>
      </c>
      <c r="W545" s="11">
        <f>IF(OR(履歴データ!$A$545="",履歴データ!$A$544=""),"",-40000*N545)</f>
        <v>-120000.00000000099</v>
      </c>
      <c r="X545" s="11">
        <f>IF(OR(履歴データ!$A$545="",履歴データ!$A$544=""),"",120*1000000*(-Q545/H544))</f>
        <v>721767.96971283236</v>
      </c>
      <c r="Y545" s="11">
        <f>IF(OR(履歴データ!$A$545="",履歴データ!$A$544=""),"",40000*(-S545)+(-506.3)*R545*1000)</f>
        <v>-8356.2499999991487</v>
      </c>
      <c r="Z545" s="11">
        <f>IF(OR(履歴データ!$A$545="",履歴データ!$A$544=""),"",-40000*O545)</f>
        <v>-511200.00000000006</v>
      </c>
      <c r="AA545" s="11">
        <f>IF(OR(履歴データ!$A$545="",履歴データ!$A$544=""),"",-40000*P545)</f>
        <v>495068.57421874796</v>
      </c>
      <c r="AB545" s="11">
        <f>IF(履歴データ!$A$545="","",123.3)</f>
        <v>123.3</v>
      </c>
      <c r="AC545">
        <f>IF(履歴データ!$A$545="","",SUM(T545:AA545))</f>
        <v>844280.29393157677</v>
      </c>
      <c r="AD545" s="29">
        <f>IF(履歴データ!$A$545="","",AC545/1000000)</f>
        <v>0.84428029393157678</v>
      </c>
      <c r="AE545" s="29">
        <f>IF(履歴データ!$A$545="",AE544,AE544+AC545/1000000)</f>
        <v>78.261440673021085</v>
      </c>
      <c r="AF545" s="12">
        <f>IF(OR(履歴データ!$A$545="",AE544=0),"",(AE545-AE544)/AE544)</f>
        <v>1.0905596250203164E-2</v>
      </c>
      <c r="AG545" s="29">
        <f t="shared" si="26"/>
        <v>102.17217746631495</v>
      </c>
      <c r="AH545" s="12">
        <f>IF(OR(履歴データ!$A$545="",AG545=0),"",AE545/AG545-1)</f>
        <v>-0.23402395237369755</v>
      </c>
      <c r="AJ545" s="28">
        <f t="shared" ca="1" si="24"/>
        <v>10.380906067669798</v>
      </c>
      <c r="AK545" s="28">
        <f t="shared" ca="1" si="25"/>
        <v>-37.230112416876146</v>
      </c>
    </row>
    <row r="546" spans="1:37">
      <c r="A546" s="10">
        <f>IF(履歴データ!$A$546="","",履歴データ!$A$546)</f>
        <v>45723</v>
      </c>
      <c r="B546" s="28">
        <f>IF(履歴データ!$A$546="","",(履歴データ!$D$546-(履歴データ!$B$546+履歴データ!$F$546)/2)*100)</f>
        <v>1.5000000000000568</v>
      </c>
      <c r="C546" s="28">
        <f>IF(履歴データ!$A$546="","",(履歴データ!$H$546-(履歴データ!$G$546+履歴データ!$J$546)/2)*100)</f>
        <v>-14.900000000000002</v>
      </c>
      <c r="D546" s="28">
        <f>IF(履歴データ!$A$546="","",(履歴データ!$D$546-履歴データ!$H$546)*100)</f>
        <v>279.70000000000005</v>
      </c>
      <c r="E546" s="28">
        <f>IF(履歴データ!$A$546="","",(履歴データ!$D$546-履歴データ!$C$546)*100)</f>
        <v>23.000000000000043</v>
      </c>
      <c r="F546" s="28">
        <f>IF(履歴データ!$A$546="","",(履歴データ!$R$546-履歴データ!$D$546)*100)</f>
        <v>-226.19000000000003</v>
      </c>
      <c r="G546" s="28">
        <f>IF(履歴データ!$A$546="","",(履歴データ!$S$546-履歴データ!$R$546)*100)</f>
        <v>-60.526821411132879</v>
      </c>
      <c r="H546" s="29">
        <f>IF(履歴データ!$A$546="","",履歴データ!$O$546)</f>
        <v>148.10800170898438</v>
      </c>
      <c r="I546" s="29">
        <f>IF(履歴データ!$A$546="","",履歴データ!$Q$546)</f>
        <v>110.546875</v>
      </c>
      <c r="J546" s="29">
        <f>IF(履歴データ!$A$546="","",履歴データ!$D$546)</f>
        <v>4.32</v>
      </c>
      <c r="K546" s="28">
        <f>IF(OR(履歴データ!$A$546="",履歴データ!$A$545=""),"",B546-B545)</f>
        <v>-0.49999999999998934</v>
      </c>
      <c r="L546" s="28">
        <f>IF(OR(履歴データ!$A$546="",履歴データ!$A$545=""),"",C546-C545)</f>
        <v>-0.8999999999999897</v>
      </c>
      <c r="M546" s="28">
        <f>IF(OR(履歴データ!$A$546="",履歴データ!$A$545=""),"",D546-D545)</f>
        <v>2.4000000000000341</v>
      </c>
      <c r="N546" s="28">
        <f>IF(OR(履歴データ!$A$546="",履歴データ!$A$545=""),"",E546-E545)</f>
        <v>0</v>
      </c>
      <c r="O546" s="28">
        <f>IF(OR(履歴データ!$A$546="",履歴データ!$A$545=""),"",F546-F545)</f>
        <v>0.96999999999997044</v>
      </c>
      <c r="P546" s="28">
        <f>IF(OR(履歴データ!$A$546="",履歴データ!$A$545=""),"",G546-G545)</f>
        <v>1.1165357666016007</v>
      </c>
      <c r="Q546" s="29">
        <f>IF(OR(履歴データ!$A$546="",履歴データ!$A$545=""),"",H546-H545)</f>
        <v>-0.7899932861328125</v>
      </c>
      <c r="R546" s="29">
        <f>IF(OR(履歴データ!$A$546="",履歴データ!$A$545=""),"",I546-I545)</f>
        <v>-0.234375</v>
      </c>
      <c r="S546" s="28">
        <f>IF(OR(履歴データ!$A$546="",履歴データ!$A$545=""),"",(J546-J545)*100)</f>
        <v>3.0000000000000249</v>
      </c>
      <c r="T546" s="11">
        <f>IF(OR(履歴データ!$A$546="",履歴データ!$A$545=""),"",-80000*K546)</f>
        <v>39999.999999999149</v>
      </c>
      <c r="U546" s="11">
        <f>IF(OR(履歴データ!$A$546="",履歴データ!$A$545=""),"",60000*L546)</f>
        <v>-53999.999999999382</v>
      </c>
      <c r="V546" s="11">
        <f>IF(OR(履歴データ!$A$546="",履歴データ!$A$545=""),"",-50000*M546)</f>
        <v>-120000.0000000017</v>
      </c>
      <c r="W546" s="11">
        <f>IF(OR(履歴データ!$A$546="",履歴データ!$A$545=""),"",-40000*N546)</f>
        <v>0</v>
      </c>
      <c r="X546" s="11">
        <f>IF(OR(履歴データ!$A$546="",履歴データ!$A$545=""),"",120*1000000*(-Q546/H545))</f>
        <v>636672.06760605646</v>
      </c>
      <c r="Y546" s="11">
        <f>IF(OR(履歴データ!$A$546="",履歴データ!$A$545=""),"",40000*(-S546)+(-506.3)*R546*1000)</f>
        <v>-1335.9375000009895</v>
      </c>
      <c r="Z546" s="11">
        <f>IF(OR(履歴データ!$A$546="",履歴データ!$A$545=""),"",-40000*O546)</f>
        <v>-38799.999999998821</v>
      </c>
      <c r="AA546" s="11">
        <f>IF(OR(履歴データ!$A$546="",履歴データ!$A$545=""),"",-40000*P546)</f>
        <v>-44661.430664064028</v>
      </c>
      <c r="AB546" s="11">
        <f>IF(履歴データ!$A$546="","",123.3)</f>
        <v>123.3</v>
      </c>
      <c r="AC546">
        <f>IF(履歴データ!$A$546="","",SUM(T546:AA546))</f>
        <v>417874.6994419907</v>
      </c>
      <c r="AD546" s="29">
        <f>IF(履歴データ!$A$546="","",AC546/1000000)</f>
        <v>0.41787469944199068</v>
      </c>
      <c r="AE546" s="29">
        <f>IF(履歴データ!$A$546="",AE545,AE545+AC546/1000000)</f>
        <v>78.67931537246308</v>
      </c>
      <c r="AF546" s="12">
        <f>IF(OR(履歴データ!$A$546="",AE545=0),"",(AE546-AE545)/AE545)</f>
        <v>5.339471083696117E-3</v>
      </c>
      <c r="AG546" s="29">
        <f t="shared" si="26"/>
        <v>102.17217746631495</v>
      </c>
      <c r="AH546" s="12">
        <f>IF(OR(履歴データ!$A$546="",AG546=0),"",AE546/AG546-1)</f>
        <v>-0.22993404541659312</v>
      </c>
      <c r="AJ546" s="28">
        <f t="shared" ca="1" si="24"/>
        <v>10.508301208488405</v>
      </c>
      <c r="AK546" s="28">
        <f t="shared" ca="1" si="25"/>
        <v>-37.135285335472531</v>
      </c>
    </row>
    <row r="547" spans="1:37">
      <c r="A547" s="10">
        <f>IF(履歴データ!$A$547="","",履歴データ!$A$547)</f>
        <v>45726</v>
      </c>
      <c r="B547" s="28">
        <f>IF(履歴データ!$A$547="","",(履歴データ!$D$547-(履歴データ!$B$547+履歴データ!$F$547)/2)*100)</f>
        <v>0.49999999999998934</v>
      </c>
      <c r="C547" s="28">
        <f>IF(履歴データ!$A$547="","",(履歴データ!$H$547-(履歴データ!$G$547+履歴データ!$J$547)/2)*100)</f>
        <v>-13.450000000000006</v>
      </c>
      <c r="D547" s="28">
        <f>IF(履歴データ!$A$547="","",(履歴データ!$D$547-履歴データ!$H$547)*100)</f>
        <v>264.49999999999994</v>
      </c>
      <c r="E547" s="28">
        <f>IF(履歴データ!$A$547="","",(履歴データ!$D$547-履歴データ!$C$547)*100)</f>
        <v>23.999999999999979</v>
      </c>
      <c r="F547" s="28">
        <f>IF(履歴データ!$A$547="","",(履歴データ!$R$547-履歴データ!$D$547)*100)</f>
        <v>-219.38</v>
      </c>
      <c r="G547" s="28">
        <f>IF(履歴データ!$A$547="","",(履歴データ!$S$547-履歴データ!$R$547)*100)</f>
        <v>-46.462000000000046</v>
      </c>
      <c r="H547" s="29">
        <f>IF(履歴データ!$A$547="","",履歴データ!$O$547)</f>
        <v>147.60800170898438</v>
      </c>
      <c r="I547" s="29">
        <f>IF(履歴データ!$A$547="","",履歴データ!$Q$547)</f>
        <v>111.28125</v>
      </c>
      <c r="J547" s="29">
        <f>IF(履歴データ!$A$547="","",履歴データ!$D$547)</f>
        <v>4.22</v>
      </c>
      <c r="K547" s="28">
        <f>IF(OR(履歴データ!$A$547="",履歴データ!$A$546=""),"",B547-B546)</f>
        <v>-1.0000000000000675</v>
      </c>
      <c r="L547" s="28">
        <f>IF(OR(履歴データ!$A$547="",履歴データ!$A$546=""),"",C547-C546)</f>
        <v>1.4499999999999957</v>
      </c>
      <c r="M547" s="28">
        <f>IF(OR(履歴データ!$A$547="",履歴データ!$A$546=""),"",D547-D546)</f>
        <v>-15.200000000000102</v>
      </c>
      <c r="N547" s="28">
        <f>IF(OR(履歴データ!$A$547="",履歴データ!$A$546=""),"",E547-E546)</f>
        <v>0.99999999999993605</v>
      </c>
      <c r="O547" s="28">
        <f>IF(OR(履歴データ!$A$547="",履歴データ!$A$546=""),"",F547-F546)</f>
        <v>6.8100000000000307</v>
      </c>
      <c r="P547" s="28">
        <f>IF(OR(履歴データ!$A$547="",履歴データ!$A$546=""),"",G547-G546)</f>
        <v>14.064821411132833</v>
      </c>
      <c r="Q547" s="29">
        <f>IF(OR(履歴データ!$A$547="",履歴データ!$A$546=""),"",H547-H546)</f>
        <v>-0.5</v>
      </c>
      <c r="R547" s="29">
        <f>IF(OR(履歴データ!$A$547="",履歴データ!$A$546=""),"",I547-I546)</f>
        <v>0.734375</v>
      </c>
      <c r="S547" s="28">
        <f>IF(OR(履歴データ!$A$547="",履歴データ!$A$546=""),"",(J547-J546)*100)</f>
        <v>-10.000000000000053</v>
      </c>
      <c r="T547" s="11">
        <f>IF(OR(履歴データ!$A$547="",履歴データ!$A$546=""),"",-80000*K547)</f>
        <v>80000.000000005399</v>
      </c>
      <c r="U547" s="11">
        <f>IF(OR(履歴データ!$A$547="",履歴データ!$A$546=""),"",60000*L547)</f>
        <v>86999.999999999738</v>
      </c>
      <c r="V547" s="11">
        <f>IF(OR(履歴データ!$A$547="",履歴データ!$A$546=""),"",-50000*M547)</f>
        <v>760000.00000000512</v>
      </c>
      <c r="W547" s="11">
        <f>IF(OR(履歴データ!$A$547="",履歴データ!$A$546=""),"",-40000*N547)</f>
        <v>-39999.999999997439</v>
      </c>
      <c r="X547" s="11">
        <f>IF(OR(履歴データ!$A$547="",履歴データ!$A$546=""),"",120*1000000*(-Q547/H546))</f>
        <v>405109.78007719846</v>
      </c>
      <c r="Y547" s="11">
        <f>IF(OR(履歴データ!$A$547="",履歴データ!$A$546=""),"",40000*(-S547)+(-506.3)*R547*1000)</f>
        <v>28185.937500002095</v>
      </c>
      <c r="Z547" s="11">
        <f>IF(OR(履歴データ!$A$547="",履歴データ!$A$546=""),"",-40000*O547)</f>
        <v>-272400.00000000122</v>
      </c>
      <c r="AA547" s="11">
        <f>IF(OR(履歴データ!$A$547="",履歴データ!$A$546=""),"",-40000*P547)</f>
        <v>-562592.85644531331</v>
      </c>
      <c r="AB547" s="11">
        <f>IF(履歴データ!$A$547="","",123.3)</f>
        <v>123.3</v>
      </c>
      <c r="AC547">
        <f>IF(履歴データ!$A$547="","",SUM(T547:AA547))</f>
        <v>485302.86113189894</v>
      </c>
      <c r="AD547" s="29">
        <f>IF(履歴データ!$A$547="","",AC547/1000000)</f>
        <v>0.48530286113189897</v>
      </c>
      <c r="AE547" s="29">
        <f>IF(履歴データ!$A$547="",AE546,AE546+AC547/1000000)</f>
        <v>79.164618233594979</v>
      </c>
      <c r="AF547" s="12">
        <f>IF(OR(履歴データ!$A$547="",AE546=0),"",(AE547-AE546)/AE546)</f>
        <v>6.1681124045691663E-3</v>
      </c>
      <c r="AG547" s="29">
        <f t="shared" si="26"/>
        <v>102.17217746631495</v>
      </c>
      <c r="AH547" s="12">
        <f>IF(OR(履歴データ!$A$547="",AG547=0),"",AE547/AG547-1)</f>
        <v>-0.22518419204979079</v>
      </c>
      <c r="AJ547" s="28">
        <f t="shared" ca="1" si="24"/>
        <v>10.614877703964119</v>
      </c>
      <c r="AK547" s="28">
        <f t="shared" ca="1" si="25"/>
        <v>-37.019639608726024</v>
      </c>
    </row>
    <row r="548" spans="1:37">
      <c r="A548" s="10">
        <f>IF(履歴データ!$A$548="","",履歴データ!$A$548)</f>
        <v>45727</v>
      </c>
      <c r="B548" s="28">
        <f>IF(履歴データ!$A$548="","",(履歴データ!$D$548-(履歴データ!$B$548+履歴データ!$F$548)/2)*100)</f>
        <v>1.5000000000000568</v>
      </c>
      <c r="C548" s="28">
        <f>IF(履歴データ!$A$548="","",(履歴データ!$H$548-(履歴データ!$G$548+履歴データ!$J$548)/2)*100)</f>
        <v>-17.100000000000005</v>
      </c>
      <c r="D548" s="28">
        <f>IF(履歴データ!$A$548="","",(履歴データ!$D$548-履歴データ!$H$548)*100)</f>
        <v>276.90000000000003</v>
      </c>
      <c r="E548" s="28">
        <f>IF(履歴データ!$A$548="","",(履歴データ!$D$548-履歴データ!$C$548)*100)</f>
        <v>25</v>
      </c>
      <c r="F548" s="28">
        <f>IF(履歴データ!$A$548="","",(履歴データ!$R$548-履歴データ!$D$548)*100)</f>
        <v>-228.56000000000006</v>
      </c>
      <c r="G548" s="28">
        <f>IF(履歴データ!$A$548="","",(履歴データ!$S$548-履歴データ!$R$548)*100)</f>
        <v>-53.104357177734521</v>
      </c>
      <c r="H548" s="29">
        <f>IF(履歴データ!$A$548="","",履歴データ!$O$548)</f>
        <v>147.06900024414063</v>
      </c>
      <c r="I548" s="29">
        <f>IF(履歴データ!$A$548="","",履歴データ!$Q$548)</f>
        <v>110.8125</v>
      </c>
      <c r="J548" s="29">
        <f>IF(履歴データ!$A$548="","",履歴データ!$D$548)</f>
        <v>4.28</v>
      </c>
      <c r="K548" s="28">
        <f>IF(OR(履歴データ!$A$548="",履歴データ!$A$547=""),"",B548-B547)</f>
        <v>1.0000000000000675</v>
      </c>
      <c r="L548" s="28">
        <f>IF(OR(履歴データ!$A$548="",履歴データ!$A$547=""),"",C548-C547)</f>
        <v>-3.6499999999999986</v>
      </c>
      <c r="M548" s="28">
        <f>IF(OR(履歴データ!$A$548="",履歴データ!$A$547=""),"",D548-D547)</f>
        <v>12.400000000000091</v>
      </c>
      <c r="N548" s="28">
        <f>IF(OR(履歴データ!$A$548="",履歴データ!$A$547=""),"",E548-E547)</f>
        <v>1.0000000000000213</v>
      </c>
      <c r="O548" s="28">
        <f>IF(OR(履歴データ!$A$548="",履歴データ!$A$547=""),"",F548-F547)</f>
        <v>-9.1800000000000637</v>
      </c>
      <c r="P548" s="28">
        <f>IF(OR(履歴データ!$A$548="",履歴データ!$A$547=""),"",G548-G547)</f>
        <v>-6.6423571777344748</v>
      </c>
      <c r="Q548" s="29">
        <f>IF(OR(履歴データ!$A$548="",履歴データ!$A$547=""),"",H548-H547)</f>
        <v>-0.53900146484375</v>
      </c>
      <c r="R548" s="29">
        <f>IF(OR(履歴データ!$A$548="",履歴データ!$A$547=""),"",I548-I547)</f>
        <v>-0.46875</v>
      </c>
      <c r="S548" s="28">
        <f>IF(OR(履歴データ!$A$548="",履歴データ!$A$547=""),"",(J548-J547)*100)</f>
        <v>6.0000000000000497</v>
      </c>
      <c r="T548" s="11">
        <f>IF(OR(履歴データ!$A$548="",履歴データ!$A$547=""),"",-80000*K548)</f>
        <v>-80000.000000005399</v>
      </c>
      <c r="U548" s="11">
        <f>IF(OR(履歴データ!$A$548="",履歴データ!$A$547=""),"",60000*L548)</f>
        <v>-218999.99999999991</v>
      </c>
      <c r="V548" s="11">
        <f>IF(OR(履歴データ!$A$548="",履歴データ!$A$547=""),"",-50000*M548)</f>
        <v>-620000.00000000454</v>
      </c>
      <c r="W548" s="11">
        <f>IF(OR(履歴データ!$A$548="",履歴データ!$A$547=""),"",-40000*N548)</f>
        <v>-40000.000000000851</v>
      </c>
      <c r="X548" s="11">
        <f>IF(OR(履歴データ!$A$548="",履歴データ!$A$547=""),"",120*1000000*(-Q548/H547))</f>
        <v>438188.81789870572</v>
      </c>
      <c r="Y548" s="11">
        <f>IF(OR(履歴データ!$A$548="",履歴データ!$A$547=""),"",40000*(-S548)+(-506.3)*R548*1000)</f>
        <v>-2671.8750000019791</v>
      </c>
      <c r="Z548" s="11">
        <f>IF(OR(履歴データ!$A$548="",履歴データ!$A$547=""),"",-40000*O548)</f>
        <v>367200.00000000256</v>
      </c>
      <c r="AA548" s="11">
        <f>IF(OR(履歴データ!$A$548="",履歴データ!$A$547=""),"",-40000*P548)</f>
        <v>265694.28710937902</v>
      </c>
      <c r="AB548" s="11">
        <f>IF(履歴データ!$A$548="","",123.3)</f>
        <v>123.3</v>
      </c>
      <c r="AC548">
        <f>IF(履歴データ!$A$548="","",SUM(T548:AA548))</f>
        <v>109411.23000807472</v>
      </c>
      <c r="AD548" s="29">
        <f>IF(履歴データ!$A$548="","",AC548/1000000)</f>
        <v>0.10941123000807472</v>
      </c>
      <c r="AE548" s="29">
        <f>IF(履歴データ!$A$548="",AE547,AE547+AC548/1000000)</f>
        <v>79.274029463603057</v>
      </c>
      <c r="AF548" s="12">
        <f>IF(OR(履歴データ!$A$548="",AE547=0),"",(AE548-AE547)/AE547)</f>
        <v>1.3820723506204869E-3</v>
      </c>
      <c r="AG548" s="29">
        <f t="shared" si="26"/>
        <v>102.17217746631495</v>
      </c>
      <c r="AH548" s="12">
        <f>IF(OR(履歴データ!$A$548="",AG548=0),"",AE548/AG548-1)</f>
        <v>-0.22411334054479914</v>
      </c>
      <c r="AJ548" s="28">
        <f t="shared" ca="1" si="24"/>
        <v>10.726755257957114</v>
      </c>
      <c r="AK548" s="28">
        <f t="shared" ca="1" si="25"/>
        <v>-36.89342192462378</v>
      </c>
    </row>
    <row r="549" spans="1:37">
      <c r="A549" s="10">
        <f>IF(履歴データ!$A$549="","",履歴データ!$A$549)</f>
        <v>45728</v>
      </c>
      <c r="B549" s="28">
        <f>IF(履歴データ!$A$549="","",(履歴データ!$D$549-(履歴データ!$B$549+履歴データ!$F$549)/2)*100)</f>
        <v>0</v>
      </c>
      <c r="C549" s="28">
        <f>IF(履歴データ!$A$549="","",(履歴データ!$H$549-(履歴データ!$G$549+履歴データ!$J$549)/2)*100)</f>
        <v>-16.550000000000018</v>
      </c>
      <c r="D549" s="28">
        <f>IF(履歴データ!$A$549="","",(履歴データ!$D$549-履歴データ!$H$549)*100)</f>
        <v>279.3</v>
      </c>
      <c r="E549" s="28">
        <f>IF(履歴データ!$A$549="","",(履歴データ!$D$549-履歴データ!$C$549)*100)</f>
        <v>23.000000000000043</v>
      </c>
      <c r="F549" s="28">
        <f>IF(履歴データ!$A$549="","",(履歴データ!$R$549-履歴データ!$D$549)*100)</f>
        <v>-233.13000000000005</v>
      </c>
      <c r="G549" s="28">
        <f>IF(履歴データ!$A$549="","",(履歴データ!$S$549-履歴データ!$R$549)*100)</f>
        <v>-43.764357177734524</v>
      </c>
      <c r="H549" s="29">
        <f>IF(履歴データ!$A$549="","",履歴データ!$O$549)</f>
        <v>148.04200744628906</v>
      </c>
      <c r="I549" s="29">
        <f>IF(履歴データ!$A$549="","",履歴データ!$Q$549)</f>
        <v>110.625</v>
      </c>
      <c r="J549" s="29">
        <f>IF(履歴データ!$A$549="","",履歴データ!$D$549)</f>
        <v>4.32</v>
      </c>
      <c r="K549" s="28">
        <f>IF(OR(履歴データ!$A$549="",履歴データ!$A$548=""),"",B549-B548)</f>
        <v>-1.5000000000000568</v>
      </c>
      <c r="L549" s="28">
        <f>IF(OR(履歴データ!$A$549="",履歴データ!$A$548=""),"",C549-C548)</f>
        <v>0.5499999999999865</v>
      </c>
      <c r="M549" s="28">
        <f>IF(OR(履歴データ!$A$549="",履歴データ!$A$548=""),"",D549-D548)</f>
        <v>2.3999999999999773</v>
      </c>
      <c r="N549" s="28">
        <f>IF(OR(履歴データ!$A$549="",履歴データ!$A$548=""),"",E549-E548)</f>
        <v>-1.9999999999999574</v>
      </c>
      <c r="O549" s="28">
        <f>IF(OR(履歴データ!$A$549="",履歴データ!$A$548=""),"",F549-F548)</f>
        <v>-4.5699999999999932</v>
      </c>
      <c r="P549" s="28">
        <f>IF(OR(履歴データ!$A$549="",履歴データ!$A$548=""),"",G549-G548)</f>
        <v>9.3399999999999963</v>
      </c>
      <c r="Q549" s="29">
        <f>IF(OR(履歴データ!$A$549="",履歴データ!$A$548=""),"",H549-H548)</f>
        <v>0.9730072021484375</v>
      </c>
      <c r="R549" s="29">
        <f>IF(OR(履歴データ!$A$549="",履歴データ!$A$548=""),"",I549-I548)</f>
        <v>-0.1875</v>
      </c>
      <c r="S549" s="28">
        <f>IF(OR(履歴データ!$A$549="",履歴データ!$A$548=""),"",(J549-J548)*100)</f>
        <v>4.0000000000000036</v>
      </c>
      <c r="T549" s="11">
        <f>IF(OR(履歴データ!$A$549="",履歴データ!$A$548=""),"",-80000*K549)</f>
        <v>120000.00000000454</v>
      </c>
      <c r="U549" s="11">
        <f>IF(OR(履歴データ!$A$549="",履歴データ!$A$548=""),"",60000*L549)</f>
        <v>32999.999999999192</v>
      </c>
      <c r="V549" s="11">
        <f>IF(OR(履歴データ!$A$549="",履歴データ!$A$548=""),"",-50000*M549)</f>
        <v>-119999.99999999886</v>
      </c>
      <c r="W549" s="11">
        <f>IF(OR(履歴データ!$A$549="",履歴データ!$A$548=""),"",-40000*N549)</f>
        <v>79999.999999998297</v>
      </c>
      <c r="X549" s="11">
        <f>IF(OR(履歴データ!$A$549="",履歴データ!$A$548=""),"",120*1000000*(-Q549/H548))</f>
        <v>-793918.93644469348</v>
      </c>
      <c r="Y549" s="11">
        <f>IF(OR(履歴データ!$A$549="",履歴データ!$A$548=""),"",40000*(-S549)+(-506.3)*R549*1000)</f>
        <v>-65068.750000000146</v>
      </c>
      <c r="Z549" s="11">
        <f>IF(OR(履歴データ!$A$549="",履歴データ!$A$548=""),"",-40000*O549)</f>
        <v>182799.99999999974</v>
      </c>
      <c r="AA549" s="11">
        <f>IF(OR(履歴データ!$A$549="",履歴データ!$A$548=""),"",-40000*P549)</f>
        <v>-373599.99999999983</v>
      </c>
      <c r="AB549" s="11">
        <f>IF(履歴データ!$A$549="","",123.3)</f>
        <v>123.3</v>
      </c>
      <c r="AC549">
        <f>IF(履歴データ!$A$549="","",SUM(T549:AA549))</f>
        <v>-936787.68644469045</v>
      </c>
      <c r="AD549" s="29">
        <f>IF(履歴データ!$A$549="","",AC549/1000000)</f>
        <v>-0.93678768644469046</v>
      </c>
      <c r="AE549" s="29">
        <f>IF(履歴データ!$A$549="",AE548,AE548+AC549/1000000)</f>
        <v>78.337241777158368</v>
      </c>
      <c r="AF549" s="12">
        <f>IF(OR(履歴データ!$A$549="",AE548=0),"",(AE549-AE548)/AE548)</f>
        <v>-1.181708174522394E-2</v>
      </c>
      <c r="AG549" s="29">
        <f t="shared" si="26"/>
        <v>102.17217746631495</v>
      </c>
      <c r="AH549" s="12">
        <f>IF(OR(履歴データ!$A$549="",AG549=0),"",AE549/AG549-1)</f>
        <v>-0.23328205662460999</v>
      </c>
      <c r="AJ549" s="28">
        <f t="shared" ca="1" si="24"/>
        <v>10.816505940131933</v>
      </c>
      <c r="AK549" s="28">
        <f t="shared" ca="1" si="25"/>
        <v>-36.756982130608122</v>
      </c>
    </row>
    <row r="550" spans="1:37">
      <c r="A550" s="10">
        <f>IF(履歴データ!$A$550="","",履歴データ!$A$550)</f>
        <v>45729</v>
      </c>
      <c r="B550" s="28">
        <f>IF(履歴データ!$A$550="","",(履歴データ!$D$550-(履歴データ!$B$550+履歴データ!$F$550)/2)*100)</f>
        <v>0.49999999999998934</v>
      </c>
      <c r="C550" s="28">
        <f>IF(履歴データ!$A$550="","",(履歴データ!$H$550-(履歴データ!$G$550+履歴データ!$J$550)/2)*100)</f>
        <v>-15.500000000000025</v>
      </c>
      <c r="D550" s="28">
        <f>IF(履歴データ!$A$550="","",(履歴データ!$D$550-履歴データ!$H$550)*100)</f>
        <v>272.09999999999997</v>
      </c>
      <c r="E550" s="28">
        <f>IF(履歴データ!$A$550="","",(履歴データ!$D$550-履歴データ!$C$550)*100)</f>
        <v>25</v>
      </c>
      <c r="F550" s="28">
        <f>IF(履歴データ!$A$550="","",(履歴データ!$R$550-履歴データ!$D$550)*100)</f>
        <v>-225.30999999999995</v>
      </c>
      <c r="G550" s="28">
        <f>IF(履歴データ!$A$550="","",(履歴データ!$S$550-履歴データ!$R$550)*100)</f>
        <v>-35.358821411133022</v>
      </c>
      <c r="H550" s="29">
        <f>IF(履歴データ!$A$550="","",履歴データ!$O$550)</f>
        <v>148.27900695800781</v>
      </c>
      <c r="I550" s="29">
        <f>IF(履歴データ!$A$550="","",履歴データ!$Q$550)</f>
        <v>110.90625</v>
      </c>
      <c r="J550" s="29">
        <f>IF(履歴データ!$A$550="","",履歴データ!$D$550)</f>
        <v>4.2699999999999996</v>
      </c>
      <c r="K550" s="28">
        <f>IF(OR(履歴データ!$A$550="",履歴データ!$A$549=""),"",B550-B549)</f>
        <v>0.49999999999998934</v>
      </c>
      <c r="L550" s="28">
        <f>IF(OR(履歴データ!$A$550="",履歴データ!$A$549=""),"",C550-C549)</f>
        <v>1.0499999999999936</v>
      </c>
      <c r="M550" s="28">
        <f>IF(OR(履歴データ!$A$550="",履歴データ!$A$549=""),"",D550-D549)</f>
        <v>-7.2000000000000455</v>
      </c>
      <c r="N550" s="28">
        <f>IF(OR(履歴データ!$A$550="",履歴データ!$A$549=""),"",E550-E549)</f>
        <v>1.9999999999999574</v>
      </c>
      <c r="O550" s="28">
        <f>IF(OR(履歴データ!$A$550="",履歴データ!$A$549=""),"",F550-F549)</f>
        <v>7.8200000000001069</v>
      </c>
      <c r="P550" s="28">
        <f>IF(OR(履歴データ!$A$550="",履歴データ!$A$549=""),"",G550-G549)</f>
        <v>8.4055357666015027</v>
      </c>
      <c r="Q550" s="29">
        <f>IF(OR(履歴データ!$A$550="",履歴データ!$A$549=""),"",H550-H549)</f>
        <v>0.23699951171875</v>
      </c>
      <c r="R550" s="29">
        <f>IF(OR(履歴データ!$A$550="",履歴データ!$A$549=""),"",I550-I549)</f>
        <v>0.28125</v>
      </c>
      <c r="S550" s="28">
        <f>IF(OR(履歴データ!$A$550="",履歴データ!$A$549=""),"",(J550-J549)*100)</f>
        <v>-5.0000000000000711</v>
      </c>
      <c r="T550" s="11">
        <f>IF(OR(履歴データ!$A$550="",履歴データ!$A$549=""),"",-80000*K550)</f>
        <v>-39999.999999999149</v>
      </c>
      <c r="U550" s="11">
        <f>IF(OR(履歴データ!$A$550="",履歴データ!$A$549=""),"",60000*L550)</f>
        <v>62999.999999999614</v>
      </c>
      <c r="V550" s="11">
        <f>IF(OR(履歴データ!$A$550="",履歴データ!$A$549=""),"",-50000*M550)</f>
        <v>360000.00000000227</v>
      </c>
      <c r="W550" s="11">
        <f>IF(OR(履歴データ!$A$550="",履歴データ!$A$549=""),"",-40000*N550)</f>
        <v>-79999.999999998297</v>
      </c>
      <c r="X550" s="11">
        <f>IF(OR(履歴データ!$A$550="",履歴データ!$A$549=""),"",120*1000000*(-Q550/H549))</f>
        <v>-192107.2396736329</v>
      </c>
      <c r="Y550" s="11">
        <f>IF(OR(履歴データ!$A$550="",履歴データ!$A$549=""),"",40000*(-S550)+(-506.3)*R550*1000)</f>
        <v>57603.125000002852</v>
      </c>
      <c r="Z550" s="11">
        <f>IF(OR(履歴データ!$A$550="",履歴データ!$A$549=""),"",-40000*O550)</f>
        <v>-312800.00000000425</v>
      </c>
      <c r="AA550" s="11">
        <f>IF(OR(履歴データ!$A$550="",履歴データ!$A$549=""),"",-40000*P550)</f>
        <v>-336221.43066406011</v>
      </c>
      <c r="AB550" s="11">
        <f>IF(履歴データ!$A$550="","",123.3)</f>
        <v>123.3</v>
      </c>
      <c r="AC550">
        <f>IF(履歴データ!$A$550="","",SUM(T550:AA550))</f>
        <v>-480525.54533768998</v>
      </c>
      <c r="AD550" s="29">
        <f>IF(履歴データ!$A$550="","",AC550/1000000)</f>
        <v>-0.48052554533768999</v>
      </c>
      <c r="AE550" s="29">
        <f>IF(履歴データ!$A$550="",AE549,AE549+AC550/1000000)</f>
        <v>77.856716231820684</v>
      </c>
      <c r="AF550" s="12">
        <f>IF(OR(履歴データ!$A$550="",AE549=0),"",(AE550-AE549)/AE549)</f>
        <v>-6.1340626046626576E-3</v>
      </c>
      <c r="AG550" s="29">
        <f t="shared" si="26"/>
        <v>102.17217746631495</v>
      </c>
      <c r="AH550" s="12">
        <f>IF(OR(履歴データ!$A$550="",AG550=0),"",AE550/AG550-1)</f>
        <v>-0.23798515248939278</v>
      </c>
      <c r="AJ550" s="28">
        <f t="shared" ca="1" si="24"/>
        <v>10.913627349580175</v>
      </c>
      <c r="AK550" s="28">
        <f t="shared" ca="1" si="25"/>
        <v>-36.62791306386589</v>
      </c>
    </row>
    <row r="551" spans="1:37">
      <c r="A551" s="10">
        <f>IF(履歴データ!$A$551="","",履歴データ!$A$551)</f>
        <v>45730</v>
      </c>
      <c r="B551" s="28">
        <f>IF(履歴データ!$A$551="","",(履歴データ!$D$551-(履歴データ!$B$551+履歴データ!$F$551)/2)*100)</f>
        <v>-1.0000000000000675</v>
      </c>
      <c r="C551" s="28">
        <f>IF(履歴データ!$A$551="","",(履歴データ!$H$551-(履歴データ!$G$551+履歴データ!$J$551)/2)*100)</f>
        <v>-16.549999999999997</v>
      </c>
      <c r="D551" s="28">
        <f>IF(履歴データ!$A$551="","",(履歴データ!$D$551-履歴データ!$H$551)*100)</f>
        <v>278.79999999999995</v>
      </c>
      <c r="E551" s="28">
        <f>IF(履歴データ!$A$551="","",(履歴データ!$D$551-履歴データ!$C$551)*100)</f>
        <v>21.999999999999975</v>
      </c>
      <c r="F551" s="28">
        <f>IF(履歴データ!$A$551="","",(履歴データ!$R$551-履歴データ!$D$551)*100)</f>
        <v>-228.24999999999997</v>
      </c>
      <c r="G551" s="28">
        <f>IF(履歴データ!$A$551="","",(履歴データ!$S$551-履歴データ!$R$551)*100)</f>
        <v>-53.081821411132957</v>
      </c>
      <c r="H551" s="29">
        <f>IF(履歴データ!$A$551="","",履歴データ!$O$551)</f>
        <v>147.94900512695313</v>
      </c>
      <c r="I551" s="29">
        <f>IF(履歴データ!$A$551="","",履歴データ!$Q$551)</f>
        <v>110.625</v>
      </c>
      <c r="J551" s="29">
        <f>IF(履歴データ!$A$551="","",履歴データ!$D$551)</f>
        <v>4.3099999999999996</v>
      </c>
      <c r="K551" s="28">
        <f>IF(OR(履歴データ!$A$551="",履歴データ!$A$550=""),"",B551-B550)</f>
        <v>-1.5000000000000568</v>
      </c>
      <c r="L551" s="28">
        <f>IF(OR(履歴データ!$A$551="",履歴データ!$A$550=""),"",C551-C550)</f>
        <v>-1.0499999999999723</v>
      </c>
      <c r="M551" s="28">
        <f>IF(OR(履歴データ!$A$551="",履歴データ!$A$550=""),"",D551-D550)</f>
        <v>6.6999999999999886</v>
      </c>
      <c r="N551" s="28">
        <f>IF(OR(履歴データ!$A$551="",履歴データ!$A$550=""),"",E551-E550)</f>
        <v>-3.0000000000000249</v>
      </c>
      <c r="O551" s="28">
        <f>IF(OR(履歴データ!$A$551="",履歴データ!$A$550=""),"",F551-F550)</f>
        <v>-2.9400000000000261</v>
      </c>
      <c r="P551" s="28">
        <f>IF(OR(履歴データ!$A$551="",履歴データ!$A$550=""),"",G551-G550)</f>
        <v>-17.722999999999935</v>
      </c>
      <c r="Q551" s="29">
        <f>IF(OR(履歴データ!$A$551="",履歴データ!$A$550=""),"",H551-H550)</f>
        <v>-0.3300018310546875</v>
      </c>
      <c r="R551" s="29">
        <f>IF(OR(履歴データ!$A$551="",履歴データ!$A$550=""),"",I551-I550)</f>
        <v>-0.28125</v>
      </c>
      <c r="S551" s="28">
        <f>IF(OR(履歴データ!$A$551="",履歴データ!$A$550=""),"",(J551-J550)*100)</f>
        <v>4.0000000000000036</v>
      </c>
      <c r="T551" s="11">
        <f>IF(OR(履歴データ!$A$551="",履歴データ!$A$550=""),"",-80000*K551)</f>
        <v>120000.00000000454</v>
      </c>
      <c r="U551" s="11">
        <f>IF(OR(履歴データ!$A$551="",履歴データ!$A$550=""),"",60000*L551)</f>
        <v>-62999.999999998334</v>
      </c>
      <c r="V551" s="11">
        <f>IF(OR(履歴データ!$A$551="",履歴データ!$A$550=""),"",-50000*M551)</f>
        <v>-334999.99999999942</v>
      </c>
      <c r="W551" s="11">
        <f>IF(OR(履歴データ!$A$551="",履歴データ!$A$550=""),"",-40000*N551)</f>
        <v>120000.00000000099</v>
      </c>
      <c r="X551" s="11">
        <f>IF(OR(履歴データ!$A$551="",履歴データ!$A$550=""),"",120*1000000*(-Q551/H550))</f>
        <v>267065.58493325475</v>
      </c>
      <c r="Y551" s="11">
        <f>IF(OR(履歴データ!$A$551="",履歴データ!$A$550=""),"",40000*(-S551)+(-506.3)*R551*1000)</f>
        <v>-17603.125000000146</v>
      </c>
      <c r="Z551" s="11">
        <f>IF(OR(履歴データ!$A$551="",履歴データ!$A$550=""),"",-40000*O551)</f>
        <v>117600.00000000105</v>
      </c>
      <c r="AA551" s="11">
        <f>IF(OR(履歴データ!$A$551="",履歴データ!$A$550=""),"",-40000*P551)</f>
        <v>708919.99999999744</v>
      </c>
      <c r="AB551" s="11">
        <f>IF(履歴データ!$A$551="","",123.3)</f>
        <v>123.3</v>
      </c>
      <c r="AC551">
        <f>IF(履歴データ!$A$551="","",SUM(T551:AA551))</f>
        <v>917982.45993326092</v>
      </c>
      <c r="AD551" s="29">
        <f>IF(履歴データ!$A$551="","",AC551/1000000)</f>
        <v>0.91798245993326089</v>
      </c>
      <c r="AE551" s="29">
        <f>IF(履歴データ!$A$551="",AE550,AE550+AC551/1000000)</f>
        <v>78.77469869175394</v>
      </c>
      <c r="AF551" s="12">
        <f>IF(OR(履歴データ!$A$551="",AE550=0),"",(AE551-AE550)/AE550)</f>
        <v>1.1790665010837809E-2</v>
      </c>
      <c r="AG551" s="29">
        <f t="shared" si="26"/>
        <v>102.17217746631495</v>
      </c>
      <c r="AH551" s="12">
        <f>IF(OR(履歴データ!$A$551="",AG551=0),"",AE551/AG551-1)</f>
        <v>-0.22900049068911055</v>
      </c>
      <c r="AJ551" s="28">
        <f t="shared" ca="1" si="24"/>
        <v>10.98682378669734</v>
      </c>
      <c r="AK551" s="28">
        <f t="shared" ca="1" si="25"/>
        <v>-36.48285553272909</v>
      </c>
    </row>
    <row r="552" spans="1:37">
      <c r="A552" s="10">
        <f>IF(履歴データ!$A$552="","",履歴データ!$A$552)</f>
        <v>45733</v>
      </c>
      <c r="B552" s="28">
        <f>IF(履歴データ!$A$552="","",(履歴データ!$D$552-(履歴データ!$B$552+履歴データ!$F$552)/2)*100)</f>
        <v>-2.0000000000000462</v>
      </c>
      <c r="C552" s="28">
        <f>IF(履歴データ!$A$552="","",(履歴データ!$H$552-(履歴データ!$G$552+履歴データ!$J$552)/2)*100)</f>
        <v>-16.75</v>
      </c>
      <c r="D552" s="28">
        <f>IF(履歴データ!$A$552="","",(履歴データ!$D$552-履歴データ!$H$552)*100)</f>
        <v>279.7</v>
      </c>
      <c r="E552" s="28">
        <f>IF(履歴データ!$A$552="","",(履歴データ!$D$552-履歴データ!$C$552)*100)</f>
        <v>19.999999999999929</v>
      </c>
      <c r="F552" s="28">
        <f>IF(履歴データ!$A$552="","",(履歴データ!$R$552-履歴データ!$D$552)*100)</f>
        <v>-231.87999999999994</v>
      </c>
      <c r="G552" s="28">
        <f>IF(履歴データ!$A$552="","",(履歴データ!$S$552-履歴データ!$R$552)*100)</f>
        <v>-42.962000000000074</v>
      </c>
      <c r="H552" s="29">
        <f>IF(履歴データ!$A$552="","",履歴データ!$O$552)</f>
        <v>148.59800720214844</v>
      </c>
      <c r="I552" s="29">
        <f>IF(履歴データ!$A$552="","",履歴データ!$Q$552)</f>
        <v>110.59375</v>
      </c>
      <c r="J552" s="29">
        <f>IF(履歴データ!$A$552="","",履歴データ!$D$552)</f>
        <v>4.3099999999999996</v>
      </c>
      <c r="K552" s="28">
        <f>IF(OR(履歴データ!$A$552="",履歴データ!$A$551=""),"",B552-B551)</f>
        <v>-0.99999999999997868</v>
      </c>
      <c r="L552" s="28">
        <f>IF(OR(履歴データ!$A$552="",履歴データ!$A$551=""),"",C552-C551)</f>
        <v>-0.20000000000000284</v>
      </c>
      <c r="M552" s="28">
        <f>IF(OR(履歴データ!$A$552="",履歴データ!$A$551=""),"",D552-D551)</f>
        <v>0.90000000000003411</v>
      </c>
      <c r="N552" s="28">
        <f>IF(OR(履歴データ!$A$552="",履歴データ!$A$551=""),"",E552-E551)</f>
        <v>-2.0000000000000462</v>
      </c>
      <c r="O552" s="28">
        <f>IF(OR(履歴データ!$A$552="",履歴データ!$A$551=""),"",F552-F551)</f>
        <v>-3.629999999999967</v>
      </c>
      <c r="P552" s="28">
        <f>IF(OR(履歴データ!$A$552="",履歴データ!$A$551=""),"",G552-G551)</f>
        <v>10.119821411132882</v>
      </c>
      <c r="Q552" s="29">
        <f>IF(OR(履歴データ!$A$552="",履歴データ!$A$551=""),"",H552-H551)</f>
        <v>0.6490020751953125</v>
      </c>
      <c r="R552" s="29">
        <f>IF(OR(履歴データ!$A$552="",履歴データ!$A$551=""),"",I552-I551)</f>
        <v>-3.125E-2</v>
      </c>
      <c r="S552" s="28">
        <f>IF(OR(履歴データ!$A$552="",履歴データ!$A$551=""),"",(J552-J551)*100)</f>
        <v>0</v>
      </c>
      <c r="T552" s="11">
        <f>IF(OR(履歴データ!$A$552="",履歴データ!$A$551=""),"",-80000*K552)</f>
        <v>79999.999999998297</v>
      </c>
      <c r="U552" s="11">
        <f>IF(OR(履歴データ!$A$552="",履歴データ!$A$551=""),"",60000*L552)</f>
        <v>-12000.000000000171</v>
      </c>
      <c r="V552" s="11">
        <f>IF(OR(履歴データ!$A$552="",履歴データ!$A$551=""),"",-50000*M552)</f>
        <v>-45000.000000001703</v>
      </c>
      <c r="W552" s="11">
        <f>IF(OR(履歴データ!$A$552="",履歴データ!$A$551=""),"",-40000*N552)</f>
        <v>80000.000000001848</v>
      </c>
      <c r="X552" s="11">
        <f>IF(OR(履歴データ!$A$552="",履歴データ!$A$551=""),"",120*1000000*(-Q552/H551))</f>
        <v>-526399.27491644479</v>
      </c>
      <c r="Y552" s="11">
        <f>IF(OR(履歴データ!$A$552="",履歴データ!$A$551=""),"",40000*(-S552)+(-506.3)*R552*1000)</f>
        <v>15821.875</v>
      </c>
      <c r="Z552" s="11">
        <f>IF(OR(履歴データ!$A$552="",履歴データ!$A$551=""),"",-40000*O552)</f>
        <v>145199.99999999869</v>
      </c>
      <c r="AA552" s="11">
        <f>IF(OR(履歴データ!$A$552="",履歴データ!$A$551=""),"",-40000*P552)</f>
        <v>-404792.85644531529</v>
      </c>
      <c r="AB552" s="11">
        <f>IF(履歴データ!$A$552="","",123.3)</f>
        <v>123.3</v>
      </c>
      <c r="AC552">
        <f>IF(履歴データ!$A$552="","",SUM(T552:AA552))</f>
        <v>-667170.25636176311</v>
      </c>
      <c r="AD552" s="29">
        <f>IF(履歴データ!$A$552="","",AC552/1000000)</f>
        <v>-0.66717025636176308</v>
      </c>
      <c r="AE552" s="29">
        <f>IF(履歴データ!$A$552="",AE551,AE551+AC552/1000000)</f>
        <v>78.107528435392183</v>
      </c>
      <c r="AF552" s="12">
        <f>IF(OR(履歴データ!$A$552="",AE551=0),"",(AE552-AE551)/AE551)</f>
        <v>-8.4693469786841086E-3</v>
      </c>
      <c r="AG552" s="29">
        <f t="shared" si="26"/>
        <v>102.17217746631495</v>
      </c>
      <c r="AH552" s="12">
        <f>IF(OR(履歴データ!$A$552="",AG552=0),"",AE552/AG552-1)</f>
        <v>-0.23553035305385972</v>
      </c>
      <c r="AJ552" s="28">
        <f t="shared" ca="1" si="24"/>
        <v>11.046485912368386</v>
      </c>
      <c r="AK552" s="28">
        <f t="shared" ca="1" si="25"/>
        <v>-36.332200198082674</v>
      </c>
    </row>
    <row r="553" spans="1:37">
      <c r="A553" s="10">
        <f>IF(履歴データ!$A$553="","",履歴データ!$A$553)</f>
        <v>45734</v>
      </c>
      <c r="B553" s="28">
        <f>IF(履歴データ!$A$553="","",(履歴データ!$D$553-(履歴データ!$B$553+履歴データ!$F$553)/2)*100)</f>
        <v>-2.0000000000000462</v>
      </c>
      <c r="C553" s="28">
        <f>IF(履歴データ!$A$553="","",(履歴データ!$H$553-(履歴データ!$G$553+履歴データ!$J$553)/2)*100)</f>
        <v>-17.149999999999999</v>
      </c>
      <c r="D553" s="28">
        <f>IF(履歴データ!$A$553="","",(履歴データ!$D$553-履歴データ!$H$553)*100)</f>
        <v>278.3</v>
      </c>
      <c r="E553" s="28">
        <f>IF(履歴データ!$A$553="","",(履歴データ!$D$553-履歴データ!$C$553)*100)</f>
        <v>21.999999999999975</v>
      </c>
      <c r="F553" s="28">
        <f>IF(履歴データ!$A$553="","",(履歴データ!$R$553-履歴データ!$D$553)*100)</f>
        <v>-237.06</v>
      </c>
      <c r="G553" s="28">
        <f>IF(履歴データ!$A$553="","",(履歴データ!$S$553-履歴データ!$R$553)*100)</f>
        <v>-41.394821411132952</v>
      </c>
      <c r="H553" s="29">
        <f>IF(履歴データ!$A$553="","",履歴データ!$O$553)</f>
        <v>149.37899780273438</v>
      </c>
      <c r="I553" s="29">
        <f>IF(履歴データ!$A$553="","",履歴データ!$Q$553)</f>
        <v>110.78125</v>
      </c>
      <c r="J553" s="29">
        <f>IF(履歴データ!$A$553="","",履歴データ!$D$553)</f>
        <v>4.29</v>
      </c>
      <c r="K553" s="28">
        <f>IF(OR(履歴データ!$A$553="",履歴データ!$A$552=""),"",B553-B552)</f>
        <v>0</v>
      </c>
      <c r="L553" s="28">
        <f>IF(OR(履歴データ!$A$553="",履歴データ!$A$552=""),"",C553-C552)</f>
        <v>-0.39999999999999858</v>
      </c>
      <c r="M553" s="28">
        <f>IF(OR(履歴データ!$A$553="",履歴データ!$A$552=""),"",D553-D552)</f>
        <v>-1.3999999999999773</v>
      </c>
      <c r="N553" s="28">
        <f>IF(OR(履歴データ!$A$553="",履歴データ!$A$552=""),"",E553-E552)</f>
        <v>2.0000000000000462</v>
      </c>
      <c r="O553" s="28">
        <f>IF(OR(履歴データ!$A$553="",履歴データ!$A$552=""),"",F553-F552)</f>
        <v>-5.1800000000000637</v>
      </c>
      <c r="P553" s="28">
        <f>IF(OR(履歴データ!$A$553="",履歴データ!$A$552=""),"",G553-G552)</f>
        <v>1.5671785888671224</v>
      </c>
      <c r="Q553" s="29">
        <f>IF(OR(履歴データ!$A$553="",履歴データ!$A$552=""),"",H553-H552)</f>
        <v>0.7809906005859375</v>
      </c>
      <c r="R553" s="29">
        <f>IF(OR(履歴データ!$A$553="",履歴データ!$A$552=""),"",I553-I552)</f>
        <v>0.1875</v>
      </c>
      <c r="S553" s="28">
        <f>IF(OR(履歴データ!$A$553="",履歴データ!$A$552=""),"",(J553-J552)*100)</f>
        <v>-1.9999999999999574</v>
      </c>
      <c r="T553" s="11">
        <f>IF(OR(履歴データ!$A$553="",履歴データ!$A$552=""),"",-80000*K553)</f>
        <v>0</v>
      </c>
      <c r="U553" s="11">
        <f>IF(OR(履歴データ!$A$553="",履歴データ!$A$552=""),"",60000*L553)</f>
        <v>-23999.999999999916</v>
      </c>
      <c r="V553" s="11">
        <f>IF(OR(履歴データ!$A$553="",履歴データ!$A$552=""),"",-50000*M553)</f>
        <v>69999.999999998865</v>
      </c>
      <c r="W553" s="11">
        <f>IF(OR(履歴データ!$A$553="",履歴データ!$A$552=""),"",-40000*N553)</f>
        <v>-80000.000000001848</v>
      </c>
      <c r="X553" s="11">
        <f>IF(OR(履歴データ!$A$553="",履歴データ!$A$552=""),"",120*1000000*(-Q553/H552))</f>
        <v>-630687.27390684362</v>
      </c>
      <c r="Y553" s="11">
        <f>IF(OR(履歴データ!$A$553="",履歴データ!$A$552=""),"",40000*(-S553)+(-506.3)*R553*1000)</f>
        <v>-14931.250000001703</v>
      </c>
      <c r="Z553" s="11">
        <f>IF(OR(履歴データ!$A$553="",履歴データ!$A$552=""),"",-40000*O553)</f>
        <v>207200.00000000256</v>
      </c>
      <c r="AA553" s="11">
        <f>IF(OR(履歴データ!$A$553="",履歴データ!$A$552=""),"",-40000*P553)</f>
        <v>-62687.143554684895</v>
      </c>
      <c r="AB553" s="11">
        <f>IF(履歴データ!$A$553="","",123.3)</f>
        <v>123.3</v>
      </c>
      <c r="AC553">
        <f>IF(履歴データ!$A$553="","",SUM(T553:AA553))</f>
        <v>-535105.66746153065</v>
      </c>
      <c r="AD553" s="29">
        <f>IF(履歴データ!$A$553="","",AC553/1000000)</f>
        <v>-0.53510566746153065</v>
      </c>
      <c r="AE553" s="29">
        <f>IF(履歴データ!$A$553="",AE552,AE552+AC553/1000000)</f>
        <v>77.572422767930647</v>
      </c>
      <c r="AF553" s="12">
        <f>IF(OR(履歴データ!$A$553="",AE552=0),"",(AE553-AE552)/AE552)</f>
        <v>-6.8508846481316731E-3</v>
      </c>
      <c r="AG553" s="29">
        <f t="shared" si="26"/>
        <v>102.17217746631495</v>
      </c>
      <c r="AH553" s="12">
        <f>IF(OR(履歴データ!$A$553="",AG553=0),"",AE553/AG553-1)</f>
        <v>-0.24076764642208559</v>
      </c>
      <c r="AJ553" s="28">
        <f t="shared" ca="1" si="24"/>
        <v>11.100701191182194</v>
      </c>
      <c r="AK553" s="28">
        <f t="shared" ca="1" si="25"/>
        <v>-36.172129762610766</v>
      </c>
    </row>
    <row r="554" spans="1:37">
      <c r="A554" s="10">
        <f>IF(履歴データ!$A$554="","",履歴データ!$A$554)</f>
        <v>45735</v>
      </c>
      <c r="B554" s="28">
        <f>IF(履歴データ!$A$554="","",(履歴データ!$D$554-(履歴データ!$B$554+履歴データ!$F$554)/2)*100)</f>
        <v>-2.5000000000000355</v>
      </c>
      <c r="C554" s="28">
        <f>IF(履歴データ!$A$554="","",(履歴データ!$H$554-(履歴データ!$G$554+履歴データ!$J$554)/2)*100)</f>
        <v>-17.250000000000011</v>
      </c>
      <c r="D554" s="28">
        <f>IF(履歴データ!$A$554="","",(履歴データ!$D$554-履歴データ!$H$554)*100)</f>
        <v>273</v>
      </c>
      <c r="E554" s="28">
        <f>IF(履歴データ!$A$554="","",(履歴データ!$D$554-履歴データ!$C$554)*100)</f>
        <v>21.999999999999975</v>
      </c>
      <c r="F554" s="28">
        <f>IF(履歴データ!$A$554="","",(履歴データ!$R$554-履歴データ!$D$554)*100)</f>
        <v>-230.33999999999997</v>
      </c>
      <c r="G554" s="28">
        <f>IF(履歴データ!$A$554="","",(履歴データ!$S$554-履歴データ!$R$554)*100)</f>
        <v>-38.677357177734528</v>
      </c>
      <c r="H554" s="29">
        <f>IF(履歴データ!$A$554="","",履歴データ!$O$554)</f>
        <v>149.45199584960938</v>
      </c>
      <c r="I554" s="29">
        <f>IF(履歴データ!$A$554="","",履歴データ!$Q$554)</f>
        <v>110.984375</v>
      </c>
      <c r="J554" s="29">
        <f>IF(履歴データ!$A$554="","",履歴データ!$D$554)</f>
        <v>4.25</v>
      </c>
      <c r="K554" s="28">
        <f>IF(OR(履歴データ!$A$554="",履歴データ!$A$553=""),"",B554-B553)</f>
        <v>-0.49999999999998934</v>
      </c>
      <c r="L554" s="28">
        <f>IF(OR(履歴データ!$A$554="",履歴データ!$A$553=""),"",C554-C553)</f>
        <v>-0.10000000000001208</v>
      </c>
      <c r="M554" s="28">
        <f>IF(OR(履歴データ!$A$554="",履歴データ!$A$553=""),"",D554-D553)</f>
        <v>-5.3000000000000114</v>
      </c>
      <c r="N554" s="28">
        <f>IF(OR(履歴データ!$A$554="",履歴データ!$A$553=""),"",E554-E553)</f>
        <v>0</v>
      </c>
      <c r="O554" s="28">
        <f>IF(OR(履歴データ!$A$554="",履歴データ!$A$553=""),"",F554-F553)</f>
        <v>6.7200000000000273</v>
      </c>
      <c r="P554" s="28">
        <f>IF(OR(履歴データ!$A$554="",履歴データ!$A$553=""),"",G554-G553)</f>
        <v>2.7174642333984238</v>
      </c>
      <c r="Q554" s="29">
        <f>IF(OR(履歴データ!$A$554="",履歴データ!$A$553=""),"",H554-H553)</f>
        <v>7.2998046875E-2</v>
      </c>
      <c r="R554" s="29">
        <f>IF(OR(履歴データ!$A$554="",履歴データ!$A$553=""),"",I554-I553)</f>
        <v>0.203125</v>
      </c>
      <c r="S554" s="28">
        <f>IF(OR(履歴データ!$A$554="",履歴データ!$A$553=""),"",(J554-J553)*100)</f>
        <v>-4.0000000000000036</v>
      </c>
      <c r="T554" s="11">
        <f>IF(OR(履歴データ!$A$554="",履歴データ!$A$553=""),"",-80000*K554)</f>
        <v>39999.999999999149</v>
      </c>
      <c r="U554" s="11">
        <f>IF(OR(履歴データ!$A$554="",履歴データ!$A$553=""),"",60000*L554)</f>
        <v>-6000.0000000007249</v>
      </c>
      <c r="V554" s="11">
        <f>IF(OR(履歴データ!$A$554="",履歴データ!$A$553=""),"",-50000*M554)</f>
        <v>265000.00000000058</v>
      </c>
      <c r="W554" s="11">
        <f>IF(OR(履歴データ!$A$554="",履歴データ!$A$553=""),"",-40000*N554)</f>
        <v>0</v>
      </c>
      <c r="X554" s="11">
        <f>IF(OR(履歴データ!$A$554="",履歴データ!$A$553=""),"",120*1000000*(-Q554/H553))</f>
        <v>-58641.212980742421</v>
      </c>
      <c r="Y554" s="11">
        <f>IF(OR(履歴データ!$A$554="",履歴データ!$A$553=""),"",40000*(-S554)+(-506.3)*R554*1000)</f>
        <v>57157.812500000131</v>
      </c>
      <c r="Z554" s="11">
        <f>IF(OR(履歴データ!$A$554="",履歴データ!$A$553=""),"",-40000*O554)</f>
        <v>-268800.00000000111</v>
      </c>
      <c r="AA554" s="11">
        <f>IF(OR(履歴データ!$A$554="",履歴データ!$A$553=""),"",-40000*P554)</f>
        <v>-108698.56933593695</v>
      </c>
      <c r="AB554" s="11">
        <f>IF(履歴データ!$A$554="","",123.3)</f>
        <v>123.3</v>
      </c>
      <c r="AC554">
        <f>IF(履歴データ!$A$554="","",SUM(T554:AA554))</f>
        <v>-79981.969816681318</v>
      </c>
      <c r="AD554" s="29">
        <f>IF(履歴データ!$A$554="","",AC554/1000000)</f>
        <v>-7.998196981668132E-2</v>
      </c>
      <c r="AE554" s="29">
        <f>IF(履歴データ!$A$554="",AE553,AE553+AC554/1000000)</f>
        <v>77.492440798113961</v>
      </c>
      <c r="AF554" s="12">
        <f>IF(OR(履歴データ!$A$554="",AE553=0),"",(AE554-AE553)/AE553)</f>
        <v>-1.0310619027068882E-3</v>
      </c>
      <c r="AG554" s="29">
        <f t="shared" si="26"/>
        <v>102.17217746631495</v>
      </c>
      <c r="AH554" s="12">
        <f>IF(OR(履歴データ!$A$554="",AG554=0),"",AE554/AG554-1)</f>
        <v>-0.24155046197716235</v>
      </c>
      <c r="AJ554" s="28">
        <f t="shared" ca="1" si="24"/>
        <v>11.16051413713252</v>
      </c>
      <c r="AK554" s="28">
        <f t="shared" ca="1" si="25"/>
        <v>-36.03749826411665</v>
      </c>
    </row>
    <row r="555" spans="1:37">
      <c r="A555" s="10">
        <f>IF(履歴データ!$A$555="","",履歴データ!$A$555)</f>
        <v>45736</v>
      </c>
      <c r="B555" s="28">
        <f>IF(履歴データ!$A$555="","",(履歴データ!$D$555-(履歴データ!$B$555+履歴データ!$F$555)/2)*100)</f>
        <v>-0.99999999999997868</v>
      </c>
      <c r="C555" s="28">
        <f>IF(履歴データ!$A$555="","",(履歴データ!$H$555-(履歴データ!$G$555+履歴データ!$J$555)/2)*100)</f>
        <v>-17.250000000000011</v>
      </c>
      <c r="D555" s="28">
        <f>IF(履歴データ!$A$555="","",(履歴データ!$D$555-履歴データ!$H$555)*100)</f>
        <v>272</v>
      </c>
      <c r="E555" s="28">
        <f>IF(履歴データ!$A$555="","",(履歴データ!$D$555-履歴データ!$C$555)*100)</f>
        <v>23.000000000000043</v>
      </c>
      <c r="F555" s="28">
        <f>IF(履歴データ!$A$555="","",(履歴データ!$R$555-履歴データ!$D$555)*100)</f>
        <v>-228.38000000000002</v>
      </c>
      <c r="G555" s="28">
        <f>IF(履歴データ!$A$555="","",(履歴データ!$S$555-履歴データ!$R$555)*100)</f>
        <v>-39.637357177734515</v>
      </c>
      <c r="H555" s="29">
        <f>IF(履歴データ!$A$555="","",履歴データ!$O$555)</f>
        <v>148.49000549316406</v>
      </c>
      <c r="I555" s="29">
        <f>IF(履歴データ!$A$555="","",履歴データ!$Q$555)</f>
        <v>111.15625</v>
      </c>
      <c r="J555" s="29">
        <f>IF(履歴データ!$A$555="","",履歴データ!$D$555)</f>
        <v>4.24</v>
      </c>
      <c r="K555" s="28">
        <f>IF(OR(履歴データ!$A$555="",履歴データ!$A$554=""),"",B555-B554)</f>
        <v>1.5000000000000568</v>
      </c>
      <c r="L555" s="28">
        <f>IF(OR(履歴データ!$A$555="",履歴データ!$A$554=""),"",C555-C554)</f>
        <v>0</v>
      </c>
      <c r="M555" s="28">
        <f>IF(OR(履歴データ!$A$555="",履歴データ!$A$554=""),"",D555-D554)</f>
        <v>-1</v>
      </c>
      <c r="N555" s="28">
        <f>IF(OR(履歴データ!$A$555="",履歴データ!$A$554=""),"",E555-E554)</f>
        <v>1.0000000000000675</v>
      </c>
      <c r="O555" s="28">
        <f>IF(OR(履歴データ!$A$555="",履歴データ!$A$554=""),"",F555-F554)</f>
        <v>1.9599999999999511</v>
      </c>
      <c r="P555" s="28">
        <f>IF(OR(履歴データ!$A$555="",履歴データ!$A$554=""),"",G555-G554)</f>
        <v>-0.95999999999998664</v>
      </c>
      <c r="Q555" s="29">
        <f>IF(OR(履歴データ!$A$555="",履歴データ!$A$554=""),"",H555-H554)</f>
        <v>-0.9619903564453125</v>
      </c>
      <c r="R555" s="29">
        <f>IF(OR(履歴データ!$A$555="",履歴データ!$A$554=""),"",I555-I554)</f>
        <v>0.171875</v>
      </c>
      <c r="S555" s="28">
        <f>IF(OR(履歴データ!$A$555="",履歴データ!$A$554=""),"",(J555-J554)*100)</f>
        <v>-0.99999999999997868</v>
      </c>
      <c r="T555" s="11">
        <f>IF(OR(履歴データ!$A$555="",履歴データ!$A$554=""),"",-80000*K555)</f>
        <v>-120000.00000000454</v>
      </c>
      <c r="U555" s="11">
        <f>IF(OR(履歴データ!$A$555="",履歴データ!$A$554=""),"",60000*L555)</f>
        <v>0</v>
      </c>
      <c r="V555" s="11">
        <f>IF(OR(履歴データ!$A$555="",履歴データ!$A$554=""),"",-50000*M555)</f>
        <v>50000</v>
      </c>
      <c r="W555" s="11">
        <f>IF(OR(履歴データ!$A$555="",履歴データ!$A$554=""),"",-40000*N555)</f>
        <v>-40000.000000002699</v>
      </c>
      <c r="X555" s="11">
        <f>IF(OR(履歴データ!$A$555="",履歴データ!$A$554=""),"",120*1000000*(-Q555/H554))</f>
        <v>772414.19304698589</v>
      </c>
      <c r="Y555" s="11">
        <f>IF(OR(履歴データ!$A$555="",履歴データ!$A$554=""),"",40000*(-S555)+(-506.3)*R555*1000)</f>
        <v>-47020.312500000851</v>
      </c>
      <c r="Z555" s="11">
        <f>IF(OR(履歴データ!$A$555="",履歴データ!$A$554=""),"",-40000*O555)</f>
        <v>-78399.99999999805</v>
      </c>
      <c r="AA555" s="11">
        <f>IF(OR(履歴データ!$A$555="",履歴データ!$A$554=""),"",-40000*P555)</f>
        <v>38399.999999999469</v>
      </c>
      <c r="AB555" s="11">
        <f>IF(履歴データ!$A$555="","",123.3)</f>
        <v>123.3</v>
      </c>
      <c r="AC555">
        <f>IF(履歴データ!$A$555="","",SUM(T555:AA555))</f>
        <v>575393.88054697926</v>
      </c>
      <c r="AD555" s="29">
        <f>IF(履歴データ!$A$555="","",AC555/1000000)</f>
        <v>0.57539388054697926</v>
      </c>
      <c r="AE555" s="29">
        <f>IF(履歴データ!$A$555="",AE554,AE554+AC555/1000000)</f>
        <v>78.067834678660944</v>
      </c>
      <c r="AF555" s="12">
        <f>IF(OR(履歴データ!$A$555="",AE554=0),"",(AE555-AE554)/AE554)</f>
        <v>7.4251614044009706E-3</v>
      </c>
      <c r="AG555" s="29">
        <f t="shared" si="26"/>
        <v>102.17217746631495</v>
      </c>
      <c r="AH555" s="12">
        <f>IF(OR(履歴データ!$A$555="",AG555=0),"",AE555/AG555-1)</f>
        <v>-0.2359188517402494</v>
      </c>
      <c r="AJ555" s="28">
        <f t="shared" ca="1" si="24"/>
        <v>11.238237550937331</v>
      </c>
      <c r="AK555" s="28">
        <f t="shared" ca="1" si="25"/>
        <v>-35.912840725540505</v>
      </c>
    </row>
    <row r="556" spans="1:37">
      <c r="A556" s="10">
        <f>IF(履歴データ!$A$556="","",履歴データ!$A$556)</f>
        <v>45737</v>
      </c>
      <c r="B556" s="28">
        <f>IF(履歴データ!$A$556="","",(履歴データ!$D$556-(履歴データ!$B$556+履歴データ!$F$556)/2)*100)</f>
        <v>-1.499999999999968</v>
      </c>
      <c r="C556" s="28">
        <f>IF(履歴データ!$A$556="","",(履歴データ!$H$556-(履歴データ!$G$556+履歴データ!$J$556)/2)*100)</f>
        <v>-16.950000000000021</v>
      </c>
      <c r="D556" s="28">
        <f>IF(履歴データ!$A$556="","",(履歴データ!$D$556-履歴データ!$H$556)*100)</f>
        <v>272.3</v>
      </c>
      <c r="E556" s="28">
        <f>IF(履歴データ!$A$556="","",(履歴データ!$D$556-履歴データ!$C$556)*100)</f>
        <v>25</v>
      </c>
      <c r="F556" s="28">
        <f>IF(履歴データ!$A$556="","",(履歴データ!$R$556-履歴データ!$D$556)*100)</f>
        <v>-226.7</v>
      </c>
      <c r="G556" s="28">
        <f>IF(履歴データ!$A$556="","",(履歴データ!$S$556-履歴データ!$R$556)*100)</f>
        <v>-48.982642822265767</v>
      </c>
      <c r="H556" s="29">
        <f>IF(履歴データ!$A$556="","",履歴データ!$O$556)</f>
        <v>148.59599304199219</v>
      </c>
      <c r="I556" s="29">
        <f>IF(履歴データ!$A$556="","",履歴データ!$Q$556)</f>
        <v>111.09375</v>
      </c>
      <c r="J556" s="29">
        <f>IF(履歴データ!$A$556="","",履歴データ!$D$556)</f>
        <v>4.25</v>
      </c>
      <c r="K556" s="28">
        <f>IF(OR(履歴データ!$A$556="",履歴データ!$A$555=""),"",B556-B555)</f>
        <v>-0.49999999999998934</v>
      </c>
      <c r="L556" s="28">
        <f>IF(OR(履歴データ!$A$556="",履歴データ!$A$555=""),"",C556-C555)</f>
        <v>0.29999999999999005</v>
      </c>
      <c r="M556" s="28">
        <f>IF(OR(履歴データ!$A$556="",履歴データ!$A$555=""),"",D556-D555)</f>
        <v>0.30000000000001137</v>
      </c>
      <c r="N556" s="28">
        <f>IF(OR(履歴データ!$A$556="",履歴データ!$A$555=""),"",E556-E555)</f>
        <v>1.9999999999999574</v>
      </c>
      <c r="O556" s="28">
        <f>IF(OR(履歴データ!$A$556="",履歴データ!$A$555=""),"",F556-F555)</f>
        <v>1.6800000000000352</v>
      </c>
      <c r="P556" s="28">
        <f>IF(OR(履歴データ!$A$556="",履歴データ!$A$555=""),"",G556-G555)</f>
        <v>-9.345285644531252</v>
      </c>
      <c r="Q556" s="29">
        <f>IF(OR(履歴データ!$A$556="",履歴データ!$A$555=""),"",H556-H555)</f>
        <v>0.105987548828125</v>
      </c>
      <c r="R556" s="29">
        <f>IF(OR(履歴データ!$A$556="",履歴データ!$A$555=""),"",I556-I555)</f>
        <v>-6.25E-2</v>
      </c>
      <c r="S556" s="28">
        <f>IF(OR(履歴データ!$A$556="",履歴データ!$A$555=""),"",(J556-J555)*100)</f>
        <v>0.99999999999997868</v>
      </c>
      <c r="T556" s="11">
        <f>IF(OR(履歴データ!$A$556="",履歴データ!$A$555=""),"",-80000*K556)</f>
        <v>39999.999999999149</v>
      </c>
      <c r="U556" s="11">
        <f>IF(OR(履歴データ!$A$556="",履歴データ!$A$555=""),"",60000*L556)</f>
        <v>17999.999999999403</v>
      </c>
      <c r="V556" s="11">
        <f>IF(OR(履歴データ!$A$556="",履歴データ!$A$555=""),"",-50000*M556)</f>
        <v>-15000.000000000568</v>
      </c>
      <c r="W556" s="11">
        <f>IF(OR(履歴データ!$A$556="",履歴データ!$A$555=""),"",-40000*N556)</f>
        <v>-79999.999999998297</v>
      </c>
      <c r="X556" s="11">
        <f>IF(OR(履歴データ!$A$556="",履歴データ!$A$555=""),"",120*1000000*(-Q556/H555))</f>
        <v>-85652.268764718392</v>
      </c>
      <c r="Y556" s="11">
        <f>IF(OR(履歴データ!$A$556="",履歴データ!$A$555=""),"",40000*(-S556)+(-506.3)*R556*1000)</f>
        <v>-8356.2499999991487</v>
      </c>
      <c r="Z556" s="11">
        <f>IF(OR(履歴データ!$A$556="",履歴データ!$A$555=""),"",-40000*O556)</f>
        <v>-67200.000000001412</v>
      </c>
      <c r="AA556" s="11">
        <f>IF(OR(履歴データ!$A$556="",履歴データ!$A$555=""),"",-40000*P556)</f>
        <v>373811.42578125006</v>
      </c>
      <c r="AB556" s="11">
        <f>IF(履歴データ!$A$556="","",123.3)</f>
        <v>123.3</v>
      </c>
      <c r="AC556">
        <f>IF(履歴データ!$A$556="","",SUM(T556:AA556))</f>
        <v>175602.90701653081</v>
      </c>
      <c r="AD556" s="29">
        <f>IF(履歴データ!$A$556="","",AC556/1000000)</f>
        <v>0.17560290701653081</v>
      </c>
      <c r="AE556" s="29">
        <f>IF(履歴データ!$A$556="",AE555,AE555+AC556/1000000)</f>
        <v>78.243437585677469</v>
      </c>
      <c r="AF556" s="12">
        <f>IF(OR(履歴データ!$A$556="",AE555=0),"",(AE556-AE555)/AE555)</f>
        <v>2.2493631050397862E-3</v>
      </c>
      <c r="AG556" s="29">
        <f t="shared" si="26"/>
        <v>102.17217746631495</v>
      </c>
      <c r="AH556" s="12">
        <f>IF(OR(履歴データ!$A$556="",AG556=0),"",AE556/AG556-1)</f>
        <v>-0.23420015579609743</v>
      </c>
      <c r="AJ556" s="28">
        <f t="shared" ca="1" si="24"/>
        <v>11.313832269533458</v>
      </c>
      <c r="AK556" s="28">
        <f t="shared" ca="1" si="25"/>
        <v>-35.797959253660444</v>
      </c>
    </row>
    <row r="557" spans="1:37">
      <c r="A557" s="10">
        <f>IF(履歴データ!$A$557="","",履歴データ!$A$557)</f>
        <v>45740</v>
      </c>
      <c r="B557" s="28">
        <f>IF(履歴データ!$A$557="","",(履歴データ!$D$557-(履歴データ!$B$557+履歴データ!$F$557)/2)*100)</f>
        <v>-0.99999999999997868</v>
      </c>
      <c r="C557" s="28">
        <f>IF(履歴データ!$A$557="","",(履歴データ!$H$557-(履歴データ!$G$557+履歴データ!$J$557)/2)*100)</f>
        <v>-15.800000000000015</v>
      </c>
      <c r="D557" s="28">
        <f>IF(履歴データ!$A$557="","",(履歴データ!$D$557-履歴データ!$H$557)*100)</f>
        <v>279.09999999999997</v>
      </c>
      <c r="E557" s="28">
        <f>IF(履歴データ!$A$557="","",(履歴データ!$D$557-履歴データ!$C$557)*100)</f>
        <v>25</v>
      </c>
      <c r="F557" s="28">
        <f>IF(履歴データ!$A$557="","",(履歴データ!$R$557-履歴データ!$D$557)*100)</f>
        <v>-238.11999999999998</v>
      </c>
      <c r="G557" s="28">
        <f>IF(履歴データ!$A$557="","",(履歴データ!$S$557-履歴データ!$R$557)*100)</f>
        <v>-46.211821411132981</v>
      </c>
      <c r="H557" s="29">
        <f>IF(履歴データ!$A$557="","",履歴データ!$O$557)</f>
        <v>149.677001953125</v>
      </c>
      <c r="I557" s="29">
        <f>IF(履歴データ!$A$557="","",履歴データ!$Q$557)</f>
        <v>110.546875</v>
      </c>
      <c r="J557" s="29">
        <f>IF(履歴データ!$A$557="","",履歴データ!$D$557)</f>
        <v>4.34</v>
      </c>
      <c r="K557" s="28">
        <f>IF(OR(履歴データ!$A$557="",履歴データ!$A$556=""),"",B557-B556)</f>
        <v>0.49999999999998934</v>
      </c>
      <c r="L557" s="28">
        <f>IF(OR(履歴データ!$A$557="",履歴データ!$A$556=""),"",C557-C556)</f>
        <v>1.1500000000000057</v>
      </c>
      <c r="M557" s="28">
        <f>IF(OR(履歴データ!$A$557="",履歴データ!$A$556=""),"",D557-D556)</f>
        <v>6.7999999999999545</v>
      </c>
      <c r="N557" s="28">
        <f>IF(OR(履歴データ!$A$557="",履歴データ!$A$556=""),"",E557-E556)</f>
        <v>0</v>
      </c>
      <c r="O557" s="28">
        <f>IF(OR(履歴データ!$A$557="",履歴データ!$A$556=""),"",F557-F556)</f>
        <v>-11.419999999999987</v>
      </c>
      <c r="P557" s="28">
        <f>IF(OR(履歴データ!$A$557="",履歴データ!$A$556=""),"",G557-G556)</f>
        <v>2.7708214111327862</v>
      </c>
      <c r="Q557" s="29">
        <f>IF(OR(履歴データ!$A$557="",履歴データ!$A$556=""),"",H557-H556)</f>
        <v>1.0810089111328125</v>
      </c>
      <c r="R557" s="29">
        <f>IF(OR(履歴データ!$A$557="",履歴データ!$A$556=""),"",I557-I556)</f>
        <v>-0.546875</v>
      </c>
      <c r="S557" s="28">
        <f>IF(OR(履歴データ!$A$557="",履歴データ!$A$556=""),"",(J557-J556)*100)</f>
        <v>8.9999999999999858</v>
      </c>
      <c r="T557" s="11">
        <f>IF(OR(履歴データ!$A$557="",履歴データ!$A$556=""),"",-80000*K557)</f>
        <v>-39999.999999999149</v>
      </c>
      <c r="U557" s="11">
        <f>IF(OR(履歴データ!$A$557="",履歴データ!$A$556=""),"",60000*L557)</f>
        <v>69000.000000000335</v>
      </c>
      <c r="V557" s="11">
        <f>IF(OR(履歴データ!$A$557="",履歴データ!$A$556=""),"",-50000*M557)</f>
        <v>-339999.99999999773</v>
      </c>
      <c r="W557" s="11">
        <f>IF(OR(履歴データ!$A$557="",履歴データ!$A$556=""),"",-40000*N557)</f>
        <v>0</v>
      </c>
      <c r="X557" s="11">
        <f>IF(OR(履歴データ!$A$557="",履歴データ!$A$556=""),"",120*1000000*(-Q557/H556))</f>
        <v>-872978.24578135984</v>
      </c>
      <c r="Y557" s="11">
        <f>IF(OR(履歴データ!$A$557="",履歴データ!$A$556=""),"",40000*(-S557)+(-506.3)*R557*1000)</f>
        <v>-83117.187499999418</v>
      </c>
      <c r="Z557" s="11">
        <f>IF(OR(履歴データ!$A$557="",履歴データ!$A$556=""),"",-40000*O557)</f>
        <v>456799.99999999948</v>
      </c>
      <c r="AA557" s="11">
        <f>IF(OR(履歴データ!$A$557="",履歴データ!$A$556=""),"",-40000*P557)</f>
        <v>-110832.85644531145</v>
      </c>
      <c r="AB557" s="11">
        <f>IF(履歴データ!$A$557="","",123.3)</f>
        <v>123.3</v>
      </c>
      <c r="AC557">
        <f>IF(履歴データ!$A$557="","",SUM(T557:AA557))</f>
        <v>-921128.28972666792</v>
      </c>
      <c r="AD557" s="29">
        <f>IF(履歴データ!$A$557="","",AC557/1000000)</f>
        <v>-0.92112828972666794</v>
      </c>
      <c r="AE557" s="29">
        <f>IF(履歴データ!$A$557="",AE556,AE556+AC557/1000000)</f>
        <v>77.322309295950802</v>
      </c>
      <c r="AF557" s="12">
        <f>IF(OR(履歴データ!$A$557="",AE556=0),"",(AE557-AE556)/AE556)</f>
        <v>-1.1772594841810483E-2</v>
      </c>
      <c r="AG557" s="29">
        <f t="shared" si="26"/>
        <v>102.17217746631495</v>
      </c>
      <c r="AH557" s="12">
        <f>IF(OR(履歴データ!$A$557="",AG557=0),"",AE557/AG557-1)</f>
        <v>-0.24321560709183154</v>
      </c>
      <c r="AJ557" s="28">
        <f t="shared" ca="1" si="24"/>
        <v>11.390913503648804</v>
      </c>
      <c r="AK557" s="28">
        <f t="shared" ca="1" si="25"/>
        <v>-35.676627789363089</v>
      </c>
    </row>
    <row r="558" spans="1:37">
      <c r="A558" s="10">
        <f>IF(履歴データ!$A$558="","",履歴データ!$A$558)</f>
        <v>45741</v>
      </c>
      <c r="B558" s="28">
        <f>IF(履歴データ!$A$558="","",(履歴データ!$D$558-(履歴データ!$B$558+履歴データ!$F$558)/2)*100)</f>
        <v>0.49999999999998934</v>
      </c>
      <c r="C558" s="28">
        <f>IF(履歴データ!$A$558="","",(履歴データ!$H$558-(履歴データ!$G$558+履歴データ!$J$558)/2)*100)</f>
        <v>-13.599999999999991</v>
      </c>
      <c r="D558" s="28">
        <f>IF(履歴データ!$A$558="","",(履歴データ!$D$558-履歴データ!$H$558)*100)</f>
        <v>273.19999999999993</v>
      </c>
      <c r="E558" s="28">
        <f>IF(履歴データ!$A$558="","",(履歴データ!$D$558-履歴データ!$C$558)*100)</f>
        <v>23.999999999999932</v>
      </c>
      <c r="F558" s="28">
        <f>IF(履歴データ!$A$558="","",(履歴データ!$R$558-履歴データ!$D$558)*100)</f>
        <v>-233.89</v>
      </c>
      <c r="G558" s="28">
        <f>IF(履歴データ!$A$558="","",(履歴データ!$S$558-履歴データ!$R$558)*100)</f>
        <v>-39.373357177734491</v>
      </c>
      <c r="H558" s="29">
        <f>IF(履歴データ!$A$558="","",履歴データ!$O$558)</f>
        <v>150.77400207519531</v>
      </c>
      <c r="I558" s="29">
        <f>IF(履歴データ!$A$558="","",履歴データ!$Q$558)</f>
        <v>110.75</v>
      </c>
      <c r="J558" s="29">
        <f>IF(履歴データ!$A$558="","",履歴データ!$D$558)</f>
        <v>4.3099999999999996</v>
      </c>
      <c r="K558" s="28">
        <f>IF(OR(履歴データ!$A$558="",履歴データ!$A$557=""),"",B558-B557)</f>
        <v>1.499999999999968</v>
      </c>
      <c r="L558" s="28">
        <f>IF(OR(履歴データ!$A$558="",履歴データ!$A$557=""),"",C558-C557)</f>
        <v>2.2000000000000242</v>
      </c>
      <c r="M558" s="28">
        <f>IF(OR(履歴データ!$A$558="",履歴データ!$A$557=""),"",D558-D557)</f>
        <v>-5.9000000000000341</v>
      </c>
      <c r="N558" s="28">
        <f>IF(OR(履歴データ!$A$558="",履歴データ!$A$557=""),"",E558-E557)</f>
        <v>-1.0000000000000675</v>
      </c>
      <c r="O558" s="28">
        <f>IF(OR(履歴データ!$A$558="",履歴データ!$A$557=""),"",F558-F557)</f>
        <v>4.2299999999999898</v>
      </c>
      <c r="P558" s="28">
        <f>IF(OR(履歴データ!$A$558="",履歴データ!$A$557=""),"",G558-G557)</f>
        <v>6.83846423339849</v>
      </c>
      <c r="Q558" s="29">
        <f>IF(OR(履歴データ!$A$558="",履歴データ!$A$557=""),"",H558-H557)</f>
        <v>1.0970001220703125</v>
      </c>
      <c r="R558" s="29">
        <f>IF(OR(履歴データ!$A$558="",履歴データ!$A$557=""),"",I558-I557)</f>
        <v>0.203125</v>
      </c>
      <c r="S558" s="28">
        <f>IF(OR(履歴データ!$A$558="",履歴データ!$A$557=""),"",(J558-J557)*100)</f>
        <v>-3.0000000000000249</v>
      </c>
      <c r="T558" s="11">
        <f>IF(OR(履歴データ!$A$558="",履歴データ!$A$557=""),"",-80000*K558)</f>
        <v>-119999.99999999744</v>
      </c>
      <c r="U558" s="11">
        <f>IF(OR(履歴データ!$A$558="",履歴データ!$A$557=""),"",60000*L558)</f>
        <v>132000.00000000146</v>
      </c>
      <c r="V558" s="11">
        <f>IF(OR(履歴データ!$A$558="",履歴データ!$A$557=""),"",-50000*M558)</f>
        <v>295000.00000000169</v>
      </c>
      <c r="W558" s="11">
        <f>IF(OR(履歴データ!$A$558="",履歴データ!$A$557=""),"",-40000*N558)</f>
        <v>40000.000000002699</v>
      </c>
      <c r="X558" s="11">
        <f>IF(OR(履歴データ!$A$558="",履歴データ!$A$557=""),"",120*1000000*(-Q558/H557))</f>
        <v>-879493.92980000889</v>
      </c>
      <c r="Y558" s="11">
        <f>IF(OR(履歴データ!$A$558="",履歴データ!$A$557=""),"",40000*(-S558)+(-506.3)*R558*1000)</f>
        <v>17157.812500000975</v>
      </c>
      <c r="Z558" s="11">
        <f>IF(OR(履歴データ!$A$558="",履歴データ!$A$557=""),"",-40000*O558)</f>
        <v>-169199.99999999959</v>
      </c>
      <c r="AA558" s="11">
        <f>IF(OR(履歴データ!$A$558="",履歴データ!$A$557=""),"",-40000*P558)</f>
        <v>-273538.5693359396</v>
      </c>
      <c r="AB558" s="11">
        <f>IF(履歴データ!$A$558="","",123.3)</f>
        <v>123.3</v>
      </c>
      <c r="AC558">
        <f>IF(履歴データ!$A$558="","",SUM(T558:AA558))</f>
        <v>-958074.68663593871</v>
      </c>
      <c r="AD558" s="29">
        <f>IF(履歴データ!$A$558="","",AC558/1000000)</f>
        <v>-0.95807468663593875</v>
      </c>
      <c r="AE558" s="29">
        <f>IF(履歴データ!$A$558="",AE557,AE557+AC558/1000000)</f>
        <v>76.364234609314863</v>
      </c>
      <c r="AF558" s="12">
        <f>IF(OR(履歴データ!$A$558="",AE557=0),"",(AE558-AE557)/AE557)</f>
        <v>-1.239066312632894E-2</v>
      </c>
      <c r="AG558" s="29">
        <f t="shared" si="26"/>
        <v>102.17217746631495</v>
      </c>
      <c r="AH558" s="12">
        <f>IF(OR(履歴データ!$A$558="",AG558=0),"",AE558/AG558-1)</f>
        <v>-0.25259266756362009</v>
      </c>
      <c r="AJ558" s="28">
        <f t="shared" ca="1" si="24"/>
        <v>11.489380045338089</v>
      </c>
      <c r="AK558" s="28">
        <f t="shared" ca="1" si="25"/>
        <v>-35.572713378671423</v>
      </c>
    </row>
    <row r="559" spans="1:37">
      <c r="A559" s="10">
        <f>IF(履歴データ!$A$559="","",履歴データ!$A$559)</f>
        <v>45742</v>
      </c>
      <c r="B559" s="28">
        <f>IF(履歴データ!$A$559="","",(履歴データ!$D$559-(履歴データ!$B$559+履歴データ!$F$559)/2)*100)</f>
        <v>1.499999999999968</v>
      </c>
      <c r="C559" s="28">
        <f>IF(履歴データ!$A$559="","",(履歴データ!$H$559-(履歴データ!$G$559+履歴データ!$J$559)/2)*100)</f>
        <v>-13.450000000000006</v>
      </c>
      <c r="D559" s="28">
        <f>IF(履歴データ!$A$559="","",(履歴データ!$D$559-履歴データ!$H$559)*100)</f>
        <v>276.69999999999993</v>
      </c>
      <c r="E559" s="28">
        <f>IF(履歴データ!$A$559="","",(履歴データ!$D$559-履歴データ!$C$559)*100)</f>
        <v>26.999999999999957</v>
      </c>
      <c r="F559" s="28">
        <f>IF(履歴データ!$A$559="","",(履歴データ!$R$559-履歴データ!$D$559)*100)</f>
        <v>-233.70999999999995</v>
      </c>
      <c r="G559" s="28">
        <f>IF(履歴データ!$A$559="","",(履歴データ!$S$559-履歴データ!$R$559)*100)</f>
        <v>-36.362000000000094</v>
      </c>
      <c r="H559" s="29">
        <f>IF(履歴データ!$A$559="","",履歴データ!$O$559)</f>
        <v>149.94999694824219</v>
      </c>
      <c r="I559" s="29">
        <f>IF(履歴データ!$A$559="","",履歴データ!$Q$559)</f>
        <v>110.5625</v>
      </c>
      <c r="J559" s="29">
        <f>IF(履歴データ!$A$559="","",履歴データ!$D$559)</f>
        <v>4.3499999999999996</v>
      </c>
      <c r="K559" s="28">
        <f>IF(OR(履歴データ!$A$559="",履歴データ!$A$558=""),"",B559-B558)</f>
        <v>0.99999999999997868</v>
      </c>
      <c r="L559" s="28">
        <f>IF(OR(履歴データ!$A$559="",履歴データ!$A$558=""),"",C559-C558)</f>
        <v>0.14999999999998437</v>
      </c>
      <c r="M559" s="28">
        <f>IF(OR(履歴データ!$A$559="",履歴データ!$A$558=""),"",D559-D558)</f>
        <v>3.5</v>
      </c>
      <c r="N559" s="28">
        <f>IF(OR(履歴データ!$A$559="",履歴データ!$A$558=""),"",E559-E558)</f>
        <v>3.0000000000000249</v>
      </c>
      <c r="O559" s="28">
        <f>IF(OR(履歴データ!$A$559="",履歴データ!$A$558=""),"",F559-F558)</f>
        <v>0.18000000000003524</v>
      </c>
      <c r="P559" s="28">
        <f>IF(OR(履歴データ!$A$559="",履歴データ!$A$558=""),"",G559-G558)</f>
        <v>3.0113571777343964</v>
      </c>
      <c r="Q559" s="29">
        <f>IF(OR(履歴データ!$A$559="",履歴データ!$A$558=""),"",H559-H558)</f>
        <v>-0.824005126953125</v>
      </c>
      <c r="R559" s="29">
        <f>IF(OR(履歴データ!$A$559="",履歴データ!$A$558=""),"",I559-I558)</f>
        <v>-0.1875</v>
      </c>
      <c r="S559" s="28">
        <f>IF(OR(履歴データ!$A$559="",履歴データ!$A$558=""),"",(J559-J558)*100)</f>
        <v>4.0000000000000036</v>
      </c>
      <c r="T559" s="11">
        <f>IF(OR(履歴データ!$A$559="",履歴データ!$A$558=""),"",-80000*K559)</f>
        <v>-79999.999999998297</v>
      </c>
      <c r="U559" s="11">
        <f>IF(OR(履歴データ!$A$559="",履歴データ!$A$558=""),"",60000*L559)</f>
        <v>8999.9999999990614</v>
      </c>
      <c r="V559" s="11">
        <f>IF(OR(履歴データ!$A$559="",履歴データ!$A$558=""),"",-50000*M559)</f>
        <v>-175000</v>
      </c>
      <c r="W559" s="11">
        <f>IF(OR(履歴データ!$A$559="",履歴データ!$A$558=""),"",-40000*N559)</f>
        <v>-120000.00000000099</v>
      </c>
      <c r="X559" s="11">
        <f>IF(OR(履歴データ!$A$559="",履歴データ!$A$558=""),"",120*1000000*(-Q559/H558))</f>
        <v>655820.06097483844</v>
      </c>
      <c r="Y559" s="11">
        <f>IF(OR(履歴データ!$A$559="",履歴データ!$A$558=""),"",40000*(-S559)+(-506.3)*R559*1000)</f>
        <v>-65068.750000000146</v>
      </c>
      <c r="Z559" s="11">
        <f>IF(OR(履歴データ!$A$559="",履歴データ!$A$558=""),"",-40000*O559)</f>
        <v>-7200.0000000014097</v>
      </c>
      <c r="AA559" s="11">
        <f>IF(OR(履歴データ!$A$559="",履歴データ!$A$558=""),"",-40000*P559)</f>
        <v>-120454.28710937586</v>
      </c>
      <c r="AB559" s="11">
        <f>IF(履歴データ!$A$559="","",123.3)</f>
        <v>123.3</v>
      </c>
      <c r="AC559">
        <f>IF(履歴データ!$A$559="","",SUM(T559:AA559))</f>
        <v>97097.023865460811</v>
      </c>
      <c r="AD559" s="29">
        <f>IF(履歴データ!$A$559="","",AC559/1000000)</f>
        <v>9.7097023865460805E-2</v>
      </c>
      <c r="AE559" s="29">
        <f>IF(履歴データ!$A$559="",AE558,AE558+AC559/1000000)</f>
        <v>76.461331633180322</v>
      </c>
      <c r="AF559" s="12">
        <f>IF(OR(履歴データ!$A$559="",AE558=0),"",(AE559-AE558)/AE558)</f>
        <v>1.2714986847208558E-3</v>
      </c>
      <c r="AG559" s="29">
        <f t="shared" si="26"/>
        <v>102.17217746631495</v>
      </c>
      <c r="AH559" s="12">
        <f>IF(OR(履歴データ!$A$559="",AG559=0),"",AE559/AG559-1)</f>
        <v>-0.25164234012347653</v>
      </c>
      <c r="AJ559" s="28">
        <f t="shared" ca="1" si="24"/>
        <v>11.593610275882886</v>
      </c>
      <c r="AK559" s="28">
        <f t="shared" ca="1" si="25"/>
        <v>-35.458689640962248</v>
      </c>
    </row>
    <row r="560" spans="1:37">
      <c r="A560" s="10">
        <f>IF(履歴データ!$A$560="","",履歴データ!$A$560)</f>
        <v>45743</v>
      </c>
      <c r="B560" s="28">
        <f>IF(履歴データ!$A$560="","",(履歴データ!$D$560-(履歴データ!$B$560+履歴データ!$F$560)/2)*100)</f>
        <v>2.9999999999999361</v>
      </c>
      <c r="C560" s="28">
        <f>IF(履歴データ!$A$560="","",(履歴データ!$H$560-(履歴データ!$G$560+履歴データ!$J$560)/2)*100)</f>
        <v>-12.349999999999994</v>
      </c>
      <c r="D560" s="28">
        <f>IF(履歴データ!$A$560="","",(履歴データ!$D$560-履歴データ!$H$560)*100)</f>
        <v>279.2</v>
      </c>
      <c r="E560" s="28">
        <f>IF(履歴データ!$A$560="","",(履歴データ!$D$560-履歴データ!$C$560)*100)</f>
        <v>29.000000000000004</v>
      </c>
      <c r="F560" s="28">
        <f>IF(履歴データ!$A$560="","",(履歴データ!$R$560-履歴データ!$D$560)*100)</f>
        <v>-240.63999999999996</v>
      </c>
      <c r="G560" s="28">
        <f>IF(履歴データ!$A$560="","",(履歴データ!$S$560-履歴データ!$R$560)*100)</f>
        <v>-37.69400000000018</v>
      </c>
      <c r="H560" s="29">
        <f>IF(履歴データ!$A$560="","",履歴データ!$O$560)</f>
        <v>150.47300720214844</v>
      </c>
      <c r="I560" s="29">
        <f>IF(履歴データ!$A$560="","",履歴データ!$Q$560)</f>
        <v>110.421875</v>
      </c>
      <c r="J560" s="29">
        <f>IF(履歴データ!$A$560="","",履歴データ!$D$560)</f>
        <v>4.38</v>
      </c>
      <c r="K560" s="28">
        <f>IF(OR(履歴データ!$A$560="",履歴データ!$A$559=""),"",B560-B559)</f>
        <v>1.499999999999968</v>
      </c>
      <c r="L560" s="28">
        <f>IF(OR(履歴データ!$A$560="",履歴データ!$A$559=""),"",C560-C559)</f>
        <v>1.1000000000000121</v>
      </c>
      <c r="M560" s="28">
        <f>IF(OR(履歴データ!$A$560="",履歴データ!$A$559=""),"",D560-D559)</f>
        <v>2.5000000000000568</v>
      </c>
      <c r="N560" s="28">
        <f>IF(OR(履歴データ!$A$560="",履歴データ!$A$559=""),"",E560-E559)</f>
        <v>2.0000000000000462</v>
      </c>
      <c r="O560" s="28">
        <f>IF(OR(履歴データ!$A$560="",履歴データ!$A$559=""),"",F560-F559)</f>
        <v>-6.9300000000000068</v>
      </c>
      <c r="P560" s="28">
        <f>IF(OR(履歴データ!$A$560="",履歴データ!$A$559=""),"",G560-G559)</f>
        <v>-1.332000000000086</v>
      </c>
      <c r="Q560" s="29">
        <f>IF(OR(履歴データ!$A$560="",履歴データ!$A$559=""),"",H560-H559)</f>
        <v>0.52301025390625</v>
      </c>
      <c r="R560" s="29">
        <f>IF(OR(履歴データ!$A$560="",履歴データ!$A$559=""),"",I560-I559)</f>
        <v>-0.140625</v>
      </c>
      <c r="S560" s="28">
        <f>IF(OR(履歴データ!$A$560="",履歴データ!$A$559=""),"",(J560-J559)*100)</f>
        <v>3.0000000000000249</v>
      </c>
      <c r="T560" s="11">
        <f>IF(OR(履歴データ!$A$560="",履歴データ!$A$559=""),"",-80000*K560)</f>
        <v>-119999.99999999744</v>
      </c>
      <c r="U560" s="11">
        <f>IF(OR(履歴データ!$A$560="",履歴データ!$A$559=""),"",60000*L560)</f>
        <v>66000.000000000728</v>
      </c>
      <c r="V560" s="11">
        <f>IF(OR(履歴データ!$A$560="",履歴データ!$A$559=""),"",-50000*M560)</f>
        <v>-125000.00000000284</v>
      </c>
      <c r="W560" s="11">
        <f>IF(OR(履歴データ!$A$560="",履歴データ!$A$559=""),"",-40000*N560)</f>
        <v>-80000.000000001848</v>
      </c>
      <c r="X560" s="11">
        <f>IF(OR(履歴データ!$A$560="",履歴データ!$A$559=""),"",120*1000000*(-Q560/H559))</f>
        <v>-418547.72754955851</v>
      </c>
      <c r="Y560" s="11">
        <f>IF(OR(履歴データ!$A$560="",履歴データ!$A$559=""),"",40000*(-S560)+(-506.3)*R560*1000)</f>
        <v>-48801.56250000099</v>
      </c>
      <c r="Z560" s="11">
        <f>IF(OR(履歴データ!$A$560="",履歴データ!$A$559=""),"",-40000*O560)</f>
        <v>277200.00000000029</v>
      </c>
      <c r="AA560" s="11">
        <f>IF(OR(履歴データ!$A$560="",履歴データ!$A$559=""),"",-40000*P560)</f>
        <v>53280.000000003442</v>
      </c>
      <c r="AB560" s="11">
        <f>IF(履歴データ!$A$560="","",123.3)</f>
        <v>123.3</v>
      </c>
      <c r="AC560">
        <f>IF(履歴データ!$A$560="","",SUM(T560:AA560))</f>
        <v>-395869.29004955711</v>
      </c>
      <c r="AD560" s="29">
        <f>IF(履歴データ!$A$560="","",AC560/1000000)</f>
        <v>-0.39586929004955712</v>
      </c>
      <c r="AE560" s="29">
        <f>IF(履歴データ!$A$560="",AE559,AE559+AC560/1000000)</f>
        <v>76.065462343130761</v>
      </c>
      <c r="AF560" s="12">
        <f>IF(OR(履歴データ!$A$560="",AE559=0),"",(AE560-AE559)/AE559)</f>
        <v>-5.1773789652098277E-3</v>
      </c>
      <c r="AG560" s="29">
        <f t="shared" si="26"/>
        <v>102.17217746631495</v>
      </c>
      <c r="AH560" s="12">
        <f>IF(OR(履歴データ!$A$560="",AG560=0),"",AE560/AG560-1)</f>
        <v>-0.25551687133017487</v>
      </c>
      <c r="AJ560" s="28">
        <f t="shared" ca="1" si="24"/>
        <v>11.71007724009416</v>
      </c>
      <c r="AK560" s="28">
        <f t="shared" ca="1" si="25"/>
        <v>-35.337061367078284</v>
      </c>
    </row>
    <row r="561" spans="1:37">
      <c r="A561" s="10">
        <f>IF(履歴データ!$A$561="","",履歴データ!$A$561)</f>
        <v>45744</v>
      </c>
      <c r="B561" s="28">
        <f>IF(履歴データ!$A$561="","",(履歴データ!$D$561-(履歴データ!$B$561+履歴データ!$F$561)/2)*100)</f>
        <v>0.49999999999998934</v>
      </c>
      <c r="C561" s="28">
        <f>IF(履歴データ!$A$561="","",(履歴データ!$H$561-(履歴データ!$G$561+履歴データ!$J$561)/2)*100)</f>
        <v>-13.050000000000029</v>
      </c>
      <c r="D561" s="28">
        <f>IF(履歴データ!$A$561="","",(履歴データ!$D$561-履歴データ!$H$561)*100)</f>
        <v>271.89999999999992</v>
      </c>
      <c r="E561" s="28">
        <f>IF(履歴データ!$A$561="","",(履歴データ!$D$561-履歴データ!$C$561)*100)</f>
        <v>28.999999999999957</v>
      </c>
      <c r="F561" s="28">
        <f>IF(履歴データ!$A$561="","",(履歴データ!$R$561-履歴データ!$D$561)*100)</f>
        <v>-226.81999999999996</v>
      </c>
      <c r="G561" s="28">
        <f>IF(履歴データ!$A$561="","",(履歴データ!$S$561-履歴データ!$R$561)*100)</f>
        <v>-46.477642822265651</v>
      </c>
      <c r="H561" s="29">
        <f>IF(履歴データ!$A$561="","",履歴データ!$O$561)</f>
        <v>150.84700012207031</v>
      </c>
      <c r="I561" s="29">
        <f>IF(履歴データ!$A$561="","",履歴データ!$Q$561)</f>
        <v>111.203125</v>
      </c>
      <c r="J561" s="29">
        <f>IF(履歴データ!$A$561="","",履歴データ!$D$561)</f>
        <v>4.2699999999999996</v>
      </c>
      <c r="K561" s="28">
        <f>IF(OR(履歴データ!$A$561="",履歴データ!$A$560=""),"",B561-B560)</f>
        <v>-2.4999999999999467</v>
      </c>
      <c r="L561" s="28">
        <f>IF(OR(履歴データ!$A$561="",履歴データ!$A$560=""),"",C561-C560)</f>
        <v>-0.70000000000003482</v>
      </c>
      <c r="M561" s="28">
        <f>IF(OR(履歴データ!$A$561="",履歴データ!$A$560=""),"",D561-D560)</f>
        <v>-7.3000000000000682</v>
      </c>
      <c r="N561" s="28">
        <f>IF(OR(履歴データ!$A$561="",履歴データ!$A$560=""),"",E561-E560)</f>
        <v>-4.6185277824406512E-14</v>
      </c>
      <c r="O561" s="28">
        <f>IF(OR(履歴データ!$A$561="",履歴データ!$A$560=""),"",F561-F560)</f>
        <v>13.819999999999993</v>
      </c>
      <c r="P561" s="28">
        <f>IF(OR(履歴データ!$A$561="",履歴データ!$A$560=""),"",G561-G560)</f>
        <v>-8.7836428222654703</v>
      </c>
      <c r="Q561" s="29">
        <f>IF(OR(履歴データ!$A$561="",履歴データ!$A$560=""),"",H561-H560)</f>
        <v>0.373992919921875</v>
      </c>
      <c r="R561" s="29">
        <f>IF(OR(履歴データ!$A$561="",履歴データ!$A$560=""),"",I561-I560)</f>
        <v>0.78125</v>
      </c>
      <c r="S561" s="28">
        <f>IF(OR(履歴データ!$A$561="",履歴データ!$A$560=""),"",(J561-J560)*100)</f>
        <v>-11.000000000000032</v>
      </c>
      <c r="T561" s="11">
        <f>IF(OR(履歴データ!$A$561="",履歴データ!$A$560=""),"",-80000*K561)</f>
        <v>199999.99999999575</v>
      </c>
      <c r="U561" s="11">
        <f>IF(OR(履歴データ!$A$561="",履歴データ!$A$560=""),"",60000*L561)</f>
        <v>-42000.000000002088</v>
      </c>
      <c r="V561" s="11">
        <f>IF(OR(履歴データ!$A$561="",履歴データ!$A$560=""),"",-50000*M561)</f>
        <v>365000.00000000343</v>
      </c>
      <c r="W561" s="11">
        <f>IF(OR(履歴データ!$A$561="",履歴データ!$A$560=""),"",-40000*N561)</f>
        <v>1.8474111129762605E-9</v>
      </c>
      <c r="X561" s="11">
        <f>IF(OR(履歴データ!$A$561="",履歴データ!$A$560=""),"",120*1000000*(-Q561/H560))</f>
        <v>-298253.82787979679</v>
      </c>
      <c r="Y561" s="11">
        <f>IF(OR(履歴データ!$A$561="",履歴データ!$A$560=""),"",40000*(-S561)+(-506.3)*R561*1000)</f>
        <v>44453.125000001281</v>
      </c>
      <c r="Z561" s="11">
        <f>IF(OR(履歴データ!$A$561="",履歴データ!$A$560=""),"",-40000*O561)</f>
        <v>-552799.99999999977</v>
      </c>
      <c r="AA561" s="11">
        <f>IF(OR(履歴データ!$A$561="",履歴データ!$A$560=""),"",-40000*P561)</f>
        <v>351345.71289061883</v>
      </c>
      <c r="AB561" s="11">
        <f>IF(履歴データ!$A$561="","",123.3)</f>
        <v>123.3</v>
      </c>
      <c r="AC561">
        <f>IF(履歴データ!$A$561="","",SUM(T561:AA561))</f>
        <v>67745.010010822501</v>
      </c>
      <c r="AD561" s="29">
        <f>IF(履歴データ!$A$561="","",AC561/1000000)</f>
        <v>6.7745010010822504E-2</v>
      </c>
      <c r="AE561" s="29">
        <f>IF(履歴データ!$A$561="",AE560,AE560+AC561/1000000)</f>
        <v>76.133207353141586</v>
      </c>
      <c r="AF561" s="12">
        <f>IF(OR(履歴データ!$A$561="",AE560=0),"",(AE561-AE560)/AE560)</f>
        <v>8.9061458280799367E-4</v>
      </c>
      <c r="AG561" s="29">
        <f t="shared" si="26"/>
        <v>102.17217746631495</v>
      </c>
      <c r="AH561" s="12">
        <f>IF(OR(履歴データ!$A$561="",AG561=0),"",AE561/AG561-1)</f>
        <v>-0.25485382379912702</v>
      </c>
      <c r="AJ561" s="28">
        <f t="shared" ca="1" si="24"/>
        <v>11.811558410432513</v>
      </c>
      <c r="AK561" s="28">
        <f t="shared" ca="1" si="25"/>
        <v>-35.252034600908701</v>
      </c>
    </row>
    <row r="562" spans="1:37">
      <c r="A562" s="10">
        <f>IF(履歴データ!$A$562="","",履歴データ!$A$562)</f>
        <v>45747</v>
      </c>
      <c r="B562" s="28">
        <f>IF(履歴データ!$A$562="","",(履歴データ!$D$562-(履歴データ!$B$562+履歴データ!$F$562)/2)*100)</f>
        <v>-0.99999999999997868</v>
      </c>
      <c r="C562" s="28">
        <f>IF(履歴データ!$A$562="","",(履歴データ!$H$562-(履歴データ!$G$562+履歴データ!$J$562)/2)*100)</f>
        <v>-16.999999999999993</v>
      </c>
      <c r="D562" s="28">
        <f>IF(履歴データ!$A$562="","",(履歴データ!$D$562-履歴データ!$H$562)*100)</f>
        <v>273.30000000000007</v>
      </c>
      <c r="E562" s="28">
        <f>IF(履歴データ!$A$562="","",(履歴データ!$D$562-履歴データ!$C$562)*100)</f>
        <v>27.000000000000046</v>
      </c>
      <c r="F562" s="28">
        <f>IF(履歴データ!$A$562="","",(履歴データ!$R$562-履歴データ!$D$562)*100)</f>
        <v>-232.17000000000004</v>
      </c>
      <c r="G562" s="28">
        <f>IF(履歴データ!$A$562="","",(履歴データ!$S$562-履歴データ!$R$562)*100)</f>
        <v>-41.688000000000216</v>
      </c>
      <c r="H562" s="29">
        <f>IF(履歴データ!$A$562="","",履歴データ!$O$562)</f>
        <v>149.91299438476563</v>
      </c>
      <c r="I562" s="29">
        <f>IF(履歴データ!$A$562="","",履歴データ!$Q$562)</f>
        <v>111.21875</v>
      </c>
      <c r="J562" s="29">
        <f>IF(履歴データ!$A$562="","",履歴データ!$D$562)</f>
        <v>4.2300000000000004</v>
      </c>
      <c r="K562" s="28">
        <f>IF(OR(履歴データ!$A$562="",履歴データ!$A$561=""),"",B562-B561)</f>
        <v>-1.499999999999968</v>
      </c>
      <c r="L562" s="28">
        <f>IF(OR(履歴データ!$A$562="",履歴データ!$A$561=""),"",C562-C561)</f>
        <v>-3.9499999999999638</v>
      </c>
      <c r="M562" s="28">
        <f>IF(OR(履歴データ!$A$562="",履歴データ!$A$561=""),"",D562-D561)</f>
        <v>1.4000000000001478</v>
      </c>
      <c r="N562" s="28">
        <f>IF(OR(履歴データ!$A$562="",履歴データ!$A$561=""),"",E562-E561)</f>
        <v>-1.9999999999999112</v>
      </c>
      <c r="O562" s="28">
        <f>IF(OR(履歴データ!$A$562="",履歴データ!$A$561=""),"",F562-F561)</f>
        <v>-5.3500000000000796</v>
      </c>
      <c r="P562" s="28">
        <f>IF(OR(履歴データ!$A$562="",履歴データ!$A$561=""),"",G562-G561)</f>
        <v>4.789642822265435</v>
      </c>
      <c r="Q562" s="29">
        <f>IF(OR(履歴データ!$A$562="",履歴データ!$A$561=""),"",H562-H561)</f>
        <v>-0.9340057373046875</v>
      </c>
      <c r="R562" s="29">
        <f>IF(OR(履歴データ!$A$562="",履歴データ!$A$561=""),"",I562-I561)</f>
        <v>1.5625E-2</v>
      </c>
      <c r="S562" s="28">
        <f>IF(OR(履歴データ!$A$562="",履歴データ!$A$561=""),"",(J562-J561)*100)</f>
        <v>-3.9999999999999147</v>
      </c>
      <c r="T562" s="11">
        <f>IF(OR(履歴データ!$A$562="",履歴データ!$A$561=""),"",-80000*K562)</f>
        <v>119999.99999999744</v>
      </c>
      <c r="U562" s="11">
        <f>IF(OR(履歴データ!$A$562="",履歴データ!$A$561=""),"",60000*L562)</f>
        <v>-236999.99999999782</v>
      </c>
      <c r="V562" s="11">
        <f>IF(OR(履歴データ!$A$562="",履歴データ!$A$561=""),"",-50000*M562)</f>
        <v>-70000.000000007392</v>
      </c>
      <c r="W562" s="11">
        <f>IF(OR(履歴データ!$A$562="",履歴データ!$A$561=""),"",-40000*N562)</f>
        <v>79999.999999996449</v>
      </c>
      <c r="X562" s="11">
        <f>IF(OR(履歴データ!$A$562="",履歴データ!$A$561=""),"",120*1000000*(-Q562/H561))</f>
        <v>743009.06472030038</v>
      </c>
      <c r="Y562" s="11">
        <f>IF(OR(履歴データ!$A$562="",履歴データ!$A$561=""),"",40000*(-S562)+(-506.3)*R562*1000)</f>
        <v>152089.06249999659</v>
      </c>
      <c r="Z562" s="11">
        <f>IF(OR(履歴データ!$A$562="",履歴データ!$A$561=""),"",-40000*O562)</f>
        <v>214000.00000000317</v>
      </c>
      <c r="AA562" s="11">
        <f>IF(OR(履歴データ!$A$562="",履歴データ!$A$561=""),"",-40000*P562)</f>
        <v>-191585.7128906174</v>
      </c>
      <c r="AB562" s="11">
        <f>IF(履歴データ!$A$562="","",123.3)</f>
        <v>123.3</v>
      </c>
      <c r="AC562">
        <f>IF(履歴データ!$A$562="","",SUM(T562:AA562))</f>
        <v>810512.41432967142</v>
      </c>
      <c r="AD562" s="29">
        <f>IF(履歴データ!$A$562="","",AC562/1000000)</f>
        <v>0.81051241432967147</v>
      </c>
      <c r="AE562" s="29">
        <f>IF(履歴データ!$A$562="",AE561,AE561+AC562/1000000)</f>
        <v>76.943719767471251</v>
      </c>
      <c r="AF562" s="12">
        <f>IF(OR(履歴データ!$A$562="",AE561=0),"",(AE562-AE561)/AE561)</f>
        <v>1.0645977524237585E-2</v>
      </c>
      <c r="AG562" s="29">
        <f t="shared" si="26"/>
        <v>102.17217746631495</v>
      </c>
      <c r="AH562" s="12">
        <f>IF(OR(履歴データ!$A$562="",AG562=0),"",AE562/AG562-1)</f>
        <v>-0.2469210143550209</v>
      </c>
      <c r="AJ562" s="28">
        <f t="shared" ca="1" si="24"/>
        <v>11.88996826552397</v>
      </c>
      <c r="AK562" s="28">
        <f t="shared" ca="1" si="25"/>
        <v>-35.147904773460475</v>
      </c>
    </row>
    <row r="563" spans="1:37">
      <c r="A563" s="10">
        <f>IF(履歴データ!$A$563="","",履歴データ!$A$563)</f>
        <v>45748</v>
      </c>
      <c r="B563" s="28">
        <f>IF(履歴データ!$A$563="","",(履歴データ!$D$563-(履歴データ!$B$563+履歴データ!$F$563)/2)*100)</f>
        <v>-2.5000000000000355</v>
      </c>
      <c r="C563" s="28">
        <f>IF(履歴データ!$A$563="","",(履歴データ!$H$563-(履歴データ!$G$563+履歴データ!$J$563)/2)*100)</f>
        <v>-16.550000000000018</v>
      </c>
      <c r="D563" s="28">
        <f>IF(履歴データ!$A$563="","",(履歴データ!$D$563-履歴データ!$H$563)*100)</f>
        <v>265.89999999999998</v>
      </c>
      <c r="E563" s="28">
        <f>IF(履歴データ!$A$563="","",(履歴データ!$D$563-履歴データ!$C$563)*100)</f>
        <v>25.999999999999979</v>
      </c>
      <c r="F563" s="28">
        <f>IF(履歴データ!$A$563="","",(履歴データ!$R$563-履歴データ!$D$563)*100)</f>
        <v>-225.11999999999998</v>
      </c>
      <c r="G563" s="28">
        <f>IF(履歴データ!$A$563="","",(履歴データ!$S$563-履歴データ!$R$563)*100)</f>
        <v>-27.302821411132872</v>
      </c>
      <c r="H563" s="29">
        <f>IF(履歴データ!$A$563="","",履歴データ!$O$563)</f>
        <v>149.78300476074219</v>
      </c>
      <c r="I563" s="29">
        <f>IF(履歴データ!$A$563="","",履歴データ!$Q$563)</f>
        <v>111.78125</v>
      </c>
      <c r="J563" s="29">
        <f>IF(履歴データ!$A$563="","",履歴データ!$D$563)</f>
        <v>4.17</v>
      </c>
      <c r="K563" s="28">
        <f>IF(OR(履歴データ!$A$563="",履歴データ!$A$562=""),"",B563-B562)</f>
        <v>-1.5000000000000568</v>
      </c>
      <c r="L563" s="28">
        <f>IF(OR(履歴データ!$A$563="",履歴データ!$A$562=""),"",C563-C562)</f>
        <v>0.44999999999997442</v>
      </c>
      <c r="M563" s="28">
        <f>IF(OR(履歴データ!$A$563="",履歴データ!$A$562=""),"",D563-D562)</f>
        <v>-7.4000000000000909</v>
      </c>
      <c r="N563" s="28">
        <f>IF(OR(履歴データ!$A$563="",履歴データ!$A$562=""),"",E563-E562)</f>
        <v>-1.0000000000000675</v>
      </c>
      <c r="O563" s="28">
        <f>IF(OR(履歴データ!$A$563="",履歴データ!$A$562=""),"",F563-F562)</f>
        <v>7.0500000000000682</v>
      </c>
      <c r="P563" s="28">
        <f>IF(OR(履歴データ!$A$563="",履歴データ!$A$562=""),"",G563-G562)</f>
        <v>14.385178588867344</v>
      </c>
      <c r="Q563" s="29">
        <f>IF(OR(履歴データ!$A$563="",履歴データ!$A$562=""),"",H563-H562)</f>
        <v>-0.1299896240234375</v>
      </c>
      <c r="R563" s="29">
        <f>IF(OR(履歴データ!$A$563="",履歴データ!$A$562=""),"",I563-I562)</f>
        <v>0.5625</v>
      </c>
      <c r="S563" s="28">
        <f>IF(OR(履歴データ!$A$563="",履歴データ!$A$562=""),"",(J563-J562)*100)</f>
        <v>-6.0000000000000497</v>
      </c>
      <c r="T563" s="11">
        <f>IF(OR(履歴データ!$A$563="",履歴データ!$A$562=""),"",-80000*K563)</f>
        <v>120000.00000000454</v>
      </c>
      <c r="U563" s="11">
        <f>IF(OR(履歴データ!$A$563="",履歴データ!$A$562=""),"",60000*L563)</f>
        <v>26999.999999998465</v>
      </c>
      <c r="V563" s="11">
        <f>IF(OR(履歴データ!$A$563="",履歴データ!$A$562=""),"",-50000*M563)</f>
        <v>370000.00000000454</v>
      </c>
      <c r="W563" s="11">
        <f>IF(OR(履歴データ!$A$563="",履歴データ!$A$562=""),"",-40000*N563)</f>
        <v>40000.000000002699</v>
      </c>
      <c r="X563" s="11">
        <f>IF(OR(履歴データ!$A$563="",履歴データ!$A$562=""),"",120*1000000*(-Q563/H562))</f>
        <v>104052.05330484458</v>
      </c>
      <c r="Y563" s="11">
        <f>IF(OR(履歴データ!$A$563="",履歴データ!$A$562=""),"",40000*(-S563)+(-506.3)*R563*1000)</f>
        <v>-44793.749999998021</v>
      </c>
      <c r="Z563" s="11">
        <f>IF(OR(履歴データ!$A$563="",履歴データ!$A$562=""),"",-40000*O563)</f>
        <v>-282000.00000000274</v>
      </c>
      <c r="AA563" s="11">
        <f>IF(OR(履歴データ!$A$563="",履歴データ!$A$562=""),"",-40000*P563)</f>
        <v>-575407.14355469379</v>
      </c>
      <c r="AB563" s="11">
        <f>IF(履歴データ!$A$563="","",123.3)</f>
        <v>123.3</v>
      </c>
      <c r="AC563">
        <f>IF(履歴データ!$A$563="","",SUM(T563:AA563))</f>
        <v>-241148.84024983976</v>
      </c>
      <c r="AD563" s="29">
        <f>IF(履歴データ!$A$563="","",AC563/1000000)</f>
        <v>-0.24114884024983976</v>
      </c>
      <c r="AE563" s="29">
        <f>IF(履歴データ!$A$563="",AE562,AE562+AC563/1000000)</f>
        <v>76.702570927221416</v>
      </c>
      <c r="AF563" s="12">
        <f>IF(OR(履歴データ!$A$563="",AE562=0),"",(AE563-AE562)/AE562)</f>
        <v>-3.134093867291598E-3</v>
      </c>
      <c r="AG563" s="29">
        <f t="shared" si="26"/>
        <v>102.17217746631495</v>
      </c>
      <c r="AH563" s="12">
        <f>IF(OR(履歴データ!$A$563="",AG563=0),"",AE563/AG563-1)</f>
        <v>-0.24928123458551699</v>
      </c>
      <c r="AJ563" s="28">
        <f t="shared" ca="1" si="24"/>
        <v>11.946213261570211</v>
      </c>
      <c r="AK563" s="28">
        <f t="shared" ca="1" si="25"/>
        <v>-35.025578340935283</v>
      </c>
    </row>
    <row r="564" spans="1:37">
      <c r="A564" s="10">
        <f>IF(履歴データ!$A$564="","",履歴データ!$A$564)</f>
        <v>45749</v>
      </c>
      <c r="B564" s="28">
        <f>IF(履歴データ!$A$564="","",(履歴データ!$D$564-(履歴データ!$B$564+履歴データ!$F$564)/2)*100)</f>
        <v>-2.4999999999999467</v>
      </c>
      <c r="C564" s="28">
        <f>IF(履歴データ!$A$564="","",(履歴データ!$H$564-(履歴データ!$G$564+履歴データ!$J$564)/2)*100)</f>
        <v>-15.799999999999992</v>
      </c>
      <c r="D564" s="28">
        <f>IF(履歴データ!$A$564="","",(履歴データ!$D$564-履歴データ!$H$564)*100)</f>
        <v>271.90000000000003</v>
      </c>
      <c r="E564" s="28">
        <f>IF(履歴データ!$A$564="","",(履歴データ!$D$564-履歴データ!$C$564)*100)</f>
        <v>25</v>
      </c>
      <c r="F564" s="28">
        <f>IF(履歴データ!$A$564="","",(履歴データ!$R$564-履歴データ!$D$564)*100)</f>
        <v>-232.11000000000004</v>
      </c>
      <c r="G564" s="28">
        <f>IF(履歴データ!$A$564="","",(履歴データ!$S$564-履歴データ!$R$564)*100)</f>
        <v>-34.187642822265673</v>
      </c>
      <c r="H564" s="29">
        <f>IF(履歴データ!$A$564="","",履歴データ!$O$564)</f>
        <v>147.87199401855469</v>
      </c>
      <c r="I564" s="29">
        <f>IF(履歴データ!$A$564="","",履歴データ!$Q$564)</f>
        <v>111.5</v>
      </c>
      <c r="J564" s="29">
        <f>IF(履歴データ!$A$564="","",履歴データ!$D$564)</f>
        <v>4.2</v>
      </c>
      <c r="K564" s="28">
        <f>IF(OR(履歴データ!$A$564="",履歴データ!$A$563=""),"",B564-B563)</f>
        <v>8.8817841970012523E-14</v>
      </c>
      <c r="L564" s="28">
        <f>IF(OR(履歴データ!$A$564="",履歴データ!$A$563=""),"",C564-C563)</f>
        <v>0.75000000000002665</v>
      </c>
      <c r="M564" s="28">
        <f>IF(OR(履歴データ!$A$564="",履歴データ!$A$563=""),"",D564-D563)</f>
        <v>6.0000000000000568</v>
      </c>
      <c r="N564" s="28">
        <f>IF(OR(履歴データ!$A$564="",履歴データ!$A$563=""),"",E564-E563)</f>
        <v>-0.99999999999997868</v>
      </c>
      <c r="O564" s="28">
        <f>IF(OR(履歴データ!$A$564="",履歴データ!$A$563=""),"",F564-F563)</f>
        <v>-6.9900000000000659</v>
      </c>
      <c r="P564" s="28">
        <f>IF(OR(履歴データ!$A$564="",履歴データ!$A$563=""),"",G564-G563)</f>
        <v>-6.8848214111328012</v>
      </c>
      <c r="Q564" s="29">
        <f>IF(OR(履歴データ!$A$564="",履歴データ!$A$563=""),"",H564-H563)</f>
        <v>-1.9110107421875</v>
      </c>
      <c r="R564" s="29">
        <f>IF(OR(履歴データ!$A$564="",履歴データ!$A$563=""),"",I564-I563)</f>
        <v>-0.28125</v>
      </c>
      <c r="S564" s="28">
        <f>IF(OR(履歴データ!$A$564="",履歴データ!$A$563=""),"",(J564-J563)*100)</f>
        <v>3.0000000000000249</v>
      </c>
      <c r="T564" s="11">
        <f>IF(OR(履歴データ!$A$564="",履歴データ!$A$563=""),"",-80000*K564)</f>
        <v>-7.1054273576010019E-9</v>
      </c>
      <c r="U564" s="11">
        <f>IF(OR(履歴データ!$A$564="",履歴データ!$A$563=""),"",60000*L564)</f>
        <v>45000.000000001601</v>
      </c>
      <c r="V564" s="11">
        <f>IF(OR(履歴データ!$A$564="",履歴データ!$A$563=""),"",-50000*M564)</f>
        <v>-300000.00000000285</v>
      </c>
      <c r="W564" s="11">
        <f>IF(OR(履歴データ!$A$564="",履歴データ!$A$563=""),"",-40000*N564)</f>
        <v>39999.999999999149</v>
      </c>
      <c r="X564" s="11">
        <f>IF(OR(履歴データ!$A$564="",履歴データ!$A$563=""),"",120*1000000*(-Q564/H563))</f>
        <v>1531023.4257138139</v>
      </c>
      <c r="Y564" s="11">
        <f>IF(OR(履歴データ!$A$564="",履歴データ!$A$563=""),"",40000*(-S564)+(-506.3)*R564*1000)</f>
        <v>22396.87499999901</v>
      </c>
      <c r="Z564" s="11">
        <f>IF(OR(履歴データ!$A$564="",履歴データ!$A$563=""),"",-40000*O564)</f>
        <v>279600.00000000262</v>
      </c>
      <c r="AA564" s="11">
        <f>IF(OR(履歴データ!$A$564="",履歴データ!$A$563=""),"",-40000*P564)</f>
        <v>275392.85644531203</v>
      </c>
      <c r="AB564" s="11">
        <f>IF(履歴データ!$A$564="","",123.3)</f>
        <v>123.3</v>
      </c>
      <c r="AC564">
        <f>IF(履歴データ!$A$564="","",SUM(T564:AA564))</f>
        <v>1893413.1571591182</v>
      </c>
      <c r="AD564" s="29">
        <f>IF(履歴データ!$A$564="","",AC564/1000000)</f>
        <v>1.8934131571591182</v>
      </c>
      <c r="AE564" s="29">
        <f>IF(履歴データ!$A$564="",AE563,AE563+AC564/1000000)</f>
        <v>78.595984084380532</v>
      </c>
      <c r="AF564" s="12">
        <f>IF(OR(履歴データ!$A$564="",AE563=0),"",(AE564-AE563)/AE563)</f>
        <v>2.4685132900638566E-2</v>
      </c>
      <c r="AG564" s="29">
        <f t="shared" si="26"/>
        <v>102.17217746631495</v>
      </c>
      <c r="AH564" s="12">
        <f>IF(OR(履歴データ!$A$564="",AG564=0),"",AE564/AG564-1)</f>
        <v>-0.23074964209025717</v>
      </c>
      <c r="AJ564" s="28">
        <f t="shared" ca="1" si="24"/>
        <v>11.992415625025014</v>
      </c>
      <c r="AK564" s="28">
        <f t="shared" ca="1" si="25"/>
        <v>-34.881304513913904</v>
      </c>
    </row>
    <row r="565" spans="1:37">
      <c r="A565" s="10">
        <f>IF(履歴データ!$A$565="","",履歴データ!$A$565)</f>
        <v>45750</v>
      </c>
      <c r="B565" s="28">
        <f>IF(履歴データ!$A$565="","",(履歴データ!$D$565-(履歴データ!$B$565+履歴データ!$F$565)/2)*100)</f>
        <v>-4.0000000000000036</v>
      </c>
      <c r="C565" s="28">
        <f>IF(履歴データ!$A$565="","",(履歴データ!$H$565-(履歴データ!$G$565+履歴データ!$J$565)/2)*100)</f>
        <v>-20.099999999999984</v>
      </c>
      <c r="D565" s="28">
        <f>IF(履歴データ!$A$565="","",(履歴データ!$D$565-履歴データ!$H$565)*100)</f>
        <v>269.39999999999998</v>
      </c>
      <c r="E565" s="28">
        <f>IF(履歴データ!$A$565="","",(履歴データ!$D$565-履歴データ!$C$565)*100)</f>
        <v>30.999999999999961</v>
      </c>
      <c r="F565" s="28">
        <f>IF(履歴データ!$A$565="","",(履歴データ!$R$565-履歴データ!$D$565)*100)</f>
        <v>-216.66999999999996</v>
      </c>
      <c r="G565" s="28">
        <f>IF(履歴データ!$A$565="","",(履歴データ!$S$565-履歴データ!$R$565)*100)</f>
        <v>-52.290642822265809</v>
      </c>
      <c r="H565" s="29">
        <f>IF(履歴データ!$A$565="","",履歴データ!$O$565)</f>
        <v>146.23100280761719</v>
      </c>
      <c r="I565" s="29">
        <f>IF(履歴データ!$A$565="","",履歴データ!$Q$565)</f>
        <v>112.640625</v>
      </c>
      <c r="J565" s="29">
        <f>IF(履歴データ!$A$565="","",履歴データ!$D$565)</f>
        <v>4.0599999999999996</v>
      </c>
      <c r="K565" s="28">
        <f>IF(OR(履歴データ!$A$565="",履歴データ!$A$564=""),"",B565-B564)</f>
        <v>-1.5000000000000568</v>
      </c>
      <c r="L565" s="28">
        <f>IF(OR(履歴データ!$A$565="",履歴データ!$A$564=""),"",C565-C564)</f>
        <v>-4.2999999999999918</v>
      </c>
      <c r="M565" s="28">
        <f>IF(OR(履歴データ!$A$565="",履歴データ!$A$564=""),"",D565-D564)</f>
        <v>-2.5000000000000568</v>
      </c>
      <c r="N565" s="28">
        <f>IF(OR(履歴データ!$A$565="",履歴データ!$A$564=""),"",E565-E564)</f>
        <v>5.9999999999999609</v>
      </c>
      <c r="O565" s="28">
        <f>IF(OR(履歴データ!$A$565="",履歴データ!$A$564=""),"",F565-F564)</f>
        <v>15.440000000000083</v>
      </c>
      <c r="P565" s="28">
        <f>IF(OR(履歴データ!$A$565="",履歴データ!$A$564=""),"",G565-G564)</f>
        <v>-18.103000000000137</v>
      </c>
      <c r="Q565" s="29">
        <f>IF(OR(履歴データ!$A$565="",履歴データ!$A$564=""),"",H565-H564)</f>
        <v>-1.6409912109375</v>
      </c>
      <c r="R565" s="29">
        <f>IF(OR(履歴データ!$A$565="",履歴データ!$A$564=""),"",I565-I564)</f>
        <v>1.140625</v>
      </c>
      <c r="S565" s="28">
        <f>IF(OR(履歴データ!$A$565="",履歴データ!$A$564=""),"",(J565-J564)*100)</f>
        <v>-14.000000000000057</v>
      </c>
      <c r="T565" s="11">
        <f>IF(OR(履歴データ!$A$565="",履歴データ!$A$564=""),"",-80000*K565)</f>
        <v>120000.00000000454</v>
      </c>
      <c r="U565" s="11">
        <f>IF(OR(履歴データ!$A$565="",履歴データ!$A$564=""),"",60000*L565)</f>
        <v>-257999.99999999951</v>
      </c>
      <c r="V565" s="11">
        <f>IF(OR(履歴データ!$A$565="",履歴データ!$A$564=""),"",-50000*M565)</f>
        <v>125000.00000000284</v>
      </c>
      <c r="W565" s="11">
        <f>IF(OR(履歴データ!$A$565="",履歴データ!$A$564=""),"",-40000*N565)</f>
        <v>-239999.99999999843</v>
      </c>
      <c r="X565" s="11">
        <f>IF(OR(履歴データ!$A$565="",履歴データ!$A$564=""),"",120*1000000*(-Q565/H564))</f>
        <v>1331685.1958308683</v>
      </c>
      <c r="Y565" s="11">
        <f>IF(OR(履歴データ!$A$565="",履歴データ!$A$564=""),"",40000*(-S565)+(-506.3)*R565*1000)</f>
        <v>-17498.437499997672</v>
      </c>
      <c r="Z565" s="11">
        <f>IF(OR(履歴データ!$A$565="",履歴データ!$A$564=""),"",-40000*O565)</f>
        <v>-617600.00000000338</v>
      </c>
      <c r="AA565" s="11">
        <f>IF(OR(履歴データ!$A$565="",履歴データ!$A$564=""),"",-40000*P565)</f>
        <v>724120.00000000547</v>
      </c>
      <c r="AB565" s="11">
        <f>IF(履歴データ!$A$565="","",123.3)</f>
        <v>123.3</v>
      </c>
      <c r="AC565">
        <f>IF(履歴データ!$A$565="","",SUM(T565:AA565))</f>
        <v>1167706.7583308823</v>
      </c>
      <c r="AD565" s="29">
        <f>IF(履歴データ!$A$565="","",AC565/1000000)</f>
        <v>1.1677067583308822</v>
      </c>
      <c r="AE565" s="29">
        <f>IF(履歴データ!$A$565="",AE564,AE564+AC565/1000000)</f>
        <v>79.763690842711412</v>
      </c>
      <c r="AF565" s="12">
        <f>IF(OR(履歴データ!$A$565="",AE564=0),"",(AE565-AE564)/AE564)</f>
        <v>1.4857079174391805E-2</v>
      </c>
      <c r="AG565" s="29">
        <f t="shared" si="26"/>
        <v>102.17217746631495</v>
      </c>
      <c r="AH565" s="12">
        <f>IF(OR(履歴データ!$A$565="",AG565=0),"",AE565/AG565-1)</f>
        <v>-0.21932082861786295</v>
      </c>
      <c r="AJ565" s="28">
        <f t="shared" ca="1" si="24"/>
        <v>12.022722085958943</v>
      </c>
      <c r="AK565" s="28">
        <f t="shared" ca="1" si="25"/>
        <v>-34.733039546276402</v>
      </c>
    </row>
    <row r="566" spans="1:37">
      <c r="A566" s="10">
        <f>IF(履歴データ!$A$566="","",履歴データ!$A$566)</f>
        <v>45751</v>
      </c>
      <c r="B566" s="28">
        <f>IF(履歴データ!$A$566="","",(履歴データ!$D$566-(履歴データ!$B$566+履歴データ!$F$566)/2)*100)</f>
        <v>-3.5000000000000142</v>
      </c>
      <c r="C566" s="28">
        <f>IF(履歴データ!$A$566="","",(履歴データ!$H$566-(履歴データ!$G$566+履歴データ!$J$566)/2)*100)</f>
        <v>-28.150000000000009</v>
      </c>
      <c r="D566" s="28">
        <f>IF(履歴データ!$A$566="","",(履歴データ!$D$566-履歴データ!$H$566)*100)</f>
        <v>283.39999999999998</v>
      </c>
      <c r="E566" s="28">
        <f>IF(履歴データ!$A$566="","",(履歴データ!$D$566-履歴データ!$C$566)*100)</f>
        <v>28.999999999999957</v>
      </c>
      <c r="F566" s="28">
        <f>IF(履歴データ!$A$566="","",(履歴データ!$R$566-履歴データ!$D$566)*100)</f>
        <v>-229.43999999999994</v>
      </c>
      <c r="G566" s="28">
        <f>IF(履歴データ!$A$566="","",(履歴データ!$S$566-履歴データ!$R$566)*100)</f>
        <v>-37.677821411132918</v>
      </c>
      <c r="H566" s="29">
        <f>IF(履歴データ!$A$566="","",履歴データ!$O$566)</f>
        <v>146.23100280761719</v>
      </c>
      <c r="I566" s="29">
        <f>IF(履歴データ!$A$566="","",履歴データ!$Q$566)</f>
        <v>113.046875</v>
      </c>
      <c r="J566" s="29">
        <f>IF(履歴データ!$A$566="","",履歴データ!$D$566)</f>
        <v>4.01</v>
      </c>
      <c r="K566" s="28">
        <f>IF(OR(履歴データ!$A$566="",履歴データ!$A$565=""),"",B566-B565)</f>
        <v>0.49999999999998934</v>
      </c>
      <c r="L566" s="28">
        <f>IF(OR(履歴データ!$A$566="",履歴データ!$A$565=""),"",C566-C565)</f>
        <v>-8.0500000000000256</v>
      </c>
      <c r="M566" s="28">
        <f>IF(OR(履歴データ!$A$566="",履歴データ!$A$565=""),"",D566-D565)</f>
        <v>14</v>
      </c>
      <c r="N566" s="28">
        <f>IF(OR(履歴データ!$A$566="",履歴データ!$A$565=""),"",E566-E565)</f>
        <v>-2.0000000000000036</v>
      </c>
      <c r="O566" s="28">
        <f>IF(OR(履歴データ!$A$566="",履歴データ!$A$565=""),"",F566-F565)</f>
        <v>-12.769999999999982</v>
      </c>
      <c r="P566" s="28">
        <f>IF(OR(履歴データ!$A$566="",履歴データ!$A$565=""),"",G566-G565)</f>
        <v>14.612821411132892</v>
      </c>
      <c r="Q566" s="29">
        <f>IF(OR(履歴データ!$A$566="",履歴データ!$A$565=""),"",H566-H565)</f>
        <v>0</v>
      </c>
      <c r="R566" s="29">
        <f>IF(OR(履歴データ!$A$566="",履歴データ!$A$565=""),"",I566-I565)</f>
        <v>0.40625</v>
      </c>
      <c r="S566" s="28">
        <f>IF(OR(履歴データ!$A$566="",履歴データ!$A$565=""),"",(J566-J565)*100)</f>
        <v>-4.9999999999999822</v>
      </c>
      <c r="T566" s="11">
        <f>IF(OR(履歴データ!$A$566="",履歴データ!$A$565=""),"",-80000*K566)</f>
        <v>-39999.999999999149</v>
      </c>
      <c r="U566" s="11">
        <f>IF(OR(履歴データ!$A$566="",履歴データ!$A$565=""),"",60000*L566)</f>
        <v>-483000.00000000151</v>
      </c>
      <c r="V566" s="11">
        <f>IF(OR(履歴データ!$A$566="",履歴データ!$A$565=""),"",-50000*M566)</f>
        <v>-700000</v>
      </c>
      <c r="W566" s="11">
        <f>IF(OR(履歴データ!$A$566="",履歴データ!$A$565=""),"",-40000*N566)</f>
        <v>80000.000000000146</v>
      </c>
      <c r="X566" s="11">
        <f>IF(OR(履歴データ!$A$566="",履歴データ!$A$565=""),"",120*1000000*(-Q566/H565))</f>
        <v>0</v>
      </c>
      <c r="Y566" s="11">
        <f>IF(OR(履歴データ!$A$566="",履歴データ!$A$565=""),"",40000*(-S566)+(-506.3)*R566*1000)</f>
        <v>-5684.3750000007276</v>
      </c>
      <c r="Z566" s="11">
        <f>IF(OR(履歴データ!$A$566="",履歴データ!$A$565=""),"",-40000*O566)</f>
        <v>510799.9999999993</v>
      </c>
      <c r="AA566" s="11">
        <f>IF(OR(履歴データ!$A$566="",履歴データ!$A$565=""),"",-40000*P566)</f>
        <v>-584512.85644531564</v>
      </c>
      <c r="AB566" s="11">
        <f>IF(履歴データ!$A$566="","",123.3)</f>
        <v>123.3</v>
      </c>
      <c r="AC566">
        <f>IF(履歴データ!$A$566="","",SUM(T566:AA566))</f>
        <v>-1222397.2314453176</v>
      </c>
      <c r="AD566" s="29">
        <f>IF(履歴データ!$A$566="","",AC566/1000000)</f>
        <v>-1.2223972314453175</v>
      </c>
      <c r="AE566" s="29">
        <f>IF(履歴データ!$A$566="",AE565,AE565+AC566/1000000)</f>
        <v>78.541293611266099</v>
      </c>
      <c r="AF566" s="12">
        <f>IF(OR(履歴データ!$A$566="",AE565=0),"",(AE566-AE565)/AE565)</f>
        <v>-1.5325234057383301E-2</v>
      </c>
      <c r="AG566" s="29">
        <f t="shared" si="26"/>
        <v>102.17217746631495</v>
      </c>
      <c r="AH566" s="12">
        <f>IF(OR(履歴データ!$A$566="",AG566=0),"",AE566/AG566-1)</f>
        <v>-0.23128491964301823</v>
      </c>
      <c r="AJ566" s="28">
        <f t="shared" ca="1" si="24"/>
        <v>12.067565569571947</v>
      </c>
      <c r="AK566" s="28">
        <f t="shared" ca="1" si="25"/>
        <v>-34.611216363222738</v>
      </c>
    </row>
    <row r="567" spans="1:37">
      <c r="A567" s="10">
        <f>IF(履歴データ!$A$567="","",履歴データ!$A$567)</f>
        <v>45754</v>
      </c>
      <c r="B567" s="28">
        <f>IF(履歴データ!$A$567="","",(履歴データ!$D$567-(履歴データ!$B$567+履歴データ!$F$567)/2)*100)</f>
        <v>-0.49999999999998934</v>
      </c>
      <c r="C567" s="28">
        <f>IF(履歴データ!$A$567="","",(履歴データ!$H$567-(履歴データ!$G$567+履歴データ!$J$567)/2)*100)</f>
        <v>-30.499999999999993</v>
      </c>
      <c r="D567" s="28">
        <f>IF(履歴データ!$A$567="","",(履歴データ!$D$567-履歴データ!$H$567)*100)</f>
        <v>302.10000000000002</v>
      </c>
      <c r="E567" s="28">
        <f>IF(履歴データ!$A$567="","",(履歴データ!$D$567-履歴データ!$C$567)*100)</f>
        <v>33.00000000000005</v>
      </c>
      <c r="F567" s="28">
        <f>IF(履歴データ!$A$567="","",(履歴データ!$R$567-履歴データ!$D$567)*100)</f>
        <v>-258.95</v>
      </c>
      <c r="G567" s="28">
        <f>IF(履歴データ!$A$567="","",(履歴データ!$S$567-履歴データ!$R$567)*100)</f>
        <v>-39.70782141113289</v>
      </c>
      <c r="H567" s="29">
        <f>IF(履歴データ!$A$567="","",履歴データ!$O$567)</f>
        <v>147.78900146484375</v>
      </c>
      <c r="I567" s="29">
        <f>IF(履歴データ!$A$567="","",履歴データ!$Q$567)</f>
        <v>112.0625</v>
      </c>
      <c r="J567" s="29">
        <f>IF(履歴データ!$A$567="","",履歴データ!$D$567)</f>
        <v>4.1500000000000004</v>
      </c>
      <c r="K567" s="28">
        <f>IF(OR(履歴データ!$A$567="",履歴データ!$A$566=""),"",B567-B566)</f>
        <v>3.0000000000000249</v>
      </c>
      <c r="L567" s="28">
        <f>IF(OR(履歴データ!$A$567="",履歴データ!$A$566=""),"",C567-C566)</f>
        <v>-2.3499999999999837</v>
      </c>
      <c r="M567" s="28">
        <f>IF(OR(履歴データ!$A$567="",履歴データ!$A$566=""),"",D567-D566)</f>
        <v>18.700000000000045</v>
      </c>
      <c r="N567" s="28">
        <f>IF(OR(履歴データ!$A$567="",履歴データ!$A$566=""),"",E567-E566)</f>
        <v>4.0000000000000924</v>
      </c>
      <c r="O567" s="28">
        <f>IF(OR(履歴データ!$A$567="",履歴データ!$A$566=""),"",F567-F566)</f>
        <v>-29.510000000000048</v>
      </c>
      <c r="P567" s="28">
        <f>IF(OR(履歴データ!$A$567="",履歴データ!$A$566=""),"",G567-G566)</f>
        <v>-2.0299999999999727</v>
      </c>
      <c r="Q567" s="29">
        <f>IF(OR(履歴データ!$A$567="",履歴データ!$A$566=""),"",H567-H566)</f>
        <v>1.5579986572265625</v>
      </c>
      <c r="R567" s="29">
        <f>IF(OR(履歴データ!$A$567="",履歴データ!$A$566=""),"",I567-I566)</f>
        <v>-0.984375</v>
      </c>
      <c r="S567" s="28">
        <f>IF(OR(履歴データ!$A$567="",履歴データ!$A$566=""),"",(J567-J566)*100)</f>
        <v>14.000000000000057</v>
      </c>
      <c r="T567" s="11">
        <f>IF(OR(履歴データ!$A$567="",履歴データ!$A$566=""),"",-80000*K567)</f>
        <v>-240000.00000000198</v>
      </c>
      <c r="U567" s="11">
        <f>IF(OR(履歴データ!$A$567="",履歴データ!$A$566=""),"",60000*L567)</f>
        <v>-140999.99999999901</v>
      </c>
      <c r="V567" s="11">
        <f>IF(OR(履歴データ!$A$567="",履歴データ!$A$566=""),"",-50000*M567)</f>
        <v>-935000.00000000233</v>
      </c>
      <c r="W567" s="11">
        <f>IF(OR(履歴データ!$A$567="",履歴データ!$A$566=""),"",-40000*N567)</f>
        <v>-160000.0000000037</v>
      </c>
      <c r="X567" s="11">
        <f>IF(OR(履歴データ!$A$567="",履歴データ!$A$566=""),"",120*1000000*(-Q567/H566))</f>
        <v>-1278523.9468893853</v>
      </c>
      <c r="Y567" s="11">
        <f>IF(OR(履歴データ!$A$567="",履歴データ!$A$566=""),"",40000*(-S567)+(-506.3)*R567*1000)</f>
        <v>-61610.937500002328</v>
      </c>
      <c r="Z567" s="11">
        <f>IF(OR(履歴データ!$A$567="",履歴データ!$A$566=""),"",-40000*O567)</f>
        <v>1180400.0000000019</v>
      </c>
      <c r="AA567" s="11">
        <f>IF(OR(履歴データ!$A$567="",履歴データ!$A$566=""),"",-40000*P567)</f>
        <v>81199.999999998909</v>
      </c>
      <c r="AB567" s="11">
        <f>IF(履歴データ!$A$567="","",123.3)</f>
        <v>123.3</v>
      </c>
      <c r="AC567">
        <f>IF(履歴データ!$A$567="","",SUM(T567:AA567))</f>
        <v>-1554534.8843893937</v>
      </c>
      <c r="AD567" s="29">
        <f>IF(履歴データ!$A$567="","",AC567/1000000)</f>
        <v>-1.5545348843893938</v>
      </c>
      <c r="AE567" s="29">
        <f>IF(履歴データ!$A$567="",AE566,AE566+AC567/1000000)</f>
        <v>76.986758726876701</v>
      </c>
      <c r="AF567" s="12">
        <f>IF(OR(履歴データ!$A$567="",AE566=0),"",(AE567-AE566)/AE566)</f>
        <v>-1.9792580602039034E-2</v>
      </c>
      <c r="AG567" s="29">
        <f t="shared" si="26"/>
        <v>102.17217746631495</v>
      </c>
      <c r="AH567" s="12">
        <f>IF(OR(履歴データ!$A$567="",AG567=0),"",AE567/AG567-1)</f>
        <v>-0.24649977483098673</v>
      </c>
      <c r="AJ567" s="28">
        <f t="shared" ca="1" si="24"/>
        <v>12.146679940576163</v>
      </c>
      <c r="AK567" s="28">
        <f t="shared" ca="1" si="25"/>
        <v>-34.507791051687271</v>
      </c>
    </row>
    <row r="568" spans="1:37">
      <c r="A568" s="10">
        <f>IF(履歴データ!$A$568="","",履歴データ!$A$568)</f>
        <v>45755</v>
      </c>
      <c r="B568" s="28">
        <f>IF(履歴データ!$A$568="","",(履歴データ!$D$568-(履歴データ!$B$568+履歴データ!$F$568)/2)*100)</f>
        <v>4.9999999999999822</v>
      </c>
      <c r="C568" s="28">
        <f>IF(履歴データ!$A$568="","",(履歴データ!$H$568-(履歴データ!$G$568+履歴データ!$J$568)/2)*100)</f>
        <v>-29.500000000000014</v>
      </c>
      <c r="D568" s="28">
        <f>IF(履歴データ!$A$568="","",(履歴データ!$D$568-履歴データ!$H$568)*100)</f>
        <v>299.2</v>
      </c>
      <c r="E568" s="28">
        <f>IF(履歴データ!$A$568="","",(履歴データ!$D$568-履歴データ!$C$568)*100)</f>
        <v>37.999999999999986</v>
      </c>
      <c r="F568" s="28">
        <f>IF(履歴データ!$A$568="","",(履歴データ!$R$568-履歴データ!$D$568)*100)</f>
        <v>-277.26</v>
      </c>
      <c r="G568" s="28">
        <f>IF(履歴データ!$A$568="","",(履歴データ!$S$568-履歴データ!$R$568)*100)</f>
        <v>-5.9123571777344175</v>
      </c>
      <c r="H568" s="29">
        <f>IF(履歴データ!$A$568="","",履歴データ!$O$568)</f>
        <v>145.84500122070313</v>
      </c>
      <c r="I568" s="29">
        <f>IF(履歴データ!$A$568="","",履歴データ!$Q$568)</f>
        <v>111.46875</v>
      </c>
      <c r="J568" s="29">
        <f>IF(履歴データ!$A$568="","",履歴データ!$D$568)</f>
        <v>4.26</v>
      </c>
      <c r="K568" s="28">
        <f>IF(OR(履歴データ!$A$568="",履歴データ!$A$567=""),"",B568-B567)</f>
        <v>5.4999999999999716</v>
      </c>
      <c r="L568" s="28">
        <f>IF(OR(履歴データ!$A$568="",履歴データ!$A$567=""),"",C568-C567)</f>
        <v>0.99999999999997868</v>
      </c>
      <c r="M568" s="28">
        <f>IF(OR(履歴データ!$A$568="",履歴データ!$A$567=""),"",D568-D567)</f>
        <v>-2.9000000000000341</v>
      </c>
      <c r="N568" s="28">
        <f>IF(OR(履歴データ!$A$568="",履歴データ!$A$567=""),"",E568-E567)</f>
        <v>4.9999999999999361</v>
      </c>
      <c r="O568" s="28">
        <f>IF(OR(履歴データ!$A$568="",履歴データ!$A$567=""),"",F568-F567)</f>
        <v>-18.310000000000002</v>
      </c>
      <c r="P568" s="28">
        <f>IF(OR(履歴データ!$A$568="",履歴データ!$A$567=""),"",G568-G567)</f>
        <v>33.795464233398476</v>
      </c>
      <c r="Q568" s="29">
        <f>IF(OR(履歴データ!$A$568="",履歴データ!$A$567=""),"",H568-H567)</f>
        <v>-1.944000244140625</v>
      </c>
      <c r="R568" s="29">
        <f>IF(OR(履歴データ!$A$568="",履歴データ!$A$567=""),"",I568-I567)</f>
        <v>-0.59375</v>
      </c>
      <c r="S568" s="28">
        <f>IF(OR(履歴データ!$A$568="",履歴データ!$A$567=""),"",(J568-J567)*100)</f>
        <v>10.999999999999943</v>
      </c>
      <c r="T568" s="11">
        <f>IF(OR(履歴データ!$A$568="",履歴データ!$A$567=""),"",-80000*K568)</f>
        <v>-439999.99999999773</v>
      </c>
      <c r="U568" s="11">
        <f>IF(OR(履歴データ!$A$568="",履歴データ!$A$567=""),"",60000*L568)</f>
        <v>59999.999999998719</v>
      </c>
      <c r="V568" s="11">
        <f>IF(OR(履歴データ!$A$568="",履歴データ!$A$567=""),"",-50000*M568)</f>
        <v>145000.00000000172</v>
      </c>
      <c r="W568" s="11">
        <f>IF(OR(履歴データ!$A$568="",履歴データ!$A$567=""),"",-40000*N568)</f>
        <v>-199999.99999999744</v>
      </c>
      <c r="X568" s="11">
        <f>IF(OR(履歴データ!$A$568="",履歴データ!$A$567=""),"",120*1000000*(-Q568/H567))</f>
        <v>1578466.7802385008</v>
      </c>
      <c r="Y568" s="11">
        <f>IF(OR(履歴データ!$A$568="",履歴データ!$A$567=""),"",40000*(-S568)+(-506.3)*R568*1000)</f>
        <v>-139384.37499999773</v>
      </c>
      <c r="Z568" s="11">
        <f>IF(OR(履歴データ!$A$568="",履歴データ!$A$567=""),"",-40000*O568)</f>
        <v>732400.00000000012</v>
      </c>
      <c r="AA568" s="11">
        <f>IF(OR(履歴データ!$A$568="",履歴データ!$A$567=""),"",-40000*P568)</f>
        <v>-1351818.5693359391</v>
      </c>
      <c r="AB568" s="11">
        <f>IF(履歴データ!$A$568="","",123.3)</f>
        <v>123.3</v>
      </c>
      <c r="AC568">
        <f>IF(履歴データ!$A$568="","",SUM(T568:AA568))</f>
        <v>384663.83590256912</v>
      </c>
      <c r="AD568" s="29">
        <f>IF(履歴データ!$A$568="","",AC568/1000000)</f>
        <v>0.38466383590256914</v>
      </c>
      <c r="AE568" s="29">
        <f>IF(履歴データ!$A$568="",AE567,AE567+AC568/1000000)</f>
        <v>77.371422562779273</v>
      </c>
      <c r="AF568" s="12">
        <f>IF(OR(履歴データ!$A$568="",AE567=0),"",(AE568-AE567)/AE567)</f>
        <v>4.9964934524290155E-3</v>
      </c>
      <c r="AG568" s="29">
        <f t="shared" si="26"/>
        <v>102.17217746631495</v>
      </c>
      <c r="AH568" s="12">
        <f>IF(OR(履歴データ!$A$568="",AG568=0),"",AE568/AG568-1)</f>
        <v>-0.24273491588952589</v>
      </c>
      <c r="AJ568" s="28">
        <f t="shared" ca="1" si="24"/>
        <v>12.288691607751192</v>
      </c>
      <c r="AK568" s="28">
        <f t="shared" ca="1" si="25"/>
        <v>-34.411707480767063</v>
      </c>
    </row>
    <row r="569" spans="1:37">
      <c r="A569" s="10">
        <f>IF(履歴データ!$A$569="","",履歴データ!$A$569)</f>
        <v>45756</v>
      </c>
      <c r="B569" s="28">
        <f>IF(履歴データ!$A$569="","",(履歴データ!$D$569-(履歴データ!$B$569+履歴データ!$F$569)/2)*100)</f>
        <v>2.5000000000000355</v>
      </c>
      <c r="C569" s="28">
        <f>IF(履歴データ!$A$569="","",(履歴データ!$H$569-(履歴データ!$G$569+履歴データ!$J$569)/2)*100)</f>
        <v>-34.299999999999976</v>
      </c>
      <c r="D569" s="28">
        <f>IF(履歴データ!$A$569="","",(履歴データ!$D$569-履歴データ!$H$569)*100)</f>
        <v>305.60000000000002</v>
      </c>
      <c r="E569" s="28">
        <f>IF(履歴データ!$A$569="","",(履歴データ!$D$569-履歴データ!$C$569)*100)</f>
        <v>28.000000000000025</v>
      </c>
      <c r="F569" s="28">
        <f>IF(履歴データ!$A$569="","",(履歴データ!$R$569-履歴データ!$D$569)*100)</f>
        <v>-280.15999999999997</v>
      </c>
      <c r="G569" s="28">
        <f>IF(履歴データ!$A$569="","",(履歴データ!$S$569-履歴データ!$R$569)*100)</f>
        <v>-33.112821411132984</v>
      </c>
      <c r="H569" s="29">
        <f>IF(履歴データ!$A$569="","",履歴データ!$O$569)</f>
        <v>147.39900207519531</v>
      </c>
      <c r="I569" s="29">
        <f>IF(履歴データ!$A$569="","",履歴データ!$Q$569)</f>
        <v>110.328125</v>
      </c>
      <c r="J569" s="29">
        <f>IF(履歴データ!$A$569="","",履歴データ!$D$569)</f>
        <v>4.34</v>
      </c>
      <c r="K569" s="28">
        <f>IF(OR(履歴データ!$A$569="",履歴データ!$A$568=""),"",B569-B568)</f>
        <v>-2.4999999999999467</v>
      </c>
      <c r="L569" s="28">
        <f>IF(OR(履歴データ!$A$569="",履歴データ!$A$568=""),"",C569-C568)</f>
        <v>-4.7999999999999616</v>
      </c>
      <c r="M569" s="28">
        <f>IF(OR(履歴データ!$A$569="",履歴データ!$A$568=""),"",D569-D568)</f>
        <v>6.4000000000000341</v>
      </c>
      <c r="N569" s="28">
        <f>IF(OR(履歴データ!$A$569="",履歴データ!$A$568=""),"",E569-E568)</f>
        <v>-9.9999999999999609</v>
      </c>
      <c r="O569" s="28">
        <f>IF(OR(履歴データ!$A$569="",履歴データ!$A$568=""),"",F569-F568)</f>
        <v>-2.8999999999999773</v>
      </c>
      <c r="P569" s="28">
        <f>IF(OR(履歴データ!$A$569="",履歴データ!$A$568=""),"",G569-G568)</f>
        <v>-27.200464233398566</v>
      </c>
      <c r="Q569" s="29">
        <f>IF(OR(履歴データ!$A$569="",履歴データ!$A$568=""),"",H569-H568)</f>
        <v>1.5540008544921875</v>
      </c>
      <c r="R569" s="29">
        <f>IF(OR(履歴データ!$A$569="",履歴データ!$A$568=""),"",I569-I568)</f>
        <v>-1.140625</v>
      </c>
      <c r="S569" s="28">
        <f>IF(OR(履歴データ!$A$569="",履歴データ!$A$568=""),"",(J569-J568)*100)</f>
        <v>8.0000000000000071</v>
      </c>
      <c r="T569" s="11">
        <f>IF(OR(履歴データ!$A$569="",履歴データ!$A$568=""),"",-80000*K569)</f>
        <v>199999.99999999575</v>
      </c>
      <c r="U569" s="11">
        <f>IF(OR(履歴データ!$A$569="",履歴データ!$A$568=""),"",60000*L569)</f>
        <v>-287999.99999999767</v>
      </c>
      <c r="V569" s="11">
        <f>IF(OR(履歴データ!$A$569="",履歴データ!$A$568=""),"",-50000*M569)</f>
        <v>-320000.00000000169</v>
      </c>
      <c r="W569" s="11">
        <f>IF(OR(履歴データ!$A$569="",履歴データ!$A$568=""),"",-40000*N569)</f>
        <v>399999.99999999843</v>
      </c>
      <c r="X569" s="11">
        <f>IF(OR(履歴データ!$A$569="",履歴データ!$A$568=""),"",120*1000000*(-Q569/H568))</f>
        <v>-1278618.4029500429</v>
      </c>
      <c r="Y569" s="11">
        <f>IF(OR(履歴データ!$A$569="",履歴データ!$A$568=""),"",40000*(-S569)+(-506.3)*R569*1000)</f>
        <v>257498.43749999971</v>
      </c>
      <c r="Z569" s="11">
        <f>IF(OR(履歴データ!$A$569="",履歴データ!$A$568=""),"",-40000*O569)</f>
        <v>115999.9999999991</v>
      </c>
      <c r="AA569" s="11">
        <f>IF(OR(履歴データ!$A$569="",履歴データ!$A$568=""),"",-40000*P569)</f>
        <v>1088018.5693359426</v>
      </c>
      <c r="AB569" s="11">
        <f>IF(履歴データ!$A$569="","",123.3)</f>
        <v>123.3</v>
      </c>
      <c r="AC569">
        <f>IF(履歴データ!$A$569="","",SUM(T569:AA569))</f>
        <v>174898.60388589348</v>
      </c>
      <c r="AD569" s="29">
        <f>IF(履歴データ!$A$569="","",AC569/1000000)</f>
        <v>0.17489860388589348</v>
      </c>
      <c r="AE569" s="29">
        <f>IF(履歴データ!$A$569="",AE568,AE568+AC569/1000000)</f>
        <v>77.546321166665166</v>
      </c>
      <c r="AF569" s="12">
        <f>IF(OR(履歴データ!$A$569="",AE568=0),"",(AE569-AE568)/AE568)</f>
        <v>2.2605065034700649E-3</v>
      </c>
      <c r="AG569" s="29">
        <f t="shared" si="26"/>
        <v>102.17217746631495</v>
      </c>
      <c r="AH569" s="12">
        <f>IF(OR(履歴データ!$A$569="",AG569=0),"",AE569/AG569-1)</f>
        <v>-0.2410231132420434</v>
      </c>
      <c r="AJ569" s="28">
        <f t="shared" ca="1" si="24"/>
        <v>12.395980712084826</v>
      </c>
      <c r="AK569" s="28">
        <f t="shared" ca="1" si="25"/>
        <v>-34.304710870814979</v>
      </c>
    </row>
    <row r="570" spans="1:37">
      <c r="A570" s="10">
        <f>IF(履歴データ!$A$570="","",履歴データ!$A$570)</f>
        <v>45757</v>
      </c>
      <c r="B570" s="28">
        <f>IF(履歴データ!$A$570="","",(履歴データ!$D$570-(履歴データ!$B$570+履歴データ!$F$570)/2)*100)</f>
        <v>5.0000000000000711</v>
      </c>
      <c r="C570" s="28">
        <f>IF(履歴データ!$A$570="","",(履歴データ!$H$570-(履歴データ!$G$570+履歴データ!$J$570)/2)*100)</f>
        <v>-26.450000000000017</v>
      </c>
      <c r="D570" s="28">
        <f>IF(履歴データ!$A$570="","",(履歴データ!$D$570-履歴データ!$H$570)*100)</f>
        <v>302.10000000000002</v>
      </c>
      <c r="E570" s="28">
        <f>IF(履歴データ!$A$570="","",(履歴データ!$D$570-履歴データ!$C$570)*100)</f>
        <v>36.000000000000028</v>
      </c>
      <c r="F570" s="28">
        <f>IF(履歴データ!$A$570="","",(履歴データ!$R$570-履歴データ!$D$570)*100)</f>
        <v>-303.82000000000005</v>
      </c>
      <c r="G570" s="28">
        <f>IF(履歴データ!$A$570="","",(履歴データ!$S$570-履歴データ!$R$570)*100)</f>
        <v>22.082821411132759</v>
      </c>
      <c r="H570" s="29">
        <f>IF(履歴データ!$A$570="","",履歴データ!$O$570)</f>
        <v>143.74699401855469</v>
      </c>
      <c r="I570" s="29">
        <f>IF(履歴データ!$A$570="","",履歴データ!$Q$570)</f>
        <v>110.59375</v>
      </c>
      <c r="J570" s="29">
        <f>IF(履歴データ!$A$570="","",履歴データ!$D$570)</f>
        <v>4.4000000000000004</v>
      </c>
      <c r="K570" s="28">
        <f>IF(OR(履歴データ!$A$570="",履歴データ!$A$569=""),"",B570-B569)</f>
        <v>2.5000000000000355</v>
      </c>
      <c r="L570" s="28">
        <f>IF(OR(履歴データ!$A$570="",履歴データ!$A$569=""),"",C570-C569)</f>
        <v>7.8499999999999588</v>
      </c>
      <c r="M570" s="28">
        <f>IF(OR(履歴データ!$A$570="",履歴データ!$A$569=""),"",D570-D569)</f>
        <v>-3.5</v>
      </c>
      <c r="N570" s="28">
        <f>IF(OR(履歴データ!$A$570="",履歴データ!$A$569=""),"",E570-E569)</f>
        <v>8.0000000000000036</v>
      </c>
      <c r="O570" s="28">
        <f>IF(OR(履歴データ!$A$570="",履歴データ!$A$569=""),"",F570-F569)</f>
        <v>-23.660000000000082</v>
      </c>
      <c r="P570" s="28">
        <f>IF(OR(履歴データ!$A$570="",履歴データ!$A$569=""),"",G570-G569)</f>
        <v>55.195642822265739</v>
      </c>
      <c r="Q570" s="29">
        <f>IF(OR(履歴データ!$A$570="",履歴データ!$A$569=""),"",H570-H569)</f>
        <v>-3.652008056640625</v>
      </c>
      <c r="R570" s="29">
        <f>IF(OR(履歴データ!$A$570="",履歴データ!$A$569=""),"",I570-I569)</f>
        <v>0.265625</v>
      </c>
      <c r="S570" s="28">
        <f>IF(OR(履歴データ!$A$570="",履歴データ!$A$569=""),"",(J570-J569)*100)</f>
        <v>6.0000000000000497</v>
      </c>
      <c r="T570" s="11">
        <f>IF(OR(履歴データ!$A$570="",履歴データ!$A$569=""),"",-80000*K570)</f>
        <v>-200000.00000000285</v>
      </c>
      <c r="U570" s="11">
        <f>IF(OR(履歴データ!$A$570="",履歴データ!$A$569=""),"",60000*L570)</f>
        <v>470999.99999999756</v>
      </c>
      <c r="V570" s="11">
        <f>IF(OR(履歴データ!$A$570="",履歴データ!$A$569=""),"",-50000*M570)</f>
        <v>175000</v>
      </c>
      <c r="W570" s="11">
        <f>IF(OR(履歴データ!$A$570="",履歴データ!$A$569=""),"",-40000*N570)</f>
        <v>-320000.00000000012</v>
      </c>
      <c r="X570" s="11">
        <f>IF(OR(履歴データ!$A$570="",履歴データ!$A$569=""),"",120*1000000*(-Q570/H569))</f>
        <v>2973161.0162008237</v>
      </c>
      <c r="Y570" s="11">
        <f>IF(OR(履歴データ!$A$570="",履歴データ!$A$569=""),"",40000*(-S570)+(-506.3)*R570*1000)</f>
        <v>-374485.93750000198</v>
      </c>
      <c r="Z570" s="11">
        <f>IF(OR(履歴データ!$A$570="",履歴データ!$A$569=""),"",-40000*O570)</f>
        <v>946400.00000000326</v>
      </c>
      <c r="AA570" s="11">
        <f>IF(OR(履歴データ!$A$570="",履歴データ!$A$569=""),"",-40000*P570)</f>
        <v>-2207825.7128906297</v>
      </c>
      <c r="AB570" s="11">
        <f>IF(履歴データ!$A$570="","",123.3)</f>
        <v>123.3</v>
      </c>
      <c r="AC570">
        <f>IF(履歴データ!$A$570="","",SUM(T570:AA570))</f>
        <v>1463249.3658101899</v>
      </c>
      <c r="AD570" s="29">
        <f>IF(履歴データ!$A$570="","",AC570/1000000)</f>
        <v>1.4632493658101899</v>
      </c>
      <c r="AE570" s="29">
        <f>IF(履歴データ!$A$570="",AE569,AE569+AC570/1000000)</f>
        <v>79.009570532475351</v>
      </c>
      <c r="AF570" s="12">
        <f>IF(OR(履歴データ!$A$570="",AE569=0),"",(AE570-AE569)/AE569)</f>
        <v>1.886935890440657E-2</v>
      </c>
      <c r="AG570" s="29">
        <f t="shared" si="26"/>
        <v>102.17217746631495</v>
      </c>
      <c r="AH570" s="12">
        <f>IF(OR(履歴データ!$A$570="",AG570=0),"",AE570/AG570-1)</f>
        <v>-0.22670170596565842</v>
      </c>
      <c r="AJ570" s="28">
        <f t="shared" ca="1" si="24"/>
        <v>12.53610222596442</v>
      </c>
      <c r="AK570" s="28">
        <f t="shared" ca="1" si="25"/>
        <v>-34.210705400567591</v>
      </c>
    </row>
    <row r="571" spans="1:37">
      <c r="A571" s="10">
        <f>IF(履歴データ!$A$571="","",履歴データ!$A$571)</f>
        <v>45758</v>
      </c>
      <c r="B571" s="28">
        <f>IF(履歴データ!$A$571="","",(履歴データ!$D$571-(履歴データ!$B$571+履歴データ!$F$571)/2)*100)</f>
        <v>7.5000000000001066</v>
      </c>
      <c r="C571" s="28">
        <f>IF(履歴データ!$A$571="","",(履歴データ!$H$571-(履歴データ!$G$571+履歴データ!$J$571)/2)*100)</f>
        <v>-27.900000000000013</v>
      </c>
      <c r="D571" s="28">
        <f>IF(履歴データ!$A$571="","",(履歴データ!$D$571-履歴データ!$H$571)*100)</f>
        <v>312.3</v>
      </c>
      <c r="E571" s="28">
        <f>IF(履歴データ!$A$571="","",(履歴データ!$D$571-履歴データ!$C$571)*100)</f>
        <v>33.000000000000007</v>
      </c>
      <c r="F571" s="28">
        <f>IF(履歴データ!$A$571="","",(履歴データ!$R$571-履歴データ!$D$571)*100)</f>
        <v>-310.68000000000006</v>
      </c>
      <c r="G571" s="28">
        <f>IF(履歴データ!$A$571="","",(履歴データ!$S$571-履歴データ!$R$571)*100)</f>
        <v>-26.41517858886726</v>
      </c>
      <c r="H571" s="29">
        <f>IF(履歴データ!$A$571="","",履歴データ!$O$571)</f>
        <v>143.74699401855469</v>
      </c>
      <c r="I571" s="29">
        <f>IF(履歴データ!$A$571="","",履歴データ!$Q$571)</f>
        <v>109.734375</v>
      </c>
      <c r="J571" s="29">
        <f>IF(履歴データ!$A$571="","",履歴データ!$D$571)</f>
        <v>4.4800000000000004</v>
      </c>
      <c r="K571" s="28">
        <f>IF(OR(履歴データ!$A$571="",履歴データ!$A$570=""),"",B571-B570)</f>
        <v>2.5000000000000355</v>
      </c>
      <c r="L571" s="28">
        <f>IF(OR(履歴データ!$A$571="",履歴データ!$A$570=""),"",C571-C570)</f>
        <v>-1.4499999999999957</v>
      </c>
      <c r="M571" s="28">
        <f>IF(OR(履歴データ!$A$571="",履歴データ!$A$570=""),"",D571-D570)</f>
        <v>10.199999999999989</v>
      </c>
      <c r="N571" s="28">
        <f>IF(OR(履歴データ!$A$571="",履歴データ!$A$570=""),"",E571-E570)</f>
        <v>-3.0000000000000213</v>
      </c>
      <c r="O571" s="28">
        <f>IF(OR(履歴データ!$A$571="",履歴データ!$A$570=""),"",F571-F570)</f>
        <v>-6.8600000000000136</v>
      </c>
      <c r="P571" s="28">
        <f>IF(OR(履歴データ!$A$571="",履歴データ!$A$570=""),"",G571-G570)</f>
        <v>-48.498000000000019</v>
      </c>
      <c r="Q571" s="29">
        <f>IF(OR(履歴データ!$A$571="",履歴データ!$A$570=""),"",H571-H570)</f>
        <v>0</v>
      </c>
      <c r="R571" s="29">
        <f>IF(OR(履歴データ!$A$571="",履歴データ!$A$570=""),"",I571-I570)</f>
        <v>-0.859375</v>
      </c>
      <c r="S571" s="28">
        <f>IF(OR(履歴データ!$A$571="",履歴データ!$A$570=""),"",(J571-J570)*100)</f>
        <v>8.0000000000000071</v>
      </c>
      <c r="T571" s="11">
        <f>IF(OR(履歴データ!$A$571="",履歴データ!$A$570=""),"",-80000*K571)</f>
        <v>-200000.00000000285</v>
      </c>
      <c r="U571" s="11">
        <f>IF(OR(履歴データ!$A$571="",履歴データ!$A$570=""),"",60000*L571)</f>
        <v>-86999.999999999738</v>
      </c>
      <c r="V571" s="11">
        <f>IF(OR(履歴データ!$A$571="",履歴データ!$A$570=""),"",-50000*M571)</f>
        <v>-509999.99999999942</v>
      </c>
      <c r="W571" s="11">
        <f>IF(OR(履歴データ!$A$571="",履歴データ!$A$570=""),"",-40000*N571)</f>
        <v>120000.00000000086</v>
      </c>
      <c r="X571" s="11">
        <f>IF(OR(履歴データ!$A$571="",履歴データ!$A$570=""),"",120*1000000*(-Q571/H570))</f>
        <v>0</v>
      </c>
      <c r="Y571" s="11">
        <f>IF(OR(履歴データ!$A$571="",履歴データ!$A$570=""),"",40000*(-S571)+(-506.3)*R571*1000)</f>
        <v>115101.56249999971</v>
      </c>
      <c r="Z571" s="11">
        <f>IF(OR(履歴データ!$A$571="",履歴データ!$A$570=""),"",-40000*O571)</f>
        <v>274400.00000000052</v>
      </c>
      <c r="AA571" s="11">
        <f>IF(OR(履歴データ!$A$571="",履歴データ!$A$570=""),"",-40000*P571)</f>
        <v>1939920.0000000007</v>
      </c>
      <c r="AB571" s="11">
        <f>IF(履歴データ!$A$571="","",123.3)</f>
        <v>123.3</v>
      </c>
      <c r="AC571">
        <f>IF(履歴データ!$A$571="","",SUM(T571:AA571))</f>
        <v>1652421.5624999998</v>
      </c>
      <c r="AD571" s="29">
        <f>IF(履歴データ!$A$571="","",AC571/1000000)</f>
        <v>1.6524215624999998</v>
      </c>
      <c r="AE571" s="29">
        <f>IF(履歴データ!$A$571="",AE570,AE570+AC571/1000000)</f>
        <v>80.661992094975346</v>
      </c>
      <c r="AF571" s="12">
        <f>IF(OR(履歴データ!$A$571="",AE570=0),"",(AE571-AE570)/AE570)</f>
        <v>2.0914194968580414E-2</v>
      </c>
      <c r="AG571" s="29">
        <f t="shared" si="26"/>
        <v>102.17217746631495</v>
      </c>
      <c r="AH571" s="12">
        <f>IF(OR(履歴データ!$A$571="",AG571=0),"",AE571/AG571-1)</f>
        <v>-0.21052879467535357</v>
      </c>
      <c r="AJ571" s="28">
        <f t="shared" ca="1" si="24"/>
        <v>12.703749834044876</v>
      </c>
      <c r="AK571" s="28">
        <f t="shared" ca="1" si="25"/>
        <v>-34.112479992775029</v>
      </c>
    </row>
    <row r="572" spans="1:37">
      <c r="A572" s="10">
        <f>IF(履歴データ!$A$572="","",履歴データ!$A$572)</f>
        <v>45761</v>
      </c>
      <c r="B572" s="28">
        <f>IF(履歴データ!$A$572="","",(履歴データ!$D$572-(履歴データ!$B$572+履歴データ!$F$572)/2)*100)</f>
        <v>5.9999999999999609</v>
      </c>
      <c r="C572" s="28">
        <f>IF(履歴データ!$A$572="","",(履歴データ!$H$572-(履歴データ!$G$572+履歴データ!$J$572)/2)*100)</f>
        <v>-32.249999999999979</v>
      </c>
      <c r="D572" s="28">
        <f>IF(履歴データ!$A$572="","",(履歴データ!$D$572-履歴データ!$H$572)*100)</f>
        <v>303</v>
      </c>
      <c r="E572" s="28">
        <f>IF(履歴データ!$A$572="","",(履歴データ!$D$572-履歴データ!$C$572)*100)</f>
        <v>36.000000000000028</v>
      </c>
      <c r="F572" s="28">
        <f>IF(履歴データ!$A$572="","",(履歴データ!$R$572-履歴データ!$D$572)*100)</f>
        <v>-311.01</v>
      </c>
      <c r="G572" s="28">
        <f>IF(履歴データ!$A$572="","",(履歴データ!$S$572-履歴データ!$R$572)*100)</f>
        <v>34.429999999999851</v>
      </c>
      <c r="H572" s="29">
        <f>IF(履歴データ!$A$572="","",履歴データ!$O$572)</f>
        <v>143.22099304199219</v>
      </c>
      <c r="I572" s="29">
        <f>IF(履歴データ!$A$572="","",履歴データ!$Q$572)</f>
        <v>110.75</v>
      </c>
      <c r="J572" s="29">
        <f>IF(履歴データ!$A$572="","",履歴データ!$D$572)</f>
        <v>4.38</v>
      </c>
      <c r="K572" s="28">
        <f>IF(OR(履歴データ!$A$572="",履歴データ!$A$571=""),"",B572-B571)</f>
        <v>-1.5000000000001457</v>
      </c>
      <c r="L572" s="28">
        <f>IF(OR(履歴データ!$A$572="",履歴データ!$A$571=""),"",C572-C571)</f>
        <v>-4.3499999999999659</v>
      </c>
      <c r="M572" s="28">
        <f>IF(OR(履歴データ!$A$572="",履歴データ!$A$571=""),"",D572-D571)</f>
        <v>-9.3000000000000114</v>
      </c>
      <c r="N572" s="28">
        <f>IF(OR(履歴データ!$A$572="",履歴データ!$A$571=""),"",E572-E571)</f>
        <v>3.0000000000000213</v>
      </c>
      <c r="O572" s="28">
        <f>IF(OR(履歴データ!$A$572="",履歴データ!$A$571=""),"",F572-F571)</f>
        <v>-0.32999999999992724</v>
      </c>
      <c r="P572" s="28">
        <f>IF(OR(履歴データ!$A$572="",履歴データ!$A$571=""),"",G572-G571)</f>
        <v>60.845178588867114</v>
      </c>
      <c r="Q572" s="29">
        <f>IF(OR(履歴データ!$A$572="",履歴データ!$A$571=""),"",H572-H571)</f>
        <v>-0.5260009765625</v>
      </c>
      <c r="R572" s="29">
        <f>IF(OR(履歴データ!$A$572="",履歴データ!$A$571=""),"",I572-I571)</f>
        <v>1.015625</v>
      </c>
      <c r="S572" s="28">
        <f>IF(OR(履歴データ!$A$572="",履歴データ!$A$571=""),"",(J572-J571)*100)</f>
        <v>-10.000000000000053</v>
      </c>
      <c r="T572" s="11">
        <f>IF(OR(履歴データ!$A$572="",履歴データ!$A$571=""),"",-80000*K572)</f>
        <v>120000.00000001166</v>
      </c>
      <c r="U572" s="11">
        <f>IF(OR(履歴データ!$A$572="",履歴データ!$A$571=""),"",60000*L572)</f>
        <v>-260999.99999999796</v>
      </c>
      <c r="V572" s="11">
        <f>IF(OR(履歴データ!$A$572="",履歴データ!$A$571=""),"",-50000*M572)</f>
        <v>465000.00000000058</v>
      </c>
      <c r="W572" s="11">
        <f>IF(OR(履歴データ!$A$572="",履歴データ!$A$571=""),"",-40000*N572)</f>
        <v>-120000.00000000086</v>
      </c>
      <c r="X572" s="11">
        <f>IF(OR(履歴データ!$A$572="",履歴データ!$A$571=""),"",120*1000000*(-Q572/H571))</f>
        <v>439105.64960650611</v>
      </c>
      <c r="Y572" s="11">
        <f>IF(OR(履歴データ!$A$572="",履歴データ!$A$571=""),"",40000*(-S572)+(-506.3)*R572*1000)</f>
        <v>-114210.93749999785</v>
      </c>
      <c r="Z572" s="11">
        <f>IF(OR(履歴データ!$A$572="",履歴データ!$A$571=""),"",-40000*O572)</f>
        <v>13199.99999999709</v>
      </c>
      <c r="AA572" s="11">
        <f>IF(OR(履歴データ!$A$572="",履歴データ!$A$571=""),"",-40000*P572)</f>
        <v>-2433807.1435546847</v>
      </c>
      <c r="AB572" s="11">
        <f>IF(履歴データ!$A$572="","",123.3)</f>
        <v>123.3</v>
      </c>
      <c r="AC572">
        <f>IF(履歴データ!$A$572="","",SUM(T572:AA572))</f>
        <v>-1891712.4314481658</v>
      </c>
      <c r="AD572" s="29">
        <f>IF(履歴データ!$A$572="","",AC572/1000000)</f>
        <v>-1.8917124314481657</v>
      </c>
      <c r="AE572" s="29">
        <f>IF(履歴データ!$A$572="",AE571,AE571+AC572/1000000)</f>
        <v>78.770279663527177</v>
      </c>
      <c r="AF572" s="12">
        <f>IF(OR(履歴データ!$A$572="",AE571=0),"",(AE572-AE571)/AE571)</f>
        <v>-2.3452339600301162E-2</v>
      </c>
      <c r="AG572" s="29">
        <f t="shared" si="26"/>
        <v>102.17217746631495</v>
      </c>
      <c r="AH572" s="12">
        <f>IF(OR(履歴データ!$A$572="",AG572=0),"",AE572/AG572-1)</f>
        <v>-0.22904374148728623</v>
      </c>
      <c r="AJ572" s="28">
        <f t="shared" ca="1" si="24"/>
        <v>12.847868264034622</v>
      </c>
      <c r="AK572" s="28">
        <f t="shared" ca="1" si="25"/>
        <v>-34.006598422764775</v>
      </c>
    </row>
    <row r="573" spans="1:37">
      <c r="A573" s="10">
        <f>IF(履歴データ!$A$573="","",履歴データ!$A$573)</f>
        <v>45762</v>
      </c>
      <c r="B573" s="28">
        <f>IF(履歴データ!$A$573="","",(履歴データ!$D$573-(履歴データ!$B$573+履歴データ!$F$573)/2)*100)</f>
        <v>3.5000000000000142</v>
      </c>
      <c r="C573" s="28">
        <f>IF(履歴データ!$A$573="","",(履歴データ!$H$573-(履歴データ!$G$573+履歴データ!$J$573)/2)*100)</f>
        <v>-31.25</v>
      </c>
      <c r="D573" s="28">
        <f>IF(履歴データ!$A$573="","",(履歴データ!$D$573-履歴データ!$H$573)*100)</f>
        <v>297.3</v>
      </c>
      <c r="E573" s="28">
        <f>IF(履歴データ!$A$573="","",(履歴データ!$D$573-履歴データ!$C$573)*100)</f>
        <v>36.999999999999964</v>
      </c>
      <c r="F573" s="28">
        <f>IF(履歴データ!$A$573="","",(履歴データ!$R$573-履歴データ!$D$573)*100)</f>
        <v>-307.00999999999993</v>
      </c>
      <c r="G573" s="28">
        <f>IF(履歴データ!$A$573="","",(履歴データ!$S$573-履歴データ!$R$573)*100)</f>
        <v>11.504999999999788</v>
      </c>
      <c r="H573" s="29">
        <f>IF(履歴データ!$A$573="","",履歴データ!$O$573)</f>
        <v>143.18099975585938</v>
      </c>
      <c r="I573" s="29">
        <f>IF(履歴データ!$A$573="","",履歴データ!$Q$573)</f>
        <v>111.078125</v>
      </c>
      <c r="J573" s="29">
        <f>IF(履歴データ!$A$573="","",履歴データ!$D$573)</f>
        <v>4.3499999999999996</v>
      </c>
      <c r="K573" s="28">
        <f>IF(OR(履歴データ!$A$573="",履歴データ!$A$572=""),"",B573-B572)</f>
        <v>-2.4999999999999467</v>
      </c>
      <c r="L573" s="28">
        <f>IF(OR(履歴データ!$A$573="",履歴データ!$A$572=""),"",C573-C572)</f>
        <v>0.99999999999997868</v>
      </c>
      <c r="M573" s="28">
        <f>IF(OR(履歴データ!$A$573="",履歴データ!$A$572=""),"",D573-D572)</f>
        <v>-5.6999999999999886</v>
      </c>
      <c r="N573" s="28">
        <f>IF(OR(履歴データ!$A$573="",履歴データ!$A$572=""),"",E573-E572)</f>
        <v>0.99999999999993605</v>
      </c>
      <c r="O573" s="28">
        <f>IF(OR(履歴データ!$A$573="",履歴データ!$A$572=""),"",F573-F572)</f>
        <v>4.0000000000000568</v>
      </c>
      <c r="P573" s="28">
        <f>IF(OR(履歴データ!$A$573="",履歴データ!$A$572=""),"",G573-G572)</f>
        <v>-22.925000000000061</v>
      </c>
      <c r="Q573" s="29">
        <f>IF(OR(履歴データ!$A$573="",履歴データ!$A$572=""),"",H573-H572)</f>
        <v>-3.99932861328125E-2</v>
      </c>
      <c r="R573" s="29">
        <f>IF(OR(履歴データ!$A$573="",履歴データ!$A$572=""),"",I573-I572)</f>
        <v>0.328125</v>
      </c>
      <c r="S573" s="28">
        <f>IF(OR(履歴データ!$A$573="",履歴データ!$A$572=""),"",(J573-J572)*100)</f>
        <v>-3.0000000000000249</v>
      </c>
      <c r="T573" s="11">
        <f>IF(OR(履歴データ!$A$573="",履歴データ!$A$572=""),"",-80000*K573)</f>
        <v>199999.99999999575</v>
      </c>
      <c r="U573" s="11">
        <f>IF(OR(履歴データ!$A$573="",履歴データ!$A$572=""),"",60000*L573)</f>
        <v>59999.999999998719</v>
      </c>
      <c r="V573" s="11">
        <f>IF(OR(履歴データ!$A$573="",履歴データ!$A$572=""),"",-50000*M573)</f>
        <v>284999.99999999942</v>
      </c>
      <c r="W573" s="11">
        <f>IF(OR(履歴データ!$A$573="",履歴データ!$A$572=""),"",-40000*N573)</f>
        <v>-39999.999999997439</v>
      </c>
      <c r="X573" s="11">
        <f>IF(OR(履歴データ!$A$573="",履歴データ!$A$572=""),"",120*1000000*(-Q573/H572))</f>
        <v>33509.014523662627</v>
      </c>
      <c r="Y573" s="11">
        <f>IF(OR(履歴データ!$A$573="",履歴データ!$A$572=""),"",40000*(-S573)+(-506.3)*R573*1000)</f>
        <v>-46129.68749999904</v>
      </c>
      <c r="Z573" s="11">
        <f>IF(OR(履歴データ!$A$573="",履歴データ!$A$572=""),"",-40000*O573)</f>
        <v>-160000.00000000227</v>
      </c>
      <c r="AA573" s="11">
        <f>IF(OR(履歴データ!$A$573="",履歴データ!$A$572=""),"",-40000*P573)</f>
        <v>917000.00000000244</v>
      </c>
      <c r="AB573" s="11">
        <f>IF(履歴データ!$A$573="","",123.3)</f>
        <v>123.3</v>
      </c>
      <c r="AC573">
        <f>IF(履歴データ!$A$573="","",SUM(T573:AA573))</f>
        <v>1249379.3270236603</v>
      </c>
      <c r="AD573" s="29">
        <f>IF(履歴データ!$A$573="","",AC573/1000000)</f>
        <v>1.2493793270236604</v>
      </c>
      <c r="AE573" s="29">
        <f>IF(履歴データ!$A$573="",AE572,AE572+AC573/1000000)</f>
        <v>80.019658990550838</v>
      </c>
      <c r="AF573" s="12">
        <f>IF(OR(履歴データ!$A$573="",AE572=0),"",(AE573-AE572)/AE572)</f>
        <v>1.5861049781217905E-2</v>
      </c>
      <c r="AG573" s="29">
        <f t="shared" si="26"/>
        <v>102.17217746631495</v>
      </c>
      <c r="AH573" s="12">
        <f>IF(OR(履歴データ!$A$573="",AG573=0),"",AE573/AG573-1)</f>
        <v>-0.21681556589187456</v>
      </c>
      <c r="AJ573" s="28">
        <f t="shared" ca="1" si="24"/>
        <v>12.967025530797503</v>
      </c>
      <c r="AK573" s="28">
        <f t="shared" ca="1" si="25"/>
        <v>-33.915438229210196</v>
      </c>
    </row>
    <row r="574" spans="1:37">
      <c r="A574" s="10">
        <f>IF(履歴データ!$A$574="","",履歴データ!$A$574)</f>
        <v>45763</v>
      </c>
      <c r="B574" s="28">
        <f>IF(履歴データ!$A$574="","",(履歴データ!$D$574-(履歴データ!$B$574+履歴データ!$F$574)/2)*100)</f>
        <v>3.5000000000000142</v>
      </c>
      <c r="C574" s="28">
        <f>IF(履歴データ!$A$574="","",(履歴データ!$H$574-(履歴データ!$G$574+履歴データ!$J$574)/2)*100)</f>
        <v>-32.550000000000011</v>
      </c>
      <c r="D574" s="28">
        <f>IF(履歴データ!$A$574="","",(履歴データ!$D$574-履歴データ!$H$574)*100)</f>
        <v>298.50000000000006</v>
      </c>
      <c r="E574" s="28">
        <f>IF(履歴データ!$A$574="","",(履歴データ!$D$574-履歴データ!$C$574)*100)</f>
        <v>37.999999999999986</v>
      </c>
      <c r="F574" s="28">
        <f>IF(履歴データ!$A$574="","",(履歴データ!$R$574-履歴データ!$D$574)*100)</f>
        <v>-283.8</v>
      </c>
      <c r="G574" s="28">
        <f>IF(履歴データ!$A$574="","",(履歴データ!$S$574-履歴データ!$R$574)*100)</f>
        <v>-0.79382141113288895</v>
      </c>
      <c r="H574" s="29">
        <f>IF(履歴データ!$A$574="","",履歴データ!$O$574)</f>
        <v>141.92799377441406</v>
      </c>
      <c r="I574" s="29">
        <f>IF(履歴データ!$A$574="","",履歴データ!$Q$574)</f>
        <v>111.421875</v>
      </c>
      <c r="J574" s="29">
        <f>IF(履歴データ!$A$574="","",履歴データ!$D$574)</f>
        <v>4.29</v>
      </c>
      <c r="K574" s="28">
        <f>IF(OR(履歴データ!$A$574="",履歴データ!$A$573=""),"",B574-B573)</f>
        <v>0</v>
      </c>
      <c r="L574" s="28">
        <f>IF(OR(履歴データ!$A$574="",履歴データ!$A$573=""),"",C574-C573)</f>
        <v>-1.3000000000000114</v>
      </c>
      <c r="M574" s="28">
        <f>IF(OR(履歴データ!$A$574="",履歴データ!$A$573=""),"",D574-D573)</f>
        <v>1.2000000000000455</v>
      </c>
      <c r="N574" s="28">
        <f>IF(OR(履歴データ!$A$574="",履歴データ!$A$573=""),"",E574-E573)</f>
        <v>1.0000000000000213</v>
      </c>
      <c r="O574" s="28">
        <f>IF(OR(履歴データ!$A$574="",履歴データ!$A$573=""),"",F574-F573)</f>
        <v>23.209999999999923</v>
      </c>
      <c r="P574" s="28">
        <f>IF(OR(履歴データ!$A$574="",履歴データ!$A$573=""),"",G574-G573)</f>
        <v>-12.298821411132677</v>
      </c>
      <c r="Q574" s="29">
        <f>IF(OR(履歴データ!$A$574="",履歴データ!$A$573=""),"",H574-H573)</f>
        <v>-1.2530059814453125</v>
      </c>
      <c r="R574" s="29">
        <f>IF(OR(履歴データ!$A$574="",履歴データ!$A$573=""),"",I574-I573)</f>
        <v>0.34375</v>
      </c>
      <c r="S574" s="28">
        <f>IF(OR(履歴データ!$A$574="",履歴データ!$A$573=""),"",(J574-J573)*100)</f>
        <v>-5.9999999999999609</v>
      </c>
      <c r="T574" s="11">
        <f>IF(OR(履歴データ!$A$574="",履歴データ!$A$573=""),"",-80000*K574)</f>
        <v>0</v>
      </c>
      <c r="U574" s="11">
        <f>IF(OR(履歴データ!$A$574="",履歴データ!$A$573=""),"",60000*L574)</f>
        <v>-78000.000000000684</v>
      </c>
      <c r="V574" s="11">
        <f>IF(OR(履歴データ!$A$574="",履歴データ!$A$573=""),"",-50000*M574)</f>
        <v>-60000.00000000227</v>
      </c>
      <c r="W574" s="11">
        <f>IF(OR(履歴データ!$A$574="",履歴データ!$A$573=""),"",-40000*N574)</f>
        <v>-40000.000000000851</v>
      </c>
      <c r="X574" s="11">
        <f>IF(OR(履歴データ!$A$574="",履歴データ!$A$573=""),"",120*1000000*(-Q574/H573))</f>
        <v>1050144.3489696288</v>
      </c>
      <c r="Y574" s="11">
        <f>IF(OR(履歴データ!$A$574="",履歴データ!$A$573=""),"",40000*(-S574)+(-506.3)*R574*1000)</f>
        <v>65959.374999998428</v>
      </c>
      <c r="Z574" s="11">
        <f>IF(OR(履歴データ!$A$574="",履歴データ!$A$573=""),"",-40000*O574)</f>
        <v>-928399.99999999686</v>
      </c>
      <c r="AA574" s="11">
        <f>IF(OR(履歴データ!$A$574="",履歴データ!$A$573=""),"",-40000*P574)</f>
        <v>491952.85644530709</v>
      </c>
      <c r="AB574" s="11">
        <f>IF(履歴データ!$A$574="","",123.3)</f>
        <v>123.3</v>
      </c>
      <c r="AC574">
        <f>IF(履歴データ!$A$574="","",SUM(T574:AA574))</f>
        <v>501656.58041493368</v>
      </c>
      <c r="AD574" s="29">
        <f>IF(履歴データ!$A$574="","",AC574/1000000)</f>
        <v>0.50165658041493366</v>
      </c>
      <c r="AE574" s="29">
        <f>IF(履歴データ!$A$574="",AE573,AE573+AC574/1000000)</f>
        <v>80.521315570965768</v>
      </c>
      <c r="AF574" s="12">
        <f>IF(OR(履歴データ!$A$574="",AE573=0),"",(AE574-AE573)/AE573)</f>
        <v>6.2691666865784725E-3</v>
      </c>
      <c r="AG574" s="29">
        <f t="shared" si="26"/>
        <v>102.17217746631495</v>
      </c>
      <c r="AH574" s="12">
        <f>IF(OR(履歴データ!$A$574="",AG574=0),"",AE574/AG574-1)</f>
        <v>-0.21190565212811707</v>
      </c>
      <c r="AJ574" s="28">
        <f t="shared" ca="1" si="24"/>
        <v>13.076588069432615</v>
      </c>
      <c r="AK574" s="28">
        <f t="shared" ca="1" si="25"/>
        <v>-33.802778545623084</v>
      </c>
    </row>
    <row r="575" spans="1:37">
      <c r="A575" s="10">
        <f>IF(履歴データ!$A$575="","",履歴データ!$A$575)</f>
        <v>45764</v>
      </c>
      <c r="B575" s="28">
        <f>IF(履歴データ!$A$575="","",(履歴データ!$D$575-(履歴データ!$B$575+履歴データ!$F$575)/2)*100)</f>
        <v>3.5000000000000142</v>
      </c>
      <c r="C575" s="28">
        <f>IF(履歴データ!$A$575="","",(履歴データ!$H$575-(履歴データ!$G$575+履歴データ!$J$575)/2)*100)</f>
        <v>-30.85</v>
      </c>
      <c r="D575" s="28">
        <f>IF(履歴データ!$A$575="","",(履歴データ!$D$575-履歴データ!$H$575)*100)</f>
        <v>301.99999999999994</v>
      </c>
      <c r="E575" s="28">
        <f>IF(履歴データ!$A$575="","",(履歴データ!$D$575-履歴データ!$C$575)*100)</f>
        <v>38.999999999999972</v>
      </c>
      <c r="F575" s="28">
        <f>IF(履歴データ!$A$575="","",(履歴データ!$R$575-履歴データ!$D$575)*100)</f>
        <v>-299.57</v>
      </c>
      <c r="G575" s="28">
        <f>IF(履歴データ!$A$575="","",(履歴データ!$S$575-履歴データ!$R$575)*100)</f>
        <v>-5.8098214111330204</v>
      </c>
      <c r="H575" s="29">
        <f>IF(履歴データ!$A$575="","",履歴データ!$O$575)</f>
        <v>141.92799377441406</v>
      </c>
      <c r="I575" s="29">
        <f>IF(履歴データ!$A$575="","",履歴データ!$Q$575)</f>
        <v>111.171875</v>
      </c>
      <c r="J575" s="29">
        <f>IF(履歴データ!$A$575="","",履歴データ!$D$575)</f>
        <v>4.34</v>
      </c>
      <c r="K575" s="28">
        <f>IF(OR(履歴データ!$A$575="",履歴データ!$A$574=""),"",B575-B574)</f>
        <v>0</v>
      </c>
      <c r="L575" s="28">
        <f>IF(OR(履歴データ!$A$575="",履歴データ!$A$574=""),"",C575-C574)</f>
        <v>1.7000000000000099</v>
      </c>
      <c r="M575" s="28">
        <f>IF(OR(履歴データ!$A$575="",履歴データ!$A$574=""),"",D575-D574)</f>
        <v>3.4999999999998863</v>
      </c>
      <c r="N575" s="28">
        <f>IF(OR(履歴データ!$A$575="",履歴データ!$A$574=""),"",E575-E574)</f>
        <v>0.99999999999998579</v>
      </c>
      <c r="O575" s="28">
        <f>IF(OR(履歴データ!$A$575="",履歴データ!$A$574=""),"",F575-F574)</f>
        <v>-15.769999999999982</v>
      </c>
      <c r="P575" s="28">
        <f>IF(OR(履歴データ!$A$575="",履歴データ!$A$574=""),"",G575-G574)</f>
        <v>-5.0160000000001315</v>
      </c>
      <c r="Q575" s="29">
        <f>IF(OR(履歴データ!$A$575="",履歴データ!$A$574=""),"",H575-H574)</f>
        <v>0</v>
      </c>
      <c r="R575" s="29">
        <f>IF(OR(履歴データ!$A$575="",履歴データ!$A$574=""),"",I575-I574)</f>
        <v>-0.25</v>
      </c>
      <c r="S575" s="28">
        <f>IF(OR(履歴データ!$A$575="",履歴データ!$A$574=""),"",(J575-J574)*100)</f>
        <v>4.9999999999999822</v>
      </c>
      <c r="T575" s="11">
        <f>IF(OR(履歴データ!$A$575="",履歴データ!$A$574=""),"",-80000*K575)</f>
        <v>0</v>
      </c>
      <c r="U575" s="11">
        <f>IF(OR(履歴データ!$A$575="",履歴データ!$A$574=""),"",60000*L575)</f>
        <v>102000.0000000006</v>
      </c>
      <c r="V575" s="11">
        <f>IF(OR(履歴データ!$A$575="",履歴データ!$A$574=""),"",-50000*M575)</f>
        <v>-174999.99999999432</v>
      </c>
      <c r="W575" s="11">
        <f>IF(OR(履歴データ!$A$575="",履歴データ!$A$574=""),"",-40000*N575)</f>
        <v>-39999.999999999432</v>
      </c>
      <c r="X575" s="11">
        <f>IF(OR(履歴データ!$A$575="",履歴データ!$A$574=""),"",120*1000000*(-Q575/H574))</f>
        <v>0</v>
      </c>
      <c r="Y575" s="11">
        <f>IF(OR(履歴データ!$A$575="",履歴データ!$A$574=""),"",40000*(-S575)+(-506.3)*R575*1000)</f>
        <v>-73424.999999999302</v>
      </c>
      <c r="Z575" s="11">
        <f>IF(OR(履歴データ!$A$575="",履歴データ!$A$574=""),"",-40000*O575)</f>
        <v>630799.9999999993</v>
      </c>
      <c r="AA575" s="11">
        <f>IF(OR(履歴データ!$A$575="",履歴データ!$A$574=""),"",-40000*P575)</f>
        <v>200640.00000000527</v>
      </c>
      <c r="AB575" s="11">
        <f>IF(履歴データ!$A$575="","",123.3)</f>
        <v>123.3</v>
      </c>
      <c r="AC575">
        <f>IF(履歴データ!$A$575="","",SUM(T575:AA575))</f>
        <v>645015.00000001211</v>
      </c>
      <c r="AD575" s="29">
        <f>IF(履歴データ!$A$575="","",AC575/1000000)</f>
        <v>0.64501500000001211</v>
      </c>
      <c r="AE575" s="29">
        <f>IF(履歴データ!$A$575="",AE574,AE574+AC575/1000000)</f>
        <v>81.166330570965783</v>
      </c>
      <c r="AF575" s="12">
        <f>IF(OR(履歴データ!$A$575="",AE574=0),"",(AE575-AE574)/AE574)</f>
        <v>8.0104876010321097E-3</v>
      </c>
      <c r="AG575" s="29">
        <f t="shared" si="26"/>
        <v>102.17217746631495</v>
      </c>
      <c r="AH575" s="12">
        <f>IF(OR(履歴データ!$A$575="",AG575=0),"",AE575/AG575-1)</f>
        <v>-0.20559263212604595</v>
      </c>
      <c r="AJ575" s="28">
        <f t="shared" ca="1" si="24"/>
        <v>13.201430966250919</v>
      </c>
      <c r="AK575" s="28">
        <f t="shared" ca="1" si="25"/>
        <v>-33.737145251965202</v>
      </c>
    </row>
    <row r="576" spans="1:37">
      <c r="A576" s="10">
        <f>IF(履歴データ!$A$576="","",履歴データ!$A$576)</f>
        <v>45768</v>
      </c>
      <c r="B576" s="28">
        <f>IF(履歴データ!$A$576="","",(履歴データ!$D$576-(履歴データ!$B$576+履歴データ!$F$576)/2)*100)</f>
        <v>8.9999999999999858</v>
      </c>
      <c r="C576" s="28">
        <f>IF(履歴データ!$A$576="","",(履歴データ!$H$576-(履歴データ!$G$576+履歴データ!$J$576)/2)*100)</f>
        <v>-36.1</v>
      </c>
      <c r="D576" s="28">
        <f>IF(履歴データ!$A$576="","",(履歴データ!$D$576-履歴データ!$H$576)*100)</f>
        <v>311.8</v>
      </c>
      <c r="E576" s="28">
        <f>IF(履歴データ!$A$576="","",(履歴データ!$D$576-履歴データ!$C$576)*100)</f>
        <v>44.999999999999972</v>
      </c>
      <c r="F576" s="28">
        <f>IF(履歴データ!$A$576="","",(履歴データ!$R$576-履歴データ!$D$576)*100)</f>
        <v>-311.06</v>
      </c>
      <c r="G576" s="28">
        <f>IF(履歴データ!$A$576="","",(履歴データ!$S$576-履歴データ!$R$576)*100)</f>
        <v>16.623357177734221</v>
      </c>
      <c r="H576" s="29">
        <f>IF(履歴データ!$A$576="","",履歴データ!$O$576)</f>
        <v>140.87600708007813</v>
      </c>
      <c r="I576" s="29">
        <f>IF(履歴データ!$A$576="","",履歴データ!$Q$576)</f>
        <v>110.8125</v>
      </c>
      <c r="J576" s="29">
        <f>IF(履歴データ!$A$576="","",履歴データ!$D$576)</f>
        <v>4.42</v>
      </c>
      <c r="K576" s="28">
        <f>IF(OR(履歴データ!$A$576="",履歴データ!$A$575=""),"",B576-B575)</f>
        <v>5.4999999999999716</v>
      </c>
      <c r="L576" s="28">
        <f>IF(OR(履歴データ!$A$576="",履歴データ!$A$575=""),"",C576-C575)</f>
        <v>-5.25</v>
      </c>
      <c r="M576" s="28">
        <f>IF(OR(履歴データ!$A$576="",履歴データ!$A$575=""),"",D576-D575)</f>
        <v>9.8000000000000682</v>
      </c>
      <c r="N576" s="28">
        <f>IF(OR(履歴データ!$A$576="",履歴データ!$A$575=""),"",E576-E575)</f>
        <v>6</v>
      </c>
      <c r="O576" s="28">
        <f>IF(OR(履歴データ!$A$576="",履歴データ!$A$575=""),"",F576-F575)</f>
        <v>-11.490000000000009</v>
      </c>
      <c r="P576" s="28">
        <f>IF(OR(履歴データ!$A$576="",履歴データ!$A$575=""),"",G576-G575)</f>
        <v>22.433178588867243</v>
      </c>
      <c r="Q576" s="29">
        <f>IF(OR(履歴データ!$A$576="",履歴データ!$A$575=""),"",H576-H575)</f>
        <v>-1.0519866943359375</v>
      </c>
      <c r="R576" s="29">
        <f>IF(OR(履歴データ!$A$576="",履歴データ!$A$575=""),"",I576-I575)</f>
        <v>-0.359375</v>
      </c>
      <c r="S576" s="28">
        <f>IF(OR(履歴データ!$A$576="",履歴データ!$A$575=""),"",(J576-J575)*100)</f>
        <v>8.0000000000000071</v>
      </c>
      <c r="T576" s="11">
        <f>IF(OR(履歴データ!$A$576="",履歴データ!$A$575=""),"",-80000*K576)</f>
        <v>-439999.99999999773</v>
      </c>
      <c r="U576" s="11">
        <f>IF(OR(履歴データ!$A$576="",履歴データ!$A$575=""),"",60000*L576)</f>
        <v>-315000</v>
      </c>
      <c r="V576" s="11">
        <f>IF(OR(履歴データ!$A$576="",履歴データ!$A$575=""),"",-50000*M576)</f>
        <v>-490000.00000000343</v>
      </c>
      <c r="W576" s="11">
        <f>IF(OR(履歴データ!$A$576="",履歴データ!$A$575=""),"",-40000*N576)</f>
        <v>-240000</v>
      </c>
      <c r="X576" s="11">
        <f>IF(OR(履歴データ!$A$576="",履歴データ!$A$575=""),"",120*1000000*(-Q576/H575))</f>
        <v>889453.86997409957</v>
      </c>
      <c r="Y576" s="11">
        <f>IF(OR(履歴データ!$A$576="",履歴データ!$A$575=""),"",40000*(-S576)+(-506.3)*R576*1000)</f>
        <v>-138048.43750000029</v>
      </c>
      <c r="Z576" s="11">
        <f>IF(OR(履歴データ!$A$576="",履歴データ!$A$575=""),"",-40000*O576)</f>
        <v>459600.00000000035</v>
      </c>
      <c r="AA576" s="11">
        <f>IF(OR(履歴データ!$A$576="",履歴データ!$A$575=""),"",-40000*P576)</f>
        <v>-897327.14355468971</v>
      </c>
      <c r="AB576" s="11">
        <f>IF(履歴データ!$A$576="","",123.3)</f>
        <v>123.3</v>
      </c>
      <c r="AC576">
        <f>IF(履歴データ!$A$576="","",SUM(T576:AA576))</f>
        <v>-1171321.7110805912</v>
      </c>
      <c r="AD576" s="29">
        <f>IF(履歴データ!$A$576="","",AC576/1000000)</f>
        <v>-1.1713217110805911</v>
      </c>
      <c r="AE576" s="29">
        <f>IF(履歴データ!$A$576="",AE575,AE575+AC576/1000000)</f>
        <v>79.995008859885189</v>
      </c>
      <c r="AF576" s="12">
        <f>IF(OR(履歴データ!$A$576="",AE575=0),"",(AE576-AE575)/AE575)</f>
        <v>-1.4431128065552723E-2</v>
      </c>
      <c r="AG576" s="29">
        <f t="shared" si="26"/>
        <v>102.17217746631495</v>
      </c>
      <c r="AH576" s="12">
        <f>IF(OR(履歴データ!$A$576="",AG576=0),"",AE576/AG576-1)</f>
        <v>-0.21705682658805359</v>
      </c>
      <c r="AJ576" s="28">
        <f t="shared" ca="1" si="24"/>
        <v>13.409082163942356</v>
      </c>
      <c r="AK576" s="28">
        <f t="shared" ca="1" si="25"/>
        <v>-33.714637719497908</v>
      </c>
    </row>
    <row r="577" spans="1:37">
      <c r="A577" s="10">
        <f>IF(履歴データ!$A$577="","",履歴データ!$A$577)</f>
        <v>45769</v>
      </c>
      <c r="B577" s="28">
        <f>IF(履歴データ!$A$577="","",(履歴データ!$D$577-(履歴データ!$B$577+履歴データ!$F$577)/2)*100)</f>
        <v>8.9999999999999858</v>
      </c>
      <c r="C577" s="28">
        <f>IF(履歴データ!$A$577="","",(履歴データ!$H$577-(履歴データ!$G$577+履歴データ!$J$577)/2)*100)</f>
        <v>-34.85</v>
      </c>
      <c r="D577" s="28">
        <f>IF(履歴データ!$A$577="","",(履歴データ!$D$577-履歴データ!$H$577)*100)</f>
        <v>308.70000000000005</v>
      </c>
      <c r="E577" s="28">
        <f>IF(履歴データ!$A$577="","",(履歴データ!$D$577-履歴データ!$C$577)*100)</f>
        <v>43.000000000000014</v>
      </c>
      <c r="F577" s="28">
        <f>IF(履歴データ!$A$577="","",(履歴データ!$R$577-履歴データ!$D$577)*100)</f>
        <v>-310.06</v>
      </c>
      <c r="G577" s="28">
        <f>IF(履歴データ!$A$577="","",(履歴データ!$S$577-履歴データ!$R$577)*100)</f>
        <v>19.95599999999984</v>
      </c>
      <c r="H577" s="29">
        <f>IF(履歴データ!$A$577="","",履歴データ!$O$577)</f>
        <v>142.68800354003906</v>
      </c>
      <c r="I577" s="29">
        <f>IF(履歴データ!$A$577="","",履歴データ!$Q$577)</f>
        <v>110.796875</v>
      </c>
      <c r="J577" s="29">
        <f>IF(履歴データ!$A$577="","",履歴データ!$D$577)</f>
        <v>4.41</v>
      </c>
      <c r="K577" s="28">
        <f>IF(OR(履歴データ!$A$577="",履歴データ!$A$576=""),"",B577-B576)</f>
        <v>0</v>
      </c>
      <c r="L577" s="28">
        <f>IF(OR(履歴データ!$A$577="",履歴データ!$A$576=""),"",C577-C576)</f>
        <v>1.25</v>
      </c>
      <c r="M577" s="28">
        <f>IF(OR(履歴データ!$A$577="",履歴データ!$A$576=""),"",D577-D576)</f>
        <v>-3.0999999999999659</v>
      </c>
      <c r="N577" s="28">
        <f>IF(OR(履歴データ!$A$577="",履歴データ!$A$576=""),"",E577-E576)</f>
        <v>-1.9999999999999574</v>
      </c>
      <c r="O577" s="28">
        <f>IF(OR(履歴データ!$A$577="",履歴データ!$A$576=""),"",F577-F576)</f>
        <v>1</v>
      </c>
      <c r="P577" s="28">
        <f>IF(OR(履歴データ!$A$577="",履歴データ!$A$576=""),"",G577-G576)</f>
        <v>3.332642822265619</v>
      </c>
      <c r="Q577" s="29">
        <f>IF(OR(履歴データ!$A$577="",履歴データ!$A$576=""),"",H577-H576)</f>
        <v>1.8119964599609375</v>
      </c>
      <c r="R577" s="29">
        <f>IF(OR(履歴データ!$A$577="",履歴データ!$A$576=""),"",I577-I576)</f>
        <v>-1.5625E-2</v>
      </c>
      <c r="S577" s="28">
        <f>IF(OR(履歴データ!$A$577="",履歴データ!$A$576=""),"",(J577-J576)*100)</f>
        <v>-0.99999999999997868</v>
      </c>
      <c r="T577" s="11">
        <f>IF(OR(履歴データ!$A$577="",履歴データ!$A$576=""),"",-80000*K577)</f>
        <v>0</v>
      </c>
      <c r="U577" s="11">
        <f>IF(OR(履歴データ!$A$577="",履歴データ!$A$576=""),"",60000*L577)</f>
        <v>75000</v>
      </c>
      <c r="V577" s="11">
        <f>IF(OR(履歴データ!$A$577="",履歴データ!$A$576=""),"",-50000*M577)</f>
        <v>154999.99999999828</v>
      </c>
      <c r="W577" s="11">
        <f>IF(OR(履歴データ!$A$577="",履歴データ!$A$576=""),"",-40000*N577)</f>
        <v>79999.999999998297</v>
      </c>
      <c r="X577" s="11">
        <f>IF(OR(履歴データ!$A$577="",履歴データ!$A$576=""),"",120*1000000*(-Q577/H576))</f>
        <v>-1543481.9576602094</v>
      </c>
      <c r="Y577" s="11">
        <f>IF(OR(履歴データ!$A$577="",履歴データ!$A$576=""),"",40000*(-S577)+(-506.3)*R577*1000)</f>
        <v>47910.937499999149</v>
      </c>
      <c r="Z577" s="11">
        <f>IF(OR(履歴データ!$A$577="",履歴データ!$A$576=""),"",-40000*O577)</f>
        <v>-40000</v>
      </c>
      <c r="AA577" s="11">
        <f>IF(OR(履歴データ!$A$577="",履歴データ!$A$576=""),"",-40000*P577)</f>
        <v>-133305.71289062477</v>
      </c>
      <c r="AB577" s="11">
        <f>IF(履歴データ!$A$577="","",123.3)</f>
        <v>123.3</v>
      </c>
      <c r="AC577">
        <f>IF(履歴データ!$A$577="","",SUM(T577:AA577))</f>
        <v>-1358876.7330508386</v>
      </c>
      <c r="AD577" s="29">
        <f>IF(履歴データ!$A$577="","",AC577/1000000)</f>
        <v>-1.3588767330508387</v>
      </c>
      <c r="AE577" s="29">
        <f>IF(履歴データ!$A$577="",AE576,AE576+AC577/1000000)</f>
        <v>78.636132126834354</v>
      </c>
      <c r="AF577" s="12">
        <f>IF(OR(履歴データ!$A$577="",AE576=0),"",(AE577-AE576)/AE576)</f>
        <v>-1.6987018970533119E-2</v>
      </c>
      <c r="AG577" s="29">
        <f t="shared" si="26"/>
        <v>102.17217746631495</v>
      </c>
      <c r="AH577" s="12">
        <f>IF(OR(履歴データ!$A$577="",AG577=0),"",AE577/AG577-1)</f>
        <v>-0.23035669712765172</v>
      </c>
      <c r="AJ577" s="28">
        <f t="shared" ca="1" si="24"/>
        <v>13.602834518941112</v>
      </c>
      <c r="AK577" s="28">
        <f t="shared" ca="1" si="25"/>
        <v>-33.654421820528412</v>
      </c>
    </row>
    <row r="578" spans="1:37">
      <c r="A578" s="10">
        <f>IF(履歴データ!$A$578="","",履歴データ!$A$578)</f>
        <v>45770</v>
      </c>
      <c r="B578" s="28">
        <f>IF(履歴データ!$A$578="","",(履歴データ!$D$578-(履歴データ!$B$578+履歴データ!$F$578)/2)*100)</f>
        <v>8.0000000000000071</v>
      </c>
      <c r="C578" s="28">
        <f>IF(履歴データ!$A$578="","",(履歴データ!$H$578-(履歴データ!$G$578+履歴データ!$J$578)/2)*100)</f>
        <v>-31.499999999999993</v>
      </c>
      <c r="D578" s="28">
        <f>IF(履歴データ!$A$578="","",(履歴データ!$D$578-履歴データ!$H$578)*100)</f>
        <v>306.00000000000006</v>
      </c>
      <c r="E578" s="28">
        <f>IF(履歴データ!$A$578="","",(履歴データ!$D$578-履歴データ!$C$578)*100)</f>
        <v>40.000000000000036</v>
      </c>
      <c r="F578" s="28">
        <f>IF(履歴データ!$A$578="","",(履歴データ!$R$578-履歴データ!$D$578)*100)</f>
        <v>-309.56</v>
      </c>
      <c r="G578" s="28">
        <f>IF(履歴データ!$A$578="","",(履歴データ!$S$578-履歴データ!$R$578)*100)</f>
        <v>20.105178588867044</v>
      </c>
      <c r="H578" s="29">
        <f>IF(履歴データ!$A$578="","",履歴データ!$O$578)</f>
        <v>143.22300720214844</v>
      </c>
      <c r="I578" s="29">
        <f>IF(履歴データ!$A$578="","",履歴データ!$Q$578)</f>
        <v>110.65625</v>
      </c>
      <c r="J578" s="29">
        <f>IF(履歴データ!$A$578="","",履歴データ!$D$578)</f>
        <v>4.4000000000000004</v>
      </c>
      <c r="K578" s="28">
        <f>IF(OR(履歴データ!$A$578="",履歴データ!$A$577=""),"",B578-B577)</f>
        <v>-0.99999999999997868</v>
      </c>
      <c r="L578" s="28">
        <f>IF(OR(履歴データ!$A$578="",履歴データ!$A$577=""),"",C578-C577)</f>
        <v>3.3500000000000085</v>
      </c>
      <c r="M578" s="28">
        <f>IF(OR(履歴データ!$A$578="",履歴データ!$A$577=""),"",D578-D577)</f>
        <v>-2.6999999999999886</v>
      </c>
      <c r="N578" s="28">
        <f>IF(OR(履歴データ!$A$578="",履歴データ!$A$577=""),"",E578-E577)</f>
        <v>-2.9999999999999787</v>
      </c>
      <c r="O578" s="28">
        <f>IF(OR(履歴データ!$A$578="",履歴データ!$A$577=""),"",F578-F577)</f>
        <v>0.5</v>
      </c>
      <c r="P578" s="28">
        <f>IF(OR(履歴データ!$A$578="",履歴データ!$A$577=""),"",G578-G577)</f>
        <v>0.14917858886720481</v>
      </c>
      <c r="Q578" s="29">
        <f>IF(OR(履歴データ!$A$578="",履歴データ!$A$577=""),"",H578-H577)</f>
        <v>0.535003662109375</v>
      </c>
      <c r="R578" s="29">
        <f>IF(OR(履歴データ!$A$578="",履歴データ!$A$577=""),"",I578-I577)</f>
        <v>-0.140625</v>
      </c>
      <c r="S578" s="28">
        <f>IF(OR(履歴データ!$A$578="",履歴データ!$A$577=""),"",(J578-J577)*100)</f>
        <v>-0.99999999999997868</v>
      </c>
      <c r="T578" s="11">
        <f>IF(OR(履歴データ!$A$578="",履歴データ!$A$577=""),"",-80000*K578)</f>
        <v>79999.999999998297</v>
      </c>
      <c r="U578" s="11">
        <f>IF(OR(履歴データ!$A$578="",履歴データ!$A$577=""),"",60000*L578)</f>
        <v>201000.00000000052</v>
      </c>
      <c r="V578" s="11">
        <f>IF(OR(履歴データ!$A$578="",履歴データ!$A$577=""),"",-50000*M578)</f>
        <v>134999.99999999942</v>
      </c>
      <c r="W578" s="11">
        <f>IF(OR(履歴データ!$A$578="",履歴データ!$A$577=""),"",-40000*N578)</f>
        <v>119999.99999999914</v>
      </c>
      <c r="X578" s="11">
        <f>IF(OR(履歴データ!$A$578="",履歴データ!$A$577=""),"",120*1000000*(-Q578/H577))</f>
        <v>-449935.78899651498</v>
      </c>
      <c r="Y578" s="11">
        <f>IF(OR(履歴データ!$A$578="",履歴データ!$A$577=""),"",40000*(-S578)+(-506.3)*R578*1000)</f>
        <v>111198.43749999916</v>
      </c>
      <c r="Z578" s="11">
        <f>IF(OR(履歴データ!$A$578="",履歴データ!$A$577=""),"",-40000*O578)</f>
        <v>-20000</v>
      </c>
      <c r="AA578" s="11">
        <f>IF(OR(履歴データ!$A$578="",履歴データ!$A$577=""),"",-40000*P578)</f>
        <v>-5967.1435546881921</v>
      </c>
      <c r="AB578" s="11">
        <f>IF(履歴データ!$A$578="","",123.3)</f>
        <v>123.3</v>
      </c>
      <c r="AC578">
        <f>IF(履歴データ!$A$578="","",SUM(T578:AA578))</f>
        <v>171295.50494879342</v>
      </c>
      <c r="AD578" s="29">
        <f>IF(履歴データ!$A$578="","",AC578/1000000)</f>
        <v>0.17129550494879342</v>
      </c>
      <c r="AE578" s="29">
        <f>IF(履歴データ!$A$578="",AE577,AE577+AC578/1000000)</f>
        <v>78.807427631783142</v>
      </c>
      <c r="AF578" s="12">
        <f>IF(OR(履歴データ!$A$578="",AE577=0),"",(AE578-AE577)/AE577)</f>
        <v>2.1783307535078182E-3</v>
      </c>
      <c r="AG578" s="29">
        <f t="shared" si="26"/>
        <v>102.17217746631495</v>
      </c>
      <c r="AH578" s="12">
        <f>IF(OR(履歴データ!$A$578="",AG578=0),"",AE578/AG578-1)</f>
        <v>-0.22868015945177356</v>
      </c>
      <c r="AJ578" s="28">
        <f t="shared" ref="AJ578:AJ641" ca="1" si="27">IF(ROW()-1&lt;2,"",IFERROR(AVERAGE(OFFSET($B$1,MAX(1,ROW()-252),0,MIN(252,ROW()-1),1))+2*STDEV(OFFSET($B$1,MAX(1,ROW()-252),0,MIN(252,ROW()-1),1)),""))</f>
        <v>13.781823851963596</v>
      </c>
      <c r="AK578" s="28">
        <f t="shared" ref="AK578:AK641" ca="1" si="28">IF(ROW()-1&lt;2,"",IFERROR(AVERAGE(OFFSET($B$1,MAX(1,ROW()-252),0,MIN(252,ROW()-1),1))-2*STDEV(OFFSET($B$1,MAX(1,ROW()-252),0,MIN(252,ROW()-1),1)),""))</f>
        <v>-33.595315915455657</v>
      </c>
    </row>
    <row r="579" spans="1:37">
      <c r="A579" s="10">
        <f>IF(履歴データ!$A$579="","",履歴データ!$A$579)</f>
        <v>45771</v>
      </c>
      <c r="B579" s="28">
        <f>IF(履歴データ!$A$579="","",(履歴データ!$D$579-(履歴データ!$B$579+履歴データ!$F$579)/2)*100)</f>
        <v>5.0000000000000711</v>
      </c>
      <c r="C579" s="28">
        <f>IF(履歴データ!$A$579="","",(履歴データ!$H$579-(履歴データ!$G$579+履歴データ!$J$579)/2)*100)</f>
        <v>-32.84999999999998</v>
      </c>
      <c r="D579" s="28">
        <f>IF(履歴データ!$A$579="","",(履歴データ!$D$579-履歴データ!$H$579)*100)</f>
        <v>299.2</v>
      </c>
      <c r="E579" s="28">
        <f>IF(履歴データ!$A$579="","",(履歴データ!$D$579-履歴データ!$C$579)*100)</f>
        <v>41.000000000000014</v>
      </c>
      <c r="F579" s="28">
        <f>IF(履歴データ!$A$579="","",(履歴データ!$R$579-履歴データ!$D$579)*100)</f>
        <v>-298.29000000000002</v>
      </c>
      <c r="G579" s="28">
        <f>IF(履歴データ!$A$579="","",(履歴データ!$S$579-履歴データ!$R$579)*100)</f>
        <v>0.17217858886708903</v>
      </c>
      <c r="H579" s="29">
        <f>IF(履歴データ!$A$579="","",履歴データ!$O$579)</f>
        <v>142.87899780273438</v>
      </c>
      <c r="I579" s="29">
        <f>IF(履歴データ!$A$579="","",履歴データ!$Q$579)</f>
        <v>111.21875</v>
      </c>
      <c r="J579" s="29">
        <f>IF(履歴データ!$A$579="","",履歴データ!$D$579)</f>
        <v>4.32</v>
      </c>
      <c r="K579" s="28">
        <f>IF(OR(履歴データ!$A$579="",履歴データ!$A$578=""),"",B579-B578)</f>
        <v>-2.9999999999999361</v>
      </c>
      <c r="L579" s="28">
        <f>IF(OR(履歴データ!$A$579="",履歴データ!$A$578=""),"",C579-C578)</f>
        <v>-1.3499999999999872</v>
      </c>
      <c r="M579" s="28">
        <f>IF(OR(履歴データ!$A$579="",履歴データ!$A$578=""),"",D579-D578)</f>
        <v>-6.8000000000000682</v>
      </c>
      <c r="N579" s="28">
        <f>IF(OR(履歴データ!$A$579="",履歴データ!$A$578=""),"",E579-E578)</f>
        <v>0.99999999999997868</v>
      </c>
      <c r="O579" s="28">
        <f>IF(OR(履歴データ!$A$579="",履歴データ!$A$578=""),"",F579-F578)</f>
        <v>11.269999999999982</v>
      </c>
      <c r="P579" s="28">
        <f>IF(OR(履歴データ!$A$579="",履歴データ!$A$578=""),"",G579-G578)</f>
        <v>-19.932999999999957</v>
      </c>
      <c r="Q579" s="29">
        <f>IF(OR(履歴データ!$A$579="",履歴データ!$A$578=""),"",H579-H578)</f>
        <v>-0.3440093994140625</v>
      </c>
      <c r="R579" s="29">
        <f>IF(OR(履歴データ!$A$579="",履歴データ!$A$578=""),"",I579-I578)</f>
        <v>0.5625</v>
      </c>
      <c r="S579" s="28">
        <f>IF(OR(履歴データ!$A$579="",履歴データ!$A$578=""),"",(J579-J578)*100)</f>
        <v>-8.0000000000000071</v>
      </c>
      <c r="T579" s="11">
        <f>IF(OR(履歴データ!$A$579="",履歴データ!$A$578=""),"",-80000*K579)</f>
        <v>239999.99999999488</v>
      </c>
      <c r="U579" s="11">
        <f>IF(OR(履歴データ!$A$579="",履歴データ!$A$578=""),"",60000*L579)</f>
        <v>-80999.999999999229</v>
      </c>
      <c r="V579" s="11">
        <f>IF(OR(履歴データ!$A$579="",履歴データ!$A$578=""),"",-50000*M579)</f>
        <v>340000.00000000343</v>
      </c>
      <c r="W579" s="11">
        <f>IF(OR(履歴データ!$A$579="",履歴データ!$A$578=""),"",-40000*N579)</f>
        <v>-39999.999999999149</v>
      </c>
      <c r="X579" s="11">
        <f>IF(OR(履歴データ!$A$579="",履歴データ!$A$578=""),"",120*1000000*(-Q579/H578))</f>
        <v>288229.72465186624</v>
      </c>
      <c r="Y579" s="11">
        <f>IF(OR(履歴データ!$A$579="",履歴データ!$A$578=""),"",40000*(-S579)+(-506.3)*R579*1000)</f>
        <v>35206.250000000291</v>
      </c>
      <c r="Z579" s="11">
        <f>IF(OR(履歴データ!$A$579="",履歴データ!$A$578=""),"",-40000*O579)</f>
        <v>-450799.9999999993</v>
      </c>
      <c r="AA579" s="11">
        <f>IF(OR(履歴データ!$A$579="",履歴データ!$A$578=""),"",-40000*P579)</f>
        <v>797319.99999999825</v>
      </c>
      <c r="AB579" s="11">
        <f>IF(履歴データ!$A$579="","",123.3)</f>
        <v>123.3</v>
      </c>
      <c r="AC579">
        <f>IF(履歴データ!$A$579="","",SUM(T579:AA579))</f>
        <v>1128955.9746518652</v>
      </c>
      <c r="AD579" s="29">
        <f>IF(履歴データ!$A$579="","",AC579/1000000)</f>
        <v>1.1289559746518651</v>
      </c>
      <c r="AE579" s="29">
        <f>IF(履歴データ!$A$579="",AE578,AE578+AC579/1000000)</f>
        <v>79.936383606435001</v>
      </c>
      <c r="AF579" s="12">
        <f>IF(OR(履歴データ!$A$579="",AE578=0),"",(AE579-AE578)/AE578)</f>
        <v>1.4325502158587773E-2</v>
      </c>
      <c r="AG579" s="29">
        <f t="shared" ref="AG579:AG642" si="29">MAX(AG578,AE579)</f>
        <v>102.17217746631495</v>
      </c>
      <c r="AH579" s="12">
        <f>IF(OR(履歴データ!$A$579="",AG579=0),"",AE579/AG579-1)</f>
        <v>-0.21763061541103834</v>
      </c>
      <c r="AJ579" s="28">
        <f t="shared" ca="1" si="27"/>
        <v>13.911332838634349</v>
      </c>
      <c r="AK579" s="28">
        <f t="shared" ca="1" si="28"/>
        <v>-33.506570933872439</v>
      </c>
    </row>
    <row r="580" spans="1:37">
      <c r="A580" s="10">
        <f>IF(履歴データ!$A$580="","",履歴データ!$A$580)</f>
        <v>45772</v>
      </c>
      <c r="B580" s="28">
        <f>IF(履歴データ!$A$580="","",(履歴データ!$D$580-(履歴データ!$B$580+履歴データ!$F$580)/2)*100)</f>
        <v>4.9999999999999822</v>
      </c>
      <c r="C580" s="28">
        <f>IF(履歴データ!$A$580="","",(履歴データ!$H$580-(履歴データ!$G$580+履歴データ!$J$580)/2)*100)</f>
        <v>-31.699999999999996</v>
      </c>
      <c r="D580" s="28">
        <f>IF(履歴データ!$A$580="","",(履歴データ!$D$580-履歴データ!$H$580)*100)</f>
        <v>294.3</v>
      </c>
      <c r="E580" s="28">
        <f>IF(履歴データ!$A$580="","",(履歴データ!$D$580-履歴データ!$C$580)*100)</f>
        <v>41.000000000000014</v>
      </c>
      <c r="F580" s="28">
        <f>IF(履歴データ!$A$580="","",(履歴データ!$R$580-履歴データ!$D$580)*100)</f>
        <v>-298.77999999999997</v>
      </c>
      <c r="G580" s="28">
        <f>IF(履歴データ!$A$580="","",(履歴データ!$S$580-履歴データ!$R$580)*100)</f>
        <v>15.063178588867121</v>
      </c>
      <c r="H580" s="29">
        <f>IF(履歴データ!$A$580="","",履歴データ!$O$580)</f>
        <v>142.87899780273438</v>
      </c>
      <c r="I580" s="29">
        <f>IF(履歴データ!$A$580="","",履歴データ!$Q$580)</f>
        <v>111.515625</v>
      </c>
      <c r="J580" s="29">
        <f>IF(履歴データ!$A$580="","",履歴データ!$D$580)</f>
        <v>4.29</v>
      </c>
      <c r="K580" s="28">
        <f>IF(OR(履歴データ!$A$580="",履歴データ!$A$579=""),"",B580-B579)</f>
        <v>-8.8817841970012523E-14</v>
      </c>
      <c r="L580" s="28">
        <f>IF(OR(履歴データ!$A$580="",履歴データ!$A$579=""),"",C580-C579)</f>
        <v>1.1499999999999844</v>
      </c>
      <c r="M580" s="28">
        <f>IF(OR(履歴データ!$A$580="",履歴データ!$A$579=""),"",D580-D579)</f>
        <v>-4.8999999999999773</v>
      </c>
      <c r="N580" s="28">
        <f>IF(OR(履歴データ!$A$580="",履歴データ!$A$579=""),"",E580-E579)</f>
        <v>0</v>
      </c>
      <c r="O580" s="28">
        <f>IF(OR(履歴データ!$A$580="",履歴データ!$A$579=""),"",F580-F579)</f>
        <v>-0.48999999999995225</v>
      </c>
      <c r="P580" s="28">
        <f>IF(OR(履歴データ!$A$580="",履歴データ!$A$579=""),"",G580-G579)</f>
        <v>14.891000000000032</v>
      </c>
      <c r="Q580" s="29">
        <f>IF(OR(履歴データ!$A$580="",履歴データ!$A$579=""),"",H580-H579)</f>
        <v>0</v>
      </c>
      <c r="R580" s="29">
        <f>IF(OR(履歴データ!$A$580="",履歴データ!$A$579=""),"",I580-I579)</f>
        <v>0.296875</v>
      </c>
      <c r="S580" s="28">
        <f>IF(OR(履歴データ!$A$580="",履歴データ!$A$579=""),"",(J580-J579)*100)</f>
        <v>-3.0000000000000249</v>
      </c>
      <c r="T580" s="11">
        <f>IF(OR(履歴データ!$A$580="",履歴データ!$A$579=""),"",-80000*K580)</f>
        <v>7.1054273576010019E-9</v>
      </c>
      <c r="U580" s="11">
        <f>IF(OR(履歴データ!$A$580="",履歴データ!$A$579=""),"",60000*L580)</f>
        <v>68999.999999999069</v>
      </c>
      <c r="V580" s="11">
        <f>IF(OR(履歴データ!$A$580="",履歴データ!$A$579=""),"",-50000*M580)</f>
        <v>244999.99999999886</v>
      </c>
      <c r="W580" s="11">
        <f>IF(OR(履歴データ!$A$580="",履歴データ!$A$579=""),"",-40000*N580)</f>
        <v>0</v>
      </c>
      <c r="X580" s="11">
        <f>IF(OR(履歴データ!$A$580="",履歴データ!$A$579=""),"",120*1000000*(-Q580/H579))</f>
        <v>0</v>
      </c>
      <c r="Y580" s="11">
        <f>IF(OR(履歴データ!$A$580="",履歴データ!$A$579=""),"",40000*(-S580)+(-506.3)*R580*1000)</f>
        <v>-30307.81249999901</v>
      </c>
      <c r="Z580" s="11">
        <f>IF(OR(履歴データ!$A$580="",履歴データ!$A$579=""),"",-40000*O580)</f>
        <v>19599.99999999809</v>
      </c>
      <c r="AA580" s="11">
        <f>IF(OR(履歴データ!$A$580="",履歴データ!$A$579=""),"",-40000*P580)</f>
        <v>-595640.00000000128</v>
      </c>
      <c r="AB580" s="11">
        <f>IF(履歴データ!$A$580="","",123.3)</f>
        <v>123.3</v>
      </c>
      <c r="AC580">
        <f>IF(履歴データ!$A$580="","",SUM(T580:AA580))</f>
        <v>-292347.81249999721</v>
      </c>
      <c r="AD580" s="29">
        <f>IF(履歴データ!$A$580="","",AC580/1000000)</f>
        <v>-0.29234781249999719</v>
      </c>
      <c r="AE580" s="29">
        <f>IF(履歴データ!$A$580="",AE579,AE579+AC580/1000000)</f>
        <v>79.644035793935004</v>
      </c>
      <c r="AF580" s="12">
        <f>IF(OR(履歴データ!$A$580="",AE579=0),"",(AE580-AE579)/AE579)</f>
        <v>-3.6572559241529533E-3</v>
      </c>
      <c r="AG580" s="29">
        <f t="shared" si="29"/>
        <v>102.17217746631495</v>
      </c>
      <c r="AH580" s="12">
        <f>IF(OR(履歴データ!$A$580="",AG580=0),"",AE580/AG580-1)</f>
        <v>-0.22049194047770226</v>
      </c>
      <c r="AJ580" s="28">
        <f t="shared" ca="1" si="27"/>
        <v>14.038808811334128</v>
      </c>
      <c r="AK580" s="28">
        <f t="shared" ca="1" si="28"/>
        <v>-33.415792938318255</v>
      </c>
    </row>
    <row r="581" spans="1:37">
      <c r="A581" s="10">
        <f>IF(履歴データ!$A$581="","",履歴データ!$A$581)</f>
        <v>45775</v>
      </c>
      <c r="B581" s="28">
        <f>IF(履歴データ!$A$581="","",(履歴データ!$D$581-(履歴データ!$B$581+履歴データ!$F$581)/2)*100)</f>
        <v>5.0000000000000711</v>
      </c>
      <c r="C581" s="28">
        <f>IF(履歴データ!$A$581="","",(履歴データ!$H$581-(履歴データ!$G$581+履歴データ!$J$581)/2)*100)</f>
        <v>-33.349999999999994</v>
      </c>
      <c r="D581" s="28">
        <f>IF(履歴データ!$A$581="","",(履歴データ!$D$581-履歴データ!$H$581)*100)</f>
        <v>290.10000000000008</v>
      </c>
      <c r="E581" s="28">
        <f>IF(履歴データ!$A$581="","",(履歴データ!$D$581-履歴データ!$C$581)*100)</f>
        <v>42.000000000000036</v>
      </c>
      <c r="F581" s="28">
        <f>IF(履歴データ!$A$581="","",(履歴データ!$R$581-履歴データ!$D$581)*100)</f>
        <v>-289.13</v>
      </c>
      <c r="G581" s="28">
        <f>IF(履歴データ!$A$581="","",(履歴データ!$S$581-履歴データ!$R$581)*100)</f>
        <v>-0.68935717773441763</v>
      </c>
      <c r="H581" s="29">
        <f>IF(履歴データ!$A$581="","",履歴データ!$O$581)</f>
        <v>142.17799377441406</v>
      </c>
      <c r="I581" s="29">
        <f>IF(履歴データ!$A$581="","",履歴データ!$Q$581)</f>
        <v>111.90625</v>
      </c>
      <c r="J581" s="29">
        <f>IF(履歴データ!$A$581="","",履歴データ!$D$581)</f>
        <v>4.2300000000000004</v>
      </c>
      <c r="K581" s="28">
        <f>IF(OR(履歴データ!$A$581="",履歴データ!$A$580=""),"",B581-B580)</f>
        <v>8.8817841970012523E-14</v>
      </c>
      <c r="L581" s="28">
        <f>IF(OR(履歴データ!$A$581="",履歴データ!$A$580=""),"",C581-C580)</f>
        <v>-1.6499999999999986</v>
      </c>
      <c r="M581" s="28">
        <f>IF(OR(履歴データ!$A$581="",履歴データ!$A$580=""),"",D581-D580)</f>
        <v>-4.1999999999999318</v>
      </c>
      <c r="N581" s="28">
        <f>IF(OR(履歴データ!$A$581="",履歴データ!$A$580=""),"",E581-E580)</f>
        <v>1.0000000000000213</v>
      </c>
      <c r="O581" s="28">
        <f>IF(OR(履歴データ!$A$581="",履歴データ!$A$580=""),"",F581-F580)</f>
        <v>9.6499999999999773</v>
      </c>
      <c r="P581" s="28">
        <f>IF(OR(履歴データ!$A$581="",履歴データ!$A$580=""),"",G581-G580)</f>
        <v>-15.75253576660154</v>
      </c>
      <c r="Q581" s="29">
        <f>IF(OR(履歴データ!$A$581="",履歴データ!$A$580=""),"",H581-H580)</f>
        <v>-0.7010040283203125</v>
      </c>
      <c r="R581" s="29">
        <f>IF(OR(履歴データ!$A$581="",履歴データ!$A$580=""),"",I581-I580)</f>
        <v>0.390625</v>
      </c>
      <c r="S581" s="28">
        <f>IF(OR(履歴データ!$A$581="",履歴データ!$A$580=""),"",(J581-J580)*100)</f>
        <v>-5.9999999999999609</v>
      </c>
      <c r="T581" s="11">
        <f>IF(OR(履歴データ!$A$581="",履歴データ!$A$580=""),"",-80000*K581)</f>
        <v>-7.1054273576010019E-9</v>
      </c>
      <c r="U581" s="11">
        <f>IF(OR(履歴データ!$A$581="",履歴データ!$A$580=""),"",60000*L581)</f>
        <v>-98999.999999999913</v>
      </c>
      <c r="V581" s="11">
        <f>IF(OR(履歴データ!$A$581="",履歴データ!$A$580=""),"",-50000*M581)</f>
        <v>209999.99999999659</v>
      </c>
      <c r="W581" s="11">
        <f>IF(OR(履歴データ!$A$581="",履歴データ!$A$580=""),"",-40000*N581)</f>
        <v>-40000.000000000851</v>
      </c>
      <c r="X581" s="11">
        <f>IF(OR(履歴データ!$A$581="",履歴データ!$A$580=""),"",120*1000000*(-Q581/H580))</f>
        <v>588753.3135876155</v>
      </c>
      <c r="Y581" s="11">
        <f>IF(OR(履歴データ!$A$581="",履歴データ!$A$580=""),"",40000*(-S581)+(-506.3)*R581*1000)</f>
        <v>42226.562499998428</v>
      </c>
      <c r="Z581" s="11">
        <f>IF(OR(履歴データ!$A$581="",履歴データ!$A$580=""),"",-40000*O581)</f>
        <v>-385999.99999999907</v>
      </c>
      <c r="AA581" s="11">
        <f>IF(OR(履歴データ!$A$581="",履歴データ!$A$580=""),"",-40000*P581)</f>
        <v>630101.43066406157</v>
      </c>
      <c r="AB581" s="11">
        <f>IF(履歴データ!$A$581="","",123.3)</f>
        <v>123.3</v>
      </c>
      <c r="AC581">
        <f>IF(履歴データ!$A$581="","",SUM(T581:AA581))</f>
        <v>946081.30675166519</v>
      </c>
      <c r="AD581" s="29">
        <f>IF(履歴データ!$A$581="","",AC581/1000000)</f>
        <v>0.94608130675166524</v>
      </c>
      <c r="AE581" s="29">
        <f>IF(履歴データ!$A$581="",AE580,AE580+AC581/1000000)</f>
        <v>80.590117100686669</v>
      </c>
      <c r="AF581" s="12">
        <f>IF(OR(履歴データ!$A$581="",AE580=0),"",(AE581-AE580)/AE580)</f>
        <v>1.1878871999900722E-2</v>
      </c>
      <c r="AG581" s="29">
        <f t="shared" si="29"/>
        <v>102.17217746631495</v>
      </c>
      <c r="AH581" s="12">
        <f>IF(OR(履歴データ!$A$581="",AG581=0),"",AE581/AG581-1)</f>
        <v>-0.21123226401574591</v>
      </c>
      <c r="AJ581" s="28">
        <f t="shared" ca="1" si="27"/>
        <v>14.177662974474606</v>
      </c>
      <c r="AK581" s="28">
        <f t="shared" ca="1" si="28"/>
        <v>-33.36813916495079</v>
      </c>
    </row>
    <row r="582" spans="1:37">
      <c r="A582" s="10">
        <f>IF(履歴データ!$A$582="","",履歴データ!$A$582)</f>
        <v>45776</v>
      </c>
      <c r="B582" s="28">
        <f>IF(履歴データ!$A$582="","",(履歴データ!$D$582-(履歴データ!$B$582+履歴データ!$F$582)/2)*100)</f>
        <v>4.5000000000000817</v>
      </c>
      <c r="C582" s="28">
        <f>IF(履歴データ!$A$582="","",(履歴データ!$H$582-(履歴データ!$G$582+履歴データ!$J$582)/2)*100)</f>
        <v>-33.349999999999994</v>
      </c>
      <c r="D582" s="28">
        <f>IF(履歴データ!$A$582="","",(履歴データ!$D$582-履歴データ!$H$582)*100)</f>
        <v>286.10000000000008</v>
      </c>
      <c r="E582" s="28">
        <f>IF(履歴データ!$A$582="","",(履歴データ!$D$582-履歴データ!$C$582)*100)</f>
        <v>42.000000000000036</v>
      </c>
      <c r="F582" s="28">
        <f>IF(履歴データ!$A$582="","",(履歴データ!$R$582-履歴データ!$D$582)*100)</f>
        <v>-276.3</v>
      </c>
      <c r="G582" s="28">
        <f>IF(履歴データ!$A$582="","",(履歴データ!$S$582-履歴データ!$R$582)*100)</f>
        <v>-9.5193571777344221</v>
      </c>
      <c r="H582" s="29">
        <f>IF(履歴データ!$A$582="","",履歴データ!$O$582)</f>
        <v>142.29899597167969</v>
      </c>
      <c r="I582" s="29">
        <f>IF(履歴データ!$A$582="","",履歴データ!$Q$582)</f>
        <v>112.15625</v>
      </c>
      <c r="J582" s="29">
        <f>IF(履歴データ!$A$582="","",履歴データ!$D$582)</f>
        <v>4.1900000000000004</v>
      </c>
      <c r="K582" s="28">
        <f>IF(OR(履歴データ!$A$582="",履歴データ!$A$581=""),"",B582-B581)</f>
        <v>-0.49999999999998934</v>
      </c>
      <c r="L582" s="28">
        <f>IF(OR(履歴データ!$A$582="",履歴データ!$A$581=""),"",C582-C581)</f>
        <v>0</v>
      </c>
      <c r="M582" s="28">
        <f>IF(OR(履歴データ!$A$582="",履歴データ!$A$581=""),"",D582-D581)</f>
        <v>-4</v>
      </c>
      <c r="N582" s="28">
        <f>IF(OR(履歴データ!$A$582="",履歴データ!$A$581=""),"",E582-E581)</f>
        <v>0</v>
      </c>
      <c r="O582" s="28">
        <f>IF(OR(履歴データ!$A$582="",履歴データ!$A$581=""),"",F582-F581)</f>
        <v>12.829999999999984</v>
      </c>
      <c r="P582" s="28">
        <f>IF(OR(履歴データ!$A$582="",履歴データ!$A$581=""),"",G582-G581)</f>
        <v>-8.8300000000000054</v>
      </c>
      <c r="Q582" s="29">
        <f>IF(OR(履歴データ!$A$582="",履歴データ!$A$581=""),"",H582-H581)</f>
        <v>0.121002197265625</v>
      </c>
      <c r="R582" s="29">
        <f>IF(OR(履歴データ!$A$582="",履歴データ!$A$581=""),"",I582-I581)</f>
        <v>0.25</v>
      </c>
      <c r="S582" s="28">
        <f>IF(OR(履歴データ!$A$582="",履歴データ!$A$581=""),"",(J582-J581)*100)</f>
        <v>-4.0000000000000036</v>
      </c>
      <c r="T582" s="11">
        <f>IF(OR(履歴データ!$A$582="",履歴データ!$A$581=""),"",-80000*K582)</f>
        <v>39999.999999999149</v>
      </c>
      <c r="U582" s="11">
        <f>IF(OR(履歴データ!$A$582="",履歴データ!$A$581=""),"",60000*L582)</f>
        <v>0</v>
      </c>
      <c r="V582" s="11">
        <f>IF(OR(履歴データ!$A$582="",履歴データ!$A$581=""),"",-50000*M582)</f>
        <v>200000</v>
      </c>
      <c r="W582" s="11">
        <f>IF(OR(履歴データ!$A$582="",履歴データ!$A$581=""),"",-40000*N582)</f>
        <v>0</v>
      </c>
      <c r="X582" s="11">
        <f>IF(OR(履歴データ!$A$582="",履歴データ!$A$581=""),"",120*1000000*(-Q582/H581))</f>
        <v>-102127.36364049064</v>
      </c>
      <c r="Y582" s="11">
        <f>IF(OR(履歴データ!$A$582="",履歴データ!$A$581=""),"",40000*(-S582)+(-506.3)*R582*1000)</f>
        <v>33425.000000000146</v>
      </c>
      <c r="Z582" s="11">
        <f>IF(OR(履歴データ!$A$582="",履歴データ!$A$581=""),"",-40000*O582)</f>
        <v>-513199.99999999936</v>
      </c>
      <c r="AA582" s="11">
        <f>IF(OR(履歴データ!$A$582="",履歴データ!$A$581=""),"",-40000*P582)</f>
        <v>353200.00000000023</v>
      </c>
      <c r="AB582" s="11">
        <f>IF(履歴データ!$A$582="","",123.3)</f>
        <v>123.3</v>
      </c>
      <c r="AC582">
        <f>IF(履歴データ!$A$582="","",SUM(T582:AA582))</f>
        <v>11297.636359509546</v>
      </c>
      <c r="AD582" s="29">
        <f>IF(履歴データ!$A$582="","",AC582/1000000)</f>
        <v>1.1297636359509547E-2</v>
      </c>
      <c r="AE582" s="29">
        <f>IF(履歴データ!$A$582="",AE581,AE581+AC582/1000000)</f>
        <v>80.601414737046184</v>
      </c>
      <c r="AF582" s="12">
        <f>IF(OR(履歴データ!$A$582="",AE581=0),"",(AE582-AE581)/AE581)</f>
        <v>1.4018637478092129E-4</v>
      </c>
      <c r="AG582" s="29">
        <f t="shared" si="29"/>
        <v>102.17217746631495</v>
      </c>
      <c r="AH582" s="12">
        <f>IF(OR(履歴データ!$A$582="",AG582=0),"",AE582/AG582-1)</f>
        <v>-0.21112168952629407</v>
      </c>
      <c r="AJ582" s="28">
        <f t="shared" ca="1" si="27"/>
        <v>14.308210501442135</v>
      </c>
      <c r="AK582" s="28">
        <f t="shared" ca="1" si="28"/>
        <v>-33.316147009378646</v>
      </c>
    </row>
    <row r="583" spans="1:37">
      <c r="A583" s="10">
        <f>IF(履歴データ!$A$583="","",履歴データ!$A$583)</f>
        <v>45777</v>
      </c>
      <c r="B583" s="28">
        <f>IF(履歴データ!$A$583="","",(履歴データ!$D$583-(履歴データ!$B$583+履歴データ!$F$583)/2)*100)</f>
        <v>4.0000000000000036</v>
      </c>
      <c r="C583" s="28">
        <f>IF(履歴データ!$A$583="","",(履歴データ!$H$583-(履歴データ!$G$583+履歴データ!$J$583)/2)*100)</f>
        <v>-33.050000000000004</v>
      </c>
      <c r="D583" s="28">
        <f>IF(履歴データ!$A$583="","",(履歴データ!$D$583-履歴データ!$H$583)*100)</f>
        <v>284</v>
      </c>
      <c r="E583" s="28">
        <f>IF(履歴データ!$A$583="","",(履歴データ!$D$583-履歴データ!$C$583)*100)</f>
        <v>44.999999999999972</v>
      </c>
      <c r="F583" s="28">
        <f>IF(履歴データ!$A$583="","",(履歴データ!$R$583-履歴データ!$D$583)*100)</f>
        <v>-276.08</v>
      </c>
      <c r="G583" s="28">
        <f>IF(履歴データ!$A$583="","",(履歴データ!$S$583-履歴データ!$R$583)*100)</f>
        <v>-4.5821785888673139</v>
      </c>
      <c r="H583" s="29">
        <f>IF(履歴データ!$A$583="","",履歴データ!$O$583)</f>
        <v>143.00900268554688</v>
      </c>
      <c r="I583" s="29">
        <f>IF(履歴データ!$A$583="","",履歴データ!$Q$583)</f>
        <v>112.21875</v>
      </c>
      <c r="J583" s="29">
        <f>IF(履歴データ!$A$583="","",履歴データ!$D$583)</f>
        <v>4.17</v>
      </c>
      <c r="K583" s="28">
        <f>IF(OR(履歴データ!$A$583="",履歴データ!$A$582=""),"",B583-B582)</f>
        <v>-0.50000000000007816</v>
      </c>
      <c r="L583" s="28">
        <f>IF(OR(履歴データ!$A$583="",履歴データ!$A$582=""),"",C583-C582)</f>
        <v>0.29999999999999005</v>
      </c>
      <c r="M583" s="28">
        <f>IF(OR(履歴データ!$A$583="",履歴データ!$A$582=""),"",D583-D582)</f>
        <v>-2.1000000000000796</v>
      </c>
      <c r="N583" s="28">
        <f>IF(OR(履歴データ!$A$583="",履歴データ!$A$582=""),"",E583-E582)</f>
        <v>2.9999999999999361</v>
      </c>
      <c r="O583" s="28">
        <f>IF(OR(履歴データ!$A$583="",履歴データ!$A$582=""),"",F583-F582)</f>
        <v>0.22000000000002728</v>
      </c>
      <c r="P583" s="28">
        <f>IF(OR(履歴データ!$A$583="",履歴データ!$A$582=""),"",G583-G582)</f>
        <v>4.9371785888671083</v>
      </c>
      <c r="Q583" s="29">
        <f>IF(OR(履歴データ!$A$583="",履歴データ!$A$582=""),"",H583-H582)</f>
        <v>0.7100067138671875</v>
      </c>
      <c r="R583" s="29">
        <f>IF(OR(履歴データ!$A$583="",履歴データ!$A$582=""),"",I583-I582)</f>
        <v>6.25E-2</v>
      </c>
      <c r="S583" s="28">
        <f>IF(OR(履歴データ!$A$583="",履歴データ!$A$582=""),"",(J583-J582)*100)</f>
        <v>-2.0000000000000462</v>
      </c>
      <c r="T583" s="11">
        <f>IF(OR(履歴データ!$A$583="",履歴データ!$A$582=""),"",-80000*K583)</f>
        <v>40000.00000000625</v>
      </c>
      <c r="U583" s="11">
        <f>IF(OR(履歴データ!$A$583="",履歴データ!$A$582=""),"",60000*L583)</f>
        <v>17999.999999999403</v>
      </c>
      <c r="V583" s="11">
        <f>IF(OR(履歴データ!$A$583="",履歴データ!$A$582=""),"",-50000*M583)</f>
        <v>105000.00000000397</v>
      </c>
      <c r="W583" s="11">
        <f>IF(OR(履歴データ!$A$583="",履歴データ!$A$582=""),"",-40000*N583)</f>
        <v>-119999.99999999744</v>
      </c>
      <c r="X583" s="11">
        <f>IF(OR(履歴データ!$A$583="",履歴データ!$A$582=""),"",120*1000000*(-Q583/H582))</f>
        <v>-598744.95306361222</v>
      </c>
      <c r="Y583" s="11">
        <f>IF(OR(履歴データ!$A$583="",履歴データ!$A$582=""),"",40000*(-S583)+(-506.3)*R583*1000)</f>
        <v>48356.250000001848</v>
      </c>
      <c r="Z583" s="11">
        <f>IF(OR(履歴データ!$A$583="",履歴データ!$A$582=""),"",-40000*O583)</f>
        <v>-8800.0000000010914</v>
      </c>
      <c r="AA583" s="11">
        <f>IF(OR(履歴データ!$A$583="",履歴データ!$A$582=""),"",-40000*P583)</f>
        <v>-197487.14355468433</v>
      </c>
      <c r="AB583" s="11">
        <f>IF(履歴データ!$A$583="","",123.3)</f>
        <v>123.3</v>
      </c>
      <c r="AC583">
        <f>IF(履歴データ!$A$583="","",SUM(T583:AA583))</f>
        <v>-713675.84661828354</v>
      </c>
      <c r="AD583" s="29">
        <f>IF(履歴データ!$A$583="","",AC583/1000000)</f>
        <v>-0.71367584661828354</v>
      </c>
      <c r="AE583" s="29">
        <f>IF(履歴データ!$A$583="",AE582,AE582+AC583/1000000)</f>
        <v>79.887738890427897</v>
      </c>
      <c r="AF583" s="12">
        <f>IF(OR(履歴データ!$A$583="",AE582=0),"",(AE583-AE582)/AE582)</f>
        <v>-8.8543836227512988E-3</v>
      </c>
      <c r="AG583" s="29">
        <f t="shared" si="29"/>
        <v>102.17217746631495</v>
      </c>
      <c r="AH583" s="12">
        <f>IF(OR(履歴データ!$A$583="",AG583=0),"",AE583/AG583-1)</f>
        <v>-0.21810672071889614</v>
      </c>
      <c r="AJ583" s="28">
        <f t="shared" ca="1" si="27"/>
        <v>14.429605336081261</v>
      </c>
      <c r="AK583" s="28">
        <f t="shared" ca="1" si="28"/>
        <v>-33.255002161478089</v>
      </c>
    </row>
    <row r="584" spans="1:37">
      <c r="A584" s="10">
        <f>IF(履歴データ!$A$584="","",履歴データ!$A$584)</f>
        <v>45778</v>
      </c>
      <c r="B584" s="28">
        <f>IF(履歴データ!$A$584="","",(履歴データ!$D$584-(履歴データ!$B$584+履歴データ!$F$584)/2)*100)</f>
        <v>2.9999999999999361</v>
      </c>
      <c r="C584" s="28">
        <f>IF(履歴データ!$A$584="","",(履歴データ!$H$584-(履歴データ!$G$584+履歴データ!$J$584)/2)*100)</f>
        <v>-35.000000000000007</v>
      </c>
      <c r="D584" s="28">
        <f>IF(履歴データ!$A$584="","",(履歴データ!$D$584-履歴データ!$H$584)*100)</f>
        <v>295.90000000000003</v>
      </c>
      <c r="E584" s="28">
        <f>IF(履歴データ!$A$584="","",(履歴データ!$D$584-履歴データ!$C$584)*100)</f>
        <v>43.999999999999993</v>
      </c>
      <c r="F584" s="28">
        <f>IF(履歴データ!$A$584="","",(履歴データ!$R$584-履歴データ!$D$584)*100)</f>
        <v>-288.14000000000004</v>
      </c>
      <c r="G584" s="28">
        <f>IF(履歴データ!$A$584="","",(履歴データ!$S$584-履歴データ!$R$584)*100)</f>
        <v>-4.7318214111329526</v>
      </c>
      <c r="H584" s="29">
        <f>IF(履歴データ!$A$584="","",履歴データ!$O$584)</f>
        <v>145.447998046875</v>
      </c>
      <c r="I584" s="29">
        <f>IF(履歴データ!$A$584="","",履歴データ!$Q$584)</f>
        <v>111.859375</v>
      </c>
      <c r="J584" s="29">
        <f>IF(履歴データ!$A$584="","",履歴データ!$D$584)</f>
        <v>4.25</v>
      </c>
      <c r="K584" s="28">
        <f>IF(OR(履歴データ!$A$584="",履歴データ!$A$583=""),"",B584-B583)</f>
        <v>-1.0000000000000675</v>
      </c>
      <c r="L584" s="28">
        <f>IF(OR(履歴データ!$A$584="",履歴データ!$A$583=""),"",C584-C583)</f>
        <v>-1.9500000000000028</v>
      </c>
      <c r="M584" s="28">
        <f>IF(OR(履歴データ!$A$584="",履歴データ!$A$583=""),"",D584-D583)</f>
        <v>11.900000000000034</v>
      </c>
      <c r="N584" s="28">
        <f>IF(OR(履歴データ!$A$584="",履歴データ!$A$583=""),"",E584-E583)</f>
        <v>-0.99999999999997868</v>
      </c>
      <c r="O584" s="28">
        <f>IF(OR(履歴データ!$A$584="",履歴データ!$A$583=""),"",F584-F583)</f>
        <v>-12.060000000000059</v>
      </c>
      <c r="P584" s="28">
        <f>IF(OR(履歴データ!$A$584="",履歴データ!$A$583=""),"",G584-G583)</f>
        <v>-0.14964282226563874</v>
      </c>
      <c r="Q584" s="29">
        <f>IF(OR(履歴データ!$A$584="",履歴データ!$A$583=""),"",H584-H583)</f>
        <v>2.438995361328125</v>
      </c>
      <c r="R584" s="29">
        <f>IF(OR(履歴データ!$A$584="",履歴データ!$A$583=""),"",I584-I583)</f>
        <v>-0.359375</v>
      </c>
      <c r="S584" s="28">
        <f>IF(OR(履歴データ!$A$584="",履歴データ!$A$583=""),"",(J584-J583)*100)</f>
        <v>8.0000000000000071</v>
      </c>
      <c r="T584" s="11">
        <f>IF(OR(履歴データ!$A$584="",履歴データ!$A$583=""),"",-80000*K584)</f>
        <v>80000.000000005399</v>
      </c>
      <c r="U584" s="11">
        <f>IF(OR(履歴データ!$A$584="",履歴データ!$A$583=""),"",60000*L584)</f>
        <v>-117000.00000000017</v>
      </c>
      <c r="V584" s="11">
        <f>IF(OR(履歴データ!$A$584="",履歴データ!$A$583=""),"",-50000*M584)</f>
        <v>-595000.00000000175</v>
      </c>
      <c r="W584" s="11">
        <f>IF(OR(履歴データ!$A$584="",履歴データ!$A$583=""),"",-40000*N584)</f>
        <v>39999.999999999149</v>
      </c>
      <c r="X584" s="11">
        <f>IF(OR(履歴データ!$A$584="",履歴データ!$A$583=""),"",120*1000000*(-Q584/H583))</f>
        <v>-2046580.5499177466</v>
      </c>
      <c r="Y584" s="11">
        <f>IF(OR(履歴データ!$A$584="",履歴データ!$A$583=""),"",40000*(-S584)+(-506.3)*R584*1000)</f>
        <v>-138048.43750000029</v>
      </c>
      <c r="Z584" s="11">
        <f>IF(OR(履歴データ!$A$584="",履歴データ!$A$583=""),"",-40000*O584)</f>
        <v>482400.00000000239</v>
      </c>
      <c r="AA584" s="11">
        <f>IF(OR(履歴データ!$A$584="",履歴データ!$A$583=""),"",-40000*P584)</f>
        <v>5985.7128906255493</v>
      </c>
      <c r="AB584" s="11">
        <f>IF(履歴データ!$A$584="","",123.3)</f>
        <v>123.3</v>
      </c>
      <c r="AC584">
        <f>IF(履歴データ!$A$584="","",SUM(T584:AA584))</f>
        <v>-2288243.2745271167</v>
      </c>
      <c r="AD584" s="29">
        <f>IF(履歴データ!$A$584="","",AC584/1000000)</f>
        <v>-2.2882432745271166</v>
      </c>
      <c r="AE584" s="29">
        <f>IF(履歴データ!$A$584="",AE583,AE583+AC584/1000000)</f>
        <v>77.599495615900778</v>
      </c>
      <c r="AF584" s="12">
        <f>IF(OR(履歴データ!$A$584="",AE583=0),"",(AE584-AE583)/AE583)</f>
        <v>-2.8643234948301871E-2</v>
      </c>
      <c r="AG584" s="29">
        <f t="shared" si="29"/>
        <v>102.17217746631495</v>
      </c>
      <c r="AH584" s="12">
        <f>IF(OR(履歴データ!$A$584="",AG584=0),"",AE584/AG584-1)</f>
        <v>-0.24050267362184308</v>
      </c>
      <c r="AJ584" s="28">
        <f t="shared" ca="1" si="27"/>
        <v>14.534201043280234</v>
      </c>
      <c r="AK584" s="28">
        <f t="shared" ca="1" si="28"/>
        <v>-33.177058186137373</v>
      </c>
    </row>
    <row r="585" spans="1:37">
      <c r="A585" s="10">
        <f>IF(履歴データ!$A$585="","",履歴データ!$A$585)</f>
        <v>45779</v>
      </c>
      <c r="B585" s="28">
        <f>IF(履歴データ!$A$585="","",(履歴データ!$D$585-(履歴データ!$B$585+履歴データ!$F$585)/2)*100)</f>
        <v>1.9999999999999574</v>
      </c>
      <c r="C585" s="28">
        <f>IF(履歴データ!$A$585="","",(履歴データ!$H$585-(履歴データ!$G$585+履歴データ!$J$585)/2)*100)</f>
        <v>-36.800000000000011</v>
      </c>
      <c r="D585" s="28">
        <f>IF(履歴データ!$A$585="","",(履歴データ!$D$585-履歴データ!$H$585)*100)</f>
        <v>304.7</v>
      </c>
      <c r="E585" s="28">
        <f>IF(履歴データ!$A$585="","",(履歴データ!$D$585-履歴データ!$C$585)*100)</f>
        <v>41.000000000000014</v>
      </c>
      <c r="F585" s="28">
        <f>IF(履歴データ!$A$585="","",(履歴データ!$R$585-履歴データ!$D$585)*100)</f>
        <v>-289.14</v>
      </c>
      <c r="G585" s="28">
        <f>IF(履歴データ!$A$585="","",(履歴データ!$S$585-履歴データ!$R$585)*100)</f>
        <v>-8.7500000000001243</v>
      </c>
      <c r="H585" s="29">
        <f>IF(履歴データ!$A$585="","",履歴データ!$O$585)</f>
        <v>145.447998046875</v>
      </c>
      <c r="I585" s="29">
        <f>IF(履歴データ!$A$585="","",履歴データ!$Q$585)</f>
        <v>111.15625</v>
      </c>
      <c r="J585" s="29">
        <f>IF(履歴データ!$A$585="","",履歴データ!$D$585)</f>
        <v>4.33</v>
      </c>
      <c r="K585" s="28">
        <f>IF(OR(履歴データ!$A$585="",履歴データ!$A$584=""),"",B585-B584)</f>
        <v>-0.99999999999997868</v>
      </c>
      <c r="L585" s="28">
        <f>IF(OR(履歴データ!$A$585="",履歴データ!$A$584=""),"",C585-C584)</f>
        <v>-1.8000000000000043</v>
      </c>
      <c r="M585" s="28">
        <f>IF(OR(履歴データ!$A$585="",履歴データ!$A$584=""),"",D585-D584)</f>
        <v>8.7999999999999545</v>
      </c>
      <c r="N585" s="28">
        <f>IF(OR(履歴データ!$A$585="",履歴データ!$A$584=""),"",E585-E584)</f>
        <v>-2.9999999999999787</v>
      </c>
      <c r="O585" s="28">
        <f>IF(OR(履歴データ!$A$585="",履歴データ!$A$584=""),"",F585-F584)</f>
        <v>-0.99999999999994316</v>
      </c>
      <c r="P585" s="28">
        <f>IF(OR(履歴データ!$A$585="",履歴データ!$A$584=""),"",G585-G584)</f>
        <v>-4.0181785888671717</v>
      </c>
      <c r="Q585" s="29">
        <f>IF(OR(履歴データ!$A$585="",履歴データ!$A$584=""),"",H585-H584)</f>
        <v>0</v>
      </c>
      <c r="R585" s="29">
        <f>IF(OR(履歴データ!$A$585="",履歴データ!$A$584=""),"",I585-I584)</f>
        <v>-0.703125</v>
      </c>
      <c r="S585" s="28">
        <f>IF(OR(履歴データ!$A$585="",履歴データ!$A$584=""),"",(J585-J584)*100)</f>
        <v>8.0000000000000071</v>
      </c>
      <c r="T585" s="11">
        <f>IF(OR(履歴データ!$A$585="",履歴データ!$A$584=""),"",-80000*K585)</f>
        <v>79999.999999998297</v>
      </c>
      <c r="U585" s="11">
        <f>IF(OR(履歴データ!$A$585="",履歴データ!$A$584=""),"",60000*L585)</f>
        <v>-108000.00000000026</v>
      </c>
      <c r="V585" s="11">
        <f>IF(OR(履歴データ!$A$585="",履歴データ!$A$584=""),"",-50000*M585)</f>
        <v>-439999.99999999773</v>
      </c>
      <c r="W585" s="11">
        <f>IF(OR(履歴データ!$A$585="",履歴データ!$A$584=""),"",-40000*N585)</f>
        <v>119999.99999999914</v>
      </c>
      <c r="X585" s="11">
        <f>IF(OR(履歴データ!$A$585="",履歴データ!$A$584=""),"",120*1000000*(-Q585/H584))</f>
        <v>0</v>
      </c>
      <c r="Y585" s="11">
        <f>IF(OR(履歴データ!$A$585="",履歴データ!$A$584=""),"",40000*(-S585)+(-506.3)*R585*1000)</f>
        <v>35992.187499999709</v>
      </c>
      <c r="Z585" s="11">
        <f>IF(OR(履歴データ!$A$585="",履歴データ!$A$584=""),"",-40000*O585)</f>
        <v>39999.99999999773</v>
      </c>
      <c r="AA585" s="11">
        <f>IF(OR(履歴データ!$A$585="",履歴データ!$A$584=""),"",-40000*P585)</f>
        <v>160727.14355468686</v>
      </c>
      <c r="AB585" s="11">
        <f>IF(履歴データ!$A$585="","",123.3)</f>
        <v>123.3</v>
      </c>
      <c r="AC585">
        <f>IF(履歴データ!$A$585="","",SUM(T585:AA585))</f>
        <v>-111280.66894531628</v>
      </c>
      <c r="AD585" s="29">
        <f>IF(履歴データ!$A$585="","",AC585/1000000)</f>
        <v>-0.11128066894531628</v>
      </c>
      <c r="AE585" s="29">
        <f>IF(履歴データ!$A$585="",AE584,AE584+AC585/1000000)</f>
        <v>77.488214946955466</v>
      </c>
      <c r="AF585" s="12">
        <f>IF(OR(履歴データ!$A$585="",AE584=0),"",(AE585-AE584)/AE584)</f>
        <v>-1.4340385599427785E-3</v>
      </c>
      <c r="AG585" s="29">
        <f t="shared" si="29"/>
        <v>102.17217746631495</v>
      </c>
      <c r="AH585" s="12">
        <f>IF(OR(履歴データ!$A$585="",AG585=0),"",AE585/AG585-1)</f>
        <v>-0.24159182207404273</v>
      </c>
      <c r="AJ585" s="28">
        <f t="shared" ca="1" si="27"/>
        <v>14.612887157270023</v>
      </c>
      <c r="AK585" s="28">
        <f t="shared" ca="1" si="28"/>
        <v>-33.057331601714466</v>
      </c>
    </row>
    <row r="586" spans="1:37">
      <c r="A586" s="10">
        <f>IF(履歴データ!$A$586="","",履歴データ!$A$586)</f>
        <v>45782</v>
      </c>
      <c r="B586" s="28">
        <f>IF(履歴データ!$A$586="","",(履歴データ!$D$586-(履歴データ!$B$586+履歴データ!$F$586)/2)*100)</f>
        <v>3.0000000000000249</v>
      </c>
      <c r="C586" s="28">
        <f>IF(履歴データ!$A$586="","",(履歴データ!$H$586-(履歴データ!$G$586+履歴データ!$J$586)/2)*100)</f>
        <v>-36.800000000000011</v>
      </c>
      <c r="D586" s="28">
        <f>IF(履歴データ!$A$586="","",(履歴データ!$D$586-履歴データ!$H$586)*100)</f>
        <v>307.70000000000005</v>
      </c>
      <c r="E586" s="28">
        <f>IF(履歴データ!$A$586="","",(履歴データ!$D$586-履歴データ!$C$586)*100)</f>
        <v>41.000000000000014</v>
      </c>
      <c r="F586" s="28">
        <f>IF(履歴データ!$A$586="","",(履歴データ!$R$586-履歴データ!$D$586)*100)</f>
        <v>-296.67</v>
      </c>
      <c r="G586" s="28">
        <f>IF(履歴データ!$A$586="","",(履歴データ!$S$586-履歴データ!$R$586)*100)</f>
        <v>-4.2200000000001125</v>
      </c>
      <c r="H586" s="29">
        <f>IF(履歴データ!$A$586="","",履歴データ!$O$586)</f>
        <v>143.65400695800781</v>
      </c>
      <c r="I586" s="29">
        <f>IF(履歴データ!$A$586="","",履歴データ!$Q$586)</f>
        <v>111.0625</v>
      </c>
      <c r="J586" s="29">
        <f>IF(履歴データ!$A$586="","",履歴データ!$D$586)</f>
        <v>4.3600000000000003</v>
      </c>
      <c r="K586" s="28">
        <f>IF(OR(履歴データ!$A$586="",履歴データ!$A$585=""),"",B586-B585)</f>
        <v>1.0000000000000675</v>
      </c>
      <c r="L586" s="28">
        <f>IF(OR(履歴データ!$A$586="",履歴データ!$A$585=""),"",C586-C585)</f>
        <v>0</v>
      </c>
      <c r="M586" s="28">
        <f>IF(OR(履歴データ!$A$586="",履歴データ!$A$585=""),"",D586-D585)</f>
        <v>3.0000000000000568</v>
      </c>
      <c r="N586" s="28">
        <f>IF(OR(履歴データ!$A$586="",履歴データ!$A$585=""),"",E586-E585)</f>
        <v>0</v>
      </c>
      <c r="O586" s="28">
        <f>IF(OR(履歴データ!$A$586="",履歴データ!$A$585=""),"",F586-F585)</f>
        <v>-7.5300000000000296</v>
      </c>
      <c r="P586" s="28">
        <f>IF(OR(履歴データ!$A$586="",履歴データ!$A$585=""),"",G586-G585)</f>
        <v>4.5300000000000118</v>
      </c>
      <c r="Q586" s="29">
        <f>IF(OR(履歴データ!$A$586="",履歴データ!$A$585=""),"",H586-H585)</f>
        <v>-1.7939910888671875</v>
      </c>
      <c r="R586" s="29">
        <f>IF(OR(履歴データ!$A$586="",履歴データ!$A$585=""),"",I586-I585)</f>
        <v>-9.375E-2</v>
      </c>
      <c r="S586" s="28">
        <f>IF(OR(履歴データ!$A$586="",履歴データ!$A$585=""),"",(J586-J585)*100)</f>
        <v>3.0000000000000249</v>
      </c>
      <c r="T586" s="11">
        <f>IF(OR(履歴データ!$A$586="",履歴データ!$A$585=""),"",-80000*K586)</f>
        <v>-80000.000000005399</v>
      </c>
      <c r="U586" s="11">
        <f>IF(OR(履歴データ!$A$586="",履歴データ!$A$585=""),"",60000*L586)</f>
        <v>0</v>
      </c>
      <c r="V586" s="11">
        <f>IF(OR(履歴データ!$A$586="",履歴データ!$A$585=""),"",-50000*M586)</f>
        <v>-150000.00000000285</v>
      </c>
      <c r="W586" s="11">
        <f>IF(OR(履歴データ!$A$586="",履歴データ!$A$585=""),"",-40000*N586)</f>
        <v>0</v>
      </c>
      <c r="X586" s="11">
        <f>IF(OR(履歴データ!$A$586="",履歴データ!$A$585=""),"",120*1000000*(-Q586/H585))</f>
        <v>1480109.2731072337</v>
      </c>
      <c r="Y586" s="11">
        <f>IF(OR(履歴データ!$A$586="",履歴データ!$A$585=""),"",40000*(-S586)+(-506.3)*R586*1000)</f>
        <v>-72534.37500000099</v>
      </c>
      <c r="Z586" s="11">
        <f>IF(OR(履歴データ!$A$586="",履歴データ!$A$585=""),"",-40000*O586)</f>
        <v>301200.00000000116</v>
      </c>
      <c r="AA586" s="11">
        <f>IF(OR(履歴データ!$A$586="",履歴データ!$A$585=""),"",-40000*P586)</f>
        <v>-181200.00000000047</v>
      </c>
      <c r="AB586" s="11">
        <f>IF(履歴データ!$A$586="","",123.3)</f>
        <v>123.3</v>
      </c>
      <c r="AC586">
        <f>IF(履歴データ!$A$586="","",SUM(T586:AA586))</f>
        <v>1297574.8981072253</v>
      </c>
      <c r="AD586" s="29">
        <f>IF(履歴データ!$A$586="","",AC586/1000000)</f>
        <v>1.2975748981072253</v>
      </c>
      <c r="AE586" s="29">
        <f>IF(履歴データ!$A$586="",AE585,AE585+AC586/1000000)</f>
        <v>78.785789845062695</v>
      </c>
      <c r="AF586" s="12">
        <f>IF(OR(履歴データ!$A$586="",AE585=0),"",(AE586-AE585)/AE585)</f>
        <v>1.6745448311017142E-2</v>
      </c>
      <c r="AG586" s="29">
        <f t="shared" si="29"/>
        <v>102.17217746631495</v>
      </c>
      <c r="AH586" s="12">
        <f>IF(OR(履歴データ!$A$586="",AG586=0),"",AE586/AG586-1)</f>
        <v>-0.22889193713193101</v>
      </c>
      <c r="AJ586" s="28">
        <f t="shared" ca="1" si="27"/>
        <v>14.704214675354484</v>
      </c>
      <c r="AK586" s="28">
        <f t="shared" ca="1" si="28"/>
        <v>-32.946278167417972</v>
      </c>
    </row>
    <row r="587" spans="1:37">
      <c r="A587" s="10">
        <f>IF(履歴データ!$A$587="","",履歴データ!$A$587)</f>
        <v>45783</v>
      </c>
      <c r="B587" s="28">
        <f>IF(履歴データ!$A$587="","",(履歴データ!$D$587-(履歴データ!$B$587+履歴データ!$F$587)/2)*100)</f>
        <v>0.49999999999998934</v>
      </c>
      <c r="C587" s="28">
        <f>IF(履歴データ!$A$587="","",(履歴データ!$H$587-(履歴データ!$G$587+履歴データ!$J$587)/2)*100)</f>
        <v>-36.800000000000011</v>
      </c>
      <c r="D587" s="28">
        <f>IF(履歴データ!$A$587="","",(履歴データ!$D$587-履歴データ!$H$587)*100)</f>
        <v>301.7</v>
      </c>
      <c r="E587" s="28">
        <f>IF(履歴データ!$A$587="","",(履歴データ!$D$587-履歴データ!$C$587)*100)</f>
        <v>39.999999999999993</v>
      </c>
      <c r="F587" s="28">
        <f>IF(履歴データ!$A$587="","",(履歴データ!$R$587-履歴データ!$D$587)*100)</f>
        <v>-290.66999999999996</v>
      </c>
      <c r="G587" s="28">
        <f>IF(履歴データ!$A$587="","",(履歴データ!$S$587-履歴データ!$R$587)*100)</f>
        <v>-4.2200000000001125</v>
      </c>
      <c r="H587" s="29">
        <f>IF(履歴データ!$A$587="","",履歴データ!$O$587)</f>
        <v>143.03500366210938</v>
      </c>
      <c r="I587" s="29">
        <f>IF(履歴データ!$A$587="","",履歴データ!$Q$587)</f>
        <v>111.3125</v>
      </c>
      <c r="J587" s="29">
        <f>IF(履歴データ!$A$587="","",履歴データ!$D$587)</f>
        <v>4.3</v>
      </c>
      <c r="K587" s="28">
        <f>IF(OR(履歴データ!$A$587="",履歴データ!$A$586=""),"",B587-B586)</f>
        <v>-2.5000000000000355</v>
      </c>
      <c r="L587" s="28">
        <f>IF(OR(履歴データ!$A$587="",履歴データ!$A$586=""),"",C587-C586)</f>
        <v>0</v>
      </c>
      <c r="M587" s="28">
        <f>IF(OR(履歴データ!$A$587="",履歴データ!$A$586=""),"",D587-D586)</f>
        <v>-6.0000000000000568</v>
      </c>
      <c r="N587" s="28">
        <f>IF(OR(履歴データ!$A$587="",履歴データ!$A$586=""),"",E587-E586)</f>
        <v>-1.0000000000000213</v>
      </c>
      <c r="O587" s="28">
        <f>IF(OR(履歴データ!$A$587="",履歴データ!$A$586=""),"",F587-F586)</f>
        <v>6.0000000000000568</v>
      </c>
      <c r="P587" s="28">
        <f>IF(OR(履歴データ!$A$587="",履歴データ!$A$586=""),"",G587-G586)</f>
        <v>0</v>
      </c>
      <c r="Q587" s="29">
        <f>IF(OR(履歴データ!$A$587="",履歴データ!$A$586=""),"",H587-H586)</f>
        <v>-0.6190032958984375</v>
      </c>
      <c r="R587" s="29">
        <f>IF(OR(履歴データ!$A$587="",履歴データ!$A$586=""),"",I587-I586)</f>
        <v>0.25</v>
      </c>
      <c r="S587" s="28">
        <f>IF(OR(履歴データ!$A$587="",履歴データ!$A$586=""),"",(J587-J586)*100)</f>
        <v>-6.0000000000000497</v>
      </c>
      <c r="T587" s="11">
        <f>IF(OR(履歴データ!$A$587="",履歴データ!$A$586=""),"",-80000*K587)</f>
        <v>200000.00000000285</v>
      </c>
      <c r="U587" s="11">
        <f>IF(OR(履歴データ!$A$587="",履歴データ!$A$586=""),"",60000*L587)</f>
        <v>0</v>
      </c>
      <c r="V587" s="11">
        <f>IF(OR(履歴データ!$A$587="",履歴データ!$A$586=""),"",-50000*M587)</f>
        <v>300000.00000000285</v>
      </c>
      <c r="W587" s="11">
        <f>IF(OR(履歴データ!$A$587="",履歴データ!$A$586=""),"",-40000*N587)</f>
        <v>40000.000000000851</v>
      </c>
      <c r="X587" s="11">
        <f>IF(OR(履歴データ!$A$587="",履歴データ!$A$586=""),"",120*1000000*(-Q587/H586))</f>
        <v>517078.47961056704</v>
      </c>
      <c r="Y587" s="11">
        <f>IF(OR(履歴データ!$A$587="",履歴データ!$A$586=""),"",40000*(-S587)+(-506.3)*R587*1000)</f>
        <v>113425.00000000198</v>
      </c>
      <c r="Z587" s="11">
        <f>IF(OR(履歴データ!$A$587="",履歴データ!$A$586=""),"",-40000*O587)</f>
        <v>-240000.00000000227</v>
      </c>
      <c r="AA587" s="11">
        <f>IF(OR(履歴データ!$A$587="",履歴データ!$A$586=""),"",-40000*P587)</f>
        <v>0</v>
      </c>
      <c r="AB587" s="11">
        <f>IF(履歴データ!$A$587="","",123.3)</f>
        <v>123.3</v>
      </c>
      <c r="AC587">
        <f>IF(履歴データ!$A$587="","",SUM(T587:AA587))</f>
        <v>930503.47961057303</v>
      </c>
      <c r="AD587" s="29">
        <f>IF(履歴データ!$A$587="","",AC587/1000000)</f>
        <v>0.930503479610573</v>
      </c>
      <c r="AE587" s="29">
        <f>IF(履歴データ!$A$587="",AE586,AE586+AC587/1000000)</f>
        <v>79.716293324673273</v>
      </c>
      <c r="AF587" s="12">
        <f>IF(OR(履歴データ!$A$587="",AE586=0),"",(AE587-AE586)/AE586)</f>
        <v>1.1810549611046274E-2</v>
      </c>
      <c r="AG587" s="29">
        <f t="shared" si="29"/>
        <v>102.17217746631495</v>
      </c>
      <c r="AH587" s="12">
        <f>IF(OR(履歴データ!$A$587="",AG587=0),"",AE587/AG587-1)</f>
        <v>-0.21978472709994989</v>
      </c>
      <c r="AJ587" s="28">
        <f t="shared" ca="1" si="27"/>
        <v>14.768299510995899</v>
      </c>
      <c r="AK587" s="28">
        <f t="shared" ca="1" si="28"/>
        <v>-32.831791574487966</v>
      </c>
    </row>
    <row r="588" spans="1:37">
      <c r="A588" s="10">
        <f>IF(履歴データ!$A$588="","",履歴データ!$A$588)</f>
        <v>45784</v>
      </c>
      <c r="B588" s="28">
        <f>IF(履歴データ!$A$588="","",(履歴データ!$D$588-(履歴データ!$B$588+履歴データ!$F$588)/2)*100)</f>
        <v>-1.499999999999968</v>
      </c>
      <c r="C588" s="28">
        <f>IF(履歴データ!$A$588="","",(履歴データ!$H$588-(履歴データ!$G$588+履歴データ!$J$588)/2)*100)</f>
        <v>-38.199999999999989</v>
      </c>
      <c r="D588" s="28">
        <f>IF(履歴データ!$A$588="","",(履歴データ!$D$588-履歴データ!$H$588)*100)</f>
        <v>294.2</v>
      </c>
      <c r="E588" s="28">
        <f>IF(履歴データ!$A$588="","",(履歴データ!$D$588-履歴データ!$C$588)*100)</f>
        <v>38.999999999999972</v>
      </c>
      <c r="F588" s="28">
        <f>IF(履歴データ!$A$588="","",(履歴データ!$R$588-履歴データ!$D$588)*100)</f>
        <v>-280.08999999999997</v>
      </c>
      <c r="G588" s="28">
        <f>IF(履歴データ!$A$588="","",(履歴データ!$S$588-履歴データ!$R$588)*100)</f>
        <v>-9.9230000000001048</v>
      </c>
      <c r="H588" s="29">
        <f>IF(履歴データ!$A$588="","",履歴データ!$O$588)</f>
        <v>143.84800720214844</v>
      </c>
      <c r="I588" s="29">
        <f>IF(履歴データ!$A$588="","",履歴データ!$Q$588)</f>
        <v>111.546875</v>
      </c>
      <c r="J588" s="29">
        <f>IF(履歴データ!$A$588="","",履歴データ!$D$588)</f>
        <v>4.26</v>
      </c>
      <c r="K588" s="28">
        <f>IF(OR(履歴データ!$A$588="",履歴データ!$A$587=""),"",B588-B587)</f>
        <v>-1.9999999999999574</v>
      </c>
      <c r="L588" s="28">
        <f>IF(OR(履歴データ!$A$588="",履歴データ!$A$587=""),"",C588-C587)</f>
        <v>-1.3999999999999773</v>
      </c>
      <c r="M588" s="28">
        <f>IF(OR(履歴データ!$A$588="",履歴データ!$A$587=""),"",D588-D587)</f>
        <v>-7.5</v>
      </c>
      <c r="N588" s="28">
        <f>IF(OR(履歴データ!$A$588="",履歴データ!$A$587=""),"",E588-E587)</f>
        <v>-1.0000000000000213</v>
      </c>
      <c r="O588" s="28">
        <f>IF(OR(履歴データ!$A$588="",履歴データ!$A$587=""),"",F588-F587)</f>
        <v>10.579999999999984</v>
      </c>
      <c r="P588" s="28">
        <f>IF(OR(履歴データ!$A$588="",履歴データ!$A$587=""),"",G588-G587)</f>
        <v>-5.7029999999999923</v>
      </c>
      <c r="Q588" s="29">
        <f>IF(OR(履歴データ!$A$588="",履歴データ!$A$587=""),"",H588-H587)</f>
        <v>0.8130035400390625</v>
      </c>
      <c r="R588" s="29">
        <f>IF(OR(履歴データ!$A$588="",履歴データ!$A$587=""),"",I588-I587)</f>
        <v>0.234375</v>
      </c>
      <c r="S588" s="28">
        <f>IF(OR(履歴データ!$A$588="",履歴データ!$A$587=""),"",(J588-J587)*100)</f>
        <v>-4.0000000000000036</v>
      </c>
      <c r="T588" s="11">
        <f>IF(OR(履歴データ!$A$588="",履歴データ!$A$587=""),"",-80000*K588)</f>
        <v>159999.99999999659</v>
      </c>
      <c r="U588" s="11">
        <f>IF(OR(履歴データ!$A$588="",履歴データ!$A$587=""),"",60000*L588)</f>
        <v>-83999.999999998632</v>
      </c>
      <c r="V588" s="11">
        <f>IF(OR(履歴データ!$A$588="",履歴データ!$A$587=""),"",-50000*M588)</f>
        <v>375000</v>
      </c>
      <c r="W588" s="11">
        <f>IF(OR(履歴データ!$A$588="",履歴データ!$A$587=""),"",-40000*N588)</f>
        <v>40000.000000000851</v>
      </c>
      <c r="X588" s="11">
        <f>IF(OR(履歴データ!$A$588="",履歴データ!$A$587=""),"",120*1000000*(-Q588/H587))</f>
        <v>-682073.77429900889</v>
      </c>
      <c r="Y588" s="11">
        <f>IF(OR(履歴データ!$A$588="",履歴データ!$A$587=""),"",40000*(-S588)+(-506.3)*R588*1000)</f>
        <v>41335.937500000146</v>
      </c>
      <c r="Z588" s="11">
        <f>IF(OR(履歴データ!$A$588="",履歴データ!$A$587=""),"",-40000*O588)</f>
        <v>-423199.99999999936</v>
      </c>
      <c r="AA588" s="11">
        <f>IF(OR(履歴データ!$A$588="",履歴データ!$A$587=""),"",-40000*P588)</f>
        <v>228119.99999999968</v>
      </c>
      <c r="AB588" s="11">
        <f>IF(履歴データ!$A$588="","",123.3)</f>
        <v>123.3</v>
      </c>
      <c r="AC588">
        <f>IF(履歴データ!$A$588="","",SUM(T588:AA588))</f>
        <v>-344817.83679900959</v>
      </c>
      <c r="AD588" s="29">
        <f>IF(履歴データ!$A$588="","",AC588/1000000)</f>
        <v>-0.34481783679900957</v>
      </c>
      <c r="AE588" s="29">
        <f>IF(履歴データ!$A$588="",AE587,AE587+AC588/1000000)</f>
        <v>79.371475487874264</v>
      </c>
      <c r="AF588" s="12">
        <f>IF(OR(履歴データ!$A$588="",AE587=0),"",(AE588-AE587)/AE587)</f>
        <v>-4.3255628481697573E-3</v>
      </c>
      <c r="AG588" s="29">
        <f t="shared" si="29"/>
        <v>102.17217746631495</v>
      </c>
      <c r="AH588" s="12">
        <f>IF(OR(履歴データ!$A$588="",AG588=0),"",AE588/AG588-1)</f>
        <v>-0.22315959729798096</v>
      </c>
      <c r="AJ588" s="28">
        <f t="shared" ca="1" si="27"/>
        <v>14.81405511216219</v>
      </c>
      <c r="AK588" s="28">
        <f t="shared" ca="1" si="28"/>
        <v>-32.718817016924092</v>
      </c>
    </row>
    <row r="589" spans="1:37">
      <c r="A589" s="10">
        <f>IF(履歴データ!$A$589="","",履歴データ!$A$589)</f>
        <v>45785</v>
      </c>
      <c r="B589" s="28">
        <f>IF(履歴データ!$A$589="","",(履歴データ!$D$589-(履歴データ!$B$589+履歴データ!$F$589)/2)*100)</f>
        <v>0.49999999999998934</v>
      </c>
      <c r="C589" s="28">
        <f>IF(履歴データ!$A$589="","",(履歴データ!$H$589-(履歴データ!$G$589+履歴データ!$J$589)/2)*100)</f>
        <v>-35.599999999999987</v>
      </c>
      <c r="D589" s="28">
        <f>IF(履歴データ!$A$589="","",(履歴データ!$D$589-履歴データ!$H$589)*100)</f>
        <v>302.7</v>
      </c>
      <c r="E589" s="28">
        <f>IF(履歴データ!$A$589="","",(履歴データ!$D$589-履歴データ!$C$589)*100)</f>
        <v>37.000000000000014</v>
      </c>
      <c r="F589" s="28">
        <f>IF(履歴データ!$A$589="","",(履歴データ!$R$589-履歴データ!$D$589)*100)</f>
        <v>-299.45000000000005</v>
      </c>
      <c r="G589" s="28">
        <f>IF(履歴データ!$A$589="","",(履歴データ!$S$589-履歴データ!$R$589)*100)</f>
        <v>-3.3170000000001254</v>
      </c>
      <c r="H589" s="29">
        <f>IF(履歴データ!$A$589="","",履歴データ!$O$589)</f>
        <v>146.01499938964844</v>
      </c>
      <c r="I589" s="29">
        <f>IF(履歴データ!$A$589="","",履歴データ!$Q$589)</f>
        <v>110.796875</v>
      </c>
      <c r="J589" s="29">
        <f>IF(履歴データ!$A$589="","",履歴データ!$D$589)</f>
        <v>4.37</v>
      </c>
      <c r="K589" s="28">
        <f>IF(OR(履歴データ!$A$589="",履歴データ!$A$588=""),"",B589-B588)</f>
        <v>1.9999999999999574</v>
      </c>
      <c r="L589" s="28">
        <f>IF(OR(履歴データ!$A$589="",履歴データ!$A$588=""),"",C589-C588)</f>
        <v>2.6000000000000014</v>
      </c>
      <c r="M589" s="28">
        <f>IF(OR(履歴データ!$A$589="",履歴データ!$A$588=""),"",D589-D588)</f>
        <v>8.5</v>
      </c>
      <c r="N589" s="28">
        <f>IF(OR(履歴データ!$A$589="",履歴データ!$A$588=""),"",E589-E588)</f>
        <v>-1.9999999999999574</v>
      </c>
      <c r="O589" s="28">
        <f>IF(OR(履歴データ!$A$589="",履歴データ!$A$588=""),"",F589-F588)</f>
        <v>-19.36000000000007</v>
      </c>
      <c r="P589" s="28">
        <f>IF(OR(履歴データ!$A$589="",履歴データ!$A$588=""),"",G589-G588)</f>
        <v>6.6059999999999794</v>
      </c>
      <c r="Q589" s="29">
        <f>IF(OR(履歴データ!$A$589="",履歴データ!$A$588=""),"",H589-H588)</f>
        <v>2.1669921875</v>
      </c>
      <c r="R589" s="29">
        <f>IF(OR(履歴データ!$A$589="",履歴データ!$A$588=""),"",I589-I588)</f>
        <v>-0.75</v>
      </c>
      <c r="S589" s="28">
        <f>IF(OR(履歴データ!$A$589="",履歴データ!$A$588=""),"",(J589-J588)*100)</f>
        <v>11.000000000000032</v>
      </c>
      <c r="T589" s="11">
        <f>IF(OR(履歴データ!$A$589="",履歴データ!$A$588=""),"",-80000*K589)</f>
        <v>-159999.99999999659</v>
      </c>
      <c r="U589" s="11">
        <f>IF(OR(履歴データ!$A$589="",履歴データ!$A$588=""),"",60000*L589)</f>
        <v>156000.00000000009</v>
      </c>
      <c r="V589" s="11">
        <f>IF(OR(履歴データ!$A$589="",履歴データ!$A$588=""),"",-50000*M589)</f>
        <v>-425000</v>
      </c>
      <c r="W589" s="11">
        <f>IF(OR(履歴データ!$A$589="",履歴データ!$A$588=""),"",-40000*N589)</f>
        <v>79999.999999998297</v>
      </c>
      <c r="X589" s="11">
        <f>IF(OR(履歴データ!$A$589="",履歴データ!$A$588=""),"",120*1000000*(-Q589/H588))</f>
        <v>-1807734.897116574</v>
      </c>
      <c r="Y589" s="11">
        <f>IF(OR(履歴データ!$A$589="",履歴データ!$A$588=""),"",40000*(-S589)+(-506.3)*R589*1000)</f>
        <v>-60275.000000001281</v>
      </c>
      <c r="Z589" s="11">
        <f>IF(OR(履歴データ!$A$589="",履歴データ!$A$588=""),"",-40000*O589)</f>
        <v>774400.00000000279</v>
      </c>
      <c r="AA589" s="11">
        <f>IF(OR(履歴データ!$A$589="",履歴データ!$A$588=""),"",-40000*P589)</f>
        <v>-264239.99999999919</v>
      </c>
      <c r="AB589" s="11">
        <f>IF(履歴データ!$A$589="","",123.3)</f>
        <v>123.3</v>
      </c>
      <c r="AC589">
        <f>IF(履歴データ!$A$589="","",SUM(T589:AA589))</f>
        <v>-1706849.8971165698</v>
      </c>
      <c r="AD589" s="29">
        <f>IF(履歴データ!$A$589="","",AC589/1000000)</f>
        <v>-1.7068498971165698</v>
      </c>
      <c r="AE589" s="29">
        <f>IF(履歴データ!$A$589="",AE588,AE588+AC589/1000000)</f>
        <v>77.664625590757694</v>
      </c>
      <c r="AF589" s="12">
        <f>IF(OR(履歴データ!$A$589="",AE588=0),"",(AE589-AE588)/AE588)</f>
        <v>-2.150457562524875E-2</v>
      </c>
      <c r="AG589" s="29">
        <f t="shared" si="29"/>
        <v>102.17217746631495</v>
      </c>
      <c r="AH589" s="12">
        <f>IF(OR(履歴データ!$A$589="",AG589=0),"",AE589/AG589-1)</f>
        <v>-0.23986522048663517</v>
      </c>
      <c r="AJ589" s="28">
        <f t="shared" ca="1" si="27"/>
        <v>14.867491621834256</v>
      </c>
      <c r="AK589" s="28">
        <f t="shared" ca="1" si="28"/>
        <v>-32.581777336119977</v>
      </c>
    </row>
    <row r="590" spans="1:37">
      <c r="A590" s="10">
        <f>IF(履歴データ!$A$590="","",履歴データ!$A$590)</f>
        <v>45786</v>
      </c>
      <c r="B590" s="28">
        <f>IF(履歴データ!$A$590="","",(履歴データ!$D$590-(履歴データ!$B$590+履歴データ!$F$590)/2)*100)</f>
        <v>1.499999999999968</v>
      </c>
      <c r="C590" s="28">
        <f>IF(履歴データ!$A$590="","",(履歴データ!$H$590-(履歴データ!$G$590+履歴データ!$J$590)/2)*100)</f>
        <v>-34.799999999999983</v>
      </c>
      <c r="D590" s="28">
        <f>IF(履歴データ!$A$590="","",(履歴データ!$D$590-履歴データ!$H$590)*100)</f>
        <v>300</v>
      </c>
      <c r="E590" s="28">
        <f>IF(履歴データ!$A$590="","",(履歴データ!$D$590-履歴データ!$C$590)*100)</f>
        <v>37.000000000000014</v>
      </c>
      <c r="F590" s="28">
        <f>IF(履歴データ!$A$590="","",(履歴データ!$R$590-履歴データ!$D$590)*100)</f>
        <v>-292.14999999999998</v>
      </c>
      <c r="G590" s="28">
        <f>IF(履歴データ!$A$590="","",(履歴データ!$S$590-履歴データ!$R$590)*100)</f>
        <v>1.3101785888671502</v>
      </c>
      <c r="H590" s="29">
        <f>IF(履歴データ!$A$590="","",履歴データ!$O$590)</f>
        <v>146.01499938964844</v>
      </c>
      <c r="I590" s="29">
        <f>IF(履歴データ!$A$590="","",履歴データ!$Q$590)</f>
        <v>110.8125</v>
      </c>
      <c r="J590" s="29">
        <f>IF(履歴データ!$A$590="","",履歴データ!$D$590)</f>
        <v>4.37</v>
      </c>
      <c r="K590" s="28">
        <f>IF(OR(履歴データ!$A$590="",履歴データ!$A$589=""),"",B590-B589)</f>
        <v>0.99999999999997868</v>
      </c>
      <c r="L590" s="28">
        <f>IF(OR(履歴データ!$A$590="",履歴データ!$A$589=""),"",C590-C589)</f>
        <v>0.80000000000000426</v>
      </c>
      <c r="M590" s="28">
        <f>IF(OR(履歴データ!$A$590="",履歴データ!$A$589=""),"",D590-D589)</f>
        <v>-2.6999999999999886</v>
      </c>
      <c r="N590" s="28">
        <f>IF(OR(履歴データ!$A$590="",履歴データ!$A$589=""),"",E590-E589)</f>
        <v>0</v>
      </c>
      <c r="O590" s="28">
        <f>IF(OR(履歴データ!$A$590="",履歴データ!$A$589=""),"",F590-F589)</f>
        <v>7.3000000000000682</v>
      </c>
      <c r="P590" s="28">
        <f>IF(OR(履歴データ!$A$590="",履歴データ!$A$589=""),"",G590-G589)</f>
        <v>4.6271785888672756</v>
      </c>
      <c r="Q590" s="29">
        <f>IF(OR(履歴データ!$A$590="",履歴データ!$A$589=""),"",H590-H589)</f>
        <v>0</v>
      </c>
      <c r="R590" s="29">
        <f>IF(OR(履歴データ!$A$590="",履歴データ!$A$589=""),"",I590-I589)</f>
        <v>1.5625E-2</v>
      </c>
      <c r="S590" s="28">
        <f>IF(OR(履歴データ!$A$590="",履歴データ!$A$589=""),"",(J590-J589)*100)</f>
        <v>0</v>
      </c>
      <c r="T590" s="11">
        <f>IF(OR(履歴データ!$A$590="",履歴データ!$A$589=""),"",-80000*K590)</f>
        <v>-79999.999999998297</v>
      </c>
      <c r="U590" s="11">
        <f>IF(OR(履歴データ!$A$590="",履歴データ!$A$589=""),"",60000*L590)</f>
        <v>48000.000000000255</v>
      </c>
      <c r="V590" s="11">
        <f>IF(OR(履歴データ!$A$590="",履歴データ!$A$589=""),"",-50000*M590)</f>
        <v>134999.99999999942</v>
      </c>
      <c r="W590" s="11">
        <f>IF(OR(履歴データ!$A$590="",履歴データ!$A$589=""),"",-40000*N590)</f>
        <v>0</v>
      </c>
      <c r="X590" s="11">
        <f>IF(OR(履歴データ!$A$590="",履歴データ!$A$589=""),"",120*1000000*(-Q590/H589))</f>
        <v>0</v>
      </c>
      <c r="Y590" s="11">
        <f>IF(OR(履歴データ!$A$590="",履歴データ!$A$589=""),"",40000*(-S590)+(-506.3)*R590*1000)</f>
        <v>-7910.9375</v>
      </c>
      <c r="Z590" s="11">
        <f>IF(OR(履歴データ!$A$590="",履歴データ!$A$589=""),"",-40000*O590)</f>
        <v>-292000.00000000274</v>
      </c>
      <c r="AA590" s="11">
        <f>IF(OR(履歴データ!$A$590="",履歴データ!$A$589=""),"",-40000*P590)</f>
        <v>-185087.14355469102</v>
      </c>
      <c r="AB590" s="11">
        <f>IF(履歴データ!$A$590="","",123.3)</f>
        <v>123.3</v>
      </c>
      <c r="AC590">
        <f>IF(履歴データ!$A$590="","",SUM(T590:AA590))</f>
        <v>-381998.08105469239</v>
      </c>
      <c r="AD590" s="29">
        <f>IF(履歴データ!$A$590="","",AC590/1000000)</f>
        <v>-0.38199808105469241</v>
      </c>
      <c r="AE590" s="29">
        <f>IF(履歴データ!$A$590="",AE589,AE589+AC590/1000000)</f>
        <v>77.282627509703005</v>
      </c>
      <c r="AF590" s="12">
        <f>IF(OR(履歴データ!$A$590="",AE589=0),"",(AE590-AE589)/AE589)</f>
        <v>-4.9185594876562221E-3</v>
      </c>
      <c r="AG590" s="29">
        <f t="shared" si="29"/>
        <v>102.17217746631495</v>
      </c>
      <c r="AH590" s="12">
        <f>IF(OR(履歴データ!$A$590="",AG590=0),"",AE590/AG590-1)</f>
        <v>-0.24360398861830812</v>
      </c>
      <c r="AJ590" s="28">
        <f t="shared" ca="1" si="27"/>
        <v>14.926791709886592</v>
      </c>
      <c r="AK590" s="28">
        <f t="shared" ca="1" si="28"/>
        <v>-32.438696471791353</v>
      </c>
    </row>
    <row r="591" spans="1:37">
      <c r="A591" s="10">
        <f>IF(履歴データ!$A$591="","",履歴データ!$A$591)</f>
        <v>45789</v>
      </c>
      <c r="B591" s="28">
        <f>IF(履歴データ!$A$591="","",(履歴データ!$D$591-(履歴データ!$B$591+履歴データ!$F$591)/2)*100)</f>
        <v>1.5000000000000568</v>
      </c>
      <c r="C591" s="28">
        <f>IF(履歴データ!$A$591="","",(履歴データ!$H$591-(履歴データ!$G$591+履歴データ!$J$591)/2)*100)</f>
        <v>-34.299999999999997</v>
      </c>
      <c r="D591" s="28">
        <f>IF(履歴データ!$A$591="","",(履歴データ!$D$591-履歴データ!$H$591)*100)</f>
        <v>304.5</v>
      </c>
      <c r="E591" s="28">
        <f>IF(履歴データ!$A$591="","",(履歴データ!$D$591-履歴データ!$C$591)*100)</f>
        <v>36.000000000000028</v>
      </c>
      <c r="F591" s="28">
        <f>IF(履歴データ!$A$591="","",(履歴データ!$R$591-履歴データ!$D$591)*100)</f>
        <v>-296.38</v>
      </c>
      <c r="G591" s="28">
        <f>IF(履歴データ!$A$591="","",(履歴データ!$S$591-履歴データ!$R$591)*100)</f>
        <v>-1.4073571777345029</v>
      </c>
      <c r="H591" s="29">
        <f>IF(履歴データ!$A$591="","",履歴データ!$O$591)</f>
        <v>148.30999755859375</v>
      </c>
      <c r="I591" s="29">
        <f>IF(履歴データ!$A$591="","",履歴データ!$Q$591)</f>
        <v>110.15625</v>
      </c>
      <c r="J591" s="29">
        <f>IF(履歴データ!$A$591="","",履歴データ!$D$591)</f>
        <v>4.45</v>
      </c>
      <c r="K591" s="28">
        <f>IF(OR(履歴データ!$A$591="",履歴データ!$A$590=""),"",B591-B590)</f>
        <v>8.8817841970012523E-14</v>
      </c>
      <c r="L591" s="28">
        <f>IF(OR(履歴データ!$A$591="",履歴データ!$A$590=""),"",C591-C590)</f>
        <v>0.49999999999998579</v>
      </c>
      <c r="M591" s="28">
        <f>IF(OR(履歴データ!$A$591="",履歴データ!$A$590=""),"",D591-D590)</f>
        <v>4.5</v>
      </c>
      <c r="N591" s="28">
        <f>IF(OR(履歴データ!$A$591="",履歴データ!$A$590=""),"",E591-E590)</f>
        <v>-0.99999999999998579</v>
      </c>
      <c r="O591" s="28">
        <f>IF(OR(履歴データ!$A$591="",履歴データ!$A$590=""),"",F591-F590)</f>
        <v>-4.2300000000000182</v>
      </c>
      <c r="P591" s="28">
        <f>IF(OR(履歴データ!$A$591="",履歴データ!$A$590=""),"",G591-G590)</f>
        <v>-2.7175357666016531</v>
      </c>
      <c r="Q591" s="29">
        <f>IF(OR(履歴データ!$A$591="",履歴データ!$A$590=""),"",H591-H590)</f>
        <v>2.2949981689453125</v>
      </c>
      <c r="R591" s="29">
        <f>IF(OR(履歴データ!$A$591="",履歴データ!$A$590=""),"",I591-I590)</f>
        <v>-0.65625</v>
      </c>
      <c r="S591" s="28">
        <f>IF(OR(履歴データ!$A$591="",履歴データ!$A$590=""),"",(J591-J590)*100)</f>
        <v>8.0000000000000071</v>
      </c>
      <c r="T591" s="11">
        <f>IF(OR(履歴データ!$A$591="",履歴データ!$A$590=""),"",-80000*K591)</f>
        <v>-7.1054273576010019E-9</v>
      </c>
      <c r="U591" s="11">
        <f>IF(OR(履歴データ!$A$591="",履歴データ!$A$590=""),"",60000*L591)</f>
        <v>29999.999999999149</v>
      </c>
      <c r="V591" s="11">
        <f>IF(OR(履歴データ!$A$591="",履歴データ!$A$590=""),"",-50000*M591)</f>
        <v>-225000</v>
      </c>
      <c r="W591" s="11">
        <f>IF(OR(履歴データ!$A$591="",履歴データ!$A$590=""),"",-40000*N591)</f>
        <v>39999.999999999432</v>
      </c>
      <c r="X591" s="11">
        <f>IF(OR(履歴データ!$A$591="",履歴データ!$A$590=""),"",120*1000000*(-Q591/H590))</f>
        <v>-1886106.0947479731</v>
      </c>
      <c r="Y591" s="11">
        <f>IF(OR(履歴データ!$A$591="",履歴データ!$A$590=""),"",40000*(-S591)+(-506.3)*R591*1000)</f>
        <v>12259.374999999767</v>
      </c>
      <c r="Z591" s="11">
        <f>IF(OR(履歴データ!$A$591="",履歴データ!$A$590=""),"",-40000*O591)</f>
        <v>169200.00000000073</v>
      </c>
      <c r="AA591" s="11">
        <f>IF(OR(履歴データ!$A$591="",履歴データ!$A$590=""),"",-40000*P591)</f>
        <v>108701.43066406612</v>
      </c>
      <c r="AB591" s="11">
        <f>IF(履歴データ!$A$591="","",123.3)</f>
        <v>123.3</v>
      </c>
      <c r="AC591">
        <f>IF(履歴データ!$A$591="","",SUM(T591:AA591))</f>
        <v>-1750945.2890839148</v>
      </c>
      <c r="AD591" s="29">
        <f>IF(履歴データ!$A$591="","",AC591/1000000)</f>
        <v>-1.7509452890839148</v>
      </c>
      <c r="AE591" s="29">
        <f>IF(履歴データ!$A$591="",AE590,AE590+AC591/1000000)</f>
        <v>75.531682220619089</v>
      </c>
      <c r="AF591" s="12">
        <f>IF(OR(履歴データ!$A$591="",AE590=0),"",(AE591-AE590)/AE590)</f>
        <v>-2.2656389223620541E-2</v>
      </c>
      <c r="AG591" s="29">
        <f t="shared" si="29"/>
        <v>102.17217746631495</v>
      </c>
      <c r="AH591" s="12">
        <f>IF(OR(履歴データ!$A$591="",AG591=0),"",AE591/AG591-1)</f>
        <v>-0.26074119105936588</v>
      </c>
      <c r="AJ591" s="28">
        <f t="shared" ca="1" si="27"/>
        <v>14.981004531112031</v>
      </c>
      <c r="AK591" s="28">
        <f t="shared" ca="1" si="28"/>
        <v>-32.286560086667592</v>
      </c>
    </row>
    <row r="592" spans="1:37">
      <c r="A592" s="10">
        <f>IF(履歴データ!$A$592="","",履歴データ!$A$592)</f>
        <v>45790</v>
      </c>
      <c r="B592" s="28">
        <f>IF(履歴データ!$A$592="","",(履歴データ!$D$592-(履歴データ!$B$592+履歴データ!$F$592)/2)*100)</f>
        <v>0.99999999999997868</v>
      </c>
      <c r="C592" s="28">
        <f>IF(履歴データ!$A$592="","",(履歴データ!$H$592-(履歴データ!$G$592+履歴データ!$J$592)/2)*100)</f>
        <v>-28.849999999999998</v>
      </c>
      <c r="D592" s="28">
        <f>IF(履歴データ!$A$592="","",(履歴データ!$D$592-履歴データ!$H$592)*100)</f>
        <v>303</v>
      </c>
      <c r="E592" s="28">
        <f>IF(履歴データ!$A$592="","",(履歴データ!$D$592-履歴データ!$C$592)*100)</f>
        <v>37.000000000000014</v>
      </c>
      <c r="F592" s="28">
        <f>IF(履歴データ!$A$592="","",(履歴データ!$R$592-履歴データ!$D$592)*100)</f>
        <v>-283.29000000000002</v>
      </c>
      <c r="G592" s="28">
        <f>IF(履歴データ!$A$592="","",(履歴データ!$S$592-履歴データ!$R$592)*100)</f>
        <v>-12.358357177734568</v>
      </c>
      <c r="H592" s="29">
        <f>IF(履歴データ!$A$592="","",履歴データ!$O$592)</f>
        <v>147.52799987792969</v>
      </c>
      <c r="I592" s="29">
        <f>IF(履歴データ!$A$592="","",履歴データ!$Q$592)</f>
        <v>109.96875</v>
      </c>
      <c r="J592" s="29">
        <f>IF(履歴データ!$A$592="","",履歴データ!$D$592)</f>
        <v>4.49</v>
      </c>
      <c r="K592" s="28">
        <f>IF(OR(履歴データ!$A$592="",履歴データ!$A$591=""),"",B592-B591)</f>
        <v>-0.50000000000007816</v>
      </c>
      <c r="L592" s="28">
        <f>IF(OR(履歴データ!$A$592="",履歴データ!$A$591=""),"",C592-C591)</f>
        <v>5.4499999999999993</v>
      </c>
      <c r="M592" s="28">
        <f>IF(OR(履歴データ!$A$592="",履歴データ!$A$591=""),"",D592-D591)</f>
        <v>-1.5</v>
      </c>
      <c r="N592" s="28">
        <f>IF(OR(履歴データ!$A$592="",履歴データ!$A$591=""),"",E592-E591)</f>
        <v>0.99999999999998579</v>
      </c>
      <c r="O592" s="28">
        <f>IF(OR(履歴データ!$A$592="",履歴データ!$A$591=""),"",F592-F591)</f>
        <v>13.089999999999975</v>
      </c>
      <c r="P592" s="28">
        <f>IF(OR(履歴データ!$A$592="",履歴データ!$A$591=""),"",G592-G591)</f>
        <v>-10.951000000000064</v>
      </c>
      <c r="Q592" s="29">
        <f>IF(OR(履歴データ!$A$592="",履歴データ!$A$591=""),"",H592-H591)</f>
        <v>-0.7819976806640625</v>
      </c>
      <c r="R592" s="29">
        <f>IF(OR(履歴データ!$A$592="",履歴データ!$A$591=""),"",I592-I591)</f>
        <v>-0.1875</v>
      </c>
      <c r="S592" s="28">
        <f>IF(OR(履歴データ!$A$592="",履歴データ!$A$591=""),"",(J592-J591)*100)</f>
        <v>4.0000000000000036</v>
      </c>
      <c r="T592" s="11">
        <f>IF(OR(履歴データ!$A$592="",履歴データ!$A$591=""),"",-80000*K592)</f>
        <v>40000.00000000625</v>
      </c>
      <c r="U592" s="11">
        <f>IF(OR(履歴データ!$A$592="",履歴データ!$A$591=""),"",60000*L592)</f>
        <v>326999.99999999994</v>
      </c>
      <c r="V592" s="11">
        <f>IF(OR(履歴データ!$A$592="",履歴データ!$A$591=""),"",-50000*M592)</f>
        <v>75000</v>
      </c>
      <c r="W592" s="11">
        <f>IF(OR(履歴データ!$A$592="",履歴データ!$A$591=""),"",-40000*N592)</f>
        <v>-39999.999999999432</v>
      </c>
      <c r="X592" s="11">
        <f>IF(OR(履歴データ!$A$592="",履歴データ!$A$591=""),"",120*1000000*(-Q592/H591))</f>
        <v>632726.87765107455</v>
      </c>
      <c r="Y592" s="11">
        <f>IF(OR(履歴データ!$A$592="",履歴データ!$A$591=""),"",40000*(-S592)+(-506.3)*R592*1000)</f>
        <v>-65068.750000000146</v>
      </c>
      <c r="Z592" s="11">
        <f>IF(OR(履歴データ!$A$592="",履歴データ!$A$591=""),"",-40000*O592)</f>
        <v>-523599.99999999901</v>
      </c>
      <c r="AA592" s="11">
        <f>IF(OR(履歴データ!$A$592="",履歴データ!$A$591=""),"",-40000*P592)</f>
        <v>438040.00000000256</v>
      </c>
      <c r="AB592" s="11">
        <f>IF(履歴データ!$A$592="","",123.3)</f>
        <v>123.3</v>
      </c>
      <c r="AC592">
        <f>IF(履歴データ!$A$592="","",SUM(T592:AA592))</f>
        <v>884098.12765108468</v>
      </c>
      <c r="AD592" s="29">
        <f>IF(履歴データ!$A$592="","",AC592/1000000)</f>
        <v>0.88409812765108464</v>
      </c>
      <c r="AE592" s="29">
        <f>IF(履歴データ!$A$592="",AE591,AE591+AC592/1000000)</f>
        <v>76.415780348270175</v>
      </c>
      <c r="AF592" s="12">
        <f>IF(OR(履歴データ!$A$592="",AE591=0),"",(AE592-AE591)/AE591)</f>
        <v>1.1704997183416889E-2</v>
      </c>
      <c r="AG592" s="29">
        <f t="shared" si="29"/>
        <v>102.17217746631495</v>
      </c>
      <c r="AH592" s="12">
        <f>IF(OR(履歴データ!$A$592="",AG592=0),"",AE592/AG592-1)</f>
        <v>-0.25208816878289964</v>
      </c>
      <c r="AJ592" s="28">
        <f t="shared" ca="1" si="27"/>
        <v>15.017022143941471</v>
      </c>
      <c r="AK592" s="28">
        <f t="shared" ca="1" si="28"/>
        <v>-32.108291985211309</v>
      </c>
    </row>
    <row r="593" spans="1:37">
      <c r="A593" s="10">
        <f>IF(履歴データ!$A$593="","",履歴データ!$A$593)</f>
        <v>45791</v>
      </c>
      <c r="B593" s="28">
        <f>IF(履歴データ!$A$593="","",(履歴データ!$D$593-(履歴データ!$B$593+履歴データ!$F$593)/2)*100)</f>
        <v>2.0000000000000462</v>
      </c>
      <c r="C593" s="28">
        <f>IF(履歴データ!$A$593="","",(履歴データ!$H$593-(履歴データ!$G$593+履歴データ!$J$593)/2)*100)</f>
        <v>-29.25</v>
      </c>
      <c r="D593" s="28">
        <f>IF(履歴データ!$A$593="","",(履歴データ!$D$593-履歴データ!$H$593)*100)</f>
        <v>306.39999999999998</v>
      </c>
      <c r="E593" s="28">
        <f>IF(履歴データ!$A$593="","",(履歴データ!$D$593-履歴データ!$C$593)*100)</f>
        <v>36.000000000000028</v>
      </c>
      <c r="F593" s="28">
        <f>IF(履歴データ!$A$593="","",(履歴データ!$R$593-履歴データ!$D$593)*100)</f>
        <v>-284.52999999999997</v>
      </c>
      <c r="G593" s="28">
        <f>IF(履歴データ!$A$593="","",(履歴データ!$S$593-履歴データ!$R$593)*100)</f>
        <v>-20.906642822265798</v>
      </c>
      <c r="H593" s="29">
        <f>IF(履歴データ!$A$593="","",履歴データ!$O$593)</f>
        <v>146.64999389648438</v>
      </c>
      <c r="I593" s="29">
        <f>IF(履歴データ!$A$593="","",履歴データ!$Q$593)</f>
        <v>109.71875</v>
      </c>
      <c r="J593" s="29">
        <f>IF(履歴データ!$A$593="","",履歴データ!$D$593)</f>
        <v>4.53</v>
      </c>
      <c r="K593" s="28">
        <f>IF(OR(履歴データ!$A$593="",履歴データ!$A$592=""),"",B593-B592)</f>
        <v>1.0000000000000675</v>
      </c>
      <c r="L593" s="28">
        <f>IF(OR(履歴データ!$A$593="",履歴データ!$A$592=""),"",C593-C592)</f>
        <v>-0.40000000000000213</v>
      </c>
      <c r="M593" s="28">
        <f>IF(OR(履歴データ!$A$593="",履歴データ!$A$592=""),"",D593-D592)</f>
        <v>3.3999999999999773</v>
      </c>
      <c r="N593" s="28">
        <f>IF(OR(履歴データ!$A$593="",履歴データ!$A$592=""),"",E593-E592)</f>
        <v>-0.99999999999998579</v>
      </c>
      <c r="O593" s="28">
        <f>IF(OR(履歴データ!$A$593="",履歴データ!$A$592=""),"",F593-F592)</f>
        <v>-1.2399999999999523</v>
      </c>
      <c r="P593" s="28">
        <f>IF(OR(履歴データ!$A$593="",履歴データ!$A$592=""),"",G593-G592)</f>
        <v>-8.5482856445312301</v>
      </c>
      <c r="Q593" s="29">
        <f>IF(OR(履歴データ!$A$593="",履歴データ!$A$592=""),"",H593-H592)</f>
        <v>-0.8780059814453125</v>
      </c>
      <c r="R593" s="29">
        <f>IF(OR(履歴データ!$A$593="",履歴データ!$A$592=""),"",I593-I592)</f>
        <v>-0.25</v>
      </c>
      <c r="S593" s="28">
        <f>IF(OR(履歴データ!$A$593="",履歴データ!$A$592=""),"",(J593-J592)*100)</f>
        <v>4.0000000000000036</v>
      </c>
      <c r="T593" s="11">
        <f>IF(OR(履歴データ!$A$593="",履歴データ!$A$592=""),"",-80000*K593)</f>
        <v>-80000.000000005399</v>
      </c>
      <c r="U593" s="11">
        <f>IF(OR(履歴データ!$A$593="",履歴データ!$A$592=""),"",60000*L593)</f>
        <v>-24000.000000000127</v>
      </c>
      <c r="V593" s="11">
        <f>IF(OR(履歴データ!$A$593="",履歴データ!$A$592=""),"",-50000*M593)</f>
        <v>-169999.99999999886</v>
      </c>
      <c r="W593" s="11">
        <f>IF(OR(履歴データ!$A$593="",履歴データ!$A$592=""),"",-40000*N593)</f>
        <v>39999.999999999432</v>
      </c>
      <c r="X593" s="11">
        <f>IF(OR(履歴データ!$A$593="",履歴データ!$A$592=""),"",120*1000000*(-Q593/H592))</f>
        <v>714174.37951180106</v>
      </c>
      <c r="Y593" s="11">
        <f>IF(OR(履歴データ!$A$593="",履歴データ!$A$592=""),"",40000*(-S593)+(-506.3)*R593*1000)</f>
        <v>-33425.000000000146</v>
      </c>
      <c r="Z593" s="11">
        <f>IF(OR(履歴データ!$A$593="",履歴データ!$A$592=""),"",-40000*O593)</f>
        <v>49599.999999998094</v>
      </c>
      <c r="AA593" s="11">
        <f>IF(OR(履歴データ!$A$593="",履歴データ!$A$592=""),"",-40000*P593)</f>
        <v>341931.42578124919</v>
      </c>
      <c r="AB593" s="11">
        <f>IF(履歴データ!$A$593="","",123.3)</f>
        <v>123.3</v>
      </c>
      <c r="AC593">
        <f>IF(履歴データ!$A$593="","",SUM(T593:AA593))</f>
        <v>838280.80529304314</v>
      </c>
      <c r="AD593" s="29">
        <f>IF(履歴データ!$A$593="","",AC593/1000000)</f>
        <v>0.83828080529304316</v>
      </c>
      <c r="AE593" s="29">
        <f>IF(履歴データ!$A$593="",AE592,AE592+AC593/1000000)</f>
        <v>77.254061153563214</v>
      </c>
      <c r="AF593" s="12">
        <f>IF(OR(履歴データ!$A$593="",AE592=0),"",(AE593-AE592)/AE592)</f>
        <v>1.0969996007009496E-2</v>
      </c>
      <c r="AG593" s="29">
        <f t="shared" si="29"/>
        <v>102.17217746631495</v>
      </c>
      <c r="AH593" s="12">
        <f>IF(OR(履歴データ!$A$593="",AG593=0),"",AE593/AG593-1)</f>
        <v>-0.24388357898085289</v>
      </c>
      <c r="AJ593" s="28">
        <f t="shared" ca="1" si="27"/>
        <v>15.069172746362952</v>
      </c>
      <c r="AK593" s="28">
        <f t="shared" ca="1" si="28"/>
        <v>-31.946156873347078</v>
      </c>
    </row>
    <row r="594" spans="1:37">
      <c r="A594" s="10">
        <f>IF(履歴データ!$A$594="","",履歴データ!$A$594)</f>
        <v>45792</v>
      </c>
      <c r="B594" s="28">
        <f>IF(履歴データ!$A$594="","",(履歴データ!$D$594-(履歴データ!$B$594+履歴データ!$F$594)/2)*100)</f>
        <v>1.499999999999968</v>
      </c>
      <c r="C594" s="28">
        <f>IF(履歴データ!$A$594="","",(履歴データ!$H$594-(履歴データ!$G$594+履歴データ!$J$594)/2)*100)</f>
        <v>-28.899999999999991</v>
      </c>
      <c r="D594" s="28">
        <f>IF(履歴データ!$A$594="","",(履歴データ!$D$594-履歴データ!$H$594)*100)</f>
        <v>296.10000000000002</v>
      </c>
      <c r="E594" s="28">
        <f>IF(履歴データ!$A$594="","",(履歴データ!$D$594-履歴データ!$C$594)*100)</f>
        <v>37.999999999999986</v>
      </c>
      <c r="F594" s="28">
        <f>IF(履歴データ!$A$594="","",(履歴データ!$R$594-履歴データ!$D$594)*100)</f>
        <v>-277.39000000000004</v>
      </c>
      <c r="G594" s="28">
        <f>IF(履歴データ!$A$594="","",(履歴データ!$S$594-履歴データ!$R$594)*100)</f>
        <v>-34.604821411132924</v>
      </c>
      <c r="H594" s="29">
        <f>IF(履歴データ!$A$594="","",履歴データ!$O$594)</f>
        <v>145.61300659179688</v>
      </c>
      <c r="I594" s="29">
        <f>IF(履歴データ!$A$594="","",履歴データ!$Q$594)</f>
        <v>110.25</v>
      </c>
      <c r="J594" s="29">
        <f>IF(履歴データ!$A$594="","",履歴データ!$D$594)</f>
        <v>4.45</v>
      </c>
      <c r="K594" s="28">
        <f>IF(OR(履歴データ!$A$594="",履歴データ!$A$593=""),"",B594-B593)</f>
        <v>-0.50000000000007816</v>
      </c>
      <c r="L594" s="28">
        <f>IF(OR(履歴データ!$A$594="",履歴データ!$A$593=""),"",C594-C593)</f>
        <v>0.35000000000000853</v>
      </c>
      <c r="M594" s="28">
        <f>IF(OR(履歴データ!$A$594="",履歴データ!$A$593=""),"",D594-D593)</f>
        <v>-10.299999999999955</v>
      </c>
      <c r="N594" s="28">
        <f>IF(OR(履歴データ!$A$594="",履歴データ!$A$593=""),"",E594-E593)</f>
        <v>1.9999999999999574</v>
      </c>
      <c r="O594" s="28">
        <f>IF(OR(履歴データ!$A$594="",履歴データ!$A$593=""),"",F594-F593)</f>
        <v>7.1399999999999295</v>
      </c>
      <c r="P594" s="28">
        <f>IF(OR(履歴データ!$A$594="",履歴データ!$A$593=""),"",G594-G593)</f>
        <v>-13.698178588867126</v>
      </c>
      <c r="Q594" s="29">
        <f>IF(OR(履歴データ!$A$594="",履歴データ!$A$593=""),"",H594-H593)</f>
        <v>-1.0369873046875</v>
      </c>
      <c r="R594" s="29">
        <f>IF(OR(履歴データ!$A$594="",履歴データ!$A$593=""),"",I594-I593)</f>
        <v>0.53125</v>
      </c>
      <c r="S594" s="28">
        <f>IF(OR(履歴データ!$A$594="",履歴データ!$A$593=""),"",(J594-J593)*100)</f>
        <v>-8.0000000000000071</v>
      </c>
      <c r="T594" s="11">
        <f>IF(OR(履歴データ!$A$594="",履歴データ!$A$593=""),"",-80000*K594)</f>
        <v>40000.00000000625</v>
      </c>
      <c r="U594" s="11">
        <f>IF(OR(履歴データ!$A$594="",履歴データ!$A$593=""),"",60000*L594)</f>
        <v>21000.000000000513</v>
      </c>
      <c r="V594" s="11">
        <f>IF(OR(履歴データ!$A$594="",履歴データ!$A$593=""),"",-50000*M594)</f>
        <v>514999.99999999773</v>
      </c>
      <c r="W594" s="11">
        <f>IF(OR(履歴データ!$A$594="",履歴データ!$A$593=""),"",-40000*N594)</f>
        <v>-79999.999999998297</v>
      </c>
      <c r="X594" s="11">
        <f>IF(OR(履歴データ!$A$594="",履歴データ!$A$593=""),"",120*1000000*(-Q594/H593))</f>
        <v>848540.61876291118</v>
      </c>
      <c r="Y594" s="11">
        <f>IF(OR(履歴データ!$A$594="",履歴データ!$A$593=""),"",40000*(-S594)+(-506.3)*R594*1000)</f>
        <v>51028.125000000291</v>
      </c>
      <c r="Z594" s="11">
        <f>IF(OR(履歴データ!$A$594="",履歴データ!$A$593=""),"",-40000*O594)</f>
        <v>-285599.99999999721</v>
      </c>
      <c r="AA594" s="11">
        <f>IF(OR(履歴データ!$A$594="",履歴データ!$A$593=""),"",-40000*P594)</f>
        <v>547927.14355468506</v>
      </c>
      <c r="AB594" s="11">
        <f>IF(履歴データ!$A$594="","",123.3)</f>
        <v>123.3</v>
      </c>
      <c r="AC594">
        <f>IF(履歴データ!$A$594="","",SUM(T594:AA594))</f>
        <v>1657895.8873176053</v>
      </c>
      <c r="AD594" s="29">
        <f>IF(履歴データ!$A$594="","",AC594/1000000)</f>
        <v>1.6578958873176053</v>
      </c>
      <c r="AE594" s="29">
        <f>IF(履歴データ!$A$594="",AE593,AE593+AC594/1000000)</f>
        <v>78.911957040880822</v>
      </c>
      <c r="AF594" s="12">
        <f>IF(OR(履歴データ!$A$594="",AE593=0),"",(AE594-AE593)/AE593)</f>
        <v>2.1460307232549158E-2</v>
      </c>
      <c r="AG594" s="29">
        <f t="shared" si="29"/>
        <v>102.17217746631495</v>
      </c>
      <c r="AH594" s="12">
        <f>IF(OR(履歴データ!$A$594="",AG594=0),"",AE594/AG594-1)</f>
        <v>-0.22765708828220643</v>
      </c>
      <c r="AJ594" s="28">
        <f t="shared" ca="1" si="27"/>
        <v>15.110052632696149</v>
      </c>
      <c r="AK594" s="28">
        <f t="shared" ca="1" si="28"/>
        <v>-31.772751045394561</v>
      </c>
    </row>
    <row r="595" spans="1:37">
      <c r="A595" s="10">
        <f>IF(履歴データ!$A$595="","",履歴データ!$A$595)</f>
        <v>45793</v>
      </c>
      <c r="B595" s="28">
        <f>IF(履歴データ!$A$595="","",(履歴データ!$D$595-(履歴データ!$B$595+履歴データ!$F$595)/2)*100)</f>
        <v>-0.49999999999998934</v>
      </c>
      <c r="C595" s="28">
        <f>IF(履歴データ!$A$595="","",(履歴データ!$H$595-(履歴データ!$G$595+履歴データ!$J$595)/2)*100)</f>
        <v>-30.749999999999989</v>
      </c>
      <c r="D595" s="28">
        <f>IF(履歴データ!$A$595="","",(履歴データ!$D$595-履歴データ!$H$595)*100)</f>
        <v>296.39999999999998</v>
      </c>
      <c r="E595" s="28">
        <f>IF(履歴データ!$A$595="","",(履歴データ!$D$595-履歴データ!$C$595)*100)</f>
        <v>37.000000000000014</v>
      </c>
      <c r="F595" s="28">
        <f>IF(履歴データ!$A$595="","",(履歴データ!$R$595-履歴データ!$D$595)*100)</f>
        <v>-281.19999999999993</v>
      </c>
      <c r="G595" s="28">
        <f>IF(履歴データ!$A$595="","",(履歴データ!$S$595-履歴データ!$R$595)*100)</f>
        <v>-2.1340000000001913</v>
      </c>
      <c r="H595" s="29">
        <f>IF(履歴データ!$A$595="","",履歴データ!$O$595)</f>
        <v>145.61300659179688</v>
      </c>
      <c r="I595" s="29">
        <f>IF(履歴データ!$A$595="","",履歴データ!$Q$595)</f>
        <v>110.328125</v>
      </c>
      <c r="J595" s="29">
        <f>IF(履歴データ!$A$595="","",履歴データ!$D$595)</f>
        <v>4.43</v>
      </c>
      <c r="K595" s="28">
        <f>IF(OR(履歴データ!$A$595="",履歴データ!$A$594=""),"",B595-B594)</f>
        <v>-1.9999999999999574</v>
      </c>
      <c r="L595" s="28">
        <f>IF(OR(履歴データ!$A$595="",履歴データ!$A$594=""),"",C595-C594)</f>
        <v>-1.8499999999999979</v>
      </c>
      <c r="M595" s="28">
        <f>IF(OR(履歴データ!$A$595="",履歴データ!$A$594=""),"",D595-D594)</f>
        <v>0.29999999999995453</v>
      </c>
      <c r="N595" s="28">
        <f>IF(OR(履歴データ!$A$595="",履歴データ!$A$594=""),"",E595-E594)</f>
        <v>-0.99999999999997158</v>
      </c>
      <c r="O595" s="28">
        <f>IF(OR(履歴データ!$A$595="",履歴データ!$A$594=""),"",F595-F594)</f>
        <v>-3.8099999999998886</v>
      </c>
      <c r="P595" s="28">
        <f>IF(OR(履歴データ!$A$595="",履歴データ!$A$594=""),"",G595-G594)</f>
        <v>32.470821411132732</v>
      </c>
      <c r="Q595" s="29">
        <f>IF(OR(履歴データ!$A$595="",履歴データ!$A$594=""),"",H595-H594)</f>
        <v>0</v>
      </c>
      <c r="R595" s="29">
        <f>IF(OR(履歴データ!$A$595="",履歴データ!$A$594=""),"",I595-I594)</f>
        <v>7.8125E-2</v>
      </c>
      <c r="S595" s="28">
        <f>IF(OR(履歴データ!$A$595="",履歴データ!$A$594=""),"",(J595-J594)*100)</f>
        <v>-2.0000000000000462</v>
      </c>
      <c r="T595" s="11">
        <f>IF(OR(履歴データ!$A$595="",履歴データ!$A$594=""),"",-80000*K595)</f>
        <v>159999.99999999659</v>
      </c>
      <c r="U595" s="11">
        <f>IF(OR(履歴データ!$A$595="",履歴データ!$A$594=""),"",60000*L595)</f>
        <v>-110999.99999999987</v>
      </c>
      <c r="V595" s="11">
        <f>IF(OR(履歴データ!$A$595="",履歴データ!$A$594=""),"",-50000*M595)</f>
        <v>-14999.999999997726</v>
      </c>
      <c r="W595" s="11">
        <f>IF(OR(履歴データ!$A$595="",履歴データ!$A$594=""),"",-40000*N595)</f>
        <v>39999.999999998865</v>
      </c>
      <c r="X595" s="11">
        <f>IF(OR(履歴データ!$A$595="",履歴データ!$A$594=""),"",120*1000000*(-Q595/H594))</f>
        <v>0</v>
      </c>
      <c r="Y595" s="11">
        <f>IF(OR(履歴データ!$A$595="",履歴データ!$A$594=""),"",40000*(-S595)+(-506.3)*R595*1000)</f>
        <v>40445.312500001848</v>
      </c>
      <c r="Z595" s="11">
        <f>IF(OR(履歴データ!$A$595="",履歴データ!$A$594=""),"",-40000*O595)</f>
        <v>152399.99999999555</v>
      </c>
      <c r="AA595" s="11">
        <f>IF(OR(履歴データ!$A$595="",履歴データ!$A$594=""),"",-40000*P595)</f>
        <v>-1298832.8564453092</v>
      </c>
      <c r="AB595" s="11">
        <f>IF(履歴データ!$A$595="","",123.3)</f>
        <v>123.3</v>
      </c>
      <c r="AC595">
        <f>IF(履歴データ!$A$595="","",SUM(T595:AA595))</f>
        <v>-1031987.543945314</v>
      </c>
      <c r="AD595" s="29">
        <f>IF(履歴データ!$A$595="","",AC595/1000000)</f>
        <v>-1.0319875439453141</v>
      </c>
      <c r="AE595" s="29">
        <f>IF(履歴データ!$A$595="",AE594,AE594+AC595/1000000)</f>
        <v>77.879969496935502</v>
      </c>
      <c r="AF595" s="12">
        <f>IF(OR(履歴データ!$A$595="",AE594=0),"",(AE595-AE594)/AE594)</f>
        <v>-1.307770815277959E-2</v>
      </c>
      <c r="AG595" s="29">
        <f t="shared" si="29"/>
        <v>102.17217746631495</v>
      </c>
      <c r="AH595" s="12">
        <f>IF(OR(履歴データ!$A$595="",AG595=0),"",AE595/AG595-1)</f>
        <v>-0.2377575634755198</v>
      </c>
      <c r="AJ595" s="28">
        <f t="shared" ca="1" si="27"/>
        <v>15.124938581065342</v>
      </c>
      <c r="AK595" s="28">
        <f t="shared" ca="1" si="28"/>
        <v>-31.585256041382799</v>
      </c>
    </row>
    <row r="596" spans="1:37">
      <c r="A596" s="10">
        <f>IF(履歴データ!$A$596="","",履歴データ!$A$596)</f>
        <v>45796</v>
      </c>
      <c r="B596" s="28">
        <f>IF(履歴データ!$A$596="","",(履歴データ!$D$596-(履歴データ!$B$596+履歴データ!$F$596)/2)*100)</f>
        <v>1.499999999999968</v>
      </c>
      <c r="C596" s="28">
        <f>IF(履歴データ!$A$596="","",(履歴データ!$H$596-(履歴データ!$G$596+履歴データ!$J$596)/2)*100)</f>
        <v>-29.049999999999997</v>
      </c>
      <c r="D596" s="28">
        <f>IF(履歴データ!$A$596="","",(履歴データ!$D$596-履歴データ!$H$596)*100)</f>
        <v>296.60000000000002</v>
      </c>
      <c r="E596" s="28">
        <f>IF(履歴データ!$A$596="","",(履歴データ!$D$596-履歴データ!$C$596)*100)</f>
        <v>38.999999999999972</v>
      </c>
      <c r="F596" s="28">
        <f>IF(履歴データ!$A$596="","",(履歴データ!$R$596-履歴データ!$D$596)*100)</f>
        <v>-284.29000000000002</v>
      </c>
      <c r="G596" s="28">
        <f>IF(履歴データ!$A$596="","",(履歴データ!$S$596-履歴データ!$R$596)*100)</f>
        <v>-0.2900000000001457</v>
      </c>
      <c r="H596" s="29">
        <f>IF(履歴データ!$A$596="","",履歴データ!$O$596)</f>
        <v>144.97500610351563</v>
      </c>
      <c r="I596" s="29">
        <f>IF(履歴データ!$A$596="","",履歴データ!$Q$596)</f>
        <v>110.140625</v>
      </c>
      <c r="J596" s="29">
        <f>IF(履歴データ!$A$596="","",履歴データ!$D$596)</f>
        <v>4.46</v>
      </c>
      <c r="K596" s="28">
        <f>IF(OR(履歴データ!$A$596="",履歴データ!$A$595=""),"",B596-B595)</f>
        <v>1.9999999999999574</v>
      </c>
      <c r="L596" s="28">
        <f>IF(OR(履歴データ!$A$596="",履歴データ!$A$595=""),"",C596-C595)</f>
        <v>1.6999999999999922</v>
      </c>
      <c r="M596" s="28">
        <f>IF(OR(履歴データ!$A$596="",履歴データ!$A$595=""),"",D596-D595)</f>
        <v>0.20000000000004547</v>
      </c>
      <c r="N596" s="28">
        <f>IF(OR(履歴データ!$A$596="",履歴データ!$A$595=""),"",E596-E595)</f>
        <v>1.9999999999999574</v>
      </c>
      <c r="O596" s="28">
        <f>IF(OR(履歴データ!$A$596="",履歴データ!$A$595=""),"",F596-F595)</f>
        <v>-3.0900000000000887</v>
      </c>
      <c r="P596" s="28">
        <f>IF(OR(履歴データ!$A$596="",履歴データ!$A$595=""),"",G596-G595)</f>
        <v>1.8440000000000456</v>
      </c>
      <c r="Q596" s="29">
        <f>IF(OR(履歴データ!$A$596="",履歴データ!$A$595=""),"",H596-H595)</f>
        <v>-0.63800048828125</v>
      </c>
      <c r="R596" s="29">
        <f>IF(OR(履歴データ!$A$596="",履歴データ!$A$595=""),"",I596-I595)</f>
        <v>-0.1875</v>
      </c>
      <c r="S596" s="28">
        <f>IF(OR(履歴データ!$A$596="",履歴データ!$A$595=""),"",(J596-J595)*100)</f>
        <v>3.0000000000000249</v>
      </c>
      <c r="T596" s="11">
        <f>IF(OR(履歴データ!$A$596="",履歴データ!$A$595=""),"",-80000*K596)</f>
        <v>-159999.99999999659</v>
      </c>
      <c r="U596" s="11">
        <f>IF(OR(履歴データ!$A$596="",履歴データ!$A$595=""),"",60000*L596)</f>
        <v>101999.99999999953</v>
      </c>
      <c r="V596" s="11">
        <f>IF(OR(履歴データ!$A$596="",履歴データ!$A$595=""),"",-50000*M596)</f>
        <v>-10000.000000002274</v>
      </c>
      <c r="W596" s="11">
        <f>IF(OR(履歴データ!$A$596="",履歴データ!$A$595=""),"",-40000*N596)</f>
        <v>-79999.999999998297</v>
      </c>
      <c r="X596" s="11">
        <f>IF(OR(履歴データ!$A$596="",履歴データ!$A$595=""),"",120*1000000*(-Q596/H595))</f>
        <v>525777.61002060794</v>
      </c>
      <c r="Y596" s="11">
        <f>IF(OR(履歴データ!$A$596="",履歴データ!$A$595=""),"",40000*(-S596)+(-506.3)*R596*1000)</f>
        <v>-25068.75000000099</v>
      </c>
      <c r="Z596" s="11">
        <f>IF(OR(履歴データ!$A$596="",履歴データ!$A$595=""),"",-40000*O596)</f>
        <v>123600.00000000355</v>
      </c>
      <c r="AA596" s="11">
        <f>IF(OR(履歴データ!$A$596="",履歴データ!$A$595=""),"",-40000*P596)</f>
        <v>-73760.000000001819</v>
      </c>
      <c r="AB596" s="11">
        <f>IF(履歴データ!$A$596="","",123.3)</f>
        <v>123.3</v>
      </c>
      <c r="AC596">
        <f>IF(履歴データ!$A$596="","",SUM(T596:AA596))</f>
        <v>402548.86002061109</v>
      </c>
      <c r="AD596" s="29">
        <f>IF(履歴データ!$A$596="","",AC596/1000000)</f>
        <v>0.40254886002061108</v>
      </c>
      <c r="AE596" s="29">
        <f>IF(履歴データ!$A$596="",AE595,AE595+AC596/1000000)</f>
        <v>78.282518356956118</v>
      </c>
      <c r="AF596" s="12">
        <f>IF(OR(履歴データ!$A$596="",AE595=0),"",(AE596-AE595)/AE595)</f>
        <v>5.1688368988954967E-3</v>
      </c>
      <c r="AG596" s="29">
        <f t="shared" si="29"/>
        <v>102.17217746631495</v>
      </c>
      <c r="AH596" s="12">
        <f>IF(OR(履歴データ!$A$596="",AG596=0),"",AE596/AG596-1)</f>
        <v>-0.23381765664370802</v>
      </c>
      <c r="AJ596" s="28">
        <f t="shared" ca="1" si="27"/>
        <v>15.165410625225856</v>
      </c>
      <c r="AK596" s="28">
        <f t="shared" ca="1" si="28"/>
        <v>-31.415410625225856</v>
      </c>
    </row>
    <row r="597" spans="1:37">
      <c r="A597" s="10">
        <f>IF(履歴データ!$A$597="","",履歴データ!$A$597)</f>
        <v>45797</v>
      </c>
      <c r="B597" s="28">
        <f>IF(履歴データ!$A$597="","",(履歴データ!$D$597-(履歴データ!$B$597+履歴データ!$F$597)/2)*100)</f>
        <v>1.5000000000000568</v>
      </c>
      <c r="C597" s="28">
        <f>IF(履歴データ!$A$597="","",(履歴データ!$H$597-(履歴データ!$G$597+履歴データ!$J$597)/2)*100)</f>
        <v>-31.85</v>
      </c>
      <c r="D597" s="28">
        <f>IF(履歴データ!$A$597="","",(履歴データ!$D$597-履歴データ!$H$597)*100)</f>
        <v>295</v>
      </c>
      <c r="E597" s="28">
        <f>IF(履歴データ!$A$597="","",(履歴データ!$D$597-履歴データ!$C$597)*100)</f>
        <v>41.000000000000014</v>
      </c>
      <c r="F597" s="28">
        <f>IF(履歴データ!$A$597="","",(履歴データ!$R$597-履歴データ!$D$597)*100)</f>
        <v>-291.25000000000006</v>
      </c>
      <c r="G597" s="28">
        <f>IF(履歴データ!$A$597="","",(履歴データ!$S$597-履歴データ!$R$597)*100)</f>
        <v>11.510642822265549</v>
      </c>
      <c r="H597" s="29">
        <f>IF(履歴データ!$A$597="","",履歴データ!$O$597)</f>
        <v>144.3280029296875</v>
      </c>
      <c r="I597" s="29">
        <f>IF(履歴データ!$A$597="","",履歴データ!$Q$597)</f>
        <v>110.203125</v>
      </c>
      <c r="J597" s="29">
        <f>IF(履歴データ!$A$597="","",履歴データ!$D$597)</f>
        <v>4.4800000000000004</v>
      </c>
      <c r="K597" s="28">
        <f>IF(OR(履歴データ!$A$597="",履歴データ!$A$596=""),"",B597-B596)</f>
        <v>8.8817841970012523E-14</v>
      </c>
      <c r="L597" s="28">
        <f>IF(OR(履歴データ!$A$597="",履歴データ!$A$596=""),"",C597-C596)</f>
        <v>-2.8000000000000043</v>
      </c>
      <c r="M597" s="28">
        <f>IF(OR(履歴データ!$A$597="",履歴データ!$A$596=""),"",D597-D596)</f>
        <v>-1.6000000000000227</v>
      </c>
      <c r="N597" s="28">
        <f>IF(OR(履歴データ!$A$597="",履歴データ!$A$596=""),"",E597-E596)</f>
        <v>2.0000000000000426</v>
      </c>
      <c r="O597" s="28">
        <f>IF(OR(履歴データ!$A$597="",履歴データ!$A$596=""),"",F597-F596)</f>
        <v>-6.9600000000000364</v>
      </c>
      <c r="P597" s="28">
        <f>IF(OR(履歴データ!$A$597="",履歴データ!$A$596=""),"",G597-G596)</f>
        <v>11.800642822265694</v>
      </c>
      <c r="Q597" s="29">
        <f>IF(OR(履歴データ!$A$597="",履歴データ!$A$596=""),"",H597-H596)</f>
        <v>-0.647003173828125</v>
      </c>
      <c r="R597" s="29">
        <f>IF(OR(履歴データ!$A$597="",履歴データ!$A$596=""),"",I597-I596)</f>
        <v>6.25E-2</v>
      </c>
      <c r="S597" s="28">
        <f>IF(OR(履歴データ!$A$597="",履歴データ!$A$596=""),"",(J597-J596)*100)</f>
        <v>2.0000000000000462</v>
      </c>
      <c r="T597" s="11">
        <f>IF(OR(履歴データ!$A$597="",履歴データ!$A$596=""),"",-80000*K597)</f>
        <v>-7.1054273576010019E-9</v>
      </c>
      <c r="U597" s="11">
        <f>IF(OR(履歴データ!$A$597="",履歴データ!$A$596=""),"",60000*L597)</f>
        <v>-168000.00000000026</v>
      </c>
      <c r="V597" s="11">
        <f>IF(OR(履歴データ!$A$597="",履歴データ!$A$596=""),"",-50000*M597)</f>
        <v>80000.000000001135</v>
      </c>
      <c r="W597" s="11">
        <f>IF(OR(履歴データ!$A$597="",履歴データ!$A$596=""),"",-40000*N597)</f>
        <v>-80000.000000001703</v>
      </c>
      <c r="X597" s="11">
        <f>IF(OR(履歴データ!$A$597="",履歴データ!$A$596=""),"",120*1000000*(-Q597/H596))</f>
        <v>535543.21497277881</v>
      </c>
      <c r="Y597" s="11">
        <f>IF(OR(履歴データ!$A$597="",履歴データ!$A$596=""),"",40000*(-S597)+(-506.3)*R597*1000)</f>
        <v>-111643.75000000185</v>
      </c>
      <c r="Z597" s="11">
        <f>IF(OR(履歴データ!$A$597="",履歴データ!$A$596=""),"",-40000*O597)</f>
        <v>278400.00000000146</v>
      </c>
      <c r="AA597" s="11">
        <f>IF(OR(履歴データ!$A$597="",履歴データ!$A$596=""),"",-40000*P597)</f>
        <v>-472025.71289062774</v>
      </c>
      <c r="AB597" s="11">
        <f>IF(履歴データ!$A$597="","",123.3)</f>
        <v>123.3</v>
      </c>
      <c r="AC597">
        <f>IF(履歴データ!$A$597="","",SUM(T597:AA597))</f>
        <v>62273.752082142804</v>
      </c>
      <c r="AD597" s="29">
        <f>IF(履歴データ!$A$597="","",AC597/1000000)</f>
        <v>6.2273752082142801E-2</v>
      </c>
      <c r="AE597" s="29">
        <f>IF(履歴データ!$A$597="",AE596,AE596+AC597/1000000)</f>
        <v>78.344792109038266</v>
      </c>
      <c r="AF597" s="12">
        <f>IF(OR(履歴データ!$A$597="",AE596=0),"",(AE597-AE596)/AE596)</f>
        <v>7.9550011150880673E-4</v>
      </c>
      <c r="AG597" s="29">
        <f t="shared" si="29"/>
        <v>102.17217746631495</v>
      </c>
      <c r="AH597" s="12">
        <f>IF(OR(履歴データ!$A$597="",AG597=0),"",AE597/AG597-1)</f>
        <v>-0.23320815850413201</v>
      </c>
      <c r="AJ597" s="28">
        <f t="shared" ca="1" si="27"/>
        <v>15.191482583284873</v>
      </c>
      <c r="AK597" s="28">
        <f t="shared" ca="1" si="28"/>
        <v>-31.219260361062652</v>
      </c>
    </row>
    <row r="598" spans="1:37">
      <c r="A598" s="10">
        <f>IF(履歴データ!$A$598="","",履歴データ!$A$598)</f>
        <v>45798</v>
      </c>
      <c r="B598" s="28">
        <f>IF(履歴データ!$A$598="","",(履歴データ!$D$598-(履歴データ!$B$598+履歴データ!$F$598)/2)*100)</f>
        <v>4.0000000000000036</v>
      </c>
      <c r="C598" s="28">
        <f>IF(履歴データ!$A$598="","",(履歴データ!$H$598-(履歴データ!$G$598+履歴データ!$J$598)/2)*100)</f>
        <v>-31.799999999999983</v>
      </c>
      <c r="D598" s="28">
        <f>IF(履歴データ!$A$598="","",(履歴データ!$D$598-履歴データ!$H$598)*100)</f>
        <v>305</v>
      </c>
      <c r="E598" s="28">
        <f>IF(履歴データ!$A$598="","",(履歴データ!$D$598-履歴データ!$C$598)*100)</f>
        <v>42.999999999999972</v>
      </c>
      <c r="F598" s="28">
        <f>IF(履歴データ!$A$598="","",(履歴データ!$R$598-履歴データ!$D$598)*100)</f>
        <v>-300.29000000000002</v>
      </c>
      <c r="G598" s="28">
        <f>IF(履歴データ!$A$598="","",(履歴データ!$S$598-履歴データ!$R$598)*100)</f>
        <v>13.532357177734312</v>
      </c>
      <c r="H598" s="29">
        <f>IF(履歴データ!$A$598="","",履歴データ!$O$598)</f>
        <v>143.7550048828125</v>
      </c>
      <c r="I598" s="29">
        <f>IF(履歴データ!$A$598="","",履歴データ!$Q$598)</f>
        <v>109.5</v>
      </c>
      <c r="J598" s="29">
        <f>IF(履歴データ!$A$598="","",履歴データ!$D$598)</f>
        <v>4.58</v>
      </c>
      <c r="K598" s="28">
        <f>IF(OR(履歴データ!$A$598="",履歴データ!$A$597=""),"",B598-B597)</f>
        <v>2.4999999999999467</v>
      </c>
      <c r="L598" s="28">
        <f>IF(OR(履歴データ!$A$598="",履歴データ!$A$597=""),"",C598-C597)</f>
        <v>5.0000000000018474E-2</v>
      </c>
      <c r="M598" s="28">
        <f>IF(OR(履歴データ!$A$598="",履歴データ!$A$597=""),"",D598-D597)</f>
        <v>10</v>
      </c>
      <c r="N598" s="28">
        <f>IF(OR(履歴データ!$A$598="",履歴データ!$A$597=""),"",E598-E597)</f>
        <v>1.9999999999999574</v>
      </c>
      <c r="O598" s="28">
        <f>IF(OR(履歴データ!$A$598="",履歴データ!$A$597=""),"",F598-F597)</f>
        <v>-9.0399999999999636</v>
      </c>
      <c r="P598" s="28">
        <f>IF(OR(履歴データ!$A$598="",履歴データ!$A$597=""),"",G598-G597)</f>
        <v>2.0217143554687631</v>
      </c>
      <c r="Q598" s="29">
        <f>IF(OR(履歴データ!$A$598="",履歴データ!$A$597=""),"",H598-H597)</f>
        <v>-0.572998046875</v>
      </c>
      <c r="R598" s="29">
        <f>IF(OR(履歴データ!$A$598="",履歴データ!$A$597=""),"",I598-I597)</f>
        <v>-0.703125</v>
      </c>
      <c r="S598" s="28">
        <f>IF(OR(履歴データ!$A$598="",履歴データ!$A$597=""),"",(J598-J597)*100)</f>
        <v>9.9999999999999645</v>
      </c>
      <c r="T598" s="11">
        <f>IF(OR(履歴データ!$A$598="",履歴データ!$A$597=""),"",-80000*K598)</f>
        <v>-199999.99999999575</v>
      </c>
      <c r="U598" s="11">
        <f>IF(OR(履歴データ!$A$598="",履歴データ!$A$597=""),"",60000*L598)</f>
        <v>3000.0000000011087</v>
      </c>
      <c r="V598" s="11">
        <f>IF(OR(履歴データ!$A$598="",履歴データ!$A$597=""),"",-50000*M598)</f>
        <v>-500000</v>
      </c>
      <c r="W598" s="11">
        <f>IF(OR(履歴データ!$A$598="",履歴データ!$A$597=""),"",-40000*N598)</f>
        <v>-79999.999999998297</v>
      </c>
      <c r="X598" s="11">
        <f>IF(OR(履歴データ!$A$598="",履歴データ!$A$597=""),"",120*1000000*(-Q598/H597))</f>
        <v>476413.19930476556</v>
      </c>
      <c r="Y598" s="11">
        <f>IF(OR(履歴データ!$A$598="",履歴データ!$A$597=""),"",40000*(-S598)+(-506.3)*R598*1000)</f>
        <v>-44007.812499998603</v>
      </c>
      <c r="Z598" s="11">
        <f>IF(OR(履歴データ!$A$598="",履歴データ!$A$597=""),"",-40000*O598)</f>
        <v>361599.99999999854</v>
      </c>
      <c r="AA598" s="11">
        <f>IF(OR(履歴データ!$A$598="",履歴データ!$A$597=""),"",-40000*P598)</f>
        <v>-80868.574218750524</v>
      </c>
      <c r="AB598" s="11">
        <f>IF(履歴データ!$A$598="","",123.3)</f>
        <v>123.3</v>
      </c>
      <c r="AC598">
        <f>IF(履歴データ!$A$598="","",SUM(T598:AA598))</f>
        <v>-63863.187413977925</v>
      </c>
      <c r="AD598" s="29">
        <f>IF(履歴データ!$A$598="","",AC598/1000000)</f>
        <v>-6.3863187413977923E-2</v>
      </c>
      <c r="AE598" s="29">
        <f>IF(履歴データ!$A$598="",AE597,AE597+AC598/1000000)</f>
        <v>78.280928921624295</v>
      </c>
      <c r="AF598" s="12">
        <f>IF(OR(履歴データ!$A$598="",AE597=0),"",(AE598-AE597)/AE597)</f>
        <v>-8.1515549017079222E-4</v>
      </c>
      <c r="AG598" s="29">
        <f t="shared" si="29"/>
        <v>102.17217746631495</v>
      </c>
      <c r="AH598" s="12">
        <f>IF(OR(履歴データ!$A$598="",AG598=0),"",AE598/AG598-1)</f>
        <v>-0.23383321308354554</v>
      </c>
      <c r="AJ598" s="28">
        <f t="shared" ca="1" si="27"/>
        <v>15.238849160046939</v>
      </c>
      <c r="AK598" s="28">
        <f t="shared" ca="1" si="28"/>
        <v>-31.020595191792971</v>
      </c>
    </row>
    <row r="599" spans="1:37">
      <c r="A599" s="10">
        <f>IF(履歴データ!$A$599="","",履歴データ!$A$599)</f>
        <v>45799</v>
      </c>
      <c r="B599" s="28">
        <f>IF(履歴データ!$A$599="","",(履歴データ!$D$599-(履歴データ!$B$599+履歴データ!$F$599)/2)*100)</f>
        <v>1.499999999999968</v>
      </c>
      <c r="C599" s="28">
        <f>IF(履歴データ!$A$599="","",(履歴データ!$H$599-(履歴データ!$G$599+履歴データ!$J$599)/2)*100)</f>
        <v>-29.500000000000014</v>
      </c>
      <c r="D599" s="28">
        <f>IF(履歴データ!$A$599="","",(履歴データ!$D$599-履歴データ!$H$599)*100)</f>
        <v>296.7</v>
      </c>
      <c r="E599" s="28">
        <f>IF(履歴データ!$A$599="","",(履歴データ!$D$599-履歴データ!$C$599)*100)</f>
        <v>42.999999999999972</v>
      </c>
      <c r="F599" s="28">
        <f>IF(履歴データ!$A$599="","",(履歴データ!$R$599-履歴データ!$D$599)*100)</f>
        <v>-294.43</v>
      </c>
      <c r="G599" s="28">
        <f>IF(履歴データ!$A$599="","",(履歴データ!$S$599-履歴データ!$R$599)*100)</f>
        <v>8.6906428222655485</v>
      </c>
      <c r="H599" s="29">
        <f>IF(履歴データ!$A$599="","",履歴データ!$O$599)</f>
        <v>143.85800170898438</v>
      </c>
      <c r="I599" s="29">
        <f>IF(履歴データ!$A$599="","",履歴データ!$Q$599)</f>
        <v>109.828125</v>
      </c>
      <c r="J599" s="29">
        <f>IF(履歴データ!$A$599="","",履歴データ!$D$599)</f>
        <v>4.54</v>
      </c>
      <c r="K599" s="28">
        <f>IF(OR(履歴データ!$A$599="",履歴データ!$A$598=""),"",B599-B598)</f>
        <v>-2.5000000000000355</v>
      </c>
      <c r="L599" s="28">
        <f>IF(OR(履歴データ!$A$599="",履歴データ!$A$598=""),"",C599-C598)</f>
        <v>2.2999999999999687</v>
      </c>
      <c r="M599" s="28">
        <f>IF(OR(履歴データ!$A$599="",履歴データ!$A$598=""),"",D599-D598)</f>
        <v>-8.3000000000000114</v>
      </c>
      <c r="N599" s="28">
        <f>IF(OR(履歴データ!$A$599="",履歴データ!$A$598=""),"",E599-E598)</f>
        <v>0</v>
      </c>
      <c r="O599" s="28">
        <f>IF(OR(履歴データ!$A$599="",履歴データ!$A$598=""),"",F599-F598)</f>
        <v>5.8600000000000136</v>
      </c>
      <c r="P599" s="28">
        <f>IF(OR(履歴データ!$A$599="",履歴データ!$A$598=""),"",G599-G598)</f>
        <v>-4.8417143554687634</v>
      </c>
      <c r="Q599" s="29">
        <f>IF(OR(履歴データ!$A$599="",履歴データ!$A$598=""),"",H599-H598)</f>
        <v>0.102996826171875</v>
      </c>
      <c r="R599" s="29">
        <f>IF(OR(履歴データ!$A$599="",履歴データ!$A$598=""),"",I599-I598)</f>
        <v>0.328125</v>
      </c>
      <c r="S599" s="28">
        <f>IF(OR(履歴データ!$A$599="",履歴データ!$A$598=""),"",(J599-J598)*100)</f>
        <v>-4.0000000000000036</v>
      </c>
      <c r="T599" s="11">
        <f>IF(OR(履歴データ!$A$599="",履歴データ!$A$598=""),"",-80000*K599)</f>
        <v>200000.00000000285</v>
      </c>
      <c r="U599" s="11">
        <f>IF(OR(履歴データ!$A$599="",履歴データ!$A$598=""),"",60000*L599)</f>
        <v>137999.99999999814</v>
      </c>
      <c r="V599" s="11">
        <f>IF(OR(履歴データ!$A$599="",履歴データ!$A$598=""),"",-50000*M599)</f>
        <v>415000.00000000058</v>
      </c>
      <c r="W599" s="11">
        <f>IF(OR(履歴データ!$A$599="",履歴データ!$A$598=""),"",-40000*N599)</f>
        <v>0</v>
      </c>
      <c r="X599" s="11">
        <f>IF(OR(履歴データ!$A$599="",履歴データ!$A$598=""),"",120*1000000*(-Q599/H598))</f>
        <v>-85976.965815558389</v>
      </c>
      <c r="Y599" s="11">
        <f>IF(OR(履歴データ!$A$599="",履歴データ!$A$598=""),"",40000*(-S599)+(-506.3)*R599*1000)</f>
        <v>-6129.6874999998836</v>
      </c>
      <c r="Z599" s="11">
        <f>IF(OR(履歴データ!$A$599="",履歴データ!$A$598=""),"",-40000*O599)</f>
        <v>-234400.00000000055</v>
      </c>
      <c r="AA599" s="11">
        <f>IF(OR(履歴データ!$A$599="",履歴データ!$A$598=""),"",-40000*P599)</f>
        <v>193668.57421875052</v>
      </c>
      <c r="AB599" s="11">
        <f>IF(履歴データ!$A$599="","",123.3)</f>
        <v>123.3</v>
      </c>
      <c r="AC599">
        <f>IF(履歴データ!$A$599="","",SUM(T599:AA599))</f>
        <v>620161.9209031933</v>
      </c>
      <c r="AD599" s="29">
        <f>IF(履歴データ!$A$599="","",AC599/1000000)</f>
        <v>0.62016192090319333</v>
      </c>
      <c r="AE599" s="29">
        <f>IF(履歴データ!$A$599="",AE598,AE598+AC599/1000000)</f>
        <v>78.901090842527495</v>
      </c>
      <c r="AF599" s="12">
        <f>IF(OR(履歴データ!$A$599="",AE598=0),"",(AE599-AE598)/AE598)</f>
        <v>7.9222606252426185E-3</v>
      </c>
      <c r="AG599" s="29">
        <f t="shared" si="29"/>
        <v>102.17217746631495</v>
      </c>
      <c r="AH599" s="12">
        <f>IF(OR(履歴データ!$A$599="",AG599=0),"",AE599/AG599-1)</f>
        <v>-0.22776344011518868</v>
      </c>
      <c r="AJ599" s="28">
        <f t="shared" ca="1" si="27"/>
        <v>15.250462743292921</v>
      </c>
      <c r="AK599" s="28">
        <f t="shared" ca="1" si="28"/>
        <v>-30.802050044880225</v>
      </c>
    </row>
    <row r="600" spans="1:37">
      <c r="A600" s="10">
        <f>IF(履歴データ!$A$600="","",履歴データ!$A$600)</f>
        <v>45800</v>
      </c>
      <c r="B600" s="28">
        <f>IF(履歴データ!$A$600="","",(履歴データ!$D$600-(履歴データ!$B$600+履歴データ!$F$600)/2)*100)</f>
        <v>-0.99999999999997868</v>
      </c>
      <c r="C600" s="28">
        <f>IF(履歴データ!$A$600="","",(履歴データ!$H$600-(履歴データ!$G$600+履歴データ!$J$600)/2)*100)</f>
        <v>-26.899999999999991</v>
      </c>
      <c r="D600" s="28">
        <f>IF(履歴データ!$A$600="","",(履歴データ!$D$600-履歴データ!$H$600)*100)</f>
        <v>295.09999999999997</v>
      </c>
      <c r="E600" s="28">
        <f>IF(履歴データ!$A$600="","",(履歴データ!$D$600-履歴データ!$C$600)*100)</f>
        <v>42.999999999999972</v>
      </c>
      <c r="F600" s="28">
        <f>IF(履歴データ!$A$600="","",(履歴データ!$R$600-履歴データ!$D$600)*100)</f>
        <v>-286.85999999999996</v>
      </c>
      <c r="G600" s="28">
        <f>IF(履歴データ!$A$600="","",(履歴データ!$S$600-履歴データ!$R$600)*100)</f>
        <v>5.5238214111326123</v>
      </c>
      <c r="H600" s="29">
        <f>IF(履歴データ!$A$600="","",履歴データ!$O$600)</f>
        <v>143.85800170898438</v>
      </c>
      <c r="I600" s="29">
        <f>IF(履歴データ!$A$600="","",履歴データ!$Q$600)</f>
        <v>110.078125</v>
      </c>
      <c r="J600" s="29">
        <f>IF(履歴データ!$A$600="","",履歴データ!$D$600)</f>
        <v>4.51</v>
      </c>
      <c r="K600" s="28">
        <f>IF(OR(履歴データ!$A$600="",履歴データ!$A$599=""),"",B600-B599)</f>
        <v>-2.4999999999999467</v>
      </c>
      <c r="L600" s="28">
        <f>IF(OR(履歴データ!$A$600="",履歴データ!$A$599=""),"",C600-C599)</f>
        <v>2.6000000000000227</v>
      </c>
      <c r="M600" s="28">
        <f>IF(OR(履歴データ!$A$600="",履歴データ!$A$599=""),"",D600-D599)</f>
        <v>-1.6000000000000227</v>
      </c>
      <c r="N600" s="28">
        <f>IF(OR(履歴データ!$A$600="",履歴データ!$A$599=""),"",E600-E599)</f>
        <v>0</v>
      </c>
      <c r="O600" s="28">
        <f>IF(OR(履歴データ!$A$600="",履歴データ!$A$599=""),"",F600-F599)</f>
        <v>7.57000000000005</v>
      </c>
      <c r="P600" s="28">
        <f>IF(OR(履歴データ!$A$600="",履歴データ!$A$599=""),"",G600-G599)</f>
        <v>-3.1668214111329362</v>
      </c>
      <c r="Q600" s="29">
        <f>IF(OR(履歴データ!$A$600="",履歴データ!$A$599=""),"",H600-H599)</f>
        <v>0</v>
      </c>
      <c r="R600" s="29">
        <f>IF(OR(履歴データ!$A$600="",履歴データ!$A$599=""),"",I600-I599)</f>
        <v>0.25</v>
      </c>
      <c r="S600" s="28">
        <f>IF(OR(履歴データ!$A$600="",履歴データ!$A$599=""),"",(J600-J599)*100)</f>
        <v>-3.0000000000000249</v>
      </c>
      <c r="T600" s="11">
        <f>IF(OR(履歴データ!$A$600="",履歴データ!$A$599=""),"",-80000*K600)</f>
        <v>199999.99999999575</v>
      </c>
      <c r="U600" s="11">
        <f>IF(OR(履歴データ!$A$600="",履歴データ!$A$599=""),"",60000*L600)</f>
        <v>156000.00000000137</v>
      </c>
      <c r="V600" s="11">
        <f>IF(OR(履歴データ!$A$600="",履歴データ!$A$599=""),"",-50000*M600)</f>
        <v>80000.000000001135</v>
      </c>
      <c r="W600" s="11">
        <f>IF(OR(履歴データ!$A$600="",履歴データ!$A$599=""),"",-40000*N600)</f>
        <v>0</v>
      </c>
      <c r="X600" s="11">
        <f>IF(OR(履歴データ!$A$600="",履歴データ!$A$599=""),"",120*1000000*(-Q600/H599))</f>
        <v>0</v>
      </c>
      <c r="Y600" s="11">
        <f>IF(OR(履歴データ!$A$600="",履歴データ!$A$599=""),"",40000*(-S600)+(-506.3)*R600*1000)</f>
        <v>-6574.9999999990105</v>
      </c>
      <c r="Z600" s="11">
        <f>IF(OR(履歴データ!$A$600="",履歴データ!$A$599=""),"",-40000*O600)</f>
        <v>-302800.00000000198</v>
      </c>
      <c r="AA600" s="11">
        <f>IF(OR(履歴データ!$A$600="",履歴データ!$A$599=""),"",-40000*P600)</f>
        <v>126672.85644531745</v>
      </c>
      <c r="AB600" s="11">
        <f>IF(履歴データ!$A$600="","",123.3)</f>
        <v>123.3</v>
      </c>
      <c r="AC600">
        <f>IF(履歴データ!$A$600="","",SUM(T600:AA600))</f>
        <v>253297.85644531471</v>
      </c>
      <c r="AD600" s="29">
        <f>IF(履歴データ!$A$600="","",AC600/1000000)</f>
        <v>0.25329785644531472</v>
      </c>
      <c r="AE600" s="29">
        <f>IF(履歴データ!$A$600="",AE599,AE599+AC600/1000000)</f>
        <v>79.154388698972809</v>
      </c>
      <c r="AF600" s="12">
        <f>IF(OR(履歴データ!$A$600="",AE599=0),"",(AE600-AE599)/AE599)</f>
        <v>3.2103213496864308E-3</v>
      </c>
      <c r="AG600" s="29">
        <f t="shared" si="29"/>
        <v>102.17217746631495</v>
      </c>
      <c r="AH600" s="12">
        <f>IF(OR(履歴データ!$A$600="",AG600=0),"",AE600/AG600-1)</f>
        <v>-0.22528431259998205</v>
      </c>
      <c r="AJ600" s="28">
        <f t="shared" ca="1" si="27"/>
        <v>15.249551459384222</v>
      </c>
      <c r="AK600" s="28">
        <f t="shared" ca="1" si="28"/>
        <v>-30.602726062558823</v>
      </c>
    </row>
    <row r="601" spans="1:37">
      <c r="A601" s="10">
        <f>IF(履歴データ!$A$601="","",履歴データ!$A$601)</f>
        <v>45804</v>
      </c>
      <c r="B601" s="28">
        <f>IF(履歴データ!$A$601="","",(履歴データ!$D$601-(履歴データ!$B$601+履歴データ!$F$601)/2)*100)</f>
        <v>0</v>
      </c>
      <c r="C601" s="28">
        <f>IF(履歴データ!$A$601="","",(履歴データ!$H$601-(履歴データ!$G$601+履歴データ!$J$601)/2)*100)</f>
        <v>-26.199999999999978</v>
      </c>
      <c r="D601" s="28">
        <f>IF(履歴データ!$A$601="","",(履歴データ!$D$601-履歴データ!$H$601)*100)</f>
        <v>295.09999999999997</v>
      </c>
      <c r="E601" s="28">
        <f>IF(履歴データ!$A$601="","",(履歴データ!$D$601-履歴データ!$C$601)*100)</f>
        <v>38.999999999999972</v>
      </c>
      <c r="F601" s="28">
        <f>IF(履歴データ!$A$601="","",(履歴データ!$R$601-履歴データ!$D$601)*100)</f>
        <v>-283.17999999999995</v>
      </c>
      <c r="G601" s="28">
        <f>IF(履歴データ!$A$601="","",(履歴データ!$S$601-履歴データ!$R$601)*100)</f>
        <v>-1.031000000000204</v>
      </c>
      <c r="H601" s="29">
        <f>IF(履歴データ!$A$601="","",履歴データ!$O$601)</f>
        <v>144.177001953125</v>
      </c>
      <c r="I601" s="29">
        <f>IF(履歴データ!$A$601="","",履歴データ!$Q$601)</f>
        <v>110.515625</v>
      </c>
      <c r="J601" s="29">
        <f>IF(履歴データ!$A$601="","",履歴データ!$D$601)</f>
        <v>4.43</v>
      </c>
      <c r="K601" s="28">
        <f>IF(OR(履歴データ!$A$601="",履歴データ!$A$600=""),"",B601-B600)</f>
        <v>0.99999999999997868</v>
      </c>
      <c r="L601" s="28">
        <f>IF(OR(履歴データ!$A$601="",履歴データ!$A$600=""),"",C601-C600)</f>
        <v>0.7000000000000135</v>
      </c>
      <c r="M601" s="28">
        <f>IF(OR(履歴データ!$A$601="",履歴データ!$A$600=""),"",D601-D600)</f>
        <v>0</v>
      </c>
      <c r="N601" s="28">
        <f>IF(OR(履歴データ!$A$601="",履歴データ!$A$600=""),"",E601-E600)</f>
        <v>-4</v>
      </c>
      <c r="O601" s="28">
        <f>IF(OR(履歴データ!$A$601="",履歴データ!$A$600=""),"",F601-F600)</f>
        <v>3.6800000000000068</v>
      </c>
      <c r="P601" s="28">
        <f>IF(OR(履歴データ!$A$601="",履歴データ!$A$600=""),"",G601-G600)</f>
        <v>-6.5548214111328162</v>
      </c>
      <c r="Q601" s="29">
        <f>IF(OR(履歴データ!$A$601="",履歴データ!$A$600=""),"",H601-H600)</f>
        <v>0.319000244140625</v>
      </c>
      <c r="R601" s="29">
        <f>IF(OR(履歴データ!$A$601="",履歴データ!$A$600=""),"",I601-I600)</f>
        <v>0.4375</v>
      </c>
      <c r="S601" s="28">
        <f>IF(OR(履歴データ!$A$601="",履歴データ!$A$600=""),"",(J601-J600)*100)</f>
        <v>-8.0000000000000071</v>
      </c>
      <c r="T601" s="11">
        <f>IF(OR(履歴データ!$A$601="",履歴データ!$A$600=""),"",-80000*K601)</f>
        <v>-79999.999999998297</v>
      </c>
      <c r="U601" s="11">
        <f>IF(OR(履歴データ!$A$601="",履歴データ!$A$600=""),"",60000*L601)</f>
        <v>42000.000000000808</v>
      </c>
      <c r="V601" s="11">
        <f>IF(OR(履歴データ!$A$601="",履歴データ!$A$600=""),"",-50000*M601)</f>
        <v>0</v>
      </c>
      <c r="W601" s="11">
        <f>IF(OR(履歴データ!$A$601="",履歴データ!$A$600=""),"",-40000*N601)</f>
        <v>160000</v>
      </c>
      <c r="X601" s="11">
        <f>IF(OR(履歴データ!$A$601="",履歴データ!$A$600=""),"",120*1000000*(-Q601/H600))</f>
        <v>-266095.9337827664</v>
      </c>
      <c r="Y601" s="11">
        <f>IF(OR(履歴データ!$A$601="",履歴データ!$A$600=""),"",40000*(-S601)+(-506.3)*R601*1000)</f>
        <v>98493.750000000291</v>
      </c>
      <c r="Z601" s="11">
        <f>IF(OR(履歴データ!$A$601="",履歴データ!$A$600=""),"",-40000*O601)</f>
        <v>-147200.00000000026</v>
      </c>
      <c r="AA601" s="11">
        <f>IF(OR(履歴データ!$A$601="",履歴データ!$A$600=""),"",-40000*P601)</f>
        <v>262192.85644531267</v>
      </c>
      <c r="AB601" s="11">
        <f>IF(履歴データ!$A$601="","",123.3)</f>
        <v>123.3</v>
      </c>
      <c r="AC601">
        <f>IF(履歴データ!$A$601="","",SUM(T601:AA601))</f>
        <v>69390.672662548808</v>
      </c>
      <c r="AD601" s="29">
        <f>IF(履歴データ!$A$601="","",AC601/1000000)</f>
        <v>6.9390672662548808E-2</v>
      </c>
      <c r="AE601" s="29">
        <f>IF(履歴データ!$A$601="",AE600,AE600+AC601/1000000)</f>
        <v>79.223779371635359</v>
      </c>
      <c r="AF601" s="12">
        <f>IF(OR(履歴データ!$A$601="",AE600=0),"",(AE601-AE600)/AE600)</f>
        <v>8.7664971965667438E-4</v>
      </c>
      <c r="AG601" s="29">
        <f t="shared" si="29"/>
        <v>102.17217746631495</v>
      </c>
      <c r="AH601" s="12">
        <f>IF(OR(履歴データ!$A$601="",AG601=0),"",AE601/AG601-1)</f>
        <v>-0.22460515830980921</v>
      </c>
      <c r="AJ601" s="28">
        <f t="shared" ca="1" si="27"/>
        <v>15.241237672072973</v>
      </c>
      <c r="AK601" s="28">
        <f t="shared" ca="1" si="28"/>
        <v>-30.376158306993606</v>
      </c>
    </row>
    <row r="602" spans="1:37">
      <c r="A602" s="10">
        <f>IF(履歴データ!$A$602="","",履歴データ!$A$602)</f>
        <v>45805</v>
      </c>
      <c r="B602" s="28">
        <f>IF(履歴データ!$A$602="","",(履歴データ!$D$602-(履歴データ!$B$602+履歴データ!$F$602)/2)*100)</f>
        <v>0.49999999999998934</v>
      </c>
      <c r="C602" s="28">
        <f>IF(履歴データ!$A$602="","",(履歴データ!$H$602-(履歴データ!$G$602+履歴データ!$J$602)/2)*100)</f>
        <v>-24.350000000000005</v>
      </c>
      <c r="D602" s="28">
        <f>IF(履歴データ!$A$602="","",(履歴データ!$D$602-履歴データ!$H$602)*100)</f>
        <v>293.89999999999998</v>
      </c>
      <c r="E602" s="28">
        <f>IF(履歴データ!$A$602="","",(履歴データ!$D$602-履歴データ!$C$602)*100)</f>
        <v>41.999999999999993</v>
      </c>
      <c r="F602" s="28">
        <f>IF(履歴データ!$A$602="","",(履歴データ!$R$602-履歴データ!$D$602)*100)</f>
        <v>-290.44</v>
      </c>
      <c r="G602" s="28">
        <f>IF(履歴データ!$A$602="","",(履歴データ!$S$602-履歴データ!$R$602)*100)</f>
        <v>7.8418214111326767</v>
      </c>
      <c r="H602" s="29">
        <f>IF(履歴データ!$A$602="","",履歴データ!$O$602)</f>
        <v>145.69700622558594</v>
      </c>
      <c r="I602" s="29">
        <f>IF(履歴データ!$A$602="","",履歴データ!$Q$602)</f>
        <v>110.21875</v>
      </c>
      <c r="J602" s="29">
        <f>IF(履歴データ!$A$602="","",履歴データ!$D$602)</f>
        <v>4.47</v>
      </c>
      <c r="K602" s="28">
        <f>IF(OR(履歴データ!$A$602="",履歴データ!$A$601=""),"",B602-B601)</f>
        <v>0.49999999999998934</v>
      </c>
      <c r="L602" s="28">
        <f>IF(OR(履歴データ!$A$602="",履歴データ!$A$601=""),"",C602-C601)</f>
        <v>1.849999999999973</v>
      </c>
      <c r="M602" s="28">
        <f>IF(OR(履歴データ!$A$602="",履歴データ!$A$601=""),"",D602-D601)</f>
        <v>-1.1999999999999886</v>
      </c>
      <c r="N602" s="28">
        <f>IF(OR(履歴データ!$A$602="",履歴データ!$A$601=""),"",E602-E601)</f>
        <v>3.0000000000000213</v>
      </c>
      <c r="O602" s="28">
        <f>IF(OR(履歴データ!$A$602="",履歴データ!$A$601=""),"",F602-F601)</f>
        <v>-7.2600000000000477</v>
      </c>
      <c r="P602" s="28">
        <f>IF(OR(履歴データ!$A$602="",履歴データ!$A$601=""),"",G602-G601)</f>
        <v>8.8728214111328807</v>
      </c>
      <c r="Q602" s="29">
        <f>IF(OR(履歴データ!$A$602="",履歴データ!$A$601=""),"",H602-H601)</f>
        <v>1.5200042724609375</v>
      </c>
      <c r="R602" s="29">
        <f>IF(OR(履歴データ!$A$602="",履歴データ!$A$601=""),"",I602-I601)</f>
        <v>-0.296875</v>
      </c>
      <c r="S602" s="28">
        <f>IF(OR(履歴データ!$A$602="",履歴データ!$A$601=""),"",(J602-J601)*100)</f>
        <v>4.0000000000000036</v>
      </c>
      <c r="T602" s="11">
        <f>IF(OR(履歴データ!$A$602="",履歴データ!$A$601=""),"",-80000*K602)</f>
        <v>-39999.999999999149</v>
      </c>
      <c r="U602" s="11">
        <f>IF(OR(履歴データ!$A$602="",履歴データ!$A$601=""),"",60000*L602)</f>
        <v>110999.99999999838</v>
      </c>
      <c r="V602" s="11">
        <f>IF(OR(履歴データ!$A$602="",履歴データ!$A$601=""),"",-50000*M602)</f>
        <v>59999.999999999432</v>
      </c>
      <c r="W602" s="11">
        <f>IF(OR(履歴データ!$A$602="",履歴データ!$A$601=""),"",-40000*N602)</f>
        <v>-120000.00000000086</v>
      </c>
      <c r="X602" s="11">
        <f>IF(OR(履歴データ!$A$602="",履歴データ!$A$601=""),"",120*1000000*(-Q602/H601))</f>
        <v>-1265115.1724920371</v>
      </c>
      <c r="Y602" s="11">
        <f>IF(OR(履歴データ!$A$602="",履歴データ!$A$601=""),"",40000*(-S602)+(-506.3)*R602*1000)</f>
        <v>-9692.1875000001455</v>
      </c>
      <c r="Z602" s="11">
        <f>IF(OR(履歴データ!$A$602="",履歴データ!$A$601=""),"",-40000*O602)</f>
        <v>290400.00000000192</v>
      </c>
      <c r="AA602" s="11">
        <f>IF(OR(履歴データ!$A$602="",履歴データ!$A$601=""),"",-40000*P602)</f>
        <v>-354912.85644531524</v>
      </c>
      <c r="AB602" s="11">
        <f>IF(履歴データ!$A$602="","",123.3)</f>
        <v>123.3</v>
      </c>
      <c r="AC602">
        <f>IF(履歴データ!$A$602="","",SUM(T602:AA602))</f>
        <v>-1328320.2164373528</v>
      </c>
      <c r="AD602" s="29">
        <f>IF(履歴データ!$A$602="","",AC602/1000000)</f>
        <v>-1.3283202164373529</v>
      </c>
      <c r="AE602" s="29">
        <f>IF(履歴データ!$A$602="",AE601,AE601+AC602/1000000)</f>
        <v>77.895459155198012</v>
      </c>
      <c r="AF602" s="12">
        <f>IF(OR(履歴データ!$A$602="",AE601=0),"",(AE602-AE601)/AE601)</f>
        <v>-1.6766685797786222E-2</v>
      </c>
      <c r="AG602" s="29">
        <f t="shared" si="29"/>
        <v>102.17217746631495</v>
      </c>
      <c r="AH602" s="12">
        <f>IF(OR(履歴データ!$A$602="",AG602=0),"",AE602/AG602-1)</f>
        <v>-0.23760595998965284</v>
      </c>
      <c r="AJ602" s="28">
        <f t="shared" ca="1" si="27"/>
        <v>15.234899028915859</v>
      </c>
      <c r="AK602" s="28">
        <f t="shared" ca="1" si="28"/>
        <v>-30.14759744161427</v>
      </c>
    </row>
    <row r="603" spans="1:37">
      <c r="A603" s="10">
        <f>IF(履歴データ!$A$603="","",履歴データ!$A$603)</f>
        <v>45806</v>
      </c>
      <c r="B603" s="28">
        <f>IF(履歴データ!$A$603="","",(履歴データ!$D$603-(履歴データ!$B$603+履歴データ!$F$603)/2)*100)</f>
        <v>0.99999999999997868</v>
      </c>
      <c r="C603" s="28">
        <f>IF(履歴データ!$A$603="","",(履歴データ!$H$603-(履歴データ!$G$603+履歴データ!$J$603)/2)*100)</f>
        <v>-27.350000000000009</v>
      </c>
      <c r="D603" s="28">
        <f>IF(履歴データ!$A$603="","",(履歴データ!$D$603-履歴データ!$H$603)*100)</f>
        <v>289.79999999999995</v>
      </c>
      <c r="E603" s="28">
        <f>IF(履歴データ!$A$603="","",(履歴データ!$D$603-履歴データ!$C$603)*100)</f>
        <v>42.999999999999972</v>
      </c>
      <c r="F603" s="28">
        <f>IF(履歴データ!$A$603="","",(履歴データ!$R$603-履歴データ!$D$603)*100)</f>
        <v>-286.17999999999995</v>
      </c>
      <c r="G603" s="28">
        <f>IF(履歴データ!$A$603="","",(履歴データ!$S$603-履歴データ!$R$603)*100)</f>
        <v>9.3358214111327165</v>
      </c>
      <c r="H603" s="29">
        <f>IF(履歴データ!$A$603="","",履歴データ!$O$603)</f>
        <v>143.77900695800781</v>
      </c>
      <c r="I603" s="29">
        <f>IF(履歴データ!$A$603="","",履歴データ!$Q$603)</f>
        <v>110.640625</v>
      </c>
      <c r="J603" s="29">
        <f>IF(履歴データ!$A$603="","",履歴データ!$D$603)</f>
        <v>4.43</v>
      </c>
      <c r="K603" s="28">
        <f>IF(OR(履歴データ!$A$603="",履歴データ!$A$602=""),"",B603-B602)</f>
        <v>0.49999999999998934</v>
      </c>
      <c r="L603" s="28">
        <f>IF(OR(履歴データ!$A$603="",履歴データ!$A$602=""),"",C603-C602)</f>
        <v>-3.0000000000000036</v>
      </c>
      <c r="M603" s="28">
        <f>IF(OR(履歴データ!$A$603="",履歴データ!$A$602=""),"",D603-D602)</f>
        <v>-4.1000000000000227</v>
      </c>
      <c r="N603" s="28">
        <f>IF(OR(履歴データ!$A$603="",履歴データ!$A$602=""),"",E603-E602)</f>
        <v>0.99999999999997868</v>
      </c>
      <c r="O603" s="28">
        <f>IF(OR(履歴データ!$A$603="",履歴データ!$A$602=""),"",F603-F602)</f>
        <v>4.2600000000000477</v>
      </c>
      <c r="P603" s="28">
        <f>IF(OR(履歴データ!$A$603="",履歴データ!$A$602=""),"",G603-G602)</f>
        <v>1.4940000000000397</v>
      </c>
      <c r="Q603" s="29">
        <f>IF(OR(履歴データ!$A$603="",履歴データ!$A$602=""),"",H603-H602)</f>
        <v>-1.917999267578125</v>
      </c>
      <c r="R603" s="29">
        <f>IF(OR(履歴データ!$A$603="",履歴データ!$A$602=""),"",I603-I602)</f>
        <v>0.421875</v>
      </c>
      <c r="S603" s="28">
        <f>IF(OR(履歴データ!$A$603="",履歴データ!$A$602=""),"",(J603-J602)*100)</f>
        <v>-4.0000000000000036</v>
      </c>
      <c r="T603" s="11">
        <f>IF(OR(履歴データ!$A$603="",履歴データ!$A$602=""),"",-80000*K603)</f>
        <v>-39999.999999999149</v>
      </c>
      <c r="U603" s="11">
        <f>IF(OR(履歴データ!$A$603="",履歴データ!$A$602=""),"",60000*L603)</f>
        <v>-180000.0000000002</v>
      </c>
      <c r="V603" s="11">
        <f>IF(OR(履歴データ!$A$603="",履歴データ!$A$602=""),"",-50000*M603)</f>
        <v>205000.00000000114</v>
      </c>
      <c r="W603" s="11">
        <f>IF(OR(履歴データ!$A$603="",履歴データ!$A$602=""),"",-40000*N603)</f>
        <v>-39999.999999999149</v>
      </c>
      <c r="X603" s="11">
        <f>IF(OR(履歴データ!$A$603="",履歴データ!$A$602=""),"",120*1000000*(-Q603/H602))</f>
        <v>1579716.1387998136</v>
      </c>
      <c r="Y603" s="11">
        <f>IF(OR(履歴データ!$A$603="",履歴データ!$A$602=""),"",40000*(-S603)+(-506.3)*R603*1000)</f>
        <v>-53595.312499999854</v>
      </c>
      <c r="Z603" s="11">
        <f>IF(OR(履歴データ!$A$603="",履歴データ!$A$602=""),"",-40000*O603)</f>
        <v>-170400.00000000192</v>
      </c>
      <c r="AA603" s="11">
        <f>IF(OR(履歴データ!$A$603="",履歴データ!$A$602=""),"",-40000*P603)</f>
        <v>-59760.000000001586</v>
      </c>
      <c r="AB603" s="11">
        <f>IF(履歴データ!$A$603="","",123.3)</f>
        <v>123.3</v>
      </c>
      <c r="AC603">
        <f>IF(履歴データ!$A$603="","",SUM(T603:AA603))</f>
        <v>1240960.8262998129</v>
      </c>
      <c r="AD603" s="29">
        <f>IF(履歴データ!$A$603="","",AC603/1000000)</f>
        <v>1.2409608262998129</v>
      </c>
      <c r="AE603" s="29">
        <f>IF(履歴データ!$A$603="",AE602,AE602+AC603/1000000)</f>
        <v>79.136419981497824</v>
      </c>
      <c r="AF603" s="12">
        <f>IF(OR(履歴データ!$A$603="",AE602=0),"",(AE603-AE602)/AE602)</f>
        <v>1.5931106122981264E-2</v>
      </c>
      <c r="AG603" s="29">
        <f t="shared" si="29"/>
        <v>102.17217746631495</v>
      </c>
      <c r="AH603" s="12">
        <f>IF(OR(履歴データ!$A$603="",AG603=0),"",AE603/AG603-1)</f>
        <v>-0.22546017963071951</v>
      </c>
      <c r="AJ603" s="28">
        <f t="shared" ca="1" si="27"/>
        <v>15.230594219856478</v>
      </c>
      <c r="AK603" s="28">
        <f t="shared" ca="1" si="28"/>
        <v>-29.917102156364415</v>
      </c>
    </row>
    <row r="604" spans="1:37">
      <c r="A604" s="10">
        <f>IF(履歴データ!$A$604="","",履歴データ!$A$604)</f>
        <v>45807</v>
      </c>
      <c r="B604" s="28">
        <f>IF(履歴データ!$A$604="","",(履歴データ!$D$604-(履歴データ!$B$604+履歴データ!$F$604)/2)*100)</f>
        <v>0.49999999999998934</v>
      </c>
      <c r="C604" s="28">
        <f>IF(履歴データ!$A$604="","",(履歴データ!$H$604-(履歴データ!$G$604+履歴データ!$J$604)/2)*100)</f>
        <v>-28.000000000000004</v>
      </c>
      <c r="D604" s="28">
        <f>IF(履歴データ!$A$604="","",(履歴データ!$D$604-履歴データ!$H$604)*100)</f>
        <v>289.20000000000005</v>
      </c>
      <c r="E604" s="28">
        <f>IF(履歴データ!$A$604="","",(履歴データ!$D$604-履歴データ!$C$604)*100)</f>
        <v>45.000000000000014</v>
      </c>
      <c r="F604" s="28">
        <f>IF(履歴データ!$A$604="","",(履歴データ!$R$604-履歴データ!$D$604)*100)</f>
        <v>-293.63</v>
      </c>
      <c r="G604" s="28">
        <f>IF(履歴データ!$A$604="","",(履歴データ!$S$604-履歴データ!$R$604)*100)</f>
        <v>12.646821411132603</v>
      </c>
      <c r="H604" s="29">
        <f>IF(履歴データ!$A$604="","",履歴データ!$O$604)</f>
        <v>143.77900695800781</v>
      </c>
      <c r="I604" s="29">
        <f>IF(履歴データ!$A$604="","",履歴データ!$Q$604)</f>
        <v>110.71875</v>
      </c>
      <c r="J604" s="29">
        <f>IF(履歴データ!$A$604="","",履歴データ!$D$604)</f>
        <v>4.41</v>
      </c>
      <c r="K604" s="28">
        <f>IF(OR(履歴データ!$A$604="",履歴データ!$A$603=""),"",B604-B603)</f>
        <v>-0.49999999999998934</v>
      </c>
      <c r="L604" s="28">
        <f>IF(OR(履歴データ!$A$604="",履歴データ!$A$603=""),"",C604-C603)</f>
        <v>-0.64999999999999503</v>
      </c>
      <c r="M604" s="28">
        <f>IF(OR(履歴データ!$A$604="",履歴データ!$A$603=""),"",D604-D603)</f>
        <v>-0.59999999999990905</v>
      </c>
      <c r="N604" s="28">
        <f>IF(OR(履歴データ!$A$604="",履歴データ!$A$603=""),"",E604-E603)</f>
        <v>2.0000000000000426</v>
      </c>
      <c r="O604" s="28">
        <f>IF(OR(履歴データ!$A$604="",履歴データ!$A$603=""),"",F604-F603)</f>
        <v>-7.4500000000000455</v>
      </c>
      <c r="P604" s="28">
        <f>IF(OR(履歴データ!$A$604="",履歴データ!$A$603=""),"",G604-G603)</f>
        <v>3.3109999999998863</v>
      </c>
      <c r="Q604" s="29">
        <f>IF(OR(履歴データ!$A$604="",履歴データ!$A$603=""),"",H604-H603)</f>
        <v>0</v>
      </c>
      <c r="R604" s="29">
        <f>IF(OR(履歴データ!$A$604="",履歴データ!$A$603=""),"",I604-I603)</f>
        <v>7.8125E-2</v>
      </c>
      <c r="S604" s="28">
        <f>IF(OR(履歴データ!$A$604="",履歴データ!$A$603=""),"",(J604-J603)*100)</f>
        <v>-1.9999999999999574</v>
      </c>
      <c r="T604" s="11">
        <f>IF(OR(履歴データ!$A$604="",履歴データ!$A$603=""),"",-80000*K604)</f>
        <v>39999.999999999149</v>
      </c>
      <c r="U604" s="11">
        <f>IF(OR(履歴データ!$A$604="",履歴データ!$A$603=""),"",60000*L604)</f>
        <v>-38999.999999999702</v>
      </c>
      <c r="V604" s="11">
        <f>IF(OR(履歴データ!$A$604="",履歴データ!$A$603=""),"",-50000*M604)</f>
        <v>29999.999999995453</v>
      </c>
      <c r="W604" s="11">
        <f>IF(OR(履歴データ!$A$604="",履歴データ!$A$603=""),"",-40000*N604)</f>
        <v>-80000.000000001703</v>
      </c>
      <c r="X604" s="11">
        <f>IF(OR(履歴データ!$A$604="",履歴データ!$A$603=""),"",120*1000000*(-Q604/H603))</f>
        <v>0</v>
      </c>
      <c r="Y604" s="11">
        <f>IF(OR(履歴データ!$A$604="",履歴データ!$A$603=""),"",40000*(-S604)+(-506.3)*R604*1000)</f>
        <v>40445.312499998297</v>
      </c>
      <c r="Z604" s="11">
        <f>IF(OR(履歴データ!$A$604="",履歴データ!$A$603=""),"",-40000*O604)</f>
        <v>298000.0000000018</v>
      </c>
      <c r="AA604" s="11">
        <f>IF(OR(履歴データ!$A$604="",履歴データ!$A$603=""),"",-40000*P604)</f>
        <v>-132439.99999999546</v>
      </c>
      <c r="AB604" s="11">
        <f>IF(履歴データ!$A$604="","",123.3)</f>
        <v>123.3</v>
      </c>
      <c r="AC604">
        <f>IF(履歴データ!$A$604="","",SUM(T604:AA604))</f>
        <v>157005.31249999785</v>
      </c>
      <c r="AD604" s="29">
        <f>IF(履歴データ!$A$604="","",AC604/1000000)</f>
        <v>0.15700531249999786</v>
      </c>
      <c r="AE604" s="29">
        <f>IF(履歴データ!$A$604="",AE603,AE603+AC604/1000000)</f>
        <v>79.293425293997828</v>
      </c>
      <c r="AF604" s="12">
        <f>IF(OR(履歴データ!$A$604="",AE603=0),"",(AE604-AE603)/AE603)</f>
        <v>1.9839830072767052E-3</v>
      </c>
      <c r="AG604" s="29">
        <f t="shared" si="29"/>
        <v>102.17217746631495</v>
      </c>
      <c r="AH604" s="12">
        <f>IF(OR(履歴データ!$A$604="",AG604=0),"",AE604/AG604-1)</f>
        <v>-0.22392350578864773</v>
      </c>
      <c r="AJ604" s="28">
        <f t="shared" ca="1" si="27"/>
        <v>15.202130814135865</v>
      </c>
      <c r="AK604" s="28">
        <f t="shared" ca="1" si="28"/>
        <v>-29.654511766516819</v>
      </c>
    </row>
    <row r="605" spans="1:37">
      <c r="A605" s="10">
        <f>IF(履歴データ!$A$605="","",履歴データ!$A$605)</f>
        <v>45810</v>
      </c>
      <c r="B605" s="28">
        <f>IF(履歴データ!$A$605="","",(履歴データ!$D$605-(履歴データ!$B$605+履歴データ!$F$605)/2)*100)</f>
        <v>-0.49999999999998934</v>
      </c>
      <c r="C605" s="28">
        <f>IF(履歴データ!$A$605="","",(履歴データ!$H$605-(履歴データ!$G$605+履歴データ!$J$605)/2)*100)</f>
        <v>-26.500000000000014</v>
      </c>
      <c r="D605" s="28">
        <f>IF(履歴データ!$A$605="","",(履歴データ!$D$605-履歴データ!$H$605)*100)</f>
        <v>293.70000000000005</v>
      </c>
      <c r="E605" s="28">
        <f>IF(履歴データ!$A$605="","",(履歴データ!$D$605-履歴データ!$C$605)*100)</f>
        <v>45.000000000000014</v>
      </c>
      <c r="F605" s="28">
        <f>IF(履歴データ!$A$605="","",(履歴データ!$R$605-履歴データ!$D$605)*100)</f>
        <v>-299.58</v>
      </c>
      <c r="G605" s="28">
        <f>IF(履歴データ!$A$605="","",(履歴データ!$S$605-履歴データ!$R$605)*100)</f>
        <v>13.245999999999825</v>
      </c>
      <c r="H605" s="29">
        <f>IF(履歴データ!$A$605="","",履歴データ!$O$605)</f>
        <v>142.45199584960938</v>
      </c>
      <c r="I605" s="29">
        <f>IF(履歴データ!$A$605="","",履歴データ!$Q$605)</f>
        <v>110.46875</v>
      </c>
      <c r="J605" s="29">
        <f>IF(履歴データ!$A$605="","",履歴データ!$D$605)</f>
        <v>4.46</v>
      </c>
      <c r="K605" s="28">
        <f>IF(OR(履歴データ!$A$605="",履歴データ!$A$604=""),"",B605-B604)</f>
        <v>-0.99999999999997868</v>
      </c>
      <c r="L605" s="28">
        <f>IF(OR(履歴データ!$A$605="",履歴データ!$A$604=""),"",C605-C604)</f>
        <v>1.4999999999999893</v>
      </c>
      <c r="M605" s="28">
        <f>IF(OR(履歴データ!$A$605="",履歴データ!$A$604=""),"",D605-D604)</f>
        <v>4.5</v>
      </c>
      <c r="N605" s="28">
        <f>IF(OR(履歴データ!$A$605="",履歴データ!$A$604=""),"",E605-E604)</f>
        <v>0</v>
      </c>
      <c r="O605" s="28">
        <f>IF(OR(履歴データ!$A$605="",履歴データ!$A$604=""),"",F605-F604)</f>
        <v>-5.9499999999999886</v>
      </c>
      <c r="P605" s="28">
        <f>IF(OR(履歴データ!$A$605="",履歴データ!$A$604=""),"",G605-G604)</f>
        <v>0.59917858886722186</v>
      </c>
      <c r="Q605" s="29">
        <f>IF(OR(履歴データ!$A$605="",履歴データ!$A$604=""),"",H605-H604)</f>
        <v>-1.3270111083984375</v>
      </c>
      <c r="R605" s="29">
        <f>IF(OR(履歴データ!$A$605="",履歴データ!$A$604=""),"",I605-I604)</f>
        <v>-0.25</v>
      </c>
      <c r="S605" s="28">
        <f>IF(OR(履歴データ!$A$605="",履歴データ!$A$604=""),"",(J605-J604)*100)</f>
        <v>4.9999999999999822</v>
      </c>
      <c r="T605" s="11">
        <f>IF(OR(履歴データ!$A$605="",履歴データ!$A$604=""),"",-80000*K605)</f>
        <v>79999.999999998297</v>
      </c>
      <c r="U605" s="11">
        <f>IF(OR(履歴データ!$A$605="",履歴データ!$A$604=""),"",60000*L605)</f>
        <v>89999.99999999936</v>
      </c>
      <c r="V605" s="11">
        <f>IF(OR(履歴データ!$A$605="",履歴データ!$A$604=""),"",-50000*M605)</f>
        <v>-225000</v>
      </c>
      <c r="W605" s="11">
        <f>IF(OR(履歴データ!$A$605="",履歴データ!$A$604=""),"",-40000*N605)</f>
        <v>0</v>
      </c>
      <c r="X605" s="11">
        <f>IF(OR(履歴データ!$A$605="",履歴データ!$A$604=""),"",120*1000000*(-Q605/H604))</f>
        <v>1107542.3066061419</v>
      </c>
      <c r="Y605" s="11">
        <f>IF(OR(履歴データ!$A$605="",履歴データ!$A$604=""),"",40000*(-S605)+(-506.3)*R605*1000)</f>
        <v>-73424.999999999302</v>
      </c>
      <c r="Z605" s="11">
        <f>IF(OR(履歴データ!$A$605="",履歴データ!$A$604=""),"",-40000*O605)</f>
        <v>237999.99999999953</v>
      </c>
      <c r="AA605" s="11">
        <f>IF(OR(履歴データ!$A$605="",履歴データ!$A$604=""),"",-40000*P605)</f>
        <v>-23967.143554688875</v>
      </c>
      <c r="AB605" s="11">
        <f>IF(履歴データ!$A$605="","",123.3)</f>
        <v>123.3</v>
      </c>
      <c r="AC605">
        <f>IF(履歴データ!$A$605="","",SUM(T605:AA605))</f>
        <v>1193150.1630514509</v>
      </c>
      <c r="AD605" s="29">
        <f>IF(履歴データ!$A$605="","",AC605/1000000)</f>
        <v>1.1931501630514509</v>
      </c>
      <c r="AE605" s="29">
        <f>IF(履歴データ!$A$605="",AE604,AE604+AC605/1000000)</f>
        <v>80.486575457049284</v>
      </c>
      <c r="AF605" s="12">
        <f>IF(OR(履歴データ!$A$605="",AE604=0),"",(AE605-AE604)/AE604)</f>
        <v>1.5047277357833757E-2</v>
      </c>
      <c r="AG605" s="29">
        <f t="shared" si="29"/>
        <v>102.17217746631495</v>
      </c>
      <c r="AH605" s="12">
        <f>IF(OR(履歴データ!$A$605="",AG605=0),"",AE605/AG605-1)</f>
        <v>-0.21224566752935425</v>
      </c>
      <c r="AJ605" s="28">
        <f t="shared" ca="1" si="27"/>
        <v>15.192988921093939</v>
      </c>
      <c r="AK605" s="28">
        <f t="shared" ca="1" si="28"/>
        <v>-29.442988921093939</v>
      </c>
    </row>
    <row r="606" spans="1:37">
      <c r="A606" s="10">
        <f>IF(履歴データ!$A$606="","",履歴データ!$A$606)</f>
        <v>45811</v>
      </c>
      <c r="B606" s="28">
        <f>IF(履歴データ!$A$606="","",(履歴データ!$D$606-(履歴データ!$B$606+履歴データ!$F$606)/2)*100)</f>
        <v>-1.0000000000000675</v>
      </c>
      <c r="C606" s="28">
        <f>IF(履歴データ!$A$606="","",(履歴データ!$H$606-(履歴データ!$G$606+履歴データ!$J$606)/2)*100)</f>
        <v>-29.099999999999994</v>
      </c>
      <c r="D606" s="28">
        <f>IF(履歴データ!$A$606="","",(履歴データ!$D$606-履歴データ!$H$606)*100)</f>
        <v>296.09999999999997</v>
      </c>
      <c r="E606" s="28">
        <f>IF(履歴データ!$A$606="","",(履歴データ!$D$606-履歴データ!$C$606)*100)</f>
        <v>41.999999999999993</v>
      </c>
      <c r="F606" s="28">
        <f>IF(履歴データ!$A$606="","",(履歴データ!$R$606-履歴データ!$D$606)*100)</f>
        <v>-300.44</v>
      </c>
      <c r="G606" s="28">
        <f>IF(履歴データ!$A$606="","",(履歴データ!$S$606-履歴データ!$R$606)*100)</f>
        <v>11.650357177734216</v>
      </c>
      <c r="H606" s="29">
        <f>IF(履歴データ!$A$606="","",履歴データ!$O$606)</f>
        <v>143.83700561523438</v>
      </c>
      <c r="I606" s="29">
        <f>IF(履歴データ!$A$606="","",履歴データ!$Q$606)</f>
        <v>110.453125</v>
      </c>
      <c r="J606" s="29">
        <f>IF(履歴データ!$A$606="","",履歴データ!$D$606)</f>
        <v>4.46</v>
      </c>
      <c r="K606" s="28">
        <f>IF(OR(履歴データ!$A$606="",履歴データ!$A$605=""),"",B606-B605)</f>
        <v>-0.50000000000007816</v>
      </c>
      <c r="L606" s="28">
        <f>IF(OR(履歴データ!$A$606="",履歴データ!$A$605=""),"",C606-C605)</f>
        <v>-2.5999999999999801</v>
      </c>
      <c r="M606" s="28">
        <f>IF(OR(履歴データ!$A$606="",履歴データ!$A$605=""),"",D606-D605)</f>
        <v>2.3999999999999204</v>
      </c>
      <c r="N606" s="28">
        <f>IF(OR(履歴データ!$A$606="",履歴データ!$A$605=""),"",E606-E605)</f>
        <v>-3.0000000000000213</v>
      </c>
      <c r="O606" s="28">
        <f>IF(OR(履歴データ!$A$606="",履歴データ!$A$605=""),"",F606-F605)</f>
        <v>-0.86000000000001364</v>
      </c>
      <c r="P606" s="28">
        <f>IF(OR(履歴データ!$A$606="",履歴データ!$A$605=""),"",G606-G605)</f>
        <v>-1.5956428222656083</v>
      </c>
      <c r="Q606" s="29">
        <f>IF(OR(履歴データ!$A$606="",履歴データ!$A$605=""),"",H606-H605)</f>
        <v>1.385009765625</v>
      </c>
      <c r="R606" s="29">
        <f>IF(OR(履歴データ!$A$606="",履歴データ!$A$605=""),"",I606-I605)</f>
        <v>-1.5625E-2</v>
      </c>
      <c r="S606" s="28">
        <f>IF(OR(履歴データ!$A$606="",履歴データ!$A$605=""),"",(J606-J605)*100)</f>
        <v>0</v>
      </c>
      <c r="T606" s="11">
        <f>IF(OR(履歴データ!$A$606="",履歴データ!$A$605=""),"",-80000*K606)</f>
        <v>40000.00000000625</v>
      </c>
      <c r="U606" s="11">
        <f>IF(OR(履歴データ!$A$606="",履歴データ!$A$605=""),"",60000*L606)</f>
        <v>-155999.99999999881</v>
      </c>
      <c r="V606" s="11">
        <f>IF(OR(履歴データ!$A$606="",履歴データ!$A$605=""),"",-50000*M606)</f>
        <v>-119999.99999999603</v>
      </c>
      <c r="W606" s="11">
        <f>IF(OR(履歴データ!$A$606="",履歴データ!$A$605=""),"",-40000*N606)</f>
        <v>120000.00000000086</v>
      </c>
      <c r="X606" s="11">
        <f>IF(OR(履歴データ!$A$606="",履歴データ!$A$605=""),"",120*1000000*(-Q606/H605))</f>
        <v>-1166717.0465653799</v>
      </c>
      <c r="Y606" s="11">
        <f>IF(OR(履歴データ!$A$606="",履歴データ!$A$605=""),"",40000*(-S606)+(-506.3)*R606*1000)</f>
        <v>7910.9375</v>
      </c>
      <c r="Z606" s="11">
        <f>IF(OR(履歴データ!$A$606="",履歴データ!$A$605=""),"",-40000*O606)</f>
        <v>34400.000000000546</v>
      </c>
      <c r="AA606" s="11">
        <f>IF(OR(履歴データ!$A$606="",履歴データ!$A$605=""),"",-40000*P606)</f>
        <v>63825.712890624331</v>
      </c>
      <c r="AB606" s="11">
        <f>IF(履歴データ!$A$606="","",123.3)</f>
        <v>123.3</v>
      </c>
      <c r="AC606">
        <f>IF(履歴データ!$A$606="","",SUM(T606:AA606))</f>
        <v>-1176580.3961747428</v>
      </c>
      <c r="AD606" s="29">
        <f>IF(履歴データ!$A$606="","",AC606/1000000)</f>
        <v>-1.1765803961747427</v>
      </c>
      <c r="AE606" s="29">
        <f>IF(履歴データ!$A$606="",AE605,AE605+AC606/1000000)</f>
        <v>79.309995060874542</v>
      </c>
      <c r="AF606" s="12">
        <f>IF(OR(履歴データ!$A$606="",AE605=0),"",(AE606-AE605)/AE605)</f>
        <v>-1.4618343363392454E-2</v>
      </c>
      <c r="AG606" s="29">
        <f t="shared" si="29"/>
        <v>102.17217746631495</v>
      </c>
      <c r="AH606" s="12">
        <f>IF(OR(履歴データ!$A$606="",AG606=0),"",AE606/AG606-1)</f>
        <v>-0.22376133084741023</v>
      </c>
      <c r="AJ606" s="28">
        <f t="shared" ca="1" si="27"/>
        <v>15.195056064332274</v>
      </c>
      <c r="AK606" s="28">
        <f t="shared" ca="1" si="28"/>
        <v>-29.26251638179259</v>
      </c>
    </row>
    <row r="607" spans="1:37">
      <c r="A607" s="10">
        <f>IF(履歴データ!$A$607="","",履歴データ!$A$607)</f>
        <v>45812</v>
      </c>
      <c r="B607" s="28">
        <f>IF(履歴データ!$A$607="","",(履歴データ!$D$607-(履歴データ!$B$607+履歴データ!$F$607)/2)*100)</f>
        <v>-0.99999999999997868</v>
      </c>
      <c r="C607" s="28">
        <f>IF(履歴データ!$A$607="","",(履歴データ!$H$607-(履歴データ!$G$607+履歴データ!$J$607)/2)*100)</f>
        <v>-28.100000000000016</v>
      </c>
      <c r="D607" s="28">
        <f>IF(履歴データ!$A$607="","",(履歴データ!$D$607-履歴データ!$H$607)*100)</f>
        <v>285.20000000000005</v>
      </c>
      <c r="E607" s="28">
        <f>IF(履歴データ!$A$607="","",(履歴データ!$D$607-履歴データ!$C$607)*100)</f>
        <v>43.999999999999993</v>
      </c>
      <c r="F607" s="28">
        <f>IF(履歴データ!$A$607="","",(履歴データ!$R$607-履歴データ!$D$607)*100)</f>
        <v>-289.85000000000002</v>
      </c>
      <c r="G607" s="28">
        <f>IF(履歴データ!$A$607="","",(履歴データ!$S$607-履歴データ!$R$607)*100)</f>
        <v>14.26999999999985</v>
      </c>
      <c r="H607" s="29">
        <f>IF(履歴データ!$A$607="","",履歴データ!$O$607)</f>
        <v>142.73199462890625</v>
      </c>
      <c r="I607" s="29">
        <f>IF(履歴データ!$A$607="","",履歴データ!$Q$607)</f>
        <v>111.09375</v>
      </c>
      <c r="J607" s="29">
        <f>IF(履歴データ!$A$607="","",履歴データ!$D$607)</f>
        <v>4.37</v>
      </c>
      <c r="K607" s="28">
        <f>IF(OR(履歴データ!$A$607="",履歴データ!$A$606=""),"",B607-B606)</f>
        <v>8.8817841970012523E-14</v>
      </c>
      <c r="L607" s="28">
        <f>IF(OR(履歴データ!$A$607="",履歴データ!$A$606=""),"",C607-C606)</f>
        <v>0.99999999999997868</v>
      </c>
      <c r="M607" s="28">
        <f>IF(OR(履歴データ!$A$607="",履歴データ!$A$606=""),"",D607-D606)</f>
        <v>-10.89999999999992</v>
      </c>
      <c r="N607" s="28">
        <f>IF(OR(履歴データ!$A$607="",履歴データ!$A$606=""),"",E607-E606)</f>
        <v>2</v>
      </c>
      <c r="O607" s="28">
        <f>IF(OR(履歴データ!$A$607="",履歴データ!$A$606=""),"",F607-F606)</f>
        <v>10.589999999999975</v>
      </c>
      <c r="P607" s="28">
        <f>IF(OR(履歴データ!$A$607="",履歴データ!$A$606=""),"",G607-G606)</f>
        <v>2.6196428222656341</v>
      </c>
      <c r="Q607" s="29">
        <f>IF(OR(履歴データ!$A$607="",履歴データ!$A$606=""),"",H607-H606)</f>
        <v>-1.105010986328125</v>
      </c>
      <c r="R607" s="29">
        <f>IF(OR(履歴データ!$A$607="",履歴データ!$A$606=""),"",I607-I606)</f>
        <v>0.640625</v>
      </c>
      <c r="S607" s="28">
        <f>IF(OR(履歴データ!$A$607="",履歴データ!$A$606=""),"",(J607-J606)*100)</f>
        <v>-8.9999999999999858</v>
      </c>
      <c r="T607" s="11">
        <f>IF(OR(履歴データ!$A$607="",履歴データ!$A$606=""),"",-80000*K607)</f>
        <v>-7.1054273576010019E-9</v>
      </c>
      <c r="U607" s="11">
        <f>IF(OR(履歴データ!$A$607="",履歴データ!$A$606=""),"",60000*L607)</f>
        <v>59999.999999998719</v>
      </c>
      <c r="V607" s="11">
        <f>IF(OR(履歴データ!$A$607="",履歴データ!$A$606=""),"",-50000*M607)</f>
        <v>544999.99999999604</v>
      </c>
      <c r="W607" s="11">
        <f>IF(OR(履歴データ!$A$607="",履歴データ!$A$606=""),"",-40000*N607)</f>
        <v>-80000</v>
      </c>
      <c r="X607" s="11">
        <f>IF(OR(履歴データ!$A$607="",履歴データ!$A$606=""),"",120*1000000*(-Q607/H606))</f>
        <v>921885.97636747966</v>
      </c>
      <c r="Y607" s="11">
        <f>IF(OR(履歴データ!$A$607="",履歴データ!$A$606=""),"",40000*(-S607)+(-506.3)*R607*1000)</f>
        <v>35651.562499999418</v>
      </c>
      <c r="Z607" s="11">
        <f>IF(OR(履歴データ!$A$607="",履歴データ!$A$606=""),"",-40000*O607)</f>
        <v>-423599.99999999901</v>
      </c>
      <c r="AA607" s="11">
        <f>IF(OR(履歴データ!$A$607="",履歴データ!$A$606=""),"",-40000*P607)</f>
        <v>-104785.71289062536</v>
      </c>
      <c r="AB607" s="11">
        <f>IF(履歴データ!$A$607="","",123.3)</f>
        <v>123.3</v>
      </c>
      <c r="AC607">
        <f>IF(履歴データ!$A$607="","",SUM(T607:AA607))</f>
        <v>954151.8259768422</v>
      </c>
      <c r="AD607" s="29">
        <f>IF(履歴データ!$A$607="","",AC607/1000000)</f>
        <v>0.95415182597684223</v>
      </c>
      <c r="AE607" s="29">
        <f>IF(履歴データ!$A$607="",AE606,AE606+AC607/1000000)</f>
        <v>80.264146886851378</v>
      </c>
      <c r="AF607" s="12">
        <f>IF(OR(履歴データ!$A$607="",AE606=0),"",(AE607-AE606)/AE606)</f>
        <v>1.2030663036159258E-2</v>
      </c>
      <c r="AG607" s="29">
        <f t="shared" si="29"/>
        <v>102.17217746631495</v>
      </c>
      <c r="AH607" s="12">
        <f>IF(OR(履歴データ!$A$607="",AG607=0),"",AE607/AG607-1)</f>
        <v>-0.21442266498319862</v>
      </c>
      <c r="AJ607" s="28">
        <f t="shared" ca="1" si="27"/>
        <v>15.181964856093227</v>
      </c>
      <c r="AK607" s="28">
        <f t="shared" ca="1" si="28"/>
        <v>-29.054980729109101</v>
      </c>
    </row>
    <row r="608" spans="1:37">
      <c r="A608" s="10">
        <f>IF(履歴データ!$A$608="","",履歴データ!$A$608)</f>
        <v>45813</v>
      </c>
      <c r="B608" s="28">
        <f>IF(履歴データ!$A$608="","",(履歴データ!$D$608-(履歴データ!$B$608+履歴データ!$F$608)/2)*100)</f>
        <v>0</v>
      </c>
      <c r="C608" s="28">
        <f>IF(履歴データ!$A$608="","",(履歴データ!$H$608-(履歴データ!$G$608+履歴データ!$J$608)/2)*100)</f>
        <v>-28.999999999999982</v>
      </c>
      <c r="D608" s="28">
        <f>IF(履歴データ!$A$608="","",(履歴データ!$D$608-履歴データ!$H$608)*100)</f>
        <v>291.90000000000003</v>
      </c>
      <c r="E608" s="28">
        <f>IF(履歴データ!$A$608="","",(履歴データ!$D$608-履歴データ!$C$608)*100)</f>
        <v>41.000000000000014</v>
      </c>
      <c r="F608" s="28">
        <f>IF(履歴データ!$A$608="","",(履歴データ!$R$608-履歴データ!$D$608)*100)</f>
        <v>-292.29000000000002</v>
      </c>
      <c r="G608" s="28">
        <f>IF(履歴データ!$A$608="","",(履歴データ!$S$608-履歴データ!$R$608)*100)</f>
        <v>15.28864282226543</v>
      </c>
      <c r="H608" s="29">
        <f>IF(履歴データ!$A$608="","",履歴データ!$O$608)</f>
        <v>143.54200744628906</v>
      </c>
      <c r="I608" s="29">
        <f>IF(履歴データ!$A$608="","",履歴データ!$Q$608)</f>
        <v>110.78125</v>
      </c>
      <c r="J608" s="29">
        <f>IF(履歴データ!$A$608="","",履歴データ!$D$608)</f>
        <v>4.4000000000000004</v>
      </c>
      <c r="K608" s="28">
        <f>IF(OR(履歴データ!$A$608="",履歴データ!$A$607=""),"",B608-B607)</f>
        <v>0.99999999999997868</v>
      </c>
      <c r="L608" s="28">
        <f>IF(OR(履歴データ!$A$608="",履歴データ!$A$607=""),"",C608-C607)</f>
        <v>-0.8999999999999666</v>
      </c>
      <c r="M608" s="28">
        <f>IF(OR(履歴データ!$A$608="",履歴データ!$A$607=""),"",D608-D607)</f>
        <v>6.6999999999999886</v>
      </c>
      <c r="N608" s="28">
        <f>IF(OR(履歴データ!$A$608="",履歴データ!$A$607=""),"",E608-E607)</f>
        <v>-2.9999999999999787</v>
      </c>
      <c r="O608" s="28">
        <f>IF(OR(履歴データ!$A$608="",履歴データ!$A$607=""),"",F608-F607)</f>
        <v>-2.4399999999999977</v>
      </c>
      <c r="P608" s="28">
        <f>IF(OR(履歴データ!$A$608="",履歴データ!$A$607=""),"",G608-G607)</f>
        <v>1.0186428222655799</v>
      </c>
      <c r="Q608" s="29">
        <f>IF(OR(履歴データ!$A$608="",履歴データ!$A$607=""),"",H608-H607)</f>
        <v>0.8100128173828125</v>
      </c>
      <c r="R608" s="29">
        <f>IF(OR(履歴データ!$A$608="",履歴データ!$A$607=""),"",I608-I607)</f>
        <v>-0.3125</v>
      </c>
      <c r="S608" s="28">
        <f>IF(OR(履歴データ!$A$608="",履歴データ!$A$607=""),"",(J608-J607)*100)</f>
        <v>3.0000000000000249</v>
      </c>
      <c r="T608" s="11">
        <f>IF(OR(履歴データ!$A$608="",履歴データ!$A$607=""),"",-80000*K608)</f>
        <v>-79999.999999998297</v>
      </c>
      <c r="U608" s="11">
        <f>IF(OR(履歴データ!$A$608="",履歴データ!$A$607=""),"",60000*L608)</f>
        <v>-53999.999999997999</v>
      </c>
      <c r="V608" s="11">
        <f>IF(OR(履歴データ!$A$608="",履歴データ!$A$607=""),"",-50000*M608)</f>
        <v>-334999.99999999942</v>
      </c>
      <c r="W608" s="11">
        <f>IF(OR(履歴データ!$A$608="",履歴データ!$A$607=""),"",-40000*N608)</f>
        <v>119999.99999999914</v>
      </c>
      <c r="X608" s="11">
        <f>IF(OR(履歴データ!$A$608="",履歴データ!$A$607=""),"",120*1000000*(-Q608/H607))</f>
        <v>-681007.354648515</v>
      </c>
      <c r="Y608" s="11">
        <f>IF(OR(履歴データ!$A$608="",履歴データ!$A$607=""),"",40000*(-S608)+(-506.3)*R608*1000)</f>
        <v>38218.74999999901</v>
      </c>
      <c r="Z608" s="11">
        <f>IF(OR(履歴データ!$A$608="",履歴データ!$A$607=""),"",-40000*O608)</f>
        <v>97599.999999999913</v>
      </c>
      <c r="AA608" s="11">
        <f>IF(OR(履歴データ!$A$608="",履歴データ!$A$607=""),"",-40000*P608)</f>
        <v>-40745.712890623196</v>
      </c>
      <c r="AB608" s="11">
        <f>IF(履歴データ!$A$608="","",123.3)</f>
        <v>123.3</v>
      </c>
      <c r="AC608">
        <f>IF(履歴データ!$A$608="","",SUM(T608:AA608))</f>
        <v>-934934.31753913593</v>
      </c>
      <c r="AD608" s="29">
        <f>IF(履歴データ!$A$608="","",AC608/1000000)</f>
        <v>-0.93493431753913592</v>
      </c>
      <c r="AE608" s="29">
        <f>IF(履歴データ!$A$608="",AE607,AE607+AC608/1000000)</f>
        <v>79.329212569312247</v>
      </c>
      <c r="AF608" s="12">
        <f>IF(OR(履歴データ!$A$608="",AE607=0),"",(AE608-AE607)/AE607)</f>
        <v>-1.1648218461190536E-2</v>
      </c>
      <c r="AG608" s="29">
        <f t="shared" si="29"/>
        <v>102.17217746631495</v>
      </c>
      <c r="AH608" s="12">
        <f>IF(OR(履歴データ!$A$608="",AG608=0),"",AE608/AG608-1)</f>
        <v>-0.22357324139963419</v>
      </c>
      <c r="AJ608" s="28">
        <f t="shared" ca="1" si="27"/>
        <v>15.170288244711516</v>
      </c>
      <c r="AK608" s="28">
        <f t="shared" ca="1" si="28"/>
        <v>-28.836954911378186</v>
      </c>
    </row>
    <row r="609" spans="1:37">
      <c r="A609" s="10">
        <f>IF(履歴データ!$A$609="","",履歴データ!$A$609)</f>
        <v>45814</v>
      </c>
      <c r="B609" s="28">
        <f>IF(履歴データ!$A$609="","",(履歴データ!$D$609-(履歴データ!$B$609+履歴データ!$F$609)/2)*100)</f>
        <v>0.49999999999998934</v>
      </c>
      <c r="C609" s="28">
        <f>IF(履歴データ!$A$609="","",(履歴データ!$H$609-(履歴データ!$G$609+履歴データ!$J$609)/2)*100)</f>
        <v>-29.299999999999994</v>
      </c>
      <c r="D609" s="28">
        <f>IF(履歴データ!$A$609="","",(履歴データ!$D$609-履歴データ!$H$609)*100)</f>
        <v>303.29999999999995</v>
      </c>
      <c r="E609" s="28">
        <f>IF(履歴データ!$A$609="","",(履歴データ!$D$609-履歴データ!$C$609)*100)</f>
        <v>37.999999999999986</v>
      </c>
      <c r="F609" s="28">
        <f>IF(履歴データ!$A$609="","",(履歴データ!$R$609-履歴データ!$D$609)*100)</f>
        <v>-296.61</v>
      </c>
      <c r="G609" s="28">
        <f>IF(履歴データ!$A$609="","",(履歴データ!$S$609-履歴データ!$R$609)*100)</f>
        <v>4.048178588867013</v>
      </c>
      <c r="H609" s="29">
        <f>IF(履歴データ!$A$609="","",履歴データ!$O$609)</f>
        <v>143.54200744628906</v>
      </c>
      <c r="I609" s="29">
        <f>IF(履歴データ!$A$609="","",履歴データ!$Q$609)</f>
        <v>109.9375</v>
      </c>
      <c r="J609" s="29">
        <f>IF(履歴データ!$A$609="","",履歴データ!$D$609)</f>
        <v>4.51</v>
      </c>
      <c r="K609" s="28">
        <f>IF(OR(履歴データ!$A$609="",履歴データ!$A$608=""),"",B609-B608)</f>
        <v>0.49999999999998934</v>
      </c>
      <c r="L609" s="28">
        <f>IF(OR(履歴データ!$A$609="",履歴データ!$A$608=""),"",C609-C608)</f>
        <v>-0.30000000000001137</v>
      </c>
      <c r="M609" s="28">
        <f>IF(OR(履歴データ!$A$609="",履歴データ!$A$608=""),"",D609-D608)</f>
        <v>11.39999999999992</v>
      </c>
      <c r="N609" s="28">
        <f>IF(OR(履歴データ!$A$609="",履歴データ!$A$608=""),"",E609-E608)</f>
        <v>-3.0000000000000284</v>
      </c>
      <c r="O609" s="28">
        <f>IF(OR(履歴データ!$A$609="",履歴データ!$A$608=""),"",F609-F608)</f>
        <v>-4.3199999999999932</v>
      </c>
      <c r="P609" s="28">
        <f>IF(OR(履歴データ!$A$609="",履歴データ!$A$608=""),"",G609-G608)</f>
        <v>-11.240464233398416</v>
      </c>
      <c r="Q609" s="29">
        <f>IF(OR(履歴データ!$A$609="",履歴データ!$A$608=""),"",H609-H608)</f>
        <v>0</v>
      </c>
      <c r="R609" s="29">
        <f>IF(OR(履歴データ!$A$609="",履歴データ!$A$608=""),"",I609-I608)</f>
        <v>-0.84375</v>
      </c>
      <c r="S609" s="28">
        <f>IF(OR(履歴データ!$A$609="",履歴データ!$A$608=""),"",(J609-J608)*100)</f>
        <v>10.999999999999943</v>
      </c>
      <c r="T609" s="11">
        <f>IF(OR(履歴データ!$A$609="",履歴データ!$A$608=""),"",-80000*K609)</f>
        <v>-39999.999999999149</v>
      </c>
      <c r="U609" s="11">
        <f>IF(OR(履歴データ!$A$609="",履歴データ!$A$608=""),"",60000*L609)</f>
        <v>-18000.000000000684</v>
      </c>
      <c r="V609" s="11">
        <f>IF(OR(履歴データ!$A$609="",履歴データ!$A$608=""),"",-50000*M609)</f>
        <v>-569999.99999999604</v>
      </c>
      <c r="W609" s="11">
        <f>IF(OR(履歴データ!$A$609="",履歴データ!$A$608=""),"",-40000*N609)</f>
        <v>120000.00000000114</v>
      </c>
      <c r="X609" s="11">
        <f>IF(OR(履歴データ!$A$609="",履歴データ!$A$608=""),"",120*1000000*(-Q609/H608))</f>
        <v>0</v>
      </c>
      <c r="Y609" s="11">
        <f>IF(OR(履歴データ!$A$609="",履歴データ!$A$608=""),"",40000*(-S609)+(-506.3)*R609*1000)</f>
        <v>-12809.37499999773</v>
      </c>
      <c r="Z609" s="11">
        <f>IF(OR(履歴データ!$A$609="",履歴データ!$A$608=""),"",-40000*O609)</f>
        <v>172799.99999999974</v>
      </c>
      <c r="AA609" s="11">
        <f>IF(OR(履歴データ!$A$609="",履歴データ!$A$608=""),"",-40000*P609)</f>
        <v>449618.56933593663</v>
      </c>
      <c r="AB609" s="11">
        <f>IF(履歴データ!$A$609="","",123.3)</f>
        <v>123.3</v>
      </c>
      <c r="AC609">
        <f>IF(履歴データ!$A$609="","",SUM(T609:AA609))</f>
        <v>101609.19433594384</v>
      </c>
      <c r="AD609" s="29">
        <f>IF(履歴データ!$A$609="","",AC609/1000000)</f>
        <v>0.10160919433594384</v>
      </c>
      <c r="AE609" s="29">
        <f>IF(履歴データ!$A$609="",AE608,AE608+AC609/1000000)</f>
        <v>79.430821763648197</v>
      </c>
      <c r="AF609" s="12">
        <f>IF(OR(履歴データ!$A$609="",AE608=0),"",(AE609-AE608)/AE608)</f>
        <v>1.2808546945700604E-3</v>
      </c>
      <c r="AG609" s="29">
        <f t="shared" si="29"/>
        <v>102.17217746631495</v>
      </c>
      <c r="AH609" s="12">
        <f>IF(OR(履歴データ!$A$609="",AG609=0),"",AE609/AG609-1)</f>
        <v>-0.22257875154089113</v>
      </c>
      <c r="AJ609" s="28">
        <f t="shared" ca="1" si="27"/>
        <v>15.144653363862311</v>
      </c>
      <c r="AK609" s="28">
        <f t="shared" ca="1" si="28"/>
        <v>-28.589097808306754</v>
      </c>
    </row>
    <row r="610" spans="1:37">
      <c r="A610" s="10">
        <f>IF(履歴データ!$A$610="","",履歴データ!$A$610)</f>
        <v>45817</v>
      </c>
      <c r="B610" s="28">
        <f>IF(履歴データ!$A$610="","",(履歴データ!$D$610-(履歴データ!$B$610+履歴データ!$F$610)/2)*100)</f>
        <v>0.99999999999997868</v>
      </c>
      <c r="C610" s="28">
        <f>IF(履歴データ!$A$610="","",(履歴データ!$H$610-(履歴データ!$G$610+履歴データ!$J$610)/2)*100)</f>
        <v>-29.899999999999991</v>
      </c>
      <c r="D610" s="28">
        <f>IF(履歴データ!$A$610="","",(履歴データ!$D$610-履歴データ!$H$610)*100)</f>
        <v>299.90000000000003</v>
      </c>
      <c r="E610" s="28">
        <f>IF(履歴データ!$A$610="","",(履歴データ!$D$610-履歴データ!$C$610)*100)</f>
        <v>40.000000000000036</v>
      </c>
      <c r="F610" s="28">
        <f>IF(履歴データ!$A$610="","",(履歴データ!$R$610-履歴データ!$D$610)*100)</f>
        <v>-297.73000000000008</v>
      </c>
      <c r="G610" s="28">
        <f>IF(履歴データ!$A$610="","",(履歴データ!$S$610-履歴データ!$R$610)*100)</f>
        <v>4.3618214111327047</v>
      </c>
      <c r="H610" s="29">
        <f>IF(履歴データ!$A$610="","",履歴データ!$O$610)</f>
        <v>144.53999328613281</v>
      </c>
      <c r="I610" s="29">
        <f>IF(履歴データ!$A$610="","",履歴データ!$Q$610)</f>
        <v>110.171875</v>
      </c>
      <c r="J610" s="29">
        <f>IF(履歴データ!$A$610="","",履歴データ!$D$610)</f>
        <v>4.49</v>
      </c>
      <c r="K610" s="28">
        <f>IF(OR(履歴データ!$A$610="",履歴データ!$A$609=""),"",B610-B609)</f>
        <v>0.49999999999998934</v>
      </c>
      <c r="L610" s="28">
        <f>IF(OR(履歴データ!$A$610="",履歴データ!$A$609=""),"",C610-C609)</f>
        <v>-0.59999999999999787</v>
      </c>
      <c r="M610" s="28">
        <f>IF(OR(履歴データ!$A$610="",履歴データ!$A$609=""),"",D610-D609)</f>
        <v>-3.3999999999999204</v>
      </c>
      <c r="N610" s="28">
        <f>IF(OR(履歴データ!$A$610="",履歴データ!$A$609=""),"",E610-E609)</f>
        <v>2.0000000000000497</v>
      </c>
      <c r="O610" s="28">
        <f>IF(OR(履歴データ!$A$610="",履歴データ!$A$609=""),"",F610-F609)</f>
        <v>-1.1200000000000614</v>
      </c>
      <c r="P610" s="28">
        <f>IF(OR(履歴データ!$A$610="",履歴データ!$A$609=""),"",G610-G609)</f>
        <v>0.31364282226569173</v>
      </c>
      <c r="Q610" s="29">
        <f>IF(OR(履歴データ!$A$610="",履歴データ!$A$609=""),"",H610-H609)</f>
        <v>0.99798583984375</v>
      </c>
      <c r="R610" s="29">
        <f>IF(OR(履歴データ!$A$610="",履歴データ!$A$609=""),"",I610-I609)</f>
        <v>0.234375</v>
      </c>
      <c r="S610" s="28">
        <f>IF(OR(履歴データ!$A$610="",履歴データ!$A$609=""),"",(J610-J609)*100)</f>
        <v>-1.9999999999999574</v>
      </c>
      <c r="T610" s="11">
        <f>IF(OR(履歴データ!$A$610="",履歴データ!$A$609=""),"",-80000*K610)</f>
        <v>-39999.999999999149</v>
      </c>
      <c r="U610" s="11">
        <f>IF(OR(履歴データ!$A$610="",履歴データ!$A$609=""),"",60000*L610)</f>
        <v>-35999.999999999869</v>
      </c>
      <c r="V610" s="11">
        <f>IF(OR(履歴データ!$A$610="",履歴データ!$A$609=""),"",-50000*M610)</f>
        <v>169999.99999999601</v>
      </c>
      <c r="W610" s="11">
        <f>IF(OR(履歴データ!$A$610="",履歴データ!$A$609=""),"",-40000*N610)</f>
        <v>-80000.000000001994</v>
      </c>
      <c r="X610" s="11">
        <f>IF(OR(履歴データ!$A$610="",履歴データ!$A$609=""),"",120*1000000*(-Q610/H609))</f>
        <v>-834308.38757122366</v>
      </c>
      <c r="Y610" s="11">
        <f>IF(OR(履歴データ!$A$610="",履歴データ!$A$609=""),"",40000*(-S610)+(-506.3)*R610*1000)</f>
        <v>-38664.062500001703</v>
      </c>
      <c r="Z610" s="11">
        <f>IF(OR(履歴データ!$A$610="",履歴データ!$A$609=""),"",-40000*O610)</f>
        <v>44800.000000002459</v>
      </c>
      <c r="AA610" s="11">
        <f>IF(OR(履歴データ!$A$610="",履歴データ!$A$609=""),"",-40000*P610)</f>
        <v>-12545.71289062767</v>
      </c>
      <c r="AB610" s="11">
        <f>IF(履歴データ!$A$610="","",123.3)</f>
        <v>123.3</v>
      </c>
      <c r="AC610">
        <f>IF(履歴データ!$A$610="","",SUM(T610:AA610))</f>
        <v>-826718.16296185565</v>
      </c>
      <c r="AD610" s="29">
        <f>IF(履歴データ!$A$610="","",AC610/1000000)</f>
        <v>-0.82671816296185563</v>
      </c>
      <c r="AE610" s="29">
        <f>IF(履歴データ!$A$610="",AE609,AE609+AC610/1000000)</f>
        <v>78.604103600686344</v>
      </c>
      <c r="AF610" s="12">
        <f>IF(OR(履歴データ!$A$610="",AE609=0),"",(AE610-AE609)/AE609)</f>
        <v>-1.0408027319946524E-2</v>
      </c>
      <c r="AG610" s="29">
        <f t="shared" si="29"/>
        <v>102.17217746631495</v>
      </c>
      <c r="AH610" s="12">
        <f>IF(OR(履歴データ!$A$610="",AG610=0),"",AE610/AG610-1)</f>
        <v>-0.23067017313396043</v>
      </c>
      <c r="AJ610" s="28">
        <f t="shared" ca="1" si="27"/>
        <v>15.096357310733532</v>
      </c>
      <c r="AK610" s="28">
        <f t="shared" ca="1" si="28"/>
        <v>-28.298738263114487</v>
      </c>
    </row>
    <row r="611" spans="1:37">
      <c r="A611" s="10">
        <f>IF(履歴データ!$A$611="","",履歴データ!$A$611)</f>
        <v>45818</v>
      </c>
      <c r="B611" s="28">
        <f>IF(履歴データ!$A$611="","",(履歴データ!$D$611-(履歴データ!$B$611+履歴データ!$F$611)/2)*100)</f>
        <v>0</v>
      </c>
      <c r="C611" s="28">
        <f>IF(履歴データ!$A$611="","",(履歴データ!$H$611-(履歴データ!$G$611+履歴データ!$J$611)/2)*100)</f>
        <v>-29.200000000000003</v>
      </c>
      <c r="D611" s="28">
        <f>IF(履歴データ!$A$611="","",(履歴データ!$D$611-履歴データ!$H$611)*100)</f>
        <v>297.19999999999993</v>
      </c>
      <c r="E611" s="28">
        <f>IF(履歴データ!$A$611="","",(履歴データ!$D$611-履歴データ!$C$611)*100)</f>
        <v>38.999999999999972</v>
      </c>
      <c r="F611" s="28">
        <f>IF(履歴データ!$A$611="","",(履歴データ!$R$611-履歴データ!$D$611)*100)</f>
        <v>-295.77</v>
      </c>
      <c r="G611" s="28">
        <f>IF(履歴データ!$A$611="","",(履歴データ!$S$611-履歴データ!$R$611)*100)</f>
        <v>1.9461785888670979</v>
      </c>
      <c r="H611" s="29">
        <f>IF(履歴データ!$A$611="","",履歴データ!$O$611)</f>
        <v>144.83799743652344</v>
      </c>
      <c r="I611" s="29">
        <f>IF(履歴データ!$A$611="","",履歴データ!$Q$611)</f>
        <v>110.21875</v>
      </c>
      <c r="J611" s="29">
        <f>IF(履歴データ!$A$611="","",履歴データ!$D$611)</f>
        <v>4.47</v>
      </c>
      <c r="K611" s="28">
        <f>IF(OR(履歴データ!$A$611="",履歴データ!$A$610=""),"",B611-B610)</f>
        <v>-0.99999999999997868</v>
      </c>
      <c r="L611" s="28">
        <f>IF(OR(履歴データ!$A$611="",履歴データ!$A$610=""),"",C611-C610)</f>
        <v>0.69999999999998863</v>
      </c>
      <c r="M611" s="28">
        <f>IF(OR(履歴データ!$A$611="",履歴データ!$A$610=""),"",D611-D610)</f>
        <v>-2.7000000000001023</v>
      </c>
      <c r="N611" s="28">
        <f>IF(OR(履歴データ!$A$611="",履歴データ!$A$610=""),"",E611-E610)</f>
        <v>-1.0000000000000639</v>
      </c>
      <c r="O611" s="28">
        <f>IF(OR(履歴データ!$A$611="",履歴データ!$A$610=""),"",F611-F610)</f>
        <v>1.9600000000000932</v>
      </c>
      <c r="P611" s="28">
        <f>IF(OR(履歴データ!$A$611="",履歴データ!$A$610=""),"",G611-G610)</f>
        <v>-2.4156428222656068</v>
      </c>
      <c r="Q611" s="29">
        <f>IF(OR(履歴データ!$A$611="",履歴データ!$A$610=""),"",H611-H610)</f>
        <v>0.298004150390625</v>
      </c>
      <c r="R611" s="29">
        <f>IF(OR(履歴データ!$A$611="",履歴データ!$A$610=""),"",I611-I610)</f>
        <v>4.6875E-2</v>
      </c>
      <c r="S611" s="28">
        <f>IF(OR(履歴データ!$A$611="",履歴データ!$A$610=""),"",(J611-J610)*100)</f>
        <v>-2.0000000000000462</v>
      </c>
      <c r="T611" s="11">
        <f>IF(OR(履歴データ!$A$611="",履歴データ!$A$610=""),"",-80000*K611)</f>
        <v>79999.999999998297</v>
      </c>
      <c r="U611" s="11">
        <f>IF(OR(履歴データ!$A$611="",履歴データ!$A$610=""),"",60000*L611)</f>
        <v>41999.999999999316</v>
      </c>
      <c r="V611" s="11">
        <f>IF(OR(履歴データ!$A$611="",履歴データ!$A$610=""),"",-50000*M611)</f>
        <v>135000.00000000512</v>
      </c>
      <c r="W611" s="11">
        <f>IF(OR(履歴データ!$A$611="",履歴データ!$A$610=""),"",-40000*N611)</f>
        <v>40000.000000002561</v>
      </c>
      <c r="X611" s="11">
        <f>IF(OR(履歴データ!$A$611="",履歴データ!$A$610=""),"",120*1000000*(-Q611/H610))</f>
        <v>-247409.01970351665</v>
      </c>
      <c r="Y611" s="11">
        <f>IF(OR(履歴データ!$A$611="",履歴データ!$A$610=""),"",40000*(-S611)+(-506.3)*R611*1000)</f>
        <v>56267.187500001848</v>
      </c>
      <c r="Z611" s="11">
        <f>IF(OR(履歴データ!$A$611="",履歴データ!$A$610=""),"",-40000*O611)</f>
        <v>-78400.000000003725</v>
      </c>
      <c r="AA611" s="11">
        <f>IF(OR(履歴データ!$A$611="",履歴データ!$A$610=""),"",-40000*P611)</f>
        <v>96625.712890624272</v>
      </c>
      <c r="AB611" s="11">
        <f>IF(履歴データ!$A$611="","",123.3)</f>
        <v>123.3</v>
      </c>
      <c r="AC611">
        <f>IF(履歴データ!$A$611="","",SUM(T611:AA611))</f>
        <v>124083.88068711104</v>
      </c>
      <c r="AD611" s="29">
        <f>IF(履歴データ!$A$611="","",AC611/1000000)</f>
        <v>0.12408388068711104</v>
      </c>
      <c r="AE611" s="29">
        <f>IF(履歴データ!$A$611="",AE610,AE610+AC611/1000000)</f>
        <v>78.728187481373453</v>
      </c>
      <c r="AF611" s="12">
        <f>IF(OR(履歴データ!$A$611="",AE610=0),"",(AE611-AE610)/AE610)</f>
        <v>1.5785929105872555E-3</v>
      </c>
      <c r="AG611" s="29">
        <f t="shared" si="29"/>
        <v>102.17217746631495</v>
      </c>
      <c r="AH611" s="12">
        <f>IF(OR(履歴データ!$A$611="",AG611=0),"",AE611/AG611-1)</f>
        <v>-0.22945571452336644</v>
      </c>
      <c r="AJ611" s="28">
        <f t="shared" ca="1" si="27"/>
        <v>15.041301743326386</v>
      </c>
      <c r="AK611" s="28">
        <f t="shared" ca="1" si="28"/>
        <v>-28.013523965548607</v>
      </c>
    </row>
    <row r="612" spans="1:37">
      <c r="A612" s="10">
        <f>IF(履歴データ!$A$612="","",履歴データ!$A$612)</f>
        <v>45819</v>
      </c>
      <c r="B612" s="28">
        <f>IF(履歴データ!$A$612="","",(履歴データ!$D$612-(履歴データ!$B$612+履歴データ!$F$612)/2)*100)</f>
        <v>-1.499999999999968</v>
      </c>
      <c r="C612" s="28">
        <f>IF(履歴データ!$A$612="","",(履歴データ!$H$612-(履歴データ!$G$612+履歴データ!$J$612)/2)*100)</f>
        <v>-30.200000000000003</v>
      </c>
      <c r="D612" s="28">
        <f>IF(履歴データ!$A$612="","",(履歴データ!$D$612-履歴データ!$H$612)*100)</f>
        <v>293</v>
      </c>
      <c r="E612" s="28">
        <f>IF(履歴データ!$A$612="","",(履歴データ!$D$612-履歴データ!$C$612)*100)</f>
        <v>39.000000000000057</v>
      </c>
      <c r="F612" s="28">
        <f>IF(履歴データ!$A$612="","",(履歴データ!$R$612-履歴データ!$D$612)*100)</f>
        <v>-298.20000000000005</v>
      </c>
      <c r="G612" s="28">
        <f>IF(履歴データ!$A$612="","",(履歴データ!$S$612-履歴データ!$R$612)*100)</f>
        <v>15.11199999999997</v>
      </c>
      <c r="H612" s="29">
        <f>IF(履歴データ!$A$612="","",履歴データ!$O$612)</f>
        <v>144.2030029296875</v>
      </c>
      <c r="I612" s="29">
        <f>IF(履歴データ!$A$612="","",履歴データ!$Q$612)</f>
        <v>110.6875</v>
      </c>
      <c r="J612" s="29">
        <f>IF(履歴データ!$A$612="","",履歴データ!$D$612)</f>
        <v>4.41</v>
      </c>
      <c r="K612" s="28">
        <f>IF(OR(履歴データ!$A$612="",履歴データ!$A$611=""),"",B612-B611)</f>
        <v>-1.499999999999968</v>
      </c>
      <c r="L612" s="28">
        <f>IF(OR(履歴データ!$A$612="",履歴データ!$A$611=""),"",C612-C611)</f>
        <v>-1</v>
      </c>
      <c r="M612" s="28">
        <f>IF(OR(履歴データ!$A$612="",履歴データ!$A$611=""),"",D612-D611)</f>
        <v>-4.1999999999999318</v>
      </c>
      <c r="N612" s="28">
        <f>IF(OR(履歴データ!$A$612="",履歴データ!$A$611=""),"",E612-E611)</f>
        <v>8.5265128291212022E-14</v>
      </c>
      <c r="O612" s="28">
        <f>IF(OR(履歴データ!$A$612="",履歴データ!$A$611=""),"",F612-F611)</f>
        <v>-2.4300000000000637</v>
      </c>
      <c r="P612" s="28">
        <f>IF(OR(履歴データ!$A$612="",履歴データ!$A$611=""),"",G612-G611)</f>
        <v>13.165821411132871</v>
      </c>
      <c r="Q612" s="29">
        <f>IF(OR(履歴データ!$A$612="",履歴データ!$A$611=""),"",H612-H611)</f>
        <v>-0.6349945068359375</v>
      </c>
      <c r="R612" s="29">
        <f>IF(OR(履歴データ!$A$612="",履歴データ!$A$611=""),"",I612-I611)</f>
        <v>0.46875</v>
      </c>
      <c r="S612" s="28">
        <f>IF(OR(履歴データ!$A$612="",履歴データ!$A$611=""),"",(J612-J611)*100)</f>
        <v>-5.9999999999999609</v>
      </c>
      <c r="T612" s="11">
        <f>IF(OR(履歴データ!$A$612="",履歴データ!$A$611=""),"",-80000*K612)</f>
        <v>119999.99999999744</v>
      </c>
      <c r="U612" s="11">
        <f>IF(OR(履歴データ!$A$612="",履歴データ!$A$611=""),"",60000*L612)</f>
        <v>-60000</v>
      </c>
      <c r="V612" s="11">
        <f>IF(OR(履歴データ!$A$612="",履歴データ!$A$611=""),"",-50000*M612)</f>
        <v>209999.99999999659</v>
      </c>
      <c r="W612" s="11">
        <f>IF(OR(履歴データ!$A$612="",履歴データ!$A$611=""),"",-40000*N612)</f>
        <v>-3.4106051316484809E-9</v>
      </c>
      <c r="X612" s="11">
        <f>IF(OR(履歴データ!$A$612="",履歴データ!$A$611=""),"",120*1000000*(-Q612/H611))</f>
        <v>526100.48584597115</v>
      </c>
      <c r="Y612" s="11">
        <f>IF(OR(履歴データ!$A$612="",履歴データ!$A$611=""),"",40000*(-S612)+(-506.3)*R612*1000)</f>
        <v>2671.8749999984284</v>
      </c>
      <c r="Z612" s="11">
        <f>IF(OR(履歴データ!$A$612="",履歴データ!$A$611=""),"",-40000*O612)</f>
        <v>97200.000000002547</v>
      </c>
      <c r="AA612" s="11">
        <f>IF(OR(履歴データ!$A$612="",履歴データ!$A$611=""),"",-40000*P612)</f>
        <v>-526632.85644531483</v>
      </c>
      <c r="AB612" s="11">
        <f>IF(履歴データ!$A$612="","",123.3)</f>
        <v>123.3</v>
      </c>
      <c r="AC612">
        <f>IF(履歴データ!$A$612="","",SUM(T612:AA612))</f>
        <v>369339.50440064794</v>
      </c>
      <c r="AD612" s="29">
        <f>IF(履歴データ!$A$612="","",AC612/1000000)</f>
        <v>0.36933950440064794</v>
      </c>
      <c r="AE612" s="29">
        <f>IF(履歴データ!$A$612="",AE611,AE611+AC612/1000000)</f>
        <v>79.097526985774095</v>
      </c>
      <c r="AF612" s="12">
        <f>IF(OR(履歴データ!$A$612="",AE611=0),"",(AE612-AE611)/AE611)</f>
        <v>4.6913248763414683E-3</v>
      </c>
      <c r="AG612" s="29">
        <f t="shared" si="29"/>
        <v>102.17217746631495</v>
      </c>
      <c r="AH612" s="12">
        <f>IF(OR(履歴データ!$A$612="",AG612=0),"",AE612/AG612-1)</f>
        <v>-0.22584084094858714</v>
      </c>
      <c r="AJ612" s="28">
        <f t="shared" ca="1" si="27"/>
        <v>14.963595487297617</v>
      </c>
      <c r="AK612" s="28">
        <f t="shared" ca="1" si="28"/>
        <v>-27.713595487297617</v>
      </c>
    </row>
    <row r="613" spans="1:37">
      <c r="A613" s="10">
        <f>IF(履歴データ!$A$613="","",履歴データ!$A$613)</f>
        <v>45820</v>
      </c>
      <c r="B613" s="28">
        <f>IF(履歴データ!$A$613="","",(履歴データ!$D$613-(履歴データ!$B$613+履歴データ!$F$613)/2)*100)</f>
        <v>-0.99999999999997868</v>
      </c>
      <c r="C613" s="28">
        <f>IF(履歴データ!$A$613="","",(履歴データ!$H$613-(履歴データ!$G$613+履歴データ!$J$613)/2)*100)</f>
        <v>-29.999999999999982</v>
      </c>
      <c r="D613" s="28">
        <f>IF(履歴データ!$A$613="","",(履歴データ!$D$613-履歴データ!$H$613)*100)</f>
        <v>288.00000000000006</v>
      </c>
      <c r="E613" s="28">
        <f>IF(履歴データ!$A$613="","",(履歴データ!$D$613-履歴データ!$C$613)*100)</f>
        <v>39.000000000000014</v>
      </c>
      <c r="F613" s="28">
        <f>IF(履歴データ!$A$613="","",(履歴データ!$R$613-履歴データ!$D$613)*100)</f>
        <v>-296.93000000000006</v>
      </c>
      <c r="G613" s="28">
        <f>IF(履歴データ!$A$613="","",(履歴データ!$S$613-履歴データ!$R$613)*100)</f>
        <v>18.84199999999996</v>
      </c>
      <c r="H613" s="29">
        <f>IF(履歴データ!$A$613="","",履歴データ!$O$613)</f>
        <v>143.19400024414063</v>
      </c>
      <c r="I613" s="29">
        <f>IF(履歴データ!$A$613="","",履歴データ!$Q$613)</f>
        <v>111.046875</v>
      </c>
      <c r="J613" s="29">
        <f>IF(履歴データ!$A$613="","",履歴データ!$D$613)</f>
        <v>4.3600000000000003</v>
      </c>
      <c r="K613" s="28">
        <f>IF(OR(履歴データ!$A$613="",履歴データ!$A$612=""),"",B613-B612)</f>
        <v>0.49999999999998934</v>
      </c>
      <c r="L613" s="28">
        <f>IF(OR(履歴データ!$A$613="",履歴データ!$A$612=""),"",C613-C612)</f>
        <v>0.20000000000002061</v>
      </c>
      <c r="M613" s="28">
        <f>IF(OR(履歴データ!$A$613="",履歴データ!$A$612=""),"",D613-D612)</f>
        <v>-4.9999999999999432</v>
      </c>
      <c r="N613" s="28">
        <f>IF(OR(履歴データ!$A$613="",履歴データ!$A$612=""),"",E613-E612)</f>
        <v>-4.2632564145606011E-14</v>
      </c>
      <c r="O613" s="28">
        <f>IF(OR(履歴データ!$A$613="",履歴データ!$A$612=""),"",F613-F612)</f>
        <v>1.2699999999999818</v>
      </c>
      <c r="P613" s="28">
        <f>IF(OR(履歴データ!$A$613="",履歴データ!$A$612=""),"",G613-G612)</f>
        <v>3.7299999999999898</v>
      </c>
      <c r="Q613" s="29">
        <f>IF(OR(履歴データ!$A$613="",履歴データ!$A$612=""),"",H613-H612)</f>
        <v>-1.009002685546875</v>
      </c>
      <c r="R613" s="29">
        <f>IF(OR(履歴データ!$A$613="",履歴データ!$A$612=""),"",I613-I612)</f>
        <v>0.359375</v>
      </c>
      <c r="S613" s="28">
        <f>IF(OR(履歴データ!$A$613="",履歴データ!$A$612=""),"",(J613-J612)*100)</f>
        <v>-4.9999999999999822</v>
      </c>
      <c r="T613" s="11">
        <f>IF(OR(履歴データ!$A$613="",履歴データ!$A$612=""),"",-80000*K613)</f>
        <v>-39999.999999999149</v>
      </c>
      <c r="U613" s="11">
        <f>IF(OR(履歴データ!$A$613="",履歴データ!$A$612=""),"",60000*L613)</f>
        <v>12000.000000001237</v>
      </c>
      <c r="V613" s="11">
        <f>IF(OR(履歴データ!$A$613="",履歴データ!$A$612=""),"",-50000*M613)</f>
        <v>249999.99999999715</v>
      </c>
      <c r="W613" s="11">
        <f>IF(OR(履歴データ!$A$613="",履歴データ!$A$612=""),"",-40000*N613)</f>
        <v>1.7053025658242404E-9</v>
      </c>
      <c r="X613" s="11">
        <f>IF(OR(履歴データ!$A$613="",履歴データ!$A$612=""),"",120*1000000*(-Q613/H612))</f>
        <v>839651.87829453882</v>
      </c>
      <c r="Y613" s="11">
        <f>IF(OR(履歴データ!$A$613="",履歴データ!$A$612=""),"",40000*(-S613)+(-506.3)*R613*1000)</f>
        <v>18048.437499999302</v>
      </c>
      <c r="Z613" s="11">
        <f>IF(OR(履歴データ!$A$613="",履歴データ!$A$612=""),"",-40000*O613)</f>
        <v>-50799.999999999272</v>
      </c>
      <c r="AA613" s="11">
        <f>IF(OR(履歴データ!$A$613="",履歴データ!$A$612=""),"",-40000*P613)</f>
        <v>-149199.99999999959</v>
      </c>
      <c r="AB613" s="11">
        <f>IF(履歴データ!$A$613="","",123.3)</f>
        <v>123.3</v>
      </c>
      <c r="AC613">
        <f>IF(履歴データ!$A$613="","",SUM(T613:AA613))</f>
        <v>879700.31579454034</v>
      </c>
      <c r="AD613" s="29">
        <f>IF(履歴データ!$A$613="","",AC613/1000000)</f>
        <v>0.87970031579454033</v>
      </c>
      <c r="AE613" s="29">
        <f>IF(履歴データ!$A$613="",AE612,AE612+AC613/1000000)</f>
        <v>79.977227301568632</v>
      </c>
      <c r="AF613" s="12">
        <f>IF(OR(履歴データ!$A$613="",AE612=0),"",(AE613-AE612)/AE612)</f>
        <v>1.1121717066486205E-2</v>
      </c>
      <c r="AG613" s="29">
        <f t="shared" si="29"/>
        <v>102.17217746631495</v>
      </c>
      <c r="AH613" s="12">
        <f>IF(OR(履歴データ!$A$613="",AG613=0),"",AE613/AG613-1)</f>
        <v>-0.21723086181718843</v>
      </c>
      <c r="AJ613" s="28">
        <f t="shared" ca="1" si="27"/>
        <v>14.905180527466847</v>
      </c>
      <c r="AK613" s="28">
        <f t="shared" ca="1" si="28"/>
        <v>-27.440894813181131</v>
      </c>
    </row>
    <row r="614" spans="1:37">
      <c r="A614" s="10">
        <f>IF(履歴データ!$A$614="","",履歴データ!$A$614)</f>
        <v>45821</v>
      </c>
      <c r="B614" s="28">
        <f>IF(履歴データ!$A$614="","",(履歴データ!$D$614-(履歴データ!$B$614+履歴データ!$F$614)/2)*100)</f>
        <v>-1.9999999999999574</v>
      </c>
      <c r="C614" s="28">
        <f>IF(履歴データ!$A$614="","",(履歴データ!$H$614-(履歴データ!$G$614+履歴データ!$J$614)/2)*100)</f>
        <v>-32.95000000000001</v>
      </c>
      <c r="D614" s="28">
        <f>IF(履歴データ!$A$614="","",(履歴データ!$D$614-履歴データ!$H$614)*100)</f>
        <v>298.09999999999997</v>
      </c>
      <c r="E614" s="28">
        <f>IF(履歴データ!$A$614="","",(履歴データ!$D$614-履歴データ!$C$614)*100)</f>
        <v>39.000000000000057</v>
      </c>
      <c r="F614" s="28">
        <f>IF(履歴データ!$A$614="","",(履歴データ!$R$614-履歴データ!$D$614)*100)</f>
        <v>-312.59000000000003</v>
      </c>
      <c r="G614" s="28">
        <f>IF(履歴データ!$A$614="","",(履歴データ!$S$614-履歴データ!$R$614)*100)</f>
        <v>26.695642822265462</v>
      </c>
      <c r="H614" s="29">
        <f>IF(履歴データ!$A$614="","",履歴データ!$O$614)</f>
        <v>143.19400024414063</v>
      </c>
      <c r="I614" s="29">
        <f>IF(履歴データ!$A$614="","",履歴データ!$Q$614)</f>
        <v>110.625</v>
      </c>
      <c r="J614" s="29">
        <f>IF(履歴データ!$A$614="","",履歴データ!$D$614)</f>
        <v>4.41</v>
      </c>
      <c r="K614" s="28">
        <f>IF(OR(履歴データ!$A$614="",履歴データ!$A$613=""),"",B614-B613)</f>
        <v>-0.99999999999997868</v>
      </c>
      <c r="L614" s="28">
        <f>IF(OR(履歴データ!$A$614="",履歴データ!$A$613=""),"",C614-C613)</f>
        <v>-2.9500000000000277</v>
      </c>
      <c r="M614" s="28">
        <f>IF(OR(履歴データ!$A$614="",履歴データ!$A$613=""),"",D614-D613)</f>
        <v>10.099999999999909</v>
      </c>
      <c r="N614" s="28">
        <f>IF(OR(履歴データ!$A$614="",履歴データ!$A$613=""),"",E614-E613)</f>
        <v>4.2632564145606011E-14</v>
      </c>
      <c r="O614" s="28">
        <f>IF(OR(履歴データ!$A$614="",履歴データ!$A$613=""),"",F614-F613)</f>
        <v>-15.659999999999968</v>
      </c>
      <c r="P614" s="28">
        <f>IF(OR(履歴データ!$A$614="",履歴データ!$A$613=""),"",G614-G613)</f>
        <v>7.8536428222655026</v>
      </c>
      <c r="Q614" s="29">
        <f>IF(OR(履歴データ!$A$614="",履歴データ!$A$613=""),"",H614-H613)</f>
        <v>0</v>
      </c>
      <c r="R614" s="29">
        <f>IF(OR(履歴データ!$A$614="",履歴データ!$A$613=""),"",I614-I613)</f>
        <v>-0.421875</v>
      </c>
      <c r="S614" s="28">
        <f>IF(OR(履歴データ!$A$614="",履歴データ!$A$613=""),"",(J614-J613)*100)</f>
        <v>4.9999999999999822</v>
      </c>
      <c r="T614" s="11">
        <f>IF(OR(履歴データ!$A$614="",履歴データ!$A$613=""),"",-80000*K614)</f>
        <v>79999.999999998297</v>
      </c>
      <c r="U614" s="11">
        <f>IF(OR(履歴データ!$A$614="",履歴データ!$A$613=""),"",60000*L614)</f>
        <v>-177000.00000000166</v>
      </c>
      <c r="V614" s="11">
        <f>IF(OR(履歴データ!$A$614="",履歴データ!$A$613=""),"",-50000*M614)</f>
        <v>-504999.99999999546</v>
      </c>
      <c r="W614" s="11">
        <f>IF(OR(履歴データ!$A$614="",履歴データ!$A$613=""),"",-40000*N614)</f>
        <v>-1.7053025658242404E-9</v>
      </c>
      <c r="X614" s="11">
        <f>IF(OR(履歴データ!$A$614="",履歴データ!$A$613=""),"",120*1000000*(-Q614/H613))</f>
        <v>0</v>
      </c>
      <c r="Y614" s="11">
        <f>IF(OR(履歴データ!$A$614="",履歴データ!$A$613=""),"",40000*(-S614)+(-506.3)*R614*1000)</f>
        <v>13595.312500000698</v>
      </c>
      <c r="Z614" s="11">
        <f>IF(OR(履歴データ!$A$614="",履歴データ!$A$613=""),"",-40000*O614)</f>
        <v>626399.99999999872</v>
      </c>
      <c r="AA614" s="11">
        <f>IF(OR(履歴データ!$A$614="",履歴データ!$A$613=""),"",-40000*P614)</f>
        <v>-314145.71289062011</v>
      </c>
      <c r="AB614" s="11">
        <f>IF(履歴データ!$A$614="","",123.3)</f>
        <v>123.3</v>
      </c>
      <c r="AC614">
        <f>IF(履歴データ!$A$614="","",SUM(T614:AA614))</f>
        <v>-276150.40039062127</v>
      </c>
      <c r="AD614" s="29">
        <f>IF(履歴データ!$A$614="","",AC614/1000000)</f>
        <v>-0.27615040039062128</v>
      </c>
      <c r="AE614" s="29">
        <f>IF(履歴データ!$A$614="",AE613,AE613+AC614/1000000)</f>
        <v>79.701076901178013</v>
      </c>
      <c r="AF614" s="12">
        <f>IF(OR(履歴データ!$A$614="",AE613=0),"",(AE614-AE613)/AE613)</f>
        <v>-3.4528628924499287E-3</v>
      </c>
      <c r="AG614" s="29">
        <f t="shared" si="29"/>
        <v>102.17217746631495</v>
      </c>
      <c r="AH614" s="12">
        <f>IF(OR(履歴データ!$A$614="",AG614=0),"",AE614/AG614-1)</f>
        <v>-0.21993365632777484</v>
      </c>
      <c r="AJ614" s="28">
        <f t="shared" ca="1" si="27"/>
        <v>14.859415358444149</v>
      </c>
      <c r="AK614" s="28">
        <f t="shared" ca="1" si="28"/>
        <v>-27.204653453682244</v>
      </c>
    </row>
    <row r="615" spans="1:37">
      <c r="A615" s="10">
        <f>IF(履歴データ!$A$615="","",履歴データ!$A$615)</f>
        <v>45824</v>
      </c>
      <c r="B615" s="28">
        <f>IF(履歴データ!$A$615="","",(履歴データ!$D$615-(履歴データ!$B$615+履歴データ!$F$615)/2)*100)</f>
        <v>-0.49999999999998934</v>
      </c>
      <c r="C615" s="28">
        <f>IF(履歴データ!$A$615="","",(履歴データ!$H$615-(履歴データ!$G$615+履歴データ!$J$615)/2)*100)</f>
        <v>-30.149999999999988</v>
      </c>
      <c r="D615" s="28">
        <f>IF(履歴データ!$A$615="","",(履歴データ!$D$615-履歴データ!$H$615)*100)</f>
        <v>298.29999999999995</v>
      </c>
      <c r="E615" s="28">
        <f>IF(履歴データ!$A$615="","",(履歴データ!$D$615-履歴データ!$C$615)*100)</f>
        <v>41.999999999999993</v>
      </c>
      <c r="F615" s="28">
        <f>IF(履歴データ!$A$615="","",(履歴データ!$R$615-履歴データ!$D$615)*100)</f>
        <v>-309.30999999999995</v>
      </c>
      <c r="G615" s="28">
        <f>IF(履歴データ!$A$615="","",(履歴データ!$S$615-履歴データ!$R$615)*100)</f>
        <v>21.046642822265515</v>
      </c>
      <c r="H615" s="29">
        <f>IF(履歴データ!$A$615="","",履歴データ!$O$615)</f>
        <v>144.72900390625</v>
      </c>
      <c r="I615" s="29">
        <f>IF(履歴データ!$A$615="","",履歴データ!$Q$615)</f>
        <v>110.5</v>
      </c>
      <c r="J615" s="29">
        <f>IF(履歴データ!$A$615="","",履歴データ!$D$615)</f>
        <v>4.46</v>
      </c>
      <c r="K615" s="28">
        <f>IF(OR(履歴データ!$A$615="",履歴データ!$A$614=""),"",B615-B614)</f>
        <v>1.499999999999968</v>
      </c>
      <c r="L615" s="28">
        <f>IF(OR(履歴データ!$A$615="",履歴データ!$A$614=""),"",C615-C614)</f>
        <v>2.800000000000022</v>
      </c>
      <c r="M615" s="28">
        <f>IF(OR(履歴データ!$A$615="",履歴データ!$A$614=""),"",D615-D614)</f>
        <v>0.19999999999998863</v>
      </c>
      <c r="N615" s="28">
        <f>IF(OR(履歴データ!$A$615="",履歴データ!$A$614=""),"",E615-E614)</f>
        <v>2.9999999999999361</v>
      </c>
      <c r="O615" s="28">
        <f>IF(OR(履歴データ!$A$615="",履歴データ!$A$614=""),"",F615-F614)</f>
        <v>3.2800000000000864</v>
      </c>
      <c r="P615" s="28">
        <f>IF(OR(履歴データ!$A$615="",履歴データ!$A$614=""),"",G615-G614)</f>
        <v>-5.6489999999999476</v>
      </c>
      <c r="Q615" s="29">
        <f>IF(OR(履歴データ!$A$615="",履歴データ!$A$614=""),"",H615-H614)</f>
        <v>1.535003662109375</v>
      </c>
      <c r="R615" s="29">
        <f>IF(OR(履歴データ!$A$615="",履歴データ!$A$614=""),"",I615-I614)</f>
        <v>-0.125</v>
      </c>
      <c r="S615" s="28">
        <f>IF(OR(履歴データ!$A$615="",履歴データ!$A$614=""),"",(J615-J614)*100)</f>
        <v>4.9999999999999822</v>
      </c>
      <c r="T615" s="11">
        <f>IF(OR(履歴データ!$A$615="",履歴データ!$A$614=""),"",-80000*K615)</f>
        <v>-119999.99999999744</v>
      </c>
      <c r="U615" s="11">
        <f>IF(OR(履歴データ!$A$615="",履歴データ!$A$614=""),"",60000*L615)</f>
        <v>168000.00000000131</v>
      </c>
      <c r="V615" s="11">
        <f>IF(OR(履歴データ!$A$615="",履歴データ!$A$614=""),"",-50000*M615)</f>
        <v>-9999.9999999994325</v>
      </c>
      <c r="W615" s="11">
        <f>IF(OR(履歴データ!$A$615="",履歴データ!$A$614=""),"",-40000*N615)</f>
        <v>-119999.99999999744</v>
      </c>
      <c r="X615" s="11">
        <f>IF(OR(履歴データ!$A$615="",履歴データ!$A$614=""),"",120*1000000*(-Q615/H614))</f>
        <v>-1286369.8139521896</v>
      </c>
      <c r="Y615" s="11">
        <f>IF(OR(履歴データ!$A$615="",履歴データ!$A$614=""),"",40000*(-S615)+(-506.3)*R615*1000)</f>
        <v>-136712.4999999993</v>
      </c>
      <c r="Z615" s="11">
        <f>IF(OR(履歴データ!$A$615="",履歴データ!$A$614=""),"",-40000*O615)</f>
        <v>-131200.00000000346</v>
      </c>
      <c r="AA615" s="11">
        <f>IF(OR(履歴データ!$A$615="",履歴データ!$A$614=""),"",-40000*P615)</f>
        <v>225959.9999999979</v>
      </c>
      <c r="AB615" s="11">
        <f>IF(履歴データ!$A$615="","",123.3)</f>
        <v>123.3</v>
      </c>
      <c r="AC615">
        <f>IF(履歴データ!$A$615="","",SUM(T615:AA615))</f>
        <v>-1410322.3139521875</v>
      </c>
      <c r="AD615" s="29">
        <f>IF(履歴データ!$A$615="","",AC615/1000000)</f>
        <v>-1.4103223139521874</v>
      </c>
      <c r="AE615" s="29">
        <f>IF(履歴データ!$A$615="",AE614,AE614+AC615/1000000)</f>
        <v>78.29075458722582</v>
      </c>
      <c r="AF615" s="12">
        <f>IF(OR(履歴データ!$A$615="",AE614=0),"",(AE615-AE614)/AE614)</f>
        <v>-1.7695147528569315E-2</v>
      </c>
      <c r="AG615" s="29">
        <f t="shared" si="29"/>
        <v>102.17217746631495</v>
      </c>
      <c r="AH615" s="12">
        <f>IF(OR(履歴データ!$A$615="",AG615=0),"",AE615/AG615-1)</f>
        <v>-0.23373704536112661</v>
      </c>
      <c r="AJ615" s="28">
        <f t="shared" ca="1" si="27"/>
        <v>14.798407911091939</v>
      </c>
      <c r="AK615" s="28">
        <f t="shared" ca="1" si="28"/>
        <v>-26.925392038076065</v>
      </c>
    </row>
    <row r="616" spans="1:37">
      <c r="A616" s="10">
        <f>IF(履歴データ!$A$616="","",履歴データ!$A$616)</f>
        <v>45825</v>
      </c>
      <c r="B616" s="28">
        <f>IF(履歴データ!$A$616="","",(履歴データ!$D$616-(履歴データ!$B$616+履歴データ!$F$616)/2)*100)</f>
        <v>-2.0000000000000462</v>
      </c>
      <c r="C616" s="28">
        <f>IF(履歴データ!$A$616="","",(履歴データ!$H$616-(履歴データ!$G$616+履歴データ!$J$616)/2)*100)</f>
        <v>-29.800000000000004</v>
      </c>
      <c r="D616" s="28">
        <f>IF(履歴データ!$A$616="","",(履歴データ!$D$616-履歴データ!$H$616)*100)</f>
        <v>289.19999999999993</v>
      </c>
      <c r="E616" s="28">
        <f>IF(履歴データ!$A$616="","",(履歴データ!$D$616-履歴データ!$C$616)*100)</f>
        <v>39.999999999999943</v>
      </c>
      <c r="F616" s="28">
        <f>IF(履歴データ!$A$616="","",(履歴データ!$R$616-履歴データ!$D$616)*100)</f>
        <v>-306.67</v>
      </c>
      <c r="G616" s="28">
        <f>IF(履歴データ!$A$616="","",(履歴データ!$S$616-履歴データ!$R$616)*100)</f>
        <v>29.79164282226543</v>
      </c>
      <c r="H616" s="29">
        <f>IF(履歴データ!$A$616="","",履歴データ!$O$616)</f>
        <v>145.37600708007813</v>
      </c>
      <c r="I616" s="29">
        <f>IF(履歴データ!$A$616="","",履歴データ!$Q$616)</f>
        <v>110.84375</v>
      </c>
      <c r="J616" s="29">
        <f>IF(履歴データ!$A$616="","",履歴データ!$D$616)</f>
        <v>4.3899999999999997</v>
      </c>
      <c r="K616" s="28">
        <f>IF(OR(履歴データ!$A$616="",履歴データ!$A$615=""),"",B616-B615)</f>
        <v>-1.5000000000000568</v>
      </c>
      <c r="L616" s="28">
        <f>IF(OR(履歴データ!$A$616="",履歴データ!$A$615=""),"",C616-C615)</f>
        <v>0.34999999999998366</v>
      </c>
      <c r="M616" s="28">
        <f>IF(OR(履歴データ!$A$616="",履歴データ!$A$615=""),"",D616-D615)</f>
        <v>-9.1000000000000227</v>
      </c>
      <c r="N616" s="28">
        <f>IF(OR(履歴データ!$A$616="",履歴データ!$A$615=""),"",E616-E615)</f>
        <v>-2.0000000000000497</v>
      </c>
      <c r="O616" s="28">
        <f>IF(OR(履歴データ!$A$616="",履歴データ!$A$615=""),"",F616-F615)</f>
        <v>2.6399999999999295</v>
      </c>
      <c r="P616" s="28">
        <f>IF(OR(履歴データ!$A$616="",履歴データ!$A$615=""),"",G616-G615)</f>
        <v>8.7449999999999157</v>
      </c>
      <c r="Q616" s="29">
        <f>IF(OR(履歴データ!$A$616="",履歴データ!$A$615=""),"",H616-H615)</f>
        <v>0.647003173828125</v>
      </c>
      <c r="R616" s="29">
        <f>IF(OR(履歴データ!$A$616="",履歴データ!$A$615=""),"",I616-I615)</f>
        <v>0.34375</v>
      </c>
      <c r="S616" s="28">
        <f>IF(OR(履歴データ!$A$616="",履歴データ!$A$615=""),"",(J616-J615)*100)</f>
        <v>-7.0000000000000284</v>
      </c>
      <c r="T616" s="11">
        <f>IF(OR(履歴データ!$A$616="",履歴データ!$A$615=""),"",-80000*K616)</f>
        <v>120000.00000000454</v>
      </c>
      <c r="U616" s="11">
        <f>IF(OR(履歴データ!$A$616="",履歴データ!$A$615=""),"",60000*L616)</f>
        <v>20999.999999999018</v>
      </c>
      <c r="V616" s="11">
        <f>IF(OR(履歴データ!$A$616="",履歴データ!$A$615=""),"",-50000*M616)</f>
        <v>455000.00000000116</v>
      </c>
      <c r="W616" s="11">
        <f>IF(OR(履歴データ!$A$616="",履歴データ!$A$615=""),"",-40000*N616)</f>
        <v>80000.000000001994</v>
      </c>
      <c r="X616" s="11">
        <f>IF(OR(履歴データ!$A$616="",履歴データ!$A$615=""),"",120*1000000*(-Q616/H615))</f>
        <v>-536453.50112177595</v>
      </c>
      <c r="Y616" s="11">
        <f>IF(OR(履歴データ!$A$616="",履歴データ!$A$615=""),"",40000*(-S616)+(-506.3)*R616*1000)</f>
        <v>105959.37500000116</v>
      </c>
      <c r="Z616" s="11">
        <f>IF(OR(履歴データ!$A$616="",履歴データ!$A$615=""),"",-40000*O616)</f>
        <v>-105599.99999999718</v>
      </c>
      <c r="AA616" s="11">
        <f>IF(OR(履歴データ!$A$616="",履歴データ!$A$615=""),"",-40000*P616)</f>
        <v>-349799.99999999662</v>
      </c>
      <c r="AB616" s="11">
        <f>IF(履歴データ!$A$616="","",123.3)</f>
        <v>123.3</v>
      </c>
      <c r="AC616">
        <f>IF(履歴データ!$A$616="","",SUM(T616:AA616))</f>
        <v>-209894.12612176195</v>
      </c>
      <c r="AD616" s="29">
        <f>IF(履歴データ!$A$616="","",AC616/1000000)</f>
        <v>-0.20989412612176195</v>
      </c>
      <c r="AE616" s="29">
        <f>IF(履歴データ!$A$616="",AE615,AE615+AC616/1000000)</f>
        <v>78.080860461104052</v>
      </c>
      <c r="AF616" s="12">
        <f>IF(OR(履歴データ!$A$616="",AE615=0),"",(AE616-AE615)/AE615)</f>
        <v>-2.6809567391245263E-3</v>
      </c>
      <c r="AG616" s="29">
        <f t="shared" si="29"/>
        <v>102.17217746631495</v>
      </c>
      <c r="AH616" s="12">
        <f>IF(OR(履歴データ!$A$616="",AG616=0),"",AE616/AG616-1)</f>
        <v>-0.23579136319330707</v>
      </c>
      <c r="AJ616" s="28">
        <f t="shared" ca="1" si="27"/>
        <v>14.694692703241397</v>
      </c>
      <c r="AK616" s="28">
        <f t="shared" ca="1" si="28"/>
        <v>-26.599454608003303</v>
      </c>
    </row>
    <row r="617" spans="1:37">
      <c r="A617" s="10">
        <f>IF(履歴データ!$A$617="","",履歴データ!$A$617)</f>
        <v>45826</v>
      </c>
      <c r="B617" s="28">
        <f>IF(履歴データ!$A$617="","",(履歴データ!$D$617-(履歴データ!$B$617+履歴データ!$F$617)/2)*100)</f>
        <v>-3.0000000000000249</v>
      </c>
      <c r="C617" s="28">
        <f>IF(履歴データ!$A$617="","",(履歴データ!$H$617-(履歴データ!$G$617+履歴データ!$J$617)/2)*100)</f>
        <v>-30.799999999999983</v>
      </c>
      <c r="D617" s="28">
        <f>IF(履歴データ!$A$617="","",(履歴データ!$D$617-履歴データ!$H$617)*100)</f>
        <v>290.09999999999997</v>
      </c>
      <c r="E617" s="28">
        <f>IF(履歴データ!$A$617="","",(履歴データ!$D$617-履歴データ!$C$617)*100)</f>
        <v>39.999999999999993</v>
      </c>
      <c r="F617" s="28">
        <f>IF(履歴データ!$A$617="","",(履歴データ!$R$617-履歴データ!$D$617)*100)</f>
        <v>-306.21999999999997</v>
      </c>
      <c r="G617" s="28">
        <f>IF(履歴データ!$A$617="","",(履歴データ!$S$617-履歴データ!$R$617)*100)</f>
        <v>28.762999999999828</v>
      </c>
      <c r="H617" s="29">
        <f>IF(履歴データ!$A$617="","",履歴データ!$O$617)</f>
        <v>144.95500183105469</v>
      </c>
      <c r="I617" s="29">
        <f>IF(履歴データ!$A$617="","",履歴データ!$Q$617)</f>
        <v>111.0625</v>
      </c>
      <c r="J617" s="29">
        <f>IF(履歴データ!$A$617="","",履歴データ!$D$617)</f>
        <v>4.38</v>
      </c>
      <c r="K617" s="28">
        <f>IF(OR(履歴データ!$A$617="",履歴データ!$A$616=""),"",B617-B616)</f>
        <v>-0.99999999999997868</v>
      </c>
      <c r="L617" s="28">
        <f>IF(OR(履歴データ!$A$617="",履歴データ!$A$616=""),"",C617-C616)</f>
        <v>-0.99999999999997868</v>
      </c>
      <c r="M617" s="28">
        <f>IF(OR(履歴データ!$A$617="",履歴データ!$A$616=""),"",D617-D616)</f>
        <v>0.90000000000003411</v>
      </c>
      <c r="N617" s="28">
        <f>IF(OR(履歴データ!$A$617="",履歴データ!$A$616=""),"",E617-E616)</f>
        <v>4.9737991503207013E-14</v>
      </c>
      <c r="O617" s="28">
        <f>IF(OR(履歴データ!$A$617="",履歴データ!$A$616=""),"",F617-F616)</f>
        <v>0.45000000000004547</v>
      </c>
      <c r="P617" s="28">
        <f>IF(OR(履歴データ!$A$617="",履歴データ!$A$616=""),"",G617-G616)</f>
        <v>-1.0286428222656028</v>
      </c>
      <c r="Q617" s="29">
        <f>IF(OR(履歴データ!$A$617="",履歴データ!$A$616=""),"",H617-H616)</f>
        <v>-0.4210052490234375</v>
      </c>
      <c r="R617" s="29">
        <f>IF(OR(履歴データ!$A$617="",履歴データ!$A$616=""),"",I617-I616)</f>
        <v>0.21875</v>
      </c>
      <c r="S617" s="28">
        <f>IF(OR(履歴データ!$A$617="",履歴データ!$A$616=""),"",(J617-J616)*100)</f>
        <v>-0.99999999999997868</v>
      </c>
      <c r="T617" s="11">
        <f>IF(OR(履歴データ!$A$617="",履歴データ!$A$616=""),"",-80000*K617)</f>
        <v>79999.999999998297</v>
      </c>
      <c r="U617" s="11">
        <f>IF(OR(履歴データ!$A$617="",履歴データ!$A$616=""),"",60000*L617)</f>
        <v>-59999.999999998719</v>
      </c>
      <c r="V617" s="11">
        <f>IF(OR(履歴データ!$A$617="",履歴データ!$A$616=""),"",-50000*M617)</f>
        <v>-45000.000000001703</v>
      </c>
      <c r="W617" s="11">
        <f>IF(OR(履歴データ!$A$617="",履歴データ!$A$616=""),"",-40000*N617)</f>
        <v>-1.9895196601282805E-9</v>
      </c>
      <c r="X617" s="11">
        <f>IF(OR(履歴データ!$A$617="",履歴データ!$A$616=""),"",120*1000000*(-Q617/H616))</f>
        <v>347516.97269401542</v>
      </c>
      <c r="Y617" s="11">
        <f>IF(OR(履歴データ!$A$617="",履歴データ!$A$616=""),"",40000*(-S617)+(-506.3)*R617*1000)</f>
        <v>-70753.125000000844</v>
      </c>
      <c r="Z617" s="11">
        <f>IF(OR(履歴データ!$A$617="",履歴データ!$A$616=""),"",-40000*O617)</f>
        <v>-18000.000000001819</v>
      </c>
      <c r="AA617" s="11">
        <f>IF(OR(履歴データ!$A$617="",履歴データ!$A$616=""),"",-40000*P617)</f>
        <v>41145.712890624112</v>
      </c>
      <c r="AB617" s="11">
        <f>IF(履歴データ!$A$617="","",123.3)</f>
        <v>123.3</v>
      </c>
      <c r="AC617">
        <f>IF(履歴データ!$A$617="","",SUM(T617:AA617))</f>
        <v>274909.56058463274</v>
      </c>
      <c r="AD617" s="29">
        <f>IF(履歴データ!$A$617="","",AC617/1000000)</f>
        <v>0.27490956058463273</v>
      </c>
      <c r="AE617" s="29">
        <f>IF(履歴データ!$A$617="",AE616,AE616+AC617/1000000)</f>
        <v>78.355770021688684</v>
      </c>
      <c r="AF617" s="12">
        <f>IF(OR(履歴データ!$A$617="",AE616=0),"",(AE617-AE616)/AE616)</f>
        <v>3.5208315963881852E-3</v>
      </c>
      <c r="AG617" s="29">
        <f t="shared" si="29"/>
        <v>102.17217746631495</v>
      </c>
      <c r="AH617" s="12">
        <f>IF(OR(履歴データ!$A$617="",AG617=0),"",AE617/AG617-1)</f>
        <v>-0.23310071327860538</v>
      </c>
      <c r="AJ617" s="28">
        <f t="shared" ca="1" si="27"/>
        <v>14.579715116864065</v>
      </c>
      <c r="AK617" s="28">
        <f t="shared" ca="1" si="28"/>
        <v>-26.270191307340255</v>
      </c>
    </row>
    <row r="618" spans="1:37">
      <c r="A618" s="10">
        <f>IF(履歴データ!$A$618="","",履歴データ!$A$618)</f>
        <v>45828</v>
      </c>
      <c r="B618" s="28">
        <f>IF(履歴データ!$A$618="","",(履歴データ!$D$618-(履歴データ!$B$618+履歴データ!$F$618)/2)*100)</f>
        <v>-1.499999999999968</v>
      </c>
      <c r="C618" s="28">
        <f>IF(履歴データ!$A$618="","",(履歴データ!$H$618-(履歴データ!$G$618+履歴データ!$J$618)/2)*100)</f>
        <v>-33.9</v>
      </c>
      <c r="D618" s="28">
        <f>IF(履歴データ!$A$618="","",(履歴データ!$D$618-履歴データ!$H$618)*100)</f>
        <v>295.60000000000002</v>
      </c>
      <c r="E618" s="28">
        <f>IF(履歴データ!$A$618="","",(履歴データ!$D$618-履歴データ!$C$618)*100)</f>
        <v>41.999999999999993</v>
      </c>
      <c r="F618" s="28">
        <f>IF(履歴データ!$A$618="","",(履歴データ!$R$618-履歴データ!$D$618)*100)</f>
        <v>-312.69</v>
      </c>
      <c r="G618" s="28">
        <f>IF(履歴データ!$A$618="","",(履歴データ!$S$618-履歴データ!$R$618)*100)</f>
        <v>29.970999999999904</v>
      </c>
      <c r="H618" s="29">
        <f>IF(履歴データ!$A$618="","",履歴データ!$O$618)</f>
        <v>144.95500183105469</v>
      </c>
      <c r="I618" s="29">
        <f>IF(履歴データ!$A$618="","",履歴データ!$Q$618)</f>
        <v>110.984375</v>
      </c>
      <c r="J618" s="29">
        <f>IF(履歴データ!$A$618="","",履歴データ!$D$618)</f>
        <v>4.38</v>
      </c>
      <c r="K618" s="28">
        <f>IF(OR(履歴データ!$A$618="",履歴データ!$A$617=""),"",B618-B617)</f>
        <v>1.5000000000000568</v>
      </c>
      <c r="L618" s="28">
        <f>IF(OR(履歴データ!$A$618="",履歴データ!$A$617=""),"",C618-C617)</f>
        <v>-3.1000000000000156</v>
      </c>
      <c r="M618" s="28">
        <f>IF(OR(履歴データ!$A$618="",履歴データ!$A$617=""),"",D618-D617)</f>
        <v>5.5000000000000568</v>
      </c>
      <c r="N618" s="28">
        <f>IF(OR(履歴データ!$A$618="",履歴データ!$A$617=""),"",E618-E617)</f>
        <v>2</v>
      </c>
      <c r="O618" s="28">
        <f>IF(OR(履歴データ!$A$618="",履歴データ!$A$617=""),"",F618-F617)</f>
        <v>-6.4700000000000273</v>
      </c>
      <c r="P618" s="28">
        <f>IF(OR(履歴データ!$A$618="",履歴データ!$A$617=""),"",G618-G617)</f>
        <v>1.2080000000000766</v>
      </c>
      <c r="Q618" s="29">
        <f>IF(OR(履歴データ!$A$618="",履歴データ!$A$617=""),"",H618-H617)</f>
        <v>0</v>
      </c>
      <c r="R618" s="29">
        <f>IF(OR(履歴データ!$A$618="",履歴データ!$A$617=""),"",I618-I617)</f>
        <v>-7.8125E-2</v>
      </c>
      <c r="S618" s="28">
        <f>IF(OR(履歴データ!$A$618="",履歴データ!$A$617=""),"",(J618-J617)*100)</f>
        <v>0</v>
      </c>
      <c r="T618" s="11">
        <f>IF(OR(履歴データ!$A$618="",履歴データ!$A$617=""),"",-80000*K618)</f>
        <v>-120000.00000000454</v>
      </c>
      <c r="U618" s="11">
        <f>IF(OR(履歴データ!$A$618="",履歴データ!$A$617=""),"",60000*L618)</f>
        <v>-186000.00000000093</v>
      </c>
      <c r="V618" s="11">
        <f>IF(OR(履歴データ!$A$618="",履歴データ!$A$617=""),"",-50000*M618)</f>
        <v>-275000.00000000285</v>
      </c>
      <c r="W618" s="11">
        <f>IF(OR(履歴データ!$A$618="",履歴データ!$A$617=""),"",-40000*N618)</f>
        <v>-80000</v>
      </c>
      <c r="X618" s="11">
        <f>IF(OR(履歴データ!$A$618="",履歴データ!$A$617=""),"",120*1000000*(-Q618/H617))</f>
        <v>0</v>
      </c>
      <c r="Y618" s="11">
        <f>IF(OR(履歴データ!$A$618="",履歴データ!$A$617=""),"",40000*(-S618)+(-506.3)*R618*1000)</f>
        <v>39554.6875</v>
      </c>
      <c r="Z618" s="11">
        <f>IF(OR(履歴データ!$A$618="",履歴データ!$A$617=""),"",-40000*O618)</f>
        <v>258800.00000000111</v>
      </c>
      <c r="AA618" s="11">
        <f>IF(OR(履歴データ!$A$618="",履歴データ!$A$617=""),"",-40000*P618)</f>
        <v>-48320.000000003063</v>
      </c>
      <c r="AB618" s="11">
        <f>IF(履歴データ!$A$618="","",123.3)</f>
        <v>123.3</v>
      </c>
      <c r="AC618">
        <f>IF(履歴データ!$A$618="","",SUM(T618:AA618))</f>
        <v>-410965.31250001036</v>
      </c>
      <c r="AD618" s="29">
        <f>IF(履歴データ!$A$618="","",AC618/1000000)</f>
        <v>-0.41096531250001034</v>
      </c>
      <c r="AE618" s="29">
        <f>IF(履歴データ!$A$618="",AE617,AE617+AC618/1000000)</f>
        <v>77.944804709188674</v>
      </c>
      <c r="AF618" s="12">
        <f>IF(OR(履歴データ!$A$618="",AE617=0),"",(AE618-AE617)/AE617)</f>
        <v>-5.2448634272403497E-3</v>
      </c>
      <c r="AG618" s="29">
        <f t="shared" si="29"/>
        <v>102.17217746631495</v>
      </c>
      <c r="AH618" s="12">
        <f>IF(OR(履歴データ!$A$618="",AG618=0),"",AE618/AG618-1)</f>
        <v>-0.2371229952999071</v>
      </c>
      <c r="AJ618" s="28">
        <f t="shared" ca="1" si="27"/>
        <v>14.462400663808577</v>
      </c>
      <c r="AK618" s="28">
        <f t="shared" ca="1" si="28"/>
        <v>-25.922718124126039</v>
      </c>
    </row>
    <row r="619" spans="1:37">
      <c r="A619" s="10">
        <f>IF(履歴データ!$A$619="","",履歴データ!$A$619)</f>
        <v>45831</v>
      </c>
      <c r="B619" s="28">
        <f>IF(履歴データ!$A$619="","",(履歴データ!$D$619-(履歴データ!$B$619+履歴データ!$F$619)/2)*100)</f>
        <v>-1.5000000000000568</v>
      </c>
      <c r="C619" s="28">
        <f>IF(履歴データ!$A$619="","",(履歴データ!$H$619-(履歴データ!$G$619+履歴データ!$J$619)/2)*100)</f>
        <v>-33.599999999999987</v>
      </c>
      <c r="D619" s="28">
        <f>IF(履歴データ!$A$619="","",(履歴データ!$D$619-履歴データ!$H$619)*100)</f>
        <v>290.29999999999995</v>
      </c>
      <c r="E619" s="28">
        <f>IF(履歴データ!$A$619="","",(履歴データ!$D$619-履歴データ!$C$619)*100)</f>
        <v>42.999999999999972</v>
      </c>
      <c r="F619" s="28">
        <f>IF(履歴データ!$A$619="","",(履歴データ!$R$619-履歴データ!$D$619)*100)</f>
        <v>-305.95</v>
      </c>
      <c r="G619" s="28">
        <f>IF(履歴データ!$A$619="","",(履歴データ!$S$619-履歴データ!$R$619)*100)</f>
        <v>22.670642822265563</v>
      </c>
      <c r="H619" s="29">
        <f>IF(履歴データ!$A$619="","",履歴データ!$O$619)</f>
        <v>145.92799377441406</v>
      </c>
      <c r="I619" s="29">
        <f>IF(履歴データ!$A$619="","",履歴データ!$Q$619)</f>
        <v>111.453125</v>
      </c>
      <c r="J619" s="29">
        <f>IF(履歴データ!$A$619="","",履歴データ!$D$619)</f>
        <v>4.34</v>
      </c>
      <c r="K619" s="28">
        <f>IF(OR(履歴データ!$A$619="",履歴データ!$A$618=""),"",B619-B618)</f>
        <v>-8.8817841970012523E-14</v>
      </c>
      <c r="L619" s="28">
        <f>IF(OR(履歴データ!$A$619="",履歴データ!$A$618=""),"",C619-C618)</f>
        <v>0.30000000000001137</v>
      </c>
      <c r="M619" s="28">
        <f>IF(OR(履歴データ!$A$619="",履歴データ!$A$618=""),"",D619-D618)</f>
        <v>-5.3000000000000682</v>
      </c>
      <c r="N619" s="28">
        <f>IF(OR(履歴データ!$A$619="",履歴データ!$A$618=""),"",E619-E618)</f>
        <v>0.99999999999997868</v>
      </c>
      <c r="O619" s="28">
        <f>IF(OR(履歴データ!$A$619="",履歴データ!$A$618=""),"",F619-F618)</f>
        <v>6.7400000000000091</v>
      </c>
      <c r="P619" s="28">
        <f>IF(OR(履歴データ!$A$619="",履歴データ!$A$618=""),"",G619-G618)</f>
        <v>-7.300357177734341</v>
      </c>
      <c r="Q619" s="29">
        <f>IF(OR(履歴データ!$A$619="",履歴データ!$A$618=""),"",H619-H618)</f>
        <v>0.972991943359375</v>
      </c>
      <c r="R619" s="29">
        <f>IF(OR(履歴データ!$A$619="",履歴データ!$A$618=""),"",I619-I618)</f>
        <v>0.46875</v>
      </c>
      <c r="S619" s="28">
        <f>IF(OR(履歴データ!$A$619="",履歴データ!$A$618=""),"",(J619-J618)*100)</f>
        <v>-4.0000000000000036</v>
      </c>
      <c r="T619" s="11">
        <f>IF(OR(履歴データ!$A$619="",履歴データ!$A$618=""),"",-80000*K619)</f>
        <v>7.1054273576010019E-9</v>
      </c>
      <c r="U619" s="11">
        <f>IF(OR(履歴データ!$A$619="",履歴データ!$A$618=""),"",60000*L619)</f>
        <v>18000.000000000684</v>
      </c>
      <c r="V619" s="11">
        <f>IF(OR(履歴データ!$A$619="",履歴データ!$A$618=""),"",-50000*M619)</f>
        <v>265000.00000000343</v>
      </c>
      <c r="W619" s="11">
        <f>IF(OR(履歴データ!$A$619="",履歴データ!$A$618=""),"",-40000*N619)</f>
        <v>-39999.999999999149</v>
      </c>
      <c r="X619" s="11">
        <f>IF(OR(履歴データ!$A$619="",履歴データ!$A$618=""),"",120*1000000*(-Q619/H618))</f>
        <v>-805484.67957806564</v>
      </c>
      <c r="Y619" s="11">
        <f>IF(OR(履歴データ!$A$619="",履歴データ!$A$618=""),"",40000*(-S619)+(-506.3)*R619*1000)</f>
        <v>-77328.124999999854</v>
      </c>
      <c r="Z619" s="11">
        <f>IF(OR(履歴データ!$A$619="",履歴データ!$A$618=""),"",-40000*O619)</f>
        <v>-269600.00000000035</v>
      </c>
      <c r="AA619" s="11">
        <f>IF(OR(履歴データ!$A$619="",履歴データ!$A$618=""),"",-40000*P619)</f>
        <v>292014.28710937366</v>
      </c>
      <c r="AB619" s="11">
        <f>IF(履歴データ!$A$619="","",123.3)</f>
        <v>123.3</v>
      </c>
      <c r="AC619">
        <f>IF(履歴データ!$A$619="","",SUM(T619:AA619))</f>
        <v>-617398.51746868016</v>
      </c>
      <c r="AD619" s="29">
        <f>IF(履歴データ!$A$619="","",AC619/1000000)</f>
        <v>-0.61739851746868013</v>
      </c>
      <c r="AE619" s="29">
        <f>IF(履歴データ!$A$619="",AE618,AE618+AC619/1000000)</f>
        <v>77.327406191719987</v>
      </c>
      <c r="AF619" s="12">
        <f>IF(OR(履歴データ!$A$619="",AE618=0),"",(AE619-AE618)/AE618)</f>
        <v>-7.9209707404129664E-3</v>
      </c>
      <c r="AG619" s="29">
        <f t="shared" si="29"/>
        <v>102.17217746631495</v>
      </c>
      <c r="AH619" s="12">
        <f>IF(OR(履歴データ!$A$619="",AG619=0),"",AE619/AG619-1)</f>
        <v>-0.24316572173267048</v>
      </c>
      <c r="AJ619" s="28">
        <f t="shared" ca="1" si="27"/>
        <v>14.355210145631846</v>
      </c>
      <c r="AK619" s="28">
        <f t="shared" ca="1" si="28"/>
        <v>-25.593305383727085</v>
      </c>
    </row>
    <row r="620" spans="1:37">
      <c r="A620" s="10">
        <f>IF(履歴データ!$A$620="","",履歴データ!$A$620)</f>
        <v>45832</v>
      </c>
      <c r="B620" s="28">
        <f>IF(履歴データ!$A$620="","",(履歴データ!$D$620-(履歴データ!$B$620+履歴データ!$F$620)/2)*100)</f>
        <v>0.99999999999997868</v>
      </c>
      <c r="C620" s="28">
        <f>IF(履歴データ!$A$620="","",(履歴データ!$H$620-(履歴データ!$G$620+履歴データ!$J$620)/2)*100)</f>
        <v>-32.949999999999989</v>
      </c>
      <c r="D620" s="28">
        <f>IF(履歴データ!$A$620="","",(履歴データ!$D$620-履歴データ!$H$620)*100)</f>
        <v>285.49999999999994</v>
      </c>
      <c r="E620" s="28">
        <f>IF(履歴データ!$A$620="","",(履歴データ!$D$620-履歴データ!$C$620)*100)</f>
        <v>43.999999999999993</v>
      </c>
      <c r="F620" s="28">
        <f>IF(履歴データ!$A$620="","",(履歴データ!$R$620-履歴データ!$D$620)*100)</f>
        <v>-303.82</v>
      </c>
      <c r="G620" s="28">
        <f>IF(履歴データ!$A$620="","",(履歴データ!$S$620-履歴データ!$R$620)*100)</f>
        <v>30.854999999999944</v>
      </c>
      <c r="H620" s="29">
        <f>IF(履歴データ!$A$620="","",履歴データ!$O$620)</f>
        <v>144.95700073242188</v>
      </c>
      <c r="I620" s="29">
        <f>IF(履歴データ!$A$620="","",履歴データ!$Q$620)</f>
        <v>111.65625</v>
      </c>
      <c r="J620" s="29">
        <f>IF(履歴データ!$A$620="","",履歴データ!$D$620)</f>
        <v>4.3</v>
      </c>
      <c r="K620" s="28">
        <f>IF(OR(履歴データ!$A$620="",履歴データ!$A$619=""),"",B620-B619)</f>
        <v>2.5000000000000355</v>
      </c>
      <c r="L620" s="28">
        <f>IF(OR(履歴データ!$A$620="",履歴データ!$A$619=""),"",C620-C619)</f>
        <v>0.64999999999999858</v>
      </c>
      <c r="M620" s="28">
        <f>IF(OR(履歴データ!$A$620="",履歴データ!$A$619=""),"",D620-D619)</f>
        <v>-4.8000000000000114</v>
      </c>
      <c r="N620" s="28">
        <f>IF(OR(履歴データ!$A$620="",履歴データ!$A$619=""),"",E620-E619)</f>
        <v>1.0000000000000213</v>
      </c>
      <c r="O620" s="28">
        <f>IF(OR(履歴データ!$A$620="",履歴データ!$A$619=""),"",F620-F619)</f>
        <v>2.1299999999999955</v>
      </c>
      <c r="P620" s="28">
        <f>IF(OR(履歴データ!$A$620="",履歴データ!$A$619=""),"",G620-G619)</f>
        <v>8.1843571777343804</v>
      </c>
      <c r="Q620" s="29">
        <f>IF(OR(履歴データ!$A$620="",履歴データ!$A$619=""),"",H620-H619)</f>
        <v>-0.9709930419921875</v>
      </c>
      <c r="R620" s="29">
        <f>IF(OR(履歴データ!$A$620="",履歴データ!$A$619=""),"",I620-I619)</f>
        <v>0.203125</v>
      </c>
      <c r="S620" s="28">
        <f>IF(OR(履歴データ!$A$620="",履歴データ!$A$619=""),"",(J620-J619)*100)</f>
        <v>-4.0000000000000036</v>
      </c>
      <c r="T620" s="11">
        <f>IF(OR(履歴データ!$A$620="",履歴データ!$A$619=""),"",-80000*K620)</f>
        <v>-200000.00000000285</v>
      </c>
      <c r="U620" s="11">
        <f>IF(OR(履歴データ!$A$620="",履歴データ!$A$619=""),"",60000*L620)</f>
        <v>38999.999999999913</v>
      </c>
      <c r="V620" s="11">
        <f>IF(OR(履歴データ!$A$620="",履歴データ!$A$619=""),"",-50000*M620)</f>
        <v>240000.00000000058</v>
      </c>
      <c r="W620" s="11">
        <f>IF(OR(履歴データ!$A$620="",履歴データ!$A$619=""),"",-40000*N620)</f>
        <v>-40000.000000000851</v>
      </c>
      <c r="X620" s="11">
        <f>IF(OR(履歴データ!$A$620="",履歴データ!$A$619=""),"",120*1000000*(-Q620/H619))</f>
        <v>798470.27307992848</v>
      </c>
      <c r="Y620" s="11">
        <f>IF(OR(履歴データ!$A$620="",履歴データ!$A$619=""),"",40000*(-S620)+(-506.3)*R620*1000)</f>
        <v>57157.812500000131</v>
      </c>
      <c r="Z620" s="11">
        <f>IF(OR(履歴データ!$A$620="",履歴データ!$A$619=""),"",-40000*O620)</f>
        <v>-85199.999999999825</v>
      </c>
      <c r="AA620" s="11">
        <f>IF(OR(履歴データ!$A$620="",履歴データ!$A$619=""),"",-40000*P620)</f>
        <v>-327374.28710937523</v>
      </c>
      <c r="AB620" s="11">
        <f>IF(履歴データ!$A$620="","",123.3)</f>
        <v>123.3</v>
      </c>
      <c r="AC620">
        <f>IF(履歴データ!$A$620="","",SUM(T620:AA620))</f>
        <v>482053.79847055022</v>
      </c>
      <c r="AD620" s="29">
        <f>IF(履歴データ!$A$620="","",AC620/1000000)</f>
        <v>0.48205379847055024</v>
      </c>
      <c r="AE620" s="29">
        <f>IF(履歴データ!$A$620="",AE619,AE619+AC620/1000000)</f>
        <v>77.809459990190533</v>
      </c>
      <c r="AF620" s="12">
        <f>IF(OR(履歴データ!$A$620="",AE619=0),"",(AE620-AE619)/AE619)</f>
        <v>6.2339320845105801E-3</v>
      </c>
      <c r="AG620" s="29">
        <f t="shared" si="29"/>
        <v>102.17217746631495</v>
      </c>
      <c r="AH620" s="12">
        <f>IF(OR(履歴データ!$A$620="",AG620=0),"",AE620/AG620-1)</f>
        <v>-0.23844766824272234</v>
      </c>
      <c r="AJ620" s="28">
        <f t="shared" ca="1" si="27"/>
        <v>14.247808767031755</v>
      </c>
      <c r="AK620" s="28">
        <f t="shared" ca="1" si="28"/>
        <v>-25.23590400512699</v>
      </c>
    </row>
    <row r="621" spans="1:37">
      <c r="A621" s="10">
        <f>IF(履歴データ!$A$621="","",履歴データ!$A$621)</f>
        <v>45833</v>
      </c>
      <c r="B621" s="28">
        <f>IF(履歴データ!$A$621="","",(履歴データ!$D$621-(履歴データ!$B$621+履歴データ!$F$621)/2)*100)</f>
        <v>0.49999999999998934</v>
      </c>
      <c r="C621" s="28">
        <f>IF(履歴データ!$A$621="","",(履歴データ!$H$621-(履歴データ!$G$621+履歴データ!$J$621)/2)*100)</f>
        <v>-33.399999999999984</v>
      </c>
      <c r="D621" s="28">
        <f>IF(履歴データ!$A$621="","",(履歴データ!$D$621-履歴データ!$H$621)*100)</f>
        <v>286.39999999999998</v>
      </c>
      <c r="E621" s="28">
        <f>IF(履歴データ!$A$621="","",(履歴データ!$D$621-履歴データ!$C$621)*100)</f>
        <v>46</v>
      </c>
      <c r="F621" s="28">
        <f>IF(履歴データ!$A$621="","",(履歴データ!$R$621-履歴データ!$D$621)*100)</f>
        <v>-298.50000000000006</v>
      </c>
      <c r="G621" s="28">
        <f>IF(履歴データ!$A$621="","",(履歴データ!$S$621-履歴データ!$R$621)*100)</f>
        <v>15.4848214111327</v>
      </c>
      <c r="H621" s="29">
        <f>IF(履歴データ!$A$621="","",履歴データ!$O$621)</f>
        <v>144.90400695800781</v>
      </c>
      <c r="I621" s="29">
        <f>IF(履歴データ!$A$621="","",履歴データ!$Q$621)</f>
        <v>111.6875</v>
      </c>
      <c r="J621" s="29">
        <f>IF(履歴データ!$A$621="","",履歴データ!$D$621)</f>
        <v>4.29</v>
      </c>
      <c r="K621" s="28">
        <f>IF(OR(履歴データ!$A$621="",履歴データ!$A$620=""),"",B621-B620)</f>
        <v>-0.49999999999998934</v>
      </c>
      <c r="L621" s="28">
        <f>IF(OR(履歴データ!$A$621="",履歴データ!$A$620=""),"",C621-C620)</f>
        <v>-0.44999999999999574</v>
      </c>
      <c r="M621" s="28">
        <f>IF(OR(履歴データ!$A$621="",履歴データ!$A$620=""),"",D621-D620)</f>
        <v>0.90000000000003411</v>
      </c>
      <c r="N621" s="28">
        <f>IF(OR(履歴データ!$A$621="",履歴データ!$A$620=""),"",E621-E620)</f>
        <v>2.0000000000000071</v>
      </c>
      <c r="O621" s="28">
        <f>IF(OR(履歴データ!$A$621="",履歴データ!$A$620=""),"",F621-F620)</f>
        <v>5.3199999999999363</v>
      </c>
      <c r="P621" s="28">
        <f>IF(OR(履歴データ!$A$621="",履歴データ!$A$620=""),"",G621-G620)</f>
        <v>-15.370178588867244</v>
      </c>
      <c r="Q621" s="29">
        <f>IF(OR(履歴データ!$A$621="",履歴データ!$A$620=""),"",H621-H620)</f>
        <v>-5.29937744140625E-2</v>
      </c>
      <c r="R621" s="29">
        <f>IF(OR(履歴データ!$A$621="",履歴データ!$A$620=""),"",I621-I620)</f>
        <v>3.125E-2</v>
      </c>
      <c r="S621" s="28">
        <f>IF(OR(履歴データ!$A$621="",履歴データ!$A$620=""),"",(J621-J620)*100)</f>
        <v>-0.99999999999997868</v>
      </c>
      <c r="T621" s="11">
        <f>IF(OR(履歴データ!$A$621="",履歴データ!$A$620=""),"",-80000*K621)</f>
        <v>39999.999999999149</v>
      </c>
      <c r="U621" s="11">
        <f>IF(OR(履歴データ!$A$621="",履歴データ!$A$620=""),"",60000*L621)</f>
        <v>-26999.999999999745</v>
      </c>
      <c r="V621" s="11">
        <f>IF(OR(履歴データ!$A$621="",履歴データ!$A$620=""),"",-50000*M621)</f>
        <v>-45000.000000001703</v>
      </c>
      <c r="W621" s="11">
        <f>IF(OR(履歴データ!$A$621="",履歴データ!$A$620=""),"",-40000*N621)</f>
        <v>-80000.000000000291</v>
      </c>
      <c r="X621" s="11">
        <f>IF(OR(履歴データ!$A$621="",履歴データ!$A$620=""),"",120*1000000*(-Q621/H620))</f>
        <v>43869.926237133812</v>
      </c>
      <c r="Y621" s="11">
        <f>IF(OR(履歴データ!$A$621="",履歴データ!$A$620=""),"",40000*(-S621)+(-506.3)*R621*1000)</f>
        <v>24178.124999999149</v>
      </c>
      <c r="Z621" s="11">
        <f>IF(OR(履歴データ!$A$621="",履歴データ!$A$620=""),"",-40000*O621)</f>
        <v>-212799.99999999744</v>
      </c>
      <c r="AA621" s="11">
        <f>IF(OR(履歴データ!$A$621="",履歴データ!$A$620=""),"",-40000*P621)</f>
        <v>614807.14355468971</v>
      </c>
      <c r="AB621" s="11">
        <f>IF(履歴データ!$A$621="","",123.3)</f>
        <v>123.3</v>
      </c>
      <c r="AC621">
        <f>IF(履歴データ!$A$621="","",SUM(T621:AA621))</f>
        <v>358055.19479182264</v>
      </c>
      <c r="AD621" s="29">
        <f>IF(履歴データ!$A$621="","",AC621/1000000)</f>
        <v>0.35805519479182263</v>
      </c>
      <c r="AE621" s="29">
        <f>IF(履歴データ!$A$621="",AE620,AE620+AC621/1000000)</f>
        <v>78.167515184982349</v>
      </c>
      <c r="AF621" s="12">
        <f>IF(OR(履歴データ!$A$621="",AE620=0),"",(AE621-AE620)/AE620)</f>
        <v>4.6016923242618163E-3</v>
      </c>
      <c r="AG621" s="29">
        <f t="shared" si="29"/>
        <v>102.17217746631495</v>
      </c>
      <c r="AH621" s="12">
        <f>IF(OR(履歴データ!$A$621="",AG621=0),"",AE621/AG621-1)</f>
        <v>-0.23494323872315115</v>
      </c>
      <c r="AJ621" s="28">
        <f t="shared" ca="1" si="27"/>
        <v>14.146083708732633</v>
      </c>
      <c r="AK621" s="28">
        <f t="shared" ca="1" si="28"/>
        <v>-24.896083708732633</v>
      </c>
    </row>
    <row r="622" spans="1:37">
      <c r="A622" s="10">
        <f>IF(履歴データ!$A$622="","",履歴データ!$A$622)</f>
        <v>45834</v>
      </c>
      <c r="B622" s="28">
        <f>IF(履歴データ!$A$622="","",(履歴データ!$D$622-(履歴データ!$B$622+履歴データ!$F$622)/2)*100)</f>
        <v>0.49999999999998934</v>
      </c>
      <c r="C622" s="28">
        <f>IF(履歴データ!$A$622="","",(履歴データ!$H$622-(履歴データ!$G$622+履歴データ!$J$622)/2)*100)</f>
        <v>-31.84999999999998</v>
      </c>
      <c r="D622" s="28">
        <f>IF(履歴データ!$A$622="","",(履歴データ!$D$622-履歴データ!$H$622)*100)</f>
        <v>281.49999999999994</v>
      </c>
      <c r="E622" s="28">
        <f>IF(履歴データ!$A$622="","",(履歴データ!$D$622-履歴データ!$C$622)*100)</f>
        <v>46.999999999999972</v>
      </c>
      <c r="F622" s="28">
        <f>IF(履歴データ!$A$622="","",(履歴データ!$R$622-履歴データ!$D$622)*100)</f>
        <v>-294.14</v>
      </c>
      <c r="G622" s="28">
        <f>IF(履歴データ!$A$622="","",(履歴データ!$S$622-履歴データ!$R$622)*100)</f>
        <v>20.789999999999864</v>
      </c>
      <c r="H622" s="29">
        <f>IF(履歴データ!$A$622="","",履歴データ!$O$622)</f>
        <v>144.69400024414063</v>
      </c>
      <c r="I622" s="29">
        <f>IF(履歴データ!$A$622="","",履歴データ!$Q$622)</f>
        <v>112.015625</v>
      </c>
      <c r="J622" s="29">
        <f>IF(履歴データ!$A$622="","",履歴データ!$D$622)</f>
        <v>4.26</v>
      </c>
      <c r="K622" s="28">
        <f>IF(OR(履歴データ!$A$622="",履歴データ!$A$621=""),"",B622-B621)</f>
        <v>0</v>
      </c>
      <c r="L622" s="28">
        <f>IF(OR(履歴データ!$A$622="",履歴データ!$A$621=""),"",C622-C621)</f>
        <v>1.5500000000000043</v>
      </c>
      <c r="M622" s="28">
        <f>IF(OR(履歴データ!$A$622="",履歴データ!$A$621=""),"",D622-D621)</f>
        <v>-4.9000000000000341</v>
      </c>
      <c r="N622" s="28">
        <f>IF(OR(履歴データ!$A$622="",履歴データ!$A$621=""),"",E622-E621)</f>
        <v>0.99999999999997158</v>
      </c>
      <c r="O622" s="28">
        <f>IF(OR(履歴データ!$A$622="",履歴データ!$A$621=""),"",F622-F621)</f>
        <v>4.3600000000000705</v>
      </c>
      <c r="P622" s="28">
        <f>IF(OR(履歴データ!$A$622="",履歴データ!$A$621=""),"",G622-G621)</f>
        <v>5.3051785888671645</v>
      </c>
      <c r="Q622" s="29">
        <f>IF(OR(履歴データ!$A$622="",履歴データ!$A$621=""),"",H622-H621)</f>
        <v>-0.2100067138671875</v>
      </c>
      <c r="R622" s="29">
        <f>IF(OR(履歴データ!$A$622="",履歴データ!$A$621=""),"",I622-I621)</f>
        <v>0.328125</v>
      </c>
      <c r="S622" s="28">
        <f>IF(OR(履歴データ!$A$622="",履歴データ!$A$621=""),"",(J622-J621)*100)</f>
        <v>-3.0000000000000249</v>
      </c>
      <c r="T622" s="11">
        <f>IF(OR(履歴データ!$A$622="",履歴データ!$A$621=""),"",-80000*K622)</f>
        <v>0</v>
      </c>
      <c r="U622" s="11">
        <f>IF(OR(履歴データ!$A$622="",履歴データ!$A$621=""),"",60000*L622)</f>
        <v>93000.000000000262</v>
      </c>
      <c r="V622" s="11">
        <f>IF(OR(履歴データ!$A$622="",履歴データ!$A$621=""),"",-50000*M622)</f>
        <v>245000.00000000172</v>
      </c>
      <c r="W622" s="11">
        <f>IF(OR(履歴データ!$A$622="",履歴データ!$A$621=""),"",-40000*N622)</f>
        <v>-39999.999999998865</v>
      </c>
      <c r="X622" s="11">
        <f>IF(OR(履歴データ!$A$622="",履歴データ!$A$621=""),"",120*1000000*(-Q622/H621))</f>
        <v>173913.79433258544</v>
      </c>
      <c r="Y622" s="11">
        <f>IF(OR(履歴データ!$A$622="",履歴データ!$A$621=""),"",40000*(-S622)+(-506.3)*R622*1000)</f>
        <v>-46129.68749999904</v>
      </c>
      <c r="Z622" s="11">
        <f>IF(OR(履歴データ!$A$622="",履歴データ!$A$621=""),"",-40000*O622)</f>
        <v>-174400.00000000282</v>
      </c>
      <c r="AA622" s="11">
        <f>IF(OR(履歴データ!$A$622="",履歴データ!$A$621=""),"",-40000*P622)</f>
        <v>-212207.14355468657</v>
      </c>
      <c r="AB622" s="11">
        <f>IF(履歴データ!$A$622="","",123.3)</f>
        <v>123.3</v>
      </c>
      <c r="AC622">
        <f>IF(履歴データ!$A$622="","",SUM(T622:AA622))</f>
        <v>39176.963277900097</v>
      </c>
      <c r="AD622" s="29">
        <f>IF(履歴データ!$A$622="","",AC622/1000000)</f>
        <v>3.9176963277900094E-2</v>
      </c>
      <c r="AE622" s="29">
        <f>IF(履歴データ!$A$622="",AE621,AE621+AC622/1000000)</f>
        <v>78.206692148260245</v>
      </c>
      <c r="AF622" s="12">
        <f>IF(OR(履歴データ!$A$622="",AE621=0),"",(AE622-AE621)/AE621)</f>
        <v>5.0119238388458744E-4</v>
      </c>
      <c r="AG622" s="29">
        <f t="shared" si="29"/>
        <v>102.17217746631495</v>
      </c>
      <c r="AH622" s="12">
        <f>IF(OR(履歴データ!$A$622="",AG622=0),"",AE622/AG622-1)</f>
        <v>-0.23455979810115979</v>
      </c>
      <c r="AJ622" s="28">
        <f t="shared" ca="1" si="27"/>
        <v>14.038883569772764</v>
      </c>
      <c r="AK622" s="28">
        <f t="shared" ca="1" si="28"/>
        <v>-24.550788331677531</v>
      </c>
    </row>
    <row r="623" spans="1:37">
      <c r="A623" s="10">
        <f>IF(履歴データ!$A$623="","",履歴データ!$A$623)</f>
        <v>45835</v>
      </c>
      <c r="B623" s="28">
        <f>IF(履歴データ!$A$623="","",(履歴データ!$D$623-(履歴データ!$B$623+履歴データ!$F$623)/2)*100)</f>
        <v>0</v>
      </c>
      <c r="C623" s="28">
        <f>IF(履歴データ!$A$623="","",(履歴データ!$H$623-(履歴データ!$G$623+履歴データ!$J$623)/2)*100)</f>
        <v>-31.099999999999994</v>
      </c>
      <c r="D623" s="28">
        <f>IF(履歴データ!$A$623="","",(履歴データ!$D$623-履歴データ!$H$623)*100)</f>
        <v>283.10000000000002</v>
      </c>
      <c r="E623" s="28">
        <f>IF(履歴データ!$A$623="","",(履歴データ!$D$623-履歴データ!$C$623)*100)</f>
        <v>46</v>
      </c>
      <c r="F623" s="28">
        <f>IF(履歴データ!$A$623="","",(履歴データ!$R$623-履歴データ!$D$623)*100)</f>
        <v>-295.69</v>
      </c>
      <c r="G623" s="28">
        <f>IF(履歴データ!$A$623="","",(履歴データ!$S$623-履歴データ!$R$623)*100)</f>
        <v>23.023357177734205</v>
      </c>
      <c r="H623" s="29">
        <f>IF(履歴データ!$A$623="","",履歴データ!$O$623)</f>
        <v>144.69400024414063</v>
      </c>
      <c r="I623" s="29">
        <f>IF(履歴データ!$A$623="","",履歴データ!$Q$623)</f>
        <v>111.8125</v>
      </c>
      <c r="J623" s="29">
        <f>IF(履歴データ!$A$623="","",履歴データ!$D$623)</f>
        <v>4.29</v>
      </c>
      <c r="K623" s="28">
        <f>IF(OR(履歴データ!$A$623="",履歴データ!$A$622=""),"",B623-B622)</f>
        <v>-0.49999999999998934</v>
      </c>
      <c r="L623" s="28">
        <f>IF(OR(履歴データ!$A$623="",履歴データ!$A$622=""),"",C623-C622)</f>
        <v>0.74999999999998579</v>
      </c>
      <c r="M623" s="28">
        <f>IF(OR(履歴データ!$A$623="",履歴データ!$A$622=""),"",D623-D622)</f>
        <v>1.6000000000000796</v>
      </c>
      <c r="N623" s="28">
        <f>IF(OR(履歴データ!$A$623="",履歴データ!$A$622=""),"",E623-E622)</f>
        <v>-0.99999999999997158</v>
      </c>
      <c r="O623" s="28">
        <f>IF(OR(履歴データ!$A$623="",履歴データ!$A$622=""),"",F623-F622)</f>
        <v>-1.5500000000000114</v>
      </c>
      <c r="P623" s="28">
        <f>IF(OR(履歴データ!$A$623="",履歴データ!$A$622=""),"",G623-G622)</f>
        <v>2.2333571777343408</v>
      </c>
      <c r="Q623" s="29">
        <f>IF(OR(履歴データ!$A$623="",履歴データ!$A$622=""),"",H623-H622)</f>
        <v>0</v>
      </c>
      <c r="R623" s="29">
        <f>IF(OR(履歴データ!$A$623="",履歴データ!$A$622=""),"",I623-I622)</f>
        <v>-0.203125</v>
      </c>
      <c r="S623" s="28">
        <f>IF(OR(履歴データ!$A$623="",履歴データ!$A$622=""),"",(J623-J622)*100)</f>
        <v>3.0000000000000249</v>
      </c>
      <c r="T623" s="11">
        <f>IF(OR(履歴データ!$A$623="",履歴データ!$A$622=""),"",-80000*K623)</f>
        <v>39999.999999999149</v>
      </c>
      <c r="U623" s="11">
        <f>IF(OR(履歴データ!$A$623="",履歴データ!$A$622=""),"",60000*L623)</f>
        <v>44999.999999999149</v>
      </c>
      <c r="V623" s="11">
        <f>IF(OR(履歴データ!$A$623="",履歴データ!$A$622=""),"",-50000*M623)</f>
        <v>-80000.000000003973</v>
      </c>
      <c r="W623" s="11">
        <f>IF(OR(履歴データ!$A$623="",履歴データ!$A$622=""),"",-40000*N623)</f>
        <v>39999.999999998865</v>
      </c>
      <c r="X623" s="11">
        <f>IF(OR(履歴データ!$A$623="",履歴データ!$A$622=""),"",120*1000000*(-Q623/H622))</f>
        <v>0</v>
      </c>
      <c r="Y623" s="11">
        <f>IF(OR(履歴データ!$A$623="",履歴データ!$A$622=""),"",40000*(-S623)+(-506.3)*R623*1000)</f>
        <v>-17157.812500000975</v>
      </c>
      <c r="Z623" s="11">
        <f>IF(OR(履歴データ!$A$623="",履歴データ!$A$622=""),"",-40000*O623)</f>
        <v>62000.000000000451</v>
      </c>
      <c r="AA623" s="11">
        <f>IF(OR(履歴データ!$A$623="",履歴データ!$A$622=""),"",-40000*P623)</f>
        <v>-89334.287109373632</v>
      </c>
      <c r="AB623" s="11">
        <f>IF(履歴データ!$A$623="","",123.3)</f>
        <v>123.3</v>
      </c>
      <c r="AC623">
        <f>IF(履歴データ!$A$623="","",SUM(T623:AA623))</f>
        <v>507.90039061903371</v>
      </c>
      <c r="AD623" s="29">
        <f>IF(履歴データ!$A$623="","",AC623/1000000)</f>
        <v>5.0790039061903369E-4</v>
      </c>
      <c r="AE623" s="29">
        <f>IF(履歴データ!$A$623="",AE622,AE622+AC623/1000000)</f>
        <v>78.207200048650861</v>
      </c>
      <c r="AF623" s="12">
        <f>IF(OR(履歴データ!$A$623="",AE622=0),"",(AE623-AE622)/AE622)</f>
        <v>6.4943341377135476E-6</v>
      </c>
      <c r="AG623" s="29">
        <f t="shared" si="29"/>
        <v>102.17217746631495</v>
      </c>
      <c r="AH623" s="12">
        <f>IF(OR(履歴データ!$A$623="",AG623=0),"",AE623/AG623-1)</f>
        <v>-0.23455482707672626</v>
      </c>
      <c r="AJ623" s="28">
        <f t="shared" ca="1" si="27"/>
        <v>13.92177705637949</v>
      </c>
      <c r="AK623" s="28">
        <f t="shared" ca="1" si="28"/>
        <v>-24.199554834157269</v>
      </c>
    </row>
    <row r="624" spans="1:37">
      <c r="A624" s="10">
        <f>IF(履歴データ!$A$624="","",履歴データ!$A$624)</f>
        <v>45838</v>
      </c>
      <c r="B624" s="28">
        <f>IF(履歴データ!$A$624="","",(履歴データ!$D$624-(履歴データ!$B$624+履歴データ!$F$624)/2)*100)</f>
        <v>-0.99999999999997868</v>
      </c>
      <c r="C624" s="28">
        <f>IF(履歴データ!$A$624="","",(履歴データ!$H$624-(履歴データ!$G$624+履歴データ!$J$624)/2)*100)</f>
        <v>-31.25</v>
      </c>
      <c r="D624" s="28">
        <f>IF(履歴データ!$A$624="","",(履歴データ!$D$624-履歴データ!$H$624)*100)</f>
        <v>277.80000000000007</v>
      </c>
      <c r="E624" s="28">
        <f>IF(履歴データ!$A$624="","",(履歴データ!$D$624-履歴データ!$C$624)*100)</f>
        <v>45.000000000000014</v>
      </c>
      <c r="F624" s="28">
        <f>IF(履歴データ!$A$624="","",(履歴データ!$R$624-履歴データ!$D$624)*100)</f>
        <v>-292.05000000000007</v>
      </c>
      <c r="G624" s="28">
        <f>IF(履歴データ!$A$624="","",(履歴データ!$S$624-履歴データ!$R$624)*100)</f>
        <v>17.367357177734256</v>
      </c>
      <c r="H624" s="29">
        <f>IF(履歴データ!$A$624="","",履歴データ!$O$624)</f>
        <v>143.80000305175781</v>
      </c>
      <c r="I624" s="29">
        <f>IF(履歴データ!$A$624="","",履歴データ!$Q$624)</f>
        <v>112.125</v>
      </c>
      <c r="J624" s="29">
        <f>IF(履歴データ!$A$624="","",履歴データ!$D$624)</f>
        <v>4.24</v>
      </c>
      <c r="K624" s="28">
        <f>IF(OR(履歴データ!$A$624="",履歴データ!$A$623=""),"",B624-B623)</f>
        <v>-0.99999999999997868</v>
      </c>
      <c r="L624" s="28">
        <f>IF(OR(履歴データ!$A$624="",履歴データ!$A$623=""),"",C624-C623)</f>
        <v>-0.15000000000000568</v>
      </c>
      <c r="M624" s="28">
        <f>IF(OR(履歴データ!$A$624="",履歴データ!$A$623=""),"",D624-D623)</f>
        <v>-5.2999999999999545</v>
      </c>
      <c r="N624" s="28">
        <f>IF(OR(履歴データ!$A$624="",履歴データ!$A$623=""),"",E624-E623)</f>
        <v>-0.99999999999998579</v>
      </c>
      <c r="O624" s="28">
        <f>IF(OR(履歴データ!$A$624="",履歴データ!$A$623=""),"",F624-F623)</f>
        <v>3.6399999999999295</v>
      </c>
      <c r="P624" s="28">
        <f>IF(OR(履歴データ!$A$624="",履歴データ!$A$623=""),"",G624-G623)</f>
        <v>-5.6559999999999491</v>
      </c>
      <c r="Q624" s="29">
        <f>IF(OR(履歴データ!$A$624="",履歴データ!$A$623=""),"",H624-H623)</f>
        <v>-0.8939971923828125</v>
      </c>
      <c r="R624" s="29">
        <f>IF(OR(履歴データ!$A$624="",履歴データ!$A$623=""),"",I624-I623)</f>
        <v>0.3125</v>
      </c>
      <c r="S624" s="28">
        <f>IF(OR(履歴データ!$A$624="",履歴データ!$A$623=""),"",(J624-J623)*100)</f>
        <v>-4.9999999999999822</v>
      </c>
      <c r="T624" s="11">
        <f>IF(OR(履歴データ!$A$624="",履歴データ!$A$623=""),"",-80000*K624)</f>
        <v>79999.999999998297</v>
      </c>
      <c r="U624" s="11">
        <f>IF(OR(履歴データ!$A$624="",履歴データ!$A$623=""),"",60000*L624)</f>
        <v>-9000.000000000342</v>
      </c>
      <c r="V624" s="11">
        <f>IF(OR(履歴データ!$A$624="",履歴データ!$A$623=""),"",-50000*M624)</f>
        <v>264999.99999999773</v>
      </c>
      <c r="W624" s="11">
        <f>IF(OR(履歴データ!$A$624="",履歴データ!$A$623=""),"",-40000*N624)</f>
        <v>39999.999999999432</v>
      </c>
      <c r="X624" s="11">
        <f>IF(OR(履歴データ!$A$624="",履歴データ!$A$623=""),"",120*1000000*(-Q624/H623))</f>
        <v>741424.40533073712</v>
      </c>
      <c r="Y624" s="11">
        <f>IF(OR(履歴データ!$A$624="",履歴データ!$A$623=""),"",40000*(-S624)+(-506.3)*R624*1000)</f>
        <v>41781.249999999302</v>
      </c>
      <c r="Z624" s="11">
        <f>IF(OR(履歴データ!$A$624="",履歴データ!$A$623=""),"",-40000*O624)</f>
        <v>-145599.99999999718</v>
      </c>
      <c r="AA624" s="11">
        <f>IF(OR(履歴データ!$A$624="",履歴データ!$A$623=""),"",-40000*P624)</f>
        <v>226239.99999999796</v>
      </c>
      <c r="AB624" s="11">
        <f>IF(履歴データ!$A$624="","",123.3)</f>
        <v>123.3</v>
      </c>
      <c r="AC624">
        <f>IF(履歴データ!$A$624="","",SUM(T624:AA624))</f>
        <v>1239845.6553307322</v>
      </c>
      <c r="AD624" s="29">
        <f>IF(履歴データ!$A$624="","",AC624/1000000)</f>
        <v>1.2398456553307322</v>
      </c>
      <c r="AE624" s="29">
        <f>IF(履歴データ!$A$624="",AE623,AE623+AC624/1000000)</f>
        <v>79.447045703981587</v>
      </c>
      <c r="AF624" s="12">
        <f>IF(OR(履歴データ!$A$624="",AE623=0),"",(AE624-AE623)/AE623)</f>
        <v>1.5853344123807612E-2</v>
      </c>
      <c r="AG624" s="29">
        <f t="shared" si="29"/>
        <v>102.17217746631495</v>
      </c>
      <c r="AH624" s="12">
        <f>IF(OR(履歴データ!$A$624="",AG624=0),"",AE624/AG624-1)</f>
        <v>-0.22241996134246611</v>
      </c>
      <c r="AJ624" s="28">
        <f t="shared" ca="1" si="27"/>
        <v>13.82281077946414</v>
      </c>
      <c r="AK624" s="28">
        <f t="shared" ca="1" si="28"/>
        <v>-23.890271096924458</v>
      </c>
    </row>
    <row r="625" spans="1:37">
      <c r="A625" s="10">
        <f>IF(履歴データ!$A$625="","",履歴データ!$A$625)</f>
        <v>45839</v>
      </c>
      <c r="B625" s="28">
        <f>IF(履歴データ!$A$625="","",(履歴データ!$D$625-(履歴データ!$B$625+履歴データ!$F$625)/2)*100)</f>
        <v>-2.0000000000000462</v>
      </c>
      <c r="C625" s="28">
        <f>IF(履歴データ!$A$625="","",(履歴データ!$H$625-(履歴データ!$G$625+履歴データ!$J$625)/2)*100)</f>
        <v>-34.299999999999997</v>
      </c>
      <c r="D625" s="28">
        <f>IF(履歴データ!$A$625="","",(履歴データ!$D$625-履歴データ!$H$625)*100)</f>
        <v>284.09999999999997</v>
      </c>
      <c r="E625" s="28">
        <f>IF(履歴データ!$A$625="","",(履歴データ!$D$625-履歴データ!$C$625)*100)</f>
        <v>41.999999999999993</v>
      </c>
      <c r="F625" s="28">
        <f>IF(履歴データ!$A$625="","",(履歴データ!$R$625-履歴データ!$D$625)*100)</f>
        <v>-299.5</v>
      </c>
      <c r="G625" s="28">
        <f>IF(履歴データ!$A$625="","",(履歴データ!$S$625-履歴データ!$R$625)*100)</f>
        <v>25.79917858886709</v>
      </c>
      <c r="H625" s="29">
        <f>IF(履歴データ!$A$625="","",履歴データ!$O$625)</f>
        <v>143.40199279785156</v>
      </c>
      <c r="I625" s="29">
        <f>IF(履歴データ!$A$625="","",履歴データ!$Q$625)</f>
        <v>111.859375</v>
      </c>
      <c r="J625" s="29">
        <f>IF(履歴データ!$A$625="","",履歴データ!$D$625)</f>
        <v>4.26</v>
      </c>
      <c r="K625" s="28">
        <f>IF(OR(履歴データ!$A$625="",履歴データ!$A$624=""),"",B625-B624)</f>
        <v>-1.0000000000000675</v>
      </c>
      <c r="L625" s="28">
        <f>IF(OR(履歴データ!$A$625="",履歴データ!$A$624=""),"",C625-C624)</f>
        <v>-3.0499999999999972</v>
      </c>
      <c r="M625" s="28">
        <f>IF(OR(履歴データ!$A$625="",履歴データ!$A$624=""),"",D625-D624)</f>
        <v>6.2999999999998977</v>
      </c>
      <c r="N625" s="28">
        <f>IF(OR(履歴データ!$A$625="",履歴データ!$A$624=""),"",E625-E624)</f>
        <v>-3.0000000000000213</v>
      </c>
      <c r="O625" s="28">
        <f>IF(OR(履歴データ!$A$625="",履歴データ!$A$624=""),"",F625-F624)</f>
        <v>-7.4499999999999318</v>
      </c>
      <c r="P625" s="28">
        <f>IF(OR(履歴データ!$A$625="",履歴データ!$A$624=""),"",G625-G624)</f>
        <v>8.4318214111328338</v>
      </c>
      <c r="Q625" s="29">
        <f>IF(OR(履歴データ!$A$625="",履歴データ!$A$624=""),"",H625-H624)</f>
        <v>-0.39801025390625</v>
      </c>
      <c r="R625" s="29">
        <f>IF(OR(履歴データ!$A$625="",履歴データ!$A$624=""),"",I625-I624)</f>
        <v>-0.265625</v>
      </c>
      <c r="S625" s="28">
        <f>IF(OR(履歴データ!$A$625="",履歴データ!$A$624=""),"",(J625-J624)*100)</f>
        <v>1.9999999999999574</v>
      </c>
      <c r="T625" s="11">
        <f>IF(OR(履歴データ!$A$625="",履歴データ!$A$624=""),"",-80000*K625)</f>
        <v>80000.000000005399</v>
      </c>
      <c r="U625" s="11">
        <f>IF(OR(履歴データ!$A$625="",履歴データ!$A$624=""),"",60000*L625)</f>
        <v>-182999.99999999983</v>
      </c>
      <c r="V625" s="11">
        <f>IF(OR(履歴データ!$A$625="",履歴データ!$A$624=""),"",-50000*M625)</f>
        <v>-314999.99999999488</v>
      </c>
      <c r="W625" s="11">
        <f>IF(OR(履歴データ!$A$625="",履歴データ!$A$624=""),"",-40000*N625)</f>
        <v>120000.00000000086</v>
      </c>
      <c r="X625" s="11">
        <f>IF(OR(履歴データ!$A$625="",履歴データ!$A$624=""),"",120*1000000*(-Q625/H624))</f>
        <v>332136.50525138964</v>
      </c>
      <c r="Y625" s="11">
        <f>IF(OR(履歴データ!$A$625="",履歴データ!$A$624=""),"",40000*(-S625)+(-506.3)*R625*1000)</f>
        <v>54485.937500001703</v>
      </c>
      <c r="Z625" s="11">
        <f>IF(OR(履歴データ!$A$625="",履歴データ!$A$624=""),"",-40000*O625)</f>
        <v>297999.99999999726</v>
      </c>
      <c r="AA625" s="11">
        <f>IF(OR(履歴データ!$A$625="",履歴データ!$A$624=""),"",-40000*P625)</f>
        <v>-337272.85644531337</v>
      </c>
      <c r="AB625" s="11">
        <f>IF(履歴データ!$A$625="","",123.3)</f>
        <v>123.3</v>
      </c>
      <c r="AC625">
        <f>IF(履歴データ!$A$625="","",SUM(T625:AA625))</f>
        <v>49349.5863060868</v>
      </c>
      <c r="AD625" s="29">
        <f>IF(履歴データ!$A$625="","",AC625/1000000)</f>
        <v>4.9349586306086803E-2</v>
      </c>
      <c r="AE625" s="29">
        <f>IF(履歴データ!$A$625="",AE624,AE624+AC625/1000000)</f>
        <v>79.49639529028768</v>
      </c>
      <c r="AF625" s="12">
        <f>IF(OR(履歴データ!$A$625="",AE624=0),"",(AE625-AE624)/AE624)</f>
        <v>6.2116326502521736E-4</v>
      </c>
      <c r="AG625" s="29">
        <f t="shared" si="29"/>
        <v>102.17217746631495</v>
      </c>
      <c r="AH625" s="12">
        <f>IF(OR(履歴データ!$A$625="",AG625=0),"",AE625/AG625-1)</f>
        <v>-0.22193695718683515</v>
      </c>
      <c r="AJ625" s="28">
        <f t="shared" ca="1" si="27"/>
        <v>13.734323734678718</v>
      </c>
      <c r="AK625" s="28">
        <f t="shared" ca="1" si="28"/>
        <v>-23.611307861662844</v>
      </c>
    </row>
    <row r="626" spans="1:37">
      <c r="A626" s="10">
        <f>IF(履歴データ!$A$626="","",履歴データ!$A$626)</f>
        <v>45840</v>
      </c>
      <c r="B626" s="28">
        <f>IF(履歴データ!$A$626="","",(履歴データ!$D$626-(履歴データ!$B$626+履歴データ!$F$626)/2)*100)</f>
        <v>0</v>
      </c>
      <c r="C626" s="28">
        <f>IF(履歴データ!$A$626="","",(履歴データ!$H$626-(履歴データ!$G$626+履歴データ!$J$626)/2)*100)</f>
        <v>-32.90000000000002</v>
      </c>
      <c r="D626" s="28">
        <f>IF(履歴データ!$A$626="","",(履歴データ!$D$626-履歴データ!$H$626)*100)</f>
        <v>286.59999999999997</v>
      </c>
      <c r="E626" s="28">
        <f>IF(履歴データ!$A$626="","",(履歴データ!$D$626-履歴データ!$C$626)*100)</f>
        <v>42.999999999999972</v>
      </c>
      <c r="F626" s="28">
        <f>IF(履歴データ!$A$626="","",(履歴データ!$R$626-履歴データ!$D$626)*100)</f>
        <v>-308.29999999999995</v>
      </c>
      <c r="G626" s="28">
        <f>IF(履歴データ!$A$626="","",(履歴データ!$S$626-履歴データ!$R$626)*100)</f>
        <v>30.599178588867069</v>
      </c>
      <c r="H626" s="29">
        <f>IF(履歴データ!$A$626="","",履歴データ!$O$626)</f>
        <v>143.5260009765625</v>
      </c>
      <c r="I626" s="29">
        <f>IF(履歴データ!$A$626="","",履歴データ!$Q$626)</f>
        <v>111.625</v>
      </c>
      <c r="J626" s="29">
        <f>IF(履歴データ!$A$626="","",履歴データ!$D$626)</f>
        <v>4.3</v>
      </c>
      <c r="K626" s="28">
        <f>IF(OR(履歴データ!$A$626="",履歴データ!$A$625=""),"",B626-B625)</f>
        <v>2.0000000000000462</v>
      </c>
      <c r="L626" s="28">
        <f>IF(OR(履歴データ!$A$626="",履歴データ!$A$625=""),"",C626-C625)</f>
        <v>1.3999999999999773</v>
      </c>
      <c r="M626" s="28">
        <f>IF(OR(履歴データ!$A$626="",履歴データ!$A$625=""),"",D626-D625)</f>
        <v>2.5</v>
      </c>
      <c r="N626" s="28">
        <f>IF(OR(履歴データ!$A$626="",履歴データ!$A$625=""),"",E626-E625)</f>
        <v>0.99999999999997868</v>
      </c>
      <c r="O626" s="28">
        <f>IF(OR(履歴データ!$A$626="",履歴データ!$A$625=""),"",F626-F625)</f>
        <v>-8.7999999999999545</v>
      </c>
      <c r="P626" s="28">
        <f>IF(OR(履歴データ!$A$626="",履歴データ!$A$625=""),"",G626-G625)</f>
        <v>4.7999999999999794</v>
      </c>
      <c r="Q626" s="29">
        <f>IF(OR(履歴データ!$A$626="",履歴データ!$A$625=""),"",H626-H625)</f>
        <v>0.1240081787109375</v>
      </c>
      <c r="R626" s="29">
        <f>IF(OR(履歴データ!$A$626="",履歴データ!$A$625=""),"",I626-I625)</f>
        <v>-0.234375</v>
      </c>
      <c r="S626" s="28">
        <f>IF(OR(履歴データ!$A$626="",履歴データ!$A$625=""),"",(J626-J625)*100)</f>
        <v>4.0000000000000036</v>
      </c>
      <c r="T626" s="11">
        <f>IF(OR(履歴データ!$A$626="",履歴データ!$A$625=""),"",-80000*K626)</f>
        <v>-160000.0000000037</v>
      </c>
      <c r="U626" s="11">
        <f>IF(OR(履歴データ!$A$626="",履歴データ!$A$625=""),"",60000*L626)</f>
        <v>83999.999999998632</v>
      </c>
      <c r="V626" s="11">
        <f>IF(OR(履歴データ!$A$626="",履歴データ!$A$625=""),"",-50000*M626)</f>
        <v>-125000</v>
      </c>
      <c r="W626" s="11">
        <f>IF(OR(履歴データ!$A$626="",履歴データ!$A$625=""),"",-40000*N626)</f>
        <v>-39999.999999999149</v>
      </c>
      <c r="X626" s="11">
        <f>IF(OR(履歴データ!$A$626="",履歴データ!$A$625=""),"",120*1000000*(-Q626/H625))</f>
        <v>-103771.09240238846</v>
      </c>
      <c r="Y626" s="11">
        <f>IF(OR(履歴データ!$A$626="",履歴データ!$A$625=""),"",40000*(-S626)+(-506.3)*R626*1000)</f>
        <v>-41335.937500000146</v>
      </c>
      <c r="Z626" s="11">
        <f>IF(OR(履歴データ!$A$626="",履歴データ!$A$625=""),"",-40000*O626)</f>
        <v>351999.9999999982</v>
      </c>
      <c r="AA626" s="11">
        <f>IF(OR(履歴データ!$A$626="",履歴データ!$A$625=""),"",-40000*P626)</f>
        <v>-191999.99999999919</v>
      </c>
      <c r="AB626" s="11">
        <f>IF(履歴データ!$A$626="","",123.3)</f>
        <v>123.3</v>
      </c>
      <c r="AC626">
        <f>IF(履歴データ!$A$626="","",SUM(T626:AA626))</f>
        <v>-226107.02990239376</v>
      </c>
      <c r="AD626" s="29">
        <f>IF(履歴データ!$A$626="","",AC626/1000000)</f>
        <v>-0.22610702990239376</v>
      </c>
      <c r="AE626" s="29">
        <f>IF(履歴データ!$A$626="",AE625,AE625+AC626/1000000)</f>
        <v>79.270288260385286</v>
      </c>
      <c r="AF626" s="12">
        <f>IF(OR(履歴データ!$A$626="",AE625=0),"",(AE626-AE625)/AE625)</f>
        <v>-2.8442425480645454E-3</v>
      </c>
      <c r="AG626" s="29">
        <f t="shared" si="29"/>
        <v>102.17217746631495</v>
      </c>
      <c r="AH626" s="12">
        <f>IF(OR(履歴データ!$A$626="",AG626=0),"",AE626/AG626-1)</f>
        <v>-0.22414995719828101</v>
      </c>
      <c r="AJ626" s="28">
        <f t="shared" ca="1" si="27"/>
        <v>13.634193386157328</v>
      </c>
      <c r="AK626" s="28">
        <f t="shared" ca="1" si="28"/>
        <v>-23.292923544887486</v>
      </c>
    </row>
    <row r="627" spans="1:37">
      <c r="A627" s="10">
        <f>IF(履歴データ!$A$627="","",履歴データ!$A$627)</f>
        <v>45841</v>
      </c>
      <c r="B627" s="28">
        <f>IF(履歴データ!$A$627="","",(履歴データ!$D$627-(履歴データ!$B$627+履歴データ!$F$627)/2)*100)</f>
        <v>-2.0000000000000462</v>
      </c>
      <c r="C627" s="28">
        <f>IF(履歴データ!$A$627="","",(履歴データ!$H$627-(履歴データ!$G$627+履歴データ!$J$627)/2)*100)</f>
        <v>-34.699999999999996</v>
      </c>
      <c r="D627" s="28">
        <f>IF(履歴データ!$A$627="","",(履歴データ!$D$627-履歴データ!$H$627)*100)</f>
        <v>290.2</v>
      </c>
      <c r="E627" s="28">
        <f>IF(履歴データ!$A$627="","",(履歴データ!$D$627-履歴データ!$C$627)*100)</f>
        <v>40.999999999999972</v>
      </c>
      <c r="F627" s="28">
        <f>IF(履歴データ!$A$627="","",(履歴データ!$R$627-履歴データ!$D$627)*100)</f>
        <v>-317.57</v>
      </c>
      <c r="G627" s="28">
        <f>IF(履歴データ!$A$627="","",(履歴データ!$S$627-履歴データ!$R$627)*100)</f>
        <v>38.377178588867153</v>
      </c>
      <c r="H627" s="29">
        <f>IF(履歴データ!$A$627="","",履歴データ!$O$627)</f>
        <v>144.6820068359375</v>
      </c>
      <c r="I627" s="29">
        <f>IF(履歴データ!$A$627="","",履歴データ!$Q$627)</f>
        <v>111.21875</v>
      </c>
      <c r="J627" s="29">
        <f>IF(履歴データ!$A$627="","",履歴データ!$D$627)</f>
        <v>4.3499999999999996</v>
      </c>
      <c r="K627" s="28">
        <f>IF(OR(履歴データ!$A$627="",履歴データ!$A$626=""),"",B627-B626)</f>
        <v>-2.0000000000000462</v>
      </c>
      <c r="L627" s="28">
        <f>IF(OR(履歴データ!$A$627="",履歴データ!$A$626=""),"",C627-C626)</f>
        <v>-1.7999999999999758</v>
      </c>
      <c r="M627" s="28">
        <f>IF(OR(履歴データ!$A$627="",履歴データ!$A$626=""),"",D627-D626)</f>
        <v>3.6000000000000227</v>
      </c>
      <c r="N627" s="28">
        <f>IF(OR(履歴データ!$A$627="",履歴データ!$A$626=""),"",E627-E626)</f>
        <v>-2</v>
      </c>
      <c r="O627" s="28">
        <f>IF(OR(履歴データ!$A$627="",履歴データ!$A$626=""),"",F627-F626)</f>
        <v>-9.2700000000000387</v>
      </c>
      <c r="P627" s="28">
        <f>IF(OR(履歴データ!$A$627="",履歴データ!$A$626=""),"",G627-G626)</f>
        <v>7.778000000000084</v>
      </c>
      <c r="Q627" s="29">
        <f>IF(OR(履歴データ!$A$627="",履歴データ!$A$626=""),"",H627-H626)</f>
        <v>1.156005859375</v>
      </c>
      <c r="R627" s="29">
        <f>IF(OR(履歴データ!$A$627="",履歴データ!$A$626=""),"",I627-I626)</f>
        <v>-0.40625</v>
      </c>
      <c r="S627" s="28">
        <f>IF(OR(履歴データ!$A$627="",履歴データ!$A$626=""),"",(J627-J626)*100)</f>
        <v>4.9999999999999822</v>
      </c>
      <c r="T627" s="11">
        <f>IF(OR(履歴データ!$A$627="",履歴データ!$A$626=""),"",-80000*K627)</f>
        <v>160000.0000000037</v>
      </c>
      <c r="U627" s="11">
        <f>IF(OR(履歴データ!$A$627="",履歴データ!$A$626=""),"",60000*L627)</f>
        <v>-107999.99999999854</v>
      </c>
      <c r="V627" s="11">
        <f>IF(OR(履歴データ!$A$627="",履歴データ!$A$626=""),"",-50000*M627)</f>
        <v>-180000.00000000114</v>
      </c>
      <c r="W627" s="11">
        <f>IF(OR(履歴データ!$A$627="",履歴データ!$A$626=""),"",-40000*N627)</f>
        <v>80000</v>
      </c>
      <c r="X627" s="11">
        <f>IF(OR(履歴データ!$A$627="",履歴データ!$A$626=""),"",120*1000000*(-Q627/H626))</f>
        <v>-966519.67017218575</v>
      </c>
      <c r="Y627" s="11">
        <f>IF(OR(履歴データ!$A$627="",履歴データ!$A$626=""),"",40000*(-S627)+(-506.3)*R627*1000)</f>
        <v>5684.3750000007276</v>
      </c>
      <c r="Z627" s="11">
        <f>IF(OR(履歴データ!$A$627="",履歴データ!$A$626=""),"",-40000*O627)</f>
        <v>370800.00000000157</v>
      </c>
      <c r="AA627" s="11">
        <f>IF(OR(履歴データ!$A$627="",履歴データ!$A$626=""),"",-40000*P627)</f>
        <v>-311120.00000000338</v>
      </c>
      <c r="AB627" s="11">
        <f>IF(履歴データ!$A$627="","",123.3)</f>
        <v>123.3</v>
      </c>
      <c r="AC627">
        <f>IF(履歴データ!$A$627="","",SUM(T627:AA627))</f>
        <v>-949155.29517218273</v>
      </c>
      <c r="AD627" s="29">
        <f>IF(履歴データ!$A$627="","",AC627/1000000)</f>
        <v>-0.94915529517218278</v>
      </c>
      <c r="AE627" s="29">
        <f>IF(履歴データ!$A$627="",AE626,AE626+AC627/1000000)</f>
        <v>78.32113296521311</v>
      </c>
      <c r="AF627" s="12">
        <f>IF(OR(履歴データ!$A$627="",AE626=0),"",(AE627-AE626)/AE626)</f>
        <v>-1.1973657671767403E-2</v>
      </c>
      <c r="AG627" s="29">
        <f t="shared" si="29"/>
        <v>102.17217746631495</v>
      </c>
      <c r="AH627" s="12">
        <f>IF(OR(履歴データ!$A$627="",AG627=0),"",AE627/AG627-1)</f>
        <v>-0.2334397200154148</v>
      </c>
      <c r="AJ627" s="28">
        <f t="shared" ca="1" si="27"/>
        <v>13.551611568498025</v>
      </c>
      <c r="AK627" s="28">
        <f t="shared" ca="1" si="28"/>
        <v>-23.027802044688507</v>
      </c>
    </row>
    <row r="628" spans="1:37">
      <c r="A628" s="10">
        <f>IF(履歴データ!$A$628="","",履歴データ!$A$628)</f>
        <v>45845</v>
      </c>
      <c r="B628" s="28">
        <f>IF(履歴データ!$A$628="","",(履歴データ!$D$628-(履歴データ!$B$628+履歴データ!$F$628)/2)*100)</f>
        <v>-0.99999999999997868</v>
      </c>
      <c r="C628" s="28">
        <f>IF(履歴データ!$A$628="","",(履歴データ!$H$628-(履歴データ!$G$628+履歴データ!$J$628)/2)*100)</f>
        <v>-36.899999999999977</v>
      </c>
      <c r="D628" s="28">
        <f>IF(履歴データ!$A$628="","",(履歴データ!$D$628-履歴データ!$H$628)*100)</f>
        <v>293.70000000000005</v>
      </c>
      <c r="E628" s="28">
        <f>IF(履歴データ!$A$628="","",(履歴データ!$D$628-履歴データ!$C$628)*100)</f>
        <v>44.000000000000043</v>
      </c>
      <c r="F628" s="28">
        <f>IF(履歴データ!$A$628="","",(履歴データ!$R$628-履歴データ!$D$628)*100)</f>
        <v>-321.64</v>
      </c>
      <c r="G628" s="28">
        <f>IF(履歴データ!$A$628="","",(履歴データ!$S$628-履歴データ!$R$628)*100)</f>
        <v>35.693178588867113</v>
      </c>
      <c r="H628" s="29">
        <f>IF(履歴データ!$A$628="","",履歴データ!$O$628)</f>
        <v>145.89199829101563</v>
      </c>
      <c r="I628" s="29">
        <f>IF(履歴データ!$A$628="","",履歴データ!$Q$628)</f>
        <v>110.921875</v>
      </c>
      <c r="J628" s="29">
        <f>IF(履歴データ!$A$628="","",履歴データ!$D$628)</f>
        <v>4.4000000000000004</v>
      </c>
      <c r="K628" s="28">
        <f>IF(OR(履歴データ!$A$628="",履歴データ!$A$627=""),"",B628-B627)</f>
        <v>1.0000000000000675</v>
      </c>
      <c r="L628" s="28">
        <f>IF(OR(履歴データ!$A$628="",履歴データ!$A$627=""),"",C628-C627)</f>
        <v>-2.1999999999999815</v>
      </c>
      <c r="M628" s="28">
        <f>IF(OR(履歴データ!$A$628="",履歴データ!$A$627=""),"",D628-D627)</f>
        <v>3.5000000000000568</v>
      </c>
      <c r="N628" s="28">
        <f>IF(OR(履歴データ!$A$628="",履歴データ!$A$627=""),"",E628-E627)</f>
        <v>3.0000000000000711</v>
      </c>
      <c r="O628" s="28">
        <f>IF(OR(履歴データ!$A$628="",履歴データ!$A$627=""),"",F628-F627)</f>
        <v>-4.0699999999999932</v>
      </c>
      <c r="P628" s="28">
        <f>IF(OR(履歴データ!$A$628="",履歴データ!$A$627=""),"",G628-G627)</f>
        <v>-2.6840000000000401</v>
      </c>
      <c r="Q628" s="29">
        <f>IF(OR(履歴データ!$A$628="",履歴データ!$A$627=""),"",H628-H627)</f>
        <v>1.209991455078125</v>
      </c>
      <c r="R628" s="29">
        <f>IF(OR(履歴データ!$A$628="",履歴データ!$A$627=""),"",I628-I627)</f>
        <v>-0.296875</v>
      </c>
      <c r="S628" s="28">
        <f>IF(OR(履歴データ!$A$628="",履歴データ!$A$627=""),"",(J628-J627)*100)</f>
        <v>5.0000000000000711</v>
      </c>
      <c r="T628" s="11">
        <f>IF(OR(履歴データ!$A$628="",履歴データ!$A$627=""),"",-80000*K628)</f>
        <v>-80000.000000005399</v>
      </c>
      <c r="U628" s="11">
        <f>IF(OR(履歴データ!$A$628="",履歴データ!$A$627=""),"",60000*L628)</f>
        <v>-131999.99999999889</v>
      </c>
      <c r="V628" s="11">
        <f>IF(OR(履歴データ!$A$628="",履歴データ!$A$627=""),"",-50000*M628)</f>
        <v>-175000.00000000285</v>
      </c>
      <c r="W628" s="11">
        <f>IF(OR(履歴データ!$A$628="",履歴データ!$A$627=""),"",-40000*N628)</f>
        <v>-120000.00000000284</v>
      </c>
      <c r="X628" s="11">
        <f>IF(OR(履歴データ!$A$628="",履歴データ!$A$627=""),"",120*1000000*(-Q628/H627))</f>
        <v>-1003573.1310668348</v>
      </c>
      <c r="Y628" s="11">
        <f>IF(OR(履歴データ!$A$628="",履歴データ!$A$627=""),"",40000*(-S628)+(-506.3)*R628*1000)</f>
        <v>-49692.187500002852</v>
      </c>
      <c r="Z628" s="11">
        <f>IF(OR(履歴データ!$A$628="",履歴データ!$A$627=""),"",-40000*O628)</f>
        <v>162799.99999999974</v>
      </c>
      <c r="AA628" s="11">
        <f>IF(OR(履歴データ!$A$628="",履歴データ!$A$627=""),"",-40000*P628)</f>
        <v>107360.0000000016</v>
      </c>
      <c r="AB628" s="11">
        <f>IF(履歴データ!$A$628="","",123.3)</f>
        <v>123.3</v>
      </c>
      <c r="AC628">
        <f>IF(履歴データ!$A$628="","",SUM(T628:AA628))</f>
        <v>-1290105.3185668462</v>
      </c>
      <c r="AD628" s="29">
        <f>IF(履歴データ!$A$628="","",AC628/1000000)</f>
        <v>-1.2901053185668463</v>
      </c>
      <c r="AE628" s="29">
        <f>IF(履歴データ!$A$628="",AE627,AE627+AC628/1000000)</f>
        <v>77.031027646646265</v>
      </c>
      <c r="AF628" s="12">
        <f>IF(OR(履歴データ!$A$628="",AE627=0),"",(AE628-AE627)/AE627)</f>
        <v>-1.6471995101754389E-2</v>
      </c>
      <c r="AG628" s="29">
        <f t="shared" si="29"/>
        <v>102.17217746631495</v>
      </c>
      <c r="AH628" s="12">
        <f>IF(OR(履歴データ!$A$628="",AG628=0),"",AE628/AG628-1)</f>
        <v>-0.24606649719252038</v>
      </c>
      <c r="AJ628" s="28">
        <f t="shared" ca="1" si="27"/>
        <v>13.504291704935799</v>
      </c>
      <c r="AK628" s="28">
        <f t="shared" ca="1" si="28"/>
        <v>-22.809847260491356</v>
      </c>
    </row>
    <row r="629" spans="1:37">
      <c r="A629" s="10">
        <f>IF(履歴データ!$A$629="","",履歴データ!$A$629)</f>
        <v>45846</v>
      </c>
      <c r="B629" s="28">
        <f>IF(履歴データ!$A$629="","",(履歴データ!$D$629-(履歴データ!$B$629+履歴データ!$F$629)/2)*100)</f>
        <v>0</v>
      </c>
      <c r="C629" s="28">
        <f>IF(履歴データ!$A$629="","",(履歴データ!$H$629-(履歴データ!$G$629+履歴データ!$J$629)/2)*100)</f>
        <v>-37.800000000000011</v>
      </c>
      <c r="D629" s="28">
        <f>IF(履歴データ!$A$629="","",(履歴データ!$D$629-履歴データ!$H$629)*100)</f>
        <v>292.8</v>
      </c>
      <c r="E629" s="28">
        <f>IF(履歴データ!$A$629="","",(履歴データ!$D$629-履歴データ!$C$629)*100)</f>
        <v>42.999999999999972</v>
      </c>
      <c r="F629" s="28">
        <f>IF(履歴データ!$A$629="","",(履歴データ!$R$629-履歴データ!$D$629)*100)</f>
        <v>-319.45</v>
      </c>
      <c r="G629" s="28">
        <f>IF(履歴データ!$A$629="","",(履歴データ!$S$629-履歴データ!$R$629)*100)</f>
        <v>4.8423571777341801</v>
      </c>
      <c r="H629" s="29">
        <f>IF(履歴データ!$A$629="","",履歴データ!$O$629)</f>
        <v>146.8489990234375</v>
      </c>
      <c r="I629" s="29">
        <f>IF(履歴データ!$A$629="","",履歴データ!$Q$629)</f>
        <v>110.78125</v>
      </c>
      <c r="J629" s="29">
        <f>IF(履歴データ!$A$629="","",履歴データ!$D$629)</f>
        <v>4.42</v>
      </c>
      <c r="K629" s="28">
        <f>IF(OR(履歴データ!$A$629="",履歴データ!$A$628=""),"",B629-B628)</f>
        <v>0.99999999999997868</v>
      </c>
      <c r="L629" s="28">
        <f>IF(OR(履歴データ!$A$629="",履歴データ!$A$628=""),"",C629-C628)</f>
        <v>-0.90000000000003411</v>
      </c>
      <c r="M629" s="28">
        <f>IF(OR(履歴データ!$A$629="",履歴データ!$A$628=""),"",D629-D628)</f>
        <v>-0.90000000000003411</v>
      </c>
      <c r="N629" s="28">
        <f>IF(OR(履歴データ!$A$629="",履歴データ!$A$628=""),"",E629-E628)</f>
        <v>-1.0000000000000711</v>
      </c>
      <c r="O629" s="28">
        <f>IF(OR(履歴データ!$A$629="",履歴データ!$A$628=""),"",F629-F628)</f>
        <v>2.1899999999999977</v>
      </c>
      <c r="P629" s="28">
        <f>IF(OR(履歴データ!$A$629="",履歴データ!$A$628=""),"",G629-G628)</f>
        <v>-30.850821411132934</v>
      </c>
      <c r="Q629" s="29">
        <f>IF(OR(履歴データ!$A$629="",履歴データ!$A$628=""),"",H629-H628)</f>
        <v>0.957000732421875</v>
      </c>
      <c r="R629" s="29">
        <f>IF(OR(履歴データ!$A$629="",履歴データ!$A$628=""),"",I629-I628)</f>
        <v>-0.140625</v>
      </c>
      <c r="S629" s="28">
        <f>IF(OR(履歴データ!$A$629="",履歴データ!$A$628=""),"",(J629-J628)*100)</f>
        <v>1.9999999999999574</v>
      </c>
      <c r="T629" s="11">
        <f>IF(OR(履歴データ!$A$629="",履歴データ!$A$628=""),"",-80000*K629)</f>
        <v>-79999.999999998297</v>
      </c>
      <c r="U629" s="11">
        <f>IF(OR(履歴データ!$A$629="",履歴データ!$A$628=""),"",60000*L629)</f>
        <v>-54000.000000002045</v>
      </c>
      <c r="V629" s="11">
        <f>IF(OR(履歴データ!$A$629="",履歴データ!$A$628=""),"",-50000*M629)</f>
        <v>45000.000000001703</v>
      </c>
      <c r="W629" s="11">
        <f>IF(OR(履歴データ!$A$629="",履歴データ!$A$628=""),"",-40000*N629)</f>
        <v>40000.000000002845</v>
      </c>
      <c r="X629" s="11">
        <f>IF(OR(履歴データ!$A$629="",履歴データ!$A$628=""),"",120*1000000*(-Q629/H628))</f>
        <v>-787158.23510450276</v>
      </c>
      <c r="Y629" s="11">
        <f>IF(OR(履歴データ!$A$629="",履歴データ!$A$628=""),"",40000*(-S629)+(-506.3)*R629*1000)</f>
        <v>-8801.5624999982974</v>
      </c>
      <c r="Z629" s="11">
        <f>IF(OR(履歴データ!$A$629="",履歴データ!$A$628=""),"",-40000*O629)</f>
        <v>-87599.999999999913</v>
      </c>
      <c r="AA629" s="11">
        <f>IF(OR(履歴データ!$A$629="",履歴データ!$A$628=""),"",-40000*P629)</f>
        <v>1234032.8564453174</v>
      </c>
      <c r="AB629" s="11">
        <f>IF(履歴データ!$A$629="","",123.3)</f>
        <v>123.3</v>
      </c>
      <c r="AC629">
        <f>IF(履歴データ!$A$629="","",SUM(T629:AA629))</f>
        <v>301473.05884082068</v>
      </c>
      <c r="AD629" s="29">
        <f>IF(履歴データ!$A$629="","",AC629/1000000)</f>
        <v>0.30147305884082071</v>
      </c>
      <c r="AE629" s="29">
        <f>IF(履歴データ!$A$629="",AE628,AE628+AC629/1000000)</f>
        <v>77.332500705487092</v>
      </c>
      <c r="AF629" s="12">
        <f>IF(OR(履歴データ!$A$629="",AE628=0),"",(AE629-AE628)/AE628)</f>
        <v>3.9136574968690859E-3</v>
      </c>
      <c r="AG629" s="29">
        <f t="shared" si="29"/>
        <v>102.17217746631495</v>
      </c>
      <c r="AH629" s="12">
        <f>IF(OR(履歴データ!$A$629="",AG629=0),"",AE629/AG629-1)</f>
        <v>-0.24311585968711713</v>
      </c>
      <c r="AJ629" s="28">
        <f t="shared" ca="1" si="27"/>
        <v>13.443086988536106</v>
      </c>
      <c r="AK629" s="28">
        <f t="shared" ca="1" si="28"/>
        <v>-22.558166353615473</v>
      </c>
    </row>
    <row r="630" spans="1:37">
      <c r="A630" s="10">
        <f>IF(履歴データ!$A$630="","",履歴データ!$A$630)</f>
        <v>45847</v>
      </c>
      <c r="B630" s="28">
        <f>IF(履歴データ!$A$630="","",(履歴データ!$D$630-(履歴データ!$B$630+履歴データ!$F$630)/2)*100)</f>
        <v>-2.5000000000000355</v>
      </c>
      <c r="C630" s="28">
        <f>IF(履歴データ!$A$630="","",(履歴データ!$H$630-(履歴データ!$G$630+履歴データ!$J$630)/2)*100)</f>
        <v>-37.15000000000002</v>
      </c>
      <c r="D630" s="28">
        <f>IF(履歴データ!$A$630="","",(履歴データ!$D$630-履歴データ!$H$630)*100)</f>
        <v>283.3</v>
      </c>
      <c r="E630" s="28">
        <f>IF(履歴データ!$A$630="","",(履歴データ!$D$630-履歴データ!$C$630)*100)</f>
        <v>41.999999999999993</v>
      </c>
      <c r="F630" s="28">
        <f>IF(履歴データ!$A$630="","",(履歴データ!$R$630-履歴データ!$D$630)*100)</f>
        <v>-310.89999999999998</v>
      </c>
      <c r="G630" s="28">
        <f>IF(履歴データ!$A$630="","",(履歴データ!$S$630-履歴データ!$R$630)*100)</f>
        <v>43.406642822265496</v>
      </c>
      <c r="H630" s="29">
        <f>IF(履歴データ!$A$630="","",履歴データ!$O$630)</f>
        <v>146.11399841308594</v>
      </c>
      <c r="I630" s="29">
        <f>IF(履歴データ!$A$630="","",履歴データ!$Q$630)</f>
        <v>111.265625</v>
      </c>
      <c r="J630" s="29">
        <f>IF(履歴データ!$A$630="","",履歴データ!$D$630)</f>
        <v>4.34</v>
      </c>
      <c r="K630" s="28">
        <f>IF(OR(履歴データ!$A$630="",履歴データ!$A$629=""),"",B630-B629)</f>
        <v>-2.5000000000000355</v>
      </c>
      <c r="L630" s="28">
        <f>IF(OR(履歴データ!$A$630="",履歴データ!$A$629=""),"",C630-C629)</f>
        <v>0.64999999999999147</v>
      </c>
      <c r="M630" s="28">
        <f>IF(OR(履歴データ!$A$630="",履歴データ!$A$629=""),"",D630-D629)</f>
        <v>-9.5</v>
      </c>
      <c r="N630" s="28">
        <f>IF(OR(履歴データ!$A$630="",履歴データ!$A$629=""),"",E630-E629)</f>
        <v>-0.99999999999997868</v>
      </c>
      <c r="O630" s="28">
        <f>IF(OR(履歴データ!$A$630="",履歴データ!$A$629=""),"",F630-F629)</f>
        <v>8.5500000000000114</v>
      </c>
      <c r="P630" s="28">
        <f>IF(OR(履歴データ!$A$630="",履歴データ!$A$629=""),"",G630-G629)</f>
        <v>38.564285644531317</v>
      </c>
      <c r="Q630" s="29">
        <f>IF(OR(履歴データ!$A$630="",履歴データ!$A$629=""),"",H630-H629)</f>
        <v>-0.7350006103515625</v>
      </c>
      <c r="R630" s="29">
        <f>IF(OR(履歴データ!$A$630="",履歴データ!$A$629=""),"",I630-I629)</f>
        <v>0.484375</v>
      </c>
      <c r="S630" s="28">
        <f>IF(OR(履歴データ!$A$630="",履歴データ!$A$629=""),"",(J630-J629)*100)</f>
        <v>-8.0000000000000071</v>
      </c>
      <c r="T630" s="11">
        <f>IF(OR(履歴データ!$A$630="",履歴データ!$A$629=""),"",-80000*K630)</f>
        <v>200000.00000000285</v>
      </c>
      <c r="U630" s="11">
        <f>IF(OR(履歴データ!$A$630="",履歴データ!$A$629=""),"",60000*L630)</f>
        <v>38999.999999999491</v>
      </c>
      <c r="V630" s="11">
        <f>IF(OR(履歴データ!$A$630="",履歴データ!$A$629=""),"",-50000*M630)</f>
        <v>475000</v>
      </c>
      <c r="W630" s="11">
        <f>IF(OR(履歴データ!$A$630="",履歴データ!$A$629=""),"",-40000*N630)</f>
        <v>39999.999999999149</v>
      </c>
      <c r="X630" s="11">
        <f>IF(OR(履歴データ!$A$630="",履歴データ!$A$629=""),"",120*1000000*(-Q630/H629))</f>
        <v>600617.46303160384</v>
      </c>
      <c r="Y630" s="11">
        <f>IF(OR(履歴データ!$A$630="",履歴データ!$A$629=""),"",40000*(-S630)+(-506.3)*R630*1000)</f>
        <v>74760.937500000262</v>
      </c>
      <c r="Z630" s="11">
        <f>IF(OR(履歴データ!$A$630="",履歴データ!$A$629=""),"",-40000*O630)</f>
        <v>-342000.00000000047</v>
      </c>
      <c r="AA630" s="11">
        <f>IF(OR(履歴データ!$A$630="",履歴データ!$A$629=""),"",-40000*P630)</f>
        <v>-1542571.4257812528</v>
      </c>
      <c r="AB630" s="11">
        <f>IF(履歴データ!$A$630="","",123.3)</f>
        <v>123.3</v>
      </c>
      <c r="AC630">
        <f>IF(履歴データ!$A$630="","",SUM(T630:AA630))</f>
        <v>-455193.02524964768</v>
      </c>
      <c r="AD630" s="29">
        <f>IF(履歴データ!$A$630="","",AC630/1000000)</f>
        <v>-0.45519302524964766</v>
      </c>
      <c r="AE630" s="29">
        <f>IF(履歴データ!$A$630="",AE629,AE629+AC630/1000000)</f>
        <v>76.87730768023745</v>
      </c>
      <c r="AF630" s="12">
        <f>IF(OR(履歴データ!$A$630="",AE629=0),"",(AE630-AE629)/AE629)</f>
        <v>-5.8861800807812736E-3</v>
      </c>
      <c r="AG630" s="29">
        <f t="shared" si="29"/>
        <v>102.17217746631495</v>
      </c>
      <c r="AH630" s="12">
        <f>IF(OR(履歴データ!$A$630="",AG630=0),"",AE630/AG630-1)</f>
        <v>-0.24757101603728604</v>
      </c>
      <c r="AJ630" s="28">
        <f t="shared" ca="1" si="27"/>
        <v>13.332566405159778</v>
      </c>
      <c r="AK630" s="28">
        <f t="shared" ca="1" si="28"/>
        <v>-22.261137833731208</v>
      </c>
    </row>
    <row r="631" spans="1:37">
      <c r="A631" s="10">
        <f>IF(履歴データ!$A$631="","",履歴データ!$A$631)</f>
        <v>45848</v>
      </c>
      <c r="B631" s="28">
        <f>IF(履歴データ!$A$631="","",(履歴データ!$D$631-(履歴データ!$B$631+履歴データ!$F$631)/2)*100)</f>
        <v>-1.0000000000000675</v>
      </c>
      <c r="C631" s="28">
        <f>IF(履歴データ!$A$631="","",(履歴データ!$H$631-(履歴データ!$G$631+履歴データ!$J$631)/2)*100)</f>
        <v>-38.599999999999987</v>
      </c>
      <c r="D631" s="28">
        <f>IF(履歴データ!$A$631="","",(履歴データ!$D$631-履歴データ!$H$631)*100)</f>
        <v>285.19999999999993</v>
      </c>
      <c r="E631" s="28">
        <f>IF(履歴データ!$A$631="","",(履歴データ!$D$631-履歴データ!$C$631)*100)</f>
        <v>41.99999999999995</v>
      </c>
      <c r="F631" s="28">
        <f>IF(履歴データ!$A$631="","",(履歴データ!$R$631-履歴データ!$D$631)*100)</f>
        <v>-311.39</v>
      </c>
      <c r="G631" s="28">
        <f>IF(履歴データ!$A$631="","",(履歴データ!$S$631-履歴データ!$R$631)*100)</f>
        <v>46.229178588867057</v>
      </c>
      <c r="H631" s="29">
        <f>IF(履歴データ!$A$631="","",履歴データ!$O$631)</f>
        <v>146.28799438476563</v>
      </c>
      <c r="I631" s="29">
        <f>IF(履歴データ!$A$631="","",履歴データ!$Q$631)</f>
        <v>111.21875</v>
      </c>
      <c r="J631" s="29">
        <f>IF(履歴データ!$A$631="","",履歴データ!$D$631)</f>
        <v>4.3499999999999996</v>
      </c>
      <c r="K631" s="28">
        <f>IF(OR(履歴データ!$A$631="",履歴データ!$A$630=""),"",B631-B630)</f>
        <v>1.499999999999968</v>
      </c>
      <c r="L631" s="28">
        <f>IF(OR(履歴データ!$A$631="",履歴データ!$A$630=""),"",C631-C630)</f>
        <v>-1.4499999999999673</v>
      </c>
      <c r="M631" s="28">
        <f>IF(OR(履歴データ!$A$631="",履歴データ!$A$630=""),"",D631-D630)</f>
        <v>1.8999999999999204</v>
      </c>
      <c r="N631" s="28">
        <f>IF(OR(履歴データ!$A$631="",履歴データ!$A$630=""),"",E631-E630)</f>
        <v>-4.2632564145606011E-14</v>
      </c>
      <c r="O631" s="28">
        <f>IF(OR(履歴データ!$A$631="",履歴データ!$A$630=""),"",F631-F630)</f>
        <v>-0.49000000000000909</v>
      </c>
      <c r="P631" s="28">
        <f>IF(OR(履歴データ!$A$631="",履歴データ!$A$630=""),"",G631-G630)</f>
        <v>2.8225357666015611</v>
      </c>
      <c r="Q631" s="29">
        <f>IF(OR(履歴データ!$A$631="",履歴データ!$A$630=""),"",H631-H630)</f>
        <v>0.1739959716796875</v>
      </c>
      <c r="R631" s="29">
        <f>IF(OR(履歴データ!$A$631="",履歴データ!$A$630=""),"",I631-I630)</f>
        <v>-4.6875E-2</v>
      </c>
      <c r="S631" s="28">
        <f>IF(OR(履歴データ!$A$631="",履歴データ!$A$630=""),"",(J631-J630)*100)</f>
        <v>0.99999999999997868</v>
      </c>
      <c r="T631" s="11">
        <f>IF(OR(履歴データ!$A$631="",履歴データ!$A$630=""),"",-80000*K631)</f>
        <v>-119999.99999999744</v>
      </c>
      <c r="U631" s="11">
        <f>IF(OR(履歴データ!$A$631="",履歴データ!$A$630=""),"",60000*L631)</f>
        <v>-86999.999999998035</v>
      </c>
      <c r="V631" s="11">
        <f>IF(OR(履歴データ!$A$631="",履歴データ!$A$630=""),"",-50000*M631)</f>
        <v>-94999.999999996027</v>
      </c>
      <c r="W631" s="11">
        <f>IF(OR(履歴データ!$A$631="",履歴データ!$A$630=""),"",-40000*N631)</f>
        <v>1.7053025658242404E-9</v>
      </c>
      <c r="X631" s="11">
        <f>IF(OR(履歴データ!$A$631="",履歴データ!$A$630=""),"",120*1000000*(-Q631/H630))</f>
        <v>-142898.81071170888</v>
      </c>
      <c r="Y631" s="11">
        <f>IF(OR(履歴データ!$A$631="",履歴データ!$A$630=""),"",40000*(-S631)+(-506.3)*R631*1000)</f>
        <v>-16267.187499999149</v>
      </c>
      <c r="Z631" s="11">
        <f>IF(OR(履歴データ!$A$631="",履歴データ!$A$630=""),"",-40000*O631)</f>
        <v>19600.000000000364</v>
      </c>
      <c r="AA631" s="11">
        <f>IF(OR(履歴データ!$A$631="",履歴データ!$A$630=""),"",-40000*P631)</f>
        <v>-112901.43066406244</v>
      </c>
      <c r="AB631" s="11">
        <f>IF(履歴データ!$A$631="","",123.3)</f>
        <v>123.3</v>
      </c>
      <c r="AC631">
        <f>IF(履歴データ!$A$631="","",SUM(T631:AA631))</f>
        <v>-554467.42887575994</v>
      </c>
      <c r="AD631" s="29">
        <f>IF(履歴データ!$A$631="","",AC631/1000000)</f>
        <v>-0.55446742887575995</v>
      </c>
      <c r="AE631" s="29">
        <f>IF(履歴データ!$A$631="",AE630,AE630+AC631/1000000)</f>
        <v>76.322840251361697</v>
      </c>
      <c r="AF631" s="12">
        <f>IF(OR(履歴データ!$A$631="",AE630=0),"",(AE631-AE630)/AE630)</f>
        <v>-7.2123679354380949E-3</v>
      </c>
      <c r="AG631" s="29">
        <f t="shared" si="29"/>
        <v>102.17217746631495</v>
      </c>
      <c r="AH631" s="12">
        <f>IF(OR(履歴データ!$A$631="",AG631=0),"",AE631/AG631-1)</f>
        <v>-0.25299781071491301</v>
      </c>
      <c r="AJ631" s="28">
        <f t="shared" ca="1" si="27"/>
        <v>13.234908792838905</v>
      </c>
      <c r="AK631" s="28">
        <f t="shared" ca="1" si="28"/>
        <v>-21.969035776965892</v>
      </c>
    </row>
    <row r="632" spans="1:37">
      <c r="A632" s="10">
        <f>IF(履歴データ!$A$632="","",履歴データ!$A$632)</f>
        <v>45849</v>
      </c>
      <c r="B632" s="28">
        <f>IF(履歴データ!$A$632="","",(履歴データ!$D$632-(履歴データ!$B$632+履歴データ!$F$632)/2)*100)</f>
        <v>0</v>
      </c>
      <c r="C632" s="28">
        <f>IF(履歴データ!$A$632="","",(履歴データ!$H$632-(履歴データ!$G$632+履歴データ!$J$632)/2)*100)</f>
        <v>-37.100000000000023</v>
      </c>
      <c r="D632" s="28">
        <f>IF(履歴データ!$A$632="","",(履歴データ!$D$632-履歴データ!$H$632)*100)</f>
        <v>292.3</v>
      </c>
      <c r="E632" s="28">
        <f>IF(履歴データ!$A$632="","",(履歴データ!$D$632-履歴データ!$C$632)*100)</f>
        <v>43.99999999999995</v>
      </c>
      <c r="F632" s="28">
        <f>IF(履歴データ!$A$632="","",(履歴データ!$R$632-履歴データ!$D$632)*100)</f>
        <v>-315.58</v>
      </c>
      <c r="G632" s="28">
        <f>IF(履歴データ!$A$632="","",(履歴データ!$S$632-履歴データ!$R$632)*100)</f>
        <v>38.384999999999934</v>
      </c>
      <c r="H632" s="29">
        <f>IF(履歴データ!$A$632="","",履歴データ!$O$632)</f>
        <v>146.28799438476563</v>
      </c>
      <c r="I632" s="29">
        <f>IF(履歴データ!$A$632="","",履歴データ!$Q$632)</f>
        <v>110.71875</v>
      </c>
      <c r="J632" s="29">
        <f>IF(履歴データ!$A$632="","",履歴データ!$D$632)</f>
        <v>4.43</v>
      </c>
      <c r="K632" s="28">
        <f>IF(OR(履歴データ!$A$632="",履歴データ!$A$631=""),"",B632-B631)</f>
        <v>1.0000000000000675</v>
      </c>
      <c r="L632" s="28">
        <f>IF(OR(履歴データ!$A$632="",履歴データ!$A$631=""),"",C632-C631)</f>
        <v>1.4999999999999645</v>
      </c>
      <c r="M632" s="28">
        <f>IF(OR(履歴データ!$A$632="",履歴データ!$A$631=""),"",D632-D631)</f>
        <v>7.1000000000000796</v>
      </c>
      <c r="N632" s="28">
        <f>IF(OR(履歴データ!$A$632="",履歴データ!$A$631=""),"",E632-E631)</f>
        <v>2</v>
      </c>
      <c r="O632" s="28">
        <f>IF(OR(履歴データ!$A$632="",履歴データ!$A$631=""),"",F632-F631)</f>
        <v>-4.1899999999999977</v>
      </c>
      <c r="P632" s="28">
        <f>IF(OR(履歴データ!$A$632="",履歴データ!$A$631=""),"",G632-G631)</f>
        <v>-7.8441785888671234</v>
      </c>
      <c r="Q632" s="29">
        <f>IF(OR(履歴データ!$A$632="",履歴データ!$A$631=""),"",H632-H631)</f>
        <v>0</v>
      </c>
      <c r="R632" s="29">
        <f>IF(OR(履歴データ!$A$632="",履歴データ!$A$631=""),"",I632-I631)</f>
        <v>-0.5</v>
      </c>
      <c r="S632" s="28">
        <f>IF(OR(履歴データ!$A$632="",履歴データ!$A$631=""),"",(J632-J631)*100)</f>
        <v>8.0000000000000071</v>
      </c>
      <c r="T632" s="11">
        <f>IF(OR(履歴データ!$A$632="",履歴データ!$A$631=""),"",-80000*K632)</f>
        <v>-80000.000000005399</v>
      </c>
      <c r="U632" s="11">
        <f>IF(OR(履歴データ!$A$632="",履歴データ!$A$631=""),"",60000*L632)</f>
        <v>89999.999999997875</v>
      </c>
      <c r="V632" s="11">
        <f>IF(OR(履歴データ!$A$632="",履歴データ!$A$631=""),"",-50000*M632)</f>
        <v>-355000.00000000396</v>
      </c>
      <c r="W632" s="11">
        <f>IF(OR(履歴データ!$A$632="",履歴データ!$A$631=""),"",-40000*N632)</f>
        <v>-80000</v>
      </c>
      <c r="X632" s="11">
        <f>IF(OR(履歴データ!$A$632="",履歴データ!$A$631=""),"",120*1000000*(-Q632/H631))</f>
        <v>0</v>
      </c>
      <c r="Y632" s="11">
        <f>IF(OR(履歴データ!$A$632="",履歴データ!$A$631=""),"",40000*(-S632)+(-506.3)*R632*1000)</f>
        <v>-66850.000000000291</v>
      </c>
      <c r="Z632" s="11">
        <f>IF(OR(履歴データ!$A$632="",履歴データ!$A$631=""),"",-40000*O632)</f>
        <v>167599.99999999991</v>
      </c>
      <c r="AA632" s="11">
        <f>IF(OR(履歴データ!$A$632="",履歴データ!$A$631=""),"",-40000*P632)</f>
        <v>313767.14355468494</v>
      </c>
      <c r="AB632" s="11">
        <f>IF(履歴データ!$A$632="","",123.3)</f>
        <v>123.3</v>
      </c>
      <c r="AC632">
        <f>IF(履歴データ!$A$632="","",SUM(T632:AA632))</f>
        <v>-10482.856445326935</v>
      </c>
      <c r="AD632" s="29">
        <f>IF(履歴データ!$A$632="","",AC632/1000000)</f>
        <v>-1.0482856445326936E-2</v>
      </c>
      <c r="AE632" s="29">
        <f>IF(履歴データ!$A$632="",AE631,AE631+AC632/1000000)</f>
        <v>76.312357394916376</v>
      </c>
      <c r="AF632" s="12">
        <f>IF(OR(履歴データ!$A$632="",AE631=0),"",(AE632-AE631)/AE631)</f>
        <v>-1.3734887762034516E-4</v>
      </c>
      <c r="AG632" s="29">
        <f t="shared" si="29"/>
        <v>102.17217746631495</v>
      </c>
      <c r="AH632" s="12">
        <f>IF(OR(履歴データ!$A$632="",AG632=0),"",AE632/AG632-1)</f>
        <v>-0.25310041062719124</v>
      </c>
      <c r="AJ632" s="28">
        <f t="shared" ca="1" si="27"/>
        <v>13.13245243497564</v>
      </c>
      <c r="AK632" s="28">
        <f t="shared" ca="1" si="28"/>
        <v>-21.660230212753419</v>
      </c>
    </row>
    <row r="633" spans="1:37">
      <c r="A633" s="10">
        <f>IF(履歴データ!$A$633="","",履歴データ!$A$633)</f>
        <v>45852</v>
      </c>
      <c r="B633" s="28">
        <f>IF(履歴データ!$A$633="","",(履歴データ!$D$633-(履歴データ!$B$633+履歴データ!$F$633)/2)*100)</f>
        <v>-0.49999999999998934</v>
      </c>
      <c r="C633" s="28">
        <f>IF(履歴データ!$A$633="","",(履歴データ!$H$633-(履歴データ!$G$633+履歴データ!$J$633)/2)*100)</f>
        <v>-35.800000000000011</v>
      </c>
      <c r="D633" s="28">
        <f>IF(履歴データ!$A$633="","",(履歴データ!$D$633-履歴データ!$H$633)*100)</f>
        <v>285.59999999999997</v>
      </c>
      <c r="E633" s="28">
        <f>IF(履歴データ!$A$633="","",(履歴データ!$D$633-履歴データ!$C$633)*100)</f>
        <v>44.999999999999972</v>
      </c>
      <c r="F633" s="28">
        <f>IF(履歴データ!$A$633="","",(履歴データ!$R$633-履歴データ!$D$633)*100)</f>
        <v>-321.01999999999992</v>
      </c>
      <c r="G633" s="28">
        <f>IF(履歴データ!$A$633="","",(履歴データ!$S$633-履歴データ!$R$633)*100)</f>
        <v>46.455999999999811</v>
      </c>
      <c r="H633" s="29">
        <f>IF(履歴データ!$A$633="","",履歴データ!$O$633)</f>
        <v>147.79200744628906</v>
      </c>
      <c r="I633" s="29">
        <f>IF(履歴データ!$A$633="","",履歴データ!$Q$633)</f>
        <v>110.765625</v>
      </c>
      <c r="J633" s="29">
        <f>IF(履歴データ!$A$633="","",履歴データ!$D$633)</f>
        <v>4.43</v>
      </c>
      <c r="K633" s="28">
        <f>IF(OR(履歴データ!$A$633="",履歴データ!$A$632=""),"",B633-B632)</f>
        <v>-0.49999999999998934</v>
      </c>
      <c r="L633" s="28">
        <f>IF(OR(履歴データ!$A$633="",履歴データ!$A$632=""),"",C633-C632)</f>
        <v>1.3000000000000114</v>
      </c>
      <c r="M633" s="28">
        <f>IF(OR(履歴データ!$A$633="",履歴データ!$A$632=""),"",D633-D632)</f>
        <v>-6.7000000000000455</v>
      </c>
      <c r="N633" s="28">
        <f>IF(OR(履歴データ!$A$633="",履歴データ!$A$632=""),"",E633-E632)</f>
        <v>1.0000000000000213</v>
      </c>
      <c r="O633" s="28">
        <f>IF(OR(履歴データ!$A$633="",履歴データ!$A$632=""),"",F633-F632)</f>
        <v>-5.4399999999999409</v>
      </c>
      <c r="P633" s="28">
        <f>IF(OR(履歴データ!$A$633="",履歴データ!$A$632=""),"",G633-G632)</f>
        <v>8.0709999999998772</v>
      </c>
      <c r="Q633" s="29">
        <f>IF(OR(履歴データ!$A$633="",履歴データ!$A$632=""),"",H633-H632)</f>
        <v>1.5040130615234375</v>
      </c>
      <c r="R633" s="29">
        <f>IF(OR(履歴データ!$A$633="",履歴データ!$A$632=""),"",I633-I632)</f>
        <v>4.6875E-2</v>
      </c>
      <c r="S633" s="28">
        <f>IF(OR(履歴データ!$A$633="",履歴データ!$A$632=""),"",(J633-J632)*100)</f>
        <v>0</v>
      </c>
      <c r="T633" s="11">
        <f>IF(OR(履歴データ!$A$633="",履歴データ!$A$632=""),"",-80000*K633)</f>
        <v>39999.999999999149</v>
      </c>
      <c r="U633" s="11">
        <f>IF(OR(履歴データ!$A$633="",履歴データ!$A$632=""),"",60000*L633)</f>
        <v>78000.000000000684</v>
      </c>
      <c r="V633" s="11">
        <f>IF(OR(履歴データ!$A$633="",履歴データ!$A$632=""),"",-50000*M633)</f>
        <v>335000.00000000227</v>
      </c>
      <c r="W633" s="11">
        <f>IF(OR(履歴データ!$A$633="",履歴データ!$A$632=""),"",-40000*N633)</f>
        <v>-40000.000000000851</v>
      </c>
      <c r="X633" s="11">
        <f>IF(OR(履歴データ!$A$633="",履歴データ!$A$632=""),"",120*1000000*(-Q633/H632))</f>
        <v>-1233741.4846778964</v>
      </c>
      <c r="Y633" s="11">
        <f>IF(OR(履歴データ!$A$633="",履歴データ!$A$632=""),"",40000*(-S633)+(-506.3)*R633*1000)</f>
        <v>-23732.8125</v>
      </c>
      <c r="Z633" s="11">
        <f>IF(OR(履歴データ!$A$633="",履歴データ!$A$632=""),"",-40000*O633)</f>
        <v>217599.99999999764</v>
      </c>
      <c r="AA633" s="11">
        <f>IF(OR(履歴データ!$A$633="",履歴データ!$A$632=""),"",-40000*P633)</f>
        <v>-322839.99999999511</v>
      </c>
      <c r="AB633" s="11">
        <f>IF(履歴データ!$A$633="","",123.3)</f>
        <v>123.3</v>
      </c>
      <c r="AC633">
        <f>IF(履歴データ!$A$633="","",SUM(T633:AA633))</f>
        <v>-949714.29717789264</v>
      </c>
      <c r="AD633" s="29">
        <f>IF(履歴データ!$A$633="","",AC633/1000000)</f>
        <v>-0.94971429717789269</v>
      </c>
      <c r="AE633" s="29">
        <f>IF(履歴データ!$A$633="",AE632,AE632+AC633/1000000)</f>
        <v>75.362643097738484</v>
      </c>
      <c r="AF633" s="12">
        <f>IF(OR(履歴データ!$A$633="",AE632=0),"",(AE633-AE632)/AE632)</f>
        <v>-1.2445091851416944E-2</v>
      </c>
      <c r="AG633" s="29">
        <f t="shared" si="29"/>
        <v>102.17217746631495</v>
      </c>
      <c r="AH633" s="12">
        <f>IF(OR(履歴データ!$A$633="",AG633=0),"",AE633/AG633-1)</f>
        <v>-0.26239564462072151</v>
      </c>
      <c r="AJ633" s="28">
        <f t="shared" ca="1" si="27"/>
        <v>13.029273442127847</v>
      </c>
      <c r="AK633" s="28">
        <f t="shared" ca="1" si="28"/>
        <v>-21.358638521492928</v>
      </c>
    </row>
    <row r="634" spans="1:37">
      <c r="A634" s="10">
        <f>IF(履歴データ!$A$634="","",履歴データ!$A$634)</f>
        <v>45853</v>
      </c>
      <c r="B634" s="28">
        <f>IF(履歴データ!$A$634="","",(履歴データ!$D$634-(履歴データ!$B$634+履歴データ!$F$634)/2)*100)</f>
        <v>1.9999999999999574</v>
      </c>
      <c r="C634" s="28">
        <f>IF(履歴データ!$A$634="","",(履歴データ!$H$634-(履歴データ!$G$634+履歴データ!$J$634)/2)*100)</f>
        <v>-35.150000000000013</v>
      </c>
      <c r="D634" s="28">
        <f>IF(履歴データ!$A$634="","",(履歴データ!$D$634-履歴データ!$H$634)*100)</f>
        <v>291.2</v>
      </c>
      <c r="E634" s="28">
        <f>IF(履歴データ!$A$634="","",(履歴データ!$D$634-履歴データ!$C$634)*100)</f>
        <v>45.000000000000014</v>
      </c>
      <c r="F634" s="28">
        <f>IF(履歴データ!$A$634="","",(履歴データ!$R$634-履歴データ!$D$634)*100)</f>
        <v>-332.96000000000004</v>
      </c>
      <c r="G634" s="28">
        <f>IF(履歴データ!$A$634="","",(履歴データ!$S$634-履歴データ!$R$634)*100)</f>
        <v>55.956357177734148</v>
      </c>
      <c r="H634" s="29">
        <f>IF(履歴データ!$A$634="","",履歴データ!$O$634)</f>
        <v>148.76100158691406</v>
      </c>
      <c r="I634" s="29">
        <f>IF(履歴データ!$A$634="","",履歴データ!$Q$634)</f>
        <v>110.28125</v>
      </c>
      <c r="J634" s="29">
        <f>IF(履歴データ!$A$634="","",履歴データ!$D$634)</f>
        <v>4.5</v>
      </c>
      <c r="K634" s="28">
        <f>IF(OR(履歴データ!$A$634="",履歴データ!$A$633=""),"",B634-B633)</f>
        <v>2.4999999999999467</v>
      </c>
      <c r="L634" s="28">
        <f>IF(OR(履歴データ!$A$634="",履歴データ!$A$633=""),"",C634-C633)</f>
        <v>0.64999999999999858</v>
      </c>
      <c r="M634" s="28">
        <f>IF(OR(履歴データ!$A$634="",履歴データ!$A$633=""),"",D634-D633)</f>
        <v>5.6000000000000227</v>
      </c>
      <c r="N634" s="28">
        <f>IF(OR(履歴データ!$A$634="",履歴データ!$A$633=""),"",E634-E633)</f>
        <v>4.2632564145606011E-14</v>
      </c>
      <c r="O634" s="28">
        <f>IF(OR(履歴データ!$A$634="",履歴データ!$A$633=""),"",F634-F633)</f>
        <v>-11.940000000000111</v>
      </c>
      <c r="P634" s="28">
        <f>IF(OR(履歴データ!$A$634="",履歴データ!$A$633=""),"",G634-G633)</f>
        <v>9.5003571777343367</v>
      </c>
      <c r="Q634" s="29">
        <f>IF(OR(履歴データ!$A$634="",履歴データ!$A$633=""),"",H634-H633)</f>
        <v>0.968994140625</v>
      </c>
      <c r="R634" s="29">
        <f>IF(OR(履歴データ!$A$634="",履歴データ!$A$633=""),"",I634-I633)</f>
        <v>-0.484375</v>
      </c>
      <c r="S634" s="28">
        <f>IF(OR(履歴データ!$A$634="",履歴データ!$A$633=""),"",(J634-J633)*100)</f>
        <v>7.0000000000000284</v>
      </c>
      <c r="T634" s="11">
        <f>IF(OR(履歴データ!$A$634="",履歴データ!$A$633=""),"",-80000*K634)</f>
        <v>-199999.99999999575</v>
      </c>
      <c r="U634" s="11">
        <f>IF(OR(履歴データ!$A$634="",履歴データ!$A$633=""),"",60000*L634)</f>
        <v>38999.999999999913</v>
      </c>
      <c r="V634" s="11">
        <f>IF(OR(履歴データ!$A$634="",履歴データ!$A$633=""),"",-50000*M634)</f>
        <v>-280000.00000000116</v>
      </c>
      <c r="W634" s="11">
        <f>IF(OR(履歴データ!$A$634="",履歴データ!$A$633=""),"",-40000*N634)</f>
        <v>-1.7053025658242404E-9</v>
      </c>
      <c r="X634" s="11">
        <f>IF(OR(履歴データ!$A$634="",履歴データ!$A$633=""),"",120*1000000*(-Q634/H633))</f>
        <v>-786776.62536831375</v>
      </c>
      <c r="Y634" s="11">
        <f>IF(OR(履歴データ!$A$634="",履歴データ!$A$633=""),"",40000*(-S634)+(-506.3)*R634*1000)</f>
        <v>-34760.937500001135</v>
      </c>
      <c r="Z634" s="11">
        <f>IF(OR(履歴データ!$A$634="",履歴データ!$A$633=""),"",-40000*O634)</f>
        <v>477600.00000000448</v>
      </c>
      <c r="AA634" s="11">
        <f>IF(OR(履歴データ!$A$634="",履歴データ!$A$633=""),"",-40000*P634)</f>
        <v>-380014.28710937349</v>
      </c>
      <c r="AB634" s="11">
        <f>IF(履歴データ!$A$634="","",123.3)</f>
        <v>123.3</v>
      </c>
      <c r="AC634">
        <f>IF(履歴データ!$A$634="","",SUM(T634:AA634))</f>
        <v>-1164951.8499776828</v>
      </c>
      <c r="AD634" s="29">
        <f>IF(履歴データ!$A$634="","",AC634/1000000)</f>
        <v>-1.1649518499776828</v>
      </c>
      <c r="AE634" s="29">
        <f>IF(履歴データ!$A$634="",AE633,AE633+AC634/1000000)</f>
        <v>74.197691247760801</v>
      </c>
      <c r="AF634" s="12">
        <f>IF(OR(履歴データ!$A$634="",AE633=0),"",(AE634-AE633)/AE633)</f>
        <v>-1.5457948422361551E-2</v>
      </c>
      <c r="AG634" s="29">
        <f t="shared" si="29"/>
        <v>102.17217746631495</v>
      </c>
      <c r="AH634" s="12">
        <f>IF(OR(履歴データ!$A$634="",AG634=0),"",AE634/AG634-1)</f>
        <v>-0.27379749470228365</v>
      </c>
      <c r="AJ634" s="28">
        <f t="shared" ca="1" si="27"/>
        <v>12.925936797735819</v>
      </c>
      <c r="AK634" s="28">
        <f t="shared" ca="1" si="28"/>
        <v>-21.029111400910427</v>
      </c>
    </row>
    <row r="635" spans="1:37">
      <c r="A635" s="10">
        <f>IF(履歴データ!$A$635="","",履歴データ!$A$635)</f>
        <v>45854</v>
      </c>
      <c r="B635" s="28">
        <f>IF(履歴データ!$A$635="","",(履歴データ!$D$635-(履歴データ!$B$635+履歴データ!$F$635)/2)*100)</f>
        <v>1.499999999999968</v>
      </c>
      <c r="C635" s="28">
        <f>IF(履歴データ!$A$635="","",(履歴データ!$H$635-(履歴データ!$G$635+履歴データ!$J$635)/2)*100)</f>
        <v>-32.700000000000017</v>
      </c>
      <c r="D635" s="28">
        <f>IF(履歴データ!$A$635="","",(履歴データ!$D$635-履歴データ!$H$635)*100)</f>
        <v>288.5</v>
      </c>
      <c r="E635" s="28">
        <f>IF(履歴データ!$A$635="","",(履歴データ!$D$635-履歴データ!$C$635)*100)</f>
        <v>46.999999999999972</v>
      </c>
      <c r="F635" s="28">
        <f>IF(履歴データ!$A$635="","",(履歴データ!$R$635-履歴データ!$D$635)*100)</f>
        <v>-326.72999999999996</v>
      </c>
      <c r="G635" s="28">
        <f>IF(履歴データ!$A$635="","",(履歴データ!$S$635-履歴データ!$R$635)*100)</f>
        <v>49.165999999999798</v>
      </c>
      <c r="H635" s="29">
        <f>IF(履歴データ!$A$635="","",履歴データ!$O$635)</f>
        <v>148.00300598144531</v>
      </c>
      <c r="I635" s="29">
        <f>IF(履歴データ!$A$635="","",履歴データ!$Q$635)</f>
        <v>110.625</v>
      </c>
      <c r="J635" s="29">
        <f>IF(履歴データ!$A$635="","",履歴データ!$D$635)</f>
        <v>4.46</v>
      </c>
      <c r="K635" s="28">
        <f>IF(OR(履歴データ!$A$635="",履歴データ!$A$634=""),"",B635-B634)</f>
        <v>-0.49999999999998934</v>
      </c>
      <c r="L635" s="28">
        <f>IF(OR(履歴データ!$A$635="",履歴データ!$A$634=""),"",C635-C634)</f>
        <v>2.4499999999999957</v>
      </c>
      <c r="M635" s="28">
        <f>IF(OR(履歴データ!$A$635="",履歴データ!$A$634=""),"",D635-D634)</f>
        <v>-2.6999999999999886</v>
      </c>
      <c r="N635" s="28">
        <f>IF(OR(履歴データ!$A$635="",履歴データ!$A$634=""),"",E635-E634)</f>
        <v>1.9999999999999574</v>
      </c>
      <c r="O635" s="28">
        <f>IF(OR(履歴データ!$A$635="",履歴データ!$A$634=""),"",F635-F634)</f>
        <v>6.230000000000075</v>
      </c>
      <c r="P635" s="28">
        <f>IF(OR(履歴データ!$A$635="",履歴データ!$A$634=""),"",G635-G634)</f>
        <v>-6.7903571777343501</v>
      </c>
      <c r="Q635" s="29">
        <f>IF(OR(履歴データ!$A$635="",履歴データ!$A$634=""),"",H635-H634)</f>
        <v>-0.75799560546875</v>
      </c>
      <c r="R635" s="29">
        <f>IF(OR(履歴データ!$A$635="",履歴データ!$A$634=""),"",I635-I634)</f>
        <v>0.34375</v>
      </c>
      <c r="S635" s="28">
        <f>IF(OR(履歴データ!$A$635="",履歴データ!$A$634=""),"",(J635-J634)*100)</f>
        <v>-4.0000000000000036</v>
      </c>
      <c r="T635" s="11">
        <f>IF(OR(履歴データ!$A$635="",履歴データ!$A$634=""),"",-80000*K635)</f>
        <v>39999.999999999149</v>
      </c>
      <c r="U635" s="11">
        <f>IF(OR(履歴データ!$A$635="",履歴データ!$A$634=""),"",60000*L635)</f>
        <v>146999.99999999974</v>
      </c>
      <c r="V635" s="11">
        <f>IF(OR(履歴データ!$A$635="",履歴データ!$A$634=""),"",-50000*M635)</f>
        <v>134999.99999999942</v>
      </c>
      <c r="W635" s="11">
        <f>IF(OR(履歴データ!$A$635="",履歴データ!$A$634=""),"",-40000*N635)</f>
        <v>-79999.999999998297</v>
      </c>
      <c r="X635" s="11">
        <f>IF(OR(履歴データ!$A$635="",履歴データ!$A$634=""),"",120*1000000*(-Q635/H634))</f>
        <v>611447.03037715598</v>
      </c>
      <c r="Y635" s="11">
        <f>IF(OR(履歴データ!$A$635="",履歴データ!$A$634=""),"",40000*(-S635)+(-506.3)*R635*1000)</f>
        <v>-14040.624999999854</v>
      </c>
      <c r="Z635" s="11">
        <f>IF(OR(履歴データ!$A$635="",履歴データ!$A$634=""),"",-40000*O635)</f>
        <v>-249200.000000003</v>
      </c>
      <c r="AA635" s="11">
        <f>IF(OR(履歴データ!$A$635="",履歴データ!$A$634=""),"",-40000*P635)</f>
        <v>271614.28710937401</v>
      </c>
      <c r="AB635" s="11">
        <f>IF(履歴データ!$A$635="","",123.3)</f>
        <v>123.3</v>
      </c>
      <c r="AC635">
        <f>IF(履歴データ!$A$635="","",SUM(T635:AA635))</f>
        <v>861820.69248652714</v>
      </c>
      <c r="AD635" s="29">
        <f>IF(履歴データ!$A$635="","",AC635/1000000)</f>
        <v>0.86182069248652715</v>
      </c>
      <c r="AE635" s="29">
        <f>IF(履歴データ!$A$635="",AE634,AE634+AC635/1000000)</f>
        <v>75.059511940247333</v>
      </c>
      <c r="AF635" s="12">
        <f>IF(OR(履歴データ!$A$635="",AE634=0),"",(AE635-AE634)/AE634)</f>
        <v>1.1615195540367176E-2</v>
      </c>
      <c r="AG635" s="29">
        <f t="shared" si="29"/>
        <v>102.17217746631495</v>
      </c>
      <c r="AH635" s="12">
        <f>IF(OR(履歴データ!$A$635="",AG635=0),"",AE635/AG635-1)</f>
        <v>-0.26536251060134608</v>
      </c>
      <c r="AJ635" s="28">
        <f t="shared" ca="1" si="27"/>
        <v>12.829051164277439</v>
      </c>
      <c r="AK635" s="28">
        <f t="shared" ca="1" si="28"/>
        <v>-20.71794005316633</v>
      </c>
    </row>
    <row r="636" spans="1:37">
      <c r="A636" s="10">
        <f>IF(履歴データ!$A$636="","",履歴データ!$A$636)</f>
        <v>45855</v>
      </c>
      <c r="B636" s="28">
        <f>IF(履歴データ!$A$636="","",(履歴データ!$D$636-(履歴データ!$B$636+履歴データ!$F$636)/2)*100)</f>
        <v>0.99999999999997868</v>
      </c>
      <c r="C636" s="28">
        <f>IF(履歴データ!$A$636="","",(履歴データ!$H$636-(履歴データ!$G$636+履歴データ!$J$636)/2)*100)</f>
        <v>-34.750000000000014</v>
      </c>
      <c r="D636" s="28">
        <f>IF(履歴データ!$A$636="","",(履歴データ!$D$636-履歴データ!$H$636)*100)</f>
        <v>290.89999999999998</v>
      </c>
      <c r="E636" s="28">
        <f>IF(履歴データ!$A$636="","",(履歴データ!$D$636-履歴データ!$C$636)*100)</f>
        <v>46</v>
      </c>
      <c r="F636" s="28">
        <f>IF(履歴データ!$A$636="","",(履歴データ!$R$636-履歴データ!$D$636)*100)</f>
        <v>-332.36999999999995</v>
      </c>
      <c r="G636" s="28">
        <f>IF(履歴データ!$A$636="","",(履歴データ!$S$636-履歴データ!$R$636)*100)</f>
        <v>58.366357177734152</v>
      </c>
      <c r="H636" s="29">
        <f>IF(履歴データ!$A$636="","",履歴データ!$O$636)</f>
        <v>148.44200134277344</v>
      </c>
      <c r="I636" s="29">
        <f>IF(履歴データ!$A$636="","",履歴データ!$Q$636)</f>
        <v>110.515625</v>
      </c>
      <c r="J636" s="29">
        <f>IF(履歴データ!$A$636="","",履歴データ!$D$636)</f>
        <v>4.47</v>
      </c>
      <c r="K636" s="28">
        <f>IF(OR(履歴データ!$A$636="",履歴データ!$A$635=""),"",B636-B635)</f>
        <v>-0.49999999999998934</v>
      </c>
      <c r="L636" s="28">
        <f>IF(OR(履歴データ!$A$636="",履歴データ!$A$635=""),"",C636-C635)</f>
        <v>-2.0499999999999972</v>
      </c>
      <c r="M636" s="28">
        <f>IF(OR(履歴データ!$A$636="",履歴データ!$A$635=""),"",D636-D635)</f>
        <v>2.3999999999999773</v>
      </c>
      <c r="N636" s="28">
        <f>IF(OR(履歴データ!$A$636="",履歴データ!$A$635=""),"",E636-E635)</f>
        <v>-0.99999999999997158</v>
      </c>
      <c r="O636" s="28">
        <f>IF(OR(履歴データ!$A$636="",履歴データ!$A$635=""),"",F636-F635)</f>
        <v>-5.6399999999999864</v>
      </c>
      <c r="P636" s="28">
        <f>IF(OR(履歴データ!$A$636="",履歴データ!$A$635=""),"",G636-G635)</f>
        <v>9.2003571777343538</v>
      </c>
      <c r="Q636" s="29">
        <f>IF(OR(履歴データ!$A$636="",履歴データ!$A$635=""),"",H636-H635)</f>
        <v>0.438995361328125</v>
      </c>
      <c r="R636" s="29">
        <f>IF(OR(履歴データ!$A$636="",履歴データ!$A$635=""),"",I636-I635)</f>
        <v>-0.109375</v>
      </c>
      <c r="S636" s="28">
        <f>IF(OR(履歴データ!$A$636="",履歴データ!$A$635=""),"",(J636-J635)*100)</f>
        <v>0.99999999999997868</v>
      </c>
      <c r="T636" s="11">
        <f>IF(OR(履歴データ!$A$636="",履歴データ!$A$635=""),"",-80000*K636)</f>
        <v>39999.999999999149</v>
      </c>
      <c r="U636" s="11">
        <f>IF(OR(履歴データ!$A$636="",履歴データ!$A$635=""),"",60000*L636)</f>
        <v>-122999.99999999983</v>
      </c>
      <c r="V636" s="11">
        <f>IF(OR(履歴データ!$A$636="",履歴データ!$A$635=""),"",-50000*M636)</f>
        <v>-119999.99999999886</v>
      </c>
      <c r="W636" s="11">
        <f>IF(OR(履歴データ!$A$636="",履歴データ!$A$635=""),"",-40000*N636)</f>
        <v>39999.999999998865</v>
      </c>
      <c r="X636" s="11">
        <f>IF(OR(履歴データ!$A$636="",履歴データ!$A$635=""),"",120*1000000*(-Q636/H635))</f>
        <v>-355934.95557772159</v>
      </c>
      <c r="Y636" s="11">
        <f>IF(OR(履歴データ!$A$636="",履歴データ!$A$635=""),"",40000*(-S636)+(-506.3)*R636*1000)</f>
        <v>15376.562500000851</v>
      </c>
      <c r="Z636" s="11">
        <f>IF(OR(履歴データ!$A$636="",履歴データ!$A$635=""),"",-40000*O636)</f>
        <v>225599.99999999945</v>
      </c>
      <c r="AA636" s="11">
        <f>IF(OR(履歴データ!$A$636="",履歴データ!$A$635=""),"",-40000*P636)</f>
        <v>-368014.28710937413</v>
      </c>
      <c r="AB636" s="11">
        <f>IF(履歴データ!$A$636="","",123.3)</f>
        <v>123.3</v>
      </c>
      <c r="AC636">
        <f>IF(履歴データ!$A$636="","",SUM(T636:AA636))</f>
        <v>-645972.68018709612</v>
      </c>
      <c r="AD636" s="29">
        <f>IF(履歴データ!$A$636="","",AC636/1000000)</f>
        <v>-0.64597268018709608</v>
      </c>
      <c r="AE636" s="29">
        <f>IF(履歴データ!$A$636="",AE635,AE635+AC636/1000000)</f>
        <v>74.413539260060233</v>
      </c>
      <c r="AF636" s="12">
        <f>IF(OR(履歴データ!$A$636="",AE635=0),"",(AE636-AE635)/AE635)</f>
        <v>-8.6061401611742406E-3</v>
      </c>
      <c r="AG636" s="29">
        <f t="shared" si="29"/>
        <v>102.17217746631495</v>
      </c>
      <c r="AH636" s="12">
        <f>IF(OR(履歴データ!$A$636="",AG636=0),"",AE636/AG636-1)</f>
        <v>-0.27168490380276411</v>
      </c>
      <c r="AJ636" s="28">
        <f t="shared" ca="1" si="27"/>
        <v>12.746635442775107</v>
      </c>
      <c r="AK636" s="28">
        <f t="shared" ca="1" si="28"/>
        <v>-20.437111633251298</v>
      </c>
    </row>
    <row r="637" spans="1:37">
      <c r="A637" s="10">
        <f>IF(履歴データ!$A$637="","",履歴データ!$A$637)</f>
        <v>45856</v>
      </c>
      <c r="B637" s="28">
        <f>IF(履歴データ!$A$637="","",(履歴データ!$D$637-(履歴データ!$B$637+履歴データ!$F$637)/2)*100)</f>
        <v>8.8817841970012523E-14</v>
      </c>
      <c r="C637" s="28">
        <f>IF(履歴データ!$A$637="","",(履歴データ!$H$637-(履歴データ!$G$637+履歴データ!$J$637)/2)*100)</f>
        <v>-36.499999999999979</v>
      </c>
      <c r="D637" s="28">
        <f>IF(履歴データ!$A$637="","",(履歴データ!$D$637-履歴データ!$H$637)*100)</f>
        <v>291.20000000000005</v>
      </c>
      <c r="E637" s="28">
        <f>IF(履歴データ!$A$637="","",(履歴データ!$D$637-履歴データ!$C$637)*100)</f>
        <v>48.000000000000043</v>
      </c>
      <c r="F637" s="28">
        <f>IF(履歴データ!$A$637="","",(履歴データ!$R$637-履歴データ!$D$637)*100)</f>
        <v>-325.04000000000002</v>
      </c>
      <c r="G637" s="28">
        <f>IF(履歴データ!$A$637="","",(履歴データ!$S$637-履歴データ!$R$637)*100)</f>
        <v>47.897357177734222</v>
      </c>
      <c r="H637" s="29">
        <f>IF(履歴データ!$A$637="","",履歴データ!$O$637)</f>
        <v>148.44200134277344</v>
      </c>
      <c r="I637" s="29">
        <f>IF(履歴データ!$A$637="","",履歴データ!$Q$637)</f>
        <v>110.78125</v>
      </c>
      <c r="J637" s="29">
        <f>IF(履歴データ!$A$637="","",履歴データ!$D$637)</f>
        <v>4.4400000000000004</v>
      </c>
      <c r="K637" s="28">
        <f>IF(OR(履歴データ!$A$637="",履歴データ!$A$636=""),"",B637-B636)</f>
        <v>-0.99999999999988987</v>
      </c>
      <c r="L637" s="28">
        <f>IF(OR(履歴データ!$A$637="",履歴データ!$A$636=""),"",C637-C636)</f>
        <v>-1.7499999999999645</v>
      </c>
      <c r="M637" s="28">
        <f>IF(OR(履歴データ!$A$637="",履歴データ!$A$636=""),"",D637-D636)</f>
        <v>0.30000000000006821</v>
      </c>
      <c r="N637" s="28">
        <f>IF(OR(履歴データ!$A$637="",履歴データ!$A$636=""),"",E637-E636)</f>
        <v>2.0000000000000426</v>
      </c>
      <c r="O637" s="28">
        <f>IF(OR(履歴データ!$A$637="",履歴データ!$A$636=""),"",F637-F636)</f>
        <v>7.3299999999999272</v>
      </c>
      <c r="P637" s="28">
        <f>IF(OR(履歴データ!$A$637="",履歴データ!$A$636=""),"",G637-G636)</f>
        <v>-10.46899999999993</v>
      </c>
      <c r="Q637" s="29">
        <f>IF(OR(履歴データ!$A$637="",履歴データ!$A$636=""),"",H637-H636)</f>
        <v>0</v>
      </c>
      <c r="R637" s="29">
        <f>IF(OR(履歴データ!$A$637="",履歴データ!$A$636=""),"",I637-I636)</f>
        <v>0.265625</v>
      </c>
      <c r="S637" s="28">
        <f>IF(OR(履歴データ!$A$637="",履歴データ!$A$636=""),"",(J637-J636)*100)</f>
        <v>-2.9999999999999361</v>
      </c>
      <c r="T637" s="11">
        <f>IF(OR(履歴データ!$A$637="",履歴データ!$A$636=""),"",-80000*K637)</f>
        <v>79999.999999991196</v>
      </c>
      <c r="U637" s="11">
        <f>IF(OR(履歴データ!$A$637="",履歴データ!$A$636=""),"",60000*L637)</f>
        <v>-104999.99999999788</v>
      </c>
      <c r="V637" s="11">
        <f>IF(OR(履歴データ!$A$637="",履歴データ!$A$636=""),"",-50000*M637)</f>
        <v>-15000.000000003411</v>
      </c>
      <c r="W637" s="11">
        <f>IF(OR(履歴データ!$A$637="",履歴データ!$A$636=""),"",-40000*N637)</f>
        <v>-80000.000000001703</v>
      </c>
      <c r="X637" s="11">
        <f>IF(OR(履歴データ!$A$637="",履歴データ!$A$636=""),"",120*1000000*(-Q637/H636))</f>
        <v>0</v>
      </c>
      <c r="Y637" s="11">
        <f>IF(OR(履歴データ!$A$637="",履歴データ!$A$636=""),"",40000*(-S637)+(-506.3)*R637*1000)</f>
        <v>-14485.937500002561</v>
      </c>
      <c r="Z637" s="11">
        <f>IF(OR(履歴データ!$A$637="",履歴データ!$A$636=""),"",-40000*O637)</f>
        <v>-293199.99999999709</v>
      </c>
      <c r="AA637" s="11">
        <f>IF(OR(履歴データ!$A$637="",履歴データ!$A$636=""),"",-40000*P637)</f>
        <v>418759.99999999721</v>
      </c>
      <c r="AB637" s="11">
        <f>IF(履歴データ!$A$637="","",123.3)</f>
        <v>123.3</v>
      </c>
      <c r="AC637">
        <f>IF(履歴データ!$A$637="","",SUM(T637:AA637))</f>
        <v>-8925.9375000142027</v>
      </c>
      <c r="AD637" s="29">
        <f>IF(履歴データ!$A$637="","",AC637/1000000)</f>
        <v>-8.925937500014202E-3</v>
      </c>
      <c r="AE637" s="29">
        <f>IF(履歴データ!$A$637="",AE636,AE636+AC637/1000000)</f>
        <v>74.404613322560223</v>
      </c>
      <c r="AF637" s="12">
        <f>IF(OR(履歴データ!$A$637="",AE636=0),"",(AE637-AE636)/AE636)</f>
        <v>-1.199504497268347E-4</v>
      </c>
      <c r="AG637" s="29">
        <f t="shared" si="29"/>
        <v>102.17217746631495</v>
      </c>
      <c r="AH637" s="12">
        <f>IF(OR(履歴データ!$A$637="",AG637=0),"",AE637/AG637-1)</f>
        <v>-0.27177226552609579</v>
      </c>
      <c r="AJ637" s="28">
        <f t="shared" ca="1" si="27"/>
        <v>12.68112596326354</v>
      </c>
      <c r="AK637" s="28">
        <f t="shared" ca="1" si="28"/>
        <v>-20.196998979136559</v>
      </c>
    </row>
    <row r="638" spans="1:37">
      <c r="A638" s="10">
        <f>IF(履歴データ!$A$638="","",履歴データ!$A$638)</f>
        <v>45859</v>
      </c>
      <c r="B638" s="28">
        <f>IF(履歴データ!$A$638="","",(履歴データ!$D$638-(履歴データ!$B$638+履歴データ!$F$638)/2)*100)</f>
        <v>-1.5000000000000568</v>
      </c>
      <c r="C638" s="28">
        <f>IF(履歴データ!$A$638="","",(履歴データ!$H$638-(履歴データ!$G$638+履歴データ!$J$638)/2)*100)</f>
        <v>-36.499999999999979</v>
      </c>
      <c r="D638" s="28">
        <f>IF(履歴データ!$A$638="","",(履歴データ!$D$638-履歴データ!$H$638)*100)</f>
        <v>285.2</v>
      </c>
      <c r="E638" s="28">
        <f>IF(履歴データ!$A$638="","",(履歴データ!$D$638-履歴データ!$C$638)*100)</f>
        <v>46.999999999999972</v>
      </c>
      <c r="F638" s="28">
        <f>IF(履歴データ!$A$638="","",(履歴データ!$R$638-履歴データ!$D$638)*100)</f>
        <v>-320.84999999999997</v>
      </c>
      <c r="G638" s="28">
        <f>IF(履歴データ!$A$638="","",(履歴データ!$S$638-履歴データ!$R$638)*100)</f>
        <v>49.707357177734224</v>
      </c>
      <c r="H638" s="29">
        <f>IF(履歴データ!$A$638="","",履歴データ!$O$638)</f>
        <v>147.40899658203125</v>
      </c>
      <c r="I638" s="29">
        <f>IF(履歴データ!$A$638="","",履歴データ!$Q$638)</f>
        <v>111.1875</v>
      </c>
      <c r="J638" s="29">
        <f>IF(履歴データ!$A$638="","",履歴データ!$D$638)</f>
        <v>4.38</v>
      </c>
      <c r="K638" s="28">
        <f>IF(OR(履歴データ!$A$638="",履歴データ!$A$637=""),"",B638-B637)</f>
        <v>-1.5000000000001457</v>
      </c>
      <c r="L638" s="28">
        <f>IF(OR(履歴データ!$A$638="",履歴データ!$A$637=""),"",C638-C637)</f>
        <v>0</v>
      </c>
      <c r="M638" s="28">
        <f>IF(OR(履歴データ!$A$638="",履歴データ!$A$637=""),"",D638-D637)</f>
        <v>-6.0000000000000568</v>
      </c>
      <c r="N638" s="28">
        <f>IF(OR(履歴データ!$A$638="",履歴データ!$A$637=""),"",E638-E637)</f>
        <v>-1.0000000000000711</v>
      </c>
      <c r="O638" s="28">
        <f>IF(OR(履歴データ!$A$638="",履歴データ!$A$637=""),"",F638-F637)</f>
        <v>4.1900000000000546</v>
      </c>
      <c r="P638" s="28">
        <f>IF(OR(履歴データ!$A$638="",履歴データ!$A$637=""),"",G638-G637)</f>
        <v>1.8100000000000023</v>
      </c>
      <c r="Q638" s="29">
        <f>IF(OR(履歴データ!$A$638="",履歴データ!$A$637=""),"",H638-H637)</f>
        <v>-1.0330047607421875</v>
      </c>
      <c r="R638" s="29">
        <f>IF(OR(履歴データ!$A$638="",履歴データ!$A$637=""),"",I638-I637)</f>
        <v>0.40625</v>
      </c>
      <c r="S638" s="28">
        <f>IF(OR(履歴データ!$A$638="",履歴データ!$A$637=""),"",(J638-J637)*100)</f>
        <v>-6.0000000000000497</v>
      </c>
      <c r="T638" s="11">
        <f>IF(OR(履歴データ!$A$638="",履歴データ!$A$637=""),"",-80000*K638)</f>
        <v>120000.00000001166</v>
      </c>
      <c r="U638" s="11">
        <f>IF(OR(履歴データ!$A$638="",履歴データ!$A$637=""),"",60000*L638)</f>
        <v>0</v>
      </c>
      <c r="V638" s="11">
        <f>IF(OR(履歴データ!$A$638="",履歴データ!$A$637=""),"",-50000*M638)</f>
        <v>300000.00000000285</v>
      </c>
      <c r="W638" s="11">
        <f>IF(OR(履歴データ!$A$638="",履歴データ!$A$637=""),"",-40000*N638)</f>
        <v>40000.000000002845</v>
      </c>
      <c r="X638" s="11">
        <f>IF(OR(履歴データ!$A$638="",履歴データ!$A$637=""),"",120*1000000*(-Q638/H637))</f>
        <v>835077.47246562736</v>
      </c>
      <c r="Y638" s="11">
        <f>IF(OR(履歴データ!$A$638="",履歴データ!$A$637=""),"",40000*(-S638)+(-506.3)*R638*1000)</f>
        <v>34315.62500000195</v>
      </c>
      <c r="Z638" s="11">
        <f>IF(OR(履歴データ!$A$638="",履歴データ!$A$637=""),"",-40000*O638)</f>
        <v>-167600.00000000218</v>
      </c>
      <c r="AA638" s="11">
        <f>IF(OR(履歴データ!$A$638="",履歴データ!$A$637=""),"",-40000*P638)</f>
        <v>-72400.000000000087</v>
      </c>
      <c r="AB638" s="11">
        <f>IF(履歴データ!$A$638="","",123.3)</f>
        <v>123.3</v>
      </c>
      <c r="AC638">
        <f>IF(履歴データ!$A$638="","",SUM(T638:AA638))</f>
        <v>1089393.0974656444</v>
      </c>
      <c r="AD638" s="29">
        <f>IF(履歴データ!$A$638="","",AC638/1000000)</f>
        <v>1.0893930974656443</v>
      </c>
      <c r="AE638" s="29">
        <f>IF(履歴データ!$A$638="",AE637,AE637+AC638/1000000)</f>
        <v>75.494006420025869</v>
      </c>
      <c r="AF638" s="12">
        <f>IF(OR(履歴データ!$A$638="",AE637=0),"",(AE638-AE637)/AE637)</f>
        <v>1.464147246815045E-2</v>
      </c>
      <c r="AG638" s="29">
        <f t="shared" si="29"/>
        <v>102.17217746631495</v>
      </c>
      <c r="AH638" s="12">
        <f>IF(OR(履歴データ!$A$638="",AG638=0),"",AE638/AG638-1)</f>
        <v>-0.26110993920125258</v>
      </c>
      <c r="AJ638" s="28">
        <f t="shared" ca="1" si="27"/>
        <v>12.579973501153169</v>
      </c>
      <c r="AK638" s="28">
        <f t="shared" ca="1" si="28"/>
        <v>-19.921243342423011</v>
      </c>
    </row>
    <row r="639" spans="1:37">
      <c r="A639" s="10">
        <f>IF(履歴データ!$A$639="","",履歴データ!$A$639)</f>
        <v>45860</v>
      </c>
      <c r="B639" s="28">
        <f>IF(履歴データ!$A$639="","",(履歴データ!$D$639-(履歴データ!$B$639+履歴データ!$F$639)/2)*100)</f>
        <v>-1.5000000000000568</v>
      </c>
      <c r="C639" s="28">
        <f>IF(履歴データ!$A$639="","",(履歴データ!$H$639-(履歴データ!$G$639+履歴データ!$J$639)/2)*100)</f>
        <v>-38.1</v>
      </c>
      <c r="D639" s="28">
        <f>IF(履歴データ!$A$639="","",(履歴データ!$D$639-履歴データ!$H$639)*100)</f>
        <v>284</v>
      </c>
      <c r="E639" s="28">
        <f>IF(履歴データ!$A$639="","",(履歴データ!$D$639-履歴データ!$C$639)*100)</f>
        <v>46.999999999999972</v>
      </c>
      <c r="F639" s="28">
        <f>IF(履歴データ!$A$639="","",(履歴データ!$R$639-履歴データ!$D$639)*100)</f>
        <v>-327.33999999999997</v>
      </c>
      <c r="G639" s="28">
        <f>IF(履歴データ!$A$639="","",(履歴データ!$S$639-履歴データ!$R$639)*100)</f>
        <v>58.846642822265508</v>
      </c>
      <c r="H639" s="29">
        <f>IF(履歴データ!$A$639="","",履歴データ!$O$639)</f>
        <v>146.78500366210938</v>
      </c>
      <c r="I639" s="29">
        <f>IF(履歴データ!$A$639="","",履歴データ!$Q$639)</f>
        <v>111.40625</v>
      </c>
      <c r="J639" s="29">
        <f>IF(履歴データ!$A$639="","",履歴データ!$D$639)</f>
        <v>4.3499999999999996</v>
      </c>
      <c r="K639" s="28">
        <f>IF(OR(履歴データ!$A$639="",履歴データ!$A$638=""),"",B639-B638)</f>
        <v>0</v>
      </c>
      <c r="L639" s="28">
        <f>IF(OR(履歴データ!$A$639="",履歴データ!$A$638=""),"",C639-C638)</f>
        <v>-1.6000000000000227</v>
      </c>
      <c r="M639" s="28">
        <f>IF(OR(履歴データ!$A$639="",履歴データ!$A$638=""),"",D639-D638)</f>
        <v>-1.1999999999999886</v>
      </c>
      <c r="N639" s="28">
        <f>IF(OR(履歴データ!$A$639="",履歴データ!$A$638=""),"",E639-E638)</f>
        <v>0</v>
      </c>
      <c r="O639" s="28">
        <f>IF(OR(履歴データ!$A$639="",履歴データ!$A$638=""),"",F639-F638)</f>
        <v>-6.4900000000000091</v>
      </c>
      <c r="P639" s="28">
        <f>IF(OR(履歴データ!$A$639="",履歴データ!$A$638=""),"",G639-G638)</f>
        <v>9.1392856445312844</v>
      </c>
      <c r="Q639" s="29">
        <f>IF(OR(履歴データ!$A$639="",履歴データ!$A$638=""),"",H639-H638)</f>
        <v>-0.623992919921875</v>
      </c>
      <c r="R639" s="29">
        <f>IF(OR(履歴データ!$A$639="",履歴データ!$A$638=""),"",I639-I638)</f>
        <v>0.21875</v>
      </c>
      <c r="S639" s="28">
        <f>IF(OR(履歴データ!$A$639="",履歴データ!$A$638=""),"",(J639-J638)*100)</f>
        <v>-3.0000000000000249</v>
      </c>
      <c r="T639" s="11">
        <f>IF(OR(履歴データ!$A$639="",履歴データ!$A$638=""),"",-80000*K639)</f>
        <v>0</v>
      </c>
      <c r="U639" s="11">
        <f>IF(OR(履歴データ!$A$639="",履歴データ!$A$638=""),"",60000*L639)</f>
        <v>-96000.000000001368</v>
      </c>
      <c r="V639" s="11">
        <f>IF(OR(履歴データ!$A$639="",履歴データ!$A$638=""),"",-50000*M639)</f>
        <v>59999.999999999432</v>
      </c>
      <c r="W639" s="11">
        <f>IF(OR(履歴データ!$A$639="",履歴データ!$A$638=""),"",-40000*N639)</f>
        <v>0</v>
      </c>
      <c r="X639" s="11">
        <f>IF(OR(履歴データ!$A$639="",履歴データ!$A$638=""),"",120*1000000*(-Q639/H638))</f>
        <v>507968.65949057386</v>
      </c>
      <c r="Y639" s="11">
        <f>IF(OR(履歴データ!$A$639="",履歴データ!$A$638=""),"",40000*(-S639)+(-506.3)*R639*1000)</f>
        <v>9246.8750000009895</v>
      </c>
      <c r="Z639" s="11">
        <f>IF(OR(履歴データ!$A$639="",履歴データ!$A$638=""),"",-40000*O639)</f>
        <v>259600.00000000035</v>
      </c>
      <c r="AA639" s="11">
        <f>IF(OR(履歴データ!$A$639="",履歴データ!$A$638=""),"",-40000*P639)</f>
        <v>-365571.4257812514</v>
      </c>
      <c r="AB639" s="11">
        <f>IF(履歴データ!$A$639="","",123.3)</f>
        <v>123.3</v>
      </c>
      <c r="AC639">
        <f>IF(履歴データ!$A$639="","",SUM(T639:AA639))</f>
        <v>375244.10870932182</v>
      </c>
      <c r="AD639" s="29">
        <f>IF(履歴データ!$A$639="","",AC639/1000000)</f>
        <v>0.37524410870932184</v>
      </c>
      <c r="AE639" s="29">
        <f>IF(履歴データ!$A$639="",AE638,AE638+AC639/1000000)</f>
        <v>75.869250528735193</v>
      </c>
      <c r="AF639" s="12">
        <f>IF(OR(履歴データ!$A$639="",AE638=0),"",(AE639-AE638)/AE638)</f>
        <v>4.9705152303294066E-3</v>
      </c>
      <c r="AG639" s="29">
        <f t="shared" si="29"/>
        <v>102.17217746631495</v>
      </c>
      <c r="AH639" s="12">
        <f>IF(OR(履歴データ!$A$639="",AG639=0),"",AE639/AG639-1)</f>
        <v>-0.25743727490051338</v>
      </c>
      <c r="AJ639" s="28">
        <f t="shared" ca="1" si="27"/>
        <v>12.474703837159341</v>
      </c>
      <c r="AK639" s="28">
        <f t="shared" ca="1" si="28"/>
        <v>-19.641370503826007</v>
      </c>
    </row>
    <row r="640" spans="1:37">
      <c r="A640" s="10">
        <f>IF(履歴データ!$A$640="","",履歴データ!$A$640)</f>
        <v>45861</v>
      </c>
      <c r="B640" s="28">
        <f>IF(履歴データ!$A$640="","",(履歴データ!$D$640-(履歴データ!$B$640+履歴データ!$F$640)/2)*100)</f>
        <v>-1.499999999999968</v>
      </c>
      <c r="C640" s="28">
        <f>IF(履歴データ!$A$640="","",(履歴データ!$H$640-(履歴データ!$G$640+履歴データ!$J$640)/2)*100)</f>
        <v>-35.399999999999984</v>
      </c>
      <c r="D640" s="28">
        <f>IF(履歴データ!$A$640="","",(履歴データ!$D$640-履歴データ!$H$640)*100)</f>
        <v>280.40000000000003</v>
      </c>
      <c r="E640" s="28">
        <f>IF(履歴データ!$A$640="","",(履歴データ!$D$640-履歴データ!$C$640)*100)</f>
        <v>46.000000000000043</v>
      </c>
      <c r="F640" s="28">
        <f>IF(履歴データ!$A$640="","",(履歴データ!$R$640-履歴データ!$D$640)*100)</f>
        <v>-337.98</v>
      </c>
      <c r="G640" s="28">
        <f>IF(履歴データ!$A$640="","",(履歴データ!$S$640-履歴データ!$R$640)*100)</f>
        <v>68.169999999999845</v>
      </c>
      <c r="H640" s="29">
        <f>IF(履歴データ!$A$640="","",履歴データ!$O$640)</f>
        <v>146.3489990234375</v>
      </c>
      <c r="I640" s="29">
        <f>IF(履歴データ!$A$640="","",履歴データ!$Q$640)</f>
        <v>111.015625</v>
      </c>
      <c r="J640" s="29">
        <f>IF(履歴データ!$A$640="","",履歴データ!$D$640)</f>
        <v>4.4000000000000004</v>
      </c>
      <c r="K640" s="28">
        <f>IF(OR(履歴データ!$A$640="",履歴データ!$A$639=""),"",B640-B639)</f>
        <v>8.8817841970012523E-14</v>
      </c>
      <c r="L640" s="28">
        <f>IF(OR(履歴データ!$A$640="",履歴データ!$A$639=""),"",C640-C639)</f>
        <v>2.7000000000000171</v>
      </c>
      <c r="M640" s="28">
        <f>IF(OR(履歴データ!$A$640="",履歴データ!$A$639=""),"",D640-D639)</f>
        <v>-3.5999999999999659</v>
      </c>
      <c r="N640" s="28">
        <f>IF(OR(履歴データ!$A$640="",履歴データ!$A$639=""),"",E640-E639)</f>
        <v>-0.99999999999992895</v>
      </c>
      <c r="O640" s="28">
        <f>IF(OR(履歴データ!$A$640="",履歴データ!$A$639=""),"",F640-F639)</f>
        <v>-10.640000000000043</v>
      </c>
      <c r="P640" s="28">
        <f>IF(OR(履歴データ!$A$640="",履歴データ!$A$639=""),"",G640-G639)</f>
        <v>9.3233571777343371</v>
      </c>
      <c r="Q640" s="29">
        <f>IF(OR(履歴データ!$A$640="",履歴データ!$A$639=""),"",H640-H639)</f>
        <v>-0.436004638671875</v>
      </c>
      <c r="R640" s="29">
        <f>IF(OR(履歴データ!$A$640="",履歴データ!$A$639=""),"",I640-I639)</f>
        <v>-0.390625</v>
      </c>
      <c r="S640" s="28">
        <f>IF(OR(履歴データ!$A$640="",履歴データ!$A$639=""),"",(J640-J639)*100)</f>
        <v>5.0000000000000711</v>
      </c>
      <c r="T640" s="11">
        <f>IF(OR(履歴データ!$A$640="",履歴データ!$A$639=""),"",-80000*K640)</f>
        <v>-7.1054273576010019E-9</v>
      </c>
      <c r="U640" s="11">
        <f>IF(OR(履歴データ!$A$640="",履歴データ!$A$639=""),"",60000*L640)</f>
        <v>162000.00000000102</v>
      </c>
      <c r="V640" s="11">
        <f>IF(OR(履歴データ!$A$640="",履歴データ!$A$639=""),"",-50000*M640)</f>
        <v>179999.99999999828</v>
      </c>
      <c r="W640" s="11">
        <f>IF(OR(履歴データ!$A$640="",履歴データ!$A$639=""),"",-40000*N640)</f>
        <v>39999.999999997155</v>
      </c>
      <c r="X640" s="11">
        <f>IF(OR(履歴データ!$A$640="",履歴データ!$A$639=""),"",120*1000000*(-Q640/H639))</f>
        <v>356443.47402861336</v>
      </c>
      <c r="Y640" s="11">
        <f>IF(OR(履歴データ!$A$640="",履歴データ!$A$639=""),"",40000*(-S640)+(-506.3)*R640*1000)</f>
        <v>-2226.5625000028522</v>
      </c>
      <c r="Z640" s="11">
        <f>IF(OR(履歴データ!$A$640="",履歴データ!$A$639=""),"",-40000*O640)</f>
        <v>425600.00000000175</v>
      </c>
      <c r="AA640" s="11">
        <f>IF(OR(履歴データ!$A$640="",履歴データ!$A$639=""),"",-40000*P640)</f>
        <v>-372934.28710937349</v>
      </c>
      <c r="AB640" s="11">
        <f>IF(履歴データ!$A$640="","",123.3)</f>
        <v>123.3</v>
      </c>
      <c r="AC640">
        <f>IF(履歴データ!$A$640="","",SUM(T640:AA640))</f>
        <v>788882.62441922829</v>
      </c>
      <c r="AD640" s="29">
        <f>IF(履歴データ!$A$640="","",AC640/1000000)</f>
        <v>0.7888826244192283</v>
      </c>
      <c r="AE640" s="29">
        <f>IF(履歴データ!$A$640="",AE639,AE639+AC640/1000000)</f>
        <v>76.658133153154424</v>
      </c>
      <c r="AF640" s="12">
        <f>IF(OR(履歴データ!$A$640="",AE639=0),"",(AE640-AE639)/AE639)</f>
        <v>1.0397922991481824E-2</v>
      </c>
      <c r="AG640" s="29">
        <f t="shared" si="29"/>
        <v>102.17217746631495</v>
      </c>
      <c r="AH640" s="12">
        <f>IF(OR(履歴データ!$A$640="",AG640=0),"",AE640/AG640-1)</f>
        <v>-0.24971616486858395</v>
      </c>
      <c r="AJ640" s="28">
        <f t="shared" ca="1" si="27"/>
        <v>12.365167010806307</v>
      </c>
      <c r="AK640" s="28">
        <f t="shared" ca="1" si="28"/>
        <v>-19.357230502869797</v>
      </c>
    </row>
    <row r="641" spans="1:37">
      <c r="A641" s="10">
        <f>IF(履歴データ!$A$641="","",履歴データ!$A$641)</f>
        <v>45862</v>
      </c>
      <c r="B641" s="28">
        <f>IF(履歴データ!$A$641="","",(履歴データ!$D$641-(履歴データ!$B$641+履歴データ!$F$641)/2)*100)</f>
        <v>-0.50000000000007816</v>
      </c>
      <c r="C641" s="28">
        <f>IF(履歴データ!$A$641="","",(履歴データ!$H$641-(履歴データ!$G$641+履歴データ!$J$641)/2)*100)</f>
        <v>-33.9</v>
      </c>
      <c r="D641" s="28">
        <f>IF(履歴データ!$A$641="","",(履歴データ!$D$641-履歴データ!$H$641)*100)</f>
        <v>282.5</v>
      </c>
      <c r="E641" s="28">
        <f>IF(履歴データ!$A$641="","",(履歴データ!$D$641-履歴データ!$C$641)*100)</f>
        <v>44.999999999999972</v>
      </c>
      <c r="F641" s="28">
        <f>IF(履歴データ!$A$641="","",(履歴データ!$R$641-履歴データ!$D$641)*100)</f>
        <v>-334.72999999999996</v>
      </c>
      <c r="G641" s="28">
        <f>IF(履歴データ!$A$641="","",(履歴データ!$S$641-履歴データ!$R$641)*100)</f>
        <v>65.954178588867137</v>
      </c>
      <c r="H641" s="29">
        <f>IF(履歴データ!$A$641="","",履歴データ!$O$641)</f>
        <v>147.0050048828125</v>
      </c>
      <c r="I641" s="29">
        <f>IF(履歴データ!$A$641="","",履歴データ!$Q$641)</f>
        <v>110.828125</v>
      </c>
      <c r="J641" s="29">
        <f>IF(履歴データ!$A$641="","",履歴データ!$D$641)</f>
        <v>4.43</v>
      </c>
      <c r="K641" s="28">
        <f>IF(OR(履歴データ!$A$641="",履歴データ!$A$640=""),"",B641-B640)</f>
        <v>0.99999999999988987</v>
      </c>
      <c r="L641" s="28">
        <f>IF(OR(履歴データ!$A$641="",履歴データ!$A$640=""),"",C641-C640)</f>
        <v>1.4999999999999858</v>
      </c>
      <c r="M641" s="28">
        <f>IF(OR(履歴データ!$A$641="",履歴データ!$A$640=""),"",D641-D640)</f>
        <v>2.0999999999999659</v>
      </c>
      <c r="N641" s="28">
        <f>IF(OR(履歴データ!$A$641="",履歴データ!$A$640=""),"",E641-E640)</f>
        <v>-1.0000000000000711</v>
      </c>
      <c r="O641" s="28">
        <f>IF(OR(履歴データ!$A$641="",履歴データ!$A$640=""),"",F641-F640)</f>
        <v>3.2500000000000568</v>
      </c>
      <c r="P641" s="28">
        <f>IF(OR(履歴データ!$A$641="",履歴データ!$A$640=""),"",G641-G640)</f>
        <v>-2.2158214111327084</v>
      </c>
      <c r="Q641" s="29">
        <f>IF(OR(履歴データ!$A$641="",履歴データ!$A$640=""),"",H641-H640)</f>
        <v>0.656005859375</v>
      </c>
      <c r="R641" s="29">
        <f>IF(OR(履歴データ!$A$641="",履歴データ!$A$640=""),"",I641-I640)</f>
        <v>-0.1875</v>
      </c>
      <c r="S641" s="28">
        <f>IF(OR(履歴データ!$A$641="",履歴データ!$A$640=""),"",(J641-J640)*100)</f>
        <v>2.9999999999999361</v>
      </c>
      <c r="T641" s="11">
        <f>IF(OR(履歴データ!$A$641="",履歴データ!$A$640=""),"",-80000*K641)</f>
        <v>-79999.999999991196</v>
      </c>
      <c r="U641" s="11">
        <f>IF(OR(履歴データ!$A$641="",履歴データ!$A$640=""),"",60000*L641)</f>
        <v>89999.999999999141</v>
      </c>
      <c r="V641" s="11">
        <f>IF(OR(履歴データ!$A$641="",履歴データ!$A$640=""),"",-50000*M641)</f>
        <v>-104999.9999999983</v>
      </c>
      <c r="W641" s="11">
        <f>IF(OR(履歴データ!$A$641="",履歴データ!$A$640=""),"",-40000*N641)</f>
        <v>40000.000000002845</v>
      </c>
      <c r="X641" s="11">
        <f>IF(OR(履歴データ!$A$641="",履歴データ!$A$640=""),"",120*1000000*(-Q641/H640))</f>
        <v>-537897.10657599405</v>
      </c>
      <c r="Y641" s="11">
        <f>IF(OR(履歴データ!$A$641="",履歴データ!$A$640=""),"",40000*(-S641)+(-506.3)*R641*1000)</f>
        <v>-25068.749999997439</v>
      </c>
      <c r="Z641" s="11">
        <f>IF(OR(履歴データ!$A$641="",履歴データ!$A$640=""),"",-40000*O641)</f>
        <v>-130000.00000000227</v>
      </c>
      <c r="AA641" s="11">
        <f>IF(OR(履歴データ!$A$641="",履歴データ!$A$640=""),"",-40000*P641)</f>
        <v>88632.856445308338</v>
      </c>
      <c r="AB641" s="11">
        <f>IF(履歴データ!$A$641="","",123.3)</f>
        <v>123.3</v>
      </c>
      <c r="AC641">
        <f>IF(履歴データ!$A$641="","",SUM(T641:AA641))</f>
        <v>-659333.00013067294</v>
      </c>
      <c r="AD641" s="29">
        <f>IF(履歴データ!$A$641="","",AC641/1000000)</f>
        <v>-0.65933300013067297</v>
      </c>
      <c r="AE641" s="29">
        <f>IF(履歴データ!$A$641="",AE640,AE640+AC641/1000000)</f>
        <v>75.998800153023751</v>
      </c>
      <c r="AF641" s="12">
        <f>IF(OR(履歴データ!$A$641="",AE640=0),"",(AE641-AE640)/AE640)</f>
        <v>-8.6009529975560259E-3</v>
      </c>
      <c r="AG641" s="29">
        <f t="shared" si="29"/>
        <v>102.17217746631495</v>
      </c>
      <c r="AH641" s="12">
        <f>IF(OR(履歴データ!$A$641="",AG641=0),"",AE641/AG641-1)</f>
        <v>-0.25616932086937538</v>
      </c>
      <c r="AJ641" s="28">
        <f t="shared" ca="1" si="27"/>
        <v>12.281159964131248</v>
      </c>
      <c r="AK641" s="28">
        <f t="shared" ca="1" si="28"/>
        <v>-19.102588535559818</v>
      </c>
    </row>
    <row r="642" spans="1:37">
      <c r="A642" s="10">
        <f>IF(履歴データ!$A$642="","",履歴データ!$A$642)</f>
        <v>45863</v>
      </c>
      <c r="B642" s="28">
        <f>IF(履歴データ!$A$642="","",(履歴データ!$D$642-(履歴データ!$B$642+履歴データ!$F$642)/2)*100)</f>
        <v>-1.499999999999968</v>
      </c>
      <c r="C642" s="28">
        <f>IF(履歴データ!$A$642="","",(履歴データ!$H$642-(履歴データ!$G$642+履歴データ!$J$642)/2)*100)</f>
        <v>-32.949999999999989</v>
      </c>
      <c r="D642" s="28">
        <f>IF(履歴データ!$A$642="","",(履歴データ!$D$642-履歴データ!$H$642)*100)</f>
        <v>279.50000000000006</v>
      </c>
      <c r="E642" s="28">
        <f>IF(履歴データ!$A$642="","",(履歴データ!$D$642-履歴データ!$C$642)*100)</f>
        <v>45.000000000000014</v>
      </c>
      <c r="F642" s="28">
        <f>IF(履歴データ!$A$642="","",(履歴データ!$R$642-履歴データ!$D$642)*100)</f>
        <v>-329.47000000000008</v>
      </c>
      <c r="G642" s="28">
        <f>IF(履歴データ!$A$642="","",(履歴データ!$S$642-履歴データ!$R$642)*100)</f>
        <v>61.063178588867096</v>
      </c>
      <c r="H642" s="29">
        <f>IF(履歴データ!$A$642="","",履歴データ!$O$642)</f>
        <v>147.0050048828125</v>
      </c>
      <c r="I642" s="29">
        <f>IF(履歴データ!$A$642="","",履歴データ!$Q$642)</f>
        <v>110.984375</v>
      </c>
      <c r="J642" s="29">
        <f>IF(履歴データ!$A$642="","",履歴データ!$D$642)</f>
        <v>4.4000000000000004</v>
      </c>
      <c r="K642" s="28">
        <f>IF(OR(履歴データ!$A$642="",履歴データ!$A$641=""),"",B642-B641)</f>
        <v>-0.99999999999988987</v>
      </c>
      <c r="L642" s="28">
        <f>IF(OR(履歴データ!$A$642="",履歴データ!$A$641=""),"",C642-C641)</f>
        <v>0.95000000000000995</v>
      </c>
      <c r="M642" s="28">
        <f>IF(OR(履歴データ!$A$642="",履歴データ!$A$641=""),"",D642-D641)</f>
        <v>-2.9999999999999432</v>
      </c>
      <c r="N642" s="28">
        <f>IF(OR(履歴データ!$A$642="",履歴データ!$A$641=""),"",E642-E641)</f>
        <v>4.2632564145606011E-14</v>
      </c>
      <c r="O642" s="28">
        <f>IF(OR(履歴データ!$A$642="",履歴データ!$A$641=""),"",F642-F641)</f>
        <v>5.2599999999998772</v>
      </c>
      <c r="P642" s="28">
        <f>IF(OR(履歴データ!$A$642="",履歴データ!$A$641=""),"",G642-G641)</f>
        <v>-4.8910000000000409</v>
      </c>
      <c r="Q642" s="29">
        <f>IF(OR(履歴データ!$A$642="",履歴データ!$A$641=""),"",H642-H641)</f>
        <v>0</v>
      </c>
      <c r="R642" s="29">
        <f>IF(OR(履歴データ!$A$642="",履歴データ!$A$641=""),"",I642-I641)</f>
        <v>0.15625</v>
      </c>
      <c r="S642" s="28">
        <f>IF(OR(履歴データ!$A$642="",履歴データ!$A$641=""),"",(J642-J641)*100)</f>
        <v>-2.9999999999999361</v>
      </c>
      <c r="T642" s="11">
        <f>IF(OR(履歴データ!$A$642="",履歴データ!$A$641=""),"",-80000*K642)</f>
        <v>79999.999999991196</v>
      </c>
      <c r="U642" s="11">
        <f>IF(OR(履歴データ!$A$642="",履歴データ!$A$641=""),"",60000*L642)</f>
        <v>57000.000000000597</v>
      </c>
      <c r="V642" s="11">
        <f>IF(OR(履歴データ!$A$642="",履歴データ!$A$641=""),"",-50000*M642)</f>
        <v>149999.99999999715</v>
      </c>
      <c r="W642" s="11">
        <f>IF(OR(履歴データ!$A$642="",履歴データ!$A$641=""),"",-40000*N642)</f>
        <v>-1.7053025658242404E-9</v>
      </c>
      <c r="X642" s="11">
        <f>IF(OR(履歴データ!$A$642="",履歴データ!$A$641=""),"",120*1000000*(-Q642/H641))</f>
        <v>0</v>
      </c>
      <c r="Y642" s="11">
        <f>IF(OR(履歴データ!$A$642="",履歴データ!$A$641=""),"",40000*(-S642)+(-506.3)*R642*1000)</f>
        <v>40890.624999997439</v>
      </c>
      <c r="Z642" s="11">
        <f>IF(OR(履歴データ!$A$642="",履歴データ!$A$641=""),"",-40000*O642)</f>
        <v>-210399.99999999508</v>
      </c>
      <c r="AA642" s="11">
        <f>IF(OR(履歴データ!$A$642="",履歴データ!$A$641=""),"",-40000*P642)</f>
        <v>195640.00000000163</v>
      </c>
      <c r="AB642" s="11">
        <f>IF(履歴データ!$A$642="","",123.3)</f>
        <v>123.3</v>
      </c>
      <c r="AC642">
        <f>IF(履歴データ!$A$642="","",SUM(T642:AA642))</f>
        <v>313130.62499999127</v>
      </c>
      <c r="AD642" s="29">
        <f>IF(履歴データ!$A$642="","",AC642/1000000)</f>
        <v>0.31313062499999128</v>
      </c>
      <c r="AE642" s="29">
        <f>IF(履歴データ!$A$642="",AE641,AE641+AC642/1000000)</f>
        <v>76.311930778023736</v>
      </c>
      <c r="AF642" s="12">
        <f>IF(OR(履歴データ!$A$642="",AE641=0),"",(AE642-AE641)/AE641)</f>
        <v>4.1202048502015295E-3</v>
      </c>
      <c r="AG642" s="29">
        <f t="shared" si="29"/>
        <v>102.17217746631495</v>
      </c>
      <c r="AH642" s="12">
        <f>IF(OR(履歴データ!$A$642="",AG642=0),"",AE642/AG642-1)</f>
        <v>-0.25310458609749265</v>
      </c>
      <c r="AJ642" s="28">
        <f t="shared" ref="AJ642:AJ705" ca="1" si="30">IF(ROW()-1&lt;2,"",IFERROR(AVERAGE(OFFSET($B$1,MAX(1,ROW()-252),0,MIN(252,ROW()-1),1))+2*STDEV(OFFSET($B$1,MAX(1,ROW()-252),0,MIN(252,ROW()-1),1)),""))</f>
        <v>12.171328164851461</v>
      </c>
      <c r="AK642" s="28">
        <f t="shared" ref="AK642:AK705" ca="1" si="31">IF(ROW()-1&lt;2,"",IFERROR(AVERAGE(OFFSET($B$1,MAX(1,ROW()-252),0,MIN(252,ROW()-1),1))-2*STDEV(OFFSET($B$1,MAX(1,ROW()-252),0,MIN(252,ROW()-1),1)),""))</f>
        <v>-18.822121815645112</v>
      </c>
    </row>
    <row r="643" spans="1:37">
      <c r="A643" s="10">
        <f>IF(履歴データ!$A$643="","",履歴データ!$A$643)</f>
        <v>45866</v>
      </c>
      <c r="B643" s="28">
        <f>IF(履歴データ!$A$643="","",(履歴データ!$D$643-(履歴データ!$B$643+履歴データ!$F$643)/2)*100)</f>
        <v>-1.5000000000000568</v>
      </c>
      <c r="C643" s="28">
        <f>IF(履歴データ!$A$643="","",(履歴データ!$H$643-(履歴データ!$G$643+履歴データ!$J$643)/2)*100)</f>
        <v>-34.099999999999994</v>
      </c>
      <c r="D643" s="28">
        <f>IF(履歴データ!$A$643="","",(履歴データ!$D$643-履歴データ!$H$643)*100)</f>
        <v>284.90000000000003</v>
      </c>
      <c r="E643" s="28">
        <f>IF(履歴データ!$A$643="","",(履歴データ!$D$643-履歴データ!$C$643)*100)</f>
        <v>46</v>
      </c>
      <c r="F643" s="28">
        <f>IF(履歴データ!$A$643="","",(履歴データ!$R$643-履歴データ!$D$643)*100)</f>
        <v>-334.58</v>
      </c>
      <c r="G643" s="28">
        <f>IF(履歴データ!$A$643="","",(履歴データ!$S$643-履歴データ!$R$643)*100)</f>
        <v>58.034178588866972</v>
      </c>
      <c r="H643" s="29">
        <f>IF(履歴データ!$A$643="","",履歴データ!$O$643)</f>
        <v>148.47900390625</v>
      </c>
      <c r="I643" s="29">
        <f>IF(履歴データ!$A$643="","",履歴データ!$Q$643)</f>
        <v>110.765625</v>
      </c>
      <c r="J643" s="29">
        <f>IF(履歴データ!$A$643="","",履歴データ!$D$643)</f>
        <v>4.42</v>
      </c>
      <c r="K643" s="28">
        <f>IF(OR(履歴データ!$A$643="",履歴データ!$A$642=""),"",B643-B642)</f>
        <v>-8.8817841970012523E-14</v>
      </c>
      <c r="L643" s="28">
        <f>IF(OR(履歴データ!$A$643="",履歴データ!$A$642=""),"",C643-C642)</f>
        <v>-1.1500000000000057</v>
      </c>
      <c r="M643" s="28">
        <f>IF(OR(履歴データ!$A$643="",履歴データ!$A$642=""),"",D643-D642)</f>
        <v>5.3999999999999773</v>
      </c>
      <c r="N643" s="28">
        <f>IF(OR(履歴データ!$A$643="",履歴データ!$A$642=""),"",E643-E642)</f>
        <v>0.99999999999998579</v>
      </c>
      <c r="O643" s="28">
        <f>IF(OR(履歴データ!$A$643="",履歴データ!$A$642=""),"",F643-F642)</f>
        <v>-5.1099999999999</v>
      </c>
      <c r="P643" s="28">
        <f>IF(OR(履歴データ!$A$643="",履歴データ!$A$642=""),"",G643-G642)</f>
        <v>-3.0290000000001243</v>
      </c>
      <c r="Q643" s="29">
        <f>IF(OR(履歴データ!$A$643="",履歴データ!$A$642=""),"",H643-H642)</f>
        <v>1.4739990234375</v>
      </c>
      <c r="R643" s="29">
        <f>IF(OR(履歴データ!$A$643="",履歴データ!$A$642=""),"",I643-I642)</f>
        <v>-0.21875</v>
      </c>
      <c r="S643" s="28">
        <f>IF(OR(履歴データ!$A$643="",履歴データ!$A$642=""),"",(J643-J642)*100)</f>
        <v>1.9999999999999574</v>
      </c>
      <c r="T643" s="11">
        <f>IF(OR(履歴データ!$A$643="",履歴データ!$A$642=""),"",-80000*K643)</f>
        <v>7.1054273576010019E-9</v>
      </c>
      <c r="U643" s="11">
        <f>IF(OR(履歴データ!$A$643="",履歴データ!$A$642=""),"",60000*L643)</f>
        <v>-69000.000000000335</v>
      </c>
      <c r="V643" s="11">
        <f>IF(OR(履歴データ!$A$643="",履歴データ!$A$642=""),"",-50000*M643)</f>
        <v>-269999.99999999884</v>
      </c>
      <c r="W643" s="11">
        <f>IF(OR(履歴データ!$A$643="",履歴データ!$A$642=""),"",-40000*N643)</f>
        <v>-39999.999999999432</v>
      </c>
      <c r="X643" s="11">
        <f>IF(OR(履歴データ!$A$643="",履歴データ!$A$642=""),"",120*1000000*(-Q643/H642))</f>
        <v>-1203223.542990953</v>
      </c>
      <c r="Y643" s="11">
        <f>IF(OR(履歴データ!$A$643="",履歴データ!$A$642=""),"",40000*(-S643)+(-506.3)*R643*1000)</f>
        <v>30753.125000001703</v>
      </c>
      <c r="Z643" s="11">
        <f>IF(OR(履歴データ!$A$643="",履歴データ!$A$642=""),"",-40000*O643)</f>
        <v>204399.99999999598</v>
      </c>
      <c r="AA643" s="11">
        <f>IF(OR(履歴データ!$A$643="",履歴データ!$A$642=""),"",-40000*P643)</f>
        <v>121160.00000000498</v>
      </c>
      <c r="AB643" s="11">
        <f>IF(履歴データ!$A$643="","",123.3)</f>
        <v>123.3</v>
      </c>
      <c r="AC643">
        <f>IF(履歴データ!$A$643="","",SUM(T643:AA643))</f>
        <v>-1225910.4179909418</v>
      </c>
      <c r="AD643" s="29">
        <f>IF(履歴データ!$A$643="","",AC643/1000000)</f>
        <v>-1.2259104179909417</v>
      </c>
      <c r="AE643" s="29">
        <f>IF(履歴データ!$A$643="",AE642,AE642+AC643/1000000)</f>
        <v>75.086020360032791</v>
      </c>
      <c r="AF643" s="12">
        <f>IF(OR(履歴データ!$A$643="",AE642=0),"",(AE643-AE642)/AE642)</f>
        <v>-1.6064466008033212E-2</v>
      </c>
      <c r="AG643" s="29">
        <f t="shared" ref="AG643:AG706" si="32">MAX(AG642,AE643)</f>
        <v>102.17217746631495</v>
      </c>
      <c r="AH643" s="12">
        <f>IF(OR(履歴データ!$A$643="",AG643=0),"",AE643/AG643-1)</f>
        <v>-0.26510306208568535</v>
      </c>
      <c r="AJ643" s="28">
        <f t="shared" ca="1" si="30"/>
        <v>12.115019936468707</v>
      </c>
      <c r="AK643" s="28">
        <f t="shared" ca="1" si="31"/>
        <v>-18.626924698373465</v>
      </c>
    </row>
    <row r="644" spans="1:37">
      <c r="A644" s="10">
        <f>IF(履歴データ!$A$644="","",履歴データ!$A$644)</f>
        <v>45867</v>
      </c>
      <c r="B644" s="28">
        <f>IF(履歴データ!$A$644="","",(履歴データ!$D$644-(履歴データ!$B$644+履歴データ!$F$644)/2)*100)</f>
        <v>-2.0000000000000462</v>
      </c>
      <c r="C644" s="28">
        <f>IF(履歴データ!$A$644="","",(履歴データ!$H$644-(履歴データ!$G$644+履歴データ!$J$644)/2)*100)</f>
        <v>-35.299999999999997</v>
      </c>
      <c r="D644" s="28">
        <f>IF(履歴データ!$A$644="","",(履歴データ!$D$644-履歴データ!$H$644)*100)</f>
        <v>277.59999999999997</v>
      </c>
      <c r="E644" s="28">
        <f>IF(履歴データ!$A$644="","",(履歴データ!$D$644-履歴データ!$C$644)*100)</f>
        <v>43.999999999999993</v>
      </c>
      <c r="F644" s="28">
        <f>IF(履歴データ!$A$644="","",(履歴データ!$R$644-履歴データ!$D$644)*100)</f>
        <v>-320.51</v>
      </c>
      <c r="G644" s="28">
        <f>IF(履歴データ!$A$644="","",(履歴データ!$S$644-履歴データ!$R$644)*100)</f>
        <v>51.788821411132702</v>
      </c>
      <c r="H644" s="29">
        <f>IF(履歴データ!$A$644="","",履歴データ!$O$644)</f>
        <v>148.44200134277344</v>
      </c>
      <c r="I644" s="29">
        <f>IF(履歴データ!$A$644="","",履歴データ!$Q$644)</f>
        <v>111.359375</v>
      </c>
      <c r="J644" s="29">
        <f>IF(履歴データ!$A$644="","",履歴データ!$D$644)</f>
        <v>4.34</v>
      </c>
      <c r="K644" s="28">
        <f>IF(OR(履歴データ!$A$644="",履歴データ!$A$643=""),"",B644-B643)</f>
        <v>-0.49999999999998934</v>
      </c>
      <c r="L644" s="28">
        <f>IF(OR(履歴データ!$A$644="",履歴データ!$A$643=""),"",C644-C643)</f>
        <v>-1.2000000000000028</v>
      </c>
      <c r="M644" s="28">
        <f>IF(OR(履歴データ!$A$644="",履歴データ!$A$643=""),"",D644-D643)</f>
        <v>-7.3000000000000682</v>
      </c>
      <c r="N644" s="28">
        <f>IF(OR(履歴データ!$A$644="",履歴データ!$A$643=""),"",E644-E643)</f>
        <v>-2.0000000000000071</v>
      </c>
      <c r="O644" s="28">
        <f>IF(OR(履歴データ!$A$644="",履歴データ!$A$643=""),"",F644-F643)</f>
        <v>14.069999999999993</v>
      </c>
      <c r="P644" s="28">
        <f>IF(OR(履歴データ!$A$644="",履歴データ!$A$643=""),"",G644-G643)</f>
        <v>-6.2453571777342702</v>
      </c>
      <c r="Q644" s="29">
        <f>IF(OR(履歴データ!$A$644="",履歴データ!$A$643=""),"",H644-H643)</f>
        <v>-3.70025634765625E-2</v>
      </c>
      <c r="R644" s="29">
        <f>IF(OR(履歴データ!$A$644="",履歴データ!$A$643=""),"",I644-I643)</f>
        <v>0.59375</v>
      </c>
      <c r="S644" s="28">
        <f>IF(OR(履歴データ!$A$644="",履歴データ!$A$643=""),"",(J644-J643)*100)</f>
        <v>-8.0000000000000071</v>
      </c>
      <c r="T644" s="11">
        <f>IF(OR(履歴データ!$A$644="",履歴データ!$A$643=""),"",-80000*K644)</f>
        <v>39999.999999999149</v>
      </c>
      <c r="U644" s="11">
        <f>IF(OR(履歴データ!$A$644="",履歴データ!$A$643=""),"",60000*L644)</f>
        <v>-72000.000000000175</v>
      </c>
      <c r="V644" s="11">
        <f>IF(OR(履歴データ!$A$644="",履歴データ!$A$643=""),"",-50000*M644)</f>
        <v>365000.00000000343</v>
      </c>
      <c r="W644" s="11">
        <f>IF(OR(履歴データ!$A$644="",履歴データ!$A$643=""),"",-40000*N644)</f>
        <v>80000.000000000291</v>
      </c>
      <c r="X644" s="11">
        <f>IF(OR(履歴データ!$A$644="",履歴データ!$A$643=""),"",120*1000000*(-Q644/H643))</f>
        <v>29905.289639410032</v>
      </c>
      <c r="Y644" s="11">
        <f>IF(OR(履歴データ!$A$644="",履歴データ!$A$643=""),"",40000*(-S644)+(-506.3)*R644*1000)</f>
        <v>19384.375000000291</v>
      </c>
      <c r="Z644" s="11">
        <f>IF(OR(履歴データ!$A$644="",履歴データ!$A$643=""),"",-40000*O644)</f>
        <v>-562799.99999999977</v>
      </c>
      <c r="AA644" s="11">
        <f>IF(OR(履歴データ!$A$644="",履歴データ!$A$643=""),"",-40000*P644)</f>
        <v>249814.28710937081</v>
      </c>
      <c r="AB644" s="11">
        <f>IF(履歴データ!$A$644="","",123.3)</f>
        <v>123.3</v>
      </c>
      <c r="AC644">
        <f>IF(履歴データ!$A$644="","",SUM(T644:AA644))</f>
        <v>149303.95174878405</v>
      </c>
      <c r="AD644" s="29">
        <f>IF(履歴データ!$A$644="","",AC644/1000000)</f>
        <v>0.14930395174878405</v>
      </c>
      <c r="AE644" s="29">
        <f>IF(履歴データ!$A$644="",AE643,AE643+AC644/1000000)</f>
        <v>75.235324311781568</v>
      </c>
      <c r="AF644" s="12">
        <f>IF(OR(履歴データ!$A$644="",AE643=0),"",(AE644-AE643)/AE643)</f>
        <v>1.9884387404322957E-3</v>
      </c>
      <c r="AG644" s="29">
        <f t="shared" si="32"/>
        <v>102.17217746631495</v>
      </c>
      <c r="AH644" s="12">
        <f>IF(OR(履歴データ!$A$644="",AG644=0),"",AE644/AG644-1)</f>
        <v>-0.26364176454411148</v>
      </c>
      <c r="AJ644" s="28">
        <f t="shared" ca="1" si="30"/>
        <v>12.071314037447168</v>
      </c>
      <c r="AK644" s="28">
        <f t="shared" ca="1" si="31"/>
        <v>-18.460202926336052</v>
      </c>
    </row>
    <row r="645" spans="1:37">
      <c r="A645" s="10">
        <f>IF(履歴データ!$A$645="","",履歴データ!$A$645)</f>
        <v>45868</v>
      </c>
      <c r="B645" s="28">
        <f>IF(履歴データ!$A$645="","",(履歴データ!$D$645-(履歴データ!$B$645+履歴データ!$F$645)/2)*100)</f>
        <v>-3.5000000000000142</v>
      </c>
      <c r="C645" s="28">
        <f>IF(履歴データ!$A$645="","",(履歴データ!$H$645-(履歴データ!$G$645+履歴データ!$J$645)/2)*100)</f>
        <v>-35.750000000000014</v>
      </c>
      <c r="D645" s="28">
        <f>IF(履歴データ!$A$645="","",(履歴データ!$D$645-履歴データ!$H$645)*100)</f>
        <v>281.5</v>
      </c>
      <c r="E645" s="28">
        <f>IF(履歴データ!$A$645="","",(履歴データ!$D$645-履歴データ!$C$645)*100)</f>
        <v>41.999999999999993</v>
      </c>
      <c r="F645" s="28">
        <f>IF(履歴データ!$A$645="","",(履歴データ!$R$645-履歴データ!$D$645)*100)</f>
        <v>-321.31999999999994</v>
      </c>
      <c r="G645" s="28">
        <f>IF(履歴データ!$A$645="","",(履歴データ!$S$645-履歴データ!$R$645)*100)</f>
        <v>50.001999999999946</v>
      </c>
      <c r="H645" s="29">
        <f>IF(履歴データ!$A$645="","",履歴データ!$O$645)</f>
        <v>149.22599792480469</v>
      </c>
      <c r="I645" s="29">
        <f>IF(履歴データ!$A$645="","",履歴データ!$Q$645)</f>
        <v>111</v>
      </c>
      <c r="J645" s="29">
        <f>IF(履歴データ!$A$645="","",履歴データ!$D$645)</f>
        <v>4.38</v>
      </c>
      <c r="K645" s="28">
        <f>IF(OR(履歴データ!$A$645="",履歴データ!$A$644=""),"",B645-B644)</f>
        <v>-1.499999999999968</v>
      </c>
      <c r="L645" s="28">
        <f>IF(OR(履歴データ!$A$645="",履歴データ!$A$644=""),"",C645-C644)</f>
        <v>-0.45000000000001705</v>
      </c>
      <c r="M645" s="28">
        <f>IF(OR(履歴データ!$A$645="",履歴データ!$A$644=""),"",D645-D644)</f>
        <v>3.9000000000000341</v>
      </c>
      <c r="N645" s="28">
        <f>IF(OR(履歴データ!$A$645="",履歴データ!$A$644=""),"",E645-E644)</f>
        <v>-2</v>
      </c>
      <c r="O645" s="28">
        <f>IF(OR(履歴データ!$A$645="",履歴データ!$A$644=""),"",F645-F644)</f>
        <v>-0.80999999999994543</v>
      </c>
      <c r="P645" s="28">
        <f>IF(OR(履歴データ!$A$645="",履歴データ!$A$644=""),"",G645-G644)</f>
        <v>-1.7868214111327561</v>
      </c>
      <c r="Q645" s="29">
        <f>IF(OR(履歴データ!$A$645="",履歴データ!$A$644=""),"",H645-H644)</f>
        <v>0.78399658203125</v>
      </c>
      <c r="R645" s="29">
        <f>IF(OR(履歴データ!$A$645="",履歴データ!$A$644=""),"",I645-I644)</f>
        <v>-0.359375</v>
      </c>
      <c r="S645" s="28">
        <f>IF(OR(履歴データ!$A$645="",履歴データ!$A$644=""),"",(J645-J644)*100)</f>
        <v>4.0000000000000036</v>
      </c>
      <c r="T645" s="11">
        <f>IF(OR(履歴データ!$A$645="",履歴データ!$A$644=""),"",-80000*K645)</f>
        <v>119999.99999999744</v>
      </c>
      <c r="U645" s="11">
        <f>IF(OR(履歴データ!$A$645="",履歴データ!$A$644=""),"",60000*L645)</f>
        <v>-27000.000000001022</v>
      </c>
      <c r="V645" s="11">
        <f>IF(OR(履歴データ!$A$645="",履歴データ!$A$644=""),"",-50000*M645)</f>
        <v>-195000.00000000172</v>
      </c>
      <c r="W645" s="11">
        <f>IF(OR(履歴データ!$A$645="",履歴データ!$A$644=""),"",-40000*N645)</f>
        <v>80000</v>
      </c>
      <c r="X645" s="11">
        <f>IF(OR(履歴データ!$A$645="",履歴データ!$A$644=""),"",120*1000000*(-Q645/H644))</f>
        <v>-633780.12282727857</v>
      </c>
      <c r="Y645" s="11">
        <f>IF(OR(履歴データ!$A$645="",履歴データ!$A$644=""),"",40000*(-S645)+(-506.3)*R645*1000)</f>
        <v>21951.562499999854</v>
      </c>
      <c r="Z645" s="11">
        <f>IF(OR(履歴データ!$A$645="",履歴データ!$A$644=""),"",-40000*O645)</f>
        <v>32399.999999997817</v>
      </c>
      <c r="AA645" s="11">
        <f>IF(OR(履歴データ!$A$645="",履歴データ!$A$644=""),"",-40000*P645)</f>
        <v>71472.856445310244</v>
      </c>
      <c r="AB645" s="11">
        <f>IF(履歴データ!$A$645="","",123.3)</f>
        <v>123.3</v>
      </c>
      <c r="AC645">
        <f>IF(履歴データ!$A$645="","",SUM(T645:AA645))</f>
        <v>-529955.70388197585</v>
      </c>
      <c r="AD645" s="29">
        <f>IF(履歴データ!$A$645="","",AC645/1000000)</f>
        <v>-0.52995570388197588</v>
      </c>
      <c r="AE645" s="29">
        <f>IF(履歴データ!$A$645="",AE644,AE644+AC645/1000000)</f>
        <v>74.705368607899587</v>
      </c>
      <c r="AF645" s="12">
        <f>IF(OR(履歴データ!$A$645="",AE644=0),"",(AE645-AE644)/AE644)</f>
        <v>-7.0439744724937973E-3</v>
      </c>
      <c r="AG645" s="29">
        <f t="shared" si="32"/>
        <v>102.17217746631495</v>
      </c>
      <c r="AH645" s="12">
        <f>IF(OR(履歴データ!$A$645="",AG645=0),"",AE645/AG645-1)</f>
        <v>-0.26882865315727333</v>
      </c>
      <c r="AJ645" s="28">
        <f t="shared" ca="1" si="30"/>
        <v>12.007648946247587</v>
      </c>
      <c r="AK645" s="28">
        <f t="shared" ca="1" si="31"/>
        <v>-18.27749021608885</v>
      </c>
    </row>
    <row r="646" spans="1:37">
      <c r="A646" s="10">
        <f>IF(履歴データ!$A$646="","",履歴データ!$A$646)</f>
        <v>45869</v>
      </c>
      <c r="B646" s="28">
        <f>IF(履歴データ!$A$646="","",(履歴データ!$D$646-(履歴データ!$B$646+履歴データ!$F$646)/2)*100)</f>
        <v>-4.4999999999999929</v>
      </c>
      <c r="C646" s="28">
        <f>IF(履歴データ!$A$646="","",(履歴データ!$H$646-(履歴データ!$G$646+履歴データ!$J$646)/2)*100)</f>
        <v>-36.700000000000003</v>
      </c>
      <c r="D646" s="28">
        <f>IF(履歴データ!$A$646="","",(履歴データ!$D$646-履歴データ!$H$646)*100)</f>
        <v>281.10000000000002</v>
      </c>
      <c r="E646" s="28">
        <f>IF(履歴データ!$A$646="","",(履歴データ!$D$646-履歴データ!$C$646)*100)</f>
        <v>41.000000000000014</v>
      </c>
      <c r="F646" s="28">
        <f>IF(履歴データ!$A$646="","",(履歴データ!$R$646-履歴データ!$D$646)*100)</f>
        <v>-317.45</v>
      </c>
      <c r="G646" s="28">
        <f>IF(履歴データ!$A$646="","",(履歴データ!$S$646-履歴データ!$R$646)*100)</f>
        <v>48.184357177734242</v>
      </c>
      <c r="H646" s="29">
        <f>IF(履歴データ!$A$646="","",履歴データ!$O$646)</f>
        <v>150.77200317382813</v>
      </c>
      <c r="I646" s="29">
        <f>IF(履歴データ!$A$646="","",履歴データ!$Q$646)</f>
        <v>111.0625</v>
      </c>
      <c r="J646" s="29">
        <f>IF(履歴データ!$A$646="","",履歴データ!$D$646)</f>
        <v>4.37</v>
      </c>
      <c r="K646" s="28">
        <f>IF(OR(履歴データ!$A$646="",履歴データ!$A$645=""),"",B646-B645)</f>
        <v>-0.99999999999997868</v>
      </c>
      <c r="L646" s="28">
        <f>IF(OR(履歴データ!$A$646="",履歴データ!$A$645=""),"",C646-C645)</f>
        <v>-0.94999999999998863</v>
      </c>
      <c r="M646" s="28">
        <f>IF(OR(履歴データ!$A$646="",履歴データ!$A$645=""),"",D646-D645)</f>
        <v>-0.39999999999997726</v>
      </c>
      <c r="N646" s="28">
        <f>IF(OR(履歴データ!$A$646="",履歴データ!$A$645=""),"",E646-E645)</f>
        <v>-0.99999999999997868</v>
      </c>
      <c r="O646" s="28">
        <f>IF(OR(履歴データ!$A$646="",履歴データ!$A$645=""),"",F646-F645)</f>
        <v>3.8699999999999477</v>
      </c>
      <c r="P646" s="28">
        <f>IF(OR(履歴データ!$A$646="",履歴データ!$A$645=""),"",G646-G645)</f>
        <v>-1.8176428222657037</v>
      </c>
      <c r="Q646" s="29">
        <f>IF(OR(履歴データ!$A$646="",履歴データ!$A$645=""),"",H646-H645)</f>
        <v>1.5460052490234375</v>
      </c>
      <c r="R646" s="29">
        <f>IF(OR(履歴データ!$A$646="",履歴データ!$A$645=""),"",I646-I645)</f>
        <v>6.25E-2</v>
      </c>
      <c r="S646" s="28">
        <f>IF(OR(履歴データ!$A$646="",履歴データ!$A$645=""),"",(J646-J645)*100)</f>
        <v>-0.99999999999997868</v>
      </c>
      <c r="T646" s="11">
        <f>IF(OR(履歴データ!$A$646="",履歴データ!$A$645=""),"",-80000*K646)</f>
        <v>79999.999999998297</v>
      </c>
      <c r="U646" s="11">
        <f>IF(OR(履歴データ!$A$646="",履歴データ!$A$645=""),"",60000*L646)</f>
        <v>-56999.999999999316</v>
      </c>
      <c r="V646" s="11">
        <f>IF(OR(履歴データ!$A$646="",履歴データ!$A$645=""),"",-50000*M646)</f>
        <v>19999.999999998865</v>
      </c>
      <c r="W646" s="11">
        <f>IF(OR(履歴データ!$A$646="",履歴データ!$A$645=""),"",-40000*N646)</f>
        <v>39999.999999999149</v>
      </c>
      <c r="X646" s="11">
        <f>IF(OR(履歴データ!$A$646="",履歴データ!$A$645=""),"",120*1000000*(-Q646/H645))</f>
        <v>-1243219.2276328199</v>
      </c>
      <c r="Y646" s="11">
        <f>IF(OR(履歴データ!$A$646="",履歴データ!$A$645=""),"",40000*(-S646)+(-506.3)*R646*1000)</f>
        <v>8356.2499999991487</v>
      </c>
      <c r="Z646" s="11">
        <f>IF(OR(履歴データ!$A$646="",履歴データ!$A$645=""),"",-40000*O646)</f>
        <v>-154799.9999999979</v>
      </c>
      <c r="AA646" s="11">
        <f>IF(OR(履歴データ!$A$646="",履歴データ!$A$645=""),"",-40000*P646)</f>
        <v>72705.712890628143</v>
      </c>
      <c r="AB646" s="11">
        <f>IF(履歴データ!$A$646="","",123.3)</f>
        <v>123.3</v>
      </c>
      <c r="AC646">
        <f>IF(履歴データ!$A$646="","",SUM(T646:AA646))</f>
        <v>-1233957.2647421937</v>
      </c>
      <c r="AD646" s="29">
        <f>IF(履歴データ!$A$646="","",AC646/1000000)</f>
        <v>-1.2339572647421937</v>
      </c>
      <c r="AE646" s="29">
        <f>IF(履歴データ!$A$646="",AE645,AE645+AC646/1000000)</f>
        <v>73.471411343157399</v>
      </c>
      <c r="AF646" s="12">
        <f>IF(OR(履歴データ!$A$646="",AE645=0),"",(AE646-AE645)/AE645)</f>
        <v>-1.6517651779737085E-2</v>
      </c>
      <c r="AG646" s="29">
        <f t="shared" si="32"/>
        <v>102.17217746631495</v>
      </c>
      <c r="AH646" s="12">
        <f>IF(OR(履歴データ!$A$646="",AG646=0),"",AE646/AG646-1)</f>
        <v>-0.28090588685574291</v>
      </c>
      <c r="AJ646" s="28">
        <f t="shared" ca="1" si="30"/>
        <v>11.91207592330343</v>
      </c>
      <c r="AK646" s="28">
        <f t="shared" ca="1" si="31"/>
        <v>-18.054933066160565</v>
      </c>
    </row>
    <row r="647" spans="1:37">
      <c r="A647" s="10">
        <f>IF(履歴データ!$A$647="","",履歴データ!$A$647)</f>
        <v>45870</v>
      </c>
      <c r="B647" s="28">
        <f>IF(履歴データ!$A$647="","",(履歴データ!$D$647-(履歴データ!$B$647+履歴データ!$F$647)/2)*100)</f>
        <v>-1.9999999999999574</v>
      </c>
      <c r="C647" s="28">
        <f>IF(履歴データ!$A$647="","",(履歴データ!$H$647-(履歴データ!$G$647+履歴データ!$J$647)/2)*100)</f>
        <v>-36.549999999999997</v>
      </c>
      <c r="D647" s="28">
        <f>IF(履歴データ!$A$647="","",(履歴データ!$D$647-履歴データ!$H$647)*100)</f>
        <v>267.00000000000006</v>
      </c>
      <c r="E647" s="28">
        <f>IF(履歴データ!$A$647="","",(履歴データ!$D$647-履歴データ!$C$647)*100)</f>
        <v>46.000000000000043</v>
      </c>
      <c r="F647" s="28">
        <f>IF(履歴データ!$A$647="","",(履歴データ!$R$647-履歴データ!$D$647)*100)</f>
        <v>-305.81000000000006</v>
      </c>
      <c r="G647" s="28">
        <f>IF(履歴データ!$A$647="","",(履歴データ!$S$647-履歴データ!$R$647)*100)</f>
        <v>46.33482141113268</v>
      </c>
      <c r="H647" s="29">
        <f>IF(履歴データ!$A$647="","",履歴データ!$O$647)</f>
        <v>150.77200317382813</v>
      </c>
      <c r="I647" s="29">
        <f>IF(履歴データ!$A$647="","",履歴データ!$Q$647)</f>
        <v>112.203125</v>
      </c>
      <c r="J647" s="29">
        <f>IF(履歴データ!$A$647="","",履歴データ!$D$647)</f>
        <v>4.2300000000000004</v>
      </c>
      <c r="K647" s="28">
        <f>IF(OR(履歴データ!$A$647="",履歴データ!$A$646=""),"",B647-B646)</f>
        <v>2.5000000000000355</v>
      </c>
      <c r="L647" s="28">
        <f>IF(OR(履歴データ!$A$647="",履歴データ!$A$646=""),"",C647-C646)</f>
        <v>0.15000000000000568</v>
      </c>
      <c r="M647" s="28">
        <f>IF(OR(履歴データ!$A$647="",履歴データ!$A$646=""),"",D647-D646)</f>
        <v>-14.099999999999966</v>
      </c>
      <c r="N647" s="28">
        <f>IF(OR(履歴データ!$A$647="",履歴データ!$A$646=""),"",E647-E646)</f>
        <v>5.0000000000000284</v>
      </c>
      <c r="O647" s="28">
        <f>IF(OR(履歴データ!$A$647="",履歴データ!$A$646=""),"",F647-F646)</f>
        <v>11.63999999999993</v>
      </c>
      <c r="P647" s="28">
        <f>IF(OR(履歴データ!$A$647="",履歴データ!$A$646=""),"",G647-G646)</f>
        <v>-1.8495357666015622</v>
      </c>
      <c r="Q647" s="29">
        <f>IF(OR(履歴データ!$A$647="",履歴データ!$A$646=""),"",H647-H646)</f>
        <v>0</v>
      </c>
      <c r="R647" s="29">
        <f>IF(OR(履歴データ!$A$647="",履歴データ!$A$646=""),"",I647-I646)</f>
        <v>1.140625</v>
      </c>
      <c r="S647" s="28">
        <f>IF(OR(履歴データ!$A$647="",履歴データ!$A$646=""),"",(J647-J646)*100)</f>
        <v>-13.999999999999968</v>
      </c>
      <c r="T647" s="11">
        <f>IF(OR(履歴データ!$A$647="",履歴データ!$A$646=""),"",-80000*K647)</f>
        <v>-200000.00000000285</v>
      </c>
      <c r="U647" s="11">
        <f>IF(OR(履歴データ!$A$647="",履歴データ!$A$646=""),"",60000*L647)</f>
        <v>9000.000000000342</v>
      </c>
      <c r="V647" s="11">
        <f>IF(OR(履歴データ!$A$647="",履歴データ!$A$646=""),"",-50000*M647)</f>
        <v>704999.99999999825</v>
      </c>
      <c r="W647" s="11">
        <f>IF(OR(履歴データ!$A$647="",履歴データ!$A$646=""),"",-40000*N647)</f>
        <v>-200000.00000000114</v>
      </c>
      <c r="X647" s="11">
        <f>IF(OR(履歴データ!$A$647="",履歴データ!$A$646=""),"",120*1000000*(-Q647/H646))</f>
        <v>0</v>
      </c>
      <c r="Y647" s="11">
        <f>IF(OR(履歴データ!$A$647="",履歴データ!$A$646=""),"",40000*(-S647)+(-506.3)*R647*1000)</f>
        <v>-17498.437500001281</v>
      </c>
      <c r="Z647" s="11">
        <f>IF(OR(履歴データ!$A$647="",履歴データ!$A$646=""),"",-40000*O647)</f>
        <v>-465599.99999999721</v>
      </c>
      <c r="AA647" s="11">
        <f>IF(OR(履歴データ!$A$647="",履歴データ!$A$646=""),"",-40000*P647)</f>
        <v>73981.430664062485</v>
      </c>
      <c r="AB647" s="11">
        <f>IF(履歴データ!$A$647="","",123.3)</f>
        <v>123.3</v>
      </c>
      <c r="AC647">
        <f>IF(履歴データ!$A$647="","",SUM(T647:AA647))</f>
        <v>-95117.006835941356</v>
      </c>
      <c r="AD647" s="29">
        <f>IF(履歴データ!$A$647="","",AC647/1000000)</f>
        <v>-9.5117006835941362E-2</v>
      </c>
      <c r="AE647" s="29">
        <f>IF(履歴データ!$A$647="",AE646,AE646+AC647/1000000)</f>
        <v>73.376294336321465</v>
      </c>
      <c r="AF647" s="12">
        <f>IF(OR(履歴データ!$A$647="",AE646=0),"",(AE647-AE646)/AE646)</f>
        <v>-1.2946124907234837E-3</v>
      </c>
      <c r="AG647" s="29">
        <f t="shared" si="32"/>
        <v>102.17217746631495</v>
      </c>
      <c r="AH647" s="12">
        <f>IF(OR(履歴データ!$A$647="",AG647=0),"",AE647/AG647-1)</f>
        <v>-0.28183683507662516</v>
      </c>
      <c r="AJ647" s="28">
        <f t="shared" ca="1" si="30"/>
        <v>11.79944054454772</v>
      </c>
      <c r="AK647" s="28">
        <f t="shared" ca="1" si="31"/>
        <v>-17.783567528674695</v>
      </c>
    </row>
    <row r="648" spans="1:37">
      <c r="A648" s="10">
        <f>IF(履歴データ!$A$648="","",履歴データ!$A$648)</f>
        <v>45873</v>
      </c>
      <c r="B648" s="28">
        <f>IF(履歴データ!$A$648="","",(履歴データ!$D$648-(履歴データ!$B$648+履歴データ!$F$648)/2)*100)</f>
        <v>-2.5000000000000355</v>
      </c>
      <c r="C648" s="28">
        <f>IF(履歴データ!$A$648="","",(履歴データ!$H$648-(履歴データ!$G$648+履歴データ!$J$648)/2)*100)</f>
        <v>-38.499999999999979</v>
      </c>
      <c r="D648" s="28">
        <f>IF(履歴データ!$A$648="","",(履歴データ!$D$648-履歴データ!$H$648)*100)</f>
        <v>270</v>
      </c>
      <c r="E648" s="28">
        <f>IF(履歴データ!$A$648="","",(履歴データ!$D$648-履歴データ!$C$648)*100)</f>
        <v>46.999999999999972</v>
      </c>
      <c r="F648" s="28">
        <f>IF(履歴データ!$A$648="","",(履歴データ!$R$648-履歴データ!$D$648)*100)</f>
        <v>-316.27999999999997</v>
      </c>
      <c r="G648" s="28">
        <f>IF(履歴データ!$A$648="","",(履歴データ!$S$648-履歴データ!$R$648)*100)</f>
        <v>56.927821411132662</v>
      </c>
      <c r="H648" s="29">
        <f>IF(履歴データ!$A$648="","",履歴データ!$O$648)</f>
        <v>146.79299926757813</v>
      </c>
      <c r="I648" s="29">
        <f>IF(履歴データ!$A$648="","",履歴データ!$Q$648)</f>
        <v>112.375</v>
      </c>
      <c r="J648" s="29">
        <f>IF(履歴データ!$A$648="","",履歴データ!$D$648)</f>
        <v>4.22</v>
      </c>
      <c r="K648" s="28">
        <f>IF(OR(履歴データ!$A$648="",履歴データ!$A$647=""),"",B648-B647)</f>
        <v>-0.50000000000007816</v>
      </c>
      <c r="L648" s="28">
        <f>IF(OR(履歴データ!$A$648="",履歴データ!$A$647=""),"",C648-C647)</f>
        <v>-1.9499999999999815</v>
      </c>
      <c r="M648" s="28">
        <f>IF(OR(履歴データ!$A$648="",履歴データ!$A$647=""),"",D648-D647)</f>
        <v>2.9999999999999432</v>
      </c>
      <c r="N648" s="28">
        <f>IF(OR(履歴データ!$A$648="",履歴データ!$A$647=""),"",E648-E647)</f>
        <v>0.99999999999992895</v>
      </c>
      <c r="O648" s="28">
        <f>IF(OR(履歴データ!$A$648="",履歴データ!$A$647=""),"",F648-F647)</f>
        <v>-10.469999999999914</v>
      </c>
      <c r="P648" s="28">
        <f>IF(OR(履歴データ!$A$648="",履歴データ!$A$647=""),"",G648-G647)</f>
        <v>10.592999999999982</v>
      </c>
      <c r="Q648" s="29">
        <f>IF(OR(履歴データ!$A$648="",履歴データ!$A$647=""),"",H648-H647)</f>
        <v>-3.97900390625</v>
      </c>
      <c r="R648" s="29">
        <f>IF(OR(履歴データ!$A$648="",履歴データ!$A$647=""),"",I648-I647)</f>
        <v>0.171875</v>
      </c>
      <c r="S648" s="28">
        <f>IF(OR(履歴データ!$A$648="",履歴データ!$A$647=""),"",(J648-J647)*100)</f>
        <v>-1.0000000000000675</v>
      </c>
      <c r="T648" s="11">
        <f>IF(OR(履歴データ!$A$648="",履歴データ!$A$647=""),"",-80000*K648)</f>
        <v>40000.00000000625</v>
      </c>
      <c r="U648" s="11">
        <f>IF(OR(履歴データ!$A$648="",履歴データ!$A$647=""),"",60000*L648)</f>
        <v>-116999.99999999889</v>
      </c>
      <c r="V648" s="11">
        <f>IF(OR(履歴データ!$A$648="",履歴データ!$A$647=""),"",-50000*M648)</f>
        <v>-149999.99999999715</v>
      </c>
      <c r="W648" s="11">
        <f>IF(OR(履歴データ!$A$648="",履歴データ!$A$647=""),"",-40000*N648)</f>
        <v>-39999.999999997155</v>
      </c>
      <c r="X648" s="11">
        <f>IF(OR(履歴データ!$A$648="",履歴データ!$A$647=""),"",120*1000000*(-Q648/H647))</f>
        <v>3166904.0584378452</v>
      </c>
      <c r="Y648" s="11">
        <f>IF(OR(履歴データ!$A$648="",履歴データ!$A$647=""),"",40000*(-S648)+(-506.3)*R648*1000)</f>
        <v>-47020.312499997301</v>
      </c>
      <c r="Z648" s="11">
        <f>IF(OR(履歴データ!$A$648="",履歴データ!$A$647=""),"",-40000*O648)</f>
        <v>418799.99999999657</v>
      </c>
      <c r="AA648" s="11">
        <f>IF(OR(履歴データ!$A$648="",履歴データ!$A$647=""),"",-40000*P648)</f>
        <v>-423719.9999999993</v>
      </c>
      <c r="AB648" s="11">
        <f>IF(履歴データ!$A$648="","",123.3)</f>
        <v>123.3</v>
      </c>
      <c r="AC648">
        <f>IF(履歴データ!$A$648="","",SUM(T648:AA648))</f>
        <v>2847963.7459378587</v>
      </c>
      <c r="AD648" s="29">
        <f>IF(履歴データ!$A$648="","",AC648/1000000)</f>
        <v>2.8479637459378586</v>
      </c>
      <c r="AE648" s="29">
        <f>IF(履歴データ!$A$648="",AE647,AE647+AC648/1000000)</f>
        <v>76.224258082259325</v>
      </c>
      <c r="AF648" s="12">
        <f>IF(OR(履歴データ!$A$648="",AE647=0),"",(AE648-AE647)/AE647)</f>
        <v>3.8813131293932226E-2</v>
      </c>
      <c r="AG648" s="29">
        <f t="shared" si="32"/>
        <v>102.17217746631495</v>
      </c>
      <c r="AH648" s="12">
        <f>IF(OR(履歴データ!$A$648="",AG648=0),"",AE648/AG648-1)</f>
        <v>-0.25396267386598836</v>
      </c>
      <c r="AJ648" s="28">
        <f t="shared" ca="1" si="30"/>
        <v>11.671623991899782</v>
      </c>
      <c r="AK648" s="28">
        <f t="shared" ca="1" si="31"/>
        <v>-17.497020817296601</v>
      </c>
    </row>
    <row r="649" spans="1:37">
      <c r="A649" s="10">
        <f>IF(履歴データ!$A$649="","",履歴データ!$A$649)</f>
        <v>45874</v>
      </c>
      <c r="B649" s="28">
        <f>IF(履歴データ!$A$649="","",(履歴データ!$D$649-(履歴データ!$B$649+履歴データ!$F$649)/2)*100)</f>
        <v>-3.0000000000000249</v>
      </c>
      <c r="C649" s="28">
        <f>IF(履歴データ!$A$649="","",(履歴データ!$H$649-(履歴データ!$G$649+履歴データ!$J$649)/2)*100)</f>
        <v>-39.949999999999996</v>
      </c>
      <c r="D649" s="28">
        <f>IF(履歴データ!$A$649="","",(履歴データ!$D$649-履歴データ!$H$649)*100)</f>
        <v>273.29999999999995</v>
      </c>
      <c r="E649" s="28">
        <f>IF(履歴データ!$A$649="","",(履歴データ!$D$649-履歴データ!$C$649)*100)</f>
        <v>44.999999999999972</v>
      </c>
      <c r="F649" s="28">
        <f>IF(履歴データ!$A$649="","",(履歴データ!$R$649-履歴データ!$D$649)*100)</f>
        <v>-321.33</v>
      </c>
      <c r="G649" s="28">
        <f>IF(履歴データ!$A$649="","",(履歴データ!$S$649-履歴データ!$R$649)*100)</f>
        <v>64.433357177734194</v>
      </c>
      <c r="H649" s="29">
        <f>IF(履歴データ!$A$649="","",履歴データ!$O$649)</f>
        <v>147.55999755859375</v>
      </c>
      <c r="I649" s="29">
        <f>IF(履歴データ!$A$649="","",履歴データ!$Q$649)</f>
        <v>112.296875</v>
      </c>
      <c r="J649" s="29">
        <f>IF(履歴データ!$A$649="","",履歴データ!$D$649)</f>
        <v>4.22</v>
      </c>
      <c r="K649" s="28">
        <f>IF(OR(履歴データ!$A$649="",履歴データ!$A$648=""),"",B649-B648)</f>
        <v>-0.49999999999998934</v>
      </c>
      <c r="L649" s="28">
        <f>IF(OR(履歴データ!$A$649="",履歴データ!$A$648=""),"",C649-C648)</f>
        <v>-1.4500000000000171</v>
      </c>
      <c r="M649" s="28">
        <f>IF(OR(履歴データ!$A$649="",履歴データ!$A$648=""),"",D649-D648)</f>
        <v>3.2999999999999545</v>
      </c>
      <c r="N649" s="28">
        <f>IF(OR(履歴データ!$A$649="",履歴データ!$A$648=""),"",E649-E648)</f>
        <v>-2</v>
      </c>
      <c r="O649" s="28">
        <f>IF(OR(履歴データ!$A$649="",履歴データ!$A$648=""),"",F649-F648)</f>
        <v>-5.0500000000000114</v>
      </c>
      <c r="P649" s="28">
        <f>IF(OR(履歴データ!$A$649="",履歴データ!$A$648=""),"",G649-G648)</f>
        <v>7.5055357666015325</v>
      </c>
      <c r="Q649" s="29">
        <f>IF(OR(履歴データ!$A$649="",履歴データ!$A$648=""),"",H649-H648)</f>
        <v>0.766998291015625</v>
      </c>
      <c r="R649" s="29">
        <f>IF(OR(履歴データ!$A$649="",履歴データ!$A$648=""),"",I649-I648)</f>
        <v>-7.8125E-2</v>
      </c>
      <c r="S649" s="28">
        <f>IF(OR(履歴データ!$A$649="",履歴データ!$A$648=""),"",(J649-J648)*100)</f>
        <v>0</v>
      </c>
      <c r="T649" s="11">
        <f>IF(OR(履歴データ!$A$649="",履歴データ!$A$648=""),"",-80000*K649)</f>
        <v>39999.999999999149</v>
      </c>
      <c r="U649" s="11">
        <f>IF(OR(履歴データ!$A$649="",履歴データ!$A$648=""),"",60000*L649)</f>
        <v>-87000.000000001019</v>
      </c>
      <c r="V649" s="11">
        <f>IF(OR(履歴データ!$A$649="",履歴データ!$A$648=""),"",-50000*M649)</f>
        <v>-164999.99999999773</v>
      </c>
      <c r="W649" s="11">
        <f>IF(OR(履歴データ!$A$649="",履歴データ!$A$648=""),"",-40000*N649)</f>
        <v>80000</v>
      </c>
      <c r="X649" s="11">
        <f>IF(OR(履歴データ!$A$649="",履歴データ!$A$648=""),"",120*1000000*(-Q649/H648))</f>
        <v>-627003.98098755686</v>
      </c>
      <c r="Y649" s="11">
        <f>IF(OR(履歴データ!$A$649="",履歴データ!$A$648=""),"",40000*(-S649)+(-506.3)*R649*1000)</f>
        <v>39554.6875</v>
      </c>
      <c r="Z649" s="11">
        <f>IF(OR(履歴データ!$A$649="",履歴データ!$A$648=""),"",-40000*O649)</f>
        <v>202000.00000000047</v>
      </c>
      <c r="AA649" s="11">
        <f>IF(OR(履歴データ!$A$649="",履歴データ!$A$648=""),"",-40000*P649)</f>
        <v>-300221.43066406128</v>
      </c>
      <c r="AB649" s="11">
        <f>IF(履歴データ!$A$649="","",123.3)</f>
        <v>123.3</v>
      </c>
      <c r="AC649">
        <f>IF(履歴データ!$A$649="","",SUM(T649:AA649))</f>
        <v>-817670.72415161738</v>
      </c>
      <c r="AD649" s="29">
        <f>IF(履歴データ!$A$649="","",AC649/1000000)</f>
        <v>-0.81767072415161735</v>
      </c>
      <c r="AE649" s="29">
        <f>IF(履歴データ!$A$649="",AE648,AE648+AC649/1000000)</f>
        <v>75.406587358107714</v>
      </c>
      <c r="AF649" s="12">
        <f>IF(OR(履歴データ!$A$649="",AE648=0),"",(AE649-AE648)/AE648)</f>
        <v>-1.0727171962358771E-2</v>
      </c>
      <c r="AG649" s="29">
        <f t="shared" si="32"/>
        <v>102.17217746631495</v>
      </c>
      <c r="AH649" s="12">
        <f>IF(OR(履歴データ!$A$649="",AG649=0),"",AE649/AG649-1)</f>
        <v>-0.26196554455376619</v>
      </c>
      <c r="AJ649" s="28">
        <f t="shared" ca="1" si="30"/>
        <v>11.527969252163265</v>
      </c>
      <c r="AK649" s="28">
        <f t="shared" ca="1" si="31"/>
        <v>-17.194635918829928</v>
      </c>
    </row>
    <row r="650" spans="1:37">
      <c r="A650" s="10">
        <f>IF(履歴データ!$A$650="","",履歴データ!$A$650)</f>
        <v>45875</v>
      </c>
      <c r="B650" s="28">
        <f>IF(履歴データ!$A$650="","",(履歴データ!$D$650-(履歴データ!$B$650+履歴データ!$F$650)/2)*100)</f>
        <v>-3.0000000000000249</v>
      </c>
      <c r="C650" s="28">
        <f>IF(履歴データ!$A$650="","",(履歴データ!$H$650-(履歴データ!$G$650+履歴データ!$J$650)/2)*100)</f>
        <v>-38.550000000000018</v>
      </c>
      <c r="D650" s="28">
        <f>IF(履歴データ!$A$650="","",(履歴データ!$D$650-履歴データ!$H$650)*100)</f>
        <v>271.09999999999997</v>
      </c>
      <c r="E650" s="28">
        <f>IF(履歴データ!$A$650="","",(履歴データ!$D$650-履歴データ!$C$650)*100)</f>
        <v>44.999999999999972</v>
      </c>
      <c r="F650" s="28">
        <f>IF(履歴データ!$A$650="","",(履歴データ!$R$650-履歴データ!$D$650)*100)</f>
        <v>-322.45999999999998</v>
      </c>
      <c r="G650" s="28">
        <f>IF(履歴データ!$A$650="","",(履歴データ!$S$650-履歴データ!$R$650)*100)</f>
        <v>63.633999999999894</v>
      </c>
      <c r="H650" s="29">
        <f>IF(履歴データ!$A$650="","",履歴データ!$O$650)</f>
        <v>147.1929931640625</v>
      </c>
      <c r="I650" s="29">
        <f>IF(履歴データ!$A$650="","",履歴データ!$Q$650)</f>
        <v>112.234375</v>
      </c>
      <c r="J650" s="29">
        <f>IF(履歴データ!$A$650="","",履歴データ!$D$650)</f>
        <v>4.22</v>
      </c>
      <c r="K650" s="28">
        <f>IF(OR(履歴データ!$A$650="",履歴データ!$A$649=""),"",B650-B649)</f>
        <v>0</v>
      </c>
      <c r="L650" s="28">
        <f>IF(OR(履歴データ!$A$650="",履歴データ!$A$649=""),"",C650-C649)</f>
        <v>1.3999999999999773</v>
      </c>
      <c r="M650" s="28">
        <f>IF(OR(履歴データ!$A$650="",履歴データ!$A$649=""),"",D650-D649)</f>
        <v>-2.1999999999999886</v>
      </c>
      <c r="N650" s="28">
        <f>IF(OR(履歴データ!$A$650="",履歴データ!$A$649=""),"",E650-E649)</f>
        <v>0</v>
      </c>
      <c r="O650" s="28">
        <f>IF(OR(履歴データ!$A$650="",履歴データ!$A$649=""),"",F650-F649)</f>
        <v>-1.1299999999999955</v>
      </c>
      <c r="P650" s="28">
        <f>IF(OR(履歴データ!$A$650="",履歴データ!$A$649=""),"",G650-G649)</f>
        <v>-0.79935717773430071</v>
      </c>
      <c r="Q650" s="29">
        <f>IF(OR(履歴データ!$A$650="",履歴データ!$A$649=""),"",H650-H649)</f>
        <v>-0.36700439453125</v>
      </c>
      <c r="R650" s="29">
        <f>IF(OR(履歴データ!$A$650="",履歴データ!$A$649=""),"",I650-I649)</f>
        <v>-6.25E-2</v>
      </c>
      <c r="S650" s="28">
        <f>IF(OR(履歴データ!$A$650="",履歴データ!$A$649=""),"",(J650-J649)*100)</f>
        <v>0</v>
      </c>
      <c r="T650" s="11">
        <f>IF(OR(履歴データ!$A$650="",履歴データ!$A$649=""),"",-80000*K650)</f>
        <v>0</v>
      </c>
      <c r="U650" s="11">
        <f>IF(OR(履歴データ!$A$650="",履歴データ!$A$649=""),"",60000*L650)</f>
        <v>83999.999999998632</v>
      </c>
      <c r="V650" s="11">
        <f>IF(OR(履歴データ!$A$650="",履歴データ!$A$649=""),"",-50000*M650)</f>
        <v>109999.99999999943</v>
      </c>
      <c r="W650" s="11">
        <f>IF(OR(履歴データ!$A$650="",履歴データ!$A$649=""),"",-40000*N650)</f>
        <v>0</v>
      </c>
      <c r="X650" s="11">
        <f>IF(OR(履歴データ!$A$650="",履歴データ!$A$649=""),"",120*1000000*(-Q650/H649))</f>
        <v>298458.44451347459</v>
      </c>
      <c r="Y650" s="11">
        <f>IF(OR(履歴データ!$A$650="",履歴データ!$A$649=""),"",40000*(-S650)+(-506.3)*R650*1000)</f>
        <v>31643.75</v>
      </c>
      <c r="Z650" s="11">
        <f>IF(OR(履歴データ!$A$650="",履歴データ!$A$649=""),"",-40000*O650)</f>
        <v>45199.999999999818</v>
      </c>
      <c r="AA650" s="11">
        <f>IF(OR(履歴データ!$A$650="",履歴データ!$A$649=""),"",-40000*P650)</f>
        <v>31974.287109372028</v>
      </c>
      <c r="AB650" s="11">
        <f>IF(履歴データ!$A$650="","",123.3)</f>
        <v>123.3</v>
      </c>
      <c r="AC650">
        <f>IF(履歴データ!$A$650="","",SUM(T650:AA650))</f>
        <v>601276.48162284447</v>
      </c>
      <c r="AD650" s="29">
        <f>IF(履歴データ!$A$650="","",AC650/1000000)</f>
        <v>0.60127648162284442</v>
      </c>
      <c r="AE650" s="29">
        <f>IF(履歴データ!$A$650="",AE649,AE649+AC650/1000000)</f>
        <v>76.007863839730561</v>
      </c>
      <c r="AF650" s="12">
        <f>IF(OR(履歴データ!$A$650="",AE649=0),"",(AE650-AE649)/AE649)</f>
        <v>7.9737925118845421E-3</v>
      </c>
      <c r="AG650" s="29">
        <f t="shared" si="32"/>
        <v>102.17217746631495</v>
      </c>
      <c r="AH650" s="12">
        <f>IF(OR(履歴データ!$A$650="",AG650=0),"",AE650/AG650-1)</f>
        <v>-0.25608061093941625</v>
      </c>
      <c r="AJ650" s="28">
        <f t="shared" ca="1" si="30"/>
        <v>11.388290923946769</v>
      </c>
      <c r="AK650" s="28">
        <f t="shared" ca="1" si="31"/>
        <v>-16.900195685851525</v>
      </c>
    </row>
    <row r="651" spans="1:37">
      <c r="A651" s="10">
        <f>IF(履歴データ!$A$651="","",履歴データ!$A$651)</f>
        <v>45876</v>
      </c>
      <c r="B651" s="28">
        <f>IF(履歴データ!$A$651="","",(履歴データ!$D$651-(履歴データ!$B$651+履歴データ!$F$651)/2)*100)</f>
        <v>-3.4999999999999254</v>
      </c>
      <c r="C651" s="28">
        <f>IF(履歴データ!$A$651="","",(履歴データ!$H$651-(履歴データ!$G$651+履歴データ!$J$651)/2)*100)</f>
        <v>-38.79999999999999</v>
      </c>
      <c r="D651" s="28">
        <f>IF(履歴データ!$A$651="","",(履歴データ!$D$651-履歴データ!$H$651)*100)</f>
        <v>273.00000000000006</v>
      </c>
      <c r="E651" s="28">
        <f>IF(履歴データ!$A$651="","",(履歴データ!$D$651-履歴データ!$C$651)*100)</f>
        <v>44.000000000000043</v>
      </c>
      <c r="F651" s="28">
        <f>IF(履歴データ!$A$651="","",(履歴データ!$R$651-履歴データ!$D$651)*100)</f>
        <v>-324.21000000000004</v>
      </c>
      <c r="G651" s="28">
        <f>IF(履歴データ!$A$651="","",(履歴データ!$S$651-履歴データ!$R$651)*100)</f>
        <v>64.208642822265432</v>
      </c>
      <c r="H651" s="29">
        <f>IF(履歴データ!$A$651="","",履歴データ!$O$651)</f>
        <v>146.83700561523438</v>
      </c>
      <c r="I651" s="29">
        <f>IF(履歴データ!$A$651="","",履歴データ!$Q$651)</f>
        <v>112.09375</v>
      </c>
      <c r="J651" s="29">
        <f>IF(履歴データ!$A$651="","",履歴データ!$D$651)</f>
        <v>4.2300000000000004</v>
      </c>
      <c r="K651" s="28">
        <f>IF(OR(履歴データ!$A$651="",履歴データ!$A$650=""),"",B651-B650)</f>
        <v>-0.49999999999990052</v>
      </c>
      <c r="L651" s="28">
        <f>IF(OR(履歴データ!$A$651="",履歴データ!$A$650=""),"",C651-C650)</f>
        <v>-0.24999999999997158</v>
      </c>
      <c r="M651" s="28">
        <f>IF(OR(履歴データ!$A$651="",履歴データ!$A$650=""),"",D651-D650)</f>
        <v>1.9000000000000909</v>
      </c>
      <c r="N651" s="28">
        <f>IF(OR(履歴データ!$A$651="",履歴データ!$A$650=""),"",E651-E650)</f>
        <v>-0.99999999999992895</v>
      </c>
      <c r="O651" s="28">
        <f>IF(OR(履歴データ!$A$651="",履歴データ!$A$650=""),"",F651-F650)</f>
        <v>-1.7500000000000568</v>
      </c>
      <c r="P651" s="28">
        <f>IF(OR(履歴データ!$A$651="",履歴データ!$A$650=""),"",G651-G650)</f>
        <v>0.5746428222655382</v>
      </c>
      <c r="Q651" s="29">
        <f>IF(OR(履歴データ!$A$651="",履歴データ!$A$650=""),"",H651-H650)</f>
        <v>-0.355987548828125</v>
      </c>
      <c r="R651" s="29">
        <f>IF(OR(履歴データ!$A$651="",履歴データ!$A$650=""),"",I651-I650)</f>
        <v>-0.140625</v>
      </c>
      <c r="S651" s="28">
        <f>IF(OR(履歴データ!$A$651="",履歴データ!$A$650=""),"",(J651-J650)*100)</f>
        <v>1.0000000000000675</v>
      </c>
      <c r="T651" s="11">
        <f>IF(OR(履歴データ!$A$651="",履歴データ!$A$650=""),"",-80000*K651)</f>
        <v>39999.99999999204</v>
      </c>
      <c r="U651" s="11">
        <f>IF(OR(履歴データ!$A$651="",履歴データ!$A$650=""),"",60000*L651)</f>
        <v>-14999.999999998294</v>
      </c>
      <c r="V651" s="11">
        <f>IF(OR(履歴データ!$A$651="",履歴データ!$A$650=""),"",-50000*M651)</f>
        <v>-95000.00000000454</v>
      </c>
      <c r="W651" s="11">
        <f>IF(OR(履歴データ!$A$651="",履歴データ!$A$650=""),"",-40000*N651)</f>
        <v>39999.999999997155</v>
      </c>
      <c r="X651" s="11">
        <f>IF(OR(履歴データ!$A$651="",履歴データ!$A$650=""),"",120*1000000*(-Q651/H650))</f>
        <v>290221.05564332544</v>
      </c>
      <c r="Y651" s="11">
        <f>IF(OR(履歴データ!$A$651="",履歴データ!$A$650=""),"",40000*(-S651)+(-506.3)*R651*1000)</f>
        <v>31198.437499997301</v>
      </c>
      <c r="Z651" s="11">
        <f>IF(OR(履歴データ!$A$651="",履歴データ!$A$650=""),"",-40000*O651)</f>
        <v>70000.00000000227</v>
      </c>
      <c r="AA651" s="11">
        <f>IF(OR(履歴データ!$A$651="",履歴データ!$A$650=""),"",-40000*P651)</f>
        <v>-22985.712890621529</v>
      </c>
      <c r="AB651" s="11">
        <f>IF(履歴データ!$A$651="","",123.3)</f>
        <v>123.3</v>
      </c>
      <c r="AC651">
        <f>IF(履歴データ!$A$651="","",SUM(T651:AA651))</f>
        <v>338433.78025268984</v>
      </c>
      <c r="AD651" s="29">
        <f>IF(履歴データ!$A$651="","",AC651/1000000)</f>
        <v>0.33843378025268983</v>
      </c>
      <c r="AE651" s="29">
        <f>IF(履歴データ!$A$651="",AE650,AE650+AC651/1000000)</f>
        <v>76.346297619983247</v>
      </c>
      <c r="AF651" s="12">
        <f>IF(OR(履歴データ!$A$651="",AE650=0),"",(AE651-AE650)/AE650)</f>
        <v>4.4526153368328299E-3</v>
      </c>
      <c r="AG651" s="29">
        <f t="shared" si="32"/>
        <v>102.17217746631495</v>
      </c>
      <c r="AH651" s="12">
        <f>IF(OR(履歴データ!$A$651="",AG651=0),"",AE651/AG651-1)</f>
        <v>-0.25276822405831778</v>
      </c>
      <c r="AJ651" s="28">
        <f t="shared" ca="1" si="30"/>
        <v>11.292685857660372</v>
      </c>
      <c r="AK651" s="28">
        <f t="shared" ca="1" si="31"/>
        <v>-16.677606492580999</v>
      </c>
    </row>
    <row r="652" spans="1:37">
      <c r="A652" s="10">
        <f>IF(履歴データ!$A$652="","",履歴データ!$A$652)</f>
        <v>45877</v>
      </c>
      <c r="B652" s="28">
        <f>IF(履歴データ!$A$652="","",(履歴データ!$D$652-(履歴データ!$B$652+履歴データ!$F$652)/2)*100)</f>
        <v>-3.5000000000000142</v>
      </c>
      <c r="C652" s="28">
        <f>IF(履歴データ!$A$652="","",(履歴データ!$H$652-(履歴データ!$G$652+履歴データ!$J$652)/2)*100)</f>
        <v>-38.999999999999993</v>
      </c>
      <c r="D652" s="28">
        <f>IF(履歴データ!$A$652="","",(履歴データ!$D$652-履歴データ!$H$652)*100)</f>
        <v>276.79999999999995</v>
      </c>
      <c r="E652" s="28">
        <f>IF(履歴データ!$A$652="","",(履歴データ!$D$652-履歴データ!$C$652)*100)</f>
        <v>42.999999999999972</v>
      </c>
      <c r="F652" s="28">
        <f>IF(履歴データ!$A$652="","",(履歴データ!$R$652-履歴データ!$D$652)*100)</f>
        <v>-320.71999999999991</v>
      </c>
      <c r="G652" s="28">
        <f>IF(履歴データ!$A$652="","",(履歴データ!$S$652-履歴データ!$R$652)*100)</f>
        <v>59.875821411132726</v>
      </c>
      <c r="H652" s="29">
        <f>IF(履歴データ!$A$652="","",履歴データ!$O$652)</f>
        <v>146.83700561523438</v>
      </c>
      <c r="I652" s="29">
        <f>IF(履歴データ!$A$652="","",履歴データ!$Q$652)</f>
        <v>111.828125</v>
      </c>
      <c r="J652" s="29">
        <f>IF(履歴データ!$A$652="","",履歴データ!$D$652)</f>
        <v>4.2699999999999996</v>
      </c>
      <c r="K652" s="28">
        <f>IF(OR(履歴データ!$A$652="",履歴データ!$A$651=""),"",B652-B651)</f>
        <v>-8.8817841970012523E-14</v>
      </c>
      <c r="L652" s="28">
        <f>IF(OR(履歴データ!$A$652="",履歴データ!$A$651=""),"",C652-C651)</f>
        <v>-0.20000000000000284</v>
      </c>
      <c r="M652" s="28">
        <f>IF(OR(履歴データ!$A$652="",履歴データ!$A$651=""),"",D652-D651)</f>
        <v>3.7999999999998977</v>
      </c>
      <c r="N652" s="28">
        <f>IF(OR(履歴データ!$A$652="",履歴データ!$A$651=""),"",E652-E651)</f>
        <v>-1.0000000000000711</v>
      </c>
      <c r="O652" s="28">
        <f>IF(OR(履歴データ!$A$652="",履歴データ!$A$651=""),"",F652-F651)</f>
        <v>3.4900000000001228</v>
      </c>
      <c r="P652" s="28">
        <f>IF(OR(履歴データ!$A$652="",履歴データ!$A$651=""),"",G652-G651)</f>
        <v>-4.3328214111327057</v>
      </c>
      <c r="Q652" s="29">
        <f>IF(OR(履歴データ!$A$652="",履歴データ!$A$651=""),"",H652-H651)</f>
        <v>0</v>
      </c>
      <c r="R652" s="29">
        <f>IF(OR(履歴データ!$A$652="",履歴データ!$A$651=""),"",I652-I651)</f>
        <v>-0.265625</v>
      </c>
      <c r="S652" s="28">
        <f>IF(OR(履歴データ!$A$652="",履歴データ!$A$651=""),"",(J652-J651)*100)</f>
        <v>3.9999999999999147</v>
      </c>
      <c r="T652" s="11">
        <f>IF(OR(履歴データ!$A$652="",履歴データ!$A$651=""),"",-80000*K652)</f>
        <v>7.1054273576010019E-9</v>
      </c>
      <c r="U652" s="11">
        <f>IF(OR(履歴データ!$A$652="",履歴データ!$A$651=""),"",60000*L652)</f>
        <v>-12000.000000000171</v>
      </c>
      <c r="V652" s="11">
        <f>IF(OR(履歴データ!$A$652="",履歴データ!$A$651=""),"",-50000*M652)</f>
        <v>-189999.99999999488</v>
      </c>
      <c r="W652" s="11">
        <f>IF(OR(履歴データ!$A$652="",履歴データ!$A$651=""),"",-40000*N652)</f>
        <v>40000.000000002845</v>
      </c>
      <c r="X652" s="11">
        <f>IF(OR(履歴データ!$A$652="",履歴データ!$A$651=""),"",120*1000000*(-Q652/H651))</f>
        <v>0</v>
      </c>
      <c r="Y652" s="11">
        <f>IF(OR(履歴データ!$A$652="",履歴データ!$A$651=""),"",40000*(-S652)+(-506.3)*R652*1000)</f>
        <v>-25514.062499996595</v>
      </c>
      <c r="Z652" s="11">
        <f>IF(OR(履歴データ!$A$652="",履歴データ!$A$651=""),"",-40000*O652)</f>
        <v>-139600.00000000492</v>
      </c>
      <c r="AA652" s="11">
        <f>IF(OR(履歴データ!$A$652="",履歴データ!$A$651=""),"",-40000*P652)</f>
        <v>173312.85644530822</v>
      </c>
      <c r="AB652" s="11">
        <f>IF(履歴データ!$A$652="","",123.3)</f>
        <v>123.3</v>
      </c>
      <c r="AC652">
        <f>IF(履歴データ!$A$652="","",SUM(T652:AA652))</f>
        <v>-153801.20605467839</v>
      </c>
      <c r="AD652" s="29">
        <f>IF(履歴データ!$A$652="","",AC652/1000000)</f>
        <v>-0.1538012060546784</v>
      </c>
      <c r="AE652" s="29">
        <f>IF(履歴データ!$A$652="",AE651,AE651+AC652/1000000)</f>
        <v>76.192496413928566</v>
      </c>
      <c r="AF652" s="12">
        <f>IF(OR(履歴データ!$A$652="",AE651=0),"",(AE652-AE651)/AE651)</f>
        <v>-2.0145208195979872E-3</v>
      </c>
      <c r="AG652" s="29">
        <f t="shared" si="32"/>
        <v>102.17217746631495</v>
      </c>
      <c r="AH652" s="12">
        <f>IF(OR(履歴データ!$A$652="",AG652=0),"",AE652/AG652-1)</f>
        <v>-0.25427353802801744</v>
      </c>
      <c r="AJ652" s="28">
        <f t="shared" ca="1" si="30"/>
        <v>11.194078804766106</v>
      </c>
      <c r="AK652" s="28">
        <f t="shared" ca="1" si="31"/>
        <v>-16.452015312702606</v>
      </c>
    </row>
    <row r="653" spans="1:37">
      <c r="A653" s="10">
        <f>IF(履歴データ!$A$653="","",履歴データ!$A$653)</f>
        <v>45880</v>
      </c>
      <c r="B653" s="28">
        <f>IF(履歴データ!$A$653="","",(履歴データ!$D$653-(履歴データ!$B$653+履歴データ!$F$653)/2)*100)</f>
        <v>-3.0000000000000249</v>
      </c>
      <c r="C653" s="28">
        <f>IF(履歴データ!$A$653="","",(履歴データ!$H$653-(履歴データ!$G$653+履歴データ!$J$653)/2)*100)</f>
        <v>-38.999999999999993</v>
      </c>
      <c r="D653" s="28">
        <f>IF(履歴データ!$A$653="","",(履歴データ!$D$653-履歴データ!$H$653)*100)</f>
        <v>276.79999999999995</v>
      </c>
      <c r="E653" s="28">
        <f>IF(履歴データ!$A$653="","",(履歴データ!$D$653-履歴データ!$C$653)*100)</f>
        <v>43.99999999999995</v>
      </c>
      <c r="F653" s="28">
        <f>IF(履歴データ!$A$653="","",(履歴データ!$R$653-履歴データ!$D$653)*100)</f>
        <v>-316.24999999999994</v>
      </c>
      <c r="G653" s="28">
        <f>IF(履歴データ!$A$653="","",(履歴データ!$S$653-履歴データ!$R$653)*100)</f>
        <v>55.405821411132727</v>
      </c>
      <c r="H653" s="29">
        <f>IF(履歴データ!$A$653="","",履歴データ!$O$653)</f>
        <v>148.125</v>
      </c>
      <c r="I653" s="29">
        <f>IF(履歴データ!$A$653="","",履歴データ!$Q$653)</f>
        <v>111.890625</v>
      </c>
      <c r="J653" s="29">
        <f>IF(履歴データ!$A$653="","",履歴データ!$D$653)</f>
        <v>4.2699999999999996</v>
      </c>
      <c r="K653" s="28">
        <f>IF(OR(履歴データ!$A$653="",履歴データ!$A$652=""),"",B653-B652)</f>
        <v>0.49999999999998934</v>
      </c>
      <c r="L653" s="28">
        <f>IF(OR(履歴データ!$A$653="",履歴データ!$A$652=""),"",C653-C652)</f>
        <v>0</v>
      </c>
      <c r="M653" s="28">
        <f>IF(OR(履歴データ!$A$653="",履歴データ!$A$652=""),"",D653-D652)</f>
        <v>0</v>
      </c>
      <c r="N653" s="28">
        <f>IF(OR(履歴データ!$A$653="",履歴データ!$A$652=""),"",E653-E652)</f>
        <v>0.99999999999997868</v>
      </c>
      <c r="O653" s="28">
        <f>IF(OR(履歴データ!$A$653="",履歴データ!$A$652=""),"",F653-F652)</f>
        <v>4.4699999999999704</v>
      </c>
      <c r="P653" s="28">
        <f>IF(OR(履歴データ!$A$653="",履歴データ!$A$652=""),"",G653-G652)</f>
        <v>-4.4699999999999989</v>
      </c>
      <c r="Q653" s="29">
        <f>IF(OR(履歴データ!$A$653="",履歴データ!$A$652=""),"",H653-H652)</f>
        <v>1.287994384765625</v>
      </c>
      <c r="R653" s="29">
        <f>IF(OR(履歴データ!$A$653="",履歴データ!$A$652=""),"",I653-I652)</f>
        <v>6.25E-2</v>
      </c>
      <c r="S653" s="28">
        <f>IF(OR(履歴データ!$A$653="",履歴データ!$A$652=""),"",(J653-J652)*100)</f>
        <v>0</v>
      </c>
      <c r="T653" s="11">
        <f>IF(OR(履歴データ!$A$653="",履歴データ!$A$652=""),"",-80000*K653)</f>
        <v>-39999.999999999149</v>
      </c>
      <c r="U653" s="11">
        <f>IF(OR(履歴データ!$A$653="",履歴データ!$A$652=""),"",60000*L653)</f>
        <v>0</v>
      </c>
      <c r="V653" s="11">
        <f>IF(OR(履歴データ!$A$653="",履歴データ!$A$652=""),"",-50000*M653)</f>
        <v>0</v>
      </c>
      <c r="W653" s="11">
        <f>IF(OR(履歴データ!$A$653="",履歴データ!$A$652=""),"",-40000*N653)</f>
        <v>-39999.999999999149</v>
      </c>
      <c r="X653" s="11">
        <f>IF(OR(履歴データ!$A$653="",履歴データ!$A$652=""),"",120*1000000*(-Q653/H652))</f>
        <v>-1052591.1062016333</v>
      </c>
      <c r="Y653" s="11">
        <f>IF(OR(履歴データ!$A$653="",履歴データ!$A$652=""),"",40000*(-S653)+(-506.3)*R653*1000)</f>
        <v>-31643.75</v>
      </c>
      <c r="Z653" s="11">
        <f>IF(OR(履歴データ!$A$653="",履歴データ!$A$652=""),"",-40000*O653)</f>
        <v>-178799.99999999881</v>
      </c>
      <c r="AA653" s="11">
        <f>IF(OR(履歴データ!$A$653="",履歴データ!$A$652=""),"",-40000*P653)</f>
        <v>178799.99999999994</v>
      </c>
      <c r="AB653" s="11">
        <f>IF(履歴データ!$A$653="","",123.3)</f>
        <v>123.3</v>
      </c>
      <c r="AC653">
        <f>IF(履歴データ!$A$653="","",SUM(T653:AA653))</f>
        <v>-1164234.8562016306</v>
      </c>
      <c r="AD653" s="29">
        <f>IF(履歴データ!$A$653="","",AC653/1000000)</f>
        <v>-1.1642348562016305</v>
      </c>
      <c r="AE653" s="29">
        <f>IF(履歴データ!$A$653="",AE652,AE652+AC653/1000000)</f>
        <v>75.028261557726935</v>
      </c>
      <c r="AF653" s="12">
        <f>IF(OR(履歴データ!$A$653="",AE652=0),"",(AE653-AE652)/AE652)</f>
        <v>-1.5280177327131127E-2</v>
      </c>
      <c r="AG653" s="29">
        <f t="shared" si="32"/>
        <v>102.17217746631495</v>
      </c>
      <c r="AH653" s="12">
        <f>IF(OR(履歴データ!$A$653="",AG653=0),"",AE653/AG653-1)</f>
        <v>-0.26566837060448345</v>
      </c>
      <c r="AJ653" s="28">
        <f t="shared" ca="1" si="30"/>
        <v>11.109142074278791</v>
      </c>
      <c r="AK653" s="28">
        <f t="shared" ca="1" si="31"/>
        <v>-16.244062709199419</v>
      </c>
    </row>
    <row r="654" spans="1:37">
      <c r="A654" s="10">
        <f>IF(履歴データ!$A$654="","",履歴データ!$A$654)</f>
        <v>45881</v>
      </c>
      <c r="B654" s="28">
        <f>IF(履歴データ!$A$654="","",(履歴データ!$D$654-(履歴データ!$B$654+履歴データ!$F$654)/2)*100)</f>
        <v>-0.99999999999997868</v>
      </c>
      <c r="C654" s="28">
        <f>IF(履歴データ!$A$654="","",(履歴データ!$H$654-(履歴データ!$G$654+履歴データ!$J$654)/2)*100)</f>
        <v>-38.599999999999987</v>
      </c>
      <c r="D654" s="28">
        <f>IF(履歴データ!$A$654="","",(履歴データ!$D$654-履歴データ!$H$654)*100)</f>
        <v>277.39999999999998</v>
      </c>
      <c r="E654" s="28">
        <f>IF(履歴データ!$A$654="","",(履歴データ!$D$654-履歴データ!$C$654)*100)</f>
        <v>46</v>
      </c>
      <c r="F654" s="28">
        <f>IF(履歴データ!$A$654="","",(履歴データ!$R$654-履歴データ!$D$654)*100)</f>
        <v>-314.10000000000002</v>
      </c>
      <c r="G654" s="28">
        <f>IF(履歴データ!$A$654="","",(履歴データ!$S$654-履歴データ!$R$654)*100)</f>
        <v>49.852642822265466</v>
      </c>
      <c r="H654" s="29">
        <f>IF(履歴データ!$A$654="","",履歴データ!$O$654)</f>
        <v>147.75799560546875</v>
      </c>
      <c r="I654" s="29">
        <f>IF(履歴データ!$A$654="","",履歴データ!$Q$654)</f>
        <v>111.8125</v>
      </c>
      <c r="J654" s="29">
        <f>IF(履歴データ!$A$654="","",履歴データ!$D$654)</f>
        <v>4.29</v>
      </c>
      <c r="K654" s="28">
        <f>IF(OR(履歴データ!$A$654="",履歴データ!$A$653=""),"",B654-B653)</f>
        <v>2.0000000000000462</v>
      </c>
      <c r="L654" s="28">
        <f>IF(OR(履歴データ!$A$654="",履歴データ!$A$653=""),"",C654-C653)</f>
        <v>0.40000000000000568</v>
      </c>
      <c r="M654" s="28">
        <f>IF(OR(履歴データ!$A$654="",履歴データ!$A$653=""),"",D654-D653)</f>
        <v>0.60000000000002274</v>
      </c>
      <c r="N654" s="28">
        <f>IF(OR(履歴データ!$A$654="",履歴データ!$A$653=""),"",E654-E653)</f>
        <v>2.0000000000000497</v>
      </c>
      <c r="O654" s="28">
        <f>IF(OR(履歴データ!$A$654="",履歴データ!$A$653=""),"",F654-F653)</f>
        <v>2.1499999999999204</v>
      </c>
      <c r="P654" s="28">
        <f>IF(OR(履歴データ!$A$654="",履歴データ!$A$653=""),"",G654-G653)</f>
        <v>-5.5531785888672616</v>
      </c>
      <c r="Q654" s="29">
        <f>IF(OR(履歴データ!$A$654="",履歴データ!$A$653=""),"",H654-H653)</f>
        <v>-0.36700439453125</v>
      </c>
      <c r="R654" s="29">
        <f>IF(OR(履歴データ!$A$654="",履歴データ!$A$653=""),"",I654-I653)</f>
        <v>-7.8125E-2</v>
      </c>
      <c r="S654" s="28">
        <f>IF(OR(履歴データ!$A$654="",履歴データ!$A$653=""),"",(J654-J653)*100)</f>
        <v>2.0000000000000462</v>
      </c>
      <c r="T654" s="11">
        <f>IF(OR(履歴データ!$A$654="",履歴データ!$A$653=""),"",-80000*K654)</f>
        <v>-160000.0000000037</v>
      </c>
      <c r="U654" s="11">
        <f>IF(OR(履歴データ!$A$654="",履歴データ!$A$653=""),"",60000*L654)</f>
        <v>24000.000000000342</v>
      </c>
      <c r="V654" s="11">
        <f>IF(OR(履歴データ!$A$654="",履歴データ!$A$653=""),"",-50000*M654)</f>
        <v>-30000.000000001135</v>
      </c>
      <c r="W654" s="11">
        <f>IF(OR(履歴データ!$A$654="",履歴データ!$A$653=""),"",-40000*N654)</f>
        <v>-80000.000000001994</v>
      </c>
      <c r="X654" s="11">
        <f>IF(OR(履歴データ!$A$654="",履歴データ!$A$653=""),"",120*1000000*(-Q654/H653))</f>
        <v>297320.0158227848</v>
      </c>
      <c r="Y654" s="11">
        <f>IF(OR(履歴データ!$A$654="",履歴データ!$A$653=""),"",40000*(-S654)+(-506.3)*R654*1000)</f>
        <v>-40445.312500001848</v>
      </c>
      <c r="Z654" s="11">
        <f>IF(OR(履歴データ!$A$654="",履歴データ!$A$653=""),"",-40000*O654)</f>
        <v>-85999.999999996813</v>
      </c>
      <c r="AA654" s="11">
        <f>IF(OR(履歴データ!$A$654="",履歴データ!$A$653=""),"",-40000*P654)</f>
        <v>222127.14355469047</v>
      </c>
      <c r="AB654" s="11">
        <f>IF(履歴データ!$A$654="","",123.3)</f>
        <v>123.3</v>
      </c>
      <c r="AC654">
        <f>IF(履歴データ!$A$654="","",SUM(T654:AA654))</f>
        <v>147001.84687747015</v>
      </c>
      <c r="AD654" s="29">
        <f>IF(履歴データ!$A$654="","",AC654/1000000)</f>
        <v>0.14700184687747014</v>
      </c>
      <c r="AE654" s="29">
        <f>IF(履歴データ!$A$654="",AE653,AE653+AC654/1000000)</f>
        <v>75.175263404604408</v>
      </c>
      <c r="AF654" s="12">
        <f>IF(OR(履歴データ!$A$654="",AE653=0),"",(AE654-AE653)/AE653)</f>
        <v>1.9592863252518378E-3</v>
      </c>
      <c r="AG654" s="29">
        <f t="shared" si="32"/>
        <v>102.17217746631495</v>
      </c>
      <c r="AH654" s="12">
        <f>IF(OR(履歴データ!$A$654="",AG654=0),"",AE654/AG654-1)</f>
        <v>-0.26422960468480894</v>
      </c>
      <c r="AJ654" s="28">
        <f t="shared" ca="1" si="30"/>
        <v>11.051581340522624</v>
      </c>
      <c r="AK654" s="28">
        <f t="shared" ca="1" si="31"/>
        <v>-16.059517848459123</v>
      </c>
    </row>
    <row r="655" spans="1:37">
      <c r="A655" s="10">
        <f>IF(履歴データ!$A$655="","",履歴データ!$A$655)</f>
        <v>45882</v>
      </c>
      <c r="B655" s="28">
        <f>IF(履歴データ!$A$655="","",(履歴データ!$D$655-(履歴データ!$B$655+履歴データ!$F$655)/2)*100)</f>
        <v>-0.99999999999997868</v>
      </c>
      <c r="C655" s="28">
        <f>IF(履歴データ!$A$655="","",(履歴データ!$H$655-(履歴データ!$G$655+履歴データ!$J$655)/2)*100)</f>
        <v>-37.5</v>
      </c>
      <c r="D655" s="28">
        <f>IF(履歴データ!$A$655="","",(履歴データ!$D$655-履歴データ!$H$655)*100)</f>
        <v>271</v>
      </c>
      <c r="E655" s="28">
        <f>IF(履歴データ!$A$655="","",(履歴データ!$D$655-履歴データ!$C$655)*100)</f>
        <v>47.000000000000021</v>
      </c>
      <c r="F655" s="28">
        <f>IF(履歴データ!$A$655="","",(履歴データ!$R$655-履歴データ!$D$655)*100)</f>
        <v>-304.05</v>
      </c>
      <c r="G655" s="28">
        <f>IF(履歴データ!$A$655="","",(履歴データ!$S$655-履歴データ!$R$655)*100)</f>
        <v>47.608999999999789</v>
      </c>
      <c r="H655" s="29">
        <f>IF(履歴データ!$A$655="","",履歴データ!$O$655)</f>
        <v>147.1199951171875</v>
      </c>
      <c r="I655" s="29">
        <f>IF(履歴データ!$A$655="","",履歴データ!$Q$655)</f>
        <v>112.171875</v>
      </c>
      <c r="J655" s="29">
        <f>IF(履歴データ!$A$655="","",履歴データ!$D$655)</f>
        <v>4.24</v>
      </c>
      <c r="K655" s="28">
        <f>IF(OR(履歴データ!$A$655="",履歴データ!$A$654=""),"",B655-B654)</f>
        <v>0</v>
      </c>
      <c r="L655" s="28">
        <f>IF(OR(履歴データ!$A$655="",履歴データ!$A$654=""),"",C655-C654)</f>
        <v>1.0999999999999872</v>
      </c>
      <c r="M655" s="28">
        <f>IF(OR(履歴データ!$A$655="",履歴データ!$A$654=""),"",D655-D654)</f>
        <v>-6.3999999999999773</v>
      </c>
      <c r="N655" s="28">
        <f>IF(OR(履歴データ!$A$655="",履歴データ!$A$654=""),"",E655-E654)</f>
        <v>1.0000000000000213</v>
      </c>
      <c r="O655" s="28">
        <f>IF(OR(履歴データ!$A$655="",履歴データ!$A$654=""),"",F655-F654)</f>
        <v>10.050000000000011</v>
      </c>
      <c r="P655" s="28">
        <f>IF(OR(履歴データ!$A$655="",履歴データ!$A$654=""),"",G655-G654)</f>
        <v>-2.2436428222656772</v>
      </c>
      <c r="Q655" s="29">
        <f>IF(OR(履歴データ!$A$655="",履歴データ!$A$654=""),"",H655-H654)</f>
        <v>-0.63800048828125</v>
      </c>
      <c r="R655" s="29">
        <f>IF(OR(履歴データ!$A$655="",履歴データ!$A$654=""),"",I655-I654)</f>
        <v>0.359375</v>
      </c>
      <c r="S655" s="28">
        <f>IF(OR(履歴データ!$A$655="",履歴データ!$A$654=""),"",(J655-J654)*100)</f>
        <v>-4.9999999999999822</v>
      </c>
      <c r="T655" s="11">
        <f>IF(OR(履歴データ!$A$655="",履歴データ!$A$654=""),"",-80000*K655)</f>
        <v>0</v>
      </c>
      <c r="U655" s="11">
        <f>IF(OR(履歴データ!$A$655="",履歴データ!$A$654=""),"",60000*L655)</f>
        <v>65999.999999999229</v>
      </c>
      <c r="V655" s="11">
        <f>IF(OR(履歴データ!$A$655="",履歴データ!$A$654=""),"",-50000*M655)</f>
        <v>319999.99999999884</v>
      </c>
      <c r="W655" s="11">
        <f>IF(OR(履歴データ!$A$655="",履歴データ!$A$654=""),"",-40000*N655)</f>
        <v>-40000.000000000851</v>
      </c>
      <c r="X655" s="11">
        <f>IF(OR(履歴データ!$A$655="",履歴データ!$A$654=""),"",120*1000000*(-Q655/H654))</f>
        <v>518144.94559180661</v>
      </c>
      <c r="Y655" s="11">
        <f>IF(OR(履歴データ!$A$655="",履歴データ!$A$654=""),"",40000*(-S655)+(-506.3)*R655*1000)</f>
        <v>18048.437499999302</v>
      </c>
      <c r="Z655" s="11">
        <f>IF(OR(履歴データ!$A$655="",履歴データ!$A$654=""),"",-40000*O655)</f>
        <v>-402000.00000000047</v>
      </c>
      <c r="AA655" s="11">
        <f>IF(OR(履歴データ!$A$655="",履歴データ!$A$654=""),"",-40000*P655)</f>
        <v>89745.712890627095</v>
      </c>
      <c r="AB655" s="11">
        <f>IF(履歴データ!$A$655="","",123.3)</f>
        <v>123.3</v>
      </c>
      <c r="AC655">
        <f>IF(履歴データ!$A$655="","",SUM(T655:AA655))</f>
        <v>569939.0959824298</v>
      </c>
      <c r="AD655" s="29">
        <f>IF(履歴データ!$A$655="","",AC655/1000000)</f>
        <v>0.56993909598242976</v>
      </c>
      <c r="AE655" s="29">
        <f>IF(履歴データ!$A$655="",AE654,AE654+AC655/1000000)</f>
        <v>75.745202500586842</v>
      </c>
      <c r="AF655" s="12">
        <f>IF(OR(履歴データ!$A$655="",AE654=0),"",(AE655-AE654)/AE654)</f>
        <v>7.5814712203259938E-3</v>
      </c>
      <c r="AG655" s="29">
        <f t="shared" si="32"/>
        <v>102.17217746631495</v>
      </c>
      <c r="AH655" s="12">
        <f>IF(OR(履歴データ!$A$655="",AG655=0),"",AE655/AG655-1)</f>
        <v>-0.25865138260795895</v>
      </c>
      <c r="AJ655" s="28">
        <f t="shared" ca="1" si="30"/>
        <v>10.991724605106896</v>
      </c>
      <c r="AK655" s="28">
        <f t="shared" ca="1" si="31"/>
        <v>-15.872676986059268</v>
      </c>
    </row>
    <row r="656" spans="1:37">
      <c r="A656" s="10">
        <f>IF(履歴データ!$A$656="","",履歴データ!$A$656)</f>
        <v>45883</v>
      </c>
      <c r="B656" s="28">
        <f>IF(履歴データ!$A$656="","",(履歴データ!$D$656-(履歴データ!$B$656+履歴データ!$F$656)/2)*100)</f>
        <v>-2.0000000000000462</v>
      </c>
      <c r="C656" s="28">
        <f>IF(履歴データ!$A$656="","",(履歴データ!$H$656-(履歴データ!$G$656+履歴データ!$J$656)/2)*100)</f>
        <v>-36.000000000000007</v>
      </c>
      <c r="D656" s="28">
        <f>IF(履歴データ!$A$656="","",(履歴データ!$D$656-履歴データ!$H$656)*100)</f>
        <v>272.70000000000005</v>
      </c>
      <c r="E656" s="28">
        <f>IF(履歴データ!$A$656="","",(履歴データ!$D$656-履歴データ!$C$656)*100)</f>
        <v>47.000000000000021</v>
      </c>
      <c r="F656" s="28">
        <f>IF(履歴データ!$A$656="","",(履歴データ!$R$656-履歴データ!$D$656)*100)</f>
        <v>-314.20000000000005</v>
      </c>
      <c r="G656" s="28">
        <f>IF(履歴データ!$A$656="","",(履歴データ!$S$656-履歴データ!$R$656)*100)</f>
        <v>51.706642822265515</v>
      </c>
      <c r="H656" s="29">
        <f>IF(履歴データ!$A$656="","",履歴データ!$O$656)</f>
        <v>147.69099426269531</v>
      </c>
      <c r="I656" s="29">
        <f>IF(履歴データ!$A$656="","",履歴データ!$Q$656)</f>
        <v>111.796875</v>
      </c>
      <c r="J656" s="29">
        <f>IF(履歴データ!$A$656="","",履歴データ!$D$656)</f>
        <v>4.29</v>
      </c>
      <c r="K656" s="28">
        <f>IF(OR(履歴データ!$A$656="",履歴データ!$A$655=""),"",B656-B655)</f>
        <v>-1.0000000000000675</v>
      </c>
      <c r="L656" s="28">
        <f>IF(OR(履歴データ!$A$656="",履歴データ!$A$655=""),"",C656-C655)</f>
        <v>1.4999999999999929</v>
      </c>
      <c r="M656" s="28">
        <f>IF(OR(履歴データ!$A$656="",履歴データ!$A$655=""),"",D656-D655)</f>
        <v>1.7000000000000455</v>
      </c>
      <c r="N656" s="28">
        <f>IF(OR(履歴データ!$A$656="",履歴データ!$A$655=""),"",E656-E655)</f>
        <v>0</v>
      </c>
      <c r="O656" s="28">
        <f>IF(OR(履歴データ!$A$656="",履歴データ!$A$655=""),"",F656-F655)</f>
        <v>-10.150000000000034</v>
      </c>
      <c r="P656" s="28">
        <f>IF(OR(履歴データ!$A$656="",履歴データ!$A$655=""),"",G656-G655)</f>
        <v>4.0976428222657262</v>
      </c>
      <c r="Q656" s="29">
        <f>IF(OR(履歴データ!$A$656="",履歴データ!$A$655=""),"",H656-H655)</f>
        <v>0.5709991455078125</v>
      </c>
      <c r="R656" s="29">
        <f>IF(OR(履歴データ!$A$656="",履歴データ!$A$655=""),"",I656-I655)</f>
        <v>-0.375</v>
      </c>
      <c r="S656" s="28">
        <f>IF(OR(履歴データ!$A$656="",履歴データ!$A$655=""),"",(J656-J655)*100)</f>
        <v>4.9999999999999822</v>
      </c>
      <c r="T656" s="11">
        <f>IF(OR(履歴データ!$A$656="",履歴データ!$A$655=""),"",-80000*K656)</f>
        <v>80000.000000005399</v>
      </c>
      <c r="U656" s="11">
        <f>IF(OR(履歴データ!$A$656="",履歴データ!$A$655=""),"",60000*L656)</f>
        <v>89999.999999999578</v>
      </c>
      <c r="V656" s="11">
        <f>IF(OR(履歴データ!$A$656="",履歴データ!$A$655=""),"",-50000*M656)</f>
        <v>-85000.00000000227</v>
      </c>
      <c r="W656" s="11">
        <f>IF(OR(履歴データ!$A$656="",履歴データ!$A$655=""),"",-40000*N656)</f>
        <v>0</v>
      </c>
      <c r="X656" s="11">
        <f>IF(OR(履歴データ!$A$656="",履歴データ!$A$655=""),"",120*1000000*(-Q656/H655))</f>
        <v>-465741.56970545312</v>
      </c>
      <c r="Y656" s="11">
        <f>IF(OR(履歴データ!$A$656="",履歴データ!$A$655=""),"",40000*(-S656)+(-506.3)*R656*1000)</f>
        <v>-10137.499999999302</v>
      </c>
      <c r="Z656" s="11">
        <f>IF(OR(履歴データ!$A$656="",履歴データ!$A$655=""),"",-40000*O656)</f>
        <v>406000.00000000134</v>
      </c>
      <c r="AA656" s="11">
        <f>IF(OR(履歴データ!$A$656="",履歴データ!$A$655=""),"",-40000*P656)</f>
        <v>-163905.71289062905</v>
      </c>
      <c r="AB656" s="11">
        <f>IF(履歴データ!$A$656="","",123.3)</f>
        <v>123.3</v>
      </c>
      <c r="AC656">
        <f>IF(履歴データ!$A$656="","",SUM(T656:AA656))</f>
        <v>-148784.78259607745</v>
      </c>
      <c r="AD656" s="29">
        <f>IF(履歴データ!$A$656="","",AC656/1000000)</f>
        <v>-0.14878478259607744</v>
      </c>
      <c r="AE656" s="29">
        <f>IF(履歴データ!$A$656="",AE655,AE655+AC656/1000000)</f>
        <v>75.596417717990761</v>
      </c>
      <c r="AF656" s="12">
        <f>IF(OR(履歴データ!$A$656="",AE655=0),"",(AE656-AE655)/AE655)</f>
        <v>-1.9642799502044843E-3</v>
      </c>
      <c r="AG656" s="29">
        <f t="shared" si="32"/>
        <v>102.17217746631495</v>
      </c>
      <c r="AH656" s="12">
        <f>IF(OR(履歴データ!$A$656="",AG656=0),"",AE656/AG656-1)</f>
        <v>-0.26010759883321388</v>
      </c>
      <c r="AJ656" s="28">
        <f t="shared" ca="1" si="30"/>
        <v>10.878325162015626</v>
      </c>
      <c r="AK656" s="28">
        <f t="shared" ca="1" si="31"/>
        <v>-15.616420400110856</v>
      </c>
    </row>
    <row r="657" spans="1:37">
      <c r="A657" s="10">
        <f>IF(履歴データ!$A$657="","",履歴データ!$A$657)</f>
        <v>45884</v>
      </c>
      <c r="B657" s="28">
        <f>IF(履歴データ!$A$657="","",(履歴データ!$D$657-(履歴データ!$B$657+履歴データ!$F$657)/2)*100)</f>
        <v>-0.49999999999998934</v>
      </c>
      <c r="C657" s="28">
        <f>IF(履歴データ!$A$657="","",(履歴データ!$H$657-(履歴データ!$G$657+履歴データ!$J$657)/2)*100)</f>
        <v>-35.5</v>
      </c>
      <c r="D657" s="28">
        <f>IF(履歴データ!$A$657="","",(履歴データ!$D$657-履歴データ!$H$657)*100)</f>
        <v>275.60000000000002</v>
      </c>
      <c r="E657" s="28">
        <f>IF(履歴データ!$A$657="","",(履歴データ!$D$657-履歴データ!$C$657)*100)</f>
        <v>48</v>
      </c>
      <c r="F657" s="28">
        <f>IF(履歴データ!$A$657="","",(履歴データ!$R$657-履歴データ!$D$657)*100)</f>
        <v>-310.96000000000004</v>
      </c>
      <c r="G657" s="28">
        <f>IF(履歴データ!$A$657="","",(履歴データ!$S$657-履歴データ!$R$657)*100)</f>
        <v>52.885821411132717</v>
      </c>
      <c r="H657" s="29">
        <f>IF(履歴データ!$A$657="","",履歴データ!$O$657)</f>
        <v>147.69099426269531</v>
      </c>
      <c r="I657" s="29">
        <f>IF(履歴データ!$A$657="","",履歴データ!$Q$657)</f>
        <v>111.59375</v>
      </c>
      <c r="J657" s="29">
        <f>IF(履歴データ!$A$657="","",履歴データ!$D$657)</f>
        <v>4.33</v>
      </c>
      <c r="K657" s="28">
        <f>IF(OR(履歴データ!$A$657="",履歴データ!$A$656=""),"",B657-B656)</f>
        <v>1.5000000000000568</v>
      </c>
      <c r="L657" s="28">
        <f>IF(OR(履歴データ!$A$657="",履歴データ!$A$656=""),"",C657-C656)</f>
        <v>0.50000000000000711</v>
      </c>
      <c r="M657" s="28">
        <f>IF(OR(履歴データ!$A$657="",履歴データ!$A$656=""),"",D657-D656)</f>
        <v>2.8999999999999773</v>
      </c>
      <c r="N657" s="28">
        <f>IF(OR(履歴データ!$A$657="",履歴データ!$A$656=""),"",E657-E656)</f>
        <v>0.99999999999997868</v>
      </c>
      <c r="O657" s="28">
        <f>IF(OR(履歴データ!$A$657="",履歴データ!$A$656=""),"",F657-F656)</f>
        <v>3.2400000000000091</v>
      </c>
      <c r="P657" s="28">
        <f>IF(OR(履歴データ!$A$657="",履歴データ!$A$656=""),"",G657-G656)</f>
        <v>1.1791785888672024</v>
      </c>
      <c r="Q657" s="29">
        <f>IF(OR(履歴データ!$A$657="",履歴データ!$A$656=""),"",H657-H656)</f>
        <v>0</v>
      </c>
      <c r="R657" s="29">
        <f>IF(OR(履歴データ!$A$657="",履歴データ!$A$656=""),"",I657-I656)</f>
        <v>-0.203125</v>
      </c>
      <c r="S657" s="28">
        <f>IF(OR(履歴データ!$A$657="",履歴データ!$A$656=""),"",(J657-J656)*100)</f>
        <v>4.0000000000000036</v>
      </c>
      <c r="T657" s="11">
        <f>IF(OR(履歴データ!$A$657="",履歴データ!$A$656=""),"",-80000*K657)</f>
        <v>-120000.00000000454</v>
      </c>
      <c r="U657" s="11">
        <f>IF(OR(履歴データ!$A$657="",履歴データ!$A$656=""),"",60000*L657)</f>
        <v>30000.000000000426</v>
      </c>
      <c r="V657" s="11">
        <f>IF(OR(履歴データ!$A$657="",履歴データ!$A$656=""),"",-50000*M657)</f>
        <v>-144999.99999999886</v>
      </c>
      <c r="W657" s="11">
        <f>IF(OR(履歴データ!$A$657="",履歴データ!$A$656=""),"",-40000*N657)</f>
        <v>-39999.999999999149</v>
      </c>
      <c r="X657" s="11">
        <f>IF(OR(履歴データ!$A$657="",履歴データ!$A$656=""),"",120*1000000*(-Q657/H656))</f>
        <v>0</v>
      </c>
      <c r="Y657" s="11">
        <f>IF(OR(履歴データ!$A$657="",履歴データ!$A$656=""),"",40000*(-S657)+(-506.3)*R657*1000)</f>
        <v>-57157.812500000131</v>
      </c>
      <c r="Z657" s="11">
        <f>IF(OR(履歴データ!$A$657="",履歴データ!$A$656=""),"",-40000*O657)</f>
        <v>-129600.00000000036</v>
      </c>
      <c r="AA657" s="11">
        <f>IF(OR(履歴データ!$A$657="",履歴データ!$A$656=""),"",-40000*P657)</f>
        <v>-47167.143554688097</v>
      </c>
      <c r="AB657" s="11">
        <f>IF(履歴データ!$A$657="","",123.3)</f>
        <v>123.3</v>
      </c>
      <c r="AC657">
        <f>IF(履歴データ!$A$657="","",SUM(T657:AA657))</f>
        <v>-508924.95605469064</v>
      </c>
      <c r="AD657" s="29">
        <f>IF(履歴データ!$A$657="","",AC657/1000000)</f>
        <v>-0.50892495605469068</v>
      </c>
      <c r="AE657" s="29">
        <f>IF(履歴データ!$A$657="",AE656,AE656+AC657/1000000)</f>
        <v>75.087492761936076</v>
      </c>
      <c r="AF657" s="12">
        <f>IF(OR(履歴データ!$A$657="",AE656=0),"",(AE657-AE656)/AE656)</f>
        <v>-6.7321305878964757E-3</v>
      </c>
      <c r="AG657" s="29">
        <f t="shared" si="32"/>
        <v>102.17217746631495</v>
      </c>
      <c r="AH657" s="12">
        <f>IF(OR(履歴データ!$A$657="",AG657=0),"",AE657/AG657-1)</f>
        <v>-0.26508865109886104</v>
      </c>
      <c r="AJ657" s="28">
        <f t="shared" ca="1" si="30"/>
        <v>10.768605808725036</v>
      </c>
      <c r="AK657" s="28">
        <f t="shared" ca="1" si="31"/>
        <v>-15.351939142058361</v>
      </c>
    </row>
    <row r="658" spans="1:37">
      <c r="A658" s="10">
        <f>IF(履歴データ!$A$658="","",履歴データ!$A$658)</f>
        <v>45887</v>
      </c>
      <c r="B658" s="28">
        <f>IF(履歴データ!$A$658="","",(履歴データ!$D$658-(履歴データ!$B$658+履歴データ!$F$658)/2)*100)</f>
        <v>-1.5000000000000568</v>
      </c>
      <c r="C658" s="28">
        <f>IF(履歴データ!$A$658="","",(履歴データ!$H$658-(履歴データ!$G$658+履歴データ!$J$658)/2)*100)</f>
        <v>-35.699999999999974</v>
      </c>
      <c r="D658" s="28">
        <f>IF(履歴データ!$A$658="","",(履歴データ!$D$658-履歴データ!$H$658)*100)</f>
        <v>275.59999999999997</v>
      </c>
      <c r="E658" s="28">
        <f>IF(履歴データ!$A$658="","",(履歴データ!$D$658-履歴データ!$C$658)*100)</f>
        <v>48</v>
      </c>
      <c r="F658" s="28">
        <f>IF(履歴データ!$A$658="","",(履歴データ!$R$658-履歴データ!$D$658)*100)</f>
        <v>-308.53999999999996</v>
      </c>
      <c r="G658" s="28">
        <f>IF(履歴データ!$A$658="","",(履歴データ!$S$658-履歴データ!$R$658)*100)</f>
        <v>45.080821411132632</v>
      </c>
      <c r="H658" s="29">
        <f>IF(履歴データ!$A$658="","",履歴データ!$O$658)</f>
        <v>147.91600036621094</v>
      </c>
      <c r="I658" s="29">
        <f>IF(履歴データ!$A$658="","",履歴データ!$Q$658)</f>
        <v>111.515625</v>
      </c>
      <c r="J658" s="29">
        <f>IF(履歴データ!$A$658="","",履歴データ!$D$658)</f>
        <v>4.34</v>
      </c>
      <c r="K658" s="28">
        <f>IF(OR(履歴データ!$A$658="",履歴データ!$A$657=""),"",B658-B657)</f>
        <v>-1.0000000000000675</v>
      </c>
      <c r="L658" s="28">
        <f>IF(OR(履歴データ!$A$658="",履歴データ!$A$657=""),"",C658-C657)</f>
        <v>-0.19999999999997442</v>
      </c>
      <c r="M658" s="28">
        <f>IF(OR(履歴データ!$A$658="",履歴データ!$A$657=""),"",D658-D657)</f>
        <v>-5.6843418860808015E-14</v>
      </c>
      <c r="N658" s="28">
        <f>IF(OR(履歴データ!$A$658="",履歴データ!$A$657=""),"",E658-E657)</f>
        <v>0</v>
      </c>
      <c r="O658" s="28">
        <f>IF(OR(履歴データ!$A$658="",履歴データ!$A$657=""),"",F658-F657)</f>
        <v>2.4200000000000728</v>
      </c>
      <c r="P658" s="28">
        <f>IF(OR(履歴データ!$A$658="",履歴データ!$A$657=""),"",G658-G657)</f>
        <v>-7.805000000000085</v>
      </c>
      <c r="Q658" s="29">
        <f>IF(OR(履歴データ!$A$658="",履歴データ!$A$657=""),"",H658-H657)</f>
        <v>0.225006103515625</v>
      </c>
      <c r="R658" s="29">
        <f>IF(OR(履歴データ!$A$658="",履歴データ!$A$657=""),"",I658-I657)</f>
        <v>-7.8125E-2</v>
      </c>
      <c r="S658" s="28">
        <f>IF(OR(履歴データ!$A$658="",履歴データ!$A$657=""),"",(J658-J657)*100)</f>
        <v>0.99999999999997868</v>
      </c>
      <c r="T658" s="11">
        <f>IF(OR(履歴データ!$A$658="",履歴データ!$A$657=""),"",-80000*K658)</f>
        <v>80000.000000005399</v>
      </c>
      <c r="U658" s="11">
        <f>IF(OR(履歴データ!$A$658="",履歴データ!$A$657=""),"",60000*L658)</f>
        <v>-11999.999999998465</v>
      </c>
      <c r="V658" s="11">
        <f>IF(OR(履歴データ!$A$658="",履歴データ!$A$657=""),"",-50000*M658)</f>
        <v>2.8421709430404007E-9</v>
      </c>
      <c r="W658" s="11">
        <f>IF(OR(履歴データ!$A$658="",履歴データ!$A$657=""),"",-40000*N658)</f>
        <v>0</v>
      </c>
      <c r="X658" s="11">
        <f>IF(OR(履歴データ!$A$658="",履歴データ!$A$657=""),"",120*1000000*(-Q658/H657))</f>
        <v>-182819.08491894425</v>
      </c>
      <c r="Y658" s="11">
        <f>IF(OR(履歴データ!$A$658="",履歴データ!$A$657=""),"",40000*(-S658)+(-506.3)*R658*1000)</f>
        <v>-445.31249999914871</v>
      </c>
      <c r="Z658" s="11">
        <f>IF(OR(履歴データ!$A$658="",履歴データ!$A$657=""),"",-40000*O658)</f>
        <v>-96800.00000000291</v>
      </c>
      <c r="AA658" s="11">
        <f>IF(OR(履歴データ!$A$658="",履歴データ!$A$657=""),"",-40000*P658)</f>
        <v>312200.00000000338</v>
      </c>
      <c r="AB658" s="11">
        <f>IF(履歴データ!$A$658="","",123.3)</f>
        <v>123.3</v>
      </c>
      <c r="AC658">
        <f>IF(履歴データ!$A$658="","",SUM(T658:AA658))</f>
        <v>100135.60258106684</v>
      </c>
      <c r="AD658" s="29">
        <f>IF(履歴データ!$A$658="","",AC658/1000000)</f>
        <v>0.10013560258106684</v>
      </c>
      <c r="AE658" s="29">
        <f>IF(履歴データ!$A$658="",AE657,AE657+AC658/1000000)</f>
        <v>75.187628364517138</v>
      </c>
      <c r="AF658" s="12">
        <f>IF(OR(履歴データ!$A$658="",AE657=0),"",(AE658-AE657)/AE657)</f>
        <v>1.3335856465275899E-3</v>
      </c>
      <c r="AG658" s="29">
        <f t="shared" si="32"/>
        <v>102.17217746631495</v>
      </c>
      <c r="AH658" s="12">
        <f>IF(OR(履歴データ!$A$658="",AG658=0),"",AE658/AG658-1)</f>
        <v>-0.26410858387249625</v>
      </c>
      <c r="AJ658" s="28">
        <f t="shared" ca="1" si="30"/>
        <v>10.657691253619658</v>
      </c>
      <c r="AK658" s="28">
        <f t="shared" ca="1" si="31"/>
        <v>-15.098167444095841</v>
      </c>
    </row>
    <row r="659" spans="1:37">
      <c r="A659" s="10">
        <f>IF(履歴データ!$A$659="","",履歴データ!$A$659)</f>
        <v>45888</v>
      </c>
      <c r="B659" s="28">
        <f>IF(履歴データ!$A$659="","",(履歴データ!$D$659-(履歴データ!$B$659+履歴データ!$F$659)/2)*100)</f>
        <v>-2.5000000000000355</v>
      </c>
      <c r="C659" s="28">
        <f>IF(履歴データ!$A$659="","",(履歴データ!$H$659-(履歴データ!$G$659+履歴データ!$J$659)/2)*100)</f>
        <v>-35.54999999999999</v>
      </c>
      <c r="D659" s="28">
        <f>IF(履歴データ!$A$659="","",(履歴データ!$D$659-履歴データ!$H$659)*100)</f>
        <v>269.7</v>
      </c>
      <c r="E659" s="28">
        <f>IF(履歴データ!$A$659="","",(履歴データ!$D$659-履歴データ!$C$659)*100)</f>
        <v>48</v>
      </c>
      <c r="F659" s="28">
        <f>IF(履歴データ!$A$659="","",(履歴データ!$R$659-履歴データ!$D$659)*100)</f>
        <v>-304.78999999999996</v>
      </c>
      <c r="G659" s="28">
        <f>IF(履歴データ!$A$659="","",(履歴データ!$S$659-履歴データ!$R$659)*100)</f>
        <v>47.435642822265443</v>
      </c>
      <c r="H659" s="29">
        <f>IF(履歴データ!$A$659="","",履歴データ!$O$659)</f>
        <v>147.73100280761719</v>
      </c>
      <c r="I659" s="29">
        <f>IF(履歴データ!$A$659="","",履歴データ!$Q$659)</f>
        <v>111.765625</v>
      </c>
      <c r="J659" s="29">
        <f>IF(履歴データ!$A$659="","",履歴データ!$D$659)</f>
        <v>4.3</v>
      </c>
      <c r="K659" s="28">
        <f>IF(OR(履歴データ!$A$659="",履歴データ!$A$658=""),"",B659-B658)</f>
        <v>-0.99999999999997868</v>
      </c>
      <c r="L659" s="28">
        <f>IF(OR(履歴データ!$A$659="",履歴データ!$A$658=""),"",C659-C658)</f>
        <v>0.14999999999998437</v>
      </c>
      <c r="M659" s="28">
        <f>IF(OR(履歴データ!$A$659="",履歴データ!$A$658=""),"",D659-D658)</f>
        <v>-5.8999999999999773</v>
      </c>
      <c r="N659" s="28">
        <f>IF(OR(履歴データ!$A$659="",履歴データ!$A$658=""),"",E659-E658)</f>
        <v>0</v>
      </c>
      <c r="O659" s="28">
        <f>IF(OR(履歴データ!$A$659="",履歴データ!$A$658=""),"",F659-F658)</f>
        <v>3.75</v>
      </c>
      <c r="P659" s="28">
        <f>IF(OR(履歴データ!$A$659="",履歴データ!$A$658=""),"",G659-G658)</f>
        <v>2.3548214111328107</v>
      </c>
      <c r="Q659" s="29">
        <f>IF(OR(履歴データ!$A$659="",履歴データ!$A$658=""),"",H659-H658)</f>
        <v>-0.18499755859375</v>
      </c>
      <c r="R659" s="29">
        <f>IF(OR(履歴データ!$A$659="",履歴データ!$A$658=""),"",I659-I658)</f>
        <v>0.25</v>
      </c>
      <c r="S659" s="28">
        <f>IF(OR(履歴データ!$A$659="",履歴データ!$A$658=""),"",(J659-J658)*100)</f>
        <v>-4.0000000000000036</v>
      </c>
      <c r="T659" s="11">
        <f>IF(OR(履歴データ!$A$659="",履歴データ!$A$658=""),"",-80000*K659)</f>
        <v>79999.999999998297</v>
      </c>
      <c r="U659" s="11">
        <f>IF(OR(履歴データ!$A$659="",履歴データ!$A$658=""),"",60000*L659)</f>
        <v>8999.9999999990614</v>
      </c>
      <c r="V659" s="11">
        <f>IF(OR(履歴データ!$A$659="",履歴データ!$A$658=""),"",-50000*M659)</f>
        <v>294999.99999999884</v>
      </c>
      <c r="W659" s="11">
        <f>IF(OR(履歴データ!$A$659="",履歴データ!$A$658=""),"",-40000*N659)</f>
        <v>0</v>
      </c>
      <c r="X659" s="11">
        <f>IF(OR(履歴データ!$A$659="",履歴データ!$A$658=""),"",120*1000000*(-Q659/H658))</f>
        <v>150083.20246821095</v>
      </c>
      <c r="Y659" s="11">
        <f>IF(OR(履歴データ!$A$659="",履歴データ!$A$658=""),"",40000*(-S659)+(-506.3)*R659*1000)</f>
        <v>33425.000000000146</v>
      </c>
      <c r="Z659" s="11">
        <f>IF(OR(履歴データ!$A$659="",履歴データ!$A$658=""),"",-40000*O659)</f>
        <v>-150000</v>
      </c>
      <c r="AA659" s="11">
        <f>IF(OR(履歴データ!$A$659="",履歴データ!$A$658=""),"",-40000*P659)</f>
        <v>-94192.856445312427</v>
      </c>
      <c r="AB659" s="11">
        <f>IF(履歴データ!$A$659="","",123.3)</f>
        <v>123.3</v>
      </c>
      <c r="AC659">
        <f>IF(履歴データ!$A$659="","",SUM(T659:AA659))</f>
        <v>323315.34602289478</v>
      </c>
      <c r="AD659" s="29">
        <f>IF(履歴データ!$A$659="","",AC659/1000000)</f>
        <v>0.3233153460228948</v>
      </c>
      <c r="AE659" s="29">
        <f>IF(履歴データ!$A$659="",AE658,AE658+AC659/1000000)</f>
        <v>75.510943710540033</v>
      </c>
      <c r="AF659" s="12">
        <f>IF(OR(履歴データ!$A$659="",AE658=0),"",(AE659-AE658)/AE658)</f>
        <v>4.300113636453988E-3</v>
      </c>
      <c r="AG659" s="29">
        <f t="shared" si="32"/>
        <v>102.17217746631495</v>
      </c>
      <c r="AH659" s="12">
        <f>IF(OR(履歴データ!$A$659="",AG659=0),"",AE659/AG659-1)</f>
        <v>-0.26094416715905688</v>
      </c>
      <c r="AJ659" s="28">
        <f t="shared" ca="1" si="30"/>
        <v>10.529315842160429</v>
      </c>
      <c r="AK659" s="28">
        <f t="shared" ca="1" si="31"/>
        <v>-14.830903143747726</v>
      </c>
    </row>
    <row r="660" spans="1:37">
      <c r="A660" s="10">
        <f>IF(履歴データ!$A$660="","",履歴データ!$A$660)</f>
        <v>45889</v>
      </c>
      <c r="B660" s="28">
        <f>IF(履歴データ!$A$660="","",(履歴データ!$D$660-(履歴データ!$B$660+履歴データ!$F$660)/2)*100)</f>
        <v>-2.4999999999999467</v>
      </c>
      <c r="C660" s="28">
        <f>IF(履歴データ!$A$660="","",(履歴データ!$H$660-(履歴データ!$G$660+履歴データ!$J$660)/2)*100)</f>
        <v>-35.950000000000017</v>
      </c>
      <c r="D660" s="28">
        <f>IF(履歴データ!$A$660="","",(履歴データ!$D$660-履歴データ!$H$660)*100)</f>
        <v>267.3</v>
      </c>
      <c r="E660" s="28">
        <f>IF(履歴データ!$A$660="","",(履歴データ!$D$660-履歴データ!$C$660)*100)</f>
        <v>48</v>
      </c>
      <c r="F660" s="28">
        <f>IF(履歴データ!$A$660="","",(履歴データ!$R$660-履歴データ!$D$660)*100)</f>
        <v>-307.56</v>
      </c>
      <c r="G660" s="28">
        <f>IF(履歴データ!$A$660="","",(履歴データ!$S$660-履歴データ!$R$660)*100)</f>
        <v>49.802357177734315</v>
      </c>
      <c r="H660" s="29">
        <f>IF(履歴データ!$A$660="","",履歴データ!$O$660)</f>
        <v>147.3179931640625</v>
      </c>
      <c r="I660" s="29">
        <f>IF(履歴データ!$A$660="","",履歴データ!$Q$660)</f>
        <v>111.859375</v>
      </c>
      <c r="J660" s="29">
        <f>IF(履歴データ!$A$660="","",履歴データ!$D$660)</f>
        <v>4.29</v>
      </c>
      <c r="K660" s="28">
        <f>IF(OR(履歴データ!$A$660="",履歴データ!$A$659=""),"",B660-B659)</f>
        <v>8.8817841970012523E-14</v>
      </c>
      <c r="L660" s="28">
        <f>IF(OR(履歴データ!$A$660="",履歴データ!$A$659=""),"",C660-C659)</f>
        <v>-0.400000000000027</v>
      </c>
      <c r="M660" s="28">
        <f>IF(OR(履歴データ!$A$660="",履歴データ!$A$659=""),"",D660-D659)</f>
        <v>-2.3999999999999773</v>
      </c>
      <c r="N660" s="28">
        <f>IF(OR(履歴データ!$A$660="",履歴データ!$A$659=""),"",E660-E659)</f>
        <v>0</v>
      </c>
      <c r="O660" s="28">
        <f>IF(OR(履歴データ!$A$660="",履歴データ!$A$659=""),"",F660-F659)</f>
        <v>-2.7700000000000387</v>
      </c>
      <c r="P660" s="28">
        <f>IF(OR(履歴データ!$A$660="",履歴データ!$A$659=""),"",G660-G659)</f>
        <v>2.3667143554688721</v>
      </c>
      <c r="Q660" s="29">
        <f>IF(OR(履歴データ!$A$660="",履歴データ!$A$659=""),"",H660-H659)</f>
        <v>-0.4130096435546875</v>
      </c>
      <c r="R660" s="29">
        <f>IF(OR(履歴データ!$A$660="",履歴データ!$A$659=""),"",I660-I659)</f>
        <v>9.375E-2</v>
      </c>
      <c r="S660" s="28">
        <f>IF(OR(履歴データ!$A$660="",履歴データ!$A$659=""),"",(J660-J659)*100)</f>
        <v>-0.99999999999997868</v>
      </c>
      <c r="T660" s="11">
        <f>IF(OR(履歴データ!$A$660="",履歴データ!$A$659=""),"",-80000*K660)</f>
        <v>-7.1054273576010019E-9</v>
      </c>
      <c r="U660" s="11">
        <f>IF(OR(履歴データ!$A$660="",履歴データ!$A$659=""),"",60000*L660)</f>
        <v>-24000.000000001619</v>
      </c>
      <c r="V660" s="11">
        <f>IF(OR(履歴データ!$A$660="",履歴データ!$A$659=""),"",-50000*M660)</f>
        <v>119999.99999999886</v>
      </c>
      <c r="W660" s="11">
        <f>IF(OR(履歴データ!$A$660="",履歴データ!$A$659=""),"",-40000*N660)</f>
        <v>0</v>
      </c>
      <c r="X660" s="11">
        <f>IF(OR(履歴データ!$A$660="",履歴データ!$A$659=""),"",120*1000000*(-Q660/H659))</f>
        <v>335482.43960073532</v>
      </c>
      <c r="Y660" s="11">
        <f>IF(OR(履歴データ!$A$660="",履歴データ!$A$659=""),"",40000*(-S660)+(-506.3)*R660*1000)</f>
        <v>-7465.6250000008513</v>
      </c>
      <c r="Z660" s="11">
        <f>IF(OR(履歴データ!$A$660="",履歴データ!$A$659=""),"",-40000*O660)</f>
        <v>110800.00000000154</v>
      </c>
      <c r="AA660" s="11">
        <f>IF(OR(履歴データ!$A$660="",履歴データ!$A$659=""),"",-40000*P660)</f>
        <v>-94668.574218754889</v>
      </c>
      <c r="AB660" s="11">
        <f>IF(履歴データ!$A$660="","",123.3)</f>
        <v>123.3</v>
      </c>
      <c r="AC660">
        <f>IF(履歴データ!$A$660="","",SUM(T660:AA660))</f>
        <v>440148.24038197123</v>
      </c>
      <c r="AD660" s="29">
        <f>IF(履歴データ!$A$660="","",AC660/1000000)</f>
        <v>0.44014824038197126</v>
      </c>
      <c r="AE660" s="29">
        <f>IF(履歴データ!$A$660="",AE659,AE659+AC660/1000000)</f>
        <v>75.951091950922006</v>
      </c>
      <c r="AF660" s="12">
        <f>IF(OR(履歴データ!$A$660="",AE659=0),"",(AE660-AE659)/AE659)</f>
        <v>5.8289331155655473E-3</v>
      </c>
      <c r="AG660" s="29">
        <f t="shared" si="32"/>
        <v>102.17217746631495</v>
      </c>
      <c r="AH660" s="12">
        <f>IF(OR(履歴データ!$A$660="",AG660=0),"",AE660/AG660-1)</f>
        <v>-0.25663626014075847</v>
      </c>
      <c r="AJ660" s="28">
        <f t="shared" ca="1" si="30"/>
        <v>10.376672338390671</v>
      </c>
      <c r="AK660" s="28">
        <f t="shared" ca="1" si="31"/>
        <v>-14.531434243152573</v>
      </c>
    </row>
    <row r="661" spans="1:37">
      <c r="A661" s="10">
        <f>IF(履歴データ!$A$661="","",履歴データ!$A$661)</f>
        <v>45890</v>
      </c>
      <c r="B661" s="28">
        <f>IF(履歴データ!$A$661="","",(履歴データ!$D$661-(履歴データ!$B$661+履歴データ!$F$661)/2)*100)</f>
        <v>-2.5000000000000355</v>
      </c>
      <c r="C661" s="28">
        <f>IF(履歴データ!$A$661="","",(履歴データ!$H$661-(履歴データ!$G$661+履歴データ!$J$661)/2)*100)</f>
        <v>-36.299999999999997</v>
      </c>
      <c r="D661" s="28">
        <f>IF(履歴データ!$A$661="","",(履歴データ!$D$661-履歴データ!$H$661)*100)</f>
        <v>271.3</v>
      </c>
      <c r="E661" s="28">
        <f>IF(履歴データ!$A$661="","",(履歴データ!$D$661-履歴データ!$C$661)*100)</f>
        <v>47.000000000000021</v>
      </c>
      <c r="F661" s="28">
        <f>IF(履歴データ!$A$661="","",(履歴データ!$R$661-履歴データ!$D$661)*100)</f>
        <v>-317.06000000000006</v>
      </c>
      <c r="G661" s="28">
        <f>IF(履歴データ!$A$661="","",(履歴データ!$S$661-履歴データ!$R$661)*100)</f>
        <v>61.265999999999799</v>
      </c>
      <c r="H661" s="29">
        <f>IF(履歴データ!$A$661="","",履歴データ!$O$661)</f>
        <v>148.38600158691406</v>
      </c>
      <c r="I661" s="29">
        <f>IF(履歴データ!$A$661="","",履歴データ!$Q$661)</f>
        <v>111.546875</v>
      </c>
      <c r="J661" s="29">
        <f>IF(履歴データ!$A$661="","",履歴データ!$D$661)</f>
        <v>4.33</v>
      </c>
      <c r="K661" s="28">
        <f>IF(OR(履歴データ!$A$661="",履歴データ!$A$660=""),"",B661-B660)</f>
        <v>-8.8817841970012523E-14</v>
      </c>
      <c r="L661" s="28">
        <f>IF(OR(履歴データ!$A$661="",履歴データ!$A$660=""),"",C661-C660)</f>
        <v>-0.3499999999999801</v>
      </c>
      <c r="M661" s="28">
        <f>IF(OR(履歴データ!$A$661="",履歴データ!$A$660=""),"",D661-D660)</f>
        <v>4</v>
      </c>
      <c r="N661" s="28">
        <f>IF(OR(履歴データ!$A$661="",履歴データ!$A$660=""),"",E661-E660)</f>
        <v>-0.99999999999997868</v>
      </c>
      <c r="O661" s="28">
        <f>IF(OR(履歴データ!$A$661="",履歴データ!$A$660=""),"",F661-F660)</f>
        <v>-9.5000000000000568</v>
      </c>
      <c r="P661" s="28">
        <f>IF(OR(履歴データ!$A$661="",履歴データ!$A$660=""),"",G661-G660)</f>
        <v>11.463642822265484</v>
      </c>
      <c r="Q661" s="29">
        <f>IF(OR(履歴データ!$A$661="",履歴データ!$A$660=""),"",H661-H660)</f>
        <v>1.0680084228515625</v>
      </c>
      <c r="R661" s="29">
        <f>IF(OR(履歴データ!$A$661="",履歴データ!$A$660=""),"",I661-I660)</f>
        <v>-0.3125</v>
      </c>
      <c r="S661" s="28">
        <f>IF(OR(履歴データ!$A$661="",履歴データ!$A$660=""),"",(J661-J660)*100)</f>
        <v>4.0000000000000036</v>
      </c>
      <c r="T661" s="11">
        <f>IF(OR(履歴データ!$A$661="",履歴データ!$A$660=""),"",-80000*K661)</f>
        <v>7.1054273576010019E-9</v>
      </c>
      <c r="U661" s="11">
        <f>IF(OR(履歴データ!$A$661="",履歴データ!$A$660=""),"",60000*L661)</f>
        <v>-20999.999999998807</v>
      </c>
      <c r="V661" s="11">
        <f>IF(OR(履歴データ!$A$661="",履歴データ!$A$660=""),"",-50000*M661)</f>
        <v>-200000</v>
      </c>
      <c r="W661" s="11">
        <f>IF(OR(履歴データ!$A$661="",履歴データ!$A$660=""),"",-40000*N661)</f>
        <v>39999.999999999149</v>
      </c>
      <c r="X661" s="11">
        <f>IF(OR(履歴データ!$A$661="",履歴データ!$A$660=""),"",120*1000000*(-Q661/H660))</f>
        <v>-869961.69299875956</v>
      </c>
      <c r="Y661" s="11">
        <f>IF(OR(履歴データ!$A$661="",履歴データ!$A$660=""),"",40000*(-S661)+(-506.3)*R661*1000)</f>
        <v>-1781.2500000001455</v>
      </c>
      <c r="Z661" s="11">
        <f>IF(OR(履歴データ!$A$661="",履歴データ!$A$660=""),"",-40000*O661)</f>
        <v>380000.00000000227</v>
      </c>
      <c r="AA661" s="11">
        <f>IF(OR(履歴データ!$A$661="",履歴データ!$A$660=""),"",-40000*P661)</f>
        <v>-458545.71289061935</v>
      </c>
      <c r="AB661" s="11">
        <f>IF(履歴データ!$A$661="","",123.3)</f>
        <v>123.3</v>
      </c>
      <c r="AC661">
        <f>IF(履歴データ!$A$661="","",SUM(T661:AA661))</f>
        <v>-1131288.6558893693</v>
      </c>
      <c r="AD661" s="29">
        <f>IF(履歴データ!$A$661="","",AC661/1000000)</f>
        <v>-1.1312886558893693</v>
      </c>
      <c r="AE661" s="29">
        <f>IF(履歴データ!$A$661="",AE660,AE660+AC661/1000000)</f>
        <v>74.819803295032642</v>
      </c>
      <c r="AF661" s="12">
        <f>IF(OR(履歴データ!$A$661="",AE660=0),"",(AE661-AE660)/AE660)</f>
        <v>-1.4894962361046484E-2</v>
      </c>
      <c r="AG661" s="29">
        <f t="shared" si="32"/>
        <v>102.17217746631495</v>
      </c>
      <c r="AH661" s="12">
        <f>IF(OR(履歴データ!$A$661="",AG661=0),"",AE661/AG661-1)</f>
        <v>-0.26770863506652864</v>
      </c>
      <c r="AJ661" s="28">
        <f t="shared" ca="1" si="30"/>
        <v>10.207507972920501</v>
      </c>
      <c r="AK661" s="28">
        <f t="shared" ca="1" si="31"/>
        <v>-14.211476226888751</v>
      </c>
    </row>
    <row r="662" spans="1:37">
      <c r="A662" s="10">
        <f>IF(履歴データ!$A$662="","",履歴データ!$A$662)</f>
        <v>45891</v>
      </c>
      <c r="B662" s="28">
        <f>IF(履歴データ!$A$662="","",(履歴データ!$D$662-(履歴データ!$B$662+履歴データ!$F$662)/2)*100)</f>
        <v>-2.0000000000000462</v>
      </c>
      <c r="C662" s="28">
        <f>IF(履歴データ!$A$662="","",(履歴データ!$H$662-(履歴データ!$G$662+履歴データ!$J$662)/2)*100)</f>
        <v>-37.050000000000026</v>
      </c>
      <c r="D662" s="28">
        <f>IF(履歴データ!$A$662="","",(履歴データ!$D$662-履歴データ!$H$662)*100)</f>
        <v>263.39999999999998</v>
      </c>
      <c r="E662" s="28">
        <f>IF(履歴データ!$A$662="","",(履歴データ!$D$662-履歴データ!$C$662)*100)</f>
        <v>50</v>
      </c>
      <c r="F662" s="28">
        <f>IF(履歴データ!$A$662="","",(履歴データ!$R$662-履歴データ!$D$662)*100)</f>
        <v>-305.26</v>
      </c>
      <c r="G662" s="28">
        <f>IF(履歴データ!$A$662="","",(履歴データ!$S$662-履歴データ!$R$662)*100)</f>
        <v>54.361178588866977</v>
      </c>
      <c r="H662" s="29">
        <f>IF(履歴データ!$A$662="","",履歴データ!$O$662)</f>
        <v>148.38600158691406</v>
      </c>
      <c r="I662" s="29">
        <f>IF(履歴データ!$A$662="","",履歴データ!$Q$662)</f>
        <v>112.140625</v>
      </c>
      <c r="J662" s="29">
        <f>IF(履歴データ!$A$662="","",履歴データ!$D$662)</f>
        <v>4.26</v>
      </c>
      <c r="K662" s="28">
        <f>IF(OR(履歴データ!$A$662="",履歴データ!$A$661=""),"",B662-B661)</f>
        <v>0.49999999999998934</v>
      </c>
      <c r="L662" s="28">
        <f>IF(OR(履歴データ!$A$662="",履歴データ!$A$661=""),"",C662-C661)</f>
        <v>-0.75000000000002842</v>
      </c>
      <c r="M662" s="28">
        <f>IF(OR(履歴データ!$A$662="",履歴データ!$A$661=""),"",D662-D661)</f>
        <v>-7.9000000000000341</v>
      </c>
      <c r="N662" s="28">
        <f>IF(OR(履歴データ!$A$662="",履歴データ!$A$661=""),"",E662-E661)</f>
        <v>2.9999999999999787</v>
      </c>
      <c r="O662" s="28">
        <f>IF(OR(履歴データ!$A$662="",履歴データ!$A$661=""),"",F662-F661)</f>
        <v>11.800000000000068</v>
      </c>
      <c r="P662" s="28">
        <f>IF(OR(履歴データ!$A$662="",履歴データ!$A$661=""),"",G662-G661)</f>
        <v>-6.9048214111328221</v>
      </c>
      <c r="Q662" s="29">
        <f>IF(OR(履歴データ!$A$662="",履歴データ!$A$661=""),"",H662-H661)</f>
        <v>0</v>
      </c>
      <c r="R662" s="29">
        <f>IF(OR(履歴データ!$A$662="",履歴データ!$A$661=""),"",I662-I661)</f>
        <v>0.59375</v>
      </c>
      <c r="S662" s="28">
        <f>IF(OR(履歴データ!$A$662="",履歴データ!$A$661=""),"",(J662-J661)*100)</f>
        <v>-7.0000000000000284</v>
      </c>
      <c r="T662" s="11">
        <f>IF(OR(履歴データ!$A$662="",履歴データ!$A$661=""),"",-80000*K662)</f>
        <v>-39999.999999999149</v>
      </c>
      <c r="U662" s="11">
        <f>IF(OR(履歴データ!$A$662="",履歴データ!$A$661=""),"",60000*L662)</f>
        <v>-45000.000000001703</v>
      </c>
      <c r="V662" s="11">
        <f>IF(OR(履歴データ!$A$662="",履歴データ!$A$661=""),"",-50000*M662)</f>
        <v>395000.00000000169</v>
      </c>
      <c r="W662" s="11">
        <f>IF(OR(履歴データ!$A$662="",履歴データ!$A$661=""),"",-40000*N662)</f>
        <v>-119999.99999999914</v>
      </c>
      <c r="X662" s="11">
        <f>IF(OR(履歴データ!$A$662="",履歴データ!$A$661=""),"",120*1000000*(-Q662/H661))</f>
        <v>0</v>
      </c>
      <c r="Y662" s="11">
        <f>IF(OR(履歴データ!$A$662="",履歴データ!$A$661=""),"",40000*(-S662)+(-506.3)*R662*1000)</f>
        <v>-20615.624999998836</v>
      </c>
      <c r="Z662" s="11">
        <f>IF(OR(履歴データ!$A$662="",履歴データ!$A$661=""),"",-40000*O662)</f>
        <v>-472000.00000000274</v>
      </c>
      <c r="AA662" s="11">
        <f>IF(OR(履歴データ!$A$662="",履歴データ!$A$661=""),"",-40000*P662)</f>
        <v>276192.85644531291</v>
      </c>
      <c r="AB662" s="11">
        <f>IF(履歴データ!$A$662="","",123.3)</f>
        <v>123.3</v>
      </c>
      <c r="AC662">
        <f>IF(履歴データ!$A$662="","",SUM(T662:AA662))</f>
        <v>-26422.768554686976</v>
      </c>
      <c r="AD662" s="29">
        <f>IF(履歴データ!$A$662="","",AC662/1000000)</f>
        <v>-2.6422768554686976E-2</v>
      </c>
      <c r="AE662" s="29">
        <f>IF(履歴データ!$A$662="",AE661,AE661+AC662/1000000)</f>
        <v>74.793380526477961</v>
      </c>
      <c r="AF662" s="12">
        <f>IF(OR(履歴データ!$A$662="",AE661=0),"",(AE662-AE661)/AE661)</f>
        <v>-3.5315207192526302E-4</v>
      </c>
      <c r="AG662" s="29">
        <f t="shared" si="32"/>
        <v>102.17217746631495</v>
      </c>
      <c r="AH662" s="12">
        <f>IF(OR(履歴データ!$A$662="",AG662=0),"",AE662/AG662-1)</f>
        <v>-0.26796724527930782</v>
      </c>
      <c r="AJ662" s="28">
        <f t="shared" ca="1" si="30"/>
        <v>10.010383742882723</v>
      </c>
      <c r="AK662" s="28">
        <f t="shared" ca="1" si="31"/>
        <v>-13.851653584152562</v>
      </c>
    </row>
    <row r="663" spans="1:37">
      <c r="A663" s="10">
        <f>IF(履歴データ!$A$663="","",履歴データ!$A$663)</f>
        <v>45894</v>
      </c>
      <c r="B663" s="28">
        <f>IF(履歴データ!$A$663="","",(履歴データ!$D$663-(履歴データ!$B$663+履歴データ!$F$663)/2)*100)</f>
        <v>-2.9999999999999361</v>
      </c>
      <c r="C663" s="28">
        <f>IF(履歴データ!$A$663="","",(履歴データ!$H$663-(履歴データ!$G$663+履歴データ!$J$663)/2)*100)</f>
        <v>-36.60000000000003</v>
      </c>
      <c r="D663" s="28">
        <f>IF(履歴データ!$A$663="","",(履歴データ!$D$663-履歴データ!$H$663)*100)</f>
        <v>265.2</v>
      </c>
      <c r="E663" s="28">
        <f>IF(履歴データ!$A$663="","",(履歴データ!$D$663-履歴データ!$C$663)*100)</f>
        <v>48.000000000000043</v>
      </c>
      <c r="F663" s="28">
        <f>IF(履歴データ!$A$663="","",(履歴データ!$R$663-履歴データ!$D$663)*100)</f>
        <v>-313.26</v>
      </c>
      <c r="G663" s="28">
        <f>IF(履歴データ!$A$663="","",(履歴データ!$S$663-履歴データ!$R$663)*100)</f>
        <v>63.869178588867051</v>
      </c>
      <c r="H663" s="29">
        <f>IF(履歴データ!$A$663="","",履歴データ!$O$663)</f>
        <v>147.82200622558594</v>
      </c>
      <c r="I663" s="29">
        <f>IF(履歴データ!$A$663="","",履歴データ!$Q$663)</f>
        <v>111.96875</v>
      </c>
      <c r="J663" s="29">
        <f>IF(履歴データ!$A$663="","",履歴データ!$D$663)</f>
        <v>4.28</v>
      </c>
      <c r="K663" s="28">
        <f>IF(OR(履歴データ!$A$663="",履歴データ!$A$662=""),"",B663-B662)</f>
        <v>-0.99999999999988987</v>
      </c>
      <c r="L663" s="28">
        <f>IF(OR(履歴データ!$A$663="",履歴データ!$A$662=""),"",C663-C662)</f>
        <v>0.44999999999999574</v>
      </c>
      <c r="M663" s="28">
        <f>IF(OR(履歴データ!$A$663="",履歴データ!$A$662=""),"",D663-D662)</f>
        <v>1.8000000000000114</v>
      </c>
      <c r="N663" s="28">
        <f>IF(OR(履歴データ!$A$663="",履歴データ!$A$662=""),"",E663-E662)</f>
        <v>-1.9999999999999574</v>
      </c>
      <c r="O663" s="28">
        <f>IF(OR(履歴データ!$A$663="",履歴データ!$A$662=""),"",F663-F662)</f>
        <v>-8</v>
      </c>
      <c r="P663" s="28">
        <f>IF(OR(履歴データ!$A$663="",履歴データ!$A$662=""),"",G663-G662)</f>
        <v>9.5080000000000737</v>
      </c>
      <c r="Q663" s="29">
        <f>IF(OR(履歴データ!$A$663="",履歴データ!$A$662=""),"",H663-H662)</f>
        <v>-0.563995361328125</v>
      </c>
      <c r="R663" s="29">
        <f>IF(OR(履歴データ!$A$663="",履歴データ!$A$662=""),"",I663-I662)</f>
        <v>-0.171875</v>
      </c>
      <c r="S663" s="28">
        <f>IF(OR(履歴データ!$A$663="",履歴データ!$A$662=""),"",(J663-J662)*100)</f>
        <v>2.0000000000000462</v>
      </c>
      <c r="T663" s="11">
        <f>IF(OR(履歴データ!$A$663="",履歴データ!$A$662=""),"",-80000*K663)</f>
        <v>79999.999999991196</v>
      </c>
      <c r="U663" s="11">
        <f>IF(OR(履歴データ!$A$663="",履歴データ!$A$662=""),"",60000*L663)</f>
        <v>26999.999999999745</v>
      </c>
      <c r="V663" s="11">
        <f>IF(OR(履歴データ!$A$663="",履歴データ!$A$662=""),"",-50000*M663)</f>
        <v>-90000.000000000568</v>
      </c>
      <c r="W663" s="11">
        <f>IF(OR(履歴データ!$A$663="",履歴データ!$A$662=""),"",-40000*N663)</f>
        <v>79999.999999998297</v>
      </c>
      <c r="X663" s="11">
        <f>IF(OR(履歴データ!$A$663="",履歴データ!$A$662=""),"",120*1000000*(-Q663/H662))</f>
        <v>456103.96287774591</v>
      </c>
      <c r="Y663" s="11">
        <f>IF(OR(履歴データ!$A$663="",履歴データ!$A$662=""),"",40000*(-S663)+(-506.3)*R663*1000)</f>
        <v>7020.3124999981519</v>
      </c>
      <c r="Z663" s="11">
        <f>IF(OR(履歴データ!$A$663="",履歴データ!$A$662=""),"",-40000*O663)</f>
        <v>320000</v>
      </c>
      <c r="AA663" s="11">
        <f>IF(OR(履歴データ!$A$663="",履歴データ!$A$662=""),"",-40000*P663)</f>
        <v>-380320.00000000297</v>
      </c>
      <c r="AB663" s="11">
        <f>IF(履歴データ!$A$663="","",123.3)</f>
        <v>123.3</v>
      </c>
      <c r="AC663">
        <f>IF(履歴データ!$A$663="","",SUM(T663:AA663))</f>
        <v>499804.27537772973</v>
      </c>
      <c r="AD663" s="29">
        <f>IF(履歴データ!$A$663="","",AC663/1000000)</f>
        <v>0.49980427537772976</v>
      </c>
      <c r="AE663" s="29">
        <f>IF(履歴データ!$A$663="",AE662,AE662+AC663/1000000)</f>
        <v>75.293184801855688</v>
      </c>
      <c r="AF663" s="12">
        <f>IF(OR(履歴データ!$A$663="",AE662=0),"",(AE663-AE662)/AE662)</f>
        <v>6.6824667084112999E-3</v>
      </c>
      <c r="AG663" s="29">
        <f t="shared" si="32"/>
        <v>102.17217746631495</v>
      </c>
      <c r="AH663" s="12">
        <f>IF(OR(履歴データ!$A$663="",AG663=0),"",AE663/AG663-1)</f>
        <v>-0.26307546076642019</v>
      </c>
      <c r="AJ663" s="28">
        <f t="shared" ca="1" si="30"/>
        <v>9.8360892366401256</v>
      </c>
      <c r="AK663" s="28">
        <f t="shared" ca="1" si="31"/>
        <v>-13.534501935052818</v>
      </c>
    </row>
    <row r="664" spans="1:37">
      <c r="A664" s="10">
        <f>IF(履歴データ!$A$664="","",履歴データ!$A$664)</f>
        <v>45895</v>
      </c>
      <c r="B664" s="28">
        <f>IF(履歴データ!$A$664="","",(履歴データ!$D$664-(履歴データ!$B$664+履歴データ!$F$664)/2)*100)</f>
        <v>0.49999999999998934</v>
      </c>
      <c r="C664" s="28">
        <f>IF(履歴データ!$A$664="","",(履歴データ!$H$664-(履歴データ!$G$664+履歴データ!$J$664)/2)*100)</f>
        <v>-36.1</v>
      </c>
      <c r="D664" s="28">
        <f>IF(履歴データ!$A$664="","",(履歴データ!$D$664-履歴データ!$H$664)*100)</f>
        <v>262.89999999999998</v>
      </c>
      <c r="E664" s="28">
        <f>IF(履歴データ!$A$664="","",(履歴データ!$D$664-履歴データ!$C$664)*100)</f>
        <v>50.999999999999979</v>
      </c>
      <c r="F664" s="28">
        <f>IF(履歴データ!$A$664="","",(履歴データ!$R$664-履歴データ!$D$664)*100)</f>
        <v>-311.25999999999993</v>
      </c>
      <c r="G664" s="28">
        <f>IF(履歴データ!$A$664="","",(履歴データ!$S$664-履歴データ!$R$664)*100)</f>
        <v>62.465999999999802</v>
      </c>
      <c r="H664" s="29">
        <f>IF(履歴データ!$A$664="","",履歴データ!$O$664)</f>
        <v>147.46200561523438</v>
      </c>
      <c r="I664" s="29">
        <f>IF(履歴データ!$A$664="","",履歴データ!$Q$664)</f>
        <v>112.203125</v>
      </c>
      <c r="J664" s="29">
        <f>IF(履歴データ!$A$664="","",履歴データ!$D$664)</f>
        <v>4.26</v>
      </c>
      <c r="K664" s="28">
        <f>IF(OR(履歴データ!$A$664="",履歴データ!$A$663=""),"",B664-B663)</f>
        <v>3.4999999999999254</v>
      </c>
      <c r="L664" s="28">
        <f>IF(OR(履歴データ!$A$664="",履歴データ!$A$663=""),"",C664-C663)</f>
        <v>0.50000000000002842</v>
      </c>
      <c r="M664" s="28">
        <f>IF(OR(履歴データ!$A$664="",履歴データ!$A$663=""),"",D664-D663)</f>
        <v>-2.3000000000000114</v>
      </c>
      <c r="N664" s="28">
        <f>IF(OR(履歴データ!$A$664="",履歴データ!$A$663=""),"",E664-E663)</f>
        <v>2.9999999999999361</v>
      </c>
      <c r="O664" s="28">
        <f>IF(OR(履歴データ!$A$664="",履歴データ!$A$663=""),"",F664-F663)</f>
        <v>2.0000000000000568</v>
      </c>
      <c r="P664" s="28">
        <f>IF(OR(履歴データ!$A$664="",履歴データ!$A$663=""),"",G664-G663)</f>
        <v>-1.4031785888672488</v>
      </c>
      <c r="Q664" s="29">
        <f>IF(OR(履歴データ!$A$664="",履歴データ!$A$663=""),"",H664-H663)</f>
        <v>-0.3600006103515625</v>
      </c>
      <c r="R664" s="29">
        <f>IF(OR(履歴データ!$A$664="",履歴データ!$A$663=""),"",I664-I663)</f>
        <v>0.234375</v>
      </c>
      <c r="S664" s="28">
        <f>IF(OR(履歴データ!$A$664="",履歴データ!$A$663=""),"",(J664-J663)*100)</f>
        <v>-2.0000000000000462</v>
      </c>
      <c r="T664" s="11">
        <f>IF(OR(履歴データ!$A$664="",履歴データ!$A$663=""),"",-80000*K664)</f>
        <v>-279999.999999994</v>
      </c>
      <c r="U664" s="11">
        <f>IF(OR(履歴データ!$A$664="",履歴データ!$A$663=""),"",60000*L664)</f>
        <v>30000.000000001706</v>
      </c>
      <c r="V664" s="11">
        <f>IF(OR(履歴データ!$A$664="",履歴データ!$A$663=""),"",-50000*M664)</f>
        <v>115000.00000000057</v>
      </c>
      <c r="W664" s="11">
        <f>IF(OR(履歴データ!$A$664="",履歴データ!$A$663=""),"",-40000*N664)</f>
        <v>-119999.99999999744</v>
      </c>
      <c r="X664" s="11">
        <f>IF(OR(履歴データ!$A$664="",履歴データ!$A$663=""),"",120*1000000*(-Q664/H663))</f>
        <v>292243.85695497459</v>
      </c>
      <c r="Y664" s="11">
        <f>IF(OR(履歴データ!$A$664="",履歴データ!$A$663=""),"",40000*(-S664)+(-506.3)*R664*1000)</f>
        <v>-38664.062499998152</v>
      </c>
      <c r="Z664" s="11">
        <f>IF(OR(履歴データ!$A$664="",履歴データ!$A$663=""),"",-40000*O664)</f>
        <v>-80000.00000000227</v>
      </c>
      <c r="AA664" s="11">
        <f>IF(OR(履歴データ!$A$664="",履歴データ!$A$663=""),"",-40000*P664)</f>
        <v>56127.143554689952</v>
      </c>
      <c r="AB664" s="11">
        <f>IF(履歴データ!$A$664="","",123.3)</f>
        <v>123.3</v>
      </c>
      <c r="AC664">
        <f>IF(履歴データ!$A$664="","",SUM(T664:AA664))</f>
        <v>-25293.061990325055</v>
      </c>
      <c r="AD664" s="29">
        <f>IF(履歴データ!$A$664="","",AC664/1000000)</f>
        <v>-2.5293061990325057E-2</v>
      </c>
      <c r="AE664" s="29">
        <f>IF(履歴データ!$A$664="",AE663,AE663+AC664/1000000)</f>
        <v>75.267891739865362</v>
      </c>
      <c r="AF664" s="12">
        <f>IF(OR(履歴データ!$A$664="",AE663=0),"",(AE664-AE663)/AE663)</f>
        <v>-3.3592764148425224E-4</v>
      </c>
      <c r="AG664" s="29">
        <f t="shared" si="32"/>
        <v>102.17217746631495</v>
      </c>
      <c r="AH664" s="12">
        <f>IF(OR(履歴データ!$A$664="",AG664=0),"",AE664/AG664-1)</f>
        <v>-0.26332301408883685</v>
      </c>
      <c r="AJ664" s="28">
        <f t="shared" ca="1" si="30"/>
        <v>9.6932634456862736</v>
      </c>
      <c r="AK664" s="28">
        <f t="shared" ca="1" si="31"/>
        <v>-13.228977731400555</v>
      </c>
    </row>
    <row r="665" spans="1:37">
      <c r="A665" s="10">
        <f>IF(履歴データ!$A$665="","",履歴データ!$A$665)</f>
        <v>45896</v>
      </c>
      <c r="B665" s="28">
        <f>IF(履歴データ!$A$665="","",(履歴データ!$D$665-(履歴データ!$B$665+履歴データ!$F$665)/2)*100)</f>
        <v>-0.99999999999997868</v>
      </c>
      <c r="C665" s="28">
        <f>IF(履歴データ!$A$665="","",(履歴データ!$H$665-(履歴データ!$G$665+履歴データ!$J$665)/2)*100)</f>
        <v>-36.450000000000003</v>
      </c>
      <c r="D665" s="28">
        <f>IF(履歴データ!$A$665="","",(履歴データ!$D$665-履歴データ!$H$665)*100)</f>
        <v>260.3</v>
      </c>
      <c r="E665" s="28">
        <f>IF(履歴データ!$A$665="","",(履歴データ!$D$665-履歴データ!$C$665)*100)</f>
        <v>55.000000000000028</v>
      </c>
      <c r="F665" s="28">
        <f>IF(履歴データ!$A$665="","",(履歴データ!$R$665-履歴データ!$D$665)*100)</f>
        <v>-304.88</v>
      </c>
      <c r="G665" s="28">
        <f>IF(履歴データ!$A$665="","",(履歴データ!$S$665-履歴データ!$R$665)*100)</f>
        <v>56.682821411132721</v>
      </c>
      <c r="H665" s="29">
        <f>IF(履歴データ!$A$665="","",履歴データ!$O$665)</f>
        <v>147.31599426269531</v>
      </c>
      <c r="I665" s="29">
        <f>IF(履歴データ!$A$665="","",履歴データ!$Q$665)</f>
        <v>112.40625</v>
      </c>
      <c r="J665" s="29">
        <f>IF(履歴データ!$A$665="","",履歴データ!$D$665)</f>
        <v>4.24</v>
      </c>
      <c r="K665" s="28">
        <f>IF(OR(履歴データ!$A$665="",履歴データ!$A$664=""),"",B665-B664)</f>
        <v>-1.499999999999968</v>
      </c>
      <c r="L665" s="28">
        <f>IF(OR(履歴データ!$A$665="",履歴データ!$A$664=""),"",C665-C664)</f>
        <v>-0.35000000000000142</v>
      </c>
      <c r="M665" s="28">
        <f>IF(OR(履歴データ!$A$665="",履歴データ!$A$664=""),"",D665-D664)</f>
        <v>-2.5999999999999659</v>
      </c>
      <c r="N665" s="28">
        <f>IF(OR(履歴データ!$A$665="",履歴データ!$A$664=""),"",E665-E664)</f>
        <v>4.0000000000000497</v>
      </c>
      <c r="O665" s="28">
        <f>IF(OR(履歴データ!$A$665="",履歴データ!$A$664=""),"",F665-F664)</f>
        <v>6.3799999999999386</v>
      </c>
      <c r="P665" s="28">
        <f>IF(OR(履歴データ!$A$665="",履歴データ!$A$664=""),"",G665-G664)</f>
        <v>-5.7831785888670808</v>
      </c>
      <c r="Q665" s="29">
        <f>IF(OR(履歴データ!$A$665="",履歴データ!$A$664=""),"",H665-H664)</f>
        <v>-0.1460113525390625</v>
      </c>
      <c r="R665" s="29">
        <f>IF(OR(履歴データ!$A$665="",履歴データ!$A$664=""),"",I665-I664)</f>
        <v>0.203125</v>
      </c>
      <c r="S665" s="28">
        <f>IF(OR(履歴データ!$A$665="",履歴データ!$A$664=""),"",(J665-J664)*100)</f>
        <v>-1.9999999999999574</v>
      </c>
      <c r="T665" s="11">
        <f>IF(OR(履歴データ!$A$665="",履歴データ!$A$664=""),"",-80000*K665)</f>
        <v>119999.99999999744</v>
      </c>
      <c r="U665" s="11">
        <f>IF(OR(履歴データ!$A$665="",履歴データ!$A$664=""),"",60000*L665)</f>
        <v>-21000.000000000084</v>
      </c>
      <c r="V665" s="11">
        <f>IF(OR(履歴データ!$A$665="",履歴データ!$A$664=""),"",-50000*M665)</f>
        <v>129999.9999999983</v>
      </c>
      <c r="W665" s="11">
        <f>IF(OR(履歴データ!$A$665="",履歴データ!$A$664=""),"",-40000*N665)</f>
        <v>-160000.00000000198</v>
      </c>
      <c r="X665" s="11">
        <f>IF(OR(履歴データ!$A$665="",履歴データ!$A$664=""),"",120*1000000*(-Q665/H664))</f>
        <v>118819.50358389375</v>
      </c>
      <c r="Y665" s="11">
        <f>IF(OR(履歴データ!$A$665="",履歴データ!$A$664=""),"",40000*(-S665)+(-506.3)*R665*1000)</f>
        <v>-22842.187500001717</v>
      </c>
      <c r="Z665" s="11">
        <f>IF(OR(履歴データ!$A$665="",履歴データ!$A$664=""),"",-40000*O665)</f>
        <v>-255199.99999999756</v>
      </c>
      <c r="AA665" s="11">
        <f>IF(OR(履歴データ!$A$665="",履歴データ!$A$664=""),"",-40000*P665)</f>
        <v>231327.14355468322</v>
      </c>
      <c r="AB665" s="11">
        <f>IF(履歴データ!$A$665="","",123.3)</f>
        <v>123.3</v>
      </c>
      <c r="AC665">
        <f>IF(履歴データ!$A$665="","",SUM(T665:AA665))</f>
        <v>141104.45963857137</v>
      </c>
      <c r="AD665" s="29">
        <f>IF(履歴データ!$A$665="","",AC665/1000000)</f>
        <v>0.14110445963857138</v>
      </c>
      <c r="AE665" s="29">
        <f>IF(履歴データ!$A$665="",AE664,AE664+AC665/1000000)</f>
        <v>75.408996199503932</v>
      </c>
      <c r="AF665" s="12">
        <f>IF(OR(履歴データ!$A$665="",AE664=0),"",(AE665-AE664)/AE664)</f>
        <v>1.8746965854476547E-3</v>
      </c>
      <c r="AG665" s="29">
        <f t="shared" si="32"/>
        <v>102.17217746631495</v>
      </c>
      <c r="AH665" s="12">
        <f>IF(OR(履歴データ!$A$665="",AG665=0),"",AE665/AG665-1)</f>
        <v>-0.26194196825877125</v>
      </c>
      <c r="AJ665" s="28">
        <f t="shared" ca="1" si="30"/>
        <v>9.5345813647423086</v>
      </c>
      <c r="AK665" s="28">
        <f t="shared" ca="1" si="31"/>
        <v>-12.919501999662938</v>
      </c>
    </row>
    <row r="666" spans="1:37">
      <c r="A666" s="10">
        <f>IF(履歴データ!$A$666="","",履歴データ!$A$666)</f>
        <v>45897</v>
      </c>
      <c r="B666" s="28">
        <f>IF(履歴データ!$A$666="","",(履歴データ!$D$666-(履歴データ!$B$666+履歴データ!$F$666)/2)*100)</f>
        <v>-3.0000000000000249</v>
      </c>
      <c r="C666" s="28">
        <f>IF(履歴データ!$A$666="","",(履歴データ!$H$666-(履歴データ!$G$666+履歴データ!$J$666)/2)*100)</f>
        <v>-36.850000000000009</v>
      </c>
      <c r="D666" s="28">
        <f>IF(履歴データ!$A$666="","",(履歴データ!$D$666-履歴データ!$H$666)*100)</f>
        <v>259.2</v>
      </c>
      <c r="E666" s="28">
        <f>IF(履歴データ!$A$666="","",(履歴データ!$D$666-履歴データ!$C$666)*100)</f>
        <v>52.999999999999979</v>
      </c>
      <c r="F666" s="28">
        <f>IF(履歴データ!$A$666="","",(履歴データ!$R$666-履歴データ!$D$666)*100)</f>
        <v>-297.74</v>
      </c>
      <c r="G666" s="28">
        <f>IF(履歴データ!$A$666="","",(履歴データ!$S$666-履歴データ!$R$666)*100)</f>
        <v>49.087178588867133</v>
      </c>
      <c r="H666" s="29">
        <f>IF(履歴データ!$A$666="","",履歴データ!$O$666)</f>
        <v>146.78999328613281</v>
      </c>
      <c r="I666" s="29">
        <f>IF(履歴データ!$A$666="","",履歴データ!$Q$666)</f>
        <v>112.53125</v>
      </c>
      <c r="J666" s="29">
        <f>IF(履歴データ!$A$666="","",履歴データ!$D$666)</f>
        <v>4.22</v>
      </c>
      <c r="K666" s="28">
        <f>IF(OR(履歴データ!$A$666="",履歴データ!$A$665=""),"",B666-B665)</f>
        <v>-2.0000000000000462</v>
      </c>
      <c r="L666" s="28">
        <f>IF(OR(履歴データ!$A$666="",履歴データ!$A$665=""),"",C666-C665)</f>
        <v>-0.40000000000000568</v>
      </c>
      <c r="M666" s="28">
        <f>IF(OR(履歴データ!$A$666="",履歴データ!$A$665=""),"",D666-D665)</f>
        <v>-1.1000000000000227</v>
      </c>
      <c r="N666" s="28">
        <f>IF(OR(履歴データ!$A$666="",履歴データ!$A$665=""),"",E666-E665)</f>
        <v>-2.0000000000000497</v>
      </c>
      <c r="O666" s="28">
        <f>IF(OR(履歴データ!$A$666="",履歴データ!$A$665=""),"",F666-F665)</f>
        <v>7.1399999999999864</v>
      </c>
      <c r="P666" s="28">
        <f>IF(OR(履歴データ!$A$666="",履歴データ!$A$665=""),"",G666-G665)</f>
        <v>-7.5956428222655887</v>
      </c>
      <c r="Q666" s="29">
        <f>IF(OR(履歴データ!$A$666="",履歴データ!$A$665=""),"",H666-H665)</f>
        <v>-0.5260009765625</v>
      </c>
      <c r="R666" s="29">
        <f>IF(OR(履歴データ!$A$666="",履歴データ!$A$665=""),"",I666-I665)</f>
        <v>0.125</v>
      </c>
      <c r="S666" s="28">
        <f>IF(OR(履歴データ!$A$666="",履歴データ!$A$665=""),"",(J666-J665)*100)</f>
        <v>-2.0000000000000462</v>
      </c>
      <c r="T666" s="11">
        <f>IF(OR(履歴データ!$A$666="",履歴データ!$A$665=""),"",-80000*K666)</f>
        <v>160000.0000000037</v>
      </c>
      <c r="U666" s="11">
        <f>IF(OR(履歴データ!$A$666="",履歴データ!$A$665=""),"",60000*L666)</f>
        <v>-24000.000000000342</v>
      </c>
      <c r="V666" s="11">
        <f>IF(OR(履歴データ!$A$666="",履歴データ!$A$665=""),"",-50000*M666)</f>
        <v>55000.000000001135</v>
      </c>
      <c r="W666" s="11">
        <f>IF(OR(履歴データ!$A$666="",履歴データ!$A$665=""),"",-40000*N666)</f>
        <v>80000.000000001994</v>
      </c>
      <c r="X666" s="11">
        <f>IF(OR(履歴データ!$A$666="",履歴データ!$A$665=""),"",120*1000000*(-Q666/H665))</f>
        <v>428467.50961028441</v>
      </c>
      <c r="Y666" s="11">
        <f>IF(OR(履歴データ!$A$666="",履歴データ!$A$665=""),"",40000*(-S666)+(-506.3)*R666*1000)</f>
        <v>16712.500000001848</v>
      </c>
      <c r="Z666" s="11">
        <f>IF(OR(履歴データ!$A$666="",履歴データ!$A$665=""),"",-40000*O666)</f>
        <v>-285599.99999999948</v>
      </c>
      <c r="AA666" s="11">
        <f>IF(OR(履歴データ!$A$666="",履歴データ!$A$665=""),"",-40000*P666)</f>
        <v>303825.71289062354</v>
      </c>
      <c r="AB666" s="11">
        <f>IF(履歴データ!$A$666="","",123.3)</f>
        <v>123.3</v>
      </c>
      <c r="AC666">
        <f>IF(履歴データ!$A$666="","",SUM(T666:AA666))</f>
        <v>734405.7225009168</v>
      </c>
      <c r="AD666" s="29">
        <f>IF(履歴データ!$A$666="","",AC666/1000000)</f>
        <v>0.73440572250091685</v>
      </c>
      <c r="AE666" s="29">
        <f>IF(履歴データ!$A$666="",AE665,AE665+AC666/1000000)</f>
        <v>76.143401922004855</v>
      </c>
      <c r="AF666" s="12">
        <f>IF(OR(履歴データ!$A$666="",AE665=0),"",(AE666-AE665)/AE665)</f>
        <v>9.7389669603605584E-3</v>
      </c>
      <c r="AG666" s="29">
        <f t="shared" si="32"/>
        <v>102.17217746631495</v>
      </c>
      <c r="AH666" s="12">
        <f>IF(OR(履歴データ!$A$666="",AG666=0),"",AE666/AG666-1)</f>
        <v>-0.25475404547281466</v>
      </c>
      <c r="AJ666" s="28">
        <f t="shared" ca="1" si="30"/>
        <v>9.3839242499439539</v>
      </c>
      <c r="AK666" s="28">
        <f t="shared" ca="1" si="31"/>
        <v>-12.641860757880456</v>
      </c>
    </row>
    <row r="667" spans="1:37">
      <c r="A667" s="10">
        <f>IF(履歴データ!$A$667="","",履歴データ!$A$667)</f>
        <v>45898</v>
      </c>
      <c r="B667" s="28">
        <f>IF(履歴データ!$A$667="","",(履歴データ!$D$667-(履歴データ!$B$667+履歴データ!$F$667)/2)*100)</f>
        <v>-2.4999999999999467</v>
      </c>
      <c r="C667" s="28">
        <f>IF(履歴データ!$A$667="","",(履歴データ!$H$667-(履歴データ!$G$667+履歴データ!$J$667)/2)*100)</f>
        <v>-37.050000000000004</v>
      </c>
      <c r="D667" s="28">
        <f>IF(履歴データ!$A$667="","",(履歴データ!$D$667-履歴データ!$H$667)*100)</f>
        <v>261.70000000000005</v>
      </c>
      <c r="E667" s="28">
        <f>IF(履歴データ!$A$667="","",(履歴データ!$D$667-履歴データ!$C$667)*100)</f>
        <v>55.000000000000028</v>
      </c>
      <c r="F667" s="28">
        <f>IF(履歴データ!$A$667="","",(履歴データ!$R$667-履歴データ!$D$667)*100)</f>
        <v>-303.44000000000005</v>
      </c>
      <c r="G667" s="28">
        <f>IF(履歴データ!$A$667="","",(履歴データ!$S$667-履歴データ!$R$667)*100)</f>
        <v>53.611821411132674</v>
      </c>
      <c r="H667" s="29">
        <f>IF(履歴データ!$A$667="","",履歴データ!$O$667)</f>
        <v>146.78999328613281</v>
      </c>
      <c r="I667" s="29">
        <f>IF(履歴データ!$A$667="","",履歴データ!$Q$667)</f>
        <v>112.453125</v>
      </c>
      <c r="J667" s="29">
        <f>IF(履歴データ!$A$667="","",履歴データ!$D$667)</f>
        <v>4.2300000000000004</v>
      </c>
      <c r="K667" s="28">
        <f>IF(OR(履歴データ!$A$667="",履歴データ!$A$666=""),"",B667-B666)</f>
        <v>0.50000000000007816</v>
      </c>
      <c r="L667" s="28">
        <f>IF(OR(履歴データ!$A$667="",履歴データ!$A$666=""),"",C667-C666)</f>
        <v>-0.19999999999999574</v>
      </c>
      <c r="M667" s="28">
        <f>IF(OR(履歴データ!$A$667="",履歴データ!$A$666=""),"",D667-D666)</f>
        <v>2.5000000000000568</v>
      </c>
      <c r="N667" s="28">
        <f>IF(OR(履歴データ!$A$667="",履歴データ!$A$666=""),"",E667-E666)</f>
        <v>2.0000000000000497</v>
      </c>
      <c r="O667" s="28">
        <f>IF(OR(履歴データ!$A$667="",履歴データ!$A$666=""),"",F667-F666)</f>
        <v>-5.7000000000000455</v>
      </c>
      <c r="P667" s="28">
        <f>IF(OR(履歴データ!$A$667="",履歴データ!$A$666=""),"",G667-G666)</f>
        <v>4.524642822265541</v>
      </c>
      <c r="Q667" s="29">
        <f>IF(OR(履歴データ!$A$667="",履歴データ!$A$666=""),"",H667-H666)</f>
        <v>0</v>
      </c>
      <c r="R667" s="29">
        <f>IF(OR(履歴データ!$A$667="",履歴データ!$A$666=""),"",I667-I666)</f>
        <v>-7.8125E-2</v>
      </c>
      <c r="S667" s="28">
        <f>IF(OR(履歴データ!$A$667="",履歴データ!$A$666=""),"",(J667-J666)*100)</f>
        <v>1.0000000000000675</v>
      </c>
      <c r="T667" s="11">
        <f>IF(OR(履歴データ!$A$667="",履歴データ!$A$666=""),"",-80000*K667)</f>
        <v>-40000.00000000625</v>
      </c>
      <c r="U667" s="11">
        <f>IF(OR(履歴データ!$A$667="",履歴データ!$A$666=""),"",60000*L667)</f>
        <v>-11999.999999999744</v>
      </c>
      <c r="V667" s="11">
        <f>IF(OR(履歴データ!$A$667="",履歴データ!$A$666=""),"",-50000*M667)</f>
        <v>-125000.00000000284</v>
      </c>
      <c r="W667" s="11">
        <f>IF(OR(履歴データ!$A$667="",履歴データ!$A$666=""),"",-40000*N667)</f>
        <v>-80000.000000001994</v>
      </c>
      <c r="X667" s="11">
        <f>IF(OR(履歴データ!$A$667="",履歴データ!$A$666=""),"",120*1000000*(-Q667/H666))</f>
        <v>0</v>
      </c>
      <c r="Y667" s="11">
        <f>IF(OR(履歴データ!$A$667="",履歴データ!$A$666=""),"",40000*(-S667)+(-506.3)*R667*1000)</f>
        <v>-445.31250000269938</v>
      </c>
      <c r="Z667" s="11">
        <f>IF(OR(履歴データ!$A$667="",履歴データ!$A$666=""),"",-40000*O667)</f>
        <v>228000.0000000018</v>
      </c>
      <c r="AA667" s="11">
        <f>IF(OR(履歴データ!$A$667="",履歴データ!$A$666=""),"",-40000*P667)</f>
        <v>-180985.71289062165</v>
      </c>
      <c r="AB667" s="11">
        <f>IF(履歴データ!$A$667="","",123.3)</f>
        <v>123.3</v>
      </c>
      <c r="AC667">
        <f>IF(履歴データ!$A$667="","",SUM(T667:AA667))</f>
        <v>-210431.02539063338</v>
      </c>
      <c r="AD667" s="29">
        <f>IF(履歴データ!$A$667="","",AC667/1000000)</f>
        <v>-0.21043102539063338</v>
      </c>
      <c r="AE667" s="29">
        <f>IF(履歴データ!$A$667="",AE666,AE666+AC667/1000000)</f>
        <v>75.932970896614222</v>
      </c>
      <c r="AF667" s="12">
        <f>IF(OR(履歴データ!$A$667="",AE666=0),"",(AE667-AE666)/AE666)</f>
        <v>-2.7636147069733229E-3</v>
      </c>
      <c r="AG667" s="29">
        <f t="shared" si="32"/>
        <v>102.17217746631495</v>
      </c>
      <c r="AH667" s="12">
        <f>IF(OR(履歴データ!$A$667="",AG667=0),"",AE667/AG667-1)</f>
        <v>-0.25681361815305837</v>
      </c>
      <c r="AJ667" s="28">
        <f t="shared" ca="1" si="30"/>
        <v>9.2286285142944973</v>
      </c>
      <c r="AK667" s="28">
        <f t="shared" ca="1" si="31"/>
        <v>-12.35561264127862</v>
      </c>
    </row>
    <row r="668" spans="1:37">
      <c r="A668" s="10">
        <f>IF(履歴データ!$A$668="","",履歴データ!$A$668)</f>
        <v>45902</v>
      </c>
      <c r="B668" s="28">
        <f>IF(履歴データ!$A$668="","",(履歴データ!$D$668-(履歴データ!$B$668+履歴データ!$F$668)/2)*100)</f>
        <v>-3.4999999999999254</v>
      </c>
      <c r="C668" s="28">
        <f>IF(履歴データ!$A$668="","",(履歴データ!$H$668-(履歴データ!$G$668+履歴データ!$J$668)/2)*100)</f>
        <v>-37.550000000000018</v>
      </c>
      <c r="D668" s="28">
        <f>IF(履歴データ!$A$668="","",(履歴データ!$D$668-履歴データ!$H$668)*100)</f>
        <v>266.5</v>
      </c>
      <c r="E668" s="28">
        <f>IF(履歴データ!$A$668="","",(履歴データ!$D$668-履歴データ!$C$668)*100)</f>
        <v>54</v>
      </c>
      <c r="F668" s="28">
        <f>IF(履歴データ!$A$668="","",(履歴データ!$R$668-履歴データ!$D$668)*100)</f>
        <v>-309.41000000000003</v>
      </c>
      <c r="G668" s="28">
        <f>IF(履歴データ!$A$668="","",(履歴データ!$S$668-履歴データ!$R$668)*100)</f>
        <v>57.738999999999962</v>
      </c>
      <c r="H668" s="29">
        <f>IF(履歴データ!$A$668="","",履歴データ!$O$668)</f>
        <v>148.54800415039063</v>
      </c>
      <c r="I668" s="29">
        <f>IF(履歴データ!$A$668="","",履歴データ!$Q$668)</f>
        <v>112.140625</v>
      </c>
      <c r="J668" s="29">
        <f>IF(履歴データ!$A$668="","",履歴データ!$D$668)</f>
        <v>4.28</v>
      </c>
      <c r="K668" s="28">
        <f>IF(OR(履歴データ!$A$668="",履歴データ!$A$667=""),"",B668-B667)</f>
        <v>-0.99999999999997868</v>
      </c>
      <c r="L668" s="28">
        <f>IF(OR(履歴データ!$A$668="",履歴データ!$A$667=""),"",C668-C667)</f>
        <v>-0.50000000000001421</v>
      </c>
      <c r="M668" s="28">
        <f>IF(OR(履歴データ!$A$668="",履歴データ!$A$667=""),"",D668-D667)</f>
        <v>4.7999999999999545</v>
      </c>
      <c r="N668" s="28">
        <f>IF(OR(履歴データ!$A$668="",履歴データ!$A$667=""),"",E668-E667)</f>
        <v>-1.0000000000000284</v>
      </c>
      <c r="O668" s="28">
        <f>IF(OR(履歴データ!$A$668="",履歴データ!$A$667=""),"",F668-F667)</f>
        <v>-5.9699999999999704</v>
      </c>
      <c r="P668" s="28">
        <f>IF(OR(履歴データ!$A$668="",履歴データ!$A$667=""),"",G668-G667)</f>
        <v>4.1271785888672881</v>
      </c>
      <c r="Q668" s="29">
        <f>IF(OR(履歴データ!$A$668="",履歴データ!$A$667=""),"",H668-H667)</f>
        <v>1.7580108642578125</v>
      </c>
      <c r="R668" s="29">
        <f>IF(OR(履歴データ!$A$668="",履歴データ!$A$667=""),"",I668-I667)</f>
        <v>-0.3125</v>
      </c>
      <c r="S668" s="28">
        <f>IF(OR(履歴データ!$A$668="",履歴データ!$A$667=""),"",(J668-J667)*100)</f>
        <v>4.9999999999999822</v>
      </c>
      <c r="T668" s="11">
        <f>IF(OR(履歴データ!$A$668="",履歴データ!$A$667=""),"",-80000*K668)</f>
        <v>79999.999999998297</v>
      </c>
      <c r="U668" s="11">
        <f>IF(OR(履歴データ!$A$668="",履歴データ!$A$667=""),"",60000*L668)</f>
        <v>-30000.000000000851</v>
      </c>
      <c r="V668" s="11">
        <f>IF(OR(履歴データ!$A$668="",履歴データ!$A$667=""),"",-50000*M668)</f>
        <v>-239999.99999999773</v>
      </c>
      <c r="W668" s="11">
        <f>IF(OR(履歴データ!$A$668="",履歴データ!$A$667=""),"",-40000*N668)</f>
        <v>40000.000000001135</v>
      </c>
      <c r="X668" s="11">
        <f>IF(OR(履歴データ!$A$668="",履歴データ!$A$667=""),"",120*1000000*(-Q668/H667))</f>
        <v>-1437164.0667611293</v>
      </c>
      <c r="Y668" s="11">
        <f>IF(OR(履歴データ!$A$668="",履歴データ!$A$667=""),"",40000*(-S668)+(-506.3)*R668*1000)</f>
        <v>-41781.249999999302</v>
      </c>
      <c r="Z668" s="11">
        <f>IF(OR(履歴データ!$A$668="",履歴データ!$A$667=""),"",-40000*O668)</f>
        <v>238799.99999999881</v>
      </c>
      <c r="AA668" s="11">
        <f>IF(OR(履歴データ!$A$668="",履歴データ!$A$667=""),"",-40000*P668)</f>
        <v>-165087.14355469152</v>
      </c>
      <c r="AB668" s="11">
        <f>IF(履歴データ!$A$668="","",123.3)</f>
        <v>123.3</v>
      </c>
      <c r="AC668">
        <f>IF(履歴データ!$A$668="","",SUM(T668:AA668))</f>
        <v>-1555232.4603158203</v>
      </c>
      <c r="AD668" s="29">
        <f>IF(履歴データ!$A$668="","",AC668/1000000)</f>
        <v>-1.5552324603158203</v>
      </c>
      <c r="AE668" s="29">
        <f>IF(履歴データ!$A$668="",AE667,AE667+AC668/1000000)</f>
        <v>74.377738436298401</v>
      </c>
      <c r="AF668" s="12">
        <f>IF(OR(履歴データ!$A$668="",AE667=0),"",(AE668-AE667)/AE667)</f>
        <v>-2.0481649037982885E-2</v>
      </c>
      <c r="AG668" s="29">
        <f t="shared" si="32"/>
        <v>102.17217746631495</v>
      </c>
      <c r="AH668" s="12">
        <f>IF(OR(履歴データ!$A$668="",AG668=0),"",AE668/AG668-1)</f>
        <v>-0.27203530079585581</v>
      </c>
      <c r="AJ668" s="28">
        <f t="shared" ca="1" si="30"/>
        <v>9.1425433062242707</v>
      </c>
      <c r="AK668" s="28">
        <f t="shared" ca="1" si="31"/>
        <v>-12.178257591938552</v>
      </c>
    </row>
    <row r="669" spans="1:37">
      <c r="A669" s="10">
        <f>IF(履歴データ!$A$669="","",履歴データ!$A$669)</f>
        <v>45903</v>
      </c>
      <c r="B669" s="28">
        <f>IF(履歴データ!$A$669="","",(履歴データ!$D$669-(履歴データ!$B$669+履歴データ!$F$669)/2)*100)</f>
        <v>-3.5000000000000142</v>
      </c>
      <c r="C669" s="28">
        <f>IF(履歴データ!$A$669="","",(履歴データ!$H$669-(履歴データ!$G$669+履歴データ!$J$669)/2)*100)</f>
        <v>-37.700000000000003</v>
      </c>
      <c r="D669" s="28">
        <f>IF(履歴データ!$A$669="","",(履歴データ!$D$669-履歴データ!$H$669)*100)</f>
        <v>257.7</v>
      </c>
      <c r="E669" s="28">
        <f>IF(履歴データ!$A$669="","",(履歴データ!$D$669-履歴データ!$C$669)*100)</f>
        <v>52.999999999999979</v>
      </c>
      <c r="F669" s="28">
        <f>IF(履歴データ!$A$669="","",(履歴データ!$R$669-履歴データ!$D$669)*100)</f>
        <v>-304.52999999999997</v>
      </c>
      <c r="G669" s="28">
        <f>IF(履歴データ!$A$669="","",(履歴データ!$S$669-履歴データ!$R$669)*100)</f>
        <v>59.911357177734239</v>
      </c>
      <c r="H669" s="29">
        <f>IF(履歴データ!$A$669="","",履歴データ!$O$669)</f>
        <v>147.97999572753906</v>
      </c>
      <c r="I669" s="29">
        <f>IF(履歴データ!$A$669="","",履歴データ!$Q$669)</f>
        <v>112.59375</v>
      </c>
      <c r="J669" s="29">
        <f>IF(履歴データ!$A$669="","",履歴データ!$D$669)</f>
        <v>4.22</v>
      </c>
      <c r="K669" s="28">
        <f>IF(OR(履歴データ!$A$669="",履歴データ!$A$668=""),"",B669-B668)</f>
        <v>-8.8817841970012523E-14</v>
      </c>
      <c r="L669" s="28">
        <f>IF(OR(履歴データ!$A$669="",履歴データ!$A$668=""),"",C669-C668)</f>
        <v>-0.14999999999998437</v>
      </c>
      <c r="M669" s="28">
        <f>IF(OR(履歴データ!$A$669="",履歴データ!$A$668=""),"",D669-D668)</f>
        <v>-8.8000000000000114</v>
      </c>
      <c r="N669" s="28">
        <f>IF(OR(履歴データ!$A$669="",履歴データ!$A$668=""),"",E669-E668)</f>
        <v>-1.0000000000000213</v>
      </c>
      <c r="O669" s="28">
        <f>IF(OR(履歴データ!$A$669="",履歴データ!$A$668=""),"",F669-F668)</f>
        <v>4.8800000000000523</v>
      </c>
      <c r="P669" s="28">
        <f>IF(OR(履歴データ!$A$669="",履歴データ!$A$668=""),"",G669-G668)</f>
        <v>2.1723571777342769</v>
      </c>
      <c r="Q669" s="29">
        <f>IF(OR(履歴データ!$A$669="",履歴データ!$A$668=""),"",H669-H668)</f>
        <v>-0.5680084228515625</v>
      </c>
      <c r="R669" s="29">
        <f>IF(OR(履歴データ!$A$669="",履歴データ!$A$668=""),"",I669-I668)</f>
        <v>0.453125</v>
      </c>
      <c r="S669" s="28">
        <f>IF(OR(履歴データ!$A$669="",履歴データ!$A$668=""),"",(J669-J668)*100)</f>
        <v>-6.0000000000000497</v>
      </c>
      <c r="T669" s="11">
        <f>IF(OR(履歴データ!$A$669="",履歴データ!$A$668=""),"",-80000*K669)</f>
        <v>7.1054273576010019E-9</v>
      </c>
      <c r="U669" s="11">
        <f>IF(OR(履歴データ!$A$669="",履歴データ!$A$668=""),"",60000*L669)</f>
        <v>-8999.9999999990614</v>
      </c>
      <c r="V669" s="11">
        <f>IF(OR(履歴データ!$A$669="",履歴データ!$A$668=""),"",-50000*M669)</f>
        <v>440000.00000000058</v>
      </c>
      <c r="W669" s="11">
        <f>IF(OR(履歴データ!$A$669="",履歴データ!$A$668=""),"",-40000*N669)</f>
        <v>40000.000000000851</v>
      </c>
      <c r="X669" s="11">
        <f>IF(OR(履歴データ!$A$669="",履歴データ!$A$668=""),"",120*1000000*(-Q669/H668))</f>
        <v>458848.37788315892</v>
      </c>
      <c r="Y669" s="11">
        <f>IF(OR(履歴データ!$A$669="",履歴データ!$A$668=""),"",40000*(-S669)+(-506.3)*R669*1000)</f>
        <v>10582.812500001979</v>
      </c>
      <c r="Z669" s="11">
        <f>IF(OR(履歴データ!$A$669="",履歴データ!$A$668=""),"",-40000*O669)</f>
        <v>-195200.0000000021</v>
      </c>
      <c r="AA669" s="11">
        <f>IF(OR(履歴データ!$A$669="",履歴データ!$A$668=""),"",-40000*P669)</f>
        <v>-86894.287109371071</v>
      </c>
      <c r="AB669" s="11">
        <f>IF(履歴データ!$A$669="","",123.3)</f>
        <v>123.3</v>
      </c>
      <c r="AC669">
        <f>IF(履歴データ!$A$669="","",SUM(T669:AA669))</f>
        <v>658336.90327379724</v>
      </c>
      <c r="AD669" s="29">
        <f>IF(履歴データ!$A$669="","",AC669/1000000)</f>
        <v>0.65833690327379724</v>
      </c>
      <c r="AE669" s="29">
        <f>IF(履歴データ!$A$669="",AE668,AE668+AC669/1000000)</f>
        <v>75.036075339572193</v>
      </c>
      <c r="AF669" s="12">
        <f>IF(OR(履歴データ!$A$669="",AE668=0),"",(AE669-AE668)/AE668)</f>
        <v>8.8512627180460934E-3</v>
      </c>
      <c r="AG669" s="29">
        <f t="shared" si="32"/>
        <v>102.17217746631495</v>
      </c>
      <c r="AH669" s="12">
        <f>IF(OR(履歴データ!$A$669="",AG669=0),"",AE669/AG669-1)</f>
        <v>-0.26559189399373651</v>
      </c>
      <c r="AJ669" s="28">
        <f t="shared" ca="1" si="30"/>
        <v>9.0697493538162259</v>
      </c>
      <c r="AK669" s="28">
        <f t="shared" ca="1" si="31"/>
        <v>-12.022130306197175</v>
      </c>
    </row>
    <row r="670" spans="1:37">
      <c r="A670" s="10">
        <f>IF(履歴データ!$A$670="","",履歴データ!$A$670)</f>
        <v>45904</v>
      </c>
      <c r="B670" s="28">
        <f>IF(履歴データ!$A$670="","",(履歴データ!$D$670-(履歴データ!$B$670+履歴データ!$F$670)/2)*100)</f>
        <v>-5.4999999999999716</v>
      </c>
      <c r="C670" s="28">
        <f>IF(履歴データ!$A$670="","",(履歴データ!$H$670-(履歴データ!$G$670+履歴データ!$J$670)/2)*100)</f>
        <v>-38.949999999999996</v>
      </c>
      <c r="D670" s="28">
        <f>IF(履歴データ!$A$670="","",(履歴データ!$D$670-履歴データ!$H$670)*100)</f>
        <v>255.29999999999998</v>
      </c>
      <c r="E670" s="28">
        <f>IF(履歴データ!$A$670="","",(履歴データ!$D$670-履歴データ!$C$670)*100)</f>
        <v>52</v>
      </c>
      <c r="F670" s="28">
        <f>IF(履歴データ!$A$670="","",(履歴データ!$R$670-履歴データ!$D$670)*100)</f>
        <v>-301.39</v>
      </c>
      <c r="G670" s="28">
        <f>IF(履歴データ!$A$670="","",(履歴データ!$S$670-履歴データ!$R$670)*100)</f>
        <v>67.208821411132689</v>
      </c>
      <c r="H670" s="29">
        <f>IF(履歴データ!$A$670="","",履歴データ!$O$670)</f>
        <v>148.375</v>
      </c>
      <c r="I670" s="29">
        <f>IF(履歴データ!$A$670="","",履歴データ!$Q$670)</f>
        <v>112.828125</v>
      </c>
      <c r="J670" s="29">
        <f>IF(履歴データ!$A$670="","",履歴データ!$D$670)</f>
        <v>4.17</v>
      </c>
      <c r="K670" s="28">
        <f>IF(OR(履歴データ!$A$670="",履歴データ!$A$669=""),"",B670-B669)</f>
        <v>-1.9999999999999574</v>
      </c>
      <c r="L670" s="28">
        <f>IF(OR(履歴データ!$A$670="",履歴データ!$A$669=""),"",C670-C669)</f>
        <v>-1.2499999999999929</v>
      </c>
      <c r="M670" s="28">
        <f>IF(OR(履歴データ!$A$670="",履歴データ!$A$669=""),"",D670-D669)</f>
        <v>-2.4000000000000057</v>
      </c>
      <c r="N670" s="28">
        <f>IF(OR(履歴データ!$A$670="",履歴データ!$A$669=""),"",E670-E669)</f>
        <v>-0.99999999999997868</v>
      </c>
      <c r="O670" s="28">
        <f>IF(OR(履歴データ!$A$670="",履歴データ!$A$669=""),"",F670-F669)</f>
        <v>3.1399999999999864</v>
      </c>
      <c r="P670" s="28">
        <f>IF(OR(履歴データ!$A$670="",履歴データ!$A$669=""),"",G670-G669)</f>
        <v>7.2974642333984505</v>
      </c>
      <c r="Q670" s="29">
        <f>IF(OR(履歴データ!$A$670="",履歴データ!$A$669=""),"",H670-H669)</f>
        <v>0.3950042724609375</v>
      </c>
      <c r="R670" s="29">
        <f>IF(OR(履歴データ!$A$670="",履歴データ!$A$669=""),"",I670-I669)</f>
        <v>0.234375</v>
      </c>
      <c r="S670" s="28">
        <f>IF(OR(履歴データ!$A$670="",履歴データ!$A$669=""),"",(J670-J669)*100)</f>
        <v>-4.9999999999999822</v>
      </c>
      <c r="T670" s="11">
        <f>IF(OR(履歴データ!$A$670="",履歴データ!$A$669=""),"",-80000*K670)</f>
        <v>159999.99999999659</v>
      </c>
      <c r="U670" s="11">
        <f>IF(OR(履歴データ!$A$670="",履歴データ!$A$669=""),"",60000*L670)</f>
        <v>-74999.999999999578</v>
      </c>
      <c r="V670" s="11">
        <f>IF(OR(履歴データ!$A$670="",履歴データ!$A$669=""),"",-50000*M670)</f>
        <v>120000.00000000029</v>
      </c>
      <c r="W670" s="11">
        <f>IF(OR(履歴データ!$A$670="",履歴データ!$A$669=""),"",-40000*N670)</f>
        <v>39999.999999999149</v>
      </c>
      <c r="X670" s="11">
        <f>IF(OR(履歴データ!$A$670="",履歴データ!$A$669=""),"",120*1000000*(-Q670/H669))</f>
        <v>-320317.02975979523</v>
      </c>
      <c r="Y670" s="11">
        <f>IF(OR(履歴データ!$A$670="",履歴データ!$A$669=""),"",40000*(-S670)+(-506.3)*R670*1000)</f>
        <v>81335.937499999302</v>
      </c>
      <c r="Z670" s="11">
        <f>IF(OR(履歴データ!$A$670="",履歴データ!$A$669=""),"",-40000*O670)</f>
        <v>-125599.99999999945</v>
      </c>
      <c r="AA670" s="11">
        <f>IF(OR(履歴データ!$A$670="",履歴データ!$A$669=""),"",-40000*P670)</f>
        <v>-291898.56933593802</v>
      </c>
      <c r="AB670" s="11">
        <f>IF(履歴データ!$A$670="","",123.3)</f>
        <v>123.3</v>
      </c>
      <c r="AC670">
        <f>IF(履歴データ!$A$670="","",SUM(T670:AA670))</f>
        <v>-411479.66159573692</v>
      </c>
      <c r="AD670" s="29">
        <f>IF(履歴データ!$A$670="","",AC670/1000000)</f>
        <v>-0.4114796615957369</v>
      </c>
      <c r="AE670" s="29">
        <f>IF(履歴データ!$A$670="",AE669,AE669+AC670/1000000)</f>
        <v>74.624595677976458</v>
      </c>
      <c r="AF670" s="12">
        <f>IF(OR(履歴データ!$A$670="",AE669=0),"",(AE670-AE669)/AE669)</f>
        <v>-5.4837577756246302E-3</v>
      </c>
      <c r="AG670" s="29">
        <f t="shared" si="32"/>
        <v>102.17217746631495</v>
      </c>
      <c r="AH670" s="12">
        <f>IF(OR(履歴データ!$A$670="",AG670=0),"",AE670/AG670-1)</f>
        <v>-0.26961921015553014</v>
      </c>
      <c r="AJ670" s="28">
        <f t="shared" ca="1" si="30"/>
        <v>8.9964461253985206</v>
      </c>
      <c r="AK670" s="28">
        <f t="shared" ca="1" si="31"/>
        <v>-11.881366760319153</v>
      </c>
    </row>
    <row r="671" spans="1:37">
      <c r="A671" s="10">
        <f>IF(履歴データ!$A$671="","",履歴データ!$A$671)</f>
        <v>45905</v>
      </c>
      <c r="B671" s="28">
        <f>IF(履歴データ!$A$671="","",(履歴データ!$D$671-(履歴データ!$B$671+履歴データ!$F$671)/2)*100)</f>
        <v>-4.4999999999999929</v>
      </c>
      <c r="C671" s="28">
        <f>IF(履歴データ!$A$671="","",(履歴データ!$H$671-(履歴データ!$G$671+履歴データ!$J$671)/2)*100)</f>
        <v>-39.45000000000001</v>
      </c>
      <c r="D671" s="28">
        <f>IF(履歴データ!$A$671="","",(履歴データ!$D$671-履歴データ!$H$671)*100)</f>
        <v>250.99999999999997</v>
      </c>
      <c r="E671" s="28">
        <f>IF(履歴データ!$A$671="","",(履歴データ!$D$671-履歴データ!$C$671)*100)</f>
        <v>50.999999999999979</v>
      </c>
      <c r="F671" s="28">
        <f>IF(履歴データ!$A$671="","",(履歴データ!$R$671-履歴データ!$D$671)*100)</f>
        <v>-293.83999999999997</v>
      </c>
      <c r="G671" s="28">
        <f>IF(履歴データ!$A$671="","",(履歴データ!$S$671-履歴データ!$R$671)*100)</f>
        <v>61.396821411132763</v>
      </c>
      <c r="H671" s="29">
        <f>IF(履歴データ!$A$671="","",履歴データ!$O$671)</f>
        <v>148.375</v>
      </c>
      <c r="I671" s="29">
        <f>IF(履歴データ!$A$671="","",履歴データ!$Q$671)</f>
        <v>113.359375</v>
      </c>
      <c r="J671" s="29">
        <f>IF(履歴データ!$A$671="","",履歴データ!$D$671)</f>
        <v>4.0999999999999996</v>
      </c>
      <c r="K671" s="28">
        <f>IF(OR(履歴データ!$A$671="",履歴データ!$A$670=""),"",B671-B670)</f>
        <v>0.99999999999997868</v>
      </c>
      <c r="L671" s="28">
        <f>IF(OR(履歴データ!$A$671="",履歴データ!$A$670=""),"",C671-C670)</f>
        <v>-0.50000000000001421</v>
      </c>
      <c r="M671" s="28">
        <f>IF(OR(履歴データ!$A$671="",履歴データ!$A$670=""),"",D671-D670)</f>
        <v>-4.3000000000000114</v>
      </c>
      <c r="N671" s="28">
        <f>IF(OR(履歴データ!$A$671="",履歴データ!$A$670=""),"",E671-E670)</f>
        <v>-1.0000000000000213</v>
      </c>
      <c r="O671" s="28">
        <f>IF(OR(履歴データ!$A$671="",履歴データ!$A$670=""),"",F671-F670)</f>
        <v>7.5500000000000114</v>
      </c>
      <c r="P671" s="28">
        <f>IF(OR(履歴データ!$A$671="",履歴データ!$A$670=""),"",G671-G670)</f>
        <v>-5.8119999999999266</v>
      </c>
      <c r="Q671" s="29">
        <f>IF(OR(履歴データ!$A$671="",履歴データ!$A$670=""),"",H671-H670)</f>
        <v>0</v>
      </c>
      <c r="R671" s="29">
        <f>IF(OR(履歴データ!$A$671="",履歴データ!$A$670=""),"",I671-I670)</f>
        <v>0.53125</v>
      </c>
      <c r="S671" s="28">
        <f>IF(OR(履歴データ!$A$671="",履歴データ!$A$670=""),"",(J671-J670)*100)</f>
        <v>-7.0000000000000284</v>
      </c>
      <c r="T671" s="11">
        <f>IF(OR(履歴データ!$A$671="",履歴データ!$A$670=""),"",-80000*K671)</f>
        <v>-79999.999999998297</v>
      </c>
      <c r="U671" s="11">
        <f>IF(OR(履歴データ!$A$671="",履歴データ!$A$670=""),"",60000*L671)</f>
        <v>-30000.000000000851</v>
      </c>
      <c r="V671" s="11">
        <f>IF(OR(履歴データ!$A$671="",履歴データ!$A$670=""),"",-50000*M671)</f>
        <v>215000.00000000058</v>
      </c>
      <c r="W671" s="11">
        <f>IF(OR(履歴データ!$A$671="",履歴データ!$A$670=""),"",-40000*N671)</f>
        <v>40000.000000000851</v>
      </c>
      <c r="X671" s="11">
        <f>IF(OR(履歴データ!$A$671="",履歴データ!$A$670=""),"",120*1000000*(-Q671/H670))</f>
        <v>0</v>
      </c>
      <c r="Y671" s="11">
        <f>IF(OR(履歴データ!$A$671="",履歴データ!$A$670=""),"",40000*(-S671)+(-506.3)*R671*1000)</f>
        <v>11028.125000001164</v>
      </c>
      <c r="Z671" s="11">
        <f>IF(OR(履歴データ!$A$671="",履歴データ!$A$670=""),"",-40000*O671)</f>
        <v>-302000.00000000047</v>
      </c>
      <c r="AA671" s="11">
        <f>IF(OR(履歴データ!$A$671="",履歴データ!$A$670=""),"",-40000*P671)</f>
        <v>232479.99999999706</v>
      </c>
      <c r="AB671" s="11">
        <f>IF(履歴データ!$A$671="","",123.3)</f>
        <v>123.3</v>
      </c>
      <c r="AC671">
        <f>IF(履歴データ!$A$671="","",SUM(T671:AA671))</f>
        <v>86508.125000000029</v>
      </c>
      <c r="AD671" s="29">
        <f>IF(履歴データ!$A$671="","",AC671/1000000)</f>
        <v>8.6508125000000033E-2</v>
      </c>
      <c r="AE671" s="29">
        <f>IF(履歴データ!$A$671="",AE670,AE670+AC671/1000000)</f>
        <v>74.711103802976453</v>
      </c>
      <c r="AF671" s="12">
        <f>IF(OR(履歴データ!$A$671="",AE670=0),"",(AE671-AE670)/AE670)</f>
        <v>1.1592441367896788E-3</v>
      </c>
      <c r="AG671" s="29">
        <f t="shared" si="32"/>
        <v>102.17217746631495</v>
      </c>
      <c r="AH671" s="12">
        <f>IF(OR(履歴データ!$A$671="",AG671=0),"",AE671/AG671-1)</f>
        <v>-0.26877252050727907</v>
      </c>
      <c r="AJ671" s="28">
        <f t="shared" ca="1" si="30"/>
        <v>8.9120806155397077</v>
      </c>
      <c r="AK671" s="28">
        <f t="shared" ca="1" si="31"/>
        <v>-11.717636171095261</v>
      </c>
    </row>
    <row r="672" spans="1:37">
      <c r="A672" s="10">
        <f>IF(履歴データ!$A$672="","",履歴データ!$A$672)</f>
        <v>45908</v>
      </c>
      <c r="B672" s="28">
        <f>IF(履歴データ!$A$672="","",(履歴データ!$D$672-(履歴データ!$B$672+履歴データ!$F$672)/2)*100)</f>
        <v>-4.0000000000000036</v>
      </c>
      <c r="C672" s="28">
        <f>IF(履歴データ!$A$672="","",(履歴データ!$H$672-(履歴データ!$G$672+履歴データ!$J$672)/2)*100)</f>
        <v>-41.299999999999983</v>
      </c>
      <c r="D672" s="28">
        <f>IF(履歴データ!$A$672="","",(履歴データ!$D$672-履歴データ!$H$672)*100)</f>
        <v>246.39999999999995</v>
      </c>
      <c r="E672" s="28">
        <f>IF(履歴データ!$A$672="","",(履歴データ!$D$672-履歴データ!$C$672)*100)</f>
        <v>48</v>
      </c>
      <c r="F672" s="28">
        <f>IF(履歴データ!$A$672="","",(履歴データ!$R$672-履歴データ!$D$672)*100)</f>
        <v>-297.21999999999997</v>
      </c>
      <c r="G672" s="28">
        <f>IF(履歴データ!$A$672="","",(履歴データ!$S$672-履歴データ!$R$672)*100)</f>
        <v>70.829178588867038</v>
      </c>
      <c r="H672" s="29">
        <f>IF(履歴データ!$A$672="","",履歴データ!$O$672)</f>
        <v>147.36399841308594</v>
      </c>
      <c r="I672" s="29">
        <f>IF(履歴データ!$A$672="","",履歴データ!$Q$672)</f>
        <v>113.5</v>
      </c>
      <c r="J672" s="29">
        <f>IF(履歴データ!$A$672="","",履歴データ!$D$672)</f>
        <v>4.05</v>
      </c>
      <c r="K672" s="28">
        <f>IF(OR(履歴データ!$A$672="",履歴データ!$A$671=""),"",B672-B671)</f>
        <v>0.49999999999998934</v>
      </c>
      <c r="L672" s="28">
        <f>IF(OR(履歴データ!$A$672="",履歴データ!$A$671=""),"",C672-C671)</f>
        <v>-1.849999999999973</v>
      </c>
      <c r="M672" s="28">
        <f>IF(OR(履歴データ!$A$672="",履歴データ!$A$671=""),"",D672-D671)</f>
        <v>-4.6000000000000227</v>
      </c>
      <c r="N672" s="28">
        <f>IF(OR(履歴データ!$A$672="",履歴データ!$A$671=""),"",E672-E671)</f>
        <v>-2.9999999999999787</v>
      </c>
      <c r="O672" s="28">
        <f>IF(OR(履歴データ!$A$672="",履歴データ!$A$671=""),"",F672-F671)</f>
        <v>-3.3799999999999955</v>
      </c>
      <c r="P672" s="28">
        <f>IF(OR(履歴データ!$A$672="",履歴データ!$A$671=""),"",G672-G671)</f>
        <v>9.432357177734275</v>
      </c>
      <c r="Q672" s="29">
        <f>IF(OR(履歴データ!$A$672="",履歴データ!$A$671=""),"",H672-H671)</f>
        <v>-1.0110015869140625</v>
      </c>
      <c r="R672" s="29">
        <f>IF(OR(履歴データ!$A$672="",履歴データ!$A$671=""),"",I672-I671)</f>
        <v>0.140625</v>
      </c>
      <c r="S672" s="28">
        <f>IF(OR(履歴データ!$A$672="",履歴データ!$A$671=""),"",(J672-J671)*100)</f>
        <v>-4.9999999999999822</v>
      </c>
      <c r="T672" s="11">
        <f>IF(OR(履歴データ!$A$672="",履歴データ!$A$671=""),"",-80000*K672)</f>
        <v>-39999.999999999149</v>
      </c>
      <c r="U672" s="11">
        <f>IF(OR(履歴データ!$A$672="",履歴データ!$A$671=""),"",60000*L672)</f>
        <v>-110999.99999999838</v>
      </c>
      <c r="V672" s="11">
        <f>IF(OR(履歴データ!$A$672="",履歴データ!$A$671=""),"",-50000*M672)</f>
        <v>230000.00000000114</v>
      </c>
      <c r="W672" s="11">
        <f>IF(OR(履歴データ!$A$672="",履歴データ!$A$671=""),"",-40000*N672)</f>
        <v>119999.99999999914</v>
      </c>
      <c r="X672" s="11">
        <f>IF(OR(履歴データ!$A$672="",履歴データ!$A$671=""),"",120*1000000*(-Q672/H671))</f>
        <v>817659.24468197138</v>
      </c>
      <c r="Y672" s="11">
        <f>IF(OR(履歴データ!$A$672="",履歴データ!$A$671=""),"",40000*(-S672)+(-506.3)*R672*1000)</f>
        <v>128801.5624999993</v>
      </c>
      <c r="Z672" s="11">
        <f>IF(OR(履歴データ!$A$672="",履歴データ!$A$671=""),"",-40000*O672)</f>
        <v>135199.99999999983</v>
      </c>
      <c r="AA672" s="11">
        <f>IF(OR(履歴データ!$A$672="",履歴データ!$A$671=""),"",-40000*P672)</f>
        <v>-377294.28710937098</v>
      </c>
      <c r="AB672" s="11">
        <f>IF(履歴データ!$A$672="","",123.3)</f>
        <v>123.3</v>
      </c>
      <c r="AC672">
        <f>IF(履歴データ!$A$672="","",SUM(T672:AA672))</f>
        <v>903366.5200726022</v>
      </c>
      <c r="AD672" s="29">
        <f>IF(履歴データ!$A$672="","",AC672/1000000)</f>
        <v>0.90336652007260221</v>
      </c>
      <c r="AE672" s="29">
        <f>IF(履歴データ!$A$672="",AE671,AE671+AC672/1000000)</f>
        <v>75.614470323049062</v>
      </c>
      <c r="AF672" s="12">
        <f>IF(OR(履歴データ!$A$672="",AE671=0),"",(AE672-AE671)/AE671)</f>
        <v>1.2091462635258501E-2</v>
      </c>
      <c r="AG672" s="29">
        <f t="shared" si="32"/>
        <v>102.17217746631495</v>
      </c>
      <c r="AH672" s="12">
        <f>IF(OR(履歴データ!$A$672="",AG672=0),"",AE672/AG672-1)</f>
        <v>-0.25993091076111863</v>
      </c>
      <c r="AJ672" s="28">
        <f t="shared" ca="1" si="30"/>
        <v>8.7888978099835864</v>
      </c>
      <c r="AK672" s="28">
        <f t="shared" ca="1" si="31"/>
        <v>-11.495247016332792</v>
      </c>
    </row>
    <row r="673" spans="1:37">
      <c r="A673" s="10">
        <f>IF(履歴データ!$A$673="","",履歴データ!$A$673)</f>
        <v>45909</v>
      </c>
      <c r="B673" s="28">
        <f>IF(履歴データ!$A$673="","",(履歴データ!$D$673-(履歴データ!$B$673+履歴データ!$F$673)/2)*100)</f>
        <v>-4.9999999999999822</v>
      </c>
      <c r="C673" s="28">
        <f>IF(履歴データ!$A$673="","",(履歴データ!$H$673-(履歴データ!$G$673+履歴データ!$J$673)/2)*100)</f>
        <v>-41.449999999999989</v>
      </c>
      <c r="D673" s="28">
        <f>IF(履歴データ!$A$673="","",(履歴データ!$D$673-履歴データ!$H$673)*100)</f>
        <v>250</v>
      </c>
      <c r="E673" s="28">
        <f>IF(履歴データ!$A$673="","",(履歴データ!$D$673-履歴データ!$C$673)*100)</f>
        <v>47.000000000000021</v>
      </c>
      <c r="F673" s="28">
        <f>IF(履歴データ!$A$673="","",(履歴データ!$R$673-履歴データ!$D$673)*100)</f>
        <v>-302.15000000000003</v>
      </c>
      <c r="G673" s="28">
        <f>IF(履歴データ!$A$673="","",(履歴データ!$S$673-履歴データ!$R$673)*100)</f>
        <v>75.214821411132647</v>
      </c>
      <c r="H673" s="29">
        <f>IF(履歴データ!$A$673="","",履歴データ!$O$673)</f>
        <v>147.39199829101563</v>
      </c>
      <c r="I673" s="29">
        <f>IF(履歴データ!$A$673="","",履歴データ!$Q$673)</f>
        <v>113.3125</v>
      </c>
      <c r="J673" s="29">
        <f>IF(履歴データ!$A$673="","",履歴データ!$D$673)</f>
        <v>4.08</v>
      </c>
      <c r="K673" s="28">
        <f>IF(OR(履歴データ!$A$673="",履歴データ!$A$672=""),"",B673-B672)</f>
        <v>-0.99999999999997868</v>
      </c>
      <c r="L673" s="28">
        <f>IF(OR(履歴データ!$A$673="",履歴データ!$A$672=""),"",C673-C672)</f>
        <v>-0.15000000000000568</v>
      </c>
      <c r="M673" s="28">
        <f>IF(OR(履歴データ!$A$673="",履歴データ!$A$672=""),"",D673-D672)</f>
        <v>3.6000000000000512</v>
      </c>
      <c r="N673" s="28">
        <f>IF(OR(履歴データ!$A$673="",履歴データ!$A$672=""),"",E673-E672)</f>
        <v>-0.99999999999997868</v>
      </c>
      <c r="O673" s="28">
        <f>IF(OR(履歴データ!$A$673="",履歴データ!$A$672=""),"",F673-F672)</f>
        <v>-4.9300000000000637</v>
      </c>
      <c r="P673" s="28">
        <f>IF(OR(履歴データ!$A$673="",履歴データ!$A$672=""),"",G673-G672)</f>
        <v>4.3856428222656092</v>
      </c>
      <c r="Q673" s="29">
        <f>IF(OR(履歴データ!$A$673="",履歴データ!$A$672=""),"",H673-H672)</f>
        <v>2.79998779296875E-2</v>
      </c>
      <c r="R673" s="29">
        <f>IF(OR(履歴データ!$A$673="",履歴データ!$A$672=""),"",I673-I672)</f>
        <v>-0.1875</v>
      </c>
      <c r="S673" s="28">
        <f>IF(OR(履歴データ!$A$673="",履歴データ!$A$672=""),"",(J673-J672)*100)</f>
        <v>3.0000000000000249</v>
      </c>
      <c r="T673" s="11">
        <f>IF(OR(履歴データ!$A$673="",履歴データ!$A$672=""),"",-80000*K673)</f>
        <v>79999.999999998297</v>
      </c>
      <c r="U673" s="11">
        <f>IF(OR(履歴データ!$A$673="",履歴データ!$A$672=""),"",60000*L673)</f>
        <v>-9000.000000000342</v>
      </c>
      <c r="V673" s="11">
        <f>IF(OR(履歴データ!$A$673="",履歴データ!$A$672=""),"",-50000*M673)</f>
        <v>-180000.00000000256</v>
      </c>
      <c r="W673" s="11">
        <f>IF(OR(履歴データ!$A$673="",履歴データ!$A$672=""),"",-40000*N673)</f>
        <v>39999.999999999149</v>
      </c>
      <c r="X673" s="11">
        <f>IF(OR(履歴データ!$A$673="",履歴データ!$A$672=""),"",120*1000000*(-Q673/H672))</f>
        <v>-22800.584862958855</v>
      </c>
      <c r="Y673" s="11">
        <f>IF(OR(履歴データ!$A$673="",履歴データ!$A$672=""),"",40000*(-S673)+(-506.3)*R673*1000)</f>
        <v>-25068.75000000099</v>
      </c>
      <c r="Z673" s="11">
        <f>IF(OR(履歴データ!$A$673="",履歴データ!$A$672=""),"",-40000*O673)</f>
        <v>197200.00000000256</v>
      </c>
      <c r="AA673" s="11">
        <f>IF(OR(履歴データ!$A$673="",履歴データ!$A$672=""),"",-40000*P673)</f>
        <v>-175425.71289062436</v>
      </c>
      <c r="AB673" s="11">
        <f>IF(履歴データ!$A$673="","",123.3)</f>
        <v>123.3</v>
      </c>
      <c r="AC673">
        <f>IF(履歴データ!$A$673="","",SUM(T673:AA673))</f>
        <v>-95095.047753587089</v>
      </c>
      <c r="AD673" s="29">
        <f>IF(履歴データ!$A$673="","",AC673/1000000)</f>
        <v>-9.5095047753587084E-2</v>
      </c>
      <c r="AE673" s="29">
        <f>IF(履歴データ!$A$673="",AE672,AE672+AC673/1000000)</f>
        <v>75.519375275295474</v>
      </c>
      <c r="AF673" s="12">
        <f>IF(OR(履歴データ!$A$673="",AE672=0),"",(AE673-AE672)/AE672)</f>
        <v>-1.2576302835596422E-3</v>
      </c>
      <c r="AG673" s="29">
        <f t="shared" si="32"/>
        <v>102.17217746631495</v>
      </c>
      <c r="AH673" s="12">
        <f>IF(OR(履歴データ!$A$673="",AG673=0),"",AE673/AG673-1)</f>
        <v>-0.26086164405967183</v>
      </c>
      <c r="AJ673" s="28">
        <f t="shared" ca="1" si="30"/>
        <v>8.7084846506529772</v>
      </c>
      <c r="AK673" s="28">
        <f t="shared" ca="1" si="31"/>
        <v>-11.34340528557361</v>
      </c>
    </row>
    <row r="674" spans="1:37">
      <c r="A674" s="10">
        <f>IF(履歴データ!$A$674="","",履歴データ!$A$674)</f>
        <v>45910</v>
      </c>
      <c r="B674" s="28">
        <f>IF(履歴データ!$A$674="","",(履歴データ!$D$674-(履歴データ!$B$674+履歴データ!$F$674)/2)*100)</f>
        <v>-7.5000000000000178</v>
      </c>
      <c r="C674" s="28">
        <f>IF(履歴データ!$A$674="","",(履歴データ!$H$674-(履歴データ!$G$674+履歴データ!$J$674)/2)*100)</f>
        <v>-40.500000000000028</v>
      </c>
      <c r="D674" s="28">
        <f>IF(履歴データ!$A$674="","",(履歴データ!$D$674-履歴データ!$H$674)*100)</f>
        <v>245.5</v>
      </c>
      <c r="E674" s="28">
        <f>IF(履歴データ!$A$674="","",(履歴データ!$D$674-履歴データ!$C$674)*100)</f>
        <v>45.000000000000014</v>
      </c>
      <c r="F674" s="28">
        <f>IF(履歴データ!$A$674="","",(履歴データ!$R$674-履歴データ!$D$674)*100)</f>
        <v>-295.14</v>
      </c>
      <c r="G674" s="28">
        <f>IF(履歴データ!$A$674="","",(履歴データ!$S$674-履歴データ!$R$674)*100)</f>
        <v>71.678642822265417</v>
      </c>
      <c r="H674" s="29">
        <f>IF(履歴データ!$A$674="","",履歴データ!$O$674)</f>
        <v>147.33200073242188</v>
      </c>
      <c r="I674" s="29">
        <f>IF(履歴データ!$A$674="","",履歴データ!$Q$674)</f>
        <v>113.515625</v>
      </c>
      <c r="J674" s="29">
        <f>IF(履歴データ!$A$674="","",履歴データ!$D$674)</f>
        <v>4.04</v>
      </c>
      <c r="K674" s="28">
        <f>IF(OR(履歴データ!$A$674="",履歴データ!$A$673=""),"",B674-B673)</f>
        <v>-2.5000000000000355</v>
      </c>
      <c r="L674" s="28">
        <f>IF(OR(履歴データ!$A$674="",履歴データ!$A$673=""),"",C674-C673)</f>
        <v>0.94999999999996021</v>
      </c>
      <c r="M674" s="28">
        <f>IF(OR(履歴データ!$A$674="",履歴データ!$A$673=""),"",D674-D673)</f>
        <v>-4.5</v>
      </c>
      <c r="N674" s="28">
        <f>IF(OR(履歴データ!$A$674="",履歴データ!$A$673=""),"",E674-E673)</f>
        <v>-2.0000000000000071</v>
      </c>
      <c r="O674" s="28">
        <f>IF(OR(履歴データ!$A$674="",履歴データ!$A$673=""),"",F674-F673)</f>
        <v>7.0100000000000477</v>
      </c>
      <c r="P674" s="28">
        <f>IF(OR(履歴データ!$A$674="",履歴データ!$A$673=""),"",G674-G673)</f>
        <v>-3.5361785888672301</v>
      </c>
      <c r="Q674" s="29">
        <f>IF(OR(履歴データ!$A$674="",履歴データ!$A$673=""),"",H674-H673)</f>
        <v>-5.999755859375E-2</v>
      </c>
      <c r="R674" s="29">
        <f>IF(OR(履歴データ!$A$674="",履歴データ!$A$673=""),"",I674-I673)</f>
        <v>0.203125</v>
      </c>
      <c r="S674" s="28">
        <f>IF(OR(履歴データ!$A$674="",履歴データ!$A$673=""),"",(J674-J673)*100)</f>
        <v>-4.0000000000000036</v>
      </c>
      <c r="T674" s="11">
        <f>IF(OR(履歴データ!$A$674="",履歴データ!$A$673=""),"",-80000*K674)</f>
        <v>200000.00000000285</v>
      </c>
      <c r="U674" s="11">
        <f>IF(OR(履歴データ!$A$674="",履歴データ!$A$673=""),"",60000*L674)</f>
        <v>56999.999999997613</v>
      </c>
      <c r="V674" s="11">
        <f>IF(OR(履歴データ!$A$674="",履歴データ!$A$673=""),"",-50000*M674)</f>
        <v>225000</v>
      </c>
      <c r="W674" s="11">
        <f>IF(OR(履歴データ!$A$674="",履歴データ!$A$673=""),"",-40000*N674)</f>
        <v>80000.000000000291</v>
      </c>
      <c r="X674" s="11">
        <f>IF(OR(履歴データ!$A$674="",履歴データ!$A$673=""),"",120*1000000*(-Q674/H673))</f>
        <v>48847.339847002149</v>
      </c>
      <c r="Y674" s="11">
        <f>IF(OR(履歴データ!$A$674="",履歴データ!$A$673=""),"",40000*(-S674)+(-506.3)*R674*1000)</f>
        <v>57157.812500000131</v>
      </c>
      <c r="Z674" s="11">
        <f>IF(OR(履歴データ!$A$674="",履歴データ!$A$673=""),"",-40000*O674)</f>
        <v>-280400.00000000192</v>
      </c>
      <c r="AA674" s="11">
        <f>IF(OR(履歴データ!$A$674="",履歴データ!$A$673=""),"",-40000*P674)</f>
        <v>141447.14355468922</v>
      </c>
      <c r="AB674" s="11">
        <f>IF(履歴データ!$A$674="","",123.3)</f>
        <v>123.3</v>
      </c>
      <c r="AC674">
        <f>IF(履歴データ!$A$674="","",SUM(T674:AA674))</f>
        <v>529052.29590169026</v>
      </c>
      <c r="AD674" s="29">
        <f>IF(履歴データ!$A$674="","",AC674/1000000)</f>
        <v>0.52905229590169023</v>
      </c>
      <c r="AE674" s="29">
        <f>IF(履歴データ!$A$674="",AE673,AE673+AC674/1000000)</f>
        <v>76.048427571197166</v>
      </c>
      <c r="AF674" s="12">
        <f>IF(OR(履歴データ!$A$674="",AE673=0),"",(AE674-AE673)/AE673)</f>
        <v>7.0055173784622201E-3</v>
      </c>
      <c r="AG674" s="29">
        <f t="shared" si="32"/>
        <v>102.17217746631495</v>
      </c>
      <c r="AH674" s="12">
        <f>IF(OR(履歴データ!$A$674="",AG674=0),"",AE674/AG674-1)</f>
        <v>-0.25568359746204394</v>
      </c>
      <c r="AJ674" s="28">
        <f t="shared" ca="1" si="30"/>
        <v>8.6096978037932796</v>
      </c>
      <c r="AK674" s="28">
        <f t="shared" ca="1" si="31"/>
        <v>-11.181126375221849</v>
      </c>
    </row>
    <row r="675" spans="1:37">
      <c r="A675" s="10">
        <f>IF(履歴データ!$A$675="","",履歴データ!$A$675)</f>
        <v>45911</v>
      </c>
      <c r="B675" s="28">
        <f>IF(履歴データ!$A$675="","",(履歴データ!$D$675-(履歴データ!$B$675+履歴データ!$F$675)/2)*100)</f>
        <v>-7.5000000000000178</v>
      </c>
      <c r="C675" s="28">
        <f>IF(履歴データ!$A$675="","",(履歴データ!$H$675-(履歴データ!$G$675+履歴データ!$J$675)/2)*100)</f>
        <v>-39.45000000000001</v>
      </c>
      <c r="D675" s="28">
        <f>IF(履歴データ!$A$675="","",(履歴データ!$D$675-履歴データ!$H$675)*100)</f>
        <v>241.59999999999994</v>
      </c>
      <c r="E675" s="28">
        <f>IF(履歴データ!$A$675="","",(履歴データ!$D$675-履歴データ!$C$675)*100)</f>
        <v>41.999999999999993</v>
      </c>
      <c r="F675" s="28">
        <f>IF(履歴データ!$A$675="","",(履歴データ!$R$675-履歴データ!$D$675)*100)</f>
        <v>-291.41999999999996</v>
      </c>
      <c r="G675" s="28">
        <f>IF(履歴データ!$A$675="","",(履歴データ!$S$675-履歴データ!$R$675)*100)</f>
        <v>74.115821411132686</v>
      </c>
      <c r="H675" s="29">
        <f>IF(履歴データ!$A$675="","",履歴データ!$O$675)</f>
        <v>147.2239990234375</v>
      </c>
      <c r="I675" s="29">
        <f>IF(履歴データ!$A$675="","",履歴データ!$Q$675)</f>
        <v>113.59375</v>
      </c>
      <c r="J675" s="29">
        <f>IF(履歴データ!$A$675="","",履歴データ!$D$675)</f>
        <v>4.01</v>
      </c>
      <c r="K675" s="28">
        <f>IF(OR(履歴データ!$A$675="",履歴データ!$A$674=""),"",B675-B674)</f>
        <v>0</v>
      </c>
      <c r="L675" s="28">
        <f>IF(OR(履歴データ!$A$675="",履歴データ!$A$674=""),"",C675-C674)</f>
        <v>1.0500000000000185</v>
      </c>
      <c r="M675" s="28">
        <f>IF(OR(履歴データ!$A$675="",履歴データ!$A$674=""),"",D675-D674)</f>
        <v>-3.9000000000000625</v>
      </c>
      <c r="N675" s="28">
        <f>IF(OR(履歴データ!$A$675="",履歴データ!$A$674=""),"",E675-E674)</f>
        <v>-3.0000000000000213</v>
      </c>
      <c r="O675" s="28">
        <f>IF(OR(履歴データ!$A$675="",履歴データ!$A$674=""),"",F675-F674)</f>
        <v>3.7200000000000273</v>
      </c>
      <c r="P675" s="28">
        <f>IF(OR(履歴データ!$A$675="",履歴データ!$A$674=""),"",G675-G674)</f>
        <v>2.437178588867269</v>
      </c>
      <c r="Q675" s="29">
        <f>IF(OR(履歴データ!$A$675="",履歴データ!$A$674=""),"",H675-H674)</f>
        <v>-0.108001708984375</v>
      </c>
      <c r="R675" s="29">
        <f>IF(OR(履歴データ!$A$675="",履歴データ!$A$674=""),"",I675-I674)</f>
        <v>7.8125E-2</v>
      </c>
      <c r="S675" s="28">
        <f>IF(OR(履歴データ!$A$675="",履歴データ!$A$674=""),"",(J675-J674)*100)</f>
        <v>-3.0000000000000249</v>
      </c>
      <c r="T675" s="11">
        <f>IF(OR(履歴データ!$A$675="",履歴データ!$A$674=""),"",-80000*K675)</f>
        <v>0</v>
      </c>
      <c r="U675" s="11">
        <f>IF(OR(履歴データ!$A$675="",履歴データ!$A$674=""),"",60000*L675)</f>
        <v>63000.000000001106</v>
      </c>
      <c r="V675" s="11">
        <f>IF(OR(履歴データ!$A$675="",履歴データ!$A$674=""),"",-50000*M675)</f>
        <v>195000.00000000311</v>
      </c>
      <c r="W675" s="11">
        <f>IF(OR(履歴データ!$A$675="",履歴データ!$A$674=""),"",-40000*N675)</f>
        <v>120000.00000000086</v>
      </c>
      <c r="X675" s="11">
        <f>IF(OR(履歴データ!$A$675="",履歴データ!$A$674=""),"",120*1000000*(-Q675/H674))</f>
        <v>87965.98847295079</v>
      </c>
      <c r="Y675" s="11">
        <f>IF(OR(履歴データ!$A$675="",履歴データ!$A$674=""),"",40000*(-S675)+(-506.3)*R675*1000)</f>
        <v>80445.31250000099</v>
      </c>
      <c r="Z675" s="11">
        <f>IF(OR(履歴データ!$A$675="",履歴データ!$A$674=""),"",-40000*O675)</f>
        <v>-148800.00000000111</v>
      </c>
      <c r="AA675" s="11">
        <f>IF(OR(履歴データ!$A$675="",履歴データ!$A$674=""),"",-40000*P675)</f>
        <v>-97487.14355469076</v>
      </c>
      <c r="AB675" s="11">
        <f>IF(履歴データ!$A$675="","",123.3)</f>
        <v>123.3</v>
      </c>
      <c r="AC675">
        <f>IF(履歴データ!$A$675="","",SUM(T675:AA675))</f>
        <v>300124.15741826507</v>
      </c>
      <c r="AD675" s="29">
        <f>IF(履歴データ!$A$675="","",AC675/1000000)</f>
        <v>0.30012415741826509</v>
      </c>
      <c r="AE675" s="29">
        <f>IF(履歴データ!$A$675="",AE674,AE674+AC675/1000000)</f>
        <v>76.348551728615433</v>
      </c>
      <c r="AF675" s="12">
        <f>IF(OR(履歴データ!$A$675="",AE674=0),"",(AE675-AE674)/AE674)</f>
        <v>3.9464873502780638E-3</v>
      </c>
      <c r="AG675" s="29">
        <f t="shared" si="32"/>
        <v>102.17217746631495</v>
      </c>
      <c r="AH675" s="12">
        <f>IF(OR(履歴データ!$A$675="",AG675=0),"",AE675/AG675-1)</f>
        <v>-0.25274616219482338</v>
      </c>
      <c r="AJ675" s="28">
        <f t="shared" ca="1" si="30"/>
        <v>8.5590376021618706</v>
      </c>
      <c r="AK675" s="28">
        <f t="shared" ca="1" si="31"/>
        <v>-11.090783633907899</v>
      </c>
    </row>
    <row r="676" spans="1:37">
      <c r="A676" s="10">
        <f>IF(履歴データ!$A$676="","",履歴データ!$A$676)</f>
        <v>45912</v>
      </c>
      <c r="B676" s="28">
        <f>IF(履歴データ!$A$676="","",(履歴データ!$D$676-(履歴データ!$B$676+履歴データ!$F$676)/2)*100)</f>
        <v>-6.0000000000000497</v>
      </c>
      <c r="C676" s="28">
        <f>IF(履歴データ!$A$676="","",(履歴データ!$H$676-(履歴データ!$G$676+履歴データ!$J$676)/2)*100)</f>
        <v>-37.5</v>
      </c>
      <c r="D676" s="28">
        <f>IF(履歴データ!$A$676="","",(履歴データ!$D$676-履歴データ!$H$676)*100)</f>
        <v>244.69999999999996</v>
      </c>
      <c r="E676" s="28">
        <f>IF(履歴データ!$A$676="","",(履歴データ!$D$676-履歴データ!$C$676)*100)</f>
        <v>42.999999999999972</v>
      </c>
      <c r="F676" s="28">
        <f>IF(履歴データ!$A$676="","",(履歴データ!$R$676-履歴データ!$D$676)*100)</f>
        <v>-296.71999999999997</v>
      </c>
      <c r="G676" s="28">
        <f>IF(履歴データ!$A$676="","",(履歴データ!$S$676-履歴データ!$R$676)*100)</f>
        <v>71.083178588867085</v>
      </c>
      <c r="H676" s="29">
        <f>IF(履歴データ!$A$676="","",履歴データ!$O$676)</f>
        <v>147.2239990234375</v>
      </c>
      <c r="I676" s="29">
        <f>IF(履歴データ!$A$676="","",履歴データ!$Q$676)</f>
        <v>113.25</v>
      </c>
      <c r="J676" s="29">
        <f>IF(履歴データ!$A$676="","",履歴データ!$D$676)</f>
        <v>4.0599999999999996</v>
      </c>
      <c r="K676" s="28">
        <f>IF(OR(履歴データ!$A$676="",履歴データ!$A$675=""),"",B676-B675)</f>
        <v>1.499999999999968</v>
      </c>
      <c r="L676" s="28">
        <f>IF(OR(履歴データ!$A$676="",履歴データ!$A$675=""),"",C676-C675)</f>
        <v>1.9500000000000099</v>
      </c>
      <c r="M676" s="28">
        <f>IF(OR(履歴データ!$A$676="",履歴データ!$A$675=""),"",D676-D675)</f>
        <v>3.1000000000000227</v>
      </c>
      <c r="N676" s="28">
        <f>IF(OR(履歴データ!$A$676="",履歴データ!$A$675=""),"",E676-E675)</f>
        <v>0.99999999999997868</v>
      </c>
      <c r="O676" s="28">
        <f>IF(OR(履歴データ!$A$676="",履歴データ!$A$675=""),"",F676-F675)</f>
        <v>-5.3000000000000114</v>
      </c>
      <c r="P676" s="28">
        <f>IF(OR(履歴データ!$A$676="",履歴データ!$A$675=""),"",G676-G675)</f>
        <v>-3.0326428222656006</v>
      </c>
      <c r="Q676" s="29">
        <f>IF(OR(履歴データ!$A$676="",履歴データ!$A$675=""),"",H676-H675)</f>
        <v>0</v>
      </c>
      <c r="R676" s="29">
        <f>IF(OR(履歴データ!$A$676="",履歴データ!$A$675=""),"",I676-I675)</f>
        <v>-0.34375</v>
      </c>
      <c r="S676" s="28">
        <f>IF(OR(履歴データ!$A$676="",履歴データ!$A$675=""),"",(J676-J675)*100)</f>
        <v>4.9999999999999822</v>
      </c>
      <c r="T676" s="11">
        <f>IF(OR(履歴データ!$A$676="",履歴データ!$A$675=""),"",-80000*K676)</f>
        <v>-119999.99999999744</v>
      </c>
      <c r="U676" s="11">
        <f>IF(OR(履歴データ!$A$676="",履歴データ!$A$675=""),"",60000*L676)</f>
        <v>117000.0000000006</v>
      </c>
      <c r="V676" s="11">
        <f>IF(OR(履歴データ!$A$676="",履歴データ!$A$675=""),"",-50000*M676)</f>
        <v>-155000.00000000114</v>
      </c>
      <c r="W676" s="11">
        <f>IF(OR(履歴データ!$A$676="",履歴データ!$A$675=""),"",-40000*N676)</f>
        <v>-39999.999999999149</v>
      </c>
      <c r="X676" s="11">
        <f>IF(OR(履歴データ!$A$676="",履歴データ!$A$675=""),"",120*1000000*(-Q676/H675))</f>
        <v>0</v>
      </c>
      <c r="Y676" s="11">
        <f>IF(OR(履歴データ!$A$676="",履歴データ!$A$675=""),"",40000*(-S676)+(-506.3)*R676*1000)</f>
        <v>-25959.374999999302</v>
      </c>
      <c r="Z676" s="11">
        <f>IF(OR(履歴データ!$A$676="",履歴データ!$A$675=""),"",-40000*O676)</f>
        <v>212000.00000000047</v>
      </c>
      <c r="AA676" s="11">
        <f>IF(OR(履歴データ!$A$676="",履歴データ!$A$675=""),"",-40000*P676)</f>
        <v>121305.71289062403</v>
      </c>
      <c r="AB676" s="11">
        <f>IF(履歴データ!$A$676="","",123.3)</f>
        <v>123.3</v>
      </c>
      <c r="AC676">
        <f>IF(履歴データ!$A$676="","",SUM(T676:AA676))</f>
        <v>109346.33789062807</v>
      </c>
      <c r="AD676" s="29">
        <f>IF(履歴データ!$A$676="","",AC676/1000000)</f>
        <v>0.10934633789062807</v>
      </c>
      <c r="AE676" s="29">
        <f>IF(履歴データ!$A$676="",AE675,AE675+AC676/1000000)</f>
        <v>76.457898066506061</v>
      </c>
      <c r="AF676" s="12">
        <f>IF(OR(履歴データ!$A$676="",AE675=0),"",(AE676-AE675)/AE675)</f>
        <v>1.4321992417001522E-3</v>
      </c>
      <c r="AG676" s="29">
        <f t="shared" si="32"/>
        <v>102.17217746631495</v>
      </c>
      <c r="AH676" s="12">
        <f>IF(OR(履歴データ!$A$676="",AG676=0),"",AE676/AG676-1)</f>
        <v>-0.25167594581496122</v>
      </c>
      <c r="AJ676" s="28">
        <f t="shared" ca="1" si="30"/>
        <v>8.4765780858029807</v>
      </c>
      <c r="AK676" s="28">
        <f t="shared" ca="1" si="31"/>
        <v>-10.944832054056945</v>
      </c>
    </row>
    <row r="677" spans="1:37">
      <c r="A677" s="10">
        <f>IF(履歴データ!$A$677="","",履歴データ!$A$677)</f>
        <v>45915</v>
      </c>
      <c r="B677" s="28">
        <f>IF(履歴データ!$A$677="","",(履歴データ!$D$677-(履歴データ!$B$677+履歴データ!$F$677)/2)*100)</f>
        <v>-4.9999999999999822</v>
      </c>
      <c r="C677" s="28">
        <f>IF(履歴データ!$A$677="","",(履歴データ!$H$677-(履歴データ!$G$677+履歴データ!$J$677)/2)*100)</f>
        <v>-37.5</v>
      </c>
      <c r="D677" s="28">
        <f>IF(履歴データ!$A$677="","",(履歴データ!$D$677-履歴データ!$H$677)*100)</f>
        <v>243.7</v>
      </c>
      <c r="E677" s="28">
        <f>IF(履歴データ!$A$677="","",(履歴データ!$D$677-履歴データ!$C$677)*100)</f>
        <v>43.999999999999993</v>
      </c>
      <c r="F677" s="28">
        <f>IF(履歴データ!$A$677="","",(履歴データ!$R$677-履歴データ!$D$677)*100)</f>
        <v>-289.71999999999997</v>
      </c>
      <c r="G677" s="28">
        <f>IF(履歴データ!$A$677="","",(履歴データ!$S$677-履歴データ!$R$677)*100)</f>
        <v>65.083178588867071</v>
      </c>
      <c r="H677" s="29">
        <f>IF(履歴データ!$A$677="","",履歴データ!$O$677)</f>
        <v>147.40499877929688</v>
      </c>
      <c r="I677" s="29">
        <f>IF(履歴データ!$A$677="","",履歴データ!$Q$677)</f>
        <v>113.40625</v>
      </c>
      <c r="J677" s="29">
        <f>IF(履歴データ!$A$677="","",履歴データ!$D$677)</f>
        <v>4.05</v>
      </c>
      <c r="K677" s="28">
        <f>IF(OR(履歴データ!$A$677="",履歴データ!$A$676=""),"",B677-B676)</f>
        <v>1.0000000000000675</v>
      </c>
      <c r="L677" s="28">
        <f>IF(OR(履歴データ!$A$677="",履歴データ!$A$676=""),"",C677-C676)</f>
        <v>0</v>
      </c>
      <c r="M677" s="28">
        <f>IF(OR(履歴データ!$A$677="",履歴データ!$A$676=""),"",D677-D676)</f>
        <v>-0.99999999999997158</v>
      </c>
      <c r="N677" s="28">
        <f>IF(OR(履歴データ!$A$677="",履歴データ!$A$676=""),"",E677-E676)</f>
        <v>1.0000000000000213</v>
      </c>
      <c r="O677" s="28">
        <f>IF(OR(履歴データ!$A$677="",履歴データ!$A$676=""),"",F677-F676)</f>
        <v>7</v>
      </c>
      <c r="P677" s="28">
        <f>IF(OR(履歴データ!$A$677="",履歴データ!$A$676=""),"",G677-G676)</f>
        <v>-6.0000000000000142</v>
      </c>
      <c r="Q677" s="29">
        <f>IF(OR(履歴データ!$A$677="",履歴データ!$A$676=""),"",H677-H676)</f>
        <v>0.180999755859375</v>
      </c>
      <c r="R677" s="29">
        <f>IF(OR(履歴データ!$A$677="",履歴データ!$A$676=""),"",I677-I676)</f>
        <v>0.15625</v>
      </c>
      <c r="S677" s="28">
        <f>IF(OR(履歴データ!$A$677="",履歴データ!$A$676=""),"",(J677-J676)*100)</f>
        <v>-0.99999999999997868</v>
      </c>
      <c r="T677" s="11">
        <f>IF(OR(履歴データ!$A$677="",履歴データ!$A$676=""),"",-80000*K677)</f>
        <v>-80000.000000005399</v>
      </c>
      <c r="U677" s="11">
        <f>IF(OR(履歴データ!$A$677="",履歴データ!$A$676=""),"",60000*L677)</f>
        <v>0</v>
      </c>
      <c r="V677" s="11">
        <f>IF(OR(履歴データ!$A$677="",履歴データ!$A$676=""),"",-50000*M677)</f>
        <v>49999.999999998581</v>
      </c>
      <c r="W677" s="11">
        <f>IF(OR(履歴データ!$A$677="",履歴データ!$A$676=""),"",-40000*N677)</f>
        <v>-40000.000000000851</v>
      </c>
      <c r="X677" s="11">
        <f>IF(OR(履歴データ!$A$677="",履歴データ!$A$676=""),"",120*1000000*(-Q677/H676))</f>
        <v>-147530.09595716296</v>
      </c>
      <c r="Y677" s="11">
        <f>IF(OR(履歴データ!$A$677="",履歴データ!$A$676=""),"",40000*(-S677)+(-506.3)*R677*1000)</f>
        <v>-39109.375000000851</v>
      </c>
      <c r="Z677" s="11">
        <f>IF(OR(履歴データ!$A$677="",履歴データ!$A$676=""),"",-40000*O677)</f>
        <v>-280000</v>
      </c>
      <c r="AA677" s="11">
        <f>IF(OR(履歴データ!$A$677="",履歴データ!$A$676=""),"",-40000*P677)</f>
        <v>240000.00000000058</v>
      </c>
      <c r="AB677" s="11">
        <f>IF(履歴データ!$A$677="","",123.3)</f>
        <v>123.3</v>
      </c>
      <c r="AC677">
        <f>IF(履歴データ!$A$677="","",SUM(T677:AA677))</f>
        <v>-296639.47095717094</v>
      </c>
      <c r="AD677" s="29">
        <f>IF(履歴データ!$A$677="","",AC677/1000000)</f>
        <v>-0.29663947095717091</v>
      </c>
      <c r="AE677" s="29">
        <f>IF(履歴データ!$A$677="",AE676,AE676+AC677/1000000)</f>
        <v>76.161258595548887</v>
      </c>
      <c r="AF677" s="12">
        <f>IF(OR(履歴データ!$A$677="",AE676=0),"",(AE677-AE676)/AE676)</f>
        <v>-3.8797753856527144E-3</v>
      </c>
      <c r="AG677" s="29">
        <f t="shared" si="32"/>
        <v>102.17217746631495</v>
      </c>
      <c r="AH677" s="12">
        <f>IF(OR(履歴データ!$A$677="",AG677=0),"",AE677/AG677-1)</f>
        <v>-0.25457927506088018</v>
      </c>
      <c r="AJ677" s="28">
        <f t="shared" ca="1" si="30"/>
        <v>8.4056158592301689</v>
      </c>
      <c r="AK677" s="28">
        <f t="shared" ca="1" si="31"/>
        <v>-10.81037776399207</v>
      </c>
    </row>
    <row r="678" spans="1:37">
      <c r="A678" s="10">
        <f>IF(履歴データ!$A$678="","",履歴データ!$A$678)</f>
        <v>45916</v>
      </c>
      <c r="B678" s="28">
        <f>IF(履歴データ!$A$678="","",(履歴データ!$D$678-(履歴データ!$B$678+履歴データ!$F$678)/2)*100)</f>
        <v>-4.0000000000000036</v>
      </c>
      <c r="C678" s="28">
        <f>IF(履歴データ!$A$678="","",(履歴データ!$H$678-(履歴データ!$G$678+履歴データ!$J$678)/2)*100)</f>
        <v>-38.5</v>
      </c>
      <c r="D678" s="28">
        <f>IF(履歴データ!$A$678="","",(履歴データ!$D$678-履歴データ!$H$678)*100)</f>
        <v>241.7</v>
      </c>
      <c r="E678" s="28">
        <f>IF(履歴データ!$A$678="","",(履歴データ!$D$678-履歴データ!$C$678)*100)</f>
        <v>45.000000000000014</v>
      </c>
      <c r="F678" s="28">
        <f>IF(履歴データ!$A$678="","",(履歴データ!$R$678-履歴データ!$D$678)*100)</f>
        <v>-292.05</v>
      </c>
      <c r="G678" s="28">
        <f>IF(履歴データ!$A$678="","",(履歴データ!$S$678-履歴データ!$R$678)*100)</f>
        <v>69.290178588867107</v>
      </c>
      <c r="H678" s="29">
        <f>IF(履歴データ!$A$678="","",履歴データ!$O$678)</f>
        <v>146.41299438476563</v>
      </c>
      <c r="I678" s="29">
        <f>IF(履歴データ!$A$678="","",履歴データ!$Q$678)</f>
        <v>113.515625</v>
      </c>
      <c r="J678" s="29">
        <f>IF(履歴データ!$A$678="","",履歴データ!$D$678)</f>
        <v>4.04</v>
      </c>
      <c r="K678" s="28">
        <f>IF(OR(履歴データ!$A$678="",履歴データ!$A$677=""),"",B678-B677)</f>
        <v>0.99999999999997868</v>
      </c>
      <c r="L678" s="28">
        <f>IF(OR(履歴データ!$A$678="",履歴データ!$A$677=""),"",C678-C677)</f>
        <v>-1</v>
      </c>
      <c r="M678" s="28">
        <f>IF(OR(履歴データ!$A$678="",履歴データ!$A$677=""),"",D678-D677)</f>
        <v>-2</v>
      </c>
      <c r="N678" s="28">
        <f>IF(OR(履歴データ!$A$678="",履歴データ!$A$677=""),"",E678-E677)</f>
        <v>1.0000000000000213</v>
      </c>
      <c r="O678" s="28">
        <f>IF(OR(履歴データ!$A$678="",履歴データ!$A$677=""),"",F678-F677)</f>
        <v>-2.3300000000000409</v>
      </c>
      <c r="P678" s="28">
        <f>IF(OR(履歴データ!$A$678="",履歴データ!$A$677=""),"",G678-G677)</f>
        <v>4.2070000000000363</v>
      </c>
      <c r="Q678" s="29">
        <f>IF(OR(履歴データ!$A$678="",履歴データ!$A$677=""),"",H678-H677)</f>
        <v>-0.99200439453125</v>
      </c>
      <c r="R678" s="29">
        <f>IF(OR(履歴データ!$A$678="",履歴データ!$A$677=""),"",I678-I677)</f>
        <v>0.109375</v>
      </c>
      <c r="S678" s="28">
        <f>IF(OR(履歴データ!$A$678="",履歴データ!$A$677=""),"",(J678-J677)*100)</f>
        <v>-0.99999999999997868</v>
      </c>
      <c r="T678" s="11">
        <f>IF(OR(履歴データ!$A$678="",履歴データ!$A$677=""),"",-80000*K678)</f>
        <v>-79999.999999998297</v>
      </c>
      <c r="U678" s="11">
        <f>IF(OR(履歴データ!$A$678="",履歴データ!$A$677=""),"",60000*L678)</f>
        <v>-60000</v>
      </c>
      <c r="V678" s="11">
        <f>IF(OR(履歴データ!$A$678="",履歴データ!$A$677=""),"",-50000*M678)</f>
        <v>100000</v>
      </c>
      <c r="W678" s="11">
        <f>IF(OR(履歴データ!$A$678="",履歴データ!$A$677=""),"",-40000*N678)</f>
        <v>-40000.000000000851</v>
      </c>
      <c r="X678" s="11">
        <f>IF(OR(履歴データ!$A$678="",履歴データ!$A$677=""),"",120*1000000*(-Q678/H677))</f>
        <v>807574.56212176511</v>
      </c>
      <c r="Y678" s="11">
        <f>IF(OR(履歴データ!$A$678="",履歴データ!$A$677=""),"",40000*(-S678)+(-506.3)*R678*1000)</f>
        <v>-15376.562500000851</v>
      </c>
      <c r="Z678" s="11">
        <f>IF(OR(履歴データ!$A$678="",履歴データ!$A$677=""),"",-40000*O678)</f>
        <v>93200.00000000163</v>
      </c>
      <c r="AA678" s="11">
        <f>IF(OR(履歴データ!$A$678="",履歴データ!$A$677=""),"",-40000*P678)</f>
        <v>-168280.00000000146</v>
      </c>
      <c r="AB678" s="11">
        <f>IF(履歴データ!$A$678="","",123.3)</f>
        <v>123.3</v>
      </c>
      <c r="AC678">
        <f>IF(履歴データ!$A$678="","",SUM(T678:AA678))</f>
        <v>637117.99962176522</v>
      </c>
      <c r="AD678" s="29">
        <f>IF(履歴データ!$A$678="","",AC678/1000000)</f>
        <v>0.63711799962176519</v>
      </c>
      <c r="AE678" s="29">
        <f>IF(履歴データ!$A$678="",AE677,AE677+AC678/1000000)</f>
        <v>76.798376595170652</v>
      </c>
      <c r="AF678" s="12">
        <f>IF(OR(履歴データ!$A$678="",AE677=0),"",(AE678-AE677)/AE677)</f>
        <v>8.365381709422014E-3</v>
      </c>
      <c r="AG678" s="29">
        <f t="shared" si="32"/>
        <v>102.17217746631495</v>
      </c>
      <c r="AH678" s="12">
        <f>IF(OR(履歴データ!$A$678="",AG678=0),"",AE678/AG678-1)</f>
        <v>-0.24834354616265042</v>
      </c>
      <c r="AJ678" s="28">
        <f t="shared" ca="1" si="30"/>
        <v>8.3147475467157275</v>
      </c>
      <c r="AK678" s="28">
        <f t="shared" ca="1" si="31"/>
        <v>-10.64014437211255</v>
      </c>
    </row>
    <row r="679" spans="1:37">
      <c r="A679" s="10">
        <f>IF(履歴データ!$A$679="","",履歴データ!$A$679)</f>
        <v>45917</v>
      </c>
      <c r="B679" s="28">
        <f>IF(履歴データ!$A$679="","",(履歴データ!$D$679-(履歴データ!$B$679+履歴データ!$F$679)/2)*100)</f>
        <v>-3.0000000000000249</v>
      </c>
      <c r="C679" s="28">
        <f>IF(履歴データ!$A$679="","",(履歴データ!$H$679-(履歴データ!$G$679+履歴データ!$J$679)/2)*100)</f>
        <v>-38.450000000000003</v>
      </c>
      <c r="D679" s="28">
        <f>IF(履歴データ!$A$679="","",(履歴データ!$D$679-履歴データ!$H$679)*100)</f>
        <v>244.89999999999998</v>
      </c>
      <c r="E679" s="28">
        <f>IF(履歴データ!$A$679="","",(履歴データ!$D$679-履歴データ!$C$679)*100)</f>
        <v>43.99999999999995</v>
      </c>
      <c r="F679" s="28">
        <f>IF(履歴データ!$A$679="","",(履歴データ!$R$679-履歴データ!$D$679)*100)</f>
        <v>-297.69999999999993</v>
      </c>
      <c r="G679" s="28">
        <f>IF(履歴データ!$A$679="","",(履歴データ!$S$679-履歴データ!$R$679)*100)</f>
        <v>73.115642822265443</v>
      </c>
      <c r="H679" s="29">
        <f>IF(履歴データ!$A$679="","",履歴データ!$O$679)</f>
        <v>146.89100646972656</v>
      </c>
      <c r="I679" s="29">
        <f>IF(履歴データ!$A$679="","",履歴データ!$Q$679)</f>
        <v>113.09375</v>
      </c>
      <c r="J679" s="29">
        <f>IF(履歴データ!$A$679="","",履歴データ!$D$679)</f>
        <v>4.0599999999999996</v>
      </c>
      <c r="K679" s="28">
        <f>IF(OR(履歴データ!$A$679="",履歴データ!$A$678=""),"",B679-B678)</f>
        <v>0.99999999999997868</v>
      </c>
      <c r="L679" s="28">
        <f>IF(OR(履歴データ!$A$679="",履歴データ!$A$678=""),"",C679-C678)</f>
        <v>4.9999999999997158E-2</v>
      </c>
      <c r="M679" s="28">
        <f>IF(OR(履歴データ!$A$679="",履歴データ!$A$678=""),"",D679-D678)</f>
        <v>3.1999999999999886</v>
      </c>
      <c r="N679" s="28">
        <f>IF(OR(履歴データ!$A$679="",履歴データ!$A$678=""),"",E679-E678)</f>
        <v>-1.0000000000000639</v>
      </c>
      <c r="O679" s="28">
        <f>IF(OR(履歴データ!$A$679="",履歴データ!$A$678=""),"",F679-F678)</f>
        <v>-5.6499999999999204</v>
      </c>
      <c r="P679" s="28">
        <f>IF(OR(履歴データ!$A$679="",履歴データ!$A$678=""),"",G679-G678)</f>
        <v>3.8254642333983355</v>
      </c>
      <c r="Q679" s="29">
        <f>IF(OR(履歴データ!$A$679="",履歴データ!$A$678=""),"",H679-H678)</f>
        <v>0.4780120849609375</v>
      </c>
      <c r="R679" s="29">
        <f>IF(OR(履歴データ!$A$679="",履歴データ!$A$678=""),"",I679-I678)</f>
        <v>-0.421875</v>
      </c>
      <c r="S679" s="28">
        <f>IF(OR(履歴データ!$A$679="",履歴データ!$A$678=""),"",(J679-J678)*100)</f>
        <v>1.9999999999999574</v>
      </c>
      <c r="T679" s="11">
        <f>IF(OR(履歴データ!$A$679="",履歴データ!$A$678=""),"",-80000*K679)</f>
        <v>-79999.999999998297</v>
      </c>
      <c r="U679" s="11">
        <f>IF(OR(履歴データ!$A$679="",履歴データ!$A$678=""),"",60000*L679)</f>
        <v>2999.9999999998295</v>
      </c>
      <c r="V679" s="11">
        <f>IF(OR(履歴データ!$A$679="",履歴データ!$A$678=""),"",-50000*M679)</f>
        <v>-159999.99999999942</v>
      </c>
      <c r="W679" s="11">
        <f>IF(OR(履歴データ!$A$679="",履歴データ!$A$678=""),"",-40000*N679)</f>
        <v>40000.000000002561</v>
      </c>
      <c r="X679" s="11">
        <f>IF(OR(履歴データ!$A$679="",履歴データ!$A$678=""),"",120*1000000*(-Q679/H678))</f>
        <v>-391778.41035454569</v>
      </c>
      <c r="Y679" s="11">
        <f>IF(OR(履歴データ!$A$679="",履歴データ!$A$678=""),"",40000*(-S679)+(-506.3)*R679*1000)</f>
        <v>133595.31250000169</v>
      </c>
      <c r="Z679" s="11">
        <f>IF(OR(履歴データ!$A$679="",履歴データ!$A$678=""),"",-40000*O679)</f>
        <v>225999.99999999683</v>
      </c>
      <c r="AA679" s="11">
        <f>IF(OR(履歴データ!$A$679="",履歴データ!$A$678=""),"",-40000*P679)</f>
        <v>-153018.56933593343</v>
      </c>
      <c r="AB679" s="11">
        <f>IF(履歴データ!$A$679="","",123.3)</f>
        <v>123.3</v>
      </c>
      <c r="AC679">
        <f>IF(履歴データ!$A$679="","",SUM(T679:AA679))</f>
        <v>-382201.66719047597</v>
      </c>
      <c r="AD679" s="29">
        <f>IF(履歴データ!$A$679="","",AC679/1000000)</f>
        <v>-0.38220166719047599</v>
      </c>
      <c r="AE679" s="29">
        <f>IF(履歴データ!$A$679="",AE678,AE678+AC679/1000000)</f>
        <v>76.41617492798018</v>
      </c>
      <c r="AF679" s="12">
        <f>IF(OR(履歴データ!$A$679="",AE678=0),"",(AE679-AE678)/AE678)</f>
        <v>-4.9766894058865582E-3</v>
      </c>
      <c r="AG679" s="29">
        <f t="shared" si="32"/>
        <v>102.17217746631495</v>
      </c>
      <c r="AH679" s="12">
        <f>IF(OR(履歴データ!$A$679="",AG679=0),"",AE679/AG679-1)</f>
        <v>-0.25208430687332906</v>
      </c>
      <c r="AJ679" s="28">
        <f t="shared" ca="1" si="30"/>
        <v>8.2212890764103719</v>
      </c>
      <c r="AK679" s="28">
        <f t="shared" ca="1" si="31"/>
        <v>-10.459384314505606</v>
      </c>
    </row>
    <row r="680" spans="1:37">
      <c r="A680" s="10">
        <f>IF(履歴データ!$A$680="","",履歴データ!$A$680)</f>
        <v>45918</v>
      </c>
      <c r="B680" s="28">
        <f>IF(履歴データ!$A$680="","",(履歴データ!$D$680-(履歴データ!$B$680+履歴データ!$F$680)/2)*100)</f>
        <v>-3.4999999999999254</v>
      </c>
      <c r="C680" s="28">
        <f>IF(履歴データ!$A$680="","",(履歴データ!$H$680-(履歴データ!$G$680+履歴データ!$J$680)/2)*100)</f>
        <v>-37.549999999999997</v>
      </c>
      <c r="D680" s="28">
        <f>IF(履歴データ!$A$680="","",(履歴データ!$D$680-履歴データ!$H$680)*100)</f>
        <v>249.5</v>
      </c>
      <c r="E680" s="28">
        <f>IF(履歴データ!$A$680="","",(履歴データ!$D$680-履歴データ!$C$680)*100)</f>
        <v>44.000000000000043</v>
      </c>
      <c r="F680" s="28">
        <f>IF(履歴データ!$A$680="","",(履歴データ!$R$680-履歴データ!$D$680)*100)</f>
        <v>-303.62</v>
      </c>
      <c r="G680" s="28">
        <f>IF(履歴データ!$A$680="","",(履歴データ!$S$680-履歴データ!$R$680)*100)</f>
        <v>72.281642822265567</v>
      </c>
      <c r="H680" s="29">
        <f>IF(履歴データ!$A$680="","",履歴データ!$O$680)</f>
        <v>147.94700622558594</v>
      </c>
      <c r="I680" s="29">
        <f>IF(履歴データ!$A$680="","",履歴データ!$Q$680)</f>
        <v>112.96875</v>
      </c>
      <c r="J680" s="29">
        <f>IF(履歴データ!$A$680="","",履歴データ!$D$680)</f>
        <v>4.1100000000000003</v>
      </c>
      <c r="K680" s="28">
        <f>IF(OR(履歴データ!$A$680="",履歴データ!$A$679=""),"",B680-B679)</f>
        <v>-0.49999999999990052</v>
      </c>
      <c r="L680" s="28">
        <f>IF(OR(履歴データ!$A$680="",履歴データ!$A$679=""),"",C680-C679)</f>
        <v>0.90000000000000568</v>
      </c>
      <c r="M680" s="28">
        <f>IF(OR(履歴データ!$A$680="",履歴データ!$A$679=""),"",D680-D679)</f>
        <v>4.6000000000000227</v>
      </c>
      <c r="N680" s="28">
        <f>IF(OR(履歴データ!$A$680="",履歴データ!$A$679=""),"",E680-E679)</f>
        <v>9.2370555648813024E-14</v>
      </c>
      <c r="O680" s="28">
        <f>IF(OR(履歴データ!$A$680="",履歴データ!$A$679=""),"",F680-F679)</f>
        <v>-5.9200000000000728</v>
      </c>
      <c r="P680" s="28">
        <f>IF(OR(履歴データ!$A$680="",履歴データ!$A$679=""),"",G680-G679)</f>
        <v>-0.83399999999987529</v>
      </c>
      <c r="Q680" s="29">
        <f>IF(OR(履歴データ!$A$680="",履歴データ!$A$679=""),"",H680-H679)</f>
        <v>1.055999755859375</v>
      </c>
      <c r="R680" s="29">
        <f>IF(OR(履歴データ!$A$680="",履歴データ!$A$679=""),"",I680-I679)</f>
        <v>-0.125</v>
      </c>
      <c r="S680" s="28">
        <f>IF(OR(履歴データ!$A$680="",履歴データ!$A$679=""),"",(J680-J679)*100)</f>
        <v>5.0000000000000711</v>
      </c>
      <c r="T680" s="11">
        <f>IF(OR(履歴データ!$A$680="",履歴データ!$A$679=""),"",-80000*K680)</f>
        <v>39999.99999999204</v>
      </c>
      <c r="U680" s="11">
        <f>IF(OR(履歴データ!$A$680="",履歴データ!$A$679=""),"",60000*L680)</f>
        <v>54000.000000000342</v>
      </c>
      <c r="V680" s="11">
        <f>IF(OR(履歴データ!$A$680="",履歴データ!$A$679=""),"",-50000*M680)</f>
        <v>-230000.00000000114</v>
      </c>
      <c r="W680" s="11">
        <f>IF(OR(履歴データ!$A$680="",履歴データ!$A$679=""),"",-40000*N680)</f>
        <v>-3.694822225952521E-9</v>
      </c>
      <c r="X680" s="11">
        <f>IF(OR(履歴データ!$A$680="",履歴データ!$A$679=""),"",120*1000000*(-Q680/H679))</f>
        <v>-862680.25353370619</v>
      </c>
      <c r="Y680" s="11">
        <f>IF(OR(履歴データ!$A$680="",履歴データ!$A$679=""),"",40000*(-S680)+(-506.3)*R680*1000)</f>
        <v>-136712.50000000285</v>
      </c>
      <c r="Z680" s="11">
        <f>IF(OR(履歴データ!$A$680="",履歴データ!$A$679=""),"",-40000*O680)</f>
        <v>236800.00000000291</v>
      </c>
      <c r="AA680" s="11">
        <f>IF(OR(履歴データ!$A$680="",履歴データ!$A$679=""),"",-40000*P680)</f>
        <v>33359.999999995009</v>
      </c>
      <c r="AB680" s="11">
        <f>IF(履歴データ!$A$680="","",123.3)</f>
        <v>123.3</v>
      </c>
      <c r="AC680">
        <f>IF(履歴データ!$A$680="","",SUM(T680:AA680))</f>
        <v>-865232.75353372353</v>
      </c>
      <c r="AD680" s="29">
        <f>IF(履歴データ!$A$680="","",AC680/1000000)</f>
        <v>-0.86523275353372353</v>
      </c>
      <c r="AE680" s="29">
        <f>IF(履歴データ!$A$680="",AE679,AE679+AC680/1000000)</f>
        <v>75.550942174446462</v>
      </c>
      <c r="AF680" s="12">
        <f>IF(OR(履歴データ!$A$680="",AE679=0),"",(AE680-AE679)/AE679)</f>
        <v>-1.1322638883052865E-2</v>
      </c>
      <c r="AG680" s="29">
        <f t="shared" si="32"/>
        <v>102.17217746631495</v>
      </c>
      <c r="AH680" s="12">
        <f>IF(OR(履歴データ!$A$680="",AG680=0),"",AE680/AG680-1)</f>
        <v>-0.26055268618157046</v>
      </c>
      <c r="AJ680" s="28">
        <f t="shared" ca="1" si="30"/>
        <v>8.1653102890892821</v>
      </c>
      <c r="AK680" s="28">
        <f t="shared" ca="1" si="31"/>
        <v>-10.339913463692453</v>
      </c>
    </row>
    <row r="681" spans="1:37">
      <c r="A681" s="10">
        <f>IF(履歴データ!$A$681="","",履歴データ!$A$681)</f>
        <v>45919</v>
      </c>
      <c r="B681" s="28">
        <f>IF(履歴データ!$A$681="","",(履歴データ!$D$681-(履歴データ!$B$681+履歴データ!$F$681)/2)*100)</f>
        <v>-2.0000000000000462</v>
      </c>
      <c r="C681" s="28">
        <f>IF(履歴データ!$A$681="","",(履歴データ!$H$681-(履歴データ!$G$681+履歴データ!$J$681)/2)*100)</f>
        <v>-34.000000000000007</v>
      </c>
      <c r="D681" s="28">
        <f>IF(履歴データ!$A$681="","",(履歴データ!$D$681-履歴データ!$H$681)*100)</f>
        <v>248.49999999999994</v>
      </c>
      <c r="E681" s="28">
        <f>IF(履歴データ!$A$681="","",(履歴データ!$D$681-履歴データ!$C$681)*100)</f>
        <v>45.99999999999995</v>
      </c>
      <c r="F681" s="28">
        <f>IF(履歴データ!$A$681="","",(履歴データ!$R$681-履歴データ!$D$681)*100)</f>
        <v>-307.33</v>
      </c>
      <c r="G681" s="28">
        <f>IF(履歴データ!$A$681="","",(履歴データ!$S$681-履歴データ!$R$681)*100)</f>
        <v>76.499642822265471</v>
      </c>
      <c r="H681" s="29">
        <f>IF(履歴データ!$A$681="","",履歴データ!$O$681)</f>
        <v>147.94700622558594</v>
      </c>
      <c r="I681" s="29">
        <f>IF(履歴データ!$A$681="","",履歴データ!$Q$681)</f>
        <v>112.828125</v>
      </c>
      <c r="J681" s="29">
        <f>IF(履歴データ!$A$681="","",履歴データ!$D$681)</f>
        <v>4.1399999999999997</v>
      </c>
      <c r="K681" s="28">
        <f>IF(OR(履歴データ!$A$681="",履歴データ!$A$680=""),"",B681-B680)</f>
        <v>1.4999999999998792</v>
      </c>
      <c r="L681" s="28">
        <f>IF(OR(履歴データ!$A$681="",履歴データ!$A$680=""),"",C681-C680)</f>
        <v>3.5499999999999901</v>
      </c>
      <c r="M681" s="28">
        <f>IF(OR(履歴データ!$A$681="",履歴データ!$A$680=""),"",D681-D680)</f>
        <v>-1.0000000000000568</v>
      </c>
      <c r="N681" s="28">
        <f>IF(OR(履歴データ!$A$681="",履歴データ!$A$680=""),"",E681-E680)</f>
        <v>1.9999999999999076</v>
      </c>
      <c r="O681" s="28">
        <f>IF(OR(履歴データ!$A$681="",履歴データ!$A$680=""),"",F681-F680)</f>
        <v>-3.7099999999999795</v>
      </c>
      <c r="P681" s="28">
        <f>IF(OR(履歴データ!$A$681="",履歴データ!$A$680=""),"",G681-G680)</f>
        <v>4.217999999999904</v>
      </c>
      <c r="Q681" s="29">
        <f>IF(OR(履歴データ!$A$681="",履歴データ!$A$680=""),"",H681-H680)</f>
        <v>0</v>
      </c>
      <c r="R681" s="29">
        <f>IF(OR(履歴データ!$A$681="",履歴データ!$A$680=""),"",I681-I680)</f>
        <v>-0.140625</v>
      </c>
      <c r="S681" s="28">
        <f>IF(OR(履歴データ!$A$681="",履歴データ!$A$680=""),"",(J681-J680)*100)</f>
        <v>2.9999999999999361</v>
      </c>
      <c r="T681" s="11">
        <f>IF(OR(履歴データ!$A$681="",履歴データ!$A$680=""),"",-80000*K681)</f>
        <v>-119999.99999999034</v>
      </c>
      <c r="U681" s="11">
        <f>IF(OR(履歴データ!$A$681="",履歴データ!$A$680=""),"",60000*L681)</f>
        <v>212999.99999999939</v>
      </c>
      <c r="V681" s="11">
        <f>IF(OR(履歴データ!$A$681="",履歴データ!$A$680=""),"",-50000*M681)</f>
        <v>50000.000000002845</v>
      </c>
      <c r="W681" s="11">
        <f>IF(OR(履歴データ!$A$681="",履歴データ!$A$680=""),"",-40000*N681)</f>
        <v>-79999.999999996304</v>
      </c>
      <c r="X681" s="11">
        <f>IF(OR(履歴データ!$A$681="",履歴データ!$A$680=""),"",120*1000000*(-Q681/H680))</f>
        <v>0</v>
      </c>
      <c r="Y681" s="11">
        <f>IF(OR(履歴データ!$A$681="",履歴データ!$A$680=""),"",40000*(-S681)+(-506.3)*R681*1000)</f>
        <v>-48801.562499997439</v>
      </c>
      <c r="Z681" s="11">
        <f>IF(OR(履歴データ!$A$681="",履歴データ!$A$680=""),"",-40000*O681)</f>
        <v>148399.99999999919</v>
      </c>
      <c r="AA681" s="11">
        <f>IF(OR(履歴データ!$A$681="",履歴データ!$A$680=""),"",-40000*P681)</f>
        <v>-168719.99999999616</v>
      </c>
      <c r="AB681" s="11">
        <f>IF(履歴データ!$A$681="","",123.3)</f>
        <v>123.3</v>
      </c>
      <c r="AC681">
        <f>IF(履歴データ!$A$681="","",SUM(T681:AA681))</f>
        <v>-6121.5624999788124</v>
      </c>
      <c r="AD681" s="29">
        <f>IF(履歴データ!$A$681="","",AC681/1000000)</f>
        <v>-6.1215624999788124E-3</v>
      </c>
      <c r="AE681" s="29">
        <f>IF(履歴データ!$A$681="",AE680,AE680+AC681/1000000)</f>
        <v>75.544820611946477</v>
      </c>
      <c r="AF681" s="12">
        <f>IF(OR(履歴データ!$A$681="",AE680=0),"",(AE681-AE680)/AE680)</f>
        <v>-8.102562752758265E-5</v>
      </c>
      <c r="AG681" s="29">
        <f t="shared" si="32"/>
        <v>102.17217746631495</v>
      </c>
      <c r="AH681" s="12">
        <f>IF(OR(履歴データ!$A$681="",AG681=0),"",AE681/AG681-1)</f>
        <v>-0.2606126003641962</v>
      </c>
      <c r="AJ681" s="28">
        <f t="shared" ca="1" si="30"/>
        <v>8.1022430952725859</v>
      </c>
      <c r="AK681" s="28">
        <f t="shared" ca="1" si="31"/>
        <v>-10.197481190510677</v>
      </c>
    </row>
    <row r="682" spans="1:37">
      <c r="A682" s="10">
        <f>IF(履歴データ!$A$682="","",履歴データ!$A$682)</f>
        <v>45922</v>
      </c>
      <c r="B682" s="28">
        <f>IF(履歴データ!$A$682="","",(履歴データ!$D$682-(履歴データ!$B$682+履歴データ!$F$682)/2)*100)</f>
        <v>-3.9999999999999147</v>
      </c>
      <c r="C682" s="28">
        <f>IF(履歴データ!$A$682="","",(履歴データ!$H$682-(履歴データ!$G$682+履歴データ!$J$682)/2)*100)</f>
        <v>-34.54999999999999</v>
      </c>
      <c r="D682" s="28">
        <f>IF(履歴データ!$A$682="","",(履歴データ!$D$682-履歴データ!$H$682)*100)</f>
        <v>248.10000000000002</v>
      </c>
      <c r="E682" s="28">
        <f>IF(履歴データ!$A$682="","",(履歴データ!$D$682-履歴データ!$C$682)*100)</f>
        <v>44.000000000000043</v>
      </c>
      <c r="F682" s="28">
        <f>IF(履歴データ!$A$682="","",(履歴データ!$R$682-履歴データ!$D$682)*100)</f>
        <v>-307.5</v>
      </c>
      <c r="G682" s="28">
        <f>IF(履歴データ!$A$682="","",(履歴データ!$S$682-履歴データ!$R$682)*100)</f>
        <v>78.651357177734241</v>
      </c>
      <c r="H682" s="29">
        <f>IF(履歴データ!$A$682="","",履歴データ!$O$682)</f>
        <v>147.72500610351563</v>
      </c>
      <c r="I682" s="29">
        <f>IF(履歴データ!$A$682="","",履歴データ!$Q$682)</f>
        <v>112.703125</v>
      </c>
      <c r="J682" s="29">
        <f>IF(履歴データ!$A$682="","",履歴データ!$D$682)</f>
        <v>4.1500000000000004</v>
      </c>
      <c r="K682" s="28">
        <f>IF(OR(履歴データ!$A$682="",履歴データ!$A$681=""),"",B682-B681)</f>
        <v>-1.9999999999998685</v>
      </c>
      <c r="L682" s="28">
        <f>IF(OR(履歴データ!$A$682="",履歴データ!$A$681=""),"",C682-C681)</f>
        <v>-0.54999999999998295</v>
      </c>
      <c r="M682" s="28">
        <f>IF(OR(履歴データ!$A$682="",履歴データ!$A$681=""),"",D682-D681)</f>
        <v>-0.39999999999992042</v>
      </c>
      <c r="N682" s="28">
        <f>IF(OR(履歴データ!$A$682="",履歴データ!$A$681=""),"",E682-E681)</f>
        <v>-1.9999999999999076</v>
      </c>
      <c r="O682" s="28">
        <f>IF(OR(履歴データ!$A$682="",履歴データ!$A$681=""),"",F682-F681)</f>
        <v>-0.17000000000001592</v>
      </c>
      <c r="P682" s="28">
        <f>IF(OR(履歴データ!$A$682="",履歴データ!$A$681=""),"",G682-G681)</f>
        <v>2.1517143554687692</v>
      </c>
      <c r="Q682" s="29">
        <f>IF(OR(履歴データ!$A$682="",履歴データ!$A$681=""),"",H682-H681)</f>
        <v>-0.2220001220703125</v>
      </c>
      <c r="R682" s="29">
        <f>IF(OR(履歴データ!$A$682="",履歴データ!$A$681=""),"",I682-I681)</f>
        <v>-0.125</v>
      </c>
      <c r="S682" s="28">
        <f>IF(OR(履歴データ!$A$682="",履歴データ!$A$681=""),"",(J682-J681)*100)</f>
        <v>1.0000000000000675</v>
      </c>
      <c r="T682" s="11">
        <f>IF(OR(履歴データ!$A$682="",履歴データ!$A$681=""),"",-80000*K682)</f>
        <v>159999.99999998949</v>
      </c>
      <c r="U682" s="11">
        <f>IF(OR(履歴データ!$A$682="",履歴データ!$A$681=""),"",60000*L682)</f>
        <v>-32999.999999998974</v>
      </c>
      <c r="V682" s="11">
        <f>IF(OR(履歴データ!$A$682="",履歴データ!$A$681=""),"",-50000*M682)</f>
        <v>19999.99999999602</v>
      </c>
      <c r="W682" s="11">
        <f>IF(OR(履歴データ!$A$682="",履歴データ!$A$681=""),"",-40000*N682)</f>
        <v>79999.999999996304</v>
      </c>
      <c r="X682" s="11">
        <f>IF(OR(履歴データ!$A$682="",履歴データ!$A$681=""),"",120*1000000*(-Q682/H681))</f>
        <v>180064.57398548143</v>
      </c>
      <c r="Y682" s="11">
        <f>IF(OR(履歴データ!$A$682="",履歴データ!$A$681=""),"",40000*(-S682)+(-506.3)*R682*1000)</f>
        <v>23287.499999997301</v>
      </c>
      <c r="Z682" s="11">
        <f>IF(OR(履歴データ!$A$682="",履歴データ!$A$681=""),"",-40000*O682)</f>
        <v>6800.0000000006366</v>
      </c>
      <c r="AA682" s="11">
        <f>IF(OR(履歴データ!$A$682="",履歴データ!$A$681=""),"",-40000*P682)</f>
        <v>-86068.574218750771</v>
      </c>
      <c r="AB682" s="11">
        <f>IF(履歴データ!$A$682="","",123.3)</f>
        <v>123.3</v>
      </c>
      <c r="AC682">
        <f>IF(履歴データ!$A$682="","",SUM(T682:AA682))</f>
        <v>351083.49976671149</v>
      </c>
      <c r="AD682" s="29">
        <f>IF(履歴データ!$A$682="","",AC682/1000000)</f>
        <v>0.35108349976671149</v>
      </c>
      <c r="AE682" s="29">
        <f>IF(履歴データ!$A$682="",AE681,AE681+AC682/1000000)</f>
        <v>75.895904111713193</v>
      </c>
      <c r="AF682" s="12">
        <f>IF(OR(履歴データ!$A$682="",AE681=0),"",(AE682-AE681)/AE681)</f>
        <v>4.6473536759076839E-3</v>
      </c>
      <c r="AG682" s="29">
        <f t="shared" si="32"/>
        <v>102.17217746631495</v>
      </c>
      <c r="AH682" s="12">
        <f>IF(OR(履歴データ!$A$682="",AG682=0),"",AE682/AG682-1)</f>
        <v>-0.257176405614579</v>
      </c>
      <c r="AJ682" s="28">
        <f t="shared" ca="1" si="30"/>
        <v>8.0284650944487623</v>
      </c>
      <c r="AK682" s="28">
        <f t="shared" ca="1" si="31"/>
        <v>-10.056242872226537</v>
      </c>
    </row>
    <row r="683" spans="1:37">
      <c r="A683" s="10">
        <f>IF(履歴データ!$A$683="","",履歴データ!$A$683)</f>
        <v>45923</v>
      </c>
      <c r="B683" s="28">
        <f>IF(履歴データ!$A$683="","",(履歴データ!$D$683-(履歴データ!$B$683+履歴データ!$F$683)/2)*100)</f>
        <v>-0.99999999999997868</v>
      </c>
      <c r="C683" s="28">
        <f>IF(履歴データ!$A$683="","",(履歴データ!$H$683-(履歴データ!$G$683+履歴データ!$J$683)/2)*100)</f>
        <v>-34.54999999999999</v>
      </c>
      <c r="D683" s="28">
        <f>IF(履歴データ!$A$683="","",(履歴データ!$D$683-履歴データ!$H$683)*100)</f>
        <v>245.1</v>
      </c>
      <c r="E683" s="28">
        <f>IF(履歴データ!$A$683="","",(履歴データ!$D$683-履歴データ!$C$683)*100)</f>
        <v>43.999999999999993</v>
      </c>
      <c r="F683" s="28">
        <f>IF(履歴データ!$A$683="","",(履歴データ!$R$683-履歴データ!$D$683)*100)</f>
        <v>-305.75</v>
      </c>
      <c r="G683" s="28">
        <f>IF(履歴データ!$A$683="","",(履歴データ!$S$683-履歴データ!$R$683)*100)</f>
        <v>79.901357177734241</v>
      </c>
      <c r="H683" s="29">
        <f>IF(履歴データ!$A$683="","",履歴データ!$O$683)</f>
        <v>147.61300659179688</v>
      </c>
      <c r="I683" s="29">
        <f>IF(履歴データ!$A$683="","",履歴データ!$Q$683)</f>
        <v>112.875</v>
      </c>
      <c r="J683" s="29">
        <f>IF(履歴データ!$A$683="","",履歴データ!$D$683)</f>
        <v>4.12</v>
      </c>
      <c r="K683" s="28">
        <f>IF(OR(履歴データ!$A$683="",履歴データ!$A$682=""),"",B683-B682)</f>
        <v>2.9999999999999361</v>
      </c>
      <c r="L683" s="28">
        <f>IF(OR(履歴データ!$A$683="",履歴データ!$A$682=""),"",C683-C682)</f>
        <v>0</v>
      </c>
      <c r="M683" s="28">
        <f>IF(OR(履歴データ!$A$683="",履歴データ!$A$682=""),"",D683-D682)</f>
        <v>-3.0000000000000284</v>
      </c>
      <c r="N683" s="28">
        <f>IF(OR(履歴データ!$A$683="",履歴データ!$A$682=""),"",E683-E682)</f>
        <v>-4.9737991503207013E-14</v>
      </c>
      <c r="O683" s="28">
        <f>IF(OR(履歴データ!$A$683="",履歴データ!$A$682=""),"",F683-F682)</f>
        <v>1.75</v>
      </c>
      <c r="P683" s="28">
        <f>IF(OR(履歴データ!$A$683="",履歴データ!$A$682=""),"",G683-G682)</f>
        <v>1.25</v>
      </c>
      <c r="Q683" s="29">
        <f>IF(OR(履歴データ!$A$683="",履歴データ!$A$682=""),"",H683-H682)</f>
        <v>-0.11199951171875</v>
      </c>
      <c r="R683" s="29">
        <f>IF(OR(履歴データ!$A$683="",履歴データ!$A$682=""),"",I683-I682)</f>
        <v>0.171875</v>
      </c>
      <c r="S683" s="28">
        <f>IF(OR(履歴データ!$A$683="",履歴データ!$A$682=""),"",(J683-J682)*100)</f>
        <v>-3.0000000000000249</v>
      </c>
      <c r="T683" s="11">
        <f>IF(OR(履歴データ!$A$683="",履歴データ!$A$682=""),"",-80000*K683)</f>
        <v>-239999.99999999488</v>
      </c>
      <c r="U683" s="11">
        <f>IF(OR(履歴データ!$A$683="",履歴データ!$A$682=""),"",60000*L683)</f>
        <v>0</v>
      </c>
      <c r="V683" s="11">
        <f>IF(OR(履歴データ!$A$683="",履歴データ!$A$682=""),"",-50000*M683)</f>
        <v>150000.00000000143</v>
      </c>
      <c r="W683" s="11">
        <f>IF(OR(履歴データ!$A$683="",履歴データ!$A$682=""),"",-40000*N683)</f>
        <v>1.9895196601282805E-9</v>
      </c>
      <c r="X683" s="11">
        <f>IF(OR(履歴データ!$A$683="",履歴データ!$A$682=""),"",120*1000000*(-Q683/H682))</f>
        <v>90979.460828941883</v>
      </c>
      <c r="Y683" s="11">
        <f>IF(OR(履歴データ!$A$683="",履歴データ!$A$682=""),"",40000*(-S683)+(-506.3)*R683*1000)</f>
        <v>32979.68750000099</v>
      </c>
      <c r="Z683" s="11">
        <f>IF(OR(履歴データ!$A$683="",履歴データ!$A$682=""),"",-40000*O683)</f>
        <v>-70000</v>
      </c>
      <c r="AA683" s="11">
        <f>IF(OR(履歴データ!$A$683="",履歴データ!$A$682=""),"",-40000*P683)</f>
        <v>-50000</v>
      </c>
      <c r="AB683" s="11">
        <f>IF(履歴データ!$A$683="","",123.3)</f>
        <v>123.3</v>
      </c>
      <c r="AC683">
        <f>IF(履歴データ!$A$683="","",SUM(T683:AA683))</f>
        <v>-86040.851671048586</v>
      </c>
      <c r="AD683" s="29">
        <f>IF(履歴データ!$A$683="","",AC683/1000000)</f>
        <v>-8.6040851671048579E-2</v>
      </c>
      <c r="AE683" s="29">
        <f>IF(履歴データ!$A$683="",AE682,AE682+AC683/1000000)</f>
        <v>75.80986326004215</v>
      </c>
      <c r="AF683" s="12">
        <f>IF(OR(履歴データ!$A$683="",AE682=0),"",(AE683-AE682)/AE682)</f>
        <v>-1.1336692365426964E-3</v>
      </c>
      <c r="AG683" s="29">
        <f t="shared" si="32"/>
        <v>102.17217746631495</v>
      </c>
      <c r="AH683" s="12">
        <f>IF(OR(履歴データ!$A$683="",AG683=0),"",AE683/AG683-1)</f>
        <v>-0.25801852187171181</v>
      </c>
      <c r="AJ683" s="28">
        <f t="shared" ca="1" si="30"/>
        <v>7.9646987364738031</v>
      </c>
      <c r="AK683" s="28">
        <f t="shared" ca="1" si="31"/>
        <v>-9.9051749269499894</v>
      </c>
    </row>
    <row r="684" spans="1:37">
      <c r="A684" s="10">
        <f>IF(履歴データ!$A$684="","",履歴データ!$A$684)</f>
        <v>45924</v>
      </c>
      <c r="B684" s="28">
        <f>IF(履歴データ!$A$684="","",(履歴データ!$D$684-(履歴データ!$B$684+履歴データ!$F$684)/2)*100)</f>
        <v>-0.49999999999998934</v>
      </c>
      <c r="C684" s="28">
        <f>IF(履歴データ!$A$684="","",(履歴データ!$H$684-(履歴データ!$G$684+履歴データ!$J$684)/2)*100)</f>
        <v>-34.800000000000011</v>
      </c>
      <c r="D684" s="28">
        <f>IF(履歴データ!$A$684="","",(履歴データ!$D$684-履歴データ!$H$684)*100)</f>
        <v>250.5</v>
      </c>
      <c r="E684" s="28">
        <f>IF(履歴データ!$A$684="","",(履歴データ!$D$684-履歴データ!$C$684)*100)</f>
        <v>46</v>
      </c>
      <c r="F684" s="28">
        <f>IF(履歴データ!$A$684="","",(履歴データ!$R$684-履歴データ!$D$684)*100)</f>
        <v>-310.01000000000005</v>
      </c>
      <c r="G684" s="28">
        <f>IF(履歴データ!$A$684="","",(履歴データ!$S$684-履歴データ!$R$684)*100)</f>
        <v>82.616999999999834</v>
      </c>
      <c r="H684" s="29">
        <f>IF(履歴データ!$A$684="","",履歴データ!$O$684)</f>
        <v>148.75100708007813</v>
      </c>
      <c r="I684" s="29">
        <f>IF(履歴データ!$A$684="","",履歴データ!$Q$684)</f>
        <v>112.640625</v>
      </c>
      <c r="J684" s="29">
        <f>IF(履歴データ!$A$684="","",履歴データ!$D$684)</f>
        <v>4.16</v>
      </c>
      <c r="K684" s="28">
        <f>IF(OR(履歴データ!$A$684="",履歴データ!$A$683=""),"",B684-B683)</f>
        <v>0.49999999999998934</v>
      </c>
      <c r="L684" s="28">
        <f>IF(OR(履歴データ!$A$684="",履歴データ!$A$683=""),"",C684-C683)</f>
        <v>-0.25000000000002132</v>
      </c>
      <c r="M684" s="28">
        <f>IF(OR(履歴データ!$A$684="",履歴データ!$A$683=""),"",D684-D683)</f>
        <v>5.4000000000000057</v>
      </c>
      <c r="N684" s="28">
        <f>IF(OR(履歴データ!$A$684="",履歴データ!$A$683=""),"",E684-E683)</f>
        <v>2.0000000000000071</v>
      </c>
      <c r="O684" s="28">
        <f>IF(OR(履歴データ!$A$684="",履歴データ!$A$683=""),"",F684-F683)</f>
        <v>-4.2600000000000477</v>
      </c>
      <c r="P684" s="28">
        <f>IF(OR(履歴データ!$A$684="",履歴データ!$A$683=""),"",G684-G683)</f>
        <v>2.7156428222655933</v>
      </c>
      <c r="Q684" s="29">
        <f>IF(OR(履歴データ!$A$684="",履歴データ!$A$683=""),"",H684-H683)</f>
        <v>1.13800048828125</v>
      </c>
      <c r="R684" s="29">
        <f>IF(OR(履歴データ!$A$684="",履歴データ!$A$683=""),"",I684-I683)</f>
        <v>-0.234375</v>
      </c>
      <c r="S684" s="28">
        <f>IF(OR(履歴データ!$A$684="",履歴データ!$A$683=""),"",(J684-J683)*100)</f>
        <v>4.0000000000000036</v>
      </c>
      <c r="T684" s="11">
        <f>IF(OR(履歴データ!$A$684="",履歴データ!$A$683=""),"",-80000*K684)</f>
        <v>-39999.999999999149</v>
      </c>
      <c r="U684" s="11">
        <f>IF(OR(履歴データ!$A$684="",履歴データ!$A$683=""),"",60000*L684)</f>
        <v>-15000.000000001279</v>
      </c>
      <c r="V684" s="11">
        <f>IF(OR(履歴データ!$A$684="",履歴データ!$A$683=""),"",-50000*M684)</f>
        <v>-270000.00000000029</v>
      </c>
      <c r="W684" s="11">
        <f>IF(OR(履歴データ!$A$684="",履歴データ!$A$683=""),"",-40000*N684)</f>
        <v>-80000.000000000291</v>
      </c>
      <c r="X684" s="11">
        <f>IF(OR(履歴データ!$A$684="",履歴データ!$A$683=""),"",120*1000000*(-Q684/H683))</f>
        <v>-925122.12674718932</v>
      </c>
      <c r="Y684" s="11">
        <f>IF(OR(履歴データ!$A$684="",履歴データ!$A$683=""),"",40000*(-S684)+(-506.3)*R684*1000)</f>
        <v>-41335.937500000146</v>
      </c>
      <c r="Z684" s="11">
        <f>IF(OR(履歴データ!$A$684="",履歴データ!$A$683=""),"",-40000*O684)</f>
        <v>170400.00000000192</v>
      </c>
      <c r="AA684" s="11">
        <f>IF(OR(履歴データ!$A$684="",履歴データ!$A$683=""),"",-40000*P684)</f>
        <v>-108625.71289062373</v>
      </c>
      <c r="AB684" s="11">
        <f>IF(履歴データ!$A$684="","",123.3)</f>
        <v>123.3</v>
      </c>
      <c r="AC684">
        <f>IF(履歴データ!$A$684="","",SUM(T684:AA684))</f>
        <v>-1309683.7771378125</v>
      </c>
      <c r="AD684" s="29">
        <f>IF(履歴データ!$A$684="","",AC684/1000000)</f>
        <v>-1.3096837771378125</v>
      </c>
      <c r="AE684" s="29">
        <f>IF(履歴データ!$A$684="",AE683,AE683+AC684/1000000)</f>
        <v>74.500179482904343</v>
      </c>
      <c r="AF684" s="12">
        <f>IF(OR(履歴データ!$A$684="",AE683=0),"",(AE684-AE683)/AE683)</f>
        <v>-1.7275902116395375E-2</v>
      </c>
      <c r="AG684" s="29">
        <f t="shared" si="32"/>
        <v>102.17217746631495</v>
      </c>
      <c r="AH684" s="12">
        <f>IF(OR(履歴データ!$A$684="",AG684=0),"",AE684/AG684-1)</f>
        <v>-0.27083692126003445</v>
      </c>
      <c r="AJ684" s="28">
        <f t="shared" ca="1" si="30"/>
        <v>7.9352014500876935</v>
      </c>
      <c r="AK684" s="28">
        <f t="shared" ca="1" si="31"/>
        <v>-9.8042490691353077</v>
      </c>
    </row>
    <row r="685" spans="1:37">
      <c r="A685" s="10">
        <f>IF(履歴データ!$A$685="","",履歴データ!$A$685)</f>
        <v>45925</v>
      </c>
      <c r="B685" s="28">
        <f>IF(履歴データ!$A$685="","",(履歴データ!$D$685-(履歴データ!$B$685+履歴データ!$F$685)/2)*100)</f>
        <v>-1.5000000000000568</v>
      </c>
      <c r="C685" s="28">
        <f>IF(履歴データ!$A$685="","",(履歴データ!$H$685-(履歴データ!$G$685+履歴データ!$J$685)/2)*100)</f>
        <v>-33.599999999999987</v>
      </c>
      <c r="D685" s="28">
        <f>IF(履歴データ!$A$685="","",(履歴データ!$D$685-履歴データ!$H$685)*100)</f>
        <v>252.1</v>
      </c>
      <c r="E685" s="28">
        <f>IF(履歴データ!$A$685="","",(履歴データ!$D$685-履歴データ!$C$685)*100)</f>
        <v>42.999999999999972</v>
      </c>
      <c r="F685" s="28">
        <f>IF(履歴データ!$A$685="","",(履歴データ!$R$685-履歴データ!$D$685)*100)</f>
        <v>-312.41999999999996</v>
      </c>
      <c r="G685" s="28">
        <f>IF(履歴データ!$A$685="","",(履歴データ!$S$685-履歴データ!$R$685)*100)</f>
        <v>74.958642822265404</v>
      </c>
      <c r="H685" s="29">
        <f>IF(履歴データ!$A$685="","",履歴データ!$O$685)</f>
        <v>149.86099243164063</v>
      </c>
      <c r="I685" s="29">
        <f>IF(履歴データ!$A$685="","",履歴データ!$Q$685)</f>
        <v>112.328125</v>
      </c>
      <c r="J685" s="29">
        <f>IF(履歴データ!$A$685="","",履歴データ!$D$685)</f>
        <v>4.18</v>
      </c>
      <c r="K685" s="28">
        <f>IF(OR(履歴データ!$A$685="",履歴データ!$A$684=""),"",B685-B684)</f>
        <v>-1.0000000000000675</v>
      </c>
      <c r="L685" s="28">
        <f>IF(OR(履歴データ!$A$685="",履歴データ!$A$684=""),"",C685-C684)</f>
        <v>1.2000000000000242</v>
      </c>
      <c r="M685" s="28">
        <f>IF(OR(履歴データ!$A$685="",履歴データ!$A$684=""),"",D685-D684)</f>
        <v>1.5999999999999943</v>
      </c>
      <c r="N685" s="28">
        <f>IF(OR(履歴データ!$A$685="",履歴データ!$A$684=""),"",E685-E684)</f>
        <v>-3.0000000000000284</v>
      </c>
      <c r="O685" s="28">
        <f>IF(OR(履歴データ!$A$685="",履歴データ!$A$684=""),"",F685-F684)</f>
        <v>-2.4099999999999113</v>
      </c>
      <c r="P685" s="28">
        <f>IF(OR(履歴データ!$A$685="",履歴データ!$A$684=""),"",G685-G684)</f>
        <v>-7.6583571777344304</v>
      </c>
      <c r="Q685" s="29">
        <f>IF(OR(履歴データ!$A$685="",履歴データ!$A$684=""),"",H685-H684)</f>
        <v>1.1099853515625</v>
      </c>
      <c r="R685" s="29">
        <f>IF(OR(履歴データ!$A$685="",履歴データ!$A$684=""),"",I685-I684)</f>
        <v>-0.3125</v>
      </c>
      <c r="S685" s="28">
        <f>IF(OR(履歴データ!$A$685="",履歴データ!$A$684=""),"",(J685-J684)*100)</f>
        <v>1.9999999999999574</v>
      </c>
      <c r="T685" s="11">
        <f>IF(OR(履歴データ!$A$685="",履歴データ!$A$684=""),"",-80000*K685)</f>
        <v>80000.000000005399</v>
      </c>
      <c r="U685" s="11">
        <f>IF(OR(履歴データ!$A$685="",履歴データ!$A$684=""),"",60000*L685)</f>
        <v>72000.000000001455</v>
      </c>
      <c r="V685" s="11">
        <f>IF(OR(履歴データ!$A$685="",履歴データ!$A$684=""),"",-50000*M685)</f>
        <v>-79999.999999999709</v>
      </c>
      <c r="W685" s="11">
        <f>IF(OR(履歴データ!$A$685="",履歴データ!$A$684=""),"",-40000*N685)</f>
        <v>120000.00000000114</v>
      </c>
      <c r="X685" s="11">
        <f>IF(OR(履歴データ!$A$685="",履歴データ!$A$684=""),"",120*1000000*(-Q685/H684))</f>
        <v>-895444.30523280089</v>
      </c>
      <c r="Y685" s="11">
        <f>IF(OR(履歴データ!$A$685="",履歴データ!$A$684=""),"",40000*(-S685)+(-506.3)*R685*1000)</f>
        <v>78218.750000001703</v>
      </c>
      <c r="Z685" s="11">
        <f>IF(OR(履歴データ!$A$685="",履歴データ!$A$684=""),"",-40000*O685)</f>
        <v>96399.999999996449</v>
      </c>
      <c r="AA685" s="11">
        <f>IF(OR(履歴データ!$A$685="",履歴データ!$A$684=""),"",-40000*P685)</f>
        <v>306334.28710937721</v>
      </c>
      <c r="AB685" s="11">
        <f>IF(履歴データ!$A$685="","",123.3)</f>
        <v>123.3</v>
      </c>
      <c r="AC685">
        <f>IF(履歴データ!$A$685="","",SUM(T685:AA685))</f>
        <v>-222491.26812341728</v>
      </c>
      <c r="AD685" s="29">
        <f>IF(履歴データ!$A$685="","",AC685/1000000)</f>
        <v>-0.22249126812341727</v>
      </c>
      <c r="AE685" s="29">
        <f>IF(履歴データ!$A$685="",AE684,AE684+AC685/1000000)</f>
        <v>74.277688214780923</v>
      </c>
      <c r="AF685" s="12">
        <f>IF(OR(履歴データ!$A$685="",AE684=0),"",(AE685-AE684)/AE684)</f>
        <v>-2.9864527799490135E-3</v>
      </c>
      <c r="AG685" s="29">
        <f t="shared" si="32"/>
        <v>102.17217746631495</v>
      </c>
      <c r="AH685" s="12">
        <f>IF(OR(履歴データ!$A$685="",AG685=0),"",AE685/AG685-1)</f>
        <v>-0.27301453236357354</v>
      </c>
      <c r="AJ685" s="28">
        <f t="shared" ca="1" si="30"/>
        <v>7.9161719432748727</v>
      </c>
      <c r="AK685" s="28">
        <f t="shared" ca="1" si="31"/>
        <v>-9.7336322607351882</v>
      </c>
    </row>
    <row r="686" spans="1:37">
      <c r="A686" s="10">
        <f>IF(履歴データ!$A$686="","",履歴データ!$A$686)</f>
        <v>45926</v>
      </c>
      <c r="B686" s="28">
        <f>IF(履歴データ!$A$686="","",(履歴データ!$D$686-(履歴データ!$B$686+履歴データ!$F$686)/2)*100)</f>
        <v>8.8817841970012523E-14</v>
      </c>
      <c r="C686" s="28">
        <f>IF(履歴データ!$A$686="","",(履歴データ!$H$686-(履歴データ!$G$686+履歴データ!$J$686)/2)*100)</f>
        <v>-33.850000000000023</v>
      </c>
      <c r="D686" s="28">
        <f>IF(履歴データ!$A$686="","",(履歴データ!$D$686-履歴データ!$H$686)*100)</f>
        <v>253.10000000000002</v>
      </c>
      <c r="E686" s="28">
        <f>IF(履歴データ!$A$686="","",(履歴データ!$D$686-履歴データ!$C$686)*100)</f>
        <v>44.000000000000043</v>
      </c>
      <c r="F686" s="28">
        <f>IF(履歴データ!$A$686="","",(履歴データ!$R$686-履歴データ!$D$686)*100)</f>
        <v>-314.42</v>
      </c>
      <c r="G686" s="28">
        <f>IF(履歴データ!$A$686="","",(履歴データ!$S$686-履歴データ!$R$686)*100)</f>
        <v>76.887999999999892</v>
      </c>
      <c r="H686" s="29">
        <f>IF(履歴データ!$A$686="","",履歴データ!$O$686)</f>
        <v>149.86099243164063</v>
      </c>
      <c r="I686" s="29">
        <f>IF(履歴データ!$A$686="","",履歴データ!$Q$686)</f>
        <v>112.265625</v>
      </c>
      <c r="J686" s="29">
        <f>IF(履歴データ!$A$686="","",履歴データ!$D$686)</f>
        <v>4.2</v>
      </c>
      <c r="K686" s="28">
        <f>IF(OR(履歴データ!$A$686="",履歴データ!$A$685=""),"",B686-B685)</f>
        <v>1.5000000000001457</v>
      </c>
      <c r="L686" s="28">
        <f>IF(OR(履歴データ!$A$686="",履歴データ!$A$685=""),"",C686-C685)</f>
        <v>-0.25000000000003553</v>
      </c>
      <c r="M686" s="28">
        <f>IF(OR(履歴データ!$A$686="",履歴データ!$A$685=""),"",D686-D685)</f>
        <v>1.0000000000000284</v>
      </c>
      <c r="N686" s="28">
        <f>IF(OR(履歴データ!$A$686="",履歴データ!$A$685=""),"",E686-E685)</f>
        <v>1.0000000000000711</v>
      </c>
      <c r="O686" s="28">
        <f>IF(OR(履歴データ!$A$686="",履歴データ!$A$685=""),"",F686-F685)</f>
        <v>-2.0000000000000568</v>
      </c>
      <c r="P686" s="28">
        <f>IF(OR(履歴データ!$A$686="",履歴データ!$A$685=""),"",G686-G685)</f>
        <v>1.929357177734488</v>
      </c>
      <c r="Q686" s="29">
        <f>IF(OR(履歴データ!$A$686="",履歴データ!$A$685=""),"",H686-H685)</f>
        <v>0</v>
      </c>
      <c r="R686" s="29">
        <f>IF(OR(履歴データ!$A$686="",履歴データ!$A$685=""),"",I686-I685)</f>
        <v>-6.25E-2</v>
      </c>
      <c r="S686" s="28">
        <f>IF(OR(履歴データ!$A$686="",履歴データ!$A$685=""),"",(J686-J685)*100)</f>
        <v>2.0000000000000462</v>
      </c>
      <c r="T686" s="11">
        <f>IF(OR(履歴データ!$A$686="",履歴データ!$A$685=""),"",-80000*K686)</f>
        <v>-120000.00000001166</v>
      </c>
      <c r="U686" s="11">
        <f>IF(OR(履歴データ!$A$686="",履歴データ!$A$685=""),"",60000*L686)</f>
        <v>-15000.000000002132</v>
      </c>
      <c r="V686" s="11">
        <f>IF(OR(履歴データ!$A$686="",履歴データ!$A$685=""),"",-50000*M686)</f>
        <v>-50000.000000001419</v>
      </c>
      <c r="W686" s="11">
        <f>IF(OR(履歴データ!$A$686="",履歴データ!$A$685=""),"",-40000*N686)</f>
        <v>-40000.000000002845</v>
      </c>
      <c r="X686" s="11">
        <f>IF(OR(履歴データ!$A$686="",履歴データ!$A$685=""),"",120*1000000*(-Q686/H685))</f>
        <v>0</v>
      </c>
      <c r="Y686" s="11">
        <f>IF(OR(履歴データ!$A$686="",履歴データ!$A$685=""),"",40000*(-S686)+(-506.3)*R686*1000)</f>
        <v>-48356.250000001848</v>
      </c>
      <c r="Z686" s="11">
        <f>IF(OR(履歴データ!$A$686="",履歴データ!$A$685=""),"",-40000*O686)</f>
        <v>80000.00000000227</v>
      </c>
      <c r="AA686" s="11">
        <f>IF(OR(履歴データ!$A$686="",履歴データ!$A$685=""),"",-40000*P686)</f>
        <v>-77174.287109379526</v>
      </c>
      <c r="AB686" s="11">
        <f>IF(履歴データ!$A$686="","",123.3)</f>
        <v>123.3</v>
      </c>
      <c r="AC686">
        <f>IF(履歴データ!$A$686="","",SUM(T686:AA686))</f>
        <v>-270530.53710939718</v>
      </c>
      <c r="AD686" s="29">
        <f>IF(履歴データ!$A$686="","",AC686/1000000)</f>
        <v>-0.27053053710939717</v>
      </c>
      <c r="AE686" s="29">
        <f>IF(履歴データ!$A$686="",AE685,AE685+AC686/1000000)</f>
        <v>74.007157677671529</v>
      </c>
      <c r="AF686" s="12">
        <f>IF(OR(履歴データ!$A$686="",AE685=0),"",(AE686-AE685)/AE685)</f>
        <v>-3.6421507401674879E-3</v>
      </c>
      <c r="AG686" s="29">
        <f t="shared" si="32"/>
        <v>102.17217746631495</v>
      </c>
      <c r="AH686" s="12">
        <f>IF(OR(履歴データ!$A$686="",AG686=0),"",AE686/AG686-1)</f>
        <v>-0.27566232302261662</v>
      </c>
      <c r="AJ686" s="28">
        <f t="shared" ca="1" si="30"/>
        <v>7.9029155066493608</v>
      </c>
      <c r="AK686" s="28">
        <f t="shared" ca="1" si="31"/>
        <v>-9.6568837606176103</v>
      </c>
    </row>
    <row r="687" spans="1:37">
      <c r="A687" s="10">
        <f>IF(履歴データ!$A$687="","",履歴データ!$A$687)</f>
        <v>45929</v>
      </c>
      <c r="B687" s="28">
        <f>IF(履歴データ!$A$687="","",(履歴データ!$D$687-(履歴データ!$B$687+履歴データ!$F$687)/2)*100)</f>
        <v>-1.9999999999999574</v>
      </c>
      <c r="C687" s="28">
        <f>IF(履歴データ!$A$687="","",(履歴データ!$H$687-(履歴データ!$G$687+履歴データ!$J$687)/2)*100)</f>
        <v>-33.349999999999994</v>
      </c>
      <c r="D687" s="28">
        <f>IF(履歴データ!$A$687="","",(履歴データ!$D$687-履歴データ!$H$687)*100)</f>
        <v>249.30000000000004</v>
      </c>
      <c r="E687" s="28">
        <f>IF(履歴データ!$A$687="","",(履歴データ!$D$687-履歴データ!$C$687)*100)</f>
        <v>41.000000000000014</v>
      </c>
      <c r="F687" s="28">
        <f>IF(履歴データ!$A$687="","",(履歴データ!$R$687-履歴データ!$D$687)*100)</f>
        <v>-308.59000000000003</v>
      </c>
      <c r="G687" s="28">
        <f>IF(履歴データ!$A$687="","",(履歴データ!$S$687-履歴データ!$R$687)*100)</f>
        <v>76.233357177734163</v>
      </c>
      <c r="H687" s="29">
        <f>IF(履歴データ!$A$687="","",履歴データ!$O$687)</f>
        <v>148.59500122070313</v>
      </c>
      <c r="I687" s="29">
        <f>IF(履歴データ!$A$687="","",履歴データ!$Q$687)</f>
        <v>112.515625</v>
      </c>
      <c r="J687" s="29">
        <f>IF(履歴データ!$A$687="","",履歴データ!$D$687)</f>
        <v>4.1500000000000004</v>
      </c>
      <c r="K687" s="28">
        <f>IF(OR(履歴データ!$A$687="",履歴データ!$A$686=""),"",B687-B686)</f>
        <v>-2.0000000000000462</v>
      </c>
      <c r="L687" s="28">
        <f>IF(OR(履歴データ!$A$687="",履歴データ!$A$686=""),"",C687-C686)</f>
        <v>0.50000000000002842</v>
      </c>
      <c r="M687" s="28">
        <f>IF(OR(履歴データ!$A$687="",履歴データ!$A$686=""),"",D687-D686)</f>
        <v>-3.7999999999999829</v>
      </c>
      <c r="N687" s="28">
        <f>IF(OR(履歴データ!$A$687="",履歴データ!$A$686=""),"",E687-E686)</f>
        <v>-3.0000000000000284</v>
      </c>
      <c r="O687" s="28">
        <f>IF(OR(履歴データ!$A$687="",履歴データ!$A$686=""),"",F687-F686)</f>
        <v>5.8299999999999841</v>
      </c>
      <c r="P687" s="28">
        <f>IF(OR(履歴データ!$A$687="",履歴データ!$A$686=""),"",G687-G686)</f>
        <v>-0.65464282226572834</v>
      </c>
      <c r="Q687" s="29">
        <f>IF(OR(履歴データ!$A$687="",履歴データ!$A$686=""),"",H687-H686)</f>
        <v>-1.2659912109375</v>
      </c>
      <c r="R687" s="29">
        <f>IF(OR(履歴データ!$A$687="",履歴データ!$A$686=""),"",I687-I686)</f>
        <v>0.25</v>
      </c>
      <c r="S687" s="28">
        <f>IF(OR(履歴データ!$A$687="",履歴データ!$A$686=""),"",(J687-J686)*100)</f>
        <v>-4.9999999999999822</v>
      </c>
      <c r="T687" s="11">
        <f>IF(OR(履歴データ!$A$687="",履歴データ!$A$686=""),"",-80000*K687)</f>
        <v>160000.0000000037</v>
      </c>
      <c r="U687" s="11">
        <f>IF(OR(履歴データ!$A$687="",履歴データ!$A$686=""),"",60000*L687)</f>
        <v>30000.000000001706</v>
      </c>
      <c r="V687" s="11">
        <f>IF(OR(履歴データ!$A$687="",履歴データ!$A$686=""),"",-50000*M687)</f>
        <v>189999.99999999916</v>
      </c>
      <c r="W687" s="11">
        <f>IF(OR(履歴データ!$A$687="",履歴データ!$A$686=""),"",-40000*N687)</f>
        <v>120000.00000000114</v>
      </c>
      <c r="X687" s="11">
        <f>IF(OR(履歴データ!$A$687="",履歴データ!$A$686=""),"",120*1000000*(-Q687/H686))</f>
        <v>1013732.4119336666</v>
      </c>
      <c r="Y687" s="11">
        <f>IF(OR(履歴データ!$A$687="",履歴データ!$A$686=""),"",40000*(-S687)+(-506.3)*R687*1000)</f>
        <v>73424.999999999302</v>
      </c>
      <c r="Z687" s="11">
        <f>IF(OR(履歴データ!$A$687="",履歴データ!$A$686=""),"",-40000*O687)</f>
        <v>-233199.99999999936</v>
      </c>
      <c r="AA687" s="11">
        <f>IF(OR(履歴データ!$A$687="",履歴データ!$A$686=""),"",-40000*P687)</f>
        <v>26185.712890629133</v>
      </c>
      <c r="AB687" s="11">
        <f>IF(履歴データ!$A$687="","",123.3)</f>
        <v>123.3</v>
      </c>
      <c r="AC687">
        <f>IF(履歴データ!$A$687="","",SUM(T687:AA687))</f>
        <v>1380143.1248243013</v>
      </c>
      <c r="AD687" s="29">
        <f>IF(履歴データ!$A$687="","",AC687/1000000)</f>
        <v>1.3801431248243012</v>
      </c>
      <c r="AE687" s="29">
        <f>IF(履歴データ!$A$687="",AE686,AE686+AC687/1000000)</f>
        <v>75.38730080249583</v>
      </c>
      <c r="AF687" s="12">
        <f>IF(OR(履歴データ!$A$687="",AE686=0),"",(AE687-AE686)/AE686)</f>
        <v>1.8648778957777747E-2</v>
      </c>
      <c r="AG687" s="29">
        <f t="shared" si="32"/>
        <v>102.17217746631495</v>
      </c>
      <c r="AH687" s="12">
        <f>IF(OR(履歴データ!$A$687="",AG687=0),"",AE687/AG687-1)</f>
        <v>-0.26215430979387511</v>
      </c>
      <c r="AJ687" s="28">
        <f t="shared" ca="1" si="30"/>
        <v>7.9004931847372637</v>
      </c>
      <c r="AK687" s="28">
        <f t="shared" ca="1" si="31"/>
        <v>-9.6306519148959886</v>
      </c>
    </row>
    <row r="688" spans="1:37">
      <c r="A688" s="10">
        <f>IF(履歴データ!$A$688="","",履歴データ!$A$688)</f>
        <v>45930</v>
      </c>
      <c r="B688" s="28">
        <f>IF(履歴データ!$A$688="","",(履歴データ!$D$688-(履歴データ!$B$688+履歴データ!$F$688)/2)*100)</f>
        <v>-0.49999999999998934</v>
      </c>
      <c r="C688" s="28">
        <f>IF(履歴データ!$A$688="","",(履歴データ!$H$688-(履歴データ!$G$688+履歴データ!$J$688)/2)*100)</f>
        <v>-35.050000000000026</v>
      </c>
      <c r="D688" s="28">
        <f>IF(履歴データ!$A$688="","",(履歴データ!$D$688-履歴データ!$H$688)*100)</f>
        <v>249.8</v>
      </c>
      <c r="E688" s="28">
        <f>IF(履歴データ!$A$688="","",(履歴データ!$D$688-履歴データ!$C$688)*100)</f>
        <v>41.999999999999993</v>
      </c>
      <c r="F688" s="28">
        <f>IF(履歴データ!$A$688="","",(履歴データ!$R$688-履歴データ!$D$688)*100)</f>
        <v>-314.98</v>
      </c>
      <c r="G688" s="28">
        <f>IF(履歴データ!$A$688="","",(履歴データ!$S$688-履歴データ!$R$688)*100)</f>
        <v>79.693999999999861</v>
      </c>
      <c r="H688" s="29">
        <f>IF(履歴データ!$A$688="","",履歴データ!$O$688)</f>
        <v>147.99699401855469</v>
      </c>
      <c r="I688" s="29">
        <f>IF(履歴データ!$A$688="","",履歴データ!$Q$688)</f>
        <v>112.5</v>
      </c>
      <c r="J688" s="29">
        <f>IF(履歴データ!$A$688="","",履歴データ!$D$688)</f>
        <v>4.16</v>
      </c>
      <c r="K688" s="28">
        <f>IF(OR(履歴データ!$A$688="",履歴データ!$A$687=""),"",B688-B687)</f>
        <v>1.499999999999968</v>
      </c>
      <c r="L688" s="28">
        <f>IF(OR(履歴データ!$A$688="",履歴データ!$A$687=""),"",C688-C687)</f>
        <v>-1.7000000000000313</v>
      </c>
      <c r="M688" s="28">
        <f>IF(OR(履歴データ!$A$688="",履歴データ!$A$687=""),"",D688-D687)</f>
        <v>0.49999999999997158</v>
      </c>
      <c r="N688" s="28">
        <f>IF(OR(履歴データ!$A$688="",履歴データ!$A$687=""),"",E688-E687)</f>
        <v>0.99999999999997868</v>
      </c>
      <c r="O688" s="28">
        <f>IF(OR(履歴データ!$A$688="",履歴データ!$A$687=""),"",F688-F687)</f>
        <v>-6.3899999999999864</v>
      </c>
      <c r="P688" s="28">
        <f>IF(OR(履歴データ!$A$688="",履歴データ!$A$687=""),"",G688-G687)</f>
        <v>3.4606428222656973</v>
      </c>
      <c r="Q688" s="29">
        <f>IF(OR(履歴データ!$A$688="",履歴データ!$A$687=""),"",H688-H687)</f>
        <v>-0.5980072021484375</v>
      </c>
      <c r="R688" s="29">
        <f>IF(OR(履歴データ!$A$688="",履歴データ!$A$687=""),"",I688-I687)</f>
        <v>-1.5625E-2</v>
      </c>
      <c r="S688" s="28">
        <f>IF(OR(履歴データ!$A$688="",履歴データ!$A$687=""),"",(J688-J687)*100)</f>
        <v>0.99999999999997868</v>
      </c>
      <c r="T688" s="11">
        <f>IF(OR(履歴データ!$A$688="",履歴データ!$A$687=""),"",-80000*K688)</f>
        <v>-119999.99999999744</v>
      </c>
      <c r="U688" s="11">
        <f>IF(OR(履歴データ!$A$688="",履歴データ!$A$687=""),"",60000*L688)</f>
        <v>-102000.00000000188</v>
      </c>
      <c r="V688" s="11">
        <f>IF(OR(履歴データ!$A$688="",履歴データ!$A$687=""),"",-50000*M688)</f>
        <v>-24999.999999998578</v>
      </c>
      <c r="W688" s="11">
        <f>IF(OR(履歴データ!$A$688="",履歴データ!$A$687=""),"",-40000*N688)</f>
        <v>-39999.999999999149</v>
      </c>
      <c r="X688" s="11">
        <f>IF(OR(履歴データ!$A$688="",履歴データ!$A$687=""),"",120*1000000*(-Q688/H687))</f>
        <v>482929.19457787497</v>
      </c>
      <c r="Y688" s="11">
        <f>IF(OR(履歴データ!$A$688="",履歴データ!$A$687=""),"",40000*(-S688)+(-506.3)*R688*1000)</f>
        <v>-32089.062499999149</v>
      </c>
      <c r="Z688" s="11">
        <f>IF(OR(履歴データ!$A$688="",履歴データ!$A$687=""),"",-40000*O688)</f>
        <v>255599.99999999945</v>
      </c>
      <c r="AA688" s="11">
        <f>IF(OR(履歴データ!$A$688="",履歴データ!$A$687=""),"",-40000*P688)</f>
        <v>-138425.71289062788</v>
      </c>
      <c r="AB688" s="11">
        <f>IF(履歴データ!$A$688="","",123.3)</f>
        <v>123.3</v>
      </c>
      <c r="AC688">
        <f>IF(履歴データ!$A$688="","",SUM(T688:AA688))</f>
        <v>281014.41918725031</v>
      </c>
      <c r="AD688" s="29">
        <f>IF(履歴データ!$A$688="","",AC688/1000000)</f>
        <v>0.28101441918725034</v>
      </c>
      <c r="AE688" s="29">
        <f>IF(履歴データ!$A$688="",AE687,AE687+AC688/1000000)</f>
        <v>75.668315221683073</v>
      </c>
      <c r="AF688" s="12">
        <f>IF(OR(履歴データ!$A$688="",AE687=0),"",(AE688-AE687)/AE687)</f>
        <v>3.7276095071166206E-3</v>
      </c>
      <c r="AG688" s="29">
        <f t="shared" si="32"/>
        <v>102.17217746631495</v>
      </c>
      <c r="AH688" s="12">
        <f>IF(OR(履歴データ!$A$688="",AG688=0),"",AE688/AG688-1)</f>
        <v>-0.2594039091842778</v>
      </c>
      <c r="AJ688" s="28">
        <f t="shared" ca="1" si="30"/>
        <v>7.9044108576118388</v>
      </c>
      <c r="AK688" s="28">
        <f t="shared" ca="1" si="31"/>
        <v>-9.6028235560245339</v>
      </c>
    </row>
    <row r="689" spans="1:37">
      <c r="A689" s="10">
        <f>IF(履歴データ!$A$689="","",履歴データ!$A$689)</f>
        <v>45931</v>
      </c>
      <c r="B689" s="28">
        <f>IF(履歴データ!$A$689="","",(履歴データ!$D$689-(履歴データ!$B$689+履歴データ!$F$689)/2)*100)</f>
        <v>-1.499999999999968</v>
      </c>
      <c r="C689" s="28">
        <f>IF(履歴データ!$A$689="","",(履歴データ!$H$689-(履歴データ!$G$689+履歴データ!$J$689)/2)*100)</f>
        <v>-35.099999999999973</v>
      </c>
      <c r="D689" s="28">
        <f>IF(履歴データ!$A$689="","",(履歴データ!$D$689-履歴データ!$H$689)*100)</f>
        <v>245.7</v>
      </c>
      <c r="E689" s="28">
        <f>IF(履歴データ!$A$689="","",(履歴データ!$D$689-履歴データ!$C$689)*100)</f>
        <v>43.999999999999993</v>
      </c>
      <c r="F689" s="28">
        <f>IF(履歴データ!$A$689="","",(履歴データ!$R$689-履歴データ!$D$689)*100)</f>
        <v>-309.94</v>
      </c>
      <c r="G689" s="28">
        <f>IF(履歴データ!$A$689="","",(履歴データ!$S$689-履歴データ!$R$689)*100)</f>
        <v>83.915999999999798</v>
      </c>
      <c r="H689" s="29">
        <f>IF(履歴データ!$A$689="","",履歴データ!$O$689)</f>
        <v>147.08299255371094</v>
      </c>
      <c r="I689" s="29">
        <f>IF(履歴データ!$A$689="","",履歴データ!$Q$689)</f>
        <v>112.84375</v>
      </c>
      <c r="J689" s="29">
        <f>IF(履歴データ!$A$689="","",履歴データ!$D$689)</f>
        <v>4.12</v>
      </c>
      <c r="K689" s="28">
        <f>IF(OR(履歴データ!$A$689="",履歴データ!$A$688=""),"",B689-B688)</f>
        <v>-0.99999999999997868</v>
      </c>
      <c r="L689" s="28">
        <f>IF(OR(履歴データ!$A$689="",履歴データ!$A$688=""),"",C689-C688)</f>
        <v>-4.999999999994742E-2</v>
      </c>
      <c r="M689" s="28">
        <f>IF(OR(履歴データ!$A$689="",履歴データ!$A$688=""),"",D689-D688)</f>
        <v>-4.1000000000000227</v>
      </c>
      <c r="N689" s="28">
        <f>IF(OR(履歴データ!$A$689="",履歴データ!$A$688=""),"",E689-E688)</f>
        <v>2</v>
      </c>
      <c r="O689" s="28">
        <f>IF(OR(履歴データ!$A$689="",履歴データ!$A$688=""),"",F689-F688)</f>
        <v>5.0400000000000205</v>
      </c>
      <c r="P689" s="28">
        <f>IF(OR(履歴データ!$A$689="",履歴データ!$A$688=""),"",G689-G688)</f>
        <v>4.2219999999999374</v>
      </c>
      <c r="Q689" s="29">
        <f>IF(OR(履歴データ!$A$689="",履歴データ!$A$688=""),"",H689-H688)</f>
        <v>-0.91400146484375</v>
      </c>
      <c r="R689" s="29">
        <f>IF(OR(履歴データ!$A$689="",履歴データ!$A$688=""),"",I689-I688)</f>
        <v>0.34375</v>
      </c>
      <c r="S689" s="28">
        <f>IF(OR(履歴データ!$A$689="",履歴データ!$A$688=""),"",(J689-J688)*100)</f>
        <v>-4.0000000000000036</v>
      </c>
      <c r="T689" s="11">
        <f>IF(OR(履歴データ!$A$689="",履歴データ!$A$688=""),"",-80000*K689)</f>
        <v>79999.999999998297</v>
      </c>
      <c r="U689" s="11">
        <f>IF(OR(履歴データ!$A$689="",履歴データ!$A$688=""),"",60000*L689)</f>
        <v>-2999.999999996845</v>
      </c>
      <c r="V689" s="11">
        <f>IF(OR(履歴データ!$A$689="",履歴データ!$A$688=""),"",-50000*M689)</f>
        <v>205000.00000000114</v>
      </c>
      <c r="W689" s="11">
        <f>IF(OR(履歴データ!$A$689="",履歴データ!$A$688=""),"",-40000*N689)</f>
        <v>-80000</v>
      </c>
      <c r="X689" s="11">
        <f>IF(OR(履歴データ!$A$689="",履歴データ!$A$688=""),"",120*1000000*(-Q689/H688))</f>
        <v>741097.32098679768</v>
      </c>
      <c r="Y689" s="11">
        <f>IF(OR(履歴データ!$A$689="",履歴データ!$A$688=""),"",40000*(-S689)+(-506.3)*R689*1000)</f>
        <v>-14040.624999999854</v>
      </c>
      <c r="Z689" s="11">
        <f>IF(OR(履歴データ!$A$689="",履歴データ!$A$688=""),"",-40000*O689)</f>
        <v>-201600.00000000081</v>
      </c>
      <c r="AA689" s="11">
        <f>IF(OR(履歴データ!$A$689="",履歴データ!$A$688=""),"",-40000*P689)</f>
        <v>-168879.9999999975</v>
      </c>
      <c r="AB689" s="11">
        <f>IF(履歴データ!$A$689="","",123.3)</f>
        <v>123.3</v>
      </c>
      <c r="AC689">
        <f>IF(履歴データ!$A$689="","",SUM(T689:AA689))</f>
        <v>558576.69598680199</v>
      </c>
      <c r="AD689" s="29">
        <f>IF(履歴データ!$A$689="","",AC689/1000000)</f>
        <v>0.55857669598680204</v>
      </c>
      <c r="AE689" s="29">
        <f>IF(履歴データ!$A$689="",AE688,AE688+AC689/1000000)</f>
        <v>76.226891917669874</v>
      </c>
      <c r="AF689" s="12">
        <f>IF(OR(履歴データ!$A$689="",AE688=0),"",(AE689-AE688)/AE688)</f>
        <v>7.3819100418762666E-3</v>
      </c>
      <c r="AG689" s="29">
        <f t="shared" si="32"/>
        <v>102.17217746631495</v>
      </c>
      <c r="AH689" s="12">
        <f>IF(OR(履歴データ!$A$689="",AG689=0),"",AE689/AG689-1)</f>
        <v>-0.25393689546451093</v>
      </c>
      <c r="AJ689" s="28">
        <f t="shared" ca="1" si="30"/>
        <v>7.8920081407966345</v>
      </c>
      <c r="AK689" s="28">
        <f t="shared" ca="1" si="31"/>
        <v>-9.5467700455585351</v>
      </c>
    </row>
    <row r="690" spans="1:37">
      <c r="A690" s="10">
        <f>IF(履歴データ!$A$690="","",履歴データ!$A$690)</f>
        <v>45932</v>
      </c>
      <c r="B690" s="28">
        <f>IF(履歴データ!$A$690="","",(履歴データ!$D$690-(履歴データ!$B$690+履歴データ!$F$690)/2)*100)</f>
        <v>-2.0000000000000462</v>
      </c>
      <c r="C690" s="28">
        <f>IF(履歴データ!$A$690="","",(履歴データ!$H$690-(履歴データ!$G$690+履歴データ!$J$690)/2)*100)</f>
        <v>-34.599999999999987</v>
      </c>
      <c r="D690" s="28">
        <f>IF(履歴データ!$A$690="","",(履歴データ!$D$690-履歴データ!$H$690)*100)</f>
        <v>242.49999999999997</v>
      </c>
      <c r="E690" s="28">
        <f>IF(履歴データ!$A$690="","",(履歴データ!$D$690-履歴データ!$C$690)*100)</f>
        <v>42.999999999999972</v>
      </c>
      <c r="F690" s="28">
        <f>IF(履歴データ!$A$690="","",(履歴データ!$R$690-履歴データ!$D$690)*100)</f>
        <v>-305.14999999999998</v>
      </c>
      <c r="G690" s="28">
        <f>IF(履歴データ!$A$690="","",(履歴データ!$S$690-履歴データ!$R$690)*100)</f>
        <v>78.144178588867135</v>
      </c>
      <c r="H690" s="29">
        <f>IF(履歴データ!$A$690="","",履歴データ!$O$690)</f>
        <v>147.14999389648438</v>
      </c>
      <c r="I690" s="29">
        <f>IF(履歴データ!$A$690="","",履歴データ!$Q$690)</f>
        <v>112.921875</v>
      </c>
      <c r="J690" s="29">
        <f>IF(履歴データ!$A$690="","",履歴データ!$D$690)</f>
        <v>4.0999999999999996</v>
      </c>
      <c r="K690" s="28">
        <f>IF(OR(履歴データ!$A$690="",履歴データ!$A$689=""),"",B690-B689)</f>
        <v>-0.50000000000007816</v>
      </c>
      <c r="L690" s="28">
        <f>IF(OR(履歴データ!$A$690="",履歴データ!$A$689=""),"",C690-C689)</f>
        <v>0.49999999999998579</v>
      </c>
      <c r="M690" s="28">
        <f>IF(OR(履歴データ!$A$690="",履歴データ!$A$689=""),"",D690-D689)</f>
        <v>-3.2000000000000171</v>
      </c>
      <c r="N690" s="28">
        <f>IF(OR(履歴データ!$A$690="",履歴データ!$A$689=""),"",E690-E689)</f>
        <v>-1.0000000000000213</v>
      </c>
      <c r="O690" s="28">
        <f>IF(OR(履歴データ!$A$690="",履歴データ!$A$689=""),"",F690-F689)</f>
        <v>4.7900000000000205</v>
      </c>
      <c r="P690" s="28">
        <f>IF(OR(履歴データ!$A$690="",履歴データ!$A$689=""),"",G690-G689)</f>
        <v>-5.7718214111326631</v>
      </c>
      <c r="Q690" s="29">
        <f>IF(OR(履歴データ!$A$690="",履歴データ!$A$689=""),"",H690-H689)</f>
        <v>6.70013427734375E-2</v>
      </c>
      <c r="R690" s="29">
        <f>IF(OR(履歴データ!$A$690="",履歴データ!$A$689=""),"",I690-I689)</f>
        <v>7.8125E-2</v>
      </c>
      <c r="S690" s="28">
        <f>IF(OR(履歴データ!$A$690="",履歴データ!$A$689=""),"",(J690-J689)*100)</f>
        <v>-2.0000000000000462</v>
      </c>
      <c r="T690" s="11">
        <f>IF(OR(履歴データ!$A$690="",履歴データ!$A$689=""),"",-80000*K690)</f>
        <v>40000.00000000625</v>
      </c>
      <c r="U690" s="11">
        <f>IF(OR(履歴データ!$A$690="",履歴データ!$A$689=""),"",60000*L690)</f>
        <v>29999.999999999149</v>
      </c>
      <c r="V690" s="11">
        <f>IF(OR(履歴データ!$A$690="",履歴データ!$A$689=""),"",-50000*M690)</f>
        <v>160000.00000000084</v>
      </c>
      <c r="W690" s="11">
        <f>IF(OR(履歴データ!$A$690="",履歴データ!$A$689=""),"",-40000*N690)</f>
        <v>40000.000000000851</v>
      </c>
      <c r="X690" s="11">
        <f>IF(OR(履歴データ!$A$690="",履歴データ!$A$689=""),"",120*1000000*(-Q690/H689))</f>
        <v>-54664.111691067475</v>
      </c>
      <c r="Y690" s="11">
        <f>IF(OR(履歴データ!$A$690="",履歴データ!$A$689=""),"",40000*(-S690)+(-506.3)*R690*1000)</f>
        <v>40445.312500001848</v>
      </c>
      <c r="Z690" s="11">
        <f>IF(OR(履歴データ!$A$690="",履歴データ!$A$689=""),"",-40000*O690)</f>
        <v>-191600.00000000081</v>
      </c>
      <c r="AA690" s="11">
        <f>IF(OR(履歴データ!$A$690="",履歴データ!$A$689=""),"",-40000*P690)</f>
        <v>230872.85644530653</v>
      </c>
      <c r="AB690" s="11">
        <f>IF(履歴データ!$A$690="","",123.3)</f>
        <v>123.3</v>
      </c>
      <c r="AC690">
        <f>IF(履歴データ!$A$690="","",SUM(T690:AA690))</f>
        <v>295054.05725424725</v>
      </c>
      <c r="AD690" s="29">
        <f>IF(履歴データ!$A$690="","",AC690/1000000)</f>
        <v>0.29505405725424727</v>
      </c>
      <c r="AE690" s="29">
        <f>IF(履歴データ!$A$690="",AE689,AE689+AC690/1000000)</f>
        <v>76.521945974924122</v>
      </c>
      <c r="AF690" s="12">
        <f>IF(OR(履歴データ!$A$690="",AE689=0),"",(AE690-AE689)/AE689)</f>
        <v>3.8707344590794284E-3</v>
      </c>
      <c r="AG690" s="29">
        <f t="shared" si="32"/>
        <v>102.17217746631495</v>
      </c>
      <c r="AH690" s="12">
        <f>IF(OR(履歴データ!$A$690="",AG690=0),"",AE690/AG690-1)</f>
        <v>-0.2510490832971376</v>
      </c>
      <c r="AJ690" s="28">
        <f t="shared" ca="1" si="30"/>
        <v>7.8742026636909479</v>
      </c>
      <c r="AK690" s="28">
        <f t="shared" ca="1" si="31"/>
        <v>-9.4853137748020551</v>
      </c>
    </row>
    <row r="691" spans="1:37">
      <c r="A691" s="10">
        <f>IF(履歴データ!$A$691="","",履歴データ!$A$691)</f>
        <v>45933</v>
      </c>
      <c r="B691" s="28">
        <f>IF(履歴データ!$A$691="","",(履歴データ!$D$691-(履歴データ!$B$691+履歴データ!$F$691)/2)*100)</f>
        <v>-1.499999999999968</v>
      </c>
      <c r="C691" s="28">
        <f>IF(履歴データ!$A$691="","",(履歴データ!$H$691-(履歴データ!$G$691+履歴データ!$J$691)/2)*100)</f>
        <v>-34.150000000000013</v>
      </c>
      <c r="D691" s="28">
        <f>IF(履歴データ!$A$691="","",(履歴データ!$D$691-履歴データ!$H$691)*100)</f>
        <v>246.3</v>
      </c>
      <c r="E691" s="28">
        <f>IF(履歴データ!$A$691="","",(履歴データ!$D$691-履歴データ!$C$691)*100)</f>
        <v>40.999999999999972</v>
      </c>
      <c r="F691" s="28">
        <f>IF(履歴データ!$A$691="","",(履歴データ!$R$691-履歴データ!$D$691)*100)</f>
        <v>-312.02999999999997</v>
      </c>
      <c r="G691" s="28">
        <f>IF(履歴データ!$A$691="","",(履歴データ!$S$691-履歴データ!$R$691)*100)</f>
        <v>82.550357177734185</v>
      </c>
      <c r="H691" s="29">
        <f>IF(履歴データ!$A$691="","",履歴データ!$O$691)</f>
        <v>147.14999389648438</v>
      </c>
      <c r="I691" s="29">
        <f>IF(履歴データ!$A$691="","",履歴データ!$Q$691)</f>
        <v>112.671875</v>
      </c>
      <c r="J691" s="29">
        <f>IF(履歴データ!$A$691="","",履歴データ!$D$691)</f>
        <v>4.13</v>
      </c>
      <c r="K691" s="28">
        <f>IF(OR(履歴データ!$A$691="",履歴データ!$A$690=""),"",B691-B690)</f>
        <v>0.50000000000007816</v>
      </c>
      <c r="L691" s="28">
        <f>IF(OR(履歴データ!$A$691="",履歴データ!$A$690=""),"",C691-C690)</f>
        <v>0.44999999999997442</v>
      </c>
      <c r="M691" s="28">
        <f>IF(OR(履歴データ!$A$691="",履歴データ!$A$690=""),"",D691-D690)</f>
        <v>3.8000000000000398</v>
      </c>
      <c r="N691" s="28">
        <f>IF(OR(履歴データ!$A$691="",履歴データ!$A$690=""),"",E691-E690)</f>
        <v>-2</v>
      </c>
      <c r="O691" s="28">
        <f>IF(OR(履歴データ!$A$691="",履歴データ!$A$690=""),"",F691-F690)</f>
        <v>-6.8799999999999955</v>
      </c>
      <c r="P691" s="28">
        <f>IF(OR(履歴データ!$A$691="",履歴データ!$A$690=""),"",G691-G690)</f>
        <v>4.4061785888670499</v>
      </c>
      <c r="Q691" s="29">
        <f>IF(OR(履歴データ!$A$691="",履歴データ!$A$690=""),"",H691-H690)</f>
        <v>0</v>
      </c>
      <c r="R691" s="29">
        <f>IF(OR(履歴データ!$A$691="",履歴データ!$A$690=""),"",I691-I690)</f>
        <v>-0.25</v>
      </c>
      <c r="S691" s="28">
        <f>IF(OR(履歴データ!$A$691="",履歴データ!$A$690=""),"",(J691-J690)*100)</f>
        <v>3.0000000000000249</v>
      </c>
      <c r="T691" s="11">
        <f>IF(OR(履歴データ!$A$691="",履歴データ!$A$690=""),"",-80000*K691)</f>
        <v>-40000.00000000625</v>
      </c>
      <c r="U691" s="11">
        <f>IF(OR(履歴データ!$A$691="",履歴データ!$A$690=""),"",60000*L691)</f>
        <v>26999.999999998465</v>
      </c>
      <c r="V691" s="11">
        <f>IF(OR(履歴データ!$A$691="",履歴データ!$A$690=""),"",-50000*M691)</f>
        <v>-190000.00000000198</v>
      </c>
      <c r="W691" s="11">
        <f>IF(OR(履歴データ!$A$691="",履歴データ!$A$690=""),"",-40000*N691)</f>
        <v>80000</v>
      </c>
      <c r="X691" s="11">
        <f>IF(OR(履歴データ!$A$691="",履歴データ!$A$690=""),"",120*1000000*(-Q691/H690))</f>
        <v>0</v>
      </c>
      <c r="Y691" s="11">
        <f>IF(OR(履歴データ!$A$691="",履歴データ!$A$690=""),"",40000*(-S691)+(-506.3)*R691*1000)</f>
        <v>6574.9999999990105</v>
      </c>
      <c r="Z691" s="11">
        <f>IF(OR(履歴データ!$A$691="",履歴データ!$A$690=""),"",-40000*O691)</f>
        <v>275199.99999999983</v>
      </c>
      <c r="AA691" s="11">
        <f>IF(OR(履歴データ!$A$691="",履歴データ!$A$690=""),"",-40000*P691)</f>
        <v>-176247.143554682</v>
      </c>
      <c r="AB691" s="11">
        <f>IF(履歴データ!$A$691="","",123.3)</f>
        <v>123.3</v>
      </c>
      <c r="AC691">
        <f>IF(履歴データ!$A$691="","",SUM(T691:AA691))</f>
        <v>-17472.143554692942</v>
      </c>
      <c r="AD691" s="29">
        <f>IF(履歴データ!$A$691="","",AC691/1000000)</f>
        <v>-1.7472143554692943E-2</v>
      </c>
      <c r="AE691" s="29">
        <f>IF(履歴データ!$A$691="",AE690,AE690+AC691/1000000)</f>
        <v>76.504473831369424</v>
      </c>
      <c r="AF691" s="12">
        <f>IF(OR(履歴データ!$A$691="",AE690=0),"",(AE691-AE690)/AE690)</f>
        <v>-2.2832853153556816E-4</v>
      </c>
      <c r="AG691" s="29">
        <f t="shared" si="32"/>
        <v>102.17217746631495</v>
      </c>
      <c r="AH691" s="12">
        <f>IF(OR(履歴データ!$A$691="",AG691=0),"",AE691/AG691-1)</f>
        <v>-0.25122009016014057</v>
      </c>
      <c r="AJ691" s="28">
        <f t="shared" ca="1" si="30"/>
        <v>7.8423400535609593</v>
      </c>
      <c r="AK691" s="28">
        <f t="shared" ca="1" si="31"/>
        <v>-9.3939273551482572</v>
      </c>
    </row>
    <row r="692" spans="1:37">
      <c r="A692" s="10">
        <f>IF(履歴データ!$A$692="","",履歴データ!$A$692)</f>
        <v>45936</v>
      </c>
      <c r="B692" s="28">
        <f>IF(履歴データ!$A$692="","",(履歴データ!$D$692-(履歴データ!$B$692+履歴データ!$F$692)/2)*100)</f>
        <v>0</v>
      </c>
      <c r="C692" s="28">
        <f>IF(履歴データ!$A$692="","",(履歴データ!$H$692-(履歴データ!$G$692+履歴データ!$J$692)/2)*100)</f>
        <v>-35.999999999999986</v>
      </c>
      <c r="D692" s="28">
        <f>IF(履歴データ!$A$692="","",(履歴データ!$D$692-履歴データ!$H$692)*100)</f>
        <v>250.29999999999995</v>
      </c>
      <c r="E692" s="28">
        <f>IF(履歴データ!$A$692="","",(履歴データ!$D$692-履歴データ!$C$692)*100)</f>
        <v>42.999999999999972</v>
      </c>
      <c r="F692" s="28">
        <f>IF(履歴データ!$A$692="","",(履歴データ!$R$692-履歴データ!$D$692)*100)</f>
        <v>-316.28999999999996</v>
      </c>
      <c r="G692" s="28">
        <f>IF(履歴データ!$A$692="","",(履歴データ!$S$692-履歴データ!$R$692)*100)</f>
        <v>84.265999999999792</v>
      </c>
      <c r="H692" s="29">
        <f>IF(履歴データ!$A$692="","",履歴データ!$O$692)</f>
        <v>150.33099365234375</v>
      </c>
      <c r="I692" s="29">
        <f>IF(履歴データ!$A$692="","",履歴データ!$Q$692)</f>
        <v>112.390625</v>
      </c>
      <c r="J692" s="29">
        <f>IF(履歴データ!$A$692="","",履歴データ!$D$692)</f>
        <v>4.18</v>
      </c>
      <c r="K692" s="28">
        <f>IF(OR(履歴データ!$A$692="",履歴データ!$A$691=""),"",B692-B691)</f>
        <v>1.499999999999968</v>
      </c>
      <c r="L692" s="28">
        <f>IF(OR(履歴データ!$A$692="",履歴データ!$A$691=""),"",C692-C691)</f>
        <v>-1.849999999999973</v>
      </c>
      <c r="M692" s="28">
        <f>IF(OR(履歴データ!$A$692="",履歴データ!$A$691=""),"",D692-D691)</f>
        <v>3.9999999999999432</v>
      </c>
      <c r="N692" s="28">
        <f>IF(OR(履歴データ!$A$692="",履歴データ!$A$691=""),"",E692-E691)</f>
        <v>2</v>
      </c>
      <c r="O692" s="28">
        <f>IF(OR(履歴データ!$A$692="",履歴データ!$A$691=""),"",F692-F691)</f>
        <v>-4.2599999999999909</v>
      </c>
      <c r="P692" s="28">
        <f>IF(OR(履歴データ!$A$692="",履歴データ!$A$691=""),"",G692-G691)</f>
        <v>1.7156428222656075</v>
      </c>
      <c r="Q692" s="29">
        <f>IF(OR(履歴データ!$A$692="",履歴データ!$A$691=""),"",H692-H691)</f>
        <v>3.180999755859375</v>
      </c>
      <c r="R692" s="29">
        <f>IF(OR(履歴データ!$A$692="",履歴データ!$A$691=""),"",I692-I691)</f>
        <v>-0.28125</v>
      </c>
      <c r="S692" s="28">
        <f>IF(OR(履歴データ!$A$692="",履歴データ!$A$691=""),"",(J692-J691)*100)</f>
        <v>4.9999999999999822</v>
      </c>
      <c r="T692" s="11">
        <f>IF(OR(履歴データ!$A$692="",履歴データ!$A$691=""),"",-80000*K692)</f>
        <v>-119999.99999999744</v>
      </c>
      <c r="U692" s="11">
        <f>IF(OR(履歴データ!$A$692="",履歴データ!$A$691=""),"",60000*L692)</f>
        <v>-110999.99999999838</v>
      </c>
      <c r="V692" s="11">
        <f>IF(OR(履歴データ!$A$692="",履歴データ!$A$691=""),"",-50000*M692)</f>
        <v>-199999.99999999715</v>
      </c>
      <c r="W692" s="11">
        <f>IF(OR(履歴データ!$A$692="",履歴データ!$A$691=""),"",-40000*N692)</f>
        <v>-80000</v>
      </c>
      <c r="X692" s="11">
        <f>IF(OR(履歴データ!$A$692="",履歴データ!$A$691=""),"",120*1000000*(-Q692/H691))</f>
        <v>-2594087.5741500445</v>
      </c>
      <c r="Y692" s="11">
        <f>IF(OR(履歴データ!$A$692="",履歴データ!$A$691=""),"",40000*(-S692)+(-506.3)*R692*1000)</f>
        <v>-57603.124999999302</v>
      </c>
      <c r="Z692" s="11">
        <f>IF(OR(履歴データ!$A$692="",履歴データ!$A$691=""),"",-40000*O692)</f>
        <v>170399.99999999965</v>
      </c>
      <c r="AA692" s="11">
        <f>IF(OR(履歴データ!$A$692="",履歴データ!$A$691=""),"",-40000*P692)</f>
        <v>-68625.712890624302</v>
      </c>
      <c r="AB692" s="11">
        <f>IF(履歴データ!$A$692="","",123.3)</f>
        <v>123.3</v>
      </c>
      <c r="AC692">
        <f>IF(履歴データ!$A$692="","",SUM(T692:AA692))</f>
        <v>-3060916.412040662</v>
      </c>
      <c r="AD692" s="29">
        <f>IF(履歴データ!$A$692="","",AC692/1000000)</f>
        <v>-3.0609164120406622</v>
      </c>
      <c r="AE692" s="29">
        <f>IF(履歴データ!$A$692="",AE691,AE691+AC692/1000000)</f>
        <v>73.443557419328755</v>
      </c>
      <c r="AF692" s="12">
        <f>IF(OR(履歴データ!$A$692="",AE691=0),"",(AE692-AE691)/AE691)</f>
        <v>-4.000963942040197E-2</v>
      </c>
      <c r="AG692" s="29">
        <f t="shared" si="32"/>
        <v>102.17217746631495</v>
      </c>
      <c r="AH692" s="12">
        <f>IF(OR(履歴データ!$A$692="",AG692=0),"",AE692/AG692-1)</f>
        <v>-0.28117850435807445</v>
      </c>
      <c r="AJ692" s="28">
        <f t="shared" ca="1" si="30"/>
        <v>7.7962840538638476</v>
      </c>
      <c r="AK692" s="28">
        <f t="shared" ca="1" si="31"/>
        <v>-9.2645380221178133</v>
      </c>
    </row>
    <row r="693" spans="1:37">
      <c r="A693" s="10">
        <f>IF(履歴データ!$A$693="","",履歴データ!$A$693)</f>
        <v>45937</v>
      </c>
      <c r="B693" s="28">
        <f>IF(履歴データ!$A$693="","",(履歴データ!$D$693-(履歴データ!$B$693+履歴データ!$F$693)/2)*100)</f>
        <v>-1.0000000000000675</v>
      </c>
      <c r="C693" s="28">
        <f>IF(履歴データ!$A$693="","",(履歴データ!$H$693-(履歴データ!$G$693+履歴データ!$J$693)/2)*100)</f>
        <v>-36.100000000000023</v>
      </c>
      <c r="D693" s="28">
        <f>IF(履歴データ!$A$693="","",(履歴データ!$D$693-履歴データ!$H$693)*100)</f>
        <v>245.79999999999998</v>
      </c>
      <c r="E693" s="28">
        <f>IF(履歴データ!$A$693="","",(履歴データ!$D$693-履歴データ!$C$693)*100)</f>
        <v>42.999999999999972</v>
      </c>
      <c r="F693" s="28">
        <f>IF(履歴データ!$A$693="","",(履歴データ!$R$693-履歴データ!$D$693)*100)</f>
        <v>-304.7</v>
      </c>
      <c r="G693" s="28">
        <f>IF(履歴データ!$A$693="","",(履歴データ!$S$693-履歴データ!$R$693)*100)</f>
        <v>74.571178588867156</v>
      </c>
      <c r="H693" s="29">
        <f>IF(履歴データ!$A$693="","",履歴データ!$O$693)</f>
        <v>152.05099487304688</v>
      </c>
      <c r="I693" s="29">
        <f>IF(履歴データ!$A$693="","",履歴データ!$Q$693)</f>
        <v>112.671875</v>
      </c>
      <c r="J693" s="29">
        <f>IF(履歴データ!$A$693="","",履歴データ!$D$693)</f>
        <v>4.1399999999999997</v>
      </c>
      <c r="K693" s="28">
        <f>IF(OR(履歴データ!$A$693="",履歴データ!$A$692=""),"",B693-B692)</f>
        <v>-1.0000000000000675</v>
      </c>
      <c r="L693" s="28">
        <f>IF(OR(履歴データ!$A$693="",履歴データ!$A$692=""),"",C693-C692)</f>
        <v>-0.10000000000003695</v>
      </c>
      <c r="M693" s="28">
        <f>IF(OR(履歴データ!$A$693="",履歴データ!$A$692=""),"",D693-D692)</f>
        <v>-4.4999999999999716</v>
      </c>
      <c r="N693" s="28">
        <f>IF(OR(履歴データ!$A$693="",履歴データ!$A$692=""),"",E693-E692)</f>
        <v>0</v>
      </c>
      <c r="O693" s="28">
        <f>IF(OR(履歴データ!$A$693="",履歴データ!$A$692=""),"",F693-F692)</f>
        <v>11.589999999999975</v>
      </c>
      <c r="P693" s="28">
        <f>IF(OR(履歴データ!$A$693="",履歴データ!$A$692=""),"",G693-G692)</f>
        <v>-9.6948214111326365</v>
      </c>
      <c r="Q693" s="29">
        <f>IF(OR(履歴データ!$A$693="",履歴データ!$A$692=""),"",H693-H692)</f>
        <v>1.720001220703125</v>
      </c>
      <c r="R693" s="29">
        <f>IF(OR(履歴データ!$A$693="",履歴データ!$A$692=""),"",I693-I692)</f>
        <v>0.28125</v>
      </c>
      <c r="S693" s="28">
        <f>IF(OR(履歴データ!$A$693="",履歴データ!$A$692=""),"",(J693-J692)*100)</f>
        <v>-4.0000000000000036</v>
      </c>
      <c r="T693" s="11">
        <f>IF(OR(履歴データ!$A$693="",履歴データ!$A$692=""),"",-80000*K693)</f>
        <v>80000.000000005399</v>
      </c>
      <c r="U693" s="11">
        <f>IF(OR(履歴データ!$A$693="",履歴データ!$A$692=""),"",60000*L693)</f>
        <v>-6000.0000000022173</v>
      </c>
      <c r="V693" s="11">
        <f>IF(OR(履歴データ!$A$693="",履歴データ!$A$692=""),"",-50000*M693)</f>
        <v>224999.99999999857</v>
      </c>
      <c r="W693" s="11">
        <f>IF(OR(履歴データ!$A$693="",履歴データ!$A$692=""),"",-40000*N693)</f>
        <v>0</v>
      </c>
      <c r="X693" s="11">
        <f>IF(OR(履歴データ!$A$693="",履歴データ!$A$692=""),"",120*1000000*(-Q693/H692))</f>
        <v>-1372971.3445631647</v>
      </c>
      <c r="Y693" s="11">
        <f>IF(OR(履歴データ!$A$693="",履歴データ!$A$692=""),"",40000*(-S693)+(-506.3)*R693*1000)</f>
        <v>17603.125000000146</v>
      </c>
      <c r="Z693" s="11">
        <f>IF(OR(履歴データ!$A$693="",履歴データ!$A$692=""),"",-40000*O693)</f>
        <v>-463599.99999999901</v>
      </c>
      <c r="AA693" s="11">
        <f>IF(OR(履歴データ!$A$693="",履歴データ!$A$692=""),"",-40000*P693)</f>
        <v>387792.85644530546</v>
      </c>
      <c r="AB693" s="11">
        <f>IF(履歴データ!$A$693="","",123.3)</f>
        <v>123.3</v>
      </c>
      <c r="AC693">
        <f>IF(履歴データ!$A$693="","",SUM(T693:AA693))</f>
        <v>-1132175.3631178562</v>
      </c>
      <c r="AD693" s="29">
        <f>IF(履歴データ!$A$693="","",AC693/1000000)</f>
        <v>-1.1321753631178562</v>
      </c>
      <c r="AE693" s="29">
        <f>IF(履歴データ!$A$693="",AE692,AE692+AC693/1000000)</f>
        <v>72.311382056210903</v>
      </c>
      <c r="AF693" s="12">
        <f>IF(OR(履歴データ!$A$693="",AE692=0),"",(AE693-AE692)/AE692)</f>
        <v>-1.5415584469222461E-2</v>
      </c>
      <c r="AG693" s="29">
        <f t="shared" si="32"/>
        <v>102.17217746631495</v>
      </c>
      <c r="AH693" s="12">
        <f>IF(OR(履歴データ!$A$693="",AG693=0),"",AE693/AG693-1)</f>
        <v>-0.2922595578424354</v>
      </c>
      <c r="AJ693" s="28">
        <f t="shared" ca="1" si="30"/>
        <v>7.7577306083992656</v>
      </c>
      <c r="AK693" s="28">
        <f t="shared" ca="1" si="31"/>
        <v>-9.1585242591929141</v>
      </c>
    </row>
    <row r="694" spans="1:37">
      <c r="A694" s="10">
        <f>IF(履歴データ!$A$694="","",履歴データ!$A$694)</f>
        <v>45938</v>
      </c>
      <c r="B694" s="28">
        <f>IF(履歴データ!$A$694="","",(履歴データ!$D$694-(履歴データ!$B$694+履歴データ!$F$694)/2)*100)</f>
        <v>-2.0000000000000462</v>
      </c>
      <c r="C694" s="28">
        <f>IF(履歴データ!$A$694="","",(履歴データ!$H$694-(履歴データ!$G$694+履歴データ!$J$694)/2)*100)</f>
        <v>-34.600000000000009</v>
      </c>
      <c r="D694" s="28">
        <f>IF(履歴データ!$A$694="","",(履歴データ!$D$694-履歴データ!$H$694)*100)</f>
        <v>242.89999999999998</v>
      </c>
      <c r="E694" s="28">
        <f>IF(履歴データ!$A$694="","",(履歴データ!$D$694-履歴データ!$C$694)*100)</f>
        <v>40.999999999999972</v>
      </c>
      <c r="F694" s="28">
        <f>IF(履歴データ!$A$694="","",(履歴データ!$R$694-履歴データ!$D$694)*100)</f>
        <v>-304.12</v>
      </c>
      <c r="G694" s="28">
        <f>IF(履歴データ!$A$694="","",(履歴データ!$S$694-履歴データ!$R$694)*100)</f>
        <v>80.779357177734298</v>
      </c>
      <c r="H694" s="29">
        <f>IF(履歴データ!$A$694="","",履歴データ!$O$694)</f>
        <v>152.67999267578125</v>
      </c>
      <c r="I694" s="29">
        <f>IF(履歴データ!$A$694="","",履歴データ!$Q$694)</f>
        <v>112.609375</v>
      </c>
      <c r="J694" s="29">
        <f>IF(履歴データ!$A$694="","",履歴データ!$D$694)</f>
        <v>4.13</v>
      </c>
      <c r="K694" s="28">
        <f>IF(OR(履歴データ!$A$694="",履歴データ!$A$693=""),"",B694-B693)</f>
        <v>-0.99999999999997868</v>
      </c>
      <c r="L694" s="28">
        <f>IF(OR(履歴データ!$A$694="",履歴データ!$A$693=""),"",C694-C693)</f>
        <v>1.5000000000000142</v>
      </c>
      <c r="M694" s="28">
        <f>IF(OR(履歴データ!$A$694="",履歴データ!$A$693=""),"",D694-D693)</f>
        <v>-2.9000000000000057</v>
      </c>
      <c r="N694" s="28">
        <f>IF(OR(履歴データ!$A$694="",履歴データ!$A$693=""),"",E694-E693)</f>
        <v>-2</v>
      </c>
      <c r="O694" s="28">
        <f>IF(OR(履歴データ!$A$694="",履歴データ!$A$693=""),"",F694-F693)</f>
        <v>0.57999999999998408</v>
      </c>
      <c r="P694" s="28">
        <f>IF(OR(履歴データ!$A$694="",履歴データ!$A$693=""),"",G694-G693)</f>
        <v>6.2081785888671419</v>
      </c>
      <c r="Q694" s="29">
        <f>IF(OR(履歴データ!$A$694="",履歴データ!$A$693=""),"",H694-H693)</f>
        <v>0.628997802734375</v>
      </c>
      <c r="R694" s="29">
        <f>IF(OR(履歴データ!$A$694="",履歴データ!$A$693=""),"",I694-I693)</f>
        <v>-6.25E-2</v>
      </c>
      <c r="S694" s="28">
        <f>IF(OR(履歴データ!$A$694="",履歴データ!$A$693=""),"",(J694-J693)*100)</f>
        <v>-0.99999999999997868</v>
      </c>
      <c r="T694" s="11">
        <f>IF(OR(履歴データ!$A$694="",履歴データ!$A$693=""),"",-80000*K694)</f>
        <v>79999.999999998297</v>
      </c>
      <c r="U694" s="11">
        <f>IF(OR(履歴データ!$A$694="",履歴データ!$A$693=""),"",60000*L694)</f>
        <v>90000.000000000859</v>
      </c>
      <c r="V694" s="11">
        <f>IF(OR(履歴データ!$A$694="",履歴データ!$A$693=""),"",-50000*M694)</f>
        <v>145000.00000000029</v>
      </c>
      <c r="W694" s="11">
        <f>IF(OR(履歴データ!$A$694="",履歴データ!$A$693=""),"",-40000*N694)</f>
        <v>80000</v>
      </c>
      <c r="X694" s="11">
        <f>IF(OR(履歴データ!$A$694="",履歴データ!$A$693=""),"",120*1000000*(-Q694/H693))</f>
        <v>-496410.6705855222</v>
      </c>
      <c r="Y694" s="11">
        <f>IF(OR(履歴データ!$A$694="",履歴データ!$A$693=""),"",40000*(-S694)+(-506.3)*R694*1000)</f>
        <v>71643.749999999156</v>
      </c>
      <c r="Z694" s="11">
        <f>IF(OR(履歴データ!$A$694="",履歴データ!$A$693=""),"",-40000*O694)</f>
        <v>-23199.999999999363</v>
      </c>
      <c r="AA694" s="11">
        <f>IF(OR(履歴データ!$A$694="",履歴データ!$A$693=""),"",-40000*P694)</f>
        <v>-248327.14355468567</v>
      </c>
      <c r="AB694" s="11">
        <f>IF(履歴データ!$A$694="","",123.3)</f>
        <v>123.3</v>
      </c>
      <c r="AC694">
        <f>IF(履歴データ!$A$694="","",SUM(T694:AA694))</f>
        <v>-301294.06414020865</v>
      </c>
      <c r="AD694" s="29">
        <f>IF(履歴データ!$A$694="","",AC694/1000000)</f>
        <v>-0.30129406414020865</v>
      </c>
      <c r="AE694" s="29">
        <f>IF(履歴データ!$A$694="",AE693,AE693+AC694/1000000)</f>
        <v>72.010087992070694</v>
      </c>
      <c r="AF694" s="12">
        <f>IF(OR(履歴データ!$A$694="",AE693=0),"",(AE694-AE693)/AE693)</f>
        <v>-4.1666201858235642E-3</v>
      </c>
      <c r="AG694" s="29">
        <f t="shared" si="32"/>
        <v>102.17217746631495</v>
      </c>
      <c r="AH694" s="12">
        <f>IF(OR(履歴データ!$A$694="",AG694=0),"",AE694/AG694-1)</f>
        <v>-0.29520844345505282</v>
      </c>
      <c r="AJ694" s="28">
        <f t="shared" ca="1" si="30"/>
        <v>7.7217834427418017</v>
      </c>
      <c r="AK694" s="28">
        <f t="shared" ca="1" si="31"/>
        <v>-9.0670215379798957</v>
      </c>
    </row>
    <row r="695" spans="1:37">
      <c r="A695" s="10">
        <f>IF(履歴データ!$A$695="","",履歴データ!$A$695)</f>
        <v>45939</v>
      </c>
      <c r="B695" s="28">
        <f>IF(履歴データ!$A$695="","",(履歴データ!$D$695-(履歴データ!$B$695+履歴データ!$F$695)/2)*100)</f>
        <v>-2.0000000000000462</v>
      </c>
      <c r="C695" s="28">
        <f>IF(履歴データ!$A$695="","",(履歴データ!$H$695-(履歴データ!$G$695+履歴データ!$J$695)/2)*100)</f>
        <v>-35.800000000000011</v>
      </c>
      <c r="D695" s="28">
        <f>IF(履歴データ!$A$695="","",(履歴データ!$D$695-履歴データ!$H$695)*100)</f>
        <v>244.29999999999995</v>
      </c>
      <c r="E695" s="28">
        <f>IF(履歴データ!$A$695="","",(履歴データ!$D$695-履歴データ!$C$695)*100)</f>
        <v>39.999999999999943</v>
      </c>
      <c r="F695" s="28">
        <f>IF(履歴データ!$A$695="","",(履歴データ!$R$695-履歴データ!$D$695)*100)</f>
        <v>-307.20999999999998</v>
      </c>
      <c r="G695" s="28">
        <f>IF(履歴データ!$A$695="","",(履歴データ!$S$695-履歴データ!$R$695)*100)</f>
        <v>79.18599999999978</v>
      </c>
      <c r="H695" s="29">
        <f>IF(履歴データ!$A$695="","",履歴データ!$O$695)</f>
        <v>152.96499633789063</v>
      </c>
      <c r="I695" s="29">
        <f>IF(履歴データ!$A$695="","",履歴データ!$Q$695)</f>
        <v>112.484375</v>
      </c>
      <c r="J695" s="29">
        <f>IF(履歴データ!$A$695="","",履歴データ!$D$695)</f>
        <v>4.1399999999999997</v>
      </c>
      <c r="K695" s="28">
        <f>IF(OR(履歴データ!$A$695="",履歴データ!$A$694=""),"",B695-B694)</f>
        <v>0</v>
      </c>
      <c r="L695" s="28">
        <f>IF(OR(履歴データ!$A$695="",履歴データ!$A$694=""),"",C695-C694)</f>
        <v>-1.2000000000000028</v>
      </c>
      <c r="M695" s="28">
        <f>IF(OR(履歴データ!$A$695="",履歴データ!$A$694=""),"",D695-D694)</f>
        <v>1.3999999999999773</v>
      </c>
      <c r="N695" s="28">
        <f>IF(OR(履歴データ!$A$695="",履歴データ!$A$694=""),"",E695-E694)</f>
        <v>-1.0000000000000284</v>
      </c>
      <c r="O695" s="28">
        <f>IF(OR(履歴データ!$A$695="",履歴データ!$A$694=""),"",F695-F694)</f>
        <v>-3.089999999999975</v>
      </c>
      <c r="P695" s="28">
        <f>IF(OR(履歴データ!$A$695="",履歴データ!$A$694=""),"",G695-G694)</f>
        <v>-1.5933571777345179</v>
      </c>
      <c r="Q695" s="29">
        <f>IF(OR(履歴データ!$A$695="",履歴データ!$A$694=""),"",H695-H694)</f>
        <v>0.285003662109375</v>
      </c>
      <c r="R695" s="29">
        <f>IF(OR(履歴データ!$A$695="",履歴データ!$A$694=""),"",I695-I694)</f>
        <v>-0.125</v>
      </c>
      <c r="S695" s="28">
        <f>IF(OR(履歴データ!$A$695="",履歴データ!$A$694=""),"",(J695-J694)*100)</f>
        <v>0.99999999999997868</v>
      </c>
      <c r="T695" s="11">
        <f>IF(OR(履歴データ!$A$695="",履歴データ!$A$694=""),"",-80000*K695)</f>
        <v>0</v>
      </c>
      <c r="U695" s="11">
        <f>IF(OR(履歴データ!$A$695="",履歴データ!$A$694=""),"",60000*L695)</f>
        <v>-72000.000000000175</v>
      </c>
      <c r="V695" s="11">
        <f>IF(OR(履歴データ!$A$695="",履歴データ!$A$694=""),"",-50000*M695)</f>
        <v>-69999.999999998865</v>
      </c>
      <c r="W695" s="11">
        <f>IF(OR(履歴データ!$A$695="",履歴データ!$A$694=""),"",-40000*N695)</f>
        <v>40000.000000001135</v>
      </c>
      <c r="X695" s="11">
        <f>IF(OR(履歴データ!$A$695="",履歴データ!$A$694=""),"",120*1000000*(-Q695/H694))</f>
        <v>-224000.793121272</v>
      </c>
      <c r="Y695" s="11">
        <f>IF(OR(履歴データ!$A$695="",履歴データ!$A$694=""),"",40000*(-S695)+(-506.3)*R695*1000)</f>
        <v>23287.500000000851</v>
      </c>
      <c r="Z695" s="11">
        <f>IF(OR(履歴データ!$A$695="",履歴データ!$A$694=""),"",-40000*O695)</f>
        <v>123599.999999999</v>
      </c>
      <c r="AA695" s="11">
        <f>IF(OR(履歴データ!$A$695="",履歴データ!$A$694=""),"",-40000*P695)</f>
        <v>63734.287109380719</v>
      </c>
      <c r="AB695" s="11">
        <f>IF(履歴データ!$A$695="","",123.3)</f>
        <v>123.3</v>
      </c>
      <c r="AC695">
        <f>IF(履歴データ!$A$695="","",SUM(T695:AA695))</f>
        <v>-115379.0060118893</v>
      </c>
      <c r="AD695" s="29">
        <f>IF(履歴データ!$A$695="","",AC695/1000000)</f>
        <v>-0.1153790060118893</v>
      </c>
      <c r="AE695" s="29">
        <f>IF(履歴データ!$A$695="",AE694,AE694+AC695/1000000)</f>
        <v>71.894708986058802</v>
      </c>
      <c r="AF695" s="12">
        <f>IF(OR(履歴データ!$A$695="",AE694=0),"",(AE695-AE694)/AE694)</f>
        <v>-1.6022617001189756E-3</v>
      </c>
      <c r="AG695" s="29">
        <f t="shared" si="32"/>
        <v>102.17217746631495</v>
      </c>
      <c r="AH695" s="12">
        <f>IF(OR(履歴データ!$A$695="",AG695=0),"",AE695/AG695-1)</f>
        <v>-0.29633770397267201</v>
      </c>
      <c r="AJ695" s="28">
        <f t="shared" ca="1" si="30"/>
        <v>7.6488057417692463</v>
      </c>
      <c r="AK695" s="28">
        <f t="shared" ca="1" si="31"/>
        <v>-8.9186470116105152</v>
      </c>
    </row>
    <row r="696" spans="1:37">
      <c r="A696" s="10">
        <f>IF(履歴データ!$A$696="","",履歴データ!$A$696)</f>
        <v>45940</v>
      </c>
      <c r="B696" s="28">
        <f>IF(履歴データ!$A$696="","",(履歴データ!$D$696-(履歴データ!$B$696+履歴データ!$F$696)/2)*100)</f>
        <v>-2.5000000000000355</v>
      </c>
      <c r="C696" s="28">
        <f>IF(履歴データ!$A$696="","",(履歴データ!$H$696-(履歴データ!$G$696+履歴データ!$J$696)/2)*100)</f>
        <v>-35.9</v>
      </c>
      <c r="D696" s="28">
        <f>IF(履歴データ!$A$696="","",(履歴データ!$D$696-履歴データ!$H$696)*100)</f>
        <v>235.29999999999998</v>
      </c>
      <c r="E696" s="28">
        <f>IF(履歴データ!$A$696="","",(履歴データ!$D$696-履歴データ!$C$696)*100)</f>
        <v>39.999999999999993</v>
      </c>
      <c r="F696" s="28">
        <f>IF(履歴データ!$A$696="","",(履歴データ!$R$696-履歴データ!$D$696)*100)</f>
        <v>-299.76</v>
      </c>
      <c r="G696" s="28">
        <f>IF(履歴データ!$A$696="","",(履歴データ!$S$696-履歴データ!$R$696)*100)</f>
        <v>80.911357177734232</v>
      </c>
      <c r="H696" s="29">
        <f>IF(履歴データ!$A$696="","",履歴データ!$O$696)</f>
        <v>152.96499633789063</v>
      </c>
      <c r="I696" s="29">
        <f>IF(履歴データ!$A$696="","",履歴データ!$Q$696)</f>
        <v>113.140625</v>
      </c>
      <c r="J696" s="29">
        <f>IF(履歴データ!$A$696="","",履歴データ!$D$696)</f>
        <v>4.05</v>
      </c>
      <c r="K696" s="28">
        <f>IF(OR(履歴データ!$A$696="",履歴データ!$A$695=""),"",B696-B695)</f>
        <v>-0.49999999999998934</v>
      </c>
      <c r="L696" s="28">
        <f>IF(OR(履歴データ!$A$696="",履歴データ!$A$695=""),"",C696-C695)</f>
        <v>-9.999999999998721E-2</v>
      </c>
      <c r="M696" s="28">
        <f>IF(OR(履歴データ!$A$696="",履歴データ!$A$695=""),"",D696-D695)</f>
        <v>-8.9999999999999716</v>
      </c>
      <c r="N696" s="28">
        <f>IF(OR(履歴データ!$A$696="",履歴データ!$A$695=""),"",E696-E695)</f>
        <v>4.9737991503207013E-14</v>
      </c>
      <c r="O696" s="28">
        <f>IF(OR(履歴データ!$A$696="",履歴データ!$A$695=""),"",F696-F695)</f>
        <v>7.4499999999999886</v>
      </c>
      <c r="P696" s="28">
        <f>IF(OR(履歴データ!$A$696="",履歴データ!$A$695=""),"",G696-G695)</f>
        <v>1.7253571777344519</v>
      </c>
      <c r="Q696" s="29">
        <f>IF(OR(履歴データ!$A$696="",履歴データ!$A$695=""),"",H696-H695)</f>
        <v>0</v>
      </c>
      <c r="R696" s="29">
        <f>IF(OR(履歴データ!$A$696="",履歴データ!$A$695=""),"",I696-I695)</f>
        <v>0.65625</v>
      </c>
      <c r="S696" s="28">
        <f>IF(OR(履歴データ!$A$696="",履歴データ!$A$695=""),"",(J696-J695)*100)</f>
        <v>-8.9999999999999858</v>
      </c>
      <c r="T696" s="11">
        <f>IF(OR(履歴データ!$A$696="",履歴データ!$A$695=""),"",-80000*K696)</f>
        <v>39999.999999999149</v>
      </c>
      <c r="U696" s="11">
        <f>IF(OR(履歴データ!$A$696="",履歴データ!$A$695=""),"",60000*L696)</f>
        <v>-5999.9999999992324</v>
      </c>
      <c r="V696" s="11">
        <f>IF(OR(履歴データ!$A$696="",履歴データ!$A$695=""),"",-50000*M696)</f>
        <v>449999.9999999986</v>
      </c>
      <c r="W696" s="11">
        <f>IF(OR(履歴データ!$A$696="",履歴データ!$A$695=""),"",-40000*N696)</f>
        <v>-1.9895196601282805E-9</v>
      </c>
      <c r="X696" s="11">
        <f>IF(OR(履歴データ!$A$696="",履歴データ!$A$695=""),"",120*1000000*(-Q696/H695))</f>
        <v>0</v>
      </c>
      <c r="Y696" s="11">
        <f>IF(OR(履歴データ!$A$696="",履歴データ!$A$695=""),"",40000*(-S696)+(-506.3)*R696*1000)</f>
        <v>27740.62499999936</v>
      </c>
      <c r="Z696" s="11">
        <f>IF(OR(履歴データ!$A$696="",履歴データ!$A$695=""),"",-40000*O696)</f>
        <v>-297999.99999999953</v>
      </c>
      <c r="AA696" s="11">
        <f>IF(OR(履歴データ!$A$696="",履歴データ!$A$695=""),"",-40000*P696)</f>
        <v>-69014.28710937807</v>
      </c>
      <c r="AB696" s="11">
        <f>IF(履歴データ!$A$696="","",123.3)</f>
        <v>123.3</v>
      </c>
      <c r="AC696">
        <f>IF(履歴データ!$A$696="","",SUM(T696:AA696))</f>
        <v>144726.33789061825</v>
      </c>
      <c r="AD696" s="29">
        <f>IF(履歴データ!$A$696="","",AC696/1000000)</f>
        <v>0.14472633789061826</v>
      </c>
      <c r="AE696" s="29">
        <f>IF(履歴データ!$A$696="",AE695,AE695+AC696/1000000)</f>
        <v>72.039435323949419</v>
      </c>
      <c r="AF696" s="12">
        <f>IF(OR(履歴データ!$A$696="",AE695=0),"",(AE696-AE695)/AE695)</f>
        <v>2.0130318340767085E-3</v>
      </c>
      <c r="AG696" s="29">
        <f t="shared" si="32"/>
        <v>102.17217746631495</v>
      </c>
      <c r="AH696" s="12">
        <f>IF(OR(履歴データ!$A$696="",AG696=0),"",AE696/AG696-1)</f>
        <v>-0.29492120937032951</v>
      </c>
      <c r="AJ696" s="28">
        <f t="shared" ca="1" si="30"/>
        <v>7.5732572216545959</v>
      </c>
      <c r="AK696" s="28">
        <f t="shared" ca="1" si="31"/>
        <v>-8.7716699200672945</v>
      </c>
    </row>
    <row r="697" spans="1:37">
      <c r="A697" s="10">
        <f>IF(履歴データ!$A$697="","",履歴データ!$A$697)</f>
        <v>45944</v>
      </c>
      <c r="B697" s="28">
        <f>IF(履歴データ!$A$697="","",(履歴データ!$D$697-(履歴データ!$B$697+履歴データ!$F$697)/2)*100)</f>
        <v>-1.9999999999999574</v>
      </c>
      <c r="C697" s="28">
        <f>IF(履歴データ!$A$697="","",(履歴データ!$H$697-(履歴データ!$G$697+履歴データ!$J$697)/2)*100)</f>
        <v>-38.649999999999984</v>
      </c>
      <c r="D697" s="28">
        <f>IF(履歴データ!$A$697="","",(履歴データ!$D$697-履歴データ!$H$697)*100)</f>
        <v>236.00000000000003</v>
      </c>
      <c r="E697" s="28">
        <f>IF(履歴データ!$A$697="","",(履歴データ!$D$697-履歴データ!$C$697)*100)</f>
        <v>43.000000000000014</v>
      </c>
      <c r="F697" s="28">
        <f>IF(履歴データ!$A$697="","",(履歴データ!$R$697-履歴データ!$D$697)*100)</f>
        <v>-306.45000000000005</v>
      </c>
      <c r="G697" s="28">
        <f>IF(履歴データ!$A$697="","",(履歴データ!$S$697-履歴データ!$R$697)*100)</f>
        <v>92.056999999999832</v>
      </c>
      <c r="H697" s="29">
        <f>IF(履歴データ!$A$697="","",履歴データ!$O$697)</f>
        <v>151.73100280761719</v>
      </c>
      <c r="I697" s="29">
        <f>IF(履歴データ!$A$697="","",履歴データ!$Q$697)</f>
        <v>113.40625</v>
      </c>
      <c r="J697" s="29">
        <f>IF(履歴データ!$A$697="","",履歴データ!$D$697)</f>
        <v>4.03</v>
      </c>
      <c r="K697" s="28">
        <f>IF(OR(履歴データ!$A$697="",履歴データ!$A$696=""),"",B697-B696)</f>
        <v>0.50000000000007816</v>
      </c>
      <c r="L697" s="28">
        <f>IF(OR(履歴データ!$A$697="",履歴データ!$A$696=""),"",C697-C696)</f>
        <v>-2.7499999999999858</v>
      </c>
      <c r="M697" s="28">
        <f>IF(OR(履歴データ!$A$697="",履歴データ!$A$696=""),"",D697-D696)</f>
        <v>0.70000000000004547</v>
      </c>
      <c r="N697" s="28">
        <f>IF(OR(履歴データ!$A$697="",履歴データ!$A$696=""),"",E697-E696)</f>
        <v>3.0000000000000213</v>
      </c>
      <c r="O697" s="28">
        <f>IF(OR(履歴データ!$A$697="",履歴データ!$A$696=""),"",F697-F696)</f>
        <v>-6.6900000000000546</v>
      </c>
      <c r="P697" s="28">
        <f>IF(OR(履歴データ!$A$697="",履歴データ!$A$696=""),"",G697-G696)</f>
        <v>11.1456428222656</v>
      </c>
      <c r="Q697" s="29">
        <f>IF(OR(履歴データ!$A$697="",履歴データ!$A$696=""),"",H697-H696)</f>
        <v>-1.2339935302734375</v>
      </c>
      <c r="R697" s="29">
        <f>IF(OR(履歴データ!$A$697="",履歴データ!$A$696=""),"",I697-I696)</f>
        <v>0.265625</v>
      </c>
      <c r="S697" s="28">
        <f>IF(OR(履歴データ!$A$697="",履歴データ!$A$696=""),"",(J697-J696)*100)</f>
        <v>-1.9999999999999574</v>
      </c>
      <c r="T697" s="11">
        <f>IF(OR(履歴データ!$A$697="",履歴データ!$A$696=""),"",-80000*K697)</f>
        <v>-40000.00000000625</v>
      </c>
      <c r="U697" s="11">
        <f>IF(OR(履歴データ!$A$697="",履歴データ!$A$696=""),"",60000*L697)</f>
        <v>-164999.99999999916</v>
      </c>
      <c r="V697" s="11">
        <f>IF(OR(履歴データ!$A$697="",履歴データ!$A$696=""),"",-50000*M697)</f>
        <v>-35000.00000000227</v>
      </c>
      <c r="W697" s="11">
        <f>IF(OR(履歴データ!$A$697="",履歴データ!$A$696=""),"",-40000*N697)</f>
        <v>-120000.00000000086</v>
      </c>
      <c r="X697" s="11">
        <f>IF(OR(履歴データ!$A$697="",履歴データ!$A$696=""),"",120*1000000*(-Q697/H696))</f>
        <v>968059.53765863052</v>
      </c>
      <c r="Y697" s="11">
        <f>IF(OR(履歴データ!$A$697="",履歴データ!$A$696=""),"",40000*(-S697)+(-506.3)*R697*1000)</f>
        <v>-54485.937500001703</v>
      </c>
      <c r="Z697" s="11">
        <f>IF(OR(履歴データ!$A$697="",履歴データ!$A$696=""),"",-40000*O697)</f>
        <v>267600.00000000221</v>
      </c>
      <c r="AA697" s="11">
        <f>IF(OR(履歴データ!$A$697="",履歴データ!$A$696=""),"",-40000*P697)</f>
        <v>-445825.71289062401</v>
      </c>
      <c r="AB697" s="11">
        <f>IF(履歴データ!$A$697="","",123.3)</f>
        <v>123.3</v>
      </c>
      <c r="AC697">
        <f>IF(履歴データ!$A$697="","",SUM(T697:AA697))</f>
        <v>375347.88726799848</v>
      </c>
      <c r="AD697" s="29">
        <f>IF(履歴データ!$A$697="","",AC697/1000000)</f>
        <v>0.3753478872679985</v>
      </c>
      <c r="AE697" s="29">
        <f>IF(履歴データ!$A$697="",AE696,AE696+AC697/1000000)</f>
        <v>72.414783211217411</v>
      </c>
      <c r="AF697" s="12">
        <f>IF(OR(履歴データ!$A$697="",AE696=0),"",(AE697-AE696)/AE696)</f>
        <v>5.2103113465578228E-3</v>
      </c>
      <c r="AG697" s="29">
        <f t="shared" si="32"/>
        <v>102.17217746631495</v>
      </c>
      <c r="AH697" s="12">
        <f>IF(OR(履歴データ!$A$697="",AG697=0),"",AE697/AG697-1)</f>
        <v>-0.29124752934729448</v>
      </c>
      <c r="AJ697" s="28">
        <f t="shared" ca="1" si="30"/>
        <v>7.5044308730329963</v>
      </c>
      <c r="AK697" s="28">
        <f t="shared" ca="1" si="31"/>
        <v>-8.6314150000171228</v>
      </c>
    </row>
    <row r="698" spans="1:37">
      <c r="A698" s="10">
        <f>IF(履歴データ!$A$698="","",履歴データ!$A$698)</f>
        <v>45945</v>
      </c>
      <c r="B698" s="28">
        <f>IF(履歴データ!$A$698="","",(履歴データ!$D$698-(履歴データ!$B$698+履歴データ!$F$698)/2)*100)</f>
        <v>-2.0000000000000462</v>
      </c>
      <c r="C698" s="28">
        <f>IF(履歴データ!$A$698="","",(履歴データ!$H$698-(履歴データ!$G$698+履歴データ!$J$698)/2)*100)</f>
        <v>-37.550000000000018</v>
      </c>
      <c r="D698" s="28">
        <f>IF(履歴データ!$A$698="","",(履歴データ!$D$698-履歴データ!$H$698)*100)</f>
        <v>238.79999999999998</v>
      </c>
      <c r="E698" s="28">
        <f>IF(履歴データ!$A$698="","",(履歴データ!$D$698-履歴データ!$C$698)*100)</f>
        <v>41.999999999999993</v>
      </c>
      <c r="F698" s="28">
        <f>IF(履歴データ!$A$698="","",(履歴データ!$R$698-履歴データ!$D$698)*100)</f>
        <v>-314.98999999999995</v>
      </c>
      <c r="G698" s="28">
        <f>IF(履歴データ!$A$698="","",(履歴データ!$S$698-履歴データ!$R$698)*100)</f>
        <v>96.31682141113275</v>
      </c>
      <c r="H698" s="29">
        <f>IF(履歴データ!$A$698="","",履歴データ!$O$698)</f>
        <v>150.9739990234375</v>
      </c>
      <c r="I698" s="29">
        <f>IF(履歴データ!$A$698="","",履歴データ!$Q$698)</f>
        <v>113.234375</v>
      </c>
      <c r="J698" s="29">
        <f>IF(履歴データ!$A$698="","",履歴データ!$D$698)</f>
        <v>4.05</v>
      </c>
      <c r="K698" s="28">
        <f>IF(OR(履歴データ!$A$698="",履歴データ!$A$697=""),"",B698-B697)</f>
        <v>-8.8817841970012523E-14</v>
      </c>
      <c r="L698" s="28">
        <f>IF(OR(履歴データ!$A$698="",履歴データ!$A$697=""),"",C698-C697)</f>
        <v>1.0999999999999659</v>
      </c>
      <c r="M698" s="28">
        <f>IF(OR(履歴データ!$A$698="",履歴データ!$A$697=""),"",D698-D697)</f>
        <v>2.7999999999999545</v>
      </c>
      <c r="N698" s="28">
        <f>IF(OR(履歴データ!$A$698="",履歴データ!$A$697=""),"",E698-E697)</f>
        <v>-1.0000000000000213</v>
      </c>
      <c r="O698" s="28">
        <f>IF(OR(履歴データ!$A$698="",履歴データ!$A$697=""),"",F698-F697)</f>
        <v>-8.5399999999999068</v>
      </c>
      <c r="P698" s="28">
        <f>IF(OR(履歴データ!$A$698="",履歴データ!$A$697=""),"",G698-G697)</f>
        <v>4.2598214111329185</v>
      </c>
      <c r="Q698" s="29">
        <f>IF(OR(履歴データ!$A$698="",履歴データ!$A$697=""),"",H698-H697)</f>
        <v>-0.7570037841796875</v>
      </c>
      <c r="R698" s="29">
        <f>IF(OR(履歴データ!$A$698="",履歴データ!$A$697=""),"",I698-I697)</f>
        <v>-0.171875</v>
      </c>
      <c r="S698" s="28">
        <f>IF(OR(履歴データ!$A$698="",履歴データ!$A$697=""),"",(J698-J697)*100)</f>
        <v>1.9999999999999574</v>
      </c>
      <c r="T698" s="11">
        <f>IF(OR(履歴データ!$A$698="",履歴データ!$A$697=""),"",-80000*K698)</f>
        <v>7.1054273576010019E-9</v>
      </c>
      <c r="U698" s="11">
        <f>IF(OR(履歴データ!$A$698="",履歴データ!$A$697=""),"",60000*L698)</f>
        <v>65999.999999997948</v>
      </c>
      <c r="V698" s="11">
        <f>IF(OR(履歴データ!$A$698="",履歴データ!$A$697=""),"",-50000*M698)</f>
        <v>-139999.99999999773</v>
      </c>
      <c r="W698" s="11">
        <f>IF(OR(履歴データ!$A$698="",履歴データ!$A$697=""),"",-40000*N698)</f>
        <v>40000.000000000851</v>
      </c>
      <c r="X698" s="11">
        <f>IF(OR(履歴データ!$A$698="",履歴データ!$A$697=""),"",120*1000000*(-Q698/H697))</f>
        <v>598694.08638088917</v>
      </c>
      <c r="Y698" s="11">
        <f>IF(OR(履歴データ!$A$698="",履歴データ!$A$697=""),"",40000*(-S698)+(-506.3)*R698*1000)</f>
        <v>7020.3125000017026</v>
      </c>
      <c r="Z698" s="11">
        <f>IF(OR(履歴データ!$A$698="",履歴データ!$A$697=""),"",-40000*O698)</f>
        <v>341599.99999999627</v>
      </c>
      <c r="AA698" s="11">
        <f>IF(OR(履歴データ!$A$698="",履歴データ!$A$697=""),"",-40000*P698)</f>
        <v>-170392.85644531675</v>
      </c>
      <c r="AB698" s="11">
        <f>IF(履歴データ!$A$698="","",123.3)</f>
        <v>123.3</v>
      </c>
      <c r="AC698">
        <f>IF(履歴データ!$A$698="","",SUM(T698:AA698))</f>
        <v>742921.54243557854</v>
      </c>
      <c r="AD698" s="29">
        <f>IF(履歴データ!$A$698="","",AC698/1000000)</f>
        <v>0.74292154243557851</v>
      </c>
      <c r="AE698" s="29">
        <f>IF(履歴データ!$A$698="",AE697,AE697+AC698/1000000)</f>
        <v>73.157704753652993</v>
      </c>
      <c r="AF698" s="12">
        <f>IF(OR(履歴データ!$A$698="",AE697=0),"",(AE698-AE697)/AE697)</f>
        <v>1.0259252454966949E-2</v>
      </c>
      <c r="AG698" s="29">
        <f t="shared" si="32"/>
        <v>102.17217746631495</v>
      </c>
      <c r="AH698" s="12">
        <f>IF(OR(履歴データ!$A$698="",AG698=0),"",AE698/AG698-1)</f>
        <v>-0.28397625882278676</v>
      </c>
      <c r="AJ698" s="28">
        <f t="shared" ca="1" si="30"/>
        <v>7.4418278737603432</v>
      </c>
      <c r="AK698" s="28">
        <f t="shared" ca="1" si="31"/>
        <v>-8.5013516832841525</v>
      </c>
    </row>
    <row r="699" spans="1:37">
      <c r="A699" s="10">
        <f>IF(履歴データ!$A$699="","",履歴データ!$A$699)</f>
        <v>45946</v>
      </c>
      <c r="B699" s="28">
        <f>IF(履歴データ!$A$699="","",(履歴データ!$D$699-(履歴データ!$B$699+履歴データ!$F$699)/2)*100)</f>
        <v>-0.49999999999998934</v>
      </c>
      <c r="C699" s="28">
        <f>IF(履歴データ!$A$699="","",(履歴データ!$H$699-(履歴データ!$G$699+履歴データ!$J$699)/2)*100)</f>
        <v>-36.400000000000013</v>
      </c>
      <c r="D699" s="28">
        <f>IF(履歴データ!$A$699="","",(履歴データ!$D$699-履歴データ!$H$699)*100)</f>
        <v>232.7</v>
      </c>
      <c r="E699" s="28">
        <f>IF(履歴データ!$A$699="","",(履歴データ!$D$699-履歴データ!$C$699)*100)</f>
        <v>44.000000000000043</v>
      </c>
      <c r="F699" s="28">
        <f>IF(履歴データ!$A$699="","",(履歴データ!$R$699-履歴データ!$D$699)*100)</f>
        <v>-309.49</v>
      </c>
      <c r="G699" s="28">
        <f>IF(履歴データ!$A$699="","",(履歴データ!$S$699-履歴データ!$R$699)*100)</f>
        <v>90.326999999999842</v>
      </c>
      <c r="H699" s="29">
        <f>IF(履歴データ!$A$699="","",履歴データ!$O$699)</f>
        <v>150.1199951171875</v>
      </c>
      <c r="I699" s="29">
        <f>IF(履歴データ!$A$699="","",履歴データ!$Q$699)</f>
        <v>113.75</v>
      </c>
      <c r="J699" s="29">
        <f>IF(履歴データ!$A$699="","",履歴データ!$D$699)</f>
        <v>3.99</v>
      </c>
      <c r="K699" s="28">
        <f>IF(OR(履歴データ!$A$699="",履歴データ!$A$698=""),"",B699-B698)</f>
        <v>1.5000000000000568</v>
      </c>
      <c r="L699" s="28">
        <f>IF(OR(履歴データ!$A$699="",履歴データ!$A$698=""),"",C699-C698)</f>
        <v>1.1500000000000057</v>
      </c>
      <c r="M699" s="28">
        <f>IF(OR(履歴データ!$A$699="",履歴データ!$A$698=""),"",D699-D698)</f>
        <v>-6.0999999999999943</v>
      </c>
      <c r="N699" s="28">
        <f>IF(OR(履歴データ!$A$699="",履歴データ!$A$698=""),"",E699-E698)</f>
        <v>2.0000000000000497</v>
      </c>
      <c r="O699" s="28">
        <f>IF(OR(履歴データ!$A$699="",履歴データ!$A$698=""),"",F699-F698)</f>
        <v>5.4999999999999432</v>
      </c>
      <c r="P699" s="28">
        <f>IF(OR(履歴データ!$A$699="",履歴データ!$A$698=""),"",G699-G698)</f>
        <v>-5.9898214111329082</v>
      </c>
      <c r="Q699" s="29">
        <f>IF(OR(履歴データ!$A$699="",履歴データ!$A$698=""),"",H699-H698)</f>
        <v>-0.85400390625</v>
      </c>
      <c r="R699" s="29">
        <f>IF(OR(履歴データ!$A$699="",履歴データ!$A$698=""),"",I699-I698)</f>
        <v>0.515625</v>
      </c>
      <c r="S699" s="28">
        <f>IF(OR(履歴データ!$A$699="",履歴データ!$A$698=""),"",(J699-J698)*100)</f>
        <v>-5.9999999999999609</v>
      </c>
      <c r="T699" s="11">
        <f>IF(OR(履歴データ!$A$699="",履歴データ!$A$698=""),"",-80000*K699)</f>
        <v>-120000.00000000454</v>
      </c>
      <c r="U699" s="11">
        <f>IF(OR(履歴データ!$A$699="",履歴データ!$A$698=""),"",60000*L699)</f>
        <v>69000.000000000335</v>
      </c>
      <c r="V699" s="11">
        <f>IF(OR(履歴データ!$A$699="",履歴データ!$A$698=""),"",-50000*M699)</f>
        <v>304999.99999999971</v>
      </c>
      <c r="W699" s="11">
        <f>IF(OR(履歴データ!$A$699="",履歴データ!$A$698=""),"",-40000*N699)</f>
        <v>-80000.000000001994</v>
      </c>
      <c r="X699" s="11">
        <f>IF(OR(履歴データ!$A$699="",履歴データ!$A$698=""),"",120*1000000*(-Q699/H698))</f>
        <v>678795.48407597479</v>
      </c>
      <c r="Y699" s="11">
        <f>IF(OR(履歴データ!$A$699="",履歴データ!$A$698=""),"",40000*(-S699)+(-506.3)*R699*1000)</f>
        <v>-21060.937500001601</v>
      </c>
      <c r="Z699" s="11">
        <f>IF(OR(履歴データ!$A$699="",履歴データ!$A$698=""),"",-40000*O699)</f>
        <v>-219999.99999999773</v>
      </c>
      <c r="AA699" s="11">
        <f>IF(OR(履歴データ!$A$699="",履歴データ!$A$698=""),"",-40000*P699)</f>
        <v>239592.85644531634</v>
      </c>
      <c r="AB699" s="11">
        <f>IF(履歴データ!$A$699="","",123.3)</f>
        <v>123.3</v>
      </c>
      <c r="AC699">
        <f>IF(履歴データ!$A$699="","",SUM(T699:AA699))</f>
        <v>851327.40302128543</v>
      </c>
      <c r="AD699" s="29">
        <f>IF(履歴データ!$A$699="","",AC699/1000000)</f>
        <v>0.8513274030212854</v>
      </c>
      <c r="AE699" s="29">
        <f>IF(履歴データ!$A$699="",AE698,AE698+AC699/1000000)</f>
        <v>74.00903215667428</v>
      </c>
      <c r="AF699" s="12">
        <f>IF(OR(履歴データ!$A$699="",AE698=0),"",(AE699-AE698)/AE698)</f>
        <v>1.1636879613541696E-2</v>
      </c>
      <c r="AG699" s="29">
        <f t="shared" si="32"/>
        <v>102.17217746631495</v>
      </c>
      <c r="AH699" s="12">
        <f>IF(OR(履歴データ!$A$699="",AG699=0),"",AE699/AG699-1)</f>
        <v>-0.27564397674626984</v>
      </c>
      <c r="AJ699" s="28">
        <f t="shared" ca="1" si="30"/>
        <v>7.4032304432739675</v>
      </c>
      <c r="AK699" s="28">
        <f t="shared" ca="1" si="31"/>
        <v>-8.3952939353374596</v>
      </c>
    </row>
    <row r="700" spans="1:37">
      <c r="A700" s="10">
        <f>IF(履歴データ!$A$700="","",履歴データ!$A$700)</f>
        <v>45947</v>
      </c>
      <c r="B700" s="28">
        <f>IF(履歴データ!$A$700="","",(履歴データ!$D$700-(履歴データ!$B$700+履歴データ!$F$700)/2)*100)</f>
        <v>-0.99999999999997868</v>
      </c>
      <c r="C700" s="28">
        <f>IF(履歴データ!$A$700="","",(履歴データ!$H$700-(履歴データ!$G$700+履歴データ!$J$700)/2)*100)</f>
        <v>-38.350000000000016</v>
      </c>
      <c r="D700" s="28">
        <f>IF(履歴データ!$A$700="","",(履歴データ!$D$700-履歴データ!$H$700)*100)</f>
        <v>238.19999999999996</v>
      </c>
      <c r="E700" s="28">
        <f>IF(履歴データ!$A$700="","",(履歴データ!$D$700-履歴データ!$C$700)*100)</f>
        <v>42.999999999999972</v>
      </c>
      <c r="F700" s="28">
        <f>IF(履歴データ!$A$700="","",(履歴データ!$R$700-履歴データ!$D$700)*100)</f>
        <v>-313.14999999999998</v>
      </c>
      <c r="G700" s="28">
        <f>IF(履歴データ!$A$700="","",(履歴データ!$S$700-履歴データ!$R$700)*100)</f>
        <v>93.267178588867111</v>
      </c>
      <c r="H700" s="29">
        <f>IF(履歴データ!$A$700="","",履歴データ!$O$700)</f>
        <v>150.1199951171875</v>
      </c>
      <c r="I700" s="29">
        <f>IF(履歴データ!$A$700="","",履歴データ!$Q$700)</f>
        <v>113.46875</v>
      </c>
      <c r="J700" s="29">
        <f>IF(履歴データ!$A$700="","",履歴データ!$D$700)</f>
        <v>4.0199999999999996</v>
      </c>
      <c r="K700" s="28">
        <f>IF(OR(履歴データ!$A$700="",履歴データ!$A$699=""),"",B700-B699)</f>
        <v>-0.49999999999998934</v>
      </c>
      <c r="L700" s="28">
        <f>IF(OR(履歴データ!$A$700="",履歴データ!$A$699=""),"",C700-C699)</f>
        <v>-1.9500000000000028</v>
      </c>
      <c r="M700" s="28">
        <f>IF(OR(履歴データ!$A$700="",履歴データ!$A$699=""),"",D700-D699)</f>
        <v>5.4999999999999716</v>
      </c>
      <c r="N700" s="28">
        <f>IF(OR(履歴データ!$A$700="",履歴データ!$A$699=""),"",E700-E699)</f>
        <v>-1.0000000000000711</v>
      </c>
      <c r="O700" s="28">
        <f>IF(OR(履歴データ!$A$700="",履歴データ!$A$699=""),"",F700-F699)</f>
        <v>-3.6599999999999682</v>
      </c>
      <c r="P700" s="28">
        <f>IF(OR(履歴データ!$A$700="",履歴データ!$A$699=""),"",G700-G699)</f>
        <v>2.9401785888672691</v>
      </c>
      <c r="Q700" s="29">
        <f>IF(OR(履歴データ!$A$700="",履歴データ!$A$699=""),"",H700-H699)</f>
        <v>0</v>
      </c>
      <c r="R700" s="29">
        <f>IF(OR(履歴データ!$A$700="",履歴データ!$A$699=""),"",I700-I699)</f>
        <v>-0.28125</v>
      </c>
      <c r="S700" s="28">
        <f>IF(OR(履歴データ!$A$700="",履歴データ!$A$699=""),"",(J700-J699)*100)</f>
        <v>2.9999999999999361</v>
      </c>
      <c r="T700" s="11">
        <f>IF(OR(履歴データ!$A$700="",履歴データ!$A$699=""),"",-80000*K700)</f>
        <v>39999.999999999149</v>
      </c>
      <c r="U700" s="11">
        <f>IF(OR(履歴データ!$A$700="",履歴データ!$A$699=""),"",60000*L700)</f>
        <v>-117000.00000000017</v>
      </c>
      <c r="V700" s="11">
        <f>IF(OR(履歴データ!$A$700="",履歴データ!$A$699=""),"",-50000*M700)</f>
        <v>-274999.9999999986</v>
      </c>
      <c r="W700" s="11">
        <f>IF(OR(履歴データ!$A$700="",履歴データ!$A$699=""),"",-40000*N700)</f>
        <v>40000.000000002845</v>
      </c>
      <c r="X700" s="11">
        <f>IF(OR(履歴データ!$A$700="",履歴データ!$A$699=""),"",120*1000000*(-Q700/H699))</f>
        <v>0</v>
      </c>
      <c r="Y700" s="11">
        <f>IF(OR(履歴データ!$A$700="",履歴データ!$A$699=""),"",40000*(-S700)+(-506.3)*R700*1000)</f>
        <v>22396.875000002561</v>
      </c>
      <c r="Z700" s="11">
        <f>IF(OR(履歴データ!$A$700="",履歴データ!$A$699=""),"",-40000*O700)</f>
        <v>146399.99999999872</v>
      </c>
      <c r="AA700" s="11">
        <f>IF(OR(履歴データ!$A$700="",履歴データ!$A$699=""),"",-40000*P700)</f>
        <v>-117607.14355469076</v>
      </c>
      <c r="AB700" s="11">
        <f>IF(履歴データ!$A$700="","",123.3)</f>
        <v>123.3</v>
      </c>
      <c r="AC700">
        <f>IF(履歴データ!$A$700="","",SUM(T700:AA700))</f>
        <v>-260810.26855468628</v>
      </c>
      <c r="AD700" s="29">
        <f>IF(履歴データ!$A$700="","",AC700/1000000)</f>
        <v>-0.26081026855468625</v>
      </c>
      <c r="AE700" s="29">
        <f>IF(履歴データ!$A$700="",AE699,AE699+AC700/1000000)</f>
        <v>73.748221888119588</v>
      </c>
      <c r="AF700" s="12">
        <f>IF(OR(履歴データ!$A$700="",AE699=0),"",(AE700-AE699)/AE699)</f>
        <v>-3.5240329586065542E-3</v>
      </c>
      <c r="AG700" s="29">
        <f t="shared" si="32"/>
        <v>102.17217746631495</v>
      </c>
      <c r="AH700" s="12">
        <f>IF(OR(履歴データ!$A$700="",AG700=0),"",AE700/AG700-1)</f>
        <v>-0.27819663124598115</v>
      </c>
      <c r="AJ700" s="28">
        <f t="shared" ca="1" si="30"/>
        <v>7.3616885795810916</v>
      </c>
      <c r="AK700" s="28">
        <f t="shared" ca="1" si="31"/>
        <v>-8.2902600081525204</v>
      </c>
    </row>
    <row r="701" spans="1:37">
      <c r="A701" s="10">
        <f>IF(履歴データ!$A$701="","",履歴データ!$A$701)</f>
        <v>45950</v>
      </c>
      <c r="B701" s="28">
        <f>IF(履歴データ!$A$701="","",(履歴データ!$D$701-(履歴データ!$B$701+履歴データ!$F$701)/2)*100)</f>
        <v>-1.9999999999999574</v>
      </c>
      <c r="C701" s="28">
        <f>IF(履歴データ!$A$701="","",(履歴データ!$H$701-(履歴データ!$G$701+履歴データ!$J$701)/2)*100)</f>
        <v>-36.349999999999994</v>
      </c>
      <c r="D701" s="28">
        <f>IF(履歴データ!$A$701="","",(履歴データ!$D$701-履歴データ!$H$701)*100)</f>
        <v>232.39999999999998</v>
      </c>
      <c r="E701" s="28">
        <f>IF(履歴データ!$A$701="","",(履歴データ!$D$701-履歴データ!$C$701)*100)</f>
        <v>41.999999999999993</v>
      </c>
      <c r="F701" s="28">
        <f>IF(履歴データ!$A$701="","",(履歴データ!$R$701-履歴データ!$D$701)*100)</f>
        <v>-312.84000000000003</v>
      </c>
      <c r="G701" s="28">
        <f>IF(履歴データ!$A$701="","",(履歴データ!$S$701-履歴データ!$R$701)*100)</f>
        <v>102.14864282226559</v>
      </c>
      <c r="H701" s="29">
        <f>IF(履歴データ!$A$701="","",履歴データ!$O$701)</f>
        <v>150.77400207519531</v>
      </c>
      <c r="I701" s="29">
        <f>IF(履歴データ!$A$701="","",履歴データ!$Q$701)</f>
        <v>113.59375</v>
      </c>
      <c r="J701" s="29">
        <f>IF(履歴データ!$A$701="","",履歴データ!$D$701)</f>
        <v>4</v>
      </c>
      <c r="K701" s="28">
        <f>IF(OR(履歴データ!$A$701="",履歴データ!$A$700=""),"",B701-B700)</f>
        <v>-0.99999999999997868</v>
      </c>
      <c r="L701" s="28">
        <f>IF(OR(履歴データ!$A$701="",履歴データ!$A$700=""),"",C701-C700)</f>
        <v>2.0000000000000213</v>
      </c>
      <c r="M701" s="28">
        <f>IF(OR(履歴データ!$A$701="",履歴データ!$A$700=""),"",D701-D700)</f>
        <v>-5.7999999999999829</v>
      </c>
      <c r="N701" s="28">
        <f>IF(OR(履歴データ!$A$701="",履歴データ!$A$700=""),"",E701-E700)</f>
        <v>-0.99999999999997868</v>
      </c>
      <c r="O701" s="28">
        <f>IF(OR(履歴データ!$A$701="",履歴データ!$A$700=""),"",F701-F700)</f>
        <v>0.30999999999994543</v>
      </c>
      <c r="P701" s="28">
        <f>IF(OR(履歴データ!$A$701="",履歴データ!$A$700=""),"",G701-G700)</f>
        <v>8.881464233398475</v>
      </c>
      <c r="Q701" s="29">
        <f>IF(OR(履歴データ!$A$701="",履歴データ!$A$700=""),"",H701-H700)</f>
        <v>0.6540069580078125</v>
      </c>
      <c r="R701" s="29">
        <f>IF(OR(履歴データ!$A$701="",履歴データ!$A$700=""),"",I701-I700)</f>
        <v>0.125</v>
      </c>
      <c r="S701" s="28">
        <f>IF(OR(履歴データ!$A$701="",履歴データ!$A$700=""),"",(J701-J700)*100)</f>
        <v>-1.9999999999999574</v>
      </c>
      <c r="T701" s="11">
        <f>IF(OR(履歴データ!$A$701="",履歴データ!$A$700=""),"",-80000*K701)</f>
        <v>79999.999999998297</v>
      </c>
      <c r="U701" s="11">
        <f>IF(OR(履歴データ!$A$701="",履歴データ!$A$700=""),"",60000*L701)</f>
        <v>120000.00000000128</v>
      </c>
      <c r="V701" s="11">
        <f>IF(OR(履歴データ!$A$701="",履歴データ!$A$700=""),"",-50000*M701)</f>
        <v>289999.99999999913</v>
      </c>
      <c r="W701" s="11">
        <f>IF(OR(履歴データ!$A$701="",履歴データ!$A$700=""),"",-40000*N701)</f>
        <v>39999.999999999149</v>
      </c>
      <c r="X701" s="11">
        <f>IF(OR(履歴データ!$A$701="",履歴データ!$A$700=""),"",120*1000000*(-Q701/H700))</f>
        <v>-522787.35354123451</v>
      </c>
      <c r="Y701" s="11">
        <f>IF(OR(履歴データ!$A$701="",履歴データ!$A$700=""),"",40000*(-S701)+(-506.3)*R701*1000)</f>
        <v>16712.499999998297</v>
      </c>
      <c r="Z701" s="11">
        <f>IF(OR(履歴データ!$A$701="",履歴データ!$A$700=""),"",-40000*O701)</f>
        <v>-12399.999999997817</v>
      </c>
      <c r="AA701" s="11">
        <f>IF(OR(履歴データ!$A$701="",履歴データ!$A$700=""),"",-40000*P701)</f>
        <v>-355258.56933593901</v>
      </c>
      <c r="AB701" s="11">
        <f>IF(履歴データ!$A$701="","",123.3)</f>
        <v>123.3</v>
      </c>
      <c r="AC701">
        <f>IF(履歴データ!$A$701="","",SUM(T701:AA701))</f>
        <v>-343733.42287717515</v>
      </c>
      <c r="AD701" s="29">
        <f>IF(履歴データ!$A$701="","",AC701/1000000)</f>
        <v>-0.34373342287717518</v>
      </c>
      <c r="AE701" s="29">
        <f>IF(履歴データ!$A$701="",AE700,AE700+AC701/1000000)</f>
        <v>73.404488465242409</v>
      </c>
      <c r="AF701" s="12">
        <f>IF(OR(履歴データ!$A$701="",AE700=0),"",(AE701-AE700)/AE700)</f>
        <v>-4.6609045489753344E-3</v>
      </c>
      <c r="AG701" s="29">
        <f t="shared" si="32"/>
        <v>102.17217746631495</v>
      </c>
      <c r="AH701" s="12">
        <f>IF(OR(履歴データ!$A$701="",AG701=0),"",AE701/AG701-1)</f>
        <v>-0.28156088785087241</v>
      </c>
      <c r="AJ701" s="28">
        <f t="shared" ca="1" si="30"/>
        <v>7.2943302115671624</v>
      </c>
      <c r="AK701" s="28">
        <f t="shared" ca="1" si="31"/>
        <v>-8.1554413226782732</v>
      </c>
    </row>
    <row r="702" spans="1:37">
      <c r="A702" s="10">
        <f>IF(履歴データ!$A$702="","",履歴データ!$A$702)</f>
        <v>45951</v>
      </c>
      <c r="B702" s="28">
        <f>IF(履歴データ!$A$702="","",(履歴データ!$D$702-(履歴データ!$B$702+履歴データ!$F$702)/2)*100)</f>
        <v>-2.0000000000000018</v>
      </c>
      <c r="C702" s="28">
        <f>IF(履歴データ!$A$702="","",(履歴データ!$H$702-(履歴データ!$G$702+履歴データ!$J$702)/2)*100)</f>
        <v>-37.199999999999967</v>
      </c>
      <c r="D702" s="28">
        <f>IF(履歴データ!$A$702="","",(履歴データ!$D$702-履歴データ!$H$702)*100)</f>
        <v>231.29999999999998</v>
      </c>
      <c r="E702" s="28">
        <f>IF(履歴データ!$A$702="","",(履歴データ!$D$702-履歴データ!$C$702)*100)</f>
        <v>41.999999999999993</v>
      </c>
      <c r="F702" s="28">
        <f>IF(履歴データ!$A$702="","",(履歴データ!$R$702-履歴データ!$D$702)*100)</f>
        <v>-307.70999999999998</v>
      </c>
      <c r="G702" s="28">
        <f>IF(履歴データ!$A$702="","",(履歴データ!$S$702-履歴データ!$R$702)*100)</f>
        <v>96.212178588867019</v>
      </c>
      <c r="H702" s="29">
        <f>IF(履歴データ!$A$702="","",履歴データ!$O$702)</f>
        <v>151.89300537109375</v>
      </c>
      <c r="I702" s="29">
        <f>IF(履歴データ!$A$702="","",履歴データ!$Q$702)</f>
        <v>113.75</v>
      </c>
      <c r="J702" s="29">
        <f>IF(履歴データ!$A$702="","",履歴データ!$D$702)</f>
        <v>3.98</v>
      </c>
      <c r="K702" s="28">
        <f>IF(OR(履歴データ!$A$702="",履歴データ!$A$701=""),"",B702-B701)</f>
        <v>-4.4408920985006262E-14</v>
      </c>
      <c r="L702" s="28">
        <f>IF(OR(履歴データ!$A$702="",履歴データ!$A$701=""),"",C702-C701)</f>
        <v>-0.849999999999973</v>
      </c>
      <c r="M702" s="28">
        <f>IF(OR(履歴データ!$A$702="",履歴データ!$A$701=""),"",D702-D701)</f>
        <v>-1.0999999999999943</v>
      </c>
      <c r="N702" s="28">
        <f>IF(OR(履歴データ!$A$702="",履歴データ!$A$701=""),"",E702-E701)</f>
        <v>0</v>
      </c>
      <c r="O702" s="28">
        <f>IF(OR(履歴データ!$A$702="",履歴データ!$A$701=""),"",F702-F701)</f>
        <v>5.1300000000000523</v>
      </c>
      <c r="P702" s="28">
        <f>IF(OR(履歴データ!$A$702="",履歴データ!$A$701=""),"",G702-G701)</f>
        <v>-5.9364642333985671</v>
      </c>
      <c r="Q702" s="29">
        <f>IF(OR(履歴データ!$A$702="",履歴データ!$A$701=""),"",H702-H701)</f>
        <v>1.1190032958984375</v>
      </c>
      <c r="R702" s="29">
        <f>IF(OR(履歴データ!$A$702="",履歴データ!$A$701=""),"",I702-I701)</f>
        <v>0.15625</v>
      </c>
      <c r="S702" s="28">
        <f>IF(OR(履歴データ!$A$702="",履歴データ!$A$701=""),"",(J702-J701)*100)</f>
        <v>-2.0000000000000018</v>
      </c>
      <c r="T702" s="11">
        <f>IF(OR(履歴データ!$A$702="",履歴データ!$A$701=""),"",-80000*K702)</f>
        <v>3.5527136788005009E-9</v>
      </c>
      <c r="U702" s="11">
        <f>IF(OR(履歴データ!$A$702="",履歴データ!$A$701=""),"",60000*L702)</f>
        <v>-50999.999999998377</v>
      </c>
      <c r="V702" s="11">
        <f>IF(OR(履歴データ!$A$702="",履歴データ!$A$701=""),"",-50000*M702)</f>
        <v>54999.999999999716</v>
      </c>
      <c r="W702" s="11">
        <f>IF(OR(履歴データ!$A$702="",履歴データ!$A$701=""),"",-40000*N702)</f>
        <v>0</v>
      </c>
      <c r="X702" s="11">
        <f>IF(OR(履歴データ!$A$702="",履歴データ!$A$701=""),"",120*1000000*(-Q702/H701))</f>
        <v>-890607.09180381789</v>
      </c>
      <c r="Y702" s="11">
        <f>IF(OR(履歴データ!$A$702="",履歴データ!$A$701=""),"",40000*(-S702)+(-506.3)*R702*1000)</f>
        <v>890.62500000007276</v>
      </c>
      <c r="Z702" s="11">
        <f>IF(OR(履歴データ!$A$702="",履歴データ!$A$701=""),"",-40000*O702)</f>
        <v>-205200.0000000021</v>
      </c>
      <c r="AA702" s="11">
        <f>IF(OR(履歴データ!$A$702="",履歴データ!$A$701=""),"",-40000*P702)</f>
        <v>237458.56933594268</v>
      </c>
      <c r="AB702" s="11">
        <f>IF(履歴データ!$A$702="","",123.3)</f>
        <v>123.3</v>
      </c>
      <c r="AC702">
        <f>IF(履歴データ!$A$702="","",SUM(T702:AA702))</f>
        <v>-853457.89746787236</v>
      </c>
      <c r="AD702" s="29">
        <f>IF(履歴データ!$A$702="","",AC702/1000000)</f>
        <v>-0.85345789746787237</v>
      </c>
      <c r="AE702" s="29">
        <f>IF(履歴データ!$A$702="",AE701,AE701+AC702/1000000)</f>
        <v>72.551030567774532</v>
      </c>
      <c r="AF702" s="12">
        <f>IF(OR(履歴データ!$A$702="",AE701=0),"",(AE702-AE701)/AE701)</f>
        <v>-1.1626780804718713E-2</v>
      </c>
      <c r="AG702" s="29">
        <f t="shared" si="32"/>
        <v>102.17217746631495</v>
      </c>
      <c r="AH702" s="12">
        <f>IF(OR(履歴データ!$A$702="",AG702=0),"",AE702/AG702-1)</f>
        <v>-0.28991402192936711</v>
      </c>
      <c r="AJ702" s="28">
        <f t="shared" ca="1" si="30"/>
        <v>7.2411120388911732</v>
      </c>
      <c r="AK702" s="28">
        <f t="shared" ca="1" si="31"/>
        <v>-8.0426993404784746</v>
      </c>
    </row>
    <row r="703" spans="1:37">
      <c r="A703" s="10">
        <f>IF(履歴データ!$A$703="","",履歴データ!$A$703)</f>
        <v>45952</v>
      </c>
      <c r="B703" s="28">
        <f>IF(履歴データ!$A$703="","",(履歴データ!$D$703-(履歴データ!$B$703+履歴データ!$F$703)/2)*100)</f>
        <v>-2.4999999999999911</v>
      </c>
      <c r="C703" s="28">
        <f>IF(履歴データ!$A$703="","",(履歴データ!$H$703-(履歴データ!$G$703+履歴データ!$J$703)/2)*100)</f>
        <v>-36.650000000000006</v>
      </c>
      <c r="D703" s="28">
        <f>IF(履歴データ!$A$703="","",(履歴データ!$D$703-履歴データ!$H$703)*100)</f>
        <v>230.70000000000005</v>
      </c>
      <c r="E703" s="28">
        <f>IF(履歴データ!$A$703="","",(履歴データ!$D$703-履歴データ!$C$703)*100)</f>
        <v>41.000000000000014</v>
      </c>
      <c r="F703" s="28">
        <f>IF(履歴データ!$A$703="","",(履歴データ!$R$703-履歴データ!$D$703)*100)</f>
        <v>-306.62</v>
      </c>
      <c r="G703" s="28">
        <f>IF(履歴データ!$A$703="","",(履歴データ!$S$703-履歴データ!$R$703)*100)</f>
        <v>92.263357177734164</v>
      </c>
      <c r="H703" s="29">
        <f>IF(履歴データ!$A$703="","",履歴データ!$O$703)</f>
        <v>151.95399475097656</v>
      </c>
      <c r="I703" s="29">
        <f>IF(履歴データ!$A$703="","",履歴データ!$Q$703)</f>
        <v>113.796875</v>
      </c>
      <c r="J703" s="29">
        <f>IF(履歴データ!$A$703="","",履歴データ!$D$703)</f>
        <v>3.97</v>
      </c>
      <c r="K703" s="28">
        <f>IF(OR(履歴データ!$A$703="",履歴データ!$A$702=""),"",B703-B702)</f>
        <v>-0.49999999999998934</v>
      </c>
      <c r="L703" s="28">
        <f>IF(OR(履歴データ!$A$703="",履歴データ!$A$702=""),"",C703-C702)</f>
        <v>0.54999999999996163</v>
      </c>
      <c r="M703" s="28">
        <f>IF(OR(履歴データ!$A$703="",履歴データ!$A$702=""),"",D703-D702)</f>
        <v>-0.59999999999993747</v>
      </c>
      <c r="N703" s="28">
        <f>IF(OR(履歴データ!$A$703="",履歴データ!$A$702=""),"",E703-E702)</f>
        <v>-0.99999999999997868</v>
      </c>
      <c r="O703" s="28">
        <f>IF(OR(履歴データ!$A$703="",履歴データ!$A$702=""),"",F703-F702)</f>
        <v>1.089999999999975</v>
      </c>
      <c r="P703" s="28">
        <f>IF(OR(履歴データ!$A$703="",履歴データ!$A$702=""),"",G703-G702)</f>
        <v>-3.9488214111328546</v>
      </c>
      <c r="Q703" s="29">
        <f>IF(OR(履歴データ!$A$703="",履歴データ!$A$702=""),"",H703-H702)</f>
        <v>6.09893798828125E-2</v>
      </c>
      <c r="R703" s="29">
        <f>IF(OR(履歴データ!$A$703="",履歴データ!$A$702=""),"",I703-I702)</f>
        <v>4.6875E-2</v>
      </c>
      <c r="S703" s="28">
        <f>IF(OR(履歴データ!$A$703="",履歴データ!$A$702=""),"",(J703-J702)*100)</f>
        <v>-0.99999999999997868</v>
      </c>
      <c r="T703" s="11">
        <f>IF(OR(履歴データ!$A$703="",履歴データ!$A$702=""),"",-80000*K703)</f>
        <v>39999.999999999149</v>
      </c>
      <c r="U703" s="11">
        <f>IF(OR(履歴データ!$A$703="",履歴データ!$A$702=""),"",60000*L703)</f>
        <v>32999.999999997701</v>
      </c>
      <c r="V703" s="11">
        <f>IF(OR(履歴データ!$A$703="",履歴データ!$A$702=""),"",-50000*M703)</f>
        <v>29999.999999996875</v>
      </c>
      <c r="W703" s="11">
        <f>IF(OR(履歴データ!$A$703="",履歴データ!$A$702=""),"",-40000*N703)</f>
        <v>39999.999999999149</v>
      </c>
      <c r="X703" s="11">
        <f>IF(OR(履歴データ!$A$703="",履歴データ!$A$702=""),"",120*1000000*(-Q703/H702))</f>
        <v>-48183.427328051948</v>
      </c>
      <c r="Y703" s="11">
        <f>IF(OR(履歴データ!$A$703="",履歴データ!$A$702=""),"",40000*(-S703)+(-506.3)*R703*1000)</f>
        <v>16267.187499999149</v>
      </c>
      <c r="Z703" s="11">
        <f>IF(OR(履歴データ!$A$703="",履歴データ!$A$702=""),"",-40000*O703)</f>
        <v>-43599.999999998996</v>
      </c>
      <c r="AA703" s="11">
        <f>IF(OR(履歴データ!$A$703="",履歴データ!$A$702=""),"",-40000*P703)</f>
        <v>157952.85644531419</v>
      </c>
      <c r="AB703" s="11">
        <f>IF(履歴データ!$A$703="","",123.3)</f>
        <v>123.3</v>
      </c>
      <c r="AC703">
        <f>IF(履歴データ!$A$703="","",SUM(T703:AA703))</f>
        <v>225436.61661725526</v>
      </c>
      <c r="AD703" s="29">
        <f>IF(履歴データ!$A$703="","",AC703/1000000)</f>
        <v>0.22543661661725525</v>
      </c>
      <c r="AE703" s="29">
        <f>IF(履歴データ!$A$703="",AE702,AE702+AC703/1000000)</f>
        <v>72.776467184391791</v>
      </c>
      <c r="AF703" s="12">
        <f>IF(OR(履歴データ!$A$703="",AE702=0),"",(AE703-AE702)/AE702)</f>
        <v>3.1072834507383613E-3</v>
      </c>
      <c r="AG703" s="29">
        <f t="shared" si="32"/>
        <v>102.17217746631495</v>
      </c>
      <c r="AH703" s="12">
        <f>IF(OR(履歴データ!$A$703="",AG703=0),"",AE703/AG703-1)</f>
        <v>-0.28770758352110681</v>
      </c>
      <c r="AJ703" s="28">
        <f t="shared" ca="1" si="30"/>
        <v>7.2007001453552171</v>
      </c>
      <c r="AK703" s="28">
        <f t="shared" ca="1" si="31"/>
        <v>-7.9546683993234701</v>
      </c>
    </row>
    <row r="704" spans="1:37">
      <c r="A704" s="10">
        <f>IF(履歴データ!$A$704="","",履歴データ!$A$704)</f>
        <v>45953</v>
      </c>
      <c r="B704" s="28">
        <f>IF(履歴データ!$A$704="","",(履歴データ!$D$704-(履歴データ!$B$704+履歴データ!$F$704)/2)*100)</f>
        <v>-2.0000000000000462</v>
      </c>
      <c r="C704" s="28">
        <f>IF(履歴データ!$A$704="","",(履歴データ!$H$704-(履歴データ!$G$704+履歴データ!$J$704)/2)*100)</f>
        <v>-34.999999999999986</v>
      </c>
      <c r="D704" s="28">
        <f>IF(履歴データ!$A$704="","",(履歴データ!$D$704-履歴データ!$H$704)*100)</f>
        <v>234.3</v>
      </c>
      <c r="E704" s="28">
        <f>IF(履歴データ!$A$704="","",(履歴データ!$D$704-履歴データ!$C$704)*100)</f>
        <v>39.999999999999993</v>
      </c>
      <c r="F704" s="28">
        <f>IF(履歴データ!$A$704="","",(履歴データ!$R$704-履歴データ!$D$704)*100)</f>
        <v>-312.73</v>
      </c>
      <c r="G704" s="28">
        <f>IF(履歴データ!$A$704="","",(履歴データ!$S$704-履歴データ!$R$704)*100)</f>
        <v>92.093178588867076</v>
      </c>
      <c r="H704" s="29">
        <f>IF(履歴データ!$A$704="","",履歴データ!$O$704)</f>
        <v>152.60200500488281</v>
      </c>
      <c r="I704" s="29">
        <f>IF(履歴データ!$A$704="","",履歴データ!$Q$704)</f>
        <v>113.484375</v>
      </c>
      <c r="J704" s="29">
        <f>IF(履歴データ!$A$704="","",履歴データ!$D$704)</f>
        <v>4.01</v>
      </c>
      <c r="K704" s="28">
        <f>IF(OR(履歴データ!$A$704="",履歴データ!$A$703=""),"",B704-B703)</f>
        <v>0.49999999999994493</v>
      </c>
      <c r="L704" s="28">
        <f>IF(OR(履歴データ!$A$704="",履歴データ!$A$703=""),"",C704-C703)</f>
        <v>1.6500000000000199</v>
      </c>
      <c r="M704" s="28">
        <f>IF(OR(履歴データ!$A$704="",履歴データ!$A$703=""),"",D704-D703)</f>
        <v>3.5999999999999659</v>
      </c>
      <c r="N704" s="28">
        <f>IF(OR(履歴データ!$A$704="",履歴データ!$A$703=""),"",E704-E703)</f>
        <v>-1.0000000000000213</v>
      </c>
      <c r="O704" s="28">
        <f>IF(OR(履歴データ!$A$704="",履歴データ!$A$703=""),"",F704-F703)</f>
        <v>-6.1100000000000136</v>
      </c>
      <c r="P704" s="28">
        <f>IF(OR(履歴データ!$A$704="",履歴データ!$A$703=""),"",G704-G703)</f>
        <v>-0.17017858886708837</v>
      </c>
      <c r="Q704" s="29">
        <f>IF(OR(履歴データ!$A$704="",履歴データ!$A$703=""),"",H704-H703)</f>
        <v>0.64801025390625</v>
      </c>
      <c r="R704" s="29">
        <f>IF(OR(履歴データ!$A$704="",履歴データ!$A$703=""),"",I704-I703)</f>
        <v>-0.3125</v>
      </c>
      <c r="S704" s="28">
        <f>IF(OR(履歴データ!$A$704="",履歴データ!$A$703=""),"",(J704-J703)*100)</f>
        <v>3.9999999999999591</v>
      </c>
      <c r="T704" s="11">
        <f>IF(OR(履歴データ!$A$704="",履歴データ!$A$703=""),"",-80000*K704)</f>
        <v>-39999.999999995598</v>
      </c>
      <c r="U704" s="11">
        <f>IF(OR(履歴データ!$A$704="",履歴データ!$A$703=""),"",60000*L704)</f>
        <v>99000.000000001193</v>
      </c>
      <c r="V704" s="11">
        <f>IF(OR(履歴データ!$A$704="",履歴データ!$A$703=""),"",-50000*M704)</f>
        <v>-179999.99999999828</v>
      </c>
      <c r="W704" s="11">
        <f>IF(OR(履歴データ!$A$704="",履歴データ!$A$703=""),"",-40000*N704)</f>
        <v>40000.000000000851</v>
      </c>
      <c r="X704" s="11">
        <f>IF(OR(履歴データ!$A$704="",履歴データ!$A$703=""),"",120*1000000*(-Q704/H703))</f>
        <v>-511741.92949771235</v>
      </c>
      <c r="Y704" s="11">
        <f>IF(OR(履歴データ!$A$704="",履歴データ!$A$703=""),"",40000*(-S704)+(-506.3)*R704*1000)</f>
        <v>-1781.2499999983702</v>
      </c>
      <c r="Z704" s="11">
        <f>IF(OR(履歴データ!$A$704="",履歴データ!$A$703=""),"",-40000*O704)</f>
        <v>244400.00000000055</v>
      </c>
      <c r="AA704" s="11">
        <f>IF(OR(履歴データ!$A$704="",履歴データ!$A$703=""),"",-40000*P704)</f>
        <v>6807.1435546835346</v>
      </c>
      <c r="AB704" s="11">
        <f>IF(履歴データ!$A$704="","",123.3)</f>
        <v>123.3</v>
      </c>
      <c r="AC704">
        <f>IF(履歴データ!$A$704="","",SUM(T704:AA704))</f>
        <v>-343316.03594301839</v>
      </c>
      <c r="AD704" s="29">
        <f>IF(履歴データ!$A$704="","",AC704/1000000)</f>
        <v>-0.3433160359430184</v>
      </c>
      <c r="AE704" s="29">
        <f>IF(履歴データ!$A$704="",AE703,AE703+AC704/1000000)</f>
        <v>72.433151148448772</v>
      </c>
      <c r="AF704" s="12">
        <f>IF(OR(履歴データ!$A$704="",AE703=0),"",(AE704-AE703)/AE703)</f>
        <v>-4.7174045295874049E-3</v>
      </c>
      <c r="AG704" s="29">
        <f t="shared" si="32"/>
        <v>102.17217746631495</v>
      </c>
      <c r="AH704" s="12">
        <f>IF(OR(履歴データ!$A$704="",AG704=0),"",AE704/AG704-1)</f>
        <v>-0.29106775499299509</v>
      </c>
      <c r="AJ704" s="28">
        <f t="shared" ca="1" si="30"/>
        <v>7.1594072346324769</v>
      </c>
      <c r="AK704" s="28">
        <f t="shared" ca="1" si="31"/>
        <v>-7.8617881870134294</v>
      </c>
    </row>
    <row r="705" spans="1:37">
      <c r="A705" s="10">
        <f>IF(履歴データ!$A$705="","",履歴データ!$A$705)</f>
        <v>45954</v>
      </c>
      <c r="B705" s="28">
        <f>IF(履歴データ!$A$705="","",(履歴データ!$D$705-(履歴データ!$B$705+履歴データ!$F$705)/2)*100)</f>
        <v>-1.5000000000000568</v>
      </c>
      <c r="C705" s="28">
        <f>IF(履歴データ!$A$705="","",(履歴データ!$H$705-(履歴データ!$G$705+履歴データ!$J$705)/2)*100)</f>
        <v>-33.949999999999989</v>
      </c>
      <c r="D705" s="28">
        <f>IF(履歴データ!$A$705="","",(履歴データ!$D$705-履歴データ!$H$705)*100)</f>
        <v>235.29999999999998</v>
      </c>
      <c r="E705" s="28">
        <f>IF(履歴データ!$A$705="","",(履歴データ!$D$705-履歴データ!$C$705)*100)</f>
        <v>40.999999999999972</v>
      </c>
      <c r="F705" s="28">
        <f>IF(履歴データ!$A$705="","",(履歴データ!$R$705-履歴データ!$D$705)*100)</f>
        <v>-315.95999999999992</v>
      </c>
      <c r="G705" s="28">
        <f>IF(履歴データ!$A$705="","",(履歴データ!$S$705-履歴データ!$R$705)*100)</f>
        <v>94.32317858886708</v>
      </c>
      <c r="H705" s="29">
        <f>IF(履歴データ!$A$705="","",履歴データ!$O$705)</f>
        <v>152.60200500488281</v>
      </c>
      <c r="I705" s="29">
        <f>IF(履歴データ!$A$705="","",履歴データ!$Q$705)</f>
        <v>113.4375</v>
      </c>
      <c r="J705" s="29">
        <f>IF(履歴データ!$A$705="","",履歴データ!$D$705)</f>
        <v>4.0199999999999996</v>
      </c>
      <c r="K705" s="28">
        <f>IF(OR(履歴データ!$A$705="",履歴データ!$A$704=""),"",B705-B704)</f>
        <v>0.49999999999998934</v>
      </c>
      <c r="L705" s="28">
        <f>IF(OR(履歴データ!$A$705="",履歴データ!$A$704=""),"",C705-C704)</f>
        <v>1.0499999999999972</v>
      </c>
      <c r="M705" s="28">
        <f>IF(OR(履歴データ!$A$705="",履歴データ!$A$704=""),"",D705-D704)</f>
        <v>0.99999999999997158</v>
      </c>
      <c r="N705" s="28">
        <f>IF(OR(履歴データ!$A$705="",履歴データ!$A$704=""),"",E705-E704)</f>
        <v>0.99999999999997868</v>
      </c>
      <c r="O705" s="28">
        <f>IF(OR(履歴データ!$A$705="",履歴データ!$A$704=""),"",F705-F704)</f>
        <v>-3.2299999999999045</v>
      </c>
      <c r="P705" s="28">
        <f>IF(OR(履歴データ!$A$705="",履歴データ!$A$704=""),"",G705-G704)</f>
        <v>2.230000000000004</v>
      </c>
      <c r="Q705" s="29">
        <f>IF(OR(履歴データ!$A$705="",履歴データ!$A$704=""),"",H705-H704)</f>
        <v>0</v>
      </c>
      <c r="R705" s="29">
        <f>IF(OR(履歴データ!$A$705="",履歴データ!$A$704=""),"",I705-I704)</f>
        <v>-4.6875E-2</v>
      </c>
      <c r="S705" s="28">
        <f>IF(OR(履歴データ!$A$705="",履歴データ!$A$704=""),"",(J705-J704)*100)</f>
        <v>0.99999999999997868</v>
      </c>
      <c r="T705" s="11">
        <f>IF(OR(履歴データ!$A$705="",履歴データ!$A$704=""),"",-80000*K705)</f>
        <v>-39999.999999999149</v>
      </c>
      <c r="U705" s="11">
        <f>IF(OR(履歴データ!$A$705="",履歴データ!$A$704=""),"",60000*L705)</f>
        <v>62999.999999999833</v>
      </c>
      <c r="V705" s="11">
        <f>IF(OR(履歴データ!$A$705="",履歴データ!$A$704=""),"",-50000*M705)</f>
        <v>-49999.999999998581</v>
      </c>
      <c r="W705" s="11">
        <f>IF(OR(履歴データ!$A$705="",履歴データ!$A$704=""),"",-40000*N705)</f>
        <v>-39999.999999999149</v>
      </c>
      <c r="X705" s="11">
        <f>IF(OR(履歴データ!$A$705="",履歴データ!$A$704=""),"",120*1000000*(-Q705/H704))</f>
        <v>0</v>
      </c>
      <c r="Y705" s="11">
        <f>IF(OR(履歴データ!$A$705="",履歴データ!$A$704=""),"",40000*(-S705)+(-506.3)*R705*1000)</f>
        <v>-16267.187499999149</v>
      </c>
      <c r="Z705" s="11">
        <f>IF(OR(履歴データ!$A$705="",履歴データ!$A$704=""),"",-40000*O705)</f>
        <v>129199.99999999619</v>
      </c>
      <c r="AA705" s="11">
        <f>IF(OR(履歴データ!$A$705="",履歴データ!$A$704=""),"",-40000*P705)</f>
        <v>-89200.00000000016</v>
      </c>
      <c r="AB705" s="11">
        <f>IF(履歴データ!$A$705="","",123.3)</f>
        <v>123.3</v>
      </c>
      <c r="AC705">
        <f>IF(履歴データ!$A$705="","",SUM(T705:AA705))</f>
        <v>-43267.18750000016</v>
      </c>
      <c r="AD705" s="29">
        <f>IF(履歴データ!$A$705="","",AC705/1000000)</f>
        <v>-4.3267187500000158E-2</v>
      </c>
      <c r="AE705" s="29">
        <f>IF(履歴データ!$A$705="",AE704,AE704+AC705/1000000)</f>
        <v>72.389883960948765</v>
      </c>
      <c r="AF705" s="12">
        <f>IF(OR(履歴データ!$A$705="",AE704=0),"",(AE705-AE704)/AE704)</f>
        <v>-5.9733957192242642E-4</v>
      </c>
      <c r="AG705" s="29">
        <f t="shared" si="32"/>
        <v>102.17217746631495</v>
      </c>
      <c r="AH705" s="12">
        <f>IF(OR(履歴データ!$A$705="",AG705=0),"",AE705/AG705-1)</f>
        <v>-0.29149122827674956</v>
      </c>
      <c r="AJ705" s="28">
        <f t="shared" ca="1" si="30"/>
        <v>7.1403315554801345</v>
      </c>
      <c r="AK705" s="28">
        <f t="shared" ca="1" si="31"/>
        <v>-7.8030299681785475</v>
      </c>
    </row>
    <row r="706" spans="1:37">
      <c r="A706" s="10">
        <f>IF(履歴データ!$A$706="","",履歴データ!$A$706)</f>
        <v>45957</v>
      </c>
      <c r="B706" s="28">
        <f>IF(履歴データ!$A$706="","",(履歴データ!$D$706-(履歴データ!$B$706+履歴データ!$F$706)/2)*100)</f>
        <v>-1.5000000000000568</v>
      </c>
      <c r="C706" s="28">
        <f>IF(履歴データ!$A$706="","",(履歴データ!$H$706-(履歴データ!$G$706+履歴データ!$J$706)/2)*100)</f>
        <v>-33.699999999999996</v>
      </c>
      <c r="D706" s="28">
        <f>IF(履歴データ!$A$706="","",(履歴データ!$D$706-履歴データ!$H$706)*100)</f>
        <v>232.7</v>
      </c>
      <c r="E706" s="28">
        <f>IF(履歴データ!$A$706="","",(履歴データ!$D$706-履歴データ!$C$706)*100)</f>
        <v>39.999999999999993</v>
      </c>
      <c r="F706" s="28">
        <f>IF(履歴データ!$A$706="","",(履歴データ!$R$706-履歴データ!$D$706)*100)</f>
        <v>-314.95999999999992</v>
      </c>
      <c r="G706" s="28">
        <f>IF(履歴データ!$A$706="","",(履歴データ!$S$706-履歴データ!$R$706)*100)</f>
        <v>95.375642822265434</v>
      </c>
      <c r="H706" s="29">
        <f>IF(履歴データ!$A$706="","",履歴データ!$O$706)</f>
        <v>153.06100463867188</v>
      </c>
      <c r="I706" s="29">
        <f>IF(履歴データ!$A$706="","",履歴データ!$Q$706)</f>
        <v>113.421875</v>
      </c>
      <c r="J706" s="29">
        <f>IF(履歴データ!$A$706="","",履歴データ!$D$706)</f>
        <v>4.01</v>
      </c>
      <c r="K706" s="28">
        <f>IF(OR(履歴データ!$A$706="",履歴データ!$A$705=""),"",B706-B705)</f>
        <v>0</v>
      </c>
      <c r="L706" s="28">
        <f>IF(OR(履歴データ!$A$706="",履歴データ!$A$705=""),"",C706-C705)</f>
        <v>0.24999999999999289</v>
      </c>
      <c r="M706" s="28">
        <f>IF(OR(履歴データ!$A$706="",履歴データ!$A$705=""),"",D706-D705)</f>
        <v>-2.5999999999999943</v>
      </c>
      <c r="N706" s="28">
        <f>IF(OR(履歴データ!$A$706="",履歴データ!$A$705=""),"",E706-E705)</f>
        <v>-0.99999999999997868</v>
      </c>
      <c r="O706" s="28">
        <f>IF(OR(履歴データ!$A$706="",履歴データ!$A$705=""),"",F706-F705)</f>
        <v>1</v>
      </c>
      <c r="P706" s="28">
        <f>IF(OR(履歴データ!$A$706="",履歴データ!$A$705=""),"",G706-G705)</f>
        <v>1.0524642333983536</v>
      </c>
      <c r="Q706" s="29">
        <f>IF(OR(履歴データ!$A$706="",履歴データ!$A$705=""),"",H706-H705)</f>
        <v>0.4589996337890625</v>
      </c>
      <c r="R706" s="29">
        <f>IF(OR(履歴データ!$A$706="",履歴データ!$A$705=""),"",I706-I705)</f>
        <v>-1.5625E-2</v>
      </c>
      <c r="S706" s="28">
        <f>IF(OR(履歴データ!$A$706="",履歴データ!$A$705=""),"",(J706-J705)*100)</f>
        <v>-0.99999999999997868</v>
      </c>
      <c r="T706" s="11">
        <f>IF(OR(履歴データ!$A$706="",履歴データ!$A$705=""),"",-80000*K706)</f>
        <v>0</v>
      </c>
      <c r="U706" s="11">
        <f>IF(OR(履歴データ!$A$706="",履歴データ!$A$705=""),"",60000*L706)</f>
        <v>14999.999999999574</v>
      </c>
      <c r="V706" s="11">
        <f>IF(OR(履歴データ!$A$706="",履歴データ!$A$705=""),"",-50000*M706)</f>
        <v>129999.99999999971</v>
      </c>
      <c r="W706" s="11">
        <f>IF(OR(履歴データ!$A$706="",履歴データ!$A$705=""),"",-40000*N706)</f>
        <v>39999.999999999149</v>
      </c>
      <c r="X706" s="11">
        <f>IF(OR(履歴データ!$A$706="",履歴データ!$A$705=""),"",120*1000000*(-Q706/H705))</f>
        <v>-360938.613178281</v>
      </c>
      <c r="Y706" s="11">
        <f>IF(OR(履歴データ!$A$706="",履歴データ!$A$705=""),"",40000*(-S706)+(-506.3)*R706*1000)</f>
        <v>47910.937499999149</v>
      </c>
      <c r="Z706" s="11">
        <f>IF(OR(履歴データ!$A$706="",履歴データ!$A$705=""),"",-40000*O706)</f>
        <v>-40000</v>
      </c>
      <c r="AA706" s="11">
        <f>IF(OR(履歴データ!$A$706="",履歴データ!$A$705=""),"",-40000*P706)</f>
        <v>-42098.569335934146</v>
      </c>
      <c r="AB706" s="11">
        <f>IF(履歴データ!$A$706="","",123.3)</f>
        <v>123.3</v>
      </c>
      <c r="AC706">
        <f>IF(履歴データ!$A$706="","",SUM(T706:AA706))</f>
        <v>-210126.24501421757</v>
      </c>
      <c r="AD706" s="29">
        <f>IF(履歴データ!$A$706="","",AC706/1000000)</f>
        <v>-0.21012624501421756</v>
      </c>
      <c r="AE706" s="29">
        <f>IF(履歴データ!$A$706="",AE705,AE705+AC706/1000000)</f>
        <v>72.179757715934542</v>
      </c>
      <c r="AF706" s="12">
        <f>IF(OR(履歴データ!$A$706="",AE705=0),"",(AE706-AE705)/AE705)</f>
        <v>-2.9027017798174265E-3</v>
      </c>
      <c r="AG706" s="29">
        <f t="shared" si="32"/>
        <v>102.17217746631495</v>
      </c>
      <c r="AH706" s="12">
        <f>IF(OR(履歴データ!$A$706="",AG706=0),"",AE706/AG706-1)</f>
        <v>-0.29354781794944695</v>
      </c>
      <c r="AJ706" s="28">
        <f t="shared" ref="AJ706:AJ769" ca="1" si="33">IF(ROW()-1&lt;2,"",IFERROR(AVERAGE(OFFSET($B$1,MAX(1,ROW()-252),0,MIN(252,ROW()-1),1))+2*STDEV(OFFSET($B$1,MAX(1,ROW()-252),0,MIN(252,ROW()-1),1)),""))</f>
        <v>7.1252180665071823</v>
      </c>
      <c r="AK706" s="28">
        <f t="shared" ref="AK706:AK769" ca="1" si="34">IF(ROW()-1&lt;2,"",IFERROR(AVERAGE(OFFSET($B$1,MAX(1,ROW()-252),0,MIN(252,ROW()-1),1))-2*STDEV(OFFSET($B$1,MAX(1,ROW()-252),0,MIN(252,ROW()-1),1)),""))</f>
        <v>-7.7522021934913106</v>
      </c>
    </row>
    <row r="707" spans="1:37">
      <c r="A707" s="10">
        <f>IF(履歴データ!$A$707="","",履歴データ!$A$707)</f>
        <v>45958</v>
      </c>
      <c r="B707" s="28">
        <f>IF(履歴データ!$A$707="","",(履歴データ!$D$707-(履歴データ!$B$707+履歴データ!$F$707)/2)*100)</f>
        <v>-1.9999999999999574</v>
      </c>
      <c r="C707" s="28">
        <f>IF(履歴データ!$A$707="","",(履歴データ!$H$707-(履歴データ!$G$707+履歴データ!$J$707)/2)*100)</f>
        <v>-35.749999999999993</v>
      </c>
      <c r="D707" s="28">
        <f>IF(履歴データ!$A$707="","",(履歴データ!$D$707-履歴データ!$H$707)*100)</f>
        <v>233.60000000000002</v>
      </c>
      <c r="E707" s="28">
        <f>IF(履歴データ!$A$707="","",(履歴データ!$D$707-履歴データ!$C$707)*100)</f>
        <v>39.000000000000014</v>
      </c>
      <c r="F707" s="28">
        <f>IF(履歴データ!$A$707="","",(履歴データ!$R$707-履歴データ!$D$707)*100)</f>
        <v>-311.72000000000003</v>
      </c>
      <c r="G707" s="28">
        <f>IF(履歴データ!$A$707="","",(履歴データ!$S$707-履歴データ!$R$707)*100)</f>
        <v>92.206178588867061</v>
      </c>
      <c r="H707" s="29">
        <f>IF(履歴データ!$A$707="","",履歴データ!$O$707)</f>
        <v>152.69200134277344</v>
      </c>
      <c r="I707" s="29">
        <f>IF(履歴データ!$A$707="","",履歴データ!$Q$707)</f>
        <v>113.46875</v>
      </c>
      <c r="J707" s="29">
        <f>IF(履歴データ!$A$707="","",履歴データ!$D$707)</f>
        <v>3.99</v>
      </c>
      <c r="K707" s="28">
        <f>IF(OR(履歴データ!$A$707="",履歴データ!$A$706=""),"",B707-B706)</f>
        <v>-0.49999999999990052</v>
      </c>
      <c r="L707" s="28">
        <f>IF(OR(履歴データ!$A$707="",履歴データ!$A$706=""),"",C707-C706)</f>
        <v>-2.0499999999999972</v>
      </c>
      <c r="M707" s="28">
        <f>IF(OR(履歴データ!$A$707="",履歴データ!$A$706=""),"",D707-D706)</f>
        <v>0.90000000000003411</v>
      </c>
      <c r="N707" s="28">
        <f>IF(OR(履歴データ!$A$707="",履歴データ!$A$706=""),"",E707-E706)</f>
        <v>-0.99999999999997868</v>
      </c>
      <c r="O707" s="28">
        <f>IF(OR(履歴データ!$A$707="",履歴データ!$A$706=""),"",F707-F706)</f>
        <v>3.2399999999998954</v>
      </c>
      <c r="P707" s="28">
        <f>IF(OR(履歴データ!$A$707="",履歴データ!$A$706=""),"",G707-G706)</f>
        <v>-3.1694642333983722</v>
      </c>
      <c r="Q707" s="29">
        <f>IF(OR(履歴データ!$A$707="",履歴データ!$A$706=""),"",H707-H706)</f>
        <v>-0.3690032958984375</v>
      </c>
      <c r="R707" s="29">
        <f>IF(OR(履歴データ!$A$707="",履歴データ!$A$706=""),"",I707-I706)</f>
        <v>4.6875E-2</v>
      </c>
      <c r="S707" s="28">
        <f>IF(OR(履歴データ!$A$707="",履歴データ!$A$706=""),"",(J707-J706)*100)</f>
        <v>-1.9999999999999574</v>
      </c>
      <c r="T707" s="11">
        <f>IF(OR(履歴データ!$A$707="",履歴データ!$A$706=""),"",-80000*K707)</f>
        <v>39999.99999999204</v>
      </c>
      <c r="U707" s="11">
        <f>IF(OR(履歴データ!$A$707="",履歴データ!$A$706=""),"",60000*L707)</f>
        <v>-122999.99999999983</v>
      </c>
      <c r="V707" s="11">
        <f>IF(OR(履歴データ!$A$707="",履歴データ!$A$706=""),"",-50000*M707)</f>
        <v>-45000.000000001703</v>
      </c>
      <c r="W707" s="11">
        <f>IF(OR(履歴データ!$A$707="",履歴データ!$A$706=""),"",-40000*N707)</f>
        <v>39999.999999999149</v>
      </c>
      <c r="X707" s="11">
        <f>IF(OR(履歴データ!$A$707="",履歴データ!$A$706=""),"",120*1000000*(-Q707/H706))</f>
        <v>289298.99952208187</v>
      </c>
      <c r="Y707" s="11">
        <f>IF(OR(履歴データ!$A$707="",履歴データ!$A$706=""),"",40000*(-S707)+(-506.3)*R707*1000)</f>
        <v>56267.187499998297</v>
      </c>
      <c r="Z707" s="11">
        <f>IF(OR(履歴データ!$A$707="",履歴データ!$A$706=""),"",-40000*O707)</f>
        <v>-129599.99999999581</v>
      </c>
      <c r="AA707" s="11">
        <f>IF(OR(履歴データ!$A$707="",履歴データ!$A$706=""),"",-40000*P707)</f>
        <v>126778.5693359349</v>
      </c>
      <c r="AB707" s="11">
        <f>IF(履歴データ!$A$707="","",123.3)</f>
        <v>123.3</v>
      </c>
      <c r="AC707">
        <f>IF(履歴データ!$A$707="","",SUM(T707:AA707))</f>
        <v>254744.75635800889</v>
      </c>
      <c r="AD707" s="29">
        <f>IF(履歴データ!$A$707="","",AC707/1000000)</f>
        <v>0.25474475635800892</v>
      </c>
      <c r="AE707" s="29">
        <f>IF(履歴データ!$A$707="",AE706,AE706+AC707/1000000)</f>
        <v>72.43450247229255</v>
      </c>
      <c r="AF707" s="12">
        <f>IF(OR(履歴データ!$A$707="",AE706=0),"",(AE707-AE706)/AE706)</f>
        <v>3.5293102168694303E-3</v>
      </c>
      <c r="AG707" s="29">
        <f t="shared" ref="AG707:AG770" si="35">MAX(AG706,AE707)</f>
        <v>102.17217746631495</v>
      </c>
      <c r="AH707" s="12">
        <f>IF(OR(履歴データ!$A$707="",AG707=0),"",AE707/AG707-1)</f>
        <v>-0.29105452904560625</v>
      </c>
      <c r="AJ707" s="28">
        <f t="shared" ca="1" si="33"/>
        <v>7.1165764353732399</v>
      </c>
      <c r="AK707" s="28">
        <f t="shared" ca="1" si="34"/>
        <v>-7.7197510385478445</v>
      </c>
    </row>
    <row r="708" spans="1:37">
      <c r="A708" s="10">
        <f>IF(履歴データ!$A$708="","",履歴データ!$A$708)</f>
        <v>45959</v>
      </c>
      <c r="B708" s="28">
        <f>IF(履歴データ!$A$708="","",(履歴データ!$D$708-(履歴データ!$B$708+履歴データ!$F$708)/2)*100)</f>
        <v>-1.9999999999999574</v>
      </c>
      <c r="C708" s="28">
        <f>IF(履歴データ!$A$708="","",(履歴データ!$H$708-(履歴データ!$G$708+履歴データ!$J$708)/2)*100)</f>
        <v>-34.349999999999994</v>
      </c>
      <c r="D708" s="28">
        <f>IF(履歴データ!$A$708="","",(履歴データ!$D$708-履歴データ!$H$708)*100)</f>
        <v>241.60000000000002</v>
      </c>
      <c r="E708" s="28">
        <f>IF(履歴データ!$A$708="","",(履歴データ!$D$708-履歴データ!$C$708)*100)</f>
        <v>37.999999999999986</v>
      </c>
      <c r="F708" s="28">
        <f>IF(履歴データ!$A$708="","",(履歴データ!$R$708-履歴データ!$D$708)*100)</f>
        <v>-328.56</v>
      </c>
      <c r="G708" s="28">
        <f>IF(履歴データ!$A$708="","",(履歴データ!$S$708-履歴データ!$R$708)*100)</f>
        <v>103.02799999999989</v>
      </c>
      <c r="H708" s="29">
        <f>IF(履歴データ!$A$708="","",履歴データ!$O$708)</f>
        <v>151.73100280761719</v>
      </c>
      <c r="I708" s="29">
        <f>IF(履歴データ!$A$708="","",履歴データ!$Q$708)</f>
        <v>112.90625</v>
      </c>
      <c r="J708" s="29">
        <f>IF(履歴データ!$A$708="","",履歴データ!$D$708)</f>
        <v>4.08</v>
      </c>
      <c r="K708" s="28">
        <f>IF(OR(履歴データ!$A$708="",履歴データ!$A$707=""),"",B708-B707)</f>
        <v>0</v>
      </c>
      <c r="L708" s="28">
        <f>IF(OR(履歴データ!$A$708="",履歴データ!$A$707=""),"",C708-C707)</f>
        <v>1.3999999999999986</v>
      </c>
      <c r="M708" s="28">
        <f>IF(OR(履歴データ!$A$708="",履歴データ!$A$707=""),"",D708-D707)</f>
        <v>8</v>
      </c>
      <c r="N708" s="28">
        <f>IF(OR(履歴データ!$A$708="",履歴データ!$A$707=""),"",E708-E707)</f>
        <v>-1.0000000000000284</v>
      </c>
      <c r="O708" s="28">
        <f>IF(OR(履歴データ!$A$708="",履歴データ!$A$707=""),"",F708-F707)</f>
        <v>-16.839999999999975</v>
      </c>
      <c r="P708" s="28">
        <f>IF(OR(履歴データ!$A$708="",履歴データ!$A$707=""),"",G708-G707)</f>
        <v>10.821821411132831</v>
      </c>
      <c r="Q708" s="29">
        <f>IF(OR(履歴データ!$A$708="",履歴データ!$A$707=""),"",H708-H707)</f>
        <v>-0.96099853515625</v>
      </c>
      <c r="R708" s="29">
        <f>IF(OR(履歴データ!$A$708="",履歴データ!$A$707=""),"",I708-I707)</f>
        <v>-0.5625</v>
      </c>
      <c r="S708" s="28">
        <f>IF(OR(履歴データ!$A$708="",履歴データ!$A$707=""),"",(J708-J707)*100)</f>
        <v>8.9999999999999858</v>
      </c>
      <c r="T708" s="11">
        <f>IF(OR(履歴データ!$A$708="",履歴データ!$A$707=""),"",-80000*K708)</f>
        <v>0</v>
      </c>
      <c r="U708" s="11">
        <f>IF(OR(履歴データ!$A$708="",履歴データ!$A$707=""),"",60000*L708)</f>
        <v>83999.999999999913</v>
      </c>
      <c r="V708" s="11">
        <f>IF(OR(履歴データ!$A$708="",履歴データ!$A$707=""),"",-50000*M708)</f>
        <v>-400000</v>
      </c>
      <c r="W708" s="11">
        <f>IF(OR(履歴データ!$A$708="",履歴データ!$A$707=""),"",-40000*N708)</f>
        <v>40000.000000001135</v>
      </c>
      <c r="X708" s="11">
        <f>IF(OR(履歴データ!$A$708="",履歴データ!$A$707=""),"",120*1000000*(-Q708/H707))</f>
        <v>755244.69654354837</v>
      </c>
      <c r="Y708" s="11">
        <f>IF(OR(履歴データ!$A$708="",履歴データ!$A$707=""),"",40000*(-S708)+(-506.3)*R708*1000)</f>
        <v>-75206.249999999418</v>
      </c>
      <c r="Z708" s="11">
        <f>IF(OR(履歴データ!$A$708="",履歴データ!$A$707=""),"",-40000*O708)</f>
        <v>673599.99999999895</v>
      </c>
      <c r="AA708" s="11">
        <f>IF(OR(履歴データ!$A$708="",履歴データ!$A$707=""),"",-40000*P708)</f>
        <v>-432872.85644531326</v>
      </c>
      <c r="AB708" s="11">
        <f>IF(履歴データ!$A$708="","",123.3)</f>
        <v>123.3</v>
      </c>
      <c r="AC708">
        <f>IF(履歴データ!$A$708="","",SUM(T708:AA708))</f>
        <v>644765.59009823576</v>
      </c>
      <c r="AD708" s="29">
        <f>IF(履歴データ!$A$708="","",AC708/1000000)</f>
        <v>0.64476559009823575</v>
      </c>
      <c r="AE708" s="29">
        <f>IF(履歴データ!$A$708="",AE707,AE707+AC708/1000000)</f>
        <v>73.079268062390781</v>
      </c>
      <c r="AF708" s="12">
        <f>IF(OR(履歴データ!$A$708="",AE707=0),"",(AE708-AE707)/AE707)</f>
        <v>8.9013600990062048E-3</v>
      </c>
      <c r="AG708" s="29">
        <f t="shared" si="35"/>
        <v>102.17217746631495</v>
      </c>
      <c r="AH708" s="12">
        <f>IF(OR(履歴データ!$A$708="",AG708=0),"",AE708/AG708-1)</f>
        <v>-0.28474395011808162</v>
      </c>
      <c r="AJ708" s="28">
        <f t="shared" ca="1" si="33"/>
        <v>7.1005317581415257</v>
      </c>
      <c r="AK708" s="28">
        <f t="shared" ca="1" si="34"/>
        <v>-7.6719603295700987</v>
      </c>
    </row>
    <row r="709" spans="1:37">
      <c r="A709" s="10">
        <f>IF(履歴データ!$A$709="","",履歴データ!$A$709)</f>
        <v>45960</v>
      </c>
      <c r="B709" s="28">
        <f>IF(履歴データ!$A$709="","",(履歴データ!$D$709-(履歴データ!$B$709+履歴データ!$F$709)/2)*100)</f>
        <v>-1.9999999999999574</v>
      </c>
      <c r="C709" s="28">
        <f>IF(履歴データ!$A$709="","",(履歴データ!$H$709-(履歴データ!$G$709+履歴データ!$J$709)/2)*100)</f>
        <v>-33.600000000000009</v>
      </c>
      <c r="D709" s="28">
        <f>IF(履歴データ!$A$709="","",(履歴データ!$D$709-履歴データ!$H$709)*100)</f>
        <v>245.00000000000003</v>
      </c>
      <c r="E709" s="28">
        <f>IF(履歴データ!$A$709="","",(履歴データ!$D$709-履歴データ!$C$709)*100)</f>
        <v>39.000000000000014</v>
      </c>
      <c r="F709" s="28">
        <f>IF(履歴データ!$A$709="","",(履歴データ!$R$709-履歴データ!$D$709)*100)</f>
        <v>-337.79</v>
      </c>
      <c r="G709" s="28">
        <f>IF(履歴データ!$A$709="","",(履歴データ!$S$709-履歴データ!$R$709)*100)</f>
        <v>107.50399999999986</v>
      </c>
      <c r="H709" s="29">
        <f>IF(履歴データ!$A$709="","",履歴データ!$O$709)</f>
        <v>152.72200012207031</v>
      </c>
      <c r="I709" s="29">
        <f>IF(履歴データ!$A$709="","",履歴データ!$Q$709)</f>
        <v>112.703125</v>
      </c>
      <c r="J709" s="29">
        <f>IF(履歴データ!$A$709="","",履歴データ!$D$709)</f>
        <v>4.1100000000000003</v>
      </c>
      <c r="K709" s="28">
        <f>IF(OR(履歴データ!$A$709="",履歴データ!$A$708=""),"",B709-B708)</f>
        <v>0</v>
      </c>
      <c r="L709" s="28">
        <f>IF(OR(履歴データ!$A$709="",履歴データ!$A$708=""),"",C709-C708)</f>
        <v>0.74999999999998579</v>
      </c>
      <c r="M709" s="28">
        <f>IF(OR(履歴データ!$A$709="",履歴データ!$A$708=""),"",D709-D708)</f>
        <v>3.4000000000000057</v>
      </c>
      <c r="N709" s="28">
        <f>IF(OR(履歴データ!$A$709="",履歴データ!$A$708=""),"",E709-E708)</f>
        <v>1.0000000000000284</v>
      </c>
      <c r="O709" s="28">
        <f>IF(OR(履歴データ!$A$709="",履歴データ!$A$708=""),"",F709-F708)</f>
        <v>-9.2300000000000182</v>
      </c>
      <c r="P709" s="28">
        <f>IF(OR(履歴データ!$A$709="",履歴データ!$A$708=""),"",G709-G708)</f>
        <v>4.4759999999999707</v>
      </c>
      <c r="Q709" s="29">
        <f>IF(OR(履歴データ!$A$709="",履歴データ!$A$708=""),"",H709-H708)</f>
        <v>0.990997314453125</v>
      </c>
      <c r="R709" s="29">
        <f>IF(OR(履歴データ!$A$709="",履歴データ!$A$708=""),"",I709-I708)</f>
        <v>-0.203125</v>
      </c>
      <c r="S709" s="28">
        <f>IF(OR(履歴データ!$A$709="",履歴データ!$A$708=""),"",(J709-J708)*100)</f>
        <v>3.0000000000000249</v>
      </c>
      <c r="T709" s="11">
        <f>IF(OR(履歴データ!$A$709="",履歴データ!$A$708=""),"",-80000*K709)</f>
        <v>0</v>
      </c>
      <c r="U709" s="11">
        <f>IF(OR(履歴データ!$A$709="",履歴データ!$A$708=""),"",60000*L709)</f>
        <v>44999.999999999149</v>
      </c>
      <c r="V709" s="11">
        <f>IF(OR(履歴データ!$A$709="",履歴データ!$A$708=""),"",-50000*M709)</f>
        <v>-170000.00000000029</v>
      </c>
      <c r="W709" s="11">
        <f>IF(OR(履歴データ!$A$709="",履歴データ!$A$708=""),"",-40000*N709)</f>
        <v>-40000.000000001135</v>
      </c>
      <c r="X709" s="11">
        <f>IF(OR(履歴データ!$A$709="",履歴データ!$A$708=""),"",120*1000000*(-Q709/H708))</f>
        <v>-783753.32353899791</v>
      </c>
      <c r="Y709" s="11">
        <f>IF(OR(履歴データ!$A$709="",履歴データ!$A$708=""),"",40000*(-S709)+(-506.3)*R709*1000)</f>
        <v>-17157.812500000975</v>
      </c>
      <c r="Z709" s="11">
        <f>IF(OR(履歴データ!$A$709="",履歴データ!$A$708=""),"",-40000*O709)</f>
        <v>369200.0000000007</v>
      </c>
      <c r="AA709" s="11">
        <f>IF(OR(履歴データ!$A$709="",履歴データ!$A$708=""),"",-40000*P709)</f>
        <v>-179039.99999999884</v>
      </c>
      <c r="AB709" s="11">
        <f>IF(履歴データ!$A$709="","",123.3)</f>
        <v>123.3</v>
      </c>
      <c r="AC709">
        <f>IF(履歴データ!$A$709="","",SUM(T709:AA709))</f>
        <v>-775751.13603899931</v>
      </c>
      <c r="AD709" s="29">
        <f>IF(履歴データ!$A$709="","",AC709/1000000)</f>
        <v>-0.77575113603899926</v>
      </c>
      <c r="AE709" s="29">
        <f>IF(履歴データ!$A$709="",AE708,AE708+AC709/1000000)</f>
        <v>72.303516926351776</v>
      </c>
      <c r="AF709" s="12">
        <f>IF(OR(履歴データ!$A$709="",AE708=0),"",(AE709-AE708)/AE708)</f>
        <v>-1.061520122747692E-2</v>
      </c>
      <c r="AG709" s="29">
        <f t="shared" si="35"/>
        <v>102.17217746631495</v>
      </c>
      <c r="AH709" s="12">
        <f>IF(OR(履歴データ!$A$709="",AG709=0),"",AE709/AG709-1)</f>
        <v>-0.29233653701674844</v>
      </c>
      <c r="AJ709" s="28">
        <f t="shared" ca="1" si="33"/>
        <v>7.0842109709963506</v>
      </c>
      <c r="AK709" s="28">
        <f t="shared" ca="1" si="34"/>
        <v>-7.6238935106788901</v>
      </c>
    </row>
    <row r="710" spans="1:37">
      <c r="A710" s="10">
        <f>IF(履歴データ!$A$710="","",履歴データ!$A$710)</f>
        <v>45961</v>
      </c>
      <c r="B710" s="28">
        <f>IF(履歴データ!$A$710="","",(履歴データ!$D$710-(履歴データ!$B$710+履歴データ!$F$710)/2)*100)</f>
        <v>-2.4999999999999467</v>
      </c>
      <c r="C710" s="28">
        <f>IF(履歴データ!$A$710="","",(履歴データ!$H$710-(履歴データ!$G$710+履歴データ!$J$710)/2)*100)</f>
        <v>-32.800000000000004</v>
      </c>
      <c r="D710" s="28">
        <f>IF(履歴データ!$A$710="","",(履歴データ!$D$710-履歴データ!$H$710)*100)</f>
        <v>244.00000000000003</v>
      </c>
      <c r="E710" s="28">
        <f>IF(履歴データ!$A$710="","",(履歴データ!$D$710-履歴データ!$C$710)*100)</f>
        <v>40.000000000000036</v>
      </c>
      <c r="F710" s="28">
        <f>IF(履歴データ!$A$710="","",(履歴データ!$R$710-履歴データ!$D$710)*100)</f>
        <v>-334.24000000000007</v>
      </c>
      <c r="G710" s="28">
        <f>IF(履歴データ!$A$710="","",(履歴データ!$S$710-履歴データ!$R$710)*100)</f>
        <v>103.95399999999988</v>
      </c>
      <c r="H710" s="29">
        <f>IF(履歴データ!$A$710="","",履歴データ!$O$710)</f>
        <v>153.89999389648438</v>
      </c>
      <c r="I710" s="29">
        <f>IF(履歴データ!$A$710="","",履歴データ!$Q$710)</f>
        <v>112.671875</v>
      </c>
      <c r="J710" s="29">
        <f>IF(履歴データ!$A$710="","",履歴データ!$D$710)</f>
        <v>4.1100000000000003</v>
      </c>
      <c r="K710" s="28">
        <f>IF(OR(履歴データ!$A$710="",履歴データ!$A$709=""),"",B710-B709)</f>
        <v>-0.49999999999998934</v>
      </c>
      <c r="L710" s="28">
        <f>IF(OR(履歴データ!$A$710="",履歴データ!$A$709=""),"",C710-C709)</f>
        <v>0.80000000000000426</v>
      </c>
      <c r="M710" s="28">
        <f>IF(OR(履歴データ!$A$710="",履歴データ!$A$709=""),"",D710-D709)</f>
        <v>-1</v>
      </c>
      <c r="N710" s="28">
        <f>IF(OR(履歴データ!$A$710="",履歴データ!$A$709=""),"",E710-E709)</f>
        <v>1.0000000000000213</v>
      </c>
      <c r="O710" s="28">
        <f>IF(OR(履歴データ!$A$710="",履歴データ!$A$709=""),"",F710-F709)</f>
        <v>3.5499999999999545</v>
      </c>
      <c r="P710" s="28">
        <f>IF(OR(履歴データ!$A$710="",履歴データ!$A$709=""),"",G710-G709)</f>
        <v>-3.5499999999999829</v>
      </c>
      <c r="Q710" s="29">
        <f>IF(OR(履歴データ!$A$710="",履歴データ!$A$709=""),"",H710-H709)</f>
        <v>1.1779937744140625</v>
      </c>
      <c r="R710" s="29">
        <f>IF(OR(履歴データ!$A$710="",履歴データ!$A$709=""),"",I710-I709)</f>
        <v>-3.125E-2</v>
      </c>
      <c r="S710" s="28">
        <f>IF(OR(履歴データ!$A$710="",履歴データ!$A$709=""),"",(J710-J709)*100)</f>
        <v>0</v>
      </c>
      <c r="T710" s="11">
        <f>IF(OR(履歴データ!$A$710="",履歴データ!$A$709=""),"",-80000*K710)</f>
        <v>39999.999999999149</v>
      </c>
      <c r="U710" s="11">
        <f>IF(OR(履歴データ!$A$710="",履歴データ!$A$709=""),"",60000*L710)</f>
        <v>48000.000000000255</v>
      </c>
      <c r="V710" s="11">
        <f>IF(OR(履歴データ!$A$710="",履歴データ!$A$709=""),"",-50000*M710)</f>
        <v>50000</v>
      </c>
      <c r="W710" s="11">
        <f>IF(OR(履歴データ!$A$710="",履歴データ!$A$709=""),"",-40000*N710)</f>
        <v>-40000.000000000851</v>
      </c>
      <c r="X710" s="11">
        <f>IF(OR(履歴データ!$A$710="",履歴データ!$A$709=""),"",120*1000000*(-Q710/H709))</f>
        <v>-925598.49148583307</v>
      </c>
      <c r="Y710" s="11">
        <f>IF(OR(履歴データ!$A$710="",履歴データ!$A$709=""),"",40000*(-S710)+(-506.3)*R710*1000)</f>
        <v>15821.875</v>
      </c>
      <c r="Z710" s="11">
        <f>IF(OR(履歴データ!$A$710="",履歴データ!$A$709=""),"",-40000*O710)</f>
        <v>-141999.9999999982</v>
      </c>
      <c r="AA710" s="11">
        <f>IF(OR(履歴データ!$A$710="",履歴データ!$A$709=""),"",-40000*P710)</f>
        <v>141999.99999999933</v>
      </c>
      <c r="AB710" s="11">
        <f>IF(履歴データ!$A$710="","",123.3)</f>
        <v>123.3</v>
      </c>
      <c r="AC710">
        <f>IF(履歴データ!$A$710="","",SUM(T710:AA710))</f>
        <v>-811776.61648583342</v>
      </c>
      <c r="AD710" s="29">
        <f>IF(履歴データ!$A$710="","",AC710/1000000)</f>
        <v>-0.81177661648583344</v>
      </c>
      <c r="AE710" s="29">
        <f>IF(履歴データ!$A$710="",AE709,AE709+AC710/1000000)</f>
        <v>71.491740309865946</v>
      </c>
      <c r="AF710" s="12">
        <f>IF(OR(履歴データ!$A$710="",AE709=0),"",(AE710-AE709)/AE709)</f>
        <v>-1.1227346206584995E-2</v>
      </c>
      <c r="AG710" s="29">
        <f t="shared" si="35"/>
        <v>102.17217746631495</v>
      </c>
      <c r="AH710" s="12">
        <f>IF(OR(履歴データ!$A$710="",AG710=0),"",AE710/AG710-1)</f>
        <v>-0.30028171971341222</v>
      </c>
      <c r="AJ710" s="28">
        <f t="shared" ca="1" si="33"/>
        <v>7.0781173683030767</v>
      </c>
      <c r="AK710" s="28">
        <f t="shared" ca="1" si="34"/>
        <v>-7.6019268921126004</v>
      </c>
    </row>
    <row r="711" spans="1:37">
      <c r="A711" s="10">
        <f>IF(履歴データ!$A$711="","",履歴データ!$A$711)</f>
        <v>45964</v>
      </c>
      <c r="B711" s="28">
        <f>IF(履歴データ!$A$711="","",(履歴データ!$D$711-(履歴データ!$B$711+履歴データ!$F$711)/2)*100)</f>
        <v>-1.5000000000000568</v>
      </c>
      <c r="C711" s="28">
        <f>IF(履歴データ!$A$711="","",(履歴データ!$H$711-(履歴データ!$G$711+履歴データ!$J$711)/2)*100)</f>
        <v>-32.800000000000004</v>
      </c>
      <c r="D711" s="28">
        <f>IF(履歴データ!$A$711="","",(履歴データ!$D$711-履歴データ!$H$711)*100)</f>
        <v>246</v>
      </c>
      <c r="E711" s="28">
        <f>IF(履歴データ!$A$711="","",(履歴データ!$D$711-履歴データ!$C$711)*100)</f>
        <v>40.999999999999972</v>
      </c>
      <c r="F711" s="28">
        <f>IF(履歴データ!$A$711="","",(履歴データ!$R$711-履歴データ!$D$711)*100)</f>
        <v>-334.47999999999996</v>
      </c>
      <c r="G711" s="28">
        <f>IF(履歴データ!$A$711="","",(履歴データ!$S$711-履歴データ!$R$711)*100)</f>
        <v>102.19399999999985</v>
      </c>
      <c r="H711" s="29">
        <f>IF(履歴データ!$A$711="","",履歴データ!$O$711)</f>
        <v>154.19500732421875</v>
      </c>
      <c r="I711" s="29">
        <f>IF(履歴データ!$A$711="","",履歴データ!$Q$711)</f>
        <v>112.671875</v>
      </c>
      <c r="J711" s="29">
        <f>IF(履歴データ!$A$711="","",履歴データ!$D$711)</f>
        <v>4.13</v>
      </c>
      <c r="K711" s="28">
        <f>IF(OR(履歴データ!$A$711="",履歴データ!$A$710=""),"",B711-B710)</f>
        <v>0.99999999999988987</v>
      </c>
      <c r="L711" s="28">
        <f>IF(OR(履歴データ!$A$711="",履歴データ!$A$710=""),"",C711-C710)</f>
        <v>0</v>
      </c>
      <c r="M711" s="28">
        <f>IF(OR(履歴データ!$A$711="",履歴データ!$A$710=""),"",D711-D710)</f>
        <v>1.9999999999999716</v>
      </c>
      <c r="N711" s="28">
        <f>IF(OR(履歴データ!$A$711="",履歴データ!$A$710=""),"",E711-E710)</f>
        <v>0.99999999999993605</v>
      </c>
      <c r="O711" s="28">
        <f>IF(OR(履歴データ!$A$711="",履歴データ!$A$710=""),"",F711-F710)</f>
        <v>-0.23999999999989541</v>
      </c>
      <c r="P711" s="28">
        <f>IF(OR(履歴データ!$A$711="",履歴データ!$A$710=""),"",G711-G710)</f>
        <v>-1.7600000000000335</v>
      </c>
      <c r="Q711" s="29">
        <f>IF(OR(履歴データ!$A$711="",履歴データ!$A$710=""),"",H711-H710)</f>
        <v>0.295013427734375</v>
      </c>
      <c r="R711" s="29">
        <f>IF(OR(履歴データ!$A$711="",履歴データ!$A$710=""),"",I711-I710)</f>
        <v>0</v>
      </c>
      <c r="S711" s="28">
        <f>IF(OR(履歴データ!$A$711="",履歴データ!$A$710=""),"",(J711-J710)*100)</f>
        <v>1.9999999999999574</v>
      </c>
      <c r="T711" s="11">
        <f>IF(OR(履歴データ!$A$711="",履歴データ!$A$710=""),"",-80000*K711)</f>
        <v>-79999.999999991196</v>
      </c>
      <c r="U711" s="11">
        <f>IF(OR(履歴データ!$A$711="",履歴データ!$A$710=""),"",60000*L711)</f>
        <v>0</v>
      </c>
      <c r="V711" s="11">
        <f>IF(OR(履歴データ!$A$711="",履歴データ!$A$710=""),"",-50000*M711)</f>
        <v>-99999.999999998574</v>
      </c>
      <c r="W711" s="11">
        <f>IF(OR(履歴データ!$A$711="",履歴データ!$A$710=""),"",-40000*N711)</f>
        <v>-39999.999999997439</v>
      </c>
      <c r="X711" s="11">
        <f>IF(OR(履歴データ!$A$711="",履歴データ!$A$710=""),"",120*1000000*(-Q711/H710))</f>
        <v>-230029.97226846346</v>
      </c>
      <c r="Y711" s="11">
        <f>IF(OR(履歴データ!$A$711="",履歴データ!$A$710=""),"",40000*(-S711)+(-506.3)*R711*1000)</f>
        <v>-79999.999999998297</v>
      </c>
      <c r="Z711" s="11">
        <f>IF(OR(履歴データ!$A$711="",履歴データ!$A$710=""),"",-40000*O711)</f>
        <v>9599.9999999958163</v>
      </c>
      <c r="AA711" s="11">
        <f>IF(OR(履歴データ!$A$711="",履歴データ!$A$710=""),"",-40000*P711)</f>
        <v>70400.000000001339</v>
      </c>
      <c r="AB711" s="11">
        <f>IF(履歴データ!$A$711="","",123.3)</f>
        <v>123.3</v>
      </c>
      <c r="AC711">
        <f>IF(履歴データ!$A$711="","",SUM(T711:AA711))</f>
        <v>-450029.97226845176</v>
      </c>
      <c r="AD711" s="29">
        <f>IF(履歴データ!$A$711="","",AC711/1000000)</f>
        <v>-0.45002997226845176</v>
      </c>
      <c r="AE711" s="29">
        <f>IF(履歴データ!$A$711="",AE710,AE710+AC711/1000000)</f>
        <v>71.041710337597493</v>
      </c>
      <c r="AF711" s="12">
        <f>IF(OR(履歴データ!$A$711="",AE710=0),"",(AE711-AE710)/AE710)</f>
        <v>-6.2948526685445427E-3</v>
      </c>
      <c r="AG711" s="29">
        <f t="shared" si="35"/>
        <v>102.17217746631495</v>
      </c>
      <c r="AH711" s="12">
        <f>IF(OR(履歴データ!$A$711="",AG711=0),"",AE711/AG711-1)</f>
        <v>-0.3046863431973037</v>
      </c>
      <c r="AJ711" s="28">
        <f t="shared" ca="1" si="33"/>
        <v>7.0763117195373013</v>
      </c>
      <c r="AK711" s="28">
        <f t="shared" ca="1" si="34"/>
        <v>-7.5842482274738092</v>
      </c>
    </row>
    <row r="712" spans="1:37">
      <c r="A712" s="10">
        <f>IF(履歴データ!$A$712="","",履歴データ!$A$712)</f>
        <v>45965</v>
      </c>
      <c r="B712" s="28">
        <f>IF(履歴データ!$A$712="","",(履歴データ!$D$712-(履歴データ!$B$712+履歴データ!$F$712)/2)*100)</f>
        <v>-2.5000000000000355</v>
      </c>
      <c r="C712" s="28">
        <f>IF(履歴データ!$A$712="","",(履歴データ!$H$712-(履歴データ!$G$712+履歴データ!$J$712)/2)*100)</f>
        <v>-34.099999999999994</v>
      </c>
      <c r="D712" s="28">
        <f>IF(履歴データ!$A$712="","",(履歴データ!$D$712-履歴データ!$H$712)*100)</f>
        <v>241.59999999999994</v>
      </c>
      <c r="E712" s="28">
        <f>IF(履歴データ!$A$712="","",(履歴データ!$D$712-履歴データ!$C$712)*100)</f>
        <v>40.999999999999972</v>
      </c>
      <c r="F712" s="28">
        <f>IF(履歴データ!$A$712="","",(履歴データ!$R$712-履歴データ!$D$712)*100)</f>
        <v>-327.51</v>
      </c>
      <c r="G712" s="28">
        <f>IF(履歴データ!$A$712="","",(履歴データ!$S$712-履歴データ!$R$712)*100)</f>
        <v>105.41535717773426</v>
      </c>
      <c r="H712" s="29">
        <f>IF(履歴データ!$A$712="","",履歴データ!$O$712)</f>
        <v>154.20399475097656</v>
      </c>
      <c r="I712" s="29">
        <f>IF(履歴データ!$A$712="","",履歴データ!$Q$712)</f>
        <v>112.78125</v>
      </c>
      <c r="J712" s="29">
        <f>IF(履歴データ!$A$712="","",履歴データ!$D$712)</f>
        <v>4.0999999999999996</v>
      </c>
      <c r="K712" s="28">
        <f>IF(OR(履歴データ!$A$712="",履歴データ!$A$711=""),"",B712-B711)</f>
        <v>-0.99999999999997868</v>
      </c>
      <c r="L712" s="28">
        <f>IF(OR(履歴データ!$A$712="",履歴データ!$A$711=""),"",C712-C711)</f>
        <v>-1.2999999999999901</v>
      </c>
      <c r="M712" s="28">
        <f>IF(OR(履歴データ!$A$712="",履歴データ!$A$711=""),"",D712-D711)</f>
        <v>-4.4000000000000625</v>
      </c>
      <c r="N712" s="28">
        <f>IF(OR(履歴データ!$A$712="",履歴データ!$A$711=""),"",E712-E711)</f>
        <v>0</v>
      </c>
      <c r="O712" s="28">
        <f>IF(OR(履歴データ!$A$712="",履歴データ!$A$711=""),"",F712-F711)</f>
        <v>6.9699999999999704</v>
      </c>
      <c r="P712" s="28">
        <f>IF(OR(履歴データ!$A$712="",履歴データ!$A$711=""),"",G712-G711)</f>
        <v>3.2213571777344185</v>
      </c>
      <c r="Q712" s="29">
        <f>IF(OR(履歴データ!$A$712="",履歴データ!$A$711=""),"",H712-H711)</f>
        <v>8.9874267578125E-3</v>
      </c>
      <c r="R712" s="29">
        <f>IF(OR(履歴データ!$A$712="",履歴データ!$A$711=""),"",I712-I711)</f>
        <v>0.109375</v>
      </c>
      <c r="S712" s="28">
        <f>IF(OR(履歴データ!$A$712="",履歴データ!$A$711=""),"",(J712-J711)*100)</f>
        <v>-3.0000000000000249</v>
      </c>
      <c r="T712" s="11">
        <f>IF(OR(履歴データ!$A$712="",履歴データ!$A$711=""),"",-80000*K712)</f>
        <v>79999.999999998297</v>
      </c>
      <c r="U712" s="11">
        <f>IF(OR(履歴データ!$A$712="",履歴データ!$A$711=""),"",60000*L712)</f>
        <v>-77999.999999999403</v>
      </c>
      <c r="V712" s="11">
        <f>IF(OR(履歴データ!$A$712="",履歴データ!$A$711=""),"",-50000*M712)</f>
        <v>220000.00000000311</v>
      </c>
      <c r="W712" s="11">
        <f>IF(OR(履歴データ!$A$712="",履歴データ!$A$711=""),"",-40000*N712)</f>
        <v>0</v>
      </c>
      <c r="X712" s="11">
        <f>IF(OR(履歴データ!$A$712="",履歴データ!$A$711=""),"",120*1000000*(-Q712/H711))</f>
        <v>-6994.3328882874011</v>
      </c>
      <c r="Y712" s="11">
        <f>IF(OR(履歴データ!$A$712="",履歴データ!$A$711=""),"",40000*(-S712)+(-506.3)*R712*1000)</f>
        <v>64623.43750000099</v>
      </c>
      <c r="Z712" s="11">
        <f>IF(OR(履歴データ!$A$712="",履歴データ!$A$711=""),"",-40000*O712)</f>
        <v>-278799.99999999884</v>
      </c>
      <c r="AA712" s="11">
        <f>IF(OR(履歴データ!$A$712="",履歴データ!$A$711=""),"",-40000*P712)</f>
        <v>-128854.28710937675</v>
      </c>
      <c r="AB712" s="11">
        <f>IF(履歴データ!$A$712="","",123.3)</f>
        <v>123.3</v>
      </c>
      <c r="AC712">
        <f>IF(履歴データ!$A$712="","",SUM(T712:AA712))</f>
        <v>-128025.18249765999</v>
      </c>
      <c r="AD712" s="29">
        <f>IF(履歴データ!$A$712="","",AC712/1000000)</f>
        <v>-0.12802518249765998</v>
      </c>
      <c r="AE712" s="29">
        <f>IF(履歴データ!$A$712="",AE711,AE711+AC712/1000000)</f>
        <v>70.913685155099827</v>
      </c>
      <c r="AF712" s="12">
        <f>IF(OR(履歴データ!$A$712="",AE711=0),"",(AE712-AE711)/AE711)</f>
        <v>-1.8021128980323972E-3</v>
      </c>
      <c r="AG712" s="29">
        <f t="shared" si="35"/>
        <v>102.17217746631495</v>
      </c>
      <c r="AH712" s="12">
        <f>IF(OR(履歴データ!$A$712="",AG712=0),"",AE712/AG712-1)</f>
        <v>-0.30593937690640594</v>
      </c>
      <c r="AJ712" s="28">
        <f t="shared" ca="1" si="33"/>
        <v>7.0755810403724011</v>
      </c>
      <c r="AK712" s="28">
        <f t="shared" ca="1" si="34"/>
        <v>-7.5795492943406559</v>
      </c>
    </row>
    <row r="713" spans="1:37">
      <c r="A713" s="10">
        <f>IF(履歴データ!$A$713="","",履歴データ!$A$713)</f>
        <v>45966</v>
      </c>
      <c r="B713" s="28">
        <f>IF(履歴データ!$A$713="","",(履歴データ!$D$713-(履歴データ!$B$713+履歴データ!$F$713)/2)*100)</f>
        <v>-1.5000000000000568</v>
      </c>
      <c r="C713" s="28">
        <f>IF(履歴データ!$A$713="","",(履歴データ!$H$713-(履歴データ!$G$713+履歴データ!$J$713)/2)*100)</f>
        <v>-33.949999999999989</v>
      </c>
      <c r="D713" s="28">
        <f>IF(履歴データ!$A$713="","",(履歴データ!$D$713-履歴データ!$H$713)*100)</f>
        <v>249.39999999999998</v>
      </c>
      <c r="E713" s="28">
        <f>IF(履歴データ!$A$713="","",(履歴データ!$D$713-履歴データ!$C$713)*100)</f>
        <v>41.000000000000014</v>
      </c>
      <c r="F713" s="28">
        <f>IF(履歴データ!$A$713="","",(履歴データ!$R$713-履歴データ!$D$713)*100)</f>
        <v>-341.82</v>
      </c>
      <c r="G713" s="28">
        <f>IF(履歴データ!$A$713="","",(履歴データ!$S$713-履歴データ!$R$713)*100)</f>
        <v>109.56817858886699</v>
      </c>
      <c r="H713" s="29">
        <f>IF(履歴データ!$A$713="","",履歴データ!$O$713)</f>
        <v>153.5570068359375</v>
      </c>
      <c r="I713" s="29">
        <f>IF(履歴データ!$A$713="","",履歴データ!$Q$713)</f>
        <v>112.328125</v>
      </c>
      <c r="J713" s="29">
        <f>IF(履歴データ!$A$713="","",履歴データ!$D$713)</f>
        <v>4.17</v>
      </c>
      <c r="K713" s="28">
        <f>IF(OR(履歴データ!$A$713="",履歴データ!$A$712=""),"",B713-B712)</f>
        <v>0.99999999999997868</v>
      </c>
      <c r="L713" s="28">
        <f>IF(OR(履歴データ!$A$713="",履歴データ!$A$712=""),"",C713-C712)</f>
        <v>0.15000000000000568</v>
      </c>
      <c r="M713" s="28">
        <f>IF(OR(履歴データ!$A$713="",履歴データ!$A$712=""),"",D713-D712)</f>
        <v>7.8000000000000398</v>
      </c>
      <c r="N713" s="28">
        <f>IF(OR(履歴データ!$A$713="",履歴データ!$A$712=""),"",E713-E712)</f>
        <v>4.2632564145606011E-14</v>
      </c>
      <c r="O713" s="28">
        <f>IF(OR(履歴データ!$A$713="",履歴データ!$A$712=""),"",F713-F712)</f>
        <v>-14.310000000000002</v>
      </c>
      <c r="P713" s="28">
        <f>IF(OR(履歴データ!$A$713="",履歴データ!$A$712=""),"",G713-G712)</f>
        <v>4.1528214111327202</v>
      </c>
      <c r="Q713" s="29">
        <f>IF(OR(履歴データ!$A$713="",履歴データ!$A$712=""),"",H713-H712)</f>
        <v>-0.6469879150390625</v>
      </c>
      <c r="R713" s="29">
        <f>IF(OR(履歴データ!$A$713="",履歴データ!$A$712=""),"",I713-I712)</f>
        <v>-0.453125</v>
      </c>
      <c r="S713" s="28">
        <f>IF(OR(履歴データ!$A$713="",履歴データ!$A$712=""),"",(J713-J712)*100)</f>
        <v>7.0000000000000284</v>
      </c>
      <c r="T713" s="11">
        <f>IF(OR(履歴データ!$A$713="",履歴データ!$A$712=""),"",-80000*K713)</f>
        <v>-79999.999999998297</v>
      </c>
      <c r="U713" s="11">
        <f>IF(OR(履歴データ!$A$713="",履歴データ!$A$712=""),"",60000*L713)</f>
        <v>9000.000000000342</v>
      </c>
      <c r="V713" s="11">
        <f>IF(OR(履歴データ!$A$713="",履歴データ!$A$712=""),"",-50000*M713)</f>
        <v>-390000.00000000198</v>
      </c>
      <c r="W713" s="11">
        <f>IF(OR(履歴データ!$A$713="",履歴データ!$A$712=""),"",-40000*N713)</f>
        <v>-1.7053025658242404E-9</v>
      </c>
      <c r="X713" s="11">
        <f>IF(OR(履歴データ!$A$713="",履歴データ!$A$712=""),"",120*1000000*(-Q713/H712))</f>
        <v>503479.49759709981</v>
      </c>
      <c r="Y713" s="11">
        <f>IF(OR(履歴データ!$A$713="",履歴データ!$A$712=""),"",40000*(-S713)+(-506.3)*R713*1000)</f>
        <v>-50582.812500001164</v>
      </c>
      <c r="Z713" s="11">
        <f>IF(OR(履歴データ!$A$713="",履歴データ!$A$712=""),"",-40000*O713)</f>
        <v>572400.00000000012</v>
      </c>
      <c r="AA713" s="11">
        <f>IF(OR(履歴データ!$A$713="",履歴データ!$A$712=""),"",-40000*P713)</f>
        <v>-166112.8564453088</v>
      </c>
      <c r="AB713" s="11">
        <f>IF(履歴データ!$A$713="","",123.3)</f>
        <v>123.3</v>
      </c>
      <c r="AC713">
        <f>IF(履歴データ!$A$713="","",SUM(T713:AA713))</f>
        <v>398183.82865178841</v>
      </c>
      <c r="AD713" s="29">
        <f>IF(履歴データ!$A$713="","",AC713/1000000)</f>
        <v>0.39818382865178842</v>
      </c>
      <c r="AE713" s="29">
        <f>IF(履歴データ!$A$713="",AE712,AE712+AC713/1000000)</f>
        <v>71.311868983751609</v>
      </c>
      <c r="AF713" s="12">
        <f>IF(OR(履歴データ!$A$713="",AE712=0),"",(AE713-AE712)/AE712)</f>
        <v>5.6150491654874263E-3</v>
      </c>
      <c r="AG713" s="29">
        <f t="shared" si="35"/>
        <v>102.17217746631495</v>
      </c>
      <c r="AH713" s="12">
        <f>IF(OR(履歴データ!$A$713="",AG713=0),"",AE713/AG713-1)</f>
        <v>-0.3020421923839065</v>
      </c>
      <c r="AJ713" s="28">
        <f t="shared" ca="1" si="33"/>
        <v>7.0737155985498088</v>
      </c>
      <c r="AK713" s="28">
        <f t="shared" ca="1" si="34"/>
        <v>-7.5618108366450478</v>
      </c>
    </row>
    <row r="714" spans="1:37">
      <c r="A714" s="10">
        <f>IF(履歴データ!$A$714="","",履歴データ!$A$714)</f>
        <v>45967</v>
      </c>
      <c r="B714" s="28">
        <f>IF(履歴データ!$A$714="","",(履歴データ!$D$714-(履歴データ!$B$714+履歴データ!$F$714)/2)*100)</f>
        <v>-1.9999999999999574</v>
      </c>
      <c r="C714" s="28">
        <f>IF(履歴データ!$A$714="","",(履歴データ!$H$714-(履歴データ!$G$714+履歴データ!$J$714)/2)*100)</f>
        <v>-32.90000000000002</v>
      </c>
      <c r="D714" s="28">
        <f>IF(履歴データ!$A$714="","",(履歴データ!$D$714-履歴データ!$H$714)*100)</f>
        <v>241.60000000000002</v>
      </c>
      <c r="E714" s="28">
        <f>IF(履歴データ!$A$714="","",(履歴データ!$D$714-履歴データ!$C$714)*100)</f>
        <v>42.000000000000036</v>
      </c>
      <c r="F714" s="28">
        <f>IF(履歴データ!$A$714="","",(履歴データ!$R$714-履歴データ!$D$714)*100)</f>
        <v>-332.72</v>
      </c>
      <c r="G714" s="28">
        <f>IF(履歴データ!$A$714="","",(履歴データ!$S$714-履歴データ!$R$714)*100)</f>
        <v>105.76664282226548</v>
      </c>
      <c r="H714" s="29">
        <f>IF(履歴データ!$A$714="","",履歴データ!$O$714)</f>
        <v>154.072998046875</v>
      </c>
      <c r="I714" s="29">
        <f>IF(履歴データ!$A$714="","",履歴データ!$Q$714)</f>
        <v>112.828125</v>
      </c>
      <c r="J714" s="29">
        <f>IF(履歴データ!$A$714="","",履歴データ!$D$714)</f>
        <v>4.1100000000000003</v>
      </c>
      <c r="K714" s="28">
        <f>IF(OR(履歴データ!$A$714="",履歴データ!$A$713=""),"",B714-B713)</f>
        <v>-0.49999999999990052</v>
      </c>
      <c r="L714" s="28">
        <f>IF(OR(履歴データ!$A$714="",履歴データ!$A$713=""),"",C714-C713)</f>
        <v>1.0499999999999687</v>
      </c>
      <c r="M714" s="28">
        <f>IF(OR(履歴データ!$A$714="",履歴データ!$A$713=""),"",D714-D713)</f>
        <v>-7.7999999999999545</v>
      </c>
      <c r="N714" s="28">
        <f>IF(OR(履歴データ!$A$714="",履歴データ!$A$713=""),"",E714-E713)</f>
        <v>1.0000000000000213</v>
      </c>
      <c r="O714" s="28">
        <f>IF(OR(履歴データ!$A$714="",履歴データ!$A$713=""),"",F714-F713)</f>
        <v>9.0999999999999659</v>
      </c>
      <c r="P714" s="28">
        <f>IF(OR(履歴データ!$A$714="",履歴データ!$A$713=""),"",G714-G713)</f>
        <v>-3.8015357666015035</v>
      </c>
      <c r="Q714" s="29">
        <f>IF(OR(履歴データ!$A$714="",履歴データ!$A$713=""),"",H714-H713)</f>
        <v>0.5159912109375</v>
      </c>
      <c r="R714" s="29">
        <f>IF(OR(履歴データ!$A$714="",履歴データ!$A$713=""),"",I714-I713)</f>
        <v>0.5</v>
      </c>
      <c r="S714" s="28">
        <f>IF(OR(履歴データ!$A$714="",履歴データ!$A$713=""),"",(J714-J713)*100)</f>
        <v>-5.9999999999999609</v>
      </c>
      <c r="T714" s="11">
        <f>IF(OR(履歴データ!$A$714="",履歴データ!$A$713=""),"",-80000*K714)</f>
        <v>39999.99999999204</v>
      </c>
      <c r="U714" s="11">
        <f>IF(OR(履歴データ!$A$714="",履歴データ!$A$713=""),"",60000*L714)</f>
        <v>62999.999999998123</v>
      </c>
      <c r="V714" s="11">
        <f>IF(OR(履歴データ!$A$714="",履歴データ!$A$713=""),"",-50000*M714)</f>
        <v>389999.99999999773</v>
      </c>
      <c r="W714" s="11">
        <f>IF(OR(履歴データ!$A$714="",履歴データ!$A$713=""),"",-40000*N714)</f>
        <v>-40000.000000000851</v>
      </c>
      <c r="X714" s="11">
        <f>IF(OR(履歴データ!$A$714="",履歴データ!$A$713=""),"",120*1000000*(-Q714/H713))</f>
        <v>-403230.99927738943</v>
      </c>
      <c r="Y714" s="11">
        <f>IF(OR(履歴データ!$A$714="",履歴データ!$A$713=""),"",40000*(-S714)+(-506.3)*R714*1000)</f>
        <v>-13150.000000001572</v>
      </c>
      <c r="Z714" s="11">
        <f>IF(OR(履歴データ!$A$714="",履歴データ!$A$713=""),"",-40000*O714)</f>
        <v>-363999.99999999866</v>
      </c>
      <c r="AA714" s="11">
        <f>IF(OR(履歴データ!$A$714="",履歴データ!$A$713=""),"",-40000*P714)</f>
        <v>152061.43066406014</v>
      </c>
      <c r="AB714" s="11">
        <f>IF(履歴データ!$A$714="","",123.3)</f>
        <v>123.3</v>
      </c>
      <c r="AC714">
        <f>IF(履歴データ!$A$714="","",SUM(T714:AA714))</f>
        <v>-175319.5686133425</v>
      </c>
      <c r="AD714" s="29">
        <f>IF(履歴データ!$A$714="","",AC714/1000000)</f>
        <v>-0.1753195686133425</v>
      </c>
      <c r="AE714" s="29">
        <f>IF(履歴データ!$A$714="",AE713,AE713+AC714/1000000)</f>
        <v>71.136549415138262</v>
      </c>
      <c r="AF714" s="12">
        <f>IF(OR(履歴データ!$A$714="",AE713=0),"",(AE714-AE713)/AE713)</f>
        <v>-2.4584907268843724E-3</v>
      </c>
      <c r="AG714" s="29">
        <f t="shared" si="35"/>
        <v>102.17217746631495</v>
      </c>
      <c r="AH714" s="12">
        <f>IF(OR(履歴データ!$A$714="",AG714=0),"",AE714/AG714-1)</f>
        <v>-0.30375811518168727</v>
      </c>
      <c r="AJ714" s="28">
        <f t="shared" ca="1" si="33"/>
        <v>7.0737155985498097</v>
      </c>
      <c r="AK714" s="28">
        <f t="shared" ca="1" si="34"/>
        <v>-7.5618108366450487</v>
      </c>
    </row>
    <row r="715" spans="1:37">
      <c r="A715" s="10">
        <f>IF(履歴データ!$A$715="","",履歴データ!$A$715)</f>
        <v>45968</v>
      </c>
      <c r="B715" s="28">
        <f>IF(履歴データ!$A$715="","",(履歴データ!$D$715-(履歴データ!$B$715+履歴データ!$F$715)/2)*100)</f>
        <v>-1.499999999999968</v>
      </c>
      <c r="C715" s="28">
        <f>IF(履歴データ!$A$715="","",(履歴データ!$H$715-(履歴データ!$G$715+履歴データ!$J$715)/2)*100)</f>
        <v>-34.099999999999994</v>
      </c>
      <c r="D715" s="28">
        <f>IF(履歴データ!$A$715="","",(履歴データ!$D$715-履歴データ!$H$715)*100)</f>
        <v>242.20000000000005</v>
      </c>
      <c r="E715" s="28">
        <f>IF(履歴データ!$A$715="","",(履歴データ!$D$715-履歴データ!$C$715)*100)</f>
        <v>44.000000000000043</v>
      </c>
      <c r="F715" s="28">
        <f>IF(履歴データ!$A$715="","",(履歴データ!$R$715-履歴データ!$D$715)*100)</f>
        <v>-334.11</v>
      </c>
      <c r="G715" s="28">
        <f>IF(履歴データ!$A$715="","",(履歴データ!$S$715-履歴データ!$R$715)*100)</f>
        <v>107.1566428222655</v>
      </c>
      <c r="H715" s="29">
        <f>IF(履歴データ!$A$715="","",履歴データ!$O$715)</f>
        <v>152.947998046875</v>
      </c>
      <c r="I715" s="29">
        <f>IF(履歴データ!$A$715="","",履歴データ!$Q$715)</f>
        <v>112.859375</v>
      </c>
      <c r="J715" s="29">
        <f>IF(履歴データ!$A$715="","",履歴データ!$D$715)</f>
        <v>4.1100000000000003</v>
      </c>
      <c r="K715" s="28">
        <f>IF(OR(履歴データ!$A$715="",履歴データ!$A$714=""),"",B715-B714)</f>
        <v>0.49999999999998934</v>
      </c>
      <c r="L715" s="28">
        <f>IF(OR(履歴データ!$A$715="",履歴データ!$A$714=""),"",C715-C714)</f>
        <v>-1.1999999999999744</v>
      </c>
      <c r="M715" s="28">
        <f>IF(OR(履歴データ!$A$715="",履歴データ!$A$714=""),"",D715-D714)</f>
        <v>0.60000000000002274</v>
      </c>
      <c r="N715" s="28">
        <f>IF(OR(履歴データ!$A$715="",履歴データ!$A$714=""),"",E715-E714)</f>
        <v>2.0000000000000071</v>
      </c>
      <c r="O715" s="28">
        <f>IF(OR(履歴データ!$A$715="",履歴データ!$A$714=""),"",F715-F714)</f>
        <v>-1.3899999999999864</v>
      </c>
      <c r="P715" s="28">
        <f>IF(OR(履歴データ!$A$715="",履歴データ!$A$714=""),"",G715-G714)</f>
        <v>1.3900000000000148</v>
      </c>
      <c r="Q715" s="29">
        <f>IF(OR(履歴データ!$A$715="",履歴データ!$A$714=""),"",H715-H714)</f>
        <v>-1.125</v>
      </c>
      <c r="R715" s="29">
        <f>IF(OR(履歴データ!$A$715="",履歴データ!$A$714=""),"",I715-I714)</f>
        <v>3.125E-2</v>
      </c>
      <c r="S715" s="28">
        <f>IF(OR(履歴データ!$A$715="",履歴データ!$A$714=""),"",(J715-J714)*100)</f>
        <v>0</v>
      </c>
      <c r="T715" s="11">
        <f>IF(OR(履歴データ!$A$715="",履歴データ!$A$714=""),"",-80000*K715)</f>
        <v>-39999.999999999149</v>
      </c>
      <c r="U715" s="11">
        <f>IF(OR(履歴データ!$A$715="",履歴データ!$A$714=""),"",60000*L715)</f>
        <v>-71999.999999998472</v>
      </c>
      <c r="V715" s="11">
        <f>IF(OR(履歴データ!$A$715="",履歴データ!$A$714=""),"",-50000*M715)</f>
        <v>-30000.000000001135</v>
      </c>
      <c r="W715" s="11">
        <f>IF(OR(履歴データ!$A$715="",履歴データ!$A$714=""),"",-40000*N715)</f>
        <v>-80000.000000000291</v>
      </c>
      <c r="X715" s="11">
        <f>IF(OR(履歴データ!$A$715="",履歴データ!$A$714=""),"",120*1000000*(-Q715/H714))</f>
        <v>876208.04236526741</v>
      </c>
      <c r="Y715" s="11">
        <f>IF(OR(履歴データ!$A$715="",履歴データ!$A$714=""),"",40000*(-S715)+(-506.3)*R715*1000)</f>
        <v>-15821.875</v>
      </c>
      <c r="Z715" s="11">
        <f>IF(OR(履歴データ!$A$715="",履歴データ!$A$714=""),"",-40000*O715)</f>
        <v>55599.999999999454</v>
      </c>
      <c r="AA715" s="11">
        <f>IF(OR(履歴データ!$A$715="",履歴データ!$A$714=""),"",-40000*P715)</f>
        <v>-55600.000000000589</v>
      </c>
      <c r="AB715" s="11">
        <f>IF(履歴データ!$A$715="","",123.3)</f>
        <v>123.3</v>
      </c>
      <c r="AC715">
        <f>IF(履歴データ!$A$715="","",SUM(T715:AA715))</f>
        <v>638386.16736526717</v>
      </c>
      <c r="AD715" s="29">
        <f>IF(履歴データ!$A$715="","",AC715/1000000)</f>
        <v>0.63838616736526721</v>
      </c>
      <c r="AE715" s="29">
        <f>IF(履歴データ!$A$715="",AE714,AE714+AC715/1000000)</f>
        <v>71.774935582503531</v>
      </c>
      <c r="AF715" s="12">
        <f>IF(OR(履歴データ!$A$715="",AE714=0),"",(AE715-AE714)/AE714)</f>
        <v>8.9740952100414457E-3</v>
      </c>
      <c r="AG715" s="29">
        <f t="shared" si="35"/>
        <v>102.17217746631495</v>
      </c>
      <c r="AH715" s="12">
        <f>IF(OR(履歴データ!$A$715="",AG715=0),"",AE715/AG715-1)</f>
        <v>-0.29750997421810899</v>
      </c>
      <c r="AJ715" s="28">
        <f t="shared" ca="1" si="33"/>
        <v>7.0738545052781845</v>
      </c>
      <c r="AK715" s="28">
        <f t="shared" ca="1" si="34"/>
        <v>-7.5540132354369138</v>
      </c>
    </row>
    <row r="716" spans="1:37">
      <c r="A716" s="10">
        <f>IF(履歴データ!$A$716="","",履歴データ!$A$716)</f>
        <v>45971</v>
      </c>
      <c r="B716" s="28">
        <f>IF(履歴データ!$A$716="","",(履歴データ!$D$716-(履歴データ!$B$716+履歴データ!$F$716)/2)*100)</f>
        <v>-1.499999999999968</v>
      </c>
      <c r="C716" s="28">
        <f>IF(履歴データ!$A$716="","",(履歴データ!$H$716-(履歴データ!$G$716+履歴データ!$J$716)/2)*100)</f>
        <v>-33.250000000000021</v>
      </c>
      <c r="D716" s="28">
        <f>IF(履歴データ!$A$716="","",(履歴データ!$D$716-履歴データ!$H$716)*100)</f>
        <v>241.8</v>
      </c>
      <c r="E716" s="28">
        <f>IF(履歴データ!$A$716="","",(履歴データ!$D$716-履歴データ!$C$716)*100)</f>
        <v>40.999999999999972</v>
      </c>
      <c r="F716" s="28">
        <f>IF(履歴データ!$A$716="","",(履歴データ!$R$716-履歴データ!$D$716)*100)</f>
        <v>-334.02</v>
      </c>
      <c r="G716" s="28">
        <f>IF(履歴データ!$A$716="","",(履歴データ!$S$716-履歴データ!$R$716)*100)</f>
        <v>108.57464282226555</v>
      </c>
      <c r="H716" s="29">
        <f>IF(履歴データ!$A$716="","",履歴データ!$O$716)</f>
        <v>153.81700134277344</v>
      </c>
      <c r="I716" s="29">
        <f>IF(履歴データ!$A$716="","",履歴データ!$Q$716)</f>
        <v>112.6875</v>
      </c>
      <c r="J716" s="29">
        <f>IF(履歴データ!$A$716="","",履歴データ!$D$716)</f>
        <v>4.13</v>
      </c>
      <c r="K716" s="28">
        <f>IF(OR(履歴データ!$A$716="",履歴データ!$A$715=""),"",B716-B715)</f>
        <v>0</v>
      </c>
      <c r="L716" s="28">
        <f>IF(OR(履歴データ!$A$716="",履歴データ!$A$715=""),"",C716-C715)</f>
        <v>0.849999999999973</v>
      </c>
      <c r="M716" s="28">
        <f>IF(OR(履歴データ!$A$716="",履歴データ!$A$715=""),"",D716-D715)</f>
        <v>-0.40000000000003411</v>
      </c>
      <c r="N716" s="28">
        <f>IF(OR(履歴データ!$A$716="",履歴データ!$A$715=""),"",E716-E715)</f>
        <v>-3.0000000000000711</v>
      </c>
      <c r="O716" s="28">
        <f>IF(OR(履歴データ!$A$716="",履歴データ!$A$715=""),"",F716-F715)</f>
        <v>9.0000000000031832E-2</v>
      </c>
      <c r="P716" s="28">
        <f>IF(OR(履歴データ!$A$716="",履歴データ!$A$715=""),"",G716-G715)</f>
        <v>1.418000000000049</v>
      </c>
      <c r="Q716" s="29">
        <f>IF(OR(履歴データ!$A$716="",履歴データ!$A$715=""),"",H716-H715)</f>
        <v>0.8690032958984375</v>
      </c>
      <c r="R716" s="29">
        <f>IF(OR(履歴データ!$A$716="",履歴データ!$A$715=""),"",I716-I715)</f>
        <v>-0.171875</v>
      </c>
      <c r="S716" s="28">
        <f>IF(OR(履歴データ!$A$716="",履歴データ!$A$715=""),"",(J716-J715)*100)</f>
        <v>1.9999999999999574</v>
      </c>
      <c r="T716" s="11">
        <f>IF(OR(履歴データ!$A$716="",履歴データ!$A$715=""),"",-80000*K716)</f>
        <v>0</v>
      </c>
      <c r="U716" s="11">
        <f>IF(OR(履歴データ!$A$716="",履歴データ!$A$715=""),"",60000*L716)</f>
        <v>50999.999999998377</v>
      </c>
      <c r="V716" s="11">
        <f>IF(OR(履歴データ!$A$716="",履歴データ!$A$715=""),"",-50000*M716)</f>
        <v>20000.000000001706</v>
      </c>
      <c r="W716" s="11">
        <f>IF(OR(履歴データ!$A$716="",履歴データ!$A$715=""),"",-40000*N716)</f>
        <v>120000.00000000284</v>
      </c>
      <c r="X716" s="11">
        <f>IF(OR(履歴データ!$A$716="",履歴データ!$A$715=""),"",120*1000000*(-Q716/H715))</f>
        <v>-681802.94504968275</v>
      </c>
      <c r="Y716" s="11">
        <f>IF(OR(履歴データ!$A$716="",履歴データ!$A$715=""),"",40000*(-S716)+(-506.3)*R716*1000)</f>
        <v>7020.3125000017026</v>
      </c>
      <c r="Z716" s="11">
        <f>IF(OR(履歴データ!$A$716="",履歴データ!$A$715=""),"",-40000*O716)</f>
        <v>-3600.0000000012733</v>
      </c>
      <c r="AA716" s="11">
        <f>IF(OR(履歴データ!$A$716="",履歴データ!$A$715=""),"",-40000*P716)</f>
        <v>-56720.000000001957</v>
      </c>
      <c r="AB716" s="11">
        <f>IF(履歴データ!$A$716="","",123.3)</f>
        <v>123.3</v>
      </c>
      <c r="AC716">
        <f>IF(履歴データ!$A$716="","",SUM(T716:AA716))</f>
        <v>-544102.63254968135</v>
      </c>
      <c r="AD716" s="29">
        <f>IF(履歴データ!$A$716="","",AC716/1000000)</f>
        <v>-0.54410263254968139</v>
      </c>
      <c r="AE716" s="29">
        <f>IF(履歴データ!$A$716="",AE715,AE715+AC716/1000000)</f>
        <v>71.23083294995385</v>
      </c>
      <c r="AF716" s="12">
        <f>IF(OR(履歴データ!$A$716="",AE715=0),"",(AE716-AE715)/AE715)</f>
        <v>-7.5806774068678624E-3</v>
      </c>
      <c r="AG716" s="29">
        <f t="shared" si="35"/>
        <v>102.17217746631495</v>
      </c>
      <c r="AH716" s="12">
        <f>IF(OR(履歴データ!$A$716="",AG716=0),"",AE716/AG716-1)</f>
        <v>-0.30283532448510375</v>
      </c>
      <c r="AJ716" s="28">
        <f t="shared" ca="1" si="33"/>
        <v>7.0611906490791254</v>
      </c>
      <c r="AK716" s="28">
        <f t="shared" ca="1" si="34"/>
        <v>-7.5096033474918231</v>
      </c>
    </row>
    <row r="717" spans="1:37">
      <c r="A717" s="10">
        <f>IF(履歴データ!$A$717="","",履歴データ!$A$717)</f>
        <v>45973</v>
      </c>
      <c r="B717" s="28">
        <f>IF(履歴データ!$A$717="","",(履歴データ!$D$717-(履歴データ!$B$717+履歴データ!$F$717)/2)*100)</f>
        <v>-3.5000000000000142</v>
      </c>
      <c r="C717" s="28">
        <f>IF(履歴データ!$A$717="","",(履歴データ!$H$717-(履歴データ!$G$717+履歴データ!$J$717)/2)*100)</f>
        <v>-36.550000000000018</v>
      </c>
      <c r="D717" s="28">
        <f>IF(履歴データ!$A$717="","",(履歴データ!$D$717-履歴データ!$H$717)*100)</f>
        <v>238</v>
      </c>
      <c r="E717" s="28">
        <f>IF(履歴データ!$A$717="","",(履歴データ!$D$717-履歴データ!$C$717)*100)</f>
        <v>39.999999999999993</v>
      </c>
      <c r="F717" s="28">
        <f>IF(履歴データ!$A$717="","",(履歴データ!$R$717-履歴データ!$D$717)*100)</f>
        <v>-327.87</v>
      </c>
      <c r="G717" s="28">
        <f>IF(履歴データ!$A$717="","",(履歴データ!$S$717-履歴データ!$R$717)*100)</f>
        <v>105.84599999999979</v>
      </c>
      <c r="H717" s="29">
        <f>IF(履歴データ!$A$717="","",履歴データ!$O$717)</f>
        <v>154.07499694824219</v>
      </c>
      <c r="I717" s="29">
        <f>IF(履歴データ!$A$717="","",履歴データ!$Q$717)</f>
        <v>113</v>
      </c>
      <c r="J717" s="29">
        <f>IF(履歴データ!$A$717="","",履歴データ!$D$717)</f>
        <v>4.08</v>
      </c>
      <c r="K717" s="28">
        <f>IF(OR(履歴データ!$A$717="",履歴データ!$A$716=""),"",B717-B716)</f>
        <v>-2.0000000000000462</v>
      </c>
      <c r="L717" s="28">
        <f>IF(OR(履歴データ!$A$717="",履歴データ!$A$716=""),"",C717-C716)</f>
        <v>-3.2999999999999972</v>
      </c>
      <c r="M717" s="28">
        <f>IF(OR(履歴データ!$A$717="",履歴データ!$A$716=""),"",D717-D716)</f>
        <v>-3.8000000000000114</v>
      </c>
      <c r="N717" s="28">
        <f>IF(OR(履歴データ!$A$717="",履歴データ!$A$716=""),"",E717-E716)</f>
        <v>-0.99999999999997868</v>
      </c>
      <c r="O717" s="28">
        <f>IF(OR(履歴データ!$A$717="",履歴データ!$A$716=""),"",F717-F716)</f>
        <v>6.1499999999999773</v>
      </c>
      <c r="P717" s="28">
        <f>IF(OR(履歴データ!$A$717="",履歴データ!$A$716=""),"",G717-G716)</f>
        <v>-2.7286428222657548</v>
      </c>
      <c r="Q717" s="29">
        <f>IF(OR(履歴データ!$A$717="",履歴データ!$A$716=""),"",H717-H716)</f>
        <v>0.25799560546875</v>
      </c>
      <c r="R717" s="29">
        <f>IF(OR(履歴データ!$A$717="",履歴データ!$A$716=""),"",I717-I716)</f>
        <v>0.3125</v>
      </c>
      <c r="S717" s="28">
        <f>IF(OR(履歴データ!$A$717="",履歴データ!$A$716=""),"",(J717-J716)*100)</f>
        <v>-4.9999999999999822</v>
      </c>
      <c r="T717" s="11">
        <f>IF(OR(履歴データ!$A$717="",履歴データ!$A$716=""),"",-80000*K717)</f>
        <v>160000.0000000037</v>
      </c>
      <c r="U717" s="11">
        <f>IF(OR(履歴データ!$A$717="",履歴データ!$A$716=""),"",60000*L717)</f>
        <v>-197999.99999999983</v>
      </c>
      <c r="V717" s="11">
        <f>IF(OR(履歴データ!$A$717="",履歴データ!$A$716=""),"",-50000*M717)</f>
        <v>190000.00000000058</v>
      </c>
      <c r="W717" s="11">
        <f>IF(OR(履歴データ!$A$717="",履歴データ!$A$716=""),"",-40000*N717)</f>
        <v>39999.999999999149</v>
      </c>
      <c r="X717" s="11">
        <f>IF(OR(履歴データ!$A$717="",履歴データ!$A$716=""),"",120*1000000*(-Q717/H716))</f>
        <v>-201274.71206683046</v>
      </c>
      <c r="Y717" s="11">
        <f>IF(OR(履歴データ!$A$717="",履歴データ!$A$716=""),"",40000*(-S717)+(-506.3)*R717*1000)</f>
        <v>41781.249999999302</v>
      </c>
      <c r="Z717" s="11">
        <f>IF(OR(履歴データ!$A$717="",履歴データ!$A$716=""),"",-40000*O717)</f>
        <v>-245999.9999999991</v>
      </c>
      <c r="AA717" s="11">
        <f>IF(OR(履歴データ!$A$717="",履歴データ!$A$716=""),"",-40000*P717)</f>
        <v>109145.7128906302</v>
      </c>
      <c r="AB717" s="11">
        <f>IF(履歴データ!$A$717="","",123.3)</f>
        <v>123.3</v>
      </c>
      <c r="AC717">
        <f>IF(履歴データ!$A$717="","",SUM(T717:AA717))</f>
        <v>-104347.74917619645</v>
      </c>
      <c r="AD717" s="29">
        <f>IF(履歴データ!$A$717="","",AC717/1000000)</f>
        <v>-0.10434774917619645</v>
      </c>
      <c r="AE717" s="29">
        <f>IF(履歴データ!$A$717="",AE716,AE716+AC717/1000000)</f>
        <v>71.126485200777651</v>
      </c>
      <c r="AF717" s="12">
        <f>IF(OR(履歴データ!$A$717="",AE716=0),"",(AE717-AE716)/AE716)</f>
        <v>-1.4649238939759815E-3</v>
      </c>
      <c r="AG717" s="29">
        <f t="shared" si="35"/>
        <v>102.17217746631495</v>
      </c>
      <c r="AH717" s="12">
        <f>IF(OR(履歴データ!$A$717="",AG717=0),"",AE717/AG717-1)</f>
        <v>-0.30385661767630157</v>
      </c>
      <c r="AJ717" s="28">
        <f t="shared" ca="1" si="33"/>
        <v>7.0631862634522591</v>
      </c>
      <c r="AK717" s="28">
        <f t="shared" ca="1" si="34"/>
        <v>-7.5274719777379726</v>
      </c>
    </row>
    <row r="718" spans="1:37">
      <c r="A718" s="10">
        <f>IF(履歴データ!$A$718="","",履歴データ!$A$718)</f>
        <v>45974</v>
      </c>
      <c r="B718" s="28">
        <f>IF(履歴データ!$A$718="","",(履歴データ!$D$718-(履歴データ!$B$718+履歴データ!$F$718)/2)*100)</f>
        <v>-3.0000000000000249</v>
      </c>
      <c r="C718" s="28">
        <f>IF(履歴データ!$A$718="","",(履歴データ!$H$718-(履歴データ!$G$718+履歴データ!$J$718)/2)*100)</f>
        <v>-35.5</v>
      </c>
      <c r="D718" s="28">
        <f>IF(履歴データ!$A$718="","",(履歴データ!$D$718-履歴データ!$H$718)*100)</f>
        <v>240.50000000000003</v>
      </c>
      <c r="E718" s="28">
        <f>IF(履歴データ!$A$718="","",(履歴データ!$D$718-履歴データ!$C$718)*100)</f>
        <v>40.000000000000036</v>
      </c>
      <c r="F718" s="28">
        <f>IF(履歴データ!$A$718="","",(履歴データ!$R$718-履歴データ!$D$718)*100)</f>
        <v>-342.01000000000005</v>
      </c>
      <c r="G718" s="28">
        <f>IF(履歴データ!$A$718="","",(履歴データ!$S$718-履歴データ!$R$718)*100)</f>
        <v>118.91535717773426</v>
      </c>
      <c r="H718" s="29">
        <f>IF(履歴データ!$A$718="","",履歴データ!$O$718)</f>
        <v>154.71299743652344</v>
      </c>
      <c r="I718" s="29">
        <f>IF(履歴データ!$A$718="","",履歴データ!$Q$718)</f>
        <v>112.765625</v>
      </c>
      <c r="J718" s="29">
        <f>IF(履歴データ!$A$718="","",履歴データ!$D$718)</f>
        <v>4.1100000000000003</v>
      </c>
      <c r="K718" s="28">
        <f>IF(OR(履歴データ!$A$718="",履歴データ!$A$717=""),"",B718-B717)</f>
        <v>0.49999999999998934</v>
      </c>
      <c r="L718" s="28">
        <f>IF(OR(履歴データ!$A$718="",履歴データ!$A$717=""),"",C718-C717)</f>
        <v>1.0500000000000185</v>
      </c>
      <c r="M718" s="28">
        <f>IF(OR(履歴データ!$A$718="",履歴データ!$A$717=""),"",D718-D717)</f>
        <v>2.5000000000000284</v>
      </c>
      <c r="N718" s="28">
        <f>IF(OR(履歴データ!$A$718="",履歴データ!$A$717=""),"",E718-E717)</f>
        <v>4.2632564145606011E-14</v>
      </c>
      <c r="O718" s="28">
        <f>IF(OR(履歴データ!$A$718="",履歴データ!$A$717=""),"",F718-F717)</f>
        <v>-14.140000000000043</v>
      </c>
      <c r="P718" s="28">
        <f>IF(OR(履歴データ!$A$718="",履歴データ!$A$717=""),"",G718-G717)</f>
        <v>13.069357177734474</v>
      </c>
      <c r="Q718" s="29">
        <f>IF(OR(履歴データ!$A$718="",履歴データ!$A$717=""),"",H718-H717)</f>
        <v>0.63800048828125</v>
      </c>
      <c r="R718" s="29">
        <f>IF(OR(履歴データ!$A$718="",履歴データ!$A$717=""),"",I718-I717)</f>
        <v>-0.234375</v>
      </c>
      <c r="S718" s="28">
        <f>IF(OR(履歴データ!$A$718="",履歴データ!$A$717=""),"",(J718-J717)*100)</f>
        <v>3.0000000000000249</v>
      </c>
      <c r="T718" s="11">
        <f>IF(OR(履歴データ!$A$718="",履歴データ!$A$717=""),"",-80000*K718)</f>
        <v>-39999.999999999149</v>
      </c>
      <c r="U718" s="11">
        <f>IF(OR(履歴データ!$A$718="",履歴データ!$A$717=""),"",60000*L718)</f>
        <v>63000.000000001106</v>
      </c>
      <c r="V718" s="11">
        <f>IF(OR(履歴データ!$A$718="",履歴データ!$A$717=""),"",-50000*M718)</f>
        <v>-125000.00000000143</v>
      </c>
      <c r="W718" s="11">
        <f>IF(OR(履歴データ!$A$718="",履歴データ!$A$717=""),"",-40000*N718)</f>
        <v>-1.7053025658242404E-9</v>
      </c>
      <c r="X718" s="11">
        <f>IF(OR(履歴データ!$A$718="",履歴データ!$A$717=""),"",120*1000000*(-Q718/H717))</f>
        <v>-496901.25010658626</v>
      </c>
      <c r="Y718" s="11">
        <f>IF(OR(履歴データ!$A$718="",履歴データ!$A$717=""),"",40000*(-S718)+(-506.3)*R718*1000)</f>
        <v>-1335.9375000009895</v>
      </c>
      <c r="Z718" s="11">
        <f>IF(OR(履歴データ!$A$718="",履歴データ!$A$717=""),"",-40000*O718)</f>
        <v>565600.00000000175</v>
      </c>
      <c r="AA718" s="11">
        <f>IF(OR(履歴データ!$A$718="",履歴データ!$A$717=""),"",-40000*P718)</f>
        <v>-522774.28710937896</v>
      </c>
      <c r="AB718" s="11">
        <f>IF(履歴データ!$A$718="","",123.3)</f>
        <v>123.3</v>
      </c>
      <c r="AC718">
        <f>IF(履歴データ!$A$718="","",SUM(T718:AA718))</f>
        <v>-557411.47471596568</v>
      </c>
      <c r="AD718" s="29">
        <f>IF(履歴データ!$A$718="","",AC718/1000000)</f>
        <v>-0.55741147471596564</v>
      </c>
      <c r="AE718" s="29">
        <f>IF(履歴データ!$A$718="",AE717,AE717+AC718/1000000)</f>
        <v>70.569073726061688</v>
      </c>
      <c r="AF718" s="12">
        <f>IF(OR(履歴データ!$A$718="",AE717=0),"",(AE718-AE717)/AE717)</f>
        <v>-7.8369045390403787E-3</v>
      </c>
      <c r="AG718" s="29">
        <f t="shared" si="35"/>
        <v>102.17217746631495</v>
      </c>
      <c r="AH718" s="12">
        <f>IF(OR(履歴データ!$A$718="",AG718=0),"",AE718/AG718-1)</f>
        <v>-0.30931222690905713</v>
      </c>
      <c r="AJ718" s="28">
        <f t="shared" ca="1" si="33"/>
        <v>7.0511046475034505</v>
      </c>
      <c r="AK718" s="28">
        <f t="shared" ca="1" si="34"/>
        <v>-7.4955490919478933</v>
      </c>
    </row>
    <row r="719" spans="1:37">
      <c r="A719" s="10">
        <f>IF(履歴データ!$A$719="","",履歴データ!$A$719)</f>
        <v>45975</v>
      </c>
      <c r="B719" s="28">
        <f>IF(履歴データ!$A$719="","",(履歴データ!$D$719-(履歴データ!$B$719+履歴データ!$F$719)/2)*100)</f>
        <v>-4.0000000000000036</v>
      </c>
      <c r="C719" s="28">
        <f>IF(履歴データ!$A$719="","",(履歴データ!$H$719-(履歴データ!$G$719+履歴データ!$J$719)/2)*100)</f>
        <v>-35.450000000000024</v>
      </c>
      <c r="D719" s="28">
        <f>IF(履歴データ!$A$719="","",(履歴データ!$D$719-履歴データ!$H$719)*100)</f>
        <v>242.59999999999997</v>
      </c>
      <c r="E719" s="28">
        <f>IF(履歴データ!$A$719="","",(履歴データ!$D$719-履歴データ!$C$719)*100)</f>
        <v>39.999999999999943</v>
      </c>
      <c r="F719" s="28">
        <f>IF(履歴データ!$A$719="","",(履歴データ!$R$719-履歴データ!$D$719)*100)</f>
        <v>-340.23999999999995</v>
      </c>
      <c r="G719" s="28">
        <f>IF(履歴データ!$A$719="","",(履歴データ!$S$719-履歴データ!$R$719)*100)</f>
        <v>114.14535717773427</v>
      </c>
      <c r="H719" s="29">
        <f>IF(履歴データ!$A$719="","",履歴データ!$O$719)</f>
        <v>154.63299560546875</v>
      </c>
      <c r="I719" s="29">
        <f>IF(履歴データ!$A$719="","",履歴データ!$Q$719)</f>
        <v>112.53125</v>
      </c>
      <c r="J719" s="29">
        <f>IF(履歴データ!$A$719="","",履歴データ!$D$719)</f>
        <v>4.1399999999999997</v>
      </c>
      <c r="K719" s="28">
        <f>IF(OR(履歴データ!$A$719="",履歴データ!$A$718=""),"",B719-B718)</f>
        <v>-0.99999999999997868</v>
      </c>
      <c r="L719" s="28">
        <f>IF(OR(履歴データ!$A$719="",履歴データ!$A$718=""),"",C719-C718)</f>
        <v>4.9999999999975842E-2</v>
      </c>
      <c r="M719" s="28">
        <f>IF(OR(履歴データ!$A$719="",履歴データ!$A$718=""),"",D719-D718)</f>
        <v>2.0999999999999375</v>
      </c>
      <c r="N719" s="28">
        <f>IF(OR(履歴データ!$A$719="",履歴データ!$A$718=""),"",E719-E718)</f>
        <v>-9.2370555648813024E-14</v>
      </c>
      <c r="O719" s="28">
        <f>IF(OR(履歴データ!$A$719="",履歴データ!$A$718=""),"",F719-F718)</f>
        <v>1.7700000000000955</v>
      </c>
      <c r="P719" s="28">
        <f>IF(OR(履歴データ!$A$719="",履歴データ!$A$718=""),"",G719-G718)</f>
        <v>-4.769999999999996</v>
      </c>
      <c r="Q719" s="29">
        <f>IF(OR(履歴データ!$A$719="",履歴データ!$A$718=""),"",H719-H718)</f>
        <v>-8.00018310546875E-2</v>
      </c>
      <c r="R719" s="29">
        <f>IF(OR(履歴データ!$A$719="",履歴データ!$A$718=""),"",I719-I718)</f>
        <v>-0.234375</v>
      </c>
      <c r="S719" s="28">
        <f>IF(OR(履歴データ!$A$719="",履歴データ!$A$718=""),"",(J719-J718)*100)</f>
        <v>2.9999999999999361</v>
      </c>
      <c r="T719" s="11">
        <f>IF(OR(履歴データ!$A$719="",履歴データ!$A$718=""),"",-80000*K719)</f>
        <v>79999.999999998297</v>
      </c>
      <c r="U719" s="11">
        <f>IF(OR(履歴データ!$A$719="",履歴データ!$A$718=""),"",60000*L719)</f>
        <v>2999.9999999985503</v>
      </c>
      <c r="V719" s="11">
        <f>IF(OR(履歴データ!$A$719="",履歴データ!$A$718=""),"",-50000*M719)</f>
        <v>-104999.99999999687</v>
      </c>
      <c r="W719" s="11">
        <f>IF(OR(履歴データ!$A$719="",履歴データ!$A$718=""),"",-40000*N719)</f>
        <v>3.694822225952521E-9</v>
      </c>
      <c r="X719" s="11">
        <f>IF(OR(履歴データ!$A$719="",履歴データ!$A$718=""),"",120*1000000*(-Q719/H718))</f>
        <v>62051.798398523919</v>
      </c>
      <c r="Y719" s="11">
        <f>IF(OR(履歴データ!$A$719="",履歴データ!$A$718=""),"",40000*(-S719)+(-506.3)*R719*1000)</f>
        <v>-1335.9374999974389</v>
      </c>
      <c r="Z719" s="11">
        <f>IF(OR(履歴データ!$A$719="",履歴データ!$A$718=""),"",-40000*O719)</f>
        <v>-70800.000000003813</v>
      </c>
      <c r="AA719" s="11">
        <f>IF(OR(履歴データ!$A$719="",履歴データ!$A$718=""),"",-40000*P719)</f>
        <v>190799.99999999985</v>
      </c>
      <c r="AB719" s="11">
        <f>IF(履歴データ!$A$719="","",123.3)</f>
        <v>123.3</v>
      </c>
      <c r="AC719">
        <f>IF(履歴データ!$A$719="","",SUM(T719:AA719))</f>
        <v>158715.86089852618</v>
      </c>
      <c r="AD719" s="29">
        <f>IF(履歴データ!$A$719="","",AC719/1000000)</f>
        <v>0.15871586089852618</v>
      </c>
      <c r="AE719" s="29">
        <f>IF(履歴データ!$A$719="",AE718,AE718+AC719/1000000)</f>
        <v>70.727789586960213</v>
      </c>
      <c r="AF719" s="12">
        <f>IF(OR(履歴データ!$A$719="",AE718=0),"",(AE719-AE718)/AE718)</f>
        <v>2.2490852227228524E-3</v>
      </c>
      <c r="AG719" s="29">
        <f t="shared" si="35"/>
        <v>102.17217746631495</v>
      </c>
      <c r="AH719" s="12">
        <f>IF(OR(履歴データ!$A$719="",AG719=0),"",AE719/AG719-1)</f>
        <v>-0.30775881124508286</v>
      </c>
      <c r="AJ719" s="28">
        <f t="shared" ca="1" si="33"/>
        <v>7.0334053323995578</v>
      </c>
      <c r="AK719" s="28">
        <f t="shared" ca="1" si="34"/>
        <v>-7.4580085070027318</v>
      </c>
    </row>
    <row r="720" spans="1:37">
      <c r="A720" s="10">
        <f>IF(履歴データ!$A$720="","",履歴データ!$A$720)</f>
        <v>45978</v>
      </c>
      <c r="B720" s="28">
        <f>IF(履歴データ!$A$720="","",(履歴データ!$D$720-(履歴データ!$B$720+履歴データ!$F$720)/2)*100)</f>
        <v>-3.5000000000000142</v>
      </c>
      <c r="C720" s="28">
        <f>IF(履歴データ!$A$720="","",(履歴データ!$H$720-(履歴データ!$G$720+履歴データ!$J$720)/2)*100)</f>
        <v>-34.450000000000003</v>
      </c>
      <c r="D720" s="28">
        <f>IF(履歴データ!$A$720="","",(履歴データ!$D$720-履歴データ!$H$720)*100)</f>
        <v>238.49999999999997</v>
      </c>
      <c r="E720" s="28">
        <f>IF(履歴データ!$A$720="","",(履歴データ!$D$720-履歴データ!$C$720)*100)</f>
        <v>40.999999999999972</v>
      </c>
      <c r="F720" s="28">
        <f>IF(履歴データ!$A$720="","",(履歴データ!$R$720-履歴データ!$D$720)*100)</f>
        <v>-337.04</v>
      </c>
      <c r="G720" s="28">
        <f>IF(履歴データ!$A$720="","",(履歴データ!$S$720-履歴データ!$R$720)*100)</f>
        <v>114.22564282226541</v>
      </c>
      <c r="H720" s="29">
        <f>IF(履歴データ!$A$720="","",履歴データ!$O$720)</f>
        <v>154.58500671386719</v>
      </c>
      <c r="I720" s="29">
        <f>IF(履歴データ!$A$720="","",履歴データ!$Q$720)</f>
        <v>112.640625</v>
      </c>
      <c r="J720" s="29">
        <f>IF(履歴データ!$A$720="","",履歴データ!$D$720)</f>
        <v>4.13</v>
      </c>
      <c r="K720" s="28">
        <f>IF(OR(履歴データ!$A$720="",履歴データ!$A$719=""),"",B720-B719)</f>
        <v>0.49999999999998934</v>
      </c>
      <c r="L720" s="28">
        <f>IF(OR(履歴データ!$A$720="",履歴データ!$A$719=""),"",C720-C719)</f>
        <v>1.0000000000000213</v>
      </c>
      <c r="M720" s="28">
        <f>IF(OR(履歴データ!$A$720="",履歴データ!$A$719=""),"",D720-D719)</f>
        <v>-4.0999999999999943</v>
      </c>
      <c r="N720" s="28">
        <f>IF(OR(履歴データ!$A$720="",履歴データ!$A$719=""),"",E720-E719)</f>
        <v>1.0000000000000284</v>
      </c>
      <c r="O720" s="28">
        <f>IF(OR(履歴データ!$A$720="",履歴データ!$A$719=""),"",F720-F719)</f>
        <v>3.1999999999999318</v>
      </c>
      <c r="P720" s="28">
        <f>IF(OR(履歴データ!$A$720="",履歴データ!$A$719=""),"",G720-G719)</f>
        <v>8.028564453114484E-2</v>
      </c>
      <c r="Q720" s="29">
        <f>IF(OR(履歴データ!$A$720="",履歴データ!$A$719=""),"",H720-H719)</f>
        <v>-4.79888916015625E-2</v>
      </c>
      <c r="R720" s="29">
        <f>IF(OR(履歴データ!$A$720="",履歴データ!$A$719=""),"",I720-I719)</f>
        <v>0.109375</v>
      </c>
      <c r="S720" s="28">
        <f>IF(OR(履歴データ!$A$720="",履歴データ!$A$719=""),"",(J720-J719)*100)</f>
        <v>-0.99999999999997868</v>
      </c>
      <c r="T720" s="11">
        <f>IF(OR(履歴データ!$A$720="",履歴データ!$A$719=""),"",-80000*K720)</f>
        <v>-39999.999999999149</v>
      </c>
      <c r="U720" s="11">
        <f>IF(OR(履歴データ!$A$720="",履歴データ!$A$719=""),"",60000*L720)</f>
        <v>60000.000000001281</v>
      </c>
      <c r="V720" s="11">
        <f>IF(OR(履歴データ!$A$720="",履歴データ!$A$719=""),"",-50000*M720)</f>
        <v>204999.99999999971</v>
      </c>
      <c r="W720" s="11">
        <f>IF(OR(履歴データ!$A$720="",履歴データ!$A$719=""),"",-40000*N720)</f>
        <v>-40000.000000001135</v>
      </c>
      <c r="X720" s="11">
        <f>IF(OR(履歴データ!$A$720="",履歴データ!$A$719=""),"",120*1000000*(-Q720/H719))</f>
        <v>37240.868093121513</v>
      </c>
      <c r="Y720" s="11">
        <f>IF(OR(履歴データ!$A$720="",履歴データ!$A$719=""),"",40000*(-S720)+(-506.3)*R720*1000)</f>
        <v>-15376.562500000851</v>
      </c>
      <c r="Z720" s="11">
        <f>IF(OR(履歴データ!$A$720="",履歴データ!$A$719=""),"",-40000*O720)</f>
        <v>-127999.99999999726</v>
      </c>
      <c r="AA720" s="11">
        <f>IF(OR(履歴データ!$A$720="",履歴データ!$A$719=""),"",-40000*P720)</f>
        <v>-3211.4257812457936</v>
      </c>
      <c r="AB720" s="11">
        <f>IF(履歴データ!$A$720="","",123.3)</f>
        <v>123.3</v>
      </c>
      <c r="AC720">
        <f>IF(履歴データ!$A$720="","",SUM(T720:AA720))</f>
        <v>75652.879811878302</v>
      </c>
      <c r="AD720" s="29">
        <f>IF(履歴データ!$A$720="","",AC720/1000000)</f>
        <v>7.5652879811878307E-2</v>
      </c>
      <c r="AE720" s="29">
        <f>IF(履歴データ!$A$720="",AE719,AE719+AC720/1000000)</f>
        <v>70.803442466772097</v>
      </c>
      <c r="AF720" s="12">
        <f>IF(OR(履歴データ!$A$720="",AE719=0),"",(AE720-AE719)/AE719)</f>
        <v>1.0696344428927471E-3</v>
      </c>
      <c r="AG720" s="29">
        <f t="shared" si="35"/>
        <v>102.17217746631495</v>
      </c>
      <c r="AH720" s="12">
        <f>IF(OR(履歴データ!$A$720="",AG720=0),"",AE720/AG720-1)</f>
        <v>-0.30701836622680168</v>
      </c>
      <c r="AJ720" s="28">
        <f t="shared" ca="1" si="33"/>
        <v>7.0347599120630147</v>
      </c>
      <c r="AK720" s="28">
        <f t="shared" ca="1" si="34"/>
        <v>-7.4633313406344417</v>
      </c>
    </row>
    <row r="721" spans="1:37">
      <c r="A721" s="10">
        <f>IF(履歴データ!$A$721="","",履歴データ!$A$721)</f>
        <v>45979</v>
      </c>
      <c r="B721" s="28">
        <f>IF(履歴データ!$A$721="","",(履歴データ!$D$721-(履歴データ!$B$721+履歴データ!$F$721)/2)*100)</f>
        <v>-4.0000000000000036</v>
      </c>
      <c r="C721" s="28">
        <f>IF(履歴データ!$A$721="","",(履歴データ!$H$721-(履歴データ!$G$721+履歴データ!$J$721)/2)*100)</f>
        <v>-34.750000000000014</v>
      </c>
      <c r="D721" s="28">
        <f>IF(履歴データ!$A$721="","",(履歴データ!$D$721-履歴データ!$H$721)*100)</f>
        <v>236.10000000000002</v>
      </c>
      <c r="E721" s="28">
        <f>IF(履歴データ!$A$721="","",(履歴データ!$D$721-履歴データ!$C$721)*100)</f>
        <v>41.999999999999993</v>
      </c>
      <c r="F721" s="28">
        <f>IF(履歴データ!$A$721="","",(履歴データ!$R$721-履歴データ!$D$721)*100)</f>
        <v>-332.68</v>
      </c>
      <c r="G721" s="28">
        <f>IF(履歴データ!$A$721="","",(履歴データ!$S$721-履歴データ!$R$721)*100)</f>
        <v>109.81317858886706</v>
      </c>
      <c r="H721" s="29">
        <f>IF(履歴データ!$A$721="","",履歴データ!$O$721)</f>
        <v>155.27299499511719</v>
      </c>
      <c r="I721" s="29">
        <f>IF(履歴データ!$A$721="","",履歴データ!$Q$721)</f>
        <v>112.78125</v>
      </c>
      <c r="J721" s="29">
        <f>IF(履歴データ!$A$721="","",履歴データ!$D$721)</f>
        <v>4.12</v>
      </c>
      <c r="K721" s="28">
        <f>IF(OR(履歴データ!$A$721="",履歴データ!$A$720=""),"",B721-B720)</f>
        <v>-0.49999999999998934</v>
      </c>
      <c r="L721" s="28">
        <f>IF(OR(履歴データ!$A$721="",履歴データ!$A$720=""),"",C721-C720)</f>
        <v>-0.30000000000001137</v>
      </c>
      <c r="M721" s="28">
        <f>IF(OR(履歴データ!$A$721="",履歴データ!$A$720=""),"",D721-D720)</f>
        <v>-2.3999999999999488</v>
      </c>
      <c r="N721" s="28">
        <f>IF(OR(履歴データ!$A$721="",履歴データ!$A$720=""),"",E721-E720)</f>
        <v>1.0000000000000213</v>
      </c>
      <c r="O721" s="28">
        <f>IF(OR(履歴データ!$A$721="",履歴データ!$A$720=""),"",F721-F720)</f>
        <v>4.3600000000000136</v>
      </c>
      <c r="P721" s="28">
        <f>IF(OR(履歴データ!$A$721="",履歴データ!$A$720=""),"",G721-G720)</f>
        <v>-4.412464233398353</v>
      </c>
      <c r="Q721" s="29">
        <f>IF(OR(履歴データ!$A$721="",履歴データ!$A$720=""),"",H721-H720)</f>
        <v>0.68798828125</v>
      </c>
      <c r="R721" s="29">
        <f>IF(OR(履歴データ!$A$721="",履歴データ!$A$720=""),"",I721-I720)</f>
        <v>0.140625</v>
      </c>
      <c r="S721" s="28">
        <f>IF(OR(履歴データ!$A$721="",履歴データ!$A$720=""),"",(J721-J720)*100)</f>
        <v>-0.99999999999997868</v>
      </c>
      <c r="T721" s="11">
        <f>IF(OR(履歴データ!$A$721="",履歴データ!$A$720=""),"",-80000*K721)</f>
        <v>39999.999999999149</v>
      </c>
      <c r="U721" s="11">
        <f>IF(OR(履歴データ!$A$721="",履歴データ!$A$720=""),"",60000*L721)</f>
        <v>-18000.000000000684</v>
      </c>
      <c r="V721" s="11">
        <f>IF(OR(履歴データ!$A$721="",履歴データ!$A$720=""),"",-50000*M721)</f>
        <v>119999.99999999744</v>
      </c>
      <c r="W721" s="11">
        <f>IF(OR(履歴データ!$A$721="",履歴データ!$A$720=""),"",-40000*N721)</f>
        <v>-40000.000000000851</v>
      </c>
      <c r="X721" s="11">
        <f>IF(OR(履歴データ!$A$721="",履歴データ!$A$720=""),"",120*1000000*(-Q721/H720))</f>
        <v>-534065.9841792665</v>
      </c>
      <c r="Y721" s="11">
        <f>IF(OR(履歴データ!$A$721="",履歴データ!$A$720=""),"",40000*(-S721)+(-506.3)*R721*1000)</f>
        <v>-31198.437500000851</v>
      </c>
      <c r="Z721" s="11">
        <f>IF(OR(履歴データ!$A$721="",履歴データ!$A$720=""),"",-40000*O721)</f>
        <v>-174400.00000000055</v>
      </c>
      <c r="AA721" s="11">
        <f>IF(OR(履歴データ!$A$721="",履歴データ!$A$720=""),"",-40000*P721)</f>
        <v>176498.56933593412</v>
      </c>
      <c r="AB721" s="11">
        <f>IF(履歴データ!$A$721="","",123.3)</f>
        <v>123.3</v>
      </c>
      <c r="AC721">
        <f>IF(履歴データ!$A$721="","",SUM(T721:AA721))</f>
        <v>-461165.85234333877</v>
      </c>
      <c r="AD721" s="29">
        <f>IF(履歴データ!$A$721="","",AC721/1000000)</f>
        <v>-0.46116585234333879</v>
      </c>
      <c r="AE721" s="29">
        <f>IF(履歴データ!$A$721="",AE720,AE720+AC721/1000000)</f>
        <v>70.342276614428755</v>
      </c>
      <c r="AF721" s="12">
        <f>IF(OR(履歴データ!$A$721="",AE720=0),"",(AE721-AE720)/AE720)</f>
        <v>-6.5133252886646871E-3</v>
      </c>
      <c r="AG721" s="29">
        <f t="shared" si="35"/>
        <v>102.17217746631495</v>
      </c>
      <c r="AH721" s="12">
        <f>IF(OR(履歴データ!$A$721="",AG721=0),"",AE721/AG721-1)</f>
        <v>-0.31153198102663682</v>
      </c>
      <c r="AJ721" s="28">
        <f t="shared" ca="1" si="33"/>
        <v>7.0378750311500635</v>
      </c>
      <c r="AK721" s="28">
        <f t="shared" ca="1" si="34"/>
        <v>-7.4902559835310161</v>
      </c>
    </row>
    <row r="722" spans="1:37">
      <c r="A722" s="10">
        <f>IF(履歴データ!$A$722="","",履歴データ!$A$722)</f>
        <v>45980</v>
      </c>
      <c r="B722" s="28">
        <f>IF(履歴データ!$A$722="","",(履歴データ!$D$722-(履歴データ!$B$722+履歴データ!$F$722)/2)*100)</f>
        <v>-3.5000000000000142</v>
      </c>
      <c r="C722" s="28">
        <f>IF(履歴データ!$A$722="","",(履歴データ!$H$722-(履歴データ!$G$722+履歴データ!$J$722)/2)*100)</f>
        <v>-34.20000000000001</v>
      </c>
      <c r="D722" s="28">
        <f>IF(履歴データ!$A$722="","",(履歴データ!$D$722-履歴データ!$H$722)*100)</f>
        <v>235.1</v>
      </c>
      <c r="E722" s="28">
        <f>IF(履歴データ!$A$722="","",(履歴データ!$D$722-履歴データ!$C$722)*100)</f>
        <v>41.999999999999993</v>
      </c>
      <c r="F722" s="28">
        <f>IF(履歴データ!$A$722="","",(履歴データ!$R$722-履歴データ!$D$722)*100)</f>
        <v>-334.47</v>
      </c>
      <c r="G722" s="28">
        <f>IF(履歴データ!$A$722="","",(履歴データ!$S$722-履歴データ!$R$722)*100)</f>
        <v>115.1636428222655</v>
      </c>
      <c r="H722" s="29">
        <f>IF(履歴データ!$A$722="","",履歴データ!$O$722)</f>
        <v>155.54800415039063</v>
      </c>
      <c r="I722" s="29">
        <f>IF(履歴データ!$A$722="","",履歴データ!$Q$722)</f>
        <v>112.6875</v>
      </c>
      <c r="J722" s="29">
        <f>IF(履歴データ!$A$722="","",履歴データ!$D$722)</f>
        <v>4.13</v>
      </c>
      <c r="K722" s="28">
        <f>IF(OR(履歴データ!$A$722="",履歴データ!$A$721=""),"",B722-B721)</f>
        <v>0.49999999999998934</v>
      </c>
      <c r="L722" s="28">
        <f>IF(OR(履歴データ!$A$722="",履歴データ!$A$721=""),"",C722-C721)</f>
        <v>0.55000000000000426</v>
      </c>
      <c r="M722" s="28">
        <f>IF(OR(履歴データ!$A$722="",履歴データ!$A$721=""),"",D722-D721)</f>
        <v>-1.0000000000000284</v>
      </c>
      <c r="N722" s="28">
        <f>IF(OR(履歴データ!$A$722="",履歴データ!$A$721=""),"",E722-E721)</f>
        <v>0</v>
      </c>
      <c r="O722" s="28">
        <f>IF(OR(履歴データ!$A$722="",履歴データ!$A$721=""),"",F722-F721)</f>
        <v>-1.7900000000000205</v>
      </c>
      <c r="P722" s="28">
        <f>IF(OR(履歴データ!$A$722="",履歴データ!$A$721=""),"",G722-G721)</f>
        <v>5.3504642333984407</v>
      </c>
      <c r="Q722" s="29">
        <f>IF(OR(履歴データ!$A$722="",履歴データ!$A$721=""),"",H722-H721)</f>
        <v>0.2750091552734375</v>
      </c>
      <c r="R722" s="29">
        <f>IF(OR(履歴データ!$A$722="",履歴データ!$A$721=""),"",I722-I721)</f>
        <v>-9.375E-2</v>
      </c>
      <c r="S722" s="28">
        <f>IF(OR(履歴データ!$A$722="",履歴データ!$A$721=""),"",(J722-J721)*100)</f>
        <v>0.99999999999997868</v>
      </c>
      <c r="T722" s="11">
        <f>IF(OR(履歴データ!$A$722="",履歴データ!$A$721=""),"",-80000*K722)</f>
        <v>-39999.999999999149</v>
      </c>
      <c r="U722" s="11">
        <f>IF(OR(履歴データ!$A$722="",履歴データ!$A$721=""),"",60000*L722)</f>
        <v>33000.000000000255</v>
      </c>
      <c r="V722" s="11">
        <f>IF(OR(履歴データ!$A$722="",履歴データ!$A$721=""),"",-50000*M722)</f>
        <v>50000.000000001419</v>
      </c>
      <c r="W722" s="11">
        <f>IF(OR(履歴データ!$A$722="",履歴データ!$A$721=""),"",-40000*N722)</f>
        <v>0</v>
      </c>
      <c r="X722" s="11">
        <f>IF(OR(履歴データ!$A$722="",履歴データ!$A$721=""),"",120*1000000*(-Q722/H721))</f>
        <v>-212535.98305262465</v>
      </c>
      <c r="Y722" s="11">
        <f>IF(OR(履歴データ!$A$722="",履歴データ!$A$721=""),"",40000*(-S722)+(-506.3)*R722*1000)</f>
        <v>7465.6250000008513</v>
      </c>
      <c r="Z722" s="11">
        <f>IF(OR(履歴データ!$A$722="",履歴データ!$A$721=""),"",-40000*O722)</f>
        <v>71600.000000000815</v>
      </c>
      <c r="AA722" s="11">
        <f>IF(OR(履歴データ!$A$722="",履歴データ!$A$721=""),"",-40000*P722)</f>
        <v>-214018.56933593762</v>
      </c>
      <c r="AB722" s="11">
        <f>IF(履歴データ!$A$722="","",123.3)</f>
        <v>123.3</v>
      </c>
      <c r="AC722">
        <f>IF(履歴データ!$A$722="","",SUM(T722:AA722))</f>
        <v>-304488.92738855805</v>
      </c>
      <c r="AD722" s="29">
        <f>IF(履歴データ!$A$722="","",AC722/1000000)</f>
        <v>-0.30448892738855804</v>
      </c>
      <c r="AE722" s="29">
        <f>IF(履歴データ!$A$722="",AE721,AE721+AC722/1000000)</f>
        <v>70.037787687040193</v>
      </c>
      <c r="AF722" s="12">
        <f>IF(OR(履歴データ!$A$722="",AE721=0),"",(AE722-AE721)/AE721)</f>
        <v>-4.3286760401227073E-3</v>
      </c>
      <c r="AG722" s="29">
        <f t="shared" si="35"/>
        <v>102.17217746631495</v>
      </c>
      <c r="AH722" s="12">
        <f>IF(OR(履歴データ!$A$722="",AG722=0),"",AE722/AG722-1)</f>
        <v>-0.31451213604475747</v>
      </c>
      <c r="AJ722" s="28">
        <f t="shared" ca="1" si="33"/>
        <v>7.0392059486294949</v>
      </c>
      <c r="AK722" s="28">
        <f t="shared" ca="1" si="34"/>
        <v>-7.4955551549787005</v>
      </c>
    </row>
    <row r="723" spans="1:37">
      <c r="A723" s="10">
        <f>IF(履歴データ!$A$723="","",履歴データ!$A$723)</f>
        <v>45981</v>
      </c>
      <c r="B723" s="28">
        <f>IF(履歴データ!$A$723="","",(履歴データ!$D$723-(履歴データ!$B$723+履歴データ!$F$723)/2)*100)</f>
        <v>-4.0000000000000924</v>
      </c>
      <c r="C723" s="28">
        <f>IF(履歴データ!$A$723="","",(履歴データ!$H$723-(履歴データ!$G$723+履歴データ!$J$723)/2)*100)</f>
        <v>-32.550000000000011</v>
      </c>
      <c r="D723" s="28">
        <f>IF(履歴データ!$A$723="","",(履歴データ!$D$723-履歴データ!$H$723)*100)</f>
        <v>227.59999999999997</v>
      </c>
      <c r="E723" s="28">
        <f>IF(履歴データ!$A$723="","",(履歴データ!$D$723-履歴データ!$C$723)*100)</f>
        <v>41.99999999999995</v>
      </c>
      <c r="F723" s="28">
        <f>IF(履歴データ!$A$723="","",(履歴データ!$R$723-履歴データ!$D$723)*100)</f>
        <v>-333.62999999999994</v>
      </c>
      <c r="G723" s="28">
        <f>IF(履歴データ!$A$723="","",(履歴データ!$S$723-履歴データ!$R$723)*100)</f>
        <v>126.44435717773419</v>
      </c>
      <c r="H723" s="29">
        <f>IF(履歴データ!$A$723="","",履歴データ!$O$723)</f>
        <v>156.99200439453125</v>
      </c>
      <c r="I723" s="29">
        <f>IF(履歴データ!$A$723="","",履歴データ!$Q$723)</f>
        <v>112.875</v>
      </c>
      <c r="J723" s="29">
        <f>IF(履歴データ!$A$723="","",履歴データ!$D$723)</f>
        <v>4.0999999999999996</v>
      </c>
      <c r="K723" s="28">
        <f>IF(OR(履歴データ!$A$723="",履歴データ!$A$722=""),"",B723-B722)</f>
        <v>-0.50000000000007816</v>
      </c>
      <c r="L723" s="28">
        <f>IF(OR(履歴データ!$A$723="",履歴データ!$A$722=""),"",C723-C722)</f>
        <v>1.6499999999999986</v>
      </c>
      <c r="M723" s="28">
        <f>IF(OR(履歴データ!$A$723="",履歴データ!$A$722=""),"",D723-D722)</f>
        <v>-7.5000000000000284</v>
      </c>
      <c r="N723" s="28">
        <f>IF(OR(履歴データ!$A$723="",履歴データ!$A$722=""),"",E723-E722)</f>
        <v>-4.2632564145606011E-14</v>
      </c>
      <c r="O723" s="28">
        <f>IF(OR(履歴データ!$A$723="",履歴データ!$A$722=""),"",F723-F722)</f>
        <v>0.84000000000008868</v>
      </c>
      <c r="P723" s="28">
        <f>IF(OR(履歴データ!$A$723="",履歴データ!$A$722=""),"",G723-G722)</f>
        <v>11.280714355468689</v>
      </c>
      <c r="Q723" s="29">
        <f>IF(OR(履歴データ!$A$723="",履歴データ!$A$722=""),"",H723-H722)</f>
        <v>1.444000244140625</v>
      </c>
      <c r="R723" s="29">
        <f>IF(OR(履歴データ!$A$723="",履歴データ!$A$722=""),"",I723-I722)</f>
        <v>0.1875</v>
      </c>
      <c r="S723" s="28">
        <f>IF(OR(履歴データ!$A$723="",履歴データ!$A$722=""),"",(J723-J722)*100)</f>
        <v>-3.0000000000000249</v>
      </c>
      <c r="T723" s="11">
        <f>IF(OR(履歴データ!$A$723="",履歴データ!$A$722=""),"",-80000*K723)</f>
        <v>40000.00000000625</v>
      </c>
      <c r="U723" s="11">
        <f>IF(OR(履歴データ!$A$723="",履歴データ!$A$722=""),"",60000*L723)</f>
        <v>98999.999999999913</v>
      </c>
      <c r="V723" s="11">
        <f>IF(OR(履歴データ!$A$723="",履歴データ!$A$722=""),"",-50000*M723)</f>
        <v>375000.0000000014</v>
      </c>
      <c r="W723" s="11">
        <f>IF(OR(履歴データ!$A$723="",履歴データ!$A$722=""),"",-40000*N723)</f>
        <v>1.7053025658242404E-9</v>
      </c>
      <c r="X723" s="11">
        <f>IF(OR(履歴データ!$A$723="",履歴データ!$A$722=""),"",120*1000000*(-Q723/H722))</f>
        <v>-1113997.1241890076</v>
      </c>
      <c r="Y723" s="11">
        <f>IF(OR(履歴データ!$A$723="",履歴データ!$A$722=""),"",40000*(-S723)+(-506.3)*R723*1000)</f>
        <v>25068.75000000099</v>
      </c>
      <c r="Z723" s="11">
        <f>IF(OR(履歴データ!$A$723="",履歴データ!$A$722=""),"",-40000*O723)</f>
        <v>-33600.000000003551</v>
      </c>
      <c r="AA723" s="11">
        <f>IF(OR(履歴データ!$A$723="",履歴データ!$A$722=""),"",-40000*P723)</f>
        <v>-451228.57421874756</v>
      </c>
      <c r="AB723" s="11">
        <f>IF(履歴データ!$A$723="","",123.3)</f>
        <v>123.3</v>
      </c>
      <c r="AC723">
        <f>IF(履歴データ!$A$723="","",SUM(T723:AA723))</f>
        <v>-1059756.9484077482</v>
      </c>
      <c r="AD723" s="29">
        <f>IF(履歴データ!$A$723="","",AC723/1000000)</f>
        <v>-1.0597569484077483</v>
      </c>
      <c r="AE723" s="29">
        <f>IF(履歴データ!$A$723="",AE722,AE722+AC723/1000000)</f>
        <v>68.978030738632441</v>
      </c>
      <c r="AF723" s="12">
        <f>IF(OR(履歴データ!$A$723="",AE722=0),"",(AE723-AE722)/AE722)</f>
        <v>-1.5131216781763797E-2</v>
      </c>
      <c r="AG723" s="29">
        <f t="shared" si="35"/>
        <v>102.17217746631495</v>
      </c>
      <c r="AH723" s="12">
        <f>IF(OR(履歴データ!$A$723="",AG723=0),"",AE723/AG723-1)</f>
        <v>-0.32488440151553255</v>
      </c>
      <c r="AJ723" s="28">
        <f t="shared" ca="1" si="33"/>
        <v>7.0431766055851286</v>
      </c>
      <c r="AK723" s="28">
        <f t="shared" ca="1" si="34"/>
        <v>-7.511430573839097</v>
      </c>
    </row>
    <row r="724" spans="1:37">
      <c r="A724" s="10">
        <f>IF(履歴データ!$A$724="","",履歴データ!$A$724)</f>
        <v>45982</v>
      </c>
      <c r="B724" s="28">
        <f>IF(履歴データ!$A$724="","",(履歴データ!$D$724-(履歴データ!$B$724+履歴データ!$F$724)/2)*100)</f>
        <v>-4.9999999999999822</v>
      </c>
      <c r="C724" s="28">
        <f>IF(履歴データ!$A$724="","",(履歴データ!$H$724-(履歴データ!$G$724+履歴データ!$J$724)/2)*100)</f>
        <v>-33.299999999999997</v>
      </c>
      <c r="D724" s="28">
        <f>IF(履歴データ!$A$724="","",(履歴データ!$D$724-履歴データ!$H$724)*100)</f>
        <v>226.79999999999998</v>
      </c>
      <c r="E724" s="28">
        <f>IF(履歴データ!$A$724="","",(履歴データ!$D$724-履歴データ!$C$724)*100)</f>
        <v>43.99999999999995</v>
      </c>
      <c r="F724" s="28">
        <f>IF(履歴データ!$A$724="","",(履歴データ!$R$724-履歴データ!$D$724)*100)</f>
        <v>-326.72999999999996</v>
      </c>
      <c r="G724" s="28">
        <f>IF(履歴データ!$A$724="","",(履歴データ!$S$724-履歴データ!$R$724)*100)</f>
        <v>113.72199999999992</v>
      </c>
      <c r="H724" s="29">
        <f>IF(履歴データ!$A$724="","",履歴データ!$O$724)</f>
        <v>157.36900329589844</v>
      </c>
      <c r="I724" s="29">
        <f>IF(履歴データ!$A$724="","",履歴データ!$Q$724)</f>
        <v>113.25</v>
      </c>
      <c r="J724" s="29">
        <f>IF(履歴データ!$A$724="","",履歴データ!$D$724)</f>
        <v>4.0599999999999996</v>
      </c>
      <c r="K724" s="28">
        <f>IF(OR(履歴データ!$A$724="",履歴データ!$A$723=""),"",B724-B723)</f>
        <v>-0.99999999999988987</v>
      </c>
      <c r="L724" s="28">
        <f>IF(OR(履歴データ!$A$724="",履歴データ!$A$723=""),"",C724-C723)</f>
        <v>-0.74999999999998579</v>
      </c>
      <c r="M724" s="28">
        <f>IF(OR(履歴データ!$A$724="",履歴データ!$A$723=""),"",D724-D723)</f>
        <v>-0.79999999999998295</v>
      </c>
      <c r="N724" s="28">
        <f>IF(OR(履歴データ!$A$724="",履歴データ!$A$723=""),"",E724-E723)</f>
        <v>2</v>
      </c>
      <c r="O724" s="28">
        <f>IF(OR(履歴データ!$A$724="",履歴データ!$A$723=""),"",F724-F723)</f>
        <v>6.8999999999999773</v>
      </c>
      <c r="P724" s="28">
        <f>IF(OR(履歴データ!$A$724="",履歴データ!$A$723=""),"",G724-G723)</f>
        <v>-12.722357177734267</v>
      </c>
      <c r="Q724" s="29">
        <f>IF(OR(履歴データ!$A$724="",履歴データ!$A$723=""),"",H724-H723)</f>
        <v>0.3769989013671875</v>
      </c>
      <c r="R724" s="29">
        <f>IF(OR(履歴データ!$A$724="",履歴データ!$A$723=""),"",I724-I723)</f>
        <v>0.375</v>
      </c>
      <c r="S724" s="28">
        <f>IF(OR(履歴データ!$A$724="",履歴データ!$A$723=""),"",(J724-J723)*100)</f>
        <v>-4.0000000000000036</v>
      </c>
      <c r="T724" s="11">
        <f>IF(OR(履歴データ!$A$724="",履歴データ!$A$723=""),"",-80000*K724)</f>
        <v>79999.999999991196</v>
      </c>
      <c r="U724" s="11">
        <f>IF(OR(履歴データ!$A$724="",履歴データ!$A$723=""),"",60000*L724)</f>
        <v>-44999.999999999149</v>
      </c>
      <c r="V724" s="11">
        <f>IF(OR(履歴データ!$A$724="",履歴データ!$A$723=""),"",-50000*M724)</f>
        <v>39999.999999999149</v>
      </c>
      <c r="W724" s="11">
        <f>IF(OR(履歴データ!$A$724="",履歴データ!$A$723=""),"",-40000*N724)</f>
        <v>-80000</v>
      </c>
      <c r="X724" s="11">
        <f>IF(OR(履歴データ!$A$724="",履歴データ!$A$723=""),"",120*1000000*(-Q724/H723))</f>
        <v>-288166.70211032993</v>
      </c>
      <c r="Y724" s="11">
        <f>IF(OR(履歴データ!$A$724="",履歴データ!$A$723=""),"",40000*(-S724)+(-506.3)*R724*1000)</f>
        <v>-29862.499999999854</v>
      </c>
      <c r="Z724" s="11">
        <f>IF(OR(履歴データ!$A$724="",履歴データ!$A$723=""),"",-40000*O724)</f>
        <v>-275999.99999999907</v>
      </c>
      <c r="AA724" s="11">
        <f>IF(OR(履歴データ!$A$724="",履歴データ!$A$723=""),"",-40000*P724)</f>
        <v>508894.28710937069</v>
      </c>
      <c r="AB724" s="11">
        <f>IF(履歴データ!$A$724="","",123.3)</f>
        <v>123.3</v>
      </c>
      <c r="AC724">
        <f>IF(履歴データ!$A$724="","",SUM(T724:AA724))</f>
        <v>-90134.915000966983</v>
      </c>
      <c r="AD724" s="29">
        <f>IF(履歴データ!$A$724="","",AC724/1000000)</f>
        <v>-9.0134915000966986E-2</v>
      </c>
      <c r="AE724" s="29">
        <f>IF(履歴データ!$A$724="",AE723,AE723+AC724/1000000)</f>
        <v>68.887895823631467</v>
      </c>
      <c r="AF724" s="12">
        <f>IF(OR(履歴データ!$A$724="",AE723=0),"",(AE724-AE723)/AE723)</f>
        <v>-1.306719168926518E-3</v>
      </c>
      <c r="AG724" s="29">
        <f t="shared" si="35"/>
        <v>102.17217746631495</v>
      </c>
      <c r="AH724" s="12">
        <f>IF(OR(履歴データ!$A$724="",AG724=0),"",AE724/AG724-1)</f>
        <v>-0.32576658800931346</v>
      </c>
      <c r="AJ724" s="28">
        <f t="shared" ca="1" si="33"/>
        <v>7.0516975563135906</v>
      </c>
      <c r="AK724" s="28">
        <f t="shared" ca="1" si="34"/>
        <v>-7.5358245404405748</v>
      </c>
    </row>
    <row r="725" spans="1:37">
      <c r="A725" s="10">
        <f>IF(履歴データ!$A$725="","",履歴データ!$A$725)</f>
        <v>45985</v>
      </c>
      <c r="B725" s="28">
        <f>IF(履歴データ!$A$725="","",(履歴データ!$D$725-(履歴データ!$B$725+履歴データ!$F$725)/2)*100)</f>
        <v>-3.0000000000000249</v>
      </c>
      <c r="C725" s="28">
        <f>IF(履歴データ!$A$725="","",(履歴データ!$H$725-(履歴データ!$G$725+履歴データ!$J$725)/2)*100)</f>
        <v>-33.299999999999997</v>
      </c>
      <c r="D725" s="28">
        <f>IF(履歴データ!$A$725="","",(履歴データ!$D$725-履歴データ!$H$725)*100)</f>
        <v>224.8</v>
      </c>
      <c r="E725" s="28">
        <f>IF(履歴データ!$A$725="","",(履歴データ!$D$725-履歴データ!$C$725)*100)</f>
        <v>43.000000000000014</v>
      </c>
      <c r="F725" s="28">
        <f>IF(履歴データ!$A$725="","",(履歴データ!$R$725-履歴データ!$D$725)*100)</f>
        <v>-322.90000000000003</v>
      </c>
      <c r="G725" s="28">
        <f>IF(履歴データ!$A$725="","",(履歴データ!$S$725-履歴データ!$R$725)*100)</f>
        <v>111.89199999999992</v>
      </c>
      <c r="H725" s="29">
        <f>IF(履歴データ!$A$725="","",履歴データ!$O$725)</f>
        <v>156.68800354003906</v>
      </c>
      <c r="I725" s="29">
        <f>IF(履歴データ!$A$725="","",履歴データ!$Q$725)</f>
        <v>113.375</v>
      </c>
      <c r="J725" s="29">
        <f>IF(履歴データ!$A$725="","",履歴データ!$D$725)</f>
        <v>4.04</v>
      </c>
      <c r="K725" s="28">
        <f>IF(OR(履歴データ!$A$725="",履歴データ!$A$724=""),"",B725-B724)</f>
        <v>1.9999999999999574</v>
      </c>
      <c r="L725" s="28">
        <f>IF(OR(履歴データ!$A$725="",履歴データ!$A$724=""),"",C725-C724)</f>
        <v>0</v>
      </c>
      <c r="M725" s="28">
        <f>IF(OR(履歴データ!$A$725="",履歴データ!$A$724=""),"",D725-D724)</f>
        <v>-1.9999999999999716</v>
      </c>
      <c r="N725" s="28">
        <f>IF(OR(履歴データ!$A$725="",履歴データ!$A$724=""),"",E725-E724)</f>
        <v>-0.99999999999993605</v>
      </c>
      <c r="O725" s="28">
        <f>IF(OR(履歴データ!$A$725="",履歴データ!$A$724=""),"",F725-F724)</f>
        <v>3.8299999999999272</v>
      </c>
      <c r="P725" s="28">
        <f>IF(OR(履歴データ!$A$725="",履歴データ!$A$724=""),"",G725-G724)</f>
        <v>-1.8299999999999983</v>
      </c>
      <c r="Q725" s="29">
        <f>IF(OR(履歴データ!$A$725="",履歴データ!$A$724=""),"",H725-H724)</f>
        <v>-0.680999755859375</v>
      </c>
      <c r="R725" s="29">
        <f>IF(OR(履歴データ!$A$725="",履歴データ!$A$724=""),"",I725-I724)</f>
        <v>0.125</v>
      </c>
      <c r="S725" s="28">
        <f>IF(OR(履歴データ!$A$725="",履歴データ!$A$724=""),"",(J725-J724)*100)</f>
        <v>-1.9999999999999574</v>
      </c>
      <c r="T725" s="11">
        <f>IF(OR(履歴データ!$A$725="",履歴データ!$A$724=""),"",-80000*K725)</f>
        <v>-159999.99999999659</v>
      </c>
      <c r="U725" s="11">
        <f>IF(OR(履歴データ!$A$725="",履歴データ!$A$724=""),"",60000*L725)</f>
        <v>0</v>
      </c>
      <c r="V725" s="11">
        <f>IF(OR(履歴データ!$A$725="",履歴データ!$A$724=""),"",-50000*M725)</f>
        <v>99999.999999998574</v>
      </c>
      <c r="W725" s="11">
        <f>IF(OR(履歴データ!$A$725="",履歴データ!$A$724=""),"",-40000*N725)</f>
        <v>39999.999999997439</v>
      </c>
      <c r="X725" s="11">
        <f>IF(OR(履歴データ!$A$725="",履歴データ!$A$724=""),"",120*1000000*(-Q725/H724))</f>
        <v>519288.86242907849</v>
      </c>
      <c r="Y725" s="11">
        <f>IF(OR(履歴データ!$A$725="",履歴データ!$A$724=""),"",40000*(-S725)+(-506.3)*R725*1000)</f>
        <v>16712.499999998297</v>
      </c>
      <c r="Z725" s="11">
        <f>IF(OR(履歴データ!$A$725="",履歴データ!$A$724=""),"",-40000*O725)</f>
        <v>-153199.99999999709</v>
      </c>
      <c r="AA725" s="11">
        <f>IF(OR(履歴データ!$A$725="",履歴データ!$A$724=""),"",-40000*P725)</f>
        <v>73199.999999999927</v>
      </c>
      <c r="AB725" s="11">
        <f>IF(履歴データ!$A$725="","",123.3)</f>
        <v>123.3</v>
      </c>
      <c r="AC725">
        <f>IF(履歴データ!$A$725="","",SUM(T725:AA725))</f>
        <v>436001.36242907908</v>
      </c>
      <c r="AD725" s="29">
        <f>IF(履歴データ!$A$725="","",AC725/1000000)</f>
        <v>0.43600136242907905</v>
      </c>
      <c r="AE725" s="29">
        <f>IF(履歴データ!$A$725="",AE724,AE724+AC725/1000000)</f>
        <v>69.323897186060549</v>
      </c>
      <c r="AF725" s="12">
        <f>IF(OR(履歴データ!$A$725="",AE724=0),"",(AE725-AE724)/AE724)</f>
        <v>6.3291432727941525E-3</v>
      </c>
      <c r="AG725" s="29">
        <f t="shared" si="35"/>
        <v>102.17217746631495</v>
      </c>
      <c r="AH725" s="12">
        <f>IF(OR(履歴データ!$A$725="",AG725=0),"",AE725/AG725-1)</f>
        <v>-0.32149926814551955</v>
      </c>
      <c r="AJ725" s="28">
        <f t="shared" ca="1" si="33"/>
        <v>7.0516975563135906</v>
      </c>
      <c r="AK725" s="28">
        <f t="shared" ca="1" si="34"/>
        <v>-7.5358245404405748</v>
      </c>
    </row>
    <row r="726" spans="1:37">
      <c r="A726" s="10">
        <f>IF(履歴データ!$A$726="","",履歴データ!$A$726)</f>
        <v>45986</v>
      </c>
      <c r="B726" s="28">
        <f>IF(履歴データ!$A$726="","",(履歴データ!$D$726-(履歴データ!$B$726+履歴データ!$F$726)/2)*100)</f>
        <v>-4.0000000000000036</v>
      </c>
      <c r="C726" s="28">
        <f>IF(履歴データ!$A$726="","",(履歴データ!$H$726-(履歴データ!$G$726+履歴データ!$J$726)/2)*100)</f>
        <v>-32.750000000000014</v>
      </c>
      <c r="D726" s="28">
        <f>IF(履歴データ!$A$726="","",(履歴データ!$D$726-履歴データ!$H$726)*100)</f>
        <v>219.89999999999998</v>
      </c>
      <c r="E726" s="28">
        <f>IF(履歴データ!$A$726="","",(履歴データ!$D$726-履歴データ!$C$726)*100)</f>
        <v>46</v>
      </c>
      <c r="F726" s="28">
        <f>IF(履歴データ!$A$726="","",(履歴データ!$R$726-履歴データ!$D$726)*100)</f>
        <v>-321.80999999999995</v>
      </c>
      <c r="G726" s="28">
        <f>IF(履歴データ!$A$726="","",(履歴データ!$S$726-履歴データ!$R$726)*100)</f>
        <v>118.71317858886705</v>
      </c>
      <c r="H726" s="29">
        <f>IF(履歴データ!$A$726="","",履歴データ!$O$726)</f>
        <v>156.93899536132813</v>
      </c>
      <c r="I726" s="29">
        <f>IF(履歴データ!$A$726="","",履歴データ!$Q$726)</f>
        <v>113.640625</v>
      </c>
      <c r="J726" s="29">
        <f>IF(履歴データ!$A$726="","",履歴データ!$D$726)</f>
        <v>4.01</v>
      </c>
      <c r="K726" s="28">
        <f>IF(OR(履歴データ!$A$726="",履歴データ!$A$725=""),"",B726-B725)</f>
        <v>-0.99999999999997868</v>
      </c>
      <c r="L726" s="28">
        <f>IF(OR(履歴データ!$A$726="",履歴データ!$A$725=""),"",C726-C725)</f>
        <v>0.54999999999998295</v>
      </c>
      <c r="M726" s="28">
        <f>IF(OR(履歴データ!$A$726="",履歴データ!$A$725=""),"",D726-D725)</f>
        <v>-4.9000000000000341</v>
      </c>
      <c r="N726" s="28">
        <f>IF(OR(履歴データ!$A$726="",履歴データ!$A$725=""),"",E726-E725)</f>
        <v>2.9999999999999858</v>
      </c>
      <c r="O726" s="28">
        <f>IF(OR(履歴データ!$A$726="",履歴データ!$A$725=""),"",F726-F725)</f>
        <v>1.0900000000000887</v>
      </c>
      <c r="P726" s="28">
        <f>IF(OR(履歴データ!$A$726="",履歴データ!$A$725=""),"",G726-G725)</f>
        <v>6.8211785888671272</v>
      </c>
      <c r="Q726" s="29">
        <f>IF(OR(履歴データ!$A$726="",履歴データ!$A$725=""),"",H726-H725)</f>
        <v>0.2509918212890625</v>
      </c>
      <c r="R726" s="29">
        <f>IF(OR(履歴データ!$A$726="",履歴データ!$A$725=""),"",I726-I725)</f>
        <v>0.265625</v>
      </c>
      <c r="S726" s="28">
        <f>IF(OR(履歴データ!$A$726="",履歴データ!$A$725=""),"",(J726-J725)*100)</f>
        <v>-3.0000000000000249</v>
      </c>
      <c r="T726" s="11">
        <f>IF(OR(履歴データ!$A$726="",履歴データ!$A$725=""),"",-80000*K726)</f>
        <v>79999.999999998297</v>
      </c>
      <c r="U726" s="11">
        <f>IF(OR(履歴データ!$A$726="",履歴データ!$A$725=""),"",60000*L726)</f>
        <v>32999.999999998974</v>
      </c>
      <c r="V726" s="11">
        <f>IF(OR(履歴データ!$A$726="",履歴データ!$A$725=""),"",-50000*M726)</f>
        <v>245000.00000000172</v>
      </c>
      <c r="W726" s="11">
        <f>IF(OR(履歴データ!$A$726="",履歴データ!$A$725=""),"",-40000*N726)</f>
        <v>-119999.99999999943</v>
      </c>
      <c r="X726" s="11">
        <f>IF(OR(履歴データ!$A$726="",履歴データ!$A$725=""),"",120*1000000*(-Q726/H725))</f>
        <v>-192222.87523110266</v>
      </c>
      <c r="Y726" s="11">
        <f>IF(OR(履歴データ!$A$726="",履歴データ!$A$725=""),"",40000*(-S726)+(-506.3)*R726*1000)</f>
        <v>-14485.93749999901</v>
      </c>
      <c r="Z726" s="11">
        <f>IF(OR(履歴データ!$A$726="",履歴データ!$A$725=""),"",-40000*O726)</f>
        <v>-43600.000000003551</v>
      </c>
      <c r="AA726" s="11">
        <f>IF(OR(履歴データ!$A$726="",履歴データ!$A$725=""),"",-40000*P726)</f>
        <v>-272847.14355468511</v>
      </c>
      <c r="AB726" s="11">
        <f>IF(履歴データ!$A$726="","",123.3)</f>
        <v>123.3</v>
      </c>
      <c r="AC726">
        <f>IF(履歴データ!$A$726="","",SUM(T726:AA726))</f>
        <v>-285155.95628579077</v>
      </c>
      <c r="AD726" s="29">
        <f>IF(履歴データ!$A$726="","",AC726/1000000)</f>
        <v>-0.28515595628579077</v>
      </c>
      <c r="AE726" s="29">
        <f>IF(履歴データ!$A$726="",AE725,AE725+AC726/1000000)</f>
        <v>69.038741229774757</v>
      </c>
      <c r="AF726" s="12">
        <f>IF(OR(履歴データ!$A$726="",AE725=0),"",(AE726-AE725)/AE725)</f>
        <v>-4.1133861173507404E-3</v>
      </c>
      <c r="AG726" s="29">
        <f t="shared" si="35"/>
        <v>102.17217746631495</v>
      </c>
      <c r="AH726" s="12">
        <f>IF(OR(履歴データ!$A$726="",AG726=0),"",AE726/AG726-1)</f>
        <v>-0.32429020363654204</v>
      </c>
      <c r="AJ726" s="28">
        <f t="shared" ca="1" si="33"/>
        <v>7.0516975563135915</v>
      </c>
      <c r="AK726" s="28">
        <f t="shared" ca="1" si="34"/>
        <v>-7.5358245404405757</v>
      </c>
    </row>
    <row r="727" spans="1:37">
      <c r="A727" s="10">
        <f>IF(履歴データ!$A$727="","",履歴データ!$A$727)</f>
        <v>45987</v>
      </c>
      <c r="B727" s="28">
        <f>IF(履歴データ!$A$727="","",(履歴データ!$D$727-(履歴データ!$B$727+履歴データ!$F$727)/2)*100)</f>
        <v>-4.4999999999999929</v>
      </c>
      <c r="C727" s="28">
        <f>IF(履歴データ!$A$727="","",(履歴データ!$H$727-(履歴データ!$G$727+履歴データ!$J$727)/2)*100)</f>
        <v>-31.45</v>
      </c>
      <c r="D727" s="28">
        <f>IF(履歴データ!$A$727="","",(履歴データ!$D$727-履歴データ!$H$727)*100)</f>
        <v>217.49999999999997</v>
      </c>
      <c r="E727" s="28">
        <f>IF(履歴データ!$A$727="","",(履歴データ!$D$727-履歴データ!$C$727)*100)</f>
        <v>43.999999999999993</v>
      </c>
      <c r="F727" s="28">
        <f>IF(履歴データ!$A$727="","",(履歴データ!$R$727-履歴データ!$D$727)*100)</f>
        <v>-321.39999999999998</v>
      </c>
      <c r="G727" s="28">
        <f>IF(履歴データ!$A$727="","",(履歴データ!$S$727-履歴データ!$R$727)*100)</f>
        <v>120.53099999999985</v>
      </c>
      <c r="H727" s="29">
        <f>IF(履歴データ!$A$727="","",履歴データ!$O$727)</f>
        <v>156.22999572753906</v>
      </c>
      <c r="I727" s="29">
        <f>IF(履歴データ!$A$727="","",履歴データ!$Q$727)</f>
        <v>113.625</v>
      </c>
      <c r="J727" s="29">
        <f>IF(履歴データ!$A$727="","",履歴データ!$D$727)</f>
        <v>4</v>
      </c>
      <c r="K727" s="28">
        <f>IF(OR(履歴データ!$A$727="",履歴データ!$A$726=""),"",B727-B726)</f>
        <v>-0.49999999999998934</v>
      </c>
      <c r="L727" s="28">
        <f>IF(OR(履歴データ!$A$727="",履歴データ!$A$726=""),"",C727-C726)</f>
        <v>1.3000000000000149</v>
      </c>
      <c r="M727" s="28">
        <f>IF(OR(履歴データ!$A$727="",履歴データ!$A$726=""),"",D727-D726)</f>
        <v>-2.4000000000000057</v>
      </c>
      <c r="N727" s="28">
        <f>IF(OR(履歴データ!$A$727="",履歴データ!$A$726=""),"",E727-E726)</f>
        <v>-2.0000000000000071</v>
      </c>
      <c r="O727" s="28">
        <f>IF(OR(履歴データ!$A$727="",履歴データ!$A$726=""),"",F727-F726)</f>
        <v>0.40999999999996817</v>
      </c>
      <c r="P727" s="28">
        <f>IF(OR(履歴データ!$A$727="",履歴データ!$A$726=""),"",G727-G726)</f>
        <v>1.8178214111327975</v>
      </c>
      <c r="Q727" s="29">
        <f>IF(OR(履歴データ!$A$727="",履歴データ!$A$726=""),"",H727-H726)</f>
        <v>-0.7089996337890625</v>
      </c>
      <c r="R727" s="29">
        <f>IF(OR(履歴データ!$A$727="",履歴データ!$A$726=""),"",I727-I726)</f>
        <v>-1.5625E-2</v>
      </c>
      <c r="S727" s="28">
        <f>IF(OR(履歴データ!$A$727="",履歴データ!$A$726=""),"",(J727-J726)*100)</f>
        <v>-0.99999999999997868</v>
      </c>
      <c r="T727" s="11">
        <f>IF(OR(履歴データ!$A$727="",履歴データ!$A$726=""),"",-80000*K727)</f>
        <v>39999.999999999149</v>
      </c>
      <c r="U727" s="11">
        <f>IF(OR(履歴データ!$A$727="",履歴データ!$A$726=""),"",60000*L727)</f>
        <v>78000.000000000902</v>
      </c>
      <c r="V727" s="11">
        <f>IF(OR(履歴データ!$A$727="",履歴データ!$A$726=""),"",-50000*M727)</f>
        <v>120000.00000000029</v>
      </c>
      <c r="W727" s="11">
        <f>IF(OR(履歴データ!$A$727="",履歴データ!$A$726=""),"",-40000*N727)</f>
        <v>80000.000000000291</v>
      </c>
      <c r="X727" s="11">
        <f>IF(OR(履歴データ!$A$727="",履歴データ!$A$726=""),"",120*1000000*(-Q727/H726))</f>
        <v>542121.1972129927</v>
      </c>
      <c r="Y727" s="11">
        <f>IF(OR(履歴データ!$A$727="",履歴データ!$A$726=""),"",40000*(-S727)+(-506.3)*R727*1000)</f>
        <v>47910.937499999149</v>
      </c>
      <c r="Z727" s="11">
        <f>IF(OR(履歴データ!$A$727="",履歴データ!$A$726=""),"",-40000*O727)</f>
        <v>-16399.999999998727</v>
      </c>
      <c r="AA727" s="11">
        <f>IF(OR(履歴データ!$A$727="",履歴データ!$A$726=""),"",-40000*P727)</f>
        <v>-72712.856445311903</v>
      </c>
      <c r="AB727" s="11">
        <f>IF(履歴データ!$A$727="","",123.3)</f>
        <v>123.3</v>
      </c>
      <c r="AC727">
        <f>IF(履歴データ!$A$727="","",SUM(T727:AA727))</f>
        <v>818919.27826768195</v>
      </c>
      <c r="AD727" s="29">
        <f>IF(履歴データ!$A$727="","",AC727/1000000)</f>
        <v>0.81891927826768196</v>
      </c>
      <c r="AE727" s="29">
        <f>IF(履歴データ!$A$727="",AE726,AE726+AC727/1000000)</f>
        <v>69.857660508042443</v>
      </c>
      <c r="AF727" s="12">
        <f>IF(OR(履歴データ!$A$727="",AE726=0),"",(AE727-AE726)/AE726)</f>
        <v>1.1861735363079088E-2</v>
      </c>
      <c r="AG727" s="29">
        <f t="shared" si="35"/>
        <v>102.17217746631495</v>
      </c>
      <c r="AH727" s="12">
        <f>IF(OR(履歴データ!$A$727="",AG727=0),"",AE727/AG727-1)</f>
        <v>-0.31627511284983867</v>
      </c>
      <c r="AJ727" s="28">
        <f t="shared" ca="1" si="33"/>
        <v>7.0516975563135915</v>
      </c>
      <c r="AK727" s="28">
        <f t="shared" ca="1" si="34"/>
        <v>-7.5358245404405757</v>
      </c>
    </row>
    <row r="728" spans="1:37">
      <c r="A728" s="10">
        <f>IF(履歴データ!$A$728="","",履歴データ!$A$728)</f>
        <v>45989</v>
      </c>
      <c r="B728" s="28">
        <f>IF(履歴データ!$A$728="","",(履歴データ!$D$728-(履歴データ!$B$728+履歴データ!$F$728)/2)*100)</f>
        <v>-5.0000000000000711</v>
      </c>
      <c r="C728" s="28">
        <f>IF(履歴データ!$A$728="","",(履歴データ!$H$728-(履歴データ!$G$728+履歴データ!$J$728)/2)*100)</f>
        <v>-33.399999999999984</v>
      </c>
      <c r="D728" s="28">
        <f>IF(履歴データ!$A$728="","",(履歴データ!$D$728-履歴データ!$H$728)*100)</f>
        <v>220.79999999999993</v>
      </c>
      <c r="E728" s="28">
        <f>IF(履歴データ!$A$728="","",(履歴データ!$D$728-履歴データ!$C$728)*100)</f>
        <v>42.999999999999972</v>
      </c>
      <c r="F728" s="28">
        <f>IF(履歴データ!$A$728="","",(履歴データ!$R$728-履歴データ!$D$728)*100)</f>
        <v>-322.39999999999992</v>
      </c>
      <c r="G728" s="28">
        <f>IF(履歴データ!$A$728="","",(履歴データ!$S$728-履歴データ!$R$728)*100)</f>
        <v>121.63582141113267</v>
      </c>
      <c r="H728" s="29">
        <f>IF(履歴データ!$A$728="","",履歴データ!$O$728)</f>
        <v>156.28399658203125</v>
      </c>
      <c r="I728" s="29">
        <f>IF(履歴データ!$A$728="","",履歴データ!$Q$728)</f>
        <v>113.421875</v>
      </c>
      <c r="J728" s="29">
        <f>IF(履歴データ!$A$728="","",履歴データ!$D$728)</f>
        <v>4.0199999999999996</v>
      </c>
      <c r="K728" s="28">
        <f>IF(OR(履歴データ!$A$728="",履歴データ!$A$727=""),"",B728-B727)</f>
        <v>-0.50000000000007816</v>
      </c>
      <c r="L728" s="28">
        <f>IF(OR(履歴データ!$A$728="",履歴データ!$A$727=""),"",C728-C727)</f>
        <v>-1.9499999999999851</v>
      </c>
      <c r="M728" s="28">
        <f>IF(OR(履歴データ!$A$728="",履歴データ!$A$727=""),"",D728-D727)</f>
        <v>3.2999999999999545</v>
      </c>
      <c r="N728" s="28">
        <f>IF(OR(履歴データ!$A$728="",履歴データ!$A$727=""),"",E728-E727)</f>
        <v>-1.0000000000000213</v>
      </c>
      <c r="O728" s="28">
        <f>IF(OR(履歴データ!$A$728="",履歴データ!$A$727=""),"",F728-F727)</f>
        <v>-0.99999999999994316</v>
      </c>
      <c r="P728" s="28">
        <f>IF(OR(履歴データ!$A$728="",履歴データ!$A$727=""),"",G728-G727)</f>
        <v>1.1048214111328178</v>
      </c>
      <c r="Q728" s="29">
        <f>IF(OR(履歴データ!$A$728="",履歴データ!$A$727=""),"",H728-H727)</f>
        <v>5.40008544921875E-2</v>
      </c>
      <c r="R728" s="29">
        <f>IF(OR(履歴データ!$A$728="",履歴データ!$A$727=""),"",I728-I727)</f>
        <v>-0.203125</v>
      </c>
      <c r="S728" s="28">
        <f>IF(OR(履歴データ!$A$728="",履歴データ!$A$727=""),"",(J728-J727)*100)</f>
        <v>1.9999999999999574</v>
      </c>
      <c r="T728" s="11">
        <f>IF(OR(履歴データ!$A$728="",履歴データ!$A$727=""),"",-80000*K728)</f>
        <v>40000.00000000625</v>
      </c>
      <c r="U728" s="11">
        <f>IF(OR(履歴データ!$A$728="",履歴データ!$A$727=""),"",60000*L728)</f>
        <v>-116999.9999999991</v>
      </c>
      <c r="V728" s="11">
        <f>IF(OR(履歴データ!$A$728="",履歴データ!$A$727=""),"",-50000*M728)</f>
        <v>-164999.99999999773</v>
      </c>
      <c r="W728" s="11">
        <f>IF(OR(履歴データ!$A$728="",履歴データ!$A$727=""),"",-40000*N728)</f>
        <v>40000.000000000851</v>
      </c>
      <c r="X728" s="11">
        <f>IF(OR(履歴データ!$A$728="",履歴データ!$A$727=""),"",120*1000000*(-Q728/H727))</f>
        <v>-41477.966563883325</v>
      </c>
      <c r="Y728" s="11">
        <f>IF(OR(履歴データ!$A$728="",履歴データ!$A$727=""),"",40000*(-S728)+(-506.3)*R728*1000)</f>
        <v>22842.187500001717</v>
      </c>
      <c r="Z728" s="11">
        <f>IF(OR(履歴データ!$A$728="",履歴データ!$A$727=""),"",-40000*O728)</f>
        <v>39999.99999999773</v>
      </c>
      <c r="AA728" s="11">
        <f>IF(OR(履歴データ!$A$728="",履歴データ!$A$727=""),"",-40000*P728)</f>
        <v>-44192.856445312711</v>
      </c>
      <c r="AB728" s="11">
        <f>IF(履歴データ!$A$728="","",123.3)</f>
        <v>123.3</v>
      </c>
      <c r="AC728">
        <f>IF(履歴データ!$A$728="","",SUM(T728:AA728))</f>
        <v>-224828.63550918631</v>
      </c>
      <c r="AD728" s="29">
        <f>IF(履歴データ!$A$728="","",AC728/1000000)</f>
        <v>-0.2248286355091863</v>
      </c>
      <c r="AE728" s="29">
        <f>IF(履歴データ!$A$728="",AE727,AE727+AC728/1000000)</f>
        <v>69.632831872533259</v>
      </c>
      <c r="AF728" s="12">
        <f>IF(OR(履歴データ!$A$728="",AE727=0),"",(AE728-AE727)/AE727)</f>
        <v>-3.2183819766380506E-3</v>
      </c>
      <c r="AG728" s="29">
        <f t="shared" si="35"/>
        <v>102.17217746631495</v>
      </c>
      <c r="AH728" s="12">
        <f>IF(OR(履歴データ!$A$728="",AG728=0),"",AE728/AG728-1)</f>
        <v>-0.31847560070362169</v>
      </c>
      <c r="AJ728" s="28">
        <f t="shared" ca="1" si="33"/>
        <v>7.0286997210935436</v>
      </c>
      <c r="AK728" s="28">
        <f t="shared" ca="1" si="34"/>
        <v>-7.4929854353792589</v>
      </c>
    </row>
    <row r="729" spans="1:37">
      <c r="A729" s="10">
        <f>IF(履歴データ!$A$729="","",履歴データ!$A$729)</f>
        <v>45992</v>
      </c>
      <c r="B729" s="28">
        <f>IF(履歴データ!$A$729="","",(履歴データ!$D$729-(履歴データ!$B$729+履歴データ!$F$729)/2)*100)</f>
        <v>-5.0000000000000711</v>
      </c>
      <c r="C729" s="28">
        <f>IF(履歴データ!$A$729="","",(履歴データ!$H$729-(履歴データ!$G$729+履歴データ!$J$729)/2)*100)</f>
        <v>-30.049999999999976</v>
      </c>
      <c r="D729" s="28">
        <f>IF(履歴データ!$A$729="","",(履歴データ!$D$729-履歴データ!$H$729)*100)</f>
        <v>220.89999999999998</v>
      </c>
      <c r="E729" s="28">
        <f>IF(履歴データ!$A$729="","",(履歴データ!$D$729-履歴データ!$C$729)*100)</f>
        <v>41.999999999999993</v>
      </c>
      <c r="F729" s="28">
        <f>IF(履歴データ!$A$729="","",(履歴データ!$R$729-履歴データ!$D$729)*100)</f>
        <v>-327.82</v>
      </c>
      <c r="G729" s="28">
        <f>IF(履歴データ!$A$729="","",(履歴データ!$S$729-履歴データ!$R$729)*100)</f>
        <v>118.82799999999989</v>
      </c>
      <c r="H729" s="29">
        <f>IF(履歴データ!$A$729="","",履歴データ!$O$729)</f>
        <v>155.92799377441406</v>
      </c>
      <c r="I729" s="29">
        <f>IF(履歴データ!$A$729="","",履歴データ!$Q$729)</f>
        <v>112.9375</v>
      </c>
      <c r="J729" s="29">
        <f>IF(履歴データ!$A$729="","",履歴データ!$D$729)</f>
        <v>4.09</v>
      </c>
      <c r="K729" s="28">
        <f>IF(OR(履歴データ!$A$729="",履歴データ!$A$728=""),"",B729-B728)</f>
        <v>0</v>
      </c>
      <c r="L729" s="28">
        <f>IF(OR(履歴データ!$A$729="",履歴データ!$A$728=""),"",C729-C728)</f>
        <v>3.3500000000000085</v>
      </c>
      <c r="M729" s="28">
        <f>IF(OR(履歴データ!$A$729="",履歴データ!$A$728=""),"",D729-D728)</f>
        <v>0.10000000000005116</v>
      </c>
      <c r="N729" s="28">
        <f>IF(OR(履歴データ!$A$729="",履歴データ!$A$728=""),"",E729-E728)</f>
        <v>-0.99999999999997868</v>
      </c>
      <c r="O729" s="28">
        <f>IF(OR(履歴データ!$A$729="",履歴データ!$A$728=""),"",F729-F728)</f>
        <v>-5.4200000000000728</v>
      </c>
      <c r="P729" s="28">
        <f>IF(OR(履歴データ!$A$729="",履歴データ!$A$728=""),"",G729-G728)</f>
        <v>-2.8078214111327782</v>
      </c>
      <c r="Q729" s="29">
        <f>IF(OR(履歴データ!$A$729="",履歴データ!$A$728=""),"",H729-H728)</f>
        <v>-0.3560028076171875</v>
      </c>
      <c r="R729" s="29">
        <f>IF(OR(履歴データ!$A$729="",履歴データ!$A$728=""),"",I729-I728)</f>
        <v>-0.484375</v>
      </c>
      <c r="S729" s="28">
        <f>IF(OR(履歴データ!$A$729="",履歴データ!$A$728=""),"",(J729-J728)*100)</f>
        <v>7.0000000000000284</v>
      </c>
      <c r="T729" s="11">
        <f>IF(OR(履歴データ!$A$729="",履歴データ!$A$728=""),"",-80000*K729)</f>
        <v>0</v>
      </c>
      <c r="U729" s="11">
        <f>IF(OR(履歴データ!$A$729="",履歴データ!$A$728=""),"",60000*L729)</f>
        <v>201000.00000000052</v>
      </c>
      <c r="V729" s="11">
        <f>IF(OR(履歴データ!$A$729="",履歴データ!$A$728=""),"",-50000*M729)</f>
        <v>-5000.0000000025575</v>
      </c>
      <c r="W729" s="11">
        <f>IF(OR(履歴データ!$A$729="",履歴データ!$A$728=""),"",-40000*N729)</f>
        <v>39999.999999999149</v>
      </c>
      <c r="X729" s="11">
        <f>IF(OR(履歴データ!$A$729="",履歴データ!$A$728=""),"",120*1000000*(-Q729/H728))</f>
        <v>273350.68112133414</v>
      </c>
      <c r="Y729" s="11">
        <f>IF(OR(履歴データ!$A$729="",履歴データ!$A$728=""),"",40000*(-S729)+(-506.3)*R729*1000)</f>
        <v>-34760.937500001135</v>
      </c>
      <c r="Z729" s="11">
        <f>IF(OR(履歴データ!$A$729="",履歴データ!$A$728=""),"",-40000*O729)</f>
        <v>216800.00000000291</v>
      </c>
      <c r="AA729" s="11">
        <f>IF(OR(履歴データ!$A$729="",履歴データ!$A$728=""),"",-40000*P729)</f>
        <v>112312.85644531113</v>
      </c>
      <c r="AB729" s="11">
        <f>IF(履歴データ!$A$729="","",123.3)</f>
        <v>123.3</v>
      </c>
      <c r="AC729">
        <f>IF(履歴データ!$A$729="","",SUM(T729:AA729))</f>
        <v>803702.60006664414</v>
      </c>
      <c r="AD729" s="29">
        <f>IF(履歴データ!$A$729="","",AC729/1000000)</f>
        <v>0.80370260006664418</v>
      </c>
      <c r="AE729" s="29">
        <f>IF(履歴データ!$A$729="",AE728,AE728+AC729/1000000)</f>
        <v>70.436534472599902</v>
      </c>
      <c r="AF729" s="12">
        <f>IF(OR(履歴データ!$A$729="",AE728=0),"",(AE729-AE728)/AE728)</f>
        <v>1.1542006528441425E-2</v>
      </c>
      <c r="AG729" s="29">
        <f t="shared" si="35"/>
        <v>102.17217746631495</v>
      </c>
      <c r="AH729" s="12">
        <f>IF(OR(履歴データ!$A$729="",AG729=0),"",AE729/AG729-1)</f>
        <v>-0.3106094416376507</v>
      </c>
      <c r="AJ729" s="28">
        <f t="shared" ca="1" si="33"/>
        <v>7.0210923858091219</v>
      </c>
      <c r="AK729" s="28">
        <f t="shared" ca="1" si="34"/>
        <v>-7.4774415921583293</v>
      </c>
    </row>
    <row r="730" spans="1:37">
      <c r="A730" s="10">
        <f>IF(履歴データ!$A$730="","",履歴データ!$A$730)</f>
        <v>45993</v>
      </c>
      <c r="B730" s="28">
        <f>IF(履歴データ!$A$730="","",(履歴データ!$D$730-(履歴データ!$B$730+履歴データ!$F$730)/2)*100)</f>
        <v>-3.5000000000000142</v>
      </c>
      <c r="C730" s="28">
        <f>IF(履歴データ!$A$730="","",(履歴データ!$H$730-(履歴データ!$G$730+履歴データ!$J$730)/2)*100)</f>
        <v>-30.400000000000006</v>
      </c>
      <c r="D730" s="28">
        <f>IF(履歴データ!$A$730="","",(履歴データ!$D$730-履歴データ!$H$730)*100)</f>
        <v>222.6</v>
      </c>
      <c r="E730" s="28">
        <f>IF(履歴データ!$A$730="","",(履歴データ!$D$730-履歴データ!$C$730)*100)</f>
        <v>42.999999999999972</v>
      </c>
      <c r="F730" s="28">
        <f>IF(履歴データ!$A$730="","",(履歴データ!$R$730-履歴データ!$D$730)*100)</f>
        <v>-326.32</v>
      </c>
      <c r="G730" s="28">
        <f>IF(履歴データ!$A$730="","",(履歴データ!$S$730-履歴データ!$R$730)*100)</f>
        <v>122.5899999999998</v>
      </c>
      <c r="H730" s="29">
        <f>IF(履歴データ!$A$730="","",履歴データ!$O$730)</f>
        <v>155.5570068359375</v>
      </c>
      <c r="I730" s="29">
        <f>IF(履歴データ!$A$730="","",履歴データ!$Q$730)</f>
        <v>113</v>
      </c>
      <c r="J730" s="29">
        <f>IF(履歴データ!$A$730="","",履歴データ!$D$730)</f>
        <v>4.09</v>
      </c>
      <c r="K730" s="28">
        <f>IF(OR(履歴データ!$A$730="",履歴データ!$A$729=""),"",B730-B729)</f>
        <v>1.5000000000000568</v>
      </c>
      <c r="L730" s="28">
        <f>IF(OR(履歴データ!$A$730="",履歴データ!$A$729=""),"",C730-C729)</f>
        <v>-0.35000000000002984</v>
      </c>
      <c r="M730" s="28">
        <f>IF(OR(履歴データ!$A$730="",履歴データ!$A$729=""),"",D730-D729)</f>
        <v>1.7000000000000171</v>
      </c>
      <c r="N730" s="28">
        <f>IF(OR(履歴データ!$A$730="",履歴データ!$A$729=""),"",E730-E729)</f>
        <v>0.99999999999997868</v>
      </c>
      <c r="O730" s="28">
        <f>IF(OR(履歴データ!$A$730="",履歴データ!$A$729=""),"",F730-F729)</f>
        <v>1.5</v>
      </c>
      <c r="P730" s="28">
        <f>IF(OR(履歴データ!$A$730="",履歴データ!$A$729=""),"",G730-G729)</f>
        <v>3.7619999999999152</v>
      </c>
      <c r="Q730" s="29">
        <f>IF(OR(履歴データ!$A$730="",履歴データ!$A$729=""),"",H730-H729)</f>
        <v>-0.3709869384765625</v>
      </c>
      <c r="R730" s="29">
        <f>IF(OR(履歴データ!$A$730="",履歴データ!$A$729=""),"",I730-I729)</f>
        <v>6.25E-2</v>
      </c>
      <c r="S730" s="28">
        <f>IF(OR(履歴データ!$A$730="",履歴データ!$A$729=""),"",(J730-J729)*100)</f>
        <v>0</v>
      </c>
      <c r="T730" s="11">
        <f>IF(OR(履歴データ!$A$730="",履歴データ!$A$729=""),"",-80000*K730)</f>
        <v>-120000.00000000454</v>
      </c>
      <c r="U730" s="11">
        <f>IF(OR(履歴データ!$A$730="",履歴データ!$A$729=""),"",60000*L730)</f>
        <v>-21000.00000000179</v>
      </c>
      <c r="V730" s="11">
        <f>IF(OR(履歴データ!$A$730="",履歴データ!$A$729=""),"",-50000*M730)</f>
        <v>-85000.000000000859</v>
      </c>
      <c r="W730" s="11">
        <f>IF(OR(履歴データ!$A$730="",履歴データ!$A$729=""),"",-40000*N730)</f>
        <v>-39999.999999999149</v>
      </c>
      <c r="X730" s="11">
        <f>IF(OR(履歴データ!$A$730="",履歴データ!$A$729=""),"",120*1000000*(-Q730/H729))</f>
        <v>285506.35161505197</v>
      </c>
      <c r="Y730" s="11">
        <f>IF(OR(履歴データ!$A$730="",履歴データ!$A$729=""),"",40000*(-S730)+(-506.3)*R730*1000)</f>
        <v>-31643.75</v>
      </c>
      <c r="Z730" s="11">
        <f>IF(OR(履歴データ!$A$730="",履歴データ!$A$729=""),"",-40000*O730)</f>
        <v>-60000</v>
      </c>
      <c r="AA730" s="11">
        <f>IF(OR(履歴データ!$A$730="",履歴データ!$A$729=""),"",-40000*P730)</f>
        <v>-150479.99999999659</v>
      </c>
      <c r="AB730" s="11">
        <f>IF(履歴データ!$A$730="","",123.3)</f>
        <v>123.3</v>
      </c>
      <c r="AC730">
        <f>IF(履歴データ!$A$730="","",SUM(T730:AA730))</f>
        <v>-222617.39838495097</v>
      </c>
      <c r="AD730" s="29">
        <f>IF(履歴データ!$A$730="","",AC730/1000000)</f>
        <v>-0.22261739838495095</v>
      </c>
      <c r="AE730" s="29">
        <f>IF(履歴データ!$A$730="",AE729,AE729+AC730/1000000)</f>
        <v>70.213917074214947</v>
      </c>
      <c r="AF730" s="12">
        <f>IF(OR(履歴データ!$A$730="",AE729=0),"",(AE730-AE729)/AE729)</f>
        <v>-3.1605387751090161E-3</v>
      </c>
      <c r="AG730" s="29">
        <f t="shared" si="35"/>
        <v>102.17217746631495</v>
      </c>
      <c r="AH730" s="12">
        <f>IF(OR(履歴データ!$A$730="",AG730=0),"",AE730/AG730-1)</f>
        <v>-0.31278828722854901</v>
      </c>
      <c r="AJ730" s="28">
        <f t="shared" ca="1" si="33"/>
        <v>7.0167598222333281</v>
      </c>
      <c r="AK730" s="28">
        <f t="shared" ca="1" si="34"/>
        <v>-7.4651725206460275</v>
      </c>
    </row>
    <row r="731" spans="1:37">
      <c r="A731" s="10">
        <f>IF(履歴データ!$A$731="","",履歴データ!$A$731)</f>
        <v>45994</v>
      </c>
      <c r="B731" s="28">
        <f>IF(履歴データ!$A$731="","",(履歴データ!$D$731-(履歴データ!$B$731+履歴データ!$F$731)/2)*100)</f>
        <v>-5.0000000000000711</v>
      </c>
      <c r="C731" s="28">
        <f>IF(履歴データ!$A$731="","",(履歴データ!$H$731-(履歴データ!$G$731+履歴データ!$J$731)/2)*100)</f>
        <v>-29.45</v>
      </c>
      <c r="D731" s="28">
        <f>IF(履歴データ!$A$731="","",(履歴データ!$D$731-履歴データ!$H$731)*100)</f>
        <v>216.29999999999993</v>
      </c>
      <c r="E731" s="28">
        <f>IF(履歴データ!$A$731="","",(履歴データ!$D$731-履歴データ!$C$731)*100)</f>
        <v>43.99999999999995</v>
      </c>
      <c r="F731" s="28">
        <f>IF(履歴データ!$A$731="","",(履歴データ!$R$731-履歴データ!$D$731)*100)</f>
        <v>-324.14999999999992</v>
      </c>
      <c r="G731" s="28">
        <f>IF(履歴データ!$A$731="","",(履歴データ!$S$731-履歴データ!$R$731)*100)</f>
        <v>122.19217858886699</v>
      </c>
      <c r="H731" s="29">
        <f>IF(履歴データ!$A$731="","",履歴データ!$O$731)</f>
        <v>155.8070068359375</v>
      </c>
      <c r="I731" s="29">
        <f>IF(履歴データ!$A$731="","",履歴データ!$Q$731)</f>
        <v>113.21875</v>
      </c>
      <c r="J731" s="29">
        <f>IF(履歴データ!$A$731="","",履歴データ!$D$731)</f>
        <v>4.0599999999999996</v>
      </c>
      <c r="K731" s="28">
        <f>IF(OR(履歴データ!$A$731="",履歴データ!$A$730=""),"",B731-B730)</f>
        <v>-1.5000000000000568</v>
      </c>
      <c r="L731" s="28">
        <f>IF(OR(履歴データ!$A$731="",履歴データ!$A$730=""),"",C731-C730)</f>
        <v>0.95000000000000639</v>
      </c>
      <c r="M731" s="28">
        <f>IF(OR(履歴データ!$A$731="",履歴データ!$A$730=""),"",D731-D730)</f>
        <v>-6.3000000000000682</v>
      </c>
      <c r="N731" s="28">
        <f>IF(OR(履歴データ!$A$731="",履歴データ!$A$730=""),"",E731-E730)</f>
        <v>0.99999999999997868</v>
      </c>
      <c r="O731" s="28">
        <f>IF(OR(履歴データ!$A$731="",履歴データ!$A$730=""),"",F731-F730)</f>
        <v>2.1700000000000728</v>
      </c>
      <c r="P731" s="28">
        <f>IF(OR(履歴データ!$A$731="",履歴データ!$A$730=""),"",G731-G730)</f>
        <v>-0.39782141113281</v>
      </c>
      <c r="Q731" s="29">
        <f>IF(OR(履歴データ!$A$731="",履歴データ!$A$730=""),"",H731-H730)</f>
        <v>0.25</v>
      </c>
      <c r="R731" s="29">
        <f>IF(OR(履歴データ!$A$731="",履歴データ!$A$730=""),"",I731-I730)</f>
        <v>0.21875</v>
      </c>
      <c r="S731" s="28">
        <f>IF(OR(履歴データ!$A$731="",履歴データ!$A$730=""),"",(J731-J730)*100)</f>
        <v>-3.0000000000000249</v>
      </c>
      <c r="T731" s="11">
        <f>IF(OR(履歴データ!$A$731="",履歴データ!$A$730=""),"",-80000*K731)</f>
        <v>120000.00000000454</v>
      </c>
      <c r="U731" s="11">
        <f>IF(OR(履歴データ!$A$731="",履歴データ!$A$730=""),"",60000*L731)</f>
        <v>57000.000000000386</v>
      </c>
      <c r="V731" s="11">
        <f>IF(OR(履歴データ!$A$731="",履歴データ!$A$730=""),"",-50000*M731)</f>
        <v>315000.00000000343</v>
      </c>
      <c r="W731" s="11">
        <f>IF(OR(履歴データ!$A$731="",履歴データ!$A$730=""),"",-40000*N731)</f>
        <v>-39999.999999999149</v>
      </c>
      <c r="X731" s="11">
        <f>IF(OR(履歴データ!$A$731="",履歴データ!$A$730=""),"",120*1000000*(-Q731/H730))</f>
        <v>-192855.34358243554</v>
      </c>
      <c r="Y731" s="11">
        <f>IF(OR(履歴データ!$A$731="",履歴データ!$A$730=""),"",40000*(-S731)+(-506.3)*R731*1000)</f>
        <v>9246.8750000009895</v>
      </c>
      <c r="Z731" s="11">
        <f>IF(OR(履歴データ!$A$731="",履歴データ!$A$730=""),"",-40000*O731)</f>
        <v>-86800.00000000291</v>
      </c>
      <c r="AA731" s="11">
        <f>IF(OR(履歴データ!$A$731="",履歴データ!$A$730=""),"",-40000*P731)</f>
        <v>15912.8564453124</v>
      </c>
      <c r="AB731" s="11">
        <f>IF(履歴データ!$A$731="","",123.3)</f>
        <v>123.3</v>
      </c>
      <c r="AC731">
        <f>IF(履歴データ!$A$731="","",SUM(T731:AA731))</f>
        <v>197504.38786288424</v>
      </c>
      <c r="AD731" s="29">
        <f>IF(履歴データ!$A$731="","",AC731/1000000)</f>
        <v>0.19750438786288424</v>
      </c>
      <c r="AE731" s="29">
        <f>IF(履歴データ!$A$731="",AE730,AE730+AC731/1000000)</f>
        <v>70.411421462077826</v>
      </c>
      <c r="AF731" s="12">
        <f>IF(OR(履歴データ!$A$731="",AE730=0),"",(AE731-AE730)/AE730)</f>
        <v>2.8128951651297178E-3</v>
      </c>
      <c r="AG731" s="29">
        <f t="shared" si="35"/>
        <v>102.17217746631495</v>
      </c>
      <c r="AH731" s="12">
        <f>IF(OR(履歴データ!$A$731="",AG731=0),"",AE731/AG731-1)</f>
        <v>-0.31085523272427362</v>
      </c>
      <c r="AJ731" s="28">
        <f t="shared" ca="1" si="33"/>
        <v>7.0044371810465362</v>
      </c>
      <c r="AK731" s="28">
        <f t="shared" ca="1" si="34"/>
        <v>-7.4409451175544747</v>
      </c>
    </row>
    <row r="732" spans="1:37">
      <c r="A732" s="10">
        <f>IF(履歴データ!$A$732="","",履歴データ!$A$732)</f>
        <v>45995</v>
      </c>
      <c r="B732" s="28">
        <f>IF(履歴データ!$A$732="","",(履歴データ!$D$732-(履歴データ!$B$732+履歴データ!$F$732)/2)*100)</f>
        <v>-2.9999999999999361</v>
      </c>
      <c r="C732" s="28">
        <f>IF(履歴データ!$A$732="","",(履歴データ!$H$732-(履歴データ!$G$732+履歴データ!$J$732)/2)*100)</f>
        <v>-24.29999999999999</v>
      </c>
      <c r="D732" s="28">
        <f>IF(履歴データ!$A$732="","",(履歴データ!$D$732-履歴データ!$H$732)*100)</f>
        <v>217.10000000000002</v>
      </c>
      <c r="E732" s="28">
        <f>IF(履歴データ!$A$732="","",(履歴データ!$D$732-履歴データ!$C$732)*100)</f>
        <v>43.000000000000014</v>
      </c>
      <c r="F732" s="28">
        <f>IF(履歴データ!$A$732="","",(履歴データ!$R$732-履歴データ!$D$732)*100)</f>
        <v>-321.45</v>
      </c>
      <c r="G732" s="28">
        <f>IF(履歴データ!$A$732="","",(履歴データ!$S$732-履歴データ!$R$732)*100)</f>
        <v>117.47399999999983</v>
      </c>
      <c r="H732" s="29">
        <f>IF(履歴データ!$A$732="","",履歴データ!$O$732)</f>
        <v>155.10699462890625</v>
      </c>
      <c r="I732" s="29">
        <f>IF(履歴データ!$A$732="","",履歴データ!$Q$732)</f>
        <v>112.84375</v>
      </c>
      <c r="J732" s="29">
        <f>IF(履歴データ!$A$732="","",履歴データ!$D$732)</f>
        <v>4.1100000000000003</v>
      </c>
      <c r="K732" s="28">
        <f>IF(OR(履歴データ!$A$732="",履歴データ!$A$731=""),"",B732-B731)</f>
        <v>2.000000000000135</v>
      </c>
      <c r="L732" s="28">
        <f>IF(OR(履歴データ!$A$732="",履歴データ!$A$731=""),"",C732-C731)</f>
        <v>5.1500000000000092</v>
      </c>
      <c r="M732" s="28">
        <f>IF(OR(履歴データ!$A$732="",履歴データ!$A$731=""),"",D732-D731)</f>
        <v>0.80000000000009663</v>
      </c>
      <c r="N732" s="28">
        <f>IF(OR(履歴データ!$A$732="",履歴データ!$A$731=""),"",E732-E731)</f>
        <v>-0.99999999999993605</v>
      </c>
      <c r="O732" s="28">
        <f>IF(OR(履歴データ!$A$732="",履歴データ!$A$731=""),"",F732-F731)</f>
        <v>2.6999999999999318</v>
      </c>
      <c r="P732" s="28">
        <f>IF(OR(履歴データ!$A$732="",履歴データ!$A$731=""),"",G732-G731)</f>
        <v>-4.7181785888671612</v>
      </c>
      <c r="Q732" s="29">
        <f>IF(OR(履歴データ!$A$732="",履歴データ!$A$731=""),"",H732-H731)</f>
        <v>-0.70001220703125</v>
      </c>
      <c r="R732" s="29">
        <f>IF(OR(履歴データ!$A$732="",履歴データ!$A$731=""),"",I732-I731)</f>
        <v>-0.375</v>
      </c>
      <c r="S732" s="28">
        <f>IF(OR(履歴データ!$A$732="",履歴データ!$A$731=""),"",(J732-J731)*100)</f>
        <v>5.0000000000000711</v>
      </c>
      <c r="T732" s="11">
        <f>IF(OR(履歴データ!$A$732="",履歴データ!$A$731=""),"",-80000*K732)</f>
        <v>-160000.0000000108</v>
      </c>
      <c r="U732" s="11">
        <f>IF(OR(履歴データ!$A$732="",履歴データ!$A$731=""),"",60000*L732)</f>
        <v>309000.00000000058</v>
      </c>
      <c r="V732" s="11">
        <f>IF(OR(履歴データ!$A$732="",履歴データ!$A$731=""),"",-50000*M732)</f>
        <v>-40000.000000004831</v>
      </c>
      <c r="W732" s="11">
        <f>IF(OR(履歴データ!$A$732="",履歴データ!$A$731=""),"",-40000*N732)</f>
        <v>39999.999999997439</v>
      </c>
      <c r="X732" s="11">
        <f>IF(OR(履歴データ!$A$732="",履歴データ!$A$731=""),"",120*1000000*(-Q732/H731))</f>
        <v>539137.91522997629</v>
      </c>
      <c r="Y732" s="11">
        <f>IF(OR(履歴データ!$A$732="",履歴データ!$A$731=""),"",40000*(-S732)+(-506.3)*R732*1000)</f>
        <v>-10137.500000002852</v>
      </c>
      <c r="Z732" s="11">
        <f>IF(OR(履歴データ!$A$732="",履歴データ!$A$731=""),"",-40000*O732)</f>
        <v>-107999.99999999726</v>
      </c>
      <c r="AA732" s="11">
        <f>IF(OR(履歴データ!$A$732="",履歴データ!$A$731=""),"",-40000*P732)</f>
        <v>188727.14355468645</v>
      </c>
      <c r="AB732" s="11">
        <f>IF(履歴データ!$A$732="","",123.3)</f>
        <v>123.3</v>
      </c>
      <c r="AC732">
        <f>IF(履歴データ!$A$732="","",SUM(T732:AA732))</f>
        <v>758727.55878464517</v>
      </c>
      <c r="AD732" s="29">
        <f>IF(履歴データ!$A$732="","",AC732/1000000)</f>
        <v>0.75872755878464515</v>
      </c>
      <c r="AE732" s="29">
        <f>IF(履歴データ!$A$732="",AE731,AE731+AC732/1000000)</f>
        <v>71.170149020862468</v>
      </c>
      <c r="AF732" s="12">
        <f>IF(OR(履歴データ!$A$732="",AE731=0),"",(AE732-AE731)/AE731)</f>
        <v>1.0775631893659147E-2</v>
      </c>
      <c r="AG732" s="29">
        <f t="shared" si="35"/>
        <v>102.17217746631495</v>
      </c>
      <c r="AH732" s="12">
        <f>IF(OR(履歴データ!$A$732="",AG732=0),"",AE732/AG732-1)</f>
        <v>-0.30342926239066903</v>
      </c>
      <c r="AJ732" s="28">
        <f t="shared" ca="1" si="33"/>
        <v>6.9831907873572252</v>
      </c>
      <c r="AK732" s="28">
        <f t="shared" ca="1" si="34"/>
        <v>-7.3919209460873834</v>
      </c>
    </row>
    <row r="733" spans="1:37">
      <c r="A733" s="10">
        <f>IF(履歴データ!$A$733="","",履歴データ!$A$733)</f>
        <v>45996</v>
      </c>
      <c r="B733" s="28">
        <f>IF(履歴データ!$A$733="","",(履歴データ!$D$733-(履歴データ!$B$733+履歴データ!$F$733)/2)*100)</f>
        <v>-3.5000000000000142</v>
      </c>
      <c r="C733" s="28">
        <f>IF(履歴データ!$A$733="","",(履歴データ!$H$733-(履歴データ!$G$733+履歴データ!$J$733)/2)*100)</f>
        <v>-23.249999999999993</v>
      </c>
      <c r="D733" s="28">
        <f>IF(履歴データ!$A$733="","",(履歴データ!$D$733-履歴データ!$H$733)*100)</f>
        <v>218.89999999999995</v>
      </c>
      <c r="E733" s="28">
        <f>IF(履歴データ!$A$733="","",(履歴データ!$D$733-履歴データ!$C$733)*100)</f>
        <v>41.99999999999995</v>
      </c>
      <c r="F733" s="28">
        <f>IF(履歴データ!$A$733="","",(履歴データ!$R$733-履歴データ!$D$733)*100)</f>
        <v>-320.45999999999998</v>
      </c>
      <c r="G733" s="28">
        <f>IF(履歴データ!$A$733="","",(履歴データ!$S$733-履歴データ!$R$733)*100)</f>
        <v>116.64117858886711</v>
      </c>
      <c r="H733" s="29">
        <f>IF(履歴データ!$A$733="","",履歴データ!$O$733)</f>
        <v>155.14199829101563</v>
      </c>
      <c r="I733" s="29">
        <f>IF(履歴データ!$A$733="","",履歴データ!$Q$733)</f>
        <v>112.640625</v>
      </c>
      <c r="J733" s="29">
        <f>IF(履歴データ!$A$733="","",履歴データ!$D$733)</f>
        <v>4.1399999999999997</v>
      </c>
      <c r="K733" s="28">
        <f>IF(OR(履歴データ!$A$733="",履歴データ!$A$732=""),"",B733-B732)</f>
        <v>-0.50000000000007816</v>
      </c>
      <c r="L733" s="28">
        <f>IF(OR(履歴データ!$A$733="",履歴データ!$A$732=""),"",C733-C732)</f>
        <v>1.0499999999999972</v>
      </c>
      <c r="M733" s="28">
        <f>IF(OR(履歴データ!$A$733="",履歴データ!$A$732=""),"",D733-D732)</f>
        <v>1.7999999999999261</v>
      </c>
      <c r="N733" s="28">
        <f>IF(OR(履歴データ!$A$733="",履歴データ!$A$732=""),"",E733-E732)</f>
        <v>-1.0000000000000639</v>
      </c>
      <c r="O733" s="28">
        <f>IF(OR(履歴データ!$A$733="",履歴データ!$A$732=""),"",F733-F732)</f>
        <v>0.99000000000000909</v>
      </c>
      <c r="P733" s="28">
        <f>IF(OR(履歴データ!$A$733="",履歴データ!$A$732=""),"",G733-G732)</f>
        <v>-0.83282141113272701</v>
      </c>
      <c r="Q733" s="29">
        <f>IF(OR(履歴データ!$A$733="",履歴データ!$A$732=""),"",H733-H732)</f>
        <v>3.5003662109375E-2</v>
      </c>
      <c r="R733" s="29">
        <f>IF(OR(履歴データ!$A$733="",履歴データ!$A$732=""),"",I733-I732)</f>
        <v>-0.203125</v>
      </c>
      <c r="S733" s="28">
        <f>IF(OR(履歴データ!$A$733="",履歴データ!$A$732=""),"",(J733-J732)*100)</f>
        <v>2.9999999999999361</v>
      </c>
      <c r="T733" s="11">
        <f>IF(OR(履歴データ!$A$733="",履歴データ!$A$732=""),"",-80000*K733)</f>
        <v>40000.00000000625</v>
      </c>
      <c r="U733" s="11">
        <f>IF(OR(履歴データ!$A$733="",履歴データ!$A$732=""),"",60000*L733)</f>
        <v>62999.999999999833</v>
      </c>
      <c r="V733" s="11">
        <f>IF(OR(履歴データ!$A$733="",履歴データ!$A$732=""),"",-50000*M733)</f>
        <v>-89999.999999996304</v>
      </c>
      <c r="W733" s="11">
        <f>IF(OR(履歴データ!$A$733="",履歴データ!$A$732=""),"",-40000*N733)</f>
        <v>40000.000000002561</v>
      </c>
      <c r="X733" s="11">
        <f>IF(OR(履歴データ!$A$733="",履歴データ!$A$732=""),"",120*1000000*(-Q733/H732))</f>
        <v>-27080.915745769937</v>
      </c>
      <c r="Y733" s="11">
        <f>IF(OR(履歴データ!$A$733="",履歴データ!$A$732=""),"",40000*(-S733)+(-506.3)*R733*1000)</f>
        <v>-17157.812499997424</v>
      </c>
      <c r="Z733" s="11">
        <f>IF(OR(履歴データ!$A$733="",履歴データ!$A$732=""),"",-40000*O733)</f>
        <v>-39600.000000000364</v>
      </c>
      <c r="AA733" s="11">
        <f>IF(OR(履歴データ!$A$733="",履歴データ!$A$732=""),"",-40000*P733)</f>
        <v>33312.85644530908</v>
      </c>
      <c r="AB733" s="11">
        <f>IF(履歴データ!$A$733="","",123.3)</f>
        <v>123.3</v>
      </c>
      <c r="AC733">
        <f>IF(履歴データ!$A$733="","",SUM(T733:AA733))</f>
        <v>2474.1281995536956</v>
      </c>
      <c r="AD733" s="29">
        <f>IF(履歴データ!$A$733="","",AC733/1000000)</f>
        <v>2.4741281995536955E-3</v>
      </c>
      <c r="AE733" s="29">
        <f>IF(履歴データ!$A$733="",AE732,AE732+AC733/1000000)</f>
        <v>71.172623149062019</v>
      </c>
      <c r="AF733" s="12">
        <f>IF(OR(履歴データ!$A$733="",AE732=0),"",(AE733-AE732)/AE732)</f>
        <v>3.4763566377056128E-5</v>
      </c>
      <c r="AG733" s="29">
        <f t="shared" si="35"/>
        <v>102.17217746631495</v>
      </c>
      <c r="AH733" s="12">
        <f>IF(OR(履歴データ!$A$733="",AG733=0),"",AE733/AG733-1)</f>
        <v>-0.30340504710759586</v>
      </c>
      <c r="AJ733" s="28">
        <f t="shared" ca="1" si="33"/>
        <v>6.9518725493640607</v>
      </c>
      <c r="AK733" s="28">
        <f t="shared" ca="1" si="34"/>
        <v>-7.3288566763481873</v>
      </c>
    </row>
    <row r="734" spans="1:37">
      <c r="A734" s="10">
        <f>IF(履歴データ!$A$734="","",履歴データ!$A$734)</f>
        <v>45999</v>
      </c>
      <c r="B734" s="28">
        <f>IF(履歴データ!$A$734="","",(履歴データ!$D$734-(履歴データ!$B$734+履歴データ!$F$734)/2)*100)</f>
        <v>-1.9999999999999574</v>
      </c>
      <c r="C734" s="28">
        <f>IF(履歴データ!$A$734="","",(履歴データ!$H$734-(履歴データ!$G$734+履歴データ!$J$734)/2)*100)</f>
        <v>-23.449999999999992</v>
      </c>
      <c r="D734" s="28">
        <f>IF(履歴データ!$A$734="","",(履歴データ!$D$734-履歴データ!$H$734)*100)</f>
        <v>220.39999999999998</v>
      </c>
      <c r="E734" s="28">
        <f>IF(履歴データ!$A$734="","",(履歴データ!$D$734-履歴データ!$C$734)*100)</f>
        <v>41.999999999999993</v>
      </c>
      <c r="F734" s="28">
        <f>IF(履歴データ!$A$734="","",(履歴データ!$R$734-履歴データ!$D$734)*100)</f>
        <v>-321.53000000000003</v>
      </c>
      <c r="G734" s="28">
        <f>IF(履歴データ!$A$734="","",(履歴データ!$S$734-履歴データ!$R$734)*100)</f>
        <v>114.71117858886713</v>
      </c>
      <c r="H734" s="29">
        <f>IF(履歴データ!$A$734="","",履歴データ!$O$734)</f>
        <v>155.33999633789063</v>
      </c>
      <c r="I734" s="29">
        <f>IF(履歴データ!$A$734="","",履歴データ!$Q$734)</f>
        <v>112.390625</v>
      </c>
      <c r="J734" s="29">
        <f>IF(履歴データ!$A$734="","",履歴データ!$D$734)</f>
        <v>4.17</v>
      </c>
      <c r="K734" s="28">
        <f>IF(OR(履歴データ!$A$734="",履歴データ!$A$733=""),"",B734-B733)</f>
        <v>1.5000000000000568</v>
      </c>
      <c r="L734" s="28">
        <f>IF(OR(履歴データ!$A$734="",履歴データ!$A$733=""),"",C734-C733)</f>
        <v>-0.19999999999999929</v>
      </c>
      <c r="M734" s="28">
        <f>IF(OR(履歴データ!$A$734="",履歴データ!$A$733=""),"",D734-D733)</f>
        <v>1.5000000000000284</v>
      </c>
      <c r="N734" s="28">
        <f>IF(OR(履歴データ!$A$734="",履歴データ!$A$733=""),"",E734-E733)</f>
        <v>4.2632564145606011E-14</v>
      </c>
      <c r="O734" s="28">
        <f>IF(OR(履歴データ!$A$734="",履歴データ!$A$733=""),"",F734-F733)</f>
        <v>-1.07000000000005</v>
      </c>
      <c r="P734" s="28">
        <f>IF(OR(履歴データ!$A$734="",履歴データ!$A$733=""),"",G734-G733)</f>
        <v>-1.9299999999999784</v>
      </c>
      <c r="Q734" s="29">
        <f>IF(OR(履歴データ!$A$734="",履歴データ!$A$733=""),"",H734-H733)</f>
        <v>0.197998046875</v>
      </c>
      <c r="R734" s="29">
        <f>IF(OR(履歴データ!$A$734="",履歴データ!$A$733=""),"",I734-I733)</f>
        <v>-0.25</v>
      </c>
      <c r="S734" s="28">
        <f>IF(OR(履歴データ!$A$734="",履歴データ!$A$733=""),"",(J734-J733)*100)</f>
        <v>3.0000000000000249</v>
      </c>
      <c r="T734" s="11">
        <f>IF(OR(履歴データ!$A$734="",履歴データ!$A$733=""),"",-80000*K734)</f>
        <v>-120000.00000000454</v>
      </c>
      <c r="U734" s="11">
        <f>IF(OR(履歴データ!$A$734="",履歴データ!$A$733=""),"",60000*L734)</f>
        <v>-11999.999999999958</v>
      </c>
      <c r="V734" s="11">
        <f>IF(OR(履歴データ!$A$734="",履歴データ!$A$733=""),"",-50000*M734)</f>
        <v>-75000.000000001426</v>
      </c>
      <c r="W734" s="11">
        <f>IF(OR(履歴データ!$A$734="",履歴データ!$A$733=""),"",-40000*N734)</f>
        <v>-1.7053025658242404E-9</v>
      </c>
      <c r="X734" s="11">
        <f>IF(OR(履歴データ!$A$734="",履歴データ!$A$733=""),"",120*1000000*(-Q734/H733))</f>
        <v>-153148.50837766952</v>
      </c>
      <c r="Y734" s="11">
        <f>IF(OR(履歴データ!$A$734="",履歴データ!$A$733=""),"",40000*(-S734)+(-506.3)*R734*1000)</f>
        <v>6574.9999999990105</v>
      </c>
      <c r="Z734" s="11">
        <f>IF(OR(履歴データ!$A$734="",履歴データ!$A$733=""),"",-40000*O734)</f>
        <v>42800.000000002001</v>
      </c>
      <c r="AA734" s="11">
        <f>IF(OR(履歴データ!$A$734="",履歴データ!$A$733=""),"",-40000*P734)</f>
        <v>77199.999999999141</v>
      </c>
      <c r="AB734" s="11">
        <f>IF(履歴データ!$A$734="","",123.3)</f>
        <v>123.3</v>
      </c>
      <c r="AC734">
        <f>IF(履歴データ!$A$734="","",SUM(T734:AA734))</f>
        <v>-233573.50837767706</v>
      </c>
      <c r="AD734" s="29">
        <f>IF(履歴データ!$A$734="","",AC734/1000000)</f>
        <v>-0.23357350837767707</v>
      </c>
      <c r="AE734" s="29">
        <f>IF(履歴データ!$A$734="",AE733,AE733+AC734/1000000)</f>
        <v>70.939049640684345</v>
      </c>
      <c r="AF734" s="12">
        <f>IF(OR(履歴データ!$A$734="",AE733=0),"",(AE734-AE733)/AE733)</f>
        <v>-3.2817886715863199E-3</v>
      </c>
      <c r="AG734" s="29">
        <f t="shared" si="35"/>
        <v>102.17217746631495</v>
      </c>
      <c r="AH734" s="12">
        <f>IF(OR(履歴データ!$A$734="",AG734=0),"",AE734/AG734-1)</f>
        <v>-0.30569112453268232</v>
      </c>
      <c r="AJ734" s="28">
        <f t="shared" ca="1" si="33"/>
        <v>6.9378318820661011</v>
      </c>
      <c r="AK734" s="28">
        <f t="shared" ca="1" si="34"/>
        <v>-7.2870382312724491</v>
      </c>
    </row>
    <row r="735" spans="1:37">
      <c r="A735" s="10">
        <f>IF(履歴データ!$A$735="","",履歴データ!$A$735)</f>
        <v>46000</v>
      </c>
      <c r="B735" s="28">
        <f>IF(履歴データ!$A$735="","",(履歴データ!$D$735-(履歴データ!$B$735+履歴データ!$F$735)/2)*100)</f>
        <v>-2.5000000000000355</v>
      </c>
      <c r="C735" s="28">
        <f>IF(履歴データ!$A$735="","",(履歴データ!$H$735-(履歴データ!$G$735+履歴データ!$J$735)/2)*100)</f>
        <v>-23.950000000000028</v>
      </c>
      <c r="D735" s="28">
        <f>IF(履歴データ!$A$735="","",(履歴データ!$D$735-履歴データ!$H$735)*100)</f>
        <v>221.8</v>
      </c>
      <c r="E735" s="28">
        <f>IF(履歴データ!$A$735="","",(履歴データ!$D$735-履歴データ!$C$735)*100)</f>
        <v>39.999999999999993</v>
      </c>
      <c r="F735" s="28">
        <f>IF(履歴データ!$A$735="","",(履歴データ!$R$735-履歴データ!$D$735)*100)</f>
        <v>-315.28999999999996</v>
      </c>
      <c r="G735" s="28">
        <f>IF(履歴データ!$A$735="","",(履歴データ!$S$735-履歴データ!$R$735)*100)</f>
        <v>105.89264282226543</v>
      </c>
      <c r="H735" s="29">
        <f>IF(履歴データ!$A$735="","",履歴データ!$O$735)</f>
        <v>155.843994140625</v>
      </c>
      <c r="I735" s="29">
        <f>IF(履歴データ!$A$735="","",履歴データ!$Q$735)</f>
        <v>112.234375</v>
      </c>
      <c r="J735" s="29">
        <f>IF(履歴データ!$A$735="","",履歴データ!$D$735)</f>
        <v>4.18</v>
      </c>
      <c r="K735" s="28">
        <f>IF(OR(履歴データ!$A$735="",履歴データ!$A$734=""),"",B735-B734)</f>
        <v>-0.50000000000007816</v>
      </c>
      <c r="L735" s="28">
        <f>IF(OR(履歴データ!$A$735="",履歴データ!$A$734=""),"",C735-C734)</f>
        <v>-0.50000000000003553</v>
      </c>
      <c r="M735" s="28">
        <f>IF(OR(履歴データ!$A$735="",履歴データ!$A$734=""),"",D735-D734)</f>
        <v>1.4000000000000341</v>
      </c>
      <c r="N735" s="28">
        <f>IF(OR(履歴データ!$A$735="",履歴データ!$A$734=""),"",E735-E734)</f>
        <v>-2</v>
      </c>
      <c r="O735" s="28">
        <f>IF(OR(履歴データ!$A$735="",履歴データ!$A$734=""),"",F735-F734)</f>
        <v>6.2400000000000659</v>
      </c>
      <c r="P735" s="28">
        <f>IF(OR(履歴データ!$A$735="",履歴データ!$A$734=""),"",G735-G734)</f>
        <v>-8.8185357666016984</v>
      </c>
      <c r="Q735" s="29">
        <f>IF(OR(履歴データ!$A$735="",履歴データ!$A$734=""),"",H735-H734)</f>
        <v>0.503997802734375</v>
      </c>
      <c r="R735" s="29">
        <f>IF(OR(履歴データ!$A$735="",履歴データ!$A$734=""),"",I735-I734)</f>
        <v>-0.15625</v>
      </c>
      <c r="S735" s="28">
        <f>IF(OR(履歴データ!$A$735="",履歴データ!$A$734=""),"",(J735-J734)*100)</f>
        <v>0.99999999999997868</v>
      </c>
      <c r="T735" s="11">
        <f>IF(OR(履歴データ!$A$735="",履歴データ!$A$734=""),"",-80000*K735)</f>
        <v>40000.00000000625</v>
      </c>
      <c r="U735" s="11">
        <f>IF(OR(履歴データ!$A$735="",履歴データ!$A$734=""),"",60000*L735)</f>
        <v>-30000.000000002132</v>
      </c>
      <c r="V735" s="11">
        <f>IF(OR(履歴データ!$A$735="",履歴データ!$A$734=""),"",-50000*M735)</f>
        <v>-70000.000000001703</v>
      </c>
      <c r="W735" s="11">
        <f>IF(OR(履歴データ!$A$735="",履歴データ!$A$734=""),"",-40000*N735)</f>
        <v>80000</v>
      </c>
      <c r="X735" s="11">
        <f>IF(OR(履歴データ!$A$735="",履歴データ!$A$734=""),"",120*1000000*(-Q735/H734))</f>
        <v>-389337.82511859597</v>
      </c>
      <c r="Y735" s="11">
        <f>IF(OR(履歴データ!$A$735="",履歴データ!$A$734=""),"",40000*(-S735)+(-506.3)*R735*1000)</f>
        <v>39109.375000000851</v>
      </c>
      <c r="Z735" s="11">
        <f>IF(OR(履歴データ!$A$735="",履歴データ!$A$734=""),"",-40000*O735)</f>
        <v>-249600.00000000265</v>
      </c>
      <c r="AA735" s="11">
        <f>IF(OR(履歴データ!$A$735="",履歴データ!$A$734=""),"",-40000*P735)</f>
        <v>352741.43066406791</v>
      </c>
      <c r="AB735" s="11">
        <f>IF(履歴データ!$A$735="","",123.3)</f>
        <v>123.3</v>
      </c>
      <c r="AC735">
        <f>IF(履歴データ!$A$735="","",SUM(T735:AA735))</f>
        <v>-227087.01945452736</v>
      </c>
      <c r="AD735" s="29">
        <f>IF(履歴データ!$A$735="","",AC735/1000000)</f>
        <v>-0.22708701945452736</v>
      </c>
      <c r="AE735" s="29">
        <f>IF(履歴データ!$A$735="",AE734,AE734+AC735/1000000)</f>
        <v>70.711962621229816</v>
      </c>
      <c r="AF735" s="12">
        <f>IF(OR(履歴データ!$A$735="",AE734=0),"",(AE735-AE734)/AE734)</f>
        <v>-3.2011567762009123E-3</v>
      </c>
      <c r="AG735" s="29">
        <f t="shared" si="35"/>
        <v>102.17217746631495</v>
      </c>
      <c r="AH735" s="12">
        <f>IF(OR(履歴データ!$A$735="",AG735=0),"",AE735/AG735-1)</f>
        <v>-0.30791371609416096</v>
      </c>
      <c r="AJ735" s="28">
        <f t="shared" ca="1" si="33"/>
        <v>6.9276686229148448</v>
      </c>
      <c r="AK735" s="28">
        <f t="shared" ca="1" si="34"/>
        <v>-7.2570337022799238</v>
      </c>
    </row>
    <row r="736" spans="1:37">
      <c r="A736" s="10">
        <f>IF(履歴データ!$A$736="","",履歴データ!$A$736)</f>
        <v>46001</v>
      </c>
      <c r="B736" s="28">
        <f>IF(履歴データ!$A$736="","",(履歴データ!$D$736-(履歴データ!$B$736+履歴データ!$F$736)/2)*100)</f>
        <v>-3.0000000000000249</v>
      </c>
      <c r="C736" s="28">
        <f>IF(履歴データ!$A$736="","",(履歴データ!$H$736-(履歴データ!$G$736+履歴データ!$J$736)/2)*100)</f>
        <v>-25.2</v>
      </c>
      <c r="D736" s="28">
        <f>IF(履歴データ!$A$736="","",(履歴データ!$D$736-履歴データ!$H$736)*100)</f>
        <v>217.19999999999996</v>
      </c>
      <c r="E736" s="28">
        <f>IF(履歴データ!$A$736="","",(履歴データ!$D$736-履歴データ!$C$736)*100)</f>
        <v>40.999999999999972</v>
      </c>
      <c r="F736" s="28">
        <f>IF(履歴データ!$A$736="","",(履歴データ!$R$736-履歴データ!$D$736)*100)</f>
        <v>-314.27</v>
      </c>
      <c r="G736" s="28">
        <f>IF(履歴データ!$A$736="","",(履歴データ!$S$736-履歴データ!$R$736)*100)</f>
        <v>111.27582141113268</v>
      </c>
      <c r="H736" s="29">
        <f>IF(履歴データ!$A$736="","",履歴データ!$O$736)</f>
        <v>156.83799743652344</v>
      </c>
      <c r="I736" s="29">
        <f>IF(履歴データ!$A$736="","",履歴データ!$Q$736)</f>
        <v>112.359375</v>
      </c>
      <c r="J736" s="29">
        <f>IF(履歴データ!$A$736="","",履歴データ!$D$736)</f>
        <v>4.13</v>
      </c>
      <c r="K736" s="28">
        <f>IF(OR(履歴データ!$A$736="",履歴データ!$A$735=""),"",B736-B735)</f>
        <v>-0.49999999999998934</v>
      </c>
      <c r="L736" s="28">
        <f>IF(OR(履歴データ!$A$736="",履歴データ!$A$735=""),"",C736-C735)</f>
        <v>-1.2499999999999716</v>
      </c>
      <c r="M736" s="28">
        <f>IF(OR(履歴データ!$A$736="",履歴データ!$A$735=""),"",D736-D735)</f>
        <v>-4.6000000000000512</v>
      </c>
      <c r="N736" s="28">
        <f>IF(OR(履歴データ!$A$736="",履歴データ!$A$735=""),"",E736-E735)</f>
        <v>0.99999999999997868</v>
      </c>
      <c r="O736" s="28">
        <f>IF(OR(履歴データ!$A$736="",履歴データ!$A$735=""),"",F736-F735)</f>
        <v>1.0199999999999818</v>
      </c>
      <c r="P736" s="28">
        <f>IF(OR(履歴データ!$A$736="",履歴データ!$A$735=""),"",G736-G735)</f>
        <v>5.3831785888672528</v>
      </c>
      <c r="Q736" s="29">
        <f>IF(OR(履歴データ!$A$736="",履歴データ!$A$735=""),"",H736-H735)</f>
        <v>0.9940032958984375</v>
      </c>
      <c r="R736" s="29">
        <f>IF(OR(履歴データ!$A$736="",履歴データ!$A$735=""),"",I736-I735)</f>
        <v>0.125</v>
      </c>
      <c r="S736" s="28">
        <f>IF(OR(履歴データ!$A$736="",履歴データ!$A$735=""),"",(J736-J735)*100)</f>
        <v>-4.9999999999999822</v>
      </c>
      <c r="T736" s="11">
        <f>IF(OR(履歴データ!$A$736="",履歴データ!$A$735=""),"",-80000*K736)</f>
        <v>39999.999999999149</v>
      </c>
      <c r="U736" s="11">
        <f>IF(OR(履歴データ!$A$736="",履歴データ!$A$735=""),"",60000*L736)</f>
        <v>-74999.999999998297</v>
      </c>
      <c r="V736" s="11">
        <f>IF(OR(履歴データ!$A$736="",履歴データ!$A$735=""),"",-50000*M736)</f>
        <v>230000.00000000256</v>
      </c>
      <c r="W736" s="11">
        <f>IF(OR(履歴データ!$A$736="",履歴データ!$A$735=""),"",-40000*N736)</f>
        <v>-39999.999999999149</v>
      </c>
      <c r="X736" s="11">
        <f>IF(OR(履歴データ!$A$736="",履歴データ!$A$735=""),"",120*1000000*(-Q736/H735))</f>
        <v>-765383.33200174826</v>
      </c>
      <c r="Y736" s="11">
        <f>IF(OR(履歴データ!$A$736="",履歴データ!$A$735=""),"",40000*(-S736)+(-506.3)*R736*1000)</f>
        <v>136712.4999999993</v>
      </c>
      <c r="Z736" s="11">
        <f>IF(OR(履歴データ!$A$736="",履歴データ!$A$735=""),"",-40000*O736)</f>
        <v>-40799.999999999272</v>
      </c>
      <c r="AA736" s="11">
        <f>IF(OR(履歴データ!$A$736="",履歴データ!$A$735=""),"",-40000*P736)</f>
        <v>-215327.14355469012</v>
      </c>
      <c r="AB736" s="11">
        <f>IF(履歴データ!$A$736="","",123.3)</f>
        <v>123.3</v>
      </c>
      <c r="AC736">
        <f>IF(履歴データ!$A$736="","",SUM(T736:AA736))</f>
        <v>-729797.97555643413</v>
      </c>
      <c r="AD736" s="29">
        <f>IF(履歴データ!$A$736="","",AC736/1000000)</f>
        <v>-0.72979797555643411</v>
      </c>
      <c r="AE736" s="29">
        <f>IF(履歴データ!$A$736="",AE735,AE735+AC736/1000000)</f>
        <v>69.982164645673379</v>
      </c>
      <c r="AF736" s="12">
        <f>IF(OR(履歴データ!$A$736="",AE735=0),"",(AE736-AE735)/AE735)</f>
        <v>-1.0320714466173367E-2</v>
      </c>
      <c r="AG736" s="29">
        <f t="shared" si="35"/>
        <v>102.17217746631495</v>
      </c>
      <c r="AH736" s="12">
        <f>IF(OR(履歴データ!$A$736="",AG736=0),"",AE736/AG736-1)</f>
        <v>-0.31505654101630809</v>
      </c>
      <c r="AJ736" s="28">
        <f t="shared" ca="1" si="33"/>
        <v>6.8998767631680318</v>
      </c>
      <c r="AK736" s="28">
        <f t="shared" ca="1" si="34"/>
        <v>-7.1974958107870792</v>
      </c>
    </row>
    <row r="737" spans="1:37">
      <c r="A737" s="10">
        <f>IF(履歴データ!$A$737="","",履歴データ!$A$737)</f>
        <v>46002</v>
      </c>
      <c r="B737" s="28">
        <f>IF(履歴データ!$A$737="","",(履歴データ!$D$737-(履歴データ!$B$737+履歴データ!$F$737)/2)*100)</f>
        <v>-1.5000000000000568</v>
      </c>
      <c r="C737" s="28">
        <f>IF(履歴データ!$A$737="","",(履歴データ!$H$737-(履歴データ!$G$737+履歴データ!$J$737)/2)*100)</f>
        <v>-26.099999999999991</v>
      </c>
      <c r="D737" s="28">
        <f>IF(履歴データ!$A$737="","",(履歴データ!$D$737-履歴データ!$H$737)*100)</f>
        <v>220.7</v>
      </c>
      <c r="E737" s="28">
        <f>IF(履歴データ!$A$737="","",(履歴データ!$D$737-履歴データ!$C$737)*100)</f>
        <v>41.99999999999995</v>
      </c>
      <c r="F737" s="28">
        <f>IF(履歴データ!$A$737="","",(履歴データ!$R$737-履歴データ!$D$737)*100)</f>
        <v>-314.42999999999995</v>
      </c>
      <c r="G737" s="28">
        <f>IF(履歴データ!$A$737="","",(履歴データ!$S$737-履歴データ!$R$737)*100)</f>
        <v>103.06899999999992</v>
      </c>
      <c r="H737" s="29">
        <f>IF(履歴データ!$A$737="","",履歴データ!$O$737)</f>
        <v>155.78999328613281</v>
      </c>
      <c r="I737" s="29">
        <f>IF(履歴データ!$A$737="","",履歴データ!$Q$737)</f>
        <v>112.609375</v>
      </c>
      <c r="J737" s="29">
        <f>IF(履歴データ!$A$737="","",履歴データ!$D$737)</f>
        <v>4.1399999999999997</v>
      </c>
      <c r="K737" s="28">
        <f>IF(OR(履歴データ!$A$737="",履歴データ!$A$736=""),"",B737-B736)</f>
        <v>1.499999999999968</v>
      </c>
      <c r="L737" s="28">
        <f>IF(OR(履歴データ!$A$737="",履歴データ!$A$736=""),"",C737-C736)</f>
        <v>-0.89999999999999147</v>
      </c>
      <c r="M737" s="28">
        <f>IF(OR(履歴データ!$A$737="",履歴データ!$A$736=""),"",D737-D736)</f>
        <v>3.5000000000000284</v>
      </c>
      <c r="N737" s="28">
        <f>IF(OR(履歴データ!$A$737="",履歴データ!$A$736=""),"",E737-E736)</f>
        <v>0.99999999999997868</v>
      </c>
      <c r="O737" s="28">
        <f>IF(OR(履歴データ!$A$737="",履歴データ!$A$736=""),"",F737-F736)</f>
        <v>-0.15999999999996817</v>
      </c>
      <c r="P737" s="28">
        <f>IF(OR(履歴データ!$A$737="",履歴データ!$A$736=""),"",G737-G736)</f>
        <v>-8.2068214111327649</v>
      </c>
      <c r="Q737" s="29">
        <f>IF(OR(履歴データ!$A$737="",履歴データ!$A$736=""),"",H737-H736)</f>
        <v>-1.048004150390625</v>
      </c>
      <c r="R737" s="29">
        <f>IF(OR(履歴データ!$A$737="",履歴データ!$A$736=""),"",I737-I736)</f>
        <v>0.25</v>
      </c>
      <c r="S737" s="28">
        <f>IF(OR(履歴データ!$A$737="",履歴データ!$A$736=""),"",(J737-J736)*100)</f>
        <v>0.99999999999997868</v>
      </c>
      <c r="T737" s="11">
        <f>IF(OR(履歴データ!$A$737="",履歴データ!$A$736=""),"",-80000*K737)</f>
        <v>-119999.99999999744</v>
      </c>
      <c r="U737" s="11">
        <f>IF(OR(履歴データ!$A$737="",履歴データ!$A$736=""),"",60000*L737)</f>
        <v>-53999.999999999491</v>
      </c>
      <c r="V737" s="11">
        <f>IF(OR(履歴データ!$A$737="",履歴データ!$A$736=""),"",-50000*M737)</f>
        <v>-175000.00000000143</v>
      </c>
      <c r="W737" s="11">
        <f>IF(OR(履歴データ!$A$737="",履歴データ!$A$736=""),"",-40000*N737)</f>
        <v>-39999.999999999149</v>
      </c>
      <c r="X737" s="11">
        <f>IF(OR(履歴データ!$A$737="",履歴データ!$A$736=""),"",120*1000000*(-Q737/H736))</f>
        <v>801849.67993979692</v>
      </c>
      <c r="Y737" s="11">
        <f>IF(OR(履歴データ!$A$737="",履歴データ!$A$736=""),"",40000*(-S737)+(-506.3)*R737*1000)</f>
        <v>-166574.99999999916</v>
      </c>
      <c r="Z737" s="11">
        <f>IF(OR(履歴データ!$A$737="",履歴データ!$A$736=""),"",-40000*O737)</f>
        <v>6399.9999999987267</v>
      </c>
      <c r="AA737" s="11">
        <f>IF(OR(履歴データ!$A$737="",履歴データ!$A$736=""),"",-40000*P737)</f>
        <v>328272.85644531058</v>
      </c>
      <c r="AB737" s="11">
        <f>IF(履歴データ!$A$737="","",123.3)</f>
        <v>123.3</v>
      </c>
      <c r="AC737">
        <f>IF(履歴データ!$A$737="","",SUM(T737:AA737))</f>
        <v>580947.53638510953</v>
      </c>
      <c r="AD737" s="29">
        <f>IF(履歴データ!$A$737="","",AC737/1000000)</f>
        <v>0.58094753638510954</v>
      </c>
      <c r="AE737" s="29">
        <f>IF(履歴データ!$A$737="",AE736,AE736+AC737/1000000)</f>
        <v>70.563112182058489</v>
      </c>
      <c r="AF737" s="12">
        <f>IF(OR(履歴データ!$A$737="",AE736=0),"",(AE737-AE736)/AE736)</f>
        <v>8.3013656311791088E-3</v>
      </c>
      <c r="AG737" s="29">
        <f t="shared" si="35"/>
        <v>102.17217746631495</v>
      </c>
      <c r="AH737" s="12">
        <f>IF(OR(履歴データ!$A$737="",AG737=0),"",AE737/AG737-1)</f>
        <v>-0.30937057492660003</v>
      </c>
      <c r="AJ737" s="28">
        <f t="shared" ca="1" si="33"/>
        <v>6.8703819203641077</v>
      </c>
      <c r="AK737" s="28">
        <f t="shared" ca="1" si="34"/>
        <v>-7.1243501743323625</v>
      </c>
    </row>
    <row r="738" spans="1:37">
      <c r="A738" s="10">
        <f>IF(履歴データ!$A$738="","",履歴データ!$A$738)</f>
        <v>46003</v>
      </c>
      <c r="B738" s="28">
        <f>IF(履歴データ!$A$738="","",(履歴データ!$D$738-(履歴データ!$B$738+履歴データ!$F$738)/2)*100)</f>
        <v>0.50000000000007816</v>
      </c>
      <c r="C738" s="28">
        <f>IF(履歴データ!$A$738="","",(履歴データ!$H$738-(履歴データ!$G$738+履歴データ!$J$738)/2)*100)</f>
        <v>-23.350000000000026</v>
      </c>
      <c r="D738" s="28">
        <f>IF(履歴データ!$A$738="","",(履歴データ!$D$738-履歴データ!$H$738)*100)</f>
        <v>223.40000000000003</v>
      </c>
      <c r="E738" s="28">
        <f>IF(履歴データ!$A$738="","",(履歴データ!$D$738-履歴データ!$C$738)*100)</f>
        <v>44.000000000000043</v>
      </c>
      <c r="F738" s="28">
        <f>IF(履歴データ!$A$738="","",(履歴データ!$R$738-履歴データ!$D$738)*100)</f>
        <v>-323.39000000000004</v>
      </c>
      <c r="G738" s="28">
        <f>IF(履歴データ!$A$738="","",(履歴データ!$S$738-履歴データ!$R$738)*100)</f>
        <v>112.11564282226558</v>
      </c>
      <c r="H738" s="29">
        <f>IF(履歴データ!$A$738="","",履歴データ!$O$738)</f>
        <v>155.56700134277344</v>
      </c>
      <c r="I738" s="29">
        <f>IF(履歴データ!$A$738="","",履歴データ!$Q$738)</f>
        <v>112.34375</v>
      </c>
      <c r="J738" s="29">
        <f>IF(履歴データ!$A$738="","",履歴データ!$D$738)</f>
        <v>4.1900000000000004</v>
      </c>
      <c r="K738" s="28">
        <f>IF(OR(履歴データ!$A$738="",履歴データ!$A$737=""),"",B738-B737)</f>
        <v>2.000000000000135</v>
      </c>
      <c r="L738" s="28">
        <f>IF(OR(履歴データ!$A$738="",履歴データ!$A$737=""),"",C738-C737)</f>
        <v>2.7499999999999645</v>
      </c>
      <c r="M738" s="28">
        <f>IF(OR(履歴データ!$A$738="",履歴データ!$A$737=""),"",D738-D737)</f>
        <v>2.7000000000000455</v>
      </c>
      <c r="N738" s="28">
        <f>IF(OR(履歴データ!$A$738="",履歴データ!$A$737=""),"",E738-E737)</f>
        <v>2.0000000000000924</v>
      </c>
      <c r="O738" s="28">
        <f>IF(OR(履歴データ!$A$738="",履歴データ!$A$737=""),"",F738-F737)</f>
        <v>-8.9600000000000932</v>
      </c>
      <c r="P738" s="28">
        <f>IF(OR(履歴データ!$A$738="",履歴データ!$A$737=""),"",G738-G737)</f>
        <v>9.0466428222656674</v>
      </c>
      <c r="Q738" s="29">
        <f>IF(OR(履歴データ!$A$738="",履歴データ!$A$737=""),"",H738-H737)</f>
        <v>-0.222991943359375</v>
      </c>
      <c r="R738" s="29">
        <f>IF(OR(履歴データ!$A$738="",履歴データ!$A$737=""),"",I738-I737)</f>
        <v>-0.265625</v>
      </c>
      <c r="S738" s="28">
        <f>IF(OR(履歴データ!$A$738="",履歴データ!$A$737=""),"",(J738-J737)*100)</f>
        <v>5.0000000000000711</v>
      </c>
      <c r="T738" s="11">
        <f>IF(OR(履歴データ!$A$738="",履歴データ!$A$737=""),"",-80000*K738)</f>
        <v>-160000.0000000108</v>
      </c>
      <c r="U738" s="11">
        <f>IF(OR(履歴データ!$A$738="",履歴データ!$A$737=""),"",60000*L738)</f>
        <v>164999.99999999788</v>
      </c>
      <c r="V738" s="11">
        <f>IF(OR(履歴データ!$A$738="",履歴データ!$A$737=""),"",-50000*M738)</f>
        <v>-135000.00000000227</v>
      </c>
      <c r="W738" s="11">
        <f>IF(OR(履歴データ!$A$738="",履歴データ!$A$737=""),"",-40000*N738)</f>
        <v>-80000.000000003696</v>
      </c>
      <c r="X738" s="11">
        <f>IF(OR(履歴データ!$A$738="",履歴データ!$A$737=""),"",120*1000000*(-Q738/H737))</f>
        <v>171763.49159973214</v>
      </c>
      <c r="Y738" s="11">
        <f>IF(OR(履歴データ!$A$738="",履歴データ!$A$737=""),"",40000*(-S738)+(-506.3)*R738*1000)</f>
        <v>-65514.062500002852</v>
      </c>
      <c r="Z738" s="11">
        <f>IF(OR(履歴データ!$A$738="",履歴データ!$A$737=""),"",-40000*O738)</f>
        <v>358400.00000000373</v>
      </c>
      <c r="AA738" s="11">
        <f>IF(OR(履歴データ!$A$738="",履歴データ!$A$737=""),"",-40000*P738)</f>
        <v>-361865.71289062669</v>
      </c>
      <c r="AB738" s="11">
        <f>IF(履歴データ!$A$738="","",123.3)</f>
        <v>123.3</v>
      </c>
      <c r="AC738">
        <f>IF(履歴データ!$A$738="","",SUM(T738:AA738))</f>
        <v>-107216.28379091257</v>
      </c>
      <c r="AD738" s="29">
        <f>IF(履歴データ!$A$738="","",AC738/1000000)</f>
        <v>-0.10721628379091257</v>
      </c>
      <c r="AE738" s="29">
        <f>IF(履歴データ!$A$738="",AE737,AE737+AC738/1000000)</f>
        <v>70.45589589826757</v>
      </c>
      <c r="AF738" s="12">
        <f>IF(OR(履歴データ!$A$738="",AE737=0),"",(AE738-AE737)/AE737)</f>
        <v>-1.5194381380783256E-3</v>
      </c>
      <c r="AG738" s="29">
        <f t="shared" si="35"/>
        <v>102.17217746631495</v>
      </c>
      <c r="AH738" s="12">
        <f>IF(OR(履歴データ!$A$738="",AG738=0),"",AE738/AG738-1)</f>
        <v>-0.31041994361433567</v>
      </c>
      <c r="AJ738" s="28">
        <f t="shared" ca="1" si="33"/>
        <v>6.8570453707256886</v>
      </c>
      <c r="AK738" s="28">
        <f t="shared" ca="1" si="34"/>
        <v>-7.0594263231066412</v>
      </c>
    </row>
    <row r="739" spans="1:37">
      <c r="A739" s="10">
        <f>IF(履歴データ!$A$739="","",履歴データ!$A$739)</f>
        <v>46006</v>
      </c>
      <c r="B739" s="28">
        <f>IF(履歴データ!$A$739="","",(履歴データ!$D$739-(履歴データ!$B$739+履歴データ!$F$739)/2)*100)</f>
        <v>0.49999999999998934</v>
      </c>
      <c r="C739" s="28">
        <f>IF(履歴データ!$A$739="","",(履歴データ!$H$739-(履歴データ!$G$739+履歴データ!$J$739)/2)*100)</f>
        <v>-23.449999999999992</v>
      </c>
      <c r="D739" s="28">
        <f>IF(履歴データ!$A$739="","",(履歴データ!$D$739-履歴データ!$H$739)*100)</f>
        <v>221.89999999999995</v>
      </c>
      <c r="E739" s="28">
        <f>IF(履歴データ!$A$739="","",(履歴データ!$D$739-履歴データ!$C$739)*100)</f>
        <v>44.999999999999972</v>
      </c>
      <c r="F739" s="28">
        <f>IF(履歴データ!$A$739="","",(履歴データ!$R$739-履歴データ!$D$739)*100)</f>
        <v>-326.00999999999993</v>
      </c>
      <c r="G739" s="28">
        <f>IF(履歴データ!$A$739="","",(履歴データ!$S$739-履歴データ!$R$739)*100)</f>
        <v>113.80617858886701</v>
      </c>
      <c r="H739" s="29">
        <f>IF(履歴データ!$A$739="","",履歴データ!$O$739)</f>
        <v>155.88800048828125</v>
      </c>
      <c r="I739" s="29">
        <f>IF(履歴データ!$A$739="","",履歴データ!$Q$739)</f>
        <v>112.453125</v>
      </c>
      <c r="J739" s="29">
        <f>IF(履歴データ!$A$739="","",履歴データ!$D$739)</f>
        <v>4.18</v>
      </c>
      <c r="K739" s="28">
        <f>IF(OR(履歴データ!$A$739="",履歴データ!$A$738=""),"",B739-B738)</f>
        <v>-8.8817841970012523E-14</v>
      </c>
      <c r="L739" s="28">
        <f>IF(OR(履歴データ!$A$739="",履歴データ!$A$738=""),"",C739-C738)</f>
        <v>-9.9999999999965894E-2</v>
      </c>
      <c r="M739" s="28">
        <f>IF(OR(履歴データ!$A$739="",履歴データ!$A$738=""),"",D739-D738)</f>
        <v>-1.5000000000000853</v>
      </c>
      <c r="N739" s="28">
        <f>IF(OR(履歴データ!$A$739="",履歴データ!$A$738=""),"",E739-E738)</f>
        <v>0.99999999999992895</v>
      </c>
      <c r="O739" s="28">
        <f>IF(OR(履歴データ!$A$739="",履歴データ!$A$738=""),"",F739-F738)</f>
        <v>-2.6199999999998909</v>
      </c>
      <c r="P739" s="28">
        <f>IF(OR(履歴データ!$A$739="",履歴データ!$A$738=""),"",G739-G738)</f>
        <v>1.6905357666014282</v>
      </c>
      <c r="Q739" s="29">
        <f>IF(OR(履歴データ!$A$739="",履歴データ!$A$738=""),"",H739-H738)</f>
        <v>0.3209991455078125</v>
      </c>
      <c r="R739" s="29">
        <f>IF(OR(履歴データ!$A$739="",履歴データ!$A$738=""),"",I739-I738)</f>
        <v>0.109375</v>
      </c>
      <c r="S739" s="28">
        <f>IF(OR(履歴データ!$A$739="",履歴データ!$A$738=""),"",(J739-J738)*100)</f>
        <v>-1.0000000000000675</v>
      </c>
      <c r="T739" s="11">
        <f>IF(OR(履歴データ!$A$739="",履歴データ!$A$738=""),"",-80000*K739)</f>
        <v>7.1054273576010019E-9</v>
      </c>
      <c r="U739" s="11">
        <f>IF(OR(履歴データ!$A$739="",履歴データ!$A$738=""),"",60000*L739)</f>
        <v>-5999.9999999979536</v>
      </c>
      <c r="V739" s="11">
        <f>IF(OR(履歴データ!$A$739="",履歴データ!$A$738=""),"",-50000*M739)</f>
        <v>75000.000000004264</v>
      </c>
      <c r="W739" s="11">
        <f>IF(OR(履歴データ!$A$739="",履歴データ!$A$738=""),"",-40000*N739)</f>
        <v>-39999.999999997155</v>
      </c>
      <c r="X739" s="11">
        <f>IF(OR(履歴データ!$A$739="",履歴データ!$A$738=""),"",120*1000000*(-Q739/H738))</f>
        <v>-247609.69311263817</v>
      </c>
      <c r="Y739" s="11">
        <f>IF(OR(履歴データ!$A$739="",履歴データ!$A$738=""),"",40000*(-S739)+(-506.3)*R739*1000)</f>
        <v>-15376.562499997301</v>
      </c>
      <c r="Z739" s="11">
        <f>IF(OR(履歴データ!$A$739="",履歴データ!$A$738=""),"",-40000*O739)</f>
        <v>104799.99999999563</v>
      </c>
      <c r="AA739" s="11">
        <f>IF(OR(履歴データ!$A$739="",履歴データ!$A$738=""),"",-40000*P739)</f>
        <v>-67621.43066405713</v>
      </c>
      <c r="AB739" s="11">
        <f>IF(履歴データ!$A$739="","",123.3)</f>
        <v>123.3</v>
      </c>
      <c r="AC739">
        <f>IF(履歴データ!$A$739="","",SUM(T739:AA739))</f>
        <v>-196807.68627668067</v>
      </c>
      <c r="AD739" s="29">
        <f>IF(履歴データ!$A$739="","",AC739/1000000)</f>
        <v>-0.19680768627668066</v>
      </c>
      <c r="AE739" s="29">
        <f>IF(履歴データ!$A$739="",AE738,AE738+AC739/1000000)</f>
        <v>70.259088211990885</v>
      </c>
      <c r="AF739" s="12">
        <f>IF(OR(履歴データ!$A$739="",AE738=0),"",(AE739-AE738)/AE738)</f>
        <v>-2.7933458764169126E-3</v>
      </c>
      <c r="AG739" s="29">
        <f t="shared" si="35"/>
        <v>102.17217746631495</v>
      </c>
      <c r="AH739" s="12">
        <f>IF(OR(履歴データ!$A$739="",AG739=0),"",AE739/AG739-1)</f>
        <v>-0.31234617922129981</v>
      </c>
      <c r="AJ739" s="28">
        <f t="shared" ca="1" si="33"/>
        <v>6.8431013423769782</v>
      </c>
      <c r="AK739" s="28">
        <f t="shared" ca="1" si="34"/>
        <v>-6.9938949931706302</v>
      </c>
    </row>
    <row r="740" spans="1:37">
      <c r="A740" s="10">
        <f>IF(履歴データ!$A$740="","",履歴データ!$A$740)</f>
        <v>46007</v>
      </c>
      <c r="B740" s="28">
        <f>IF(履歴データ!$A$740="","",(履歴データ!$D$740-(履歴データ!$B$740+履歴データ!$F$740)/2)*100)</f>
        <v>0</v>
      </c>
      <c r="C740" s="28">
        <f>IF(履歴データ!$A$740="","",(履歴データ!$H$740-(履歴データ!$G$740+履歴データ!$J$740)/2)*100)</f>
        <v>-22.999999999999975</v>
      </c>
      <c r="D740" s="28">
        <f>IF(履歴データ!$A$740="","",(履歴データ!$D$740-履歴データ!$H$740)*100)</f>
        <v>219.30000000000004</v>
      </c>
      <c r="E740" s="28">
        <f>IF(履歴データ!$A$740="","",(履歴データ!$D$740-履歴データ!$C$740)*100)</f>
        <v>46.000000000000043</v>
      </c>
      <c r="F740" s="28">
        <f>IF(履歴データ!$A$740="","",(履歴データ!$R$740-履歴データ!$D$740)*100)</f>
        <v>-324.86000000000007</v>
      </c>
      <c r="G740" s="28">
        <f>IF(履歴データ!$A$740="","",(履歴データ!$S$740-履歴データ!$R$740)*100)</f>
        <v>121.26899999999992</v>
      </c>
      <c r="H740" s="29">
        <f>IF(履歴データ!$A$740="","",履歴データ!$O$740)</f>
        <v>155.01499938964844</v>
      </c>
      <c r="I740" s="29">
        <f>IF(履歴データ!$A$740="","",履歴データ!$Q$740)</f>
        <v>112.6875</v>
      </c>
      <c r="J740" s="29">
        <f>IF(履歴データ!$A$740="","",履歴データ!$D$740)</f>
        <v>4.1500000000000004</v>
      </c>
      <c r="K740" s="28">
        <f>IF(OR(履歴データ!$A$740="",履歴データ!$A$739=""),"",B740-B739)</f>
        <v>-0.49999999999998934</v>
      </c>
      <c r="L740" s="28">
        <f>IF(OR(履歴データ!$A$740="",履歴データ!$A$739=""),"",C740-C739)</f>
        <v>0.45000000000001705</v>
      </c>
      <c r="M740" s="28">
        <f>IF(OR(履歴データ!$A$740="",履歴データ!$A$739=""),"",D740-D739)</f>
        <v>-2.5999999999999091</v>
      </c>
      <c r="N740" s="28">
        <f>IF(OR(履歴データ!$A$740="",履歴データ!$A$739=""),"",E740-E739)</f>
        <v>1.0000000000000711</v>
      </c>
      <c r="O740" s="28">
        <f>IF(OR(履歴データ!$A$740="",履歴データ!$A$739=""),"",F740-F739)</f>
        <v>1.1499999999998636</v>
      </c>
      <c r="P740" s="28">
        <f>IF(OR(履歴データ!$A$740="",履歴データ!$A$739=""),"",G740-G739)</f>
        <v>7.4628214111329072</v>
      </c>
      <c r="Q740" s="29">
        <f>IF(OR(履歴データ!$A$740="",履歴データ!$A$739=""),"",H740-H739)</f>
        <v>-0.8730010986328125</v>
      </c>
      <c r="R740" s="29">
        <f>IF(OR(履歴データ!$A$740="",履歴データ!$A$739=""),"",I740-I739)</f>
        <v>0.234375</v>
      </c>
      <c r="S740" s="28">
        <f>IF(OR(履歴データ!$A$740="",履歴データ!$A$739=""),"",(J740-J739)*100)</f>
        <v>-2.9999999999999361</v>
      </c>
      <c r="T740" s="11">
        <f>IF(OR(履歴データ!$A$740="",履歴データ!$A$739=""),"",-80000*K740)</f>
        <v>39999.999999999149</v>
      </c>
      <c r="U740" s="11">
        <f>IF(OR(履歴データ!$A$740="",履歴データ!$A$739=""),"",60000*L740)</f>
        <v>27000.000000001022</v>
      </c>
      <c r="V740" s="11">
        <f>IF(OR(履歴データ!$A$740="",履歴データ!$A$739=""),"",-50000*M740)</f>
        <v>129999.99999999546</v>
      </c>
      <c r="W740" s="11">
        <f>IF(OR(履歴データ!$A$740="",履歴データ!$A$739=""),"",-40000*N740)</f>
        <v>-40000.000000002845</v>
      </c>
      <c r="X740" s="11">
        <f>IF(OR(履歴データ!$A$740="",履歴データ!$A$739=""),"",120*1000000*(-Q740/H739))</f>
        <v>672021.78171380644</v>
      </c>
      <c r="Y740" s="11">
        <f>IF(OR(履歴データ!$A$740="",履歴データ!$A$739=""),"",40000*(-S740)+(-506.3)*R740*1000)</f>
        <v>1335.9374999974389</v>
      </c>
      <c r="Z740" s="11">
        <f>IF(OR(履歴データ!$A$740="",履歴データ!$A$739=""),"",-40000*O740)</f>
        <v>-45999.999999994543</v>
      </c>
      <c r="AA740" s="11">
        <f>IF(OR(履歴データ!$A$740="",履歴データ!$A$739=""),"",-40000*P740)</f>
        <v>-298512.85644531628</v>
      </c>
      <c r="AB740" s="11">
        <f>IF(履歴データ!$A$740="","",123.3)</f>
        <v>123.3</v>
      </c>
      <c r="AC740">
        <f>IF(履歴データ!$A$740="","",SUM(T740:AA740))</f>
        <v>485844.86276848585</v>
      </c>
      <c r="AD740" s="29">
        <f>IF(履歴データ!$A$740="","",AC740/1000000)</f>
        <v>0.48584486276848587</v>
      </c>
      <c r="AE740" s="29">
        <f>IF(履歴データ!$A$740="",AE739,AE739+AC740/1000000)</f>
        <v>70.744933074759373</v>
      </c>
      <c r="AF740" s="12">
        <f>IF(OR(履歴データ!$A$740="",AE739=0),"",(AE740-AE739)/AE739)</f>
        <v>6.9150465104608405E-3</v>
      </c>
      <c r="AG740" s="29">
        <f t="shared" si="35"/>
        <v>102.17217746631495</v>
      </c>
      <c r="AH740" s="12">
        <f>IF(OR(履歴データ!$A$740="",AG740=0),"",AE740/AG740-1)</f>
        <v>-0.30759102106751901</v>
      </c>
      <c r="AJ740" s="28">
        <f t="shared" ca="1" si="33"/>
        <v>6.8308202783791376</v>
      </c>
      <c r="AK740" s="28">
        <f t="shared" ca="1" si="34"/>
        <v>-6.9379631355219953</v>
      </c>
    </row>
    <row r="741" spans="1:37">
      <c r="A741" s="10">
        <f>IF(履歴データ!$A$741="","",履歴データ!$A$741)</f>
        <v>46008</v>
      </c>
      <c r="B741" s="28">
        <f>IF(履歴データ!$A$741="","",(履歴データ!$D$741-(履歴データ!$B$741+履歴データ!$F$741)/2)*100)</f>
        <v>0</v>
      </c>
      <c r="C741" s="28">
        <f>IF(履歴データ!$A$741="","",(履歴データ!$H$741-(履歴データ!$G$741+履歴データ!$J$741)/2)*100)</f>
        <v>-21.4</v>
      </c>
      <c r="D741" s="28">
        <f>IF(履歴データ!$A$741="","",(履歴データ!$D$741-履歴データ!$H$741)*100)</f>
        <v>218.00000000000003</v>
      </c>
      <c r="E741" s="28">
        <f>IF(履歴データ!$A$741="","",(履歴データ!$D$741-履歴データ!$C$741)*100)</f>
        <v>46</v>
      </c>
      <c r="F741" s="28">
        <f>IF(履歴データ!$A$741="","",(履歴データ!$R$741-履歴データ!$D$741)*100)</f>
        <v>-324.02000000000004</v>
      </c>
      <c r="G741" s="28">
        <f>IF(履歴データ!$A$741="","",(履歴データ!$S$741-履歴データ!$R$741)*100)</f>
        <v>120.30599999999994</v>
      </c>
      <c r="H741" s="29">
        <f>IF(履歴データ!$A$741="","",履歴データ!$O$741)</f>
        <v>154.77799987792969</v>
      </c>
      <c r="I741" s="29">
        <f>IF(履歴データ!$A$741="","",履歴データ!$Q$741)</f>
        <v>112.671875</v>
      </c>
      <c r="J741" s="29">
        <f>IF(履歴データ!$A$741="","",履歴データ!$D$741)</f>
        <v>4.16</v>
      </c>
      <c r="K741" s="28">
        <f>IF(OR(履歴データ!$A$741="",履歴データ!$A$740=""),"",B741-B740)</f>
        <v>0</v>
      </c>
      <c r="L741" s="28">
        <f>IF(OR(履歴データ!$A$741="",履歴データ!$A$740=""),"",C741-C740)</f>
        <v>1.5999999999999766</v>
      </c>
      <c r="M741" s="28">
        <f>IF(OR(履歴データ!$A$741="",履歴データ!$A$740=""),"",D741-D740)</f>
        <v>-1.3000000000000114</v>
      </c>
      <c r="N741" s="28">
        <f>IF(OR(履歴データ!$A$741="",履歴データ!$A$740=""),"",E741-E740)</f>
        <v>-4.2632564145606011E-14</v>
      </c>
      <c r="O741" s="28">
        <f>IF(OR(履歴データ!$A$741="",履歴データ!$A$740=""),"",F741-F740)</f>
        <v>0.84000000000003183</v>
      </c>
      <c r="P741" s="28">
        <f>IF(OR(履歴データ!$A$741="",履歴データ!$A$740=""),"",G741-G740)</f>
        <v>-0.96299999999997965</v>
      </c>
      <c r="Q741" s="29">
        <f>IF(OR(履歴データ!$A$741="",履歴データ!$A$740=""),"",H741-H740)</f>
        <v>-0.23699951171875</v>
      </c>
      <c r="R741" s="29">
        <f>IF(OR(履歴データ!$A$741="",履歴データ!$A$740=""),"",I741-I740)</f>
        <v>-1.5625E-2</v>
      </c>
      <c r="S741" s="28">
        <f>IF(OR(履歴データ!$A$741="",履歴データ!$A$740=""),"",(J741-J740)*100)</f>
        <v>0.99999999999997868</v>
      </c>
      <c r="T741" s="11">
        <f>IF(OR(履歴データ!$A$741="",履歴データ!$A$740=""),"",-80000*K741)</f>
        <v>0</v>
      </c>
      <c r="U741" s="11">
        <f>IF(OR(履歴データ!$A$741="",履歴データ!$A$740=""),"",60000*L741)</f>
        <v>95999.999999998588</v>
      </c>
      <c r="V741" s="11">
        <f>IF(OR(履歴データ!$A$741="",履歴データ!$A$740=""),"",-50000*M741)</f>
        <v>65000.000000000568</v>
      </c>
      <c r="W741" s="11">
        <f>IF(OR(履歴データ!$A$741="",履歴データ!$A$740=""),"",-40000*N741)</f>
        <v>1.7053025658242404E-9</v>
      </c>
      <c r="X741" s="11">
        <f>IF(OR(履歴データ!$A$741="",履歴データ!$A$740=""),"",120*1000000*(-Q741/H740))</f>
        <v>183465.73891706351</v>
      </c>
      <c r="Y741" s="11">
        <f>IF(OR(履歴データ!$A$741="",履歴データ!$A$740=""),"",40000*(-S741)+(-506.3)*R741*1000)</f>
        <v>-32089.062499999149</v>
      </c>
      <c r="Z741" s="11">
        <f>IF(OR(履歴データ!$A$741="",履歴データ!$A$740=""),"",-40000*O741)</f>
        <v>-33600.000000001273</v>
      </c>
      <c r="AA741" s="11">
        <f>IF(OR(履歴データ!$A$741="",履歴データ!$A$740=""),"",-40000*P741)</f>
        <v>38519.999999999185</v>
      </c>
      <c r="AB741" s="11">
        <f>IF(履歴データ!$A$741="","",123.3)</f>
        <v>123.3</v>
      </c>
      <c r="AC741">
        <f>IF(履歴データ!$A$741="","",SUM(T741:AA741))</f>
        <v>317296.67641706316</v>
      </c>
      <c r="AD741" s="29">
        <f>IF(履歴データ!$A$741="","",AC741/1000000)</f>
        <v>0.31729667641706316</v>
      </c>
      <c r="AE741" s="29">
        <f>IF(履歴データ!$A$741="",AE740,AE740+AC741/1000000)</f>
        <v>71.062229751176432</v>
      </c>
      <c r="AF741" s="12">
        <f>IF(OR(履歴データ!$A$741="",AE740=0),"",(AE741-AE740)/AE740)</f>
        <v>4.4850798866649067E-3</v>
      </c>
      <c r="AG741" s="29">
        <f t="shared" si="35"/>
        <v>102.17217746631495</v>
      </c>
      <c r="AH741" s="12">
        <f>IF(OR(履歴データ!$A$741="",AG741=0),"",AE741/AG741-1)</f>
        <v>-0.30448551148276282</v>
      </c>
      <c r="AJ741" s="28">
        <f t="shared" ca="1" si="33"/>
        <v>6.8256662583871215</v>
      </c>
      <c r="AK741" s="28">
        <f t="shared" ca="1" si="34"/>
        <v>-6.8970948298156927</v>
      </c>
    </row>
    <row r="742" spans="1:37">
      <c r="A742" s="10">
        <f>IF(履歴データ!$A$742="","",履歴データ!$A$742)</f>
        <v>46009</v>
      </c>
      <c r="B742" s="28">
        <f>IF(履歴データ!$A$742="","",(履歴データ!$D$742-(履歴データ!$B$742+履歴データ!$F$742)/2)*100)</f>
        <v>-0.99999999999997868</v>
      </c>
      <c r="C742" s="28">
        <f>IF(履歴データ!$A$742="","",(履歴データ!$H$742-(履歴データ!$G$742+履歴データ!$J$742)/2)*100)</f>
        <v>-22.950000000000024</v>
      </c>
      <c r="D742" s="28">
        <f>IF(履歴データ!$A$742="","",(履歴データ!$D$742-履歴データ!$H$742)*100)</f>
        <v>214.8</v>
      </c>
      <c r="E742" s="28">
        <f>IF(履歴データ!$A$742="","",(履歴データ!$D$742-履歴データ!$C$742)*100)</f>
        <v>46</v>
      </c>
      <c r="F742" s="28">
        <f>IF(履歴データ!$A$742="","",(履歴データ!$R$742-履歴データ!$D$742)*100)</f>
        <v>-318.72000000000003</v>
      </c>
      <c r="G742" s="28">
        <f>IF(履歴データ!$A$742="","",(履歴データ!$S$742-履歴データ!$R$742)*100)</f>
        <v>115.32264282226544</v>
      </c>
      <c r="H742" s="29">
        <f>IF(履歴データ!$A$742="","",履歴データ!$O$742)</f>
        <v>155.4949951171875</v>
      </c>
      <c r="I742" s="29">
        <f>IF(履歴データ!$A$742="","",履歴データ!$Q$742)</f>
        <v>112.9375</v>
      </c>
      <c r="J742" s="29">
        <f>IF(履歴データ!$A$742="","",履歴データ!$D$742)</f>
        <v>4.12</v>
      </c>
      <c r="K742" s="28">
        <f>IF(OR(履歴データ!$A$742="",履歴データ!$A$741=""),"",B742-B741)</f>
        <v>-0.99999999999997868</v>
      </c>
      <c r="L742" s="28">
        <f>IF(OR(履歴データ!$A$742="",履歴データ!$A$741=""),"",C742-C741)</f>
        <v>-1.5500000000000256</v>
      </c>
      <c r="M742" s="28">
        <f>IF(OR(履歴データ!$A$742="",履歴データ!$A$741=""),"",D742-D741)</f>
        <v>-3.2000000000000171</v>
      </c>
      <c r="N742" s="28">
        <f>IF(OR(履歴データ!$A$742="",履歴データ!$A$741=""),"",E742-E741)</f>
        <v>0</v>
      </c>
      <c r="O742" s="28">
        <f>IF(OR(履歴データ!$A$742="",履歴データ!$A$741=""),"",F742-F741)</f>
        <v>5.3000000000000114</v>
      </c>
      <c r="P742" s="28">
        <f>IF(OR(履歴データ!$A$742="",履歴データ!$A$741=""),"",G742-G741)</f>
        <v>-4.9833571777345043</v>
      </c>
      <c r="Q742" s="29">
        <f>IF(OR(履歴データ!$A$742="",履歴データ!$A$741=""),"",H742-H741)</f>
        <v>0.7169952392578125</v>
      </c>
      <c r="R742" s="29">
        <f>IF(OR(履歴データ!$A$742="",履歴データ!$A$741=""),"",I742-I741)</f>
        <v>0.265625</v>
      </c>
      <c r="S742" s="28">
        <f>IF(OR(履歴データ!$A$742="",履歴データ!$A$741=""),"",(J742-J741)*100)</f>
        <v>-4.0000000000000036</v>
      </c>
      <c r="T742" s="11">
        <f>IF(OR(履歴データ!$A$742="",履歴データ!$A$741=""),"",-80000*K742)</f>
        <v>79999.999999998297</v>
      </c>
      <c r="U742" s="11">
        <f>IF(OR(履歴データ!$A$742="",履歴データ!$A$741=""),"",60000*L742)</f>
        <v>-93000.000000001528</v>
      </c>
      <c r="V742" s="11">
        <f>IF(OR(履歴データ!$A$742="",履歴データ!$A$741=""),"",-50000*M742)</f>
        <v>160000.00000000084</v>
      </c>
      <c r="W742" s="11">
        <f>IF(OR(履歴データ!$A$742="",履歴データ!$A$741=""),"",-40000*N742)</f>
        <v>0</v>
      </c>
      <c r="X742" s="11">
        <f>IF(OR(履歴データ!$A$742="",履歴データ!$A$741=""),"",120*1000000*(-Q742/H741))</f>
        <v>-555889.2657793425</v>
      </c>
      <c r="Y742" s="11">
        <f>IF(OR(履歴データ!$A$742="",履歴データ!$A$741=""),"",40000*(-S742)+(-506.3)*R742*1000)</f>
        <v>25514.062500000146</v>
      </c>
      <c r="Z742" s="11">
        <f>IF(OR(履歴データ!$A$742="",履歴データ!$A$741=""),"",-40000*O742)</f>
        <v>-212000.00000000047</v>
      </c>
      <c r="AA742" s="11">
        <f>IF(OR(履歴データ!$A$742="",履歴データ!$A$741=""),"",-40000*P742)</f>
        <v>199334.28710938018</v>
      </c>
      <c r="AB742" s="11">
        <f>IF(履歴データ!$A$742="","",123.3)</f>
        <v>123.3</v>
      </c>
      <c r="AC742">
        <f>IF(履歴データ!$A$742="","",SUM(T742:AA742))</f>
        <v>-396040.916169965</v>
      </c>
      <c r="AD742" s="29">
        <f>IF(履歴データ!$A$742="","",AC742/1000000)</f>
        <v>-0.39604091616996501</v>
      </c>
      <c r="AE742" s="29">
        <f>IF(履歴データ!$A$742="",AE741,AE741+AC742/1000000)</f>
        <v>70.666188835006466</v>
      </c>
      <c r="AF742" s="12">
        <f>IF(OR(履歴データ!$A$742="",AE741=0),"",(AE742-AE741)/AE741)</f>
        <v>-5.5731563385598582E-3</v>
      </c>
      <c r="AG742" s="29">
        <f t="shared" si="35"/>
        <v>102.17217746631495</v>
      </c>
      <c r="AH742" s="12">
        <f>IF(OR(履歴データ!$A$742="",AG742=0),"",AE742/AG742-1)</f>
        <v>-0.30836172246300286</v>
      </c>
      <c r="AJ742" s="28">
        <f t="shared" ca="1" si="33"/>
        <v>6.824453726087131</v>
      </c>
      <c r="AK742" s="28">
        <f t="shared" ca="1" si="34"/>
        <v>-6.8800092816426863</v>
      </c>
    </row>
    <row r="743" spans="1:37">
      <c r="A743" s="10">
        <f>IF(履歴データ!$A$743="","",履歴データ!$A$743)</f>
        <v>46010</v>
      </c>
      <c r="B743" s="28">
        <f>IF(履歴データ!$A$743="","",(履歴データ!$D$743-(履歴データ!$B$743+履歴データ!$F$743)/2)*100)</f>
        <v>0.99999999999997868</v>
      </c>
      <c r="C743" s="28">
        <f>IF(履歴データ!$A$743="","",(履歴データ!$H$743-(履歴データ!$G$743+履歴データ!$J$743)/2)*100)</f>
        <v>-21.050000000000011</v>
      </c>
      <c r="D743" s="28">
        <f>IF(履歴データ!$A$743="","",(履歴データ!$D$743-履歴データ!$H$743)*100)</f>
        <v>213.90000000000003</v>
      </c>
      <c r="E743" s="28">
        <f>IF(履歴データ!$A$743="","",(履歴データ!$D$743-履歴データ!$C$743)*100)</f>
        <v>46</v>
      </c>
      <c r="F743" s="28">
        <f>IF(履歴データ!$A$743="","",(履歴データ!$R$743-履歴データ!$D$743)*100)</f>
        <v>-323.60000000000002</v>
      </c>
      <c r="G743" s="28">
        <f>IF(履歴データ!$A$743="","",(履歴データ!$S$743-履歴データ!$R$743)*100)</f>
        <v>121.63999999999997</v>
      </c>
      <c r="H743" s="29">
        <f>IF(履歴データ!$A$743="","",履歴データ!$O$743)</f>
        <v>155.58599853515625</v>
      </c>
      <c r="I743" s="29">
        <f>IF(履歴データ!$A$743="","",履歴データ!$Q$743)</f>
        <v>112.703125</v>
      </c>
      <c r="J743" s="29">
        <f>IF(履歴データ!$A$743="","",履歴データ!$D$743)</f>
        <v>4.16</v>
      </c>
      <c r="K743" s="28">
        <f>IF(OR(履歴データ!$A$743="",履歴データ!$A$742=""),"",B743-B742)</f>
        <v>1.9999999999999574</v>
      </c>
      <c r="L743" s="28">
        <f>IF(OR(履歴データ!$A$743="",履歴データ!$A$742=""),"",C743-C742)</f>
        <v>1.9000000000000128</v>
      </c>
      <c r="M743" s="28">
        <f>IF(OR(履歴データ!$A$743="",履歴データ!$A$742=""),"",D743-D742)</f>
        <v>-0.89999999999997726</v>
      </c>
      <c r="N743" s="28">
        <f>IF(OR(履歴データ!$A$743="",履歴データ!$A$742=""),"",E743-E742)</f>
        <v>0</v>
      </c>
      <c r="O743" s="28">
        <f>IF(OR(履歴データ!$A$743="",履歴データ!$A$742=""),"",F743-F742)</f>
        <v>-4.8799999999999955</v>
      </c>
      <c r="P743" s="28">
        <f>IF(OR(履歴データ!$A$743="",履歴データ!$A$742=""),"",G743-G742)</f>
        <v>6.3173571777345359</v>
      </c>
      <c r="Q743" s="29">
        <f>IF(OR(履歴データ!$A$743="",履歴データ!$A$742=""),"",H743-H742)</f>
        <v>9.100341796875E-2</v>
      </c>
      <c r="R743" s="29">
        <f>IF(OR(履歴データ!$A$743="",履歴データ!$A$742=""),"",I743-I742)</f>
        <v>-0.234375</v>
      </c>
      <c r="S743" s="28">
        <f>IF(OR(履歴データ!$A$743="",履歴データ!$A$742=""),"",(J743-J742)*100)</f>
        <v>4.0000000000000036</v>
      </c>
      <c r="T743" s="11">
        <f>IF(OR(履歴データ!$A$743="",履歴データ!$A$742=""),"",-80000*K743)</f>
        <v>-159999.99999999659</v>
      </c>
      <c r="U743" s="11">
        <f>IF(OR(履歴データ!$A$743="",履歴データ!$A$742=""),"",60000*L743)</f>
        <v>114000.00000000077</v>
      </c>
      <c r="V743" s="11">
        <f>IF(OR(履歴データ!$A$743="",履歴データ!$A$742=""),"",-50000*M743)</f>
        <v>44999.999999998865</v>
      </c>
      <c r="W743" s="11">
        <f>IF(OR(履歴データ!$A$743="",履歴データ!$A$742=""),"",-40000*N743)</f>
        <v>0</v>
      </c>
      <c r="X743" s="11">
        <f>IF(OR(履歴データ!$A$743="",履歴データ!$A$742=""),"",120*1000000*(-Q743/H742))</f>
        <v>-70229.978450559938</v>
      </c>
      <c r="Y743" s="11">
        <f>IF(OR(履歴データ!$A$743="",履歴データ!$A$742=""),"",40000*(-S743)+(-506.3)*R743*1000)</f>
        <v>-41335.937500000146</v>
      </c>
      <c r="Z743" s="11">
        <f>IF(OR(履歴データ!$A$743="",履歴データ!$A$742=""),"",-40000*O743)</f>
        <v>195199.99999999983</v>
      </c>
      <c r="AA743" s="11">
        <f>IF(OR(履歴データ!$A$743="",履歴データ!$A$742=""),"",-40000*P743)</f>
        <v>-252694.28710938143</v>
      </c>
      <c r="AB743" s="11">
        <f>IF(履歴データ!$A$743="","",123.3)</f>
        <v>123.3</v>
      </c>
      <c r="AC743">
        <f>IF(履歴データ!$A$743="","",SUM(T743:AA743))</f>
        <v>-170060.20305993865</v>
      </c>
      <c r="AD743" s="29">
        <f>IF(履歴データ!$A$743="","",AC743/1000000)</f>
        <v>-0.17006020305993866</v>
      </c>
      <c r="AE743" s="29">
        <f>IF(履歴データ!$A$743="",AE742,AE742+AC743/1000000)</f>
        <v>70.496128631946533</v>
      </c>
      <c r="AF743" s="12">
        <f>IF(OR(履歴データ!$A$743="",AE742=0),"",(AE743-AE742)/AE742)</f>
        <v>-2.4065285798416892E-3</v>
      </c>
      <c r="AG743" s="29">
        <f t="shared" si="35"/>
        <v>102.17217746631495</v>
      </c>
      <c r="AH743" s="12">
        <f>IF(OR(履歴データ!$A$743="",AG743=0),"",AE743/AG743-1)</f>
        <v>-0.31002616974480812</v>
      </c>
      <c r="AJ743" s="28">
        <f t="shared" ca="1" si="33"/>
        <v>6.8294139223195529</v>
      </c>
      <c r="AK743" s="28">
        <f t="shared" ca="1" si="34"/>
        <v>-6.8492551921608236</v>
      </c>
    </row>
    <row r="744" spans="1:37">
      <c r="A744" s="10">
        <f>IF(履歴データ!$A$744="","",履歴データ!$A$744)</f>
        <v>46013</v>
      </c>
      <c r="B744" s="28">
        <f>IF(履歴データ!$A$744="","",(履歴データ!$D$744-(履歴データ!$B$744+履歴データ!$F$744)/2)*100)</f>
        <v>3.0000000000000249</v>
      </c>
      <c r="C744" s="28">
        <f>IF(履歴データ!$A$744="","",(履歴データ!$H$744-(履歴データ!$G$744+履歴データ!$J$744)/2)*100)</f>
        <v>-17.850000000000009</v>
      </c>
      <c r="D744" s="28">
        <f>IF(履歴データ!$A$744="","",(履歴データ!$D$744-履歴データ!$H$744)*100)</f>
        <v>209.7</v>
      </c>
      <c r="E744" s="28">
        <f>IF(履歴データ!$A$744="","",(履歴データ!$D$744-履歴データ!$C$744)*100)</f>
        <v>46</v>
      </c>
      <c r="F744" s="28">
        <f>IF(履歴データ!$A$744="","",(履歴データ!$R$744-履歴データ!$D$744)*100)</f>
        <v>-320.31</v>
      </c>
      <c r="G744" s="28">
        <f>IF(履歴データ!$A$744="","",(履歴データ!$S$744-履歴データ!$R$744)*100)</f>
        <v>122.6119999999999</v>
      </c>
      <c r="H744" s="29">
        <f>IF(履歴データ!$A$744="","",履歴データ!$O$744)</f>
        <v>157.67599487304688</v>
      </c>
      <c r="I744" s="29">
        <f>IF(履歴データ!$A$744="","",履歴データ!$Q$744)</f>
        <v>112.34375</v>
      </c>
      <c r="J744" s="29">
        <f>IF(履歴データ!$A$744="","",履歴データ!$D$744)</f>
        <v>4.17</v>
      </c>
      <c r="K744" s="28">
        <f>IF(OR(履歴データ!$A$744="",履歴データ!$A$743=""),"",B744-B743)</f>
        <v>2.0000000000000462</v>
      </c>
      <c r="L744" s="28">
        <f>IF(OR(履歴データ!$A$744="",履歴データ!$A$743=""),"",C744-C743)</f>
        <v>3.2000000000000028</v>
      </c>
      <c r="M744" s="28">
        <f>IF(OR(履歴データ!$A$744="",履歴データ!$A$743=""),"",D744-D743)</f>
        <v>-4.2000000000000455</v>
      </c>
      <c r="N744" s="28">
        <f>IF(OR(履歴データ!$A$744="",履歴データ!$A$743=""),"",E744-E743)</f>
        <v>0</v>
      </c>
      <c r="O744" s="28">
        <f>IF(OR(履歴データ!$A$744="",履歴データ!$A$743=""),"",F744-F743)</f>
        <v>3.2900000000000205</v>
      </c>
      <c r="P744" s="28">
        <f>IF(OR(履歴データ!$A$744="",履歴データ!$A$743=""),"",G744-G743)</f>
        <v>0.97199999999992315</v>
      </c>
      <c r="Q744" s="29">
        <f>IF(OR(履歴データ!$A$744="",履歴データ!$A$743=""),"",H744-H743)</f>
        <v>2.089996337890625</v>
      </c>
      <c r="R744" s="29">
        <f>IF(OR(履歴データ!$A$744="",履歴データ!$A$743=""),"",I744-I743)</f>
        <v>-0.359375</v>
      </c>
      <c r="S744" s="28">
        <f>IF(OR(履歴データ!$A$744="",履歴データ!$A$743=""),"",(J744-J743)*100)</f>
        <v>0.99999999999997868</v>
      </c>
      <c r="T744" s="11">
        <f>IF(OR(履歴データ!$A$744="",履歴データ!$A$743=""),"",-80000*K744)</f>
        <v>-160000.0000000037</v>
      </c>
      <c r="U744" s="11">
        <f>IF(OR(履歴データ!$A$744="",履歴データ!$A$743=""),"",60000*L744)</f>
        <v>192000.00000000017</v>
      </c>
      <c r="V744" s="11">
        <f>IF(OR(履歴データ!$A$744="",履歴データ!$A$743=""),"",-50000*M744)</f>
        <v>210000.00000000227</v>
      </c>
      <c r="W744" s="11">
        <f>IF(OR(履歴データ!$A$744="",履歴データ!$A$743=""),"",-40000*N744)</f>
        <v>0</v>
      </c>
      <c r="X744" s="11">
        <f>IF(OR(履歴データ!$A$744="",履歴データ!$A$743=""),"",120*1000000*(-Q744/H743))</f>
        <v>-1611967.4193574961</v>
      </c>
      <c r="Y744" s="11">
        <f>IF(OR(履歴データ!$A$744="",履歴データ!$A$743=""),"",40000*(-S744)+(-506.3)*R744*1000)</f>
        <v>141951.56250000084</v>
      </c>
      <c r="Z744" s="11">
        <f>IF(OR(履歴データ!$A$744="",履歴データ!$A$743=""),"",-40000*O744)</f>
        <v>-131600.00000000081</v>
      </c>
      <c r="AA744" s="11">
        <f>IF(OR(履歴データ!$A$744="",履歴データ!$A$743=""),"",-40000*P744)</f>
        <v>-38879.99999999693</v>
      </c>
      <c r="AB744" s="11">
        <f>IF(履歴データ!$A$744="","",123.3)</f>
        <v>123.3</v>
      </c>
      <c r="AC744">
        <f>IF(履歴データ!$A$744="","",SUM(T744:AA744))</f>
        <v>-1398495.8568574942</v>
      </c>
      <c r="AD744" s="29">
        <f>IF(履歴データ!$A$744="","",AC744/1000000)</f>
        <v>-1.3984958568574941</v>
      </c>
      <c r="AE744" s="29">
        <f>IF(履歴データ!$A$744="",AE743,AE743+AC744/1000000)</f>
        <v>69.097632775089039</v>
      </c>
      <c r="AF744" s="12">
        <f>IF(OR(履歴データ!$A$744="",AE743=0),"",(AE744-AE743)/AE743)</f>
        <v>-1.9837910024235593E-2</v>
      </c>
      <c r="AG744" s="29">
        <f t="shared" si="35"/>
        <v>102.17217746631495</v>
      </c>
      <c r="AH744" s="12">
        <f>IF(OR(履歴データ!$A$744="",AG744=0),"",AE744/AG744-1)</f>
        <v>-0.32371380850848785</v>
      </c>
      <c r="AJ744" s="28">
        <f t="shared" ca="1" si="33"/>
        <v>6.8550779348488273</v>
      </c>
      <c r="AK744" s="28">
        <f t="shared" ca="1" si="34"/>
        <v>-6.8352366650075584</v>
      </c>
    </row>
    <row r="745" spans="1:37">
      <c r="A745" s="10">
        <f>IF(履歴データ!$A$745="","",履歴データ!$A$745)</f>
        <v>46014</v>
      </c>
      <c r="B745" s="28">
        <f>IF(履歴データ!$A$745="","",(履歴データ!$D$745-(履歴データ!$B$745+履歴データ!$F$745)/2)*100)</f>
        <v>2.4999999999999467</v>
      </c>
      <c r="C745" s="28">
        <f>IF(履歴データ!$A$745="","",(履歴データ!$H$745-(履歴データ!$G$745+履歴データ!$J$745)/2)*100)</f>
        <v>-20.199999999999996</v>
      </c>
      <c r="D745" s="28">
        <f>IF(履歴データ!$A$745="","",(履歴データ!$D$745-履歴データ!$H$745)*100)</f>
        <v>214.09999999999997</v>
      </c>
      <c r="E745" s="28">
        <f>IF(履歴データ!$A$745="","",(履歴データ!$D$745-履歴データ!$C$745)*100)</f>
        <v>45.99999999999995</v>
      </c>
      <c r="F745" s="28">
        <f>IF(履歴データ!$A$745="","",(履歴データ!$R$745-履歴データ!$D$745)*100)</f>
        <v>-317.34999999999997</v>
      </c>
      <c r="G745" s="28">
        <f>IF(履歴データ!$A$745="","",(履歴データ!$S$745-履歴データ!$R$745)*100)</f>
        <v>109.18035717773434</v>
      </c>
      <c r="H745" s="29">
        <f>IF(履歴データ!$A$745="","",履歴データ!$O$745)</f>
        <v>156.87699890136719</v>
      </c>
      <c r="I745" s="29">
        <f>IF(履歴データ!$A$745="","",履歴データ!$Q$745)</f>
        <v>112.296875</v>
      </c>
      <c r="J745" s="29">
        <f>IF(履歴データ!$A$745="","",履歴データ!$D$745)</f>
        <v>4.18</v>
      </c>
      <c r="K745" s="28">
        <f>IF(OR(履歴データ!$A$745="",履歴データ!$A$744=""),"",B745-B744)</f>
        <v>-0.50000000000007816</v>
      </c>
      <c r="L745" s="28">
        <f>IF(OR(履歴データ!$A$745="",履歴データ!$A$744=""),"",C745-C744)</f>
        <v>-2.3499999999999872</v>
      </c>
      <c r="M745" s="28">
        <f>IF(OR(履歴データ!$A$745="",履歴データ!$A$744=""),"",D745-D744)</f>
        <v>4.3999999999999773</v>
      </c>
      <c r="N745" s="28">
        <f>IF(OR(履歴データ!$A$745="",履歴データ!$A$744=""),"",E745-E744)</f>
        <v>-4.9737991503207013E-14</v>
      </c>
      <c r="O745" s="28">
        <f>IF(OR(履歴データ!$A$745="",履歴データ!$A$744=""),"",F745-F744)</f>
        <v>2.9600000000000364</v>
      </c>
      <c r="P745" s="28">
        <f>IF(OR(履歴データ!$A$745="",履歴データ!$A$744=""),"",G745-G744)</f>
        <v>-13.431642822265559</v>
      </c>
      <c r="Q745" s="29">
        <f>IF(OR(履歴データ!$A$745="",履歴データ!$A$744=""),"",H745-H744)</f>
        <v>-0.7989959716796875</v>
      </c>
      <c r="R745" s="29">
        <f>IF(OR(履歴データ!$A$745="",履歴データ!$A$744=""),"",I745-I744)</f>
        <v>-4.6875E-2</v>
      </c>
      <c r="S745" s="28">
        <f>IF(OR(履歴データ!$A$745="",履歴データ!$A$744=""),"",(J745-J744)*100)</f>
        <v>0.99999999999997868</v>
      </c>
      <c r="T745" s="11">
        <f>IF(OR(履歴データ!$A$745="",履歴データ!$A$744=""),"",-80000*K745)</f>
        <v>40000.00000000625</v>
      </c>
      <c r="U745" s="11">
        <f>IF(OR(履歴データ!$A$745="",履歴データ!$A$744=""),"",60000*L745)</f>
        <v>-140999.99999999924</v>
      </c>
      <c r="V745" s="11">
        <f>IF(OR(履歴データ!$A$745="",履歴データ!$A$744=""),"",-50000*M745)</f>
        <v>-219999.99999999886</v>
      </c>
      <c r="W745" s="11">
        <f>IF(OR(履歴データ!$A$745="",履歴データ!$A$744=""),"",-40000*N745)</f>
        <v>1.9895196601282805E-9</v>
      </c>
      <c r="X745" s="11">
        <f>IF(OR(履歴データ!$A$745="",履歴データ!$A$744=""),"",120*1000000*(-Q745/H744))</f>
        <v>608079.35081532272</v>
      </c>
      <c r="Y745" s="11">
        <f>IF(OR(履歴データ!$A$745="",履歴データ!$A$744=""),"",40000*(-S745)+(-506.3)*R745*1000)</f>
        <v>-16267.187499999149</v>
      </c>
      <c r="Z745" s="11">
        <f>IF(OR(履歴データ!$A$745="",履歴データ!$A$744=""),"",-40000*O745)</f>
        <v>-118400.00000000146</v>
      </c>
      <c r="AA745" s="11">
        <f>IF(OR(履歴データ!$A$745="",履歴データ!$A$744=""),"",-40000*P745)</f>
        <v>537265.71289062232</v>
      </c>
      <c r="AB745" s="11">
        <f>IF(履歴データ!$A$745="","",123.3)</f>
        <v>123.3</v>
      </c>
      <c r="AC745">
        <f>IF(履歴データ!$A$745="","",SUM(T745:AA745))</f>
        <v>689677.87620595458</v>
      </c>
      <c r="AD745" s="29">
        <f>IF(履歴データ!$A$745="","",AC745/1000000)</f>
        <v>0.68967787620595455</v>
      </c>
      <c r="AE745" s="29">
        <f>IF(履歴データ!$A$745="",AE744,AE744+AC745/1000000)</f>
        <v>69.787310651294987</v>
      </c>
      <c r="AF745" s="12">
        <f>IF(OR(履歴データ!$A$745="",AE744=0),"",(AE745-AE744)/AE744)</f>
        <v>9.9812084511032607E-3</v>
      </c>
      <c r="AG745" s="29">
        <f t="shared" si="35"/>
        <v>102.17217746631495</v>
      </c>
      <c r="AH745" s="12">
        <f>IF(OR(履歴データ!$A$745="",AG745=0),"",AE745/AG745-1)</f>
        <v>-0.31696365505860824</v>
      </c>
      <c r="AJ745" s="28">
        <f t="shared" ca="1" si="33"/>
        <v>6.8721835205704513</v>
      </c>
      <c r="AK745" s="28">
        <f t="shared" ca="1" si="34"/>
        <v>-6.8325009808879136</v>
      </c>
    </row>
    <row r="746" spans="1:37">
      <c r="A746" s="10">
        <f>IF(履歴データ!$A$746="","",履歴データ!$A$746)</f>
        <v>46015</v>
      </c>
      <c r="B746" s="28">
        <f>IF(履歴データ!$A$746="","",(履歴データ!$D$746-(履歴データ!$B$746+履歴データ!$F$746)/2)*100)</f>
        <v>2.0000000000000462</v>
      </c>
      <c r="C746" s="28">
        <f>IF(履歴データ!$A$746="","",(履歴データ!$H$746-(履歴データ!$G$746+履歴データ!$J$746)/2)*100)</f>
        <v>-19.700000000000006</v>
      </c>
      <c r="D746" s="28">
        <f>IF(履歴データ!$A$746="","",(履歴データ!$D$746-履歴データ!$H$746)*100)</f>
        <v>210.60000000000002</v>
      </c>
      <c r="E746" s="28">
        <f>IF(履歴データ!$A$746="","",(履歴データ!$D$746-履歴データ!$C$746)*100)</f>
        <v>45.000000000000014</v>
      </c>
      <c r="F746" s="28">
        <f>IF(履歴データ!$A$746="","",(履歴データ!$R$746-履歴データ!$D$746)*100)</f>
        <v>-318.33000000000004</v>
      </c>
      <c r="G746" s="28">
        <f>IF(履歴データ!$A$746="","",(履歴データ!$S$746-履歴データ!$R$746)*100)</f>
        <v>112.28335717773432</v>
      </c>
      <c r="H746" s="29">
        <f>IF(履歴データ!$A$746="","",履歴データ!$O$746)</f>
        <v>156.17599487304688</v>
      </c>
      <c r="I746" s="29">
        <f>IF(履歴データ!$A$746="","",履歴データ!$Q$746)</f>
        <v>112.515625</v>
      </c>
      <c r="J746" s="29">
        <f>IF(履歴データ!$A$746="","",履歴データ!$D$746)</f>
        <v>4.1500000000000004</v>
      </c>
      <c r="K746" s="28">
        <f>IF(OR(履歴データ!$A$746="",履歴データ!$A$745=""),"",B746-B745)</f>
        <v>-0.49999999999990052</v>
      </c>
      <c r="L746" s="28">
        <f>IF(OR(履歴データ!$A$746="",履歴データ!$A$745=""),"",C746-C745)</f>
        <v>0.49999999999998934</v>
      </c>
      <c r="M746" s="28">
        <f>IF(OR(履歴データ!$A$746="",履歴データ!$A$745=""),"",D746-D745)</f>
        <v>-3.4999999999999432</v>
      </c>
      <c r="N746" s="28">
        <f>IF(OR(履歴データ!$A$746="",履歴データ!$A$745=""),"",E746-E745)</f>
        <v>-0.99999999999993605</v>
      </c>
      <c r="O746" s="28">
        <f>IF(OR(履歴データ!$A$746="",履歴データ!$A$745=""),"",F746-F745)</f>
        <v>-0.98000000000007503</v>
      </c>
      <c r="P746" s="28">
        <f>IF(OR(履歴データ!$A$746="",履歴データ!$A$745=""),"",G746-G745)</f>
        <v>3.1029999999999802</v>
      </c>
      <c r="Q746" s="29">
        <f>IF(OR(履歴データ!$A$746="",履歴データ!$A$745=""),"",H746-H745)</f>
        <v>-0.7010040283203125</v>
      </c>
      <c r="R746" s="29">
        <f>IF(OR(履歴データ!$A$746="",履歴データ!$A$745=""),"",I746-I745)</f>
        <v>0.21875</v>
      </c>
      <c r="S746" s="28">
        <f>IF(OR(履歴データ!$A$746="",履歴データ!$A$745=""),"",(J746-J745)*100)</f>
        <v>-2.9999999999999361</v>
      </c>
      <c r="T746" s="11">
        <f>IF(OR(履歴データ!$A$746="",履歴データ!$A$745=""),"",-80000*K746)</f>
        <v>39999.99999999204</v>
      </c>
      <c r="U746" s="11">
        <f>IF(OR(履歴データ!$A$746="",履歴データ!$A$745=""),"",60000*L746)</f>
        <v>29999.99999999936</v>
      </c>
      <c r="V746" s="11">
        <f>IF(OR(履歴データ!$A$746="",履歴データ!$A$745=""),"",-50000*M746)</f>
        <v>174999.99999999715</v>
      </c>
      <c r="W746" s="11">
        <f>IF(OR(履歴データ!$A$746="",履歴データ!$A$745=""),"",-40000*N746)</f>
        <v>39999.999999997439</v>
      </c>
      <c r="X746" s="11">
        <f>IF(OR(履歴データ!$A$746="",履歴データ!$A$745=""),"",120*1000000*(-Q746/H745))</f>
        <v>536219.35648658301</v>
      </c>
      <c r="Y746" s="11">
        <f>IF(OR(履歴データ!$A$746="",履歴データ!$A$745=""),"",40000*(-S746)+(-506.3)*R746*1000)</f>
        <v>9246.8749999974389</v>
      </c>
      <c r="Z746" s="11">
        <f>IF(OR(履歴データ!$A$746="",履歴データ!$A$745=""),"",-40000*O746)</f>
        <v>39200.000000002998</v>
      </c>
      <c r="AA746" s="11">
        <f>IF(OR(履歴データ!$A$746="",履歴データ!$A$745=""),"",-40000*P746)</f>
        <v>-124119.99999999921</v>
      </c>
      <c r="AB746" s="11">
        <f>IF(履歴データ!$A$746="","",123.3)</f>
        <v>123.3</v>
      </c>
      <c r="AC746">
        <f>IF(履歴データ!$A$746="","",SUM(T746:AA746))</f>
        <v>745546.23148657021</v>
      </c>
      <c r="AD746" s="29">
        <f>IF(履歴データ!$A$746="","",AC746/1000000)</f>
        <v>0.74554623148657018</v>
      </c>
      <c r="AE746" s="29">
        <f>IF(履歴データ!$A$746="",AE745,AE745+AC746/1000000)</f>
        <v>70.532856882781559</v>
      </c>
      <c r="AF746" s="12">
        <f>IF(OR(履歴データ!$A$746="",AE745=0),"",(AE746-AE745)/AE745)</f>
        <v>1.0683120248204274E-2</v>
      </c>
      <c r="AG746" s="29">
        <f t="shared" si="35"/>
        <v>102.17217746631495</v>
      </c>
      <c r="AH746" s="12">
        <f>IF(OR(履歴データ!$A$746="",AG746=0),"",AE746/AG746-1)</f>
        <v>-0.30966669565170546</v>
      </c>
      <c r="AJ746" s="28">
        <f t="shared" ca="1" si="33"/>
        <v>6.8503527647106859</v>
      </c>
      <c r="AK746" s="28">
        <f t="shared" ca="1" si="34"/>
        <v>-6.8265432409011622</v>
      </c>
    </row>
    <row r="747" spans="1:37">
      <c r="A747" s="10">
        <f>IF(履歴データ!$A$747="","",履歴データ!$A$747)</f>
        <v>46017</v>
      </c>
      <c r="B747" s="28">
        <f>IF(履歴データ!$A$747="","",(履歴データ!$D$747-(履歴データ!$B$747+履歴データ!$F$747)/2)*100)</f>
        <v>0.49999999999998934</v>
      </c>
      <c r="C747" s="28">
        <f>IF(履歴データ!$A$747="","",(履歴データ!$H$747-(履歴データ!$G$747+履歴データ!$J$747)/2)*100)</f>
        <v>-19.899999999999984</v>
      </c>
      <c r="D747" s="28">
        <f>IF(履歴データ!$A$747="","",(履歴データ!$D$747-履歴データ!$H$747)*100)</f>
        <v>210.09999999999997</v>
      </c>
      <c r="E747" s="28">
        <f>IF(履歴データ!$A$747="","",(履歴データ!$D$747-履歴データ!$C$747)*100)</f>
        <v>45.99999999999995</v>
      </c>
      <c r="F747" s="28">
        <f>IF(履歴データ!$A$747="","",(履歴データ!$R$747-履歴データ!$D$747)*100)</f>
        <v>-315.59999999999997</v>
      </c>
      <c r="G747" s="28">
        <f>IF(履歴データ!$A$747="","",(履歴データ!$S$747-履歴データ!$R$747)*100)</f>
        <v>111.07964282226544</v>
      </c>
      <c r="H747" s="29">
        <f>IF(履歴データ!$A$747="","",履歴データ!$O$747)</f>
        <v>156.08999633789063</v>
      </c>
      <c r="I747" s="29">
        <f>IF(履歴データ!$A$747="","",履歴データ!$Q$747)</f>
        <v>112.578125</v>
      </c>
      <c r="J747" s="29">
        <f>IF(履歴データ!$A$747="","",履歴データ!$D$747)</f>
        <v>4.1399999999999997</v>
      </c>
      <c r="K747" s="28">
        <f>IF(OR(履歴データ!$A$747="",履歴データ!$A$746=""),"",B747-B746)</f>
        <v>-1.5000000000000568</v>
      </c>
      <c r="L747" s="28">
        <f>IF(OR(履歴データ!$A$747="",履歴データ!$A$746=""),"",C747-C746)</f>
        <v>-0.19999999999997797</v>
      </c>
      <c r="M747" s="28">
        <f>IF(OR(履歴データ!$A$747="",履歴データ!$A$746=""),"",D747-D746)</f>
        <v>-0.50000000000005684</v>
      </c>
      <c r="N747" s="28">
        <f>IF(OR(履歴データ!$A$747="",履歴データ!$A$746=""),"",E747-E746)</f>
        <v>0.99999999999993605</v>
      </c>
      <c r="O747" s="28">
        <f>IF(OR(履歴データ!$A$747="",履歴データ!$A$746=""),"",F747-F746)</f>
        <v>2.730000000000075</v>
      </c>
      <c r="P747" s="28">
        <f>IF(OR(履歴データ!$A$747="",履歴データ!$A$746=""),"",G747-G746)</f>
        <v>-1.2037143554688754</v>
      </c>
      <c r="Q747" s="29">
        <f>IF(OR(履歴データ!$A$747="",履歴データ!$A$746=""),"",H747-H746)</f>
        <v>-8.599853515625E-2</v>
      </c>
      <c r="R747" s="29">
        <f>IF(OR(履歴データ!$A$747="",履歴データ!$A$746=""),"",I747-I746)</f>
        <v>6.25E-2</v>
      </c>
      <c r="S747" s="28">
        <f>IF(OR(履歴データ!$A$747="",履歴データ!$A$746=""),"",(J747-J746)*100)</f>
        <v>-1.0000000000000675</v>
      </c>
      <c r="T747" s="11">
        <f>IF(OR(履歴データ!$A$747="",履歴データ!$A$746=""),"",-80000*K747)</f>
        <v>120000.00000000454</v>
      </c>
      <c r="U747" s="11">
        <f>IF(OR(履歴データ!$A$747="",履歴データ!$A$746=""),"",60000*L747)</f>
        <v>-11999.999999998678</v>
      </c>
      <c r="V747" s="11">
        <f>IF(OR(履歴データ!$A$747="",履歴データ!$A$746=""),"",-50000*M747)</f>
        <v>25000.000000002841</v>
      </c>
      <c r="W747" s="11">
        <f>IF(OR(履歴データ!$A$747="",履歴データ!$A$746=""),"",-40000*N747)</f>
        <v>-39999.999999997439</v>
      </c>
      <c r="X747" s="11">
        <f>IF(OR(履歴データ!$A$747="",履歴データ!$A$746=""),"",120*1000000*(-Q747/H746))</f>
        <v>66078.171790349923</v>
      </c>
      <c r="Y747" s="11">
        <f>IF(OR(履歴データ!$A$747="",履歴データ!$A$746=""),"",40000*(-S747)+(-506.3)*R747*1000)</f>
        <v>8356.2500000026994</v>
      </c>
      <c r="Z747" s="11">
        <f>IF(OR(履歴データ!$A$747="",履歴データ!$A$746=""),"",-40000*O747)</f>
        <v>-109200.000000003</v>
      </c>
      <c r="AA747" s="11">
        <f>IF(OR(履歴データ!$A$747="",履歴データ!$A$746=""),"",-40000*P747)</f>
        <v>48148.574218755013</v>
      </c>
      <c r="AB747" s="11">
        <f>IF(履歴データ!$A$747="","",123.3)</f>
        <v>123.3</v>
      </c>
      <c r="AC747">
        <f>IF(履歴データ!$A$747="","",SUM(T747:AA747))</f>
        <v>106382.99600911589</v>
      </c>
      <c r="AD747" s="29">
        <f>IF(履歴データ!$A$747="","",AC747/1000000)</f>
        <v>0.10638299600911588</v>
      </c>
      <c r="AE747" s="29">
        <f>IF(履歴データ!$A$747="",AE746,AE746+AC747/1000000)</f>
        <v>70.639239878790676</v>
      </c>
      <c r="AF747" s="12">
        <f>IF(OR(履歴データ!$A$747="",AE746=0),"",(AE747-AE746)/AE746)</f>
        <v>1.508275727238933E-3</v>
      </c>
      <c r="AG747" s="29">
        <f t="shared" si="35"/>
        <v>102.17217746631495</v>
      </c>
      <c r="AH747" s="12">
        <f>IF(OR(履歴データ!$A$747="",AG747=0),"",AE747/AG747-1)</f>
        <v>-0.3086254826850523</v>
      </c>
      <c r="AJ747" s="28">
        <f t="shared" ca="1" si="33"/>
        <v>6.8475074024424707</v>
      </c>
      <c r="AK747" s="28">
        <f t="shared" ca="1" si="34"/>
        <v>-6.8276661326012018</v>
      </c>
    </row>
    <row r="748" spans="1:37">
      <c r="A748" s="10">
        <f>IF(履歴データ!$A$748="","",履歴データ!$A$748)</f>
        <v>46020</v>
      </c>
      <c r="B748" s="28">
        <f>IF(履歴データ!$A$748="","",(履歴データ!$D$748-(履歴データ!$B$748+履歴データ!$F$748)/2)*100)</f>
        <v>-0.49999999999998934</v>
      </c>
      <c r="C748" s="28">
        <f>IF(履歴データ!$A$748="","",(履歴データ!$H$748-(履歴データ!$G$748+履歴データ!$J$748)/2)*100)</f>
        <v>-20.849999999999991</v>
      </c>
      <c r="D748" s="28">
        <f>IF(履歴データ!$A$748="","",(履歴データ!$D$748-履歴データ!$H$748)*100)</f>
        <v>206.8</v>
      </c>
      <c r="E748" s="28">
        <f>IF(履歴データ!$A$748="","",(履歴データ!$D$748-履歴データ!$C$748)*100)</f>
        <v>45.000000000000014</v>
      </c>
      <c r="F748" s="28">
        <f>IF(履歴データ!$A$748="","",(履歴データ!$R$748-履歴データ!$D$748)*100)</f>
        <v>-313.60000000000002</v>
      </c>
      <c r="G748" s="28">
        <f>IF(履歴データ!$A$748="","",(履歴データ!$S$748-履歴データ!$R$748)*100)</f>
        <v>112.65817858886713</v>
      </c>
      <c r="H748" s="29">
        <f>IF(履歴データ!$A$748="","",履歴データ!$O$748)</f>
        <v>156.46299743652344</v>
      </c>
      <c r="I748" s="29">
        <f>IF(履歴データ!$A$748="","",履歴データ!$Q$748)</f>
        <v>112.71875</v>
      </c>
      <c r="J748" s="29">
        <f>IF(履歴データ!$A$748="","",履歴データ!$D$748)</f>
        <v>4.12</v>
      </c>
      <c r="K748" s="28">
        <f>IF(OR(履歴データ!$A$748="",履歴データ!$A$747=""),"",B748-B747)</f>
        <v>-0.99999999999997868</v>
      </c>
      <c r="L748" s="28">
        <f>IF(OR(履歴データ!$A$748="",履歴データ!$A$747=""),"",C748-C747)</f>
        <v>-0.95000000000000639</v>
      </c>
      <c r="M748" s="28">
        <f>IF(OR(履歴データ!$A$748="",履歴データ!$A$747=""),"",D748-D747)</f>
        <v>-3.2999999999999545</v>
      </c>
      <c r="N748" s="28">
        <f>IF(OR(履歴データ!$A$748="",履歴データ!$A$747=""),"",E748-E747)</f>
        <v>-0.99999999999993605</v>
      </c>
      <c r="O748" s="28">
        <f>IF(OR(履歴データ!$A$748="",履歴データ!$A$747=""),"",F748-F747)</f>
        <v>1.9999999999999432</v>
      </c>
      <c r="P748" s="28">
        <f>IF(OR(履歴データ!$A$748="",履歴データ!$A$747=""),"",G748-G747)</f>
        <v>1.5785357666016893</v>
      </c>
      <c r="Q748" s="29">
        <f>IF(OR(履歴データ!$A$748="",履歴データ!$A$747=""),"",H748-H747)</f>
        <v>0.3730010986328125</v>
      </c>
      <c r="R748" s="29">
        <f>IF(OR(履歴データ!$A$748="",履歴データ!$A$747=""),"",I748-I747)</f>
        <v>0.140625</v>
      </c>
      <c r="S748" s="28">
        <f>IF(OR(履歴データ!$A$748="",履歴データ!$A$747=""),"",(J748-J747)*100)</f>
        <v>-1.9999999999999574</v>
      </c>
      <c r="T748" s="11">
        <f>IF(OR(履歴データ!$A$748="",履歴データ!$A$747=""),"",-80000*K748)</f>
        <v>79999.999999998297</v>
      </c>
      <c r="U748" s="11">
        <f>IF(OR(履歴データ!$A$748="",履歴データ!$A$747=""),"",60000*L748)</f>
        <v>-57000.000000000386</v>
      </c>
      <c r="V748" s="11">
        <f>IF(OR(履歴データ!$A$748="",履歴データ!$A$747=""),"",-50000*M748)</f>
        <v>164999.99999999773</v>
      </c>
      <c r="W748" s="11">
        <f>IF(OR(履歴データ!$A$748="",履歴データ!$A$747=""),"",-40000*N748)</f>
        <v>39999.999999997439</v>
      </c>
      <c r="X748" s="11">
        <f>IF(OR(履歴データ!$A$748="",履歴データ!$A$747=""),"",120*1000000*(-Q748/H747))</f>
        <v>-286758.49116585596</v>
      </c>
      <c r="Y748" s="11">
        <f>IF(OR(履歴データ!$A$748="",履歴データ!$A$747=""),"",40000*(-S748)+(-506.3)*R748*1000)</f>
        <v>8801.5624999982974</v>
      </c>
      <c r="Z748" s="11">
        <f>IF(OR(履歴データ!$A$748="",履歴データ!$A$747=""),"",-40000*O748)</f>
        <v>-79999.99999999773</v>
      </c>
      <c r="AA748" s="11">
        <f>IF(OR(履歴データ!$A$748="",履歴データ!$A$747=""),"",-40000*P748)</f>
        <v>-63141.430664067571</v>
      </c>
      <c r="AB748" s="11">
        <f>IF(履歴データ!$A$748="","",123.3)</f>
        <v>123.3</v>
      </c>
      <c r="AC748">
        <f>IF(履歴データ!$A$748="","",SUM(T748:AA748))</f>
        <v>-193098.3593299299</v>
      </c>
      <c r="AD748" s="29">
        <f>IF(履歴データ!$A$748="","",AC748/1000000)</f>
        <v>-0.19309835932992989</v>
      </c>
      <c r="AE748" s="29">
        <f>IF(履歴データ!$A$748="",AE747,AE747+AC748/1000000)</f>
        <v>70.446141519460753</v>
      </c>
      <c r="AF748" s="12">
        <f>IF(OR(履歴データ!$A$748="",AE747=0),"",(AE748-AE747)/AE747)</f>
        <v>-2.7335848978734642E-3</v>
      </c>
      <c r="AG748" s="29">
        <f t="shared" si="35"/>
        <v>102.17217746631495</v>
      </c>
      <c r="AH748" s="12">
        <f>IF(OR(履歴データ!$A$748="",AG748=0),"",AE748/AG748-1)</f>
        <v>-0.31051541362435897</v>
      </c>
      <c r="AJ748" s="28">
        <f t="shared" ca="1" si="33"/>
        <v>6.7967659295803475</v>
      </c>
      <c r="AK748" s="28">
        <f t="shared" ca="1" si="34"/>
        <v>-6.8205754533898713</v>
      </c>
    </row>
    <row r="749" spans="1:37">
      <c r="A749" s="10">
        <f>IF(履歴データ!$A$749="","",履歴データ!$A$749)</f>
        <v>46021</v>
      </c>
      <c r="B749" s="28">
        <f>IF(履歴データ!$A$749="","",(履歴データ!$D$749-(履歴データ!$B$749+履歴データ!$F$749)/2)*100)</f>
        <v>0.99999999999997868</v>
      </c>
      <c r="C749" s="28">
        <f>IF(履歴データ!$A$749="","",(履歴データ!$H$749-(履歴データ!$G$749+履歴データ!$J$749)/2)*100)</f>
        <v>-19.45000000000001</v>
      </c>
      <c r="D749" s="28">
        <f>IF(履歴データ!$A$749="","",(履歴データ!$D$749-履歴データ!$H$749)*100)</f>
        <v>207.39999999999998</v>
      </c>
      <c r="E749" s="28">
        <f>IF(履歴データ!$A$749="","",(履歴データ!$D$749-履歴データ!$C$749)*100)</f>
        <v>45.99999999999995</v>
      </c>
      <c r="F749" s="28">
        <f>IF(履歴データ!$A$749="","",(履歴データ!$R$749-履歴データ!$D$749)*100)</f>
        <v>-318.79999999999995</v>
      </c>
      <c r="G749" s="28">
        <f>IF(履歴データ!$A$749="","",(履歴データ!$S$749-履歴データ!$R$749)*100)</f>
        <v>123.75117858886711</v>
      </c>
      <c r="H749" s="29">
        <f>IF(履歴データ!$A$749="","",履歴データ!$O$749)</f>
        <v>156.01300048828125</v>
      </c>
      <c r="I749" s="29">
        <f>IF(履歴データ!$A$749="","",履歴データ!$Q$749)</f>
        <v>112.640625</v>
      </c>
      <c r="J749" s="29">
        <f>IF(履歴データ!$A$749="","",履歴データ!$D$749)</f>
        <v>4.1399999999999997</v>
      </c>
      <c r="K749" s="28">
        <f>IF(OR(履歴データ!$A$749="",履歴データ!$A$748=""),"",B749-B748)</f>
        <v>1.499999999999968</v>
      </c>
      <c r="L749" s="28">
        <f>IF(OR(履歴データ!$A$749="",履歴データ!$A$748=""),"",C749-C748)</f>
        <v>1.3999999999999808</v>
      </c>
      <c r="M749" s="28">
        <f>IF(OR(履歴データ!$A$749="",履歴データ!$A$748=""),"",D749-D748)</f>
        <v>0.59999999999996589</v>
      </c>
      <c r="N749" s="28">
        <f>IF(OR(履歴データ!$A$749="",履歴データ!$A$748=""),"",E749-E748)</f>
        <v>0.99999999999993605</v>
      </c>
      <c r="O749" s="28">
        <f>IF(OR(履歴データ!$A$749="",履歴データ!$A$748=""),"",F749-F748)</f>
        <v>-5.1999999999999318</v>
      </c>
      <c r="P749" s="28">
        <f>IF(OR(履歴データ!$A$749="",履歴データ!$A$748=""),"",G749-G748)</f>
        <v>11.092999999999975</v>
      </c>
      <c r="Q749" s="29">
        <f>IF(OR(履歴データ!$A$749="",履歴データ!$A$748=""),"",H749-H748)</f>
        <v>-0.4499969482421875</v>
      </c>
      <c r="R749" s="29">
        <f>IF(OR(履歴データ!$A$749="",履歴データ!$A$748=""),"",I749-I748)</f>
        <v>-7.8125E-2</v>
      </c>
      <c r="S749" s="28">
        <f>IF(OR(履歴データ!$A$749="",履歴データ!$A$748=""),"",(J749-J748)*100)</f>
        <v>1.9999999999999574</v>
      </c>
      <c r="T749" s="11">
        <f>IF(OR(履歴データ!$A$749="",履歴データ!$A$748=""),"",-80000*K749)</f>
        <v>-119999.99999999744</v>
      </c>
      <c r="U749" s="11">
        <f>IF(OR(履歴データ!$A$749="",履歴データ!$A$748=""),"",60000*L749)</f>
        <v>83999.99999999885</v>
      </c>
      <c r="V749" s="11">
        <f>IF(OR(履歴データ!$A$749="",履歴データ!$A$748=""),"",-50000*M749)</f>
        <v>-29999.999999998294</v>
      </c>
      <c r="W749" s="11">
        <f>IF(OR(履歴データ!$A$749="",履歴データ!$A$748=""),"",-40000*N749)</f>
        <v>-39999.999999997439</v>
      </c>
      <c r="X749" s="11">
        <f>IF(OR(履歴データ!$A$749="",履歴データ!$A$748=""),"",120*1000000*(-Q749/H748))</f>
        <v>345127.18453428574</v>
      </c>
      <c r="Y749" s="11">
        <f>IF(OR(履歴データ!$A$749="",履歴データ!$A$748=""),"",40000*(-S749)+(-506.3)*R749*1000)</f>
        <v>-40445.312499998297</v>
      </c>
      <c r="Z749" s="11">
        <f>IF(OR(履歴データ!$A$749="",履歴データ!$A$748=""),"",-40000*O749)</f>
        <v>207999.99999999726</v>
      </c>
      <c r="AA749" s="11">
        <f>IF(OR(履歴データ!$A$749="",履歴データ!$A$748=""),"",-40000*P749)</f>
        <v>-443719.99999999901</v>
      </c>
      <c r="AB749" s="11">
        <f>IF(履歴データ!$A$749="","",123.3)</f>
        <v>123.3</v>
      </c>
      <c r="AC749">
        <f>IF(履歴データ!$A$749="","",SUM(T749:AA749))</f>
        <v>-37038.127965708612</v>
      </c>
      <c r="AD749" s="29">
        <f>IF(履歴データ!$A$749="","",AC749/1000000)</f>
        <v>-3.7038127965708614E-2</v>
      </c>
      <c r="AE749" s="29">
        <f>IF(履歴データ!$A$749="",AE748,AE748+AC749/1000000)</f>
        <v>70.409103391495037</v>
      </c>
      <c r="AF749" s="12">
        <f>IF(OR(履歴データ!$A$749="",AE748=0),"",(AE749-AE748)/AE748)</f>
        <v>-5.2576517559139101E-4</v>
      </c>
      <c r="AG749" s="29">
        <f t="shared" si="35"/>
        <v>102.17217746631495</v>
      </c>
      <c r="AH749" s="12">
        <f>IF(OR(履歴データ!$A$749="",AG749=0),"",AE749/AG749-1)</f>
        <v>-0.31087792060898234</v>
      </c>
      <c r="AJ749" s="28">
        <f t="shared" ca="1" si="33"/>
        <v>6.726197813788354</v>
      </c>
      <c r="AK749" s="28">
        <f t="shared" ca="1" si="34"/>
        <v>-6.7936581312486721</v>
      </c>
    </row>
    <row r="750" spans="1:37">
      <c r="A750" s="10">
        <f>IF(履歴データ!$A$750="","",履歴データ!$A$750)</f>
        <v>46022</v>
      </c>
      <c r="B750" s="28">
        <f>IF(履歴データ!$A$750="","",(履歴データ!$D$750-(履歴データ!$B$750+履歴データ!$F$750)/2)*100)</f>
        <v>2.4999999999999467</v>
      </c>
      <c r="C750" s="28">
        <f>IF(履歴データ!$A$750="","",(履歴データ!$H$750-(履歴データ!$G$750+履歴データ!$J$750)/2)*100)</f>
        <v>-19.45000000000001</v>
      </c>
      <c r="D750" s="28">
        <f>IF(履歴データ!$A$750="","",(履歴データ!$D$750-履歴データ!$H$750)*100)</f>
        <v>211.39999999999998</v>
      </c>
      <c r="E750" s="28">
        <f>IF(履歴データ!$A$750="","",(履歴データ!$D$750-履歴データ!$C$750)*100)</f>
        <v>44.999999999999972</v>
      </c>
      <c r="F750" s="28">
        <f>IF(履歴データ!$A$750="","",(履歴データ!$R$750-履歴データ!$D$750)*100)</f>
        <v>-320.86999999999995</v>
      </c>
      <c r="G750" s="28">
        <f>IF(履歴データ!$A$750="","",(履歴データ!$S$750-履歴データ!$R$750)*100)</f>
        <v>121.8211785888671</v>
      </c>
      <c r="H750" s="29">
        <f>IF(履歴データ!$A$750="","",履歴データ!$O$750)</f>
        <v>156.41299438476563</v>
      </c>
      <c r="I750" s="29">
        <f>IF(履歴データ!$A$750="","",履歴データ!$Q$750)</f>
        <v>112.4375</v>
      </c>
      <c r="J750" s="29">
        <f>IF(履歴データ!$A$750="","",履歴データ!$D$750)</f>
        <v>4.18</v>
      </c>
      <c r="K750" s="28">
        <f>IF(OR(履歴データ!$A$750="",履歴データ!$A$749=""),"",B750-B749)</f>
        <v>1.499999999999968</v>
      </c>
      <c r="L750" s="28">
        <f>IF(OR(履歴データ!$A$750="",履歴データ!$A$749=""),"",C750-C749)</f>
        <v>0</v>
      </c>
      <c r="M750" s="28">
        <f>IF(OR(履歴データ!$A$750="",履歴データ!$A$749=""),"",D750-D749)</f>
        <v>4</v>
      </c>
      <c r="N750" s="28">
        <f>IF(OR(履歴データ!$A$750="",履歴データ!$A$749=""),"",E750-E749)</f>
        <v>-0.99999999999997868</v>
      </c>
      <c r="O750" s="28">
        <f>IF(OR(履歴データ!$A$750="",履歴データ!$A$749=""),"",F750-F749)</f>
        <v>-2.0699999999999932</v>
      </c>
      <c r="P750" s="28">
        <f>IF(OR(履歴データ!$A$750="",履歴データ!$A$749=""),"",G750-G749)</f>
        <v>-1.9300000000000068</v>
      </c>
      <c r="Q750" s="29">
        <f>IF(OR(履歴データ!$A$750="",履歴データ!$A$749=""),"",H750-H749)</f>
        <v>0.399993896484375</v>
      </c>
      <c r="R750" s="29">
        <f>IF(OR(履歴データ!$A$750="",履歴データ!$A$749=""),"",I750-I749)</f>
        <v>-0.203125</v>
      </c>
      <c r="S750" s="28">
        <f>IF(OR(履歴データ!$A$750="",履歴データ!$A$749=""),"",(J750-J749)*100)</f>
        <v>4.0000000000000036</v>
      </c>
      <c r="T750" s="11">
        <f>IF(OR(履歴データ!$A$750="",履歴データ!$A$749=""),"",-80000*K750)</f>
        <v>-119999.99999999744</v>
      </c>
      <c r="U750" s="11">
        <f>IF(OR(履歴データ!$A$750="",履歴データ!$A$749=""),"",60000*L750)</f>
        <v>0</v>
      </c>
      <c r="V750" s="11">
        <f>IF(OR(履歴データ!$A$750="",履歴データ!$A$749=""),"",-50000*M750)</f>
        <v>-200000</v>
      </c>
      <c r="W750" s="11">
        <f>IF(OR(履歴データ!$A$750="",履歴データ!$A$749=""),"",-40000*N750)</f>
        <v>39999.999999999149</v>
      </c>
      <c r="X750" s="11">
        <f>IF(OR(履歴データ!$A$750="",履歴データ!$A$749=""),"",120*1000000*(-Q750/H749))</f>
        <v>-307661.97321953572</v>
      </c>
      <c r="Y750" s="11">
        <f>IF(OR(履歴データ!$A$750="",履歴データ!$A$749=""),"",40000*(-S750)+(-506.3)*R750*1000)</f>
        <v>-57157.812500000131</v>
      </c>
      <c r="Z750" s="11">
        <f>IF(OR(履歴データ!$A$750="",履歴データ!$A$749=""),"",-40000*O750)</f>
        <v>82799.999999999724</v>
      </c>
      <c r="AA750" s="11">
        <f>IF(OR(履歴データ!$A$750="",履歴データ!$A$749=""),"",-40000*P750)</f>
        <v>77200.000000000276</v>
      </c>
      <c r="AB750" s="11">
        <f>IF(履歴データ!$A$750="","",123.3)</f>
        <v>123.3</v>
      </c>
      <c r="AC750">
        <f>IF(履歴データ!$A$750="","",SUM(T750:AA750))</f>
        <v>-484819.78571953409</v>
      </c>
      <c r="AD750" s="29">
        <f>IF(履歴データ!$A$750="","",AC750/1000000)</f>
        <v>-0.4848197857195341</v>
      </c>
      <c r="AE750" s="29">
        <f>IF(履歴データ!$A$750="",AE749,AE749+AC750/1000000)</f>
        <v>69.9242836057755</v>
      </c>
      <c r="AF750" s="12">
        <f>IF(OR(履歴データ!$A$750="",AE749=0),"",(AE750-AE749)/AE749)</f>
        <v>-6.8857542898082182E-3</v>
      </c>
      <c r="AG750" s="29">
        <f t="shared" si="35"/>
        <v>102.17217746631495</v>
      </c>
      <c r="AH750" s="12">
        <f>IF(OR(履歴データ!$A$750="",AG750=0),"",AE750/AG750-1)</f>
        <v>-0.31562304592335055</v>
      </c>
      <c r="AJ750" s="28">
        <f t="shared" ca="1" si="33"/>
        <v>6.6939109690562768</v>
      </c>
      <c r="AK750" s="28">
        <f t="shared" ca="1" si="34"/>
        <v>-6.7812125563578656</v>
      </c>
    </row>
    <row r="751" spans="1:37">
      <c r="A751" s="10">
        <f>IF(履歴データ!$A$751="","",履歴データ!$A$751)</f>
        <v>46024</v>
      </c>
      <c r="B751" s="28">
        <f>IF(履歴データ!$A$751="","",(履歴データ!$D$751-(履歴データ!$B$751+履歴データ!$F$751)/2)*100)</f>
        <v>2.5000000000000355</v>
      </c>
      <c r="C751" s="28">
        <f>IF(履歴データ!$A$751="","",(履歴データ!$H$751-(履歴データ!$G$751+履歴データ!$J$751)/2)*100)</f>
        <v>-19.45000000000001</v>
      </c>
      <c r="D751" s="28">
        <f>IF(履歴データ!$A$751="","",(履歴データ!$D$751-履歴データ!$H$751)*100)</f>
        <v>212.40000000000006</v>
      </c>
      <c r="E751" s="28">
        <f>IF(履歴データ!$A$751="","",(履歴データ!$D$751-履歴データ!$C$751)*100)</f>
        <v>45.000000000000014</v>
      </c>
      <c r="F751" s="28">
        <f>IF(履歴データ!$A$751="","",(履歴データ!$R$751-履歴データ!$D$751)*100)</f>
        <v>-324.44000000000005</v>
      </c>
      <c r="G751" s="28">
        <f>IF(履歴データ!$A$751="","",(履歴データ!$S$751-履歴データ!$R$751)*100)</f>
        <v>124.39117858886711</v>
      </c>
      <c r="H751" s="29">
        <f>IF(履歴データ!$A$751="","",履歴データ!$O$751)</f>
        <v>156.73100280761719</v>
      </c>
      <c r="I751" s="29">
        <f>IF(履歴データ!$A$751="","",履歴データ!$Q$751)</f>
        <v>112.203125</v>
      </c>
      <c r="J751" s="29">
        <f>IF(履歴データ!$A$751="","",履歴データ!$D$751)</f>
        <v>4.1900000000000004</v>
      </c>
      <c r="K751" s="28">
        <f>IF(OR(履歴データ!$A$751="",履歴データ!$A$750=""),"",B751-B750)</f>
        <v>8.8817841970012523E-14</v>
      </c>
      <c r="L751" s="28">
        <f>IF(OR(履歴データ!$A$751="",履歴データ!$A$750=""),"",C751-C750)</f>
        <v>0</v>
      </c>
      <c r="M751" s="28">
        <f>IF(OR(履歴データ!$A$751="",履歴データ!$A$750=""),"",D751-D750)</f>
        <v>1.0000000000000853</v>
      </c>
      <c r="N751" s="28">
        <f>IF(OR(履歴データ!$A$751="",履歴データ!$A$750=""),"",E751-E750)</f>
        <v>4.2632564145606011E-14</v>
      </c>
      <c r="O751" s="28">
        <f>IF(OR(履歴データ!$A$751="",履歴データ!$A$750=""),"",F751-F750)</f>
        <v>-3.5700000000001069</v>
      </c>
      <c r="P751" s="28">
        <f>IF(OR(履歴データ!$A$751="",履歴データ!$A$750=""),"",G751-G750)</f>
        <v>2.5700000000000074</v>
      </c>
      <c r="Q751" s="29">
        <f>IF(OR(履歴データ!$A$751="",履歴データ!$A$750=""),"",H751-H750)</f>
        <v>0.3180084228515625</v>
      </c>
      <c r="R751" s="29">
        <f>IF(OR(履歴データ!$A$751="",履歴データ!$A$750=""),"",I751-I750)</f>
        <v>-0.234375</v>
      </c>
      <c r="S751" s="28">
        <f>IF(OR(履歴データ!$A$751="",履歴データ!$A$750=""),"",(J751-J750)*100)</f>
        <v>1.0000000000000675</v>
      </c>
      <c r="T751" s="11">
        <f>IF(OR(履歴データ!$A$751="",履歴データ!$A$750=""),"",-80000*K751)</f>
        <v>-7.1054273576010019E-9</v>
      </c>
      <c r="U751" s="11">
        <f>IF(OR(履歴データ!$A$751="",履歴データ!$A$750=""),"",60000*L751)</f>
        <v>0</v>
      </c>
      <c r="V751" s="11">
        <f>IF(OR(履歴データ!$A$751="",履歴データ!$A$750=""),"",-50000*M751)</f>
        <v>-50000.000000004264</v>
      </c>
      <c r="W751" s="11">
        <f>IF(OR(履歴データ!$A$751="",履歴データ!$A$750=""),"",-40000*N751)</f>
        <v>-1.7053025658242404E-9</v>
      </c>
      <c r="X751" s="11">
        <f>IF(OR(履歴データ!$A$751="",履歴データ!$A$750=""),"",120*1000000*(-Q751/H750))</f>
        <v>-243975.96179454206</v>
      </c>
      <c r="Y751" s="11">
        <f>IF(OR(履歴データ!$A$751="",履歴データ!$A$750=""),"",40000*(-S751)+(-506.3)*R751*1000)</f>
        <v>78664.062499997293</v>
      </c>
      <c r="Z751" s="11">
        <f>IF(OR(履歴データ!$A$751="",履歴データ!$A$750=""),"",-40000*O751)</f>
        <v>142800.00000000428</v>
      </c>
      <c r="AA751" s="11">
        <f>IF(OR(履歴データ!$A$751="",履歴データ!$A$750=""),"",-40000*P751)</f>
        <v>-102800.00000000029</v>
      </c>
      <c r="AB751" s="11">
        <f>IF(履歴データ!$A$751="","",123.3)</f>
        <v>123.3</v>
      </c>
      <c r="AC751">
        <f>IF(履歴データ!$A$751="","",SUM(T751:AA751))</f>
        <v>-175311.89929455385</v>
      </c>
      <c r="AD751" s="29">
        <f>IF(履歴データ!$A$751="","",AC751/1000000)</f>
        <v>-0.17531189929455385</v>
      </c>
      <c r="AE751" s="29">
        <f>IF(履歴データ!$A$751="",AE750,AE750+AC751/1000000)</f>
        <v>69.748971706480944</v>
      </c>
      <c r="AF751" s="12">
        <f>IF(OR(履歴データ!$A$751="",AE750=0),"",(AE751-AE750)/AE750)</f>
        <v>-2.5071676140858709E-3</v>
      </c>
      <c r="AG751" s="29">
        <f t="shared" si="35"/>
        <v>102.17217746631495</v>
      </c>
      <c r="AH751" s="12">
        <f>IF(OR(履歴データ!$A$751="",AG751=0),"",AE751/AG751-1)</f>
        <v>-0.31733889365843826</v>
      </c>
      <c r="AJ751" s="28">
        <f t="shared" ca="1" si="33"/>
        <v>6.6532092676992214</v>
      </c>
      <c r="AK751" s="28">
        <f t="shared" ca="1" si="34"/>
        <v>-6.7643203788103339</v>
      </c>
    </row>
    <row r="752" spans="1:37">
      <c r="A752" s="10">
        <f>IF(履歴データ!$A$752="","",履歴データ!$A$752)</f>
        <v>46027</v>
      </c>
      <c r="B752" s="28">
        <f>IF(履歴データ!$A$752="","",(履歴データ!$D$752-(履歴データ!$B$752+履歴データ!$F$752)/2)*100)</f>
        <v>1.5000000000000568</v>
      </c>
      <c r="C752" s="28">
        <f>IF(履歴データ!$A$752="","",(履歴データ!$H$752-(履歴データ!$G$752+履歴データ!$J$752)/2)*100)</f>
        <v>-18.249999999999964</v>
      </c>
      <c r="D752" s="28">
        <f>IF(履歴データ!$A$752="","",(履歴データ!$D$752-履歴データ!$H$752)*100)</f>
        <v>205.89999999999998</v>
      </c>
      <c r="E752" s="28">
        <f>IF(履歴データ!$A$752="","",(履歴データ!$D$752-履歴データ!$C$752)*100)</f>
        <v>46</v>
      </c>
      <c r="F752" s="28">
        <f>IF(履歴データ!$A$752="","",(履歴データ!$R$752-履歴データ!$D$752)*100)</f>
        <v>-312.26</v>
      </c>
      <c r="G752" s="28">
        <f>IF(履歴データ!$A$752="","",(履歴データ!$S$752-履歴データ!$R$752)*100)</f>
        <v>111.0539999999998</v>
      </c>
      <c r="H752" s="29">
        <f>IF(履歴データ!$A$752="","",履歴データ!$O$752)</f>
        <v>156.98899841308594</v>
      </c>
      <c r="I752" s="29">
        <f>IF(履歴データ!$A$752="","",履歴データ!$Q$752)</f>
        <v>112.421875</v>
      </c>
      <c r="J752" s="29">
        <f>IF(履歴データ!$A$752="","",履歴データ!$D$752)</f>
        <v>4.17</v>
      </c>
      <c r="K752" s="28">
        <f>IF(OR(履歴データ!$A$752="",履歴データ!$A$751=""),"",B752-B751)</f>
        <v>-0.99999999999997868</v>
      </c>
      <c r="L752" s="28">
        <f>IF(OR(履歴データ!$A$752="",履歴データ!$A$751=""),"",C752-C751)</f>
        <v>1.2000000000000455</v>
      </c>
      <c r="M752" s="28">
        <f>IF(OR(履歴データ!$A$752="",履歴データ!$A$751=""),"",D752-D751)</f>
        <v>-6.5000000000000853</v>
      </c>
      <c r="N752" s="28">
        <f>IF(OR(履歴データ!$A$752="",履歴データ!$A$751=""),"",E752-E751)</f>
        <v>0.99999999999998579</v>
      </c>
      <c r="O752" s="28">
        <f>IF(OR(履歴データ!$A$752="",履歴データ!$A$751=""),"",F752-F751)</f>
        <v>12.180000000000064</v>
      </c>
      <c r="P752" s="28">
        <f>IF(OR(履歴データ!$A$752="",履歴データ!$A$751=""),"",G752-G751)</f>
        <v>-13.337178588867303</v>
      </c>
      <c r="Q752" s="29">
        <f>IF(OR(履歴データ!$A$752="",履歴データ!$A$751=""),"",H752-H751)</f>
        <v>0.25799560546875</v>
      </c>
      <c r="R752" s="29">
        <f>IF(OR(履歴データ!$A$752="",履歴データ!$A$751=""),"",I752-I751)</f>
        <v>0.21875</v>
      </c>
      <c r="S752" s="28">
        <f>IF(OR(履歴データ!$A$752="",履歴データ!$A$751=""),"",(J752-J751)*100)</f>
        <v>-2.0000000000000462</v>
      </c>
      <c r="T752" s="11">
        <f>IF(OR(履歴データ!$A$752="",履歴データ!$A$751=""),"",-80000*K752)</f>
        <v>79999.999999998297</v>
      </c>
      <c r="U752" s="11">
        <f>IF(OR(履歴データ!$A$752="",履歴データ!$A$751=""),"",60000*L752)</f>
        <v>72000.000000002736</v>
      </c>
      <c r="V752" s="11">
        <f>IF(OR(履歴データ!$A$752="",履歴データ!$A$751=""),"",-50000*M752)</f>
        <v>325000.00000000425</v>
      </c>
      <c r="W752" s="11">
        <f>IF(OR(履歴データ!$A$752="",履歴データ!$A$751=""),"",-40000*N752)</f>
        <v>-39999.999999999432</v>
      </c>
      <c r="X752" s="11">
        <f>IF(OR(履歴データ!$A$752="",履歴データ!$A$751=""),"",120*1000000*(-Q752/H751))</f>
        <v>-197532.53728780046</v>
      </c>
      <c r="Y752" s="11">
        <f>IF(OR(履歴データ!$A$752="",履歴データ!$A$751=""),"",40000*(-S752)+(-506.3)*R752*1000)</f>
        <v>-30753.124999998152</v>
      </c>
      <c r="Z752" s="11">
        <f>IF(OR(履歴データ!$A$752="",履歴データ!$A$751=""),"",-40000*O752)</f>
        <v>-487200.00000000256</v>
      </c>
      <c r="AA752" s="11">
        <f>IF(OR(履歴データ!$A$752="",履歴データ!$A$751=""),"",-40000*P752)</f>
        <v>533487.14355469216</v>
      </c>
      <c r="AB752" s="11">
        <f>IF(履歴データ!$A$752="","",123.3)</f>
        <v>123.3</v>
      </c>
      <c r="AC752">
        <f>IF(履歴データ!$A$752="","",SUM(T752:AA752))</f>
        <v>255001.48126689688</v>
      </c>
      <c r="AD752" s="29">
        <f>IF(履歴データ!$A$752="","",AC752/1000000)</f>
        <v>0.25500148126689687</v>
      </c>
      <c r="AE752" s="29">
        <f>IF(履歴データ!$A$752="",AE751,AE751+AC752/1000000)</f>
        <v>70.003973187747846</v>
      </c>
      <c r="AF752" s="12">
        <f>IF(OR(履歴データ!$A$752="",AE751=0),"",(AE752-AE751)/AE751)</f>
        <v>3.6559891139328103E-3</v>
      </c>
      <c r="AG752" s="29">
        <f t="shared" si="35"/>
        <v>102.17217746631495</v>
      </c>
      <c r="AH752" s="12">
        <f>IF(OR(履歴データ!$A$752="",AG752=0),"",AE752/AG752-1)</f>
        <v>-0.31484309208514827</v>
      </c>
      <c r="AJ752" s="28">
        <f t="shared" ca="1" si="33"/>
        <v>6.6194516475009628</v>
      </c>
      <c r="AK752" s="28">
        <f t="shared" ca="1" si="34"/>
        <v>-6.754372282421599</v>
      </c>
    </row>
    <row r="753" spans="1:37">
      <c r="A753" s="10">
        <f>IF(履歴データ!$A$753="","",履歴データ!$A$753)</f>
        <v>46028</v>
      </c>
      <c r="B753" s="28">
        <f>IF(履歴データ!$A$753="","",(履歴データ!$D$753-(履歴データ!$B$753+履歴データ!$F$753)/2)*100)</f>
        <v>1.499999999999968</v>
      </c>
      <c r="C753" s="28">
        <f>IF(履歴データ!$A$753="","",(履歴データ!$H$753-(履歴データ!$G$753+履歴データ!$J$753)/2)*100)</f>
        <v>-17.95</v>
      </c>
      <c r="D753" s="28">
        <f>IF(履歴データ!$A$753="","",(履歴データ!$D$753-履歴データ!$H$753)*100)</f>
        <v>205.69999999999996</v>
      </c>
      <c r="E753" s="28">
        <f>IF(履歴データ!$A$753="","",(履歴データ!$D$753-履歴データ!$C$753)*100)</f>
        <v>45.99999999999995</v>
      </c>
      <c r="F753" s="28">
        <f>IF(履歴データ!$A$753="","",(履歴データ!$R$753-履歴データ!$D$753)*100)</f>
        <v>-309.95999999999998</v>
      </c>
      <c r="G753" s="28">
        <f>IF(履歴データ!$A$753="","",(履歴データ!$S$753-履歴データ!$R$753)*100)</f>
        <v>114.5946428222655</v>
      </c>
      <c r="H753" s="29">
        <f>IF(履歴データ!$A$753="","",履歴データ!$O$753)</f>
        <v>156.62600708007813</v>
      </c>
      <c r="I753" s="29">
        <f>IF(履歴データ!$A$753="","",履歴データ!$Q$753)</f>
        <v>112.328125</v>
      </c>
      <c r="J753" s="29">
        <f>IF(履歴データ!$A$753="","",履歴データ!$D$753)</f>
        <v>4.18</v>
      </c>
      <c r="K753" s="28">
        <f>IF(OR(履歴データ!$A$753="",履歴データ!$A$752=""),"",B753-B752)</f>
        <v>-8.8817841970012523E-14</v>
      </c>
      <c r="L753" s="28">
        <f>IF(OR(履歴データ!$A$753="",履歴データ!$A$752=""),"",C753-C752)</f>
        <v>0.29999999999996518</v>
      </c>
      <c r="M753" s="28">
        <f>IF(OR(履歴データ!$A$753="",履歴データ!$A$752=""),"",D753-D752)</f>
        <v>-0.20000000000001705</v>
      </c>
      <c r="N753" s="28">
        <f>IF(OR(履歴データ!$A$753="",履歴データ!$A$752=""),"",E753-E752)</f>
        <v>-4.9737991503207013E-14</v>
      </c>
      <c r="O753" s="28">
        <f>IF(OR(履歴データ!$A$753="",履歴データ!$A$752=""),"",F753-F752)</f>
        <v>2.3000000000000114</v>
      </c>
      <c r="P753" s="28">
        <f>IF(OR(履歴データ!$A$753="",履歴データ!$A$752=""),"",G753-G752)</f>
        <v>3.5406428222656956</v>
      </c>
      <c r="Q753" s="29">
        <f>IF(OR(履歴データ!$A$753="",履歴データ!$A$752=""),"",H753-H752)</f>
        <v>-0.3629913330078125</v>
      </c>
      <c r="R753" s="29">
        <f>IF(OR(履歴データ!$A$753="",履歴データ!$A$752=""),"",I753-I752)</f>
        <v>-9.375E-2</v>
      </c>
      <c r="S753" s="28">
        <f>IF(OR(履歴データ!$A$753="",履歴データ!$A$752=""),"",(J753-J752)*100)</f>
        <v>0.99999999999997868</v>
      </c>
      <c r="T753" s="11">
        <f>IF(OR(履歴データ!$A$753="",履歴データ!$A$752=""),"",-80000*K753)</f>
        <v>7.1054273576010019E-9</v>
      </c>
      <c r="U753" s="11">
        <f>IF(OR(履歴データ!$A$753="",履歴データ!$A$752=""),"",60000*L753)</f>
        <v>17999.999999997912</v>
      </c>
      <c r="V753" s="11">
        <f>IF(OR(履歴データ!$A$753="",履歴データ!$A$752=""),"",-50000*M753)</f>
        <v>10000.000000000853</v>
      </c>
      <c r="W753" s="11">
        <f>IF(OR(履歴データ!$A$753="",履歴データ!$A$752=""),"",-40000*N753)</f>
        <v>1.9895196601282805E-9</v>
      </c>
      <c r="X753" s="11">
        <f>IF(OR(履歴データ!$A$753="",履歴データ!$A$752=""),"",120*1000000*(-Q753/H752))</f>
        <v>277465.0478775627</v>
      </c>
      <c r="Y753" s="11">
        <f>IF(OR(履歴データ!$A$753="",履歴データ!$A$752=""),"",40000*(-S753)+(-506.3)*R753*1000)</f>
        <v>7465.6250000008513</v>
      </c>
      <c r="Z753" s="11">
        <f>IF(OR(履歴データ!$A$753="",履歴データ!$A$752=""),"",-40000*O753)</f>
        <v>-92000.000000000451</v>
      </c>
      <c r="AA753" s="11">
        <f>IF(OR(履歴データ!$A$753="",履歴データ!$A$752=""),"",-40000*P753)</f>
        <v>-141625.71289062782</v>
      </c>
      <c r="AB753" s="11">
        <f>IF(履歴データ!$A$753="","",123.3)</f>
        <v>123.3</v>
      </c>
      <c r="AC753">
        <f>IF(履歴データ!$A$753="","",SUM(T753:AA753))</f>
        <v>79304.95998694314</v>
      </c>
      <c r="AD753" s="29">
        <f>IF(履歴データ!$A$753="","",AC753/1000000)</f>
        <v>7.9304959986943147E-2</v>
      </c>
      <c r="AE753" s="29">
        <f>IF(履歴データ!$A$753="",AE752,AE752+AC753/1000000)</f>
        <v>70.083278147734788</v>
      </c>
      <c r="AF753" s="12">
        <f>IF(OR(履歴データ!$A$753="",AE752=0),"",(AE753-AE752)/AE752)</f>
        <v>1.1328636986682064E-3</v>
      </c>
      <c r="AG753" s="29">
        <f t="shared" si="35"/>
        <v>102.17217746631495</v>
      </c>
      <c r="AH753" s="12">
        <f>IF(OR(履歴データ!$A$753="",AG753=0),"",AE753/AG753-1)</f>
        <v>-0.31406690269627968</v>
      </c>
      <c r="AJ753" s="28">
        <f t="shared" ca="1" si="33"/>
        <v>6.5508464829105941</v>
      </c>
      <c r="AK753" s="28">
        <f t="shared" ca="1" si="34"/>
        <v>-6.7254496575137699</v>
      </c>
    </row>
    <row r="754" spans="1:37">
      <c r="A754" s="10">
        <f>IF(履歴データ!$A$754="","",履歴データ!$A$754)</f>
        <v>46029</v>
      </c>
      <c r="B754" s="28">
        <f>IF(履歴データ!$A$754="","",(履歴データ!$D$754-(履歴データ!$B$754+履歴データ!$F$754)/2)*100)</f>
        <v>0.49999999999998934</v>
      </c>
      <c r="C754" s="28">
        <f>IF(履歴データ!$A$754="","",(履歴データ!$H$754-(履歴データ!$G$754+履歴データ!$J$754)/2)*100)</f>
        <v>-17.499999999999982</v>
      </c>
      <c r="D754" s="28">
        <f>IF(履歴データ!$A$754="","",(履歴データ!$D$754-履歴データ!$H$754)*100)</f>
        <v>202.60000000000002</v>
      </c>
      <c r="E754" s="28">
        <f>IF(履歴データ!$A$754="","",(履歴データ!$D$754-履歴データ!$C$754)*100)</f>
        <v>45.000000000000014</v>
      </c>
      <c r="F754" s="28">
        <f>IF(履歴データ!$A$754="","",(履歴データ!$R$754-履歴データ!$D$754)*100)</f>
        <v>-309.38000000000005</v>
      </c>
      <c r="G754" s="28">
        <f>IF(履歴データ!$A$754="","",(履歴データ!$S$754-履歴データ!$R$754)*100)</f>
        <v>115.43599999999992</v>
      </c>
      <c r="H754" s="29">
        <f>IF(履歴データ!$A$754="","",履歴データ!$O$754)</f>
        <v>156.67999267578125</v>
      </c>
      <c r="I754" s="29">
        <f>IF(履歴データ!$A$754="","",履歴データ!$Q$754)</f>
        <v>112.578125</v>
      </c>
      <c r="J754" s="29">
        <f>IF(履歴データ!$A$754="","",履歴データ!$D$754)</f>
        <v>4.1500000000000004</v>
      </c>
      <c r="K754" s="28">
        <f>IF(OR(履歴データ!$A$754="",履歴データ!$A$753=""),"",B754-B753)</f>
        <v>-0.99999999999997868</v>
      </c>
      <c r="L754" s="28">
        <f>IF(OR(履歴データ!$A$754="",履歴データ!$A$753=""),"",C754-C753)</f>
        <v>0.45000000000001705</v>
      </c>
      <c r="M754" s="28">
        <f>IF(OR(履歴データ!$A$754="",履歴データ!$A$753=""),"",D754-D753)</f>
        <v>-3.0999999999999375</v>
      </c>
      <c r="N754" s="28">
        <f>IF(OR(履歴データ!$A$754="",履歴データ!$A$753=""),"",E754-E753)</f>
        <v>-0.99999999999993605</v>
      </c>
      <c r="O754" s="28">
        <f>IF(OR(履歴データ!$A$754="",履歴データ!$A$753=""),"",F754-F753)</f>
        <v>0.57999999999992724</v>
      </c>
      <c r="P754" s="28">
        <f>IF(OR(履歴データ!$A$754="",履歴データ!$A$753=""),"",G754-G753)</f>
        <v>0.84135717773442309</v>
      </c>
      <c r="Q754" s="29">
        <f>IF(OR(履歴データ!$A$754="",履歴データ!$A$753=""),"",H754-H753)</f>
        <v>5.3985595703125E-2</v>
      </c>
      <c r="R754" s="29">
        <f>IF(OR(履歴データ!$A$754="",履歴データ!$A$753=""),"",I754-I753)</f>
        <v>0.25</v>
      </c>
      <c r="S754" s="28">
        <f>IF(OR(履歴データ!$A$754="",履歴データ!$A$753=""),"",(J754-J753)*100)</f>
        <v>-2.9999999999999361</v>
      </c>
      <c r="T754" s="11">
        <f>IF(OR(履歴データ!$A$754="",履歴データ!$A$753=""),"",-80000*K754)</f>
        <v>79999.999999998297</v>
      </c>
      <c r="U754" s="11">
        <f>IF(OR(履歴データ!$A$754="",履歴データ!$A$753=""),"",60000*L754)</f>
        <v>27000.000000001022</v>
      </c>
      <c r="V754" s="11">
        <f>IF(OR(履歴データ!$A$754="",履歴データ!$A$753=""),"",-50000*M754)</f>
        <v>154999.99999999689</v>
      </c>
      <c r="W754" s="11">
        <f>IF(OR(履歴データ!$A$754="",履歴データ!$A$753=""),"",-40000*N754)</f>
        <v>39999.999999997439</v>
      </c>
      <c r="X754" s="11">
        <f>IF(OR(履歴データ!$A$754="",履歴データ!$A$753=""),"",120*1000000*(-Q754/H753))</f>
        <v>-41361.40354432234</v>
      </c>
      <c r="Y754" s="11">
        <f>IF(OR(履歴データ!$A$754="",履歴データ!$A$753=""),"",40000*(-S754)+(-506.3)*R754*1000)</f>
        <v>-6575.0000000025611</v>
      </c>
      <c r="Z754" s="11">
        <f>IF(OR(履歴データ!$A$754="",履歴データ!$A$753=""),"",-40000*O754)</f>
        <v>-23199.99999999709</v>
      </c>
      <c r="AA754" s="11">
        <f>IF(OR(履歴データ!$A$754="",履歴データ!$A$753=""),"",-40000*P754)</f>
        <v>-33654.287109376921</v>
      </c>
      <c r="AB754" s="11">
        <f>IF(履歴データ!$A$754="","",123.3)</f>
        <v>123.3</v>
      </c>
      <c r="AC754">
        <f>IF(履歴データ!$A$754="","",SUM(T754:AA754))</f>
        <v>197209.30934629473</v>
      </c>
      <c r="AD754" s="29">
        <f>IF(履歴データ!$A$754="","",AC754/1000000)</f>
        <v>0.19720930934629474</v>
      </c>
      <c r="AE754" s="29">
        <f>IF(履歴データ!$A$754="",AE753,AE753+AC754/1000000)</f>
        <v>70.28048745708108</v>
      </c>
      <c r="AF754" s="12">
        <f>IF(OR(履歴データ!$A$754="",AE753=0),"",(AE754-AE753)/AE753)</f>
        <v>2.8139281517422258E-3</v>
      </c>
      <c r="AG754" s="29">
        <f t="shared" si="35"/>
        <v>102.17217746631495</v>
      </c>
      <c r="AH754" s="12">
        <f>IF(OR(履歴データ!$A$754="",AG754=0),"",AE754/AG754-1)</f>
        <v>-0.31213673624356508</v>
      </c>
      <c r="AJ754" s="28">
        <f t="shared" ca="1" si="33"/>
        <v>6.5021694406065196</v>
      </c>
      <c r="AK754" s="28">
        <f t="shared" ca="1" si="34"/>
        <v>-6.71248690092398</v>
      </c>
    </row>
    <row r="755" spans="1:37">
      <c r="A755" s="10">
        <f>IF(履歴データ!$A$755="","",履歴データ!$A$755)</f>
        <v>46030</v>
      </c>
      <c r="B755" s="28">
        <f>IF(履歴データ!$A$755="","",(履歴データ!$D$755-(履歴データ!$B$755+履歴データ!$F$755)/2)*100)</f>
        <v>2.0000000000000462</v>
      </c>
      <c r="C755" s="28">
        <f>IF(履歴データ!$A$755="","",(履歴データ!$H$755-(履歴データ!$G$755+履歴データ!$J$755)/2)*100)</f>
        <v>-19.899999999999984</v>
      </c>
      <c r="D755" s="28">
        <f>IF(履歴データ!$A$755="","",(履歴データ!$D$755-履歴データ!$H$755)*100)</f>
        <v>210.70000000000002</v>
      </c>
      <c r="E755" s="28">
        <f>IF(履歴データ!$A$755="","",(履歴データ!$D$755-履歴データ!$C$755)*100)</f>
        <v>45.000000000000014</v>
      </c>
      <c r="F755" s="28">
        <f>IF(履歴データ!$A$755="","",(履歴データ!$R$755-履歴データ!$D$755)*100)</f>
        <v>-319.27000000000004</v>
      </c>
      <c r="G755" s="28">
        <f>IF(履歴データ!$A$755="","",(履歴データ!$S$755-履歴データ!$R$755)*100)</f>
        <v>122.9046428222655</v>
      </c>
      <c r="H755" s="29">
        <f>IF(履歴データ!$A$755="","",履歴データ!$O$755)</f>
        <v>156.73100280761719</v>
      </c>
      <c r="I755" s="29">
        <f>IF(履歴データ!$A$755="","",履歴データ!$Q$755)</f>
        <v>112.25</v>
      </c>
      <c r="J755" s="29">
        <f>IF(履歴データ!$A$755="","",履歴データ!$D$755)</f>
        <v>4.1900000000000004</v>
      </c>
      <c r="K755" s="28">
        <f>IF(OR(履歴データ!$A$755="",履歴データ!$A$754=""),"",B755-B754)</f>
        <v>1.5000000000000568</v>
      </c>
      <c r="L755" s="28">
        <f>IF(OR(履歴データ!$A$755="",履歴データ!$A$754=""),"",C755-C754)</f>
        <v>-2.4000000000000021</v>
      </c>
      <c r="M755" s="28">
        <f>IF(OR(履歴データ!$A$755="",履歴データ!$A$754=""),"",D755-D754)</f>
        <v>8.0999999999999943</v>
      </c>
      <c r="N755" s="28">
        <f>IF(OR(履歴データ!$A$755="",履歴データ!$A$754=""),"",E755-E754)</f>
        <v>0</v>
      </c>
      <c r="O755" s="28">
        <f>IF(OR(履歴データ!$A$755="",履歴データ!$A$754=""),"",F755-F754)</f>
        <v>-9.8899999999999864</v>
      </c>
      <c r="P755" s="28">
        <f>IF(OR(履歴データ!$A$755="",履歴データ!$A$754=""),"",G755-G754)</f>
        <v>7.4686428222655792</v>
      </c>
      <c r="Q755" s="29">
        <f>IF(OR(履歴データ!$A$755="",履歴データ!$A$754=""),"",H755-H754)</f>
        <v>5.10101318359375E-2</v>
      </c>
      <c r="R755" s="29">
        <f>IF(OR(履歴データ!$A$755="",履歴データ!$A$754=""),"",I755-I754)</f>
        <v>-0.328125</v>
      </c>
      <c r="S755" s="28">
        <f>IF(OR(履歴データ!$A$755="",履歴データ!$A$754=""),"",(J755-J754)*100)</f>
        <v>4.0000000000000036</v>
      </c>
      <c r="T755" s="11">
        <f>IF(OR(履歴データ!$A$755="",履歴データ!$A$754=""),"",-80000*K755)</f>
        <v>-120000.00000000454</v>
      </c>
      <c r="U755" s="11">
        <f>IF(OR(履歴データ!$A$755="",履歴データ!$A$754=""),"",60000*L755)</f>
        <v>-144000.00000000012</v>
      </c>
      <c r="V755" s="11">
        <f>IF(OR(履歴データ!$A$755="",履歴データ!$A$754=""),"",-50000*M755)</f>
        <v>-404999.99999999971</v>
      </c>
      <c r="W755" s="11">
        <f>IF(OR(履歴データ!$A$755="",履歴データ!$A$754=""),"",-40000*N755)</f>
        <v>0</v>
      </c>
      <c r="X755" s="11">
        <f>IF(OR(履歴データ!$A$755="",履歴データ!$A$754=""),"",120*1000000*(-Q755/H754))</f>
        <v>-39068.267209963211</v>
      </c>
      <c r="Y755" s="11">
        <f>IF(OR(履歴データ!$A$755="",履歴データ!$A$754=""),"",40000*(-S755)+(-506.3)*R755*1000)</f>
        <v>6129.6874999998836</v>
      </c>
      <c r="Z755" s="11">
        <f>IF(OR(履歴データ!$A$755="",履歴データ!$A$754=""),"",-40000*O755)</f>
        <v>395599.99999999948</v>
      </c>
      <c r="AA755" s="11">
        <f>IF(OR(履歴データ!$A$755="",履歴データ!$A$754=""),"",-40000*P755)</f>
        <v>-298745.7128906232</v>
      </c>
      <c r="AB755" s="11">
        <f>IF(履歴データ!$A$755="","",123.3)</f>
        <v>123.3</v>
      </c>
      <c r="AC755">
        <f>IF(履歴データ!$A$755="","",SUM(T755:AA755))</f>
        <v>-605084.29260059143</v>
      </c>
      <c r="AD755" s="29">
        <f>IF(履歴データ!$A$755="","",AC755/1000000)</f>
        <v>-0.60508429260059149</v>
      </c>
      <c r="AE755" s="29">
        <f>IF(履歴データ!$A$755="",AE754,AE754+AC755/1000000)</f>
        <v>69.675403164480485</v>
      </c>
      <c r="AF755" s="12">
        <f>IF(OR(履歴データ!$A$755="",AE754=0),"",(AE755-AE754)/AE754)</f>
        <v>-8.6095631162220847E-3</v>
      </c>
      <c r="AG755" s="29">
        <f t="shared" si="35"/>
        <v>102.17217746631495</v>
      </c>
      <c r="AH755" s="12">
        <f>IF(OR(履歴データ!$A$755="",AG755=0),"",AE755/AG755-1)</f>
        <v>-0.31805893842820654</v>
      </c>
      <c r="AJ755" s="28">
        <f t="shared" ca="1" si="33"/>
        <v>6.4640838267267267</v>
      </c>
      <c r="AK755" s="28">
        <f t="shared" ca="1" si="34"/>
        <v>-6.6982108108537108</v>
      </c>
    </row>
    <row r="756" spans="1:37">
      <c r="A756" s="10">
        <f>IF(履歴データ!$A$756="","",履歴データ!$A$756)</f>
        <v>46031</v>
      </c>
      <c r="B756" s="28">
        <f>IF(履歴データ!$A$756="","",(履歴データ!$D$756-(履歴データ!$B$756+履歴データ!$F$756)/2)*100)</f>
        <v>0</v>
      </c>
      <c r="C756" s="28">
        <f>IF(履歴データ!$A$756="","",(履歴データ!$H$756-(履歴データ!$G$756+履歴データ!$J$756)/2)*100)</f>
        <v>-17.899999999999984</v>
      </c>
      <c r="D756" s="28">
        <f>IF(履歴データ!$A$756="","",(履歴データ!$D$756-履歴データ!$H$756)*100)</f>
        <v>208.39999999999998</v>
      </c>
      <c r="E756" s="28">
        <f>IF(履歴データ!$A$756="","",(履歴データ!$D$756-履歴データ!$C$756)*100)</f>
        <v>42.999999999999972</v>
      </c>
      <c r="F756" s="28">
        <f>IF(履歴データ!$A$756="","",(履歴データ!$R$756-履歴データ!$D$756)*100)</f>
        <v>-317.80999999999995</v>
      </c>
      <c r="G756" s="28">
        <f>IF(履歴データ!$A$756="","",(履歴データ!$S$756-履歴データ!$R$756)*100)</f>
        <v>117.5333571777343</v>
      </c>
      <c r="H756" s="29">
        <f>IF(履歴データ!$A$756="","",履歴データ!$O$756)</f>
        <v>156.8800048828125</v>
      </c>
      <c r="I756" s="29">
        <f>IF(履歴データ!$A$756="","",履歴データ!$Q$756)</f>
        <v>112.21875</v>
      </c>
      <c r="J756" s="29">
        <f>IF(履歴データ!$A$756="","",履歴データ!$D$756)</f>
        <v>4.18</v>
      </c>
      <c r="K756" s="28">
        <f>IF(OR(履歴データ!$A$756="",履歴データ!$A$755=""),"",B756-B755)</f>
        <v>-2.0000000000000462</v>
      </c>
      <c r="L756" s="28">
        <f>IF(OR(履歴データ!$A$756="",履歴データ!$A$755=""),"",C756-C755)</f>
        <v>2</v>
      </c>
      <c r="M756" s="28">
        <f>IF(OR(履歴データ!$A$756="",履歴データ!$A$755=""),"",D756-D755)</f>
        <v>-2.3000000000000398</v>
      </c>
      <c r="N756" s="28">
        <f>IF(OR(履歴データ!$A$756="",履歴データ!$A$755=""),"",E756-E755)</f>
        <v>-2.0000000000000426</v>
      </c>
      <c r="O756" s="28">
        <f>IF(OR(履歴データ!$A$756="",履歴データ!$A$755=""),"",F756-F755)</f>
        <v>1.4600000000000932</v>
      </c>
      <c r="P756" s="28">
        <f>IF(OR(履歴データ!$A$756="",履歴データ!$A$755=""),"",G756-G755)</f>
        <v>-5.3712856445311985</v>
      </c>
      <c r="Q756" s="29">
        <f>IF(OR(履歴データ!$A$756="",履歴データ!$A$755=""),"",H756-H755)</f>
        <v>0.1490020751953125</v>
      </c>
      <c r="R756" s="29">
        <f>IF(OR(履歴データ!$A$756="",履歴データ!$A$755=""),"",I756-I755)</f>
        <v>-3.125E-2</v>
      </c>
      <c r="S756" s="28">
        <f>IF(OR(履歴データ!$A$756="",履歴データ!$A$755=""),"",(J756-J755)*100)</f>
        <v>-1.0000000000000675</v>
      </c>
      <c r="T756" s="11">
        <f>IF(OR(履歴データ!$A$756="",履歴データ!$A$755=""),"",-80000*K756)</f>
        <v>160000.0000000037</v>
      </c>
      <c r="U756" s="11">
        <f>IF(OR(履歴データ!$A$756="",履歴データ!$A$755=""),"",60000*L756)</f>
        <v>120000</v>
      </c>
      <c r="V756" s="11">
        <f>IF(OR(履歴データ!$A$756="",履歴データ!$A$755=""),"",-50000*M756)</f>
        <v>115000.00000000199</v>
      </c>
      <c r="W756" s="11">
        <f>IF(OR(履歴データ!$A$756="",履歴データ!$A$755=""),"",-40000*N756)</f>
        <v>80000.000000001703</v>
      </c>
      <c r="X756" s="11">
        <f>IF(OR(履歴データ!$A$756="",履歴データ!$A$755=""),"",120*1000000*(-Q756/H755))</f>
        <v>-114082.40043857176</v>
      </c>
      <c r="Y756" s="11">
        <f>IF(OR(履歴データ!$A$756="",履歴データ!$A$755=""),"",40000*(-S756)+(-506.3)*R756*1000)</f>
        <v>55821.875000002699</v>
      </c>
      <c r="Z756" s="11">
        <f>IF(OR(履歴データ!$A$756="",履歴データ!$A$755=""),"",-40000*O756)</f>
        <v>-58400.000000003725</v>
      </c>
      <c r="AA756" s="11">
        <f>IF(OR(履歴データ!$A$756="",履歴データ!$A$755=""),"",-40000*P756)</f>
        <v>214851.42578124793</v>
      </c>
      <c r="AB756" s="11">
        <f>IF(履歴データ!$A$756="","",123.3)</f>
        <v>123.3</v>
      </c>
      <c r="AC756">
        <f>IF(履歴データ!$A$756="","",SUM(T756:AA756))</f>
        <v>573190.90034268249</v>
      </c>
      <c r="AD756" s="29">
        <f>IF(履歴データ!$A$756="","",AC756/1000000)</f>
        <v>0.5731909003426825</v>
      </c>
      <c r="AE756" s="29">
        <f>IF(履歴データ!$A$756="",AE755,AE755+AC756/1000000)</f>
        <v>70.248594064823166</v>
      </c>
      <c r="AF756" s="12">
        <f>IF(OR(履歴データ!$A$756="",AE755=0),"",(AE756-AE755)/AE755)</f>
        <v>8.2265889296624147E-3</v>
      </c>
      <c r="AG756" s="29">
        <f t="shared" si="35"/>
        <v>102.17217746631495</v>
      </c>
      <c r="AH756" s="12">
        <f>IF(OR(履歴データ!$A$756="",AG756=0),"",AE756/AG756-1)</f>
        <v>-0.31244888964039785</v>
      </c>
      <c r="AJ756" s="28">
        <f t="shared" ca="1" si="33"/>
        <v>6.4038165335828703</v>
      </c>
      <c r="AK756" s="28">
        <f t="shared" ca="1" si="34"/>
        <v>-6.6815943113606489</v>
      </c>
    </row>
    <row r="757" spans="1:37">
      <c r="A757" s="10">
        <f>IF(履歴データ!$A$757="","",履歴データ!$A$757)</f>
        <v>46034</v>
      </c>
      <c r="B757" s="28">
        <f>IF(履歴データ!$A$757="","",(履歴データ!$D$757-(履歴データ!$B$757+履歴データ!$F$757)/2)*100)</f>
        <v>0.49999999999998934</v>
      </c>
      <c r="C757" s="28">
        <f>IF(履歴データ!$A$757="","",(履歴データ!$H$757-(履歴データ!$G$757+履歴データ!$J$757)/2)*100)</f>
        <v>-17.899999999999984</v>
      </c>
      <c r="D757" s="28">
        <f>IF(履歴データ!$A$757="","",(履歴データ!$D$757-履歴データ!$H$757)*100)</f>
        <v>209.40000000000003</v>
      </c>
      <c r="E757" s="28">
        <f>IF(履歴データ!$A$757="","",(履歴データ!$D$757-履歴データ!$C$757)*100)</f>
        <v>42.000000000000036</v>
      </c>
      <c r="F757" s="28">
        <f>IF(履歴データ!$A$757="","",(履歴データ!$R$757-履歴データ!$D$757)*100)</f>
        <v>-319.52000000000004</v>
      </c>
      <c r="G757" s="28">
        <f>IF(履歴データ!$A$757="","",(履歴データ!$S$757-履歴データ!$R$757)*100)</f>
        <v>118.24335717773428</v>
      </c>
      <c r="H757" s="29">
        <f>IF(履歴データ!$A$757="","",履歴データ!$O$757)</f>
        <v>158.14900207519531</v>
      </c>
      <c r="I757" s="29">
        <f>IF(履歴データ!$A$757="","",履歴データ!$Q$757)</f>
        <v>112.140625</v>
      </c>
      <c r="J757" s="29">
        <f>IF(履歴データ!$A$757="","",履歴データ!$D$757)</f>
        <v>4.1900000000000004</v>
      </c>
      <c r="K757" s="28">
        <f>IF(OR(履歴データ!$A$757="",履歴データ!$A$756=""),"",B757-B756)</f>
        <v>0.49999999999998934</v>
      </c>
      <c r="L757" s="28">
        <f>IF(OR(履歴データ!$A$757="",履歴データ!$A$756=""),"",C757-C756)</f>
        <v>0</v>
      </c>
      <c r="M757" s="28">
        <f>IF(OR(履歴データ!$A$757="",履歴データ!$A$756=""),"",D757-D756)</f>
        <v>1.0000000000000568</v>
      </c>
      <c r="N757" s="28">
        <f>IF(OR(履歴データ!$A$757="",履歴データ!$A$756=""),"",E757-E756)</f>
        <v>-0.99999999999993605</v>
      </c>
      <c r="O757" s="28">
        <f>IF(OR(履歴データ!$A$757="",履歴データ!$A$756=""),"",F757-F756)</f>
        <v>-1.7100000000000932</v>
      </c>
      <c r="P757" s="28">
        <f>IF(OR(履歴データ!$A$757="",履歴データ!$A$756=""),"",G757-G756)</f>
        <v>0.70999999999997954</v>
      </c>
      <c r="Q757" s="29">
        <f>IF(OR(履歴データ!$A$757="",履歴データ!$A$756=""),"",H757-H756)</f>
        <v>1.2689971923828125</v>
      </c>
      <c r="R757" s="29">
        <f>IF(OR(履歴データ!$A$757="",履歴データ!$A$756=""),"",I757-I756)</f>
        <v>-7.8125E-2</v>
      </c>
      <c r="S757" s="28">
        <f>IF(OR(履歴データ!$A$757="",履歴データ!$A$756=""),"",(J757-J756)*100)</f>
        <v>1.0000000000000675</v>
      </c>
      <c r="T757" s="11">
        <f>IF(OR(履歴データ!$A$757="",履歴データ!$A$756=""),"",-80000*K757)</f>
        <v>-39999.999999999149</v>
      </c>
      <c r="U757" s="11">
        <f>IF(OR(履歴データ!$A$757="",履歴データ!$A$756=""),"",60000*L757)</f>
        <v>0</v>
      </c>
      <c r="V757" s="11">
        <f>IF(OR(履歴データ!$A$757="",履歴データ!$A$756=""),"",-50000*M757)</f>
        <v>-50000.000000002845</v>
      </c>
      <c r="W757" s="11">
        <f>IF(OR(履歴データ!$A$757="",履歴データ!$A$756=""),"",-40000*N757)</f>
        <v>39999.999999997439</v>
      </c>
      <c r="X757" s="11">
        <f>IF(OR(履歴データ!$A$757="",履歴データ!$A$756=""),"",120*1000000*(-Q757/H756))</f>
        <v>-970676.04759248067</v>
      </c>
      <c r="Y757" s="11">
        <f>IF(OR(履歴データ!$A$757="",履歴データ!$A$756=""),"",40000*(-S757)+(-506.3)*R757*1000)</f>
        <v>-445.31250000269938</v>
      </c>
      <c r="Z757" s="11">
        <f>IF(OR(履歴データ!$A$757="",履歴データ!$A$756=""),"",-40000*O757)</f>
        <v>68400.000000003725</v>
      </c>
      <c r="AA757" s="11">
        <f>IF(OR(履歴データ!$A$757="",履歴データ!$A$756=""),"",-40000*P757)</f>
        <v>-28399.999999999181</v>
      </c>
      <c r="AB757" s="11">
        <f>IF(履歴データ!$A$757="","",123.3)</f>
        <v>123.3</v>
      </c>
      <c r="AC757">
        <f>IF(履歴データ!$A$757="","",SUM(T757:AA757))</f>
        <v>-981121.36009248334</v>
      </c>
      <c r="AD757" s="29">
        <f>IF(履歴データ!$A$757="","",AC757/1000000)</f>
        <v>-0.9811213600924833</v>
      </c>
      <c r="AE757" s="29">
        <f>IF(履歴データ!$A$757="",AE756,AE756+AC757/1000000)</f>
        <v>69.267472704730679</v>
      </c>
      <c r="AF757" s="12">
        <f>IF(OR(履歴データ!$A$757="",AE756=0),"",(AE757-AE756)/AE756)</f>
        <v>-1.3966419871508599E-2</v>
      </c>
      <c r="AG757" s="29">
        <f t="shared" si="35"/>
        <v>102.17217746631495</v>
      </c>
      <c r="AH757" s="12">
        <f>IF(OR(履歴データ!$A$757="",AG757=0),"",AE757/AG757-1)</f>
        <v>-0.32205151713080205</v>
      </c>
      <c r="AJ757" s="28">
        <f t="shared" ca="1" si="33"/>
        <v>6.3264336173389584</v>
      </c>
      <c r="AK757" s="28">
        <f t="shared" ca="1" si="34"/>
        <v>-6.6518304427357844</v>
      </c>
    </row>
    <row r="758" spans="1:37">
      <c r="A758" s="10">
        <f>IF(履歴データ!$A$758="","",履歴データ!$A$758)</f>
        <v>46035</v>
      </c>
      <c r="B758" s="28">
        <f>IF(履歴データ!$A$758="","",(履歴データ!$D$758-(履歴データ!$B$758+履歴データ!$F$758)/2)*100)</f>
        <v>0</v>
      </c>
      <c r="C758" s="28">
        <f>IF(履歴データ!$A$758="","",(履歴データ!$H$758-(履歴データ!$G$758+履歴データ!$J$758)/2)*100)</f>
        <v>-15.000000000000036</v>
      </c>
      <c r="D758" s="28">
        <f>IF(履歴データ!$A$758="","",(履歴データ!$D$758-履歴データ!$H$758)*100)</f>
        <v>201.7</v>
      </c>
      <c r="E758" s="28">
        <f>IF(履歴データ!$A$758="","",(履歴データ!$D$758-履歴データ!$C$758)*100)</f>
        <v>42.999999999999972</v>
      </c>
      <c r="F758" s="28">
        <f>IF(履歴データ!$A$758="","",(履歴データ!$R$758-履歴データ!$D$758)*100)</f>
        <v>-319.23999999999995</v>
      </c>
      <c r="G758" s="28">
        <f>IF(履歴データ!$A$758="","",(履歴データ!$S$758-履歴データ!$R$758)*100)</f>
        <v>126.68099999999983</v>
      </c>
      <c r="H758" s="29">
        <f>IF(履歴データ!$A$758="","",履歴データ!$O$758)</f>
        <v>157.98599243164063</v>
      </c>
      <c r="I758" s="29">
        <f>IF(履歴データ!$A$758="","",履歴データ!$Q$758)</f>
        <v>112.265625</v>
      </c>
      <c r="J758" s="29">
        <f>IF(履歴データ!$A$758="","",履歴データ!$D$758)</f>
        <v>4.18</v>
      </c>
      <c r="K758" s="28">
        <f>IF(OR(履歴データ!$A$758="",履歴データ!$A$757=""),"",B758-B757)</f>
        <v>-0.49999999999998934</v>
      </c>
      <c r="L758" s="28">
        <f>IF(OR(履歴データ!$A$758="",履歴データ!$A$757=""),"",C758-C757)</f>
        <v>2.8999999999999488</v>
      </c>
      <c r="M758" s="28">
        <f>IF(OR(履歴データ!$A$758="",履歴データ!$A$757=""),"",D758-D757)</f>
        <v>-7.7000000000000455</v>
      </c>
      <c r="N758" s="28">
        <f>IF(OR(履歴データ!$A$758="",履歴データ!$A$757=""),"",E758-E757)</f>
        <v>0.99999999999993605</v>
      </c>
      <c r="O758" s="28">
        <f>IF(OR(履歴データ!$A$758="",履歴データ!$A$757=""),"",F758-F757)</f>
        <v>0.2800000000000864</v>
      </c>
      <c r="P758" s="28">
        <f>IF(OR(履歴データ!$A$758="",履歴データ!$A$757=""),"",G758-G757)</f>
        <v>8.4376428222655449</v>
      </c>
      <c r="Q758" s="29">
        <f>IF(OR(履歴データ!$A$758="",履歴データ!$A$757=""),"",H758-H757)</f>
        <v>-0.1630096435546875</v>
      </c>
      <c r="R758" s="29">
        <f>IF(OR(履歴データ!$A$758="",履歴データ!$A$757=""),"",I758-I757)</f>
        <v>0.125</v>
      </c>
      <c r="S758" s="28">
        <f>IF(OR(履歴データ!$A$758="",履歴データ!$A$757=""),"",(J758-J757)*100)</f>
        <v>-1.0000000000000675</v>
      </c>
      <c r="T758" s="11">
        <f>IF(OR(履歴データ!$A$758="",履歴データ!$A$757=""),"",-80000*K758)</f>
        <v>39999.999999999149</v>
      </c>
      <c r="U758" s="11">
        <f>IF(OR(履歴データ!$A$758="",履歴データ!$A$757=""),"",60000*L758)</f>
        <v>173999.99999999694</v>
      </c>
      <c r="V758" s="11">
        <f>IF(OR(履歴データ!$A$758="",履歴データ!$A$757=""),"",-50000*M758)</f>
        <v>385000.00000000227</v>
      </c>
      <c r="W758" s="11">
        <f>IF(OR(履歴データ!$A$758="",履歴データ!$A$757=""),"",-40000*N758)</f>
        <v>-39999.999999997439</v>
      </c>
      <c r="X758" s="11">
        <f>IF(OR(履歴データ!$A$758="",履歴データ!$A$757=""),"",120*1000000*(-Q758/H757))</f>
        <v>123688.14832775063</v>
      </c>
      <c r="Y758" s="11">
        <f>IF(OR(履歴データ!$A$758="",履歴データ!$A$757=""),"",40000*(-S758)+(-506.3)*R758*1000)</f>
        <v>-23287.499999997301</v>
      </c>
      <c r="Z758" s="11">
        <f>IF(OR(履歴データ!$A$758="",履歴データ!$A$757=""),"",-40000*O758)</f>
        <v>-11200.000000003456</v>
      </c>
      <c r="AA758" s="11">
        <f>IF(OR(履歴データ!$A$758="",履歴データ!$A$757=""),"",-40000*P758)</f>
        <v>-337505.7128906218</v>
      </c>
      <c r="AB758" s="11">
        <f>IF(履歴データ!$A$758="","",123.3)</f>
        <v>123.3</v>
      </c>
      <c r="AC758">
        <f>IF(履歴データ!$A$758="","",SUM(T758:AA758))</f>
        <v>310694.93543712894</v>
      </c>
      <c r="AD758" s="29">
        <f>IF(履歴データ!$A$758="","",AC758/1000000)</f>
        <v>0.31069493543712895</v>
      </c>
      <c r="AE758" s="29">
        <f>IF(履歴データ!$A$758="",AE757,AE757+AC758/1000000)</f>
        <v>69.578167640167806</v>
      </c>
      <c r="AF758" s="12">
        <f>IF(OR(履歴データ!$A$758="",AE757=0),"",(AE758-AE757)/AE757)</f>
        <v>4.4854377286369148E-3</v>
      </c>
      <c r="AG758" s="29">
        <f t="shared" si="35"/>
        <v>102.17217746631495</v>
      </c>
      <c r="AH758" s="12">
        <f>IF(OR(履歴データ!$A$758="",AG758=0),"",AE758/AG758-1)</f>
        <v>-0.31901062142766834</v>
      </c>
      <c r="AJ758" s="28">
        <f t="shared" ca="1" si="33"/>
        <v>6.2239226909027954</v>
      </c>
      <c r="AK758" s="28">
        <f t="shared" ca="1" si="34"/>
        <v>-6.6088433258234316</v>
      </c>
    </row>
    <row r="759" spans="1:37">
      <c r="A759" s="10">
        <f>IF(履歴データ!$A$759="","",履歴データ!$A$759)</f>
        <v>46036</v>
      </c>
      <c r="B759" s="28">
        <f>IF(履歴データ!$A$759="","",(履歴データ!$D$759-(履歴データ!$B$759+履歴データ!$F$759)/2)*100)</f>
        <v>0</v>
      </c>
      <c r="C759" s="28">
        <f>IF(履歴データ!$A$759="","",(履歴データ!$H$759-(履歴データ!$G$759+履歴データ!$J$759)/2)*100)</f>
        <v>-15.400000000000036</v>
      </c>
      <c r="D759" s="28">
        <f>IF(履歴データ!$A$759="","",(履歴データ!$D$759-履歴データ!$H$759)*100)</f>
        <v>196.80000000000004</v>
      </c>
      <c r="E759" s="28">
        <f>IF(履歴データ!$A$759="","",(履歴データ!$D$759-履歴データ!$C$759)*100)</f>
        <v>43.000000000000014</v>
      </c>
      <c r="F759" s="28">
        <f>IF(履歴データ!$A$759="","",(履歴データ!$R$759-履歴データ!$D$759)*100)</f>
        <v>-314.51000000000005</v>
      </c>
      <c r="G759" s="28">
        <f>IF(履歴データ!$A$759="","",(履歴データ!$S$759-履歴データ!$R$759)*100)</f>
        <v>122.14464282226551</v>
      </c>
      <c r="H759" s="29">
        <f>IF(履歴データ!$A$759="","",履歴データ!$O$759)</f>
        <v>159.17900085449219</v>
      </c>
      <c r="I759" s="29">
        <f>IF(履歴データ!$A$759="","",履歴データ!$Q$759)</f>
        <v>112.46875</v>
      </c>
      <c r="J759" s="29">
        <f>IF(履歴データ!$A$759="","",履歴データ!$D$759)</f>
        <v>4.1500000000000004</v>
      </c>
      <c r="K759" s="28">
        <f>IF(OR(履歴データ!$A$759="",履歴データ!$A$758=""),"",B759-B758)</f>
        <v>0</v>
      </c>
      <c r="L759" s="28">
        <f>IF(OR(履歴データ!$A$759="",履歴データ!$A$758=""),"",C759-C758)</f>
        <v>-0.40000000000000036</v>
      </c>
      <c r="M759" s="28">
        <f>IF(OR(履歴データ!$A$759="",履歴データ!$A$758=""),"",D759-D758)</f>
        <v>-4.8999999999999488</v>
      </c>
      <c r="N759" s="28">
        <f>IF(OR(履歴データ!$A$759="",履歴データ!$A$758=""),"",E759-E758)</f>
        <v>4.2632564145606011E-14</v>
      </c>
      <c r="O759" s="28">
        <f>IF(OR(履歴データ!$A$759="",履歴データ!$A$758=""),"",F759-F758)</f>
        <v>4.7299999999999045</v>
      </c>
      <c r="P759" s="28">
        <f>IF(OR(履歴データ!$A$759="",履歴データ!$A$758=""),"",G759-G758)</f>
        <v>-4.5363571777343168</v>
      </c>
      <c r="Q759" s="29">
        <f>IF(OR(履歴データ!$A$759="",履歴データ!$A$758=""),"",H759-H758)</f>
        <v>1.1930084228515625</v>
      </c>
      <c r="R759" s="29">
        <f>IF(OR(履歴データ!$A$759="",履歴データ!$A$758=""),"",I759-I758)</f>
        <v>0.203125</v>
      </c>
      <c r="S759" s="28">
        <f>IF(OR(履歴データ!$A$759="",履歴データ!$A$758=""),"",(J759-J758)*100)</f>
        <v>-2.9999999999999361</v>
      </c>
      <c r="T759" s="11">
        <f>IF(OR(履歴データ!$A$759="",履歴データ!$A$758=""),"",-80000*K759)</f>
        <v>0</v>
      </c>
      <c r="U759" s="11">
        <f>IF(OR(履歴データ!$A$759="",履歴データ!$A$758=""),"",60000*L759)</f>
        <v>-24000.000000000022</v>
      </c>
      <c r="V759" s="11">
        <f>IF(OR(履歴データ!$A$759="",履歴データ!$A$758=""),"",-50000*M759)</f>
        <v>244999.99999999744</v>
      </c>
      <c r="W759" s="11">
        <f>IF(OR(履歴データ!$A$759="",履歴データ!$A$758=""),"",-40000*N759)</f>
        <v>-1.7053025658242404E-9</v>
      </c>
      <c r="X759" s="11">
        <f>IF(OR(履歴データ!$A$759="",履歴データ!$A$758=""),"",120*1000000*(-Q759/H758))</f>
        <v>-906162.68277158949</v>
      </c>
      <c r="Y759" s="11">
        <f>IF(OR(履歴データ!$A$759="",履歴データ!$A$758=""),"",40000*(-S759)+(-506.3)*R759*1000)</f>
        <v>17157.812499997424</v>
      </c>
      <c r="Z759" s="11">
        <f>IF(OR(履歴データ!$A$759="",履歴データ!$A$758=""),"",-40000*O759)</f>
        <v>-189199.99999999619</v>
      </c>
      <c r="AA759" s="11">
        <f>IF(OR(履歴データ!$A$759="",履歴データ!$A$758=""),"",-40000*P759)</f>
        <v>181454.28710937267</v>
      </c>
      <c r="AB759" s="11">
        <f>IF(履歴データ!$A$759="","",123.3)</f>
        <v>123.3</v>
      </c>
      <c r="AC759">
        <f>IF(履歴データ!$A$759="","",SUM(T759:AA759))</f>
        <v>-675750.58316221985</v>
      </c>
      <c r="AD759" s="29">
        <f>IF(履歴データ!$A$759="","",AC759/1000000)</f>
        <v>-0.67575058316221981</v>
      </c>
      <c r="AE759" s="29">
        <f>IF(履歴データ!$A$759="",AE758,AE758+AC759/1000000)</f>
        <v>68.902417057005579</v>
      </c>
      <c r="AF759" s="12">
        <f>IF(OR(履歴データ!$A$759="",AE758=0),"",(AE759-AE758)/AE758)</f>
        <v>-9.7121066288631715E-3</v>
      </c>
      <c r="AG759" s="29">
        <f t="shared" si="35"/>
        <v>102.17217746631495</v>
      </c>
      <c r="AH759" s="12">
        <f>IF(OR(履歴データ!$A$759="",AG759=0),"",AE759/AG759-1)</f>
        <v>-0.32562446288548608</v>
      </c>
      <c r="AJ759" s="28">
        <f t="shared" ca="1" si="33"/>
        <v>6.0953494326007869</v>
      </c>
      <c r="AK759" s="28">
        <f t="shared" ca="1" si="34"/>
        <v>-6.5477303849817394</v>
      </c>
    </row>
    <row r="760" spans="1:37">
      <c r="A760" s="10">
        <f>IF(履歴データ!$A$760="","",履歴データ!$A$760)</f>
        <v>46037</v>
      </c>
      <c r="B760" s="28">
        <f>IF(履歴データ!$A$760="","",(履歴データ!$D$760-(履歴データ!$B$760+履歴データ!$F$760)/2)*100)</f>
        <v>-0.49999999999998934</v>
      </c>
      <c r="C760" s="28">
        <f>IF(履歴データ!$A$760="","",(履歴データ!$H$760-(履歴データ!$G$760+履歴データ!$J$760)/2)*100)</f>
        <v>-15.799999999999992</v>
      </c>
      <c r="D760" s="28">
        <f>IF(履歴データ!$A$760="","",(履歴データ!$D$760-履歴データ!$H$760)*100)</f>
        <v>200.59999999999997</v>
      </c>
      <c r="E760" s="28">
        <f>IF(履歴データ!$A$760="","",(履歴データ!$D$760-履歴データ!$C$760)*100)</f>
        <v>39.999999999999993</v>
      </c>
      <c r="F760" s="28">
        <f>IF(履歴データ!$A$760="","",(履歴データ!$R$760-履歴データ!$D$760)*100)</f>
        <v>-319.81</v>
      </c>
      <c r="G760" s="28">
        <f>IF(履歴データ!$A$760="","",(履歴データ!$S$760-履歴データ!$R$760)*100)</f>
        <v>125.09382141113272</v>
      </c>
      <c r="H760" s="29">
        <f>IF(履歴データ!$A$760="","",履歴データ!$O$760)</f>
        <v>158.40199279785156</v>
      </c>
      <c r="I760" s="29">
        <f>IF(履歴データ!$A$760="","",履歴データ!$Q$760)</f>
        <v>112.21875</v>
      </c>
      <c r="J760" s="29">
        <f>IF(履歴データ!$A$760="","",履歴データ!$D$760)</f>
        <v>4.17</v>
      </c>
      <c r="K760" s="28">
        <f>IF(OR(履歴データ!$A$760="",履歴データ!$A$759=""),"",B760-B759)</f>
        <v>-0.49999999999998934</v>
      </c>
      <c r="L760" s="28">
        <f>IF(OR(履歴データ!$A$760="",履歴データ!$A$759=""),"",C760-C759)</f>
        <v>-0.39999999999995595</v>
      </c>
      <c r="M760" s="28">
        <f>IF(OR(履歴データ!$A$760="",履歴データ!$A$759=""),"",D760-D759)</f>
        <v>3.7999999999999261</v>
      </c>
      <c r="N760" s="28">
        <f>IF(OR(履歴データ!$A$760="",履歴データ!$A$759=""),"",E760-E759)</f>
        <v>-3.0000000000000213</v>
      </c>
      <c r="O760" s="28">
        <f>IF(OR(履歴データ!$A$760="",履歴データ!$A$759=""),"",F760-F759)</f>
        <v>-5.2999999999999545</v>
      </c>
      <c r="P760" s="28">
        <f>IF(OR(履歴データ!$A$760="",履歴データ!$A$759=""),"",G760-G759)</f>
        <v>2.9491785888672126</v>
      </c>
      <c r="Q760" s="29">
        <f>IF(OR(履歴データ!$A$760="",履歴データ!$A$759=""),"",H760-H759)</f>
        <v>-0.777008056640625</v>
      </c>
      <c r="R760" s="29">
        <f>IF(OR(履歴データ!$A$760="",履歴データ!$A$759=""),"",I760-I759)</f>
        <v>-0.25</v>
      </c>
      <c r="S760" s="28">
        <f>IF(OR(履歴データ!$A$760="",履歴データ!$A$759=""),"",(J760-J759)*100)</f>
        <v>1.9999999999999574</v>
      </c>
      <c r="T760" s="11">
        <f>IF(OR(履歴データ!$A$760="",履歴データ!$A$759=""),"",-80000*K760)</f>
        <v>39999.999999999149</v>
      </c>
      <c r="U760" s="11">
        <f>IF(OR(履歴データ!$A$760="",履歴データ!$A$759=""),"",60000*L760)</f>
        <v>-23999.999999997355</v>
      </c>
      <c r="V760" s="11">
        <f>IF(OR(履歴データ!$A$760="",履歴データ!$A$759=""),"",-50000*M760)</f>
        <v>-189999.9999999963</v>
      </c>
      <c r="W760" s="11">
        <f>IF(OR(履歴データ!$A$760="",履歴データ!$A$759=""),"",-40000*N760)</f>
        <v>120000.00000000086</v>
      </c>
      <c r="X760" s="11">
        <f>IF(OR(履歴データ!$A$760="",履歴データ!$A$759=""),"",120*1000000*(-Q760/H759))</f>
        <v>585761.72922525066</v>
      </c>
      <c r="Y760" s="11">
        <f>IF(OR(履歴データ!$A$760="",履歴データ!$A$759=""),"",40000*(-S760)+(-506.3)*R760*1000)</f>
        <v>46575.000000001703</v>
      </c>
      <c r="Z760" s="11">
        <f>IF(OR(履歴データ!$A$760="",履歴データ!$A$759=""),"",-40000*O760)</f>
        <v>211999.9999999982</v>
      </c>
      <c r="AA760" s="11">
        <f>IF(OR(履歴データ!$A$760="",履歴データ!$A$759=""),"",-40000*P760)</f>
        <v>-117967.1435546885</v>
      </c>
      <c r="AB760" s="11">
        <f>IF(履歴データ!$A$760="","",123.3)</f>
        <v>123.3</v>
      </c>
      <c r="AC760">
        <f>IF(履歴データ!$A$760="","",SUM(T760:AA760))</f>
        <v>672369.5856705684</v>
      </c>
      <c r="AD760" s="29">
        <f>IF(履歴データ!$A$760="","",AC760/1000000)</f>
        <v>0.67236958567056837</v>
      </c>
      <c r="AE760" s="29">
        <f>IF(履歴データ!$A$760="",AE759,AE759+AC760/1000000)</f>
        <v>69.574786642676145</v>
      </c>
      <c r="AF760" s="12">
        <f>IF(OR(履歴データ!$A$760="",AE759=0),"",(AE760-AE759)/AE759)</f>
        <v>9.758287363334282E-3</v>
      </c>
      <c r="AG760" s="29">
        <f t="shared" si="35"/>
        <v>102.17217746631495</v>
      </c>
      <c r="AH760" s="12">
        <f>IF(OR(履歴データ!$A$760="",AG760=0),"",AE760/AG760-1)</f>
        <v>-0.31904371260351971</v>
      </c>
      <c r="AJ760" s="28">
        <f t="shared" ca="1" si="33"/>
        <v>5.9490668446116031</v>
      </c>
      <c r="AK760" s="28">
        <f t="shared" ca="1" si="34"/>
        <v>-6.4768446223893816</v>
      </c>
    </row>
    <row r="761" spans="1:37">
      <c r="A761" s="10">
        <f>IF(履歴データ!$A$761="","",履歴データ!$A$761)</f>
        <v>46038</v>
      </c>
      <c r="B761" s="28">
        <f>IF(履歴データ!$A$761="","",(履歴データ!$D$761-(履歴データ!$B$761+履歴データ!$F$761)/2)*100)</f>
        <v>3.0000000000000249</v>
      </c>
      <c r="C761" s="28">
        <f>IF(履歴データ!$A$761="","",(履歴データ!$H$761-(履歴データ!$G$761+履歴データ!$J$761)/2)*100)</f>
        <v>-15.149999999999997</v>
      </c>
      <c r="D761" s="28">
        <f>IF(履歴データ!$A$761="","",(履歴データ!$D$761-履歴データ!$H$761)*100)</f>
        <v>205.80000000000004</v>
      </c>
      <c r="E761" s="28">
        <f>IF(履歴データ!$A$761="","",(履歴データ!$D$761-履歴データ!$C$761)*100)</f>
        <v>42.000000000000036</v>
      </c>
      <c r="F761" s="28">
        <f>IF(履歴データ!$A$761="","",(履歴データ!$R$761-履歴データ!$D$761)*100)</f>
        <v>-328.07000000000005</v>
      </c>
      <c r="G761" s="28">
        <f>IF(履歴データ!$A$761="","",(履歴データ!$S$761-履歴データ!$R$761)*100)</f>
        <v>128.45864282226555</v>
      </c>
      <c r="H761" s="29">
        <f>IF(履歴データ!$A$761="","",履歴データ!$O$761)</f>
        <v>158.59599304199219</v>
      </c>
      <c r="I761" s="29">
        <f>IF(履歴データ!$A$761="","",履歴データ!$Q$761)</f>
        <v>111.75</v>
      </c>
      <c r="J761" s="29">
        <f>IF(履歴データ!$A$761="","",履歴データ!$D$761)</f>
        <v>4.24</v>
      </c>
      <c r="K761" s="28">
        <f>IF(OR(履歴データ!$A$761="",履歴データ!$A$760=""),"",B761-B760)</f>
        <v>3.5000000000000142</v>
      </c>
      <c r="L761" s="28">
        <f>IF(OR(履歴データ!$A$761="",履歴データ!$A$760=""),"",C761-C760)</f>
        <v>0.64999999999999503</v>
      </c>
      <c r="M761" s="28">
        <f>IF(OR(履歴データ!$A$761="",履歴データ!$A$760=""),"",D761-D760)</f>
        <v>5.2000000000000739</v>
      </c>
      <c r="N761" s="28">
        <f>IF(OR(履歴データ!$A$761="",履歴データ!$A$760=""),"",E761-E760)</f>
        <v>2.0000000000000426</v>
      </c>
      <c r="O761" s="28">
        <f>IF(OR(履歴データ!$A$761="",履歴データ!$A$760=""),"",F761-F760)</f>
        <v>-8.2600000000000477</v>
      </c>
      <c r="P761" s="28">
        <f>IF(OR(履歴データ!$A$761="",履歴データ!$A$760=""),"",G761-G760)</f>
        <v>3.364821411132823</v>
      </c>
      <c r="Q761" s="29">
        <f>IF(OR(履歴データ!$A$761="",履歴データ!$A$760=""),"",H761-H760)</f>
        <v>0.194000244140625</v>
      </c>
      <c r="R761" s="29">
        <f>IF(OR(履歴データ!$A$761="",履歴データ!$A$760=""),"",I761-I760)</f>
        <v>-0.46875</v>
      </c>
      <c r="S761" s="28">
        <f>IF(OR(履歴データ!$A$761="",履歴データ!$A$760=""),"",(J761-J760)*100)</f>
        <v>7.0000000000000284</v>
      </c>
      <c r="T761" s="11">
        <f>IF(OR(履歴データ!$A$761="",履歴データ!$A$760=""),"",-80000*K761)</f>
        <v>-280000.00000000116</v>
      </c>
      <c r="U761" s="11">
        <f>IF(OR(履歴データ!$A$761="",履歴データ!$A$760=""),"",60000*L761)</f>
        <v>38999.999999999702</v>
      </c>
      <c r="V761" s="11">
        <f>IF(OR(履歴データ!$A$761="",履歴データ!$A$760=""),"",-50000*M761)</f>
        <v>-260000.0000000037</v>
      </c>
      <c r="W761" s="11">
        <f>IF(OR(履歴データ!$A$761="",履歴データ!$A$760=""),"",-40000*N761)</f>
        <v>-80000.000000001703</v>
      </c>
      <c r="X761" s="11">
        <f>IF(OR(履歴データ!$A$761="",履歴データ!$A$760=""),"",120*1000000*(-Q761/H760))</f>
        <v>-146968.03295009275</v>
      </c>
      <c r="Y761" s="11">
        <f>IF(OR(履歴データ!$A$761="",履歴データ!$A$760=""),"",40000*(-S761)+(-506.3)*R761*1000)</f>
        <v>-42671.875000001164</v>
      </c>
      <c r="Z761" s="11">
        <f>IF(OR(履歴データ!$A$761="",履歴データ!$A$760=""),"",-40000*O761)</f>
        <v>330400.00000000192</v>
      </c>
      <c r="AA761" s="11">
        <f>IF(OR(履歴データ!$A$761="",履歴データ!$A$760=""),"",-40000*P761)</f>
        <v>-134592.85644531291</v>
      </c>
      <c r="AB761" s="11">
        <f>IF(履歴データ!$A$761="","",123.3)</f>
        <v>123.3</v>
      </c>
      <c r="AC761">
        <f>IF(履歴データ!$A$761="","",SUM(T761:AA761))</f>
        <v>-574832.76439541171</v>
      </c>
      <c r="AD761" s="29">
        <f>IF(履歴データ!$A$761="","",AC761/1000000)</f>
        <v>-0.57483276439541175</v>
      </c>
      <c r="AE761" s="29">
        <f>IF(履歴データ!$A$761="",AE760,AE760+AC761/1000000)</f>
        <v>68.999953878280735</v>
      </c>
      <c r="AF761" s="12">
        <f>IF(OR(履歴データ!$A$761="",AE760=0),"",(AE761-AE760)/AE760)</f>
        <v>-8.2620844724634185E-3</v>
      </c>
      <c r="AG761" s="29">
        <f t="shared" si="35"/>
        <v>102.17217746631495</v>
      </c>
      <c r="AH761" s="12">
        <f>IF(OR(履歴データ!$A$761="",AG761=0),"",AE761/AG761-1)</f>
        <v>-0.3246698309720446</v>
      </c>
      <c r="AJ761" s="28">
        <f t="shared" ca="1" si="33"/>
        <v>5.7825844651780738</v>
      </c>
      <c r="AK761" s="28">
        <f t="shared" ca="1" si="34"/>
        <v>-6.3698860524796608</v>
      </c>
    </row>
    <row r="762" spans="1:37">
      <c r="A762" s="10">
        <f>IF(履歴データ!$A$762="","",履歴データ!$A$762)</f>
        <v>46042</v>
      </c>
      <c r="B762" s="28">
        <f>IF(履歴データ!$A$762="","",(履歴データ!$D$762-(履歴データ!$B$762+履歴データ!$F$762)/2)*100)</f>
        <v>4.4999999999999929</v>
      </c>
      <c r="C762" s="28">
        <f>IF(履歴データ!$A$762="","",(履歴データ!$H$762-(履歴データ!$G$762+履歴データ!$J$762)/2)*100)</f>
        <v>-16.250000000000007</v>
      </c>
      <c r="D762" s="28">
        <f>IF(履歴データ!$A$762="","",(履歴データ!$D$762-履歴データ!$H$762)*100)</f>
        <v>196.99999999999997</v>
      </c>
      <c r="E762" s="28">
        <f>IF(履歴データ!$A$762="","",(履歴データ!$D$762-履歴データ!$C$762)*100)</f>
        <v>43.999999999999993</v>
      </c>
      <c r="F762" s="28">
        <f>IF(履歴データ!$A$762="","",(履歴データ!$R$762-履歴データ!$D$762)*100)</f>
        <v>-330.45</v>
      </c>
      <c r="G762" s="28">
        <f>IF(履歴データ!$A$762="","",(履歴データ!$S$762-履歴データ!$R$762)*100)</f>
        <v>145.88664282226557</v>
      </c>
      <c r="H762" s="29">
        <f>IF(履歴データ!$A$762="","",履歴データ!$O$762)</f>
        <v>158.177001953125</v>
      </c>
      <c r="I762" s="29">
        <f>IF(履歴データ!$A$762="","",履歴データ!$Q$762)</f>
        <v>111.421875</v>
      </c>
      <c r="J762" s="29">
        <f>IF(履歴データ!$A$762="","",履歴データ!$D$762)</f>
        <v>4.3</v>
      </c>
      <c r="K762" s="28">
        <f>IF(OR(履歴データ!$A$762="",履歴データ!$A$761=""),"",B762-B761)</f>
        <v>1.499999999999968</v>
      </c>
      <c r="L762" s="28">
        <f>IF(OR(履歴データ!$A$762="",履歴データ!$A$761=""),"",C762-C761)</f>
        <v>-1.1000000000000103</v>
      </c>
      <c r="M762" s="28">
        <f>IF(OR(履歴データ!$A$762="",履歴データ!$A$761=""),"",D762-D761)</f>
        <v>-8.8000000000000682</v>
      </c>
      <c r="N762" s="28">
        <f>IF(OR(履歴データ!$A$762="",履歴データ!$A$761=""),"",E762-E761)</f>
        <v>1.9999999999999574</v>
      </c>
      <c r="O762" s="28">
        <f>IF(OR(履歴データ!$A$762="",履歴データ!$A$761=""),"",F762-F761)</f>
        <v>-2.3799999999999386</v>
      </c>
      <c r="P762" s="28">
        <f>IF(OR(履歴データ!$A$762="",履歴データ!$A$761=""),"",G762-G761)</f>
        <v>17.428000000000026</v>
      </c>
      <c r="Q762" s="29">
        <f>IF(OR(履歴データ!$A$762="",履歴データ!$A$761=""),"",H762-H761)</f>
        <v>-0.4189910888671875</v>
      </c>
      <c r="R762" s="29">
        <f>IF(OR(履歴データ!$A$762="",履歴データ!$A$761=""),"",I762-I761)</f>
        <v>-0.328125</v>
      </c>
      <c r="S762" s="28">
        <f>IF(OR(履歴データ!$A$762="",履歴データ!$A$761=""),"",(J762-J761)*100)</f>
        <v>5.9999999999999609</v>
      </c>
      <c r="T762" s="11">
        <f>IF(OR(履歴データ!$A$762="",履歴データ!$A$761=""),"",-80000*K762)</f>
        <v>-119999.99999999744</v>
      </c>
      <c r="U762" s="11">
        <f>IF(OR(履歴データ!$A$762="",履歴データ!$A$761=""),"",60000*L762)</f>
        <v>-66000.000000000611</v>
      </c>
      <c r="V762" s="11">
        <f>IF(OR(履歴データ!$A$762="",履歴データ!$A$761=""),"",-50000*M762)</f>
        <v>440000.00000000343</v>
      </c>
      <c r="W762" s="11">
        <f>IF(OR(履歴データ!$A$762="",履歴データ!$A$761=""),"",-40000*N762)</f>
        <v>-79999.999999998297</v>
      </c>
      <c r="X762" s="11">
        <f>IF(OR(履歴データ!$A$762="",履歴データ!$A$761=""),"",120*1000000*(-Q762/H761))</f>
        <v>317025.22680223023</v>
      </c>
      <c r="Y762" s="11">
        <f>IF(OR(履歴データ!$A$762="",履歴データ!$A$761=""),"",40000*(-S762)+(-506.3)*R762*1000)</f>
        <v>-73870.312499998399</v>
      </c>
      <c r="Z762" s="11">
        <f>IF(OR(履歴データ!$A$762="",履歴データ!$A$761=""),"",-40000*O762)</f>
        <v>95199.999999997541</v>
      </c>
      <c r="AA762" s="11">
        <f>IF(OR(履歴データ!$A$762="",履歴データ!$A$761=""),"",-40000*P762)</f>
        <v>-697120.00000000105</v>
      </c>
      <c r="AB762" s="11">
        <f>IF(履歴データ!$A$762="","",123.3)</f>
        <v>123.3</v>
      </c>
      <c r="AC762">
        <f>IF(履歴データ!$A$762="","",SUM(T762:AA762))</f>
        <v>-184765.08569776453</v>
      </c>
      <c r="AD762" s="29">
        <f>IF(履歴データ!$A$762="","",AC762/1000000)</f>
        <v>-0.18476508569776454</v>
      </c>
      <c r="AE762" s="29">
        <f>IF(履歴データ!$A$762="",AE761,AE761+AC762/1000000)</f>
        <v>68.815188792582973</v>
      </c>
      <c r="AF762" s="12">
        <f>IF(OR(履歴データ!$A$762="",AE761=0),"",(AE762-AE761)/AE761)</f>
        <v>-2.6777566550797533E-3</v>
      </c>
      <c r="AG762" s="29">
        <f t="shared" si="35"/>
        <v>102.17217746631495</v>
      </c>
      <c r="AH762" s="12">
        <f>IF(OR(履歴データ!$A$762="",AG762=0),"",AE762/AG762-1)</f>
        <v>-0.32647820082653534</v>
      </c>
      <c r="AJ762" s="28">
        <f t="shared" ca="1" si="33"/>
        <v>5.6346770328955182</v>
      </c>
      <c r="AK762" s="28">
        <f t="shared" ca="1" si="34"/>
        <v>-6.2695976678161527</v>
      </c>
    </row>
    <row r="763" spans="1:37">
      <c r="A763" s="10">
        <f>IF(履歴データ!$A$763="","",履歴データ!$A$763)</f>
        <v>46043</v>
      </c>
      <c r="B763" s="28">
        <f>IF(履歴データ!$A$763="","",(履歴データ!$D$763-(履歴データ!$B$763+履歴データ!$F$763)/2)*100)</f>
        <v>2.4999999999999467</v>
      </c>
      <c r="C763" s="28">
        <f>IF(履歴データ!$A$763="","",(履歴データ!$H$763-(履歴データ!$G$763+履歴データ!$J$763)/2)*100)</f>
        <v>-16.100000000000001</v>
      </c>
      <c r="D763" s="28">
        <f>IF(履歴データ!$A$763="","",(履歴データ!$D$763-履歴データ!$H$763)*100)</f>
        <v>198</v>
      </c>
      <c r="E763" s="28">
        <f>IF(履歴データ!$A$763="","",(履歴データ!$D$763-履歴データ!$C$763)*100)</f>
        <v>42.999999999999972</v>
      </c>
      <c r="F763" s="28">
        <f>IF(履歴データ!$A$763="","",(履歴データ!$R$763-履歴データ!$D$763)*100)</f>
        <v>-332.85999999999996</v>
      </c>
      <c r="G763" s="28">
        <f>IF(履歴データ!$A$763="","",(履歴データ!$S$763-履歴データ!$R$763)*100)</f>
        <v>148.96399999999977</v>
      </c>
      <c r="H763" s="29">
        <f>IF(履歴データ!$A$763="","",履歴データ!$O$763)</f>
        <v>158.16200256347656</v>
      </c>
      <c r="I763" s="29">
        <f>IF(履歴データ!$A$763="","",履歴データ!$Q$763)</f>
        <v>111.65625</v>
      </c>
      <c r="J763" s="29">
        <f>IF(履歴データ!$A$763="","",履歴データ!$D$763)</f>
        <v>4.26</v>
      </c>
      <c r="K763" s="28">
        <f>IF(OR(履歴データ!$A$763="",履歴データ!$A$762=""),"",B763-B762)</f>
        <v>-2.0000000000000462</v>
      </c>
      <c r="L763" s="28">
        <f>IF(OR(履歴データ!$A$763="",履歴データ!$A$762=""),"",C763-C762)</f>
        <v>0.15000000000000568</v>
      </c>
      <c r="M763" s="28">
        <f>IF(OR(履歴データ!$A$763="",履歴データ!$A$762=""),"",D763-D762)</f>
        <v>1.0000000000000284</v>
      </c>
      <c r="N763" s="28">
        <f>IF(OR(履歴データ!$A$763="",履歴データ!$A$762=""),"",E763-E762)</f>
        <v>-1.0000000000000213</v>
      </c>
      <c r="O763" s="28">
        <f>IF(OR(履歴データ!$A$763="",履歴データ!$A$762=""),"",F763-F762)</f>
        <v>-2.4099999999999682</v>
      </c>
      <c r="P763" s="28">
        <f>IF(OR(履歴データ!$A$763="",履歴データ!$A$762=""),"",G763-G762)</f>
        <v>3.0773571777341999</v>
      </c>
      <c r="Q763" s="29">
        <f>IF(OR(履歴データ!$A$763="",履歴データ!$A$762=""),"",H763-H762)</f>
        <v>-1.49993896484375E-2</v>
      </c>
      <c r="R763" s="29">
        <f>IF(OR(履歴データ!$A$763="",履歴データ!$A$762=""),"",I763-I762)</f>
        <v>0.234375</v>
      </c>
      <c r="S763" s="28">
        <f>IF(OR(履歴データ!$A$763="",履歴データ!$A$762=""),"",(J763-J762)*100)</f>
        <v>-4.0000000000000036</v>
      </c>
      <c r="T763" s="11">
        <f>IF(OR(履歴データ!$A$763="",履歴データ!$A$762=""),"",-80000*K763)</f>
        <v>160000.0000000037</v>
      </c>
      <c r="U763" s="11">
        <f>IF(OR(履歴データ!$A$763="",履歴データ!$A$762=""),"",60000*L763)</f>
        <v>9000.000000000342</v>
      </c>
      <c r="V763" s="11">
        <f>IF(OR(履歴データ!$A$763="",履歴データ!$A$762=""),"",-50000*M763)</f>
        <v>-50000.000000001419</v>
      </c>
      <c r="W763" s="11">
        <f>IF(OR(履歴データ!$A$763="",履歴データ!$A$762=""),"",-40000*N763)</f>
        <v>40000.000000000851</v>
      </c>
      <c r="X763" s="11">
        <f>IF(OR(履歴データ!$A$763="",履歴データ!$A$762=""),"",120*1000000*(-Q763/H762))</f>
        <v>11379.193786628348</v>
      </c>
      <c r="Y763" s="11">
        <f>IF(OR(履歴データ!$A$763="",履歴データ!$A$762=""),"",40000*(-S763)+(-506.3)*R763*1000)</f>
        <v>41335.937500000146</v>
      </c>
      <c r="Z763" s="11">
        <f>IF(OR(履歴データ!$A$763="",履歴データ!$A$762=""),"",-40000*O763)</f>
        <v>96399.999999998719</v>
      </c>
      <c r="AA763" s="11">
        <f>IF(OR(履歴データ!$A$763="",履歴データ!$A$762=""),"",-40000*P763)</f>
        <v>-123094.287109368</v>
      </c>
      <c r="AB763" s="11">
        <f>IF(履歴データ!$A$763="","",123.3)</f>
        <v>123.3</v>
      </c>
      <c r="AC763">
        <f>IF(履歴データ!$A$763="","",SUM(T763:AA763))</f>
        <v>185020.84417726262</v>
      </c>
      <c r="AD763" s="29">
        <f>IF(履歴データ!$A$763="","",AC763/1000000)</f>
        <v>0.18502084417726261</v>
      </c>
      <c r="AE763" s="29">
        <f>IF(履歴データ!$A$763="",AE762,AE762+AC763/1000000)</f>
        <v>69.000209636760232</v>
      </c>
      <c r="AF763" s="12">
        <f>IF(OR(履歴データ!$A$763="",AE762=0),"",(AE763-AE762)/AE762)</f>
        <v>2.6886628871270533E-3</v>
      </c>
      <c r="AG763" s="29">
        <f t="shared" si="35"/>
        <v>102.17217746631495</v>
      </c>
      <c r="AH763" s="12">
        <f>IF(OR(履歴データ!$A$763="",AG763=0),"",AE763/AG763-1)</f>
        <v>-0.32466732776142659</v>
      </c>
      <c r="AJ763" s="28">
        <f t="shared" ca="1" si="33"/>
        <v>5.5164737565825028</v>
      </c>
      <c r="AK763" s="28">
        <f t="shared" ca="1" si="34"/>
        <v>-6.1990134391221865</v>
      </c>
    </row>
    <row r="764" spans="1:37">
      <c r="A764" s="10">
        <f>IF(履歴データ!$A$764="","",履歴データ!$A$764)</f>
        <v>46044</v>
      </c>
      <c r="B764" s="28">
        <f>IF(履歴データ!$A$764="","",(履歴データ!$D$764-(履歴データ!$B$764+履歴データ!$F$764)/2)*100)</f>
        <v>3.5000000000000142</v>
      </c>
      <c r="C764" s="28">
        <f>IF(履歴データ!$A$764="","",(履歴データ!$H$764-(履歴データ!$G$764+履歴データ!$J$764)/2)*100)</f>
        <v>-17.500000000000028</v>
      </c>
      <c r="D764" s="28">
        <f>IF(履歴データ!$A$764="","",(履歴データ!$D$764-履歴データ!$H$764)*100)</f>
        <v>202.1</v>
      </c>
      <c r="E764" s="28">
        <f>IF(履歴データ!$A$764="","",(履歴データ!$D$764-履歴データ!$C$764)*100)</f>
        <v>40.999999999999972</v>
      </c>
      <c r="F764" s="28">
        <f>IF(履歴データ!$A$764="","",(履歴データ!$R$764-履歴データ!$D$764)*100)</f>
        <v>-331.43</v>
      </c>
      <c r="G764" s="28">
        <f>IF(履歴データ!$A$764="","",(履歴データ!$S$764-履歴データ!$R$764)*100)</f>
        <v>143.67517858886711</v>
      </c>
      <c r="H764" s="29">
        <f>IF(履歴データ!$A$764="","",履歴データ!$O$764)</f>
        <v>158.45599365234375</v>
      </c>
      <c r="I764" s="29">
        <f>IF(履歴データ!$A$764="","",履歴データ!$Q$764)</f>
        <v>111.59375</v>
      </c>
      <c r="J764" s="29">
        <f>IF(履歴データ!$A$764="","",履歴データ!$D$764)</f>
        <v>4.26</v>
      </c>
      <c r="K764" s="28">
        <f>IF(OR(履歴データ!$A$764="",履歴データ!$A$763=""),"",B764-B763)</f>
        <v>1.0000000000000675</v>
      </c>
      <c r="L764" s="28">
        <f>IF(OR(履歴データ!$A$764="",履歴データ!$A$763=""),"",C764-C763)</f>
        <v>-1.400000000000027</v>
      </c>
      <c r="M764" s="28">
        <f>IF(OR(履歴データ!$A$764="",履歴データ!$A$763=""),"",D764-D763)</f>
        <v>4.0999999999999943</v>
      </c>
      <c r="N764" s="28">
        <f>IF(OR(履歴データ!$A$764="",履歴データ!$A$763=""),"",E764-E763)</f>
        <v>-2</v>
      </c>
      <c r="O764" s="28">
        <f>IF(OR(履歴データ!$A$764="",履歴データ!$A$763=""),"",F764-F763)</f>
        <v>1.42999999999995</v>
      </c>
      <c r="P764" s="28">
        <f>IF(OR(履歴データ!$A$764="",履歴データ!$A$763=""),"",G764-G763)</f>
        <v>-5.288821411132659</v>
      </c>
      <c r="Q764" s="29">
        <f>IF(OR(履歴データ!$A$764="",履歴データ!$A$763=""),"",H764-H763)</f>
        <v>0.2939910888671875</v>
      </c>
      <c r="R764" s="29">
        <f>IF(OR(履歴データ!$A$764="",履歴データ!$A$763=""),"",I764-I763)</f>
        <v>-6.25E-2</v>
      </c>
      <c r="S764" s="28">
        <f>IF(OR(履歴データ!$A$764="",履歴データ!$A$763=""),"",(J764-J763)*100)</f>
        <v>0</v>
      </c>
      <c r="T764" s="11">
        <f>IF(OR(履歴データ!$A$764="",履歴データ!$A$763=""),"",-80000*K764)</f>
        <v>-80000.000000005399</v>
      </c>
      <c r="U764" s="11">
        <f>IF(OR(履歴データ!$A$764="",履歴データ!$A$763=""),"",60000*L764)</f>
        <v>-84000.000000001615</v>
      </c>
      <c r="V764" s="11">
        <f>IF(OR(履歴データ!$A$764="",履歴データ!$A$763=""),"",-50000*M764)</f>
        <v>-204999.99999999971</v>
      </c>
      <c r="W764" s="11">
        <f>IF(OR(履歴データ!$A$764="",履歴データ!$A$763=""),"",-40000*N764)</f>
        <v>80000</v>
      </c>
      <c r="X764" s="11">
        <f>IF(OR(履歴データ!$A$764="",履歴データ!$A$763=""),"",120*1000000*(-Q764/H763))</f>
        <v>-223055.66502867016</v>
      </c>
      <c r="Y764" s="11">
        <f>IF(OR(履歴データ!$A$764="",履歴データ!$A$763=""),"",40000*(-S764)+(-506.3)*R764*1000)</f>
        <v>31643.75</v>
      </c>
      <c r="Z764" s="11">
        <f>IF(OR(履歴データ!$A$764="",履歴データ!$A$763=""),"",-40000*O764)</f>
        <v>-57199.999999997999</v>
      </c>
      <c r="AA764" s="11">
        <f>IF(OR(履歴データ!$A$764="",履歴データ!$A$763=""),"",-40000*P764)</f>
        <v>211552.85644530636</v>
      </c>
      <c r="AB764" s="11">
        <f>IF(履歴データ!$A$764="","",123.3)</f>
        <v>123.3</v>
      </c>
      <c r="AC764">
        <f>IF(履歴データ!$A$764="","",SUM(T764:AA764))</f>
        <v>-326059.05858336855</v>
      </c>
      <c r="AD764" s="29">
        <f>IF(履歴データ!$A$764="","",AC764/1000000)</f>
        <v>-0.32605905858336853</v>
      </c>
      <c r="AE764" s="29">
        <f>IF(履歴データ!$A$764="",AE763,AE763+AC764/1000000)</f>
        <v>68.674150578176864</v>
      </c>
      <c r="AF764" s="12">
        <f>IF(OR(履歴データ!$A$764="",AE763=0),"",(AE764-AE763)/AE763)</f>
        <v>-4.7254792456407051E-3</v>
      </c>
      <c r="AG764" s="29">
        <f t="shared" si="35"/>
        <v>102.17217746631495</v>
      </c>
      <c r="AH764" s="12">
        <f>IF(OR(履歴データ!$A$764="",AG764=0),"",AE764/AG764-1)</f>
        <v>-0.32785859828799302</v>
      </c>
      <c r="AJ764" s="28">
        <f t="shared" ca="1" si="33"/>
        <v>5.4365989827809491</v>
      </c>
      <c r="AK764" s="28">
        <f t="shared" ca="1" si="34"/>
        <v>-6.1508846970666644</v>
      </c>
    </row>
    <row r="765" spans="1:37">
      <c r="A765" s="10">
        <f>IF(履歴データ!$A$765="","",履歴データ!$A$765)</f>
        <v>46045</v>
      </c>
      <c r="B765" s="28">
        <f>IF(履歴データ!$A$765="","",(履歴データ!$D$765-(履歴データ!$B$765+履歴データ!$F$765)/2)*100)</f>
        <v>3.0000000000000249</v>
      </c>
      <c r="C765" s="28">
        <f>IF(履歴データ!$A$765="","",(履歴データ!$H$765-(履歴データ!$G$765+履歴データ!$J$765)/2)*100)</f>
        <v>-17.049999999999965</v>
      </c>
      <c r="D765" s="28">
        <f>IF(履歴データ!$A$765="","",(履歴データ!$D$765-履歴データ!$H$765)*100)</f>
        <v>198.70000000000002</v>
      </c>
      <c r="E765" s="28">
        <f>IF(履歴データ!$A$765="","",(履歴データ!$D$765-履歴データ!$C$765)*100)</f>
        <v>40.000000000000036</v>
      </c>
      <c r="F765" s="28">
        <f>IF(履歴データ!$A$765="","",(履歴データ!$R$765-履歴データ!$D$765)*100)</f>
        <v>-329.18</v>
      </c>
      <c r="G765" s="28">
        <f>IF(履歴データ!$A$765="","",(履歴データ!$S$765-履歴データ!$R$765)*100)</f>
        <v>141.67117858886709</v>
      </c>
      <c r="H765" s="29">
        <f>IF(履歴データ!$A$765="","",履歴データ!$O$765)</f>
        <v>158.50100708007813</v>
      </c>
      <c r="I765" s="29">
        <f>IF(履歴データ!$A$765="","",履歴データ!$Q$765)</f>
        <v>111.671875</v>
      </c>
      <c r="J765" s="29">
        <f>IF(履歴データ!$A$765="","",履歴データ!$D$765)</f>
        <v>4.24</v>
      </c>
      <c r="K765" s="28">
        <f>IF(OR(履歴データ!$A$765="",履歴データ!$A$764=""),"",B765-B764)</f>
        <v>-0.49999999999998934</v>
      </c>
      <c r="L765" s="28">
        <f>IF(OR(履歴データ!$A$765="",履歴データ!$A$764=""),"",C765-C764)</f>
        <v>0.45000000000006324</v>
      </c>
      <c r="M765" s="28">
        <f>IF(OR(履歴データ!$A$765="",履歴データ!$A$764=""),"",D765-D764)</f>
        <v>-3.3999999999999773</v>
      </c>
      <c r="N765" s="28">
        <f>IF(OR(履歴データ!$A$765="",履歴データ!$A$764=""),"",E765-E764)</f>
        <v>-0.99999999999993605</v>
      </c>
      <c r="O765" s="28">
        <f>IF(OR(履歴データ!$A$765="",履歴データ!$A$764=""),"",F765-F764)</f>
        <v>2.25</v>
      </c>
      <c r="P765" s="28">
        <f>IF(OR(履歴データ!$A$765="",履歴データ!$A$764=""),"",G765-G764)</f>
        <v>-2.0040000000000191</v>
      </c>
      <c r="Q765" s="29">
        <f>IF(OR(履歴データ!$A$765="",履歴データ!$A$764=""),"",H765-H764)</f>
        <v>4.5013427734375E-2</v>
      </c>
      <c r="R765" s="29">
        <f>IF(OR(履歴データ!$A$765="",履歴データ!$A$764=""),"",I765-I764)</f>
        <v>7.8125E-2</v>
      </c>
      <c r="S765" s="28">
        <f>IF(OR(履歴データ!$A$765="",履歴データ!$A$764=""),"",(J765-J764)*100)</f>
        <v>-1.9999999999999574</v>
      </c>
      <c r="T765" s="11">
        <f>IF(OR(履歴データ!$A$765="",履歴データ!$A$764=""),"",-80000*K765)</f>
        <v>39999.999999999149</v>
      </c>
      <c r="U765" s="11">
        <f>IF(OR(履歴データ!$A$765="",履歴データ!$A$764=""),"",60000*L765)</f>
        <v>27000.000000003794</v>
      </c>
      <c r="V765" s="11">
        <f>IF(OR(履歴データ!$A$765="",履歴データ!$A$764=""),"",-50000*M765)</f>
        <v>169999.99999999886</v>
      </c>
      <c r="W765" s="11">
        <f>IF(OR(履歴データ!$A$765="",履歴データ!$A$764=""),"",-40000*N765)</f>
        <v>39999.999999997439</v>
      </c>
      <c r="X765" s="11">
        <f>IF(OR(履歴データ!$A$765="",履歴データ!$A$764=""),"",120*1000000*(-Q765/H764))</f>
        <v>-34089.031305286342</v>
      </c>
      <c r="Y765" s="11">
        <f>IF(OR(履歴データ!$A$765="",履歴データ!$A$764=""),"",40000*(-S765)+(-506.3)*R765*1000)</f>
        <v>40445.312499998297</v>
      </c>
      <c r="Z765" s="11">
        <f>IF(OR(履歴データ!$A$765="",履歴データ!$A$764=""),"",-40000*O765)</f>
        <v>-90000</v>
      </c>
      <c r="AA765" s="11">
        <f>IF(OR(履歴データ!$A$765="",履歴データ!$A$764=""),"",-40000*P765)</f>
        <v>80160.000000000757</v>
      </c>
      <c r="AB765" s="11">
        <f>IF(履歴データ!$A$765="","",123.3)</f>
        <v>123.3</v>
      </c>
      <c r="AC765">
        <f>IF(履歴データ!$A$765="","",SUM(T765:AA765))</f>
        <v>273516.28119471198</v>
      </c>
      <c r="AD765" s="29">
        <f>IF(履歴データ!$A$765="","",AC765/1000000)</f>
        <v>0.273516281194712</v>
      </c>
      <c r="AE765" s="29">
        <f>IF(履歴データ!$A$765="",AE764,AE764+AC765/1000000)</f>
        <v>68.94766685937158</v>
      </c>
      <c r="AF765" s="12">
        <f>IF(OR(履歴データ!$A$765="",AE764=0),"",(AE765-AE764)/AE764)</f>
        <v>3.9828127307283178E-3</v>
      </c>
      <c r="AG765" s="29">
        <f t="shared" si="35"/>
        <v>102.17217746631495</v>
      </c>
      <c r="AH765" s="12">
        <f>IF(OR(履歴データ!$A$765="",AG765=0),"",AE765/AG765-1)</f>
        <v>-0.32518158495640481</v>
      </c>
      <c r="AJ765" s="28">
        <f t="shared" ca="1" si="33"/>
        <v>5.3948759597842217</v>
      </c>
      <c r="AK765" s="28">
        <f t="shared" ca="1" si="34"/>
        <v>-6.1290029439112077</v>
      </c>
    </row>
    <row r="766" spans="1:37">
      <c r="A766" s="10">
        <f>IF(履歴データ!$A$766="","",履歴データ!$A$766)</f>
        <v>46048</v>
      </c>
      <c r="B766" s="28">
        <f>IF(履歴データ!$A$766="","",(履歴データ!$D$766-(履歴データ!$B$766+履歴データ!$F$766)/2)*100)</f>
        <v>4.0000000000000036</v>
      </c>
      <c r="C766" s="28">
        <f>IF(履歴データ!$A$766="","",(履歴データ!$H$766-(履歴データ!$G$766+履歴データ!$J$766)/2)*100)</f>
        <v>-18.649999999999967</v>
      </c>
      <c r="D766" s="28">
        <f>IF(履歴データ!$A$766="","",(履歴データ!$D$766-履歴データ!$H$766)*100)</f>
        <v>198.39999999999995</v>
      </c>
      <c r="E766" s="28">
        <f>IF(履歴データ!$A$766="","",(履歴データ!$D$766-履歴データ!$C$766)*100)</f>
        <v>39.999999999999993</v>
      </c>
      <c r="F766" s="28">
        <f>IF(履歴データ!$A$766="","",(履歴データ!$R$766-履歴データ!$D$766)*100)</f>
        <v>-321.12</v>
      </c>
      <c r="G766" s="28">
        <f>IF(履歴データ!$A$766="","",(履歴データ!$S$766-履歴データ!$R$766)*100)</f>
        <v>133.50635717773426</v>
      </c>
      <c r="H766" s="29">
        <f>IF(履歴データ!$A$766="","",履歴データ!$O$766)</f>
        <v>155.16600036621094</v>
      </c>
      <c r="I766" s="29">
        <f>IF(履歴データ!$A$766="","",履歴データ!$Q$766)</f>
        <v>111.828125</v>
      </c>
      <c r="J766" s="29">
        <f>IF(履歴データ!$A$766="","",履歴データ!$D$766)</f>
        <v>4.22</v>
      </c>
      <c r="K766" s="28">
        <f>IF(OR(履歴データ!$A$766="",履歴データ!$A$765=""),"",B766-B765)</f>
        <v>0.99999999999997868</v>
      </c>
      <c r="L766" s="28">
        <f>IF(OR(履歴データ!$A$766="",履歴データ!$A$765=""),"",C766-C765)</f>
        <v>-1.6000000000000014</v>
      </c>
      <c r="M766" s="28">
        <f>IF(OR(履歴データ!$A$766="",履歴データ!$A$765=""),"",D766-D765)</f>
        <v>-0.30000000000006821</v>
      </c>
      <c r="N766" s="28">
        <f>IF(OR(履歴データ!$A$766="",履歴データ!$A$765=""),"",E766-E765)</f>
        <v>-4.2632564145606011E-14</v>
      </c>
      <c r="O766" s="28">
        <f>IF(OR(履歴データ!$A$766="",履歴データ!$A$765=""),"",F766-F765)</f>
        <v>8.0600000000000023</v>
      </c>
      <c r="P766" s="28">
        <f>IF(OR(履歴データ!$A$766="",履歴データ!$A$765=""),"",G766-G765)</f>
        <v>-8.1648214111328343</v>
      </c>
      <c r="Q766" s="29">
        <f>IF(OR(履歴データ!$A$766="",履歴データ!$A$765=""),"",H766-H765)</f>
        <v>-3.3350067138671875</v>
      </c>
      <c r="R766" s="29">
        <f>IF(OR(履歴データ!$A$766="",履歴データ!$A$765=""),"",I766-I765)</f>
        <v>0.15625</v>
      </c>
      <c r="S766" s="28">
        <f>IF(OR(履歴データ!$A$766="",履歴データ!$A$765=""),"",(J766-J765)*100)</f>
        <v>-2.0000000000000462</v>
      </c>
      <c r="T766" s="11">
        <f>IF(OR(履歴データ!$A$766="",履歴データ!$A$765=""),"",-80000*K766)</f>
        <v>-79999.999999998297</v>
      </c>
      <c r="U766" s="11">
        <f>IF(OR(履歴データ!$A$766="",履歴データ!$A$765=""),"",60000*L766)</f>
        <v>-96000.000000000087</v>
      </c>
      <c r="V766" s="11">
        <f>IF(OR(履歴データ!$A$766="",履歴データ!$A$765=""),"",-50000*M766)</f>
        <v>15000.000000003411</v>
      </c>
      <c r="W766" s="11">
        <f>IF(OR(履歴データ!$A$766="",履歴データ!$A$765=""),"",-40000*N766)</f>
        <v>1.7053025658242404E-9</v>
      </c>
      <c r="X766" s="11">
        <f>IF(OR(履歴データ!$A$766="",履歴データ!$A$765=""),"",120*1000000*(-Q766/H765))</f>
        <v>2524910.1758821788</v>
      </c>
      <c r="Y766" s="11">
        <f>IF(OR(履歴データ!$A$766="",履歴データ!$A$765=""),"",40000*(-S766)+(-506.3)*R766*1000)</f>
        <v>890.62500000184809</v>
      </c>
      <c r="Z766" s="11">
        <f>IF(OR(履歴データ!$A$766="",履歴データ!$A$765=""),"",-40000*O766)</f>
        <v>-322400.00000000012</v>
      </c>
      <c r="AA766" s="11">
        <f>IF(OR(履歴データ!$A$766="",履歴データ!$A$765=""),"",-40000*P766)</f>
        <v>326592.85644531337</v>
      </c>
      <c r="AB766" s="11">
        <f>IF(履歴データ!$A$766="","",123.3)</f>
        <v>123.3</v>
      </c>
      <c r="AC766">
        <f>IF(履歴データ!$A$766="","",SUM(T766:AA766))</f>
        <v>2368993.6573275011</v>
      </c>
      <c r="AD766" s="29">
        <f>IF(履歴データ!$A$766="","",AC766/1000000)</f>
        <v>2.368993657327501</v>
      </c>
      <c r="AE766" s="29">
        <f>IF(履歴データ!$A$766="",AE765,AE765+AC766/1000000)</f>
        <v>71.316660516699088</v>
      </c>
      <c r="AF766" s="12">
        <f>IF(OR(履歴データ!$A$766="",AE765=0),"",(AE766-AE765)/AE765)</f>
        <v>3.4359301267719501E-2</v>
      </c>
      <c r="AG766" s="29">
        <f t="shared" si="35"/>
        <v>102.17217746631495</v>
      </c>
      <c r="AH766" s="12">
        <f>IF(OR(履歴データ!$A$766="",AG766=0),"",AE766/AG766-1)</f>
        <v>-0.30199529573291695</v>
      </c>
      <c r="AJ766" s="28">
        <f t="shared" ca="1" si="33"/>
        <v>5.4158025369395695</v>
      </c>
      <c r="AK766" s="28">
        <f t="shared" ca="1" si="34"/>
        <v>-6.1380247591617927</v>
      </c>
    </row>
    <row r="767" spans="1:37">
      <c r="A767" s="10">
        <f>IF(履歴データ!$A$767="","",履歴データ!$A$767)</f>
        <v>46049</v>
      </c>
      <c r="B767" s="28">
        <f>IF(履歴データ!$A$767="","",(履歴データ!$D$767-(履歴データ!$B$767+履歴データ!$F$767)/2)*100)</f>
        <v>6.0000000000000497</v>
      </c>
      <c r="C767" s="28">
        <f>IF(履歴データ!$A$767="","",(履歴データ!$H$767-(履歴データ!$G$767+履歴データ!$J$767)/2)*100)</f>
        <v>-16.049999999999986</v>
      </c>
      <c r="D767" s="28">
        <f>IF(履歴データ!$A$767="","",(履歴データ!$D$767-履歴データ!$H$767)*100)</f>
        <v>195.9</v>
      </c>
      <c r="E767" s="28">
        <f>IF(履歴データ!$A$767="","",(履歴データ!$D$767-履歴データ!$C$767)*100)</f>
        <v>43.000000000000014</v>
      </c>
      <c r="F767" s="28">
        <f>IF(履歴データ!$A$767="","",(履歴データ!$R$767-履歴データ!$D$767)*100)</f>
        <v>-328.49</v>
      </c>
      <c r="G767" s="28">
        <f>IF(履歴データ!$A$767="","",(履歴データ!$S$767-履歴データ!$R$767)*100)</f>
        <v>141.8581785888671</v>
      </c>
      <c r="H767" s="29">
        <f>IF(履歴データ!$A$767="","",履歴データ!$O$767)</f>
        <v>154.33599853515625</v>
      </c>
      <c r="I767" s="29">
        <f>IF(履歴データ!$A$767="","",履歴データ!$Q$767)</f>
        <v>111.796875</v>
      </c>
      <c r="J767" s="29">
        <f>IF(履歴データ!$A$767="","",履歴データ!$D$767)</f>
        <v>4.24</v>
      </c>
      <c r="K767" s="28">
        <f>IF(OR(履歴データ!$A$767="",履歴データ!$A$766=""),"",B767-B766)</f>
        <v>2.0000000000000462</v>
      </c>
      <c r="L767" s="28">
        <f>IF(OR(履歴データ!$A$767="",履歴データ!$A$766=""),"",C767-C766)</f>
        <v>2.5999999999999801</v>
      </c>
      <c r="M767" s="28">
        <f>IF(OR(履歴データ!$A$767="",履歴データ!$A$766=""),"",D767-D766)</f>
        <v>-2.4999999999999432</v>
      </c>
      <c r="N767" s="28">
        <f>IF(OR(履歴データ!$A$767="",履歴データ!$A$766=""),"",E767-E766)</f>
        <v>3.0000000000000213</v>
      </c>
      <c r="O767" s="28">
        <f>IF(OR(履歴データ!$A$767="",履歴データ!$A$766=""),"",F767-F766)</f>
        <v>-7.3700000000000045</v>
      </c>
      <c r="P767" s="28">
        <f>IF(OR(履歴データ!$A$767="",履歴データ!$A$766=""),"",G767-G766)</f>
        <v>8.3518214111328462</v>
      </c>
      <c r="Q767" s="29">
        <f>IF(OR(履歴データ!$A$767="",履歴データ!$A$766=""),"",H767-H766)</f>
        <v>-0.8300018310546875</v>
      </c>
      <c r="R767" s="29">
        <f>IF(OR(履歴データ!$A$767="",履歴データ!$A$766=""),"",I767-I766)</f>
        <v>-3.125E-2</v>
      </c>
      <c r="S767" s="28">
        <f>IF(OR(履歴データ!$A$767="",履歴データ!$A$766=""),"",(J767-J766)*100)</f>
        <v>2.0000000000000462</v>
      </c>
      <c r="T767" s="11">
        <f>IF(OR(履歴データ!$A$767="",履歴データ!$A$766=""),"",-80000*K767)</f>
        <v>-160000.0000000037</v>
      </c>
      <c r="U767" s="11">
        <f>IF(OR(履歴データ!$A$767="",履歴データ!$A$766=""),"",60000*L767)</f>
        <v>155999.99999999881</v>
      </c>
      <c r="V767" s="11">
        <f>IF(OR(履歴データ!$A$767="",履歴データ!$A$766=""),"",-50000*M767)</f>
        <v>124999.99999999716</v>
      </c>
      <c r="W767" s="11">
        <f>IF(OR(履歴データ!$A$767="",履歴データ!$A$766=""),"",-40000*N767)</f>
        <v>-120000.00000000086</v>
      </c>
      <c r="X767" s="11">
        <f>IF(OR(履歴データ!$A$767="",履歴データ!$A$766=""),"",120*1000000*(-Q767/H766))</f>
        <v>641894.61281139986</v>
      </c>
      <c r="Y767" s="11">
        <f>IF(OR(履歴データ!$A$767="",履歴データ!$A$766=""),"",40000*(-S767)+(-506.3)*R767*1000)</f>
        <v>-64178.125000001848</v>
      </c>
      <c r="Z767" s="11">
        <f>IF(OR(履歴データ!$A$767="",履歴データ!$A$766=""),"",-40000*O767)</f>
        <v>294800.00000000017</v>
      </c>
      <c r="AA767" s="11">
        <f>IF(OR(履歴データ!$A$767="",履歴データ!$A$766=""),"",-40000*P767)</f>
        <v>-334072.85644531384</v>
      </c>
      <c r="AB767" s="11">
        <f>IF(履歴データ!$A$767="","",123.3)</f>
        <v>123.3</v>
      </c>
      <c r="AC767">
        <f>IF(履歴データ!$A$767="","",SUM(T767:AA767))</f>
        <v>539443.63136607572</v>
      </c>
      <c r="AD767" s="29">
        <f>IF(履歴データ!$A$767="","",AC767/1000000)</f>
        <v>0.53944363136607576</v>
      </c>
      <c r="AE767" s="29">
        <f>IF(履歴データ!$A$767="",AE766,AE766+AC767/1000000)</f>
        <v>71.856104148065157</v>
      </c>
      <c r="AF767" s="12">
        <f>IF(OR(履歴データ!$A$767="",AE766=0),"",(AE767-AE766)/AE766)</f>
        <v>7.5640618539584616E-3</v>
      </c>
      <c r="AG767" s="29">
        <f t="shared" si="35"/>
        <v>102.17217746631495</v>
      </c>
      <c r="AH767" s="12">
        <f>IF(OR(履歴データ!$A$767="",AG767=0),"",AE767/AG767-1)</f>
        <v>-0.2967155449754868</v>
      </c>
      <c r="AJ767" s="28">
        <f t="shared" ca="1" si="33"/>
        <v>5.4449144850005426</v>
      </c>
      <c r="AK767" s="28">
        <f t="shared" ca="1" si="34"/>
        <v>-6.1552319453180031</v>
      </c>
    </row>
    <row r="768" spans="1:37">
      <c r="A768" s="10">
        <f>IF(履歴データ!$A$768="","",履歴データ!$A$768)</f>
        <v>46050</v>
      </c>
      <c r="B768" s="28">
        <f>IF(履歴データ!$A$768="","",(履歴データ!$D$768-(履歴データ!$B$768+履歴データ!$F$768)/2)*100)</f>
        <v>5.4999999999999716</v>
      </c>
      <c r="C768" s="28">
        <f>IF(履歴データ!$A$768="","",(履歴データ!$H$768-(履歴データ!$G$768+履歴データ!$J$768)/2)*100)</f>
        <v>-18.100000000000005</v>
      </c>
      <c r="D768" s="28">
        <f>IF(履歴データ!$A$768="","",(履歴データ!$D$768-履歴データ!$H$768)*100)</f>
        <v>202.29999999999995</v>
      </c>
      <c r="E768" s="28">
        <f>IF(履歴データ!$A$768="","",(履歴データ!$D$768-履歴データ!$C$768)*100)</f>
        <v>42.999999999999972</v>
      </c>
      <c r="F768" s="28">
        <f>IF(履歴データ!$A$768="","",(履歴データ!$R$768-履歴データ!$D$768)*100)</f>
        <v>-334.4</v>
      </c>
      <c r="G768" s="28">
        <f>IF(履歴データ!$A$768="","",(履歴データ!$S$768-履歴データ!$R$768)*100)</f>
        <v>137.3489999999999</v>
      </c>
      <c r="H768" s="29">
        <f>IF(履歴データ!$A$768="","",履歴データ!$O$768)</f>
        <v>152.4530029296875</v>
      </c>
      <c r="I768" s="29">
        <f>IF(履歴データ!$A$768="","",履歴データ!$Q$768)</f>
        <v>111.640625</v>
      </c>
      <c r="J768" s="29">
        <f>IF(履歴データ!$A$768="","",履歴データ!$D$768)</f>
        <v>4.26</v>
      </c>
      <c r="K768" s="28">
        <f>IF(OR(履歴データ!$A$768="",履歴データ!$A$767=""),"",B768-B767)</f>
        <v>-0.50000000000007816</v>
      </c>
      <c r="L768" s="28">
        <f>IF(OR(履歴データ!$A$768="",履歴データ!$A$767=""),"",C768-C767)</f>
        <v>-2.0500000000000185</v>
      </c>
      <c r="M768" s="28">
        <f>IF(OR(履歴データ!$A$768="",履歴データ!$A$767=""),"",D768-D767)</f>
        <v>6.3999999999999488</v>
      </c>
      <c r="N768" s="28">
        <f>IF(OR(履歴データ!$A$768="",履歴データ!$A$767=""),"",E768-E767)</f>
        <v>-4.2632564145606011E-14</v>
      </c>
      <c r="O768" s="28">
        <f>IF(OR(履歴データ!$A$768="",履歴データ!$A$767=""),"",F768-F767)</f>
        <v>-5.9099999999999682</v>
      </c>
      <c r="P768" s="28">
        <f>IF(OR(履歴データ!$A$768="",履歴データ!$A$767=""),"",G768-G767)</f>
        <v>-4.5091785888672007</v>
      </c>
      <c r="Q768" s="29">
        <f>IF(OR(履歴データ!$A$768="",履歴データ!$A$767=""),"",H768-H767)</f>
        <v>-1.88299560546875</v>
      </c>
      <c r="R768" s="29">
        <f>IF(OR(履歴データ!$A$768="",履歴データ!$A$767=""),"",I768-I767)</f>
        <v>-0.15625</v>
      </c>
      <c r="S768" s="28">
        <f>IF(OR(履歴データ!$A$768="",履歴データ!$A$767=""),"",(J768-J767)*100)</f>
        <v>1.9999999999999574</v>
      </c>
      <c r="T768" s="11">
        <f>IF(OR(履歴データ!$A$768="",履歴データ!$A$767=""),"",-80000*K768)</f>
        <v>40000.00000000625</v>
      </c>
      <c r="U768" s="11">
        <f>IF(OR(履歴データ!$A$768="",履歴データ!$A$767=""),"",60000*L768)</f>
        <v>-123000.00000000111</v>
      </c>
      <c r="V768" s="11">
        <f>IF(OR(履歴データ!$A$768="",履歴データ!$A$767=""),"",-50000*M768)</f>
        <v>-319999.99999999744</v>
      </c>
      <c r="W768" s="11">
        <f>IF(OR(履歴データ!$A$768="",履歴データ!$A$767=""),"",-40000*N768)</f>
        <v>1.7053025658242404E-9</v>
      </c>
      <c r="X768" s="11">
        <f>IF(OR(履歴データ!$A$768="",履歴データ!$A$767=""),"",120*1000000*(-Q768/H767))</f>
        <v>1464074.9714965471</v>
      </c>
      <c r="Y768" s="11">
        <f>IF(OR(履歴データ!$A$768="",履歴データ!$A$767=""),"",40000*(-S768)+(-506.3)*R768*1000)</f>
        <v>-890.62499999829743</v>
      </c>
      <c r="Z768" s="11">
        <f>IF(OR(履歴データ!$A$768="",履歴データ!$A$767=""),"",-40000*O768)</f>
        <v>236399.99999999872</v>
      </c>
      <c r="AA768" s="11">
        <f>IF(OR(履歴データ!$A$768="",履歴データ!$A$767=""),"",-40000*P768)</f>
        <v>180367.14355468802</v>
      </c>
      <c r="AB768" s="11">
        <f>IF(履歴データ!$A$768="","",123.3)</f>
        <v>123.3</v>
      </c>
      <c r="AC768">
        <f>IF(履歴データ!$A$768="","",SUM(T768:AA768))</f>
        <v>1476951.4900512449</v>
      </c>
      <c r="AD768" s="29">
        <f>IF(履歴データ!$A$768="","",AC768/1000000)</f>
        <v>1.4769514900512448</v>
      </c>
      <c r="AE768" s="29">
        <f>IF(履歴データ!$A$768="",AE767,AE767+AC768/1000000)</f>
        <v>73.333055638116406</v>
      </c>
      <c r="AF768" s="12">
        <f>IF(OR(履歴データ!$A$768="",AE767=0),"",(AE768-AE767)/AE767)</f>
        <v>2.0554293995787391E-2</v>
      </c>
      <c r="AG768" s="29">
        <f t="shared" si="35"/>
        <v>102.17217746631495</v>
      </c>
      <c r="AH768" s="12">
        <f>IF(OR(履歴データ!$A$768="",AG768=0),"",AE768/AG768-1)</f>
        <v>-0.28226002952424589</v>
      </c>
      <c r="AJ768" s="28">
        <f t="shared" ca="1" si="33"/>
        <v>5.411663138077401</v>
      </c>
      <c r="AK768" s="28">
        <f t="shared" ca="1" si="34"/>
        <v>-6.1338853602996242</v>
      </c>
    </row>
    <row r="769" spans="1:37">
      <c r="A769" s="10">
        <f>IF(履歴データ!$A$769="","",履歴データ!$A$769)</f>
        <v>46051</v>
      </c>
      <c r="B769" s="28">
        <f>IF(履歴データ!$A$769="","",(履歴データ!$D$769-(履歴データ!$B$769+履歴データ!$F$769)/2)*100)</f>
        <v>5.0000000000000711</v>
      </c>
      <c r="C769" s="28">
        <f>IF(履歴データ!$A$769="","",(履歴データ!$H$769-(履歴データ!$G$769+履歴データ!$J$769)/2)*100)</f>
        <v>-16.300000000000026</v>
      </c>
      <c r="D769" s="28">
        <f>IF(履歴データ!$A$769="","",(履歴データ!$D$769-履歴データ!$H$769)*100)</f>
        <v>198.80000000000004</v>
      </c>
      <c r="E769" s="28">
        <f>IF(履歴データ!$A$769="","",(履歴データ!$D$769-履歴データ!$C$769)*100)</f>
        <v>44.000000000000043</v>
      </c>
      <c r="F769" s="28">
        <f>IF(履歴データ!$A$769="","",(履歴データ!$R$769-履歴データ!$D$769)*100)</f>
        <v>-329.13</v>
      </c>
      <c r="G769" s="28">
        <f>IF(履歴データ!$A$769="","",(履歴データ!$S$769-履歴データ!$R$769)*100)</f>
        <v>138.81482141113275</v>
      </c>
      <c r="H769" s="29">
        <f>IF(履歴データ!$A$769="","",履歴データ!$O$769)</f>
        <v>153.09599304199219</v>
      </c>
      <c r="I769" s="29">
        <f>IF(履歴データ!$A$769="","",履歴データ!$Q$769)</f>
        <v>111.859375</v>
      </c>
      <c r="J769" s="29">
        <f>IF(履歴データ!$A$769="","",履歴データ!$D$769)</f>
        <v>4.24</v>
      </c>
      <c r="K769" s="28">
        <f>IF(OR(履歴データ!$A$769="",履歴データ!$A$768=""),"",B769-B768)</f>
        <v>-0.49999999999990052</v>
      </c>
      <c r="L769" s="28">
        <f>IF(OR(履歴データ!$A$769="",履歴データ!$A$768=""),"",C769-C768)</f>
        <v>1.7999999999999794</v>
      </c>
      <c r="M769" s="28">
        <f>IF(OR(履歴データ!$A$769="",履歴データ!$A$768=""),"",D769-D768)</f>
        <v>-3.4999999999999147</v>
      </c>
      <c r="N769" s="28">
        <f>IF(OR(履歴データ!$A$769="",履歴データ!$A$768=""),"",E769-E768)</f>
        <v>1.0000000000000711</v>
      </c>
      <c r="O769" s="28">
        <f>IF(OR(履歴データ!$A$769="",履歴データ!$A$768=""),"",F769-F768)</f>
        <v>5.2699999999999818</v>
      </c>
      <c r="P769" s="28">
        <f>IF(OR(履歴データ!$A$769="",履歴データ!$A$768=""),"",G769-G768)</f>
        <v>1.4658214111328505</v>
      </c>
      <c r="Q769" s="29">
        <f>IF(OR(履歴データ!$A$769="",履歴データ!$A$768=""),"",H769-H768)</f>
        <v>0.6429901123046875</v>
      </c>
      <c r="R769" s="29">
        <f>IF(OR(履歴データ!$A$769="",履歴データ!$A$768=""),"",I769-I768)</f>
        <v>0.21875</v>
      </c>
      <c r="S769" s="28">
        <f>IF(OR(履歴データ!$A$769="",履歴データ!$A$768=""),"",(J769-J768)*100)</f>
        <v>-1.9999999999999574</v>
      </c>
      <c r="T769" s="11">
        <f>IF(OR(履歴データ!$A$769="",履歴データ!$A$768=""),"",-80000*K769)</f>
        <v>39999.99999999204</v>
      </c>
      <c r="U769" s="11">
        <f>IF(OR(履歴データ!$A$769="",履歴データ!$A$768=""),"",60000*L769)</f>
        <v>107999.99999999876</v>
      </c>
      <c r="V769" s="11">
        <f>IF(OR(履歴データ!$A$769="",履歴データ!$A$768=""),"",-50000*M769)</f>
        <v>174999.99999999575</v>
      </c>
      <c r="W769" s="11">
        <f>IF(OR(履歴データ!$A$769="",履歴データ!$A$768=""),"",-40000*N769)</f>
        <v>-40000.000000002845</v>
      </c>
      <c r="X769" s="11">
        <f>IF(OR(履歴データ!$A$769="",履歴データ!$A$768=""),"",120*1000000*(-Q769/H768))</f>
        <v>-506115.40601892065</v>
      </c>
      <c r="Y769" s="11">
        <f>IF(OR(履歴データ!$A$769="",履歴データ!$A$768=""),"",40000*(-S769)+(-506.3)*R769*1000)</f>
        <v>-30753.125000001703</v>
      </c>
      <c r="Z769" s="11">
        <f>IF(OR(履歴データ!$A$769="",履歴データ!$A$768=""),"",-40000*O769)</f>
        <v>-210799.99999999927</v>
      </c>
      <c r="AA769" s="11">
        <f>IF(OR(履歴データ!$A$769="",履歴データ!$A$768=""),"",-40000*P769)</f>
        <v>-58632.856445314021</v>
      </c>
      <c r="AB769" s="11">
        <f>IF(履歴データ!$A$769="","",123.3)</f>
        <v>123.3</v>
      </c>
      <c r="AC769">
        <f>IF(履歴データ!$A$769="","",SUM(T769:AA769))</f>
        <v>-523301.38746425195</v>
      </c>
      <c r="AD769" s="29">
        <f>IF(履歴データ!$A$769="","",AC769/1000000)</f>
        <v>-0.52330138746425192</v>
      </c>
      <c r="AE769" s="29">
        <f>IF(履歴データ!$A$769="",AE768,AE768+AC769/1000000)</f>
        <v>72.809754250652148</v>
      </c>
      <c r="AF769" s="12">
        <f>IF(OR(履歴データ!$A$769="",AE768=0),"",(AE769-AE768)/AE768)</f>
        <v>-7.135955032975076E-3</v>
      </c>
      <c r="AG769" s="29">
        <f t="shared" si="35"/>
        <v>102.17217746631495</v>
      </c>
      <c r="AH769" s="12">
        <f>IF(OR(履歴データ!$A$769="",AG769=0),"",AE769/AG769-1)</f>
        <v>-0.28738178967892969</v>
      </c>
      <c r="AJ769" s="28">
        <f t="shared" ca="1" si="33"/>
        <v>5.3684762738152774</v>
      </c>
      <c r="AK769" s="28">
        <f t="shared" ca="1" si="34"/>
        <v>-6.1065715119105164</v>
      </c>
    </row>
    <row r="770" spans="1:37">
      <c r="A770" s="10">
        <f>IF(履歴データ!$A$770="","",履歴データ!$A$770)</f>
        <v>46052</v>
      </c>
      <c r="B770" s="28">
        <f>IF(履歴データ!$A$770="","",(履歴データ!$D$770-(履歴データ!$B$770+履歴データ!$F$770)/2)*100)</f>
        <v>6.4999999999999503</v>
      </c>
      <c r="C770" s="28">
        <f>IF(履歴データ!$A$770="","",(履歴データ!$H$770-(履歴データ!$G$770+履歴データ!$J$770)/2)*100)</f>
        <v>-16.699999999999982</v>
      </c>
      <c r="D770" s="28">
        <f>IF(履歴データ!$A$770="","",(履歴データ!$D$770-履歴データ!$H$770)*100)</f>
        <v>201.29999999999998</v>
      </c>
      <c r="E770" s="28">
        <f>IF(履歴データ!$A$770="","",(履歴データ!$D$770-履歴データ!$C$770)*100)</f>
        <v>46.999999999999972</v>
      </c>
      <c r="F770" s="28">
        <f>IF(履歴データ!$A$770="","",(履歴データ!$R$770-履歴データ!$D$770)*100)</f>
        <v>-332.64</v>
      </c>
      <c r="G770" s="28">
        <f>IF(履歴データ!$A$770="","",(履歴データ!$S$770-履歴データ!$R$770)*100)</f>
        <v>139.97399999999979</v>
      </c>
      <c r="H770" s="29">
        <f>IF(履歴データ!$A$770="","",履歴データ!$O$770)</f>
        <v>153.16200256347656</v>
      </c>
      <c r="I770" s="29">
        <f>IF(履歴データ!$A$770="","",履歴データ!$Q$770)</f>
        <v>111.828125</v>
      </c>
      <c r="J770" s="29">
        <f>IF(履歴データ!$A$770="","",履歴データ!$D$770)</f>
        <v>4.26</v>
      </c>
      <c r="K770" s="28">
        <f>IF(OR(履歴データ!$A$770="",履歴データ!$A$769=""),"",B770-B769)</f>
        <v>1.4999999999998792</v>
      </c>
      <c r="L770" s="28">
        <f>IF(OR(履歴データ!$A$770="",履歴データ!$A$769=""),"",C770-C769)</f>
        <v>-0.39999999999995595</v>
      </c>
      <c r="M770" s="28">
        <f>IF(OR(履歴データ!$A$770="",履歴データ!$A$769=""),"",D770-D769)</f>
        <v>2.4999999999999432</v>
      </c>
      <c r="N770" s="28">
        <f>IF(OR(履歴データ!$A$770="",履歴データ!$A$769=""),"",E770-E769)</f>
        <v>2.9999999999999289</v>
      </c>
      <c r="O770" s="28">
        <f>IF(OR(履歴データ!$A$770="",履歴データ!$A$769=""),"",F770-F769)</f>
        <v>-3.5099999999999909</v>
      </c>
      <c r="P770" s="28">
        <f>IF(OR(履歴データ!$A$770="",履歴データ!$A$769=""),"",G770-G769)</f>
        <v>1.1591785888670358</v>
      </c>
      <c r="Q770" s="29">
        <f>IF(OR(履歴データ!$A$770="",履歴データ!$A$769=""),"",H770-H769)</f>
        <v>6.6009521484375E-2</v>
      </c>
      <c r="R770" s="29">
        <f>IF(OR(履歴データ!$A$770="",履歴データ!$A$769=""),"",I770-I769)</f>
        <v>-3.125E-2</v>
      </c>
      <c r="S770" s="28">
        <f>IF(OR(履歴データ!$A$770="",履歴データ!$A$769=""),"",(J770-J769)*100)</f>
        <v>1.9999999999999574</v>
      </c>
      <c r="T770" s="11">
        <f>IF(OR(履歴データ!$A$770="",履歴データ!$A$769=""),"",-80000*K770)</f>
        <v>-119999.99999999034</v>
      </c>
      <c r="U770" s="11">
        <f>IF(OR(履歴データ!$A$770="",履歴データ!$A$769=""),"",60000*L770)</f>
        <v>-23999.999999997355</v>
      </c>
      <c r="V770" s="11">
        <f>IF(OR(履歴データ!$A$770="",履歴データ!$A$769=""),"",-50000*M770)</f>
        <v>-124999.99999999716</v>
      </c>
      <c r="W770" s="11">
        <f>IF(OR(履歴データ!$A$770="",履歴データ!$A$769=""),"",-40000*N770)</f>
        <v>-119999.99999999716</v>
      </c>
      <c r="X770" s="11">
        <f>IF(OR(履歴データ!$A$770="",履歴データ!$A$769=""),"",120*1000000*(-Q770/H769))</f>
        <v>-51739.711933233521</v>
      </c>
      <c r="Y770" s="11">
        <f>IF(OR(履歴データ!$A$770="",履歴データ!$A$769=""),"",40000*(-S770)+(-506.3)*R770*1000)</f>
        <v>-64178.124999998297</v>
      </c>
      <c r="Z770" s="11">
        <f>IF(OR(履歴データ!$A$770="",履歴データ!$A$769=""),"",-40000*O770)</f>
        <v>140399.99999999965</v>
      </c>
      <c r="AA770" s="11">
        <f>IF(OR(履歴データ!$A$770="",履歴データ!$A$769=""),"",-40000*P770)</f>
        <v>-46367.143554681432</v>
      </c>
      <c r="AB770" s="11">
        <f>IF(履歴データ!$A$770="","",123.3)</f>
        <v>123.3</v>
      </c>
      <c r="AC770">
        <f>IF(履歴データ!$A$770="","",SUM(T770:AA770))</f>
        <v>-410884.98048789566</v>
      </c>
      <c r="AD770" s="29">
        <f>IF(履歴データ!$A$770="","",AC770/1000000)</f>
        <v>-0.41088498048789568</v>
      </c>
      <c r="AE770" s="29">
        <f>IF(履歴データ!$A$770="",AE769,AE769+AC770/1000000)</f>
        <v>72.398869270164255</v>
      </c>
      <c r="AF770" s="12">
        <f>IF(OR(履歴データ!$A$770="",AE769=0),"",(AE770-AE769)/AE769)</f>
        <v>-5.6432683328856677E-3</v>
      </c>
      <c r="AG770" s="29">
        <f t="shared" si="35"/>
        <v>102.17217746631495</v>
      </c>
      <c r="AH770" s="12">
        <f>IF(OR(履歴データ!$A$770="",AG770=0),"",AE770/AG770-1)</f>
        <v>-0.29140328545867222</v>
      </c>
      <c r="AJ770" s="28">
        <f t="shared" ref="AJ770:AJ833" ca="1" si="36">IF(ROW()-1&lt;2,"",IFERROR(AVERAGE(OFFSET($B$1,MAX(1,ROW()-252),0,MIN(252,ROW()-1),1))+2*STDEV(OFFSET($B$1,MAX(1,ROW()-252),0,MIN(252,ROW()-1),1)),""))</f>
        <v>5.3684762738152756</v>
      </c>
      <c r="AK770" s="28">
        <f t="shared" ref="AK770:AK833" ca="1" si="37">IF(ROW()-1&lt;2,"",IFERROR(AVERAGE(OFFSET($B$1,MAX(1,ROW()-252),0,MIN(252,ROW()-1),1))-2*STDEV(OFFSET($B$1,MAX(1,ROW()-252),0,MIN(252,ROW()-1),1)),""))</f>
        <v>-6.1065715119105146</v>
      </c>
    </row>
    <row r="771" spans="1:37">
      <c r="A771" s="10">
        <f>IF(履歴データ!$A$771="","",履歴データ!$A$771)</f>
        <v>46055</v>
      </c>
      <c r="B771" s="28">
        <f>IF(履歴データ!$A$771="","",(履歴データ!$D$771-(履歴データ!$B$771+履歴データ!$F$771)/2)*100)</f>
        <v>5.4999999999999716</v>
      </c>
      <c r="C771" s="28">
        <f>IF(履歴データ!$A$771="","",(履歴データ!$H$771-(履歴データ!$G$771+履歴データ!$J$771)/2)*100)</f>
        <v>-18.900000000000006</v>
      </c>
      <c r="D771" s="28">
        <f>IF(履歴データ!$A$771="","",(履歴データ!$D$771-履歴データ!$H$771)*100)</f>
        <v>205.50000000000003</v>
      </c>
      <c r="E771" s="28">
        <f>IF(履歴データ!$A$771="","",(履歴データ!$D$771-履歴データ!$C$771)*100)</f>
        <v>46</v>
      </c>
      <c r="F771" s="28">
        <f>IF(履歴データ!$A$771="","",(履歴データ!$R$771-履歴データ!$D$771)*100)</f>
        <v>-333.79</v>
      </c>
      <c r="G771" s="28">
        <f>IF(履歴データ!$A$771="","",(履歴データ!$S$771-履歴データ!$R$771)*100)</f>
        <v>140.05335717773428</v>
      </c>
      <c r="H771" s="29">
        <f>IF(履歴データ!$A$771="","",履歴データ!$O$771)</f>
        <v>155.20199584960938</v>
      </c>
      <c r="I771" s="29">
        <f>IF(履歴データ!$A$771="","",履歴データ!$Q$771)</f>
        <v>111.59375</v>
      </c>
      <c r="J771" s="29">
        <f>IF(履歴データ!$A$771="","",履歴データ!$D$771)</f>
        <v>4.29</v>
      </c>
      <c r="K771" s="28">
        <f>IF(OR(履歴データ!$A$771="",履歴データ!$A$770=""),"",B771-B770)</f>
        <v>-0.99999999999997868</v>
      </c>
      <c r="L771" s="28">
        <f>IF(OR(履歴データ!$A$771="",履歴データ!$A$770=""),"",C771-C770)</f>
        <v>-2.2000000000000242</v>
      </c>
      <c r="M771" s="28">
        <f>IF(OR(履歴データ!$A$771="",履歴データ!$A$770=""),"",D771-D770)</f>
        <v>4.2000000000000455</v>
      </c>
      <c r="N771" s="28">
        <f>IF(OR(履歴データ!$A$771="",履歴データ!$A$770=""),"",E771-E770)</f>
        <v>-0.99999999999997158</v>
      </c>
      <c r="O771" s="28">
        <f>IF(OR(履歴データ!$A$771="",履歴データ!$A$770=""),"",F771-F770)</f>
        <v>-1.1500000000000341</v>
      </c>
      <c r="P771" s="28">
        <f>IF(OR(履歴データ!$A$771="",履歴データ!$A$770=""),"",G771-G770)</f>
        <v>7.9357177734493689E-2</v>
      </c>
      <c r="Q771" s="29">
        <f>IF(OR(履歴データ!$A$771="",履歴データ!$A$770=""),"",H771-H770)</f>
        <v>2.0399932861328125</v>
      </c>
      <c r="R771" s="29">
        <f>IF(OR(履歴データ!$A$771="",履歴データ!$A$770=""),"",I771-I770)</f>
        <v>-0.234375</v>
      </c>
      <c r="S771" s="28">
        <f>IF(OR(履歴データ!$A$771="",履歴データ!$A$770=""),"",(J771-J770)*100)</f>
        <v>3.0000000000000249</v>
      </c>
      <c r="T771" s="11">
        <f>IF(OR(履歴データ!$A$771="",履歴データ!$A$770=""),"",-80000*K771)</f>
        <v>79999.999999998297</v>
      </c>
      <c r="U771" s="11">
        <f>IF(OR(履歴データ!$A$771="",履歴データ!$A$770=""),"",60000*L771)</f>
        <v>-132000.00000000146</v>
      </c>
      <c r="V771" s="11">
        <f>IF(OR(履歴データ!$A$771="",履歴データ!$A$770=""),"",-50000*M771)</f>
        <v>-210000.00000000227</v>
      </c>
      <c r="W771" s="11">
        <f>IF(OR(履歴データ!$A$771="",履歴データ!$A$770=""),"",-40000*N771)</f>
        <v>39999.999999998865</v>
      </c>
      <c r="X771" s="11">
        <f>IF(OR(履歴データ!$A$771="",履歴データ!$A$770=""),"",120*1000000*(-Q771/H770))</f>
        <v>-1598302.3872679046</v>
      </c>
      <c r="Y771" s="11">
        <f>IF(OR(履歴データ!$A$771="",履歴データ!$A$770=""),"",40000*(-S771)+(-506.3)*R771*1000)</f>
        <v>-1335.9375000009895</v>
      </c>
      <c r="Z771" s="11">
        <f>IF(OR(履歴データ!$A$771="",履歴データ!$A$770=""),"",-40000*O771)</f>
        <v>46000.000000001368</v>
      </c>
      <c r="AA771" s="11">
        <f>IF(OR(履歴データ!$A$771="",履歴データ!$A$770=""),"",-40000*P771)</f>
        <v>-3174.2871093797476</v>
      </c>
      <c r="AB771" s="11">
        <f>IF(履歴データ!$A$771="","",123.3)</f>
        <v>123.3</v>
      </c>
      <c r="AC771">
        <f>IF(履歴データ!$A$771="","",SUM(T771:AA771))</f>
        <v>-1778812.6118772903</v>
      </c>
      <c r="AD771" s="29">
        <f>IF(履歴データ!$A$771="","",AC771/1000000)</f>
        <v>-1.7788126118772902</v>
      </c>
      <c r="AE771" s="29">
        <f>IF(履歴データ!$A$771="",AE770,AE770+AC771/1000000)</f>
        <v>70.62005665828697</v>
      </c>
      <c r="AF771" s="12">
        <f>IF(OR(履歴データ!$A$771="",AE770=0),"",(AE771-AE770)/AE770)</f>
        <v>-2.4569618694450217E-2</v>
      </c>
      <c r="AG771" s="29">
        <f t="shared" ref="AG771:AG834" si="38">MAX(AG770,AE771)</f>
        <v>102.17217746631495</v>
      </c>
      <c r="AH771" s="12">
        <f>IF(OR(履歴データ!$A$771="",AG771=0),"",AE771/AG771-1)</f>
        <v>-0.30881323654309289</v>
      </c>
      <c r="AJ771" s="28">
        <f t="shared" ca="1" si="36"/>
        <v>5.34678479207646</v>
      </c>
      <c r="AK771" s="28">
        <f t="shared" ca="1" si="37"/>
        <v>-6.0928165381082069</v>
      </c>
    </row>
    <row r="772" spans="1:37">
      <c r="A772" s="10">
        <f>IF(履歴データ!$A$772="","",履歴データ!$A$772)</f>
        <v>46056</v>
      </c>
      <c r="B772" s="28">
        <f>IF(履歴データ!$A$772="","",(履歴データ!$D$772-(履歴データ!$B$772+履歴データ!$F$772)/2)*100)</f>
        <v>4.4999999999999929</v>
      </c>
      <c r="C772" s="28">
        <f>IF(履歴データ!$A$772="","",(履歴データ!$H$772-(履歴データ!$G$772+履歴データ!$J$772)/2)*100)</f>
        <v>-17.499999999999982</v>
      </c>
      <c r="D772" s="28">
        <f>IF(履歴データ!$A$772="","",(履歴データ!$D$772-履歴データ!$H$772)*100)</f>
        <v>202.20000000000002</v>
      </c>
      <c r="E772" s="28">
        <f>IF(履歴データ!$A$772="","",(履歴データ!$D$772-履歴データ!$C$772)*100)</f>
        <v>45.000000000000014</v>
      </c>
      <c r="F772" s="28">
        <f>IF(履歴データ!$A$772="","",(履歴データ!$R$772-履歴データ!$D$772)*100)</f>
        <v>-328.54</v>
      </c>
      <c r="G772" s="28">
        <f>IF(履歴データ!$A$772="","",(履歴データ!$S$772-履歴データ!$R$772)*100)</f>
        <v>137.38199999999983</v>
      </c>
      <c r="H772" s="29">
        <f>IF(履歴データ!$A$772="","",履歴データ!$O$772)</f>
        <v>155.4429931640625</v>
      </c>
      <c r="I772" s="29">
        <f>IF(履歴データ!$A$772="","",履歴データ!$Q$772)</f>
        <v>111.59375</v>
      </c>
      <c r="J772" s="29">
        <f>IF(履歴データ!$A$772="","",履歴データ!$D$772)</f>
        <v>4.28</v>
      </c>
      <c r="K772" s="28">
        <f>IF(OR(履歴データ!$A$772="",履歴データ!$A$771=""),"",B772-B771)</f>
        <v>-0.99999999999997868</v>
      </c>
      <c r="L772" s="28">
        <f>IF(OR(履歴データ!$A$772="",履歴データ!$A$771=""),"",C772-C771)</f>
        <v>1.4000000000000234</v>
      </c>
      <c r="M772" s="28">
        <f>IF(OR(履歴データ!$A$772="",履歴データ!$A$771=""),"",D772-D771)</f>
        <v>-3.3000000000000114</v>
      </c>
      <c r="N772" s="28">
        <f>IF(OR(履歴データ!$A$772="",履歴データ!$A$771=""),"",E772-E771)</f>
        <v>-0.99999999999998579</v>
      </c>
      <c r="O772" s="28">
        <f>IF(OR(履歴データ!$A$772="",履歴データ!$A$771=""),"",F772-F771)</f>
        <v>5.25</v>
      </c>
      <c r="P772" s="28">
        <f>IF(OR(履歴データ!$A$772="",履歴データ!$A$771=""),"",G772-G771)</f>
        <v>-2.6713571777344498</v>
      </c>
      <c r="Q772" s="29">
        <f>IF(OR(履歴データ!$A$772="",履歴データ!$A$771=""),"",H772-H771)</f>
        <v>0.240997314453125</v>
      </c>
      <c r="R772" s="29">
        <f>IF(OR(履歴データ!$A$772="",履歴データ!$A$771=""),"",I772-I771)</f>
        <v>0</v>
      </c>
      <c r="S772" s="28">
        <f>IF(OR(履歴データ!$A$772="",履歴データ!$A$771=""),"",(J772-J771)*100)</f>
        <v>-0.99999999999997868</v>
      </c>
      <c r="T772" s="11">
        <f>IF(OR(履歴データ!$A$772="",履歴データ!$A$771=""),"",-80000*K772)</f>
        <v>79999.999999998297</v>
      </c>
      <c r="U772" s="11">
        <f>IF(OR(履歴データ!$A$772="",履歴データ!$A$771=""),"",60000*L772)</f>
        <v>84000.000000001412</v>
      </c>
      <c r="V772" s="11">
        <f>IF(OR(履歴データ!$A$772="",履歴データ!$A$771=""),"",-50000*M772)</f>
        <v>165000.00000000058</v>
      </c>
      <c r="W772" s="11">
        <f>IF(OR(履歴データ!$A$772="",履歴データ!$A$771=""),"",-40000*N772)</f>
        <v>39999.999999999432</v>
      </c>
      <c r="X772" s="11">
        <f>IF(OR(履歴データ!$A$772="",履歴データ!$A$771=""),"",120*1000000*(-Q772/H771))</f>
        <v>-186335.73348114768</v>
      </c>
      <c r="Y772" s="11">
        <f>IF(OR(履歴データ!$A$772="",履歴データ!$A$771=""),"",40000*(-S772)+(-506.3)*R772*1000)</f>
        <v>39999.999999999149</v>
      </c>
      <c r="Z772" s="11">
        <f>IF(OR(履歴データ!$A$772="",履歴データ!$A$771=""),"",-40000*O772)</f>
        <v>-210000</v>
      </c>
      <c r="AA772" s="11">
        <f>IF(OR(履歴データ!$A$772="",履歴データ!$A$771=""),"",-40000*P772)</f>
        <v>106854.287109378</v>
      </c>
      <c r="AB772" s="11">
        <f>IF(履歴データ!$A$772="","",123.3)</f>
        <v>123.3</v>
      </c>
      <c r="AC772">
        <f>IF(履歴データ!$A$772="","",SUM(T772:AA772))</f>
        <v>119518.55362822919</v>
      </c>
      <c r="AD772" s="29">
        <f>IF(履歴データ!$A$772="","",AC772/1000000)</f>
        <v>0.11951855362822919</v>
      </c>
      <c r="AE772" s="29">
        <f>IF(履歴データ!$A$772="",AE771,AE771+AC772/1000000)</f>
        <v>70.739575211915195</v>
      </c>
      <c r="AF772" s="12">
        <f>IF(OR(履歴データ!$A$772="",AE771=0),"",(AE772-AE771)/AE771)</f>
        <v>1.6924165638459634E-3</v>
      </c>
      <c r="AG772" s="29">
        <f t="shared" si="38"/>
        <v>102.17217746631495</v>
      </c>
      <c r="AH772" s="12">
        <f>IF(OR(履歴データ!$A$772="",AG772=0),"",AE772/AG772-1)</f>
        <v>-0.3076434606159073</v>
      </c>
      <c r="AJ772" s="28">
        <f t="shared" ca="1" si="36"/>
        <v>5.3376580635807853</v>
      </c>
      <c r="AK772" s="28">
        <f t="shared" ca="1" si="37"/>
        <v>-6.0876580635807853</v>
      </c>
    </row>
    <row r="773" spans="1:37">
      <c r="A773" s="10">
        <f>IF(履歴データ!$A$773="","",履歴データ!$A$773)</f>
        <v>46057</v>
      </c>
      <c r="B773" s="28">
        <f>IF(履歴データ!$A$773="","",(履歴データ!$D$773-(履歴データ!$B$773+履歴データ!$F$773)/2)*100)</f>
        <v>4.9999999999999822</v>
      </c>
      <c r="C773" s="28">
        <f>IF(履歴データ!$A$773="","",(履歴データ!$H$773-(履歴データ!$G$773+履歴データ!$J$773)/2)*100)</f>
        <v>-17.850000000000009</v>
      </c>
      <c r="D773" s="28">
        <f>IF(履歴データ!$A$773="","",(履歴データ!$D$773-履歴データ!$H$773)*100)</f>
        <v>204.1</v>
      </c>
      <c r="E773" s="28">
        <f>IF(履歴データ!$A$773="","",(履歴データ!$D$773-履歴データ!$C$773)*100)</f>
        <v>46</v>
      </c>
      <c r="F773" s="28">
        <f>IF(履歴データ!$A$773="","",(履歴データ!$R$773-履歴データ!$D$773)*100)</f>
        <v>-324.39</v>
      </c>
      <c r="G773" s="28">
        <f>IF(履歴データ!$A$773="","",(履歴データ!$S$773-履歴データ!$R$773)*100)</f>
        <v>130.12717858886705</v>
      </c>
      <c r="H773" s="29">
        <f>IF(履歴データ!$A$773="","",履歴データ!$O$773)</f>
        <v>155.79899597167969</v>
      </c>
      <c r="I773" s="29">
        <f>IF(履歴データ!$A$773="","",履歴データ!$Q$773)</f>
        <v>111.609375</v>
      </c>
      <c r="J773" s="29">
        <f>IF(履歴データ!$A$773="","",履歴データ!$D$773)</f>
        <v>4.29</v>
      </c>
      <c r="K773" s="28">
        <f>IF(OR(履歴データ!$A$773="",履歴データ!$A$772=""),"",B773-B772)</f>
        <v>0.49999999999998934</v>
      </c>
      <c r="L773" s="28">
        <f>IF(OR(履歴データ!$A$773="",履歴データ!$A$772=""),"",C773-C772)</f>
        <v>-0.35000000000002629</v>
      </c>
      <c r="M773" s="28">
        <f>IF(OR(履歴データ!$A$773="",履歴データ!$A$772=""),"",D773-D772)</f>
        <v>1.8999999999999773</v>
      </c>
      <c r="N773" s="28">
        <f>IF(OR(履歴データ!$A$773="",履歴データ!$A$772=""),"",E773-E772)</f>
        <v>0.99999999999998579</v>
      </c>
      <c r="O773" s="28">
        <f>IF(OR(履歴データ!$A$773="",履歴データ!$A$772=""),"",F773-F772)</f>
        <v>4.1500000000000341</v>
      </c>
      <c r="P773" s="28">
        <f>IF(OR(履歴データ!$A$773="",履歴データ!$A$772=""),"",G773-G772)</f>
        <v>-7.2548214111327809</v>
      </c>
      <c r="Q773" s="29">
        <f>IF(OR(履歴データ!$A$773="",履歴データ!$A$772=""),"",H773-H772)</f>
        <v>0.3560028076171875</v>
      </c>
      <c r="R773" s="29">
        <f>IF(OR(履歴データ!$A$773="",履歴データ!$A$772=""),"",I773-I772)</f>
        <v>1.5625E-2</v>
      </c>
      <c r="S773" s="28">
        <f>IF(OR(履歴データ!$A$773="",履歴データ!$A$772=""),"",(J773-J772)*100)</f>
        <v>0.99999999999997868</v>
      </c>
      <c r="T773" s="11">
        <f>IF(OR(履歴データ!$A$773="",履歴データ!$A$772=""),"",-80000*K773)</f>
        <v>-39999.999999999149</v>
      </c>
      <c r="U773" s="11">
        <f>IF(OR(履歴データ!$A$773="",履歴データ!$A$772=""),"",60000*L773)</f>
        <v>-21000.000000001579</v>
      </c>
      <c r="V773" s="11">
        <f>IF(OR(履歴データ!$A$773="",履歴データ!$A$772=""),"",-50000*M773)</f>
        <v>-94999.999999998865</v>
      </c>
      <c r="W773" s="11">
        <f>IF(OR(履歴データ!$A$773="",履歴データ!$A$772=""),"",-40000*N773)</f>
        <v>-39999.999999999432</v>
      </c>
      <c r="X773" s="11">
        <f>IF(OR(履歴データ!$A$773="",履歴データ!$A$772=""),"",120*1000000*(-Q773/H772))</f>
        <v>-274829.60823440441</v>
      </c>
      <c r="Y773" s="11">
        <f>IF(OR(履歴データ!$A$773="",履歴データ!$A$772=""),"",40000*(-S773)+(-506.3)*R773*1000)</f>
        <v>-47910.937499999149</v>
      </c>
      <c r="Z773" s="11">
        <f>IF(OR(履歴データ!$A$773="",履歴データ!$A$772=""),"",-40000*O773)</f>
        <v>-166000.00000000137</v>
      </c>
      <c r="AA773" s="11">
        <f>IF(OR(履歴データ!$A$773="",履歴データ!$A$772=""),"",-40000*P773)</f>
        <v>290192.85644531122</v>
      </c>
      <c r="AB773" s="11">
        <f>IF(履歴データ!$A$773="","",123.3)</f>
        <v>123.3</v>
      </c>
      <c r="AC773">
        <f>IF(履歴データ!$A$773="","",SUM(T773:AA773))</f>
        <v>-394547.68928909267</v>
      </c>
      <c r="AD773" s="29">
        <f>IF(履歴データ!$A$773="","",AC773/1000000)</f>
        <v>-0.39454768928909267</v>
      </c>
      <c r="AE773" s="29">
        <f>IF(履歴データ!$A$773="",AE772,AE772+AC773/1000000)</f>
        <v>70.345027522626097</v>
      </c>
      <c r="AF773" s="12">
        <f>IF(OR(履歴データ!$A$773="",AE772=0),"",(AE773-AE772)/AE772)</f>
        <v>-5.5774676071654074E-3</v>
      </c>
      <c r="AG773" s="29">
        <f t="shared" si="38"/>
        <v>102.17217746631495</v>
      </c>
      <c r="AH773" s="12">
        <f>IF(OR(履歴データ!$A$773="",AG773=0),"",AE773/AG773-1)</f>
        <v>-0.31150505678693119</v>
      </c>
      <c r="AJ773" s="28">
        <f t="shared" ca="1" si="36"/>
        <v>5.3376580635807853</v>
      </c>
      <c r="AK773" s="28">
        <f t="shared" ca="1" si="37"/>
        <v>-6.0876580635807853</v>
      </c>
    </row>
    <row r="774" spans="1:37">
      <c r="A774" s="10">
        <f>IF(履歴データ!$A$774="","",履歴データ!$A$774)</f>
        <v>46058</v>
      </c>
      <c r="B774" s="28">
        <f>IF(履歴データ!$A$774="","",(履歴データ!$D$774-(履歴データ!$B$774+履歴データ!$F$774)/2)*100)</f>
        <v>4.9999999999999822</v>
      </c>
      <c r="C774" s="28">
        <f>IF(履歴データ!$A$774="","",(履歴データ!$H$774-(履歴データ!$G$774+履歴データ!$J$774)/2)*100)</f>
        <v>-16.950000000000021</v>
      </c>
      <c r="D774" s="28">
        <f>IF(履歴データ!$A$774="","",(履歴データ!$D$774-履歴データ!$H$774)*100)</f>
        <v>197.9</v>
      </c>
      <c r="E774" s="28">
        <f>IF(履歴データ!$A$774="","",(履歴データ!$D$774-履歴データ!$C$774)*100)</f>
        <v>46.999999999999972</v>
      </c>
      <c r="F774" s="28">
        <f>IF(履歴データ!$A$774="","",(履歴データ!$R$774-履歴データ!$D$774)*100)</f>
        <v>-321.47999999999996</v>
      </c>
      <c r="G774" s="28">
        <f>IF(履歴データ!$A$774="","",(履歴データ!$S$774-履歴データ!$R$774)*100)</f>
        <v>135.21717858886703</v>
      </c>
      <c r="H774" s="29">
        <f>IF(履歴データ!$A$774="","",履歴データ!$O$774)</f>
        <v>156.91700744628906</v>
      </c>
      <c r="I774" s="29">
        <f>IF(履歴データ!$A$774="","",履歴データ!$Q$774)</f>
        <v>112.125</v>
      </c>
      <c r="J774" s="29">
        <f>IF(履歴データ!$A$774="","",履歴データ!$D$774)</f>
        <v>4.21</v>
      </c>
      <c r="K774" s="28">
        <f>IF(OR(履歴データ!$A$774="",履歴データ!$A$773=""),"",B774-B773)</f>
        <v>0</v>
      </c>
      <c r="L774" s="28">
        <f>IF(OR(履歴データ!$A$774="",履歴データ!$A$773=""),"",C774-C773)</f>
        <v>0.89999999999998792</v>
      </c>
      <c r="M774" s="28">
        <f>IF(OR(履歴データ!$A$774="",履歴データ!$A$773=""),"",D774-D773)</f>
        <v>-6.1999999999999886</v>
      </c>
      <c r="N774" s="28">
        <f>IF(OR(履歴データ!$A$774="",履歴データ!$A$773=""),"",E774-E773)</f>
        <v>0.99999999999997158</v>
      </c>
      <c r="O774" s="28">
        <f>IF(OR(履歴データ!$A$774="",履歴データ!$A$773=""),"",F774-F773)</f>
        <v>2.910000000000025</v>
      </c>
      <c r="P774" s="28">
        <f>IF(OR(履歴データ!$A$774="",履歴データ!$A$773=""),"",G774-G773)</f>
        <v>5.089999999999975</v>
      </c>
      <c r="Q774" s="29">
        <f>IF(OR(履歴データ!$A$774="",履歴データ!$A$773=""),"",H774-H773)</f>
        <v>1.118011474609375</v>
      </c>
      <c r="R774" s="29">
        <f>IF(OR(履歴データ!$A$774="",履歴データ!$A$773=""),"",I774-I773)</f>
        <v>0.515625</v>
      </c>
      <c r="S774" s="28">
        <f>IF(OR(履歴データ!$A$774="",履歴データ!$A$773=""),"",(J774-J773)*100)</f>
        <v>-8.0000000000000071</v>
      </c>
      <c r="T774" s="11">
        <f>IF(OR(履歴データ!$A$774="",履歴データ!$A$773=""),"",-80000*K774)</f>
        <v>0</v>
      </c>
      <c r="U774" s="11">
        <f>IF(OR(履歴データ!$A$774="",履歴データ!$A$773=""),"",60000*L774)</f>
        <v>53999.999999999272</v>
      </c>
      <c r="V774" s="11">
        <f>IF(OR(履歴データ!$A$774="",履歴データ!$A$773=""),"",-50000*M774)</f>
        <v>309999.99999999942</v>
      </c>
      <c r="W774" s="11">
        <f>IF(OR(履歴データ!$A$774="",履歴データ!$A$773=""),"",-40000*N774)</f>
        <v>-39999.999999998865</v>
      </c>
      <c r="X774" s="11">
        <f>IF(OR(履歴データ!$A$774="",履歴データ!$A$773=""),"",120*1000000*(-Q774/H773))</f>
        <v>-861118.36675450811</v>
      </c>
      <c r="Y774" s="11">
        <f>IF(OR(履歴データ!$A$774="",履歴データ!$A$773=""),"",40000*(-S774)+(-506.3)*R774*1000)</f>
        <v>58939.062500000262</v>
      </c>
      <c r="Z774" s="11">
        <f>IF(OR(履歴データ!$A$774="",履歴データ!$A$773=""),"",-40000*O774)</f>
        <v>-116400.000000001</v>
      </c>
      <c r="AA774" s="11">
        <f>IF(OR(履歴データ!$A$774="",履歴データ!$A$773=""),"",-40000*P774)</f>
        <v>-203599.99999999901</v>
      </c>
      <c r="AB774" s="11">
        <f>IF(履歴データ!$A$774="","",123.3)</f>
        <v>123.3</v>
      </c>
      <c r="AC774">
        <f>IF(履歴データ!$A$774="","",SUM(T774:AA774))</f>
        <v>-798179.30425450811</v>
      </c>
      <c r="AD774" s="29">
        <f>IF(履歴データ!$A$774="","",AC774/1000000)</f>
        <v>-0.79817930425450812</v>
      </c>
      <c r="AE774" s="29">
        <f>IF(履歴データ!$A$774="",AE773,AE773+AC774/1000000)</f>
        <v>69.546848218371593</v>
      </c>
      <c r="AF774" s="12">
        <f>IF(OR(履歴データ!$A$774="",AE773=0),"",(AE774-AE773)/AE773)</f>
        <v>-1.1346634330305343E-2</v>
      </c>
      <c r="AG774" s="29">
        <f t="shared" si="38"/>
        <v>102.17217746631495</v>
      </c>
      <c r="AH774" s="12">
        <f>IF(OR(履歴データ!$A$774="",AG774=0),"",AE774/AG774-1)</f>
        <v>-0.3193171571458342</v>
      </c>
      <c r="AJ774" s="28">
        <f t="shared" ca="1" si="36"/>
        <v>5.3278212954080209</v>
      </c>
      <c r="AK774" s="28">
        <f t="shared" ca="1" si="37"/>
        <v>-6.0817895493762757</v>
      </c>
    </row>
    <row r="775" spans="1:37">
      <c r="A775" s="10">
        <f>IF(履歴データ!$A$775="","",履歴データ!$A$775)</f>
        <v>46059</v>
      </c>
      <c r="B775" s="28">
        <f>IF(履歴データ!$A$775="","",(履歴データ!$D$775-(履歴データ!$B$775+履歴データ!$F$775)/2)*100)</f>
        <v>4.4999999999999929</v>
      </c>
      <c r="C775" s="28">
        <f>IF(履歴データ!$A$775="","",(履歴データ!$H$775-(履歴データ!$G$775+履歴データ!$J$775)/2)*100)</f>
        <v>-16.099999999999959</v>
      </c>
      <c r="D775" s="28">
        <f>IF(履歴データ!$A$775="","",(履歴データ!$D$775-履歴データ!$H$775)*100)</f>
        <v>198.39999999999995</v>
      </c>
      <c r="E775" s="28">
        <f>IF(履歴データ!$A$775="","",(履歴データ!$D$775-履歴データ!$C$775)*100)</f>
        <v>46</v>
      </c>
      <c r="F775" s="28">
        <f>IF(履歴データ!$A$775="","",(履歴データ!$R$775-履歴データ!$D$775)*100)</f>
        <v>-333.58</v>
      </c>
      <c r="G775" s="28">
        <f>IF(履歴データ!$A$775="","",(履歴データ!$S$775-履歴データ!$R$775)*100)</f>
        <v>139.65199999999987</v>
      </c>
      <c r="H775" s="29">
        <f>IF(履歴データ!$A$775="","",履歴データ!$O$775)</f>
        <v>156.78399658203125</v>
      </c>
      <c r="I775" s="29">
        <f>IF(履歴データ!$A$775="","",履歴データ!$Q$775)</f>
        <v>112.109375</v>
      </c>
      <c r="J775" s="29">
        <f>IF(履歴データ!$A$775="","",履歴データ!$D$775)</f>
        <v>4.22</v>
      </c>
      <c r="K775" s="28">
        <f>IF(OR(履歴データ!$A$775="",履歴データ!$A$774=""),"",B775-B774)</f>
        <v>-0.49999999999998934</v>
      </c>
      <c r="L775" s="28">
        <f>IF(OR(履歴データ!$A$775="",履歴データ!$A$774=""),"",C775-C774)</f>
        <v>0.85000000000006182</v>
      </c>
      <c r="M775" s="28">
        <f>IF(OR(履歴データ!$A$775="",履歴データ!$A$774=""),"",D775-D774)</f>
        <v>0.49999999999994316</v>
      </c>
      <c r="N775" s="28">
        <f>IF(OR(履歴データ!$A$775="",履歴データ!$A$774=""),"",E775-E774)</f>
        <v>-0.99999999999997158</v>
      </c>
      <c r="O775" s="28">
        <f>IF(OR(履歴データ!$A$775="",履歴データ!$A$774=""),"",F775-F774)</f>
        <v>-12.100000000000023</v>
      </c>
      <c r="P775" s="28">
        <f>IF(OR(履歴データ!$A$775="",履歴データ!$A$774=""),"",G775-G774)</f>
        <v>4.4348214111328446</v>
      </c>
      <c r="Q775" s="29">
        <f>IF(OR(履歴データ!$A$775="",履歴データ!$A$774=""),"",H775-H774)</f>
        <v>-0.1330108642578125</v>
      </c>
      <c r="R775" s="29">
        <f>IF(OR(履歴データ!$A$775="",履歴データ!$A$774=""),"",I775-I774)</f>
        <v>-1.5625E-2</v>
      </c>
      <c r="S775" s="28">
        <f>IF(OR(履歴データ!$A$775="",履歴データ!$A$774=""),"",(J775-J774)*100)</f>
        <v>0.99999999999997868</v>
      </c>
      <c r="T775" s="11">
        <f>IF(OR(履歴データ!$A$775="",履歴データ!$A$774=""),"",-80000*K775)</f>
        <v>39999.999999999149</v>
      </c>
      <c r="U775" s="11">
        <f>IF(OR(履歴データ!$A$775="",履歴データ!$A$774=""),"",60000*L775)</f>
        <v>51000.000000003711</v>
      </c>
      <c r="V775" s="11">
        <f>IF(OR(履歴データ!$A$775="",履歴データ!$A$774=""),"",-50000*M775)</f>
        <v>-24999.999999997159</v>
      </c>
      <c r="W775" s="11">
        <f>IF(OR(履歴データ!$A$775="",履歴データ!$A$774=""),"",-40000*N775)</f>
        <v>39999.999999998865</v>
      </c>
      <c r="X775" s="11">
        <f>IF(OR(履歴データ!$A$775="",履歴データ!$A$774=""),"",120*1000000*(-Q775/H774))</f>
        <v>101718.12457232131</v>
      </c>
      <c r="Y775" s="11">
        <f>IF(OR(履歴データ!$A$775="",履歴データ!$A$774=""),"",40000*(-S775)+(-506.3)*R775*1000)</f>
        <v>-32089.062499999149</v>
      </c>
      <c r="Z775" s="11">
        <f>IF(OR(履歴データ!$A$775="",履歴データ!$A$774=""),"",-40000*O775)</f>
        <v>484000.00000000093</v>
      </c>
      <c r="AA775" s="11">
        <f>IF(OR(履歴データ!$A$775="",履歴データ!$A$774=""),"",-40000*P775)</f>
        <v>-177392.85644531378</v>
      </c>
      <c r="AB775" s="11">
        <f>IF(履歴データ!$A$775="","",123.3)</f>
        <v>123.3</v>
      </c>
      <c r="AC775">
        <f>IF(履歴データ!$A$775="","",SUM(T775:AA775))</f>
        <v>482236.20562701381</v>
      </c>
      <c r="AD775" s="29">
        <f>IF(履歴データ!$A$775="","",AC775/1000000)</f>
        <v>0.4822362056270138</v>
      </c>
      <c r="AE775" s="29">
        <f>IF(履歴データ!$A$775="",AE774,AE774+AC775/1000000)</f>
        <v>70.029084423998611</v>
      </c>
      <c r="AF775" s="12">
        <f>IF(OR(履歴データ!$A$775="",AE774=0),"",(AE775-AE774)/AE774)</f>
        <v>6.9339764199354437E-3</v>
      </c>
      <c r="AG775" s="29">
        <f t="shared" si="38"/>
        <v>102.17217746631495</v>
      </c>
      <c r="AH775" s="12">
        <f>IF(OR(履歴データ!$A$775="",AG775=0),"",AE775/AG775-1)</f>
        <v>-0.31459731836402882</v>
      </c>
      <c r="AJ775" s="28">
        <f t="shared" ca="1" si="36"/>
        <v>5.3573552991316422</v>
      </c>
      <c r="AK775" s="28">
        <f t="shared" ca="1" si="37"/>
        <v>-6.0954505372268812</v>
      </c>
    </row>
    <row r="776" spans="1:37">
      <c r="A776" s="10">
        <f>IF(履歴データ!$A$776="","",履歴データ!$A$776)</f>
        <v>46062</v>
      </c>
      <c r="B776" s="28">
        <f>IF(履歴データ!$A$776="","",(履歴データ!$D$776-(履歴データ!$B$776+履歴データ!$F$776)/2)*100)</f>
        <v>5.4999999999999716</v>
      </c>
      <c r="C776" s="28">
        <f>IF(履歴データ!$A$776="","",(履歴データ!$H$776-(履歴データ!$G$776+履歴データ!$J$776)/2)*100)</f>
        <v>-12.749999999999995</v>
      </c>
      <c r="D776" s="28">
        <f>IF(履歴データ!$A$776="","",(履歴データ!$D$776-履歴データ!$H$776)*100)</f>
        <v>193.09999999999997</v>
      </c>
      <c r="E776" s="28">
        <f>IF(履歴データ!$A$776="","",(履歴データ!$D$776-履歴データ!$C$776)*100)</f>
        <v>46.999999999999972</v>
      </c>
      <c r="F776" s="28">
        <f>IF(履歴データ!$A$776="","",(履歴データ!$R$776-履歴データ!$D$776)*100)</f>
        <v>-330.09999999999997</v>
      </c>
      <c r="G776" s="28">
        <f>IF(履歴データ!$A$776="","",(履歴データ!$S$776-履歴データ!$R$776)*100)</f>
        <v>143.71417858886707</v>
      </c>
      <c r="H776" s="29">
        <f>IF(履歴データ!$A$776="","",履歴データ!$O$776)</f>
        <v>157.24400329589844</v>
      </c>
      <c r="I776" s="29">
        <f>IF(履歴データ!$A$776="","",履歴データ!$Q$776)</f>
        <v>112.1875</v>
      </c>
      <c r="J776" s="29">
        <f>IF(履歴データ!$A$776="","",履歴データ!$D$776)</f>
        <v>4.22</v>
      </c>
      <c r="K776" s="28">
        <f>IF(OR(履歴データ!$A$776="",履歴データ!$A$775=""),"",B776-B775)</f>
        <v>0.99999999999997868</v>
      </c>
      <c r="L776" s="28">
        <f>IF(OR(履歴データ!$A$776="",履歴データ!$A$775=""),"",C776-C775)</f>
        <v>3.3499999999999641</v>
      </c>
      <c r="M776" s="28">
        <f>IF(OR(履歴データ!$A$776="",履歴データ!$A$775=""),"",D776-D775)</f>
        <v>-5.2999999999999829</v>
      </c>
      <c r="N776" s="28">
        <f>IF(OR(履歴データ!$A$776="",履歴データ!$A$775=""),"",E776-E775)</f>
        <v>0.99999999999997158</v>
      </c>
      <c r="O776" s="28">
        <f>IF(OR(履歴データ!$A$776="",履歴データ!$A$775=""),"",F776-F775)</f>
        <v>3.4800000000000182</v>
      </c>
      <c r="P776" s="28">
        <f>IF(OR(履歴データ!$A$776="",履歴データ!$A$775=""),"",G776-G775)</f>
        <v>4.062178588867198</v>
      </c>
      <c r="Q776" s="29">
        <f>IF(OR(履歴データ!$A$776="",履歴データ!$A$775=""),"",H776-H775)</f>
        <v>0.4600067138671875</v>
      </c>
      <c r="R776" s="29">
        <f>IF(OR(履歴データ!$A$776="",履歴データ!$A$775=""),"",I776-I775)</f>
        <v>7.8125E-2</v>
      </c>
      <c r="S776" s="28">
        <f>IF(OR(履歴データ!$A$776="",履歴データ!$A$775=""),"",(J776-J775)*100)</f>
        <v>0</v>
      </c>
      <c r="T776" s="11">
        <f>IF(OR(履歴データ!$A$776="",履歴データ!$A$775=""),"",-80000*K776)</f>
        <v>-79999.999999998297</v>
      </c>
      <c r="U776" s="11">
        <f>IF(OR(履歴データ!$A$776="",履歴データ!$A$775=""),"",60000*L776)</f>
        <v>200999.99999999785</v>
      </c>
      <c r="V776" s="11">
        <f>IF(OR(履歴データ!$A$776="",履歴データ!$A$775=""),"",-50000*M776)</f>
        <v>264999.99999999913</v>
      </c>
      <c r="W776" s="11">
        <f>IF(OR(履歴データ!$A$776="",履歴データ!$A$775=""),"",-40000*N776)</f>
        <v>-39999.999999998865</v>
      </c>
      <c r="X776" s="11">
        <f>IF(OR(履歴データ!$A$776="",履歴データ!$A$775=""),"",120*1000000*(-Q776/H775))</f>
        <v>-352081.88888832659</v>
      </c>
      <c r="Y776" s="11">
        <f>IF(OR(履歴データ!$A$776="",履歴データ!$A$775=""),"",40000*(-S776)+(-506.3)*R776*1000)</f>
        <v>-39554.6875</v>
      </c>
      <c r="Z776" s="11">
        <f>IF(OR(履歴データ!$A$776="",履歴データ!$A$775=""),"",-40000*O776)</f>
        <v>-139200.00000000073</v>
      </c>
      <c r="AA776" s="11">
        <f>IF(OR(履歴データ!$A$776="",履歴データ!$A$775=""),"",-40000*P776)</f>
        <v>-162487.14355468791</v>
      </c>
      <c r="AB776" s="11">
        <f>IF(履歴データ!$A$776="","",123.3)</f>
        <v>123.3</v>
      </c>
      <c r="AC776">
        <f>IF(履歴データ!$A$776="","",SUM(T776:AA776))</f>
        <v>-347323.71994301549</v>
      </c>
      <c r="AD776" s="29">
        <f>IF(履歴データ!$A$776="","",AC776/1000000)</f>
        <v>-0.34732371994301547</v>
      </c>
      <c r="AE776" s="29">
        <f>IF(履歴データ!$A$776="",AE775,AE775+AC776/1000000)</f>
        <v>69.681760704055591</v>
      </c>
      <c r="AF776" s="12">
        <f>IF(OR(履歴データ!$A$776="",AE775=0),"",(AE776-AE775)/AE775)</f>
        <v>-4.9597067104306461E-3</v>
      </c>
      <c r="AG776" s="29">
        <f t="shared" si="38"/>
        <v>102.17217746631495</v>
      </c>
      <c r="AH776" s="12">
        <f>IF(OR(履歴データ!$A$776="",AG776=0),"",AE776/AG776-1)</f>
        <v>-0.31799671464348589</v>
      </c>
      <c r="AJ776" s="28">
        <f t="shared" ca="1" si="36"/>
        <v>5.3846246087377656</v>
      </c>
      <c r="AK776" s="28">
        <f t="shared" ca="1" si="37"/>
        <v>-6.1108150849282419</v>
      </c>
    </row>
    <row r="777" spans="1:37">
      <c r="A777" s="10">
        <f>IF(履歴データ!$A$777="","",履歴データ!$A$777)</f>
        <v>46063</v>
      </c>
      <c r="B777" s="28">
        <f>IF(履歴データ!$A$777="","",(履歴データ!$D$777-(履歴データ!$B$777+履歴データ!$F$777)/2)*100)</f>
        <v>4.4999999999999929</v>
      </c>
      <c r="C777" s="28">
        <f>IF(履歴データ!$A$777="","",(履歴データ!$H$777-(履歴データ!$G$777+履歴データ!$J$777)/2)*100)</f>
        <v>-14.449999999999985</v>
      </c>
      <c r="D777" s="28">
        <f>IF(履歴データ!$A$777="","",(履歴データ!$D$777-履歴データ!$H$777)*100)</f>
        <v>191.9</v>
      </c>
      <c r="E777" s="28">
        <f>IF(履歴データ!$A$777="","",(履歴データ!$D$777-履歴データ!$C$777)*100)</f>
        <v>46</v>
      </c>
      <c r="F777" s="28">
        <f>IF(履歴データ!$A$777="","",(履歴データ!$R$777-履歴データ!$D$777)*100)</f>
        <v>-328.97</v>
      </c>
      <c r="G777" s="28">
        <f>IF(履歴データ!$A$777="","",(履歴データ!$S$777-履歴データ!$R$777)*100)</f>
        <v>145.07617858886701</v>
      </c>
      <c r="H777" s="29">
        <f>IF(履歴データ!$A$777="","",履歴データ!$O$777)</f>
        <v>156.13200378417969</v>
      </c>
      <c r="I777" s="29">
        <f>IF(履歴データ!$A$777="","",履歴データ!$Q$777)</f>
        <v>112.515625</v>
      </c>
      <c r="J777" s="29">
        <f>IF(履歴データ!$A$777="","",履歴データ!$D$777)</f>
        <v>4.16</v>
      </c>
      <c r="K777" s="28">
        <f>IF(OR(履歴データ!$A$777="",履歴データ!$A$776=""),"",B777-B776)</f>
        <v>-0.99999999999997868</v>
      </c>
      <c r="L777" s="28">
        <f>IF(OR(履歴データ!$A$777="",履歴データ!$A$776=""),"",C777-C776)</f>
        <v>-1.6999999999999904</v>
      </c>
      <c r="M777" s="28">
        <f>IF(OR(履歴データ!$A$777="",履歴データ!$A$776=""),"",D777-D776)</f>
        <v>-1.1999999999999602</v>
      </c>
      <c r="N777" s="28">
        <f>IF(OR(履歴データ!$A$777="",履歴データ!$A$776=""),"",E777-E776)</f>
        <v>-0.99999999999997158</v>
      </c>
      <c r="O777" s="28">
        <f>IF(OR(履歴データ!$A$777="",履歴データ!$A$776=""),"",F777-F776)</f>
        <v>1.1299999999999386</v>
      </c>
      <c r="P777" s="28">
        <f>IF(OR(履歴データ!$A$777="",履歴データ!$A$776=""),"",G777-G776)</f>
        <v>1.3619999999999379</v>
      </c>
      <c r="Q777" s="29">
        <f>IF(OR(履歴データ!$A$777="",履歴データ!$A$776=""),"",H777-H776)</f>
        <v>-1.11199951171875</v>
      </c>
      <c r="R777" s="29">
        <f>IF(OR(履歴データ!$A$777="",履歴データ!$A$776=""),"",I777-I776)</f>
        <v>0.328125</v>
      </c>
      <c r="S777" s="28">
        <f>IF(OR(履歴データ!$A$777="",履歴データ!$A$776=""),"",(J777-J776)*100)</f>
        <v>-5.9999999999999609</v>
      </c>
      <c r="T777" s="11">
        <f>IF(OR(履歴データ!$A$777="",履歴データ!$A$776=""),"",-80000*K777)</f>
        <v>79999.999999998297</v>
      </c>
      <c r="U777" s="11">
        <f>IF(OR(履歴データ!$A$777="",履歴データ!$A$776=""),"",60000*L777)</f>
        <v>-101999.99999999942</v>
      </c>
      <c r="V777" s="11">
        <f>IF(OR(履歴データ!$A$777="",履歴データ!$A$776=""),"",-50000*M777)</f>
        <v>59999.999999998014</v>
      </c>
      <c r="W777" s="11">
        <f>IF(OR(履歴データ!$A$777="",履歴データ!$A$776=""),"",-40000*N777)</f>
        <v>39999.999999998865</v>
      </c>
      <c r="X777" s="11">
        <f>IF(OR(履歴データ!$A$777="",履歴データ!$A$776=""),"",120*1000000*(-Q777/H776))</f>
        <v>848617.04490660632</v>
      </c>
      <c r="Y777" s="11">
        <f>IF(OR(履歴データ!$A$777="",履歴データ!$A$776=""),"",40000*(-S777)+(-506.3)*R777*1000)</f>
        <v>73870.312499998399</v>
      </c>
      <c r="Z777" s="11">
        <f>IF(OR(履歴データ!$A$777="",履歴データ!$A$776=""),"",-40000*O777)</f>
        <v>-45199.999999997541</v>
      </c>
      <c r="AA777" s="11">
        <f>IF(OR(履歴データ!$A$777="",履歴データ!$A$776=""),"",-40000*P777)</f>
        <v>-54479.999999997519</v>
      </c>
      <c r="AB777" s="11">
        <f>IF(履歴データ!$A$777="","",123.3)</f>
        <v>123.3</v>
      </c>
      <c r="AC777">
        <f>IF(履歴データ!$A$777="","",SUM(T777:AA777))</f>
        <v>900807.35740660527</v>
      </c>
      <c r="AD777" s="29">
        <f>IF(履歴データ!$A$777="","",AC777/1000000)</f>
        <v>0.90080735740660522</v>
      </c>
      <c r="AE777" s="29">
        <f>IF(履歴データ!$A$777="",AE776,AE776+AC777/1000000)</f>
        <v>70.582568061462197</v>
      </c>
      <c r="AF777" s="12">
        <f>IF(OR(履歴データ!$A$777="",AE776=0),"",(AE777-AE776)/AE776)</f>
        <v>1.2927448277784082E-2</v>
      </c>
      <c r="AG777" s="29">
        <f t="shared" si="38"/>
        <v>102.17217746631495</v>
      </c>
      <c r="AH777" s="12">
        <f>IF(OR(履歴データ!$A$777="",AG777=0),"",AE777/AG777-1)</f>
        <v>-0.30918015244676078</v>
      </c>
      <c r="AJ777" s="28">
        <f t="shared" ca="1" si="36"/>
        <v>5.4139212280457158</v>
      </c>
      <c r="AK777" s="28">
        <f t="shared" ca="1" si="37"/>
        <v>-6.1242386883631763</v>
      </c>
    </row>
    <row r="778" spans="1:37">
      <c r="A778" s="10">
        <f>IF(履歴データ!$A$778="","",履歴データ!$A$778)</f>
        <v>46064</v>
      </c>
      <c r="B778" s="28">
        <f>IF(履歴データ!$A$778="","",(履歴データ!$D$778-(履歴データ!$B$778+履歴データ!$F$778)/2)*100)</f>
        <v>0.99999999999997868</v>
      </c>
      <c r="C778" s="28">
        <f>IF(履歴データ!$A$778="","",(履歴データ!$H$778-(履歴データ!$G$778+履歴データ!$J$778)/2)*100)</f>
        <v>-14.449999999999985</v>
      </c>
      <c r="D778" s="28">
        <f>IF(履歴データ!$A$778="","",(履歴データ!$D$778-履歴データ!$H$778)*100)</f>
        <v>193.89999999999995</v>
      </c>
      <c r="E778" s="28">
        <f>IF(履歴データ!$A$778="","",(履歴データ!$D$778-履歴データ!$C$778)*100)</f>
        <v>42.999999999999972</v>
      </c>
      <c r="F778" s="28">
        <f>IF(履歴データ!$A$778="","",(履歴データ!$R$778-履歴データ!$D$778)*100)</f>
        <v>-335.65999999999997</v>
      </c>
      <c r="G778" s="28">
        <f>IF(履歴データ!$A$778="","",(履歴データ!$S$778-履歴データ!$R$778)*100)</f>
        <v>149.76617858886701</v>
      </c>
      <c r="H778" s="29">
        <f>IF(履歴データ!$A$778="","",履歴データ!$O$778)</f>
        <v>154.48199462890625</v>
      </c>
      <c r="I778" s="29">
        <f>IF(履歴データ!$A$778="","",履歴データ!$Q$778)</f>
        <v>112.28125</v>
      </c>
      <c r="J778" s="29">
        <f>IF(履歴データ!$A$778="","",履歴データ!$D$778)</f>
        <v>4.18</v>
      </c>
      <c r="K778" s="28">
        <f>IF(OR(履歴データ!$A$778="",履歴データ!$A$777=""),"",B778-B777)</f>
        <v>-3.5000000000000142</v>
      </c>
      <c r="L778" s="28">
        <f>IF(OR(履歴データ!$A$778="",履歴データ!$A$777=""),"",C778-C777)</f>
        <v>0</v>
      </c>
      <c r="M778" s="28">
        <f>IF(OR(履歴データ!$A$778="",履歴データ!$A$777=""),"",D778-D777)</f>
        <v>1.9999999999999432</v>
      </c>
      <c r="N778" s="28">
        <f>IF(OR(履歴データ!$A$778="",履歴データ!$A$777=""),"",E778-E777)</f>
        <v>-3.0000000000000284</v>
      </c>
      <c r="O778" s="28">
        <f>IF(OR(履歴データ!$A$778="",履歴データ!$A$777=""),"",F778-F777)</f>
        <v>-6.6899999999999409</v>
      </c>
      <c r="P778" s="28">
        <f>IF(OR(履歴データ!$A$778="",履歴データ!$A$777=""),"",G778-G777)</f>
        <v>4.6899999999999977</v>
      </c>
      <c r="Q778" s="29">
        <f>IF(OR(履歴データ!$A$778="",履歴データ!$A$777=""),"",H778-H777)</f>
        <v>-1.6500091552734375</v>
      </c>
      <c r="R778" s="29">
        <f>IF(OR(履歴データ!$A$778="",履歴データ!$A$777=""),"",I778-I777)</f>
        <v>-0.234375</v>
      </c>
      <c r="S778" s="28">
        <f>IF(OR(履歴データ!$A$778="",履歴データ!$A$777=""),"",(J778-J777)*100)</f>
        <v>1.9999999999999574</v>
      </c>
      <c r="T778" s="11">
        <f>IF(OR(履歴データ!$A$778="",履歴データ!$A$777=""),"",-80000*K778)</f>
        <v>280000.00000000116</v>
      </c>
      <c r="U778" s="11">
        <f>IF(OR(履歴データ!$A$778="",履歴データ!$A$777=""),"",60000*L778)</f>
        <v>0</v>
      </c>
      <c r="V778" s="11">
        <f>IF(OR(履歴データ!$A$778="",履歴データ!$A$777=""),"",-50000*M778)</f>
        <v>-99999.999999997162</v>
      </c>
      <c r="W778" s="11">
        <f>IF(OR(履歴データ!$A$778="",履歴データ!$A$777=""),"",-40000*N778)</f>
        <v>120000.00000000114</v>
      </c>
      <c r="X778" s="11">
        <f>IF(OR(履歴データ!$A$778="",履歴データ!$A$777=""),"",120*1000000*(-Q778/H777))</f>
        <v>1268164.7185320712</v>
      </c>
      <c r="Y778" s="11">
        <f>IF(OR(履歴データ!$A$778="",履歴データ!$A$777=""),"",40000*(-S778)+(-506.3)*R778*1000)</f>
        <v>38664.062500001703</v>
      </c>
      <c r="Z778" s="11">
        <f>IF(OR(履歴データ!$A$778="",履歴データ!$A$777=""),"",-40000*O778)</f>
        <v>267599.99999999761</v>
      </c>
      <c r="AA778" s="11">
        <f>IF(OR(履歴データ!$A$778="",履歴データ!$A$777=""),"",-40000*P778)</f>
        <v>-187599.99999999991</v>
      </c>
      <c r="AB778" s="11">
        <f>IF(履歴データ!$A$778="","",123.3)</f>
        <v>123.3</v>
      </c>
      <c r="AC778">
        <f>IF(履歴データ!$A$778="","",SUM(T778:AA778))</f>
        <v>1686828.7810320756</v>
      </c>
      <c r="AD778" s="29">
        <f>IF(履歴データ!$A$778="","",AC778/1000000)</f>
        <v>1.6868287810320757</v>
      </c>
      <c r="AE778" s="29">
        <f>IF(履歴データ!$A$778="",AE777,AE777+AC778/1000000)</f>
        <v>72.269396842494274</v>
      </c>
      <c r="AF778" s="12">
        <f>IF(OR(履歴データ!$A$778="",AE777=0),"",(AE778-AE777)/AE777)</f>
        <v>2.3898659787544317E-2</v>
      </c>
      <c r="AG778" s="29">
        <f t="shared" si="38"/>
        <v>102.17217746631495</v>
      </c>
      <c r="AH778" s="12">
        <f>IF(OR(履歴データ!$A$778="",AG778=0),"",AE778/AG778-1)</f>
        <v>-0.29267048393560269</v>
      </c>
      <c r="AJ778" s="28">
        <f t="shared" ca="1" si="36"/>
        <v>5.4048206006402886</v>
      </c>
      <c r="AK778" s="28">
        <f t="shared" ca="1" si="37"/>
        <v>-6.1230745688942587</v>
      </c>
    </row>
    <row r="779" spans="1:37">
      <c r="A779" s="10">
        <f>IF(履歴データ!$A$779="","",履歴データ!$A$779)</f>
        <v>46065</v>
      </c>
      <c r="B779" s="28">
        <f>IF(履歴データ!$A$779="","",(履歴データ!$D$779-(履歴データ!$B$779+履歴データ!$F$779)/2)*100)</f>
        <v>-0.49999999999998934</v>
      </c>
      <c r="C779" s="28">
        <f>IF(履歴データ!$A$779="","",(履歴データ!$H$779-(履歴データ!$G$779+履歴データ!$J$779)/2)*100)</f>
        <v>-12.1</v>
      </c>
      <c r="D779" s="28">
        <f>IF(履歴データ!$A$779="","",(履歴データ!$D$779-履歴データ!$H$779)*100)</f>
        <v>185.2</v>
      </c>
      <c r="E779" s="28">
        <f>IF(履歴データ!$A$779="","",(履歴データ!$D$779-履歴データ!$C$779)*100)</f>
        <v>41.999999999999993</v>
      </c>
      <c r="F779" s="28">
        <f>IF(履歴データ!$A$779="","",(履歴データ!$R$779-履歴データ!$D$779)*100)</f>
        <v>-326.08</v>
      </c>
      <c r="G779" s="28">
        <f>IF(履歴データ!$A$779="","",(履歴データ!$S$779-履歴データ!$R$779)*100)</f>
        <v>144.80117858886706</v>
      </c>
      <c r="H779" s="29">
        <f>IF(履歴データ!$A$779="","",履歴データ!$O$779)</f>
        <v>153.26899719238281</v>
      </c>
      <c r="I779" s="29">
        <f>IF(履歴データ!$A$779="","",履歴データ!$Q$779)</f>
        <v>112.796875</v>
      </c>
      <c r="J779" s="29">
        <f>IF(履歴データ!$A$779="","",履歴データ!$D$779)</f>
        <v>4.09</v>
      </c>
      <c r="K779" s="28">
        <f>IF(OR(履歴データ!$A$779="",履歴データ!$A$778=""),"",B779-B778)</f>
        <v>-1.499999999999968</v>
      </c>
      <c r="L779" s="28">
        <f>IF(OR(履歴データ!$A$779="",履歴データ!$A$778=""),"",C779-C778)</f>
        <v>2.3499999999999854</v>
      </c>
      <c r="M779" s="28">
        <f>IF(OR(履歴データ!$A$779="",履歴データ!$A$778=""),"",D779-D778)</f>
        <v>-8.6999999999999602</v>
      </c>
      <c r="N779" s="28">
        <f>IF(OR(履歴データ!$A$779="",履歴データ!$A$778=""),"",E779-E778)</f>
        <v>-0.99999999999997868</v>
      </c>
      <c r="O779" s="28">
        <f>IF(OR(履歴データ!$A$779="",履歴データ!$A$778=""),"",F779-F778)</f>
        <v>9.5799999999999841</v>
      </c>
      <c r="P779" s="28">
        <f>IF(OR(履歴データ!$A$779="",履歴データ!$A$778=""),"",G779-G778)</f>
        <v>-4.9649999999999466</v>
      </c>
      <c r="Q779" s="29">
        <f>IF(OR(履歴データ!$A$779="",履歴データ!$A$778=""),"",H779-H778)</f>
        <v>-1.2129974365234375</v>
      </c>
      <c r="R779" s="29">
        <f>IF(OR(履歴データ!$A$779="",履歴データ!$A$778=""),"",I779-I778)</f>
        <v>0.515625</v>
      </c>
      <c r="S779" s="28">
        <f>IF(OR(履歴データ!$A$779="",履歴データ!$A$778=""),"",(J779-J778)*100)</f>
        <v>-8.9999999999999858</v>
      </c>
      <c r="T779" s="11">
        <f>IF(OR(履歴データ!$A$779="",履歴データ!$A$778=""),"",-80000*K779)</f>
        <v>119999.99999999744</v>
      </c>
      <c r="U779" s="11">
        <f>IF(OR(履歴データ!$A$779="",履歴データ!$A$778=""),"",60000*L779)</f>
        <v>140999.99999999913</v>
      </c>
      <c r="V779" s="11">
        <f>IF(OR(履歴データ!$A$779="",履歴データ!$A$778=""),"",-50000*M779)</f>
        <v>434999.99999999802</v>
      </c>
      <c r="W779" s="11">
        <f>IF(OR(履歴データ!$A$779="",履歴データ!$A$778=""),"",-40000*N779)</f>
        <v>39999.999999999149</v>
      </c>
      <c r="X779" s="11">
        <f>IF(OR(履歴データ!$A$779="",履歴データ!$A$778=""),"",120*1000000*(-Q779/H778))</f>
        <v>942243.74000655068</v>
      </c>
      <c r="Y779" s="11">
        <f>IF(OR(履歴データ!$A$779="",履歴データ!$A$778=""),"",40000*(-S779)+(-506.3)*R779*1000)</f>
        <v>98939.062499999389</v>
      </c>
      <c r="Z779" s="11">
        <f>IF(OR(履歴データ!$A$779="",履歴データ!$A$778=""),"",-40000*O779)</f>
        <v>-383199.99999999936</v>
      </c>
      <c r="AA779" s="11">
        <f>IF(OR(履歴データ!$A$779="",履歴データ!$A$778=""),"",-40000*P779)</f>
        <v>198599.99999999788</v>
      </c>
      <c r="AB779" s="11">
        <f>IF(履歴データ!$A$779="","",123.3)</f>
        <v>123.3</v>
      </c>
      <c r="AC779">
        <f>IF(履歴データ!$A$779="","",SUM(T779:AA779))</f>
        <v>1592582.8025065425</v>
      </c>
      <c r="AD779" s="29">
        <f>IF(履歴データ!$A$779="","",AC779/1000000)</f>
        <v>1.5925828025065425</v>
      </c>
      <c r="AE779" s="29">
        <f>IF(履歴データ!$A$779="",AE778,AE778+AC779/1000000)</f>
        <v>73.861979645000815</v>
      </c>
      <c r="AF779" s="12">
        <f>IF(OR(履歴データ!$A$779="",AE778=0),"",(AE779-AE778)/AE778)</f>
        <v>2.203675237497078E-2</v>
      </c>
      <c r="AG779" s="29">
        <f t="shared" si="38"/>
        <v>102.17217746631495</v>
      </c>
      <c r="AH779" s="12">
        <f>IF(OR(履歴データ!$A$779="",AG779=0),"",AE779/AG779-1)</f>
        <v>-0.27708323854258365</v>
      </c>
      <c r="AJ779" s="28">
        <f t="shared" ca="1" si="36"/>
        <v>5.4026842421889567</v>
      </c>
      <c r="AK779" s="28">
        <f t="shared" ca="1" si="37"/>
        <v>-6.1249064644111799</v>
      </c>
    </row>
    <row r="780" spans="1:37">
      <c r="A780" s="10">
        <f>IF(履歴データ!$A$780="","",履歴データ!$A$780)</f>
        <v>46066</v>
      </c>
      <c r="B780" s="28">
        <f>IF(履歴データ!$A$780="","",(履歴データ!$D$780-(履歴データ!$B$780+履歴データ!$F$780)/2)*100)</f>
        <v>-0.49999999999998934</v>
      </c>
      <c r="C780" s="28">
        <f>IF(履歴データ!$A$780="","",(履歴データ!$H$780-(履歴データ!$G$780+履歴データ!$J$780)/2)*100)</f>
        <v>-13.750000000000018</v>
      </c>
      <c r="D780" s="28">
        <f>IF(履歴データ!$A$780="","",(履歴データ!$D$780-履歴データ!$H$780)*100)</f>
        <v>182.20000000000002</v>
      </c>
      <c r="E780" s="28">
        <f>IF(履歴データ!$A$780="","",(履歴データ!$D$780-履歴データ!$C$780)*100)</f>
        <v>43.000000000000014</v>
      </c>
      <c r="F780" s="28">
        <f>IF(履歴データ!$A$780="","",(履歴データ!$R$780-履歴データ!$D$780)*100)</f>
        <v>-324.75</v>
      </c>
      <c r="G780" s="28">
        <f>IF(履歴データ!$A$780="","",(履歴データ!$S$780-履歴データ!$R$780)*100)</f>
        <v>146.36635717773427</v>
      </c>
      <c r="H780" s="29">
        <f>IF(履歴データ!$A$780="","",履歴データ!$O$780)</f>
        <v>152.82099914550781</v>
      </c>
      <c r="I780" s="29">
        <f>IF(履歴データ!$A$780="","",履歴データ!$Q$780)</f>
        <v>113.171875</v>
      </c>
      <c r="J780" s="29">
        <f>IF(履歴データ!$A$780="","",履歴データ!$D$780)</f>
        <v>4.04</v>
      </c>
      <c r="K780" s="28">
        <f>IF(OR(履歴データ!$A$780="",履歴データ!$A$779=""),"",B780-B779)</f>
        <v>0</v>
      </c>
      <c r="L780" s="28">
        <f>IF(OR(履歴データ!$A$780="",履歴データ!$A$779=""),"",C780-C779)</f>
        <v>-1.6500000000000181</v>
      </c>
      <c r="M780" s="28">
        <f>IF(OR(履歴データ!$A$780="",履歴データ!$A$779=""),"",D780-D779)</f>
        <v>-2.9999999999999716</v>
      </c>
      <c r="N780" s="28">
        <f>IF(OR(履歴データ!$A$780="",履歴データ!$A$779=""),"",E780-E779)</f>
        <v>1.0000000000000213</v>
      </c>
      <c r="O780" s="28">
        <f>IF(OR(履歴データ!$A$780="",履歴データ!$A$779=""),"",F780-F779)</f>
        <v>1.3299999999999841</v>
      </c>
      <c r="P780" s="28">
        <f>IF(OR(履歴データ!$A$780="",履歴データ!$A$779=""),"",G780-G779)</f>
        <v>1.5651785888672123</v>
      </c>
      <c r="Q780" s="29">
        <f>IF(OR(履歴データ!$A$780="",履歴データ!$A$779=""),"",H780-H779)</f>
        <v>-0.447998046875</v>
      </c>
      <c r="R780" s="29">
        <f>IF(OR(履歴データ!$A$780="",履歴データ!$A$779=""),"",I780-I779)</f>
        <v>0.375</v>
      </c>
      <c r="S780" s="28">
        <f>IF(OR(履歴データ!$A$780="",履歴データ!$A$779=""),"",(J780-J779)*100)</f>
        <v>-4.9999999999999822</v>
      </c>
      <c r="T780" s="11">
        <f>IF(OR(履歴データ!$A$780="",履歴データ!$A$779=""),"",-80000*K780)</f>
        <v>0</v>
      </c>
      <c r="U780" s="11">
        <f>IF(OR(履歴データ!$A$780="",履歴データ!$A$779=""),"",60000*L780)</f>
        <v>-99000.000000001091</v>
      </c>
      <c r="V780" s="11">
        <f>IF(OR(履歴データ!$A$780="",履歴データ!$A$779=""),"",-50000*M780)</f>
        <v>149999.99999999857</v>
      </c>
      <c r="W780" s="11">
        <f>IF(OR(履歴データ!$A$780="",履歴データ!$A$779=""),"",-40000*N780)</f>
        <v>-40000.000000000851</v>
      </c>
      <c r="X780" s="11">
        <f>IF(OR(履歴データ!$A$780="",履歴データ!$A$779=""),"",120*1000000*(-Q780/H779))</f>
        <v>350754.33786208497</v>
      </c>
      <c r="Y780" s="11">
        <f>IF(OR(履歴データ!$A$780="",履歴データ!$A$779=""),"",40000*(-S780)+(-506.3)*R780*1000)</f>
        <v>10137.499999999302</v>
      </c>
      <c r="Z780" s="11">
        <f>IF(OR(履歴データ!$A$780="",履歴データ!$A$779=""),"",-40000*O780)</f>
        <v>-53199.99999999936</v>
      </c>
      <c r="AA780" s="11">
        <f>IF(OR(履歴データ!$A$780="",履歴データ!$A$779=""),"",-40000*P780)</f>
        <v>-62607.14355468849</v>
      </c>
      <c r="AB780" s="11">
        <f>IF(履歴データ!$A$780="","",123.3)</f>
        <v>123.3</v>
      </c>
      <c r="AC780">
        <f>IF(履歴データ!$A$780="","",SUM(T780:AA780))</f>
        <v>256084.69430739305</v>
      </c>
      <c r="AD780" s="29">
        <f>IF(履歴データ!$A$780="","",AC780/1000000)</f>
        <v>0.25608469430739306</v>
      </c>
      <c r="AE780" s="29">
        <f>IF(履歴データ!$A$780="",AE779,AE779+AC780/1000000)</f>
        <v>74.118064339308205</v>
      </c>
      <c r="AF780" s="12">
        <f>IF(OR(履歴データ!$A$780="",AE779=0),"",(AE780-AE779)/AE779)</f>
        <v>3.4670705488560826E-3</v>
      </c>
      <c r="AG780" s="29">
        <f t="shared" si="38"/>
        <v>102.17217746631495</v>
      </c>
      <c r="AH780" s="12">
        <f>IF(OR(履歴データ!$A$780="",AG780=0),"",AE780/AG780-1)</f>
        <v>-0.27457683512966025</v>
      </c>
      <c r="AJ780" s="28">
        <f t="shared" ca="1" si="36"/>
        <v>5.3899620504497179</v>
      </c>
      <c r="AK780" s="28">
        <f t="shared" ca="1" si="37"/>
        <v>-6.1280572885449569</v>
      </c>
    </row>
    <row r="781" spans="1:37">
      <c r="A781" s="10">
        <f>IF(履歴データ!$A$781="","",履歴データ!$A$781)</f>
        <v>46070</v>
      </c>
      <c r="B781" s="28">
        <f>IF(履歴データ!$A$781="","",(履歴データ!$D$781-(履歴データ!$B$781+履歴データ!$F$781)/2)*100)</f>
        <v>-0.49999999999998934</v>
      </c>
      <c r="C781" s="28">
        <f>IF(履歴データ!$A$781="","",(履歴データ!$H$781-(履歴データ!$G$781+履歴データ!$J$781)/2)*100)</f>
        <v>-16.450000000000031</v>
      </c>
      <c r="D781" s="28">
        <f>IF(履歴データ!$A$781="","",(履歴データ!$D$781-履歴データ!$H$781)*100)</f>
        <v>190.7</v>
      </c>
      <c r="E781" s="28">
        <f>IF(履歴データ!$A$781="","",(履歴データ!$D$781-履歴データ!$C$781)*100)</f>
        <v>41.999999999999993</v>
      </c>
      <c r="F781" s="28">
        <f>IF(履歴データ!$A$781="","",(履歴データ!$R$781-履歴データ!$D$781)*100)</f>
        <v>-327.08</v>
      </c>
      <c r="G781" s="28">
        <f>IF(履歴データ!$A$781="","",(履歴データ!$S$781-履歴データ!$R$781)*100)</f>
        <v>138.22482141113261</v>
      </c>
      <c r="H781" s="29">
        <f>IF(履歴データ!$A$781="","",履歴データ!$O$781)</f>
        <v>153.60899353027344</v>
      </c>
      <c r="I781" s="29">
        <f>IF(履歴データ!$A$781="","",履歴データ!$Q$781)</f>
        <v>113.125</v>
      </c>
      <c r="J781" s="29">
        <f>IF(履歴データ!$A$781="","",履歴データ!$D$781)</f>
        <v>4.05</v>
      </c>
      <c r="K781" s="28">
        <f>IF(OR(履歴データ!$A$781="",履歴データ!$A$780=""),"",B781-B780)</f>
        <v>0</v>
      </c>
      <c r="L781" s="28">
        <f>IF(OR(履歴データ!$A$781="",履歴データ!$A$780=""),"",C781-C780)</f>
        <v>-2.7000000000000135</v>
      </c>
      <c r="M781" s="28">
        <f>IF(OR(履歴データ!$A$781="",履歴データ!$A$780=""),"",D781-D780)</f>
        <v>8.4999999999999716</v>
      </c>
      <c r="N781" s="28">
        <f>IF(OR(履歴データ!$A$781="",履歴データ!$A$780=""),"",E781-E780)</f>
        <v>-1.0000000000000213</v>
      </c>
      <c r="O781" s="28">
        <f>IF(OR(履歴データ!$A$781="",履歴データ!$A$780=""),"",F781-F780)</f>
        <v>-2.3299999999999841</v>
      </c>
      <c r="P781" s="28">
        <f>IF(OR(履歴データ!$A$781="",履歴データ!$A$780=""),"",G781-G780)</f>
        <v>-8.1415357666016632</v>
      </c>
      <c r="Q781" s="29">
        <f>IF(OR(履歴データ!$A$781="",履歴データ!$A$780=""),"",H781-H780)</f>
        <v>0.787994384765625</v>
      </c>
      <c r="R781" s="29">
        <f>IF(OR(履歴データ!$A$781="",履歴データ!$A$780=""),"",I781-I780)</f>
        <v>-4.6875E-2</v>
      </c>
      <c r="S781" s="28">
        <f>IF(OR(履歴データ!$A$781="",履歴データ!$A$780=""),"",(J781-J780)*100)</f>
        <v>0.99999999999997868</v>
      </c>
      <c r="T781" s="11">
        <f>IF(OR(履歴データ!$A$781="",履歴データ!$A$780=""),"",-80000*K781)</f>
        <v>0</v>
      </c>
      <c r="U781" s="11">
        <f>IF(OR(履歴データ!$A$781="",履歴データ!$A$780=""),"",60000*L781)</f>
        <v>-162000.00000000081</v>
      </c>
      <c r="V781" s="11">
        <f>IF(OR(履歴データ!$A$781="",履歴データ!$A$780=""),"",-50000*M781)</f>
        <v>-424999.9999999986</v>
      </c>
      <c r="W781" s="11">
        <f>IF(OR(履歴データ!$A$781="",履歴データ!$A$780=""),"",-40000*N781)</f>
        <v>40000.000000000851</v>
      </c>
      <c r="X781" s="11">
        <f>IF(OR(履歴データ!$A$781="",履歴データ!$A$780=""),"",120*1000000*(-Q781/H780))</f>
        <v>-618758.72229994228</v>
      </c>
      <c r="Y781" s="11">
        <f>IF(OR(履歴データ!$A$781="",履歴データ!$A$780=""),"",40000*(-S781)+(-506.3)*R781*1000)</f>
        <v>-16267.187499999149</v>
      </c>
      <c r="Z781" s="11">
        <f>IF(OR(履歴データ!$A$781="",履歴データ!$A$780=""),"",-40000*O781)</f>
        <v>93199.99999999936</v>
      </c>
      <c r="AA781" s="11">
        <f>IF(OR(履歴データ!$A$781="",履歴データ!$A$780=""),"",-40000*P781)</f>
        <v>325661.43066406652</v>
      </c>
      <c r="AB781" s="11">
        <f>IF(履歴データ!$A$781="","",123.3)</f>
        <v>123.3</v>
      </c>
      <c r="AC781">
        <f>IF(履歴データ!$A$781="","",SUM(T781:AA781))</f>
        <v>-763164.47913587419</v>
      </c>
      <c r="AD781" s="29">
        <f>IF(履歴データ!$A$781="","",AC781/1000000)</f>
        <v>-0.76316447913587415</v>
      </c>
      <c r="AE781" s="29">
        <f>IF(履歴データ!$A$781="",AE780,AE780+AC781/1000000)</f>
        <v>73.354899860172324</v>
      </c>
      <c r="AF781" s="12">
        <f>IF(OR(履歴データ!$A$781="",AE780=0),"",(AE781-AE780)/AE780)</f>
        <v>-1.0296605637758673E-2</v>
      </c>
      <c r="AG781" s="29">
        <f t="shared" si="38"/>
        <v>102.17217746631495</v>
      </c>
      <c r="AH781" s="12">
        <f>IF(OR(履歴データ!$A$781="",AG781=0),"",AE781/AG781-1)</f>
        <v>-0.2820462313788249</v>
      </c>
      <c r="AJ781" s="28">
        <f t="shared" ca="1" si="36"/>
        <v>5.372260309389727</v>
      </c>
      <c r="AK781" s="28">
        <f t="shared" ca="1" si="37"/>
        <v>-6.1301968173262349</v>
      </c>
    </row>
    <row r="782" spans="1:37">
      <c r="A782" s="10">
        <f>IF(履歴データ!$A$782="","",履歴データ!$A$782)</f>
        <v>46071</v>
      </c>
      <c r="B782" s="28">
        <f>IF(履歴データ!$A$782="","",(履歴データ!$D$782-(履歴データ!$B$782+履歴データ!$F$782)/2)*100)</f>
        <v>0</v>
      </c>
      <c r="C782" s="28">
        <f>IF(履歴データ!$A$782="","",(履歴データ!$H$782-(履歴データ!$G$782+履歴データ!$J$782)/2)*100)</f>
        <v>-15.449999999999964</v>
      </c>
      <c r="D782" s="28">
        <f>IF(履歴データ!$A$782="","",(履歴データ!$D$782-履歴データ!$H$782)*100)</f>
        <v>193.79999999999998</v>
      </c>
      <c r="E782" s="28">
        <f>IF(履歴データ!$A$782="","",(履歴データ!$D$782-履歴データ!$C$782)*100)</f>
        <v>42.999999999999972</v>
      </c>
      <c r="F782" s="28">
        <f>IF(履歴データ!$A$782="","",(履歴データ!$R$782-履歴データ!$D$782)*100)</f>
        <v>-338.72999999999996</v>
      </c>
      <c r="G782" s="28">
        <f>IF(履歴データ!$A$782="","",(履歴データ!$S$782-履歴データ!$R$782)*100)</f>
        <v>150.08435717773415</v>
      </c>
      <c r="H782" s="29">
        <f>IF(履歴データ!$A$782="","",履歴データ!$O$782)</f>
        <v>153.14900207519531</v>
      </c>
      <c r="I782" s="29">
        <f>IF(履歴データ!$A$782="","",履歴データ!$Q$782)</f>
        <v>112.953125</v>
      </c>
      <c r="J782" s="29">
        <f>IF(履歴データ!$A$782="","",履歴データ!$D$782)</f>
        <v>4.09</v>
      </c>
      <c r="K782" s="28">
        <f>IF(OR(履歴データ!$A$782="",履歴データ!$A$781=""),"",B782-B781)</f>
        <v>0.49999999999998934</v>
      </c>
      <c r="L782" s="28">
        <f>IF(OR(履歴データ!$A$782="",履歴データ!$A$781=""),"",C782-C781)</f>
        <v>1.0000000000000675</v>
      </c>
      <c r="M782" s="28">
        <f>IF(OR(履歴データ!$A$782="",履歴データ!$A$781=""),"",D782-D781)</f>
        <v>3.0999999999999943</v>
      </c>
      <c r="N782" s="28">
        <f>IF(OR(履歴データ!$A$782="",履歴データ!$A$781=""),"",E782-E781)</f>
        <v>0.99999999999997868</v>
      </c>
      <c r="O782" s="28">
        <f>IF(OR(履歴データ!$A$782="",履歴データ!$A$781=""),"",F782-F781)</f>
        <v>-11.649999999999977</v>
      </c>
      <c r="P782" s="28">
        <f>IF(OR(履歴データ!$A$782="",履歴データ!$A$781=""),"",G782-G781)</f>
        <v>11.859535766601539</v>
      </c>
      <c r="Q782" s="29">
        <f>IF(OR(履歴データ!$A$782="",履歴データ!$A$781=""),"",H782-H781)</f>
        <v>-0.459991455078125</v>
      </c>
      <c r="R782" s="29">
        <f>IF(OR(履歴データ!$A$782="",履歴データ!$A$781=""),"",I782-I781)</f>
        <v>-0.171875</v>
      </c>
      <c r="S782" s="28">
        <f>IF(OR(履歴データ!$A$782="",履歴データ!$A$781=""),"",(J782-J781)*100)</f>
        <v>4.0000000000000036</v>
      </c>
      <c r="T782" s="11">
        <f>IF(OR(履歴データ!$A$782="",履歴データ!$A$781=""),"",-80000*K782)</f>
        <v>-39999.999999999149</v>
      </c>
      <c r="U782" s="11">
        <f>IF(OR(履歴データ!$A$782="",履歴データ!$A$781=""),"",60000*L782)</f>
        <v>60000.000000004053</v>
      </c>
      <c r="V782" s="11">
        <f>IF(OR(履歴データ!$A$782="",履歴データ!$A$781=""),"",-50000*M782)</f>
        <v>-154999.99999999971</v>
      </c>
      <c r="W782" s="11">
        <f>IF(OR(履歴データ!$A$782="",履歴データ!$A$781=""),"",-40000*N782)</f>
        <v>-39999.999999999149</v>
      </c>
      <c r="X782" s="11">
        <f>IF(OR(履歴データ!$A$782="",履歴データ!$A$781=""),"",120*1000000*(-Q782/H781))</f>
        <v>359347.28391079733</v>
      </c>
      <c r="Y782" s="11">
        <f>IF(OR(履歴データ!$A$782="",履歴データ!$A$781=""),"",40000*(-S782)+(-506.3)*R782*1000)</f>
        <v>-72979.687500000146</v>
      </c>
      <c r="Z782" s="11">
        <f>IF(OR(履歴データ!$A$782="",履歴データ!$A$781=""),"",-40000*O782)</f>
        <v>465999.99999999907</v>
      </c>
      <c r="AA782" s="11">
        <f>IF(OR(履歴データ!$A$782="",履歴データ!$A$781=""),"",-40000*P782)</f>
        <v>-474381.43066406157</v>
      </c>
      <c r="AB782" s="11">
        <f>IF(履歴データ!$A$782="","",123.3)</f>
        <v>123.3</v>
      </c>
      <c r="AC782">
        <f>IF(履歴データ!$A$782="","",SUM(T782:AA782))</f>
        <v>102986.16574674076</v>
      </c>
      <c r="AD782" s="29">
        <f>IF(履歴データ!$A$782="","",AC782/1000000)</f>
        <v>0.10298616574674076</v>
      </c>
      <c r="AE782" s="29">
        <f>IF(履歴データ!$A$782="",AE781,AE781+AC782/1000000)</f>
        <v>73.457886025919066</v>
      </c>
      <c r="AF782" s="12">
        <f>IF(OR(履歴データ!$A$782="",AE781=0),"",(AE782-AE781)/AE781)</f>
        <v>1.4039439211702605E-3</v>
      </c>
      <c r="AG782" s="29">
        <f t="shared" si="38"/>
        <v>102.17217746631495</v>
      </c>
      <c r="AH782" s="12">
        <f>IF(OR(履歴データ!$A$782="",AG782=0),"",AE782/AG782-1)</f>
        <v>-0.28103826454968794</v>
      </c>
      <c r="AJ782" s="28">
        <f t="shared" ca="1" si="36"/>
        <v>5.35100975797911</v>
      </c>
      <c r="AK782" s="28">
        <f t="shared" ca="1" si="37"/>
        <v>-6.1287875357568886</v>
      </c>
    </row>
    <row r="783" spans="1:37">
      <c r="A783" s="10">
        <f>IF(履歴データ!$A$783="","",履歴データ!$A$783)</f>
        <v>46072</v>
      </c>
      <c r="B783" s="28">
        <f>IF(履歴データ!$A$783="","",(履歴データ!$D$783-(履歴データ!$B$783+履歴データ!$F$783)/2)*100)</f>
        <v>-0.49999999999998934</v>
      </c>
      <c r="C783" s="28">
        <f>IF(履歴データ!$A$783="","",(履歴データ!$H$783-(履歴データ!$G$783+履歴データ!$J$783)/2)*100)</f>
        <v>-14.549999999999974</v>
      </c>
      <c r="D783" s="28">
        <f>IF(履歴データ!$A$783="","",(履歴データ!$D$783-履歴データ!$H$783)*100)</f>
        <v>192.3</v>
      </c>
      <c r="E783" s="28">
        <f>IF(履歴データ!$A$783="","",(履歴データ!$D$783-履歴データ!$C$783)*100)</f>
        <v>43.000000000000014</v>
      </c>
      <c r="F783" s="28">
        <f>IF(履歴データ!$A$783="","",(履歴データ!$R$783-履歴データ!$D$783)*100)</f>
        <v>-334.59000000000003</v>
      </c>
      <c r="G783" s="28">
        <f>IF(履歴データ!$A$783="","",(履歴データ!$S$783-履歴データ!$R$783)*100)</f>
        <v>146.06735717773432</v>
      </c>
      <c r="H783" s="29">
        <f>IF(履歴データ!$A$783="","",履歴データ!$O$783)</f>
        <v>154.6929931640625</v>
      </c>
      <c r="I783" s="29">
        <f>IF(履歴データ!$A$783="","",履歴データ!$Q$783)</f>
        <v>112.96875</v>
      </c>
      <c r="J783" s="29">
        <f>IF(履歴データ!$A$783="","",履歴データ!$D$783)</f>
        <v>4.08</v>
      </c>
      <c r="K783" s="28">
        <f>IF(OR(履歴データ!$A$783="",履歴データ!$A$782=""),"",B783-B782)</f>
        <v>-0.49999999999998934</v>
      </c>
      <c r="L783" s="28">
        <f>IF(OR(履歴データ!$A$783="",履歴データ!$A$782=""),"",C783-C782)</f>
        <v>0.8999999999999897</v>
      </c>
      <c r="M783" s="28">
        <f>IF(OR(履歴データ!$A$783="",履歴データ!$A$782=""),"",D783-D782)</f>
        <v>-1.4999999999999716</v>
      </c>
      <c r="N783" s="28">
        <f>IF(OR(履歴データ!$A$783="",履歴データ!$A$782=""),"",E783-E782)</f>
        <v>4.2632564145606011E-14</v>
      </c>
      <c r="O783" s="28">
        <f>IF(OR(履歴データ!$A$783="",履歴データ!$A$782=""),"",F783-F782)</f>
        <v>4.1399999999999295</v>
      </c>
      <c r="P783" s="28">
        <f>IF(OR(履歴データ!$A$783="",履歴データ!$A$782=""),"",G783-G782)</f>
        <v>-4.0169999999998254</v>
      </c>
      <c r="Q783" s="29">
        <f>IF(OR(履歴データ!$A$783="",履歴データ!$A$782=""),"",H783-H782)</f>
        <v>1.5439910888671875</v>
      </c>
      <c r="R783" s="29">
        <f>IF(OR(履歴データ!$A$783="",履歴データ!$A$782=""),"",I783-I782)</f>
        <v>1.5625E-2</v>
      </c>
      <c r="S783" s="28">
        <f>IF(OR(履歴データ!$A$783="",履歴データ!$A$782=""),"",(J783-J782)*100)</f>
        <v>-0.99999999999997868</v>
      </c>
      <c r="T783" s="11">
        <f>IF(OR(履歴データ!$A$783="",履歴データ!$A$782=""),"",-80000*K783)</f>
        <v>39999.999999999149</v>
      </c>
      <c r="U783" s="11">
        <f>IF(OR(履歴データ!$A$783="",履歴データ!$A$782=""),"",60000*L783)</f>
        <v>53999.999999999382</v>
      </c>
      <c r="V783" s="11">
        <f>IF(OR(履歴データ!$A$783="",履歴データ!$A$782=""),"",-50000*M783)</f>
        <v>74999.999999998574</v>
      </c>
      <c r="W783" s="11">
        <f>IF(OR(履歴データ!$A$783="",履歴データ!$A$782=""),"",-40000*N783)</f>
        <v>-1.7053025658242404E-9</v>
      </c>
      <c r="X783" s="11">
        <f>IF(OR(履歴データ!$A$783="",履歴データ!$A$782=""),"",120*1000000*(-Q783/H782))</f>
        <v>-1209795.2200373567</v>
      </c>
      <c r="Y783" s="11">
        <f>IF(OR(履歴データ!$A$783="",履歴データ!$A$782=""),"",40000*(-S783)+(-506.3)*R783*1000)</f>
        <v>32089.062499999149</v>
      </c>
      <c r="Z783" s="11">
        <f>IF(OR(履歴データ!$A$783="",履歴データ!$A$782=""),"",-40000*O783)</f>
        <v>-165599.99999999718</v>
      </c>
      <c r="AA783" s="11">
        <f>IF(OR(履歴データ!$A$783="",履歴データ!$A$782=""),"",-40000*P783)</f>
        <v>160679.99999999302</v>
      </c>
      <c r="AB783" s="11">
        <f>IF(履歴データ!$A$783="","",123.3)</f>
        <v>123.3</v>
      </c>
      <c r="AC783">
        <f>IF(履歴データ!$A$783="","",SUM(T783:AA783))</f>
        <v>-1013626.1575373663</v>
      </c>
      <c r="AD783" s="29">
        <f>IF(履歴データ!$A$783="","",AC783/1000000)</f>
        <v>-1.0136261575373662</v>
      </c>
      <c r="AE783" s="29">
        <f>IF(履歴データ!$A$783="",AE782,AE782+AC783/1000000)</f>
        <v>72.444259868381707</v>
      </c>
      <c r="AF783" s="12">
        <f>IF(OR(履歴データ!$A$783="",AE782=0),"",(AE783-AE782)/AE782)</f>
        <v>-1.3798738466006346E-2</v>
      </c>
      <c r="AG783" s="29">
        <f t="shared" si="38"/>
        <v>102.17217746631495</v>
      </c>
      <c r="AH783" s="12">
        <f>IF(OR(履歴データ!$A$783="",AG783=0),"",AE783/AG783-1)</f>
        <v>-0.2909590295042328</v>
      </c>
      <c r="AJ783" s="28">
        <f t="shared" ca="1" si="36"/>
        <v>5.3459561815354109</v>
      </c>
      <c r="AK783" s="28">
        <f t="shared" ca="1" si="37"/>
        <v>-6.1316704672496973</v>
      </c>
    </row>
    <row r="784" spans="1:37">
      <c r="A784" s="10">
        <f>IF(履歴データ!$A$784="","",履歴データ!$A$784)</f>
        <v>46073</v>
      </c>
      <c r="B784" s="28">
        <f>IF(履歴データ!$A$784="","",(履歴データ!$D$784-(履歴データ!$B$784+履歴データ!$F$784)/2)*100)</f>
        <v>-1.9999999999999574</v>
      </c>
      <c r="C784" s="28">
        <f>IF(履歴データ!$A$784="","",(履歴データ!$H$784-(履歴データ!$G$784+履歴データ!$J$784)/2)*100)</f>
        <v>-16.650000000000009</v>
      </c>
      <c r="D784" s="28">
        <f>IF(履歴データ!$A$784="","",(履歴データ!$D$784-履歴データ!$H$784)*100)</f>
        <v>195.5</v>
      </c>
      <c r="E784" s="28">
        <f>IF(履歴データ!$A$784="","",(履歴データ!$D$784-履歴データ!$C$784)*100)</f>
        <v>43.000000000000014</v>
      </c>
      <c r="F784" s="28">
        <f>IF(履歴データ!$A$784="","",(履歴データ!$R$784-履歴データ!$D$784)*100)</f>
        <v>-338.82000000000005</v>
      </c>
      <c r="G784" s="28">
        <f>IF(履歴データ!$A$784="","",(履歴データ!$S$784-履歴データ!$R$784)*100)</f>
        <v>145.38617858886701</v>
      </c>
      <c r="H784" s="29">
        <f>IF(履歴データ!$A$784="","",履歴データ!$O$784)</f>
        <v>155.16000366210938</v>
      </c>
      <c r="I784" s="29">
        <f>IF(履歴データ!$A$784="","",履歴データ!$Q$784)</f>
        <v>112.9375</v>
      </c>
      <c r="J784" s="29">
        <f>IF(履歴データ!$A$784="","",履歴データ!$D$784)</f>
        <v>4.08</v>
      </c>
      <c r="K784" s="28">
        <f>IF(OR(履歴データ!$A$784="",履歴データ!$A$783=""),"",B784-B783)</f>
        <v>-1.499999999999968</v>
      </c>
      <c r="L784" s="28">
        <f>IF(OR(履歴データ!$A$784="",履歴データ!$A$783=""),"",C784-C783)</f>
        <v>-2.1000000000000352</v>
      </c>
      <c r="M784" s="28">
        <f>IF(OR(履歴データ!$A$784="",履歴データ!$A$783=""),"",D784-D783)</f>
        <v>3.1999999999999886</v>
      </c>
      <c r="N784" s="28">
        <f>IF(OR(履歴データ!$A$784="",履歴データ!$A$783=""),"",E784-E783)</f>
        <v>0</v>
      </c>
      <c r="O784" s="28">
        <f>IF(OR(履歴データ!$A$784="",履歴データ!$A$783=""),"",F784-F783)</f>
        <v>-4.2300000000000182</v>
      </c>
      <c r="P784" s="28">
        <f>IF(OR(履歴データ!$A$784="",履歴データ!$A$783=""),"",G784-G783)</f>
        <v>-0.68117858886731142</v>
      </c>
      <c r="Q784" s="29">
        <f>IF(OR(履歴データ!$A$784="",履歴データ!$A$783=""),"",H784-H783)</f>
        <v>0.467010498046875</v>
      </c>
      <c r="R784" s="29">
        <f>IF(OR(履歴データ!$A$784="",履歴データ!$A$783=""),"",I784-I783)</f>
        <v>-3.125E-2</v>
      </c>
      <c r="S784" s="28">
        <f>IF(OR(履歴データ!$A$784="",履歴データ!$A$783=""),"",(J784-J783)*100)</f>
        <v>0</v>
      </c>
      <c r="T784" s="11">
        <f>IF(OR(履歴データ!$A$784="",履歴データ!$A$783=""),"",-80000*K784)</f>
        <v>119999.99999999744</v>
      </c>
      <c r="U784" s="11">
        <f>IF(OR(履歴データ!$A$784="",履歴データ!$A$783=""),"",60000*L784)</f>
        <v>-126000.00000000211</v>
      </c>
      <c r="V784" s="11">
        <f>IF(OR(履歴データ!$A$784="",履歴データ!$A$783=""),"",-50000*M784)</f>
        <v>-159999.99999999942</v>
      </c>
      <c r="W784" s="11">
        <f>IF(OR(履歴データ!$A$784="",履歴データ!$A$783=""),"",-40000*N784)</f>
        <v>0</v>
      </c>
      <c r="X784" s="11">
        <f>IF(OR(履歴データ!$A$784="",履歴データ!$A$783=""),"",120*1000000*(-Q784/H783))</f>
        <v>-362274.06697205355</v>
      </c>
      <c r="Y784" s="11">
        <f>IF(OR(履歴データ!$A$784="",履歴データ!$A$783=""),"",40000*(-S784)+(-506.3)*R784*1000)</f>
        <v>15821.875</v>
      </c>
      <c r="Z784" s="11">
        <f>IF(OR(履歴データ!$A$784="",履歴データ!$A$783=""),"",-40000*O784)</f>
        <v>169200.00000000073</v>
      </c>
      <c r="AA784" s="11">
        <f>IF(OR(履歴データ!$A$784="",履歴データ!$A$783=""),"",-40000*P784)</f>
        <v>27247.143554692455</v>
      </c>
      <c r="AB784" s="11">
        <f>IF(履歴データ!$A$784="","",123.3)</f>
        <v>123.3</v>
      </c>
      <c r="AC784">
        <f>IF(履歴データ!$A$784="","",SUM(T784:AA784))</f>
        <v>-316005.04841736442</v>
      </c>
      <c r="AD784" s="29">
        <f>IF(履歴データ!$A$784="","",AC784/1000000)</f>
        <v>-0.31600504841736443</v>
      </c>
      <c r="AE784" s="29">
        <f>IF(履歴データ!$A$784="",AE783,AE783+AC784/1000000)</f>
        <v>72.12825481996434</v>
      </c>
      <c r="AF784" s="12">
        <f>IF(OR(履歴データ!$A$784="",AE783=0),"",(AE784-AE783)/AE783)</f>
        <v>-4.3620439906693976E-3</v>
      </c>
      <c r="AG784" s="29">
        <f t="shared" si="38"/>
        <v>102.17217746631495</v>
      </c>
      <c r="AH784" s="12">
        <f>IF(OR(履歴データ!$A$784="",AG784=0),"",AE784/AG784-1)</f>
        <v>-0.29405189740872228</v>
      </c>
      <c r="AJ784" s="28">
        <f t="shared" ca="1" si="36"/>
        <v>5.3435606336787567</v>
      </c>
      <c r="AK784" s="28">
        <f t="shared" ca="1" si="37"/>
        <v>-6.1411796812978041</v>
      </c>
    </row>
    <row r="785" spans="1:37">
      <c r="A785" s="10">
        <f>IF(履歴データ!$A$785="","",履歴データ!$A$785)</f>
        <v>46076</v>
      </c>
      <c r="B785" s="28">
        <f>IF(履歴データ!$A$785="","",(履歴データ!$D$785-(履歴データ!$B$785+履歴データ!$F$785)/2)*100)</f>
        <v>-3.5000000000000142</v>
      </c>
      <c r="C785" s="28">
        <f>IF(履歴データ!$A$785="","",(履歴データ!$H$785-(履歴データ!$G$785+履歴データ!$J$785)/2)*100)</f>
        <v>-16.650000000000009</v>
      </c>
      <c r="D785" s="28">
        <f>IF(履歴データ!$A$785="","",(履歴データ!$D$785-履歴データ!$H$785)*100)</f>
        <v>190.50000000000003</v>
      </c>
      <c r="E785" s="28">
        <f>IF(履歴データ!$A$785="","",(履歴データ!$D$785-履歴データ!$C$785)*100)</f>
        <v>44.000000000000043</v>
      </c>
      <c r="F785" s="28">
        <f>IF(履歴データ!$A$785="","",(履歴データ!$R$785-履歴データ!$D$785)*100)</f>
        <v>-332.33000000000004</v>
      </c>
      <c r="G785" s="28">
        <f>IF(履歴データ!$A$785="","",(履歴データ!$S$785-履歴データ!$R$785)*100)</f>
        <v>143.896178588867</v>
      </c>
      <c r="H785" s="29">
        <f>IF(履歴データ!$A$785="","",履歴データ!$O$785)</f>
        <v>154.33900451660156</v>
      </c>
      <c r="I785" s="29">
        <f>IF(履歴データ!$A$785="","",履歴データ!$Q$785)</f>
        <v>113.375</v>
      </c>
      <c r="J785" s="29">
        <f>IF(履歴データ!$A$785="","",履歴データ!$D$785)</f>
        <v>4.03</v>
      </c>
      <c r="K785" s="28">
        <f>IF(OR(履歴データ!$A$785="",履歴データ!$A$784=""),"",B785-B784)</f>
        <v>-1.5000000000000568</v>
      </c>
      <c r="L785" s="28">
        <f>IF(OR(履歴データ!$A$785="",履歴データ!$A$784=""),"",C785-C784)</f>
        <v>0</v>
      </c>
      <c r="M785" s="28">
        <f>IF(OR(履歴データ!$A$785="",履歴データ!$A$784=""),"",D785-D784)</f>
        <v>-4.9999999999999716</v>
      </c>
      <c r="N785" s="28">
        <f>IF(OR(履歴データ!$A$785="",履歴データ!$A$784=""),"",E785-E784)</f>
        <v>1.0000000000000284</v>
      </c>
      <c r="O785" s="28">
        <f>IF(OR(履歴データ!$A$785="",履歴データ!$A$784=""),"",F785-F784)</f>
        <v>6.4900000000000091</v>
      </c>
      <c r="P785" s="28">
        <f>IF(OR(履歴データ!$A$785="",履歴データ!$A$784=""),"",G785-G784)</f>
        <v>-1.4900000000000091</v>
      </c>
      <c r="Q785" s="29">
        <f>IF(OR(履歴データ!$A$785="",履歴データ!$A$784=""),"",H785-H784)</f>
        <v>-0.8209991455078125</v>
      </c>
      <c r="R785" s="29">
        <f>IF(OR(履歴データ!$A$785="",履歴データ!$A$784=""),"",I785-I784)</f>
        <v>0.4375</v>
      </c>
      <c r="S785" s="28">
        <f>IF(OR(履歴データ!$A$785="",履歴データ!$A$784=""),"",(J785-J784)*100)</f>
        <v>-4.9999999999999822</v>
      </c>
      <c r="T785" s="11">
        <f>IF(OR(履歴データ!$A$785="",履歴データ!$A$784=""),"",-80000*K785)</f>
        <v>120000.00000000454</v>
      </c>
      <c r="U785" s="11">
        <f>IF(OR(履歴データ!$A$785="",履歴データ!$A$784=""),"",60000*L785)</f>
        <v>0</v>
      </c>
      <c r="V785" s="11">
        <f>IF(OR(履歴データ!$A$785="",履歴データ!$A$784=""),"",-50000*M785)</f>
        <v>249999.99999999857</v>
      </c>
      <c r="W785" s="11">
        <f>IF(OR(履歴データ!$A$785="",履歴データ!$A$784=""),"",-40000*N785)</f>
        <v>-40000.000000001135</v>
      </c>
      <c r="X785" s="11">
        <f>IF(OR(履歴データ!$A$785="",履歴データ!$A$784=""),"",120*1000000*(-Q785/H784))</f>
        <v>634956.78741722286</v>
      </c>
      <c r="Y785" s="11">
        <f>IF(OR(履歴データ!$A$785="",履歴データ!$A$784=""),"",40000*(-S785)+(-506.3)*R785*1000)</f>
        <v>-21506.250000000698</v>
      </c>
      <c r="Z785" s="11">
        <f>IF(OR(履歴データ!$A$785="",履歴データ!$A$784=""),"",-40000*O785)</f>
        <v>-259600.00000000035</v>
      </c>
      <c r="AA785" s="11">
        <f>IF(OR(履歴データ!$A$785="",履歴データ!$A$784=""),"",-40000*P785)</f>
        <v>59600.000000000364</v>
      </c>
      <c r="AB785" s="11">
        <f>IF(履歴データ!$A$785="","",123.3)</f>
        <v>123.3</v>
      </c>
      <c r="AC785">
        <f>IF(履歴データ!$A$785="","",SUM(T785:AA785))</f>
        <v>743450.53741722414</v>
      </c>
      <c r="AD785" s="29">
        <f>IF(履歴データ!$A$785="","",AC785/1000000)</f>
        <v>0.74345053741722411</v>
      </c>
      <c r="AE785" s="29">
        <f>IF(履歴データ!$A$785="",AE784,AE784+AC785/1000000)</f>
        <v>72.871705357381558</v>
      </c>
      <c r="AF785" s="12">
        <f>IF(OR(履歴データ!$A$785="",AE784=0),"",(AE785-AE784)/AE784)</f>
        <v>1.0307341266926623E-2</v>
      </c>
      <c r="AG785" s="29">
        <f t="shared" si="38"/>
        <v>102.17217746631495</v>
      </c>
      <c r="AH785" s="12">
        <f>IF(OR(履歴データ!$A$785="",AG785=0),"",AE785/AG785-1)</f>
        <v>-0.28677544939857469</v>
      </c>
      <c r="AJ785" s="28">
        <f t="shared" ca="1" si="36"/>
        <v>5.3269267635360205</v>
      </c>
      <c r="AK785" s="28">
        <f t="shared" ca="1" si="37"/>
        <v>-6.1681966048058623</v>
      </c>
    </row>
    <row r="786" spans="1:37">
      <c r="A786" s="10">
        <f>IF(履歴データ!$A$786="","",履歴データ!$A$786)</f>
        <v>46077</v>
      </c>
      <c r="B786" s="28">
        <f>IF(履歴データ!$A$786="","",(履歴データ!$D$786-(履歴データ!$B$786+履歴データ!$F$786)/2)*100)</f>
        <v>-2.5000000000000355</v>
      </c>
      <c r="C786" s="28">
        <f>IF(履歴データ!$A$786="","",(履歴データ!$H$786-(履歴データ!$G$786+履歴データ!$J$786)/2)*100)</f>
        <v>-15.399999999999947</v>
      </c>
      <c r="D786" s="28">
        <f>IF(履歴データ!$A$786="","",(履歴データ!$D$786-履歴データ!$H$786)*100)</f>
        <v>192.1</v>
      </c>
      <c r="E786" s="28">
        <f>IF(履歴データ!$A$786="","",(履歴データ!$D$786-履歴データ!$C$786)*100)</f>
        <v>43.000000000000014</v>
      </c>
      <c r="F786" s="28">
        <f>IF(履歴データ!$A$786="","",(履歴データ!$R$786-履歴データ!$D$786)*100)</f>
        <v>-336.89</v>
      </c>
      <c r="G786" s="28">
        <f>IF(履歴データ!$A$786="","",(履歴データ!$S$786-履歴データ!$R$786)*100)</f>
        <v>145.52682141113272</v>
      </c>
      <c r="H786" s="29">
        <f>IF(履歴データ!$A$786="","",履歴データ!$O$786)</f>
        <v>154.63499450683594</v>
      </c>
      <c r="I786" s="29">
        <f>IF(履歴データ!$A$786="","",履歴データ!$Q$786)</f>
        <v>113.296875</v>
      </c>
      <c r="J786" s="29">
        <f>IF(履歴データ!$A$786="","",履歴データ!$D$786)</f>
        <v>4.04</v>
      </c>
      <c r="K786" s="28">
        <f>IF(OR(履歴データ!$A$786="",履歴データ!$A$785=""),"",B786-B785)</f>
        <v>0.99999999999997868</v>
      </c>
      <c r="L786" s="28">
        <f>IF(OR(履歴データ!$A$786="",履歴データ!$A$785=""),"",C786-C785)</f>
        <v>1.2500000000000622</v>
      </c>
      <c r="M786" s="28">
        <f>IF(OR(履歴データ!$A$786="",履歴データ!$A$785=""),"",D786-D785)</f>
        <v>1.5999999999999659</v>
      </c>
      <c r="N786" s="28">
        <f>IF(OR(履歴データ!$A$786="",履歴データ!$A$785=""),"",E786-E785)</f>
        <v>-1.0000000000000284</v>
      </c>
      <c r="O786" s="28">
        <f>IF(OR(履歴データ!$A$786="",履歴データ!$A$785=""),"",F786-F785)</f>
        <v>-4.5599999999999454</v>
      </c>
      <c r="P786" s="28">
        <f>IF(OR(履歴データ!$A$786="",履歴データ!$A$785=""),"",G786-G785)</f>
        <v>1.6306428222657132</v>
      </c>
      <c r="Q786" s="29">
        <f>IF(OR(履歴データ!$A$786="",履歴データ!$A$785=""),"",H786-H785)</f>
        <v>0.295989990234375</v>
      </c>
      <c r="R786" s="29">
        <f>IF(OR(履歴データ!$A$786="",履歴データ!$A$785=""),"",I786-I785)</f>
        <v>-7.8125E-2</v>
      </c>
      <c r="S786" s="28">
        <f>IF(OR(履歴データ!$A$786="",履歴データ!$A$785=""),"",(J786-J785)*100)</f>
        <v>0.99999999999997868</v>
      </c>
      <c r="T786" s="11">
        <f>IF(OR(履歴データ!$A$786="",履歴データ!$A$785=""),"",-80000*K786)</f>
        <v>-79999.999999998297</v>
      </c>
      <c r="U786" s="11">
        <f>IF(OR(履歴データ!$A$786="",履歴データ!$A$785=""),"",60000*L786)</f>
        <v>75000.000000003725</v>
      </c>
      <c r="V786" s="11">
        <f>IF(OR(履歴データ!$A$786="",履歴データ!$A$785=""),"",-50000*M786)</f>
        <v>-79999.999999998297</v>
      </c>
      <c r="W786" s="11">
        <f>IF(OR(履歴データ!$A$786="",履歴データ!$A$785=""),"",-40000*N786)</f>
        <v>40000.000000001135</v>
      </c>
      <c r="X786" s="11">
        <f>IF(OR(履歴データ!$A$786="",履歴データ!$A$785=""),"",120*1000000*(-Q786/H785))</f>
        <v>-230134.94831958954</v>
      </c>
      <c r="Y786" s="11">
        <f>IF(OR(履歴データ!$A$786="",履歴データ!$A$785=""),"",40000*(-S786)+(-506.3)*R786*1000)</f>
        <v>-445.31249999914871</v>
      </c>
      <c r="Z786" s="11">
        <f>IF(OR(履歴データ!$A$786="",履歴データ!$A$785=""),"",-40000*O786)</f>
        <v>182399.99999999782</v>
      </c>
      <c r="AA786" s="11">
        <f>IF(OR(履歴データ!$A$786="",履歴データ!$A$785=""),"",-40000*P786)</f>
        <v>-65225.712890628529</v>
      </c>
      <c r="AB786" s="11">
        <f>IF(履歴データ!$A$786="","",123.3)</f>
        <v>123.3</v>
      </c>
      <c r="AC786">
        <f>IF(履歴データ!$A$786="","",SUM(T786:AA786))</f>
        <v>-158405.97371021111</v>
      </c>
      <c r="AD786" s="29">
        <f>IF(履歴データ!$A$786="","",AC786/1000000)</f>
        <v>-0.15840597371021112</v>
      </c>
      <c r="AE786" s="29">
        <f>IF(履歴データ!$A$786="",AE785,AE785+AC786/1000000)</f>
        <v>72.713299383671341</v>
      </c>
      <c r="AF786" s="12">
        <f>IF(OR(履歴データ!$A$786="",AE785=0),"",(AE786-AE785)/AE785)</f>
        <v>-2.1737651525149987E-3</v>
      </c>
      <c r="AG786" s="29">
        <f t="shared" si="38"/>
        <v>102.17217746631495</v>
      </c>
      <c r="AH786" s="12">
        <f>IF(OR(履歴データ!$A$786="",AG786=0),"",AE786/AG786-1)</f>
        <v>-0.28832583207259022</v>
      </c>
      <c r="AJ786" s="28">
        <f t="shared" ca="1" si="36"/>
        <v>5.3161659365407825</v>
      </c>
      <c r="AK786" s="28">
        <f t="shared" ca="1" si="37"/>
        <v>-6.1852135555884029</v>
      </c>
    </row>
    <row r="787" spans="1:37">
      <c r="A787" s="10">
        <f>IF(履歴データ!$A$787="","",履歴データ!$A$787)</f>
        <v>46078</v>
      </c>
      <c r="B787" s="28">
        <f>IF(履歴データ!$A$787="","",(履歴データ!$D$787-(履歴データ!$B$787+履歴データ!$F$787)/2)*100)</f>
        <v>-2.5000000000000355</v>
      </c>
      <c r="C787" s="28">
        <f>IF(履歴データ!$A$787="","",(履歴データ!$H$787-(履歴データ!$G$787+履歴データ!$J$787)/2)*100)</f>
        <v>-14.800000000000013</v>
      </c>
      <c r="D787" s="28">
        <f>IF(履歴データ!$A$787="","",(履歴データ!$D$787-履歴データ!$H$787)*100)</f>
        <v>189.6</v>
      </c>
      <c r="E787" s="28">
        <f>IF(履歴データ!$A$787="","",(履歴データ!$D$787-履歴データ!$C$787)*100)</f>
        <v>43.999999999999993</v>
      </c>
      <c r="F787" s="28">
        <f>IF(履歴データ!$A$787="","",(履歴データ!$R$787-履歴データ!$D$787)*100)</f>
        <v>-334.71</v>
      </c>
      <c r="G787" s="28">
        <f>IF(履歴データ!$A$787="","",(履歴データ!$S$787-履歴データ!$R$787)*100)</f>
        <v>146.38099999999983</v>
      </c>
      <c r="H787" s="29">
        <f>IF(履歴データ!$A$787="","",履歴データ!$O$787)</f>
        <v>155.8800048828125</v>
      </c>
      <c r="I787" s="29">
        <f>IF(履歴データ!$A$787="","",履歴データ!$Q$787)</f>
        <v>113.171875</v>
      </c>
      <c r="J787" s="29">
        <f>IF(履歴データ!$A$787="","",履歴データ!$D$787)</f>
        <v>4.05</v>
      </c>
      <c r="K787" s="28">
        <f>IF(OR(履歴データ!$A$787="",履歴データ!$A$786=""),"",B787-B786)</f>
        <v>0</v>
      </c>
      <c r="L787" s="28">
        <f>IF(OR(履歴データ!$A$787="",履歴データ!$A$786=""),"",C787-C786)</f>
        <v>0.59999999999993392</v>
      </c>
      <c r="M787" s="28">
        <f>IF(OR(履歴データ!$A$787="",履歴データ!$A$786=""),"",D787-D786)</f>
        <v>-2.5</v>
      </c>
      <c r="N787" s="28">
        <f>IF(OR(履歴データ!$A$787="",履歴データ!$A$786=""),"",E787-E786)</f>
        <v>0.99999999999997868</v>
      </c>
      <c r="O787" s="28">
        <f>IF(OR(履歴データ!$A$787="",履歴データ!$A$786=""),"",F787-F786)</f>
        <v>2.1800000000000068</v>
      </c>
      <c r="P787" s="28">
        <f>IF(OR(履歴データ!$A$787="",履歴データ!$A$786=""),"",G787-G786)</f>
        <v>0.85417858886711429</v>
      </c>
      <c r="Q787" s="29">
        <f>IF(OR(履歴データ!$A$787="",履歴データ!$A$786=""),"",H787-H786)</f>
        <v>1.2450103759765625</v>
      </c>
      <c r="R787" s="29">
        <f>IF(OR(履歴データ!$A$787="",履歴データ!$A$786=""),"",I787-I786)</f>
        <v>-0.125</v>
      </c>
      <c r="S787" s="28">
        <f>IF(OR(履歴データ!$A$787="",履歴データ!$A$786=""),"",(J787-J786)*100)</f>
        <v>0.99999999999997868</v>
      </c>
      <c r="T787" s="11">
        <f>IF(OR(履歴データ!$A$787="",履歴データ!$A$786=""),"",-80000*K787)</f>
        <v>0</v>
      </c>
      <c r="U787" s="11">
        <f>IF(OR(履歴データ!$A$787="",履歴データ!$A$786=""),"",60000*L787)</f>
        <v>35999.999999996035</v>
      </c>
      <c r="V787" s="11">
        <f>IF(OR(履歴データ!$A$787="",履歴データ!$A$786=""),"",-50000*M787)</f>
        <v>125000</v>
      </c>
      <c r="W787" s="11">
        <f>IF(OR(履歴データ!$A$787="",履歴データ!$A$786=""),"",-40000*N787)</f>
        <v>-39999.999999999149</v>
      </c>
      <c r="X787" s="11">
        <f>IF(OR(履歴データ!$A$787="",履歴データ!$A$786=""),"",120*1000000*(-Q787/H786))</f>
        <v>-966154.17224063689</v>
      </c>
      <c r="Y787" s="11">
        <f>IF(OR(履歴データ!$A$787="",履歴データ!$A$786=""),"",40000*(-S787)+(-506.3)*R787*1000)</f>
        <v>23287.500000000851</v>
      </c>
      <c r="Z787" s="11">
        <f>IF(OR(履歴データ!$A$787="",履歴データ!$A$786=""),"",-40000*O787)</f>
        <v>-87200.000000000276</v>
      </c>
      <c r="AA787" s="11">
        <f>IF(OR(履歴データ!$A$787="",履歴データ!$A$786=""),"",-40000*P787)</f>
        <v>-34167.143554684575</v>
      </c>
      <c r="AB787" s="11">
        <f>IF(履歴データ!$A$787="","",123.3)</f>
        <v>123.3</v>
      </c>
      <c r="AC787">
        <f>IF(履歴データ!$A$787="","",SUM(T787:AA787))</f>
        <v>-943233.81579532404</v>
      </c>
      <c r="AD787" s="29">
        <f>IF(履歴データ!$A$787="","",AC787/1000000)</f>
        <v>-0.94323381579532406</v>
      </c>
      <c r="AE787" s="29">
        <f>IF(履歴データ!$A$787="",AE786,AE786+AC787/1000000)</f>
        <v>71.770065567876017</v>
      </c>
      <c r="AF787" s="12">
        <f>IF(OR(履歴データ!$A$787="",AE786=0),"",(AE787-AE786)/AE786)</f>
        <v>-1.2971957314415836E-2</v>
      </c>
      <c r="AG787" s="29">
        <f t="shared" si="38"/>
        <v>102.17217746631495</v>
      </c>
      <c r="AH787" s="12">
        <f>IF(OR(履歴データ!$A$787="",AG787=0),"",AE787/AG787-1)</f>
        <v>-0.29755763900071697</v>
      </c>
      <c r="AJ787" s="28">
        <f t="shared" ca="1" si="36"/>
        <v>5.3156667507194584</v>
      </c>
      <c r="AK787" s="28">
        <f t="shared" ca="1" si="37"/>
        <v>-6.1966191316718415</v>
      </c>
    </row>
    <row r="788" spans="1:37">
      <c r="A788" s="10">
        <f>IF(履歴データ!$A$788="","",履歴データ!$A$788)</f>
        <v>46079</v>
      </c>
      <c r="B788" s="28">
        <f>IF(履歴データ!$A$788="","",(履歴データ!$D$788-(履歴データ!$B$788+履歴データ!$F$788)/2)*100)</f>
        <v>-2.5000000000000355</v>
      </c>
      <c r="C788" s="28">
        <f>IF(履歴データ!$A$788="","",(履歴データ!$H$788-(履歴データ!$G$788+履歴データ!$J$788)/2)*100)</f>
        <v>-13.79999999999999</v>
      </c>
      <c r="D788" s="28">
        <f>IF(履歴データ!$A$788="","",(履歴データ!$D$788-履歴データ!$H$788)*100)</f>
        <v>185.19999999999993</v>
      </c>
      <c r="E788" s="28">
        <f>IF(履歴データ!$A$788="","",(履歴データ!$D$788-履歴データ!$C$788)*100)</f>
        <v>44.999999999999972</v>
      </c>
      <c r="F788" s="28">
        <f>IF(履歴データ!$A$788="","",(履歴データ!$R$788-履歴データ!$D$788)*100)</f>
        <v>-333.32</v>
      </c>
      <c r="G788" s="28">
        <f>IF(履歴データ!$A$788="","",(履歴データ!$S$788-履歴データ!$R$788)*100)</f>
        <v>147.28935717773427</v>
      </c>
      <c r="H788" s="29">
        <f>IF(履歴データ!$A$788="","",履歴データ!$O$788)</f>
        <v>156.19999694824219</v>
      </c>
      <c r="I788" s="29">
        <f>IF(履歴データ!$A$788="","",履歴データ!$Q$788)</f>
        <v>113.421875</v>
      </c>
      <c r="J788" s="29">
        <f>IF(履歴データ!$A$788="","",履歴データ!$D$788)</f>
        <v>4.0199999999999996</v>
      </c>
      <c r="K788" s="28">
        <f>IF(OR(履歴データ!$A$788="",履歴データ!$A$787=""),"",B788-B787)</f>
        <v>0</v>
      </c>
      <c r="L788" s="28">
        <f>IF(OR(履歴データ!$A$788="",履歴データ!$A$787=""),"",C788-C787)</f>
        <v>1.0000000000000231</v>
      </c>
      <c r="M788" s="28">
        <f>IF(OR(履歴データ!$A$788="",履歴データ!$A$787=""),"",D788-D787)</f>
        <v>-4.4000000000000625</v>
      </c>
      <c r="N788" s="28">
        <f>IF(OR(履歴データ!$A$788="",履歴データ!$A$787=""),"",E788-E787)</f>
        <v>0.99999999999997868</v>
      </c>
      <c r="O788" s="28">
        <f>IF(OR(履歴データ!$A$788="",履歴データ!$A$787=""),"",F788-F787)</f>
        <v>1.3899999999999864</v>
      </c>
      <c r="P788" s="28">
        <f>IF(OR(履歴データ!$A$788="",履歴データ!$A$787=""),"",G788-G787)</f>
        <v>0.90835717773444458</v>
      </c>
      <c r="Q788" s="29">
        <f>IF(OR(履歴データ!$A$788="",履歴データ!$A$787=""),"",H788-H787)</f>
        <v>0.3199920654296875</v>
      </c>
      <c r="R788" s="29">
        <f>IF(OR(履歴データ!$A$788="",履歴データ!$A$787=""),"",I788-I787)</f>
        <v>0.25</v>
      </c>
      <c r="S788" s="28">
        <f>IF(OR(履歴データ!$A$788="",履歴データ!$A$787=""),"",(J788-J787)*100)</f>
        <v>-3.0000000000000249</v>
      </c>
      <c r="T788" s="11">
        <f>IF(OR(履歴データ!$A$788="",履歴データ!$A$787=""),"",-80000*K788)</f>
        <v>0</v>
      </c>
      <c r="U788" s="11">
        <f>IF(OR(履歴データ!$A$788="",履歴データ!$A$787=""),"",60000*L788)</f>
        <v>60000.000000001382</v>
      </c>
      <c r="V788" s="11">
        <f>IF(OR(履歴データ!$A$788="",履歴データ!$A$787=""),"",-50000*M788)</f>
        <v>220000.00000000311</v>
      </c>
      <c r="W788" s="11">
        <f>IF(OR(履歴データ!$A$788="",履歴データ!$A$787=""),"",-40000*N788)</f>
        <v>-39999.999999999149</v>
      </c>
      <c r="X788" s="11">
        <f>IF(OR(履歴データ!$A$788="",履歴データ!$A$787=""),"",120*1000000*(-Q788/H787))</f>
        <v>-246337.22510100092</v>
      </c>
      <c r="Y788" s="11">
        <f>IF(OR(履歴データ!$A$788="",履歴データ!$A$787=""),"",40000*(-S788)+(-506.3)*R788*1000)</f>
        <v>-6574.9999999990105</v>
      </c>
      <c r="Z788" s="11">
        <f>IF(OR(履歴データ!$A$788="",履歴データ!$A$787=""),"",-40000*O788)</f>
        <v>-55599.999999999454</v>
      </c>
      <c r="AA788" s="11">
        <f>IF(OR(履歴データ!$A$788="",履歴データ!$A$787=""),"",-40000*P788)</f>
        <v>-36334.287109377779</v>
      </c>
      <c r="AB788" s="11">
        <f>IF(履歴データ!$A$788="","",123.3)</f>
        <v>123.3</v>
      </c>
      <c r="AC788">
        <f>IF(履歴データ!$A$788="","",SUM(T788:AA788))</f>
        <v>-104846.51221037183</v>
      </c>
      <c r="AD788" s="29">
        <f>IF(履歴データ!$A$788="","",AC788/1000000)</f>
        <v>-0.10484651221037183</v>
      </c>
      <c r="AE788" s="29">
        <f>IF(履歴データ!$A$788="",AE787,AE787+AC788/1000000)</f>
        <v>71.665219055665645</v>
      </c>
      <c r="AF788" s="12">
        <f>IF(OR(履歴データ!$A$788="",AE787=0),"",(AE788-AE787)/AE787)</f>
        <v>-1.4608668862259055E-3</v>
      </c>
      <c r="AG788" s="29">
        <f t="shared" si="38"/>
        <v>102.17217746631495</v>
      </c>
      <c r="AH788" s="12">
        <f>IF(OR(履歴データ!$A$788="",AG788=0),"",AE788/AG788-1)</f>
        <v>-0.29858381378538312</v>
      </c>
      <c r="AJ788" s="28">
        <f t="shared" ca="1" si="36"/>
        <v>5.3151377075860839</v>
      </c>
      <c r="AK788" s="28">
        <f t="shared" ca="1" si="37"/>
        <v>-6.2079948504432281</v>
      </c>
    </row>
    <row r="789" spans="1:37">
      <c r="A789" s="10">
        <f>IF(履歴データ!$A$789="","",履歴データ!$A$789)</f>
        <v>46080</v>
      </c>
      <c r="B789" s="28">
        <f>IF(履歴データ!$A$789="","",(履歴データ!$D$789-(履歴データ!$B$789+履歴データ!$F$789)/2)*100)</f>
        <v>-3.9999999999999591</v>
      </c>
      <c r="C789" s="28">
        <f>IF(履歴データ!$A$789="","",(履歴データ!$H$789-(履歴データ!$G$789+履歴データ!$J$789)/2)*100)</f>
        <v>-16.400000000000013</v>
      </c>
      <c r="D789" s="28">
        <f>IF(履歴データ!$A$789="","",(履歴データ!$D$789-履歴データ!$H$789)*100)</f>
        <v>183.8</v>
      </c>
      <c r="E789" s="28">
        <f>IF(履歴データ!$A$789="","",(履歴データ!$D$789-履歴データ!$C$789)*100)</f>
        <v>46.000000000000043</v>
      </c>
      <c r="F789" s="28">
        <f>IF(履歴データ!$A$789="","",(履歴データ!$R$789-履歴データ!$D$789)*100)</f>
        <v>-330.97</v>
      </c>
      <c r="G789" s="28">
        <f>IF(履歴データ!$A$789="","",(履歴データ!$S$789-履歴データ!$R$789)*100)</f>
        <v>146.95764282226551</v>
      </c>
      <c r="H789" s="29">
        <f>IF(履歴データ!$A$789="","",履歴データ!$O$789)</f>
        <v>155.85899353027344</v>
      </c>
      <c r="I789" s="29">
        <f>IF(履歴データ!$A$789="","",履歴データ!$Q$789)</f>
        <v>113.859375</v>
      </c>
      <c r="J789" s="29">
        <f>IF(履歴データ!$A$789="","",履歴データ!$D$789)</f>
        <v>3.97</v>
      </c>
      <c r="K789" s="28">
        <f>IF(OR(履歴データ!$A$789="",履歴データ!$A$788=""),"",B789-B788)</f>
        <v>-1.4999999999999236</v>
      </c>
      <c r="L789" s="28">
        <f>IF(OR(履歴データ!$A$789="",履歴データ!$A$788=""),"",C789-C788)</f>
        <v>-2.6000000000000227</v>
      </c>
      <c r="M789" s="28">
        <f>IF(OR(履歴データ!$A$789="",履歴データ!$A$788=""),"",D789-D788)</f>
        <v>-1.3999999999999204</v>
      </c>
      <c r="N789" s="28">
        <f>IF(OR(履歴データ!$A$789="",履歴データ!$A$788=""),"",E789-E788)</f>
        <v>1.0000000000000711</v>
      </c>
      <c r="O789" s="28">
        <f>IF(OR(履歴データ!$A$789="",履歴データ!$A$788=""),"",F789-F788)</f>
        <v>2.3499999999999659</v>
      </c>
      <c r="P789" s="28">
        <f>IF(OR(履歴データ!$A$789="",履歴データ!$A$788=""),"",G789-G788)</f>
        <v>-0.33171435546876182</v>
      </c>
      <c r="Q789" s="29">
        <f>IF(OR(履歴データ!$A$789="",履歴データ!$A$788=""),"",H789-H788)</f>
        <v>-0.34100341796875</v>
      </c>
      <c r="R789" s="29">
        <f>IF(OR(履歴データ!$A$789="",履歴データ!$A$788=""),"",I789-I788)</f>
        <v>0.4375</v>
      </c>
      <c r="S789" s="28">
        <f>IF(OR(履歴データ!$A$789="",履歴データ!$A$788=""),"",(J789-J788)*100)</f>
        <v>-4.9999999999999378</v>
      </c>
      <c r="T789" s="11">
        <f>IF(OR(履歴データ!$A$789="",履歴データ!$A$788=""),"",-80000*K789)</f>
        <v>119999.99999999389</v>
      </c>
      <c r="U789" s="11">
        <f>IF(OR(履歴データ!$A$789="",履歴データ!$A$788=""),"",60000*L789)</f>
        <v>-156000.00000000137</v>
      </c>
      <c r="V789" s="11">
        <f>IF(OR(履歴データ!$A$789="",履歴データ!$A$788=""),"",-50000*M789)</f>
        <v>69999.999999996027</v>
      </c>
      <c r="W789" s="11">
        <f>IF(OR(履歴データ!$A$789="",履歴データ!$A$788=""),"",-40000*N789)</f>
        <v>-40000.000000002845</v>
      </c>
      <c r="X789" s="11">
        <f>IF(OR(履歴データ!$A$789="",履歴データ!$A$788=""),"",120*1000000*(-Q789/H788))</f>
        <v>261974.46194451096</v>
      </c>
      <c r="Y789" s="11">
        <f>IF(OR(履歴データ!$A$789="",履歴データ!$A$788=""),"",40000*(-S789)+(-506.3)*R789*1000)</f>
        <v>-21506.250000002474</v>
      </c>
      <c r="Z789" s="11">
        <f>IF(OR(履歴データ!$A$789="",履歴データ!$A$788=""),"",-40000*O789)</f>
        <v>-93999.999999998632</v>
      </c>
      <c r="AA789" s="11">
        <f>IF(OR(履歴データ!$A$789="",履歴データ!$A$788=""),"",-40000*P789)</f>
        <v>13268.574218750473</v>
      </c>
      <c r="AB789" s="11">
        <f>IF(履歴データ!$A$789="","",123.3)</f>
        <v>123.3</v>
      </c>
      <c r="AC789">
        <f>IF(履歴データ!$A$789="","",SUM(T789:AA789))</f>
        <v>153736.78616324603</v>
      </c>
      <c r="AD789" s="29">
        <f>IF(履歴データ!$A$789="","",AC789/1000000)</f>
        <v>0.15373678616324601</v>
      </c>
      <c r="AE789" s="29">
        <f>IF(履歴データ!$A$789="",AE788,AE788+AC789/1000000)</f>
        <v>71.818955841828895</v>
      </c>
      <c r="AF789" s="12">
        <f>IF(OR(履歴データ!$A$789="",AE788=0),"",(AE789-AE788)/AE788)</f>
        <v>2.1452077896229691E-3</v>
      </c>
      <c r="AG789" s="29">
        <f t="shared" si="38"/>
        <v>102.17217746631495</v>
      </c>
      <c r="AH789" s="12">
        <f>IF(OR(履歴データ!$A$789="",AG789=0),"",AE789/AG789-1)</f>
        <v>-0.29707913031894795</v>
      </c>
      <c r="AJ789" s="28">
        <f t="shared" ca="1" si="36"/>
        <v>5.3133722727878441</v>
      </c>
      <c r="AK789" s="28">
        <f t="shared" ca="1" si="37"/>
        <v>-6.2419437013592747</v>
      </c>
    </row>
    <row r="790" spans="1:37">
      <c r="A790" s="10">
        <f>IF(履歴データ!$A$790="","",履歴データ!$A$790)</f>
        <v>46083</v>
      </c>
      <c r="B790" s="28">
        <f>IF(履歴データ!$A$790="","",(履歴データ!$D$790-(履歴データ!$B$790+履歴データ!$F$790)/2)*100)</f>
        <v>-3.5000000000000142</v>
      </c>
      <c r="C790" s="28">
        <f>IF(履歴データ!$A$790="","",(履歴データ!$H$790-(履歴データ!$G$790+履歴データ!$J$790)/2)*100)</f>
        <v>-16.900000000000006</v>
      </c>
      <c r="D790" s="28">
        <f>IF(履歴データ!$A$790="","",(履歴データ!$D$790-履歴データ!$H$790)*100)</f>
        <v>196.29999999999995</v>
      </c>
      <c r="E790" s="28">
        <f>IF(履歴データ!$A$790="","",(履歴データ!$D$790-履歴データ!$C$790)*100)</f>
        <v>42.999999999999972</v>
      </c>
      <c r="F790" s="28">
        <f>IF(履歴データ!$A$790="","",(履歴データ!$R$790-履歴データ!$D$790)*100)</f>
        <v>-350.67</v>
      </c>
      <c r="G790" s="28">
        <f>IF(履歴データ!$A$790="","",(履歴データ!$S$790-履歴データ!$R$790)*100)</f>
        <v>157.07899999999992</v>
      </c>
      <c r="H790" s="29">
        <f>IF(履歴データ!$A$790="","",履歴データ!$O$790)</f>
        <v>156.63299560546875</v>
      </c>
      <c r="I790" s="29">
        <f>IF(履歴データ!$A$790="","",履歴データ!$Q$790)</f>
        <v>113.15625</v>
      </c>
      <c r="J790" s="29">
        <f>IF(履歴データ!$A$790="","",履歴データ!$D$790)</f>
        <v>4.05</v>
      </c>
      <c r="K790" s="28">
        <f>IF(OR(履歴データ!$A$790="",履歴データ!$A$789=""),"",B790-B789)</f>
        <v>0.49999999999994493</v>
      </c>
      <c r="L790" s="28">
        <f>IF(OR(履歴データ!$A$790="",履歴データ!$A$789=""),"",C790-C789)</f>
        <v>-0.49999999999999289</v>
      </c>
      <c r="M790" s="28">
        <f>IF(OR(履歴データ!$A$790="",履歴データ!$A$789=""),"",D790-D789)</f>
        <v>12.499999999999943</v>
      </c>
      <c r="N790" s="28">
        <f>IF(OR(履歴データ!$A$790="",履歴データ!$A$789=""),"",E790-E789)</f>
        <v>-3.0000000000000711</v>
      </c>
      <c r="O790" s="28">
        <f>IF(OR(履歴データ!$A$790="",履歴データ!$A$789=""),"",F790-F789)</f>
        <v>-19.699999999999989</v>
      </c>
      <c r="P790" s="28">
        <f>IF(OR(履歴データ!$A$790="",履歴データ!$A$789=""),"",G790-G789)</f>
        <v>10.12135717773441</v>
      </c>
      <c r="Q790" s="29">
        <f>IF(OR(履歴データ!$A$790="",履歴データ!$A$789=""),"",H790-H789)</f>
        <v>0.7740020751953125</v>
      </c>
      <c r="R790" s="29">
        <f>IF(OR(履歴データ!$A$790="",履歴データ!$A$789=""),"",I790-I789)</f>
        <v>-0.703125</v>
      </c>
      <c r="S790" s="28">
        <f>IF(OR(履歴データ!$A$790="",履歴データ!$A$789=""),"",(J790-J789)*100)</f>
        <v>7.9999999999999627</v>
      </c>
      <c r="T790" s="11">
        <f>IF(OR(履歴データ!$A$790="",履歴データ!$A$789=""),"",-80000*K790)</f>
        <v>-39999.999999995598</v>
      </c>
      <c r="U790" s="11">
        <f>IF(OR(履歴データ!$A$790="",履歴データ!$A$789=""),"",60000*L790)</f>
        <v>-29999.999999999574</v>
      </c>
      <c r="V790" s="11">
        <f>IF(OR(履歴データ!$A$790="",履歴データ!$A$789=""),"",-50000*M790)</f>
        <v>-624999.99999999721</v>
      </c>
      <c r="W790" s="11">
        <f>IF(OR(履歴データ!$A$790="",履歴データ!$A$789=""),"",-40000*N790)</f>
        <v>120000.00000000284</v>
      </c>
      <c r="X790" s="11">
        <f>IF(OR(履歴データ!$A$790="",履歴データ!$A$789=""),"",120*1000000*(-Q790/H789))</f>
        <v>-595924.86079667136</v>
      </c>
      <c r="Y790" s="11">
        <f>IF(OR(履歴データ!$A$790="",履歴データ!$A$789=""),"",40000*(-S790)+(-506.3)*R790*1000)</f>
        <v>35992.187500001513</v>
      </c>
      <c r="Z790" s="11">
        <f>IF(OR(履歴データ!$A$790="",履歴データ!$A$789=""),"",-40000*O790)</f>
        <v>787999.99999999953</v>
      </c>
      <c r="AA790" s="11">
        <f>IF(OR(履歴データ!$A$790="",履歴データ!$A$789=""),"",-40000*P790)</f>
        <v>-404854.2871093764</v>
      </c>
      <c r="AB790" s="11">
        <f>IF(履歴データ!$A$790="","",123.3)</f>
        <v>123.3</v>
      </c>
      <c r="AC790">
        <f>IF(履歴データ!$A$790="","",SUM(T790:AA790))</f>
        <v>-751786.96040603612</v>
      </c>
      <c r="AD790" s="29">
        <f>IF(履歴データ!$A$790="","",AC790/1000000)</f>
        <v>-0.7517869604060361</v>
      </c>
      <c r="AE790" s="29">
        <f>IF(履歴データ!$A$790="",AE789,AE789+AC790/1000000)</f>
        <v>71.067168881422859</v>
      </c>
      <c r="AF790" s="12">
        <f>IF(OR(履歴データ!$A$790="",AE789=0),"",(AE790-AE789)/AE789)</f>
        <v>-1.0467806884602181E-2</v>
      </c>
      <c r="AG790" s="29">
        <f t="shared" si="38"/>
        <v>102.17217746631495</v>
      </c>
      <c r="AH790" s="12">
        <f>IF(OR(履歴データ!$A$790="",AG790=0),"",AE790/AG790-1)</f>
        <v>-0.30443717023792582</v>
      </c>
      <c r="AJ790" s="28">
        <f t="shared" ca="1" si="36"/>
        <v>5.3157180511696422</v>
      </c>
      <c r="AK790" s="28">
        <f t="shared" ca="1" si="37"/>
        <v>-6.2641307495823435</v>
      </c>
    </row>
    <row r="791" spans="1:37">
      <c r="A791" s="10">
        <f>IF(履歴データ!$A$791="","",履歴データ!$A$791)</f>
        <v>46084</v>
      </c>
      <c r="B791" s="28">
        <f>IF(履歴データ!$A$791="","",(履歴データ!$D$791-(履歴データ!$B$791+履歴データ!$F$791)/2)*100)</f>
        <v>-4.5000000000000817</v>
      </c>
      <c r="C791" s="28">
        <f>IF(履歴データ!$A$791="","",(履歴データ!$H$791-(履歴データ!$G$791+履歴データ!$J$791)/2)*100)</f>
        <v>-14.549999999999974</v>
      </c>
      <c r="D791" s="28">
        <f>IF(履歴データ!$A$791="","",(履歴データ!$D$791-履歴データ!$H$791)*100)</f>
        <v>191.19999999999996</v>
      </c>
      <c r="E791" s="28">
        <f>IF(履歴データ!$A$791="","",(履歴データ!$D$791-履歴データ!$C$791)*100)</f>
        <v>42.999999999999972</v>
      </c>
      <c r="F791" s="28">
        <f>IF(履歴データ!$A$791="","",(履歴データ!$R$791-履歴データ!$D$791)*100)</f>
        <v>-338.50999999999993</v>
      </c>
      <c r="G791" s="28">
        <f>IF(履歴データ!$A$791="","",(履歴データ!$S$791-履歴データ!$R$791)*100)</f>
        <v>146.72535717773422</v>
      </c>
      <c r="H791" s="29">
        <f>IF(履歴データ!$A$791="","",履歴データ!$O$791)</f>
        <v>157.25700378417969</v>
      </c>
      <c r="I791" s="29">
        <f>IF(履歴データ!$A$791="","",履歴データ!$Q$791)</f>
        <v>113.109375</v>
      </c>
      <c r="J791" s="29">
        <f>IF(履歴データ!$A$791="","",履歴データ!$D$791)</f>
        <v>4.0599999999999996</v>
      </c>
      <c r="K791" s="28">
        <f>IF(OR(履歴データ!$A$791="",履歴データ!$A$790=""),"",B791-B790)</f>
        <v>-1.0000000000000675</v>
      </c>
      <c r="L791" s="28">
        <f>IF(OR(履歴データ!$A$791="",履歴データ!$A$790=""),"",C791-C790)</f>
        <v>2.3500000000000316</v>
      </c>
      <c r="M791" s="28">
        <f>IF(OR(履歴データ!$A$791="",履歴データ!$A$790=""),"",D791-D790)</f>
        <v>-5.0999999999999943</v>
      </c>
      <c r="N791" s="28">
        <f>IF(OR(履歴データ!$A$791="",履歴データ!$A$790=""),"",E791-E790)</f>
        <v>0</v>
      </c>
      <c r="O791" s="28">
        <f>IF(OR(履歴データ!$A$791="",履歴データ!$A$790=""),"",F791-F790)</f>
        <v>12.160000000000082</v>
      </c>
      <c r="P791" s="28">
        <f>IF(OR(履歴データ!$A$791="",履歴データ!$A$790=""),"",G791-G790)</f>
        <v>-10.353642822265698</v>
      </c>
      <c r="Q791" s="29">
        <f>IF(OR(履歴データ!$A$791="",履歴データ!$A$790=""),"",H791-H790)</f>
        <v>0.6240081787109375</v>
      </c>
      <c r="R791" s="29">
        <f>IF(OR(履歴データ!$A$791="",履歴データ!$A$790=""),"",I791-I790)</f>
        <v>-4.6875E-2</v>
      </c>
      <c r="S791" s="28">
        <f>IF(OR(履歴データ!$A$791="",履歴データ!$A$790=""),"",(J791-J790)*100)</f>
        <v>0.99999999999997868</v>
      </c>
      <c r="T791" s="11">
        <f>IF(OR(履歴データ!$A$791="",履歴データ!$A$790=""),"",-80000*K791)</f>
        <v>80000.000000005399</v>
      </c>
      <c r="U791" s="11">
        <f>IF(OR(履歴データ!$A$791="",履歴データ!$A$790=""),"",60000*L791)</f>
        <v>141000.00000000189</v>
      </c>
      <c r="V791" s="11">
        <f>IF(OR(履歴データ!$A$791="",履歴データ!$A$790=""),"",-50000*M791)</f>
        <v>254999.99999999971</v>
      </c>
      <c r="W791" s="11">
        <f>IF(OR(履歴データ!$A$791="",履歴データ!$A$790=""),"",-40000*N791)</f>
        <v>0</v>
      </c>
      <c r="X791" s="11">
        <f>IF(OR(履歴データ!$A$791="",履歴データ!$A$790=""),"",120*1000000*(-Q791/H790))</f>
        <v>-478066.45819329575</v>
      </c>
      <c r="Y791" s="11">
        <f>IF(OR(履歴データ!$A$791="",履歴データ!$A$790=""),"",40000*(-S791)+(-506.3)*R791*1000)</f>
        <v>-16267.187499999149</v>
      </c>
      <c r="Z791" s="11">
        <f>IF(OR(履歴データ!$A$791="",履歴データ!$A$790=""),"",-40000*O791)</f>
        <v>-486400.00000000326</v>
      </c>
      <c r="AA791" s="11">
        <f>IF(OR(履歴データ!$A$791="",履歴データ!$A$790=""),"",-40000*P791)</f>
        <v>414145.71289062791</v>
      </c>
      <c r="AB791" s="11">
        <f>IF(履歴データ!$A$791="","",123.3)</f>
        <v>123.3</v>
      </c>
      <c r="AC791">
        <f>IF(履歴データ!$A$791="","",SUM(T791:AA791))</f>
        <v>-90587.932802663243</v>
      </c>
      <c r="AD791" s="29">
        <f>IF(履歴データ!$A$791="","",AC791/1000000)</f>
        <v>-9.0587932802663237E-2</v>
      </c>
      <c r="AE791" s="29">
        <f>IF(履歴データ!$A$791="",AE790,AE790+AC791/1000000)</f>
        <v>70.976580948620196</v>
      </c>
      <c r="AF791" s="12">
        <f>IF(OR(履歴データ!$A$791="",AE790=0),"",(AE791-AE790)/AE790)</f>
        <v>-1.2746804780391749E-3</v>
      </c>
      <c r="AG791" s="29">
        <f t="shared" si="38"/>
        <v>102.17217746631495</v>
      </c>
      <c r="AH791" s="12">
        <f>IF(OR(履歴データ!$A$791="",AG791=0),"",AE791/AG791-1)</f>
        <v>-0.30532379059827319</v>
      </c>
      <c r="AJ791" s="28">
        <f t="shared" ca="1" si="36"/>
        <v>5.3232621509011588</v>
      </c>
      <c r="AK791" s="28">
        <f t="shared" ca="1" si="37"/>
        <v>-6.2835796112186211</v>
      </c>
    </row>
    <row r="792" spans="1:37">
      <c r="A792" s="10">
        <f>IF(履歴データ!$A$792="","",履歴データ!$A$792)</f>
        <v>46085</v>
      </c>
      <c r="B792" s="28">
        <f>IF(履歴データ!$A$792="","",(履歴データ!$D$792-(履歴データ!$B$792+履歴データ!$F$792)/2)*100)</f>
        <v>-4.0000000000000036</v>
      </c>
      <c r="C792" s="28">
        <f>IF(履歴データ!$A$792="","",(履歴データ!$H$792-(履歴データ!$G$792+履歴データ!$J$792)/2)*100)</f>
        <v>-16.000000000000014</v>
      </c>
      <c r="D792" s="28">
        <f>IF(履歴データ!$A$792="","",(履歴データ!$D$792-履歴データ!$H$792)*100)</f>
        <v>195.6</v>
      </c>
      <c r="E792" s="28">
        <f>IF(履歴データ!$A$792="","",(履歴データ!$D$792-履歴データ!$C$792)*100)</f>
        <v>41.999999999999993</v>
      </c>
      <c r="F792" s="28">
        <f>IF(履歴データ!$A$792="","",(履歴データ!$R$792-履歴データ!$D$792)*100)</f>
        <v>-325.83999999999997</v>
      </c>
      <c r="G792" s="28">
        <f>IF(履歴データ!$A$792="","",(履歴データ!$S$792-履歴データ!$R$792)*100)</f>
        <v>132.63399999999984</v>
      </c>
      <c r="H792" s="29">
        <f>IF(履歴データ!$A$792="","",履歴データ!$O$792)</f>
        <v>157.77299499511719</v>
      </c>
      <c r="I792" s="29">
        <f>IF(履歴データ!$A$792="","",履歴データ!$Q$792)</f>
        <v>112.90625</v>
      </c>
      <c r="J792" s="29">
        <f>IF(履歴データ!$A$792="","",履歴データ!$D$792)</f>
        <v>4.09</v>
      </c>
      <c r="K792" s="28">
        <f>IF(OR(履歴データ!$A$792="",履歴データ!$A$791=""),"",B792-B791)</f>
        <v>0.50000000000007816</v>
      </c>
      <c r="L792" s="28">
        <f>IF(OR(履歴データ!$A$792="",履歴データ!$A$791=""),"",C792-C791)</f>
        <v>-1.4500000000000401</v>
      </c>
      <c r="M792" s="28">
        <f>IF(OR(履歴データ!$A$792="",履歴データ!$A$791=""),"",D792-D791)</f>
        <v>4.4000000000000341</v>
      </c>
      <c r="N792" s="28">
        <f>IF(OR(履歴データ!$A$792="",履歴データ!$A$791=""),"",E792-E791)</f>
        <v>-0.99999999999997868</v>
      </c>
      <c r="O792" s="28">
        <f>IF(OR(履歴データ!$A$792="",履歴データ!$A$791=""),"",F792-F791)</f>
        <v>12.669999999999959</v>
      </c>
      <c r="P792" s="28">
        <f>IF(OR(履歴データ!$A$792="",履歴データ!$A$791=""),"",G792-G791)</f>
        <v>-14.09135717773438</v>
      </c>
      <c r="Q792" s="29">
        <f>IF(OR(履歴データ!$A$792="",履歴データ!$A$791=""),"",H792-H791)</f>
        <v>0.5159912109375</v>
      </c>
      <c r="R792" s="29">
        <f>IF(OR(履歴データ!$A$792="",履歴データ!$A$791=""),"",I792-I791)</f>
        <v>-0.203125</v>
      </c>
      <c r="S792" s="28">
        <f>IF(OR(履歴データ!$A$792="",履歴データ!$A$791=""),"",(J792-J791)*100)</f>
        <v>3.0000000000000249</v>
      </c>
      <c r="T792" s="11">
        <f>IF(OR(履歴データ!$A$792="",履歴データ!$A$791=""),"",-80000*K792)</f>
        <v>-40000.00000000625</v>
      </c>
      <c r="U792" s="11">
        <f>IF(OR(履歴データ!$A$792="",履歴データ!$A$791=""),"",60000*L792)</f>
        <v>-87000.000000002416</v>
      </c>
      <c r="V792" s="11">
        <f>IF(OR(履歴データ!$A$792="",履歴データ!$A$791=""),"",-50000*M792)</f>
        <v>-220000.00000000172</v>
      </c>
      <c r="W792" s="11">
        <f>IF(OR(履歴データ!$A$792="",履歴データ!$A$791=""),"",-40000*N792)</f>
        <v>39999.999999999149</v>
      </c>
      <c r="X792" s="11">
        <f>IF(OR(履歴データ!$A$792="",履歴データ!$A$791=""),"",120*1000000*(-Q792/H791))</f>
        <v>-393743.64144364517</v>
      </c>
      <c r="Y792" s="11">
        <f>IF(OR(履歴データ!$A$792="",履歴データ!$A$791=""),"",40000*(-S792)+(-506.3)*R792*1000)</f>
        <v>-17157.812500000975</v>
      </c>
      <c r="Z792" s="11">
        <f>IF(OR(履歴データ!$A$792="",履歴データ!$A$791=""),"",-40000*O792)</f>
        <v>-506799.99999999837</v>
      </c>
      <c r="AA792" s="11">
        <f>IF(OR(履歴データ!$A$792="",履歴データ!$A$791=""),"",-40000*P792)</f>
        <v>563654.28710937523</v>
      </c>
      <c r="AB792" s="11">
        <f>IF(履歴データ!$A$792="","",123.3)</f>
        <v>123.3</v>
      </c>
      <c r="AC792">
        <f>IF(履歴データ!$A$792="","",SUM(T792:AA792))</f>
        <v>-661047.16683428059</v>
      </c>
      <c r="AD792" s="29">
        <f>IF(履歴データ!$A$792="","",AC792/1000000)</f>
        <v>-0.66104716683428055</v>
      </c>
      <c r="AE792" s="29">
        <f>IF(履歴データ!$A$792="",AE791,AE791+AC792/1000000)</f>
        <v>70.315533781785916</v>
      </c>
      <c r="AF792" s="12">
        <f>IF(OR(履歴データ!$A$792="",AE791=0),"",(AE792-AE791)/AE791)</f>
        <v>-9.3135955268514609E-3</v>
      </c>
      <c r="AG792" s="29">
        <f t="shared" si="38"/>
        <v>102.17217746631495</v>
      </c>
      <c r="AH792" s="12">
        <f>IF(OR(履歴データ!$A$792="",AG792=0),"",AE792/AG792-1)</f>
        <v>-0.31179372383476722</v>
      </c>
      <c r="AJ792" s="28">
        <f t="shared" ca="1" si="36"/>
        <v>5.3286953624460835</v>
      </c>
      <c r="AK792" s="28">
        <f t="shared" ca="1" si="37"/>
        <v>-6.3009175846683085</v>
      </c>
    </row>
    <row r="793" spans="1:37">
      <c r="A793" s="10">
        <f>IF(履歴データ!$A$793="","",履歴データ!$A$793)</f>
        <v>46086</v>
      </c>
      <c r="B793" s="28">
        <f>IF(履歴データ!$A$793="","",(履歴データ!$D$793-(履歴データ!$B$793+履歴データ!$F$793)/2)*100)</f>
        <v>-2.5000000000000355</v>
      </c>
      <c r="C793" s="28">
        <f>IF(履歴データ!$A$793="","",(履歴データ!$H$793-(履歴データ!$G$793+履歴データ!$J$793)/2)*100)</f>
        <v>-14.000000000000012</v>
      </c>
      <c r="D793" s="28">
        <f>IF(履歴データ!$A$793="","",(履歴データ!$D$793-履歴データ!$H$793)*100)</f>
        <v>195.5</v>
      </c>
      <c r="E793" s="28">
        <f>IF(履歴データ!$A$793="","",(履歴データ!$D$793-履歴データ!$C$793)*100)</f>
        <v>40.999999999999972</v>
      </c>
      <c r="F793" s="28">
        <f>IF(履歴データ!$A$793="","",(履歴データ!$R$793-履歴データ!$D$793)*100)</f>
        <v>-335.14</v>
      </c>
      <c r="G793" s="28">
        <f>IF(履歴データ!$A$793="","",(履歴データ!$S$793-履歴データ!$R$793)*100)</f>
        <v>153.0183571777342</v>
      </c>
      <c r="H793" s="29">
        <f>IF(履歴データ!$A$793="","",履歴データ!$O$793)</f>
        <v>156.98300170898438</v>
      </c>
      <c r="I793" s="29">
        <f>IF(履歴データ!$A$793="","",履歴データ!$Q$793)</f>
        <v>112.421875</v>
      </c>
      <c r="J793" s="29">
        <f>IF(履歴データ!$A$793="","",履歴データ!$D$793)</f>
        <v>4.13</v>
      </c>
      <c r="K793" s="28">
        <f>IF(OR(履歴データ!$A$793="",履歴データ!$A$792=""),"",B793-B792)</f>
        <v>1.499999999999968</v>
      </c>
      <c r="L793" s="28">
        <f>IF(OR(履歴データ!$A$793="",履歴データ!$A$792=""),"",C793-C792)</f>
        <v>2.0000000000000018</v>
      </c>
      <c r="M793" s="28">
        <f>IF(OR(履歴データ!$A$793="",履歴データ!$A$792=""),"",D793-D792)</f>
        <v>-9.9999999999994316E-2</v>
      </c>
      <c r="N793" s="28">
        <f>IF(OR(履歴データ!$A$793="",履歴データ!$A$792=""),"",E793-E792)</f>
        <v>-1.0000000000000213</v>
      </c>
      <c r="O793" s="28">
        <f>IF(OR(履歴データ!$A$793="",履歴データ!$A$792=""),"",F793-F792)</f>
        <v>-9.3000000000000114</v>
      </c>
      <c r="P793" s="28">
        <f>IF(OR(履歴データ!$A$793="",履歴データ!$A$792=""),"",G793-G792)</f>
        <v>20.384357177734358</v>
      </c>
      <c r="Q793" s="29">
        <f>IF(OR(履歴データ!$A$793="",履歴データ!$A$792=""),"",H793-H792)</f>
        <v>-0.7899932861328125</v>
      </c>
      <c r="R793" s="29">
        <f>IF(OR(履歴データ!$A$793="",履歴データ!$A$792=""),"",I793-I792)</f>
        <v>-0.484375</v>
      </c>
      <c r="S793" s="28">
        <f>IF(OR(履歴データ!$A$793="",履歴データ!$A$792=""),"",(J793-J792)*100)</f>
        <v>4.0000000000000036</v>
      </c>
      <c r="T793" s="11">
        <f>IF(OR(履歴データ!$A$793="",履歴データ!$A$792=""),"",-80000*K793)</f>
        <v>-119999.99999999744</v>
      </c>
      <c r="U793" s="11">
        <f>IF(OR(履歴データ!$A$793="",履歴データ!$A$792=""),"",60000*L793)</f>
        <v>120000.0000000001</v>
      </c>
      <c r="V793" s="11">
        <f>IF(OR(履歴データ!$A$793="",履歴データ!$A$792=""),"",-50000*M793)</f>
        <v>4999.9999999997162</v>
      </c>
      <c r="W793" s="11">
        <f>IF(OR(履歴データ!$A$793="",履歴データ!$A$792=""),"",-40000*N793)</f>
        <v>40000.000000000851</v>
      </c>
      <c r="X793" s="11">
        <f>IF(OR(履歴データ!$A$793="",履歴データ!$A$792=""),"",120*1000000*(-Q793/H792))</f>
        <v>600858.1781620573</v>
      </c>
      <c r="Y793" s="11">
        <f>IF(OR(履歴データ!$A$793="",履歴データ!$A$792=""),"",40000*(-S793)+(-506.3)*R793*1000)</f>
        <v>85239.062499999884</v>
      </c>
      <c r="Z793" s="11">
        <f>IF(OR(履歴データ!$A$793="",履歴データ!$A$792=""),"",-40000*O793)</f>
        <v>372000.00000000047</v>
      </c>
      <c r="AA793" s="11">
        <f>IF(OR(履歴データ!$A$793="",履歴データ!$A$792=""),"",-40000*P793)</f>
        <v>-815374.2871093743</v>
      </c>
      <c r="AB793" s="11">
        <f>IF(履歴データ!$A$793="","",123.3)</f>
        <v>123.3</v>
      </c>
      <c r="AC793">
        <f>IF(履歴データ!$A$793="","",SUM(T793:AA793))</f>
        <v>287722.95355268661</v>
      </c>
      <c r="AD793" s="29">
        <f>IF(履歴データ!$A$793="","",AC793/1000000)</f>
        <v>0.28772295355268662</v>
      </c>
      <c r="AE793" s="29">
        <f>IF(履歴データ!$A$793="",AE792,AE792+AC793/1000000)</f>
        <v>70.603256735338604</v>
      </c>
      <c r="AF793" s="12">
        <f>IF(OR(履歴データ!$A$793="",AE792=0),"",(AE793-AE792)/AE792)</f>
        <v>4.0918832308888464E-3</v>
      </c>
      <c r="AG793" s="29">
        <f t="shared" si="38"/>
        <v>102.17217746631495</v>
      </c>
      <c r="AH793" s="12">
        <f>IF(OR(履歴データ!$A$793="",AG793=0),"",AE793/AG793-1)</f>
        <v>-0.30897766411393424</v>
      </c>
      <c r="AJ793" s="28">
        <f t="shared" ca="1" si="36"/>
        <v>5.3279242230207267</v>
      </c>
      <c r="AK793" s="28">
        <f t="shared" ca="1" si="37"/>
        <v>-6.3120512071477144</v>
      </c>
    </row>
    <row r="794" spans="1:37">
      <c r="A794" s="10">
        <f>IF(履歴データ!$A$794="","",履歴データ!$A$794)</f>
        <v>46087</v>
      </c>
      <c r="B794" s="28">
        <f>IF(履歴データ!$A$794="","",(履歴データ!$D$794-(履歴データ!$B$794+履歴データ!$F$794)/2)*100)</f>
        <v>-1.499999999999968</v>
      </c>
      <c r="C794" s="28">
        <f>IF(履歴データ!$A$794="","",(履歴データ!$H$794-(履歴データ!$G$794+履歴データ!$J$794)/2)*100)</f>
        <v>-13.499999999999979</v>
      </c>
      <c r="D794" s="28">
        <f>IF(履歴データ!$A$794="","",(履歴データ!$D$794-履歴データ!$H$794)*100)</f>
        <v>197.00000000000003</v>
      </c>
      <c r="E794" s="28">
        <f>IF(履歴データ!$A$794="","",(履歴データ!$D$794-履歴データ!$C$794)*100)</f>
        <v>43.000000000000014</v>
      </c>
      <c r="F794" s="28">
        <f>IF(履歴データ!$A$794="","",(履歴データ!$R$794-履歴データ!$D$794)*100)</f>
        <v>-323.26000000000005</v>
      </c>
      <c r="G794" s="28">
        <f>IF(履歴データ!$A$794="","",(履歴データ!$S$794-履歴データ!$R$794)*100)</f>
        <v>134.05182141113261</v>
      </c>
      <c r="H794" s="29">
        <f>IF(履歴データ!$A$794="","",履歴データ!$O$794)</f>
        <v>157.53399658203125</v>
      </c>
      <c r="I794" s="29">
        <f>IF(履歴データ!$A$794="","",履歴データ!$Q$794)</f>
        <v>112.5625</v>
      </c>
      <c r="J794" s="29">
        <f>IF(履歴データ!$A$794="","",履歴データ!$D$794)</f>
        <v>4.1500000000000004</v>
      </c>
      <c r="K794" s="28">
        <f>IF(OR(履歴データ!$A$794="",履歴データ!$A$793=""),"",B794-B793)</f>
        <v>1.0000000000000675</v>
      </c>
      <c r="L794" s="28">
        <f>IF(OR(履歴データ!$A$794="",履歴データ!$A$793=""),"",C794-C793)</f>
        <v>0.50000000000003375</v>
      </c>
      <c r="M794" s="28">
        <f>IF(OR(履歴データ!$A$794="",履歴データ!$A$793=""),"",D794-D793)</f>
        <v>1.5000000000000284</v>
      </c>
      <c r="N794" s="28">
        <f>IF(OR(履歴データ!$A$794="",履歴データ!$A$793=""),"",E794-E793)</f>
        <v>2.0000000000000426</v>
      </c>
      <c r="O794" s="28">
        <f>IF(OR(履歴データ!$A$794="",履歴データ!$A$793=""),"",F794-F793)</f>
        <v>11.879999999999939</v>
      </c>
      <c r="P794" s="28">
        <f>IF(OR(履歴データ!$A$794="",履歴データ!$A$793=""),"",G794-G793)</f>
        <v>-18.966535766601595</v>
      </c>
      <c r="Q794" s="29">
        <f>IF(OR(履歴データ!$A$794="",履歴データ!$A$793=""),"",H794-H793)</f>
        <v>0.550994873046875</v>
      </c>
      <c r="R794" s="29">
        <f>IF(OR(履歴データ!$A$794="",履歴データ!$A$793=""),"",I794-I793)</f>
        <v>0.140625</v>
      </c>
      <c r="S794" s="28">
        <f>IF(OR(履歴データ!$A$794="",履歴データ!$A$793=""),"",(J794-J793)*100)</f>
        <v>2.0000000000000462</v>
      </c>
      <c r="T794" s="11">
        <f>IF(OR(履歴データ!$A$794="",履歴データ!$A$793=""),"",-80000*K794)</f>
        <v>-80000.000000005399</v>
      </c>
      <c r="U794" s="11">
        <f>IF(OR(履歴データ!$A$794="",履歴データ!$A$793=""),"",60000*L794)</f>
        <v>30000.000000002026</v>
      </c>
      <c r="V794" s="11">
        <f>IF(OR(履歴データ!$A$794="",履歴データ!$A$793=""),"",-50000*M794)</f>
        <v>-75000.000000001426</v>
      </c>
      <c r="W794" s="11">
        <f>IF(OR(履歴データ!$A$794="",履歴データ!$A$793=""),"",-40000*N794)</f>
        <v>-80000.000000001703</v>
      </c>
      <c r="X794" s="11">
        <f>IF(OR(履歴データ!$A$794="",履歴データ!$A$793=""),"",120*1000000*(-Q794/H793))</f>
        <v>-421188.17990369012</v>
      </c>
      <c r="Y794" s="11">
        <f>IF(OR(履歴データ!$A$794="",履歴データ!$A$793=""),"",40000*(-S794)+(-506.3)*R794*1000)</f>
        <v>-151198.43750000186</v>
      </c>
      <c r="Z794" s="11">
        <f>IF(OR(履歴データ!$A$794="",履歴データ!$A$793=""),"",-40000*O794)</f>
        <v>-475199.99999999756</v>
      </c>
      <c r="AA794" s="11">
        <f>IF(OR(履歴データ!$A$794="",履歴データ!$A$793=""),"",-40000*P794)</f>
        <v>758661.43066406378</v>
      </c>
      <c r="AB794" s="11">
        <f>IF(履歴データ!$A$794="","",123.3)</f>
        <v>123.3</v>
      </c>
      <c r="AC794">
        <f>IF(履歴データ!$A$794="","",SUM(T794:AA794))</f>
        <v>-493925.18673963228</v>
      </c>
      <c r="AD794" s="29">
        <f>IF(履歴データ!$A$794="","",AC794/1000000)</f>
        <v>-0.49392518673963226</v>
      </c>
      <c r="AE794" s="29">
        <f>IF(履歴データ!$A$794="",AE793,AE793+AC794/1000000)</f>
        <v>70.109331548598973</v>
      </c>
      <c r="AF794" s="12">
        <f>IF(OR(履歴データ!$A$794="",AE793=0),"",(AE794-AE793)/AE793)</f>
        <v>-6.9957847495781249E-3</v>
      </c>
      <c r="AG794" s="29">
        <f t="shared" si="38"/>
        <v>102.17217746631495</v>
      </c>
      <c r="AH794" s="12">
        <f>IF(OR(履歴データ!$A$794="",AG794=0),"",AE794/AG794-1)</f>
        <v>-0.31381190763294387</v>
      </c>
      <c r="AJ794" s="28">
        <f t="shared" ca="1" si="36"/>
        <v>5.3191416722848004</v>
      </c>
      <c r="AK794" s="28">
        <f t="shared" ca="1" si="37"/>
        <v>-6.2794591326022644</v>
      </c>
    </row>
    <row r="795" spans="1:37">
      <c r="A795" s="10">
        <f>IF(履歴データ!$A$795="","",履歴データ!$A$795)</f>
        <v>46090</v>
      </c>
      <c r="B795" s="28">
        <f>IF(履歴データ!$A$795="","",(履歴データ!$D$795-(履歴データ!$B$795+履歴データ!$F$795)/2)*100)</f>
        <v>-1.9999999999999574</v>
      </c>
      <c r="C795" s="28">
        <f>IF(履歴データ!$A$795="","",(履歴データ!$H$795-(履歴データ!$G$795+履歴データ!$J$795)/2)*100)</f>
        <v>-13.600000000000012</v>
      </c>
      <c r="D795" s="28">
        <f>IF(履歴データ!$A$795="","",(履歴データ!$D$795-履歴データ!$H$795)*100)</f>
        <v>191.5</v>
      </c>
      <c r="E795" s="28">
        <f>IF(履歴データ!$A$795="","",(履歴データ!$D$795-履歴データ!$C$795)*100)</f>
        <v>41.000000000000014</v>
      </c>
      <c r="F795" s="28">
        <f>IF(履歴データ!$A$795="","",(履歴データ!$R$795-履歴データ!$D$795)*100)</f>
        <v>-320.26000000000005</v>
      </c>
      <c r="G795" s="28">
        <f>IF(履歴データ!$A$795="","",(履歴データ!$S$795-履歴データ!$R$795)*100)</f>
        <v>138.0859999999999</v>
      </c>
      <c r="H795" s="29">
        <f>IF(履歴データ!$A$795="","",履歴データ!$O$795)</f>
        <v>158.427001953125</v>
      </c>
      <c r="I795" s="29">
        <f>IF(履歴データ!$A$795="","",履歴データ!$Q$795)</f>
        <v>112.484375</v>
      </c>
      <c r="J795" s="29">
        <f>IF(履歴データ!$A$795="","",履歴データ!$D$795)</f>
        <v>4.12</v>
      </c>
      <c r="K795" s="28">
        <f>IF(OR(履歴データ!$A$795="",履歴データ!$A$794=""),"",B795-B794)</f>
        <v>-0.49999999999998934</v>
      </c>
      <c r="L795" s="28">
        <f>IF(OR(履歴データ!$A$795="",履歴データ!$A$794=""),"",C795-C794)</f>
        <v>-0.1000000000000334</v>
      </c>
      <c r="M795" s="28">
        <f>IF(OR(履歴データ!$A$795="",履歴データ!$A$794=""),"",D795-D794)</f>
        <v>-5.5000000000000284</v>
      </c>
      <c r="N795" s="28">
        <f>IF(OR(履歴データ!$A$795="",履歴データ!$A$794=""),"",E795-E794)</f>
        <v>-2</v>
      </c>
      <c r="O795" s="28">
        <f>IF(OR(履歴データ!$A$795="",履歴データ!$A$794=""),"",F795-F794)</f>
        <v>3</v>
      </c>
      <c r="P795" s="28">
        <f>IF(OR(履歴データ!$A$795="",履歴データ!$A$794=""),"",G795-G794)</f>
        <v>4.0341785888672916</v>
      </c>
      <c r="Q795" s="29">
        <f>IF(OR(履歴データ!$A$795="",履歴データ!$A$794=""),"",H795-H794)</f>
        <v>0.89300537109375</v>
      </c>
      <c r="R795" s="29">
        <f>IF(OR(履歴データ!$A$795="",履歴データ!$A$794=""),"",I795-I794)</f>
        <v>-7.8125E-2</v>
      </c>
      <c r="S795" s="28">
        <f>IF(OR(履歴データ!$A$795="",履歴データ!$A$794=""),"",(J795-J794)*100)</f>
        <v>-3.0000000000000249</v>
      </c>
      <c r="T795" s="11">
        <f>IF(OR(履歴データ!$A$795="",履歴データ!$A$794=""),"",-80000*K795)</f>
        <v>39999.999999999149</v>
      </c>
      <c r="U795" s="11">
        <f>IF(OR(履歴データ!$A$795="",履歴データ!$A$794=""),"",60000*L795)</f>
        <v>-6000.0000000020036</v>
      </c>
      <c r="V795" s="11">
        <f>IF(OR(履歴データ!$A$795="",履歴データ!$A$794=""),"",-50000*M795)</f>
        <v>275000.0000000014</v>
      </c>
      <c r="W795" s="11">
        <f>IF(OR(履歴データ!$A$795="",履歴データ!$A$794=""),"",-40000*N795)</f>
        <v>80000</v>
      </c>
      <c r="X795" s="11">
        <f>IF(OR(履歴データ!$A$795="",履歴データ!$A$794=""),"",120*1000000*(-Q795/H794))</f>
        <v>-680238.21433013165</v>
      </c>
      <c r="Y795" s="11">
        <f>IF(OR(履歴データ!$A$795="",履歴データ!$A$794=""),"",40000*(-S795)+(-506.3)*R795*1000)</f>
        <v>159554.68750000099</v>
      </c>
      <c r="Z795" s="11">
        <f>IF(OR(履歴データ!$A$795="",履歴データ!$A$794=""),"",-40000*O795)</f>
        <v>-120000</v>
      </c>
      <c r="AA795" s="11">
        <f>IF(OR(履歴データ!$A$795="",履歴データ!$A$794=""),"",-40000*P795)</f>
        <v>-161367.14355469166</v>
      </c>
      <c r="AB795" s="11">
        <f>IF(履歴データ!$A$795="","",123.3)</f>
        <v>123.3</v>
      </c>
      <c r="AC795">
        <f>IF(履歴データ!$A$795="","",SUM(T795:AA795))</f>
        <v>-413050.67038482381</v>
      </c>
      <c r="AD795" s="29">
        <f>IF(履歴データ!$A$795="","",AC795/1000000)</f>
        <v>-0.41305067038482379</v>
      </c>
      <c r="AE795" s="29">
        <f>IF(履歴データ!$A$795="",AE794,AE794+AC795/1000000)</f>
        <v>69.696280878214154</v>
      </c>
      <c r="AF795" s="12">
        <f>IF(OR(履歴データ!$A$795="",AE794=0),"",(AE795-AE794)/AE794)</f>
        <v>-5.891522016559206E-3</v>
      </c>
      <c r="AG795" s="29">
        <f t="shared" si="38"/>
        <v>102.17217746631495</v>
      </c>
      <c r="AH795" s="12">
        <f>IF(OR(履歴データ!$A$795="",AG795=0),"",AE795/AG795-1)</f>
        <v>-0.31785459988662512</v>
      </c>
      <c r="AJ795" s="28">
        <f t="shared" ca="1" si="36"/>
        <v>5.3186921976286099</v>
      </c>
      <c r="AK795" s="28">
        <f t="shared" ca="1" si="37"/>
        <v>-6.2750414039778191</v>
      </c>
    </row>
    <row r="796" spans="1:37">
      <c r="A796" s="10">
        <f>IF(履歴データ!$A$796="","",履歴データ!$A$796)</f>
        <v>46091</v>
      </c>
      <c r="B796" s="28">
        <f>IF(履歴データ!$A$796="","",(履歴データ!$D$796-(履歴データ!$B$796+履歴データ!$F$796)/2)*100)</f>
        <v>-2.4999999999999467</v>
      </c>
      <c r="C796" s="28">
        <f>IF(履歴データ!$A$796="","",(履歴データ!$H$796-(履歴データ!$G$796+履歴データ!$J$796)/2)*100)</f>
        <v>-13.600000000000012</v>
      </c>
      <c r="D796" s="28">
        <f>IF(履歴データ!$A$796="","",(履歴データ!$D$796-履歴データ!$H$796)*100)</f>
        <v>195.10000000000005</v>
      </c>
      <c r="E796" s="28">
        <f>IF(履歴データ!$A$796="","",(履歴データ!$D$796-履歴データ!$C$796)*100)</f>
        <v>42.000000000000036</v>
      </c>
      <c r="F796" s="28">
        <f>IF(履歴データ!$A$796="","",(履歴データ!$R$796-履歴データ!$D$796)*100)</f>
        <v>-312.97000000000008</v>
      </c>
      <c r="G796" s="28">
        <f>IF(履歴データ!$A$796="","",(履歴データ!$S$796-履歴データ!$R$796)*100)</f>
        <v>126.9189999999999</v>
      </c>
      <c r="H796" s="29">
        <f>IF(履歴データ!$A$796="","",履歴データ!$O$796)</f>
        <v>157.84800720214844</v>
      </c>
      <c r="I796" s="29">
        <f>IF(履歴データ!$A$796="","",履歴データ!$Q$796)</f>
        <v>112.578125</v>
      </c>
      <c r="J796" s="29">
        <f>IF(履歴データ!$A$796="","",履歴データ!$D$796)</f>
        <v>4.1500000000000004</v>
      </c>
      <c r="K796" s="28">
        <f>IF(OR(履歴データ!$A$796="",履歴データ!$A$795=""),"",B796-B795)</f>
        <v>-0.49999999999998934</v>
      </c>
      <c r="L796" s="28">
        <f>IF(OR(履歴データ!$A$796="",履歴データ!$A$795=""),"",C796-C795)</f>
        <v>0</v>
      </c>
      <c r="M796" s="28">
        <f>IF(OR(履歴データ!$A$796="",履歴データ!$A$795=""),"",D796-D795)</f>
        <v>3.6000000000000512</v>
      </c>
      <c r="N796" s="28">
        <f>IF(OR(履歴データ!$A$796="",履歴データ!$A$795=""),"",E796-E795)</f>
        <v>1.0000000000000213</v>
      </c>
      <c r="O796" s="28">
        <f>IF(OR(履歴データ!$A$796="",履歴データ!$A$795=""),"",F796-F795)</f>
        <v>7.2899999999999636</v>
      </c>
      <c r="P796" s="28">
        <f>IF(OR(履歴データ!$A$796="",履歴データ!$A$795=""),"",G796-G795)</f>
        <v>-11.167000000000002</v>
      </c>
      <c r="Q796" s="29">
        <f>IF(OR(履歴データ!$A$796="",履歴データ!$A$795=""),"",H796-H795)</f>
        <v>-0.5789947509765625</v>
      </c>
      <c r="R796" s="29">
        <f>IF(OR(履歴データ!$A$796="",履歴データ!$A$795=""),"",I796-I795)</f>
        <v>9.375E-2</v>
      </c>
      <c r="S796" s="28">
        <f>IF(OR(履歴データ!$A$796="",履歴データ!$A$795=""),"",(J796-J795)*100)</f>
        <v>3.0000000000000249</v>
      </c>
      <c r="T796" s="11">
        <f>IF(OR(履歴データ!$A$796="",履歴データ!$A$795=""),"",-80000*K796)</f>
        <v>39999.999999999149</v>
      </c>
      <c r="U796" s="11">
        <f>IF(OR(履歴データ!$A$796="",履歴データ!$A$795=""),"",60000*L796)</f>
        <v>0</v>
      </c>
      <c r="V796" s="11">
        <f>IF(OR(履歴データ!$A$796="",履歴データ!$A$795=""),"",-50000*M796)</f>
        <v>-180000.00000000256</v>
      </c>
      <c r="W796" s="11">
        <f>IF(OR(履歴データ!$A$796="",履歴データ!$A$795=""),"",-40000*N796)</f>
        <v>-40000.000000000851</v>
      </c>
      <c r="X796" s="11">
        <f>IF(OR(履歴データ!$A$796="",履歴データ!$A$795=""),"",120*1000000*(-Q796/H795))</f>
        <v>438557.62755483366</v>
      </c>
      <c r="Y796" s="11">
        <f>IF(OR(履歴データ!$A$796="",履歴データ!$A$795=""),"",40000*(-S796)+(-506.3)*R796*1000)</f>
        <v>-167465.62500000099</v>
      </c>
      <c r="Z796" s="11">
        <f>IF(OR(履歴データ!$A$796="",履歴データ!$A$795=""),"",-40000*O796)</f>
        <v>-291599.99999999854</v>
      </c>
      <c r="AA796" s="11">
        <f>IF(OR(履歴データ!$A$796="",履歴データ!$A$795=""),"",-40000*P796)</f>
        <v>446680.00000000006</v>
      </c>
      <c r="AB796" s="11">
        <f>IF(履歴データ!$A$796="","",123.3)</f>
        <v>123.3</v>
      </c>
      <c r="AC796">
        <f>IF(履歴データ!$A$796="","",SUM(T796:AA796))</f>
        <v>246172.00255482993</v>
      </c>
      <c r="AD796" s="29">
        <f>IF(履歴データ!$A$796="","",AC796/1000000)</f>
        <v>0.24617200255482993</v>
      </c>
      <c r="AE796" s="29">
        <f>IF(履歴データ!$A$796="",AE795,AE795+AC796/1000000)</f>
        <v>69.942452880768982</v>
      </c>
      <c r="AF796" s="12">
        <f>IF(OR(履歴データ!$A$796="",AE795=0),"",(AE796-AE795)/AE795)</f>
        <v>3.532067987745067E-3</v>
      </c>
      <c r="AG796" s="29">
        <f t="shared" si="38"/>
        <v>102.17217746631495</v>
      </c>
      <c r="AH796" s="12">
        <f>IF(OR(履歴データ!$A$796="",AG796=0),"",AE796/AG796-1)</f>
        <v>-0.31544521595589714</v>
      </c>
      <c r="AJ796" s="28">
        <f t="shared" ca="1" si="36"/>
        <v>5.3140396701480093</v>
      </c>
      <c r="AK796" s="28">
        <f t="shared" ca="1" si="37"/>
        <v>-6.2902301463384873</v>
      </c>
    </row>
    <row r="797" spans="1:37">
      <c r="A797" s="10">
        <f>IF(履歴データ!$A$797="","",履歴データ!$A$797)</f>
        <v>46092</v>
      </c>
      <c r="B797" s="28">
        <f>IF(履歴データ!$A$797="","",(履歴データ!$D$797-(履歴データ!$B$797+履歴データ!$F$797)/2)*100)</f>
        <v>-4.0000000000000036</v>
      </c>
      <c r="C797" s="28">
        <f>IF(履歴データ!$A$797="","",(履歴データ!$H$797-(履歴データ!$G$797+履歴データ!$J$797)/2)*100)</f>
        <v>-15.899999999999981</v>
      </c>
      <c r="D797" s="28">
        <f>IF(履歴データ!$A$797="","",(履歴データ!$D$797-履歴データ!$H$797)*100)</f>
        <v>203.2</v>
      </c>
      <c r="E797" s="28">
        <f>IF(履歴データ!$A$797="","",(履歴データ!$D$797-履歴データ!$C$797)*100)</f>
        <v>41.999999999999993</v>
      </c>
      <c r="F797" s="28">
        <f>IF(履歴データ!$A$797="","",(履歴データ!$R$797-履歴データ!$D$797)*100)</f>
        <v>-325.91000000000003</v>
      </c>
      <c r="G797" s="28">
        <f>IF(履歴データ!$A$797="","",(履歴データ!$S$797-履歴データ!$R$797)*100)</f>
        <v>131.75417858886709</v>
      </c>
      <c r="H797" s="29">
        <f>IF(履歴データ!$A$797="","",履歴データ!$O$797)</f>
        <v>158.11399841308594</v>
      </c>
      <c r="I797" s="29">
        <f>IF(履歴データ!$A$797="","",履歴データ!$Q$797)</f>
        <v>112.125</v>
      </c>
      <c r="J797" s="29">
        <f>IF(履歴データ!$A$797="","",履歴データ!$D$797)</f>
        <v>4.21</v>
      </c>
      <c r="K797" s="28">
        <f>IF(OR(履歴データ!$A$797="",履歴データ!$A$796=""),"",B797-B796)</f>
        <v>-1.5000000000000568</v>
      </c>
      <c r="L797" s="28">
        <f>IF(OR(履歴データ!$A$797="",履歴データ!$A$796=""),"",C797-C796)</f>
        <v>-2.2999999999999687</v>
      </c>
      <c r="M797" s="28">
        <f>IF(OR(履歴データ!$A$797="",履歴データ!$A$796=""),"",D797-D796)</f>
        <v>8.0999999999999375</v>
      </c>
      <c r="N797" s="28">
        <f>IF(OR(履歴データ!$A$797="",履歴データ!$A$796=""),"",E797-E796)</f>
        <v>-4.2632564145606011E-14</v>
      </c>
      <c r="O797" s="28">
        <f>IF(OR(履歴データ!$A$797="",履歴データ!$A$796=""),"",F797-F796)</f>
        <v>-12.939999999999941</v>
      </c>
      <c r="P797" s="28">
        <f>IF(OR(履歴データ!$A$797="",履歴データ!$A$796=""),"",G797-G796)</f>
        <v>4.8351785888671941</v>
      </c>
      <c r="Q797" s="29">
        <f>IF(OR(履歴データ!$A$797="",履歴データ!$A$796=""),"",H797-H796)</f>
        <v>0.2659912109375</v>
      </c>
      <c r="R797" s="29">
        <f>IF(OR(履歴データ!$A$797="",履歴データ!$A$796=""),"",I797-I796)</f>
        <v>-0.453125</v>
      </c>
      <c r="S797" s="28">
        <f>IF(OR(履歴データ!$A$797="",履歴データ!$A$796=""),"",(J797-J796)*100)</f>
        <v>5.9999999999999609</v>
      </c>
      <c r="T797" s="11">
        <f>IF(OR(履歴データ!$A$797="",履歴データ!$A$796=""),"",-80000*K797)</f>
        <v>120000.00000000454</v>
      </c>
      <c r="U797" s="11">
        <f>IF(OR(履歴データ!$A$797="",履歴データ!$A$796=""),"",60000*L797)</f>
        <v>-137999.99999999814</v>
      </c>
      <c r="V797" s="11">
        <f>IF(OR(履歴データ!$A$797="",履歴データ!$A$796=""),"",-50000*M797)</f>
        <v>-404999.99999999686</v>
      </c>
      <c r="W797" s="11">
        <f>IF(OR(履歴データ!$A$797="",履歴データ!$A$796=""),"",-40000*N797)</f>
        <v>1.7053025658242404E-9</v>
      </c>
      <c r="X797" s="11">
        <f>IF(OR(履歴データ!$A$797="",履歴データ!$A$796=""),"",120*1000000*(-Q797/H796))</f>
        <v>-202213.16618601923</v>
      </c>
      <c r="Y797" s="11">
        <f>IF(OR(履歴データ!$A$797="",履歴データ!$A$796=""),"",40000*(-S797)+(-506.3)*R797*1000)</f>
        <v>-10582.812499998428</v>
      </c>
      <c r="Z797" s="11">
        <f>IF(OR(履歴データ!$A$797="",履歴データ!$A$796=""),"",-40000*O797)</f>
        <v>517599.99999999761</v>
      </c>
      <c r="AA797" s="11">
        <f>IF(OR(履歴データ!$A$797="",履歴データ!$A$796=""),"",-40000*P797)</f>
        <v>-193407.14355468776</v>
      </c>
      <c r="AB797" s="11">
        <f>IF(履歴データ!$A$797="","",123.3)</f>
        <v>123.3</v>
      </c>
      <c r="AC797">
        <f>IF(履歴データ!$A$797="","",SUM(T797:AA797))</f>
        <v>-311603.12224069668</v>
      </c>
      <c r="AD797" s="29">
        <f>IF(履歴データ!$A$797="","",AC797/1000000)</f>
        <v>-0.31160312224069669</v>
      </c>
      <c r="AE797" s="29">
        <f>IF(履歴データ!$A$797="",AE796,AE796+AC797/1000000)</f>
        <v>69.630849758528285</v>
      </c>
      <c r="AF797" s="12">
        <f>IF(OR(履歴データ!$A$797="",AE796=0),"",(AE797-AE796)/AE796)</f>
        <v>-4.4551357495552493E-3</v>
      </c>
      <c r="AG797" s="29">
        <f t="shared" si="38"/>
        <v>102.17217746631495</v>
      </c>
      <c r="AH797" s="12">
        <f>IF(OR(履歴データ!$A$797="",AG797=0),"",AE797/AG797-1)</f>
        <v>-0.31849500044682111</v>
      </c>
      <c r="AJ797" s="28">
        <f t="shared" ca="1" si="36"/>
        <v>5.2984641612648629</v>
      </c>
      <c r="AK797" s="28">
        <f t="shared" ca="1" si="37"/>
        <v>-6.3222736850743901</v>
      </c>
    </row>
    <row r="798" spans="1:37">
      <c r="A798" s="10">
        <f>IF(履歴データ!$A$798="","",履歴データ!$A$798)</f>
        <v>46093</v>
      </c>
      <c r="B798" s="28">
        <f>IF(履歴データ!$A$798="","",(履歴データ!$D$798-(履歴データ!$B$798+履歴データ!$F$798)/2)*100)</f>
        <v>-5.0000000000000711</v>
      </c>
      <c r="C798" s="28">
        <f>IF(履歴データ!$A$798="","",(履歴データ!$H$798-(履歴データ!$G$798+履歴データ!$J$798)/2)*100)</f>
        <v>-15.600000000000014</v>
      </c>
      <c r="D798" s="28">
        <f>IF(履歴データ!$A$798="","",(履歴データ!$D$798-履歴データ!$H$798)*100)</f>
        <v>206.89999999999995</v>
      </c>
      <c r="E798" s="28">
        <f>IF(履歴データ!$A$798="","",(履歴データ!$D$798-履歴データ!$C$798)*100)</f>
        <v>38.999999999999972</v>
      </c>
      <c r="F798" s="28">
        <f>IF(履歴データ!$A$798="","",(履歴データ!$R$798-履歴データ!$D$798)*100)</f>
        <v>-316.70999999999998</v>
      </c>
      <c r="G798" s="28">
        <f>IF(履歴データ!$A$798="","",(履歴データ!$S$798-履歴データ!$R$798)*100)</f>
        <v>118.83435717773416</v>
      </c>
      <c r="H798" s="29">
        <f>IF(履歴データ!$A$798="","",履歴データ!$O$798)</f>
        <v>159.07499694824219</v>
      </c>
      <c r="I798" s="29">
        <f>IF(履歴データ!$A$798="","",履歴データ!$Q$798)</f>
        <v>111.5625</v>
      </c>
      <c r="J798" s="29">
        <f>IF(履歴データ!$A$798="","",履歴データ!$D$798)</f>
        <v>4.2699999999999996</v>
      </c>
      <c r="K798" s="28">
        <f>IF(OR(履歴データ!$A$798="",履歴データ!$A$797=""),"",B798-B797)</f>
        <v>-1.0000000000000675</v>
      </c>
      <c r="L798" s="28">
        <f>IF(OR(履歴データ!$A$798="",履歴データ!$A$797=""),"",C798-C797)</f>
        <v>0.29999999999996696</v>
      </c>
      <c r="M798" s="28">
        <f>IF(OR(履歴データ!$A$798="",履歴データ!$A$797=""),"",D798-D797)</f>
        <v>3.6999999999999602</v>
      </c>
      <c r="N798" s="28">
        <f>IF(OR(履歴データ!$A$798="",履歴データ!$A$797=""),"",E798-E797)</f>
        <v>-3.0000000000000213</v>
      </c>
      <c r="O798" s="28">
        <f>IF(OR(履歴データ!$A$798="",履歴データ!$A$797=""),"",F798-F797)</f>
        <v>9.2000000000000455</v>
      </c>
      <c r="P798" s="28">
        <f>IF(OR(履歴データ!$A$798="",履歴データ!$A$797=""),"",G798-G797)</f>
        <v>-12.919821411132929</v>
      </c>
      <c r="Q798" s="29">
        <f>IF(OR(履歴データ!$A$798="",履歴データ!$A$797=""),"",H798-H797)</f>
        <v>0.96099853515625</v>
      </c>
      <c r="R798" s="29">
        <f>IF(OR(履歴データ!$A$798="",履歴データ!$A$797=""),"",I798-I797)</f>
        <v>-0.5625</v>
      </c>
      <c r="S798" s="28">
        <f>IF(OR(履歴データ!$A$798="",履歴データ!$A$797=""),"",(J798-J797)*100)</f>
        <v>5.9999999999999609</v>
      </c>
      <c r="T798" s="11">
        <f>IF(OR(履歴データ!$A$798="",履歴データ!$A$797=""),"",-80000*K798)</f>
        <v>80000.000000005399</v>
      </c>
      <c r="U798" s="11">
        <f>IF(OR(履歴データ!$A$798="",履歴データ!$A$797=""),"",60000*L798)</f>
        <v>17999.999999998017</v>
      </c>
      <c r="V798" s="11">
        <f>IF(OR(履歴データ!$A$798="",履歴データ!$A$797=""),"",-50000*M798)</f>
        <v>-184999.99999999802</v>
      </c>
      <c r="W798" s="11">
        <f>IF(OR(履歴データ!$A$798="",履歴データ!$A$797=""),"",-40000*N798)</f>
        <v>120000.00000000086</v>
      </c>
      <c r="X798" s="11">
        <f>IF(OR(履歴データ!$A$798="",履歴データ!$A$797=""),"",120*1000000*(-Q798/H797))</f>
        <v>-729346.07546554727</v>
      </c>
      <c r="Y798" s="11">
        <f>IF(OR(履歴データ!$A$798="",履歴データ!$A$797=""),"",40000*(-S798)+(-506.3)*R798*1000)</f>
        <v>44793.750000001572</v>
      </c>
      <c r="Z798" s="11">
        <f>IF(OR(履歴データ!$A$798="",履歴データ!$A$797=""),"",-40000*O798)</f>
        <v>-368000.0000000018</v>
      </c>
      <c r="AA798" s="11">
        <f>IF(OR(履歴データ!$A$798="",履歴データ!$A$797=""),"",-40000*P798)</f>
        <v>516792.85644531716</v>
      </c>
      <c r="AB798" s="11">
        <f>IF(履歴データ!$A$798="","",123.3)</f>
        <v>123.3</v>
      </c>
      <c r="AC798">
        <f>IF(履歴データ!$A$798="","",SUM(T798:AA798))</f>
        <v>-502759.46902022418</v>
      </c>
      <c r="AD798" s="29">
        <f>IF(履歴データ!$A$798="","",AC798/1000000)</f>
        <v>-0.50275946902022417</v>
      </c>
      <c r="AE798" s="29">
        <f>IF(履歴データ!$A$798="",AE797,AE797+AC798/1000000)</f>
        <v>69.128090289508066</v>
      </c>
      <c r="AF798" s="12">
        <f>IF(OR(履歴データ!$A$798="",AE797=0),"",(AE798-AE797)/AE797)</f>
        <v>-7.2203552127215282E-3</v>
      </c>
      <c r="AG798" s="29">
        <f t="shared" si="38"/>
        <v>102.17217746631495</v>
      </c>
      <c r="AH798" s="12">
        <f>IF(OR(履歴データ!$A$798="",AG798=0),"",AE798/AG798-1)</f>
        <v>-0.32341570862284064</v>
      </c>
      <c r="AJ798" s="28">
        <f t="shared" ca="1" si="36"/>
        <v>5.2944721085837543</v>
      </c>
      <c r="AK798" s="28">
        <f t="shared" ca="1" si="37"/>
        <v>-6.3698689339805838</v>
      </c>
    </row>
    <row r="799" spans="1:37">
      <c r="A799" s="10">
        <f>IF(履歴データ!$A$799="","",履歴データ!$A$799)</f>
        <v>46094</v>
      </c>
      <c r="B799" s="28">
        <f>IF(履歴データ!$A$799="","",(履歴データ!$D$799-(履歴データ!$B$799+履歴データ!$F$799)/2)*100)</f>
        <v>-3.5000000000000142</v>
      </c>
      <c r="C799" s="28">
        <f>IF(履歴データ!$A$799="","",(履歴データ!$H$799-(履歴データ!$G$799+履歴データ!$J$799)/2)*100)</f>
        <v>-12.9</v>
      </c>
      <c r="D799" s="28">
        <f>IF(履歴データ!$A$799="","",(履歴データ!$D$799-履歴データ!$H$799)*100)</f>
        <v>202.50000000000003</v>
      </c>
      <c r="E799" s="28">
        <f>IF(履歴データ!$A$799="","",(履歴データ!$D$799-履歴データ!$C$799)*100)</f>
        <v>41.000000000000014</v>
      </c>
      <c r="F799" s="28">
        <f>IF(履歴データ!$A$799="","",(履歴データ!$R$799-履歴データ!$D$799)*100)</f>
        <v>-311.67</v>
      </c>
      <c r="G799" s="28">
        <f>IF(履歴データ!$A$799="","",(履歴データ!$S$799-履歴データ!$R$799)*100)</f>
        <v>118.05635717773426</v>
      </c>
      <c r="H799" s="29">
        <f>IF(履歴データ!$A$799="","",履歴データ!$O$799)</f>
        <v>159.20599365234375</v>
      </c>
      <c r="I799" s="29">
        <f>IF(履歴データ!$A$799="","",履歴データ!$Q$799)</f>
        <v>111.5625</v>
      </c>
      <c r="J799" s="29">
        <f>IF(履歴データ!$A$799="","",履歴データ!$D$799)</f>
        <v>4.28</v>
      </c>
      <c r="K799" s="28">
        <f>IF(OR(履歴データ!$A$799="",履歴データ!$A$798=""),"",B799-B798)</f>
        <v>1.5000000000000568</v>
      </c>
      <c r="L799" s="28">
        <f>IF(OR(履歴データ!$A$799="",履歴データ!$A$798=""),"",C799-C798)</f>
        <v>2.7000000000000135</v>
      </c>
      <c r="M799" s="28">
        <f>IF(OR(履歴データ!$A$799="",履歴データ!$A$798=""),"",D799-D798)</f>
        <v>-4.3999999999999204</v>
      </c>
      <c r="N799" s="28">
        <f>IF(OR(履歴データ!$A$799="",履歴データ!$A$798=""),"",E799-E798)</f>
        <v>2.0000000000000426</v>
      </c>
      <c r="O799" s="28">
        <f>IF(OR(履歴データ!$A$799="",履歴データ!$A$798=""),"",F799-F798)</f>
        <v>5.0399999999999636</v>
      </c>
      <c r="P799" s="28">
        <f>IF(OR(履歴データ!$A$799="",履歴データ!$A$798=""),"",G799-G798)</f>
        <v>-0.77799999999990632</v>
      </c>
      <c r="Q799" s="29">
        <f>IF(OR(履歴データ!$A$799="",履歴データ!$A$798=""),"",H799-H798)</f>
        <v>0.1309967041015625</v>
      </c>
      <c r="R799" s="29">
        <f>IF(OR(履歴データ!$A$799="",履歴データ!$A$798=""),"",I799-I798)</f>
        <v>0</v>
      </c>
      <c r="S799" s="28">
        <f>IF(OR(履歴データ!$A$799="",履歴データ!$A$798=""),"",(J799-J798)*100)</f>
        <v>1.0000000000000675</v>
      </c>
      <c r="T799" s="11">
        <f>IF(OR(履歴データ!$A$799="",履歴データ!$A$798=""),"",-80000*K799)</f>
        <v>-120000.00000000454</v>
      </c>
      <c r="U799" s="11">
        <f>IF(OR(履歴データ!$A$799="",履歴データ!$A$798=""),"",60000*L799)</f>
        <v>162000.00000000081</v>
      </c>
      <c r="V799" s="11">
        <f>IF(OR(履歴データ!$A$799="",履歴データ!$A$798=""),"",-50000*M799)</f>
        <v>219999.99999999601</v>
      </c>
      <c r="W799" s="11">
        <f>IF(OR(履歴データ!$A$799="",履歴データ!$A$798=""),"",-40000*N799)</f>
        <v>-80000.000000001703</v>
      </c>
      <c r="X799" s="11">
        <f>IF(OR(履歴データ!$A$799="",履歴データ!$A$798=""),"",120*1000000*(-Q799/H798))</f>
        <v>-98818.826300541419</v>
      </c>
      <c r="Y799" s="11">
        <f>IF(OR(履歴データ!$A$799="",履歴データ!$A$798=""),"",40000*(-S799)+(-506.3)*R799*1000)</f>
        <v>-40000.000000002699</v>
      </c>
      <c r="Z799" s="11">
        <f>IF(OR(履歴データ!$A$799="",履歴データ!$A$798=""),"",-40000*O799)</f>
        <v>-201599.99999999854</v>
      </c>
      <c r="AA799" s="11">
        <f>IF(OR(履歴データ!$A$799="",履歴データ!$A$798=""),"",-40000*P799)</f>
        <v>31119.999999996253</v>
      </c>
      <c r="AB799" s="11">
        <f>IF(履歴データ!$A$799="","",123.3)</f>
        <v>123.3</v>
      </c>
      <c r="AC799">
        <f>IF(履歴データ!$A$799="","",SUM(T799:AA799))</f>
        <v>-127298.82630055584</v>
      </c>
      <c r="AD799" s="29">
        <f>IF(履歴データ!$A$799="","",AC799/1000000)</f>
        <v>-0.12729882630055583</v>
      </c>
      <c r="AE799" s="29">
        <f>IF(履歴データ!$A$799="",AE798,AE798+AC799/1000000)</f>
        <v>69.000791463207506</v>
      </c>
      <c r="AF799" s="12">
        <f>IF(OR(履歴データ!$A$799="",AE798=0),"",(AE799-AE798)/AE798)</f>
        <v>-1.8414920152926735E-3</v>
      </c>
      <c r="AG799" s="29">
        <f t="shared" si="38"/>
        <v>102.17217746631495</v>
      </c>
      <c r="AH799" s="12">
        <f>IF(OR(履歴データ!$A$799="",AG799=0),"",AE799/AG799-1)</f>
        <v>-0.32466163319308416</v>
      </c>
      <c r="AJ799" s="28">
        <f t="shared" ca="1" si="36"/>
        <v>5.2890208925907682</v>
      </c>
      <c r="AK799" s="28">
        <f t="shared" ca="1" si="37"/>
        <v>-6.3961637497336294</v>
      </c>
    </row>
    <row r="800" spans="1:37">
      <c r="A800" s="10">
        <f>IF(履歴データ!$A$800="","",履歴データ!$A$800)</f>
        <v>46097</v>
      </c>
      <c r="B800" s="28">
        <f>IF(履歴データ!$A$800="","",(履歴データ!$D$800-(履歴データ!$B$800+履歴データ!$F$800)/2)*100)</f>
        <v>-4.0000000000000036</v>
      </c>
      <c r="C800" s="28">
        <f>IF(履歴データ!$A$800="","",(履歴データ!$H$800-(履歴データ!$G$800+履歴データ!$J$800)/2)*100)</f>
        <v>-11.299999999999999</v>
      </c>
      <c r="D800" s="28">
        <f>IF(履歴データ!$A$800="","",(履歴データ!$D$800-履歴データ!$H$800)*100)</f>
        <v>194.20000000000007</v>
      </c>
      <c r="E800" s="28">
        <f>IF(履歴データ!$A$800="","",(履歴データ!$D$800-履歴データ!$C$800)*100)</f>
        <v>43.000000000000057</v>
      </c>
      <c r="F800" s="28">
        <f>IF(履歴データ!$A$800="","",(履歴データ!$R$800-履歴データ!$D$800)*100)</f>
        <v>-307.01000000000005</v>
      </c>
      <c r="G800" s="28">
        <f>IF(履歴データ!$A$800="","",(履歴データ!$S$800-履歴データ!$R$800)*100)</f>
        <v>121.3781785888671</v>
      </c>
      <c r="H800" s="29">
        <f>IF(履歴データ!$A$800="","",履歴データ!$O$800)</f>
        <v>159.5679931640625</v>
      </c>
      <c r="I800" s="29">
        <f>IF(履歴データ!$A$800="","",履歴データ!$Q$800)</f>
        <v>112.03125</v>
      </c>
      <c r="J800" s="29">
        <f>IF(履歴データ!$A$800="","",履歴データ!$D$800)</f>
        <v>4.2300000000000004</v>
      </c>
      <c r="K800" s="28">
        <f>IF(OR(履歴データ!$A$800="",履歴データ!$A$799=""),"",B800-B799)</f>
        <v>-0.49999999999998934</v>
      </c>
      <c r="L800" s="28">
        <f>IF(OR(履歴データ!$A$800="",履歴データ!$A$799=""),"",C800-C799)</f>
        <v>1.6000000000000014</v>
      </c>
      <c r="M800" s="28">
        <f>IF(OR(履歴データ!$A$800="",履歴データ!$A$799=""),"",D800-D799)</f>
        <v>-8.2999999999999545</v>
      </c>
      <c r="N800" s="28">
        <f>IF(OR(履歴データ!$A$800="",履歴データ!$A$799=""),"",E800-E799)</f>
        <v>2.0000000000000426</v>
      </c>
      <c r="O800" s="28">
        <f>IF(OR(履歴データ!$A$800="",履歴データ!$A$799=""),"",F800-F799)</f>
        <v>4.6599999999999682</v>
      </c>
      <c r="P800" s="28">
        <f>IF(OR(履歴データ!$A$800="",履歴データ!$A$799=""),"",G800-G799)</f>
        <v>3.321821411132845</v>
      </c>
      <c r="Q800" s="29">
        <f>IF(OR(履歴データ!$A$800="",履歴データ!$A$799=""),"",H800-H799)</f>
        <v>0.36199951171875</v>
      </c>
      <c r="R800" s="29">
        <f>IF(OR(履歴データ!$A$800="",履歴データ!$A$799=""),"",I800-I799)</f>
        <v>0.46875</v>
      </c>
      <c r="S800" s="28">
        <f>IF(OR(履歴データ!$A$800="",履歴データ!$A$799=""),"",(J800-J799)*100)</f>
        <v>-4.9999999999999822</v>
      </c>
      <c r="T800" s="11">
        <f>IF(OR(履歴データ!$A$800="",履歴データ!$A$799=""),"",-80000*K800)</f>
        <v>39999.999999999149</v>
      </c>
      <c r="U800" s="11">
        <f>IF(OR(履歴データ!$A$800="",履歴データ!$A$799=""),"",60000*L800)</f>
        <v>96000.000000000087</v>
      </c>
      <c r="V800" s="11">
        <f>IF(OR(履歴データ!$A$800="",履歴データ!$A$799=""),"",-50000*M800)</f>
        <v>414999.99999999773</v>
      </c>
      <c r="W800" s="11">
        <f>IF(OR(履歴データ!$A$800="",履歴データ!$A$799=""),"",-40000*N800)</f>
        <v>-80000.000000001703</v>
      </c>
      <c r="X800" s="11">
        <f>IF(OR(履歴データ!$A$800="",履歴データ!$A$799=""),"",120*1000000*(-Q800/H799))</f>
        <v>-272853.68100593804</v>
      </c>
      <c r="Y800" s="11">
        <f>IF(OR(履歴データ!$A$800="",履歴データ!$A$799=""),"",40000*(-S800)+(-506.3)*R800*1000)</f>
        <v>-37328.125000000698</v>
      </c>
      <c r="Z800" s="11">
        <f>IF(OR(履歴データ!$A$800="",履歴データ!$A$799=""),"",-40000*O800)</f>
        <v>-186399.99999999872</v>
      </c>
      <c r="AA800" s="11">
        <f>IF(OR(履歴データ!$A$800="",履歴データ!$A$799=""),"",-40000*P800)</f>
        <v>-132872.85644531381</v>
      </c>
      <c r="AB800" s="11">
        <f>IF(履歴データ!$A$800="","",123.3)</f>
        <v>123.3</v>
      </c>
      <c r="AC800">
        <f>IF(履歴データ!$A$800="","",SUM(T800:AA800))</f>
        <v>-158454.66245125598</v>
      </c>
      <c r="AD800" s="29">
        <f>IF(履歴データ!$A$800="","",AC800/1000000)</f>
        <v>-0.15845466245125597</v>
      </c>
      <c r="AE800" s="29">
        <f>IF(履歴データ!$A$800="",AE799,AE799+AC800/1000000)</f>
        <v>68.842336800756243</v>
      </c>
      <c r="AF800" s="12">
        <f>IF(OR(履歴データ!$A$800="",AE799=0),"",(AE800-AE799)/AE799)</f>
        <v>-2.2964180423314935E-3</v>
      </c>
      <c r="AG800" s="29">
        <f t="shared" si="38"/>
        <v>102.17217746631495</v>
      </c>
      <c r="AH800" s="12">
        <f>IF(OR(履歴データ!$A$800="",AG800=0),"",AE800/AG800-1)</f>
        <v>-0.3262124924032983</v>
      </c>
      <c r="AJ800" s="28">
        <f t="shared" ca="1" si="36"/>
        <v>5.2774704330075091</v>
      </c>
      <c r="AK800" s="28">
        <f t="shared" ca="1" si="37"/>
        <v>-6.4282640838011647</v>
      </c>
    </row>
    <row r="801" spans="1:37">
      <c r="A801" s="10">
        <f>IF(履歴データ!$A$801="","",履歴データ!$A$801)</f>
        <v>46098</v>
      </c>
      <c r="B801" s="28">
        <f>IF(履歴データ!$A$801="","",(履歴データ!$D$801-(履歴データ!$B$801+履歴データ!$F$801)/2)*100)</f>
        <v>-6.4999999999999503</v>
      </c>
      <c r="C801" s="28">
        <f>IF(履歴データ!$A$801="","",(履歴データ!$H$801-(履歴データ!$G$801+履歴データ!$J$801)/2)*100)</f>
        <v>-11.799999999999988</v>
      </c>
      <c r="D801" s="28">
        <f>IF(履歴データ!$A$801="","",(履歴データ!$D$801-履歴データ!$H$801)*100)</f>
        <v>192.10000000000002</v>
      </c>
      <c r="E801" s="28">
        <f>IF(履歴データ!$A$801="","",(履歴データ!$D$801-履歴データ!$C$801)*100)</f>
        <v>41.000000000000014</v>
      </c>
      <c r="F801" s="28">
        <f>IF(履歴データ!$A$801="","",(履歴データ!$R$801-履歴データ!$D$801)*100)</f>
        <v>-307.43</v>
      </c>
      <c r="G801" s="28">
        <f>IF(履歴データ!$A$801="","",(履歴データ!$S$801-履歴データ!$R$801)*100)</f>
        <v>122.86882141113263</v>
      </c>
      <c r="H801" s="29">
        <f>IF(履歴データ!$A$801="","",履歴データ!$O$801)</f>
        <v>159.10499572753906</v>
      </c>
      <c r="I801" s="29">
        <f>IF(履歴データ!$A$801="","",履歴データ!$Q$801)</f>
        <v>112.140625</v>
      </c>
      <c r="J801" s="29">
        <f>IF(履歴データ!$A$801="","",履歴データ!$D$801)</f>
        <v>4.2</v>
      </c>
      <c r="K801" s="28">
        <f>IF(OR(履歴データ!$A$801="",履歴データ!$A$800=""),"",B801-B800)</f>
        <v>-2.4999999999999467</v>
      </c>
      <c r="L801" s="28">
        <f>IF(OR(履歴データ!$A$801="",履歴データ!$A$800=""),"",C801-C800)</f>
        <v>-0.49999999999998934</v>
      </c>
      <c r="M801" s="28">
        <f>IF(OR(履歴データ!$A$801="",履歴データ!$A$800=""),"",D801-D800)</f>
        <v>-2.1000000000000512</v>
      </c>
      <c r="N801" s="28">
        <f>IF(OR(履歴データ!$A$801="",履歴データ!$A$800=""),"",E801-E800)</f>
        <v>-2.0000000000000426</v>
      </c>
      <c r="O801" s="28">
        <f>IF(OR(履歴データ!$A$801="",履歴データ!$A$800=""),"",F801-F800)</f>
        <v>-0.41999999999995907</v>
      </c>
      <c r="P801" s="28">
        <f>IF(OR(履歴データ!$A$801="",履歴データ!$A$800=""),"",G801-G800)</f>
        <v>1.4906428222655279</v>
      </c>
      <c r="Q801" s="29">
        <f>IF(OR(履歴データ!$A$801="",履歴データ!$A$800=""),"",H801-H800)</f>
        <v>-0.4629974365234375</v>
      </c>
      <c r="R801" s="29">
        <f>IF(OR(履歴データ!$A$801="",履歴データ!$A$800=""),"",I801-I800)</f>
        <v>0.109375</v>
      </c>
      <c r="S801" s="28">
        <f>IF(OR(履歴データ!$A$801="",履歴データ!$A$800=""),"",(J801-J800)*100)</f>
        <v>-3.0000000000000249</v>
      </c>
      <c r="T801" s="11">
        <f>IF(OR(履歴データ!$A$801="",履歴データ!$A$800=""),"",-80000*K801)</f>
        <v>199999.99999999575</v>
      </c>
      <c r="U801" s="11">
        <f>IF(OR(履歴データ!$A$801="",履歴データ!$A$800=""),"",60000*L801)</f>
        <v>-29999.99999999936</v>
      </c>
      <c r="V801" s="11">
        <f>IF(OR(履歴データ!$A$801="",履歴データ!$A$800=""),"",-50000*M801)</f>
        <v>105000.00000000256</v>
      </c>
      <c r="W801" s="11">
        <f>IF(OR(履歴データ!$A$801="",履歴データ!$A$800=""),"",-40000*N801)</f>
        <v>80000.000000001703</v>
      </c>
      <c r="X801" s="11">
        <f>IF(OR(履歴データ!$A$801="",履歴データ!$A$800=""),"",120*1000000*(-Q801/H800))</f>
        <v>348188.20040988969</v>
      </c>
      <c r="Y801" s="11">
        <f>IF(OR(履歴データ!$A$801="",履歴データ!$A$800=""),"",40000*(-S801)+(-506.3)*R801*1000)</f>
        <v>64623.43750000099</v>
      </c>
      <c r="Z801" s="11">
        <f>IF(OR(履歴データ!$A$801="",履歴データ!$A$800=""),"",-40000*O801)</f>
        <v>16799.999999998363</v>
      </c>
      <c r="AA801" s="11">
        <f>IF(OR(履歴データ!$A$801="",履歴データ!$A$800=""),"",-40000*P801)</f>
        <v>-59625.712890621115</v>
      </c>
      <c r="AB801" s="11">
        <f>IF(履歴データ!$A$801="","",123.3)</f>
        <v>123.3</v>
      </c>
      <c r="AC801">
        <f>IF(履歴データ!$A$801="","",SUM(T801:AA801))</f>
        <v>724985.92501926853</v>
      </c>
      <c r="AD801" s="29">
        <f>IF(履歴データ!$A$801="","",AC801/1000000)</f>
        <v>0.72498592501926851</v>
      </c>
      <c r="AE801" s="29">
        <f>IF(履歴データ!$A$801="",AE800,AE800+AC801/1000000)</f>
        <v>69.567322725775512</v>
      </c>
      <c r="AF801" s="12">
        <f>IF(OR(履歴データ!$A$801="",AE800=0),"",(AE801-AE800)/AE800)</f>
        <v>1.0531105693252767E-2</v>
      </c>
      <c r="AG801" s="29">
        <f t="shared" si="38"/>
        <v>102.17217746631495</v>
      </c>
      <c r="AH801" s="12">
        <f>IF(OR(履歴データ!$A$801="",AG801=0),"",AE801/AG801-1)</f>
        <v>-0.31911676494600405</v>
      </c>
      <c r="AJ801" s="28">
        <f t="shared" ca="1" si="36"/>
        <v>5.2985963291374176</v>
      </c>
      <c r="AK801" s="28">
        <f t="shared" ca="1" si="37"/>
        <v>-6.5009772815183737</v>
      </c>
    </row>
    <row r="802" spans="1:37">
      <c r="A802" s="10">
        <f>IF(履歴データ!$A$802="","",履歴データ!$A$802)</f>
        <v>46099</v>
      </c>
      <c r="B802" s="28">
        <f>IF(履歴データ!$A$802="","",(履歴データ!$D$802-(履歴データ!$B$802+履歴データ!$F$802)/2)*100)</f>
        <v>-6.0000000000000497</v>
      </c>
      <c r="C802" s="28">
        <f>IF(履歴データ!$A$802="","",(履歴データ!$H$802-(履歴データ!$G$802+履歴データ!$J$802)/2)*100)</f>
        <v>-13.050000000000006</v>
      </c>
      <c r="D802" s="28">
        <f>IF(履歴データ!$A$802="","",(履歴データ!$D$802-履歴データ!$H$802)*100)</f>
        <v>202.89999999999998</v>
      </c>
      <c r="E802" s="28">
        <f>IF(履歴データ!$A$802="","",(履歴データ!$D$802-履歴データ!$C$802)*100)</f>
        <v>38.999999999999972</v>
      </c>
      <c r="F802" s="28">
        <f>IF(履歴データ!$A$802="","",(履歴データ!$R$802-履歴データ!$D$802)*100)</f>
        <v>-319.06</v>
      </c>
      <c r="G802" s="28">
        <f>IF(履歴データ!$A$802="","",(履歴データ!$S$802-履歴データ!$R$802)*100)</f>
        <v>119.20264282226557</v>
      </c>
      <c r="H802" s="29">
        <f>IF(履歴データ!$A$802="","",履歴データ!$O$802)</f>
        <v>158.88900756835938</v>
      </c>
      <c r="I802" s="29">
        <f>IF(履歴データ!$A$802="","",履歴データ!$Q$802)</f>
        <v>111.6875</v>
      </c>
      <c r="J802" s="29">
        <f>IF(履歴データ!$A$802="","",履歴データ!$D$802)</f>
        <v>4.26</v>
      </c>
      <c r="K802" s="28">
        <f>IF(OR(履歴データ!$A$802="",履歴データ!$A$801=""),"",B802-B801)</f>
        <v>0.49999999999990052</v>
      </c>
      <c r="L802" s="28">
        <f>IF(OR(履歴データ!$A$802="",履歴データ!$A$801=""),"",C802-C801)</f>
        <v>-1.2500000000000178</v>
      </c>
      <c r="M802" s="28">
        <f>IF(OR(履歴データ!$A$802="",履歴データ!$A$801=""),"",D802-D801)</f>
        <v>10.799999999999955</v>
      </c>
      <c r="N802" s="28">
        <f>IF(OR(履歴データ!$A$802="",履歴データ!$A$801=""),"",E802-E801)</f>
        <v>-2.0000000000000426</v>
      </c>
      <c r="O802" s="28">
        <f>IF(OR(履歴データ!$A$802="",履歴データ!$A$801=""),"",F802-F801)</f>
        <v>-11.629999999999995</v>
      </c>
      <c r="P802" s="28">
        <f>IF(OR(履歴データ!$A$802="",履歴データ!$A$801=""),"",G802-G801)</f>
        <v>-3.6661785888670551</v>
      </c>
      <c r="Q802" s="29">
        <f>IF(OR(履歴データ!$A$802="",履歴データ!$A$801=""),"",H802-H801)</f>
        <v>-0.2159881591796875</v>
      </c>
      <c r="R802" s="29">
        <f>IF(OR(履歴データ!$A$802="",履歴データ!$A$801=""),"",I802-I801)</f>
        <v>-0.453125</v>
      </c>
      <c r="S802" s="28">
        <f>IF(OR(履歴データ!$A$802="",履歴データ!$A$801=""),"",(J802-J801)*100)</f>
        <v>5.9999999999999609</v>
      </c>
      <c r="T802" s="11">
        <f>IF(OR(履歴データ!$A$802="",履歴データ!$A$801=""),"",-80000*K802)</f>
        <v>-39999.99999999204</v>
      </c>
      <c r="U802" s="11">
        <f>IF(OR(履歴データ!$A$802="",履歴データ!$A$801=""),"",60000*L802)</f>
        <v>-75000.000000001062</v>
      </c>
      <c r="V802" s="11">
        <f>IF(OR(履歴データ!$A$802="",履歴データ!$A$801=""),"",-50000*M802)</f>
        <v>-539999.99999999767</v>
      </c>
      <c r="W802" s="11">
        <f>IF(OR(履歴データ!$A$802="",履歴データ!$A$801=""),"",-40000*N802)</f>
        <v>80000.000000001703</v>
      </c>
      <c r="X802" s="11">
        <f>IF(OR(履歴データ!$A$802="",履歴データ!$A$801=""),"",120*1000000*(-Q802/H801))</f>
        <v>162902.3588042894</v>
      </c>
      <c r="Y802" s="11">
        <f>IF(OR(履歴データ!$A$802="",履歴データ!$A$801=""),"",40000*(-S802)+(-506.3)*R802*1000)</f>
        <v>-10582.812499998428</v>
      </c>
      <c r="Z802" s="11">
        <f>IF(OR(履歴データ!$A$802="",履歴データ!$A$801=""),"",-40000*O802)</f>
        <v>465199.99999999983</v>
      </c>
      <c r="AA802" s="11">
        <f>IF(OR(履歴データ!$A$802="",履歴データ!$A$801=""),"",-40000*P802)</f>
        <v>146647.1435546822</v>
      </c>
      <c r="AB802" s="11">
        <f>IF(履歴データ!$A$802="","",123.3)</f>
        <v>123.3</v>
      </c>
      <c r="AC802">
        <f>IF(履歴データ!$A$802="","",SUM(T802:AA802))</f>
        <v>189166.68985898391</v>
      </c>
      <c r="AD802" s="29">
        <f>IF(履歴データ!$A$802="","",AC802/1000000)</f>
        <v>0.18916668985898391</v>
      </c>
      <c r="AE802" s="29">
        <f>IF(履歴データ!$A$802="",AE801,AE801+AC802/1000000)</f>
        <v>69.756489415634491</v>
      </c>
      <c r="AF802" s="12">
        <f>IF(OR(履歴データ!$A$802="",AE801=0),"",(AE802-AE801)/AE801)</f>
        <v>2.7191888726931057E-3</v>
      </c>
      <c r="AG802" s="29">
        <f t="shared" si="38"/>
        <v>102.17217746631495</v>
      </c>
      <c r="AH802" s="12">
        <f>IF(OR(履歴データ!$A$802="",AG802=0),"",AE802/AG802-1)</f>
        <v>-0.31726531482964193</v>
      </c>
      <c r="AJ802" s="28">
        <f t="shared" ca="1" si="36"/>
        <v>5.310185585111304</v>
      </c>
      <c r="AK802" s="28">
        <f t="shared" ca="1" si="37"/>
        <v>-6.5641538390795624</v>
      </c>
    </row>
    <row r="803" spans="1:37">
      <c r="A803" s="10">
        <f>IF(履歴データ!$A$803="","",履歴データ!$A$803)</f>
        <v>46100</v>
      </c>
      <c r="B803" s="28">
        <f>IF(履歴データ!$A$803="","",(履歴データ!$D$803-(履歴データ!$B$803+履歴データ!$F$803)/2)*100)</f>
        <v>-6.0000000000000497</v>
      </c>
      <c r="C803" s="28">
        <f>IF(履歴データ!$A$803="","",(履歴データ!$H$803-(履歴データ!$G$803+履歴データ!$J$803)/2)*100)</f>
        <v>-11.099999999999977</v>
      </c>
      <c r="D803" s="28">
        <f>IF(履歴データ!$A$803="","",(履歴データ!$D$803-履歴データ!$H$803)*100)</f>
        <v>197.7</v>
      </c>
      <c r="E803" s="28">
        <f>IF(履歴データ!$A$803="","",(履歴データ!$D$803-履歴データ!$C$803)*100)</f>
        <v>37.000000000000014</v>
      </c>
      <c r="F803" s="28">
        <f>IF(履歴データ!$A$803="","",(履歴データ!$R$803-履歴データ!$D$803)*100)</f>
        <v>-313.33999999999997</v>
      </c>
      <c r="G803" s="28">
        <f>IF(履歴データ!$A$803="","",(履歴データ!$S$803-履歴データ!$R$803)*100)</f>
        <v>123.42799999999983</v>
      </c>
      <c r="H803" s="29">
        <f>IF(履歴データ!$A$803="","",履歴データ!$O$803)</f>
        <v>159.79499816894531</v>
      </c>
      <c r="I803" s="29">
        <f>IF(履歴データ!$A$803="","",履歴データ!$Q$803)</f>
        <v>111.359375</v>
      </c>
      <c r="J803" s="29">
        <f>IF(履歴データ!$A$803="","",履歴データ!$D$803)</f>
        <v>4.25</v>
      </c>
      <c r="K803" s="28">
        <f>IF(OR(履歴データ!$A$803="",履歴データ!$A$802=""),"",B803-B802)</f>
        <v>0</v>
      </c>
      <c r="L803" s="28">
        <f>IF(OR(履歴データ!$A$803="",履歴データ!$A$802=""),"",C803-C802)</f>
        <v>1.9500000000000295</v>
      </c>
      <c r="M803" s="28">
        <f>IF(OR(履歴データ!$A$803="",履歴データ!$A$802=""),"",D803-D802)</f>
        <v>-5.1999999999999886</v>
      </c>
      <c r="N803" s="28">
        <f>IF(OR(履歴データ!$A$803="",履歴データ!$A$802=""),"",E803-E802)</f>
        <v>-1.9999999999999574</v>
      </c>
      <c r="O803" s="28">
        <f>IF(OR(履歴データ!$A$803="",履歴データ!$A$802=""),"",F803-F802)</f>
        <v>5.7200000000000273</v>
      </c>
      <c r="P803" s="28">
        <f>IF(OR(履歴データ!$A$803="",履歴データ!$A$802=""),"",G803-G802)</f>
        <v>4.2253571777342529</v>
      </c>
      <c r="Q803" s="29">
        <f>IF(OR(履歴データ!$A$803="",履歴データ!$A$802=""),"",H803-H802)</f>
        <v>0.9059906005859375</v>
      </c>
      <c r="R803" s="29">
        <f>IF(OR(履歴データ!$A$803="",履歴データ!$A$802=""),"",I803-I802)</f>
        <v>-0.328125</v>
      </c>
      <c r="S803" s="28">
        <f>IF(OR(履歴データ!$A$803="",履歴データ!$A$802=""),"",(J803-J802)*100)</f>
        <v>-0.99999999999997868</v>
      </c>
      <c r="T803" s="11">
        <f>IF(OR(履歴データ!$A$803="",履歴データ!$A$802=""),"",-80000*K803)</f>
        <v>0</v>
      </c>
      <c r="U803" s="11">
        <f>IF(OR(履歴データ!$A$803="",履歴データ!$A$802=""),"",60000*L803)</f>
        <v>117000.00000000178</v>
      </c>
      <c r="V803" s="11">
        <f>IF(OR(履歴データ!$A$803="",履歴データ!$A$802=""),"",-50000*M803)</f>
        <v>259999.99999999942</v>
      </c>
      <c r="W803" s="11">
        <f>IF(OR(履歴データ!$A$803="",履歴データ!$A$802=""),"",-40000*N803)</f>
        <v>79999.999999998297</v>
      </c>
      <c r="X803" s="11">
        <f>IF(OR(履歴データ!$A$803="",履歴データ!$A$802=""),"",120*1000000*(-Q803/H802))</f>
        <v>-684244.13830854848</v>
      </c>
      <c r="Y803" s="11">
        <f>IF(OR(履歴データ!$A$803="",履歴データ!$A$802=""),"",40000*(-S803)+(-506.3)*R803*1000)</f>
        <v>206129.68749999919</v>
      </c>
      <c r="Z803" s="11">
        <f>IF(OR(履歴データ!$A$803="",履歴データ!$A$802=""),"",-40000*O803)</f>
        <v>-228800.00000000111</v>
      </c>
      <c r="AA803" s="11">
        <f>IF(OR(履歴データ!$A$803="",履歴データ!$A$802=""),"",-40000*P803)</f>
        <v>-169014.28710937011</v>
      </c>
      <c r="AB803" s="11">
        <f>IF(履歴データ!$A$803="","",123.3)</f>
        <v>123.3</v>
      </c>
      <c r="AC803">
        <f>IF(履歴データ!$A$803="","",SUM(T803:AA803))</f>
        <v>-418928.73791792104</v>
      </c>
      <c r="AD803" s="29">
        <f>IF(履歴データ!$A$803="","",AC803/1000000)</f>
        <v>-0.41892873791792101</v>
      </c>
      <c r="AE803" s="29">
        <f>IF(履歴データ!$A$803="",AE802,AE802+AC803/1000000)</f>
        <v>69.337560677716567</v>
      </c>
      <c r="AF803" s="12">
        <f>IF(OR(履歴データ!$A$803="",AE802=0),"",(AE803-AE802)/AE802)</f>
        <v>-6.0055880309829507E-3</v>
      </c>
      <c r="AG803" s="29">
        <f t="shared" si="38"/>
        <v>102.17217746631495</v>
      </c>
      <c r="AH803" s="12">
        <f>IF(OR(履歴データ!$A$803="",AG803=0),"",AE803/AG803-1)</f>
        <v>-0.32136553808323798</v>
      </c>
      <c r="AJ803" s="28">
        <f t="shared" ca="1" si="36"/>
        <v>5.3286456597264396</v>
      </c>
      <c r="AK803" s="28">
        <f t="shared" ca="1" si="37"/>
        <v>-6.6222964533772375</v>
      </c>
    </row>
    <row r="804" spans="1:37">
      <c r="A804" s="10">
        <f>IF(履歴データ!$A$804="","",履歴データ!$A$804)</f>
        <v>46101</v>
      </c>
      <c r="B804" s="28">
        <f>IF(履歴データ!$A$804="","",(履歴データ!$D$804-(履歴データ!$B$804+履歴データ!$F$804)/2)*100)</f>
        <v>-3.0000000000000249</v>
      </c>
      <c r="C804" s="28">
        <f>IF(履歴データ!$A$804="","",(履歴データ!$H$804-(履歴データ!$G$804+履歴データ!$J$804)/2)*100)</f>
        <v>-11.099999999999977</v>
      </c>
      <c r="D804" s="28">
        <f>IF(履歴データ!$A$804="","",(履歴データ!$D$804-履歴データ!$H$804)*100)</f>
        <v>211.69999999999996</v>
      </c>
      <c r="E804" s="28">
        <f>IF(履歴データ!$A$804="","",(履歴データ!$D$804-履歴データ!$C$804)*100)</f>
        <v>37.999999999999986</v>
      </c>
      <c r="F804" s="28">
        <f>IF(履歴データ!$A$804="","",(履歴データ!$R$804-履歴データ!$D$804)*100)</f>
        <v>-322.14</v>
      </c>
      <c r="G804" s="28">
        <f>IF(履歴データ!$A$804="","",(履歴データ!$S$804-履歴データ!$R$804)*100)</f>
        <v>118.22799999999982</v>
      </c>
      <c r="H804" s="29">
        <f>IF(履歴データ!$A$804="","",履歴データ!$O$804)</f>
        <v>157.92399597167969</v>
      </c>
      <c r="I804" s="29">
        <f>IF(履歴データ!$A$804="","",履歴データ!$Q$804)</f>
        <v>110.796875</v>
      </c>
      <c r="J804" s="29">
        <f>IF(履歴データ!$A$804="","",履歴データ!$D$804)</f>
        <v>4.3899999999999997</v>
      </c>
      <c r="K804" s="28">
        <f>IF(OR(履歴データ!$A$804="",履歴データ!$A$803=""),"",B804-B803)</f>
        <v>3.0000000000000249</v>
      </c>
      <c r="L804" s="28">
        <f>IF(OR(履歴データ!$A$804="",履歴データ!$A$803=""),"",C804-C803)</f>
        <v>0</v>
      </c>
      <c r="M804" s="28">
        <f>IF(OR(履歴データ!$A$804="",履歴データ!$A$803=""),"",D804-D803)</f>
        <v>13.999999999999972</v>
      </c>
      <c r="N804" s="28">
        <f>IF(OR(履歴データ!$A$804="",履歴データ!$A$803=""),"",E804-E803)</f>
        <v>0.99999999999997158</v>
      </c>
      <c r="O804" s="28">
        <f>IF(OR(履歴データ!$A$804="",履歴データ!$A$803=""),"",F804-F803)</f>
        <v>-8.8000000000000114</v>
      </c>
      <c r="P804" s="28">
        <f>IF(OR(履歴データ!$A$804="",履歴データ!$A$803=""),"",G804-G803)</f>
        <v>-5.2000000000000028</v>
      </c>
      <c r="Q804" s="29">
        <f>IF(OR(履歴データ!$A$804="",履歴データ!$A$803=""),"",H804-H803)</f>
        <v>-1.871002197265625</v>
      </c>
      <c r="R804" s="29">
        <f>IF(OR(履歴データ!$A$804="",履歴データ!$A$803=""),"",I804-I803)</f>
        <v>-0.5625</v>
      </c>
      <c r="S804" s="28">
        <f>IF(OR(履歴データ!$A$804="",履歴データ!$A$803=""),"",(J804-J803)*100)</f>
        <v>13.999999999999968</v>
      </c>
      <c r="T804" s="11">
        <f>IF(OR(履歴データ!$A$804="",履歴データ!$A$803=""),"",-80000*K804)</f>
        <v>-240000.00000000198</v>
      </c>
      <c r="U804" s="11">
        <f>IF(OR(履歴データ!$A$804="",履歴データ!$A$803=""),"",60000*L804)</f>
        <v>0</v>
      </c>
      <c r="V804" s="11">
        <f>IF(OR(履歴データ!$A$804="",履歴データ!$A$803=""),"",-50000*M804)</f>
        <v>-699999.9999999986</v>
      </c>
      <c r="W804" s="11">
        <f>IF(OR(履歴データ!$A$804="",履歴データ!$A$803=""),"",-40000*N804)</f>
        <v>-39999.999999998865</v>
      </c>
      <c r="X804" s="11">
        <f>IF(OR(履歴データ!$A$804="",履歴データ!$A$803=""),"",120*1000000*(-Q804/H803))</f>
        <v>1405051.8867586709</v>
      </c>
      <c r="Y804" s="11">
        <f>IF(OR(履歴データ!$A$804="",履歴データ!$A$803=""),"",40000*(-S804)+(-506.3)*R804*1000)</f>
        <v>-275206.24999999872</v>
      </c>
      <c r="Z804" s="11">
        <f>IF(OR(履歴データ!$A$804="",履歴データ!$A$803=""),"",-40000*O804)</f>
        <v>352000.00000000047</v>
      </c>
      <c r="AA804" s="11">
        <f>IF(OR(履歴データ!$A$804="",履歴データ!$A$803=""),"",-40000*P804)</f>
        <v>208000.00000000012</v>
      </c>
      <c r="AB804" s="11">
        <f>IF(履歴データ!$A$804="","",123.3)</f>
        <v>123.3</v>
      </c>
      <c r="AC804">
        <f>IF(履歴データ!$A$804="","",SUM(T804:AA804))</f>
        <v>709845.63675867335</v>
      </c>
      <c r="AD804" s="29">
        <f>IF(履歴データ!$A$804="","",AC804/1000000)</f>
        <v>0.7098456367586734</v>
      </c>
      <c r="AE804" s="29">
        <f>IF(履歴データ!$A$804="",AE803,AE803+AC804/1000000)</f>
        <v>70.047406314475239</v>
      </c>
      <c r="AF804" s="12">
        <f>IF(OR(履歴データ!$A$804="",AE803=0),"",(AE804-AE803)/AE803)</f>
        <v>1.0237534026587114E-2</v>
      </c>
      <c r="AG804" s="29">
        <f t="shared" si="38"/>
        <v>102.17217746631495</v>
      </c>
      <c r="AH804" s="12">
        <f>IF(OR(履歴データ!$A$804="",AG804=0),"",AE804/AG804-1)</f>
        <v>-0.31441799468775045</v>
      </c>
      <c r="AJ804" s="28">
        <f t="shared" ca="1" si="36"/>
        <v>5.3296123918241296</v>
      </c>
      <c r="AK804" s="28">
        <f t="shared" ca="1" si="37"/>
        <v>-6.6311996934114354</v>
      </c>
    </row>
    <row r="805" spans="1:37">
      <c r="A805" s="10">
        <f>IF(履歴データ!$A$805="","",履歴データ!$A$805)</f>
        <v>46104</v>
      </c>
      <c r="B805" s="28">
        <f>IF(履歴データ!$A$805="","",(履歴データ!$D$805-(履歴データ!$B$805+履歴データ!$F$805)/2)*100)</f>
        <v>-3.0000000000000249</v>
      </c>
      <c r="C805" s="28">
        <f>IF(履歴データ!$A$805="","",(履歴データ!$H$805-(履歴データ!$G$805+履歴データ!$J$805)/2)*100)</f>
        <v>-9.4500000000000028</v>
      </c>
      <c r="D805" s="28">
        <f>IF(履歴データ!$A$805="","",(履歴データ!$D$805-履歴データ!$H$805)*100)</f>
        <v>201.79999999999998</v>
      </c>
      <c r="E805" s="28">
        <f>IF(履歴データ!$A$805="","",(履歴データ!$D$805-履歴データ!$C$805)*100)</f>
        <v>38.999999999999972</v>
      </c>
      <c r="F805" s="28">
        <f>IF(履歴データ!$A$805="","",(履歴データ!$R$805-履歴データ!$D$805)*100)</f>
        <v>-313.25</v>
      </c>
      <c r="G805" s="28">
        <f>IF(履歴データ!$A$805="","",(履歴データ!$S$805-履歴データ!$R$805)*100)</f>
        <v>119.59999999999992</v>
      </c>
      <c r="H805" s="29">
        <f>IF(履歴データ!$A$805="","",履歴データ!$O$805)</f>
        <v>159.23399353027344</v>
      </c>
      <c r="I805" s="29">
        <f>IF(履歴データ!$A$805="","",履歴データ!$Q$805)</f>
        <v>110.921875</v>
      </c>
      <c r="J805" s="29">
        <f>IF(履歴データ!$A$805="","",履歴データ!$D$805)</f>
        <v>4.34</v>
      </c>
      <c r="K805" s="28">
        <f>IF(OR(履歴データ!$A$805="",履歴データ!$A$804=""),"",B805-B804)</f>
        <v>0</v>
      </c>
      <c r="L805" s="28">
        <f>IF(OR(履歴データ!$A$805="",履歴データ!$A$804=""),"",C805-C804)</f>
        <v>1.6499999999999737</v>
      </c>
      <c r="M805" s="28">
        <f>IF(OR(履歴データ!$A$805="",履歴データ!$A$804=""),"",D805-D804)</f>
        <v>-9.8999999999999773</v>
      </c>
      <c r="N805" s="28">
        <f>IF(OR(履歴データ!$A$805="",履歴データ!$A$804=""),"",E805-E804)</f>
        <v>0.99999999999998579</v>
      </c>
      <c r="O805" s="28">
        <f>IF(OR(履歴データ!$A$805="",履歴データ!$A$804=""),"",F805-F804)</f>
        <v>8.8899999999999864</v>
      </c>
      <c r="P805" s="28">
        <f>IF(OR(履歴データ!$A$805="",履歴データ!$A$804=""),"",G805-G804)</f>
        <v>1.3720000000000994</v>
      </c>
      <c r="Q805" s="29">
        <f>IF(OR(履歴データ!$A$805="",履歴データ!$A$804=""),"",H805-H804)</f>
        <v>1.30999755859375</v>
      </c>
      <c r="R805" s="29">
        <f>IF(OR(履歴データ!$A$805="",履歴データ!$A$804=""),"",I805-I804)</f>
        <v>0.125</v>
      </c>
      <c r="S805" s="28">
        <f>IF(OR(履歴データ!$A$805="",履歴データ!$A$804=""),"",(J805-J804)*100)</f>
        <v>-4.9999999999999822</v>
      </c>
      <c r="T805" s="11">
        <f>IF(OR(履歴データ!$A$805="",履歴データ!$A$804=""),"",-80000*K805)</f>
        <v>0</v>
      </c>
      <c r="U805" s="11">
        <f>IF(OR(履歴データ!$A$805="",履歴データ!$A$804=""),"",60000*L805)</f>
        <v>98999.999999998428</v>
      </c>
      <c r="V805" s="11">
        <f>IF(OR(履歴データ!$A$805="",履歴データ!$A$804=""),"",-50000*M805)</f>
        <v>494999.99999999884</v>
      </c>
      <c r="W805" s="11">
        <f>IF(OR(履歴データ!$A$805="",履歴データ!$A$804=""),"",-40000*N805)</f>
        <v>-39999.999999999432</v>
      </c>
      <c r="X805" s="11">
        <f>IF(OR(履歴データ!$A$805="",履歴データ!$A$804=""),"",120*1000000*(-Q805/H804))</f>
        <v>-995413.68659035466</v>
      </c>
      <c r="Y805" s="11">
        <f>IF(OR(履歴データ!$A$805="",履歴データ!$A$804=""),"",40000*(-S805)+(-506.3)*R805*1000)</f>
        <v>136712.4999999993</v>
      </c>
      <c r="Z805" s="11">
        <f>IF(OR(履歴データ!$A$805="",履歴データ!$A$804=""),"",-40000*O805)</f>
        <v>-355599.99999999948</v>
      </c>
      <c r="AA805" s="11">
        <f>IF(OR(履歴データ!$A$805="",履歴データ!$A$804=""),"",-40000*P805)</f>
        <v>-54880.000000003973</v>
      </c>
      <c r="AB805" s="11">
        <f>IF(履歴データ!$A$805="","",123.3)</f>
        <v>123.3</v>
      </c>
      <c r="AC805">
        <f>IF(履歴データ!$A$805="","",SUM(T805:AA805))</f>
        <v>-715181.18659036094</v>
      </c>
      <c r="AD805" s="29">
        <f>IF(履歴データ!$A$805="","",AC805/1000000)</f>
        <v>-0.7151811865903609</v>
      </c>
      <c r="AE805" s="29">
        <f>IF(履歴データ!$A$805="",AE804,AE804+AC805/1000000)</f>
        <v>69.332225127884882</v>
      </c>
      <c r="AF805" s="12">
        <f>IF(OR(履歴データ!$A$805="",AE804=0),"",(AE805-AE804)/AE804)</f>
        <v>-1.0209959571944425E-2</v>
      </c>
      <c r="AG805" s="29">
        <f t="shared" si="38"/>
        <v>102.17217746631495</v>
      </c>
      <c r="AH805" s="12">
        <f>IF(OR(履歴データ!$A$805="",AG805=0),"",AE805/AG805-1)</f>
        <v>-0.32141775924524107</v>
      </c>
      <c r="AJ805" s="28">
        <f t="shared" ca="1" si="36"/>
        <v>5.3305644892834243</v>
      </c>
      <c r="AK805" s="28">
        <f t="shared" ca="1" si="37"/>
        <v>-6.6400882988072381</v>
      </c>
    </row>
    <row r="806" spans="1:37">
      <c r="A806" s="10">
        <f>IF(履歴データ!$A$806="","",履歴データ!$A$806)</f>
        <v>46105</v>
      </c>
      <c r="B806" s="28">
        <f>IF(履歴データ!$A$806="","",(履歴データ!$D$806-(履歴データ!$B$806+履歴データ!$F$806)/2)*100)</f>
        <v>-3.0000000000000249</v>
      </c>
      <c r="C806" s="28">
        <f>IF(履歴データ!$A$806="","",(履歴データ!$H$806-(履歴データ!$G$806+履歴データ!$J$806)/2)*100)</f>
        <v>-12.800000000000011</v>
      </c>
      <c r="D806" s="28">
        <f>IF(履歴データ!$A$806="","",(履歴データ!$D$806-履歴データ!$H$806)*100)</f>
        <v>210.79999999999995</v>
      </c>
      <c r="E806" s="28">
        <f>IF(履歴データ!$A$806="","",(履歴データ!$D$806-履歴データ!$C$806)*100)</f>
        <v>35.999999999999943</v>
      </c>
      <c r="F806" s="28">
        <f>IF(履歴データ!$A$806="","",(履歴データ!$R$806-履歴データ!$D$806)*100)</f>
        <v>-317.04999999999995</v>
      </c>
      <c r="G806" s="28">
        <f>IF(履歴データ!$A$806="","",(履歴データ!$S$806-履歴データ!$R$806)*100)</f>
        <v>116.11982141113266</v>
      </c>
      <c r="H806" s="29">
        <f>IF(履歴データ!$A$806="","",履歴データ!$O$806)</f>
        <v>158.47900390625</v>
      </c>
      <c r="I806" s="29">
        <f>IF(履歴データ!$A$806="","",履歴データ!$Q$806)</f>
        <v>110.421875</v>
      </c>
      <c r="J806" s="29">
        <f>IF(履歴データ!$A$806="","",履歴データ!$D$806)</f>
        <v>4.3899999999999997</v>
      </c>
      <c r="K806" s="28">
        <f>IF(OR(履歴データ!$A$806="",履歴データ!$A$805=""),"",B806-B805)</f>
        <v>0</v>
      </c>
      <c r="L806" s="28">
        <f>IF(OR(履歴データ!$A$806="",履歴データ!$A$805=""),"",C806-C805)</f>
        <v>-3.3500000000000085</v>
      </c>
      <c r="M806" s="28">
        <f>IF(OR(履歴データ!$A$806="",履歴データ!$A$805=""),"",D806-D805)</f>
        <v>8.9999999999999716</v>
      </c>
      <c r="N806" s="28">
        <f>IF(OR(履歴データ!$A$806="",履歴データ!$A$805=""),"",E806-E805)</f>
        <v>-3.0000000000000284</v>
      </c>
      <c r="O806" s="28">
        <f>IF(OR(履歴データ!$A$806="",履歴データ!$A$805=""),"",F806-F805)</f>
        <v>-3.7999999999999545</v>
      </c>
      <c r="P806" s="28">
        <f>IF(OR(履歴データ!$A$806="",履歴データ!$A$805=""),"",G806-G805)</f>
        <v>-3.4801785888672612</v>
      </c>
      <c r="Q806" s="29">
        <f>IF(OR(履歴データ!$A$806="",履歴データ!$A$805=""),"",H806-H805)</f>
        <v>-0.7549896240234375</v>
      </c>
      <c r="R806" s="29">
        <f>IF(OR(履歴データ!$A$806="",履歴データ!$A$805=""),"",I806-I805)</f>
        <v>-0.5</v>
      </c>
      <c r="S806" s="28">
        <f>IF(OR(履歴データ!$A$806="",履歴データ!$A$805=""),"",(J806-J805)*100)</f>
        <v>4.9999999999999822</v>
      </c>
      <c r="T806" s="11">
        <f>IF(OR(履歴データ!$A$806="",履歴データ!$A$805=""),"",-80000*K806)</f>
        <v>0</v>
      </c>
      <c r="U806" s="11">
        <f>IF(OR(履歴データ!$A$806="",履歴データ!$A$805=""),"",60000*L806)</f>
        <v>-201000.00000000052</v>
      </c>
      <c r="V806" s="11">
        <f>IF(OR(履歴データ!$A$806="",履歴データ!$A$805=""),"",-50000*M806)</f>
        <v>-449999.9999999986</v>
      </c>
      <c r="W806" s="11">
        <f>IF(OR(履歴データ!$A$806="",履歴データ!$A$805=""),"",-40000*N806)</f>
        <v>120000.00000000114</v>
      </c>
      <c r="X806" s="11">
        <f>IF(OR(履歴データ!$A$806="",履歴データ!$A$805=""),"",120*1000000*(-Q806/H805))</f>
        <v>568966.16654651659</v>
      </c>
      <c r="Y806" s="11">
        <f>IF(OR(履歴データ!$A$806="",履歴データ!$A$805=""),"",40000*(-S806)+(-506.3)*R806*1000)</f>
        <v>53150.000000000698</v>
      </c>
      <c r="Z806" s="11">
        <f>IF(OR(履歴データ!$A$806="",履歴データ!$A$805=""),"",-40000*O806)</f>
        <v>151999.9999999982</v>
      </c>
      <c r="AA806" s="11">
        <f>IF(OR(履歴データ!$A$806="",履歴データ!$A$805=""),"",-40000*P806)</f>
        <v>139207.14355469044</v>
      </c>
      <c r="AB806" s="11">
        <f>IF(履歴データ!$A$806="","",123.3)</f>
        <v>123.3</v>
      </c>
      <c r="AC806">
        <f>IF(履歴データ!$A$806="","",SUM(T806:AA806))</f>
        <v>382323.31010120804</v>
      </c>
      <c r="AD806" s="29">
        <f>IF(履歴データ!$A$806="","",AC806/1000000)</f>
        <v>0.38232331010120807</v>
      </c>
      <c r="AE806" s="29">
        <f>IF(履歴データ!$A$806="",AE805,AE805+AC806/1000000)</f>
        <v>69.714548437986096</v>
      </c>
      <c r="AF806" s="12">
        <f>IF(OR(履歴データ!$A$806="",AE805=0),"",(AE806-AE805)/AE805)</f>
        <v>5.5143666512362677E-3</v>
      </c>
      <c r="AG806" s="29">
        <f t="shared" si="38"/>
        <v>102.17217746631495</v>
      </c>
      <c r="AH806" s="12">
        <f>IF(OR(履歴データ!$A$806="",AG806=0),"",AE806/AG806-1)</f>
        <v>-0.31767580796670192</v>
      </c>
      <c r="AJ806" s="28">
        <f t="shared" ca="1" si="36"/>
        <v>5.3313677348760242</v>
      </c>
      <c r="AK806" s="28">
        <f t="shared" ca="1" si="37"/>
        <v>-6.644859798368091</v>
      </c>
    </row>
    <row r="807" spans="1:37">
      <c r="A807" s="10">
        <f>IF(履歴データ!$A$807="","",履歴データ!$A$807)</f>
        <v>46106</v>
      </c>
      <c r="B807" s="28">
        <f>IF(履歴データ!$A$807="","",(履歴データ!$D$807-(履歴データ!$B$807+履歴データ!$F$807)/2)*100)</f>
        <v>-3.5000000000000142</v>
      </c>
      <c r="C807" s="28">
        <f>IF(履歴データ!$A$807="","",(履歴データ!$H$807-(履歴データ!$G$807+履歴データ!$J$807)/2)*100)</f>
        <v>-13.100000000000023</v>
      </c>
      <c r="D807" s="28">
        <f>IF(履歴データ!$A$807="","",(履歴データ!$D$807-履歴データ!$H$807)*100)</f>
        <v>206.3</v>
      </c>
      <c r="E807" s="28">
        <f>IF(履歴データ!$A$807="","",(履歴データ!$D$807-履歴データ!$C$807)*100)</f>
        <v>37.000000000000014</v>
      </c>
      <c r="F807" s="28">
        <f>IF(履歴データ!$A$807="","",(履歴データ!$R$807-履歴データ!$D$807)*100)</f>
        <v>-311.52</v>
      </c>
      <c r="G807" s="28">
        <f>IF(履歴データ!$A$807="","",(履歴データ!$S$807-履歴データ!$R$807)*100)</f>
        <v>114.66035717773428</v>
      </c>
      <c r="H807" s="29">
        <f>IF(履歴データ!$A$807="","",履歴データ!$O$807)</f>
        <v>158.71800231933594</v>
      </c>
      <c r="I807" s="29">
        <f>IF(履歴データ!$A$807="","",履歴データ!$Q$807)</f>
        <v>110.890625</v>
      </c>
      <c r="J807" s="29">
        <f>IF(履歴データ!$A$807="","",履歴データ!$D$807)</f>
        <v>4.33</v>
      </c>
      <c r="K807" s="28">
        <f>IF(OR(履歴データ!$A$807="",履歴データ!$A$806=""),"",B807-B806)</f>
        <v>-0.49999999999998934</v>
      </c>
      <c r="L807" s="28">
        <f>IF(OR(履歴データ!$A$807="",履歴データ!$A$806=""),"",C807-C806)</f>
        <v>-0.30000000000001137</v>
      </c>
      <c r="M807" s="28">
        <f>IF(OR(履歴データ!$A$807="",履歴データ!$A$806=""),"",D807-D806)</f>
        <v>-4.4999999999999432</v>
      </c>
      <c r="N807" s="28">
        <f>IF(OR(履歴データ!$A$807="",履歴データ!$A$806=""),"",E807-E806)</f>
        <v>1.0000000000000711</v>
      </c>
      <c r="O807" s="28">
        <f>IF(OR(履歴データ!$A$807="",履歴データ!$A$806=""),"",F807-F806)</f>
        <v>5.5299999999999727</v>
      </c>
      <c r="P807" s="28">
        <f>IF(OR(履歴データ!$A$807="",履歴データ!$A$806=""),"",G807-G806)</f>
        <v>-1.4594642333983785</v>
      </c>
      <c r="Q807" s="29">
        <f>IF(OR(履歴データ!$A$807="",履歴データ!$A$806=""),"",H807-H806)</f>
        <v>0.2389984130859375</v>
      </c>
      <c r="R807" s="29">
        <f>IF(OR(履歴データ!$A$807="",履歴データ!$A$806=""),"",I807-I806)</f>
        <v>0.46875</v>
      </c>
      <c r="S807" s="28">
        <f>IF(OR(履歴データ!$A$807="",履歴データ!$A$806=""),"",(J807-J806)*100)</f>
        <v>-5.9999999999999609</v>
      </c>
      <c r="T807" s="11">
        <f>IF(OR(履歴データ!$A$807="",履歴データ!$A$806=""),"",-80000*K807)</f>
        <v>39999.999999999149</v>
      </c>
      <c r="U807" s="11">
        <f>IF(OR(履歴データ!$A$807="",履歴データ!$A$806=""),"",60000*L807)</f>
        <v>-18000.000000000684</v>
      </c>
      <c r="V807" s="11">
        <f>IF(OR(履歴データ!$A$807="",履歴データ!$A$806=""),"",-50000*M807)</f>
        <v>224999.99999999715</v>
      </c>
      <c r="W807" s="11">
        <f>IF(OR(履歴データ!$A$807="",履歴データ!$A$806=""),"",-40000*N807)</f>
        <v>-40000.000000002845</v>
      </c>
      <c r="X807" s="11">
        <f>IF(OR(履歴データ!$A$807="",履歴データ!$A$806=""),"",120*1000000*(-Q807/H806))</f>
        <v>-180969.14331489842</v>
      </c>
      <c r="Y807" s="11">
        <f>IF(OR(履歴データ!$A$807="",履歴データ!$A$806=""),"",40000*(-S807)+(-506.3)*R807*1000)</f>
        <v>2671.8749999984284</v>
      </c>
      <c r="Z807" s="11">
        <f>IF(OR(履歴データ!$A$807="",履歴データ!$A$806=""),"",-40000*O807)</f>
        <v>-221199.99999999889</v>
      </c>
      <c r="AA807" s="11">
        <f>IF(OR(履歴データ!$A$807="",履歴データ!$A$806=""),"",-40000*P807)</f>
        <v>58378.569335935143</v>
      </c>
      <c r="AB807" s="11">
        <f>IF(履歴データ!$A$807="","",123.3)</f>
        <v>123.3</v>
      </c>
      <c r="AC807">
        <f>IF(履歴データ!$A$807="","",SUM(T807:AA807))</f>
        <v>-134118.69897897099</v>
      </c>
      <c r="AD807" s="29">
        <f>IF(履歴データ!$A$807="","",AC807/1000000)</f>
        <v>-0.134118698978971</v>
      </c>
      <c r="AE807" s="29">
        <f>IF(履歴データ!$A$807="",AE806,AE806+AC807/1000000)</f>
        <v>69.58042973900713</v>
      </c>
      <c r="AF807" s="12">
        <f>IF(OR(履歴データ!$A$807="",AE806=0),"",(AE807-AE806)/AE806)</f>
        <v>-1.9238265467396696E-3</v>
      </c>
      <c r="AG807" s="29">
        <f t="shared" si="38"/>
        <v>102.17217746631495</v>
      </c>
      <c r="AH807" s="12">
        <f>IF(OR(履歴データ!$A$807="",AG807=0),"",AE807/AG807-1)</f>
        <v>-0.31898848136081825</v>
      </c>
      <c r="AJ807" s="28">
        <f t="shared" ca="1" si="36"/>
        <v>5.3320051650824274</v>
      </c>
      <c r="AK807" s="28">
        <f t="shared" ca="1" si="37"/>
        <v>-6.6653384984157649</v>
      </c>
    </row>
    <row r="808" spans="1:37">
      <c r="A808" s="10">
        <f>IF(履歴データ!$A$808="","",履歴データ!$A$808)</f>
        <v>46107</v>
      </c>
      <c r="B808" s="28">
        <f>IF(履歴データ!$A$808="","",(履歴データ!$D$808-(履歴データ!$B$808+履歴データ!$F$808)/2)*100)</f>
        <v>-2.5000000000000355</v>
      </c>
      <c r="C808" s="28">
        <f>IF(履歴データ!$A$808="","",(履歴データ!$H$808-(履歴データ!$G$808+履歴データ!$J$808)/2)*100)</f>
        <v>-13.249999999999984</v>
      </c>
      <c r="D808" s="28">
        <f>IF(履歴データ!$A$808="","",(履歴データ!$D$808-履歴データ!$H$808)*100)</f>
        <v>213.39999999999998</v>
      </c>
      <c r="E808" s="28">
        <f>IF(履歴データ!$A$808="","",(履歴データ!$D$808-履歴データ!$C$808)*100)</f>
        <v>33.999999999999986</v>
      </c>
      <c r="F808" s="28">
        <f>IF(履歴データ!$A$808="","",(履歴データ!$R$808-履歴データ!$D$808)*100)</f>
        <v>-327.48</v>
      </c>
      <c r="G808" s="28">
        <f>IF(履歴データ!$A$808="","",(履歴データ!$S$808-履歴データ!$R$808)*100)</f>
        <v>117.93699999999995</v>
      </c>
      <c r="H808" s="29">
        <f>IF(履歴データ!$A$808="","",履歴データ!$O$808)</f>
        <v>159.38400268554688</v>
      </c>
      <c r="I808" s="29">
        <f>IF(履歴データ!$A$808="","",履歴データ!$Q$808)</f>
        <v>110.171875</v>
      </c>
      <c r="J808" s="29">
        <f>IF(履歴データ!$A$808="","",履歴データ!$D$808)</f>
        <v>4.42</v>
      </c>
      <c r="K808" s="28">
        <f>IF(OR(履歴データ!$A$808="",履歴データ!$A$807=""),"",B808-B807)</f>
        <v>0.99999999999997868</v>
      </c>
      <c r="L808" s="28">
        <f>IF(OR(履歴データ!$A$808="",履歴データ!$A$807=""),"",C808-C807)</f>
        <v>-0.14999999999996128</v>
      </c>
      <c r="M808" s="28">
        <f>IF(OR(履歴データ!$A$808="",履歴データ!$A$807=""),"",D808-D807)</f>
        <v>7.0999999999999659</v>
      </c>
      <c r="N808" s="28">
        <f>IF(OR(履歴データ!$A$808="",履歴データ!$A$807=""),"",E808-E807)</f>
        <v>-3.0000000000000284</v>
      </c>
      <c r="O808" s="28">
        <f>IF(OR(履歴データ!$A$808="",履歴データ!$A$807=""),"",F808-F807)</f>
        <v>-15.960000000000036</v>
      </c>
      <c r="P808" s="28">
        <f>IF(OR(履歴データ!$A$808="",履歴データ!$A$807=""),"",G808-G807)</f>
        <v>3.2766428222656714</v>
      </c>
      <c r="Q808" s="29">
        <f>IF(OR(履歴データ!$A$808="",履歴データ!$A$807=""),"",H808-H807)</f>
        <v>0.6660003662109375</v>
      </c>
      <c r="R808" s="29">
        <f>IF(OR(履歴データ!$A$808="",履歴データ!$A$807=""),"",I808-I807)</f>
        <v>-0.71875</v>
      </c>
      <c r="S808" s="28">
        <f>IF(OR(履歴データ!$A$808="",履歴データ!$A$807=""),"",(J808-J807)*100)</f>
        <v>8.9999999999999858</v>
      </c>
      <c r="T808" s="11">
        <f>IF(OR(履歴データ!$A$808="",履歴データ!$A$807=""),"",-80000*K808)</f>
        <v>-79999.999999998297</v>
      </c>
      <c r="U808" s="11">
        <f>IF(OR(履歴データ!$A$808="",履歴データ!$A$807=""),"",60000*L808)</f>
        <v>-8999.9999999976772</v>
      </c>
      <c r="V808" s="11">
        <f>IF(OR(履歴データ!$A$808="",履歴データ!$A$807=""),"",-50000*M808)</f>
        <v>-354999.99999999831</v>
      </c>
      <c r="W808" s="11">
        <f>IF(OR(履歴データ!$A$808="",履歴データ!$A$807=""),"",-40000*N808)</f>
        <v>120000.00000000114</v>
      </c>
      <c r="X808" s="11">
        <f>IF(OR(履歴データ!$A$808="",履歴データ!$A$807=""),"",120*1000000*(-Q808/H807))</f>
        <v>-503534.84026667452</v>
      </c>
      <c r="Y808" s="11">
        <f>IF(OR(履歴データ!$A$808="",履歴データ!$A$807=""),"",40000*(-S808)+(-506.3)*R808*1000)</f>
        <v>3903.1250000005821</v>
      </c>
      <c r="Z808" s="11">
        <f>IF(OR(履歴データ!$A$808="",履歴データ!$A$807=""),"",-40000*O808)</f>
        <v>638400.0000000014</v>
      </c>
      <c r="AA808" s="11">
        <f>IF(OR(履歴データ!$A$808="",履歴データ!$A$807=""),"",-40000*P808)</f>
        <v>-131065.71289062686</v>
      </c>
      <c r="AB808" s="11">
        <f>IF(履歴データ!$A$808="","",123.3)</f>
        <v>123.3</v>
      </c>
      <c r="AC808">
        <f>IF(履歴データ!$A$808="","",SUM(T808:AA808))</f>
        <v>-316297.42815729254</v>
      </c>
      <c r="AD808" s="29">
        <f>IF(履歴データ!$A$808="","",AC808/1000000)</f>
        <v>-0.31629742815729256</v>
      </c>
      <c r="AE808" s="29">
        <f>IF(履歴データ!$A$808="",AE807,AE807+AC808/1000000)</f>
        <v>69.264132310849831</v>
      </c>
      <c r="AF808" s="12">
        <f>IF(OR(履歴データ!$A$808="",AE807=0),"",(AE808-AE807)/AE807)</f>
        <v>-4.5457814696418962E-3</v>
      </c>
      <c r="AG808" s="29">
        <f t="shared" si="38"/>
        <v>102.17217746631495</v>
      </c>
      <c r="AH808" s="12">
        <f>IF(OR(履歴データ!$A$808="",AG808=0),"",AE808/AG808-1)</f>
        <v>-0.32208421090286088</v>
      </c>
      <c r="AJ808" s="28">
        <f t="shared" ca="1" si="36"/>
        <v>5.3315727720278252</v>
      </c>
      <c r="AK808" s="28">
        <f t="shared" ca="1" si="37"/>
        <v>-6.6728426132976706</v>
      </c>
    </row>
    <row r="809" spans="1:37">
      <c r="A809" s="10">
        <f>IF(履歴データ!$A$809="","",履歴データ!$A$809)</f>
        <v>46108</v>
      </c>
      <c r="B809" s="28">
        <f>IF(履歴データ!$A$809="","",(履歴データ!$D$809-(履歴データ!$B$809+履歴データ!$F$809)/2)*100)</f>
        <v>1.0000000000000675</v>
      </c>
      <c r="C809" s="28">
        <f>IF(履歴データ!$A$809="","",(履歴データ!$H$809-(履歴データ!$G$809+履歴データ!$J$809)/2)*100)</f>
        <v>-13.100000000000023</v>
      </c>
      <c r="D809" s="28">
        <f>IF(履歴データ!$A$809="","",(履歴データ!$D$809-履歴データ!$H$809)*100)</f>
        <v>206.00000000000006</v>
      </c>
      <c r="E809" s="28">
        <f>IF(履歴データ!$A$809="","",(履歴データ!$D$809-履歴データ!$C$809)*100)</f>
        <v>38.000000000000078</v>
      </c>
      <c r="F809" s="28">
        <f>IF(履歴データ!$A$809="","",(履歴データ!$R$809-履歴データ!$D$809)*100)</f>
        <v>-316.45000000000005</v>
      </c>
      <c r="G809" s="28">
        <f>IF(履歴データ!$A$809="","",(履歴データ!$S$809-履歴データ!$R$809)*100)</f>
        <v>116.83417858886705</v>
      </c>
      <c r="H809" s="29">
        <f>IF(履歴データ!$A$809="","",履歴データ!$O$809)</f>
        <v>159.70399475097656</v>
      </c>
      <c r="I809" s="29">
        <f>IF(履歴データ!$A$809="","",履歴データ!$Q$809)</f>
        <v>110.15625</v>
      </c>
      <c r="J809" s="29">
        <f>IF(履歴データ!$A$809="","",履歴データ!$D$809)</f>
        <v>4.4400000000000004</v>
      </c>
      <c r="K809" s="28">
        <f>IF(OR(履歴データ!$A$809="",履歴データ!$A$808=""),"",B809-B808)</f>
        <v>3.500000000000103</v>
      </c>
      <c r="L809" s="28">
        <f>IF(OR(履歴データ!$A$809="",履歴データ!$A$808=""),"",C809-C808)</f>
        <v>0.14999999999996128</v>
      </c>
      <c r="M809" s="28">
        <f>IF(OR(履歴データ!$A$809="",履歴データ!$A$808=""),"",D809-D808)</f>
        <v>-7.3999999999999204</v>
      </c>
      <c r="N809" s="28">
        <f>IF(OR(履歴データ!$A$809="",履歴データ!$A$808=""),"",E809-E808)</f>
        <v>4.0000000000000924</v>
      </c>
      <c r="O809" s="28">
        <f>IF(OR(履歴データ!$A$809="",履歴データ!$A$808=""),"",F809-F808)</f>
        <v>11.029999999999973</v>
      </c>
      <c r="P809" s="28">
        <f>IF(OR(履歴データ!$A$809="",履歴データ!$A$808=""),"",G809-G808)</f>
        <v>-1.1028214111329078</v>
      </c>
      <c r="Q809" s="29">
        <f>IF(OR(履歴データ!$A$809="",履歴データ!$A$808=""),"",H809-H808)</f>
        <v>0.3199920654296875</v>
      </c>
      <c r="R809" s="29">
        <f>IF(OR(履歴データ!$A$809="",履歴データ!$A$808=""),"",I809-I808)</f>
        <v>-1.5625E-2</v>
      </c>
      <c r="S809" s="28">
        <f>IF(OR(履歴データ!$A$809="",履歴データ!$A$808=""),"",(J809-J808)*100)</f>
        <v>2.0000000000000462</v>
      </c>
      <c r="T809" s="11">
        <f>IF(OR(履歴データ!$A$809="",履歴データ!$A$808=""),"",-80000*K809)</f>
        <v>-280000.00000000827</v>
      </c>
      <c r="U809" s="11">
        <f>IF(OR(履歴データ!$A$809="",履歴データ!$A$808=""),"",60000*L809)</f>
        <v>8999.9999999976772</v>
      </c>
      <c r="V809" s="11">
        <f>IF(OR(履歴データ!$A$809="",履歴データ!$A$808=""),"",-50000*M809)</f>
        <v>369999.99999999604</v>
      </c>
      <c r="W809" s="11">
        <f>IF(OR(履歴データ!$A$809="",履歴データ!$A$808=""),"",-40000*N809)</f>
        <v>-160000.0000000037</v>
      </c>
      <c r="X809" s="11">
        <f>IF(OR(履歴データ!$A$809="",履歴データ!$A$808=""),"",120*1000000*(-Q809/H808))</f>
        <v>-240921.59316215097</v>
      </c>
      <c r="Y809" s="11">
        <f>IF(OR(履歴データ!$A$809="",履歴データ!$A$808=""),"",40000*(-S809)+(-506.3)*R809*1000)</f>
        <v>-72089.062500001848</v>
      </c>
      <c r="Z809" s="11">
        <f>IF(OR(履歴データ!$A$809="",履歴データ!$A$808=""),"",-40000*O809)</f>
        <v>-441199.99999999889</v>
      </c>
      <c r="AA809" s="11">
        <f>IF(OR(履歴データ!$A$809="",履歴データ!$A$808=""),"",-40000*P809)</f>
        <v>44112.856445316313</v>
      </c>
      <c r="AB809" s="11">
        <f>IF(履歴データ!$A$809="","",123.3)</f>
        <v>123.3</v>
      </c>
      <c r="AC809">
        <f>IF(履歴データ!$A$809="","",SUM(T809:AA809))</f>
        <v>-771097.79921685357</v>
      </c>
      <c r="AD809" s="29">
        <f>IF(履歴データ!$A$809="","",AC809/1000000)</f>
        <v>-0.77109779921685362</v>
      </c>
      <c r="AE809" s="29">
        <f>IF(履歴データ!$A$809="",AE808,AE808+AC809/1000000)</f>
        <v>68.493034511632985</v>
      </c>
      <c r="AF809" s="12">
        <f>IF(OR(履歴データ!$A$809="",AE808=0),"",(AE809-AE808)/AE808)</f>
        <v>-1.113271434277476E-2</v>
      </c>
      <c r="AG809" s="29">
        <f t="shared" si="38"/>
        <v>102.17217746631495</v>
      </c>
      <c r="AH809" s="12">
        <f>IF(OR(履歴データ!$A$809="",AG809=0),"",AE809/AG809-1)</f>
        <v>-0.32963125373133606</v>
      </c>
      <c r="AJ809" s="28">
        <f t="shared" ca="1" si="36"/>
        <v>5.3430483240368885</v>
      </c>
      <c r="AK809" s="28">
        <f t="shared" ca="1" si="37"/>
        <v>-6.668445149433718</v>
      </c>
    </row>
    <row r="810" spans="1:37">
      <c r="A810" s="10">
        <f>IF(履歴データ!$A$810="","",履歴データ!$A$810)</f>
        <v>46111</v>
      </c>
      <c r="B810" s="28">
        <f>IF(履歴データ!$A$810="","",(履歴データ!$D$810-(履歴データ!$B$810+履歴データ!$F$810)/2)*100)</f>
        <v>-1.5000000000000568</v>
      </c>
      <c r="C810" s="28">
        <f>IF(履歴データ!$A$810="","",(履歴データ!$H$810-(履歴データ!$G$810+履歴データ!$J$810)/2)*100)</f>
        <v>-16.550000000000018</v>
      </c>
      <c r="D810" s="28">
        <f>IF(履歴データ!$A$810="","",(履歴データ!$D$810-履歴データ!$H$810)*100)</f>
        <v>198.2</v>
      </c>
      <c r="E810" s="28">
        <f>IF(履歴データ!$A$810="","",(履歴データ!$D$810-履歴データ!$C$810)*100)</f>
        <v>37.999999999999943</v>
      </c>
      <c r="F810" s="28">
        <f>IF(履歴データ!$A$810="","",(履歴データ!$R$810-履歴データ!$D$810)*100)</f>
        <v>-305.99</v>
      </c>
      <c r="G810" s="28">
        <f>IF(履歴データ!$A$810="","",(履歴データ!$S$810-履歴データ!$R$810)*100)</f>
        <v>117.47899999999987</v>
      </c>
      <c r="H810" s="29">
        <f>IF(履歴データ!$A$810="","",履歴データ!$O$810)</f>
        <v>159.84100341796875</v>
      </c>
      <c r="I810" s="29">
        <f>IF(履歴データ!$A$810="","",履歴データ!$Q$810)</f>
        <v>110.8125</v>
      </c>
      <c r="J810" s="29">
        <f>IF(履歴データ!$A$810="","",履歴データ!$D$810)</f>
        <v>4.3499999999999996</v>
      </c>
      <c r="K810" s="28">
        <f>IF(OR(履歴データ!$A$810="",履歴データ!$A$809=""),"",B810-B809)</f>
        <v>-2.5000000000001243</v>
      </c>
      <c r="L810" s="28">
        <f>IF(OR(履歴データ!$A$810="",履歴データ!$A$809=""),"",C810-C809)</f>
        <v>-3.4499999999999957</v>
      </c>
      <c r="M810" s="28">
        <f>IF(OR(履歴データ!$A$810="",履歴データ!$A$809=""),"",D810-D809)</f>
        <v>-7.8000000000000682</v>
      </c>
      <c r="N810" s="28">
        <f>IF(OR(履歴データ!$A$810="",履歴データ!$A$809=""),"",E810-E809)</f>
        <v>-1.3500311979441904E-13</v>
      </c>
      <c r="O810" s="28">
        <f>IF(OR(履歴データ!$A$810="",履歴データ!$A$809=""),"",F810-F809)</f>
        <v>10.460000000000036</v>
      </c>
      <c r="P810" s="28">
        <f>IF(OR(履歴データ!$A$810="",履歴データ!$A$809=""),"",G810-G809)</f>
        <v>0.6448214111328241</v>
      </c>
      <c r="Q810" s="29">
        <f>IF(OR(履歴データ!$A$810="",履歴データ!$A$809=""),"",H810-H809)</f>
        <v>0.1370086669921875</v>
      </c>
      <c r="R810" s="29">
        <f>IF(OR(履歴データ!$A$810="",履歴データ!$A$809=""),"",I810-I809)</f>
        <v>0.65625</v>
      </c>
      <c r="S810" s="28">
        <f>IF(OR(履歴データ!$A$810="",履歴データ!$A$809=""),"",(J810-J809)*100)</f>
        <v>-9.0000000000000746</v>
      </c>
      <c r="T810" s="11">
        <f>IF(OR(履歴データ!$A$810="",履歴データ!$A$809=""),"",-80000*K810)</f>
        <v>200000.00000000995</v>
      </c>
      <c r="U810" s="11">
        <f>IF(OR(履歴データ!$A$810="",履歴データ!$A$809=""),"",60000*L810)</f>
        <v>-206999.99999999974</v>
      </c>
      <c r="V810" s="11">
        <f>IF(OR(履歴データ!$A$810="",履歴データ!$A$809=""),"",-50000*M810)</f>
        <v>390000.00000000343</v>
      </c>
      <c r="W810" s="11">
        <f>IF(OR(履歴データ!$A$810="",履歴データ!$A$809=""),"",-40000*N810)</f>
        <v>5.4001247917767614E-9</v>
      </c>
      <c r="X810" s="11">
        <f>IF(OR(履歴データ!$A$810="",履歴データ!$A$809=""),"",120*1000000*(-Q810/H809))</f>
        <v>-102946.95548911413</v>
      </c>
      <c r="Y810" s="11">
        <f>IF(OR(履歴データ!$A$810="",履歴データ!$A$809=""),"",40000*(-S810)+(-506.3)*R810*1000)</f>
        <v>27740.62500000291</v>
      </c>
      <c r="Z810" s="11">
        <f>IF(OR(履歴データ!$A$810="",履歴データ!$A$809=""),"",-40000*O810)</f>
        <v>-418400.00000000146</v>
      </c>
      <c r="AA810" s="11">
        <f>IF(OR(履歴データ!$A$810="",履歴データ!$A$809=""),"",-40000*P810)</f>
        <v>-25792.856445312966</v>
      </c>
      <c r="AB810" s="11">
        <f>IF(履歴データ!$A$810="","",123.3)</f>
        <v>123.3</v>
      </c>
      <c r="AC810">
        <f>IF(履歴データ!$A$810="","",SUM(T810:AA810))</f>
        <v>-136399.18693440658</v>
      </c>
      <c r="AD810" s="29">
        <f>IF(履歴データ!$A$810="","",AC810/1000000)</f>
        <v>-0.13639918693440659</v>
      </c>
      <c r="AE810" s="29">
        <f>IF(履歴データ!$A$810="",AE809,AE809+AC810/1000000)</f>
        <v>68.356635324698573</v>
      </c>
      <c r="AF810" s="12">
        <f>IF(OR(履歴データ!$A$810="",AE809=0),"",(AE810-AE809)/AE809)</f>
        <v>-1.9914315069694509E-3</v>
      </c>
      <c r="AG810" s="29">
        <f t="shared" si="38"/>
        <v>102.17217746631495</v>
      </c>
      <c r="AH810" s="12">
        <f>IF(OR(履歴データ!$A$810="",AG810=0),"",AE810/AG810-1)</f>
        <v>-0.33096624717394318</v>
      </c>
      <c r="AJ810" s="28">
        <f t="shared" ca="1" si="36"/>
        <v>5.3342272506243003</v>
      </c>
      <c r="AK810" s="28">
        <f t="shared" ca="1" si="37"/>
        <v>-6.6754970918941456</v>
      </c>
    </row>
    <row r="811" spans="1:37">
      <c r="A811" s="10">
        <f>IF(履歴データ!$A$811="","",履歴データ!$A$811)</f>
        <v>46112</v>
      </c>
      <c r="B811" s="28">
        <f>IF(履歴データ!$A$811="","",(履歴データ!$D$811-(履歴データ!$B$811+履歴データ!$F$811)/2)*100)</f>
        <v>-3.5000000000000142</v>
      </c>
      <c r="C811" s="28">
        <f>IF(履歴データ!$A$811="","",(履歴データ!$H$811-(履歴データ!$G$811+履歴データ!$J$811)/2)*100)</f>
        <v>-14.150000000000018</v>
      </c>
      <c r="D811" s="28">
        <f>IF(履歴データ!$A$811="","",(履歴データ!$D$811-履歴データ!$H$811)*100)</f>
        <v>193.39999999999998</v>
      </c>
      <c r="E811" s="28">
        <f>IF(履歴データ!$A$811="","",(履歴データ!$D$811-履歴データ!$C$811)*100)</f>
        <v>37.999999999999986</v>
      </c>
      <c r="F811" s="28">
        <f>IF(履歴データ!$A$811="","",(履歴データ!$R$811-履歴データ!$D$811)*100)</f>
        <v>-310.21999999999997</v>
      </c>
      <c r="G811" s="28">
        <f>IF(履歴データ!$A$811="","",(履歴データ!$S$811-履歴データ!$R$811)*100)</f>
        <v>126.18282141113264</v>
      </c>
      <c r="H811" s="29">
        <f>IF(履歴データ!$A$811="","",履歴データ!$O$811)</f>
        <v>158.57899475097656</v>
      </c>
      <c r="I811" s="29">
        <f>IF(履歴データ!$A$811="","",履歴データ!$Q$811)</f>
        <v>111.046875</v>
      </c>
      <c r="J811" s="29">
        <f>IF(履歴データ!$A$811="","",履歴データ!$D$811)</f>
        <v>4.3</v>
      </c>
      <c r="K811" s="28">
        <f>IF(OR(履歴データ!$A$811="",履歴データ!$A$810=""),"",B811-B810)</f>
        <v>-1.9999999999999574</v>
      </c>
      <c r="L811" s="28">
        <f>IF(OR(履歴データ!$A$811="",履歴データ!$A$810=""),"",C811-C810)</f>
        <v>2.4000000000000004</v>
      </c>
      <c r="M811" s="28">
        <f>IF(OR(履歴データ!$A$811="",履歴データ!$A$810=""),"",D811-D810)</f>
        <v>-4.8000000000000114</v>
      </c>
      <c r="N811" s="28">
        <f>IF(OR(履歴データ!$A$811="",履歴データ!$A$810=""),"",E811-E810)</f>
        <v>4.2632564145606011E-14</v>
      </c>
      <c r="O811" s="28">
        <f>IF(OR(履歴データ!$A$811="",履歴データ!$A$810=""),"",F811-F810)</f>
        <v>-4.2299999999999613</v>
      </c>
      <c r="P811" s="28">
        <f>IF(OR(履歴データ!$A$811="",履歴データ!$A$810=""),"",G811-G810)</f>
        <v>8.7038214111327648</v>
      </c>
      <c r="Q811" s="29">
        <f>IF(OR(履歴データ!$A$811="",履歴データ!$A$810=""),"",H811-H810)</f>
        <v>-1.2620086669921875</v>
      </c>
      <c r="R811" s="29">
        <f>IF(OR(履歴データ!$A$811="",履歴データ!$A$810=""),"",I811-I810)</f>
        <v>0.234375</v>
      </c>
      <c r="S811" s="28">
        <f>IF(OR(履歴データ!$A$811="",履歴データ!$A$810=""),"",(J811-J810)*100)</f>
        <v>-4.9999999999999822</v>
      </c>
      <c r="T811" s="11">
        <f>IF(OR(履歴データ!$A$811="",履歴データ!$A$810=""),"",-80000*K811)</f>
        <v>159999.99999999659</v>
      </c>
      <c r="U811" s="11">
        <f>IF(OR(履歴データ!$A$811="",履歴データ!$A$810=""),"",60000*L811)</f>
        <v>144000.00000000003</v>
      </c>
      <c r="V811" s="11">
        <f>IF(OR(履歴データ!$A$811="",履歴データ!$A$810=""),"",-50000*M811)</f>
        <v>240000.00000000058</v>
      </c>
      <c r="W811" s="11">
        <f>IF(OR(履歴データ!$A$811="",履歴データ!$A$810=""),"",-40000*N811)</f>
        <v>-1.7053025658242404E-9</v>
      </c>
      <c r="X811" s="11">
        <f>IF(OR(履歴データ!$A$811="",履歴データ!$A$810=""),"",120*1000000*(-Q811/H810))</f>
        <v>947448.00646088808</v>
      </c>
      <c r="Y811" s="11">
        <f>IF(OR(履歴データ!$A$811="",履歴データ!$A$810=""),"",40000*(-S811)+(-506.3)*R811*1000)</f>
        <v>81335.937499999302</v>
      </c>
      <c r="Z811" s="11">
        <f>IF(OR(履歴データ!$A$811="",履歴データ!$A$810=""),"",-40000*O811)</f>
        <v>169199.99999999846</v>
      </c>
      <c r="AA811" s="11">
        <f>IF(OR(履歴データ!$A$811="",履歴データ!$A$810=""),"",-40000*P811)</f>
        <v>-348152.85644531058</v>
      </c>
      <c r="AB811" s="11">
        <f>IF(履歴データ!$A$811="","",123.3)</f>
        <v>123.3</v>
      </c>
      <c r="AC811">
        <f>IF(履歴データ!$A$811="","",SUM(T811:AA811))</f>
        <v>1393831.0875155707</v>
      </c>
      <c r="AD811" s="29">
        <f>IF(履歴データ!$A$811="","",AC811/1000000)</f>
        <v>1.3938310875155706</v>
      </c>
      <c r="AE811" s="29">
        <f>IF(履歴データ!$A$811="",AE810,AE810+AC811/1000000)</f>
        <v>69.750466412214138</v>
      </c>
      <c r="AF811" s="12">
        <f>IF(OR(履歴データ!$A$811="",AE810=0),"",(AE811-AE810)/AE810)</f>
        <v>2.0390574827078227E-2</v>
      </c>
      <c r="AG811" s="29">
        <f t="shared" si="38"/>
        <v>102.17217746631495</v>
      </c>
      <c r="AH811" s="12">
        <f>IF(OR(履歴データ!$A$811="",AG811=0),"",AE811/AG811-1)</f>
        <v>-0.31732426437510242</v>
      </c>
      <c r="AJ811" s="28">
        <f t="shared" ca="1" si="36"/>
        <v>5.3186233408185259</v>
      </c>
      <c r="AK811" s="28">
        <f t="shared" ca="1" si="37"/>
        <v>-6.6995757217709109</v>
      </c>
    </row>
    <row r="812" spans="1:37">
      <c r="A812" s="10">
        <f>IF(履歴データ!$A$812="","",履歴データ!$A$812)</f>
        <v>46113</v>
      </c>
      <c r="B812" s="28">
        <f>IF(履歴データ!$A$812="","",(履歴データ!$D$812-(履歴データ!$B$812+履歴データ!$F$812)/2)*100)</f>
        <v>-3.0000000000000249</v>
      </c>
      <c r="C812" s="28">
        <f>IF(履歴データ!$A$812="","",(履歴データ!$H$812-(履歴データ!$G$812+履歴データ!$J$812)/2)*100)</f>
        <v>-14.150000000000018</v>
      </c>
      <c r="D812" s="28">
        <f>IF(履歴データ!$A$812="","",(履歴データ!$D$812-履歴データ!$H$812)*100)</f>
        <v>201.5</v>
      </c>
      <c r="E812" s="28">
        <f>IF(履歴データ!$A$812="","",(履歴データ!$D$812-履歴データ!$C$812)*100)</f>
        <v>35.999999999999986</v>
      </c>
      <c r="F812" s="28">
        <f>IF(履歴データ!$A$812="","",(履歴データ!$R$812-履歴データ!$D$812)*100)</f>
        <v>-325.64999999999998</v>
      </c>
      <c r="G812" s="28">
        <f>IF(履歴データ!$A$812="","",(履歴データ!$S$812-履歴データ!$R$812)*100)</f>
        <v>134.22782141113274</v>
      </c>
      <c r="H812" s="29">
        <f>IF(履歴データ!$A$812="","",履歴データ!$O$812)</f>
        <v>158.68800354003906</v>
      </c>
      <c r="I812" s="29">
        <f>IF(履歴データ!$A$812="","",履歴データ!$Q$812)</f>
        <v>110.984375</v>
      </c>
      <c r="J812" s="29">
        <f>IF(履歴データ!$A$812="","",履歴データ!$D$812)</f>
        <v>4.33</v>
      </c>
      <c r="K812" s="28">
        <f>IF(OR(履歴データ!$A$812="",履歴データ!$A$811=""),"",B812-B811)</f>
        <v>0.49999999999998934</v>
      </c>
      <c r="L812" s="28">
        <f>IF(OR(履歴データ!$A$812="",履歴データ!$A$811=""),"",C812-C811)</f>
        <v>0</v>
      </c>
      <c r="M812" s="28">
        <f>IF(OR(履歴データ!$A$812="",履歴データ!$A$811=""),"",D812-D811)</f>
        <v>8.1000000000000227</v>
      </c>
      <c r="N812" s="28">
        <f>IF(OR(履歴データ!$A$812="",履歴データ!$A$811=""),"",E812-E811)</f>
        <v>-2</v>
      </c>
      <c r="O812" s="28">
        <f>IF(OR(履歴データ!$A$812="",履歴データ!$A$811=""),"",F812-F811)</f>
        <v>-15.430000000000007</v>
      </c>
      <c r="P812" s="28">
        <f>IF(OR(履歴データ!$A$812="",履歴データ!$A$811=""),"",G812-G811)</f>
        <v>8.0450000000001012</v>
      </c>
      <c r="Q812" s="29">
        <f>IF(OR(履歴データ!$A$812="",履歴データ!$A$811=""),"",H812-H811)</f>
        <v>0.1090087890625</v>
      </c>
      <c r="R812" s="29">
        <f>IF(OR(履歴データ!$A$812="",履歴データ!$A$811=""),"",I812-I811)</f>
        <v>-6.25E-2</v>
      </c>
      <c r="S812" s="28">
        <f>IF(OR(履歴データ!$A$812="",履歴データ!$A$811=""),"",(J812-J811)*100)</f>
        <v>3.0000000000000249</v>
      </c>
      <c r="T812" s="11">
        <f>IF(OR(履歴データ!$A$812="",履歴データ!$A$811=""),"",-80000*K812)</f>
        <v>-39999.999999999149</v>
      </c>
      <c r="U812" s="11">
        <f>IF(OR(履歴データ!$A$812="",履歴データ!$A$811=""),"",60000*L812)</f>
        <v>0</v>
      </c>
      <c r="V812" s="11">
        <f>IF(OR(履歴データ!$A$812="",履歴データ!$A$811=""),"",-50000*M812)</f>
        <v>-405000.00000000116</v>
      </c>
      <c r="W812" s="11">
        <f>IF(OR(履歴データ!$A$812="",履歴データ!$A$811=""),"",-40000*N812)</f>
        <v>80000</v>
      </c>
      <c r="X812" s="11">
        <f>IF(OR(履歴データ!$A$812="",履歴データ!$A$811=""),"",120*1000000*(-Q812/H811))</f>
        <v>-82489.201725876395</v>
      </c>
      <c r="Y812" s="11">
        <f>IF(OR(履歴データ!$A$812="",履歴データ!$A$811=""),"",40000*(-S812)+(-506.3)*R812*1000)</f>
        <v>-88356.25000000099</v>
      </c>
      <c r="Z812" s="11">
        <f>IF(OR(履歴データ!$A$812="",履歴データ!$A$811=""),"",-40000*O812)</f>
        <v>617200.00000000023</v>
      </c>
      <c r="AA812" s="11">
        <f>IF(OR(履歴データ!$A$812="",履歴データ!$A$811=""),"",-40000*P812)</f>
        <v>-321800.00000000407</v>
      </c>
      <c r="AB812" s="11">
        <f>IF(履歴データ!$A$812="","",123.3)</f>
        <v>123.3</v>
      </c>
      <c r="AC812">
        <f>IF(履歴データ!$A$812="","",SUM(T812:AA812))</f>
        <v>-240445.45172588143</v>
      </c>
      <c r="AD812" s="29">
        <f>IF(履歴データ!$A$812="","",AC812/1000000)</f>
        <v>-0.24044545172588144</v>
      </c>
      <c r="AE812" s="29">
        <f>IF(履歴データ!$A$812="",AE811,AE811+AC812/1000000)</f>
        <v>69.510020960488262</v>
      </c>
      <c r="AF812" s="12">
        <f>IF(OR(履歴データ!$A$812="",AE811=0),"",(AE812-AE811)/AE811)</f>
        <v>-3.4472235684401211E-3</v>
      </c>
      <c r="AG812" s="29">
        <f t="shared" si="38"/>
        <v>102.17217746631495</v>
      </c>
      <c r="AH812" s="12">
        <f>IF(OR(履歴データ!$A$812="",AG812=0),"",AE812/AG812-1)</f>
        <v>-0.31967760026055081</v>
      </c>
      <c r="AJ812" s="28">
        <f t="shared" ca="1" si="36"/>
        <v>5.2836270321288969</v>
      </c>
      <c r="AK812" s="28">
        <f t="shared" ca="1" si="37"/>
        <v>-6.7121984607003293</v>
      </c>
    </row>
    <row r="813" spans="1:37">
      <c r="A813" s="10">
        <f>IF(履歴データ!$A$813="","",履歴データ!$A$813)</f>
        <v>46114</v>
      </c>
      <c r="B813" s="28">
        <f>IF(履歴データ!$A$813="","",(履歴データ!$D$813-(履歴データ!$B$813+履歴データ!$F$813)/2)*100)</f>
        <v>-2.5000000000000355</v>
      </c>
      <c r="C813" s="28">
        <f>IF(履歴データ!$A$813="","",(履歴データ!$H$813-(履歴データ!$G$813+履歴データ!$J$813)/2)*100)</f>
        <v>-10.699999999999976</v>
      </c>
      <c r="D813" s="28">
        <f>IF(履歴データ!$A$813="","",(履歴データ!$D$813-履歴データ!$H$813)*100)</f>
        <v>191.49999999999997</v>
      </c>
      <c r="E813" s="28">
        <f>IF(履歴データ!$A$813="","",(履歴データ!$D$813-履歴データ!$C$813)*100)</f>
        <v>36.999999999999964</v>
      </c>
      <c r="F813" s="28">
        <f>IF(履歴データ!$A$813="","",(履歴データ!$R$813-履歴データ!$D$813)*100)</f>
        <v>-325.21999999999991</v>
      </c>
      <c r="G813" s="28">
        <f>IF(履歴データ!$A$813="","",(履歴データ!$S$813-履歴データ!$R$813)*100)</f>
        <v>140.53364282226542</v>
      </c>
      <c r="H813" s="29">
        <f>IF(履歴データ!$A$813="","",履歴データ!$O$813)</f>
        <v>159.49099731445313</v>
      </c>
      <c r="I813" s="29">
        <f>IF(履歴データ!$A$813="","",履歴データ!$Q$813)</f>
        <v>111.015625</v>
      </c>
      <c r="J813" s="29">
        <f>IF(履歴データ!$A$813="","",履歴データ!$D$813)</f>
        <v>4.3099999999999996</v>
      </c>
      <c r="K813" s="28">
        <f>IF(OR(履歴データ!$A$813="",履歴データ!$A$812=""),"",B813-B812)</f>
        <v>0.49999999999998934</v>
      </c>
      <c r="L813" s="28">
        <f>IF(OR(履歴データ!$A$813="",履歴データ!$A$812=""),"",C813-C812)</f>
        <v>3.4500000000000419</v>
      </c>
      <c r="M813" s="28">
        <f>IF(OR(履歴データ!$A$813="",履歴データ!$A$812=""),"",D813-D812)</f>
        <v>-10.000000000000028</v>
      </c>
      <c r="N813" s="28">
        <f>IF(OR(履歴データ!$A$813="",履歴データ!$A$812=""),"",E813-E812)</f>
        <v>0.99999999999997868</v>
      </c>
      <c r="O813" s="28">
        <f>IF(OR(履歴データ!$A$813="",履歴データ!$A$812=""),"",F813-F812)</f>
        <v>0.43000000000006366</v>
      </c>
      <c r="P813" s="28">
        <f>IF(OR(履歴データ!$A$813="",履歴データ!$A$812=""),"",G813-G812)</f>
        <v>6.3058214111326834</v>
      </c>
      <c r="Q813" s="29">
        <f>IF(OR(履歴データ!$A$813="",履歴データ!$A$812=""),"",H813-H812)</f>
        <v>0.8029937744140625</v>
      </c>
      <c r="R813" s="29">
        <f>IF(OR(履歴データ!$A$813="",履歴データ!$A$812=""),"",I813-I812)</f>
        <v>3.125E-2</v>
      </c>
      <c r="S813" s="28">
        <f>IF(OR(履歴データ!$A$813="",履歴データ!$A$812=""),"",(J813-J812)*100)</f>
        <v>-2.0000000000000462</v>
      </c>
      <c r="T813" s="11">
        <f>IF(OR(履歴データ!$A$813="",履歴データ!$A$812=""),"",-80000*K813)</f>
        <v>-39999.999999999149</v>
      </c>
      <c r="U813" s="11">
        <f>IF(OR(履歴データ!$A$813="",履歴データ!$A$812=""),"",60000*L813)</f>
        <v>207000.0000000025</v>
      </c>
      <c r="V813" s="11">
        <f>IF(OR(履歴データ!$A$813="",履歴データ!$A$812=""),"",-50000*M813)</f>
        <v>500000.0000000014</v>
      </c>
      <c r="W813" s="11">
        <f>IF(OR(履歴データ!$A$813="",履歴データ!$A$812=""),"",-40000*N813)</f>
        <v>-39999.999999999149</v>
      </c>
      <c r="X813" s="11">
        <f>IF(OR(履歴データ!$A$813="",履歴データ!$A$812=""),"",120*1000000*(-Q813/H812))</f>
        <v>-607224.55875736568</v>
      </c>
      <c r="Y813" s="11">
        <f>IF(OR(履歴データ!$A$813="",履歴データ!$A$812=""),"",40000*(-S813)+(-506.3)*R813*1000)</f>
        <v>64178.125000001848</v>
      </c>
      <c r="Z813" s="11">
        <f>IF(OR(履歴データ!$A$813="",履歴データ!$A$812=""),"",-40000*O813)</f>
        <v>-17200.000000002547</v>
      </c>
      <c r="AA813" s="11">
        <f>IF(OR(履歴データ!$A$813="",履歴データ!$A$812=""),"",-40000*P813)</f>
        <v>-252232.85644530732</v>
      </c>
      <c r="AB813" s="11">
        <f>IF(履歴データ!$A$813="","",123.3)</f>
        <v>123.3</v>
      </c>
      <c r="AC813">
        <f>IF(履歴データ!$A$813="","",SUM(T813:AA813))</f>
        <v>-185479.29020266811</v>
      </c>
      <c r="AD813" s="29">
        <f>IF(履歴データ!$A$813="","",AC813/1000000)</f>
        <v>-0.18547929020266812</v>
      </c>
      <c r="AE813" s="29">
        <f>IF(履歴データ!$A$813="",AE812,AE812+AC813/1000000)</f>
        <v>69.324541670285598</v>
      </c>
      <c r="AF813" s="12">
        <f>IF(OR(履歴データ!$A$813="",AE812=0),"",(AE813-AE812)/AE812)</f>
        <v>-2.6683820208901524E-3</v>
      </c>
      <c r="AG813" s="29">
        <f t="shared" si="38"/>
        <v>102.17217746631495</v>
      </c>
      <c r="AH813" s="12">
        <f>IF(OR(履歴データ!$A$813="",AG813=0),"",AE813/AG813-1)</f>
        <v>-0.3214929603204244</v>
      </c>
      <c r="AJ813" s="28">
        <f t="shared" ca="1" si="36"/>
        <v>5.2739518101133118</v>
      </c>
      <c r="AK813" s="28">
        <f t="shared" ca="1" si="37"/>
        <v>-6.7263327624942697</v>
      </c>
    </row>
    <row r="814" spans="1:37">
      <c r="A814" s="10">
        <f>IF(履歴データ!$A$814="","",履歴データ!$A$814)</f>
        <v>46115</v>
      </c>
      <c r="B814" s="28">
        <f>IF(履歴データ!$A$814="","",(履歴データ!$D$814-(履歴データ!$B$814+履歴データ!$F$814)/2)*100)</f>
        <v>-2.5000000000000355</v>
      </c>
      <c r="C814" s="28">
        <f>IF(履歴データ!$A$814="","",(履歴データ!$H$814-(履歴データ!$G$814+履歴データ!$J$814)/2)*100)</f>
        <v>-11.500000000000021</v>
      </c>
      <c r="D814" s="28">
        <f>IF(履歴データ!$A$814="","",(履歴データ!$D$814-履歴データ!$H$814)*100)</f>
        <v>196.39999999999995</v>
      </c>
      <c r="E814" s="28">
        <f>IF(履歴データ!$A$814="","",(履歴データ!$D$814-履歴データ!$C$814)*100)</f>
        <v>35.999999999999943</v>
      </c>
      <c r="F814" s="28">
        <f>IF(履歴データ!$A$814="","",(履歴データ!$R$814-履歴データ!$D$814)*100)</f>
        <v>-330.74999999999994</v>
      </c>
      <c r="G814" s="28">
        <f>IF(履歴データ!$A$814="","",(履歴データ!$S$814-履歴データ!$R$814)*100)</f>
        <v>141.01117858886707</v>
      </c>
      <c r="H814" s="29">
        <f>IF(履歴データ!$A$814="","",履歴データ!$O$814)</f>
        <v>159.49099731445313</v>
      </c>
      <c r="I814" s="29">
        <f>IF(履歴データ!$A$814="","",履歴データ!$Q$814)</f>
        <v>111.015625</v>
      </c>
      <c r="J814" s="29">
        <f>IF(履歴データ!$A$814="","",履歴データ!$D$814)</f>
        <v>4.3499999999999996</v>
      </c>
      <c r="K814" s="28">
        <f>IF(OR(履歴データ!$A$814="",履歴データ!$A$813=""),"",B814-B813)</f>
        <v>0</v>
      </c>
      <c r="L814" s="28">
        <f>IF(OR(履歴データ!$A$814="",履歴データ!$A$813=""),"",C814-C813)</f>
        <v>-0.80000000000004512</v>
      </c>
      <c r="M814" s="28">
        <f>IF(OR(履歴データ!$A$814="",履歴データ!$A$813=""),"",D814-D813)</f>
        <v>4.8999999999999773</v>
      </c>
      <c r="N814" s="28">
        <f>IF(OR(履歴データ!$A$814="",履歴データ!$A$813=""),"",E814-E813)</f>
        <v>-1.0000000000000213</v>
      </c>
      <c r="O814" s="28">
        <f>IF(OR(履歴データ!$A$814="",履歴データ!$A$813=""),"",F814-F813)</f>
        <v>-5.5300000000000296</v>
      </c>
      <c r="P814" s="28">
        <f>IF(OR(履歴データ!$A$814="",履歴データ!$A$813=""),"",G814-G813)</f>
        <v>0.47753576660164754</v>
      </c>
      <c r="Q814" s="29">
        <f>IF(OR(履歴データ!$A$814="",履歴データ!$A$813=""),"",H814-H813)</f>
        <v>0</v>
      </c>
      <c r="R814" s="29">
        <f>IF(OR(履歴データ!$A$814="",履歴データ!$A$813=""),"",I814-I813)</f>
        <v>0</v>
      </c>
      <c r="S814" s="28">
        <f>IF(OR(履歴データ!$A$814="",履歴データ!$A$813=""),"",(J814-J813)*100)</f>
        <v>4.0000000000000036</v>
      </c>
      <c r="T814" s="11">
        <f>IF(OR(履歴データ!$A$814="",履歴データ!$A$813=""),"",-80000*K814)</f>
        <v>0</v>
      </c>
      <c r="U814" s="11">
        <f>IF(OR(履歴データ!$A$814="",履歴データ!$A$813=""),"",60000*L814)</f>
        <v>-48000.000000002707</v>
      </c>
      <c r="V814" s="11">
        <f>IF(OR(履歴データ!$A$814="",履歴データ!$A$813=""),"",-50000*M814)</f>
        <v>-244999.99999999886</v>
      </c>
      <c r="W814" s="11">
        <f>IF(OR(履歴データ!$A$814="",履歴データ!$A$813=""),"",-40000*N814)</f>
        <v>40000.000000000851</v>
      </c>
      <c r="X814" s="11">
        <f>IF(OR(履歴データ!$A$814="",履歴データ!$A$813=""),"",120*1000000*(-Q814/H813))</f>
        <v>0</v>
      </c>
      <c r="Y814" s="11">
        <f>IF(OR(履歴データ!$A$814="",履歴データ!$A$813=""),"",40000*(-S814)+(-506.3)*R814*1000)</f>
        <v>-160000.00000000015</v>
      </c>
      <c r="Z814" s="11">
        <f>IF(OR(履歴データ!$A$814="",履歴データ!$A$813=""),"",-40000*O814)</f>
        <v>221200.00000000119</v>
      </c>
      <c r="AA814" s="11">
        <f>IF(OR(履歴データ!$A$814="",履歴データ!$A$813=""),"",-40000*P814)</f>
        <v>-19101.430664065902</v>
      </c>
      <c r="AB814" s="11">
        <f>IF(履歴データ!$A$814="","",123.3)</f>
        <v>123.3</v>
      </c>
      <c r="AC814">
        <f>IF(履歴データ!$A$814="","",SUM(T814:AA814))</f>
        <v>-210901.43066406559</v>
      </c>
      <c r="AD814" s="29">
        <f>IF(履歴データ!$A$814="","",AC814/1000000)</f>
        <v>-0.21090143066406558</v>
      </c>
      <c r="AE814" s="29">
        <f>IF(履歴データ!$A$814="",AE813,AE813+AC814/1000000)</f>
        <v>69.113640239621532</v>
      </c>
      <c r="AF814" s="12">
        <f>IF(OR(履歴データ!$A$814="",AE813=0),"",(AE814-AE813)/AE813)</f>
        <v>-3.0422333214568387E-3</v>
      </c>
      <c r="AG814" s="29">
        <f t="shared" si="38"/>
        <v>102.17217746631495</v>
      </c>
      <c r="AH814" s="12">
        <f>IF(OR(履歴データ!$A$814="",AG814=0),"",AE814/AG814-1)</f>
        <v>-0.32355713704538058</v>
      </c>
      <c r="AJ814" s="28">
        <f t="shared" ca="1" si="36"/>
        <v>5.2720650204016355</v>
      </c>
      <c r="AK814" s="28">
        <f t="shared" ca="1" si="37"/>
        <v>-6.7363507346873543</v>
      </c>
    </row>
    <row r="815" spans="1:37">
      <c r="A815" s="10">
        <f>IF(履歴データ!$A$815="","",履歴データ!$A$815)</f>
        <v>46118</v>
      </c>
      <c r="B815" s="28">
        <f>IF(履歴データ!$A$815="","",(履歴データ!$D$815-(履歴データ!$B$815+履歴データ!$F$815)/2)*100)</f>
        <v>-2.5000000000000355</v>
      </c>
      <c r="C815" s="28">
        <f>IF(履歴データ!$A$815="","",(履歴データ!$H$815-(履歴データ!$G$815+履歴データ!$J$815)/2)*100)</f>
        <v>-10.80000000000001</v>
      </c>
      <c r="D815" s="28">
        <f>IF(履歴データ!$A$815="","",(履歴データ!$D$815-履歴データ!$H$815)*100)</f>
        <v>191.1</v>
      </c>
      <c r="E815" s="28">
        <f>IF(履歴データ!$A$815="","",(履歴データ!$D$815-履歴データ!$C$815)*100)</f>
        <v>35.999999999999986</v>
      </c>
      <c r="F815" s="28">
        <f>IF(履歴データ!$A$815="","",(履歴データ!$R$815-履歴データ!$D$815)*100)</f>
        <v>-329.75</v>
      </c>
      <c r="G815" s="28">
        <f>IF(履歴データ!$A$815="","",(履歴データ!$S$815-履歴データ!$R$815)*100)</f>
        <v>143.1159999999999</v>
      </c>
      <c r="H815" s="29">
        <f>IF(履歴データ!$A$815="","",履歴データ!$O$815)</f>
        <v>159.68299865722656</v>
      </c>
      <c r="I815" s="29">
        <f>IF(履歴データ!$A$815="","",履歴データ!$Q$815)</f>
        <v>110.8125</v>
      </c>
      <c r="J815" s="29">
        <f>IF(履歴データ!$A$815="","",履歴データ!$D$815)</f>
        <v>4.34</v>
      </c>
      <c r="K815" s="28">
        <f>IF(OR(履歴データ!$A$815="",履歴データ!$A$814=""),"",B815-B814)</f>
        <v>0</v>
      </c>
      <c r="L815" s="28">
        <f>IF(OR(履歴データ!$A$815="",履歴データ!$A$814=""),"",C815-C814)</f>
        <v>0.70000000000001172</v>
      </c>
      <c r="M815" s="28">
        <f>IF(OR(履歴データ!$A$815="",履歴データ!$A$814=""),"",D815-D814)</f>
        <v>-5.2999999999999545</v>
      </c>
      <c r="N815" s="28">
        <f>IF(OR(履歴データ!$A$815="",履歴データ!$A$814=""),"",E815-E814)</f>
        <v>4.2632564145606011E-14</v>
      </c>
      <c r="O815" s="28">
        <f>IF(OR(履歴データ!$A$815="",履歴データ!$A$814=""),"",F815-F814)</f>
        <v>0.99999999999994316</v>
      </c>
      <c r="P815" s="28">
        <f>IF(OR(履歴データ!$A$815="",履歴データ!$A$814=""),"",G815-G814)</f>
        <v>2.1048214111328321</v>
      </c>
      <c r="Q815" s="29">
        <f>IF(OR(履歴データ!$A$815="",履歴データ!$A$814=""),"",H815-H814)</f>
        <v>0.1920013427734375</v>
      </c>
      <c r="R815" s="29">
        <f>IF(OR(履歴データ!$A$815="",履歴データ!$A$814=""),"",I815-I814)</f>
        <v>-0.203125</v>
      </c>
      <c r="S815" s="28">
        <f>IF(OR(履歴データ!$A$815="",履歴データ!$A$814=""),"",(J815-J814)*100)</f>
        <v>-0.99999999999997868</v>
      </c>
      <c r="T815" s="11">
        <f>IF(OR(履歴データ!$A$815="",履歴データ!$A$814=""),"",-80000*K815)</f>
        <v>0</v>
      </c>
      <c r="U815" s="11">
        <f>IF(OR(履歴データ!$A$815="",履歴データ!$A$814=""),"",60000*L815)</f>
        <v>42000.000000000706</v>
      </c>
      <c r="V815" s="11">
        <f>IF(OR(履歴データ!$A$815="",履歴データ!$A$814=""),"",-50000*M815)</f>
        <v>264999.99999999773</v>
      </c>
      <c r="W815" s="11">
        <f>IF(OR(履歴データ!$A$815="",履歴データ!$A$814=""),"",-40000*N815)</f>
        <v>-1.7053025658242404E-9</v>
      </c>
      <c r="X815" s="11">
        <f>IF(OR(履歴データ!$A$815="",履歴データ!$A$814=""),"",120*1000000*(-Q815/H814))</f>
        <v>-144460.57470809104</v>
      </c>
      <c r="Y815" s="11">
        <f>IF(OR(履歴データ!$A$815="",履歴データ!$A$814=""),"",40000*(-S815)+(-506.3)*R815*1000)</f>
        <v>142842.18749999916</v>
      </c>
      <c r="Z815" s="11">
        <f>IF(OR(履歴データ!$A$815="",履歴データ!$A$814=""),"",-40000*O815)</f>
        <v>-39999.99999999773</v>
      </c>
      <c r="AA815" s="11">
        <f>IF(OR(履歴データ!$A$815="",履歴データ!$A$814=""),"",-40000*P815)</f>
        <v>-84192.856445313286</v>
      </c>
      <c r="AB815" s="11">
        <f>IF(履歴データ!$A$815="","",123.3)</f>
        <v>123.3</v>
      </c>
      <c r="AC815">
        <f>IF(履歴データ!$A$815="","",SUM(T815:AA815))</f>
        <v>181188.75634659381</v>
      </c>
      <c r="AD815" s="29">
        <f>IF(履歴データ!$A$815="","",AC815/1000000)</f>
        <v>0.18118875634659382</v>
      </c>
      <c r="AE815" s="29">
        <f>IF(履歴データ!$A$815="",AE814,AE814+AC815/1000000)</f>
        <v>69.294828995968132</v>
      </c>
      <c r="AF815" s="12">
        <f>IF(OR(履歴データ!$A$815="",AE814=0),"",(AE815-AE814)/AE814)</f>
        <v>2.6216063242857244E-3</v>
      </c>
      <c r="AG815" s="29">
        <f t="shared" si="38"/>
        <v>102.17217746631495</v>
      </c>
      <c r="AH815" s="12">
        <f>IF(OR(履歴データ!$A$815="",AG815=0),"",AE815/AG815-1)</f>
        <v>-0.32178377015784088</v>
      </c>
      <c r="AJ815" s="28">
        <f t="shared" ca="1" si="36"/>
        <v>5.2720650204016355</v>
      </c>
      <c r="AK815" s="28">
        <f t="shared" ca="1" si="37"/>
        <v>-6.7363507346873543</v>
      </c>
    </row>
    <row r="816" spans="1:37">
      <c r="A816" s="10">
        <f>IF(履歴データ!$A$816="","",履歴データ!$A$816)</f>
        <v>46119</v>
      </c>
      <c r="B816" s="28">
        <f>IF(履歴データ!$A$816="","",(履歴データ!$D$816-(履歴データ!$B$816+履歴データ!$F$816)/2)*100)</f>
        <v>-2.5000000000000355</v>
      </c>
      <c r="C816" s="28">
        <f>IF(履歴データ!$A$816="","",(履歴データ!$H$816-(履歴データ!$G$816+履歴データ!$J$816)/2)*100)</f>
        <v>-11.60000000000001</v>
      </c>
      <c r="D816" s="28">
        <f>IF(履歴データ!$A$816="","",(履歴データ!$D$816-履歴データ!$H$816)*100)</f>
        <v>191.9</v>
      </c>
      <c r="E816" s="28">
        <f>IF(履歴データ!$A$816="","",(履歴データ!$D$816-履歴データ!$C$816)*100)</f>
        <v>37.999999999999986</v>
      </c>
      <c r="F816" s="28">
        <f>IF(履歴データ!$A$816="","",(履歴データ!$R$816-履歴データ!$D$816)*100)</f>
        <v>-328.75</v>
      </c>
      <c r="G816" s="28">
        <f>IF(履歴データ!$A$816="","",(履歴データ!$S$816-履歴データ!$R$816)*100)</f>
        <v>144.86999999999992</v>
      </c>
      <c r="H816" s="29">
        <f>IF(履歴データ!$A$816="","",履歴データ!$O$816)</f>
        <v>158.71600341796875</v>
      </c>
      <c r="I816" s="29">
        <f>IF(履歴データ!$A$816="","",履歴データ!$Q$816)</f>
        <v>110.859375</v>
      </c>
      <c r="J816" s="29">
        <f>IF(履歴データ!$A$816="","",履歴データ!$D$816)</f>
        <v>4.33</v>
      </c>
      <c r="K816" s="28">
        <f>IF(OR(履歴データ!$A$816="",履歴データ!$A$815=""),"",B816-B815)</f>
        <v>0</v>
      </c>
      <c r="L816" s="28">
        <f>IF(OR(履歴データ!$A$816="",履歴データ!$A$815=""),"",C816-C815)</f>
        <v>-0.80000000000000071</v>
      </c>
      <c r="M816" s="28">
        <f>IF(OR(履歴データ!$A$816="",履歴データ!$A$815=""),"",D816-D815)</f>
        <v>0.80000000000001137</v>
      </c>
      <c r="N816" s="28">
        <f>IF(OR(履歴データ!$A$816="",履歴データ!$A$815=""),"",E816-E815)</f>
        <v>2</v>
      </c>
      <c r="O816" s="28">
        <f>IF(OR(履歴データ!$A$816="",履歴データ!$A$815=""),"",F816-F815)</f>
        <v>1</v>
      </c>
      <c r="P816" s="28">
        <f>IF(OR(履歴データ!$A$816="",履歴データ!$A$815=""),"",G816-G815)</f>
        <v>1.7540000000000191</v>
      </c>
      <c r="Q816" s="29">
        <f>IF(OR(履歴データ!$A$816="",履歴データ!$A$815=""),"",H816-H815)</f>
        <v>-0.9669952392578125</v>
      </c>
      <c r="R816" s="29">
        <f>IF(OR(履歴データ!$A$816="",履歴データ!$A$815=""),"",I816-I815)</f>
        <v>4.6875E-2</v>
      </c>
      <c r="S816" s="28">
        <f>IF(OR(履歴データ!$A$816="",履歴データ!$A$815=""),"",(J816-J815)*100)</f>
        <v>-0.99999999999997868</v>
      </c>
      <c r="T816" s="11">
        <f>IF(OR(履歴データ!$A$816="",履歴データ!$A$815=""),"",-80000*K816)</f>
        <v>0</v>
      </c>
      <c r="U816" s="11">
        <f>IF(OR(履歴データ!$A$816="",履歴データ!$A$815=""),"",60000*L816)</f>
        <v>-48000.000000000044</v>
      </c>
      <c r="V816" s="11">
        <f>IF(OR(履歴データ!$A$816="",履歴データ!$A$815=""),"",-50000*M816)</f>
        <v>-40000.000000000568</v>
      </c>
      <c r="W816" s="11">
        <f>IF(OR(履歴データ!$A$816="",履歴データ!$A$815=""),"",-40000*N816)</f>
        <v>-80000</v>
      </c>
      <c r="X816" s="11">
        <f>IF(OR(履歴データ!$A$816="",履歴データ!$A$815=""),"",120*1000000*(-Q816/H815))</f>
        <v>726686.18254111207</v>
      </c>
      <c r="Y816" s="11">
        <f>IF(OR(履歴データ!$A$816="",履歴データ!$A$815=""),"",40000*(-S816)+(-506.3)*R816*1000)</f>
        <v>16267.187499999149</v>
      </c>
      <c r="Z816" s="11">
        <f>IF(OR(履歴データ!$A$816="",履歴データ!$A$815=""),"",-40000*O816)</f>
        <v>-40000</v>
      </c>
      <c r="AA816" s="11">
        <f>IF(OR(履歴データ!$A$816="",履歴データ!$A$815=""),"",-40000*P816)</f>
        <v>-70160.000000000757</v>
      </c>
      <c r="AB816" s="11">
        <f>IF(履歴データ!$A$816="","",123.3)</f>
        <v>123.3</v>
      </c>
      <c r="AC816">
        <f>IF(履歴データ!$A$816="","",SUM(T816:AA816))</f>
        <v>464793.37004110991</v>
      </c>
      <c r="AD816" s="29">
        <f>IF(履歴データ!$A$816="","",AC816/1000000)</f>
        <v>0.46479337004110993</v>
      </c>
      <c r="AE816" s="29">
        <f>IF(履歴データ!$A$816="",AE815,AE815+AC816/1000000)</f>
        <v>69.759622366009239</v>
      </c>
      <c r="AF816" s="12">
        <f>IF(OR(履歴データ!$A$816="",AE815=0),"",(AE816-AE815)/AE815)</f>
        <v>6.7074755328157456E-3</v>
      </c>
      <c r="AG816" s="29">
        <f t="shared" si="38"/>
        <v>102.17217746631495</v>
      </c>
      <c r="AH816" s="12">
        <f>IF(OR(履歴データ!$A$816="",AG816=0),"",AE816/AG816-1)</f>
        <v>-0.317234651390216</v>
      </c>
      <c r="AJ816" s="28">
        <f t="shared" ca="1" si="36"/>
        <v>5.2720650204016355</v>
      </c>
      <c r="AK816" s="28">
        <f t="shared" ca="1" si="37"/>
        <v>-6.7363507346873561</v>
      </c>
    </row>
    <row r="817" spans="1:37">
      <c r="A817" s="10">
        <f>IF(履歴データ!$A$817="","",履歴データ!$A$817)</f>
        <v>46120</v>
      </c>
      <c r="B817" s="28">
        <f>IF(履歴データ!$A$817="","",(履歴データ!$D$817-(履歴データ!$B$817+履歴データ!$F$817)/2)*100)</f>
        <v>-4.9999999999999822</v>
      </c>
      <c r="C817" s="28">
        <f>IF(履歴データ!$A$817="","",(履歴データ!$H$817-(履歴データ!$G$817+履歴データ!$J$817)/2)*100)</f>
        <v>-12.449999999999983</v>
      </c>
      <c r="D817" s="28">
        <f>IF(履歴データ!$A$817="","",(履歴データ!$D$817-履歴データ!$H$817)*100)</f>
        <v>191.6</v>
      </c>
      <c r="E817" s="28">
        <f>IF(履歴データ!$A$817="","",(履歴データ!$D$817-履歴データ!$C$817)*100)</f>
        <v>37.000000000000014</v>
      </c>
      <c r="F817" s="28">
        <f>IF(履歴データ!$A$817="","",(履歴データ!$R$817-履歴データ!$D$817)*100)</f>
        <v>-316.53000000000003</v>
      </c>
      <c r="G817" s="28">
        <f>IF(履歴データ!$A$817="","",(履歴データ!$S$817-履歴データ!$R$817)*100)</f>
        <v>131.91417858886706</v>
      </c>
      <c r="H817" s="29">
        <f>IF(履歴データ!$A$817="","",履歴データ!$O$817)</f>
        <v>158.64199829101563</v>
      </c>
      <c r="I817" s="29">
        <f>IF(履歴データ!$A$817="","",履歴データ!$Q$817)</f>
        <v>111.234375</v>
      </c>
      <c r="J817" s="29">
        <f>IF(履歴データ!$A$817="","",履歴データ!$D$817)</f>
        <v>4.29</v>
      </c>
      <c r="K817" s="28">
        <f>IF(OR(履歴データ!$A$817="",履歴データ!$A$816=""),"",B817-B816)</f>
        <v>-2.4999999999999467</v>
      </c>
      <c r="L817" s="28">
        <f>IF(OR(履歴データ!$A$817="",履歴データ!$A$816=""),"",C817-C816)</f>
        <v>-0.849999999999973</v>
      </c>
      <c r="M817" s="28">
        <f>IF(OR(履歴データ!$A$817="",履歴データ!$A$816=""),"",D817-D816)</f>
        <v>-0.30000000000001137</v>
      </c>
      <c r="N817" s="28">
        <f>IF(OR(履歴データ!$A$817="",履歴データ!$A$816=""),"",E817-E816)</f>
        <v>-0.99999999999997158</v>
      </c>
      <c r="O817" s="28">
        <f>IF(OR(履歴データ!$A$817="",履歴データ!$A$816=""),"",F817-F816)</f>
        <v>12.21999999999997</v>
      </c>
      <c r="P817" s="28">
        <f>IF(OR(履歴データ!$A$817="",履歴データ!$A$816=""),"",G817-G816)</f>
        <v>-12.95582141113286</v>
      </c>
      <c r="Q817" s="29">
        <f>IF(OR(履歴データ!$A$817="",履歴データ!$A$816=""),"",H817-H816)</f>
        <v>-7.4005126953125E-2</v>
      </c>
      <c r="R817" s="29">
        <f>IF(OR(履歴データ!$A$817="",履歴データ!$A$816=""),"",I817-I816)</f>
        <v>0.375</v>
      </c>
      <c r="S817" s="28">
        <f>IF(OR(履歴データ!$A$817="",履歴データ!$A$816=""),"",(J817-J816)*100)</f>
        <v>-4.0000000000000036</v>
      </c>
      <c r="T817" s="11">
        <f>IF(OR(履歴データ!$A$817="",履歴データ!$A$816=""),"",-80000*K817)</f>
        <v>199999.99999999575</v>
      </c>
      <c r="U817" s="11">
        <f>IF(OR(履歴データ!$A$817="",履歴データ!$A$816=""),"",60000*L817)</f>
        <v>-50999.999999998377</v>
      </c>
      <c r="V817" s="11">
        <f>IF(OR(履歴データ!$A$817="",履歴データ!$A$816=""),"",-50000*M817)</f>
        <v>15000.000000000568</v>
      </c>
      <c r="W817" s="11">
        <f>IF(OR(履歴データ!$A$817="",履歴データ!$A$816=""),"",-40000*N817)</f>
        <v>39999.999999998865</v>
      </c>
      <c r="X817" s="11">
        <f>IF(OR(履歴データ!$A$817="",履歴データ!$A$816=""),"",120*1000000*(-Q817/H816))</f>
        <v>55952.865767344527</v>
      </c>
      <c r="Y817" s="11">
        <f>IF(OR(履歴データ!$A$817="",履歴データ!$A$816=""),"",40000*(-S817)+(-506.3)*R817*1000)</f>
        <v>-29862.499999999854</v>
      </c>
      <c r="Z817" s="11">
        <f>IF(OR(履歴データ!$A$817="",履歴データ!$A$816=""),"",-40000*O817)</f>
        <v>-488799.99999999884</v>
      </c>
      <c r="AA817" s="11">
        <f>IF(OR(履歴データ!$A$817="",履歴データ!$A$816=""),"",-40000*P817)</f>
        <v>518232.85644531436</v>
      </c>
      <c r="AB817" s="11">
        <f>IF(履歴データ!$A$817="","",123.3)</f>
        <v>123.3</v>
      </c>
      <c r="AC817">
        <f>IF(履歴データ!$A$817="","",SUM(T817:AA817))</f>
        <v>259523.22221265701</v>
      </c>
      <c r="AD817" s="29">
        <f>IF(履歴データ!$A$817="","",AC817/1000000)</f>
        <v>0.259523222212657</v>
      </c>
      <c r="AE817" s="29">
        <f>IF(履歴データ!$A$817="",AE816,AE816+AC817/1000000)</f>
        <v>70.019145588221903</v>
      </c>
      <c r="AF817" s="12">
        <f>IF(OR(履歴データ!$A$817="",AE816=0),"",(AE817-AE816)/AE816)</f>
        <v>3.7202498151583763E-3</v>
      </c>
      <c r="AG817" s="29">
        <f t="shared" si="38"/>
        <v>102.17217746631495</v>
      </c>
      <c r="AH817" s="12">
        <f>IF(OR(履歴データ!$A$817="",AG817=0),"",AE817/AG817-1)</f>
        <v>-0.31469459372825392</v>
      </c>
      <c r="AJ817" s="28">
        <f t="shared" ca="1" si="36"/>
        <v>5.2780837695004621</v>
      </c>
      <c r="AK817" s="28">
        <f t="shared" ca="1" si="37"/>
        <v>-6.7503059917226889</v>
      </c>
    </row>
    <row r="818" spans="1:37">
      <c r="A818" s="10">
        <f>IF(履歴データ!$A$818="","",履歴データ!$A$818)</f>
        <v>46121</v>
      </c>
      <c r="B818" s="28">
        <f>IF(履歴データ!$A$818="","",(履歴データ!$D$818-(履歴データ!$B$818+履歴データ!$F$818)/2)*100)</f>
        <v>-4.9999999999999822</v>
      </c>
      <c r="C818" s="28">
        <f>IF(履歴データ!$A$818="","",(履歴データ!$H$818-(履歴データ!$G$818+履歴データ!$J$818)/2)*100)</f>
        <v>-10.950000000000015</v>
      </c>
      <c r="D818" s="28">
        <f>IF(履歴データ!$A$818="","",(履歴データ!$D$818-履歴データ!$H$818)*100)</f>
        <v>189.3</v>
      </c>
      <c r="E818" s="28">
        <f>IF(履歴データ!$A$818="","",(履歴データ!$D$818-履歴データ!$C$818)*100)</f>
        <v>37.999999999999986</v>
      </c>
      <c r="F818" s="28">
        <f>IF(履歴データ!$A$818="","",(履歴データ!$R$818-履歴データ!$D$818)*100)</f>
        <v>-330.56</v>
      </c>
      <c r="G818" s="28">
        <f>IF(履歴データ!$A$818="","",(履歴データ!$S$818-履歴データ!$R$818)*100)</f>
        <v>148.22435717773433</v>
      </c>
      <c r="H818" s="29">
        <f>IF(履歴データ!$A$818="","",履歴データ!$O$818)</f>
        <v>159.11199951171875</v>
      </c>
      <c r="I818" s="29">
        <f>IF(履歴データ!$A$818="","",履歴データ!$Q$818)</f>
        <v>111.234375</v>
      </c>
      <c r="J818" s="29">
        <f>IF(履歴データ!$A$818="","",履歴データ!$D$818)</f>
        <v>4.29</v>
      </c>
      <c r="K818" s="28">
        <f>IF(OR(履歴データ!$A$818="",履歴データ!$A$817=""),"",B818-B817)</f>
        <v>0</v>
      </c>
      <c r="L818" s="28">
        <f>IF(OR(履歴データ!$A$818="",履歴データ!$A$817=""),"",C818-C817)</f>
        <v>1.499999999999968</v>
      </c>
      <c r="M818" s="28">
        <f>IF(OR(履歴データ!$A$818="",履歴データ!$A$817=""),"",D818-D817)</f>
        <v>-2.2999999999999829</v>
      </c>
      <c r="N818" s="28">
        <f>IF(OR(履歴データ!$A$818="",履歴データ!$A$817=""),"",E818-E817)</f>
        <v>0.99999999999997158</v>
      </c>
      <c r="O818" s="28">
        <f>IF(OR(履歴データ!$A$818="",履歴データ!$A$817=""),"",F818-F817)</f>
        <v>-14.029999999999973</v>
      </c>
      <c r="P818" s="28">
        <f>IF(OR(履歴データ!$A$818="",履歴データ!$A$817=""),"",G818-G817)</f>
        <v>16.310178588867274</v>
      </c>
      <c r="Q818" s="29">
        <f>IF(OR(履歴データ!$A$818="",履歴データ!$A$817=""),"",H818-H817)</f>
        <v>0.470001220703125</v>
      </c>
      <c r="R818" s="29">
        <f>IF(OR(履歴データ!$A$818="",履歴データ!$A$817=""),"",I818-I817)</f>
        <v>0</v>
      </c>
      <c r="S818" s="28">
        <f>IF(OR(履歴データ!$A$818="",履歴データ!$A$817=""),"",(J818-J817)*100)</f>
        <v>0</v>
      </c>
      <c r="T818" s="11">
        <f>IF(OR(履歴データ!$A$818="",履歴データ!$A$817=""),"",-80000*K818)</f>
        <v>0</v>
      </c>
      <c r="U818" s="11">
        <f>IF(OR(履歴データ!$A$818="",履歴データ!$A$817=""),"",60000*L818)</f>
        <v>89999.999999998079</v>
      </c>
      <c r="V818" s="11">
        <f>IF(OR(履歴データ!$A$818="",履歴データ!$A$817=""),"",-50000*M818)</f>
        <v>114999.99999999914</v>
      </c>
      <c r="W818" s="11">
        <f>IF(OR(履歴データ!$A$818="",履歴データ!$A$817=""),"",-40000*N818)</f>
        <v>-39999.999999998865</v>
      </c>
      <c r="X818" s="11">
        <f>IF(OR(履歴データ!$A$818="",履歴データ!$A$817=""),"",120*1000000*(-Q818/H817))</f>
        <v>-355518.38158842147</v>
      </c>
      <c r="Y818" s="11">
        <f>IF(OR(履歴データ!$A$818="",履歴データ!$A$817=""),"",40000*(-S818)+(-506.3)*R818*1000)</f>
        <v>0</v>
      </c>
      <c r="Z818" s="11">
        <f>IF(OR(履歴データ!$A$818="",履歴データ!$A$817=""),"",-40000*O818)</f>
        <v>561199.99999999895</v>
      </c>
      <c r="AA818" s="11">
        <f>IF(OR(履歴データ!$A$818="",履歴データ!$A$817=""),"",-40000*P818)</f>
        <v>-652407.14355469099</v>
      </c>
      <c r="AB818" s="11">
        <f>IF(履歴データ!$A$818="","",123.3)</f>
        <v>123.3</v>
      </c>
      <c r="AC818">
        <f>IF(履歴データ!$A$818="","",SUM(T818:AA818))</f>
        <v>-281725.5251431152</v>
      </c>
      <c r="AD818" s="29">
        <f>IF(履歴データ!$A$818="","",AC818/1000000)</f>
        <v>-0.28172552514311522</v>
      </c>
      <c r="AE818" s="29">
        <f>IF(履歴データ!$A$818="",AE817,AE817+AC818/1000000)</f>
        <v>69.737420063078787</v>
      </c>
      <c r="AF818" s="12">
        <f>IF(OR(履歴データ!$A$818="",AE817=0),"",(AE818-AE817)/AE817)</f>
        <v>-4.0235498844833958E-3</v>
      </c>
      <c r="AG818" s="29">
        <f t="shared" si="38"/>
        <v>102.17217746631495</v>
      </c>
      <c r="AH818" s="12">
        <f>IF(OR(履歴データ!$A$818="",AG818=0),"",AE818/AG818-1)</f>
        <v>-0.31745195421649453</v>
      </c>
      <c r="AJ818" s="28">
        <f t="shared" ca="1" si="36"/>
        <v>5.2860699223442014</v>
      </c>
      <c r="AK818" s="28">
        <f t="shared" ca="1" si="37"/>
        <v>-6.7701969064711909</v>
      </c>
    </row>
    <row r="819" spans="1:37">
      <c r="A819" s="10">
        <f>IF(履歴データ!$A$819="","",履歴データ!$A$819)</f>
        <v>46122</v>
      </c>
      <c r="B819" s="28">
        <f>IF(履歴データ!$A$819="","",(履歴データ!$D$819-(履歴データ!$B$819+履歴データ!$F$819)/2)*100)</f>
        <v>-5.0000000000000711</v>
      </c>
      <c r="C819" s="28">
        <f>IF(履歴データ!$A$819="","",(履歴データ!$H$819-(履歴データ!$G$819+履歴データ!$J$819)/2)*100)</f>
        <v>-8.2500000000000018</v>
      </c>
      <c r="D819" s="28">
        <f>IF(履歴データ!$A$819="","",(履歴データ!$D$819-履歴データ!$H$819)*100)</f>
        <v>187.09999999999997</v>
      </c>
      <c r="E819" s="28">
        <f>IF(履歴データ!$A$819="","",(履歴データ!$D$819-履歴データ!$C$819)*100)</f>
        <v>36.999999999999964</v>
      </c>
      <c r="F819" s="28">
        <f>IF(履歴データ!$A$819="","",(履歴データ!$R$819-履歴データ!$D$819)*100)</f>
        <v>-329.93999999999994</v>
      </c>
      <c r="G819" s="28">
        <f>IF(履歴データ!$A$819="","",(履歴データ!$S$819-履歴データ!$R$819)*100)</f>
        <v>148.05999999999992</v>
      </c>
      <c r="H819" s="29">
        <f>IF(履歴データ!$A$819="","",履歴データ!$O$819)</f>
        <v>159.11199951171875</v>
      </c>
      <c r="I819" s="29">
        <f>IF(履歴データ!$A$819="","",履歴データ!$Q$819)</f>
        <v>111.09375</v>
      </c>
      <c r="J819" s="29">
        <f>IF(履歴データ!$A$819="","",履歴データ!$D$819)</f>
        <v>4.3099999999999996</v>
      </c>
      <c r="K819" s="28">
        <f>IF(OR(履歴データ!$A$819="",履歴データ!$A$818=""),"",B819-B818)</f>
        <v>-8.8817841970012523E-14</v>
      </c>
      <c r="L819" s="28">
        <f>IF(OR(履歴データ!$A$819="",履歴データ!$A$818=""),"",C819-C818)</f>
        <v>2.7000000000000135</v>
      </c>
      <c r="M819" s="28">
        <f>IF(OR(履歴データ!$A$819="",履歴データ!$A$818=""),"",D819-D818)</f>
        <v>-2.2000000000000455</v>
      </c>
      <c r="N819" s="28">
        <f>IF(OR(履歴データ!$A$819="",履歴データ!$A$818=""),"",E819-E818)</f>
        <v>-1.0000000000000213</v>
      </c>
      <c r="O819" s="28">
        <f>IF(OR(履歴データ!$A$819="",履歴データ!$A$818=""),"",F819-F818)</f>
        <v>0.62000000000006139</v>
      </c>
      <c r="P819" s="28">
        <f>IF(OR(履歴データ!$A$819="",履歴データ!$A$818=""),"",G819-G818)</f>
        <v>-0.16435717773441638</v>
      </c>
      <c r="Q819" s="29">
        <f>IF(OR(履歴データ!$A$819="",履歴データ!$A$818=""),"",H819-H818)</f>
        <v>0</v>
      </c>
      <c r="R819" s="29">
        <f>IF(OR(履歴データ!$A$819="",履歴データ!$A$818=""),"",I819-I818)</f>
        <v>-0.140625</v>
      </c>
      <c r="S819" s="28">
        <f>IF(OR(履歴データ!$A$819="",履歴データ!$A$818=""),"",(J819-J818)*100)</f>
        <v>1.9999999999999574</v>
      </c>
      <c r="T819" s="11">
        <f>IF(OR(履歴データ!$A$819="",履歴データ!$A$818=""),"",-80000*K819)</f>
        <v>7.1054273576010019E-9</v>
      </c>
      <c r="U819" s="11">
        <f>IF(OR(履歴データ!$A$819="",履歴データ!$A$818=""),"",60000*L819)</f>
        <v>162000.00000000081</v>
      </c>
      <c r="V819" s="11">
        <f>IF(OR(履歴データ!$A$819="",履歴データ!$A$818=""),"",-50000*M819)</f>
        <v>110000.00000000227</v>
      </c>
      <c r="W819" s="11">
        <f>IF(OR(履歴データ!$A$819="",履歴データ!$A$818=""),"",-40000*N819)</f>
        <v>40000.000000000851</v>
      </c>
      <c r="X819" s="11">
        <f>IF(OR(履歴データ!$A$819="",履歴データ!$A$818=""),"",120*1000000*(-Q819/H818))</f>
        <v>0</v>
      </c>
      <c r="Y819" s="11">
        <f>IF(OR(履歴データ!$A$819="",履歴データ!$A$818=""),"",40000*(-S819)+(-506.3)*R819*1000)</f>
        <v>-8801.5624999982974</v>
      </c>
      <c r="Z819" s="11">
        <f>IF(OR(履歴データ!$A$819="",履歴データ!$A$818=""),"",-40000*O819)</f>
        <v>-24800.000000002456</v>
      </c>
      <c r="AA819" s="11">
        <f>IF(OR(履歴データ!$A$819="",履歴データ!$A$818=""),"",-40000*P819)</f>
        <v>6574.2871093766553</v>
      </c>
      <c r="AB819" s="11">
        <f>IF(履歴データ!$A$819="","",123.3)</f>
        <v>123.3</v>
      </c>
      <c r="AC819">
        <f>IF(履歴データ!$A$819="","",SUM(T819:AA819))</f>
        <v>284972.72460938693</v>
      </c>
      <c r="AD819" s="29">
        <f>IF(履歴データ!$A$819="","",AC819/1000000)</f>
        <v>0.28497272460938694</v>
      </c>
      <c r="AE819" s="29">
        <f>IF(履歴データ!$A$819="",AE818,AE818+AC819/1000000)</f>
        <v>70.022392787688176</v>
      </c>
      <c r="AF819" s="12">
        <f>IF(OR(履歴データ!$A$819="",AE818=0),"",(AE819-AE818)/AE818)</f>
        <v>4.0863674674461153E-3</v>
      </c>
      <c r="AG819" s="29">
        <f t="shared" si="38"/>
        <v>102.17217746631495</v>
      </c>
      <c r="AH819" s="12">
        <f>IF(OR(履歴データ!$A$819="",AG819=0),"",AE819/AG819-1)</f>
        <v>-0.31466281208723579</v>
      </c>
      <c r="AJ819" s="28">
        <f t="shared" ca="1" si="36"/>
        <v>5.2919470737746828</v>
      </c>
      <c r="AK819" s="28">
        <f t="shared" ca="1" si="37"/>
        <v>-6.8117883436159588</v>
      </c>
    </row>
    <row r="820" spans="1:37">
      <c r="A820" s="10">
        <f>IF(履歴データ!$A$820="","",履歴データ!$A$820)</f>
        <v>46125</v>
      </c>
      <c r="B820" s="28">
        <f>IF(履歴データ!$A$820="","",(履歴データ!$D$820-(履歴データ!$B$820+履歴データ!$F$820)/2)*100)</f>
        <v>-4.0000000000000036</v>
      </c>
      <c r="C820" s="28">
        <f>IF(履歴データ!$A$820="","",(履歴データ!$H$820-(履歴データ!$G$820+履歴データ!$J$820)/2)*100)</f>
        <v>-8.2500000000000018</v>
      </c>
      <c r="D820" s="28">
        <f>IF(履歴データ!$A$820="","",(履歴データ!$D$820-履歴データ!$H$820)*100)</f>
        <v>183.29999999999998</v>
      </c>
      <c r="E820" s="28">
        <f>IF(履歴データ!$A$820="","",(履歴データ!$D$820-履歴データ!$C$820)*100)</f>
        <v>37.999999999999986</v>
      </c>
      <c r="F820" s="28">
        <f>IF(履歴データ!$A$820="","",(履歴データ!$R$820-履歴データ!$D$820)*100)</f>
        <v>-323.39999999999998</v>
      </c>
      <c r="G820" s="28">
        <f>IF(履歴データ!$A$820="","",(履歴データ!$S$820-履歴データ!$R$820)*100)</f>
        <v>148.13282141113262</v>
      </c>
      <c r="H820" s="29">
        <f>IF(履歴データ!$A$820="","",履歴データ!$O$820)</f>
        <v>159.21400451660156</v>
      </c>
      <c r="I820" s="29">
        <f>IF(履歴データ!$A$820="","",履歴データ!$Q$820)</f>
        <v>111.234375</v>
      </c>
      <c r="J820" s="29">
        <f>IF(履歴データ!$A$820="","",履歴データ!$D$820)</f>
        <v>4.3</v>
      </c>
      <c r="K820" s="28">
        <f>IF(OR(履歴データ!$A$820="",履歴データ!$A$819=""),"",B820-B819)</f>
        <v>1.0000000000000675</v>
      </c>
      <c r="L820" s="28">
        <f>IF(OR(履歴データ!$A$820="",履歴データ!$A$819=""),"",C820-C819)</f>
        <v>0</v>
      </c>
      <c r="M820" s="28">
        <f>IF(OR(履歴データ!$A$820="",履歴データ!$A$819=""),"",D820-D819)</f>
        <v>-3.7999999999999829</v>
      </c>
      <c r="N820" s="28">
        <f>IF(OR(履歴データ!$A$820="",履歴データ!$A$819=""),"",E820-E819)</f>
        <v>1.0000000000000213</v>
      </c>
      <c r="O820" s="28">
        <f>IF(OR(履歴データ!$A$820="",履歴データ!$A$819=""),"",F820-F819)</f>
        <v>6.5399999999999636</v>
      </c>
      <c r="P820" s="28">
        <f>IF(OR(履歴データ!$A$820="",履歴データ!$A$819=""),"",G820-G819)</f>
        <v>7.2821411132707681E-2</v>
      </c>
      <c r="Q820" s="29">
        <f>IF(OR(履歴データ!$A$820="",履歴データ!$A$819=""),"",H820-H819)</f>
        <v>0.1020050048828125</v>
      </c>
      <c r="R820" s="29">
        <f>IF(OR(履歴データ!$A$820="",履歴データ!$A$819=""),"",I820-I819)</f>
        <v>0.140625</v>
      </c>
      <c r="S820" s="28">
        <f>IF(OR(履歴データ!$A$820="",履歴データ!$A$819=""),"",(J820-J819)*100)</f>
        <v>-0.99999999999997868</v>
      </c>
      <c r="T820" s="11">
        <f>IF(OR(履歴データ!$A$820="",履歴データ!$A$819=""),"",-80000*K820)</f>
        <v>-80000.000000005399</v>
      </c>
      <c r="U820" s="11">
        <f>IF(OR(履歴データ!$A$820="",履歴データ!$A$819=""),"",60000*L820)</f>
        <v>0</v>
      </c>
      <c r="V820" s="11">
        <f>IF(OR(履歴データ!$A$820="",履歴データ!$A$819=""),"",-50000*M820)</f>
        <v>189999.99999999916</v>
      </c>
      <c r="W820" s="11">
        <f>IF(OR(履歴データ!$A$820="",履歴データ!$A$819=""),"",-40000*N820)</f>
        <v>-40000.000000000851</v>
      </c>
      <c r="X820" s="11">
        <f>IF(OR(履歴データ!$A$820="",履歴データ!$A$819=""),"",120*1000000*(-Q820/H819))</f>
        <v>-76930.719389494989</v>
      </c>
      <c r="Y820" s="11">
        <f>IF(OR(履歴データ!$A$820="",履歴データ!$A$819=""),"",40000*(-S820)+(-506.3)*R820*1000)</f>
        <v>-31198.437500000851</v>
      </c>
      <c r="Z820" s="11">
        <f>IF(OR(履歴データ!$A$820="",履歴データ!$A$819=""),"",-40000*O820)</f>
        <v>-261599.99999999854</v>
      </c>
      <c r="AA820" s="11">
        <f>IF(OR(履歴データ!$A$820="",履歴データ!$A$819=""),"",-40000*P820)</f>
        <v>-2912.8564453083072</v>
      </c>
      <c r="AB820" s="11">
        <f>IF(履歴データ!$A$820="","",123.3)</f>
        <v>123.3</v>
      </c>
      <c r="AC820">
        <f>IF(履歴データ!$A$820="","",SUM(T820:AA820))</f>
        <v>-302642.0133348098</v>
      </c>
      <c r="AD820" s="29">
        <f>IF(履歴データ!$A$820="","",AC820/1000000)</f>
        <v>-0.30264201333480978</v>
      </c>
      <c r="AE820" s="29">
        <f>IF(履歴データ!$A$820="",AE819,AE819+AC820/1000000)</f>
        <v>69.719750774353372</v>
      </c>
      <c r="AF820" s="12">
        <f>IF(OR(履歴データ!$A$820="",AE819=0),"",(AE820-AE819)/AE819)</f>
        <v>-4.3220747147620555E-3</v>
      </c>
      <c r="AG820" s="29">
        <f t="shared" si="38"/>
        <v>102.17217746631495</v>
      </c>
      <c r="AH820" s="12">
        <f>IF(OR(履歴データ!$A$820="",AG820=0),"",AE820/AG820-1)</f>
        <v>-0.31762489061819976</v>
      </c>
      <c r="AJ820" s="28">
        <f t="shared" ca="1" si="36"/>
        <v>5.2258739350429719</v>
      </c>
      <c r="AK820" s="28">
        <f t="shared" ca="1" si="37"/>
        <v>-6.8171437763128191</v>
      </c>
    </row>
    <row r="821" spans="1:37">
      <c r="A821" s="10">
        <f>IF(履歴データ!$A$821="","",履歴データ!$A$821)</f>
        <v>46126</v>
      </c>
      <c r="B821" s="28">
        <f>IF(履歴データ!$A$821="","",(履歴データ!$D$821-(履歴データ!$B$821+履歴データ!$F$821)/2)*100)</f>
        <v>-5.4999999999999716</v>
      </c>
      <c r="C821" s="28">
        <f>IF(履歴データ!$A$821="","",(履歴データ!$H$821-(履歴データ!$G$821+履歴データ!$J$821)/2)*100)</f>
        <v>-8.4499999999999797</v>
      </c>
      <c r="D821" s="28">
        <f>IF(履歴データ!$A$821="","",(履歴データ!$D$821-履歴データ!$H$821)*100)</f>
        <v>183.7</v>
      </c>
      <c r="E821" s="28">
        <f>IF(履歴データ!$A$821="","",(履歴データ!$D$821-履歴データ!$C$821)*100)</f>
        <v>38.999999999999972</v>
      </c>
      <c r="F821" s="28">
        <f>IF(履歴データ!$A$821="","",(履歴データ!$R$821-履歴データ!$D$821)*100)</f>
        <v>-313.88</v>
      </c>
      <c r="G821" s="28">
        <f>IF(履歴データ!$A$821="","",(履歴データ!$S$821-履歴データ!$R$821)*100)</f>
        <v>128.22999999999993</v>
      </c>
      <c r="H821" s="29">
        <f>IF(履歴データ!$A$821="","",履歴データ!$O$821)</f>
        <v>158.79200744628906</v>
      </c>
      <c r="I821" s="29">
        <f>IF(履歴データ!$A$821="","",履歴データ!$Q$821)</f>
        <v>111.53125</v>
      </c>
      <c r="J821" s="29">
        <f>IF(履歴データ!$A$821="","",履歴データ!$D$821)</f>
        <v>4.26</v>
      </c>
      <c r="K821" s="28">
        <f>IF(OR(履歴データ!$A$821="",履歴データ!$A$820=""),"",B821-B820)</f>
        <v>-1.499999999999968</v>
      </c>
      <c r="L821" s="28">
        <f>IF(OR(履歴データ!$A$821="",履歴データ!$A$820=""),"",C821-C820)</f>
        <v>-0.19999999999997797</v>
      </c>
      <c r="M821" s="28">
        <f>IF(OR(履歴データ!$A$821="",履歴データ!$A$820=""),"",D821-D820)</f>
        <v>0.40000000000000568</v>
      </c>
      <c r="N821" s="28">
        <f>IF(OR(履歴データ!$A$821="",履歴データ!$A$820=""),"",E821-E820)</f>
        <v>0.99999999999998579</v>
      </c>
      <c r="O821" s="28">
        <f>IF(OR(履歴データ!$A$821="",履歴データ!$A$820=""),"",F821-F820)</f>
        <v>9.5199999999999818</v>
      </c>
      <c r="P821" s="28">
        <f>IF(OR(履歴データ!$A$821="",履歴データ!$A$820=""),"",G821-G820)</f>
        <v>-19.902821411132692</v>
      </c>
      <c r="Q821" s="29">
        <f>IF(OR(履歴データ!$A$821="",履歴データ!$A$820=""),"",H821-H820)</f>
        <v>-0.4219970703125</v>
      </c>
      <c r="R821" s="29">
        <f>IF(OR(履歴データ!$A$821="",履歴データ!$A$820=""),"",I821-I820)</f>
        <v>0.296875</v>
      </c>
      <c r="S821" s="28">
        <f>IF(OR(履歴データ!$A$821="",履歴データ!$A$820=""),"",(J821-J820)*100)</f>
        <v>-4.0000000000000036</v>
      </c>
      <c r="T821" s="11">
        <f>IF(OR(履歴データ!$A$821="",履歴データ!$A$820=""),"",-80000*K821)</f>
        <v>119999.99999999744</v>
      </c>
      <c r="U821" s="11">
        <f>IF(OR(履歴データ!$A$821="",履歴データ!$A$820=""),"",60000*L821)</f>
        <v>-11999.999999998678</v>
      </c>
      <c r="V821" s="11">
        <f>IF(OR(履歴データ!$A$821="",履歴データ!$A$820=""),"",-50000*M821)</f>
        <v>-20000.000000000284</v>
      </c>
      <c r="W821" s="11">
        <f>IF(OR(履歴データ!$A$821="",履歴データ!$A$820=""),"",-40000*N821)</f>
        <v>-39999.999999999432</v>
      </c>
      <c r="X821" s="11">
        <f>IF(OR(履歴データ!$A$821="",履歴データ!$A$820=""),"",120*1000000*(-Q821/H820))</f>
        <v>318060.26480679156</v>
      </c>
      <c r="Y821" s="11">
        <f>IF(OR(履歴データ!$A$821="",履歴データ!$A$820=""),"",40000*(-S821)+(-506.3)*R821*1000)</f>
        <v>9692.1875000001455</v>
      </c>
      <c r="Z821" s="11">
        <f>IF(OR(履歴データ!$A$821="",履歴データ!$A$820=""),"",-40000*O821)</f>
        <v>-380799.9999999993</v>
      </c>
      <c r="AA821" s="11">
        <f>IF(OR(履歴データ!$A$821="",履歴データ!$A$820=""),"",-40000*P821)</f>
        <v>796112.85644530773</v>
      </c>
      <c r="AB821" s="11">
        <f>IF(履歴データ!$A$821="","",123.3)</f>
        <v>123.3</v>
      </c>
      <c r="AC821">
        <f>IF(履歴データ!$A$821="","",SUM(T821:AA821))</f>
        <v>791065.30875209917</v>
      </c>
      <c r="AD821" s="29">
        <f>IF(履歴データ!$A$821="","",AC821/1000000)</f>
        <v>0.79106530875209913</v>
      </c>
      <c r="AE821" s="29">
        <f>IF(履歴データ!$A$821="",AE820,AE820+AC821/1000000)</f>
        <v>70.510816083105468</v>
      </c>
      <c r="AF821" s="12">
        <f>IF(OR(履歴データ!$A$821="",AE820=0),"",(AE821-AE820)/AE820)</f>
        <v>1.134635881462576E-2</v>
      </c>
      <c r="AG821" s="29">
        <f t="shared" si="38"/>
        <v>102.17217746631495</v>
      </c>
      <c r="AH821" s="12">
        <f>IF(OR(履歴データ!$A$821="",AG821=0),"",AE821/AG821-1)</f>
        <v>-0.30988241778098435</v>
      </c>
      <c r="AJ821" s="28">
        <f t="shared" ca="1" si="36"/>
        <v>5.208687359046313</v>
      </c>
      <c r="AK821" s="28">
        <f t="shared" ca="1" si="37"/>
        <v>-6.8634492638082234</v>
      </c>
    </row>
    <row r="822" spans="1:37">
      <c r="A822" s="10">
        <f>IF(履歴データ!$A$822="","",履歴データ!$A$822)</f>
        <v>46127</v>
      </c>
      <c r="B822" s="28">
        <f>IF(履歴データ!$A$822="","",(履歴データ!$D$822-(履歴データ!$B$822+履歴データ!$F$822)/2)*100)</f>
        <v>-3.4999999999999254</v>
      </c>
      <c r="C822" s="28">
        <f>IF(履歴データ!$A$822="","",(履歴データ!$H$822-(履歴データ!$G$822+履歴データ!$J$822)/2)*100)</f>
        <v>-7.9999999999999627</v>
      </c>
      <c r="D822" s="28">
        <f>IF(履歴データ!$A$822="","",(履歴データ!$D$822-履歴データ!$H$822)*100)</f>
        <v>187.6</v>
      </c>
      <c r="E822" s="28">
        <f>IF(履歴データ!$A$822="","",(履歴データ!$D$822-履歴データ!$C$822)*100)</f>
        <v>39.000000000000014</v>
      </c>
      <c r="F822" s="28">
        <f>IF(履歴データ!$A$822="","",(履歴データ!$R$822-履歴データ!$D$822)*100)</f>
        <v>-323.06</v>
      </c>
      <c r="G822" s="28">
        <f>IF(履歴データ!$A$822="","",(履歴データ!$S$822-履歴データ!$R$822)*100)</f>
        <v>132.12982141113267</v>
      </c>
      <c r="H822" s="29">
        <f>IF(履歴データ!$A$822="","",履歴データ!$O$822)</f>
        <v>158.80900573730469</v>
      </c>
      <c r="I822" s="29">
        <f>IF(履歴データ!$A$822="","",履歴データ!$Q$822)</f>
        <v>111.359375</v>
      </c>
      <c r="J822" s="29">
        <f>IF(履歴データ!$A$822="","",履歴データ!$D$822)</f>
        <v>4.29</v>
      </c>
      <c r="K822" s="28">
        <f>IF(OR(履歴データ!$A$822="",履歴データ!$A$821=""),"",B822-B821)</f>
        <v>2.0000000000000462</v>
      </c>
      <c r="L822" s="28">
        <f>IF(OR(履歴データ!$A$822="",履歴データ!$A$821=""),"",C822-C821)</f>
        <v>0.45000000000001705</v>
      </c>
      <c r="M822" s="28">
        <f>IF(OR(履歴データ!$A$822="",履歴データ!$A$821=""),"",D822-D821)</f>
        <v>3.9000000000000057</v>
      </c>
      <c r="N822" s="28">
        <f>IF(OR(履歴データ!$A$822="",履歴データ!$A$821=""),"",E822-E821)</f>
        <v>4.2632564145606011E-14</v>
      </c>
      <c r="O822" s="28">
        <f>IF(OR(履歴データ!$A$822="",履歴データ!$A$821=""),"",F822-F821)</f>
        <v>-9.1800000000000068</v>
      </c>
      <c r="P822" s="28">
        <f>IF(OR(履歴データ!$A$822="",履歴データ!$A$821=""),"",G822-G821)</f>
        <v>3.8998214111327343</v>
      </c>
      <c r="Q822" s="29">
        <f>IF(OR(履歴データ!$A$822="",履歴データ!$A$821=""),"",H822-H821)</f>
        <v>1.6998291015625E-2</v>
      </c>
      <c r="R822" s="29">
        <f>IF(OR(履歴データ!$A$822="",履歴データ!$A$821=""),"",I822-I821)</f>
        <v>-0.171875</v>
      </c>
      <c r="S822" s="28">
        <f>IF(OR(履歴データ!$A$822="",履歴データ!$A$821=""),"",(J822-J821)*100)</f>
        <v>3.0000000000000249</v>
      </c>
      <c r="T822" s="11">
        <f>IF(OR(履歴データ!$A$822="",履歴データ!$A$821=""),"",-80000*K822)</f>
        <v>-160000.0000000037</v>
      </c>
      <c r="U822" s="11">
        <f>IF(OR(履歴データ!$A$822="",履歴データ!$A$821=""),"",60000*L822)</f>
        <v>27000.000000001022</v>
      </c>
      <c r="V822" s="11">
        <f>IF(OR(履歴データ!$A$822="",履歴データ!$A$821=""),"",-50000*M822)</f>
        <v>-195000.00000000029</v>
      </c>
      <c r="W822" s="11">
        <f>IF(OR(履歴データ!$A$822="",履歴データ!$A$821=""),"",-40000*N822)</f>
        <v>-1.7053025658242404E-9</v>
      </c>
      <c r="X822" s="11">
        <f>IF(OR(履歴データ!$A$822="",履歴データ!$A$821=""),"",120*1000000*(-Q822/H821))</f>
        <v>-12845.702719420275</v>
      </c>
      <c r="Y822" s="11">
        <f>IF(OR(履歴データ!$A$822="",履歴データ!$A$821=""),"",40000*(-S822)+(-506.3)*R822*1000)</f>
        <v>-32979.68750000099</v>
      </c>
      <c r="Z822" s="11">
        <f>IF(OR(履歴データ!$A$822="",履歴データ!$A$821=""),"",-40000*O822)</f>
        <v>367200.00000000029</v>
      </c>
      <c r="AA822" s="11">
        <f>IF(OR(履歴データ!$A$822="",履歴データ!$A$821=""),"",-40000*P822)</f>
        <v>-155992.85644530936</v>
      </c>
      <c r="AB822" s="11">
        <f>IF(履歴データ!$A$822="","",123.3)</f>
        <v>123.3</v>
      </c>
      <c r="AC822">
        <f>IF(履歴データ!$A$822="","",SUM(T822:AA822))</f>
        <v>-162618.24666473496</v>
      </c>
      <c r="AD822" s="29">
        <f>IF(履歴データ!$A$822="","",AC822/1000000)</f>
        <v>-0.16261824666473496</v>
      </c>
      <c r="AE822" s="29">
        <f>IF(履歴データ!$A$822="",AE821,AE821+AC822/1000000)</f>
        <v>70.348197836440733</v>
      </c>
      <c r="AF822" s="12">
        <f>IF(OR(履歴データ!$A$822="",AE821=0),"",(AE822-AE821)/AE821)</f>
        <v>-2.3062879668428438E-3</v>
      </c>
      <c r="AG822" s="29">
        <f t="shared" si="38"/>
        <v>102.17217746631495</v>
      </c>
      <c r="AH822" s="12">
        <f>IF(OR(履歴データ!$A$822="",AG822=0),"",AE822/AG822-1)</f>
        <v>-0.31147402765656274</v>
      </c>
      <c r="AJ822" s="28">
        <f t="shared" ca="1" si="36"/>
        <v>5.1390733334495184</v>
      </c>
      <c r="AK822" s="28">
        <f t="shared" ca="1" si="37"/>
        <v>-6.8612955556717452</v>
      </c>
    </row>
    <row r="823" spans="1:37">
      <c r="A823" s="10">
        <f>IF(履歴データ!$A$823="","",履歴データ!$A$823)</f>
        <v>46128</v>
      </c>
      <c r="B823" s="28">
        <f>IF(履歴データ!$A$823="","",(履歴データ!$D$823-(履歴データ!$B$823+履歴データ!$F$823)/2)*100)</f>
        <v>-3.4999999999999254</v>
      </c>
      <c r="C823" s="28">
        <f>IF(履歴データ!$A$823="","",(履歴データ!$H$823-(履歴データ!$G$823+履歴データ!$J$823)/2)*100)</f>
        <v>-8.5500000000000576</v>
      </c>
      <c r="D823" s="28">
        <f>IF(履歴データ!$A$823="","",(履歴データ!$D$823-履歴データ!$H$823)*100)</f>
        <v>191.10000000000005</v>
      </c>
      <c r="E823" s="28">
        <f>IF(履歴データ!$A$823="","",(履歴データ!$D$823-履歴データ!$C$823)*100)</f>
        <v>41.000000000000014</v>
      </c>
      <c r="F823" s="28">
        <f>IF(履歴データ!$A$823="","",(履歴データ!$R$823-履歴データ!$D$823)*100)</f>
        <v>-324.92</v>
      </c>
      <c r="G823" s="28">
        <f>IF(履歴データ!$A$823="","",(履歴データ!$S$823-履歴データ!$R$823)*100)</f>
        <v>137.8303571777343</v>
      </c>
      <c r="H823" s="29">
        <f>IF(履歴データ!$A$823="","",履歴データ!$O$823)</f>
        <v>159.19500732421875</v>
      </c>
      <c r="I823" s="29">
        <f>IF(履歴データ!$A$823="","",履歴データ!$Q$823)</f>
        <v>111.21875</v>
      </c>
      <c r="J823" s="29">
        <f>IF(履歴データ!$A$823="","",履歴データ!$D$823)</f>
        <v>4.32</v>
      </c>
      <c r="K823" s="28">
        <f>IF(OR(履歴データ!$A$823="",履歴データ!$A$822=""),"",B823-B822)</f>
        <v>0</v>
      </c>
      <c r="L823" s="28">
        <f>IF(OR(履歴データ!$A$823="",履歴データ!$A$822=""),"",C823-C822)</f>
        <v>-0.55000000000009486</v>
      </c>
      <c r="M823" s="28">
        <f>IF(OR(履歴データ!$A$823="",履歴データ!$A$822=""),"",D823-D822)</f>
        <v>3.5000000000000568</v>
      </c>
      <c r="N823" s="28">
        <f>IF(OR(履歴データ!$A$823="",履歴データ!$A$822=""),"",E823-E822)</f>
        <v>2</v>
      </c>
      <c r="O823" s="28">
        <f>IF(OR(履歴データ!$A$823="",履歴データ!$A$822=""),"",F823-F822)</f>
        <v>-1.8600000000000136</v>
      </c>
      <c r="P823" s="28">
        <f>IF(OR(履歴データ!$A$823="",履歴データ!$A$822=""),"",G823-G822)</f>
        <v>5.7005357666016323</v>
      </c>
      <c r="Q823" s="29">
        <f>IF(OR(履歴データ!$A$823="",履歴データ!$A$822=""),"",H823-H822)</f>
        <v>0.3860015869140625</v>
      </c>
      <c r="R823" s="29">
        <f>IF(OR(履歴データ!$A$823="",履歴データ!$A$822=""),"",I823-I822)</f>
        <v>-0.140625</v>
      </c>
      <c r="S823" s="28">
        <f>IF(OR(履歴データ!$A$823="",履歴データ!$A$822=""),"",(J823-J822)*100)</f>
        <v>3.0000000000000249</v>
      </c>
      <c r="T823" s="11">
        <f>IF(OR(履歴データ!$A$823="",履歴データ!$A$822=""),"",-80000*K823)</f>
        <v>0</v>
      </c>
      <c r="U823" s="11">
        <f>IF(OR(履歴データ!$A$823="",履歴データ!$A$822=""),"",60000*L823)</f>
        <v>-33000.00000000569</v>
      </c>
      <c r="V823" s="11">
        <f>IF(OR(履歴データ!$A$823="",履歴データ!$A$822=""),"",-50000*M823)</f>
        <v>-175000.00000000285</v>
      </c>
      <c r="W823" s="11">
        <f>IF(OR(履歴データ!$A$823="",履歴データ!$A$822=""),"",-40000*N823)</f>
        <v>-80000</v>
      </c>
      <c r="X823" s="11">
        <f>IF(OR(履歴データ!$A$823="",履歴データ!$A$822=""),"",120*1000000*(-Q823/H822))</f>
        <v>-291672.31552540819</v>
      </c>
      <c r="Y823" s="11">
        <f>IF(OR(履歴データ!$A$823="",履歴データ!$A$822=""),"",40000*(-S823)+(-506.3)*R823*1000)</f>
        <v>-48801.56250000099</v>
      </c>
      <c r="Z823" s="11">
        <f>IF(OR(履歴データ!$A$823="",履歴データ!$A$822=""),"",-40000*O823)</f>
        <v>74400.000000000553</v>
      </c>
      <c r="AA823" s="11">
        <f>IF(OR(履歴データ!$A$823="",履歴データ!$A$822=""),"",-40000*P823)</f>
        <v>-228021.43066406529</v>
      </c>
      <c r="AB823" s="11">
        <f>IF(履歴データ!$A$823="","",123.3)</f>
        <v>123.3</v>
      </c>
      <c r="AC823">
        <f>IF(履歴データ!$A$823="","",SUM(T823:AA823))</f>
        <v>-782095.30868948239</v>
      </c>
      <c r="AD823" s="29">
        <f>IF(履歴データ!$A$823="","",AC823/1000000)</f>
        <v>-0.7820953086894824</v>
      </c>
      <c r="AE823" s="29">
        <f>IF(履歴データ!$A$823="",AE822,AE822+AC823/1000000)</f>
        <v>69.566102527751255</v>
      </c>
      <c r="AF823" s="12">
        <f>IF(OR(履歴データ!$A$823="",AE822=0),"",(AE823-AE822)/AE822)</f>
        <v>-1.1117488901532998E-2</v>
      </c>
      <c r="AG823" s="29">
        <f t="shared" si="38"/>
        <v>102.17217746631495</v>
      </c>
      <c r="AH823" s="12">
        <f>IF(OR(履歴データ!$A$823="",AG823=0),"",AE823/AG823-1)</f>
        <v>-0.3191287075125081</v>
      </c>
      <c r="AJ823" s="28">
        <f t="shared" ca="1" si="36"/>
        <v>5.0105963025275262</v>
      </c>
      <c r="AK823" s="28">
        <f t="shared" ca="1" si="37"/>
        <v>-6.8201201120513417</v>
      </c>
    </row>
    <row r="824" spans="1:37">
      <c r="A824" s="10">
        <f>IF(履歴データ!$A$824="","",履歴データ!$A$824)</f>
        <v>46129</v>
      </c>
      <c r="B824" s="28">
        <f>IF(履歴データ!$A$824="","",(履歴データ!$D$824-(履歴データ!$B$824+履歴データ!$F$824)/2)*100)</f>
        <v>-3.5000000000000142</v>
      </c>
      <c r="C824" s="28">
        <f>IF(履歴データ!$A$824="","",(履歴データ!$H$824-(履歴データ!$G$824+履歴データ!$J$824)/2)*100)</f>
        <v>-6.899999999999995</v>
      </c>
      <c r="D824" s="28">
        <f>IF(履歴データ!$A$824="","",(履歴データ!$D$824-履歴データ!$H$824)*100)</f>
        <v>183.2</v>
      </c>
      <c r="E824" s="28">
        <f>IF(履歴データ!$A$824="","",(履歴データ!$D$824-履歴データ!$C$824)*100)</f>
        <v>41.999999999999993</v>
      </c>
      <c r="F824" s="28">
        <f>IF(履歴データ!$A$824="","",(履歴データ!$R$824-履歴データ!$D$824)*100)</f>
        <v>-320.90999999999997</v>
      </c>
      <c r="G824" s="28">
        <f>IF(履歴データ!$A$824="","",(履歴データ!$S$824-履歴データ!$R$824)*100)</f>
        <v>141.0481785888671</v>
      </c>
      <c r="H824" s="29">
        <f>IF(履歴データ!$A$824="","",履歴データ!$O$824)</f>
        <v>159.19500732421875</v>
      </c>
      <c r="I824" s="29">
        <f>IF(履歴データ!$A$824="","",履歴データ!$Q$824)</f>
        <v>111.71875</v>
      </c>
      <c r="J824" s="29">
        <f>IF(履歴データ!$A$824="","",履歴データ!$D$824)</f>
        <v>4.26</v>
      </c>
      <c r="K824" s="28">
        <f>IF(OR(履歴データ!$A$824="",履歴データ!$A$823=""),"",B824-B823)</f>
        <v>-8.8817841970012523E-14</v>
      </c>
      <c r="L824" s="28">
        <f>IF(OR(履歴データ!$A$824="",履歴データ!$A$823=""),"",C824-C823)</f>
        <v>1.6500000000000625</v>
      </c>
      <c r="M824" s="28">
        <f>IF(OR(履歴データ!$A$824="",履歴データ!$A$823=""),"",D824-D823)</f>
        <v>-7.9000000000000625</v>
      </c>
      <c r="N824" s="28">
        <f>IF(OR(履歴データ!$A$824="",履歴データ!$A$823=""),"",E824-E823)</f>
        <v>0.99999999999997868</v>
      </c>
      <c r="O824" s="28">
        <f>IF(OR(履歴データ!$A$824="",履歴データ!$A$823=""),"",F824-F823)</f>
        <v>4.0100000000000477</v>
      </c>
      <c r="P824" s="28">
        <f>IF(OR(履歴データ!$A$824="",履歴データ!$A$823=""),"",G824-G823)</f>
        <v>3.2178214111328032</v>
      </c>
      <c r="Q824" s="29">
        <f>IF(OR(履歴データ!$A$824="",履歴データ!$A$823=""),"",H824-H823)</f>
        <v>0</v>
      </c>
      <c r="R824" s="29">
        <f>IF(OR(履歴データ!$A$824="",履歴データ!$A$823=""),"",I824-I823)</f>
        <v>0.5</v>
      </c>
      <c r="S824" s="28">
        <f>IF(OR(履歴データ!$A$824="",履歴データ!$A$823=""),"",(J824-J823)*100)</f>
        <v>-6.0000000000000497</v>
      </c>
      <c r="T824" s="11">
        <f>IF(OR(履歴データ!$A$824="",履歴データ!$A$823=""),"",-80000*K824)</f>
        <v>7.1054273576010019E-9</v>
      </c>
      <c r="U824" s="11">
        <f>IF(OR(履歴データ!$A$824="",履歴データ!$A$823=""),"",60000*L824)</f>
        <v>99000.000000003754</v>
      </c>
      <c r="V824" s="11">
        <f>IF(OR(履歴データ!$A$824="",履歴データ!$A$823=""),"",-50000*M824)</f>
        <v>395000.00000000314</v>
      </c>
      <c r="W824" s="11">
        <f>IF(OR(履歴データ!$A$824="",履歴データ!$A$823=""),"",-40000*N824)</f>
        <v>-39999.999999999149</v>
      </c>
      <c r="X824" s="11">
        <f>IF(OR(履歴データ!$A$824="",履歴データ!$A$823=""),"",120*1000000*(-Q824/H823))</f>
        <v>0</v>
      </c>
      <c r="Y824" s="11">
        <f>IF(OR(履歴データ!$A$824="",履歴データ!$A$823=""),"",40000*(-S824)+(-506.3)*R824*1000)</f>
        <v>-13149.999999998021</v>
      </c>
      <c r="Z824" s="11">
        <f>IF(OR(履歴データ!$A$824="",履歴データ!$A$823=""),"",-40000*O824)</f>
        <v>-160400.00000000192</v>
      </c>
      <c r="AA824" s="11">
        <f>IF(OR(履歴データ!$A$824="",履歴データ!$A$823=""),"",-40000*P824)</f>
        <v>-128712.85644531212</v>
      </c>
      <c r="AB824" s="11">
        <f>IF(履歴データ!$A$824="","",123.3)</f>
        <v>123.3</v>
      </c>
      <c r="AC824">
        <f>IF(履歴データ!$A$824="","",SUM(T824:AA824))</f>
        <v>151737.14355470278</v>
      </c>
      <c r="AD824" s="29">
        <f>IF(履歴データ!$A$824="","",AC824/1000000)</f>
        <v>0.15173714355470277</v>
      </c>
      <c r="AE824" s="29">
        <f>IF(履歴データ!$A$824="",AE823,AE823+AC824/1000000)</f>
        <v>69.717839671305953</v>
      </c>
      <c r="AF824" s="12">
        <f>IF(OR(履歴データ!$A$824="",AE823=0),"",(AE824-AE823)/AE823)</f>
        <v>2.1811936854471158E-3</v>
      </c>
      <c r="AG824" s="29">
        <f t="shared" si="38"/>
        <v>102.17217746631495</v>
      </c>
      <c r="AH824" s="12">
        <f>IF(OR(履歴データ!$A$824="",AG824=0),"",AE824/AG824-1)</f>
        <v>-0.31764359534873221</v>
      </c>
      <c r="AJ824" s="28">
        <f t="shared" ca="1" si="36"/>
        <v>4.9170036105416814</v>
      </c>
      <c r="AK824" s="28">
        <f t="shared" ca="1" si="37"/>
        <v>-6.8019242454623212</v>
      </c>
    </row>
    <row r="825" spans="1:37">
      <c r="A825" s="10">
        <f>IF(履歴データ!$A$825="","",履歴データ!$A$825)</f>
        <v>46132</v>
      </c>
      <c r="B825" s="28">
        <f>IF(履歴データ!$A$825="","",(履歴データ!$D$825-(履歴データ!$B$825+履歴データ!$F$825)/2)*100)</f>
        <v>-4.0000000000000036</v>
      </c>
      <c r="C825" s="28">
        <f>IF(履歴データ!$A$825="","",(履歴データ!$H$825-(履歴データ!$G$825+履歴データ!$J$825)/2)*100)</f>
        <v>-7.2500000000000231</v>
      </c>
      <c r="D825" s="28">
        <f>IF(履歴データ!$A$825="","",(履歴データ!$D$825-履歴データ!$H$825)*100)</f>
        <v>185.5</v>
      </c>
      <c r="E825" s="28">
        <f>IF(履歴データ!$A$825="","",(履歴データ!$D$825-履歴データ!$C$825)*100)</f>
        <v>39.999999999999993</v>
      </c>
      <c r="F825" s="28">
        <f>IF(履歴データ!$A$825="","",(履歴データ!$R$825-履歴データ!$D$825)*100)</f>
        <v>-332.03</v>
      </c>
      <c r="G825" s="28">
        <f>IF(履歴データ!$A$825="","",(履歴データ!$S$825-履歴データ!$R$825)*100)</f>
        <v>151.81735717773429</v>
      </c>
      <c r="H825" s="29">
        <f>IF(履歴データ!$A$825="","",履歴データ!$O$825)</f>
        <v>158.843994140625</v>
      </c>
      <c r="I825" s="29">
        <f>IF(履歴データ!$A$825="","",履歴データ!$Q$825)</f>
        <v>111.65625</v>
      </c>
      <c r="J825" s="29">
        <f>IF(履歴データ!$A$825="","",履歴データ!$D$825)</f>
        <v>4.26</v>
      </c>
      <c r="K825" s="28">
        <f>IF(OR(履歴データ!$A$825="",履歴データ!$A$824=""),"",B825-B824)</f>
        <v>-0.49999999999998934</v>
      </c>
      <c r="L825" s="28">
        <f>IF(OR(履歴データ!$A$825="",履歴データ!$A$824=""),"",C825-C824)</f>
        <v>-0.35000000000002807</v>
      </c>
      <c r="M825" s="28">
        <f>IF(OR(履歴データ!$A$825="",履歴データ!$A$824=""),"",D825-D824)</f>
        <v>2.3000000000000114</v>
      </c>
      <c r="N825" s="28">
        <f>IF(OR(履歴データ!$A$825="",履歴データ!$A$824=""),"",E825-E824)</f>
        <v>-2</v>
      </c>
      <c r="O825" s="28">
        <f>IF(OR(履歴データ!$A$825="",履歴データ!$A$824=""),"",F825-F824)</f>
        <v>-11.120000000000005</v>
      </c>
      <c r="P825" s="28">
        <f>IF(OR(履歴データ!$A$825="",履歴データ!$A$824=""),"",G825-G824)</f>
        <v>10.769178588867192</v>
      </c>
      <c r="Q825" s="29">
        <f>IF(OR(履歴データ!$A$825="",履歴データ!$A$824=""),"",H825-H824)</f>
        <v>-0.35101318359375</v>
      </c>
      <c r="R825" s="29">
        <f>IF(OR(履歴データ!$A$825="",履歴データ!$A$824=""),"",I825-I824)</f>
        <v>-6.25E-2</v>
      </c>
      <c r="S825" s="28">
        <f>IF(OR(履歴データ!$A$825="",履歴データ!$A$824=""),"",(J825-J824)*100)</f>
        <v>0</v>
      </c>
      <c r="T825" s="11">
        <f>IF(OR(履歴データ!$A$825="",履歴データ!$A$824=""),"",-80000*K825)</f>
        <v>39999.999999999149</v>
      </c>
      <c r="U825" s="11">
        <f>IF(OR(履歴データ!$A$825="",履歴データ!$A$824=""),"",60000*L825)</f>
        <v>-21000.000000001684</v>
      </c>
      <c r="V825" s="11">
        <f>IF(OR(履歴データ!$A$825="",履歴データ!$A$824=""),"",-50000*M825)</f>
        <v>-115000.00000000057</v>
      </c>
      <c r="W825" s="11">
        <f>IF(OR(履歴データ!$A$825="",履歴データ!$A$824=""),"",-40000*N825)</f>
        <v>80000</v>
      </c>
      <c r="X825" s="11">
        <f>IF(OR(履歴データ!$A$825="",履歴データ!$A$824=""),"",120*1000000*(-Q825/H824))</f>
        <v>264591.09955291881</v>
      </c>
      <c r="Y825" s="11">
        <f>IF(OR(履歴データ!$A$825="",履歴データ!$A$824=""),"",40000*(-S825)+(-506.3)*R825*1000)</f>
        <v>31643.75</v>
      </c>
      <c r="Z825" s="11">
        <f>IF(OR(履歴データ!$A$825="",履歴データ!$A$824=""),"",-40000*O825)</f>
        <v>444800.00000000017</v>
      </c>
      <c r="AA825" s="11">
        <f>IF(OR(履歴データ!$A$825="",履歴データ!$A$824=""),"",-40000*P825)</f>
        <v>-430767.14355468767</v>
      </c>
      <c r="AB825" s="11">
        <f>IF(履歴データ!$A$825="","",123.3)</f>
        <v>123.3</v>
      </c>
      <c r="AC825">
        <f>IF(履歴データ!$A$825="","",SUM(T825:AA825))</f>
        <v>294267.70599822822</v>
      </c>
      <c r="AD825" s="29">
        <f>IF(履歴データ!$A$825="","",AC825/1000000)</f>
        <v>0.29426770599822821</v>
      </c>
      <c r="AE825" s="29">
        <f>IF(履歴データ!$A$825="",AE824,AE824+AC825/1000000)</f>
        <v>70.012107377304176</v>
      </c>
      <c r="AF825" s="12">
        <f>IF(OR(履歴データ!$A$825="",AE824=0),"",(AE825-AE824)/AE824)</f>
        <v>4.2208379861680646E-3</v>
      </c>
      <c r="AG825" s="29">
        <f t="shared" si="38"/>
        <v>102.17217746631495</v>
      </c>
      <c r="AH825" s="12">
        <f>IF(OR(履歴データ!$A$825="",AG825=0),"",AE825/AG825-1)</f>
        <v>-0.31476347951587502</v>
      </c>
      <c r="AJ825" s="28">
        <f t="shared" ca="1" si="36"/>
        <v>4.8727954818608676</v>
      </c>
      <c r="AK825" s="28">
        <f t="shared" ca="1" si="37"/>
        <v>-6.8172399263053176</v>
      </c>
    </row>
    <row r="826" spans="1:37">
      <c r="A826" s="10">
        <f>IF(履歴データ!$A$826="","",履歴データ!$A$826)</f>
        <v>46133</v>
      </c>
      <c r="B826" s="28">
        <f>IF(履歴データ!$A$826="","",(履歴データ!$D$826-(履歴データ!$B$826+履歴データ!$F$826)/2)*100)</f>
        <v>-3.5000000000000142</v>
      </c>
      <c r="C826" s="28">
        <f>IF(履歴データ!$A$826="","",(履歴データ!$H$826-(履歴データ!$G$826+履歴データ!$J$826)/2)*100)</f>
        <v>-7.7999999999999847</v>
      </c>
      <c r="D826" s="28">
        <f>IF(履歴データ!$A$826="","",(履歴データ!$D$826-履歴データ!$H$826)*100)</f>
        <v>190.79999999999998</v>
      </c>
      <c r="E826" s="28">
        <f>IF(履歴データ!$A$826="","",(履歴データ!$D$826-履歴データ!$C$826)*100)</f>
        <v>38.999999999999972</v>
      </c>
      <c r="F826" s="28">
        <f>IF(履歴データ!$A$826="","",(履歴データ!$R$826-履歴データ!$D$826)*100)</f>
        <v>-333</v>
      </c>
      <c r="G826" s="28">
        <f>IF(履歴データ!$A$826="","",(履歴データ!$S$826-履歴データ!$R$826)*100)</f>
        <v>145.63017858886701</v>
      </c>
      <c r="H826" s="29">
        <f>IF(履歴データ!$A$826="","",履歴データ!$O$826)</f>
        <v>159.37300109863281</v>
      </c>
      <c r="I826" s="29">
        <f>IF(履歴データ!$A$826="","",履歴データ!$Q$826)</f>
        <v>111.296875</v>
      </c>
      <c r="J826" s="29">
        <f>IF(履歴データ!$A$826="","",履歴データ!$D$826)</f>
        <v>4.3</v>
      </c>
      <c r="K826" s="28">
        <f>IF(OR(履歴データ!$A$826="",履歴データ!$A$825=""),"",B826-B825)</f>
        <v>0.49999999999998934</v>
      </c>
      <c r="L826" s="28">
        <f>IF(OR(履歴データ!$A$826="",履歴データ!$A$825=""),"",C826-C825)</f>
        <v>-0.54999999999996163</v>
      </c>
      <c r="M826" s="28">
        <f>IF(OR(履歴データ!$A$826="",履歴データ!$A$825=""),"",D826-D825)</f>
        <v>5.2999999999999829</v>
      </c>
      <c r="N826" s="28">
        <f>IF(OR(履歴データ!$A$826="",履歴データ!$A$825=""),"",E826-E825)</f>
        <v>-1.0000000000000213</v>
      </c>
      <c r="O826" s="28">
        <f>IF(OR(履歴データ!$A$826="",履歴データ!$A$825=""),"",F826-F825)</f>
        <v>-0.97000000000002728</v>
      </c>
      <c r="P826" s="28">
        <f>IF(OR(履歴データ!$A$826="",履歴データ!$A$825=""),"",G826-G825)</f>
        <v>-6.1871785888672832</v>
      </c>
      <c r="Q826" s="29">
        <f>IF(OR(履歴データ!$A$826="",履歴データ!$A$825=""),"",H826-H825)</f>
        <v>0.5290069580078125</v>
      </c>
      <c r="R826" s="29">
        <f>IF(OR(履歴データ!$A$826="",履歴データ!$A$825=""),"",I826-I825)</f>
        <v>-0.359375</v>
      </c>
      <c r="S826" s="28">
        <f>IF(OR(履歴データ!$A$826="",履歴データ!$A$825=""),"",(J826-J825)*100)</f>
        <v>4.0000000000000036</v>
      </c>
      <c r="T826" s="11">
        <f>IF(OR(履歴データ!$A$826="",履歴データ!$A$825=""),"",-80000*K826)</f>
        <v>-39999.999999999149</v>
      </c>
      <c r="U826" s="11">
        <f>IF(OR(履歴データ!$A$826="",履歴データ!$A$825=""),"",60000*L826)</f>
        <v>-32999.999999997701</v>
      </c>
      <c r="V826" s="11">
        <f>IF(OR(履歴データ!$A$826="",履歴データ!$A$825=""),"",-50000*M826)</f>
        <v>-264999.99999999913</v>
      </c>
      <c r="W826" s="11">
        <f>IF(OR(履歴データ!$A$826="",履歴データ!$A$825=""),"",-40000*N826)</f>
        <v>40000.000000000851</v>
      </c>
      <c r="X826" s="11">
        <f>IF(OR(履歴データ!$A$826="",履歴データ!$A$825=""),"",120*1000000*(-Q826/H825))</f>
        <v>-399642.65129682998</v>
      </c>
      <c r="Y826" s="11">
        <f>IF(OR(履歴データ!$A$826="",履歴データ!$A$825=""),"",40000*(-S826)+(-506.3)*R826*1000)</f>
        <v>21951.562499999854</v>
      </c>
      <c r="Z826" s="11">
        <f>IF(OR(履歴データ!$A$826="",履歴データ!$A$825=""),"",-40000*O826)</f>
        <v>38800.000000001091</v>
      </c>
      <c r="AA826" s="11">
        <f>IF(OR(履歴データ!$A$826="",履歴データ!$A$825=""),"",-40000*P826)</f>
        <v>247487.14355469134</v>
      </c>
      <c r="AB826" s="11">
        <f>IF(履歴データ!$A$826="","",123.3)</f>
        <v>123.3</v>
      </c>
      <c r="AC826">
        <f>IF(履歴データ!$A$826="","",SUM(T826:AA826))</f>
        <v>-389403.94524213288</v>
      </c>
      <c r="AD826" s="29">
        <f>IF(履歴データ!$A$826="","",AC826/1000000)</f>
        <v>-0.3894039452421329</v>
      </c>
      <c r="AE826" s="29">
        <f>IF(履歴データ!$A$826="",AE825,AE825+AC826/1000000)</f>
        <v>69.622703432062039</v>
      </c>
      <c r="AF826" s="12">
        <f>IF(OR(履歴データ!$A$826="",AE825=0),"",(AE826-AE825)/AE825)</f>
        <v>-5.5619514942406916E-3</v>
      </c>
      <c r="AG826" s="29">
        <f t="shared" si="38"/>
        <v>102.17217746631495</v>
      </c>
      <c r="AH826" s="12">
        <f>IF(OR(履歴データ!$A$826="",AG826=0),"",AE826/AG826-1)</f>
        <v>-0.31857473180489004</v>
      </c>
      <c r="AJ826" s="28">
        <f t="shared" ca="1" si="36"/>
        <v>4.8261671026129838</v>
      </c>
      <c r="AK826" s="28">
        <f t="shared" ca="1" si="37"/>
        <v>-6.8261671026129891</v>
      </c>
    </row>
    <row r="827" spans="1:37">
      <c r="A827" s="10">
        <f>IF(履歴データ!$A$827="","",履歴データ!$A$827)</f>
        <v>46134</v>
      </c>
      <c r="B827" s="28">
        <f>IF(履歴データ!$A$827="","",(履歴データ!$D$827-(履歴データ!$B$827+履歴データ!$F$827)/2)*100)</f>
        <v>-4.5000000000000817</v>
      </c>
      <c r="C827" s="28">
        <f>IF(履歴データ!$A$827="","",(履歴データ!$H$827-(履歴データ!$G$827+履歴データ!$J$827)/2)*100)</f>
        <v>-7.3499999999999677</v>
      </c>
      <c r="D827" s="28">
        <f>IF(履歴データ!$A$827="","",(履歴データ!$D$827-履歴データ!$H$827)*100)</f>
        <v>189.39999999999998</v>
      </c>
      <c r="E827" s="28">
        <f>IF(履歴データ!$A$827="","",(履歴データ!$D$827-履歴データ!$C$827)*100)</f>
        <v>38.999999999999972</v>
      </c>
      <c r="F827" s="28">
        <f>IF(履歴データ!$A$827="","",(履歴データ!$R$827-履歴データ!$D$827)*100)</f>
        <v>-327.31</v>
      </c>
      <c r="G827" s="28">
        <f>IF(履歴データ!$A$827="","",(履歴データ!$S$827-履歴データ!$R$827)*100)</f>
        <v>142.57117858886707</v>
      </c>
      <c r="H827" s="29">
        <f>IF(履歴データ!$A$827="","",履歴データ!$O$827)</f>
        <v>159.48800659179688</v>
      </c>
      <c r="I827" s="29">
        <f>IF(履歴データ!$A$827="","",履歴データ!$Q$827)</f>
        <v>111.28125</v>
      </c>
      <c r="J827" s="29">
        <f>IF(履歴データ!$A$827="","",履歴データ!$D$827)</f>
        <v>4.3</v>
      </c>
      <c r="K827" s="28">
        <f>IF(OR(履歴データ!$A$827="",履歴データ!$A$826=""),"",B827-B826)</f>
        <v>-1.0000000000000675</v>
      </c>
      <c r="L827" s="28">
        <f>IF(OR(履歴データ!$A$827="",履歴データ!$A$826=""),"",C827-C826)</f>
        <v>0.45000000000001705</v>
      </c>
      <c r="M827" s="28">
        <f>IF(OR(履歴データ!$A$827="",履歴データ!$A$826=""),"",D827-D826)</f>
        <v>-1.4000000000000057</v>
      </c>
      <c r="N827" s="28">
        <f>IF(OR(履歴データ!$A$827="",履歴データ!$A$826=""),"",E827-E826)</f>
        <v>0</v>
      </c>
      <c r="O827" s="28">
        <f>IF(OR(履歴データ!$A$827="",履歴データ!$A$826=""),"",F827-F826)</f>
        <v>5.6899999999999977</v>
      </c>
      <c r="P827" s="28">
        <f>IF(OR(履歴データ!$A$827="",履歴データ!$A$826=""),"",G827-G826)</f>
        <v>-3.0589999999999407</v>
      </c>
      <c r="Q827" s="29">
        <f>IF(OR(履歴データ!$A$827="",履歴データ!$A$826=""),"",H827-H826)</f>
        <v>0.1150054931640625</v>
      </c>
      <c r="R827" s="29">
        <f>IF(OR(履歴データ!$A$827="",履歴データ!$A$826=""),"",I827-I826)</f>
        <v>-1.5625E-2</v>
      </c>
      <c r="S827" s="28">
        <f>IF(OR(履歴データ!$A$827="",履歴データ!$A$826=""),"",(J827-J826)*100)</f>
        <v>0</v>
      </c>
      <c r="T827" s="11">
        <f>IF(OR(履歴データ!$A$827="",履歴データ!$A$826=""),"",-80000*K827)</f>
        <v>80000.000000005399</v>
      </c>
      <c r="U827" s="11">
        <f>IF(OR(履歴データ!$A$827="",履歴データ!$A$826=""),"",60000*L827)</f>
        <v>27000.000000001022</v>
      </c>
      <c r="V827" s="11">
        <f>IF(OR(履歴データ!$A$827="",履歴データ!$A$826=""),"",-50000*M827)</f>
        <v>70000.000000000291</v>
      </c>
      <c r="W827" s="11">
        <f>IF(OR(履歴データ!$A$827="",履歴データ!$A$826=""),"",-40000*N827)</f>
        <v>0</v>
      </c>
      <c r="X827" s="11">
        <f>IF(OR(履歴データ!$A$827="",履歴データ!$A$826=""),"",120*1000000*(-Q827/H826))</f>
        <v>-86593.457389602292</v>
      </c>
      <c r="Y827" s="11">
        <f>IF(OR(履歴データ!$A$827="",履歴データ!$A$826=""),"",40000*(-S827)+(-506.3)*R827*1000)</f>
        <v>7910.9375</v>
      </c>
      <c r="Z827" s="11">
        <f>IF(OR(履歴データ!$A$827="",履歴データ!$A$826=""),"",-40000*O827)</f>
        <v>-227599.99999999991</v>
      </c>
      <c r="AA827" s="11">
        <f>IF(OR(履歴データ!$A$827="",履歴データ!$A$826=""),"",-40000*P827)</f>
        <v>122359.99999999763</v>
      </c>
      <c r="AB827" s="11">
        <f>IF(履歴データ!$A$827="","",123.3)</f>
        <v>123.3</v>
      </c>
      <c r="AC827">
        <f>IF(履歴データ!$A$827="","",SUM(T827:AA827))</f>
        <v>-6922.5198895978829</v>
      </c>
      <c r="AD827" s="29">
        <f>IF(履歴データ!$A$827="","",AC827/1000000)</f>
        <v>-6.9225198895978826E-3</v>
      </c>
      <c r="AE827" s="29">
        <f>IF(履歴データ!$A$827="",AE826,AE826+AC827/1000000)</f>
        <v>69.61578091217244</v>
      </c>
      <c r="AF827" s="12">
        <f>IF(OR(履歴データ!$A$827="",AE826=0),"",(AE827-AE826)/AE826)</f>
        <v>-9.9429059033225438E-5</v>
      </c>
      <c r="AG827" s="29">
        <f t="shared" si="38"/>
        <v>102.17217746631495</v>
      </c>
      <c r="AH827" s="12">
        <f>IF(OR(履歴データ!$A$827="",AG827=0),"",AE827/AG827-1)</f>
        <v>-0.31864248527810812</v>
      </c>
      <c r="AJ827" s="28">
        <f t="shared" ca="1" si="36"/>
        <v>4.7831216163502726</v>
      </c>
      <c r="AK827" s="28">
        <f t="shared" ca="1" si="37"/>
        <v>-6.8466136798423429</v>
      </c>
    </row>
    <row r="828" spans="1:37">
      <c r="A828" s="10">
        <f>IF(履歴データ!$A$828="","",履歴データ!$A$828)</f>
        <v>46135</v>
      </c>
      <c r="B828" s="28">
        <f>IF(履歴データ!$A$828="","",(履歴データ!$D$828-(履歴データ!$B$828+履歴データ!$F$828)/2)*100)</f>
        <v>-3.5000000000000142</v>
      </c>
      <c r="C828" s="28">
        <f>IF(履歴データ!$A$828="","",(履歴データ!$H$828-(履歴データ!$G$828+履歴データ!$J$828)/2)*100)</f>
        <v>-6.8500000000000227</v>
      </c>
      <c r="D828" s="28">
        <f>IF(履歴データ!$A$828="","",(履歴データ!$D$828-履歴データ!$H$828)*100)</f>
        <v>191.1</v>
      </c>
      <c r="E828" s="28">
        <f>IF(履歴データ!$A$828="","",(履歴データ!$D$828-履歴データ!$C$828)*100)</f>
        <v>37.999999999999986</v>
      </c>
      <c r="F828" s="28">
        <f>IF(履歴データ!$A$828="","",(履歴データ!$R$828-履歴データ!$D$828)*100)</f>
        <v>-328.93</v>
      </c>
      <c r="G828" s="28">
        <f>IF(履歴データ!$A$828="","",(履歴データ!$S$828-履歴データ!$R$828)*100)</f>
        <v>144.04999999999993</v>
      </c>
      <c r="H828" s="29">
        <f>IF(履歴データ!$A$828="","",履歴データ!$O$828)</f>
        <v>159.74699401855469</v>
      </c>
      <c r="I828" s="29">
        <f>IF(履歴データ!$A$828="","",履歴データ!$Q$828)</f>
        <v>111.046875</v>
      </c>
      <c r="J828" s="29">
        <f>IF(履歴データ!$A$828="","",履歴データ!$D$828)</f>
        <v>4.34</v>
      </c>
      <c r="K828" s="28">
        <f>IF(OR(履歴データ!$A$828="",履歴データ!$A$827=""),"",B828-B827)</f>
        <v>1.0000000000000675</v>
      </c>
      <c r="L828" s="28">
        <f>IF(OR(履歴データ!$A$828="",履歴データ!$A$827=""),"",C828-C827)</f>
        <v>0.49999999999994493</v>
      </c>
      <c r="M828" s="28">
        <f>IF(OR(履歴データ!$A$828="",履歴データ!$A$827=""),"",D828-D827)</f>
        <v>1.7000000000000171</v>
      </c>
      <c r="N828" s="28">
        <f>IF(OR(履歴データ!$A$828="",履歴データ!$A$827=""),"",E828-E827)</f>
        <v>-0.99999999999998579</v>
      </c>
      <c r="O828" s="28">
        <f>IF(OR(履歴データ!$A$828="",履歴データ!$A$827=""),"",F828-F827)</f>
        <v>-1.6200000000000045</v>
      </c>
      <c r="P828" s="28">
        <f>IF(OR(履歴データ!$A$828="",履歴データ!$A$827=""),"",G828-G827)</f>
        <v>1.4788214111328557</v>
      </c>
      <c r="Q828" s="29">
        <f>IF(OR(履歴データ!$A$828="",履歴データ!$A$827=""),"",H828-H827)</f>
        <v>0.2589874267578125</v>
      </c>
      <c r="R828" s="29">
        <f>IF(OR(履歴データ!$A$828="",履歴データ!$A$827=""),"",I828-I827)</f>
        <v>-0.234375</v>
      </c>
      <c r="S828" s="28">
        <f>IF(OR(履歴データ!$A$828="",履歴データ!$A$827=""),"",(J828-J827)*100)</f>
        <v>4.0000000000000036</v>
      </c>
      <c r="T828" s="11">
        <f>IF(OR(履歴データ!$A$828="",履歴データ!$A$827=""),"",-80000*K828)</f>
        <v>-80000.000000005399</v>
      </c>
      <c r="U828" s="11">
        <f>IF(OR(履歴データ!$A$828="",履歴データ!$A$827=""),"",60000*L828)</f>
        <v>29999.999999996697</v>
      </c>
      <c r="V828" s="11">
        <f>IF(OR(履歴データ!$A$828="",履歴データ!$A$827=""),"",-50000*M828)</f>
        <v>-85000.000000000859</v>
      </c>
      <c r="W828" s="11">
        <f>IF(OR(履歴データ!$A$828="",履歴データ!$A$827=""),"",-40000*N828)</f>
        <v>39999.999999999432</v>
      </c>
      <c r="X828" s="11">
        <f>IF(OR(履歴データ!$A$828="",履歴データ!$A$827=""),"",120*1000000*(-Q828/H827))</f>
        <v>-194864.12724739639</v>
      </c>
      <c r="Y828" s="11">
        <f>IF(OR(履歴データ!$A$828="",履歴データ!$A$827=""),"",40000*(-S828)+(-506.3)*R828*1000)</f>
        <v>-41335.937500000146</v>
      </c>
      <c r="Z828" s="11">
        <f>IF(OR(履歴データ!$A$828="",履歴データ!$A$827=""),"",-40000*O828)</f>
        <v>64800.000000000182</v>
      </c>
      <c r="AA828" s="11">
        <f>IF(OR(履歴データ!$A$828="",履歴データ!$A$827=""),"",-40000*P828)</f>
        <v>-59152.856445314232</v>
      </c>
      <c r="AB828" s="11">
        <f>IF(履歴データ!$A$828="","",123.3)</f>
        <v>123.3</v>
      </c>
      <c r="AC828">
        <f>IF(履歴データ!$A$828="","",SUM(T828:AA828))</f>
        <v>-325552.92119272071</v>
      </c>
      <c r="AD828" s="29">
        <f>IF(履歴データ!$A$828="","",AC828/1000000)</f>
        <v>-0.32555292119272072</v>
      </c>
      <c r="AE828" s="29">
        <f>IF(履歴データ!$A$828="",AE827,AE827+AC828/1000000)</f>
        <v>69.290227990979716</v>
      </c>
      <c r="AF828" s="12">
        <f>IF(OR(履歴データ!$A$828="",AE827=0),"",(AE828-AE827)/AE827)</f>
        <v>-4.6764241803656974E-3</v>
      </c>
      <c r="AG828" s="29">
        <f t="shared" si="38"/>
        <v>102.17217746631495</v>
      </c>
      <c r="AH828" s="12">
        <f>IF(OR(履歴データ!$A$828="",AG828=0),"",AE828/AG828-1)</f>
        <v>-0.32182880203542741</v>
      </c>
      <c r="AJ828" s="28">
        <f t="shared" ca="1" si="36"/>
        <v>4.6016194657976941</v>
      </c>
      <c r="AK828" s="28">
        <f t="shared" ca="1" si="37"/>
        <v>-6.7643178784961142</v>
      </c>
    </row>
    <row r="829" spans="1:37">
      <c r="A829" s="10">
        <f>IF(履歴データ!$A$829="","",履歴データ!$A$829)</f>
        <v>46136</v>
      </c>
      <c r="B829" s="28">
        <f>IF(履歴データ!$A$829="","",(履歴データ!$D$829-(履歴データ!$B$829+履歴データ!$F$829)/2)*100)</f>
        <v>-3.5000000000000142</v>
      </c>
      <c r="C829" s="28">
        <f>IF(履歴データ!$A$829="","",(履歴データ!$H$829-(履歴データ!$G$829+履歴データ!$J$829)/2)*100)</f>
        <v>-6.8499999999999783</v>
      </c>
      <c r="D829" s="28">
        <f>IF(履歴データ!$A$829="","",(履歴データ!$D$829-履歴データ!$H$829)*100)</f>
        <v>186.69999999999996</v>
      </c>
      <c r="E829" s="28">
        <f>IF(履歴データ!$A$829="","",(履歴データ!$D$829-履歴データ!$C$829)*100)</f>
        <v>38.999999999999972</v>
      </c>
      <c r="F829" s="28">
        <f>IF(履歴データ!$A$829="","",(履歴データ!$R$829-履歴データ!$D$829)*100)</f>
        <v>-323.86</v>
      </c>
      <c r="G829" s="28">
        <f>IF(履歴データ!$A$829="","",(履歴データ!$S$829-履歴データ!$R$829)*100)</f>
        <v>140.40135717773435</v>
      </c>
      <c r="H829" s="29">
        <f>IF(履歴データ!$A$829="","",履歴データ!$O$829)</f>
        <v>159.74699401855469</v>
      </c>
      <c r="I829" s="29">
        <f>IF(履歴データ!$A$829="","",履歴データ!$Q$829)</f>
        <v>111.21875</v>
      </c>
      <c r="J829" s="29">
        <f>IF(履歴データ!$A$829="","",履歴データ!$D$829)</f>
        <v>4.3099999999999996</v>
      </c>
      <c r="K829" s="28">
        <f>IF(OR(履歴データ!$A$829="",履歴データ!$A$828=""),"",B829-B828)</f>
        <v>0</v>
      </c>
      <c r="L829" s="28">
        <f>IF(OR(履歴データ!$A$829="",履歴データ!$A$828=""),"",C829-C828)</f>
        <v>4.4408920985006262E-14</v>
      </c>
      <c r="M829" s="28">
        <f>IF(OR(履歴データ!$A$829="",履歴データ!$A$828=""),"",D829-D828)</f>
        <v>-4.4000000000000341</v>
      </c>
      <c r="N829" s="28">
        <f>IF(OR(履歴データ!$A$829="",履歴データ!$A$828=""),"",E829-E828)</f>
        <v>0.99999999999998579</v>
      </c>
      <c r="O829" s="28">
        <f>IF(OR(履歴データ!$A$829="",履歴データ!$A$828=""),"",F829-F828)</f>
        <v>5.0699999999999932</v>
      </c>
      <c r="P829" s="28">
        <f>IF(OR(履歴データ!$A$829="",履歴データ!$A$828=""),"",G829-G828)</f>
        <v>-3.6486428222655718</v>
      </c>
      <c r="Q829" s="29">
        <f>IF(OR(履歴データ!$A$829="",履歴データ!$A$828=""),"",H829-H828)</f>
        <v>0</v>
      </c>
      <c r="R829" s="29">
        <f>IF(OR(履歴データ!$A$829="",履歴データ!$A$828=""),"",I829-I828)</f>
        <v>0.171875</v>
      </c>
      <c r="S829" s="28">
        <f>IF(OR(履歴データ!$A$829="",履歴データ!$A$828=""),"",(J829-J828)*100)</f>
        <v>-3.0000000000000249</v>
      </c>
      <c r="T829" s="11">
        <f>IF(OR(履歴データ!$A$829="",履歴データ!$A$828=""),"",-80000*K829)</f>
        <v>0</v>
      </c>
      <c r="U829" s="11">
        <f>IF(OR(履歴データ!$A$829="",履歴データ!$A$828=""),"",60000*L829)</f>
        <v>2.6645352591003757E-9</v>
      </c>
      <c r="V829" s="11">
        <f>IF(OR(履歴データ!$A$829="",履歴データ!$A$828=""),"",-50000*M829)</f>
        <v>220000.00000000172</v>
      </c>
      <c r="W829" s="11">
        <f>IF(OR(履歴データ!$A$829="",履歴データ!$A$828=""),"",-40000*N829)</f>
        <v>-39999.999999999432</v>
      </c>
      <c r="X829" s="11">
        <f>IF(OR(履歴データ!$A$829="",履歴データ!$A$828=""),"",120*1000000*(-Q829/H828))</f>
        <v>0</v>
      </c>
      <c r="Y829" s="11">
        <f>IF(OR(履歴データ!$A$829="",履歴データ!$A$828=""),"",40000*(-S829)+(-506.3)*R829*1000)</f>
        <v>32979.68750000099</v>
      </c>
      <c r="Z829" s="11">
        <f>IF(OR(履歴データ!$A$829="",履歴データ!$A$828=""),"",-40000*O829)</f>
        <v>-202799.99999999974</v>
      </c>
      <c r="AA829" s="11">
        <f>IF(OR(履歴データ!$A$829="",履歴データ!$A$828=""),"",-40000*P829)</f>
        <v>145945.71289062288</v>
      </c>
      <c r="AB829" s="11">
        <f>IF(履歴データ!$A$829="","",123.3)</f>
        <v>123.3</v>
      </c>
      <c r="AC829">
        <f>IF(履歴データ!$A$829="","",SUM(T829:AA829))</f>
        <v>156125.40039062907</v>
      </c>
      <c r="AD829" s="29">
        <f>IF(履歴データ!$A$829="","",AC829/1000000)</f>
        <v>0.15612540039062908</v>
      </c>
      <c r="AE829" s="29">
        <f>IF(履歴データ!$A$829="",AE828,AE828+AC829/1000000)</f>
        <v>69.446353391370351</v>
      </c>
      <c r="AF829" s="12">
        <f>IF(OR(履歴データ!$A$829="",AE828=0),"",(AE829-AE828)/AE828)</f>
        <v>2.2532095061219915E-3</v>
      </c>
      <c r="AG829" s="29">
        <f t="shared" si="38"/>
        <v>102.17217746631495</v>
      </c>
      <c r="AH829" s="12">
        <f>IF(OR(履歴データ!$A$829="",AG829=0),"",AE829/AG829-1)</f>
        <v>-0.32030074024539557</v>
      </c>
      <c r="AJ829" s="28">
        <f t="shared" ca="1" si="36"/>
        <v>4.4152010492523548</v>
      </c>
      <c r="AK829" s="28">
        <f t="shared" ca="1" si="37"/>
        <v>-6.6771058111571229</v>
      </c>
    </row>
    <row r="830" spans="1:37">
      <c r="A830" s="10">
        <f>IF(履歴データ!$A$830="","",履歴データ!$A$830)</f>
        <v>46139</v>
      </c>
      <c r="B830" s="28">
        <f>IF(履歴データ!$A$830="","",(履歴データ!$D$830-(履歴データ!$B$830+履歴データ!$F$830)/2)*100)</f>
        <v>-1.0000000000000675</v>
      </c>
      <c r="C830" s="28">
        <f>IF(履歴データ!$A$830="","",(履歴データ!$H$830-(履歴データ!$G$830+履歴データ!$J$830)/2)*100)</f>
        <v>-4.8000000000000043</v>
      </c>
      <c r="D830" s="28">
        <f>IF(履歴データ!$A$830="","",(履歴データ!$D$830-履歴データ!$H$830)*100)</f>
        <v>187.29999999999998</v>
      </c>
      <c r="E830" s="28">
        <f>IF(履歴データ!$A$830="","",(履歴データ!$D$830-履歴データ!$C$830)*100)</f>
        <v>40.999999999999972</v>
      </c>
      <c r="F830" s="28">
        <f>IF(履歴データ!$A$830="","",(履歴データ!$R$830-履歴データ!$D$830)*100)</f>
        <v>-327.80999999999995</v>
      </c>
      <c r="G830" s="28">
        <f>IF(履歴データ!$A$830="","",(履歴データ!$S$830-履歴データ!$R$830)*100)</f>
        <v>140.52682141113266</v>
      </c>
      <c r="H830" s="29">
        <f>IF(履歴データ!$A$830="","",履歴データ!$O$830)</f>
        <v>159.35699462890625</v>
      </c>
      <c r="I830" s="29">
        <f>IF(履歴データ!$A$830="","",履歴データ!$Q$830)</f>
        <v>111.03125</v>
      </c>
      <c r="J830" s="29">
        <f>IF(履歴データ!$A$830="","",履歴データ!$D$830)</f>
        <v>4.3499999999999996</v>
      </c>
      <c r="K830" s="28">
        <f>IF(OR(履歴データ!$A$830="",履歴データ!$A$829=""),"",B830-B829)</f>
        <v>2.4999999999999467</v>
      </c>
      <c r="L830" s="28">
        <f>IF(OR(履歴データ!$A$830="",履歴データ!$A$829=""),"",C830-C829)</f>
        <v>2.0499999999999741</v>
      </c>
      <c r="M830" s="28">
        <f>IF(OR(履歴データ!$A$830="",履歴データ!$A$829=""),"",D830-D829)</f>
        <v>0.60000000000002274</v>
      </c>
      <c r="N830" s="28">
        <f>IF(OR(履歴データ!$A$830="",履歴データ!$A$829=""),"",E830-E829)</f>
        <v>2</v>
      </c>
      <c r="O830" s="28">
        <f>IF(OR(履歴データ!$A$830="",履歴データ!$A$829=""),"",F830-F829)</f>
        <v>-3.9499999999999318</v>
      </c>
      <c r="P830" s="28">
        <f>IF(OR(履歴データ!$A$830="",履歴データ!$A$829=""),"",G830-G829)</f>
        <v>0.12546423339830426</v>
      </c>
      <c r="Q830" s="29">
        <f>IF(OR(履歴データ!$A$830="",履歴データ!$A$829=""),"",H830-H829)</f>
        <v>-0.3899993896484375</v>
      </c>
      <c r="R830" s="29">
        <f>IF(OR(履歴データ!$A$830="",履歴データ!$A$829=""),"",I830-I829)</f>
        <v>-0.1875</v>
      </c>
      <c r="S830" s="28">
        <f>IF(OR(履歴データ!$A$830="",履歴データ!$A$829=""),"",(J830-J829)*100)</f>
        <v>4.0000000000000036</v>
      </c>
      <c r="T830" s="11">
        <f>IF(OR(履歴データ!$A$830="",履歴データ!$A$829=""),"",-80000*K830)</f>
        <v>-199999.99999999575</v>
      </c>
      <c r="U830" s="11">
        <f>IF(OR(履歴データ!$A$830="",履歴データ!$A$829=""),"",60000*L830)</f>
        <v>122999.99999999844</v>
      </c>
      <c r="V830" s="11">
        <f>IF(OR(履歴データ!$A$830="",履歴データ!$A$829=""),"",-50000*M830)</f>
        <v>-30000.000000001135</v>
      </c>
      <c r="W830" s="11">
        <f>IF(OR(履歴データ!$A$830="",履歴データ!$A$829=""),"",-40000*N830)</f>
        <v>-80000</v>
      </c>
      <c r="X830" s="11">
        <f>IF(OR(履歴データ!$A$830="",履歴データ!$A$829=""),"",120*1000000*(-Q830/H829))</f>
        <v>292962.80061693472</v>
      </c>
      <c r="Y830" s="11">
        <f>IF(OR(履歴データ!$A$830="",履歴データ!$A$829=""),"",40000*(-S830)+(-506.3)*R830*1000)</f>
        <v>-65068.750000000146</v>
      </c>
      <c r="Z830" s="11">
        <f>IF(OR(履歴データ!$A$830="",履歴データ!$A$829=""),"",-40000*O830)</f>
        <v>157999.99999999726</v>
      </c>
      <c r="AA830" s="11">
        <f>IF(OR(履歴データ!$A$830="",履歴データ!$A$829=""),"",-40000*P830)</f>
        <v>-5018.5693359321704</v>
      </c>
      <c r="AB830" s="11">
        <f>IF(履歴データ!$A$830="","",123.3)</f>
        <v>123.3</v>
      </c>
      <c r="AC830">
        <f>IF(履歴データ!$A$830="","",SUM(T830:AA830))</f>
        <v>193875.48128100124</v>
      </c>
      <c r="AD830" s="29">
        <f>IF(履歴データ!$A$830="","",AC830/1000000)</f>
        <v>0.19387548128100124</v>
      </c>
      <c r="AE830" s="29">
        <f>IF(履歴データ!$A$830="",AE829,AE829+AC830/1000000)</f>
        <v>69.640228872651349</v>
      </c>
      <c r="AF830" s="12">
        <f>IF(OR(履歴データ!$A$830="",AE829=0),"",(AE830-AE829)/AE829)</f>
        <v>2.791730189033787E-3</v>
      </c>
      <c r="AG830" s="29">
        <f t="shared" si="38"/>
        <v>102.17217746631495</v>
      </c>
      <c r="AH830" s="12">
        <f>IF(OR(履歴データ!$A$830="",AG830=0),"",AE830/AG830-1)</f>
        <v>-0.31840320330247462</v>
      </c>
      <c r="AJ830" s="28">
        <f t="shared" ca="1" si="36"/>
        <v>4.2579342237875997</v>
      </c>
      <c r="AK830" s="28">
        <f t="shared" ca="1" si="37"/>
        <v>-6.5912675571209407</v>
      </c>
    </row>
    <row r="831" spans="1:37">
      <c r="A831" s="10">
        <f>IF(履歴データ!$A$831="","",履歴データ!$A$831)</f>
        <v>46140</v>
      </c>
      <c r="B831" s="28">
        <f>IF(履歴データ!$A$831="","",(履歴データ!$D$831-(履歴データ!$B$831+履歴データ!$F$831)/2)*100)</f>
        <v>-3.0000000000000249</v>
      </c>
      <c r="C831" s="28">
        <f>IF(履歴データ!$A$831="","",(履歴データ!$H$831-(履歴データ!$G$831+履歴データ!$J$831)/2)*100)</f>
        <v>-4.9999999999999822</v>
      </c>
      <c r="D831" s="28">
        <f>IF(履歴データ!$A$831="","",(履歴データ!$D$831-履歴データ!$H$831)*100)</f>
        <v>189.20000000000005</v>
      </c>
      <c r="E831" s="28">
        <f>IF(履歴データ!$A$831="","",(履歴データ!$D$831-履歴データ!$C$831)*100)</f>
        <v>39.000000000000014</v>
      </c>
      <c r="F831" s="28">
        <f>IF(履歴データ!$A$831="","",(履歴データ!$R$831-履歴データ!$D$831)*100)</f>
        <v>-324.27000000000004</v>
      </c>
      <c r="G831" s="28">
        <f>IF(履歴データ!$A$831="","",(履歴データ!$S$831-履歴データ!$R$831)*100)</f>
        <v>136.8638214111327</v>
      </c>
      <c r="H831" s="29">
        <f>IF(履歴データ!$A$831="","",履歴データ!$O$831)</f>
        <v>159.552001953125</v>
      </c>
      <c r="I831" s="29">
        <f>IF(履歴データ!$A$831="","",履歴データ!$Q$831)</f>
        <v>110.859375</v>
      </c>
      <c r="J831" s="29">
        <f>IF(履歴データ!$A$831="","",履歴データ!$D$831)</f>
        <v>4.3600000000000003</v>
      </c>
      <c r="K831" s="28">
        <f>IF(OR(履歴データ!$A$831="",履歴データ!$A$830=""),"",B831-B830)</f>
        <v>-1.9999999999999574</v>
      </c>
      <c r="L831" s="28">
        <f>IF(OR(履歴データ!$A$831="",履歴データ!$A$830=""),"",C831-C830)</f>
        <v>-0.19999999999997797</v>
      </c>
      <c r="M831" s="28">
        <f>IF(OR(履歴データ!$A$831="",履歴データ!$A$830=""),"",D831-D830)</f>
        <v>1.9000000000000625</v>
      </c>
      <c r="N831" s="28">
        <f>IF(OR(履歴データ!$A$831="",履歴データ!$A$830=""),"",E831-E830)</f>
        <v>-1.9999999999999574</v>
      </c>
      <c r="O831" s="28">
        <f>IF(OR(履歴データ!$A$831="",履歴データ!$A$830=""),"",F831-F830)</f>
        <v>3.5399999999999068</v>
      </c>
      <c r="P831" s="28">
        <f>IF(OR(履歴データ!$A$831="",履歴データ!$A$830=""),"",G831-G830)</f>
        <v>-3.6629999999999541</v>
      </c>
      <c r="Q831" s="29">
        <f>IF(OR(履歴データ!$A$831="",履歴データ!$A$830=""),"",H831-H830)</f>
        <v>0.19500732421875</v>
      </c>
      <c r="R831" s="29">
        <f>IF(OR(履歴データ!$A$831="",履歴データ!$A$830=""),"",I831-I830)</f>
        <v>-0.171875</v>
      </c>
      <c r="S831" s="28">
        <f>IF(OR(履歴データ!$A$831="",履歴データ!$A$830=""),"",(J831-J830)*100)</f>
        <v>1.0000000000000675</v>
      </c>
      <c r="T831" s="11">
        <f>IF(OR(履歴データ!$A$831="",履歴データ!$A$830=""),"",-80000*K831)</f>
        <v>159999.99999999659</v>
      </c>
      <c r="U831" s="11">
        <f>IF(OR(履歴データ!$A$831="",履歴データ!$A$830=""),"",60000*L831)</f>
        <v>-11999.999999998678</v>
      </c>
      <c r="V831" s="11">
        <f>IF(OR(履歴データ!$A$831="",履歴データ!$A$830=""),"",-50000*M831)</f>
        <v>-95000.000000003129</v>
      </c>
      <c r="W831" s="11">
        <f>IF(OR(履歴データ!$A$831="",履歴データ!$A$830=""),"",-40000*N831)</f>
        <v>79999.999999998297</v>
      </c>
      <c r="X831" s="11">
        <f>IF(OR(履歴データ!$A$831="",履歴データ!$A$830=""),"",120*1000000*(-Q831/H830))</f>
        <v>-146845.63398515075</v>
      </c>
      <c r="Y831" s="11">
        <f>IF(OR(履歴データ!$A$831="",履歴データ!$A$830=""),"",40000*(-S831)+(-506.3)*R831*1000)</f>
        <v>47020.312499997301</v>
      </c>
      <c r="Z831" s="11">
        <f>IF(OR(履歴データ!$A$831="",履歴データ!$A$830=""),"",-40000*O831)</f>
        <v>-141599.99999999627</v>
      </c>
      <c r="AA831" s="11">
        <f>IF(OR(履歴データ!$A$831="",履歴データ!$A$830=""),"",-40000*P831)</f>
        <v>146519.99999999817</v>
      </c>
      <c r="AB831" s="11">
        <f>IF(履歴データ!$A$831="","",123.3)</f>
        <v>123.3</v>
      </c>
      <c r="AC831">
        <f>IF(履歴データ!$A$831="","",SUM(T831:AA831))</f>
        <v>38094.678514841507</v>
      </c>
      <c r="AD831" s="29">
        <f>IF(履歴データ!$A$831="","",AC831/1000000)</f>
        <v>3.809467851484151E-2</v>
      </c>
      <c r="AE831" s="29">
        <f>IF(履歴データ!$A$831="",AE830,AE830+AC831/1000000)</f>
        <v>69.678323551166187</v>
      </c>
      <c r="AF831" s="12">
        <f>IF(OR(履歴データ!$A$831="",AE830=0),"",(AE831-AE830)/AE830)</f>
        <v>5.4702115618402933E-4</v>
      </c>
      <c r="AG831" s="29">
        <f t="shared" si="38"/>
        <v>102.17217746631495</v>
      </c>
      <c r="AH831" s="12">
        <f>IF(OR(履歴データ!$A$831="",AG831=0),"",AE831/AG831-1)</f>
        <v>-0.31803035543469382</v>
      </c>
      <c r="AJ831" s="28">
        <f t="shared" ca="1" si="36"/>
        <v>4.174648875639444</v>
      </c>
      <c r="AK831" s="28">
        <f t="shared" ca="1" si="37"/>
        <v>-6.5714742724648483</v>
      </c>
    </row>
    <row r="832" spans="1:37">
      <c r="A832" s="10">
        <f>IF(履歴データ!$A$832="","",履歴データ!$A$832)</f>
        <v>46141</v>
      </c>
      <c r="B832" s="28">
        <f>IF(履歴データ!$A$832="","",(履歴データ!$D$832-(履歴データ!$B$832+履歴データ!$F$832)/2)*100)</f>
        <v>-3.0000000000000249</v>
      </c>
      <c r="C832" s="28">
        <f>IF(履歴データ!$A$832="","",(履歴データ!$H$832-(履歴データ!$G$832+履歴データ!$J$832)/2)*100)</f>
        <v>-4.9999999999999822</v>
      </c>
      <c r="D832" s="28">
        <f>IF(履歴データ!$A$832="","",(履歴データ!$D$832-履歴データ!$H$832)*100)</f>
        <v>195.2</v>
      </c>
      <c r="E832" s="28">
        <f>IF(履歴データ!$A$832="","",(履歴データ!$D$832-履歴データ!$C$832)*100)</f>
        <v>37.000000000000014</v>
      </c>
      <c r="F832" s="28">
        <f>IF(履歴データ!$A$832="","",(履歴データ!$R$832-履歴データ!$D$832)*100)</f>
        <v>-328.73</v>
      </c>
      <c r="G832" s="28">
        <f>IF(履歴データ!$A$832="","",(履歴データ!$S$832-履歴データ!$R$832)*100)</f>
        <v>135.32382141113268</v>
      </c>
      <c r="H832" s="29">
        <f>IF(履歴データ!$A$832="","",履歴データ!$O$832)</f>
        <v>160.18400573730469</v>
      </c>
      <c r="I832" s="29">
        <f>IF(履歴データ!$A$832="","",履歴データ!$Q$832)</f>
        <v>110.359375</v>
      </c>
      <c r="J832" s="29">
        <f>IF(履歴データ!$A$832="","",履歴データ!$D$832)</f>
        <v>4.42</v>
      </c>
      <c r="K832" s="28">
        <f>IF(OR(履歴データ!$A$832="",履歴データ!$A$831=""),"",B832-B831)</f>
        <v>0</v>
      </c>
      <c r="L832" s="28">
        <f>IF(OR(履歴データ!$A$832="",履歴データ!$A$831=""),"",C832-C831)</f>
        <v>0</v>
      </c>
      <c r="M832" s="28">
        <f>IF(OR(履歴データ!$A$832="",履歴データ!$A$831=""),"",D832-D831)</f>
        <v>5.9999999999999432</v>
      </c>
      <c r="N832" s="28">
        <f>IF(OR(履歴データ!$A$832="",履歴データ!$A$831=""),"",E832-E831)</f>
        <v>-2</v>
      </c>
      <c r="O832" s="28">
        <f>IF(OR(履歴データ!$A$832="",履歴データ!$A$831=""),"",F832-F831)</f>
        <v>-4.4599999999999795</v>
      </c>
      <c r="P832" s="28">
        <f>IF(OR(履歴データ!$A$832="",履歴データ!$A$831=""),"",G832-G831)</f>
        <v>-1.5400000000000205</v>
      </c>
      <c r="Q832" s="29">
        <f>IF(OR(履歴データ!$A$832="",履歴データ!$A$831=""),"",H832-H831)</f>
        <v>0.6320037841796875</v>
      </c>
      <c r="R832" s="29">
        <f>IF(OR(履歴データ!$A$832="",履歴データ!$A$831=""),"",I832-I831)</f>
        <v>-0.5</v>
      </c>
      <c r="S832" s="28">
        <f>IF(OR(履歴データ!$A$832="",履歴データ!$A$831=""),"",(J832-J831)*100)</f>
        <v>5.9999999999999609</v>
      </c>
      <c r="T832" s="11">
        <f>IF(OR(履歴データ!$A$832="",履歴データ!$A$831=""),"",-80000*K832)</f>
        <v>0</v>
      </c>
      <c r="U832" s="11">
        <f>IF(OR(履歴データ!$A$832="",履歴データ!$A$831=""),"",60000*L832)</f>
        <v>0</v>
      </c>
      <c r="V832" s="11">
        <f>IF(OR(履歴データ!$A$832="",履歴データ!$A$831=""),"",-50000*M832)</f>
        <v>-299999.99999999715</v>
      </c>
      <c r="W832" s="11">
        <f>IF(OR(履歴データ!$A$832="",履歴データ!$A$831=""),"",-40000*N832)</f>
        <v>80000</v>
      </c>
      <c r="X832" s="11">
        <f>IF(OR(履歴データ!$A$832="",履歴データ!$A$831=""),"",120*1000000*(-Q832/H831))</f>
        <v>-475333.76687961444</v>
      </c>
      <c r="Y832" s="11">
        <f>IF(OR(履歴データ!$A$832="",履歴データ!$A$831=""),"",40000*(-S832)+(-506.3)*R832*1000)</f>
        <v>13150.000000001572</v>
      </c>
      <c r="Z832" s="11">
        <f>IF(OR(履歴データ!$A$832="",履歴データ!$A$831=""),"",-40000*O832)</f>
        <v>178399.99999999919</v>
      </c>
      <c r="AA832" s="11">
        <f>IF(OR(履歴データ!$A$832="",履歴データ!$A$831=""),"",-40000*P832)</f>
        <v>61600.000000000815</v>
      </c>
      <c r="AB832" s="11">
        <f>IF(履歴データ!$A$832="","",123.3)</f>
        <v>123.3</v>
      </c>
      <c r="AC832">
        <f>IF(履歴データ!$A$832="","",SUM(T832:AA832))</f>
        <v>-442183.76687961002</v>
      </c>
      <c r="AD832" s="29">
        <f>IF(履歴データ!$A$832="","",AC832/1000000)</f>
        <v>-0.44218376687961003</v>
      </c>
      <c r="AE832" s="29">
        <f>IF(履歴データ!$A$832="",AE831,AE831+AC832/1000000)</f>
        <v>69.236139784286578</v>
      </c>
      <c r="AF832" s="12">
        <f>IF(OR(履歴データ!$A$832="",AE831=0),"",(AE832-AE831)/AE831)</f>
        <v>-6.3460735612403804E-3</v>
      </c>
      <c r="AG832" s="29">
        <f t="shared" si="38"/>
        <v>102.17217746631495</v>
      </c>
      <c r="AH832" s="12">
        <f>IF(OR(履歴データ!$A$832="",AG832=0),"",AE832/AG832-1)</f>
        <v>-0.32235818496563828</v>
      </c>
      <c r="AJ832" s="28">
        <f t="shared" ca="1" si="36"/>
        <v>4.0901036628713356</v>
      </c>
      <c r="AK832" s="28">
        <f t="shared" ca="1" si="37"/>
        <v>-6.550421123188805</v>
      </c>
    </row>
    <row r="833" spans="1:37">
      <c r="A833" s="10">
        <f>IF(履歴データ!$A$833="","",履歴データ!$A$833)</f>
        <v>46142</v>
      </c>
      <c r="B833" s="28">
        <f>IF(履歴データ!$A$833="","",(履歴データ!$D$833-(履歴データ!$B$833+履歴データ!$F$833)/2)*100)</f>
        <v>-2.9999999999999361</v>
      </c>
      <c r="C833" s="28">
        <f>IF(履歴データ!$A$833="","",(履歴データ!$H$833-(履歴データ!$G$833+履歴データ!$J$833)/2)*100)</f>
        <v>-4.1500000000000092</v>
      </c>
      <c r="D833" s="28">
        <f>IF(履歴データ!$A$833="","",(履歴データ!$D$833-履歴データ!$H$833)*100)</f>
        <v>188.00000000000003</v>
      </c>
      <c r="E833" s="28">
        <f>IF(履歴データ!$A$833="","",(履歴データ!$D$833-履歴データ!$C$833)*100)</f>
        <v>38.000000000000078</v>
      </c>
      <c r="F833" s="28">
        <f>IF(履歴データ!$A$833="","",(履歴データ!$R$833-履歴データ!$D$833)*100)</f>
        <v>-322.38000000000005</v>
      </c>
      <c r="G833" s="28">
        <f>IF(履歴データ!$A$833="","",(履歴データ!$S$833-履歴データ!$R$833)*100)</f>
        <v>137.28817858886708</v>
      </c>
      <c r="H833" s="29">
        <f>IF(履歴データ!$A$833="","",履歴データ!$O$833)</f>
        <v>156.97799682617188</v>
      </c>
      <c r="I833" s="29">
        <f>IF(履歴データ!$A$833="","",履歴データ!$Q$833)</f>
        <v>110.59375</v>
      </c>
      <c r="J833" s="29">
        <f>IF(履歴データ!$A$833="","",履歴データ!$D$833)</f>
        <v>4.4000000000000004</v>
      </c>
      <c r="K833" s="28">
        <f>IF(OR(履歴データ!$A$833="",履歴データ!$A$832=""),"",B833-B832)</f>
        <v>8.8817841970012523E-14</v>
      </c>
      <c r="L833" s="28">
        <f>IF(OR(履歴データ!$A$833="",履歴データ!$A$832=""),"",C833-C832)</f>
        <v>0.849999999999973</v>
      </c>
      <c r="M833" s="28">
        <f>IF(OR(履歴データ!$A$833="",履歴データ!$A$832=""),"",D833-D832)</f>
        <v>-7.1999999999999602</v>
      </c>
      <c r="N833" s="28">
        <f>IF(OR(履歴データ!$A$833="",履歴データ!$A$832=""),"",E833-E832)</f>
        <v>1.0000000000000639</v>
      </c>
      <c r="O833" s="28">
        <f>IF(OR(履歴データ!$A$833="",履歴データ!$A$832=""),"",F833-F832)</f>
        <v>6.3499999999999659</v>
      </c>
      <c r="P833" s="28">
        <f>IF(OR(履歴データ!$A$833="",履歴データ!$A$832=""),"",G833-G832)</f>
        <v>1.9643571777343993</v>
      </c>
      <c r="Q833" s="29">
        <f>IF(OR(履歴データ!$A$833="",履歴データ!$A$832=""),"",H833-H832)</f>
        <v>-3.2060089111328125</v>
      </c>
      <c r="R833" s="29">
        <f>IF(OR(履歴データ!$A$833="",履歴データ!$A$832=""),"",I833-I832)</f>
        <v>0.234375</v>
      </c>
      <c r="S833" s="28">
        <f>IF(OR(履歴データ!$A$833="",履歴データ!$A$832=""),"",(J833-J832)*100)</f>
        <v>-1.9999999999999574</v>
      </c>
      <c r="T833" s="11">
        <f>IF(OR(履歴データ!$A$833="",履歴データ!$A$832=""),"",-80000*K833)</f>
        <v>-7.1054273576010019E-9</v>
      </c>
      <c r="U833" s="11">
        <f>IF(OR(履歴データ!$A$833="",履歴データ!$A$832=""),"",60000*L833)</f>
        <v>50999.999999998377</v>
      </c>
      <c r="V833" s="11">
        <f>IF(OR(履歴データ!$A$833="",履歴データ!$A$832=""),"",-50000*M833)</f>
        <v>359999.99999999802</v>
      </c>
      <c r="W833" s="11">
        <f>IF(OR(履歴データ!$A$833="",履歴データ!$A$832=""),"",-40000*N833)</f>
        <v>-40000.000000002561</v>
      </c>
      <c r="X833" s="11">
        <f>IF(OR(履歴データ!$A$833="",履歴データ!$A$832=""),"",120*1000000*(-Q833/H832))</f>
        <v>2401744.5909478911</v>
      </c>
      <c r="Y833" s="11">
        <f>IF(OR(履歴データ!$A$833="",履歴データ!$A$832=""),"",40000*(-S833)+(-506.3)*R833*1000)</f>
        <v>-38664.062500001703</v>
      </c>
      <c r="Z833" s="11">
        <f>IF(OR(履歴データ!$A$833="",履歴データ!$A$832=""),"",-40000*O833)</f>
        <v>-253999.99999999863</v>
      </c>
      <c r="AA833" s="11">
        <f>IF(OR(履歴データ!$A$833="",履歴データ!$A$832=""),"",-40000*P833)</f>
        <v>-78574.287109375975</v>
      </c>
      <c r="AB833" s="11">
        <f>IF(履歴データ!$A$833="","",123.3)</f>
        <v>123.3</v>
      </c>
      <c r="AC833">
        <f>IF(履歴データ!$A$833="","",SUM(T833:AA833))</f>
        <v>2401506.2413385012</v>
      </c>
      <c r="AD833" s="29">
        <f>IF(履歴データ!$A$833="","",AC833/1000000)</f>
        <v>2.4015062413385011</v>
      </c>
      <c r="AE833" s="29">
        <f>IF(履歴データ!$A$833="",AE832,AE832+AC833/1000000)</f>
        <v>71.637646025625074</v>
      </c>
      <c r="AF833" s="12">
        <f>IF(OR(履歴データ!$A$833="",AE832=0),"",(AE833-AE832)/AE832)</f>
        <v>3.4685732752008896E-2</v>
      </c>
      <c r="AG833" s="29">
        <f t="shared" si="38"/>
        <v>102.17217746631495</v>
      </c>
      <c r="AH833" s="12">
        <f>IF(OR(履歴データ!$A$833="",AG833=0),"",AE833/AG833-1)</f>
        <v>-0.29885368206777008</v>
      </c>
      <c r="AJ833" s="28">
        <f t="shared" ca="1" si="36"/>
        <v>4.0042606909765031</v>
      </c>
      <c r="AK833" s="28">
        <f t="shared" ca="1" si="37"/>
        <v>-6.5280702147860357</v>
      </c>
    </row>
    <row r="834" spans="1:37">
      <c r="A834" s="10">
        <f>IF(履歴データ!$A$834="","",履歴データ!$A$834)</f>
        <v>46143</v>
      </c>
      <c r="B834" s="28">
        <f>IF(履歴データ!$A$834="","",(履歴データ!$D$834-(履歴データ!$B$834+履歴データ!$F$834)/2)*100)</f>
        <v>-3.5000000000000142</v>
      </c>
      <c r="C834" s="28">
        <f>IF(履歴データ!$A$834="","",(履歴データ!$H$834-(履歴データ!$G$834+履歴データ!$J$834)/2)*100)</f>
        <v>-3.8499999999999979</v>
      </c>
      <c r="D834" s="28">
        <f>IF(履歴データ!$A$834="","",(履歴データ!$D$834-履歴データ!$H$834)*100)</f>
        <v>188.29999999999995</v>
      </c>
      <c r="E834" s="28">
        <f>IF(履歴データ!$A$834="","",(履歴データ!$D$834-履歴データ!$C$834)*100)</f>
        <v>37.000000000000014</v>
      </c>
      <c r="F834" s="28">
        <f>IF(履歴データ!$A$834="","",(履歴データ!$R$834-履歴データ!$D$834)*100)</f>
        <v>-322.91999999999996</v>
      </c>
      <c r="G834" s="28">
        <f>IF(履歴データ!$A$834="","",(履歴データ!$S$834-履歴データ!$R$834)*100)</f>
        <v>137.42499999999981</v>
      </c>
      <c r="H834" s="29">
        <f>IF(履歴データ!$A$834="","",履歴データ!$O$834)</f>
        <v>156.97799682617188</v>
      </c>
      <c r="I834" s="29">
        <f>IF(履歴データ!$A$834="","",履歴データ!$Q$834)</f>
        <v>110.640625</v>
      </c>
      <c r="J834" s="29">
        <f>IF(履歴データ!$A$834="","",履歴データ!$D$834)</f>
        <v>4.3899999999999997</v>
      </c>
      <c r="K834" s="28">
        <f>IF(OR(履歴データ!$A$834="",履歴データ!$A$833=""),"",B834-B833)</f>
        <v>-0.50000000000007816</v>
      </c>
      <c r="L834" s="28">
        <f>IF(OR(履歴データ!$A$834="",履歴データ!$A$833=""),"",C834-C833)</f>
        <v>0.30000000000001137</v>
      </c>
      <c r="M834" s="28">
        <f>IF(OR(履歴データ!$A$834="",履歴データ!$A$833=""),"",D834-D833)</f>
        <v>0.2999999999999261</v>
      </c>
      <c r="N834" s="28">
        <f>IF(OR(履歴データ!$A$834="",履歴データ!$A$833=""),"",E834-E833)</f>
        <v>-1.0000000000000639</v>
      </c>
      <c r="O834" s="28">
        <f>IF(OR(履歴データ!$A$834="",履歴データ!$A$833=""),"",F834-F833)</f>
        <v>-0.53999999999990678</v>
      </c>
      <c r="P834" s="28">
        <f>IF(OR(履歴データ!$A$834="",履歴データ!$A$833=""),"",G834-G833)</f>
        <v>0.13682141113272905</v>
      </c>
      <c r="Q834" s="29">
        <f>IF(OR(履歴データ!$A$834="",履歴データ!$A$833=""),"",H834-H833)</f>
        <v>0</v>
      </c>
      <c r="R834" s="29">
        <f>IF(OR(履歴データ!$A$834="",履歴データ!$A$833=""),"",I834-I833)</f>
        <v>4.6875E-2</v>
      </c>
      <c r="S834" s="28">
        <f>IF(OR(履歴データ!$A$834="",履歴データ!$A$833=""),"",(J834-J833)*100)</f>
        <v>-1.0000000000000675</v>
      </c>
      <c r="T834" s="11">
        <f>IF(OR(履歴データ!$A$834="",履歴データ!$A$833=""),"",-80000*K834)</f>
        <v>40000.00000000625</v>
      </c>
      <c r="U834" s="11">
        <f>IF(OR(履歴データ!$A$834="",履歴データ!$A$833=""),"",60000*L834)</f>
        <v>18000.000000000684</v>
      </c>
      <c r="V834" s="11">
        <f>IF(OR(履歴データ!$A$834="",履歴データ!$A$833=""),"",-50000*M834)</f>
        <v>-14999.999999996306</v>
      </c>
      <c r="W834" s="11">
        <f>IF(OR(履歴データ!$A$834="",履歴データ!$A$833=""),"",-40000*N834)</f>
        <v>40000.000000002561</v>
      </c>
      <c r="X834" s="11">
        <f>IF(OR(履歴データ!$A$834="",履歴データ!$A$833=""),"",120*1000000*(-Q834/H833))</f>
        <v>0</v>
      </c>
      <c r="Y834" s="11">
        <f>IF(OR(履歴データ!$A$834="",履歴データ!$A$833=""),"",40000*(-S834)+(-506.3)*R834*1000)</f>
        <v>16267.187500002699</v>
      </c>
      <c r="Z834" s="11">
        <f>IF(OR(履歴データ!$A$834="",履歴データ!$A$833=""),"",-40000*O834)</f>
        <v>21599.999999996271</v>
      </c>
      <c r="AA834" s="11">
        <f>IF(OR(履歴データ!$A$834="",履歴データ!$A$833=""),"",-40000*P834)</f>
        <v>-5472.8564453091622</v>
      </c>
      <c r="AB834" s="11">
        <f>IF(履歴データ!$A$834="","",123.3)</f>
        <v>123.3</v>
      </c>
      <c r="AC834">
        <f>IF(履歴データ!$A$834="","",SUM(T834:AA834))</f>
        <v>115394.331054703</v>
      </c>
      <c r="AD834" s="29">
        <f>IF(履歴データ!$A$834="","",AC834/1000000)</f>
        <v>0.11539433105470299</v>
      </c>
      <c r="AE834" s="29">
        <f>IF(履歴データ!$A$834="",AE833,AE833+AC834/1000000)</f>
        <v>71.753040356679776</v>
      </c>
      <c r="AF834" s="12">
        <f>IF(OR(履歴データ!$A$834="",AE833=0),"",(AE834-AE833)/AE833)</f>
        <v>1.6108057349263692E-3</v>
      </c>
      <c r="AG834" s="29">
        <f t="shared" si="38"/>
        <v>102.17217746631495</v>
      </c>
      <c r="AH834" s="12">
        <f>IF(OR(履歴データ!$A$834="",AG834=0),"",AE834/AG834-1)</f>
        <v>-0.29772427155782244</v>
      </c>
      <c r="AJ834" s="28">
        <f t="shared" ref="AJ834:AJ897" ca="1" si="39">IF(ROW()-1&lt;2,"",IFERROR(AVERAGE(OFFSET($B$1,MAX(1,ROW()-252),0,MIN(252,ROW()-1),1))+2*STDEV(OFFSET($B$1,MAX(1,ROW()-252),0,MIN(252,ROW()-1),1)),""))</f>
        <v>3.9292986276711042</v>
      </c>
      <c r="AK834" s="28">
        <f t="shared" ref="AK834:AK897" ca="1" si="40">IF(ROW()-1&lt;2,"",IFERROR(AVERAGE(OFFSET($B$1,MAX(1,ROW()-252),0,MIN(252,ROW()-1),1))-2*STDEV(OFFSET($B$1,MAX(1,ROW()-252),0,MIN(252,ROW()-1),1)),""))</f>
        <v>-6.5166002149727014</v>
      </c>
    </row>
    <row r="835" spans="1:37">
      <c r="A835" s="10">
        <f>IF(履歴データ!$A$835="","",履歴データ!$A$835)</f>
        <v>46146</v>
      </c>
      <c r="B835" s="28">
        <f>IF(履歴データ!$A$835="","",(履歴データ!$D$835-(履歴データ!$B$835+履歴データ!$F$835)/2)*100)</f>
        <v>-3.4999999999999254</v>
      </c>
      <c r="C835" s="28">
        <f>IF(履歴データ!$A$835="","",(履歴データ!$H$835-(履歴データ!$G$835+履歴データ!$J$835)/2)*100)</f>
        <v>-3.8499999999999979</v>
      </c>
      <c r="D835" s="28">
        <f>IF(履歴データ!$A$835="","",(履歴データ!$D$835-履歴データ!$H$835)*100)</f>
        <v>194.3</v>
      </c>
      <c r="E835" s="28">
        <f>IF(履歴データ!$A$835="","",(履歴データ!$D$835-履歴データ!$C$835)*100)</f>
        <v>37.000000000000014</v>
      </c>
      <c r="F835" s="28">
        <f>IF(履歴データ!$A$835="","",(履歴データ!$R$835-履歴データ!$D$835)*100)</f>
        <v>-330.16</v>
      </c>
      <c r="G835" s="28">
        <f>IF(履歴データ!$A$835="","",(履歴データ!$S$835-履歴データ!$R$835)*100)</f>
        <v>138.66499999999982</v>
      </c>
      <c r="H835" s="29">
        <f>IF(履歴データ!$A$835="","",履歴データ!$O$835)</f>
        <v>157.19400024414063</v>
      </c>
      <c r="I835" s="29">
        <f>IF(履歴データ!$A$835="","",履歴データ!$Q$835)</f>
        <v>110.171875</v>
      </c>
      <c r="J835" s="29">
        <f>IF(履歴データ!$A$835="","",履歴データ!$D$835)</f>
        <v>4.45</v>
      </c>
      <c r="K835" s="28">
        <f>IF(OR(履歴データ!$A$835="",履歴データ!$A$834=""),"",B835-B834)</f>
        <v>8.8817841970012523E-14</v>
      </c>
      <c r="L835" s="28">
        <f>IF(OR(履歴データ!$A$835="",履歴データ!$A$834=""),"",C835-C834)</f>
        <v>0</v>
      </c>
      <c r="M835" s="28">
        <f>IF(OR(履歴データ!$A$835="",履歴データ!$A$834=""),"",D835-D834)</f>
        <v>6.0000000000000568</v>
      </c>
      <c r="N835" s="28">
        <f>IF(OR(履歴データ!$A$835="",履歴データ!$A$834=""),"",E835-E834)</f>
        <v>0</v>
      </c>
      <c r="O835" s="28">
        <f>IF(OR(履歴データ!$A$835="",履歴データ!$A$834=""),"",F835-F834)</f>
        <v>-7.2400000000000659</v>
      </c>
      <c r="P835" s="28">
        <f>IF(OR(履歴データ!$A$835="",履歴データ!$A$834=""),"",G835-G834)</f>
        <v>1.2400000000000091</v>
      </c>
      <c r="Q835" s="29">
        <f>IF(OR(履歴データ!$A$835="",履歴データ!$A$834=""),"",H835-H834)</f>
        <v>0.21600341796875</v>
      </c>
      <c r="R835" s="29">
        <f>IF(OR(履歴データ!$A$835="",履歴データ!$A$834=""),"",I835-I834)</f>
        <v>-0.46875</v>
      </c>
      <c r="S835" s="28">
        <f>IF(OR(履歴データ!$A$835="",履歴データ!$A$834=""),"",(J835-J834)*100)</f>
        <v>6.0000000000000497</v>
      </c>
      <c r="T835" s="11">
        <f>IF(OR(履歴データ!$A$835="",履歴データ!$A$834=""),"",-80000*K835)</f>
        <v>-7.1054273576010019E-9</v>
      </c>
      <c r="U835" s="11">
        <f>IF(OR(履歴データ!$A$835="",履歴データ!$A$834=""),"",60000*L835)</f>
        <v>0</v>
      </c>
      <c r="V835" s="11">
        <f>IF(OR(履歴データ!$A$835="",履歴データ!$A$834=""),"",-50000*M835)</f>
        <v>-300000.00000000285</v>
      </c>
      <c r="W835" s="11">
        <f>IF(OR(履歴データ!$A$835="",履歴データ!$A$834=""),"",-40000*N835)</f>
        <v>0</v>
      </c>
      <c r="X835" s="11">
        <f>IF(OR(履歴データ!$A$835="",履歴データ!$A$834=""),"",120*1000000*(-Q835/H834))</f>
        <v>-165121.2952153589</v>
      </c>
      <c r="Y835" s="11">
        <f>IF(OR(履歴データ!$A$835="",履歴データ!$A$834=""),"",40000*(-S835)+(-506.3)*R835*1000)</f>
        <v>-2671.8750000019791</v>
      </c>
      <c r="Z835" s="11">
        <f>IF(OR(履歴データ!$A$835="",履歴データ!$A$834=""),"",-40000*O835)</f>
        <v>289600.00000000262</v>
      </c>
      <c r="AA835" s="11">
        <f>IF(OR(履歴データ!$A$835="",履歴データ!$A$834=""),"",-40000*P835)</f>
        <v>-49600.000000000364</v>
      </c>
      <c r="AB835" s="11">
        <f>IF(履歴データ!$A$835="","",123.3)</f>
        <v>123.3</v>
      </c>
      <c r="AC835">
        <f>IF(履歴データ!$A$835="","",SUM(T835:AA835))</f>
        <v>-227793.17021536856</v>
      </c>
      <c r="AD835" s="29">
        <f>IF(履歴データ!$A$835="","",AC835/1000000)</f>
        <v>-0.22779317021536857</v>
      </c>
      <c r="AE835" s="29">
        <f>IF(履歴データ!$A$835="",AE834,AE834+AC835/1000000)</f>
        <v>71.525247186464412</v>
      </c>
      <c r="AF835" s="12">
        <f>IF(OR(履歴データ!$A$835="",AE834=0),"",(AE835-AE834)/AE834)</f>
        <v>-3.1746831783436413E-3</v>
      </c>
      <c r="AG835" s="29">
        <f t="shared" ref="AG835:AG898" si="41">MAX(AG834,AE835)</f>
        <v>102.17217746631495</v>
      </c>
      <c r="AH835" s="12">
        <f>IF(OR(履歴データ!$A$835="",AG835=0),"",AE835/AG835-1)</f>
        <v>-0.29995377449946681</v>
      </c>
      <c r="AJ835" s="28">
        <f t="shared" ca="1" si="39"/>
        <v>3.8637486898802345</v>
      </c>
      <c r="AK835" s="28">
        <f t="shared" ca="1" si="40"/>
        <v>-6.5105740867056419</v>
      </c>
    </row>
    <row r="836" spans="1:37">
      <c r="A836" s="10">
        <f>IF(履歴データ!$A$836="","",履歴データ!$A$836)</f>
        <v>46147</v>
      </c>
      <c r="B836" s="28">
        <f>IF(履歴データ!$A$836="","",(履歴データ!$D$836-(履歴データ!$B$836+履歴データ!$F$836)/2)*100)</f>
        <v>-2.5000000000000355</v>
      </c>
      <c r="C836" s="28">
        <f>IF(履歴データ!$A$836="","",(履歴データ!$H$836-(履歴データ!$G$836+履歴データ!$J$836)/2)*100)</f>
        <v>-3.8499999999999979</v>
      </c>
      <c r="D836" s="28">
        <f>IF(履歴データ!$A$836="","",(履歴データ!$D$836-履歴データ!$H$836)*100)</f>
        <v>192.29999999999995</v>
      </c>
      <c r="E836" s="28">
        <f>IF(履歴データ!$A$836="","",(履歴データ!$D$836-履歴データ!$C$836)*100)</f>
        <v>34.999999999999964</v>
      </c>
      <c r="F836" s="28">
        <f>IF(履歴データ!$A$836="","",(履歴データ!$R$836-履歴データ!$D$836)*100)</f>
        <v>-328.15999999999997</v>
      </c>
      <c r="G836" s="28">
        <f>IF(履歴データ!$A$836="","",(履歴データ!$S$836-履歴データ!$R$836)*100)</f>
        <v>138.66499999999982</v>
      </c>
      <c r="H836" s="29">
        <f>IF(履歴データ!$A$836="","",履歴データ!$O$836)</f>
        <v>157.677001953125</v>
      </c>
      <c r="I836" s="29">
        <f>IF(履歴データ!$A$836="","",履歴データ!$Q$836)</f>
        <v>110.34375</v>
      </c>
      <c r="J836" s="29">
        <f>IF(履歴データ!$A$836="","",履歴データ!$D$836)</f>
        <v>4.43</v>
      </c>
      <c r="K836" s="28">
        <f>IF(OR(履歴データ!$A$836="",履歴データ!$A$835=""),"",B836-B835)</f>
        <v>0.99999999999988987</v>
      </c>
      <c r="L836" s="28">
        <f>IF(OR(履歴データ!$A$836="",履歴データ!$A$835=""),"",C836-C835)</f>
        <v>0</v>
      </c>
      <c r="M836" s="28">
        <f>IF(OR(履歴データ!$A$836="",履歴データ!$A$835=""),"",D836-D835)</f>
        <v>-2.0000000000000568</v>
      </c>
      <c r="N836" s="28">
        <f>IF(OR(履歴データ!$A$836="",履歴データ!$A$835=""),"",E836-E835)</f>
        <v>-2.0000000000000497</v>
      </c>
      <c r="O836" s="28">
        <f>IF(OR(履歴データ!$A$836="",履歴データ!$A$835=""),"",F836-F835)</f>
        <v>2.0000000000000568</v>
      </c>
      <c r="P836" s="28">
        <f>IF(OR(履歴データ!$A$836="",履歴データ!$A$835=""),"",G836-G835)</f>
        <v>0</v>
      </c>
      <c r="Q836" s="29">
        <f>IF(OR(履歴データ!$A$836="",履歴データ!$A$835=""),"",H836-H835)</f>
        <v>0.483001708984375</v>
      </c>
      <c r="R836" s="29">
        <f>IF(OR(履歴データ!$A$836="",履歴データ!$A$835=""),"",I836-I835)</f>
        <v>0.171875</v>
      </c>
      <c r="S836" s="28">
        <f>IF(OR(履歴データ!$A$836="",履歴データ!$A$835=""),"",(J836-J835)*100)</f>
        <v>-2.0000000000000462</v>
      </c>
      <c r="T836" s="11">
        <f>IF(OR(履歴データ!$A$836="",履歴データ!$A$835=""),"",-80000*K836)</f>
        <v>-79999.999999991196</v>
      </c>
      <c r="U836" s="11">
        <f>IF(OR(履歴データ!$A$836="",履歴データ!$A$835=""),"",60000*L836)</f>
        <v>0</v>
      </c>
      <c r="V836" s="11">
        <f>IF(OR(履歴データ!$A$836="",履歴データ!$A$835=""),"",-50000*M836)</f>
        <v>100000.00000000284</v>
      </c>
      <c r="W836" s="11">
        <f>IF(OR(履歴データ!$A$836="",履歴データ!$A$835=""),"",-40000*N836)</f>
        <v>80000.000000001994</v>
      </c>
      <c r="X836" s="11">
        <f>IF(OR(履歴データ!$A$836="",履歴データ!$A$835=""),"",120*1000000*(-Q836/H835))</f>
        <v>-368717.6672653284</v>
      </c>
      <c r="Y836" s="11">
        <f>IF(OR(履歴データ!$A$836="",履歴データ!$A$835=""),"",40000*(-S836)+(-506.3)*R836*1000)</f>
        <v>-7020.3124999981519</v>
      </c>
      <c r="Z836" s="11">
        <f>IF(OR(履歴データ!$A$836="",履歴データ!$A$835=""),"",-40000*O836)</f>
        <v>-80000.00000000227</v>
      </c>
      <c r="AA836" s="11">
        <f>IF(OR(履歴データ!$A$836="",履歴データ!$A$835=""),"",-40000*P836)</f>
        <v>0</v>
      </c>
      <c r="AB836" s="11">
        <f>IF(履歴データ!$A$836="","",123.3)</f>
        <v>123.3</v>
      </c>
      <c r="AC836">
        <f>IF(履歴データ!$A$836="","",SUM(T836:AA836))</f>
        <v>-355737.97976531519</v>
      </c>
      <c r="AD836" s="29">
        <f>IF(履歴データ!$A$836="","",AC836/1000000)</f>
        <v>-0.35573797976531518</v>
      </c>
      <c r="AE836" s="29">
        <f>IF(履歴データ!$A$836="",AE835,AE835+AC836/1000000)</f>
        <v>71.169509206699104</v>
      </c>
      <c r="AF836" s="12">
        <f>IF(OR(履歴データ!$A$836="",AE835=0),"",(AE836-AE835)/AE835)</f>
        <v>-4.9736001448259098E-3</v>
      </c>
      <c r="AG836" s="29">
        <f t="shared" si="41"/>
        <v>102.17217746631495</v>
      </c>
      <c r="AH836" s="12">
        <f>IF(OR(履歴データ!$A$836="",AG836=0),"",AE836/AG836-1)</f>
        <v>-0.30343552450800104</v>
      </c>
      <c r="AJ836" s="28">
        <f t="shared" ca="1" si="39"/>
        <v>3.8150829141323097</v>
      </c>
      <c r="AK836" s="28">
        <f t="shared" ca="1" si="40"/>
        <v>-6.5055591046085102</v>
      </c>
    </row>
    <row r="837" spans="1:37">
      <c r="A837" s="10">
        <f>IF(履歴データ!$A$837="","",履歴データ!$A$837)</f>
        <v>46148</v>
      </c>
      <c r="B837" s="28">
        <f>IF(履歴データ!$A$837="","",(履歴データ!$D$837-(履歴データ!$B$837+履歴データ!$F$837)/2)*100)</f>
        <v>-4.4999999999999929</v>
      </c>
      <c r="C837" s="28">
        <f>IF(履歴データ!$A$837="","",(履歴データ!$H$837-(履歴データ!$G$837+履歴データ!$J$837)/2)*100)</f>
        <v>-3.8499999999999979</v>
      </c>
      <c r="D837" s="28">
        <f>IF(履歴データ!$A$837="","",(履歴データ!$D$837-履歴データ!$H$837)*100)</f>
        <v>185.3</v>
      </c>
      <c r="E837" s="28">
        <f>IF(履歴データ!$A$837="","",(履歴データ!$D$837-履歴データ!$C$837)*100)</f>
        <v>37.000000000000014</v>
      </c>
      <c r="F837" s="28">
        <f>IF(履歴データ!$A$837="","",(履歴データ!$R$837-履歴データ!$D$837)*100)</f>
        <v>-316.76</v>
      </c>
      <c r="G837" s="28">
        <f>IF(履歴データ!$A$837="","",(履歴データ!$S$837-履歴データ!$R$837)*100)</f>
        <v>134.26499999999984</v>
      </c>
      <c r="H837" s="29">
        <f>IF(履歴データ!$A$837="","",履歴データ!$O$837)</f>
        <v>156.50799560546875</v>
      </c>
      <c r="I837" s="29">
        <f>IF(履歴データ!$A$837="","",履歴データ!$Q$837)</f>
        <v>110.796875</v>
      </c>
      <c r="J837" s="29">
        <f>IF(履歴データ!$A$837="","",履歴データ!$D$837)</f>
        <v>4.3600000000000003</v>
      </c>
      <c r="K837" s="28">
        <f>IF(OR(履歴データ!$A$837="",履歴データ!$A$836=""),"",B837-B836)</f>
        <v>-1.9999999999999574</v>
      </c>
      <c r="L837" s="28">
        <f>IF(OR(履歴データ!$A$837="",履歴データ!$A$836=""),"",C837-C836)</f>
        <v>0</v>
      </c>
      <c r="M837" s="28">
        <f>IF(OR(履歴データ!$A$837="",履歴データ!$A$836=""),"",D837-D836)</f>
        <v>-6.9999999999999432</v>
      </c>
      <c r="N837" s="28">
        <f>IF(OR(履歴データ!$A$837="",履歴データ!$A$836=""),"",E837-E836)</f>
        <v>2.0000000000000497</v>
      </c>
      <c r="O837" s="28">
        <f>IF(OR(履歴データ!$A$837="",履歴データ!$A$836=""),"",F837-F836)</f>
        <v>11.399999999999977</v>
      </c>
      <c r="P837" s="28">
        <f>IF(OR(履歴データ!$A$837="",履歴データ!$A$836=""),"",G837-G836)</f>
        <v>-4.3999999999999773</v>
      </c>
      <c r="Q837" s="29">
        <f>IF(OR(履歴データ!$A$837="",履歴データ!$A$836=""),"",H837-H836)</f>
        <v>-1.16900634765625</v>
      </c>
      <c r="R837" s="29">
        <f>IF(OR(履歴データ!$A$837="",履歴データ!$A$836=""),"",I837-I836)</f>
        <v>0.453125</v>
      </c>
      <c r="S837" s="28">
        <f>IF(OR(履歴データ!$A$837="",履歴データ!$A$836=""),"",(J837-J836)*100)</f>
        <v>-6.9999999999999396</v>
      </c>
      <c r="T837" s="11">
        <f>IF(OR(履歴データ!$A$837="",履歴データ!$A$836=""),"",-80000*K837)</f>
        <v>159999.99999999659</v>
      </c>
      <c r="U837" s="11">
        <f>IF(OR(履歴データ!$A$837="",履歴データ!$A$836=""),"",60000*L837)</f>
        <v>0</v>
      </c>
      <c r="V837" s="11">
        <f>IF(OR(履歴データ!$A$837="",履歴データ!$A$836=""),"",-50000*M837)</f>
        <v>349999.99999999715</v>
      </c>
      <c r="W837" s="11">
        <f>IF(OR(履歴データ!$A$837="",履歴データ!$A$836=""),"",-40000*N837)</f>
        <v>-80000.000000001994</v>
      </c>
      <c r="X837" s="11">
        <f>IF(OR(履歴データ!$A$837="",履歴データ!$A$836=""),"",120*1000000*(-Q837/H836))</f>
        <v>889671.67044724361</v>
      </c>
      <c r="Y837" s="11">
        <f>IF(OR(履歴データ!$A$837="",履歴データ!$A$836=""),"",40000*(-S837)+(-506.3)*R837*1000)</f>
        <v>50582.812499997555</v>
      </c>
      <c r="Z837" s="11">
        <f>IF(OR(履歴データ!$A$837="",履歴データ!$A$836=""),"",-40000*O837)</f>
        <v>-455999.99999999907</v>
      </c>
      <c r="AA837" s="11">
        <f>IF(OR(履歴データ!$A$837="",履歴データ!$A$836=""),"",-40000*P837)</f>
        <v>175999.9999999991</v>
      </c>
      <c r="AB837" s="11">
        <f>IF(履歴データ!$A$837="","",123.3)</f>
        <v>123.3</v>
      </c>
      <c r="AC837">
        <f>IF(履歴データ!$A$837="","",SUM(T837:AA837))</f>
        <v>1090254.4829472331</v>
      </c>
      <c r="AD837" s="29">
        <f>IF(履歴データ!$A$837="","",AC837/1000000)</f>
        <v>1.0902544829472332</v>
      </c>
      <c r="AE837" s="29">
        <f>IF(履歴データ!$A$837="",AE836,AE836+AC837/1000000)</f>
        <v>72.259763689646334</v>
      </c>
      <c r="AF837" s="12">
        <f>IF(OR(履歴データ!$A$837="",AE836=0),"",(AE837-AE836)/AE836)</f>
        <v>1.5319123246737327E-2</v>
      </c>
      <c r="AG837" s="29">
        <f t="shared" si="41"/>
        <v>102.17217746631495</v>
      </c>
      <c r="AH837" s="12">
        <f>IF(OR(履歴データ!$A$837="",AG837=0),"",AE837/AG837-1)</f>
        <v>-0.29276476745864022</v>
      </c>
      <c r="AJ837" s="28">
        <f t="shared" ca="1" si="39"/>
        <v>3.7871181612579043</v>
      </c>
      <c r="AK837" s="28">
        <f t="shared" ca="1" si="40"/>
        <v>-6.5291816533214071</v>
      </c>
    </row>
    <row r="838" spans="1:37">
      <c r="A838" s="10">
        <f>IF(履歴データ!$A$838="","",履歴データ!$A$838)</f>
        <v>46149</v>
      </c>
      <c r="B838" s="28">
        <f>IF(履歴データ!$A$838="","",(履歴データ!$D$838-(履歴データ!$B$838+履歴データ!$F$838)/2)*100)</f>
        <v>-3.5000000000000142</v>
      </c>
      <c r="C838" s="28">
        <f>IF(履歴データ!$A$838="","",(履歴データ!$H$838-(履歴データ!$G$838+履歴データ!$J$838)/2)*100)</f>
        <v>-5.8000000000000274</v>
      </c>
      <c r="D838" s="28">
        <f>IF(履歴データ!$A$838="","",(履歴データ!$D$838-履歴データ!$H$838)*100)</f>
        <v>192.50000000000003</v>
      </c>
      <c r="E838" s="28">
        <f>IF(履歴データ!$A$838="","",(履歴データ!$D$838-履歴データ!$C$838)*100)</f>
        <v>37.000000000000014</v>
      </c>
      <c r="F838" s="28">
        <f>IF(履歴データ!$A$838="","",(履歴データ!$R$838-履歴データ!$D$838)*100)</f>
        <v>-333.8</v>
      </c>
      <c r="G838" s="28">
        <f>IF(履歴データ!$A$838="","",(履歴データ!$S$838-履歴データ!$R$838)*100)</f>
        <v>143.49864282226551</v>
      </c>
      <c r="H838" s="29">
        <f>IF(履歴データ!$A$838="","",履歴データ!$O$838)</f>
        <v>156.82899475097656</v>
      </c>
      <c r="I838" s="29">
        <f>IF(履歴データ!$A$838="","",履歴データ!$Q$838)</f>
        <v>110.515625</v>
      </c>
      <c r="J838" s="29">
        <f>IF(履歴データ!$A$838="","",履歴データ!$D$838)</f>
        <v>4.41</v>
      </c>
      <c r="K838" s="28">
        <f>IF(OR(履歴データ!$A$838="",履歴データ!$A$837=""),"",B838-B837)</f>
        <v>0.99999999999997868</v>
      </c>
      <c r="L838" s="28">
        <f>IF(OR(履歴データ!$A$838="",履歴データ!$A$837=""),"",C838-C837)</f>
        <v>-1.9500000000000295</v>
      </c>
      <c r="M838" s="28">
        <f>IF(OR(履歴データ!$A$838="",履歴データ!$A$837=""),"",D838-D837)</f>
        <v>7.2000000000000171</v>
      </c>
      <c r="N838" s="28">
        <f>IF(OR(履歴データ!$A$838="",履歴データ!$A$837=""),"",E838-E837)</f>
        <v>0</v>
      </c>
      <c r="O838" s="28">
        <f>IF(OR(履歴データ!$A$838="",履歴データ!$A$837=""),"",F838-F837)</f>
        <v>-17.04000000000002</v>
      </c>
      <c r="P838" s="28">
        <f>IF(OR(履歴データ!$A$838="",履歴データ!$A$837=""),"",G838-G837)</f>
        <v>9.233642822265665</v>
      </c>
      <c r="Q838" s="29">
        <f>IF(OR(履歴データ!$A$838="",履歴データ!$A$837=""),"",H838-H837)</f>
        <v>0.3209991455078125</v>
      </c>
      <c r="R838" s="29">
        <f>IF(OR(履歴データ!$A$838="",履歴データ!$A$837=""),"",I838-I837)</f>
        <v>-0.28125</v>
      </c>
      <c r="S838" s="28">
        <f>IF(OR(履歴データ!$A$838="",履歴データ!$A$837=""),"",(J838-J837)*100)</f>
        <v>4.9999999999999822</v>
      </c>
      <c r="T838" s="11">
        <f>IF(OR(履歴データ!$A$838="",履歴データ!$A$837=""),"",-80000*K838)</f>
        <v>-79999.999999998297</v>
      </c>
      <c r="U838" s="11">
        <f>IF(OR(履歴データ!$A$838="",履歴データ!$A$837=""),"",60000*L838)</f>
        <v>-117000.00000000178</v>
      </c>
      <c r="V838" s="11">
        <f>IF(OR(履歴データ!$A$838="",履歴データ!$A$837=""),"",-50000*M838)</f>
        <v>-360000.00000000087</v>
      </c>
      <c r="W838" s="11">
        <f>IF(OR(履歴データ!$A$838="",履歴データ!$A$837=""),"",-40000*N838)</f>
        <v>0</v>
      </c>
      <c r="X838" s="11">
        <f>IF(OR(履歴データ!$A$838="",履歴データ!$A$837=""),"",120*1000000*(-Q838/H837))</f>
        <v>-246120.95575001746</v>
      </c>
      <c r="Y838" s="11">
        <f>IF(OR(履歴データ!$A$838="",履歴データ!$A$837=""),"",40000*(-S838)+(-506.3)*R838*1000)</f>
        <v>-57603.124999999302</v>
      </c>
      <c r="Z838" s="11">
        <f>IF(OR(履歴データ!$A$838="",履歴データ!$A$837=""),"",-40000*O838)</f>
        <v>681600.00000000081</v>
      </c>
      <c r="AA838" s="11">
        <f>IF(OR(履歴データ!$A$838="",履歴データ!$A$837=""),"",-40000*P838)</f>
        <v>-369345.71289062663</v>
      </c>
      <c r="AB838" s="11">
        <f>IF(履歴データ!$A$838="","",123.3)</f>
        <v>123.3</v>
      </c>
      <c r="AC838">
        <f>IF(履歴データ!$A$838="","",SUM(T838:AA838))</f>
        <v>-548469.79364064347</v>
      </c>
      <c r="AD838" s="29">
        <f>IF(履歴データ!$A$838="","",AC838/1000000)</f>
        <v>-0.54846979364064352</v>
      </c>
      <c r="AE838" s="29">
        <f>IF(履歴データ!$A$838="",AE837,AE837+AC838/1000000)</f>
        <v>71.711293896005685</v>
      </c>
      <c r="AF838" s="12">
        <f>IF(OR(履歴データ!$A$838="",AE837=0),"",(AE838-AE837)/AE837)</f>
        <v>-7.5902516924399518E-3</v>
      </c>
      <c r="AG838" s="29">
        <f t="shared" si="41"/>
        <v>102.17217746631495</v>
      </c>
      <c r="AH838" s="12">
        <f>IF(OR(履歴データ!$A$838="",AG838=0),"",AE838/AG838-1)</f>
        <v>-0.29813286087939039</v>
      </c>
      <c r="AJ838" s="28">
        <f t="shared" ca="1" si="39"/>
        <v>3.7385025375043033</v>
      </c>
      <c r="AK838" s="28">
        <f t="shared" ca="1" si="40"/>
        <v>-6.5321533311551079</v>
      </c>
    </row>
    <row r="839" spans="1:37">
      <c r="A839" s="10">
        <f>IF(履歴データ!$A$839="","",履歴データ!$A$839)</f>
        <v>46150</v>
      </c>
      <c r="B839" s="28">
        <f>IF(履歴データ!$A$839="","",(履歴データ!$D$839-(履歴データ!$B$839+履歴データ!$F$839)/2)*100)</f>
        <v>-4.4999999999999929</v>
      </c>
      <c r="C839" s="28">
        <f>IF(履歴データ!$A$839="","",(履歴データ!$H$839-(履歴データ!$G$839+履歴データ!$J$839)/2)*100)</f>
        <v>-5.699999999999994</v>
      </c>
      <c r="D839" s="28">
        <f>IF(履歴データ!$A$839="","",(履歴データ!$D$839-履歴データ!$H$839)*100)</f>
        <v>189.5</v>
      </c>
      <c r="E839" s="28">
        <f>IF(履歴データ!$A$839="","",(履歴データ!$D$839-履歴データ!$C$839)*100)</f>
        <v>36.000000000000028</v>
      </c>
      <c r="F839" s="28">
        <f>IF(履歴データ!$A$839="","",(履歴データ!$R$839-履歴データ!$D$839)*100)</f>
        <v>-330.93</v>
      </c>
      <c r="G839" s="28">
        <f>IF(履歴データ!$A$839="","",(履歴データ!$S$839-履歴データ!$R$839)*100)</f>
        <v>147.13664282226557</v>
      </c>
      <c r="H839" s="29">
        <f>IF(履歴データ!$A$839="","",履歴データ!$O$839)</f>
        <v>156.82899475097656</v>
      </c>
      <c r="I839" s="29">
        <f>IF(履歴データ!$A$839="","",履歴データ!$Q$839)</f>
        <v>110.75</v>
      </c>
      <c r="J839" s="29">
        <f>IF(履歴データ!$A$839="","",履歴データ!$D$839)</f>
        <v>4.38</v>
      </c>
      <c r="K839" s="28">
        <f>IF(OR(履歴データ!$A$839="",履歴データ!$A$838=""),"",B839-B838)</f>
        <v>-0.99999999999997868</v>
      </c>
      <c r="L839" s="28">
        <f>IF(OR(履歴データ!$A$839="",履歴データ!$A$838=""),"",C839-C838)</f>
        <v>0.1000000000000334</v>
      </c>
      <c r="M839" s="28">
        <f>IF(OR(履歴データ!$A$839="",履歴データ!$A$838=""),"",D839-D838)</f>
        <v>-3.0000000000000284</v>
      </c>
      <c r="N839" s="28">
        <f>IF(OR(履歴データ!$A$839="",履歴データ!$A$838=""),"",E839-E838)</f>
        <v>-0.99999999999998579</v>
      </c>
      <c r="O839" s="28">
        <f>IF(OR(履歴データ!$A$839="",履歴データ!$A$838=""),"",F839-F838)</f>
        <v>2.8700000000000045</v>
      </c>
      <c r="P839" s="28">
        <f>IF(OR(履歴データ!$A$839="",履歴データ!$A$838=""),"",G839-G838)</f>
        <v>3.6380000000000621</v>
      </c>
      <c r="Q839" s="29">
        <f>IF(OR(履歴データ!$A$839="",履歴データ!$A$838=""),"",H839-H838)</f>
        <v>0</v>
      </c>
      <c r="R839" s="29">
        <f>IF(OR(履歴データ!$A$839="",履歴データ!$A$838=""),"",I839-I838)</f>
        <v>0.234375</v>
      </c>
      <c r="S839" s="28">
        <f>IF(OR(履歴データ!$A$839="",履歴データ!$A$838=""),"",(J839-J838)*100)</f>
        <v>-3.0000000000000249</v>
      </c>
      <c r="T839" s="11">
        <f>IF(OR(履歴データ!$A$839="",履歴データ!$A$838=""),"",-80000*K839)</f>
        <v>79999.999999998297</v>
      </c>
      <c r="U839" s="11">
        <f>IF(OR(履歴データ!$A$839="",履歴データ!$A$838=""),"",60000*L839)</f>
        <v>6000.0000000020036</v>
      </c>
      <c r="V839" s="11">
        <f>IF(OR(履歴データ!$A$839="",履歴データ!$A$838=""),"",-50000*M839)</f>
        <v>150000.00000000143</v>
      </c>
      <c r="W839" s="11">
        <f>IF(OR(履歴データ!$A$839="",履歴データ!$A$838=""),"",-40000*N839)</f>
        <v>39999.999999999432</v>
      </c>
      <c r="X839" s="11">
        <f>IF(OR(履歴データ!$A$839="",履歴データ!$A$838=""),"",120*1000000*(-Q839/H838))</f>
        <v>0</v>
      </c>
      <c r="Y839" s="11">
        <f>IF(OR(履歴データ!$A$839="",履歴データ!$A$838=""),"",40000*(-S839)+(-506.3)*R839*1000)</f>
        <v>1335.9375000009895</v>
      </c>
      <c r="Z839" s="11">
        <f>IF(OR(履歴データ!$A$839="",履歴データ!$A$838=""),"",-40000*O839)</f>
        <v>-114800.00000000017</v>
      </c>
      <c r="AA839" s="11">
        <f>IF(OR(履歴データ!$A$839="",履歴データ!$A$838=""),"",-40000*P839)</f>
        <v>-145520.00000000247</v>
      </c>
      <c r="AB839" s="11">
        <f>IF(履歴データ!$A$839="","",123.3)</f>
        <v>123.3</v>
      </c>
      <c r="AC839">
        <f>IF(履歴データ!$A$839="","",SUM(T839:AA839))</f>
        <v>17015.937499999505</v>
      </c>
      <c r="AD839" s="29">
        <f>IF(履歴データ!$A$839="","",AC839/1000000)</f>
        <v>1.7015937499999505E-2</v>
      </c>
      <c r="AE839" s="29">
        <f>IF(履歴データ!$A$839="",AE838,AE838+AC839/1000000)</f>
        <v>71.728309833505691</v>
      </c>
      <c r="AF839" s="12">
        <f>IF(OR(履歴データ!$A$839="",AE838=0),"",(AE839-AE838)/AE838)</f>
        <v>2.3728392803345016E-4</v>
      </c>
      <c r="AG839" s="29">
        <f t="shared" si="41"/>
        <v>102.17217746631495</v>
      </c>
      <c r="AH839" s="12">
        <f>IF(OR(履歴データ!$A$839="",AG839=0),"",AE839/AG839-1)</f>
        <v>-0.29796631908766225</v>
      </c>
      <c r="AJ839" s="28">
        <f t="shared" ca="1" si="39"/>
        <v>3.7278581372552027</v>
      </c>
      <c r="AK839" s="28">
        <f t="shared" ca="1" si="40"/>
        <v>-6.5611914705885468</v>
      </c>
    </row>
    <row r="840" spans="1:37">
      <c r="A840" s="10">
        <f>IF(履歴データ!$A$840="","",履歴データ!$A$840)</f>
        <v>46153</v>
      </c>
      <c r="B840" s="28">
        <f>IF(履歴データ!$A$840="","",(履歴データ!$D$840-(履歴データ!$B$840+履歴データ!$F$840)/2)*100)</f>
        <v>-4.4999999999999929</v>
      </c>
      <c r="C840" s="28">
        <f>IF(履歴データ!$A$840="","",(履歴データ!$H$840-(履歴データ!$G$840+履歴データ!$J$840)/2)*100)</f>
        <v>-4.0999999999999925</v>
      </c>
      <c r="D840" s="28">
        <f>IF(履歴データ!$A$840="","",(履歴データ!$D$840-履歴データ!$H$840)*100)</f>
        <v>189.29999999999998</v>
      </c>
      <c r="E840" s="28">
        <f>IF(履歴データ!$A$840="","",(履歴データ!$D$840-履歴データ!$C$840)*100)</f>
        <v>34.999999999999964</v>
      </c>
      <c r="F840" s="28">
        <f>IF(履歴データ!$A$840="","",(履歴データ!$R$840-履歴データ!$D$840)*100)</f>
        <v>-334.51</v>
      </c>
      <c r="G840" s="28">
        <f>IF(履歴データ!$A$840="","",(履歴データ!$S$840-履歴データ!$R$840)*100)</f>
        <v>149.52299999999988</v>
      </c>
      <c r="H840" s="29">
        <f>IF(履歴データ!$A$840="","",履歴データ!$O$840)</f>
        <v>157.23100280761719</v>
      </c>
      <c r="I840" s="29">
        <f>IF(履歴データ!$A$840="","",履歴データ!$Q$840)</f>
        <v>110.40625</v>
      </c>
      <c r="J840" s="29">
        <f>IF(履歴データ!$A$840="","",履歴データ!$D$840)</f>
        <v>4.42</v>
      </c>
      <c r="K840" s="28">
        <f>IF(OR(履歴データ!$A$840="",履歴データ!$A$839=""),"",B840-B839)</f>
        <v>0</v>
      </c>
      <c r="L840" s="28">
        <f>IF(OR(履歴データ!$A$840="",履歴データ!$A$839=""),"",C840-C839)</f>
        <v>1.6000000000000014</v>
      </c>
      <c r="M840" s="28">
        <f>IF(OR(履歴データ!$A$840="",履歴データ!$A$839=""),"",D840-D839)</f>
        <v>-0.20000000000001705</v>
      </c>
      <c r="N840" s="28">
        <f>IF(OR(履歴データ!$A$840="",履歴データ!$A$839=""),"",E840-E839)</f>
        <v>-1.0000000000000639</v>
      </c>
      <c r="O840" s="28">
        <f>IF(OR(履歴データ!$A$840="",履歴データ!$A$839=""),"",F840-F839)</f>
        <v>-3.5799999999999841</v>
      </c>
      <c r="P840" s="28">
        <f>IF(OR(履歴データ!$A$840="",履歴データ!$A$839=""),"",G840-G839)</f>
        <v>2.3863571777343111</v>
      </c>
      <c r="Q840" s="29">
        <f>IF(OR(履歴データ!$A$840="",履歴データ!$A$839=""),"",H840-H839)</f>
        <v>0.402008056640625</v>
      </c>
      <c r="R840" s="29">
        <f>IF(OR(履歴データ!$A$840="",履歴データ!$A$839=""),"",I840-I839)</f>
        <v>-0.34375</v>
      </c>
      <c r="S840" s="28">
        <f>IF(OR(履歴データ!$A$840="",履歴データ!$A$839=""),"",(J840-J839)*100)</f>
        <v>4.0000000000000036</v>
      </c>
      <c r="T840" s="11">
        <f>IF(OR(履歴データ!$A$840="",履歴データ!$A$839=""),"",-80000*K840)</f>
        <v>0</v>
      </c>
      <c r="U840" s="11">
        <f>IF(OR(履歴データ!$A$840="",履歴データ!$A$839=""),"",60000*L840)</f>
        <v>96000.000000000087</v>
      </c>
      <c r="V840" s="11">
        <f>IF(OR(履歴データ!$A$840="",履歴データ!$A$839=""),"",-50000*M840)</f>
        <v>10000.000000000853</v>
      </c>
      <c r="W840" s="11">
        <f>IF(OR(履歴データ!$A$840="",履歴データ!$A$839=""),"",-40000*N840)</f>
        <v>40000.000000002561</v>
      </c>
      <c r="X840" s="11">
        <f>IF(OR(履歴データ!$A$840="",履歴データ!$A$839=""),"",120*1000000*(-Q840/H839))</f>
        <v>-307602.34657803678</v>
      </c>
      <c r="Y840" s="11">
        <f>IF(OR(履歴データ!$A$840="",履歴データ!$A$839=""),"",40000*(-S840)+(-506.3)*R840*1000)</f>
        <v>14040.624999999854</v>
      </c>
      <c r="Z840" s="11">
        <f>IF(OR(履歴データ!$A$840="",履歴データ!$A$839=""),"",-40000*O840)</f>
        <v>143199.99999999936</v>
      </c>
      <c r="AA840" s="11">
        <f>IF(OR(履歴データ!$A$840="",履歴データ!$A$839=""),"",-40000*P840)</f>
        <v>-95454.287109372439</v>
      </c>
      <c r="AB840" s="11">
        <f>IF(履歴データ!$A$840="","",123.3)</f>
        <v>123.3</v>
      </c>
      <c r="AC840">
        <f>IF(履歴データ!$A$840="","",SUM(T840:AA840))</f>
        <v>-99816.008687406516</v>
      </c>
      <c r="AD840" s="29">
        <f>IF(履歴データ!$A$840="","",AC840/1000000)</f>
        <v>-9.9816008687406518E-2</v>
      </c>
      <c r="AE840" s="29">
        <f>IF(履歴データ!$A$840="",AE839,AE839+AC840/1000000)</f>
        <v>71.628493824818278</v>
      </c>
      <c r="AF840" s="12">
        <f>IF(OR(履歴データ!$A$840="",AE839=0),"",(AE840-AE839)/AE839)</f>
        <v>-1.391584562902753E-3</v>
      </c>
      <c r="AG840" s="29">
        <f t="shared" si="41"/>
        <v>102.17217746631495</v>
      </c>
      <c r="AH840" s="12">
        <f>IF(OR(履歴データ!$A$840="",AG840=0),"",AE840/AG840-1)</f>
        <v>-0.29894325832065771</v>
      </c>
      <c r="AJ840" s="28">
        <f t="shared" ca="1" si="39"/>
        <v>3.7305913648006244</v>
      </c>
      <c r="AK840" s="28">
        <f t="shared" ca="1" si="40"/>
        <v>-6.5877342219434922</v>
      </c>
    </row>
    <row r="841" spans="1:37">
      <c r="A841" s="10">
        <f>IF(履歴データ!$A$841="","",履歴データ!$A$841)</f>
        <v>46154</v>
      </c>
      <c r="B841" s="28">
        <f>IF(履歴データ!$A$841="","",(履歴データ!$D$841-(履歴データ!$B$841+履歴データ!$F$841)/2)*100)</f>
        <v>-5.5000000000000604</v>
      </c>
      <c r="C841" s="28">
        <f>IF(履歴データ!$A$841="","",(履歴データ!$H$841-(履歴データ!$G$841+履歴データ!$J$841)/2)*100)</f>
        <v>-4.4500000000000206</v>
      </c>
      <c r="D841" s="28">
        <f>IF(履歴データ!$A$841="","",(履歴データ!$D$841-履歴データ!$H$841)*100)</f>
        <v>191.4</v>
      </c>
      <c r="E841" s="28">
        <f>IF(履歴データ!$A$841="","",(履歴データ!$D$841-履歴データ!$C$841)*100)</f>
        <v>33.999999999999986</v>
      </c>
      <c r="F841" s="28">
        <f>IF(履歴データ!$A$841="","",(履歴データ!$R$841-履歴データ!$D$841)*100)</f>
        <v>-333.65999999999997</v>
      </c>
      <c r="G841" s="28">
        <f>IF(履歴データ!$A$841="","",(履歴データ!$S$841-履歴データ!$R$841)*100)</f>
        <v>146.07617858886715</v>
      </c>
      <c r="H841" s="29">
        <f>IF(履歴データ!$A$841="","",履歴データ!$O$841)</f>
        <v>157.67100524902344</v>
      </c>
      <c r="I841" s="29">
        <f>IF(履歴データ!$A$841="","",履歴データ!$Q$841)</f>
        <v>110.03125</v>
      </c>
      <c r="J841" s="29">
        <f>IF(履歴データ!$A$841="","",履歴データ!$D$841)</f>
        <v>4.46</v>
      </c>
      <c r="K841" s="28">
        <f>IF(OR(履歴データ!$A$841="",履歴データ!$A$840=""),"",B841-B840)</f>
        <v>-1.0000000000000675</v>
      </c>
      <c r="L841" s="28">
        <f>IF(OR(履歴データ!$A$841="",履歴データ!$A$840=""),"",C841-C840)</f>
        <v>-0.35000000000002807</v>
      </c>
      <c r="M841" s="28">
        <f>IF(OR(履歴データ!$A$841="",履歴データ!$A$840=""),"",D841-D840)</f>
        <v>2.1000000000000227</v>
      </c>
      <c r="N841" s="28">
        <f>IF(OR(履歴データ!$A$841="",履歴データ!$A$840=""),"",E841-E840)</f>
        <v>-0.99999999999997868</v>
      </c>
      <c r="O841" s="28">
        <f>IF(OR(履歴データ!$A$841="",履歴データ!$A$840=""),"",F841-F840)</f>
        <v>0.85000000000002274</v>
      </c>
      <c r="P841" s="28">
        <f>IF(OR(履歴データ!$A$841="",履歴データ!$A$840=""),"",G841-G840)</f>
        <v>-3.4468214111327313</v>
      </c>
      <c r="Q841" s="29">
        <f>IF(OR(履歴データ!$A$841="",履歴データ!$A$840=""),"",H841-H840)</f>
        <v>0.44000244140625</v>
      </c>
      <c r="R841" s="29">
        <f>IF(OR(履歴データ!$A$841="",履歴データ!$A$840=""),"",I841-I840)</f>
        <v>-0.375</v>
      </c>
      <c r="S841" s="28">
        <f>IF(OR(履歴データ!$A$841="",履歴データ!$A$840=""),"",(J841-J840)*100)</f>
        <v>4.0000000000000036</v>
      </c>
      <c r="T841" s="11">
        <f>IF(OR(履歴データ!$A$841="",履歴データ!$A$840=""),"",-80000*K841)</f>
        <v>80000.000000005399</v>
      </c>
      <c r="U841" s="11">
        <f>IF(OR(履歴データ!$A$841="",履歴データ!$A$840=""),"",60000*L841)</f>
        <v>-21000.000000001684</v>
      </c>
      <c r="V841" s="11">
        <f>IF(OR(履歴データ!$A$841="",履歴データ!$A$840=""),"",-50000*M841)</f>
        <v>-105000.00000000114</v>
      </c>
      <c r="W841" s="11">
        <f>IF(OR(履歴データ!$A$841="",履歴データ!$A$840=""),"",-40000*N841)</f>
        <v>39999.999999999149</v>
      </c>
      <c r="X841" s="11">
        <f>IF(OR(履歴データ!$A$841="",履歴データ!$A$840=""),"",120*1000000*(-Q841/H840))</f>
        <v>-335813.49750312755</v>
      </c>
      <c r="Y841" s="11">
        <f>IF(OR(履歴データ!$A$841="",履歴データ!$A$840=""),"",40000*(-S841)+(-506.3)*R841*1000)</f>
        <v>29862.499999999854</v>
      </c>
      <c r="Z841" s="11">
        <f>IF(OR(履歴データ!$A$841="",履歴データ!$A$840=""),"",-40000*O841)</f>
        <v>-34000.000000000909</v>
      </c>
      <c r="AA841" s="11">
        <f>IF(OR(履歴データ!$A$841="",履歴データ!$A$840=""),"",-40000*P841)</f>
        <v>137872.85644530924</v>
      </c>
      <c r="AB841" s="11">
        <f>IF(履歴データ!$A$841="","",123.3)</f>
        <v>123.3</v>
      </c>
      <c r="AC841">
        <f>IF(履歴データ!$A$841="","",SUM(T841:AA841))</f>
        <v>-208078.14105781761</v>
      </c>
      <c r="AD841" s="29">
        <f>IF(履歴データ!$A$841="","",AC841/1000000)</f>
        <v>-0.20807814105781761</v>
      </c>
      <c r="AE841" s="29">
        <f>IF(履歴データ!$A$841="",AE840,AE840+AC841/1000000)</f>
        <v>71.420415683760467</v>
      </c>
      <c r="AF841" s="12">
        <f>IF(OR(履歴データ!$A$841="",AE840=0),"",(AE841-AE840)/AE840)</f>
        <v>-2.9049632338592466E-3</v>
      </c>
      <c r="AG841" s="29">
        <f t="shared" si="41"/>
        <v>102.17217746631495</v>
      </c>
      <c r="AH841" s="12">
        <f>IF(OR(履歴データ!$A$841="",AG841=0),"",AE841/AG841-1)</f>
        <v>-0.30097980238008537</v>
      </c>
      <c r="AJ841" s="28">
        <f t="shared" ca="1" si="39"/>
        <v>3.7263813348404806</v>
      </c>
      <c r="AK841" s="28">
        <f t="shared" ca="1" si="40"/>
        <v>-6.6311432396023964</v>
      </c>
    </row>
    <row r="842" spans="1:37">
      <c r="A842" s="10">
        <f>IF(履歴データ!$A$842="","",履歴データ!$A$842)</f>
        <v>46155</v>
      </c>
      <c r="B842" s="28">
        <f>IF(履歴データ!$A$842="","",(履歴データ!$D$842-(履歴データ!$B$842+履歴データ!$F$842)/2)*100)</f>
        <v>-4.4999999999999929</v>
      </c>
      <c r="C842" s="28">
        <f>IF(履歴データ!$A$842="","",(履歴データ!$H$842-(履歴データ!$G$842+履歴データ!$J$842)/2)*100)</f>
        <v>-0.49999999999998934</v>
      </c>
      <c r="D842" s="28">
        <f>IF(履歴データ!$A$842="","",(履歴データ!$D$842-履歴データ!$H$842)*100)</f>
        <v>187.29999999999998</v>
      </c>
      <c r="E842" s="28">
        <f>IF(履歴データ!$A$842="","",(履歴データ!$D$842-履歴データ!$C$842)*100)</f>
        <v>33.999999999999986</v>
      </c>
      <c r="F842" s="28">
        <f>IF(履歴データ!$A$842="","",(履歴データ!$R$842-履歴データ!$D$842)*100)</f>
        <v>-334.6</v>
      </c>
      <c r="G842" s="28">
        <f>IF(履歴データ!$A$842="","",(履歴データ!$S$842-履歴データ!$R$842)*100)</f>
        <v>149.29635717773422</v>
      </c>
      <c r="H842" s="29">
        <f>IF(履歴データ!$A$842="","",履歴データ!$O$842)</f>
        <v>157.85099792480469</v>
      </c>
      <c r="I842" s="29">
        <f>IF(履歴データ!$A$842="","",履歴データ!$Q$842)</f>
        <v>110</v>
      </c>
      <c r="J842" s="29">
        <f>IF(履歴データ!$A$842="","",履歴データ!$D$842)</f>
        <v>4.46</v>
      </c>
      <c r="K842" s="28">
        <f>IF(OR(履歴データ!$A$842="",履歴データ!$A$841=""),"",B842-B841)</f>
        <v>1.0000000000000675</v>
      </c>
      <c r="L842" s="28">
        <f>IF(OR(履歴データ!$A$842="",履歴データ!$A$841=""),"",C842-C841)</f>
        <v>3.9500000000000313</v>
      </c>
      <c r="M842" s="28">
        <f>IF(OR(履歴データ!$A$842="",履歴データ!$A$841=""),"",D842-D841)</f>
        <v>-4.1000000000000227</v>
      </c>
      <c r="N842" s="28">
        <f>IF(OR(履歴データ!$A$842="",履歴データ!$A$841=""),"",E842-E841)</f>
        <v>0</v>
      </c>
      <c r="O842" s="28">
        <f>IF(OR(履歴データ!$A$842="",履歴データ!$A$841=""),"",F842-F841)</f>
        <v>-0.94000000000005457</v>
      </c>
      <c r="P842" s="28">
        <f>IF(OR(履歴データ!$A$842="",履歴データ!$A$841=""),"",G842-G841)</f>
        <v>3.2201785888670713</v>
      </c>
      <c r="Q842" s="29">
        <f>IF(OR(履歴データ!$A$842="",履歴データ!$A$841=""),"",H842-H841)</f>
        <v>0.17999267578125</v>
      </c>
      <c r="R842" s="29">
        <f>IF(OR(履歴データ!$A$842="",履歴データ!$A$841=""),"",I842-I841)</f>
        <v>-3.125E-2</v>
      </c>
      <c r="S842" s="28">
        <f>IF(OR(履歴データ!$A$842="",履歴データ!$A$841=""),"",(J842-J841)*100)</f>
        <v>0</v>
      </c>
      <c r="T842" s="11">
        <f>IF(OR(履歴データ!$A$842="",履歴データ!$A$841=""),"",-80000*K842)</f>
        <v>-80000.000000005399</v>
      </c>
      <c r="U842" s="11">
        <f>IF(OR(履歴データ!$A$842="",履歴データ!$A$841=""),"",60000*L842)</f>
        <v>237000.00000000186</v>
      </c>
      <c r="V842" s="11">
        <f>IF(OR(履歴データ!$A$842="",履歴データ!$A$841=""),"",-50000*M842)</f>
        <v>205000.00000000114</v>
      </c>
      <c r="W842" s="11">
        <f>IF(OR(履歴データ!$A$842="",履歴データ!$A$841=""),"",-40000*N842)</f>
        <v>0</v>
      </c>
      <c r="X842" s="11">
        <f>IF(OR(履歴データ!$A$842="",履歴データ!$A$841=""),"",120*1000000*(-Q842/H841))</f>
        <v>-136988.54180346377</v>
      </c>
      <c r="Y842" s="11">
        <f>IF(OR(履歴データ!$A$842="",履歴データ!$A$841=""),"",40000*(-S842)+(-506.3)*R842*1000)</f>
        <v>15821.875</v>
      </c>
      <c r="Z842" s="11">
        <f>IF(OR(履歴データ!$A$842="",履歴データ!$A$841=""),"",-40000*O842)</f>
        <v>37600.000000002183</v>
      </c>
      <c r="AA842" s="11">
        <f>IF(OR(履歴データ!$A$842="",履歴データ!$A$841=""),"",-40000*P842)</f>
        <v>-128807.14355468286</v>
      </c>
      <c r="AB842" s="11">
        <f>IF(履歴データ!$A$842="","",123.3)</f>
        <v>123.3</v>
      </c>
      <c r="AC842">
        <f>IF(履歴データ!$A$842="","",SUM(T842:AA842))</f>
        <v>149626.1896418531</v>
      </c>
      <c r="AD842" s="29">
        <f>IF(履歴データ!$A$842="","",AC842/1000000)</f>
        <v>0.14962618964185309</v>
      </c>
      <c r="AE842" s="29">
        <f>IF(履歴データ!$A$842="",AE841,AE841+AC842/1000000)</f>
        <v>71.570041873402317</v>
      </c>
      <c r="AF842" s="12">
        <f>IF(OR(履歴データ!$A$842="",AE841=0),"",(AE842-AE841)/AE841)</f>
        <v>2.0950058636507235E-3</v>
      </c>
      <c r="AG842" s="29">
        <f t="shared" si="41"/>
        <v>102.17217746631495</v>
      </c>
      <c r="AH842" s="12">
        <f>IF(OR(履歴データ!$A$842="",AG842=0),"",AE842/AG842-1)</f>
        <v>-0.29951535096726134</v>
      </c>
      <c r="AJ842" s="28">
        <f t="shared" ca="1" si="39"/>
        <v>3.7032311759932757</v>
      </c>
      <c r="AK842" s="28">
        <f t="shared" ca="1" si="40"/>
        <v>-6.6556121283742389</v>
      </c>
    </row>
    <row r="843" spans="1:37">
      <c r="A843" s="10">
        <f>IF(履歴データ!$A$843="","",履歴データ!$A$843)</f>
        <v>46156</v>
      </c>
      <c r="B843" s="28">
        <f>IF(履歴データ!$A$843="","",(履歴データ!$D$843-(履歴データ!$B$843+履歴データ!$F$843)/2)*100)</f>
        <v>-4.0000000000000036</v>
      </c>
      <c r="C843" s="28">
        <f>IF(履歴データ!$A$843="","",(履歴データ!$H$843-(履歴データ!$G$843+履歴データ!$J$843)/2)*100)</f>
        <v>-0.15000000000000568</v>
      </c>
      <c r="D843" s="28">
        <f>IF(履歴データ!$A$843="","",(履歴データ!$D$843-履歴データ!$H$843)*100)</f>
        <v>184.19999999999996</v>
      </c>
      <c r="E843" s="28">
        <f>IF(履歴データ!$A$843="","",(履歴データ!$D$843-履歴データ!$C$843)*100)</f>
        <v>33.999999999999986</v>
      </c>
      <c r="F843" s="28">
        <f>IF(履歴データ!$A$843="","",(履歴データ!$R$843-履歴データ!$D$843)*100)</f>
        <v>-331.94</v>
      </c>
      <c r="G843" s="28">
        <f>IF(履歴データ!$A$843="","",(履歴データ!$S$843-履歴データ!$R$843)*100)</f>
        <v>153.00317858886714</v>
      </c>
      <c r="H843" s="29">
        <f>IF(履歴データ!$A$843="","",履歴データ!$O$843)</f>
        <v>158.38200378417969</v>
      </c>
      <c r="I843" s="29">
        <f>IF(履歴データ!$A$843="","",履歴データ!$Q$843)</f>
        <v>110.109375</v>
      </c>
      <c r="J843" s="29">
        <f>IF(履歴データ!$A$843="","",履歴データ!$D$843)</f>
        <v>4.47</v>
      </c>
      <c r="K843" s="28">
        <f>IF(OR(履歴データ!$A$843="",履歴データ!$A$842=""),"",B843-B842)</f>
        <v>0.49999999999998934</v>
      </c>
      <c r="L843" s="28">
        <f>IF(OR(履歴データ!$A$843="",履歴データ!$A$842=""),"",C843-C842)</f>
        <v>0.34999999999998366</v>
      </c>
      <c r="M843" s="28">
        <f>IF(OR(履歴データ!$A$843="",履歴データ!$A$842=""),"",D843-D842)</f>
        <v>-3.1000000000000227</v>
      </c>
      <c r="N843" s="28">
        <f>IF(OR(履歴データ!$A$843="",履歴データ!$A$842=""),"",E843-E842)</f>
        <v>0</v>
      </c>
      <c r="O843" s="28">
        <f>IF(OR(履歴データ!$A$843="",履歴データ!$A$842=""),"",F843-F842)</f>
        <v>2.660000000000025</v>
      </c>
      <c r="P843" s="28">
        <f>IF(OR(履歴データ!$A$843="",履歴データ!$A$842=""),"",G843-G842)</f>
        <v>3.7068214111329212</v>
      </c>
      <c r="Q843" s="29">
        <f>IF(OR(履歴データ!$A$843="",履歴データ!$A$842=""),"",H843-H842)</f>
        <v>0.531005859375</v>
      </c>
      <c r="R843" s="29">
        <f>IF(OR(履歴データ!$A$843="",履歴データ!$A$842=""),"",I843-I842)</f>
        <v>0.109375</v>
      </c>
      <c r="S843" s="28">
        <f>IF(OR(履歴データ!$A$843="",履歴データ!$A$842=""),"",(J843-J842)*100)</f>
        <v>0.99999999999997868</v>
      </c>
      <c r="T843" s="11">
        <f>IF(OR(履歴データ!$A$843="",履歴データ!$A$842=""),"",-80000*K843)</f>
        <v>-39999.999999999149</v>
      </c>
      <c r="U843" s="11">
        <f>IF(OR(履歴データ!$A$843="",履歴データ!$A$842=""),"",60000*L843)</f>
        <v>20999.999999999018</v>
      </c>
      <c r="V843" s="11">
        <f>IF(OR(履歴データ!$A$843="",履歴データ!$A$842=""),"",-50000*M843)</f>
        <v>155000.00000000114</v>
      </c>
      <c r="W843" s="11">
        <f>IF(OR(履歴データ!$A$843="",履歴データ!$A$842=""),"",-40000*N843)</f>
        <v>0</v>
      </c>
      <c r="X843" s="11">
        <f>IF(OR(履歴データ!$A$843="",履歴データ!$A$842=""),"",120*1000000*(-Q843/H842))</f>
        <v>-403676.27675914072</v>
      </c>
      <c r="Y843" s="11">
        <f>IF(OR(履歴データ!$A$843="",履歴データ!$A$842=""),"",40000*(-S843)+(-506.3)*R843*1000)</f>
        <v>-95376.562499999156</v>
      </c>
      <c r="Z843" s="11">
        <f>IF(OR(履歴データ!$A$843="",履歴データ!$A$842=""),"",-40000*O843)</f>
        <v>-106400.000000001</v>
      </c>
      <c r="AA843" s="11">
        <f>IF(OR(履歴データ!$A$843="",履歴データ!$A$842=""),"",-40000*P843)</f>
        <v>-148272.85644531684</v>
      </c>
      <c r="AB843" s="11">
        <f>IF(履歴データ!$A$843="","",123.3)</f>
        <v>123.3</v>
      </c>
      <c r="AC843">
        <f>IF(履歴データ!$A$843="","",SUM(T843:AA843))</f>
        <v>-617725.69570445677</v>
      </c>
      <c r="AD843" s="29">
        <f>IF(履歴データ!$A$843="","",AC843/1000000)</f>
        <v>-0.61772569570445679</v>
      </c>
      <c r="AE843" s="29">
        <f>IF(履歴データ!$A$843="",AE842,AE842+AC843/1000000)</f>
        <v>70.952316177697867</v>
      </c>
      <c r="AF843" s="12">
        <f>IF(OR(履歴データ!$A$843="",AE842=0),"",(AE843-AE842)/AE842)</f>
        <v>-8.6310651710547193E-3</v>
      </c>
      <c r="AG843" s="29">
        <f t="shared" si="41"/>
        <v>102.17217746631495</v>
      </c>
      <c r="AH843" s="12">
        <f>IF(OR(履歴データ!$A$843="",AG843=0),"",AE843/AG843-1)</f>
        <v>-0.30556127962438628</v>
      </c>
      <c r="AJ843" s="28">
        <f t="shared" ca="1" si="39"/>
        <v>3.6773918160451706</v>
      </c>
      <c r="AK843" s="28">
        <f t="shared" ca="1" si="40"/>
        <v>-6.6734235620769269</v>
      </c>
    </row>
    <row r="844" spans="1:37">
      <c r="A844" s="10">
        <f>IF(履歴データ!$A$844="","",履歴データ!$A$844)</f>
        <v>46157</v>
      </c>
      <c r="B844" s="28">
        <f>IF(履歴データ!$A$844="","",(履歴データ!$D$844-(履歴データ!$B$844+履歴データ!$F$844)/2)*100)</f>
        <v>-1.5000000000000568</v>
      </c>
      <c r="C844" s="28">
        <f>IF(履歴データ!$A$844="","",(履歴データ!$H$844-(履歴データ!$G$844+履歴データ!$J$844)/2)*100)</f>
        <v>2.3499999999999854</v>
      </c>
      <c r="D844" s="28">
        <f>IF(履歴データ!$A$844="","",(履歴データ!$D$844-履歴データ!$H$844)*100)</f>
        <v>189.9</v>
      </c>
      <c r="E844" s="28">
        <f>IF(履歴データ!$A$844="","",(履歴データ!$D$844-履歴データ!$C$844)*100)</f>
        <v>33.000000000000007</v>
      </c>
      <c r="F844" s="28">
        <f>IF(履歴データ!$A$844="","",(履歴データ!$R$844-履歴データ!$D$844)*100)</f>
        <v>-350.52</v>
      </c>
      <c r="G844" s="28">
        <f>IF(履歴データ!$A$844="","",(履歴データ!$S$844-履歴データ!$R$844)*100)</f>
        <v>162.74035717773424</v>
      </c>
      <c r="H844" s="29">
        <f>IF(履歴データ!$A$844="","",履歴データ!$O$844)</f>
        <v>158.38200378417969</v>
      </c>
      <c r="I844" s="29">
        <f>IF(履歴データ!$A$844="","",履歴データ!$Q$844)</f>
        <v>109.171875</v>
      </c>
      <c r="J844" s="29">
        <f>IF(履歴データ!$A$844="","",履歴データ!$D$844)</f>
        <v>4.59</v>
      </c>
      <c r="K844" s="28">
        <f>IF(OR(履歴データ!$A$844="",履歴データ!$A$843=""),"",B844-B843)</f>
        <v>2.4999999999999467</v>
      </c>
      <c r="L844" s="28">
        <f>IF(OR(履歴データ!$A$844="",履歴データ!$A$843=""),"",C844-C843)</f>
        <v>2.4999999999999911</v>
      </c>
      <c r="M844" s="28">
        <f>IF(OR(履歴データ!$A$844="",履歴データ!$A$843=""),"",D844-D843)</f>
        <v>5.7000000000000455</v>
      </c>
      <c r="N844" s="28">
        <f>IF(OR(履歴データ!$A$844="",履歴データ!$A$843=""),"",E844-E843)</f>
        <v>-0.99999999999997868</v>
      </c>
      <c r="O844" s="28">
        <f>IF(OR(履歴データ!$A$844="",履歴データ!$A$843=""),"",F844-F843)</f>
        <v>-18.579999999999984</v>
      </c>
      <c r="P844" s="28">
        <f>IF(OR(履歴データ!$A$844="",履歴データ!$A$843=""),"",G844-G843)</f>
        <v>9.7371785888670956</v>
      </c>
      <c r="Q844" s="29">
        <f>IF(OR(履歴データ!$A$844="",履歴データ!$A$843=""),"",H844-H843)</f>
        <v>0</v>
      </c>
      <c r="R844" s="29">
        <f>IF(OR(履歴データ!$A$844="",履歴データ!$A$843=""),"",I844-I843)</f>
        <v>-0.9375</v>
      </c>
      <c r="S844" s="28">
        <f>IF(OR(履歴データ!$A$844="",履歴データ!$A$843=""),"",(J844-J843)*100)</f>
        <v>12.000000000000011</v>
      </c>
      <c r="T844" s="11">
        <f>IF(OR(履歴データ!$A$844="",履歴データ!$A$843=""),"",-80000*K844)</f>
        <v>-199999.99999999575</v>
      </c>
      <c r="U844" s="11">
        <f>IF(OR(履歴データ!$A$844="",履歴データ!$A$843=""),"",60000*L844)</f>
        <v>149999.99999999948</v>
      </c>
      <c r="V844" s="11">
        <f>IF(OR(履歴データ!$A$844="",履歴データ!$A$843=""),"",-50000*M844)</f>
        <v>-285000.00000000227</v>
      </c>
      <c r="W844" s="11">
        <f>IF(OR(履歴データ!$A$844="",履歴データ!$A$843=""),"",-40000*N844)</f>
        <v>39999.999999999149</v>
      </c>
      <c r="X844" s="11">
        <f>IF(OR(履歴データ!$A$844="",履歴データ!$A$843=""),"",120*1000000*(-Q844/H843))</f>
        <v>0</v>
      </c>
      <c r="Y844" s="11">
        <f>IF(OR(履歴データ!$A$844="",履歴データ!$A$843=""),"",40000*(-S844)+(-506.3)*R844*1000)</f>
        <v>-5343.7500000004075</v>
      </c>
      <c r="Z844" s="11">
        <f>IF(OR(履歴データ!$A$844="",履歴データ!$A$843=""),"",-40000*O844)</f>
        <v>743199.99999999942</v>
      </c>
      <c r="AA844" s="11">
        <f>IF(OR(履歴データ!$A$844="",履歴データ!$A$843=""),"",-40000*P844)</f>
        <v>-389487.14355468383</v>
      </c>
      <c r="AB844" s="11">
        <f>IF(履歴データ!$A$844="","",123.3)</f>
        <v>123.3</v>
      </c>
      <c r="AC844">
        <f>IF(履歴データ!$A$844="","",SUM(T844:AA844))</f>
        <v>53369.10644531576</v>
      </c>
      <c r="AD844" s="29">
        <f>IF(履歴データ!$A$844="","",AC844/1000000)</f>
        <v>5.3369106445315763E-2</v>
      </c>
      <c r="AE844" s="29">
        <f>IF(履歴データ!$A$844="",AE843,AE843+AC844/1000000)</f>
        <v>71.005685284143183</v>
      </c>
      <c r="AF844" s="12">
        <f>IF(OR(履歴データ!$A$844="",AE843=0),"",(AE844-AE843)/AE843)</f>
        <v>7.5218272384026616E-4</v>
      </c>
      <c r="AG844" s="29">
        <f t="shared" si="41"/>
        <v>102.17217746631495</v>
      </c>
      <c r="AH844" s="12">
        <f>IF(OR(履歴データ!$A$844="",AG844=0),"",AE844/AG844-1)</f>
        <v>-0.30503893481615396</v>
      </c>
      <c r="AJ844" s="28">
        <f t="shared" ca="1" si="39"/>
        <v>3.6578166808748951</v>
      </c>
      <c r="AK844" s="28">
        <f t="shared" ca="1" si="40"/>
        <v>-6.6736896967479229</v>
      </c>
    </row>
    <row r="845" spans="1:37">
      <c r="A845" s="10">
        <f>IF(履歴データ!$A$845="","",履歴データ!$A$845)</f>
        <v>46160</v>
      </c>
      <c r="B845" s="28">
        <f>IF(履歴データ!$A$845="","",(履歴データ!$D$845-(履歴データ!$B$845+履歴データ!$F$845)/2)*100)</f>
        <v>0.49999999999998934</v>
      </c>
      <c r="C845" s="28">
        <f>IF(履歴データ!$A$845="","",(履歴データ!$H$845-(履歴データ!$G$845+履歴データ!$J$845)/2)*100)</f>
        <v>1.3500000000000068</v>
      </c>
      <c r="D845" s="28">
        <f>IF(履歴データ!$A$845="","",(履歴データ!$D$845-履歴データ!$H$845)*100)</f>
        <v>188.10000000000002</v>
      </c>
      <c r="E845" s="28">
        <f>IF(履歴データ!$A$845="","",(履歴データ!$D$845-履歴データ!$C$845)*100)</f>
        <v>34.000000000000071</v>
      </c>
      <c r="F845" s="28">
        <f>IF(履歴データ!$A$845="","",(履歴データ!$R$845-履歴データ!$D$845)*100)</f>
        <v>-351.41</v>
      </c>
      <c r="G845" s="28">
        <f>IF(履歴データ!$A$845="","",(履歴データ!$S$845-履歴データ!$R$845)*100)</f>
        <v>166.36617858886711</v>
      </c>
      <c r="H845" s="29">
        <f>IF(履歴データ!$A$845="","",履歴データ!$O$845)</f>
        <v>158.86099243164063</v>
      </c>
      <c r="I845" s="29">
        <f>IF(履歴データ!$A$845="","",履歴データ!$Q$845)</f>
        <v>109.015625</v>
      </c>
      <c r="J845" s="29">
        <f>IF(履歴データ!$A$845="","",履歴データ!$D$845)</f>
        <v>4.6100000000000003</v>
      </c>
      <c r="K845" s="28">
        <f>IF(OR(履歴データ!$A$845="",履歴データ!$A$844=""),"",B845-B844)</f>
        <v>2.0000000000000462</v>
      </c>
      <c r="L845" s="28">
        <f>IF(OR(履歴データ!$A$845="",履歴データ!$A$844=""),"",C845-C844)</f>
        <v>-0.99999999999997868</v>
      </c>
      <c r="M845" s="28">
        <f>IF(OR(履歴データ!$A$845="",履歴データ!$A$844=""),"",D845-D844)</f>
        <v>-1.7999999999999829</v>
      </c>
      <c r="N845" s="28">
        <f>IF(OR(履歴データ!$A$845="",履歴データ!$A$844=""),"",E845-E844)</f>
        <v>1.0000000000000639</v>
      </c>
      <c r="O845" s="28">
        <f>IF(OR(履歴データ!$A$845="",履歴データ!$A$844=""),"",F845-F844)</f>
        <v>-0.8900000000000432</v>
      </c>
      <c r="P845" s="28">
        <f>IF(OR(履歴データ!$A$845="",履歴データ!$A$844=""),"",G845-G844)</f>
        <v>3.6258214111328755</v>
      </c>
      <c r="Q845" s="29">
        <f>IF(OR(履歴データ!$A$845="",履歴データ!$A$844=""),"",H845-H844)</f>
        <v>0.4789886474609375</v>
      </c>
      <c r="R845" s="29">
        <f>IF(OR(履歴データ!$A$845="",履歴データ!$A$844=""),"",I845-I844)</f>
        <v>-0.15625</v>
      </c>
      <c r="S845" s="28">
        <f>IF(OR(履歴データ!$A$845="",履歴データ!$A$844=""),"",(J845-J844)*100)</f>
        <v>2.0000000000000462</v>
      </c>
      <c r="T845" s="11">
        <f>IF(OR(履歴データ!$A$845="",履歴データ!$A$844=""),"",-80000*K845)</f>
        <v>-160000.0000000037</v>
      </c>
      <c r="U845" s="11">
        <f>IF(OR(履歴データ!$A$845="",履歴データ!$A$844=""),"",60000*L845)</f>
        <v>-59999.999999998719</v>
      </c>
      <c r="V845" s="11">
        <f>IF(OR(履歴データ!$A$845="",履歴データ!$A$844=""),"",-50000*M845)</f>
        <v>89999.999999999141</v>
      </c>
      <c r="W845" s="11">
        <f>IF(OR(履歴データ!$A$845="",履歴データ!$A$844=""),"",-40000*N845)</f>
        <v>-40000.000000002561</v>
      </c>
      <c r="X845" s="11">
        <f>IF(OR(履歴データ!$A$845="",履歴データ!$A$844=""),"",120*1000000*(-Q845/H844))</f>
        <v>-362911.41873439203</v>
      </c>
      <c r="Y845" s="11">
        <f>IF(OR(履歴データ!$A$845="",履歴データ!$A$844=""),"",40000*(-S845)+(-506.3)*R845*1000)</f>
        <v>-890.62500000184809</v>
      </c>
      <c r="Z845" s="11">
        <f>IF(OR(履歴データ!$A$845="",履歴データ!$A$844=""),"",-40000*O845)</f>
        <v>35600.000000001732</v>
      </c>
      <c r="AA845" s="11">
        <f>IF(OR(履歴データ!$A$845="",履歴データ!$A$844=""),"",-40000*P845)</f>
        <v>-145032.85644531503</v>
      </c>
      <c r="AB845" s="11">
        <f>IF(履歴データ!$A$845="","",123.3)</f>
        <v>123.3</v>
      </c>
      <c r="AC845">
        <f>IF(履歴データ!$A$845="","",SUM(T845:AA845))</f>
        <v>-643234.90017971303</v>
      </c>
      <c r="AD845" s="29">
        <f>IF(履歴データ!$A$845="","",AC845/1000000)</f>
        <v>-0.64323490017971308</v>
      </c>
      <c r="AE845" s="29">
        <f>IF(履歴データ!$A$845="",AE844,AE844+AC845/1000000)</f>
        <v>70.362450383963477</v>
      </c>
      <c r="AF845" s="12">
        <f>IF(OR(履歴データ!$A$845="",AE844=0),"",(AE845-AE844)/AE844)</f>
        <v>-9.0589210935106915E-3</v>
      </c>
      <c r="AG845" s="29">
        <f t="shared" si="41"/>
        <v>102.17217746631495</v>
      </c>
      <c r="AH845" s="12">
        <f>IF(OR(履歴データ!$A$845="",AG845=0),"",AE845/AG845-1)</f>
        <v>-0.31133453226871666</v>
      </c>
      <c r="AJ845" s="28">
        <f t="shared" ca="1" si="39"/>
        <v>3.6390724132650716</v>
      </c>
      <c r="AK845" s="28">
        <f t="shared" ca="1" si="40"/>
        <v>-6.6668501910428608</v>
      </c>
    </row>
    <row r="846" spans="1:37">
      <c r="A846" s="10">
        <f>IF(履歴データ!$A$846="","",履歴データ!$A$846)</f>
        <v>46161</v>
      </c>
      <c r="B846" s="28">
        <f>IF(履歴データ!$A$846="","",(履歴データ!$D$846-(履歴データ!$B$846+履歴データ!$F$846)/2)*100)</f>
        <v>1.5000000000000568</v>
      </c>
      <c r="C846" s="28">
        <f>IF(履歴データ!$A$846="","",(履歴データ!$H$846-(履歴データ!$G$846+履歴データ!$J$846)/2)*100)</f>
        <v>3.5499999999999865</v>
      </c>
      <c r="D846" s="28">
        <f>IF(履歴データ!$A$846="","",(履歴データ!$D$846-履歴データ!$H$846)*100)</f>
        <v>188.7</v>
      </c>
      <c r="E846" s="28">
        <f>IF(履歴データ!$A$846="","",(履歴データ!$D$846-履歴データ!$C$846)*100)</f>
        <v>34.999999999999964</v>
      </c>
      <c r="F846" s="28">
        <f>IF(履歴データ!$A$846="","",(履歴データ!$R$846-履歴データ!$D$846)*100)</f>
        <v>-351.28</v>
      </c>
      <c r="G846" s="28">
        <f>IF(履歴データ!$A$846="","",(履歴データ!$S$846-履歴データ!$R$846)*100)</f>
        <v>165.67364282226555</v>
      </c>
      <c r="H846" s="29">
        <f>IF(履歴データ!$A$846="","",履歴データ!$O$846)</f>
        <v>159.03500366210938</v>
      </c>
      <c r="I846" s="29">
        <f>IF(履歴データ!$A$846="","",履歴データ!$Q$846)</f>
        <v>108.703125</v>
      </c>
      <c r="J846" s="29">
        <f>IF(履歴データ!$A$846="","",履歴データ!$D$846)</f>
        <v>4.67</v>
      </c>
      <c r="K846" s="28">
        <f>IF(OR(履歴データ!$A$846="",履歴データ!$A$845=""),"",B846-B845)</f>
        <v>1.0000000000000675</v>
      </c>
      <c r="L846" s="28">
        <f>IF(OR(履歴データ!$A$846="",履歴データ!$A$845=""),"",C846-C845)</f>
        <v>2.1999999999999797</v>
      </c>
      <c r="M846" s="28">
        <f>IF(OR(履歴データ!$A$846="",履歴データ!$A$845=""),"",D846-D845)</f>
        <v>0.59999999999996589</v>
      </c>
      <c r="N846" s="28">
        <f>IF(OR(履歴データ!$A$846="",履歴データ!$A$845=""),"",E846-E845)</f>
        <v>0.99999999999989342</v>
      </c>
      <c r="O846" s="28">
        <f>IF(OR(履歴データ!$A$846="",履歴データ!$A$845=""),"",F846-F845)</f>
        <v>0.1300000000000523</v>
      </c>
      <c r="P846" s="28">
        <f>IF(OR(履歴データ!$A$846="",履歴データ!$A$845=""),"",G846-G845)</f>
        <v>-0.69253576660156568</v>
      </c>
      <c r="Q846" s="29">
        <f>IF(OR(履歴データ!$A$846="",履歴データ!$A$845=""),"",H846-H845)</f>
        <v>0.17401123046875</v>
      </c>
      <c r="R846" s="29">
        <f>IF(OR(履歴データ!$A$846="",履歴データ!$A$845=""),"",I846-I845)</f>
        <v>-0.3125</v>
      </c>
      <c r="S846" s="28">
        <f>IF(OR(履歴データ!$A$846="",履歴データ!$A$845=""),"",(J846-J845)*100)</f>
        <v>5.9999999999999609</v>
      </c>
      <c r="T846" s="11">
        <f>IF(OR(履歴データ!$A$846="",履歴データ!$A$845=""),"",-80000*K846)</f>
        <v>-80000.000000005399</v>
      </c>
      <c r="U846" s="11">
        <f>IF(OR(履歴データ!$A$846="",履歴データ!$A$845=""),"",60000*L846)</f>
        <v>131999.99999999878</v>
      </c>
      <c r="V846" s="11">
        <f>IF(OR(履歴データ!$A$846="",履歴データ!$A$845=""),"",-50000*M846)</f>
        <v>-29999.999999998294</v>
      </c>
      <c r="W846" s="11">
        <f>IF(OR(履歴データ!$A$846="",履歴データ!$A$845=""),"",-40000*N846)</f>
        <v>-39999.999999995736</v>
      </c>
      <c r="X846" s="11">
        <f>IF(OR(履歴データ!$A$846="",履歴データ!$A$845=""),"",120*1000000*(-Q846/H845))</f>
        <v>-131444.14709127188</v>
      </c>
      <c r="Y846" s="11">
        <f>IF(OR(履歴データ!$A$846="",履歴データ!$A$845=""),"",40000*(-S846)+(-506.3)*R846*1000)</f>
        <v>-81781.249999998428</v>
      </c>
      <c r="Z846" s="11">
        <f>IF(OR(履歴データ!$A$846="",履歴データ!$A$845=""),"",-40000*O846)</f>
        <v>-5200.0000000020918</v>
      </c>
      <c r="AA846" s="11">
        <f>IF(OR(履歴データ!$A$846="",履歴データ!$A$845=""),"",-40000*P846)</f>
        <v>27701.430664062627</v>
      </c>
      <c r="AB846" s="11">
        <f>IF(履歴データ!$A$846="","",123.3)</f>
        <v>123.3</v>
      </c>
      <c r="AC846">
        <f>IF(履歴データ!$A$846="","",SUM(T846:AA846))</f>
        <v>-208723.96642721043</v>
      </c>
      <c r="AD846" s="29">
        <f>IF(履歴データ!$A$846="","",AC846/1000000)</f>
        <v>-0.20872396642721042</v>
      </c>
      <c r="AE846" s="29">
        <f>IF(履歴データ!$A$846="",AE845,AE845+AC846/1000000)</f>
        <v>70.153726417536262</v>
      </c>
      <c r="AF846" s="12">
        <f>IF(OR(履歴データ!$A$846="",AE845=0),"",(AE846-AE845)/AE845)</f>
        <v>-2.9664112788599759E-3</v>
      </c>
      <c r="AG846" s="29">
        <f t="shared" si="41"/>
        <v>102.17217746631495</v>
      </c>
      <c r="AH846" s="12">
        <f>IF(OR(履歴データ!$A$846="",AG846=0),"",AE846/AG846-1)</f>
        <v>-0.31337739727955605</v>
      </c>
      <c r="AJ846" s="28">
        <f t="shared" ca="1" si="39"/>
        <v>3.6390724132650725</v>
      </c>
      <c r="AK846" s="28">
        <f t="shared" ca="1" si="40"/>
        <v>-6.6668501910428617</v>
      </c>
    </row>
    <row r="847" spans="1:37">
      <c r="A847" s="10">
        <f>IF(履歴データ!$A$847="","",履歴データ!$A$847)</f>
        <v>46162</v>
      </c>
      <c r="B847" s="28">
        <f>IF(履歴データ!$A$847="","",(履歴データ!$D$847-(履歴データ!$B$847+履歴データ!$F$847)/2)*100)</f>
        <v>-0.49999999999998934</v>
      </c>
      <c r="C847" s="28">
        <f>IF(履歴データ!$A$847="","",(履歴データ!$H$847-(履歴データ!$G$847+履歴データ!$J$847)/2)*100)</f>
        <v>3.7999999999999812</v>
      </c>
      <c r="D847" s="28">
        <f>IF(履歴データ!$A$847="","",(履歴データ!$D$847-履歴データ!$H$847)*100)</f>
        <v>180.00000000000003</v>
      </c>
      <c r="E847" s="28">
        <f>IF(履歴データ!$A$847="","",(履歴データ!$D$847-履歴データ!$C$847)*100)</f>
        <v>35.000000000000057</v>
      </c>
      <c r="F847" s="28">
        <f>IF(履歴データ!$A$847="","",(履歴データ!$R$847-履歴データ!$D$847)*100)</f>
        <v>-333.63000000000005</v>
      </c>
      <c r="G847" s="28">
        <f>IF(履歴データ!$A$847="","",(履歴データ!$S$847-履歴データ!$R$847)*100)</f>
        <v>155.04182141113273</v>
      </c>
      <c r="H847" s="29">
        <f>IF(履歴データ!$A$847="","",履歴データ!$O$847)</f>
        <v>158.88800048828125</v>
      </c>
      <c r="I847" s="29">
        <f>IF(履歴データ!$A$847="","",履歴データ!$Q$847)</f>
        <v>109.40625</v>
      </c>
      <c r="J847" s="29">
        <f>IF(履歴データ!$A$847="","",履歴データ!$D$847)</f>
        <v>4.57</v>
      </c>
      <c r="K847" s="28">
        <f>IF(OR(履歴データ!$A$847="",履歴データ!$A$846=""),"",B847-B846)</f>
        <v>-2.0000000000000462</v>
      </c>
      <c r="L847" s="28">
        <f>IF(OR(履歴データ!$A$847="",履歴データ!$A$846=""),"",C847-C846)</f>
        <v>0.24999999999999467</v>
      </c>
      <c r="M847" s="28">
        <f>IF(OR(履歴データ!$A$847="",履歴データ!$A$846=""),"",D847-D846)</f>
        <v>-8.6999999999999602</v>
      </c>
      <c r="N847" s="28">
        <f>IF(OR(履歴データ!$A$847="",履歴データ!$A$846=""),"",E847-E846)</f>
        <v>9.2370555648813024E-14</v>
      </c>
      <c r="O847" s="28">
        <f>IF(OR(履歴データ!$A$847="",履歴データ!$A$846=""),"",F847-F846)</f>
        <v>17.64999999999992</v>
      </c>
      <c r="P847" s="28">
        <f>IF(OR(履歴データ!$A$847="",履歴データ!$A$846=""),"",G847-G846)</f>
        <v>-10.631821411132819</v>
      </c>
      <c r="Q847" s="29">
        <f>IF(OR(履歴データ!$A$847="",履歴データ!$A$846=""),"",H847-H846)</f>
        <v>-0.147003173828125</v>
      </c>
      <c r="R847" s="29">
        <f>IF(OR(履歴データ!$A$847="",履歴データ!$A$846=""),"",I847-I846)</f>
        <v>0.703125</v>
      </c>
      <c r="S847" s="28">
        <f>IF(OR(履歴データ!$A$847="",履歴データ!$A$846=""),"",(J847-J846)*100)</f>
        <v>-9.9999999999999645</v>
      </c>
      <c r="T847" s="11">
        <f>IF(OR(履歴データ!$A$847="",履歴データ!$A$846=""),"",-80000*K847)</f>
        <v>160000.0000000037</v>
      </c>
      <c r="U847" s="11">
        <f>IF(OR(履歴データ!$A$847="",履歴データ!$A$846=""),"",60000*L847)</f>
        <v>14999.99999999968</v>
      </c>
      <c r="V847" s="11">
        <f>IF(OR(履歴データ!$A$847="",履歴データ!$A$846=""),"",-50000*M847)</f>
        <v>434999.99999999802</v>
      </c>
      <c r="W847" s="11">
        <f>IF(OR(履歴データ!$A$847="",履歴データ!$A$846=""),"",-40000*N847)</f>
        <v>-3.694822225952521E-9</v>
      </c>
      <c r="X847" s="11">
        <f>IF(OR(履歴データ!$A$847="",履歴データ!$A$846=""),"",120*1000000*(-Q847/H846))</f>
        <v>110921.37235934733</v>
      </c>
      <c r="Y847" s="11">
        <f>IF(OR(履歴データ!$A$847="",履歴データ!$A$846=""),"",40000*(-S847)+(-506.3)*R847*1000)</f>
        <v>44007.812499998603</v>
      </c>
      <c r="Z847" s="11">
        <f>IF(OR(履歴データ!$A$847="",履歴データ!$A$846=""),"",-40000*O847)</f>
        <v>-705999.99999999686</v>
      </c>
      <c r="AA847" s="11">
        <f>IF(OR(履歴データ!$A$847="",履歴データ!$A$846=""),"",-40000*P847)</f>
        <v>425272.85644531273</v>
      </c>
      <c r="AB847" s="11">
        <f>IF(履歴データ!$A$847="","",123.3)</f>
        <v>123.3</v>
      </c>
      <c r="AC847">
        <f>IF(履歴データ!$A$847="","",SUM(T847:AA847))</f>
        <v>484202.04130465945</v>
      </c>
      <c r="AD847" s="29">
        <f>IF(履歴データ!$A$847="","",AC847/1000000)</f>
        <v>0.48420204130465944</v>
      </c>
      <c r="AE847" s="29">
        <f>IF(履歴データ!$A$847="",AE846,AE846+AC847/1000000)</f>
        <v>70.637928458840918</v>
      </c>
      <c r="AF847" s="12">
        <f>IF(OR(履歴データ!$A$847="",AE846=0),"",(AE847-AE846)/AE846)</f>
        <v>6.9020145618896153E-3</v>
      </c>
      <c r="AG847" s="29">
        <f t="shared" si="41"/>
        <v>102.17217746631495</v>
      </c>
      <c r="AH847" s="12">
        <f>IF(OR(履歴データ!$A$847="",AG847=0),"",AE847/AG847-1)</f>
        <v>-0.30863831807705699</v>
      </c>
      <c r="AJ847" s="28">
        <f t="shared" ca="1" si="39"/>
        <v>3.6390724132650725</v>
      </c>
      <c r="AK847" s="28">
        <f t="shared" ca="1" si="40"/>
        <v>-6.6668501910428617</v>
      </c>
    </row>
    <row r="848" spans="1:37">
      <c r="A848" s="10">
        <f>IF(履歴データ!$A$848="","",履歴データ!$A$848)</f>
        <v>46163</v>
      </c>
      <c r="B848" s="28">
        <f>IF(履歴データ!$A$848="","",(履歴データ!$D$848-(履歴データ!$B$848+履歴データ!$F$848)/2)*100)</f>
        <v>-1.9999999999999574</v>
      </c>
      <c r="C848" s="28">
        <f>IF(履歴データ!$A$848="","",(履歴データ!$H$848-(履歴データ!$G$848+履歴データ!$J$848)/2)*100)</f>
        <v>5.2000000000000046</v>
      </c>
      <c r="D848" s="28">
        <f>IF(履歴データ!$A$848="","",(履歴データ!$D$848-履歴データ!$H$848)*100)</f>
        <v>182.20000000000002</v>
      </c>
      <c r="E848" s="28">
        <f>IF(履歴データ!$A$848="","",(履歴データ!$D$848-履歴データ!$C$848)*100)</f>
        <v>32.000000000000028</v>
      </c>
      <c r="F848" s="28">
        <f>IF(履歴データ!$A$848="","",(履歴データ!$R$848-履歴データ!$D$848)*100)</f>
        <v>-342.70000000000005</v>
      </c>
      <c r="G848" s="28">
        <f>IF(履歴データ!$A$848="","",(履歴データ!$S$848-履歴データ!$R$848)*100)</f>
        <v>157.44664282226555</v>
      </c>
      <c r="H848" s="29">
        <f>IF(履歴データ!$A$848="","",履歴データ!$O$848)</f>
        <v>159.01800537109375</v>
      </c>
      <c r="I848" s="29">
        <f>IF(履歴データ!$A$848="","",履歴データ!$Q$848)</f>
        <v>109.234375</v>
      </c>
      <c r="J848" s="29">
        <f>IF(履歴データ!$A$848="","",履歴データ!$D$848)</f>
        <v>4.57</v>
      </c>
      <c r="K848" s="28">
        <f>IF(OR(履歴データ!$A$848="",履歴データ!$A$847=""),"",B848-B847)</f>
        <v>-1.499999999999968</v>
      </c>
      <c r="L848" s="28">
        <f>IF(OR(履歴データ!$A$848="",履歴データ!$A$847=""),"",C848-C847)</f>
        <v>1.4000000000000234</v>
      </c>
      <c r="M848" s="28">
        <f>IF(OR(履歴データ!$A$848="",履歴データ!$A$847=""),"",D848-D847)</f>
        <v>2.1999999999999886</v>
      </c>
      <c r="N848" s="28">
        <f>IF(OR(履歴データ!$A$848="",履歴データ!$A$847=""),"",E848-E847)</f>
        <v>-3.0000000000000284</v>
      </c>
      <c r="O848" s="28">
        <f>IF(OR(履歴データ!$A$848="",履歴データ!$A$847=""),"",F848-F847)</f>
        <v>-9.0699999999999932</v>
      </c>
      <c r="P848" s="28">
        <f>IF(OR(履歴データ!$A$848="",履歴データ!$A$847=""),"",G848-G847)</f>
        <v>2.404821411132815</v>
      </c>
      <c r="Q848" s="29">
        <f>IF(OR(履歴データ!$A$848="",履歴データ!$A$847=""),"",H848-H847)</f>
        <v>0.1300048828125</v>
      </c>
      <c r="R848" s="29">
        <f>IF(OR(履歴データ!$A$848="",履歴データ!$A$847=""),"",I848-I847)</f>
        <v>-0.171875</v>
      </c>
      <c r="S848" s="28">
        <f>IF(OR(履歴データ!$A$848="",履歴データ!$A$847=""),"",(J848-J847)*100)</f>
        <v>0</v>
      </c>
      <c r="T848" s="11">
        <f>IF(OR(履歴データ!$A$848="",履歴データ!$A$847=""),"",-80000*K848)</f>
        <v>119999.99999999744</v>
      </c>
      <c r="U848" s="11">
        <f>IF(OR(履歴データ!$A$848="",履歴データ!$A$847=""),"",60000*L848)</f>
        <v>84000.000000001412</v>
      </c>
      <c r="V848" s="11">
        <f>IF(OR(履歴データ!$A$848="",履歴データ!$A$847=""),"",-50000*M848)</f>
        <v>-109999.99999999943</v>
      </c>
      <c r="W848" s="11">
        <f>IF(OR(履歴データ!$A$848="",履歴データ!$A$847=""),"",-40000*N848)</f>
        <v>120000.00000000114</v>
      </c>
      <c r="X848" s="11">
        <f>IF(OR(履歴データ!$A$848="",履歴データ!$A$847=""),"",120*1000000*(-Q848/H847))</f>
        <v>-98186.054891228981</v>
      </c>
      <c r="Y848" s="11">
        <f>IF(OR(履歴データ!$A$848="",履歴データ!$A$847=""),"",40000*(-S848)+(-506.3)*R848*1000)</f>
        <v>87020.3125</v>
      </c>
      <c r="Z848" s="11">
        <f>IF(OR(履歴データ!$A$848="",履歴データ!$A$847=""),"",-40000*O848)</f>
        <v>362799.99999999971</v>
      </c>
      <c r="AA848" s="11">
        <f>IF(OR(履歴データ!$A$848="",履歴データ!$A$847=""),"",-40000*P848)</f>
        <v>-96192.856445312602</v>
      </c>
      <c r="AB848" s="11">
        <f>IF(履歴データ!$A$848="","",123.3)</f>
        <v>123.3</v>
      </c>
      <c r="AC848">
        <f>IF(履歴データ!$A$848="","",SUM(T848:AA848))</f>
        <v>469441.40116345871</v>
      </c>
      <c r="AD848" s="29">
        <f>IF(履歴データ!$A$848="","",AC848/1000000)</f>
        <v>0.46944140116345873</v>
      </c>
      <c r="AE848" s="29">
        <f>IF(履歴データ!$A$848="",AE847,AE847+AC848/1000000)</f>
        <v>71.107369860004383</v>
      </c>
      <c r="AF848" s="12">
        <f>IF(OR(履歴データ!$A$848="",AE847=0),"",(AE848-AE847)/AE847)</f>
        <v>6.645741337629932E-3</v>
      </c>
      <c r="AG848" s="29">
        <f t="shared" si="41"/>
        <v>102.17217746631495</v>
      </c>
      <c r="AH848" s="12">
        <f>IF(OR(履歴データ!$A$848="",AG848=0),"",AE848/AG848-1)</f>
        <v>-0.30404370716824836</v>
      </c>
      <c r="AJ848" s="28">
        <f t="shared" ca="1" si="39"/>
        <v>3.61140930903235</v>
      </c>
      <c r="AK848" s="28">
        <f t="shared" ca="1" si="40"/>
        <v>-6.666964864587916</v>
      </c>
    </row>
    <row r="849" spans="1:37">
      <c r="A849" s="10">
        <f>IF(履歴データ!$A$849="","",履歴データ!$A$849)</f>
        <v>46164</v>
      </c>
      <c r="B849" s="28">
        <f>IF(履歴データ!$A$849="","",(履歴データ!$D$849-(履歴データ!$B$849+履歴データ!$F$849)/2)*100)</f>
        <v>-4.0000000000000036</v>
      </c>
      <c r="C849" s="28">
        <f>IF(履歴データ!$A$849="","",(履歴データ!$H$849-(履歴データ!$G$849+履歴データ!$J$849)/2)*100)</f>
        <v>6.1999999999999833</v>
      </c>
      <c r="D849" s="28">
        <f>IF(履歴データ!$A$849="","",(履歴データ!$D$849-履歴データ!$H$849)*100)</f>
        <v>181.09999999999994</v>
      </c>
      <c r="E849" s="28">
        <f>IF(履歴データ!$A$849="","",(履歴データ!$D$849-履歴データ!$C$849)*100)</f>
        <v>29.000000000000004</v>
      </c>
      <c r="F849" s="28">
        <f>IF(履歴データ!$A$849="","",(履歴データ!$R$849-履歴データ!$D$849)*100)</f>
        <v>-339.99999999999994</v>
      </c>
      <c r="G849" s="28">
        <f>IF(履歴データ!$A$849="","",(履歴データ!$S$849-履歴データ!$R$849)*100)</f>
        <v>157.67599999999987</v>
      </c>
      <c r="H849" s="29">
        <f>IF(履歴データ!$A$849="","",履歴データ!$O$849)</f>
        <v>159.01800537109375</v>
      </c>
      <c r="I849" s="29">
        <f>IF(履歴データ!$A$849="","",履歴データ!$Q$849)</f>
        <v>109.25</v>
      </c>
      <c r="J849" s="29">
        <f>IF(履歴データ!$A$849="","",履歴データ!$D$849)</f>
        <v>4.5599999999999996</v>
      </c>
      <c r="K849" s="28">
        <f>IF(OR(履歴データ!$A$849="",履歴データ!$A$848=""),"",B849-B848)</f>
        <v>-2.0000000000000462</v>
      </c>
      <c r="L849" s="28">
        <f>IF(OR(履歴データ!$A$849="",履歴データ!$A$848=""),"",C849-C848)</f>
        <v>0.99999999999997868</v>
      </c>
      <c r="M849" s="28">
        <f>IF(OR(履歴データ!$A$849="",履歴データ!$A$848=""),"",D849-D848)</f>
        <v>-1.1000000000000796</v>
      </c>
      <c r="N849" s="28">
        <f>IF(OR(履歴データ!$A$849="",履歴データ!$A$848=""),"",E849-E848)</f>
        <v>-3.0000000000000249</v>
      </c>
      <c r="O849" s="28">
        <f>IF(OR(履歴データ!$A$849="",履歴データ!$A$848=""),"",F849-F848)</f>
        <v>2.7000000000001023</v>
      </c>
      <c r="P849" s="28">
        <f>IF(OR(履歴データ!$A$849="",履歴データ!$A$848=""),"",G849-G848)</f>
        <v>0.22935717773432884</v>
      </c>
      <c r="Q849" s="29">
        <f>IF(OR(履歴データ!$A$849="",履歴データ!$A$848=""),"",H849-H848)</f>
        <v>0</v>
      </c>
      <c r="R849" s="29">
        <f>IF(OR(履歴データ!$A$849="",履歴データ!$A$848=""),"",I849-I848)</f>
        <v>1.5625E-2</v>
      </c>
      <c r="S849" s="28">
        <f>IF(OR(履歴データ!$A$849="",履歴データ!$A$848=""),"",(J849-J848)*100)</f>
        <v>-1.0000000000000675</v>
      </c>
      <c r="T849" s="11">
        <f>IF(OR(履歴データ!$A$849="",履歴データ!$A$848=""),"",-80000*K849)</f>
        <v>160000.0000000037</v>
      </c>
      <c r="U849" s="11">
        <f>IF(OR(履歴データ!$A$849="",履歴データ!$A$848=""),"",60000*L849)</f>
        <v>59999.999999998719</v>
      </c>
      <c r="V849" s="11">
        <f>IF(OR(履歴データ!$A$849="",履歴データ!$A$848=""),"",-50000*M849)</f>
        <v>55000.00000000398</v>
      </c>
      <c r="W849" s="11">
        <f>IF(OR(履歴データ!$A$849="",履歴データ!$A$848=""),"",-40000*N849)</f>
        <v>120000.00000000099</v>
      </c>
      <c r="X849" s="11">
        <f>IF(OR(履歴データ!$A$849="",履歴データ!$A$848=""),"",120*1000000*(-Q849/H848))</f>
        <v>0</v>
      </c>
      <c r="Y849" s="11">
        <f>IF(OR(履歴データ!$A$849="",履歴データ!$A$848=""),"",40000*(-S849)+(-506.3)*R849*1000)</f>
        <v>32089.062500002699</v>
      </c>
      <c r="Z849" s="11">
        <f>IF(OR(履歴データ!$A$849="",履歴データ!$A$848=""),"",-40000*O849)</f>
        <v>-108000.00000000409</v>
      </c>
      <c r="AA849" s="11">
        <f>IF(OR(履歴データ!$A$849="",履歴データ!$A$848=""),"",-40000*P849)</f>
        <v>-9174.2871093731537</v>
      </c>
      <c r="AB849" s="11">
        <f>IF(履歴データ!$A$849="","",123.3)</f>
        <v>123.3</v>
      </c>
      <c r="AC849">
        <f>IF(履歴データ!$A$849="","",SUM(T849:AA849))</f>
        <v>309914.77539063286</v>
      </c>
      <c r="AD849" s="29">
        <f>IF(履歴データ!$A$849="","",AC849/1000000)</f>
        <v>0.30991477539063284</v>
      </c>
      <c r="AE849" s="29">
        <f>IF(履歴データ!$A$849="",AE848,AE848+AC849/1000000)</f>
        <v>71.417284635395021</v>
      </c>
      <c r="AF849" s="12">
        <f>IF(OR(履歴データ!$A$849="",AE848=0),"",(AE849-AE848)/AE848)</f>
        <v>4.3584058305179288E-3</v>
      </c>
      <c r="AG849" s="29">
        <f t="shared" si="41"/>
        <v>102.17217746631495</v>
      </c>
      <c r="AH849" s="12">
        <f>IF(OR(履歴データ!$A$849="",AG849=0),"",AE849/AG849-1)</f>
        <v>-0.30101044720378478</v>
      </c>
      <c r="AJ849" s="28">
        <f t="shared" ca="1" si="39"/>
        <v>3.5846579034691266</v>
      </c>
      <c r="AK849" s="28">
        <f t="shared" ca="1" si="40"/>
        <v>-6.6838642526754857</v>
      </c>
    </row>
    <row r="850" spans="1:37">
      <c r="A850" s="10">
        <f>IF(履歴データ!$A$850="","",履歴データ!$A$850)</f>
        <v>46168</v>
      </c>
      <c r="B850" s="28">
        <f>IF(履歴データ!$A$850="","",(履歴データ!$D$850-(履歴データ!$B$850+履歴データ!$F$850)/2)*100)</f>
        <v>-1.9999999999999574</v>
      </c>
      <c r="C850" s="28">
        <f>IF(履歴データ!$A$850="","",(履歴データ!$H$850-(履歴データ!$G$850+履歴データ!$J$850)/2)*100)</f>
        <v>6.9500000000000117</v>
      </c>
      <c r="D850" s="28">
        <f>IF(履歴データ!$A$850="","",(履歴データ!$D$850-履歴データ!$H$850)*100)</f>
        <v>178.7</v>
      </c>
      <c r="E850" s="28">
        <f>IF(履歴データ!$A$850="","",(履歴データ!$D$850-履歴データ!$C$850)*100)</f>
        <v>30.999999999999961</v>
      </c>
      <c r="F850" s="28">
        <f>IF(履歴データ!$A$850="","",(履歴データ!$R$850-履歴データ!$D$850)*100)</f>
        <v>-339.59999999999997</v>
      </c>
      <c r="G850" s="28">
        <f>IF(履歴データ!$A$850="","",(履歴データ!$S$850-履歴データ!$R$850)*100)</f>
        <v>158.54017858886698</v>
      </c>
      <c r="H850" s="29">
        <f>IF(履歴データ!$A$850="","",履歴データ!$O$850)</f>
        <v>159.24299621582031</v>
      </c>
      <c r="I850" s="29">
        <f>IF(履歴データ!$A$850="","",履歴データ!$Q$850)</f>
        <v>109.828125</v>
      </c>
      <c r="J850" s="29">
        <f>IF(履歴データ!$A$850="","",履歴データ!$D$850)</f>
        <v>4.5</v>
      </c>
      <c r="K850" s="28">
        <f>IF(OR(履歴データ!$A$850="",履歴データ!$A$849=""),"",B850-B849)</f>
        <v>2.0000000000000462</v>
      </c>
      <c r="L850" s="28">
        <f>IF(OR(履歴データ!$A$850="",履歴データ!$A$849=""),"",C850-C849)</f>
        <v>0.75000000000002842</v>
      </c>
      <c r="M850" s="28">
        <f>IF(OR(履歴データ!$A$850="",履歴データ!$A$849=""),"",D850-D849)</f>
        <v>-2.3999999999999488</v>
      </c>
      <c r="N850" s="28">
        <f>IF(OR(履歴データ!$A$850="",履歴データ!$A$849=""),"",E850-E849)</f>
        <v>1.9999999999999574</v>
      </c>
      <c r="O850" s="28">
        <f>IF(OR(履歴データ!$A$850="",履歴データ!$A$849=""),"",F850-F849)</f>
        <v>0.39999999999997726</v>
      </c>
      <c r="P850" s="28">
        <f>IF(OR(履歴データ!$A$850="",履歴データ!$A$849=""),"",G850-G849)</f>
        <v>0.86417858886710519</v>
      </c>
      <c r="Q850" s="29">
        <f>IF(OR(履歴データ!$A$850="",履歴データ!$A$849=""),"",H850-H849)</f>
        <v>0.2249908447265625</v>
      </c>
      <c r="R850" s="29">
        <f>IF(OR(履歴データ!$A$850="",履歴データ!$A$849=""),"",I850-I849)</f>
        <v>0.578125</v>
      </c>
      <c r="S850" s="28">
        <f>IF(OR(履歴データ!$A$850="",履歴データ!$A$849=""),"",(J850-J849)*100)</f>
        <v>-5.9999999999999609</v>
      </c>
      <c r="T850" s="11">
        <f>IF(OR(履歴データ!$A$850="",履歴データ!$A$849=""),"",-80000*K850)</f>
        <v>-160000.0000000037</v>
      </c>
      <c r="U850" s="11">
        <f>IF(OR(履歴データ!$A$850="",履歴データ!$A$849=""),"",60000*L850)</f>
        <v>45000.000000001703</v>
      </c>
      <c r="V850" s="11">
        <f>IF(OR(履歴データ!$A$850="",履歴データ!$A$849=""),"",-50000*M850)</f>
        <v>119999.99999999744</v>
      </c>
      <c r="W850" s="11">
        <f>IF(OR(履歴データ!$A$850="",履歴データ!$A$849=""),"",-40000*N850)</f>
        <v>-79999.999999998297</v>
      </c>
      <c r="X850" s="11">
        <f>IF(OR(履歴データ!$A$850="",履歴データ!$A$849=""),"",120*1000000*(-Q850/H849))</f>
        <v>-169785.18441469118</v>
      </c>
      <c r="Y850" s="11">
        <f>IF(OR(履歴データ!$A$850="",履歴データ!$A$849=""),"",40000*(-S850)+(-506.3)*R850*1000)</f>
        <v>-52704.68750000163</v>
      </c>
      <c r="Z850" s="11">
        <f>IF(OR(履歴データ!$A$850="",履歴データ!$A$849=""),"",-40000*O850)</f>
        <v>-15999.999999999091</v>
      </c>
      <c r="AA850" s="11">
        <f>IF(OR(履歴データ!$A$850="",履歴データ!$A$849=""),"",-40000*P850)</f>
        <v>-34567.143554684211</v>
      </c>
      <c r="AB850" s="11">
        <f>IF(履歴データ!$A$850="","",123.3)</f>
        <v>123.3</v>
      </c>
      <c r="AC850">
        <f>IF(履歴データ!$A$850="","",SUM(T850:AA850))</f>
        <v>-348057.01546937891</v>
      </c>
      <c r="AD850" s="29">
        <f>IF(履歴データ!$A$850="","",AC850/1000000)</f>
        <v>-0.34805701546937889</v>
      </c>
      <c r="AE850" s="29">
        <f>IF(履歴データ!$A$850="",AE849,AE849+AC850/1000000)</f>
        <v>71.069227619925641</v>
      </c>
      <c r="AF850" s="12">
        <f>IF(OR(履歴データ!$A$850="",AE849=0),"",(AE850-AE849)/AE849)</f>
        <v>-4.8735683139775852E-3</v>
      </c>
      <c r="AG850" s="29">
        <f t="shared" si="41"/>
        <v>102.17217746631495</v>
      </c>
      <c r="AH850" s="12">
        <f>IF(OR(履歴データ!$A$850="",AG850=0),"",AE850/AG850-1)</f>
        <v>-0.30441702054009379</v>
      </c>
      <c r="AJ850" s="28">
        <f t="shared" ca="1" si="39"/>
        <v>3.5129206267334134</v>
      </c>
      <c r="AK850" s="28">
        <f t="shared" ca="1" si="40"/>
        <v>-6.6597460235588208</v>
      </c>
    </row>
    <row r="851" spans="1:37">
      <c r="A851" s="10">
        <f>IF(履歴データ!$A$851="","",履歴データ!$A$851)</f>
        <v>46169</v>
      </c>
      <c r="B851" s="28">
        <f>IF(履歴データ!$A$851="","",(履歴データ!$D$851-(履歴データ!$B$851+履歴データ!$F$851)/2)*100)</f>
        <v>-2.4999999999999467</v>
      </c>
      <c r="C851" s="28">
        <f>IF(履歴データ!$A$851="","",(履歴データ!$H$851-(履歴データ!$G$851+履歴データ!$J$851)/2)*100)</f>
        <v>5.9499999999999886</v>
      </c>
      <c r="D851" s="28">
        <f>IF(履歴データ!$A$851="","",(履歴データ!$D$851-履歴データ!$H$851)*100)</f>
        <v>179.30000000000007</v>
      </c>
      <c r="E851" s="28">
        <f>IF(履歴データ!$A$851="","",(履歴データ!$D$851-履歴データ!$C$851)*100)</f>
        <v>31.00000000000005</v>
      </c>
      <c r="F851" s="28">
        <f>IF(履歴データ!$A$851="","",(履歴データ!$R$851-履歴データ!$D$851)*100)</f>
        <v>-345.12000000000006</v>
      </c>
      <c r="G851" s="28">
        <f>IF(履歴データ!$A$851="","",(履歴データ!$S$851-履歴データ!$R$851)*100)</f>
        <v>164.1308214111327</v>
      </c>
      <c r="H851" s="29">
        <f>IF(履歴データ!$A$851="","",履歴データ!$O$851)</f>
        <v>159.5679931640625</v>
      </c>
      <c r="I851" s="29">
        <f>IF(履歴データ!$A$851="","",履歴データ!$Q$851)</f>
        <v>109.90625</v>
      </c>
      <c r="J851" s="29">
        <f>IF(履歴データ!$A$851="","",履歴データ!$D$851)</f>
        <v>4.4800000000000004</v>
      </c>
      <c r="K851" s="28">
        <f>IF(OR(履歴データ!$A$851="",履歴データ!$A$850=""),"",B851-B850)</f>
        <v>-0.49999999999998934</v>
      </c>
      <c r="L851" s="28">
        <f>IF(OR(履歴データ!$A$851="",履歴データ!$A$850=""),"",C851-C850)</f>
        <v>-1.0000000000000231</v>
      </c>
      <c r="M851" s="28">
        <f>IF(OR(履歴データ!$A$851="",履歴データ!$A$850=""),"",D851-D850)</f>
        <v>0.60000000000007958</v>
      </c>
      <c r="N851" s="28">
        <f>IF(OR(履歴データ!$A$851="",履歴データ!$A$850=""),"",E851-E850)</f>
        <v>8.8817841970012523E-14</v>
      </c>
      <c r="O851" s="28">
        <f>IF(OR(履歴データ!$A$851="",履歴データ!$A$850=""),"",F851-F850)</f>
        <v>-5.5200000000000955</v>
      </c>
      <c r="P851" s="28">
        <f>IF(OR(履歴データ!$A$851="",履歴データ!$A$850=""),"",G851-G850)</f>
        <v>5.5906428222657212</v>
      </c>
      <c r="Q851" s="29">
        <f>IF(OR(履歴データ!$A$851="",履歴データ!$A$850=""),"",H851-H850)</f>
        <v>0.3249969482421875</v>
      </c>
      <c r="R851" s="29">
        <f>IF(OR(履歴データ!$A$851="",履歴データ!$A$850=""),"",I851-I850)</f>
        <v>7.8125E-2</v>
      </c>
      <c r="S851" s="28">
        <f>IF(OR(履歴データ!$A$851="",履歴データ!$A$850=""),"",(J851-J850)*100)</f>
        <v>-1.9999999999999574</v>
      </c>
      <c r="T851" s="11">
        <f>IF(OR(履歴データ!$A$851="",履歴データ!$A$850=""),"",-80000*K851)</f>
        <v>39999.999999999149</v>
      </c>
      <c r="U851" s="11">
        <f>IF(OR(履歴データ!$A$851="",履歴データ!$A$850=""),"",60000*L851)</f>
        <v>-60000.000000001382</v>
      </c>
      <c r="V851" s="11">
        <f>IF(OR(履歴データ!$A$851="",履歴データ!$A$850=""),"",-50000*M851)</f>
        <v>-30000.00000000398</v>
      </c>
      <c r="W851" s="11">
        <f>IF(OR(履歴データ!$A$851="",履歴データ!$A$850=""),"",-40000*N851)</f>
        <v>-3.5527136788005009E-9</v>
      </c>
      <c r="X851" s="11">
        <f>IF(OR(履歴データ!$A$851="",履歴データ!$A$850=""),"",120*1000000*(-Q851/H850))</f>
        <v>-244906.43052336643</v>
      </c>
      <c r="Y851" s="11">
        <f>IF(OR(履歴データ!$A$851="",履歴データ!$A$850=""),"",40000*(-S851)+(-506.3)*R851*1000)</f>
        <v>40445.312499998297</v>
      </c>
      <c r="Z851" s="11">
        <f>IF(OR(履歴データ!$A$851="",履歴データ!$A$850=""),"",-40000*O851)</f>
        <v>220800.00000000381</v>
      </c>
      <c r="AA851" s="11">
        <f>IF(OR(履歴データ!$A$851="",履歴データ!$A$850=""),"",-40000*P851)</f>
        <v>-223625.71289062884</v>
      </c>
      <c r="AB851" s="11">
        <f>IF(履歴データ!$A$851="","",123.3)</f>
        <v>123.3</v>
      </c>
      <c r="AC851">
        <f>IF(履歴データ!$A$851="","",SUM(T851:AA851))</f>
        <v>-257286.83091400293</v>
      </c>
      <c r="AD851" s="29">
        <f>IF(履歴データ!$A$851="","",AC851/1000000)</f>
        <v>-0.25728683091400295</v>
      </c>
      <c r="AE851" s="29">
        <f>IF(履歴データ!$A$851="",AE850,AE850+AC851/1000000)</f>
        <v>70.811940789011643</v>
      </c>
      <c r="AF851" s="12">
        <f>IF(OR(履歴データ!$A$851="",AE850=0),"",(AE851-AE850)/AE850)</f>
        <v>-3.6202283256820192E-3</v>
      </c>
      <c r="AG851" s="29">
        <f t="shared" si="41"/>
        <v>102.17217746631495</v>
      </c>
      <c r="AH851" s="12">
        <f>IF(OR(履歴データ!$A$851="",AG851=0),"",AE851/AG851-1)</f>
        <v>-0.30693518974519685</v>
      </c>
      <c r="AJ851" s="28">
        <f t="shared" ca="1" si="39"/>
        <v>3.483477382991035</v>
      </c>
      <c r="AK851" s="28">
        <f t="shared" ca="1" si="40"/>
        <v>-6.6620488115624727</v>
      </c>
    </row>
    <row r="852" spans="1:37">
      <c r="A852" s="10">
        <f>IF(履歴データ!$A$852="","",履歴データ!$A$852)</f>
        <v>46170</v>
      </c>
      <c r="B852" s="28">
        <f>IF(履歴データ!$A$852="","",(履歴データ!$D$852-(履歴データ!$B$852+履歴データ!$F$852)/2)*100)</f>
        <v>-3.5000000000000142</v>
      </c>
      <c r="C852" s="28">
        <f>IF(履歴データ!$A$852="","",(履歴データ!$H$852-(履歴データ!$G$852+履歴データ!$J$852)/2)*100)</f>
        <v>6.0999999999999943</v>
      </c>
      <c r="D852" s="28">
        <f>IF(履歴データ!$A$852="","",(履歴データ!$D$852-履歴データ!$H$852)*100)</f>
        <v>175.8</v>
      </c>
      <c r="E852" s="28">
        <f>IF(履歴データ!$A$852="","",(履歴データ!$D$852-履歴データ!$C$852)*100)</f>
        <v>29.999999999999982</v>
      </c>
      <c r="F852" s="28">
        <f>IF(履歴データ!$A$852="","",(履歴データ!$R$852-履歴データ!$D$852)*100)</f>
        <v>-345.73</v>
      </c>
      <c r="G852" s="28">
        <f>IF(履歴データ!$A$852="","",(履歴データ!$S$852-履歴データ!$R$852)*100)</f>
        <v>168.96864282226548</v>
      </c>
      <c r="H852" s="29">
        <f>IF(履歴データ!$A$852="","",履歴データ!$O$852)</f>
        <v>159.27000427246094</v>
      </c>
      <c r="I852" s="29">
        <f>IF(履歴データ!$A$852="","",履歴データ!$Q$852)</f>
        <v>110.046875</v>
      </c>
      <c r="J852" s="29">
        <f>IF(履歴データ!$A$852="","",履歴データ!$D$852)</f>
        <v>4.45</v>
      </c>
      <c r="K852" s="28">
        <f>IF(OR(履歴データ!$A$852="",履歴データ!$A$851=""),"",B852-B851)</f>
        <v>-1.0000000000000675</v>
      </c>
      <c r="L852" s="28">
        <f>IF(OR(履歴データ!$A$852="",履歴データ!$A$851=""),"",C852-C851)</f>
        <v>0.15000000000000568</v>
      </c>
      <c r="M852" s="28">
        <f>IF(OR(履歴データ!$A$852="",履歴データ!$A$851=""),"",D852-D851)</f>
        <v>-3.5000000000000568</v>
      </c>
      <c r="N852" s="28">
        <f>IF(OR(履歴データ!$A$852="",履歴データ!$A$851=""),"",E852-E851)</f>
        <v>-1.0000000000000675</v>
      </c>
      <c r="O852" s="28">
        <f>IF(OR(履歴データ!$A$852="",履歴データ!$A$851=""),"",F852-F851)</f>
        <v>-0.6099999999999568</v>
      </c>
      <c r="P852" s="28">
        <f>IF(OR(履歴データ!$A$852="",履歴データ!$A$851=""),"",G852-G851)</f>
        <v>4.8378214111327793</v>
      </c>
      <c r="Q852" s="29">
        <f>IF(OR(履歴データ!$A$852="",履歴データ!$A$851=""),"",H852-H851)</f>
        <v>-0.2979888916015625</v>
      </c>
      <c r="R852" s="29">
        <f>IF(OR(履歴データ!$A$852="",履歴データ!$A$851=""),"",I852-I851)</f>
        <v>0.140625</v>
      </c>
      <c r="S852" s="28">
        <f>IF(OR(履歴データ!$A$852="",履歴データ!$A$851=""),"",(J852-J851)*100)</f>
        <v>-3.0000000000000249</v>
      </c>
      <c r="T852" s="11">
        <f>IF(OR(履歴データ!$A$852="",履歴データ!$A$851=""),"",-80000*K852)</f>
        <v>80000.000000005399</v>
      </c>
      <c r="U852" s="11">
        <f>IF(OR(履歴データ!$A$852="",履歴データ!$A$851=""),"",60000*L852)</f>
        <v>9000.000000000342</v>
      </c>
      <c r="V852" s="11">
        <f>IF(OR(履歴データ!$A$852="",履歴データ!$A$851=""),"",-50000*M852)</f>
        <v>175000.00000000285</v>
      </c>
      <c r="W852" s="11">
        <f>IF(OR(履歴データ!$A$852="",履歴データ!$A$851=""),"",-40000*N852)</f>
        <v>40000.000000002699</v>
      </c>
      <c r="X852" s="11">
        <f>IF(OR(履歴データ!$A$852="",履歴データ!$A$851=""),"",120*1000000*(-Q852/H851))</f>
        <v>224096.73947219245</v>
      </c>
      <c r="Y852" s="11">
        <f>IF(OR(履歴データ!$A$852="",履歴データ!$A$851=""),"",40000*(-S852)+(-506.3)*R852*1000)</f>
        <v>48801.56250000099</v>
      </c>
      <c r="Z852" s="11">
        <f>IF(OR(履歴データ!$A$852="",履歴データ!$A$851=""),"",-40000*O852)</f>
        <v>24399.999999998272</v>
      </c>
      <c r="AA852" s="11">
        <f>IF(OR(履歴データ!$A$852="",履歴データ!$A$851=""),"",-40000*P852)</f>
        <v>-193512.85644531116</v>
      </c>
      <c r="AB852" s="11">
        <f>IF(履歴データ!$A$852="","",123.3)</f>
        <v>123.3</v>
      </c>
      <c r="AC852">
        <f>IF(履歴データ!$A$852="","",SUM(T852:AA852))</f>
        <v>407785.44552689191</v>
      </c>
      <c r="AD852" s="29">
        <f>IF(履歴データ!$A$852="","",AC852/1000000)</f>
        <v>0.40778544552689189</v>
      </c>
      <c r="AE852" s="29">
        <f>IF(履歴データ!$A$852="",AE851,AE851+AC852/1000000)</f>
        <v>71.219726234538541</v>
      </c>
      <c r="AF852" s="12">
        <f>IF(OR(履歴データ!$A$852="",AE851=0),"",(AE852-AE851)/AE851)</f>
        <v>5.7587101975063561E-3</v>
      </c>
      <c r="AG852" s="29">
        <f t="shared" si="41"/>
        <v>102.17217746631495</v>
      </c>
      <c r="AH852" s="12">
        <f>IF(OR(履歴データ!$A$852="",AG852=0),"",AE852/AG852-1)</f>
        <v>-0.30294403035484974</v>
      </c>
      <c r="AJ852" s="28">
        <f t="shared" ca="1" si="39"/>
        <v>3.4787043189035458</v>
      </c>
      <c r="AK852" s="28">
        <f t="shared" ca="1" si="40"/>
        <v>-6.6771170173162524</v>
      </c>
    </row>
    <row r="853" spans="1:37">
      <c r="A853" s="10">
        <f>IF(履歴データ!$A$853="","",履歴データ!$A$853)</f>
        <v>46171</v>
      </c>
      <c r="B853" s="28">
        <f>IF(履歴データ!$A$853="","",(履歴データ!$D$853-(履歴データ!$B$853+履歴データ!$F$853)/2)*100)</f>
        <v>-3.5000000000000142</v>
      </c>
      <c r="C853" s="28">
        <f>IF(履歴データ!$A$853="","",(履歴データ!$H$853-(履歴データ!$G$853+履歴データ!$J$853)/2)*100)</f>
        <v>3.1000000000000139</v>
      </c>
      <c r="D853" s="28">
        <f>IF(履歴データ!$A$853="","",(履歴データ!$D$853-履歴データ!$H$853)*100)</f>
        <v>179.3</v>
      </c>
      <c r="E853" s="28">
        <f>IF(履歴データ!$A$853="","",(履歴データ!$D$853-履歴データ!$C$853)*100)</f>
        <v>32.000000000000028</v>
      </c>
      <c r="F853" s="28">
        <f>IF(履歴データ!$A$853="","",(履歴データ!$R$853-履歴データ!$D$853)*100)</f>
        <v>-349.85</v>
      </c>
      <c r="G853" s="28">
        <f>IF(履歴データ!$A$853="","",(履歴データ!$S$853-履歴データ!$R$853)*100)</f>
        <v>173.08864282226548</v>
      </c>
      <c r="H853" s="29">
        <f>IF(履歴データ!$A$853="","",履歴データ!$O$853)</f>
        <v>159.27000427246094</v>
      </c>
      <c r="I853" s="29">
        <f>IF(履歴データ!$A$853="","",履歴データ!$Q$853)</f>
        <v>110.078125</v>
      </c>
      <c r="J853" s="29">
        <f>IF(履歴データ!$A$853="","",履歴データ!$D$853)</f>
        <v>4.45</v>
      </c>
      <c r="K853" s="28">
        <f>IF(OR(履歴データ!$A$853="",履歴データ!$A$852=""),"",B853-B852)</f>
        <v>0</v>
      </c>
      <c r="L853" s="28">
        <f>IF(OR(履歴データ!$A$853="",履歴データ!$A$852=""),"",C853-C852)</f>
        <v>-2.9999999999999805</v>
      </c>
      <c r="M853" s="28">
        <f>IF(OR(履歴データ!$A$853="",履歴データ!$A$852=""),"",D853-D852)</f>
        <v>3.5</v>
      </c>
      <c r="N853" s="28">
        <f>IF(OR(履歴データ!$A$853="",履歴データ!$A$852=""),"",E853-E852)</f>
        <v>2.0000000000000462</v>
      </c>
      <c r="O853" s="28">
        <f>IF(OR(履歴データ!$A$853="",履歴データ!$A$852=""),"",F853-F852)</f>
        <v>-4.1200000000000045</v>
      </c>
      <c r="P853" s="28">
        <f>IF(OR(履歴データ!$A$853="",履歴データ!$A$852=""),"",G853-G852)</f>
        <v>4.1200000000000045</v>
      </c>
      <c r="Q853" s="29">
        <f>IF(OR(履歴データ!$A$853="",履歴データ!$A$852=""),"",H853-H852)</f>
        <v>0</v>
      </c>
      <c r="R853" s="29">
        <f>IF(OR(履歴データ!$A$853="",履歴データ!$A$852=""),"",I853-I852)</f>
        <v>3.125E-2</v>
      </c>
      <c r="S853" s="28">
        <f>IF(OR(履歴データ!$A$853="",履歴データ!$A$852=""),"",(J853-J852)*100)</f>
        <v>0</v>
      </c>
      <c r="T853" s="11">
        <f>IF(OR(履歴データ!$A$853="",履歴データ!$A$852=""),"",-80000*K853)</f>
        <v>0</v>
      </c>
      <c r="U853" s="11">
        <f>IF(OR(履歴データ!$A$853="",履歴データ!$A$852=""),"",60000*L853)</f>
        <v>-179999.99999999884</v>
      </c>
      <c r="V853" s="11">
        <f>IF(OR(履歴データ!$A$853="",履歴データ!$A$852=""),"",-50000*M853)</f>
        <v>-175000</v>
      </c>
      <c r="W853" s="11">
        <f>IF(OR(履歴データ!$A$853="",履歴データ!$A$852=""),"",-40000*N853)</f>
        <v>-80000.000000001848</v>
      </c>
      <c r="X853" s="11">
        <f>IF(OR(履歴データ!$A$853="",履歴データ!$A$852=""),"",120*1000000*(-Q853/H852))</f>
        <v>0</v>
      </c>
      <c r="Y853" s="11">
        <f>IF(OR(履歴データ!$A$853="",履歴データ!$A$852=""),"",40000*(-S853)+(-506.3)*R853*1000)</f>
        <v>-15821.875</v>
      </c>
      <c r="Z853" s="11">
        <f>IF(OR(履歴データ!$A$853="",履歴データ!$A$852=""),"",-40000*O853)</f>
        <v>164800.00000000017</v>
      </c>
      <c r="AA853" s="11">
        <f>IF(OR(履歴データ!$A$853="",履歴データ!$A$852=""),"",-40000*P853)</f>
        <v>-164800.00000000017</v>
      </c>
      <c r="AB853" s="11">
        <f>IF(履歴データ!$A$853="","",123.3)</f>
        <v>123.3</v>
      </c>
      <c r="AC853">
        <f>IF(履歴データ!$A$853="","",SUM(T853:AA853))</f>
        <v>-450821.8750000007</v>
      </c>
      <c r="AD853" s="29">
        <f>IF(履歴データ!$A$853="","",AC853/1000000)</f>
        <v>-0.4508218750000007</v>
      </c>
      <c r="AE853" s="29">
        <f>IF(履歴データ!$A$853="",AE852,AE852+AC853/1000000)</f>
        <v>70.768904359538539</v>
      </c>
      <c r="AF853" s="12">
        <f>IF(OR(履歴データ!$A$853="",AE852=0),"",(AE853-AE852)/AE852)</f>
        <v>-6.3300141524746997E-3</v>
      </c>
      <c r="AG853" s="29">
        <f t="shared" si="41"/>
        <v>102.17217746631495</v>
      </c>
      <c r="AH853" s="12">
        <f>IF(OR(履歴データ!$A$853="",AG853=0),"",AE853/AG853-1)</f>
        <v>-0.30735640450777046</v>
      </c>
      <c r="AJ853" s="28">
        <f t="shared" ca="1" si="39"/>
        <v>3.4663952557162929</v>
      </c>
      <c r="AK853" s="28">
        <f t="shared" ca="1" si="40"/>
        <v>-6.6925857319067781</v>
      </c>
    </row>
    <row r="854" spans="1:37">
      <c r="A854" s="10">
        <f>IF(履歴データ!$A$854="","",履歴データ!$A$854)</f>
        <v>46174</v>
      </c>
      <c r="B854" s="28">
        <f>IF(履歴データ!$A$854="","",(履歴データ!$D$854-(履歴データ!$B$854+履歴データ!$F$854)/2)*100)</f>
        <v>-4.9999999999999822</v>
      </c>
      <c r="C854" s="28">
        <f>IF(履歴データ!$A$854="","",(履歴データ!$H$854-(履歴データ!$G$854+履歴データ!$J$854)/2)*100)</f>
        <v>5.0499999999999989</v>
      </c>
      <c r="D854" s="28">
        <f>IF(履歴データ!$A$854="","",(履歴データ!$D$854-履歴データ!$H$854)*100)</f>
        <v>178.79999999999998</v>
      </c>
      <c r="E854" s="28">
        <f>IF(履歴データ!$A$854="","",(履歴データ!$D$854-履歴データ!$C$854)*100)</f>
        <v>29.000000000000004</v>
      </c>
      <c r="F854" s="28">
        <f>IF(履歴データ!$A$854="","",(履歴データ!$R$854-履歴データ!$D$854)*100)</f>
        <v>-353.81</v>
      </c>
      <c r="G854" s="28">
        <f>IF(履歴データ!$A$854="","",(履歴データ!$S$854-履歴データ!$R$854)*100)</f>
        <v>173.29464282226544</v>
      </c>
      <c r="H854" s="29">
        <f>IF(履歴データ!$A$854="","",履歴データ!$O$854)</f>
        <v>159.63600158691406</v>
      </c>
      <c r="I854" s="29">
        <f>IF(履歴データ!$A$854="","",履歴データ!$Q$854)</f>
        <v>109.859375</v>
      </c>
      <c r="J854" s="29">
        <f>IF(履歴データ!$A$854="","",履歴データ!$D$854)</f>
        <v>4.47</v>
      </c>
      <c r="K854" s="28">
        <f>IF(OR(履歴データ!$A$854="",履歴データ!$A$853=""),"",B854-B853)</f>
        <v>-1.499999999999968</v>
      </c>
      <c r="L854" s="28">
        <f>IF(OR(履歴データ!$A$854="",履歴データ!$A$853=""),"",C854-C853)</f>
        <v>1.9499999999999851</v>
      </c>
      <c r="M854" s="28">
        <f>IF(OR(履歴データ!$A$854="",履歴データ!$A$853=""),"",D854-D853)</f>
        <v>-0.50000000000002842</v>
      </c>
      <c r="N854" s="28">
        <f>IF(OR(履歴データ!$A$854="",履歴データ!$A$853=""),"",E854-E853)</f>
        <v>-3.0000000000000249</v>
      </c>
      <c r="O854" s="28">
        <f>IF(OR(履歴データ!$A$854="",履歴データ!$A$853=""),"",F854-F853)</f>
        <v>-3.9599999999999795</v>
      </c>
      <c r="P854" s="28">
        <f>IF(OR(履歴データ!$A$854="",履歴データ!$A$853=""),"",G854-G853)</f>
        <v>0.20599999999996044</v>
      </c>
      <c r="Q854" s="29">
        <f>IF(OR(履歴データ!$A$854="",履歴データ!$A$853=""),"",H854-H853)</f>
        <v>0.365997314453125</v>
      </c>
      <c r="R854" s="29">
        <f>IF(OR(履歴データ!$A$854="",履歴データ!$A$853=""),"",I854-I853)</f>
        <v>-0.21875</v>
      </c>
      <c r="S854" s="28">
        <f>IF(OR(履歴データ!$A$854="",履歴データ!$A$853=""),"",(J854-J853)*100)</f>
        <v>1.9999999999999574</v>
      </c>
      <c r="T854" s="11">
        <f>IF(OR(履歴データ!$A$854="",履歴データ!$A$853=""),"",-80000*K854)</f>
        <v>119999.99999999744</v>
      </c>
      <c r="U854" s="11">
        <f>IF(OR(履歴データ!$A$854="",履歴データ!$A$853=""),"",60000*L854)</f>
        <v>116999.9999999991</v>
      </c>
      <c r="V854" s="11">
        <f>IF(OR(履歴データ!$A$854="",履歴データ!$A$853=""),"",-50000*M854)</f>
        <v>25000.000000001422</v>
      </c>
      <c r="W854" s="11">
        <f>IF(OR(履歴データ!$A$854="",履歴データ!$A$853=""),"",-40000*N854)</f>
        <v>120000.00000000099</v>
      </c>
      <c r="X854" s="11">
        <f>IF(OR(履歴データ!$A$854="",履歴データ!$A$853=""),"",120*1000000*(-Q854/H853))</f>
        <v>-275756.11575449095</v>
      </c>
      <c r="Y854" s="11">
        <f>IF(OR(履歴データ!$A$854="",履歴データ!$A$853=""),"",40000*(-S854)+(-506.3)*R854*1000)</f>
        <v>30753.125000001703</v>
      </c>
      <c r="Z854" s="11">
        <f>IF(OR(履歴データ!$A$854="",履歴データ!$A$853=""),"",-40000*O854)</f>
        <v>158399.99999999919</v>
      </c>
      <c r="AA854" s="11">
        <f>IF(OR(履歴データ!$A$854="",履歴データ!$A$853=""),"",-40000*P854)</f>
        <v>-8239.9999999984175</v>
      </c>
      <c r="AB854" s="11">
        <f>IF(履歴データ!$A$854="","",123.3)</f>
        <v>123.3</v>
      </c>
      <c r="AC854">
        <f>IF(履歴データ!$A$854="","",SUM(T854:AA854))</f>
        <v>287157.00924551045</v>
      </c>
      <c r="AD854" s="29">
        <f>IF(履歴データ!$A$854="","",AC854/1000000)</f>
        <v>0.28715700924551046</v>
      </c>
      <c r="AE854" s="29">
        <f>IF(履歴データ!$A$854="",AE853,AE853+AC854/1000000)</f>
        <v>71.056061368784043</v>
      </c>
      <c r="AF854" s="12">
        <f>IF(OR(履歴データ!$A$854="",AE853=0),"",(AE854-AE853)/AE853)</f>
        <v>4.0576721067577216E-3</v>
      </c>
      <c r="AG854" s="29">
        <f t="shared" si="41"/>
        <v>102.17217746631495</v>
      </c>
      <c r="AH854" s="12">
        <f>IF(OR(履歴データ!$A$854="",AG854=0),"",AE854/AG854-1)</f>
        <v>-0.30454588391041726</v>
      </c>
      <c r="AJ854" s="28">
        <f t="shared" ca="1" si="39"/>
        <v>3.4553602352528561</v>
      </c>
      <c r="AK854" s="28">
        <f t="shared" ca="1" si="40"/>
        <v>-6.7252015050941338</v>
      </c>
    </row>
    <row r="855" spans="1:37">
      <c r="A855" s="10">
        <f>IF(履歴データ!$A$855="","",履歴データ!$A$855)</f>
        <v>46175</v>
      </c>
      <c r="B855" s="28">
        <f>IF(履歴データ!$A$855="","",(履歴データ!$D$855-(履歴データ!$B$855+履歴データ!$F$855)/2)*100)</f>
        <v>-4.9999999999999822</v>
      </c>
      <c r="C855" s="28">
        <f>IF(履歴データ!$A$855="","",(履歴データ!$H$855-(履歴データ!$G$855+履歴データ!$J$855)/2)*100)</f>
        <v>-1.7999999999999794</v>
      </c>
      <c r="D855" s="28">
        <f>IF(履歴データ!$A$855="","",(履歴データ!$D$855-履歴データ!$H$855)*100)</f>
        <v>188.3</v>
      </c>
      <c r="E855" s="28">
        <f>IF(履歴データ!$A$855="","",(履歴データ!$D$855-履歴データ!$C$855)*100)</f>
        <v>29.000000000000004</v>
      </c>
      <c r="F855" s="28">
        <f>IF(履歴データ!$A$855="","",(履歴データ!$R$855-履歴データ!$D$855)*100)</f>
        <v>-340.65</v>
      </c>
      <c r="G855" s="28">
        <f>IF(履歴データ!$A$855="","",(履歴データ!$S$855-履歴データ!$R$855)*100)</f>
        <v>151.66299999999987</v>
      </c>
      <c r="H855" s="29">
        <f>IF(履歴データ!$A$855="","",履歴データ!$O$855)</f>
        <v>159.96800231933594</v>
      </c>
      <c r="I855" s="29">
        <f>IF(履歴データ!$A$855="","",履歴データ!$Q$855)</f>
        <v>109.953125</v>
      </c>
      <c r="J855" s="29">
        <f>IF(履歴データ!$A$855="","",履歴データ!$D$855)</f>
        <v>4.46</v>
      </c>
      <c r="K855" s="28">
        <f>IF(OR(履歴データ!$A$855="",履歴データ!$A$854=""),"",B855-B854)</f>
        <v>0</v>
      </c>
      <c r="L855" s="28">
        <f>IF(OR(履歴データ!$A$855="",履歴データ!$A$854=""),"",C855-C854)</f>
        <v>-6.8499999999999783</v>
      </c>
      <c r="M855" s="28">
        <f>IF(OR(履歴データ!$A$855="",履歴データ!$A$854=""),"",D855-D854)</f>
        <v>9.5000000000000284</v>
      </c>
      <c r="N855" s="28">
        <f>IF(OR(履歴データ!$A$855="",履歴データ!$A$854=""),"",E855-E854)</f>
        <v>0</v>
      </c>
      <c r="O855" s="28">
        <f>IF(OR(履歴データ!$A$855="",履歴データ!$A$854=""),"",F855-F854)</f>
        <v>13.160000000000025</v>
      </c>
      <c r="P855" s="28">
        <f>IF(OR(履歴データ!$A$855="",履歴データ!$A$854=""),"",G855-G854)</f>
        <v>-21.631642822265576</v>
      </c>
      <c r="Q855" s="29">
        <f>IF(OR(履歴データ!$A$855="",履歴データ!$A$854=""),"",H855-H854)</f>
        <v>0.332000732421875</v>
      </c>
      <c r="R855" s="29">
        <f>IF(OR(履歴データ!$A$855="",履歴データ!$A$854=""),"",I855-I854)</f>
        <v>9.375E-2</v>
      </c>
      <c r="S855" s="28">
        <f>IF(OR(履歴データ!$A$855="",履歴データ!$A$854=""),"",(J855-J854)*100)</f>
        <v>-0.99999999999997868</v>
      </c>
      <c r="T855" s="11">
        <f>IF(OR(履歴データ!$A$855="",履歴データ!$A$854=""),"",-80000*K855)</f>
        <v>0</v>
      </c>
      <c r="U855" s="11">
        <f>IF(OR(履歴データ!$A$855="",履歴データ!$A$854=""),"",60000*L855)</f>
        <v>-410999.99999999872</v>
      </c>
      <c r="V855" s="11">
        <f>IF(OR(履歴データ!$A$855="",履歴データ!$A$854=""),"",-50000*M855)</f>
        <v>-475000.0000000014</v>
      </c>
      <c r="W855" s="11">
        <f>IF(OR(履歴データ!$A$855="",履歴データ!$A$854=""),"",-40000*N855)</f>
        <v>0</v>
      </c>
      <c r="X855" s="11">
        <f>IF(OR(履歴データ!$A$855="",履歴データ!$A$854=""),"",120*1000000*(-Q855/H854))</f>
        <v>-249568.31475720723</v>
      </c>
      <c r="Y855" s="11">
        <f>IF(OR(履歴データ!$A$855="",履歴データ!$A$854=""),"",40000*(-S855)+(-506.3)*R855*1000)</f>
        <v>-7465.6250000008513</v>
      </c>
      <c r="Z855" s="11">
        <f>IF(OR(履歴データ!$A$855="",履歴データ!$A$854=""),"",-40000*O855)</f>
        <v>-526400.00000000105</v>
      </c>
      <c r="AA855" s="11">
        <f>IF(OR(履歴データ!$A$855="",履歴データ!$A$854=""),"",-40000*P855)</f>
        <v>865265.71289062302</v>
      </c>
      <c r="AB855" s="11">
        <f>IF(履歴データ!$A$855="","",123.3)</f>
        <v>123.3</v>
      </c>
      <c r="AC855">
        <f>IF(履歴データ!$A$855="","",SUM(T855:AA855))</f>
        <v>-804168.22686658625</v>
      </c>
      <c r="AD855" s="29">
        <f>IF(履歴データ!$A$855="","",AC855/1000000)</f>
        <v>-0.80416822686658629</v>
      </c>
      <c r="AE855" s="29">
        <f>IF(履歴データ!$A$855="",AE854,AE854+AC855/1000000)</f>
        <v>70.251893141917463</v>
      </c>
      <c r="AF855" s="12">
        <f>IF(OR(履歴データ!$A$855="",AE854=0),"",(AE855-AE854)/AE854)</f>
        <v>-1.1317376890521858E-2</v>
      </c>
      <c r="AG855" s="29">
        <f t="shared" si="41"/>
        <v>102.17217746631495</v>
      </c>
      <c r="AH855" s="12">
        <f>IF(OR(履歴データ!$A$855="",AG855=0),"",AE855/AG855-1)</f>
        <v>-0.31241660025226781</v>
      </c>
      <c r="AJ855" s="28">
        <f t="shared" ca="1" si="39"/>
        <v>3.4381805432145343</v>
      </c>
      <c r="AK855" s="28">
        <f t="shared" ca="1" si="40"/>
        <v>-6.7556408606748608</v>
      </c>
    </row>
    <row r="856" spans="1:37">
      <c r="A856" s="10">
        <f>IF(履歴データ!$A$856="","",履歴データ!$A$856)</f>
        <v>46176</v>
      </c>
      <c r="B856" s="28">
        <f>IF(履歴データ!$A$856="","",(履歴データ!$D$856-(履歴データ!$B$856+履歴データ!$F$856)/2)*100)</f>
        <v>-4.4999999999999929</v>
      </c>
      <c r="C856" s="28">
        <f>IF(履歴データ!$A$856="","",(履歴データ!$H$856-(履歴データ!$G$856+履歴データ!$J$856)/2)*100)</f>
        <v>3.6000000000000032</v>
      </c>
      <c r="D856" s="28">
        <f>IF(履歴データ!$A$856="","",(履歴データ!$D$856-履歴データ!$H$856)*100)</f>
        <v>184.50000000000003</v>
      </c>
      <c r="E856" s="28">
        <f>IF(履歴データ!$A$856="","",(履歴データ!$D$856-履歴データ!$C$856)*100)</f>
        <v>28.000000000000025</v>
      </c>
      <c r="F856" s="28">
        <f>IF(履歴データ!$A$856="","",(履歴データ!$R$856-履歴データ!$D$856)*100)</f>
        <v>-346.58000000000004</v>
      </c>
      <c r="G856" s="28">
        <f>IF(履歴データ!$A$856="","",(履歴データ!$S$856-履歴データ!$R$856)*100)</f>
        <v>159.15335717773425</v>
      </c>
      <c r="H856" s="29">
        <f>IF(履歴データ!$A$856="","",履歴データ!$O$856)</f>
        <v>159.94000244140625</v>
      </c>
      <c r="I856" s="29">
        <f>IF(履歴データ!$A$856="","",履歴データ!$Q$856)</f>
        <v>109.71875</v>
      </c>
      <c r="J856" s="29">
        <f>IF(履歴データ!$A$856="","",履歴データ!$D$856)</f>
        <v>4.49</v>
      </c>
      <c r="K856" s="28">
        <f>IF(OR(履歴データ!$A$856="",履歴データ!$A$855=""),"",B856-B855)</f>
        <v>0.49999999999998934</v>
      </c>
      <c r="L856" s="28">
        <f>IF(OR(履歴データ!$A$856="",履歴データ!$A$855=""),"",C856-C855)</f>
        <v>5.3999999999999826</v>
      </c>
      <c r="M856" s="28">
        <f>IF(OR(履歴データ!$A$856="",履歴データ!$A$855=""),"",D856-D855)</f>
        <v>-3.7999999999999829</v>
      </c>
      <c r="N856" s="28">
        <f>IF(OR(履歴データ!$A$856="",履歴データ!$A$855=""),"",E856-E855)</f>
        <v>-0.99999999999997868</v>
      </c>
      <c r="O856" s="28">
        <f>IF(OR(履歴データ!$A$856="",履歴データ!$A$855=""),"",F856-F855)</f>
        <v>-5.9300000000000637</v>
      </c>
      <c r="P856" s="28">
        <f>IF(OR(履歴データ!$A$856="",履歴データ!$A$855=""),"",G856-G855)</f>
        <v>7.4903571777343814</v>
      </c>
      <c r="Q856" s="29">
        <f>IF(OR(履歴データ!$A$856="",履歴データ!$A$855=""),"",H856-H855)</f>
        <v>-2.79998779296875E-2</v>
      </c>
      <c r="R856" s="29">
        <f>IF(OR(履歴データ!$A$856="",履歴データ!$A$855=""),"",I856-I855)</f>
        <v>-0.234375</v>
      </c>
      <c r="S856" s="28">
        <f>IF(OR(履歴データ!$A$856="",履歴データ!$A$855=""),"",(J856-J855)*100)</f>
        <v>3.0000000000000249</v>
      </c>
      <c r="T856" s="11">
        <f>IF(OR(履歴データ!$A$856="",履歴データ!$A$855=""),"",-80000*K856)</f>
        <v>-39999.999999999149</v>
      </c>
      <c r="U856" s="11">
        <f>IF(OR(履歴データ!$A$856="",履歴データ!$A$855=""),"",60000*L856)</f>
        <v>323999.99999999895</v>
      </c>
      <c r="V856" s="11">
        <f>IF(OR(履歴データ!$A$856="",履歴データ!$A$855=""),"",-50000*M856)</f>
        <v>189999.99999999916</v>
      </c>
      <c r="W856" s="11">
        <f>IF(OR(履歴データ!$A$856="",履歴データ!$A$855=""),"",-40000*N856)</f>
        <v>39999.999999999149</v>
      </c>
      <c r="X856" s="11">
        <f>IF(OR(履歴データ!$A$856="",履歴データ!$A$855=""),"",120*1000000*(-Q856/H855))</f>
        <v>21004.108964586139</v>
      </c>
      <c r="Y856" s="11">
        <f>IF(OR(履歴データ!$A$856="",履歴データ!$A$855=""),"",40000*(-S856)+(-506.3)*R856*1000)</f>
        <v>-1335.9375000009895</v>
      </c>
      <c r="Z856" s="11">
        <f>IF(OR(履歴データ!$A$856="",履歴データ!$A$855=""),"",-40000*O856)</f>
        <v>237200.00000000256</v>
      </c>
      <c r="AA856" s="11">
        <f>IF(OR(履歴データ!$A$856="",履歴データ!$A$855=""),"",-40000*P856)</f>
        <v>-299614.28710937523</v>
      </c>
      <c r="AB856" s="11">
        <f>IF(履歴データ!$A$856="","",123.3)</f>
        <v>123.3</v>
      </c>
      <c r="AC856">
        <f>IF(履歴データ!$A$856="","",SUM(T856:AA856))</f>
        <v>471253.88435521047</v>
      </c>
      <c r="AD856" s="29">
        <f>IF(履歴データ!$A$856="","",AC856/1000000)</f>
        <v>0.47125388435521048</v>
      </c>
      <c r="AE856" s="29">
        <f>IF(履歴データ!$A$856="",AE855,AE855+AC856/1000000)</f>
        <v>70.72314702627267</v>
      </c>
      <c r="AF856" s="12">
        <f>IF(OR(履歴データ!$A$856="",AE855=0),"",(AE856-AE855)/AE855)</f>
        <v>6.7080595736148489E-3</v>
      </c>
      <c r="AG856" s="29">
        <f t="shared" si="41"/>
        <v>102.17217746631495</v>
      </c>
      <c r="AH856" s="12">
        <f>IF(OR(履歴データ!$A$856="",AG856=0),"",AE856/AG856-1)</f>
        <v>-0.30780424984493138</v>
      </c>
      <c r="AJ856" s="28">
        <f t="shared" ca="1" si="39"/>
        <v>3.4235167084560598</v>
      </c>
      <c r="AK856" s="28">
        <f t="shared" ca="1" si="40"/>
        <v>-6.7806595655989259</v>
      </c>
    </row>
    <row r="857" spans="1:37">
      <c r="A857" s="10">
        <f>IF(履歴データ!$A$857="","",履歴データ!$A$857)</f>
        <v>46177</v>
      </c>
      <c r="B857" s="28">
        <f>IF(履歴データ!$A$857="","",(履歴データ!$D$857-(履歴データ!$B$857+履歴データ!$F$857)/2)*100)</f>
        <v>-4.0000000000000036</v>
      </c>
      <c r="C857" s="28">
        <f>IF(履歴データ!$A$857="","",(履歴データ!$H$857-(履歴データ!$G$857+履歴データ!$J$857)/2)*100)</f>
        <v>4.5999999999999819</v>
      </c>
      <c r="D857" s="28">
        <f>IF(履歴データ!$A$857="","",(履歴データ!$D$857-履歴データ!$H$857)*100)</f>
        <v>179.9</v>
      </c>
      <c r="E857" s="28">
        <f>IF(履歴データ!$A$857="","",(履歴データ!$D$857-履歴データ!$C$857)*100)</f>
        <v>29.000000000000004</v>
      </c>
      <c r="F857" s="28">
        <f>IF(履歴データ!$A$857="","",(履歴データ!$R$857-履歴データ!$D$857)*100)</f>
        <v>-338.42999999999995</v>
      </c>
      <c r="G857" s="28">
        <f>IF(履歴データ!$A$857="","",(履歴データ!$S$857-履歴データ!$R$857)*100)</f>
        <v>153.35417858886703</v>
      </c>
      <c r="H857" s="29">
        <f>IF(履歴データ!$A$857="","",履歴データ!$O$857)</f>
        <v>159.99000549316406</v>
      </c>
      <c r="I857" s="29">
        <f>IF(履歴データ!$A$857="","",履歴データ!$Q$857)</f>
        <v>109.84375</v>
      </c>
      <c r="J857" s="29">
        <f>IF(履歴データ!$A$857="","",履歴データ!$D$857)</f>
        <v>4.47</v>
      </c>
      <c r="K857" s="28">
        <f>IF(OR(履歴データ!$A$857="",履歴データ!$A$856=""),"",B857-B856)</f>
        <v>0.49999999999998934</v>
      </c>
      <c r="L857" s="28">
        <f>IF(OR(履歴データ!$A$857="",履歴データ!$A$856=""),"",C857-C856)</f>
        <v>0.99999999999997868</v>
      </c>
      <c r="M857" s="28">
        <f>IF(OR(履歴データ!$A$857="",履歴データ!$A$856=""),"",D857-D856)</f>
        <v>-4.6000000000000227</v>
      </c>
      <c r="N857" s="28">
        <f>IF(OR(履歴データ!$A$857="",履歴データ!$A$856=""),"",E857-E856)</f>
        <v>0.99999999999997868</v>
      </c>
      <c r="O857" s="28">
        <f>IF(OR(履歴データ!$A$857="",履歴データ!$A$856=""),"",F857-F856)</f>
        <v>8.1500000000000909</v>
      </c>
      <c r="P857" s="28">
        <f>IF(OR(履歴データ!$A$857="",履歴データ!$A$856=""),"",G857-G856)</f>
        <v>-5.7991785888672212</v>
      </c>
      <c r="Q857" s="29">
        <f>IF(OR(履歴データ!$A$857="",履歴データ!$A$856=""),"",H857-H856)</f>
        <v>5.00030517578125E-2</v>
      </c>
      <c r="R857" s="29">
        <f>IF(OR(履歴データ!$A$857="",履歴データ!$A$856=""),"",I857-I856)</f>
        <v>0.125</v>
      </c>
      <c r="S857" s="28">
        <f>IF(OR(履歴データ!$A$857="",履歴データ!$A$856=""),"",(J857-J856)*100)</f>
        <v>-2.0000000000000462</v>
      </c>
      <c r="T857" s="11">
        <f>IF(OR(履歴データ!$A$857="",履歴データ!$A$856=""),"",-80000*K857)</f>
        <v>-39999.999999999149</v>
      </c>
      <c r="U857" s="11">
        <f>IF(OR(履歴データ!$A$857="",履歴データ!$A$856=""),"",60000*L857)</f>
        <v>59999.999999998719</v>
      </c>
      <c r="V857" s="11">
        <f>IF(OR(履歴データ!$A$857="",履歴データ!$A$856=""),"",-50000*M857)</f>
        <v>230000.00000000114</v>
      </c>
      <c r="W857" s="11">
        <f>IF(OR(履歴データ!$A$857="",履歴データ!$A$856=""),"",-40000*N857)</f>
        <v>-39999.999999999149</v>
      </c>
      <c r="X857" s="11">
        <f>IF(OR(履歴データ!$A$857="",履歴データ!$A$856=""),"",120*1000000*(-Q857/H856))</f>
        <v>-37516.356879735096</v>
      </c>
      <c r="Y857" s="11">
        <f>IF(OR(履歴データ!$A$857="",履歴データ!$A$856=""),"",40000*(-S857)+(-506.3)*R857*1000)</f>
        <v>16712.500000001848</v>
      </c>
      <c r="Z857" s="11">
        <f>IF(OR(履歴データ!$A$857="",履歴データ!$A$856=""),"",-40000*O857)</f>
        <v>-326000.00000000361</v>
      </c>
      <c r="AA857" s="11">
        <f>IF(OR(履歴データ!$A$857="",履歴データ!$A$856=""),"",-40000*P857)</f>
        <v>231967.14355468884</v>
      </c>
      <c r="AB857" s="11">
        <f>IF(履歴データ!$A$857="","",123.3)</f>
        <v>123.3</v>
      </c>
      <c r="AC857">
        <f>IF(履歴データ!$A$857="","",SUM(T857:AA857))</f>
        <v>95163.286674953531</v>
      </c>
      <c r="AD857" s="29">
        <f>IF(履歴データ!$A$857="","",AC857/1000000)</f>
        <v>9.5163286674953537E-2</v>
      </c>
      <c r="AE857" s="29">
        <f>IF(履歴データ!$A$857="",AE856,AE856+AC857/1000000)</f>
        <v>70.818310312947631</v>
      </c>
      <c r="AF857" s="12">
        <f>IF(OR(履歴データ!$A$857="",AE856=0),"",(AE857-AE856)/AE856)</f>
        <v>1.345574831951535E-3</v>
      </c>
      <c r="AG857" s="29">
        <f t="shared" si="41"/>
        <v>102.17217746631495</v>
      </c>
      <c r="AH857" s="12">
        <f>IF(OR(履歴データ!$A$857="",AG857=0),"",AE857/AG857-1)</f>
        <v>-0.30687284866473896</v>
      </c>
      <c r="AJ857" s="28">
        <f t="shared" ca="1" si="39"/>
        <v>3.4157951282721495</v>
      </c>
      <c r="AK857" s="28">
        <f t="shared" ca="1" si="40"/>
        <v>-6.8007157631927928</v>
      </c>
    </row>
    <row r="858" spans="1:37">
      <c r="A858" s="10">
        <f>IF(履歴データ!$A$858="","",履歴データ!$A$858)</f>
        <v>46178</v>
      </c>
      <c r="B858" s="28">
        <f>IF(履歴データ!$A$858="","",(履歴データ!$D$858-(履歴データ!$B$858+履歴データ!$F$858)/2)*100)</f>
        <v>-4.0000000000000036</v>
      </c>
      <c r="C858" s="28">
        <f>IF(履歴データ!$A$858="","",(履歴データ!$H$858-(履歴データ!$G$858+履歴データ!$J$858)/2)*100)</f>
        <v>4.2499999999999982</v>
      </c>
      <c r="D858" s="28">
        <f>IF(履歴データ!$A$858="","",(履歴データ!$D$858-履歴データ!$H$858)*100)</f>
        <v>188.09999999999997</v>
      </c>
      <c r="E858" s="28">
        <f>IF(履歴データ!$A$858="","",(履歴データ!$D$858-履歴データ!$C$858)*100)</f>
        <v>25.999999999999979</v>
      </c>
      <c r="F858" s="28">
        <f>IF(履歴データ!$A$858="","",(履歴データ!$R$858-履歴データ!$D$858)*100)</f>
        <v>-349.24</v>
      </c>
      <c r="G858" s="28">
        <f>IF(履歴データ!$A$858="","",(履歴データ!$S$858-履歴データ!$R$858)*100)</f>
        <v>159.49682141113263</v>
      </c>
      <c r="H858" s="29">
        <f>IF(履歴データ!$A$858="","",履歴データ!$O$858)</f>
        <v>159.99000549316406</v>
      </c>
      <c r="I858" s="29">
        <f>IF(履歴データ!$A$858="","",履歴データ!$Q$858)</f>
        <v>109.34375</v>
      </c>
      <c r="J858" s="29">
        <f>IF(履歴データ!$A$858="","",履歴データ!$D$858)</f>
        <v>4.55</v>
      </c>
      <c r="K858" s="28">
        <f>IF(OR(履歴データ!$A$858="",履歴データ!$A$857=""),"",B858-B857)</f>
        <v>0</v>
      </c>
      <c r="L858" s="28">
        <f>IF(OR(履歴データ!$A$858="",履歴データ!$A$857=""),"",C858-C857)</f>
        <v>-0.34999999999998366</v>
      </c>
      <c r="M858" s="28">
        <f>IF(OR(履歴データ!$A$858="",履歴データ!$A$857=""),"",D858-D857)</f>
        <v>8.1999999999999602</v>
      </c>
      <c r="N858" s="28">
        <f>IF(OR(履歴データ!$A$858="",履歴データ!$A$857=""),"",E858-E857)</f>
        <v>-3.0000000000000249</v>
      </c>
      <c r="O858" s="28">
        <f>IF(OR(履歴データ!$A$858="",履歴データ!$A$857=""),"",F858-F857)</f>
        <v>-10.810000000000059</v>
      </c>
      <c r="P858" s="28">
        <f>IF(OR(履歴データ!$A$858="",履歴データ!$A$857=""),"",G858-G857)</f>
        <v>6.1426428222656</v>
      </c>
      <c r="Q858" s="29">
        <f>IF(OR(履歴データ!$A$858="",履歴データ!$A$857=""),"",H858-H857)</f>
        <v>0</v>
      </c>
      <c r="R858" s="29">
        <f>IF(OR(履歴データ!$A$858="",履歴データ!$A$857=""),"",I858-I857)</f>
        <v>-0.5</v>
      </c>
      <c r="S858" s="28">
        <f>IF(OR(履歴データ!$A$858="",履歴データ!$A$857=""),"",(J858-J857)*100)</f>
        <v>8.0000000000000071</v>
      </c>
      <c r="T858" s="11">
        <f>IF(OR(履歴データ!$A$858="",履歴データ!$A$857=""),"",-80000*K858)</f>
        <v>0</v>
      </c>
      <c r="U858" s="11">
        <f>IF(OR(履歴データ!$A$858="",履歴データ!$A$857=""),"",60000*L858)</f>
        <v>-20999.999999999018</v>
      </c>
      <c r="V858" s="11">
        <f>IF(OR(履歴データ!$A$858="",履歴データ!$A$857=""),"",-50000*M858)</f>
        <v>-409999.99999999802</v>
      </c>
      <c r="W858" s="11">
        <f>IF(OR(履歴データ!$A$858="",履歴データ!$A$857=""),"",-40000*N858)</f>
        <v>120000.00000000099</v>
      </c>
      <c r="X858" s="11">
        <f>IF(OR(履歴データ!$A$858="",履歴データ!$A$857=""),"",120*1000000*(-Q858/H857))</f>
        <v>0</v>
      </c>
      <c r="Y858" s="11">
        <f>IF(OR(履歴データ!$A$858="",履歴データ!$A$857=""),"",40000*(-S858)+(-506.3)*R858*1000)</f>
        <v>-66850.000000000291</v>
      </c>
      <c r="Z858" s="11">
        <f>IF(OR(履歴データ!$A$858="",履歴データ!$A$857=""),"",-40000*O858)</f>
        <v>432400.00000000239</v>
      </c>
      <c r="AA858" s="11">
        <f>IF(OR(履歴データ!$A$858="",履歴データ!$A$857=""),"",-40000*P858)</f>
        <v>-245705.71289062401</v>
      </c>
      <c r="AB858" s="11">
        <f>IF(履歴データ!$A$858="","",123.3)</f>
        <v>123.3</v>
      </c>
      <c r="AC858">
        <f>IF(履歴データ!$A$858="","",SUM(T858:AA858))</f>
        <v>-191155.71289061796</v>
      </c>
      <c r="AD858" s="29">
        <f>IF(履歴データ!$A$858="","",AC858/1000000)</f>
        <v>-0.19115571289061795</v>
      </c>
      <c r="AE858" s="29">
        <f>IF(履歴データ!$A$858="",AE857,AE857+AC858/1000000)</f>
        <v>70.627154600057011</v>
      </c>
      <c r="AF858" s="12">
        <f>IF(OR(履歴データ!$A$858="",AE857=0),"",(AE858-AE857)/AE857)</f>
        <v>-2.6992413691586037E-3</v>
      </c>
      <c r="AG858" s="29">
        <f t="shared" si="41"/>
        <v>102.17217746631495</v>
      </c>
      <c r="AH858" s="12">
        <f>IF(OR(履歴データ!$A$858="",AG858=0),"",AE858/AG858-1)</f>
        <v>-0.30874376614571009</v>
      </c>
      <c r="AJ858" s="28">
        <f t="shared" ca="1" si="39"/>
        <v>3.4113870155488977</v>
      </c>
      <c r="AK858" s="28">
        <f t="shared" ca="1" si="40"/>
        <v>-6.8201171742790647</v>
      </c>
    </row>
    <row r="859" spans="1:37">
      <c r="A859" s="10">
        <f>IF(履歴データ!$A$859="","",履歴データ!$A$859)</f>
        <v>46181</v>
      </c>
      <c r="B859" s="28">
        <f>IF(履歴データ!$A$859="","",(履歴データ!$D$859-(履歴データ!$B$859+履歴データ!$F$859)/2)*100)</f>
        <v>-3.0000000000000249</v>
      </c>
      <c r="C859" s="28">
        <f>IF(履歴データ!$A$859="","",(履歴データ!$H$859-(履歴データ!$G$859+履歴データ!$J$859)/2)*100)</f>
        <v>6.7000000000000171</v>
      </c>
      <c r="D859" s="28">
        <f>IF(履歴データ!$A$859="","",(履歴データ!$D$859-履歴データ!$H$859)*100)</f>
        <v>184.49999999999997</v>
      </c>
      <c r="E859" s="28">
        <f>IF(履歴データ!$A$859="","",(履歴データ!$D$859-履歴データ!$C$859)*100)</f>
        <v>26.999999999999957</v>
      </c>
      <c r="F859" s="28">
        <f>IF(履歴データ!$A$859="","",(履歴データ!$R$859-履歴データ!$D$859)*100)</f>
        <v>-345.40999999999997</v>
      </c>
      <c r="G859" s="28">
        <f>IF(履歴データ!$A$859="","",(履歴データ!$S$859-履歴データ!$R$859)*100)</f>
        <v>156.94699999999989</v>
      </c>
      <c r="H859" s="29">
        <f>IF(履歴データ!$A$859="","",履歴データ!$O$859)</f>
        <v>160.17399597167969</v>
      </c>
      <c r="I859" s="29">
        <f>IF(履歴データ!$A$859="","",履歴データ!$Q$859)</f>
        <v>109.296875</v>
      </c>
      <c r="J859" s="29">
        <f>IF(履歴データ!$A$859="","",履歴データ!$D$859)</f>
        <v>4.5599999999999996</v>
      </c>
      <c r="K859" s="28">
        <f>IF(OR(履歴データ!$A$859="",履歴データ!$A$858=""),"",B859-B858)</f>
        <v>0.99999999999997868</v>
      </c>
      <c r="L859" s="28">
        <f>IF(OR(履歴データ!$A$859="",履歴データ!$A$858=""),"",C859-C858)</f>
        <v>2.4500000000000188</v>
      </c>
      <c r="M859" s="28">
        <f>IF(OR(履歴データ!$A$859="",履歴データ!$A$858=""),"",D859-D858)</f>
        <v>-3.5999999999999943</v>
      </c>
      <c r="N859" s="28">
        <f>IF(OR(履歴データ!$A$859="",履歴データ!$A$858=""),"",E859-E858)</f>
        <v>0.99999999999997868</v>
      </c>
      <c r="O859" s="28">
        <f>IF(OR(履歴データ!$A$859="",履歴データ!$A$858=""),"",F859-F858)</f>
        <v>3.8300000000000409</v>
      </c>
      <c r="P859" s="28">
        <f>IF(OR(履歴データ!$A$859="",履歴データ!$A$858=""),"",G859-G858)</f>
        <v>-2.54982141113274</v>
      </c>
      <c r="Q859" s="29">
        <f>IF(OR(履歴データ!$A$859="",履歴データ!$A$858=""),"",H859-H858)</f>
        <v>0.183990478515625</v>
      </c>
      <c r="R859" s="29">
        <f>IF(OR(履歴データ!$A$859="",履歴データ!$A$858=""),"",I859-I858)</f>
        <v>-4.6875E-2</v>
      </c>
      <c r="S859" s="28">
        <f>IF(OR(履歴データ!$A$859="",履歴データ!$A$858=""),"",(J859-J858)*100)</f>
        <v>0.99999999999997868</v>
      </c>
      <c r="T859" s="11">
        <f>IF(OR(履歴データ!$A$859="",履歴データ!$A$858=""),"",-80000*K859)</f>
        <v>-79999.999999998297</v>
      </c>
      <c r="U859" s="11">
        <f>IF(OR(履歴データ!$A$859="",履歴データ!$A$858=""),"",60000*L859)</f>
        <v>147000.00000000114</v>
      </c>
      <c r="V859" s="11">
        <f>IF(OR(履歴データ!$A$859="",履歴データ!$A$858=""),"",-50000*M859)</f>
        <v>179999.99999999971</v>
      </c>
      <c r="W859" s="11">
        <f>IF(OR(履歴データ!$A$859="",履歴データ!$A$858=""),"",-40000*N859)</f>
        <v>-39999.999999999149</v>
      </c>
      <c r="X859" s="11">
        <f>IF(OR(履歴データ!$A$859="",履歴データ!$A$858=""),"",120*1000000*(-Q859/H858))</f>
        <v>-138001.47924126653</v>
      </c>
      <c r="Y859" s="11">
        <f>IF(OR(履歴データ!$A$859="",履歴データ!$A$858=""),"",40000*(-S859)+(-506.3)*R859*1000)</f>
        <v>-16267.187499999149</v>
      </c>
      <c r="Z859" s="11">
        <f>IF(OR(履歴データ!$A$859="",履歴データ!$A$858=""),"",-40000*O859)</f>
        <v>-153200.00000000163</v>
      </c>
      <c r="AA859" s="11">
        <f>IF(OR(履歴データ!$A$859="",履歴データ!$A$858=""),"",-40000*P859)</f>
        <v>101992.8564453096</v>
      </c>
      <c r="AB859" s="11">
        <f>IF(履歴データ!$A$859="","",123.3)</f>
        <v>123.3</v>
      </c>
      <c r="AC859">
        <f>IF(履歴データ!$A$859="","",SUM(T859:AA859))</f>
        <v>1524.189704045697</v>
      </c>
      <c r="AD859" s="29">
        <f>IF(履歴データ!$A$859="","",AC859/1000000)</f>
        <v>1.524189704045697E-3</v>
      </c>
      <c r="AE859" s="29">
        <f>IF(履歴データ!$A$859="",AE858,AE858+AC859/1000000)</f>
        <v>70.628678789761054</v>
      </c>
      <c r="AF859" s="12">
        <f>IF(OR(履歴データ!$A$859="",AE858=0),"",(AE859-AE858)/AE858)</f>
        <v>2.1580788758568015E-5</v>
      </c>
      <c r="AG859" s="29">
        <f t="shared" si="41"/>
        <v>102.17217746631495</v>
      </c>
      <c r="AH859" s="12">
        <f>IF(OR(履歴データ!$A$859="",AG859=0),"",AE859/AG859-1)</f>
        <v>-0.30872884829094926</v>
      </c>
      <c r="AJ859" s="28">
        <f t="shared" ca="1" si="39"/>
        <v>3.4052673466839138</v>
      </c>
      <c r="AK859" s="28">
        <f t="shared" ca="1" si="40"/>
        <v>-6.8298705212870967</v>
      </c>
    </row>
    <row r="860" spans="1:37">
      <c r="A860" s="10">
        <f>IF(履歴データ!$A$860="","",履歴データ!$A$860)</f>
        <v>46182</v>
      </c>
      <c r="B860" s="28">
        <f>IF(履歴データ!$A$860="","",(履歴データ!$D$860-(履歴データ!$B$860+履歴データ!$F$860)/2)*100)</f>
        <v>-4.0000000000000036</v>
      </c>
      <c r="C860" s="28">
        <f>IF(履歴データ!$A$860="","",(履歴データ!$H$860-(履歴データ!$G$860+履歴データ!$J$860)/2)*100)</f>
        <v>4.7499999999999876</v>
      </c>
      <c r="D860" s="28">
        <f>IF(履歴データ!$A$860="","",(履歴データ!$D$860-履歴データ!$H$860)*100)</f>
        <v>186.10000000000002</v>
      </c>
      <c r="E860" s="28">
        <f>IF(履歴データ!$A$860="","",(履歴データ!$D$860-履歴データ!$C$860)*100)</f>
        <v>27.000000000000046</v>
      </c>
      <c r="F860" s="28">
        <f>IF(履歴データ!$A$860="","",(履歴データ!$R$860-履歴データ!$D$860)*100)</f>
        <v>-342.67</v>
      </c>
      <c r="G860" s="28">
        <f>IF(履歴データ!$A$860="","",(履歴データ!$S$860-履歴データ!$R$860)*100)</f>
        <v>153.69899999999984</v>
      </c>
      <c r="H860" s="29">
        <f>IF(履歴データ!$A$860="","",履歴データ!$O$860)</f>
        <v>160.38400268554688</v>
      </c>
      <c r="I860" s="29">
        <f>IF(履歴データ!$A$860="","",履歴データ!$Q$860)</f>
        <v>109.484375</v>
      </c>
      <c r="J860" s="29">
        <f>IF(履歴データ!$A$860="","",履歴データ!$D$860)</f>
        <v>4.53</v>
      </c>
      <c r="K860" s="28">
        <f>IF(OR(履歴データ!$A$860="",履歴データ!$A$859=""),"",B860-B859)</f>
        <v>-0.99999999999997868</v>
      </c>
      <c r="L860" s="28">
        <f>IF(OR(履歴データ!$A$860="",履歴データ!$A$859=""),"",C860-C859)</f>
        <v>-1.9500000000000295</v>
      </c>
      <c r="M860" s="28">
        <f>IF(OR(履歴データ!$A$860="",履歴データ!$A$859=""),"",D860-D859)</f>
        <v>1.6000000000000512</v>
      </c>
      <c r="N860" s="28">
        <f>IF(OR(履歴データ!$A$860="",履歴データ!$A$859=""),"",E860-E859)</f>
        <v>8.8817841970012523E-14</v>
      </c>
      <c r="O860" s="28">
        <f>IF(OR(履歴データ!$A$860="",履歴データ!$A$859=""),"",F860-F859)</f>
        <v>2.7399999999999523</v>
      </c>
      <c r="P860" s="28">
        <f>IF(OR(履歴データ!$A$860="",履歴データ!$A$859=""),"",G860-G859)</f>
        <v>-3.2480000000000473</v>
      </c>
      <c r="Q860" s="29">
        <f>IF(OR(履歴データ!$A$860="",履歴データ!$A$859=""),"",H860-H859)</f>
        <v>0.2100067138671875</v>
      </c>
      <c r="R860" s="29">
        <f>IF(OR(履歴データ!$A$860="",履歴データ!$A$859=""),"",I860-I859)</f>
        <v>0.1875</v>
      </c>
      <c r="S860" s="28">
        <f>IF(OR(履歴データ!$A$860="",履歴データ!$A$859=""),"",(J860-J859)*100)</f>
        <v>-2.9999999999999361</v>
      </c>
      <c r="T860" s="11">
        <f>IF(OR(履歴データ!$A$860="",履歴データ!$A$859=""),"",-80000*K860)</f>
        <v>79999.999999998297</v>
      </c>
      <c r="U860" s="11">
        <f>IF(OR(履歴データ!$A$860="",履歴データ!$A$859=""),"",60000*L860)</f>
        <v>-117000.00000000178</v>
      </c>
      <c r="V860" s="11">
        <f>IF(OR(履歴データ!$A$860="",履歴データ!$A$859=""),"",-50000*M860)</f>
        <v>-80000.000000002561</v>
      </c>
      <c r="W860" s="11">
        <f>IF(OR(履歴データ!$A$860="",履歴データ!$A$859=""),"",-40000*N860)</f>
        <v>-3.5527136788005009E-9</v>
      </c>
      <c r="X860" s="11">
        <f>IF(OR(履歴データ!$A$860="",履歴データ!$A$859=""),"",120*1000000*(-Q860/H859))</f>
        <v>-157333.93870324772</v>
      </c>
      <c r="Y860" s="11">
        <f>IF(OR(履歴データ!$A$860="",履歴データ!$A$859=""),"",40000*(-S860)+(-506.3)*R860*1000)</f>
        <v>25068.749999997439</v>
      </c>
      <c r="Z860" s="11">
        <f>IF(OR(履歴データ!$A$860="",履歴データ!$A$859=""),"",-40000*O860)</f>
        <v>-109599.99999999809</v>
      </c>
      <c r="AA860" s="11">
        <f>IF(OR(履歴データ!$A$860="",履歴データ!$A$859=""),"",-40000*P860)</f>
        <v>129920.00000000189</v>
      </c>
      <c r="AB860" s="11">
        <f>IF(履歴データ!$A$860="","",123.3)</f>
        <v>123.3</v>
      </c>
      <c r="AC860">
        <f>IF(履歴データ!$A$860="","",SUM(T860:AA860))</f>
        <v>-228945.18870325605</v>
      </c>
      <c r="AD860" s="29">
        <f>IF(履歴データ!$A$860="","",AC860/1000000)</f>
        <v>-0.22894518870325606</v>
      </c>
      <c r="AE860" s="29">
        <f>IF(履歴データ!$A$860="",AE859,AE859+AC860/1000000)</f>
        <v>70.399733601057804</v>
      </c>
      <c r="AF860" s="12">
        <f>IF(OR(履歴データ!$A$860="",AE859=0),"",(AE860-AE859)/AE859)</f>
        <v>-3.2415329385495988E-3</v>
      </c>
      <c r="AG860" s="29">
        <f t="shared" si="41"/>
        <v>102.17217746631495</v>
      </c>
      <c r="AH860" s="12">
        <f>IF(OR(履歴データ!$A$860="",AG860=0),"",AE860/AG860-1)</f>
        <v>-0.31096962649868332</v>
      </c>
      <c r="AJ860" s="28">
        <f t="shared" ca="1" si="39"/>
        <v>3.3928778912329172</v>
      </c>
      <c r="AK860" s="28">
        <f t="shared" ca="1" si="40"/>
        <v>-6.8492270975821317</v>
      </c>
    </row>
    <row r="861" spans="1:37">
      <c r="A861" s="10">
        <f>IF(履歴データ!$A$861="","",履歴データ!$A$861)</f>
        <v>46183</v>
      </c>
      <c r="B861" s="28">
        <f>IF(履歴データ!$A$861="","",(履歴データ!$D$861-(履歴データ!$B$861+履歴データ!$F$861)/2)*100)</f>
        <v>-3.0000000000000249</v>
      </c>
      <c r="C861" s="28">
        <f>IF(履歴データ!$A$861="","",(履歴データ!$H$861-(履歴データ!$G$861+履歴データ!$J$861)/2)*100)</f>
        <v>6.25</v>
      </c>
      <c r="D861" s="28">
        <f>IF(履歴データ!$A$861="","",(履歴データ!$D$861-履歴データ!$H$861)*100)</f>
        <v>186.89999999999998</v>
      </c>
      <c r="E861" s="28">
        <f>IF(履歴データ!$A$861="","",(履歴データ!$D$861-履歴データ!$C$861)*100)</f>
        <v>28.000000000000025</v>
      </c>
      <c r="F861" s="28">
        <f>IF(履歴データ!$A$861="","",(履歴データ!$R$861-履歴データ!$D$861)*100)</f>
        <v>-342.42999999999995</v>
      </c>
      <c r="G861" s="28">
        <f>IF(履歴データ!$A$861="","",(履歴データ!$S$861-履歴データ!$R$861)*100)</f>
        <v>153.56382141113266</v>
      </c>
      <c r="H861" s="29">
        <f>IF(履歴データ!$A$861="","",履歴データ!$O$861)</f>
        <v>160.52699279785156</v>
      </c>
      <c r="I861" s="29">
        <f>IF(履歴データ!$A$861="","",履歴データ!$Q$861)</f>
        <v>109.40625</v>
      </c>
      <c r="J861" s="29">
        <f>IF(履歴データ!$A$861="","",履歴データ!$D$861)</f>
        <v>4.55</v>
      </c>
      <c r="K861" s="28">
        <f>IF(OR(履歴データ!$A$861="",履歴データ!$A$860=""),"",B861-B860)</f>
        <v>0.99999999999997868</v>
      </c>
      <c r="L861" s="28">
        <f>IF(OR(履歴データ!$A$861="",履歴データ!$A$860=""),"",C861-C860)</f>
        <v>1.5000000000000124</v>
      </c>
      <c r="M861" s="28">
        <f>IF(OR(履歴データ!$A$861="",履歴データ!$A$860=""),"",D861-D860)</f>
        <v>0.79999999999995453</v>
      </c>
      <c r="N861" s="28">
        <f>IF(OR(履歴データ!$A$861="",履歴データ!$A$860=""),"",E861-E860)</f>
        <v>0.99999999999997868</v>
      </c>
      <c r="O861" s="28">
        <f>IF(OR(履歴データ!$A$861="",履歴データ!$A$860=""),"",F861-F860)</f>
        <v>0.24000000000006594</v>
      </c>
      <c r="P861" s="28">
        <f>IF(OR(履歴データ!$A$861="",履歴データ!$A$860=""),"",G861-G860)</f>
        <v>-0.13517858886717704</v>
      </c>
      <c r="Q861" s="29">
        <f>IF(OR(履歴データ!$A$861="",履歴データ!$A$860=""),"",H861-H860)</f>
        <v>0.1429901123046875</v>
      </c>
      <c r="R861" s="29">
        <f>IF(OR(履歴データ!$A$861="",履歴データ!$A$860=""),"",I861-I860)</f>
        <v>-7.8125E-2</v>
      </c>
      <c r="S861" s="28">
        <f>IF(OR(履歴データ!$A$861="",履歴データ!$A$860=""),"",(J861-J860)*100)</f>
        <v>1.9999999999999574</v>
      </c>
      <c r="T861" s="11">
        <f>IF(OR(履歴データ!$A$861="",履歴データ!$A$860=""),"",-80000*K861)</f>
        <v>-79999.999999998297</v>
      </c>
      <c r="U861" s="11">
        <f>IF(OR(履歴データ!$A$861="",履歴データ!$A$860=""),"",60000*L861)</f>
        <v>90000.000000000742</v>
      </c>
      <c r="V861" s="11">
        <f>IF(OR(履歴データ!$A$861="",履歴データ!$A$860=""),"",-50000*M861)</f>
        <v>-39999.99999999773</v>
      </c>
      <c r="W861" s="11">
        <f>IF(OR(履歴データ!$A$861="",履歴データ!$A$860=""),"",-40000*N861)</f>
        <v>-39999.999999999149</v>
      </c>
      <c r="X861" s="11">
        <f>IF(OR(履歴データ!$A$861="",履歴データ!$A$860=""),"",120*1000000*(-Q861/H860))</f>
        <v>-106985.8164732584</v>
      </c>
      <c r="Y861" s="11">
        <f>IF(OR(履歴データ!$A$861="",履歴データ!$A$860=""),"",40000*(-S861)+(-506.3)*R861*1000)</f>
        <v>-40445.312499998297</v>
      </c>
      <c r="Z861" s="11">
        <f>IF(OR(履歴データ!$A$861="",履歴データ!$A$860=""),"",-40000*O861)</f>
        <v>-9600.0000000026375</v>
      </c>
      <c r="AA861" s="11">
        <f>IF(OR(履歴データ!$A$861="",履歴データ!$A$860=""),"",-40000*P861)</f>
        <v>5407.1435546870816</v>
      </c>
      <c r="AB861" s="11">
        <f>IF(履歴データ!$A$861="","",123.3)</f>
        <v>123.3</v>
      </c>
      <c r="AC861">
        <f>IF(履歴データ!$A$861="","",SUM(T861:AA861))</f>
        <v>-221623.98541856671</v>
      </c>
      <c r="AD861" s="29">
        <f>IF(履歴データ!$A$861="","",AC861/1000000)</f>
        <v>-0.2216239854185667</v>
      </c>
      <c r="AE861" s="29">
        <f>IF(履歴データ!$A$861="",AE860,AE860+AC861/1000000)</f>
        <v>70.178109615639244</v>
      </c>
      <c r="AF861" s="12">
        <f>IF(OR(履歴データ!$A$861="",AE860=0),"",(AE861-AE860)/AE860)</f>
        <v>-3.1480798872686381E-3</v>
      </c>
      <c r="AG861" s="29">
        <f t="shared" si="41"/>
        <v>102.17217746631495</v>
      </c>
      <c r="AH861" s="12">
        <f>IF(OR(履歴データ!$A$861="",AG861=0),"",AE861/AG861-1)</f>
        <v>-0.31313874915922002</v>
      </c>
      <c r="AJ861" s="28">
        <f t="shared" ca="1" si="39"/>
        <v>3.3737025096812738</v>
      </c>
      <c r="AK861" s="28">
        <f t="shared" ca="1" si="40"/>
        <v>-6.8578294938082669</v>
      </c>
    </row>
    <row r="862" spans="1:37">
      <c r="A862" s="10">
        <f>IF(履歴データ!$A$862="","",履歴データ!$A$862)</f>
        <v>46184</v>
      </c>
      <c r="B862" s="28">
        <f>IF(履歴データ!$A$862="","",(履歴データ!$D$862-(履歴データ!$B$862+履歴データ!$F$862)/2)*100)</f>
        <v>-4.9999999999999822</v>
      </c>
      <c r="C862" s="28">
        <f>IF(履歴データ!$A$862="","",(履歴データ!$H$862-(履歴データ!$G$862+履歴データ!$J$862)/2)*100)</f>
        <v>5.699999999999994</v>
      </c>
      <c r="D862" s="28">
        <f>IF(履歴データ!$A$862="","",(履歴データ!$D$862-履歴データ!$H$862)*100)</f>
        <v>176.8</v>
      </c>
      <c r="E862" s="28">
        <f>IF(履歴データ!$A$862="","",(履歴データ!$D$862-履歴データ!$C$862)*100)</f>
        <v>27.000000000000046</v>
      </c>
      <c r="F862" s="28">
        <f>IF(履歴データ!$A$862="","",(履歴データ!$R$862-履歴データ!$D$862)*100)</f>
        <v>-329.92</v>
      </c>
      <c r="G862" s="28">
        <f>IF(履歴データ!$A$862="","",(履歴データ!$S$862-履歴データ!$R$862)*100)</f>
        <v>147.72117858886705</v>
      </c>
      <c r="H862" s="29">
        <f>IF(履歴データ!$A$862="","",履歴データ!$O$862)</f>
        <v>160.1300048828125</v>
      </c>
      <c r="I862" s="29">
        <f>IF(履歴データ!$A$862="","",履歴データ!$Q$862)</f>
        <v>109.9375</v>
      </c>
      <c r="J862" s="29">
        <f>IF(履歴データ!$A$862="","",履歴データ!$D$862)</f>
        <v>4.45</v>
      </c>
      <c r="K862" s="28">
        <f>IF(OR(履歴データ!$A$862="",履歴データ!$A$861=""),"",B862-B861)</f>
        <v>-1.9999999999999574</v>
      </c>
      <c r="L862" s="28">
        <f>IF(OR(履歴データ!$A$862="",履歴データ!$A$861=""),"",C862-C861)</f>
        <v>-0.55000000000000604</v>
      </c>
      <c r="M862" s="28">
        <f>IF(OR(履歴データ!$A$862="",履歴データ!$A$861=""),"",D862-D861)</f>
        <v>-10.099999999999966</v>
      </c>
      <c r="N862" s="28">
        <f>IF(OR(履歴データ!$A$862="",履歴データ!$A$861=""),"",E862-E861)</f>
        <v>-0.99999999999997868</v>
      </c>
      <c r="O862" s="28">
        <f>IF(OR(履歴データ!$A$862="",履歴データ!$A$861=""),"",F862-F861)</f>
        <v>12.509999999999934</v>
      </c>
      <c r="P862" s="28">
        <f>IF(OR(履歴データ!$A$862="",履歴データ!$A$861=""),"",G862-G861)</f>
        <v>-5.842642822265617</v>
      </c>
      <c r="Q862" s="29">
        <f>IF(OR(履歴データ!$A$862="",履歴データ!$A$861=""),"",H862-H861)</f>
        <v>-0.3969879150390625</v>
      </c>
      <c r="R862" s="29">
        <f>IF(OR(履歴データ!$A$862="",履歴データ!$A$861=""),"",I862-I861)</f>
        <v>0.53125</v>
      </c>
      <c r="S862" s="28">
        <f>IF(OR(履歴データ!$A$862="",履歴データ!$A$861=""),"",(J862-J861)*100)</f>
        <v>-9.9999999999999645</v>
      </c>
      <c r="T862" s="11">
        <f>IF(OR(履歴データ!$A$862="",履歴データ!$A$861=""),"",-80000*K862)</f>
        <v>159999.99999999659</v>
      </c>
      <c r="U862" s="11">
        <f>IF(OR(履歴データ!$A$862="",履歴データ!$A$861=""),"",60000*L862)</f>
        <v>-33000.000000000364</v>
      </c>
      <c r="V862" s="11">
        <f>IF(OR(履歴データ!$A$862="",履歴データ!$A$861=""),"",-50000*M862)</f>
        <v>504999.99999999831</v>
      </c>
      <c r="W862" s="11">
        <f>IF(OR(履歴データ!$A$862="",履歴データ!$A$861=""),"",-40000*N862)</f>
        <v>39999.999999999149</v>
      </c>
      <c r="X862" s="11">
        <f>IF(OR(履歴データ!$A$862="",履歴データ!$A$861=""),"",120*1000000*(-Q862/H861))</f>
        <v>296763.48490921879</v>
      </c>
      <c r="Y862" s="11">
        <f>IF(OR(履歴データ!$A$862="",履歴データ!$A$861=""),"",40000*(-S862)+(-506.3)*R862*1000)</f>
        <v>131028.1249999986</v>
      </c>
      <c r="Z862" s="11">
        <f>IF(OR(履歴データ!$A$862="",履歴データ!$A$861=""),"",-40000*O862)</f>
        <v>-500399.99999999738</v>
      </c>
      <c r="AA862" s="11">
        <f>IF(OR(履歴データ!$A$862="",履歴データ!$A$861=""),"",-40000*P862)</f>
        <v>233705.71289062468</v>
      </c>
      <c r="AB862" s="11">
        <f>IF(履歴データ!$A$862="","",123.3)</f>
        <v>123.3</v>
      </c>
      <c r="AC862">
        <f>IF(履歴データ!$A$862="","",SUM(T862:AA862))</f>
        <v>833097.32279983826</v>
      </c>
      <c r="AD862" s="29">
        <f>IF(履歴データ!$A$862="","",AC862/1000000)</f>
        <v>0.83309732279983828</v>
      </c>
      <c r="AE862" s="29">
        <f>IF(履歴データ!$A$862="",AE861,AE861+AC862/1000000)</f>
        <v>71.011206938439088</v>
      </c>
      <c r="AF862" s="12">
        <f>IF(OR(履歴データ!$A$862="",AE861=0),"",(AE862-AE861)/AE861)</f>
        <v>1.1871185008582617E-2</v>
      </c>
      <c r="AG862" s="29">
        <f t="shared" si="41"/>
        <v>102.17217746631495</v>
      </c>
      <c r="AH862" s="12">
        <f>IF(OR(履歴データ!$A$862="",AG862=0),"",AE862/AG862-1)</f>
        <v>-0.30498489217526259</v>
      </c>
      <c r="AJ862" s="28">
        <f t="shared" ca="1" si="39"/>
        <v>3.3544894400731562</v>
      </c>
      <c r="AK862" s="28">
        <f t="shared" ca="1" si="40"/>
        <v>-6.8862354718191963</v>
      </c>
    </row>
    <row r="863" spans="1:37">
      <c r="A863" s="10">
        <f>IF(履歴データ!$A$863="","",履歴データ!$A$863)</f>
        <v>46185</v>
      </c>
      <c r="B863" s="28">
        <f>IF(履歴データ!$A$863="","",(履歴データ!$D$863-(履歴データ!$B$863+履歴データ!$F$863)/2)*100)</f>
        <v>-4.9999999999998934</v>
      </c>
      <c r="C863" s="28">
        <f>IF(履歴データ!$A$863="","",(履歴データ!$H$863-(履歴データ!$G$863+履歴データ!$J$863)/2)*100)</f>
        <v>5.0999999999999712</v>
      </c>
      <c r="D863" s="28">
        <f>IF(履歴データ!$A$863="","",(履歴データ!$D$863-履歴データ!$H$863)*100)</f>
        <v>183.70000000000007</v>
      </c>
      <c r="E863" s="28">
        <f>IF(履歴データ!$A$863="","",(履歴データ!$D$863-履歴データ!$C$863)*100)</f>
        <v>27.000000000000046</v>
      </c>
      <c r="F863" s="28">
        <f>IF(履歴データ!$A$863="","",(履歴データ!$R$863-履歴データ!$D$863)*100)</f>
        <v>-339.94000000000005</v>
      </c>
      <c r="G863" s="28">
        <f>IF(履歴データ!$A$863="","",(履歴データ!$S$863-履歴データ!$R$863)*100)</f>
        <v>150.53164282226547</v>
      </c>
      <c r="H863" s="29">
        <f>IF(履歴データ!$A$863="","",履歴データ!$O$863)</f>
        <v>160.1300048828125</v>
      </c>
      <c r="I863" s="29">
        <f>IF(履歴データ!$A$863="","",履歴データ!$Q$863)</f>
        <v>109.78125</v>
      </c>
      <c r="J863" s="29">
        <f>IF(履歴データ!$A$863="","",履歴データ!$D$863)</f>
        <v>4.4800000000000004</v>
      </c>
      <c r="K863" s="28">
        <f>IF(OR(履歴データ!$A$863="",履歴データ!$A$862=""),"",B863-B862)</f>
        <v>8.8817841970012523E-14</v>
      </c>
      <c r="L863" s="28">
        <f>IF(OR(履歴データ!$A$863="",履歴データ!$A$862=""),"",C863-C862)</f>
        <v>-0.60000000000002274</v>
      </c>
      <c r="M863" s="28">
        <f>IF(OR(履歴データ!$A$863="",履歴データ!$A$862=""),"",D863-D862)</f>
        <v>6.9000000000000625</v>
      </c>
      <c r="N863" s="28">
        <f>IF(OR(履歴データ!$A$863="",履歴データ!$A$862=""),"",E863-E862)</f>
        <v>0</v>
      </c>
      <c r="O863" s="28">
        <f>IF(OR(履歴データ!$A$863="",履歴データ!$A$862=""),"",F863-F862)</f>
        <v>-10.020000000000039</v>
      </c>
      <c r="P863" s="28">
        <f>IF(OR(履歴データ!$A$863="",履歴データ!$A$862=""),"",G863-G862)</f>
        <v>2.8104642333984202</v>
      </c>
      <c r="Q863" s="29">
        <f>IF(OR(履歴データ!$A$863="",履歴データ!$A$862=""),"",H863-H862)</f>
        <v>0</v>
      </c>
      <c r="R863" s="29">
        <f>IF(OR(履歴データ!$A$863="",履歴データ!$A$862=""),"",I863-I862)</f>
        <v>-0.15625</v>
      </c>
      <c r="S863" s="28">
        <f>IF(OR(履歴データ!$A$863="",履歴データ!$A$862=""),"",(J863-J862)*100)</f>
        <v>3.0000000000000249</v>
      </c>
      <c r="T863" s="11">
        <f>IF(OR(履歴データ!$A$863="",履歴データ!$A$862=""),"",-80000*K863)</f>
        <v>-7.1054273576010019E-9</v>
      </c>
      <c r="U863" s="11">
        <f>IF(OR(履歴データ!$A$863="",履歴データ!$A$862=""),"",60000*L863)</f>
        <v>-36000.000000001368</v>
      </c>
      <c r="V863" s="11">
        <f>IF(OR(履歴データ!$A$863="",履歴データ!$A$862=""),"",-50000*M863)</f>
        <v>-345000.00000000314</v>
      </c>
      <c r="W863" s="11">
        <f>IF(OR(履歴データ!$A$863="",履歴データ!$A$862=""),"",-40000*N863)</f>
        <v>0</v>
      </c>
      <c r="X863" s="11">
        <f>IF(OR(履歴データ!$A$863="",履歴データ!$A$862=""),"",120*1000000*(-Q863/H862))</f>
        <v>0</v>
      </c>
      <c r="Y863" s="11">
        <f>IF(OR(履歴データ!$A$863="",履歴データ!$A$862=""),"",40000*(-S863)+(-506.3)*R863*1000)</f>
        <v>-40890.62500000099</v>
      </c>
      <c r="Z863" s="11">
        <f>IF(OR(履歴データ!$A$863="",履歴データ!$A$862=""),"",-40000*O863)</f>
        <v>400800.00000000157</v>
      </c>
      <c r="AA863" s="11">
        <f>IF(OR(履歴データ!$A$863="",履歴データ!$A$862=""),"",-40000*P863)</f>
        <v>-112418.5693359368</v>
      </c>
      <c r="AB863" s="11">
        <f>IF(履歴データ!$A$863="","",123.3)</f>
        <v>123.3</v>
      </c>
      <c r="AC863">
        <f>IF(履歴データ!$A$863="","",SUM(T863:AA863))</f>
        <v>-133509.19433594786</v>
      </c>
      <c r="AD863" s="29">
        <f>IF(履歴データ!$A$863="","",AC863/1000000)</f>
        <v>-0.13350919433594785</v>
      </c>
      <c r="AE863" s="29">
        <f>IF(履歴データ!$A$863="",AE862,AE862+AC863/1000000)</f>
        <v>70.877697744103145</v>
      </c>
      <c r="AF863" s="12">
        <f>IF(OR(履歴データ!$A$863="",AE862=0),"",(AE863-AE862)/AE862)</f>
        <v>-1.8801144226668976E-3</v>
      </c>
      <c r="AG863" s="29">
        <f t="shared" si="41"/>
        <v>102.17217746631495</v>
      </c>
      <c r="AH863" s="12">
        <f>IF(OR(履歴データ!$A$863="",AG863=0),"",AE863/AG863-1)</f>
        <v>-0.30629160010345524</v>
      </c>
      <c r="AJ863" s="28">
        <f t="shared" ca="1" si="39"/>
        <v>3.3459056388957356</v>
      </c>
      <c r="AK863" s="28">
        <f t="shared" ca="1" si="40"/>
        <v>-6.9173342103243138</v>
      </c>
    </row>
    <row r="864" spans="1:37">
      <c r="A864" s="10">
        <f>IF(履歴データ!$A$864="","",履歴データ!$A$864)</f>
        <v>46188</v>
      </c>
      <c r="B864" s="28">
        <f>IF(履歴データ!$A$864="","",(履歴データ!$D$864-(履歴データ!$B$864+履歴データ!$F$864)/2)*100)</f>
        <v>-4.9999999999999822</v>
      </c>
      <c r="C864" s="28">
        <f>IF(履歴データ!$A$864="","",(履歴データ!$H$864-(履歴データ!$G$864+履歴データ!$J$864)/2)*100)</f>
        <v>2.1999999999999797</v>
      </c>
      <c r="D864" s="28">
        <f>IF(履歴データ!$A$864="","",(履歴データ!$D$864-履歴データ!$H$864)*100)</f>
        <v>188.09999999999997</v>
      </c>
      <c r="E864" s="28">
        <f>IF(履歴データ!$A$864="","",(履歴データ!$D$864-履歴データ!$C$864)*100)</f>
        <v>29.000000000000004</v>
      </c>
      <c r="F864" s="28">
        <f>IF(履歴データ!$A$864="","",(履歴データ!$R$864-履歴データ!$D$864)*100)</f>
        <v>-341.27</v>
      </c>
      <c r="G864" s="28">
        <f>IF(履歴データ!$A$864="","",(履歴データ!$S$864-履歴データ!$R$864)*100)</f>
        <v>145.14399999999995</v>
      </c>
      <c r="H864" s="29">
        <f>IF(履歴データ!$A$864="","",履歴データ!$O$864)</f>
        <v>160.22900390625</v>
      </c>
      <c r="I864" s="29">
        <f>IF(履歴データ!$A$864="","",履歴データ!$Q$864)</f>
        <v>109.90625</v>
      </c>
      <c r="J864" s="29">
        <f>IF(履歴データ!$A$864="","",履歴データ!$D$864)</f>
        <v>4.47</v>
      </c>
      <c r="K864" s="28">
        <f>IF(OR(履歴データ!$A$864="",履歴データ!$A$863=""),"",B864-B863)</f>
        <v>-8.8817841970012523E-14</v>
      </c>
      <c r="L864" s="28">
        <f>IF(OR(履歴データ!$A$864="",履歴データ!$A$863=""),"",C864-C863)</f>
        <v>-2.8999999999999915</v>
      </c>
      <c r="M864" s="28">
        <f>IF(OR(履歴データ!$A$864="",履歴データ!$A$863=""),"",D864-D863)</f>
        <v>4.399999999999892</v>
      </c>
      <c r="N864" s="28">
        <f>IF(OR(履歴データ!$A$864="",履歴データ!$A$863=""),"",E864-E863)</f>
        <v>1.9999999999999574</v>
      </c>
      <c r="O864" s="28">
        <f>IF(OR(履歴データ!$A$864="",履歴データ!$A$863=""),"",F864-F863)</f>
        <v>-1.3299999999999272</v>
      </c>
      <c r="P864" s="28">
        <f>IF(OR(履歴データ!$A$864="",履歴データ!$A$863=""),"",G864-G863)</f>
        <v>-5.3876428222655193</v>
      </c>
      <c r="Q864" s="29">
        <f>IF(OR(履歴データ!$A$864="",履歴データ!$A$863=""),"",H864-H863)</f>
        <v>9.89990234375E-2</v>
      </c>
      <c r="R864" s="29">
        <f>IF(OR(履歴データ!$A$864="",履歴データ!$A$863=""),"",I864-I863)</f>
        <v>0.125</v>
      </c>
      <c r="S864" s="28">
        <f>IF(OR(履歴データ!$A$864="",履歴データ!$A$863=""),"",(J864-J863)*100)</f>
        <v>-1.0000000000000675</v>
      </c>
      <c r="T864" s="11">
        <f>IF(OR(履歴データ!$A$864="",履歴データ!$A$863=""),"",-80000*K864)</f>
        <v>7.1054273576010019E-9</v>
      </c>
      <c r="U864" s="11">
        <f>IF(OR(履歴データ!$A$864="",履歴データ!$A$863=""),"",60000*L864)</f>
        <v>-173999.99999999948</v>
      </c>
      <c r="V864" s="11">
        <f>IF(OR(履歴データ!$A$864="",履歴データ!$A$863=""),"",-50000*M864)</f>
        <v>-219999.99999999459</v>
      </c>
      <c r="W864" s="11">
        <f>IF(OR(履歴データ!$A$864="",履歴データ!$A$863=""),"",-40000*N864)</f>
        <v>-79999.999999998297</v>
      </c>
      <c r="X864" s="11">
        <f>IF(OR(履歴データ!$A$864="",履歴データ!$A$863=""),"",120*1000000*(-Q864/H863))</f>
        <v>-74188.986762312416</v>
      </c>
      <c r="Y864" s="11">
        <f>IF(OR(履歴データ!$A$864="",履歴データ!$A$863=""),"",40000*(-S864)+(-506.3)*R864*1000)</f>
        <v>-23287.499999997301</v>
      </c>
      <c r="Z864" s="11">
        <f>IF(OR(履歴データ!$A$864="",履歴データ!$A$863=""),"",-40000*O864)</f>
        <v>53199.99999999709</v>
      </c>
      <c r="AA864" s="11">
        <f>IF(OR(履歴データ!$A$864="",履歴データ!$A$863=""),"",-40000*P864)</f>
        <v>215505.71289062078</v>
      </c>
      <c r="AB864" s="11">
        <f>IF(履歴データ!$A$864="","",123.3)</f>
        <v>123.3</v>
      </c>
      <c r="AC864">
        <f>IF(履歴データ!$A$864="","",SUM(T864:AA864))</f>
        <v>-302770.77387167711</v>
      </c>
      <c r="AD864" s="29">
        <f>IF(履歴データ!$A$864="","",AC864/1000000)</f>
        <v>-0.30277077387167711</v>
      </c>
      <c r="AE864" s="29">
        <f>IF(履歴データ!$A$864="",AE863,AE863+AC864/1000000)</f>
        <v>70.574926970231473</v>
      </c>
      <c r="AF864" s="12">
        <f>IF(OR(履歴データ!$A$864="",AE863=0),"",(AE864-AE863)/AE863)</f>
        <v>-4.2717354472318649E-3</v>
      </c>
      <c r="AG864" s="29">
        <f t="shared" si="41"/>
        <v>102.17217746631495</v>
      </c>
      <c r="AH864" s="12">
        <f>IF(OR(履歴データ!$A$864="",AG864=0),"",AE864/AG864-1)</f>
        <v>-0.30925493886533584</v>
      </c>
      <c r="AJ864" s="28">
        <f t="shared" ca="1" si="39"/>
        <v>3.3478325933437008</v>
      </c>
      <c r="AK864" s="28">
        <f t="shared" ca="1" si="40"/>
        <v>-6.9470389425500576</v>
      </c>
    </row>
    <row r="865" spans="1:37">
      <c r="A865" s="10">
        <f>IF(履歴データ!$A$865="","",履歴データ!$A$865)</f>
        <v>46189</v>
      </c>
      <c r="B865" s="28">
        <f>IF(履歴データ!$A$865="","",(履歴データ!$D$865-(履歴データ!$B$865+履歴データ!$F$865)/2)*100)</f>
        <v>-6.0000000000000497</v>
      </c>
      <c r="C865" s="28">
        <f>IF(履歴データ!$A$865="","",(履歴データ!$H$865-(履歴データ!$G$865+履歴データ!$J$865)/2)*100)</f>
        <v>7.4500000000000011</v>
      </c>
      <c r="D865" s="28">
        <f>IF(履歴データ!$A$865="","",(履歴データ!$D$865-履歴データ!$H$865)*100)</f>
        <v>177.5</v>
      </c>
      <c r="E865" s="28">
        <f>IF(履歴データ!$A$865="","",(履歴データ!$D$865-履歴データ!$C$865)*100)</f>
        <v>26.999999999999957</v>
      </c>
      <c r="F865" s="28">
        <f>IF(履歴データ!$A$865="","",(履歴データ!$R$865-履歴データ!$D$865)*100)</f>
        <v>-343.78</v>
      </c>
      <c r="G865" s="28">
        <f>IF(履歴データ!$A$865="","",(履歴データ!$S$865-履歴データ!$R$865)*100)</f>
        <v>159.02082141113269</v>
      </c>
      <c r="H865" s="29">
        <f>IF(履歴データ!$A$865="","",履歴データ!$O$865)</f>
        <v>160.41900634765625</v>
      </c>
      <c r="I865" s="29">
        <f>IF(履歴データ!$A$865="","",履歴データ!$Q$865)</f>
        <v>110.1875</v>
      </c>
      <c r="J865" s="29">
        <f>IF(履歴データ!$A$865="","",履歴データ!$D$865)</f>
        <v>4.43</v>
      </c>
      <c r="K865" s="28">
        <f>IF(OR(履歴データ!$A$865="",履歴データ!$A$864=""),"",B865-B864)</f>
        <v>-1.0000000000000675</v>
      </c>
      <c r="L865" s="28">
        <f>IF(OR(履歴データ!$A$865="",履歴データ!$A$864=""),"",C865-C864)</f>
        <v>5.2500000000000213</v>
      </c>
      <c r="M865" s="28">
        <f>IF(OR(履歴データ!$A$865="",履歴データ!$A$864=""),"",D865-D864)</f>
        <v>-10.599999999999966</v>
      </c>
      <c r="N865" s="28">
        <f>IF(OR(履歴データ!$A$865="",履歴データ!$A$864=""),"",E865-E864)</f>
        <v>-2.0000000000000462</v>
      </c>
      <c r="O865" s="28">
        <f>IF(OR(履歴データ!$A$865="",履歴データ!$A$864=""),"",F865-F864)</f>
        <v>-2.5099999999999909</v>
      </c>
      <c r="P865" s="28">
        <f>IF(OR(履歴データ!$A$865="",履歴データ!$A$864=""),"",G865-G864)</f>
        <v>13.876821411132738</v>
      </c>
      <c r="Q865" s="29">
        <f>IF(OR(履歴データ!$A$865="",履歴データ!$A$864=""),"",H865-H864)</f>
        <v>0.19000244140625</v>
      </c>
      <c r="R865" s="29">
        <f>IF(OR(履歴データ!$A$865="",履歴データ!$A$864=""),"",I865-I864)</f>
        <v>0.28125</v>
      </c>
      <c r="S865" s="28">
        <f>IF(OR(履歴データ!$A$865="",履歴データ!$A$864=""),"",(J865-J864)*100)</f>
        <v>-4.0000000000000036</v>
      </c>
      <c r="T865" s="11">
        <f>IF(OR(履歴データ!$A$865="",履歴データ!$A$864=""),"",-80000*K865)</f>
        <v>80000.000000005399</v>
      </c>
      <c r="U865" s="11">
        <f>IF(OR(履歴データ!$A$865="",履歴データ!$A$864=""),"",60000*L865)</f>
        <v>315000.00000000128</v>
      </c>
      <c r="V865" s="11">
        <f>IF(OR(履歴データ!$A$865="",履歴データ!$A$864=""),"",-50000*M865)</f>
        <v>529999.99999999825</v>
      </c>
      <c r="W865" s="11">
        <f>IF(OR(履歴データ!$A$865="",履歴データ!$A$864=""),"",-40000*N865)</f>
        <v>80000.000000001848</v>
      </c>
      <c r="X865" s="11">
        <f>IF(OR(履歴データ!$A$865="",履歴データ!$A$864=""),"",120*1000000*(-Q865/H864))</f>
        <v>-142298.16333433898</v>
      </c>
      <c r="Y865" s="11">
        <f>IF(OR(履歴データ!$A$865="",履歴データ!$A$864=""),"",40000*(-S865)+(-506.3)*R865*1000)</f>
        <v>17603.125000000146</v>
      </c>
      <c r="Z865" s="11">
        <f>IF(OR(履歴データ!$A$865="",履歴データ!$A$864=""),"",-40000*O865)</f>
        <v>100399.99999999964</v>
      </c>
      <c r="AA865" s="11">
        <f>IF(OR(履歴データ!$A$865="",履歴データ!$A$864=""),"",-40000*P865)</f>
        <v>-555072.85644530947</v>
      </c>
      <c r="AB865" s="11">
        <f>IF(履歴データ!$A$865="","",123.3)</f>
        <v>123.3</v>
      </c>
      <c r="AC865">
        <f>IF(履歴データ!$A$865="","",SUM(T865:AA865))</f>
        <v>425632.10522035812</v>
      </c>
      <c r="AD865" s="29">
        <f>IF(履歴データ!$A$865="","",AC865/1000000)</f>
        <v>0.4256321052203581</v>
      </c>
      <c r="AE865" s="29">
        <f>IF(履歴データ!$A$865="",AE864,AE864+AC865/1000000)</f>
        <v>71.000559075451832</v>
      </c>
      <c r="AF865" s="12">
        <f>IF(OR(履歴データ!$A$865="",AE864=0),"",(AE865-AE864)/AE864)</f>
        <v>6.0309251952877065E-3</v>
      </c>
      <c r="AG865" s="29">
        <f t="shared" si="41"/>
        <v>102.17217746631495</v>
      </c>
      <c r="AH865" s="12">
        <f>IF(OR(履歴データ!$A$865="",AG865=0),"",AE865/AG865-1)</f>
        <v>-0.30508910707261827</v>
      </c>
      <c r="AJ865" s="28">
        <f t="shared" ca="1" si="39"/>
        <v>3.3540933761605878</v>
      </c>
      <c r="AK865" s="28">
        <f t="shared" ca="1" si="40"/>
        <v>-6.9929822650494842</v>
      </c>
    </row>
    <row r="866" spans="1:37">
      <c r="A866" s="10">
        <f>IF(履歴データ!$A$866="","",履歴データ!$A$866)</f>
        <v>46190</v>
      </c>
      <c r="B866" s="28">
        <f>IF(履歴データ!$A$866="","",(履歴データ!$D$866-(履歴データ!$B$866+履歴データ!$F$866)/2)*100)</f>
        <v>-7.4999999999999289</v>
      </c>
      <c r="C866" s="28">
        <f>IF(履歴データ!$A$866="","",(履歴データ!$H$866-(履歴データ!$G$866+履歴データ!$J$866)/2)*100)</f>
        <v>5.9499999999999886</v>
      </c>
      <c r="D866" s="28">
        <f>IF(履歴データ!$A$866="","",(履歴データ!$D$866-履歴データ!$H$866)*100)</f>
        <v>187.70000000000002</v>
      </c>
      <c r="E866" s="28">
        <f>IF(履歴データ!$A$866="","",(履歴データ!$D$866-履歴データ!$C$866)*100)</f>
        <v>22.000000000000064</v>
      </c>
      <c r="F866" s="28">
        <f>IF(履歴データ!$A$866="","",(履歴データ!$R$866-履歴データ!$D$866)*100)</f>
        <v>-353.2</v>
      </c>
      <c r="G866" s="28">
        <f>IF(履歴データ!$A$866="","",(履歴データ!$S$866-履歴データ!$R$866)*100)</f>
        <v>158.75735717773429</v>
      </c>
      <c r="H866" s="29">
        <f>IF(履歴データ!$A$866="","",履歴データ!$O$866)</f>
        <v>160.60000610351563</v>
      </c>
      <c r="I866" s="29">
        <f>IF(履歴データ!$A$866="","",履歴データ!$Q$866)</f>
        <v>109.8125</v>
      </c>
      <c r="J866" s="29">
        <f>IF(履歴データ!$A$866="","",履歴データ!$D$866)</f>
        <v>4.49</v>
      </c>
      <c r="K866" s="28">
        <f>IF(OR(履歴データ!$A$866="",履歴データ!$A$865=""),"",B866-B865)</f>
        <v>-1.4999999999998792</v>
      </c>
      <c r="L866" s="28">
        <f>IF(OR(履歴データ!$A$866="",履歴データ!$A$865=""),"",C866-C865)</f>
        <v>-1.5000000000000124</v>
      </c>
      <c r="M866" s="28">
        <f>IF(OR(履歴データ!$A$866="",履歴データ!$A$865=""),"",D866-D865)</f>
        <v>10.200000000000017</v>
      </c>
      <c r="N866" s="28">
        <f>IF(OR(履歴データ!$A$866="",履歴データ!$A$865=""),"",E866-E865)</f>
        <v>-4.9999999999998934</v>
      </c>
      <c r="O866" s="28">
        <f>IF(OR(履歴データ!$A$866="",履歴データ!$A$865=""),"",F866-F865)</f>
        <v>-9.4200000000000159</v>
      </c>
      <c r="P866" s="28">
        <f>IF(OR(履歴データ!$A$866="",履歴データ!$A$865=""),"",G866-G865)</f>
        <v>-0.26346423339839475</v>
      </c>
      <c r="Q866" s="29">
        <f>IF(OR(履歴データ!$A$866="",履歴データ!$A$865=""),"",H866-H865)</f>
        <v>0.180999755859375</v>
      </c>
      <c r="R866" s="29">
        <f>IF(OR(履歴データ!$A$866="",履歴データ!$A$865=""),"",I866-I865)</f>
        <v>-0.375</v>
      </c>
      <c r="S866" s="28">
        <f>IF(OR(履歴データ!$A$866="",履歴データ!$A$865=""),"",(J866-J865)*100)</f>
        <v>6.0000000000000497</v>
      </c>
      <c r="T866" s="11">
        <f>IF(OR(履歴データ!$A$866="",履歴データ!$A$865=""),"",-80000*K866)</f>
        <v>119999.99999999034</v>
      </c>
      <c r="U866" s="11">
        <f>IF(OR(履歴データ!$A$866="",履歴データ!$A$865=""),"",60000*L866)</f>
        <v>-90000.000000000742</v>
      </c>
      <c r="V866" s="11">
        <f>IF(OR(履歴データ!$A$866="",履歴データ!$A$865=""),"",-50000*M866)</f>
        <v>-510000.00000000087</v>
      </c>
      <c r="W866" s="11">
        <f>IF(OR(履歴データ!$A$866="",履歴データ!$A$865=""),"",-40000*N866)</f>
        <v>199999.99999999575</v>
      </c>
      <c r="X866" s="11">
        <f>IF(OR(履歴データ!$A$866="",履歴データ!$A$865=""),"",120*1000000*(-Q866/H865))</f>
        <v>-135395.24522458389</v>
      </c>
      <c r="Y866" s="11">
        <f>IF(OR(履歴データ!$A$866="",履歴データ!$A$865=""),"",40000*(-S866)+(-506.3)*R866*1000)</f>
        <v>-50137.500000001979</v>
      </c>
      <c r="Z866" s="11">
        <f>IF(OR(履歴データ!$A$866="",履歴データ!$A$865=""),"",-40000*O866)</f>
        <v>376800.00000000064</v>
      </c>
      <c r="AA866" s="11">
        <f>IF(OR(履歴データ!$A$866="",履歴データ!$A$865=""),"",-40000*P866)</f>
        <v>10538.56933593579</v>
      </c>
      <c r="AB866" s="11">
        <f>IF(履歴データ!$A$866="","",123.3)</f>
        <v>123.3</v>
      </c>
      <c r="AC866">
        <f>IF(履歴データ!$A$866="","",SUM(T866:AA866))</f>
        <v>-78194.175888664991</v>
      </c>
      <c r="AD866" s="29">
        <f>IF(履歴データ!$A$866="","",AC866/1000000)</f>
        <v>-7.8194175888664993E-2</v>
      </c>
      <c r="AE866" s="29">
        <f>IF(履歴データ!$A$866="",AE865,AE865+AC866/1000000)</f>
        <v>70.922364899563163</v>
      </c>
      <c r="AF866" s="12">
        <f>IF(OR(履歴データ!$A$866="",AE865=0),"",(AE866-AE865)/AE865)</f>
        <v>-1.1013177488584617E-3</v>
      </c>
      <c r="AG866" s="29">
        <f t="shared" si="41"/>
        <v>102.17217746631495</v>
      </c>
      <c r="AH866" s="12">
        <f>IF(OR(履歴データ!$A$866="",AG866=0),"",AE866/AG866-1)</f>
        <v>-0.30585442477287428</v>
      </c>
      <c r="AJ866" s="28">
        <f t="shared" ca="1" si="39"/>
        <v>3.3814979579411109</v>
      </c>
      <c r="AK866" s="28">
        <f t="shared" ca="1" si="40"/>
        <v>-7.0640376404808016</v>
      </c>
    </row>
    <row r="867" spans="1:37">
      <c r="A867" s="10">
        <f>IF(履歴データ!$A$867="","",履歴データ!$A$867)</f>
        <v>46191</v>
      </c>
      <c r="B867" s="28">
        <f>IF(履歴データ!$A$867="","",(履歴データ!$D$867-(履歴データ!$B$867+履歴データ!$F$867)/2)*100)</f>
        <v>-8.4999999999999964</v>
      </c>
      <c r="C867" s="28">
        <f>IF(履歴データ!$A$867="","",(履歴データ!$H$867-(履歴データ!$G$867+履歴データ!$J$867)/2)*100)</f>
        <v>5.9499999999999886</v>
      </c>
      <c r="D867" s="28">
        <f>IF(履歴データ!$A$867="","",(履歴データ!$D$867-履歴データ!$H$867)*100)</f>
        <v>183.2</v>
      </c>
      <c r="E867" s="28">
        <f>IF(履歴データ!$A$867="","",(履歴データ!$D$867-履歴データ!$C$867)*100)</f>
        <v>22.999999999999954</v>
      </c>
      <c r="F867" s="28">
        <f>IF(履歴データ!$A$867="","",(履歴データ!$R$867-履歴データ!$D$867)*100)</f>
        <v>-353.37</v>
      </c>
      <c r="G867" s="28">
        <f>IF(履歴データ!$A$867="","",(履歴データ!$S$867-履歴データ!$R$867)*100)</f>
        <v>163.50599999999989</v>
      </c>
      <c r="H867" s="29">
        <f>IF(履歴データ!$A$867="","",履歴データ!$O$867)</f>
        <v>161.28900146484375</v>
      </c>
      <c r="I867" s="29">
        <f>IF(履歴データ!$A$867="","",履歴データ!$Q$867)</f>
        <v>109.921875</v>
      </c>
      <c r="J867" s="29">
        <f>IF(履歴データ!$A$867="","",履歴データ!$D$867)</f>
        <v>4.46</v>
      </c>
      <c r="K867" s="28">
        <f>IF(OR(履歴データ!$A$867="",履歴データ!$A$866=""),"",B867-B866)</f>
        <v>-1.0000000000000675</v>
      </c>
      <c r="L867" s="28">
        <f>IF(OR(履歴データ!$A$867="",履歴データ!$A$866=""),"",C867-C866)</f>
        <v>0</v>
      </c>
      <c r="M867" s="28">
        <f>IF(OR(履歴データ!$A$867="",履歴データ!$A$866=""),"",D867-D866)</f>
        <v>-4.5000000000000284</v>
      </c>
      <c r="N867" s="28">
        <f>IF(OR(履歴データ!$A$867="",履歴データ!$A$866=""),"",E867-E866)</f>
        <v>0.99999999999988987</v>
      </c>
      <c r="O867" s="28">
        <f>IF(OR(履歴データ!$A$867="",履歴データ!$A$866=""),"",F867-F866)</f>
        <v>-0.17000000000001592</v>
      </c>
      <c r="P867" s="28">
        <f>IF(OR(履歴データ!$A$867="",履歴データ!$A$866=""),"",G867-G866)</f>
        <v>4.7486428222655945</v>
      </c>
      <c r="Q867" s="29">
        <f>IF(OR(履歴データ!$A$867="",履歴データ!$A$866=""),"",H867-H866)</f>
        <v>0.688995361328125</v>
      </c>
      <c r="R867" s="29">
        <f>IF(OR(履歴データ!$A$867="",履歴データ!$A$866=""),"",I867-I866)</f>
        <v>0.109375</v>
      </c>
      <c r="S867" s="28">
        <f>IF(OR(履歴データ!$A$867="",履歴データ!$A$866=""),"",(J867-J866)*100)</f>
        <v>-3.0000000000000249</v>
      </c>
      <c r="T867" s="11">
        <f>IF(OR(履歴データ!$A$867="",履歴データ!$A$866=""),"",-80000*K867)</f>
        <v>80000.000000005399</v>
      </c>
      <c r="U867" s="11">
        <f>IF(OR(履歴データ!$A$867="",履歴データ!$A$866=""),"",60000*L867)</f>
        <v>0</v>
      </c>
      <c r="V867" s="11">
        <f>IF(OR(履歴データ!$A$867="",履歴データ!$A$866=""),"",-50000*M867)</f>
        <v>225000.00000000143</v>
      </c>
      <c r="W867" s="11">
        <f>IF(OR(履歴データ!$A$867="",履歴データ!$A$866=""),"",-40000*N867)</f>
        <v>-39999.999999995598</v>
      </c>
      <c r="X867" s="11">
        <f>IF(OR(履歴データ!$A$867="",履歴データ!$A$866=""),"",120*1000000*(-Q867/H866))</f>
        <v>-514815.94157651212</v>
      </c>
      <c r="Y867" s="11">
        <f>IF(OR(履歴データ!$A$867="",履歴データ!$A$866=""),"",40000*(-S867)+(-506.3)*R867*1000)</f>
        <v>64623.43750000099</v>
      </c>
      <c r="Z867" s="11">
        <f>IF(OR(履歴データ!$A$867="",履歴データ!$A$866=""),"",-40000*O867)</f>
        <v>6800.0000000006366</v>
      </c>
      <c r="AA867" s="11">
        <f>IF(OR(履歴データ!$A$867="",履歴データ!$A$866=""),"",-40000*P867)</f>
        <v>-189945.71289062378</v>
      </c>
      <c r="AB867" s="11">
        <f>IF(履歴データ!$A$867="","",123.3)</f>
        <v>123.3</v>
      </c>
      <c r="AC867">
        <f>IF(履歴データ!$A$867="","",SUM(T867:AA867))</f>
        <v>-368338.21696712304</v>
      </c>
      <c r="AD867" s="29">
        <f>IF(履歴データ!$A$867="","",AC867/1000000)</f>
        <v>-0.36833821696712304</v>
      </c>
      <c r="AE867" s="29">
        <f>IF(履歴データ!$A$867="",AE866,AE866+AC867/1000000)</f>
        <v>70.554026682596046</v>
      </c>
      <c r="AF867" s="12">
        <f>IF(OR(履歴データ!$A$867="",AE866=0),"",(AE867-AE866)/AE866)</f>
        <v>-5.1935410993237535E-3</v>
      </c>
      <c r="AG867" s="29">
        <f t="shared" si="41"/>
        <v>102.17217746631495</v>
      </c>
      <c r="AH867" s="12">
        <f>IF(OR(履歴データ!$A$867="",AG867=0),"",AE867/AG867-1)</f>
        <v>-0.30945949834673003</v>
      </c>
      <c r="AJ867" s="28">
        <f t="shared" ca="1" si="39"/>
        <v>3.4138716243067959</v>
      </c>
      <c r="AK867" s="28">
        <f t="shared" ca="1" si="40"/>
        <v>-7.15990337033855</v>
      </c>
    </row>
    <row r="868" spans="1:37">
      <c r="A868" s="10">
        <f>IF(履歴データ!$A$868="","",履歴データ!$A$868)</f>
        <v>46195</v>
      </c>
      <c r="B868" s="28">
        <f>IF(履歴データ!$A$868="","",(履歴データ!$D$868-(履歴データ!$B$868+履歴データ!$F$868)/2)*100)</f>
        <v>-8.5000000000000853</v>
      </c>
      <c r="C868" s="28">
        <f>IF(履歴データ!$A$868="","",(履歴データ!$H$868-(履歴データ!$G$868+履歴データ!$J$868)/2)*100)</f>
        <v>7.1000000000000174</v>
      </c>
      <c r="D868" s="28">
        <f>IF(履歴データ!$A$868="","",(履歴データ!$D$868-履歴データ!$H$868)*100)</f>
        <v>183.29999999999998</v>
      </c>
      <c r="E868" s="28">
        <f>IF(履歴データ!$A$868="","",(履歴データ!$D$868-履歴データ!$C$868)*100)</f>
        <v>21.999999999999975</v>
      </c>
      <c r="F868" s="28">
        <f>IF(履歴データ!$A$868="","",(履歴データ!$R$868-履歴データ!$D$868)*100)</f>
        <v>-360.84</v>
      </c>
      <c r="G868" s="28">
        <f>IF(履歴データ!$A$868="","",(履歴データ!$S$868-履歴データ!$R$868)*100)</f>
        <v>172.81664282226558</v>
      </c>
      <c r="H868" s="29">
        <f>IF(履歴データ!$A$868="","",履歴データ!$O$868)</f>
        <v>161.57000732421875</v>
      </c>
      <c r="I868" s="29">
        <f>IF(履歴データ!$A$868="","",履歴データ!$Q$868)</f>
        <v>109.234375</v>
      </c>
      <c r="J868" s="29">
        <f>IF(履歴データ!$A$868="","",履歴データ!$D$868)</f>
        <v>4.51</v>
      </c>
      <c r="K868" s="28">
        <f>IF(OR(履歴データ!$A$868="",履歴データ!$A$867=""),"",B868-B867)</f>
        <v>-8.8817841970012523E-14</v>
      </c>
      <c r="L868" s="28">
        <f>IF(OR(履歴データ!$A$868="",履歴データ!$A$867=""),"",C868-C867)</f>
        <v>1.1500000000000288</v>
      </c>
      <c r="M868" s="28">
        <f>IF(OR(履歴データ!$A$868="",履歴データ!$A$867=""),"",D868-D867)</f>
        <v>9.9999999999994316E-2</v>
      </c>
      <c r="N868" s="28">
        <f>IF(OR(履歴データ!$A$868="",履歴データ!$A$867=""),"",E868-E867)</f>
        <v>-0.99999999999997868</v>
      </c>
      <c r="O868" s="28">
        <f>IF(OR(履歴データ!$A$868="",履歴データ!$A$867=""),"",F868-F867)</f>
        <v>-7.4699999999999704</v>
      </c>
      <c r="P868" s="28">
        <f>IF(OR(履歴データ!$A$868="",履歴データ!$A$867=""),"",G868-G867)</f>
        <v>9.3106428222656916</v>
      </c>
      <c r="Q868" s="29">
        <f>IF(OR(履歴データ!$A$868="",履歴データ!$A$867=""),"",H868-H867)</f>
        <v>0.281005859375</v>
      </c>
      <c r="R868" s="29">
        <f>IF(OR(履歴データ!$A$868="",履歴データ!$A$867=""),"",I868-I867)</f>
        <v>-0.6875</v>
      </c>
      <c r="S868" s="28">
        <f>IF(OR(履歴データ!$A$868="",履歴データ!$A$867=""),"",(J868-J867)*100)</f>
        <v>4.9999999999999822</v>
      </c>
      <c r="T868" s="11">
        <f>IF(OR(履歴データ!$A$868="",履歴データ!$A$867=""),"",-80000*K868)</f>
        <v>7.1054273576010019E-9</v>
      </c>
      <c r="U868" s="11">
        <f>IF(OR(履歴データ!$A$868="",履歴データ!$A$867=""),"",60000*L868)</f>
        <v>69000.000000001732</v>
      </c>
      <c r="V868" s="11">
        <f>IF(OR(履歴データ!$A$868="",履歴データ!$A$867=""),"",-50000*M868)</f>
        <v>-4999.9999999997162</v>
      </c>
      <c r="W868" s="11">
        <f>IF(OR(履歴データ!$A$868="",履歴データ!$A$867=""),"",-40000*N868)</f>
        <v>39999.999999999149</v>
      </c>
      <c r="X868" s="11">
        <f>IF(OR(履歴データ!$A$868="",履歴データ!$A$867=""),"",120*1000000*(-Q868/H867))</f>
        <v>-209070.07185080825</v>
      </c>
      <c r="Y868" s="11">
        <f>IF(OR(履歴データ!$A$868="",履歴データ!$A$867=""),"",40000*(-S868)+(-506.3)*R868*1000)</f>
        <v>148081.2500000007</v>
      </c>
      <c r="Z868" s="11">
        <f>IF(OR(履歴データ!$A$868="",履歴データ!$A$867=""),"",-40000*O868)</f>
        <v>298799.99999999884</v>
      </c>
      <c r="AA868" s="11">
        <f>IF(OR(履歴データ!$A$868="",履歴データ!$A$867=""),"",-40000*P868)</f>
        <v>-372425.71289062768</v>
      </c>
      <c r="AB868" s="11">
        <f>IF(履歴データ!$A$868="","",123.3)</f>
        <v>123.3</v>
      </c>
      <c r="AC868">
        <f>IF(履歴データ!$A$868="","",SUM(T868:AA868))</f>
        <v>-30614.534741428099</v>
      </c>
      <c r="AD868" s="29">
        <f>IF(履歴データ!$A$868="","",AC868/1000000)</f>
        <v>-3.0614534741428098E-2</v>
      </c>
      <c r="AE868" s="29">
        <f>IF(履歴データ!$A$868="",AE867,AE867+AC868/1000000)</f>
        <v>70.523412147854614</v>
      </c>
      <c r="AF868" s="12">
        <f>IF(OR(履歴データ!$A$868="",AE867=0),"",(AE868-AE867)/AE867)</f>
        <v>-4.3391619416930255E-4</v>
      </c>
      <c r="AG868" s="29">
        <f t="shared" si="41"/>
        <v>102.17217746631495</v>
      </c>
      <c r="AH868" s="12">
        <f>IF(OR(履歴データ!$A$868="",AG868=0),"",AE868/AG868-1)</f>
        <v>-0.30975913505312724</v>
      </c>
      <c r="AJ868" s="28">
        <f t="shared" ca="1" si="39"/>
        <v>3.4535845011591366</v>
      </c>
      <c r="AK868" s="28">
        <f t="shared" ca="1" si="40"/>
        <v>-7.251203548778193</v>
      </c>
    </row>
    <row r="869" spans="1:37">
      <c r="A869" s="10">
        <f>IF(履歴データ!$A$869="","",履歴データ!$A$869)</f>
        <v>46196</v>
      </c>
      <c r="B869" s="28">
        <f>IF(履歴データ!$A$869="","",(履歴データ!$D$869-(履歴データ!$B$869+履歴データ!$F$869)/2)*100)</f>
        <v>-5.0000000000000711</v>
      </c>
      <c r="C869" s="28">
        <f>IF(履歴データ!$A$869="","",(履歴データ!$H$869-(履歴データ!$G$869+履歴データ!$J$869)/2)*100)</f>
        <v>7.4999999999999734</v>
      </c>
      <c r="D869" s="28">
        <f>IF(履歴データ!$A$869="","",(履歴データ!$D$869-履歴データ!$H$869)*100)</f>
        <v>181.70000000000002</v>
      </c>
      <c r="E869" s="28">
        <f>IF(履歴データ!$A$869="","",(履歴データ!$D$869-履歴データ!$C$869)*100)</f>
        <v>23.000000000000043</v>
      </c>
      <c r="F869" s="28">
        <f>IF(履歴データ!$A$869="","",(履歴データ!$R$869-履歴データ!$D$869)*100)</f>
        <v>-350.97</v>
      </c>
      <c r="G869" s="28">
        <f>IF(履歴データ!$A$869="","",(履歴データ!$S$869-履歴データ!$R$869)*100)</f>
        <v>162.71882141113275</v>
      </c>
      <c r="H869" s="29">
        <f>IF(履歴データ!$A$869="","",履歴データ!$O$869)</f>
        <v>161.5989990234375</v>
      </c>
      <c r="I869" s="29">
        <f>IF(履歴データ!$A$869="","",履歴データ!$Q$869)</f>
        <v>109.375</v>
      </c>
      <c r="J869" s="29">
        <f>IF(履歴データ!$A$869="","",履歴データ!$D$869)</f>
        <v>4.5</v>
      </c>
      <c r="K869" s="28">
        <f>IF(OR(履歴データ!$A$869="",履歴データ!$A$868=""),"",B869-B868)</f>
        <v>3.5000000000000142</v>
      </c>
      <c r="L869" s="28">
        <f>IF(OR(履歴データ!$A$869="",履歴データ!$A$868=""),"",C869-C868)</f>
        <v>0.39999999999995595</v>
      </c>
      <c r="M869" s="28">
        <f>IF(OR(履歴データ!$A$869="",履歴データ!$A$868=""),"",D869-D868)</f>
        <v>-1.5999999999999659</v>
      </c>
      <c r="N869" s="28">
        <f>IF(OR(履歴データ!$A$869="",履歴データ!$A$868=""),"",E869-E868)</f>
        <v>1.0000000000000675</v>
      </c>
      <c r="O869" s="28">
        <f>IF(OR(履歴データ!$A$869="",履歴データ!$A$868=""),"",F869-F868)</f>
        <v>9.8699999999999477</v>
      </c>
      <c r="P869" s="28">
        <f>IF(OR(履歴データ!$A$869="",履歴データ!$A$868=""),"",G869-G868)</f>
        <v>-10.097821411132827</v>
      </c>
      <c r="Q869" s="29">
        <f>IF(OR(履歴データ!$A$869="",履歴データ!$A$868=""),"",H869-H868)</f>
        <v>2.899169921875E-2</v>
      </c>
      <c r="R869" s="29">
        <f>IF(OR(履歴データ!$A$869="",履歴データ!$A$868=""),"",I869-I868)</f>
        <v>0.140625</v>
      </c>
      <c r="S869" s="28">
        <f>IF(OR(履歴データ!$A$869="",履歴データ!$A$868=""),"",(J869-J868)*100)</f>
        <v>-0.99999999999997868</v>
      </c>
      <c r="T869" s="11">
        <f>IF(OR(履歴データ!$A$869="",履歴データ!$A$868=""),"",-80000*K869)</f>
        <v>-280000.00000000116</v>
      </c>
      <c r="U869" s="11">
        <f>IF(OR(履歴データ!$A$869="",履歴データ!$A$868=""),"",60000*L869)</f>
        <v>23999.999999997355</v>
      </c>
      <c r="V869" s="11">
        <f>IF(OR(履歴データ!$A$869="",履歴データ!$A$868=""),"",-50000*M869)</f>
        <v>79999.999999998297</v>
      </c>
      <c r="W869" s="11">
        <f>IF(OR(履歴データ!$A$869="",履歴データ!$A$868=""),"",-40000*N869)</f>
        <v>-40000.000000002699</v>
      </c>
      <c r="X869" s="11">
        <f>IF(OR(履歴データ!$A$869="",履歴データ!$A$868=""),"",120*1000000*(-Q869/H868))</f>
        <v>-21532.485910387837</v>
      </c>
      <c r="Y869" s="11">
        <f>IF(OR(履歴データ!$A$869="",履歴データ!$A$868=""),"",40000*(-S869)+(-506.3)*R869*1000)</f>
        <v>-31198.437500000851</v>
      </c>
      <c r="Z869" s="11">
        <f>IF(OR(履歴データ!$A$869="",履歴データ!$A$868=""),"",-40000*O869)</f>
        <v>-394799.9999999979</v>
      </c>
      <c r="AA869" s="11">
        <f>IF(OR(履歴データ!$A$869="",履歴データ!$A$868=""),"",-40000*P869)</f>
        <v>403912.85644531308</v>
      </c>
      <c r="AB869" s="11">
        <f>IF(履歴データ!$A$869="","",123.3)</f>
        <v>123.3</v>
      </c>
      <c r="AC869">
        <f>IF(履歴データ!$A$869="","",SUM(T869:AA869))</f>
        <v>-259618.06696508173</v>
      </c>
      <c r="AD869" s="29">
        <f>IF(履歴データ!$A$869="","",AC869/1000000)</f>
        <v>-0.25961806696508172</v>
      </c>
      <c r="AE869" s="29">
        <f>IF(履歴データ!$A$869="",AE868,AE868+AC869/1000000)</f>
        <v>70.263794080889539</v>
      </c>
      <c r="AF869" s="12">
        <f>IF(OR(履歴データ!$A$869="",AE868=0),"",(AE869-AE868)/AE868)</f>
        <v>-3.6813032588493772E-3</v>
      </c>
      <c r="AG869" s="29">
        <f t="shared" si="41"/>
        <v>102.17217746631495</v>
      </c>
      <c r="AH869" s="12">
        <f>IF(OR(履歴データ!$A$869="",AG869=0),"",AE869/AG869-1)</f>
        <v>-0.31230012099864712</v>
      </c>
      <c r="AJ869" s="28">
        <f t="shared" ca="1" si="39"/>
        <v>3.4581220254249123</v>
      </c>
      <c r="AK869" s="28">
        <f t="shared" ca="1" si="40"/>
        <v>-7.2716140889169845</v>
      </c>
    </row>
    <row r="870" spans="1:37">
      <c r="A870" s="10">
        <f>IF(履歴データ!$A$870="","",履歴データ!$A$870)</f>
        <v>46197</v>
      </c>
      <c r="B870" s="28">
        <f>IF(履歴データ!$A$870="","",(履歴データ!$D$870-(履歴データ!$B$870+履歴データ!$F$870)/2)*100)</f>
        <v>-7.5000000000000178</v>
      </c>
      <c r="C870" s="28">
        <f>IF(履歴データ!$A$870="","",(履歴データ!$H$870-(履歴データ!$G$870+履歴データ!$J$870)/2)*100)</f>
        <v>5.3999999999999826</v>
      </c>
      <c r="D870" s="28">
        <f>IF(履歴データ!$A$870="","",(履歴データ!$D$870-履歴データ!$H$870)*100)</f>
        <v>173.60000000000002</v>
      </c>
      <c r="E870" s="28">
        <f>IF(履歴データ!$A$870="","",(履歴データ!$D$870-履歴データ!$C$870)*100)</f>
        <v>24.000000000000021</v>
      </c>
      <c r="F870" s="28">
        <f>IF(履歴データ!$A$870="","",(履歴データ!$R$870-履歴データ!$D$870)*100)</f>
        <v>-343.86</v>
      </c>
      <c r="G870" s="28">
        <f>IF(履歴データ!$A$870="","",(履歴データ!$S$870-履歴データ!$R$870)*100)</f>
        <v>163.55635717773421</v>
      </c>
      <c r="H870" s="29">
        <f>IF(履歴データ!$A$870="","",履歴データ!$O$870)</f>
        <v>161.76300048828125</v>
      </c>
      <c r="I870" s="29">
        <f>IF(履歴データ!$A$870="","",履歴データ!$Q$870)</f>
        <v>110</v>
      </c>
      <c r="J870" s="29">
        <f>IF(履歴データ!$A$870="","",履歴データ!$D$870)</f>
        <v>4.41</v>
      </c>
      <c r="K870" s="28">
        <f>IF(OR(履歴データ!$A$870="",履歴データ!$A$869=""),"",B870-B869)</f>
        <v>-2.4999999999999467</v>
      </c>
      <c r="L870" s="28">
        <f>IF(OR(履歴データ!$A$870="",履歴データ!$A$869=""),"",C870-C869)</f>
        <v>-2.0999999999999908</v>
      </c>
      <c r="M870" s="28">
        <f>IF(OR(履歴データ!$A$870="",履歴データ!$A$869=""),"",D870-D869)</f>
        <v>-8.0999999999999943</v>
      </c>
      <c r="N870" s="28">
        <f>IF(OR(履歴データ!$A$870="",履歴データ!$A$869=""),"",E870-E869)</f>
        <v>0.99999999999997868</v>
      </c>
      <c r="O870" s="28">
        <f>IF(OR(履歴データ!$A$870="",履歴データ!$A$869=""),"",F870-F869)</f>
        <v>7.1100000000000136</v>
      </c>
      <c r="P870" s="28">
        <f>IF(OR(履歴データ!$A$870="",履歴データ!$A$869=""),"",G870-G869)</f>
        <v>0.83753576660146223</v>
      </c>
      <c r="Q870" s="29">
        <f>IF(OR(履歴データ!$A$870="",履歴データ!$A$869=""),"",H870-H869)</f>
        <v>0.16400146484375</v>
      </c>
      <c r="R870" s="29">
        <f>IF(OR(履歴データ!$A$870="",履歴データ!$A$869=""),"",I870-I869)</f>
        <v>0.625</v>
      </c>
      <c r="S870" s="28">
        <f>IF(OR(履歴データ!$A$870="",履歴データ!$A$869=""),"",(J870-J869)*100)</f>
        <v>-8.9999999999999858</v>
      </c>
      <c r="T870" s="11">
        <f>IF(OR(履歴データ!$A$870="",履歴データ!$A$869=""),"",-80000*K870)</f>
        <v>199999.99999999575</v>
      </c>
      <c r="U870" s="11">
        <f>IF(OR(履歴データ!$A$870="",履歴データ!$A$869=""),"",60000*L870)</f>
        <v>-125999.99999999945</v>
      </c>
      <c r="V870" s="11">
        <f>IF(OR(履歴データ!$A$870="",履歴データ!$A$869=""),"",-50000*M870)</f>
        <v>404999.99999999971</v>
      </c>
      <c r="W870" s="11">
        <f>IF(OR(履歴データ!$A$870="",履歴データ!$A$869=""),"",-40000*N870)</f>
        <v>-39999.999999999149</v>
      </c>
      <c r="X870" s="11">
        <f>IF(OR(履歴データ!$A$870="",履歴データ!$A$869=""),"",120*1000000*(-Q870/H869))</f>
        <v>-121784.02032301998</v>
      </c>
      <c r="Y870" s="11">
        <f>IF(OR(履歴データ!$A$870="",履歴データ!$A$869=""),"",40000*(-S870)+(-506.3)*R870*1000)</f>
        <v>43562.499999999418</v>
      </c>
      <c r="Z870" s="11">
        <f>IF(OR(履歴データ!$A$870="",履歴データ!$A$869=""),"",-40000*O870)</f>
        <v>-284400.00000000052</v>
      </c>
      <c r="AA870" s="11">
        <f>IF(OR(履歴データ!$A$870="",履歴データ!$A$869=""),"",-40000*P870)</f>
        <v>-33501.430664058491</v>
      </c>
      <c r="AB870" s="11">
        <f>IF(履歴データ!$A$870="","",123.3)</f>
        <v>123.3</v>
      </c>
      <c r="AC870">
        <f>IF(履歴データ!$A$870="","",SUM(T870:AA870))</f>
        <v>42877.049012917319</v>
      </c>
      <c r="AD870" s="29">
        <f>IF(履歴データ!$A$870="","",AC870/1000000)</f>
        <v>4.287704901291732E-2</v>
      </c>
      <c r="AE870" s="29">
        <f>IF(履歴データ!$A$870="",AE869,AE869+AC870/1000000)</f>
        <v>70.306671129902455</v>
      </c>
      <c r="AF870" s="12">
        <f>IF(OR(履歴データ!$A$870="",AE869=0),"",(AE870-AE869)/AE869)</f>
        <v>6.1022962926758758E-4</v>
      </c>
      <c r="AG870" s="29">
        <f t="shared" si="41"/>
        <v>102.17217746631495</v>
      </c>
      <c r="AH870" s="12">
        <f>IF(OR(履歴データ!$A$870="",AG870=0),"",AE870/AG870-1)</f>
        <v>-0.31188046615643683</v>
      </c>
      <c r="AJ870" s="28">
        <f t="shared" ca="1" si="39"/>
        <v>3.4801240450670146</v>
      </c>
      <c r="AK870" s="28">
        <f t="shared" ca="1" si="40"/>
        <v>-7.3412351561781346</v>
      </c>
    </row>
    <row r="871" spans="1:37">
      <c r="A871" s="10">
        <f>IF(履歴データ!$A$871="","",履歴データ!$A$871)</f>
        <v>46198</v>
      </c>
      <c r="B871" s="28">
        <f>IF(履歴データ!$A$871="","",(履歴データ!$D$871-(履歴データ!$B$871+履歴データ!$F$871)/2)*100)</f>
        <v>-7.4999999999999289</v>
      </c>
      <c r="C871" s="28">
        <f>IF(履歴データ!$A$871="","",(履歴データ!$H$871-(履歴データ!$G$871+履歴データ!$J$871)/2)*100)</f>
        <v>3.6000000000000032</v>
      </c>
      <c r="D871" s="28">
        <f>IF(履歴データ!$A$871="","",(履歴データ!$D$871-履歴データ!$H$871)*100)</f>
        <v>176.30000000000004</v>
      </c>
      <c r="E871" s="28">
        <f>IF(履歴データ!$A$871="","",(履歴データ!$D$871-履歴データ!$C$871)*100)</f>
        <v>25</v>
      </c>
      <c r="F871" s="28">
        <f>IF(履歴データ!$A$871="","",(履歴データ!$R$871-履歴データ!$D$871)*100)</f>
        <v>-347.57000000000005</v>
      </c>
      <c r="G871" s="28">
        <f>IF(履歴データ!$A$871="","",(履歴データ!$S$871-履歴データ!$R$871)*100)</f>
        <v>164.58299999999988</v>
      </c>
      <c r="H871" s="29">
        <f>IF(履歴データ!$A$871="","",履歴データ!$O$871)</f>
        <v>161.80499267578125</v>
      </c>
      <c r="I871" s="29">
        <f>IF(履歴データ!$A$871="","",履歴データ!$Q$871)</f>
        <v>110.09375</v>
      </c>
      <c r="J871" s="29">
        <f>IF(履歴データ!$A$871="","",履歴データ!$D$871)</f>
        <v>4.4000000000000004</v>
      </c>
      <c r="K871" s="28">
        <f>IF(OR(履歴データ!$A$871="",履歴データ!$A$870=""),"",B871-B870)</f>
        <v>8.8817841970012523E-14</v>
      </c>
      <c r="L871" s="28">
        <f>IF(OR(履歴データ!$A$871="",履歴データ!$A$870=""),"",C871-C870)</f>
        <v>-1.7999999999999794</v>
      </c>
      <c r="M871" s="28">
        <f>IF(OR(履歴データ!$A$871="",履歴データ!$A$870=""),"",D871-D870)</f>
        <v>2.7000000000000171</v>
      </c>
      <c r="N871" s="28">
        <f>IF(OR(履歴データ!$A$871="",履歴データ!$A$870=""),"",E871-E870)</f>
        <v>0.99999999999997868</v>
      </c>
      <c r="O871" s="28">
        <f>IF(OR(履歴データ!$A$871="",履歴データ!$A$870=""),"",F871-F870)</f>
        <v>-3.7100000000000364</v>
      </c>
      <c r="P871" s="28">
        <f>IF(OR(履歴データ!$A$871="",履歴データ!$A$870=""),"",G871-G870)</f>
        <v>1.0266428222656714</v>
      </c>
      <c r="Q871" s="29">
        <f>IF(OR(履歴データ!$A$871="",履歴データ!$A$870=""),"",H871-H870)</f>
        <v>4.19921875E-2</v>
      </c>
      <c r="R871" s="29">
        <f>IF(OR(履歴データ!$A$871="",履歴データ!$A$870=""),"",I871-I870)</f>
        <v>9.375E-2</v>
      </c>
      <c r="S871" s="28">
        <f>IF(OR(履歴データ!$A$871="",履歴データ!$A$870=""),"",(J871-J870)*100)</f>
        <v>-0.99999999999997868</v>
      </c>
      <c r="T871" s="11">
        <f>IF(OR(履歴データ!$A$871="",履歴データ!$A$870=""),"",-80000*K871)</f>
        <v>-7.1054273576010019E-9</v>
      </c>
      <c r="U871" s="11">
        <f>IF(OR(履歴データ!$A$871="",履歴データ!$A$870=""),"",60000*L871)</f>
        <v>-107999.99999999876</v>
      </c>
      <c r="V871" s="11">
        <f>IF(OR(履歴データ!$A$871="",履歴データ!$A$870=""),"",-50000*M871)</f>
        <v>-135000.00000000084</v>
      </c>
      <c r="W871" s="11">
        <f>IF(OR(履歴データ!$A$871="",履歴データ!$A$870=""),"",-40000*N871)</f>
        <v>-39999.999999999149</v>
      </c>
      <c r="X871" s="11">
        <f>IF(OR(履歴データ!$A$871="",履歴データ!$A$870=""),"",120*1000000*(-Q871/H870))</f>
        <v>-31150.896588154283</v>
      </c>
      <c r="Y871" s="11">
        <f>IF(OR(履歴データ!$A$871="",履歴データ!$A$870=""),"",40000*(-S871)+(-506.3)*R871*1000)</f>
        <v>-7465.6250000008513</v>
      </c>
      <c r="Z871" s="11">
        <f>IF(OR(履歴データ!$A$871="",履歴データ!$A$870=""),"",-40000*O871)</f>
        <v>148400.00000000146</v>
      </c>
      <c r="AA871" s="11">
        <f>IF(OR(履歴データ!$A$871="",履歴データ!$A$870=""),"",-40000*P871)</f>
        <v>-41065.712890626855</v>
      </c>
      <c r="AB871" s="11">
        <f>IF(履歴データ!$A$871="","",123.3)</f>
        <v>123.3</v>
      </c>
      <c r="AC871">
        <f>IF(履歴データ!$A$871="","",SUM(T871:AA871))</f>
        <v>-214282.23447878635</v>
      </c>
      <c r="AD871" s="29">
        <f>IF(履歴データ!$A$871="","",AC871/1000000)</f>
        <v>-0.21428223447878636</v>
      </c>
      <c r="AE871" s="29">
        <f>IF(履歴データ!$A$871="",AE870,AE870+AC871/1000000)</f>
        <v>70.092388895423667</v>
      </c>
      <c r="AF871" s="12">
        <f>IF(OR(履歴データ!$A$871="",AE870=0),"",(AE871-AE870)/AE870)</f>
        <v>-3.0478222199265808E-3</v>
      </c>
      <c r="AG871" s="29">
        <f t="shared" si="41"/>
        <v>102.17217746631495</v>
      </c>
      <c r="AH871" s="12">
        <f>IF(OR(履歴データ!$A$871="",AG871=0),"",AE871/AG871-1)</f>
        <v>-0.3139777321616507</v>
      </c>
      <c r="AJ871" s="28">
        <f t="shared" ca="1" si="39"/>
        <v>3.5013241524941456</v>
      </c>
      <c r="AK871" s="28">
        <f t="shared" ca="1" si="40"/>
        <v>-7.4100543112243127</v>
      </c>
    </row>
    <row r="872" spans="1:37">
      <c r="A872" s="10">
        <f>IF(履歴データ!$A$872="","",履歴データ!$A$872)</f>
        <v>46199</v>
      </c>
      <c r="B872" s="28">
        <f>IF(履歴データ!$A$872="","",(履歴データ!$D$872-(履歴データ!$B$872+履歴データ!$F$872)/2)*100)</f>
        <v>-9.0000000000000746</v>
      </c>
      <c r="C872" s="28">
        <f>IF(履歴データ!$A$872="","",(履歴データ!$H$872-(履歴データ!$G$872+履歴データ!$J$872)/2)*100)</f>
        <v>2.7000000000000135</v>
      </c>
      <c r="D872" s="28">
        <f>IF(履歴データ!$A$872="","",(履歴データ!$D$872-履歴データ!$H$872)*100)</f>
        <v>176.89999999999998</v>
      </c>
      <c r="E872" s="28">
        <f>IF(履歴データ!$A$872="","",(履歴データ!$D$872-履歴データ!$C$872)*100)</f>
        <v>25.999999999999979</v>
      </c>
      <c r="F872" s="28">
        <f>IF(履歴データ!$A$872="","",(履歴データ!$R$872-履歴データ!$D$872)*100)</f>
        <v>-344.76</v>
      </c>
      <c r="G872" s="28">
        <f>IF(履歴データ!$A$872="","",(履歴データ!$S$872-履歴データ!$R$872)*100)</f>
        <v>162.01899999999986</v>
      </c>
      <c r="H872" s="29">
        <f>IF(履歴データ!$A$872="","",履歴データ!$O$872)</f>
        <v>161.80499267578125</v>
      </c>
      <c r="I872" s="29">
        <f>IF(履歴データ!$A$872="","",履歴データ!$Q$872)</f>
        <v>110.265625</v>
      </c>
      <c r="J872" s="29">
        <f>IF(履歴データ!$A$872="","",履歴データ!$D$872)</f>
        <v>4.38</v>
      </c>
      <c r="K872" s="28">
        <f>IF(OR(履歴データ!$A$872="",履歴データ!$A$871=""),"",B872-B871)</f>
        <v>-1.5000000000001457</v>
      </c>
      <c r="L872" s="28">
        <f>IF(OR(履歴データ!$A$872="",履歴データ!$A$871=""),"",C872-C871)</f>
        <v>-0.8999999999999897</v>
      </c>
      <c r="M872" s="28">
        <f>IF(OR(履歴データ!$A$872="",履歴データ!$A$871=""),"",D872-D871)</f>
        <v>0.59999999999993747</v>
      </c>
      <c r="N872" s="28">
        <f>IF(OR(履歴データ!$A$872="",履歴データ!$A$871=""),"",E872-E871)</f>
        <v>0.99999999999997868</v>
      </c>
      <c r="O872" s="28">
        <f>IF(OR(履歴データ!$A$872="",履歴データ!$A$871=""),"",F872-F871)</f>
        <v>2.8100000000000591</v>
      </c>
      <c r="P872" s="28">
        <f>IF(OR(履歴データ!$A$872="",履歴データ!$A$871=""),"",G872-G871)</f>
        <v>-2.5640000000000214</v>
      </c>
      <c r="Q872" s="29">
        <f>IF(OR(履歴データ!$A$872="",履歴データ!$A$871=""),"",H872-H871)</f>
        <v>0</v>
      </c>
      <c r="R872" s="29">
        <f>IF(OR(履歴データ!$A$872="",履歴データ!$A$871=""),"",I872-I871)</f>
        <v>0.171875</v>
      </c>
      <c r="S872" s="28">
        <f>IF(OR(履歴データ!$A$872="",履歴データ!$A$871=""),"",(J872-J871)*100)</f>
        <v>-2.0000000000000462</v>
      </c>
      <c r="T872" s="11">
        <f>IF(OR(履歴データ!$A$872="",履歴データ!$A$871=""),"",-80000*K872)</f>
        <v>120000.00000001166</v>
      </c>
      <c r="U872" s="11">
        <f>IF(OR(履歴データ!$A$872="",履歴データ!$A$871=""),"",60000*L872)</f>
        <v>-53999.999999999382</v>
      </c>
      <c r="V872" s="11">
        <f>IF(OR(履歴データ!$A$872="",履歴データ!$A$871=""),"",-50000*M872)</f>
        <v>-29999.999999996875</v>
      </c>
      <c r="W872" s="11">
        <f>IF(OR(履歴データ!$A$872="",履歴データ!$A$871=""),"",-40000*N872)</f>
        <v>-39999.999999999149</v>
      </c>
      <c r="X872" s="11">
        <f>IF(OR(履歴データ!$A$872="",履歴データ!$A$871=""),"",120*1000000*(-Q872/H871))</f>
        <v>0</v>
      </c>
      <c r="Y872" s="11">
        <f>IF(OR(履歴データ!$A$872="",履歴データ!$A$871=""),"",40000*(-S872)+(-506.3)*R872*1000)</f>
        <v>-7020.3124999981519</v>
      </c>
      <c r="Z872" s="11">
        <f>IF(OR(履歴データ!$A$872="",履歴データ!$A$871=""),"",-40000*O872)</f>
        <v>-112400.00000000236</v>
      </c>
      <c r="AA872" s="11">
        <f>IF(OR(履歴データ!$A$872="",履歴データ!$A$871=""),"",-40000*P872)</f>
        <v>102560.00000000086</v>
      </c>
      <c r="AB872" s="11">
        <f>IF(履歴データ!$A$872="","",123.3)</f>
        <v>123.3</v>
      </c>
      <c r="AC872">
        <f>IF(履歴データ!$A$872="","",SUM(T872:AA872))</f>
        <v>-20860.312499983396</v>
      </c>
      <c r="AD872" s="29">
        <f>IF(履歴データ!$A$872="","",AC872/1000000)</f>
        <v>-2.0860312499983397E-2</v>
      </c>
      <c r="AE872" s="29">
        <f>IF(履歴データ!$A$872="",AE871,AE871+AC872/1000000)</f>
        <v>70.07152858292369</v>
      </c>
      <c r="AF872" s="12">
        <f>IF(OR(履歴データ!$A$872="",AE871=0),"",(AE872-AE871)/AE871)</f>
        <v>-2.9761166410093427E-4</v>
      </c>
      <c r="AG872" s="29">
        <f t="shared" si="41"/>
        <v>102.17217746631495</v>
      </c>
      <c r="AH872" s="12">
        <f>IF(OR(履歴データ!$A$872="",AG872=0),"",AE872/AG872-1)</f>
        <v>-0.3141819003903924</v>
      </c>
      <c r="AJ872" s="28">
        <f t="shared" ca="1" si="39"/>
        <v>3.5204982623234127</v>
      </c>
      <c r="AK872" s="28">
        <f t="shared" ca="1" si="40"/>
        <v>-7.5085935004186588</v>
      </c>
    </row>
    <row r="873" spans="1:37">
      <c r="A873" s="10">
        <f>IF(履歴データ!$A$873="","",履歴データ!$A$873)</f>
        <v>46202</v>
      </c>
      <c r="B873" s="28">
        <f>IF(履歴データ!$A$873="","",(履歴データ!$D$873-(履歴データ!$B$873+履歴データ!$F$873)/2)*100)</f>
        <v>-10.000000000000053</v>
      </c>
      <c r="C873" s="28">
        <f>IF(履歴データ!$A$873="","",(履歴データ!$H$873-(履歴データ!$G$873+履歴データ!$J$873)/2)*100)</f>
        <v>4.6000000000000263</v>
      </c>
      <c r="D873" s="28">
        <f>IF(履歴データ!$A$873="","",(履歴データ!$D$873-履歴データ!$H$873)*100)</f>
        <v>173.59999999999997</v>
      </c>
      <c r="E873" s="28">
        <f>IF(履歴データ!$A$873="","",(履歴データ!$D$873-履歴データ!$C$873)*100)</f>
        <v>24.000000000000021</v>
      </c>
      <c r="F873" s="28">
        <f>IF(履歴データ!$A$873="","",(履歴データ!$R$873-履歴データ!$D$873)*100)</f>
        <v>-347.96</v>
      </c>
      <c r="G873" s="28">
        <f>IF(履歴データ!$A$873="","",(履歴データ!$S$873-履歴データ!$R$873)*100)</f>
        <v>168.55164282226548</v>
      </c>
      <c r="H873" s="29">
        <f>IF(履歴データ!$A$873="","",履歴データ!$O$873)</f>
        <v>161.92300415039063</v>
      </c>
      <c r="I873" s="29">
        <f>IF(履歴データ!$A$873="","",履歴データ!$Q$873)</f>
        <v>110.1875</v>
      </c>
      <c r="J873" s="29">
        <f>IF(履歴データ!$A$873="","",履歴データ!$D$873)</f>
        <v>4.38</v>
      </c>
      <c r="K873" s="28">
        <f>IF(OR(履歴データ!$A$873="",履歴データ!$A$872=""),"",B873-B872)</f>
        <v>-0.99999999999997868</v>
      </c>
      <c r="L873" s="28">
        <f>IF(OR(履歴データ!$A$873="",履歴データ!$A$872=""),"",C873-C872)</f>
        <v>1.9000000000000128</v>
      </c>
      <c r="M873" s="28">
        <f>IF(OR(履歴データ!$A$873="",履歴データ!$A$872=""),"",D873-D872)</f>
        <v>-3.3000000000000114</v>
      </c>
      <c r="N873" s="28">
        <f>IF(OR(履歴データ!$A$873="",履歴データ!$A$872=""),"",E873-E872)</f>
        <v>-1.9999999999999574</v>
      </c>
      <c r="O873" s="28">
        <f>IF(OR(履歴データ!$A$873="",履歴データ!$A$872=""),"",F873-F872)</f>
        <v>-3.1999999999999886</v>
      </c>
      <c r="P873" s="28">
        <f>IF(OR(履歴データ!$A$873="",履歴データ!$A$872=""),"",G873-G872)</f>
        <v>6.5326428222656148</v>
      </c>
      <c r="Q873" s="29">
        <f>IF(OR(履歴データ!$A$873="",履歴データ!$A$872=""),"",H873-H872)</f>
        <v>0.118011474609375</v>
      </c>
      <c r="R873" s="29">
        <f>IF(OR(履歴データ!$A$873="",履歴データ!$A$872=""),"",I873-I872)</f>
        <v>-7.8125E-2</v>
      </c>
      <c r="S873" s="28">
        <f>IF(OR(履歴データ!$A$873="",履歴データ!$A$872=""),"",(J873-J872)*100)</f>
        <v>0</v>
      </c>
      <c r="T873" s="11">
        <f>IF(OR(履歴データ!$A$873="",履歴データ!$A$872=""),"",-80000*K873)</f>
        <v>79999.999999998297</v>
      </c>
      <c r="U873" s="11">
        <f>IF(OR(履歴データ!$A$873="",履歴データ!$A$872=""),"",60000*L873)</f>
        <v>114000.00000000077</v>
      </c>
      <c r="V873" s="11">
        <f>IF(OR(履歴データ!$A$873="",履歴データ!$A$872=""),"",-50000*M873)</f>
        <v>165000.00000000058</v>
      </c>
      <c r="W873" s="11">
        <f>IF(OR(履歴データ!$A$873="",履歴データ!$A$872=""),"",-40000*N873)</f>
        <v>79999.999999998297</v>
      </c>
      <c r="X873" s="11">
        <f>IF(OR(履歴データ!$A$873="",履歴データ!$A$872=""),"",120*1000000*(-Q873/H872))</f>
        <v>-87521.260740705533</v>
      </c>
      <c r="Y873" s="11">
        <f>IF(OR(履歴データ!$A$873="",履歴データ!$A$872=""),"",40000*(-S873)+(-506.3)*R873*1000)</f>
        <v>39554.6875</v>
      </c>
      <c r="Z873" s="11">
        <f>IF(OR(履歴データ!$A$873="",履歴データ!$A$872=""),"",-40000*O873)</f>
        <v>127999.99999999955</v>
      </c>
      <c r="AA873" s="11">
        <f>IF(OR(履歴データ!$A$873="",履歴データ!$A$872=""),"",-40000*P873)</f>
        <v>-261305.71289062459</v>
      </c>
      <c r="AB873" s="11">
        <f>IF(履歴データ!$A$873="","",123.3)</f>
        <v>123.3</v>
      </c>
      <c r="AC873">
        <f>IF(履歴データ!$A$873="","",SUM(T873:AA873))</f>
        <v>257727.71386866737</v>
      </c>
      <c r="AD873" s="29">
        <f>IF(履歴データ!$A$873="","",AC873/1000000)</f>
        <v>0.25772771386866739</v>
      </c>
      <c r="AE873" s="29">
        <f>IF(履歴データ!$A$873="",AE872,AE872+AC873/1000000)</f>
        <v>70.329256296792352</v>
      </c>
      <c r="AF873" s="12">
        <f>IF(OR(履歴データ!$A$873="",AE872=0),"",(AE873-AE872)/AE872)</f>
        <v>3.6780661001802224E-3</v>
      </c>
      <c r="AG873" s="29">
        <f t="shared" si="41"/>
        <v>102.17217746631495</v>
      </c>
      <c r="AH873" s="12">
        <f>IF(OR(履歴データ!$A$873="",AG873=0),"",AE873/AG873-1)</f>
        <v>-0.31165941608732828</v>
      </c>
      <c r="AJ873" s="28">
        <f t="shared" ca="1" si="39"/>
        <v>3.5612094160315708</v>
      </c>
      <c r="AK873" s="28">
        <f t="shared" ca="1" si="40"/>
        <v>-7.6326379874601509</v>
      </c>
    </row>
    <row r="874" spans="1:37">
      <c r="A874" s="10">
        <f>IF(履歴データ!$A$874="","",履歴データ!$A$874)</f>
        <v>46203</v>
      </c>
      <c r="B874" s="28">
        <f>IF(履歴データ!$A$874="","",(履歴データ!$D$874-(履歴データ!$B$874+履歴データ!$F$874)/2)*100)</f>
        <v>-8.4999999999999964</v>
      </c>
      <c r="C874" s="28">
        <f>IF(履歴データ!$A$874="","",(履歴データ!$H$874-(履歴データ!$G$874+履歴データ!$J$874)/2)*100)</f>
        <v>6.25</v>
      </c>
      <c r="D874" s="28">
        <f>IF(履歴データ!$A$874="","",(履歴データ!$D$874-履歴データ!$H$874)*100)</f>
        <v>175.00000000000006</v>
      </c>
      <c r="E874" s="28">
        <f>IF(履歴データ!$A$874="","",(履歴データ!$D$874-履歴データ!$C$874)*100)</f>
        <v>25</v>
      </c>
      <c r="F874" s="28">
        <f>IF(履歴データ!$A$874="","",(履歴データ!$R$874-履歴データ!$D$874)*100)</f>
        <v>-351.74</v>
      </c>
      <c r="G874" s="28">
        <f>IF(履歴データ!$A$874="","",(履歴データ!$S$874-履歴データ!$R$874)*100)</f>
        <v>157.91235717773421</v>
      </c>
      <c r="H874" s="29">
        <f>IF(履歴データ!$A$874="","",履歴データ!$O$874)</f>
        <v>162.62800598144531</v>
      </c>
      <c r="I874" s="29">
        <f>IF(履歴データ!$A$874="","",履歴データ!$Q$874)</f>
        <v>109.890625</v>
      </c>
      <c r="J874" s="29">
        <f>IF(履歴データ!$A$874="","",履歴データ!$D$874)</f>
        <v>4.4400000000000004</v>
      </c>
      <c r="K874" s="28">
        <f>IF(OR(履歴データ!$A$874="",履歴データ!$A$873=""),"",B874-B873)</f>
        <v>1.5000000000000568</v>
      </c>
      <c r="L874" s="28">
        <f>IF(OR(履歴データ!$A$874="",履歴データ!$A$873=""),"",C874-C873)</f>
        <v>1.6499999999999737</v>
      </c>
      <c r="M874" s="28">
        <f>IF(OR(履歴データ!$A$874="",履歴データ!$A$873=""),"",D874-D873)</f>
        <v>1.4000000000000909</v>
      </c>
      <c r="N874" s="28">
        <f>IF(OR(履歴データ!$A$874="",履歴データ!$A$873=""),"",E874-E873)</f>
        <v>0.99999999999997868</v>
      </c>
      <c r="O874" s="28">
        <f>IF(OR(履歴データ!$A$874="",履歴データ!$A$873=""),"",F874-F873)</f>
        <v>-3.7800000000000296</v>
      </c>
      <c r="P874" s="28">
        <f>IF(OR(履歴データ!$A$874="",履歴データ!$A$873=""),"",G874-G873)</f>
        <v>-10.63928564453127</v>
      </c>
      <c r="Q874" s="29">
        <f>IF(OR(履歴データ!$A$874="",履歴データ!$A$873=""),"",H874-H873)</f>
        <v>0.7050018310546875</v>
      </c>
      <c r="R874" s="29">
        <f>IF(OR(履歴データ!$A$874="",履歴データ!$A$873=""),"",I874-I873)</f>
        <v>-0.296875</v>
      </c>
      <c r="S874" s="28">
        <f>IF(OR(履歴データ!$A$874="",履歴データ!$A$873=""),"",(J874-J873)*100)</f>
        <v>6.0000000000000497</v>
      </c>
      <c r="T874" s="11">
        <f>IF(OR(履歴データ!$A$874="",履歴データ!$A$873=""),"",-80000*K874)</f>
        <v>-120000.00000000454</v>
      </c>
      <c r="U874" s="11">
        <f>IF(OR(履歴データ!$A$874="",履歴データ!$A$873=""),"",60000*L874)</f>
        <v>98999.999999998428</v>
      </c>
      <c r="V874" s="11">
        <f>IF(OR(履歴データ!$A$874="",履歴データ!$A$873=""),"",-50000*M874)</f>
        <v>-70000.00000000454</v>
      </c>
      <c r="W874" s="11">
        <f>IF(OR(履歴データ!$A$874="",履歴データ!$A$873=""),"",-40000*N874)</f>
        <v>-39999.999999999149</v>
      </c>
      <c r="X874" s="11">
        <f>IF(OR(履歴データ!$A$874="",履歴データ!$A$873=""),"",120*1000000*(-Q874/H873))</f>
        <v>-522471.90058299329</v>
      </c>
      <c r="Y874" s="11">
        <f>IF(OR(履歴データ!$A$874="",履歴データ!$A$873=""),"",40000*(-S874)+(-506.3)*R874*1000)</f>
        <v>-89692.187500001979</v>
      </c>
      <c r="Z874" s="11">
        <f>IF(OR(履歴データ!$A$874="",履歴データ!$A$873=""),"",-40000*O874)</f>
        <v>151200.00000000119</v>
      </c>
      <c r="AA874" s="11">
        <f>IF(OR(履歴データ!$A$874="",履歴データ!$A$873=""),"",-40000*P874)</f>
        <v>425571.42578125081</v>
      </c>
      <c r="AB874" s="11">
        <f>IF(履歴データ!$A$874="","",123.3)</f>
        <v>123.3</v>
      </c>
      <c r="AC874">
        <f>IF(履歴データ!$A$874="","",SUM(T874:AA874))</f>
        <v>-166392.66230175307</v>
      </c>
      <c r="AD874" s="29">
        <f>IF(履歴データ!$A$874="","",AC874/1000000)</f>
        <v>-0.16639266230175306</v>
      </c>
      <c r="AE874" s="29">
        <f>IF(履歴データ!$A$874="",AE873,AE873+AC874/1000000)</f>
        <v>70.162863634490606</v>
      </c>
      <c r="AF874" s="12">
        <f>IF(OR(履歴データ!$A$874="",AE873=0),"",(AE874-AE873)/AE873)</f>
        <v>-2.3659095952836772E-3</v>
      </c>
      <c r="AG874" s="29">
        <f t="shared" si="41"/>
        <v>102.17217746631495</v>
      </c>
      <c r="AH874" s="12">
        <f>IF(OR(履歴データ!$A$874="",AG874=0),"",AE874/AG874-1)</f>
        <v>-0.31328796767963041</v>
      </c>
      <c r="AJ874" s="28">
        <f t="shared" ca="1" si="39"/>
        <v>3.5751538462317698</v>
      </c>
      <c r="AK874" s="28">
        <f t="shared" ca="1" si="40"/>
        <v>-7.7180109890889224</v>
      </c>
    </row>
    <row r="875" spans="1:37">
      <c r="A875" s="10">
        <f>IF(履歴データ!$A$875="","",履歴データ!$A$875)</f>
        <v>46204</v>
      </c>
      <c r="B875" s="28">
        <f>IF(履歴データ!$A$875="","",(履歴データ!$D$875-(履歴データ!$B$875+履歴データ!$F$875)/2)*100)</f>
        <v>-8.9999999999999858</v>
      </c>
      <c r="C875" s="28">
        <f>IF(履歴データ!$A$875="","",(履歴データ!$H$875-(履歴データ!$G$875+履歴データ!$J$875)/2)*100)</f>
        <v>6.9500000000000117</v>
      </c>
      <c r="D875" s="28">
        <f>IF(履歴データ!$A$875="","",(履歴データ!$D$875-履歴データ!$H$875)*100)</f>
        <v>176.90000000000006</v>
      </c>
      <c r="E875" s="28">
        <f>IF(履歴データ!$A$875="","",(履歴データ!$D$875-履歴データ!$C$875)*100)</f>
        <v>24.000000000000021</v>
      </c>
      <c r="F875" s="28">
        <f>IF(履歴データ!$A$875="","",(履歴データ!$R$875-履歴データ!$D$875)*100)</f>
        <v>-353.44000000000005</v>
      </c>
      <c r="G875" s="28">
        <f>IF(履歴データ!$A$875="","",(履歴データ!$S$875-履歴データ!$R$875)*100)</f>
        <v>170.34599999999986</v>
      </c>
      <c r="H875" s="29">
        <f>IF(履歴データ!$A$875="","",履歴データ!$O$875)</f>
        <v>162.53900146484375</v>
      </c>
      <c r="I875" s="29">
        <f>IF(履歴データ!$A$875="","",履歴データ!$Q$875)</f>
        <v>109.578125</v>
      </c>
      <c r="J875" s="29">
        <f>IF(履歴データ!$A$875="","",履歴データ!$D$875)</f>
        <v>4.4800000000000004</v>
      </c>
      <c r="K875" s="28">
        <f>IF(OR(履歴データ!$A$875="",履歴データ!$A$874=""),"",B875-B874)</f>
        <v>-0.49999999999998934</v>
      </c>
      <c r="L875" s="28">
        <f>IF(OR(履歴データ!$A$875="",履歴データ!$A$874=""),"",C875-C874)</f>
        <v>0.70000000000001172</v>
      </c>
      <c r="M875" s="28">
        <f>IF(OR(履歴データ!$A$875="",履歴データ!$A$874=""),"",D875-D874)</f>
        <v>1.9000000000000057</v>
      </c>
      <c r="N875" s="28">
        <f>IF(OR(履歴データ!$A$875="",履歴データ!$A$874=""),"",E875-E874)</f>
        <v>-0.99999999999997868</v>
      </c>
      <c r="O875" s="28">
        <f>IF(OR(履歴データ!$A$875="",履歴データ!$A$874=""),"",F875-F874)</f>
        <v>-1.7000000000000455</v>
      </c>
      <c r="P875" s="28">
        <f>IF(OR(履歴データ!$A$875="",履歴データ!$A$874=""),"",G875-G874)</f>
        <v>12.433642822265654</v>
      </c>
      <c r="Q875" s="29">
        <f>IF(OR(履歴データ!$A$875="",履歴データ!$A$874=""),"",H875-H874)</f>
        <v>-8.90045166015625E-2</v>
      </c>
      <c r="R875" s="29">
        <f>IF(OR(履歴データ!$A$875="",履歴データ!$A$874=""),"",I875-I874)</f>
        <v>-0.3125</v>
      </c>
      <c r="S875" s="28">
        <f>IF(OR(履歴データ!$A$875="",履歴データ!$A$874=""),"",(J875-J874)*100)</f>
        <v>4.0000000000000036</v>
      </c>
      <c r="T875" s="11">
        <f>IF(OR(履歴データ!$A$875="",履歴データ!$A$874=""),"",-80000*K875)</f>
        <v>39999.999999999149</v>
      </c>
      <c r="U875" s="11">
        <f>IF(OR(履歴データ!$A$875="",履歴データ!$A$874=""),"",60000*L875)</f>
        <v>42000.000000000706</v>
      </c>
      <c r="V875" s="11">
        <f>IF(OR(履歴データ!$A$875="",履歴データ!$A$874=""),"",-50000*M875)</f>
        <v>-95000.000000000291</v>
      </c>
      <c r="W875" s="11">
        <f>IF(OR(履歴データ!$A$875="",履歴データ!$A$874=""),"",-40000*N875)</f>
        <v>39999.999999999149</v>
      </c>
      <c r="X875" s="11">
        <f>IF(OR(履歴データ!$A$875="",履歴データ!$A$874=""),"",120*1000000*(-Q875/H874))</f>
        <v>65674.678403214712</v>
      </c>
      <c r="Y875" s="11">
        <f>IF(OR(履歴データ!$A$875="",履歴データ!$A$874=""),"",40000*(-S875)+(-506.3)*R875*1000)</f>
        <v>-1781.2500000001455</v>
      </c>
      <c r="Z875" s="11">
        <f>IF(OR(履歴データ!$A$875="",履歴データ!$A$874=""),"",-40000*O875)</f>
        <v>68000.000000001819</v>
      </c>
      <c r="AA875" s="11">
        <f>IF(OR(履歴データ!$A$875="",履歴データ!$A$874=""),"",-40000*P875)</f>
        <v>-497345.71289062616</v>
      </c>
      <c r="AB875" s="11">
        <f>IF(履歴データ!$A$875="","",123.3)</f>
        <v>123.3</v>
      </c>
      <c r="AC875">
        <f>IF(履歴データ!$A$875="","",SUM(T875:AA875))</f>
        <v>-338452.28448741109</v>
      </c>
      <c r="AD875" s="29">
        <f>IF(履歴データ!$A$875="","",AC875/1000000)</f>
        <v>-0.3384522844874111</v>
      </c>
      <c r="AE875" s="29">
        <f>IF(履歴データ!$A$875="",AE874,AE874+AC875/1000000)</f>
        <v>69.824411350003189</v>
      </c>
      <c r="AF875" s="12">
        <f>IF(OR(履歴データ!$A$875="",AE874=0),"",(AE875-AE874)/AE874)</f>
        <v>-4.8238094478378849E-3</v>
      </c>
      <c r="AG875" s="29">
        <f t="shared" si="41"/>
        <v>102.17217746631495</v>
      </c>
      <c r="AH875" s="12">
        <f>IF(OR(履歴データ!$A$875="",AG875=0),"",AE875/AG875-1)</f>
        <v>-0.31660053566908142</v>
      </c>
      <c r="AJ875" s="28">
        <f t="shared" ca="1" si="39"/>
        <v>3.6003445616057506</v>
      </c>
      <c r="AK875" s="28">
        <f t="shared" ca="1" si="40"/>
        <v>-7.8146302758914743</v>
      </c>
    </row>
    <row r="876" spans="1:37">
      <c r="A876" s="10">
        <f>IF(履歴データ!$A$876="","",履歴データ!$A$876)</f>
        <v>46205</v>
      </c>
      <c r="B876" s="28">
        <f>IF(履歴データ!$A$876="","",(履歴データ!$D$876-(履歴データ!$B$876+履歴データ!$F$876)/2)*100)</f>
        <v>-7.0000000000000284</v>
      </c>
      <c r="C876" s="28">
        <f>IF(履歴データ!$A$876="","",(履歴データ!$H$876-(履歴データ!$G$876+履歴データ!$J$876)/2)*100)</f>
        <v>11.20000000000001</v>
      </c>
      <c r="D876" s="28">
        <f>IF(履歴データ!$A$876="","",(履歴データ!$D$876-履歴データ!$H$876)*100)</f>
        <v>171.20000000000002</v>
      </c>
      <c r="E876" s="28">
        <f>IF(履歴データ!$A$876="","",(履歴データ!$D$876-履歴データ!$C$876)*100)</f>
        <v>25.999999999999979</v>
      </c>
      <c r="F876" s="28">
        <f>IF(履歴データ!$A$876="","",(履歴データ!$R$876-履歴データ!$D$876)*100)</f>
        <v>-347.6</v>
      </c>
      <c r="G876" s="28">
        <f>IF(履歴データ!$A$876="","",(履歴データ!$S$876-履歴データ!$R$876)*100)</f>
        <v>167.71564282226549</v>
      </c>
      <c r="H876" s="29">
        <f>IF(履歴データ!$A$876="","",履歴データ!$O$876)</f>
        <v>161.44900512695313</v>
      </c>
      <c r="I876" s="29">
        <f>IF(履歴データ!$A$876="","",履歴データ!$Q$876)</f>
        <v>109.578125</v>
      </c>
      <c r="J876" s="29">
        <f>IF(履歴データ!$A$876="","",履歴データ!$D$876)</f>
        <v>4.49</v>
      </c>
      <c r="K876" s="28">
        <f>IF(OR(履歴データ!$A$876="",履歴データ!$A$875=""),"",B876-B875)</f>
        <v>1.9999999999999574</v>
      </c>
      <c r="L876" s="28">
        <f>IF(OR(履歴データ!$A$876="",履歴データ!$A$875=""),"",C876-C875)</f>
        <v>4.2499999999999982</v>
      </c>
      <c r="M876" s="28">
        <f>IF(OR(履歴データ!$A$876="",履歴データ!$A$875=""),"",D876-D875)</f>
        <v>-5.7000000000000455</v>
      </c>
      <c r="N876" s="28">
        <f>IF(OR(履歴データ!$A$876="",履歴データ!$A$875=""),"",E876-E875)</f>
        <v>1.9999999999999574</v>
      </c>
      <c r="O876" s="28">
        <f>IF(OR(履歴データ!$A$876="",履歴データ!$A$875=""),"",F876-F875)</f>
        <v>5.8400000000000318</v>
      </c>
      <c r="P876" s="28">
        <f>IF(OR(履歴データ!$A$876="",履歴データ!$A$875=""),"",G876-G875)</f>
        <v>-2.6303571777343677</v>
      </c>
      <c r="Q876" s="29">
        <f>IF(OR(履歴データ!$A$876="",履歴データ!$A$875=""),"",H876-H875)</f>
        <v>-1.089996337890625</v>
      </c>
      <c r="R876" s="29">
        <f>IF(OR(履歴データ!$A$876="",履歴データ!$A$875=""),"",I876-I875)</f>
        <v>0</v>
      </c>
      <c r="S876" s="28">
        <f>IF(OR(履歴データ!$A$876="",履歴データ!$A$875=""),"",(J876-J875)*100)</f>
        <v>0.99999999999997868</v>
      </c>
      <c r="T876" s="11">
        <f>IF(OR(履歴データ!$A$876="",履歴データ!$A$875=""),"",-80000*K876)</f>
        <v>-159999.99999999659</v>
      </c>
      <c r="U876" s="11">
        <f>IF(OR(履歴データ!$A$876="",履歴データ!$A$875=""),"",60000*L876)</f>
        <v>254999.99999999988</v>
      </c>
      <c r="V876" s="11">
        <f>IF(OR(履歴データ!$A$876="",履歴データ!$A$875=""),"",-50000*M876)</f>
        <v>285000.00000000227</v>
      </c>
      <c r="W876" s="11">
        <f>IF(OR(履歴データ!$A$876="",履歴データ!$A$875=""),"",-40000*N876)</f>
        <v>-79999.999999998297</v>
      </c>
      <c r="X876" s="11">
        <f>IF(OR(履歴データ!$A$876="",履歴データ!$A$875=""),"",120*1000000*(-Q876/H875))</f>
        <v>804727.23080660845</v>
      </c>
      <c r="Y876" s="11">
        <f>IF(OR(履歴データ!$A$876="",履歴データ!$A$875=""),"",40000*(-S876)+(-506.3)*R876*1000)</f>
        <v>-39999.999999999149</v>
      </c>
      <c r="Z876" s="11">
        <f>IF(OR(履歴データ!$A$876="",履歴データ!$A$875=""),"",-40000*O876)</f>
        <v>-233600.00000000128</v>
      </c>
      <c r="AA876" s="11">
        <f>IF(OR(履歴データ!$A$876="",履歴データ!$A$875=""),"",-40000*P876)</f>
        <v>105214.28710937471</v>
      </c>
      <c r="AB876" s="11">
        <f>IF(履歴データ!$A$876="","",123.3)</f>
        <v>123.3</v>
      </c>
      <c r="AC876">
        <f>IF(履歴データ!$A$876="","",SUM(T876:AA876))</f>
        <v>936341.51791598997</v>
      </c>
      <c r="AD876" s="29">
        <f>IF(履歴データ!$A$876="","",AC876/1000000)</f>
        <v>0.93634151791598996</v>
      </c>
      <c r="AE876" s="29">
        <f>IF(履歴データ!$A$876="",AE875,AE875+AC876/1000000)</f>
        <v>70.76075286791918</v>
      </c>
      <c r="AF876" s="12">
        <f>IF(OR(履歴データ!$A$876="",AE875=0),"",(AE876-AE875)/AE875)</f>
        <v>1.3409945029432014E-2</v>
      </c>
      <c r="AG876" s="29">
        <f t="shared" si="41"/>
        <v>102.17217746631495</v>
      </c>
      <c r="AH876" s="12">
        <f>IF(OR(履歴データ!$A$876="",AG876=0),"",AE876/AG876-1)</f>
        <v>-0.30743618641926052</v>
      </c>
      <c r="AJ876" s="28">
        <f t="shared" ca="1" si="39"/>
        <v>3.6079601184809902</v>
      </c>
      <c r="AK876" s="28">
        <f t="shared" ca="1" si="40"/>
        <v>-7.8698648803857605</v>
      </c>
    </row>
    <row r="877" spans="1:37">
      <c r="A877" s="10">
        <f>IF(履歴データ!$A$877="","",履歴データ!$A$877)</f>
        <v>46209</v>
      </c>
      <c r="B877" s="28">
        <f>IF(履歴データ!$A$877="","",(履歴データ!$D$877-(履歴データ!$B$877+履歴データ!$F$877)/2)*100)</f>
        <v>-8.0000000000000071</v>
      </c>
      <c r="C877" s="28">
        <f>IF(履歴データ!$A$877="","",(履歴データ!$H$877-(履歴データ!$G$877+履歴データ!$J$877)/2)*100)</f>
        <v>13.700000000000001</v>
      </c>
      <c r="D877" s="28">
        <f>IF(履歴データ!$A$877="","",(履歴データ!$D$877-履歴データ!$H$877)*100)</f>
        <v>165.70000000000005</v>
      </c>
      <c r="E877" s="28">
        <f>IF(履歴データ!$A$877="","",(履歴データ!$D$877-履歴データ!$C$877)*100)</f>
        <v>27.000000000000046</v>
      </c>
      <c r="F877" s="28">
        <f>IF(履歴データ!$A$877="","",(履歴データ!$R$877-履歴データ!$D$877)*100)</f>
        <v>-342.2700000000001</v>
      </c>
      <c r="G877" s="28">
        <f>IF(履歴データ!$A$877="","",(履歴データ!$S$877-履歴データ!$R$877)*100)</f>
        <v>167.06899999999985</v>
      </c>
      <c r="H877" s="29">
        <f>IF(履歴データ!$A$877="","",履歴データ!$O$877)</f>
        <v>162.08799743652344</v>
      </c>
      <c r="I877" s="29">
        <f>IF(履歴データ!$A$877="","",履歴データ!$Q$877)</f>
        <v>109.640625</v>
      </c>
      <c r="J877" s="29">
        <f>IF(履歴データ!$A$877="","",履歴データ!$D$877)</f>
        <v>4.4800000000000004</v>
      </c>
      <c r="K877" s="28">
        <f>IF(OR(履歴データ!$A$877="",履歴データ!$A$876=""),"",B877-B876)</f>
        <v>-0.99999999999997868</v>
      </c>
      <c r="L877" s="28">
        <f>IF(OR(履歴データ!$A$877="",履歴データ!$A$876=""),"",C877-C876)</f>
        <v>2.4999999999999911</v>
      </c>
      <c r="M877" s="28">
        <f>IF(OR(履歴データ!$A$877="",履歴データ!$A$876=""),"",D877-D876)</f>
        <v>-5.4999999999999716</v>
      </c>
      <c r="N877" s="28">
        <f>IF(OR(履歴データ!$A$877="",履歴データ!$A$876=""),"",E877-E876)</f>
        <v>1.0000000000000675</v>
      </c>
      <c r="O877" s="28">
        <f>IF(OR(履歴データ!$A$877="",履歴データ!$A$876=""),"",F877-F876)</f>
        <v>5.3299999999999272</v>
      </c>
      <c r="P877" s="28">
        <f>IF(OR(履歴データ!$A$877="",履歴データ!$A$876=""),"",G877-G876)</f>
        <v>-0.64664282226564751</v>
      </c>
      <c r="Q877" s="29">
        <f>IF(OR(履歴データ!$A$877="",履歴データ!$A$876=""),"",H877-H876)</f>
        <v>0.6389923095703125</v>
      </c>
      <c r="R877" s="29">
        <f>IF(OR(履歴データ!$A$877="",履歴データ!$A$876=""),"",I877-I876)</f>
        <v>6.25E-2</v>
      </c>
      <c r="S877" s="28">
        <f>IF(OR(履歴データ!$A$877="",履歴データ!$A$876=""),"",(J877-J876)*100)</f>
        <v>-0.99999999999997868</v>
      </c>
      <c r="T877" s="11">
        <f>IF(OR(履歴データ!$A$877="",履歴データ!$A$876=""),"",-80000*K877)</f>
        <v>79999.999999998297</v>
      </c>
      <c r="U877" s="11">
        <f>IF(OR(履歴データ!$A$877="",履歴データ!$A$876=""),"",60000*L877)</f>
        <v>149999.99999999948</v>
      </c>
      <c r="V877" s="11">
        <f>IF(OR(履歴データ!$A$877="",履歴データ!$A$876=""),"",-50000*M877)</f>
        <v>274999.9999999986</v>
      </c>
      <c r="W877" s="11">
        <f>IF(OR(履歴データ!$A$877="",履歴データ!$A$876=""),"",-40000*N877)</f>
        <v>-40000.000000002699</v>
      </c>
      <c r="X877" s="11">
        <f>IF(OR(履歴データ!$A$877="",履歴データ!$A$876=""),"",120*1000000*(-Q877/H876))</f>
        <v>-474943.0142857926</v>
      </c>
      <c r="Y877" s="11">
        <f>IF(OR(履歴データ!$A$877="",履歴データ!$A$876=""),"",40000*(-S877)+(-506.3)*R877*1000)</f>
        <v>8356.2499999991487</v>
      </c>
      <c r="Z877" s="11">
        <f>IF(OR(履歴データ!$A$877="",履歴データ!$A$876=""),"",-40000*O877)</f>
        <v>-213199.99999999709</v>
      </c>
      <c r="AA877" s="11">
        <f>IF(OR(履歴データ!$A$877="",履歴データ!$A$876=""),"",-40000*P877)</f>
        <v>25865.712890625902</v>
      </c>
      <c r="AB877" s="11">
        <f>IF(履歴データ!$A$877="","",123.3)</f>
        <v>123.3</v>
      </c>
      <c r="AC877">
        <f>IF(履歴データ!$A$877="","",SUM(T877:AA877))</f>
        <v>-188921.05139517091</v>
      </c>
      <c r="AD877" s="29">
        <f>IF(履歴データ!$A$877="","",AC877/1000000)</f>
        <v>-0.1889210513951709</v>
      </c>
      <c r="AE877" s="29">
        <f>IF(履歴データ!$A$877="",AE876,AE876+AC877/1000000)</f>
        <v>70.571831816524011</v>
      </c>
      <c r="AF877" s="12">
        <f>IF(OR(履歴データ!$A$877="",AE876=0),"",(AE877-AE876)/AE876)</f>
        <v>-2.6698564350750536E-3</v>
      </c>
      <c r="AG877" s="29">
        <f t="shared" si="41"/>
        <v>102.17217746631495</v>
      </c>
      <c r="AH877" s="12">
        <f>IF(OR(履歴データ!$A$877="",AG877=0),"",AE877/AG877-1)</f>
        <v>-0.30928523237364913</v>
      </c>
      <c r="AJ877" s="28">
        <f t="shared" ca="1" si="39"/>
        <v>3.6315583906576188</v>
      </c>
      <c r="AK877" s="28">
        <f t="shared" ca="1" si="40"/>
        <v>-7.9410822001814374</v>
      </c>
    </row>
    <row r="878" spans="1:37">
      <c r="A878" s="10">
        <f>IF(履歴データ!$A$878="","",履歴データ!$A$878)</f>
        <v>46210</v>
      </c>
      <c r="B878" s="28">
        <f>IF(履歴データ!$A$878="","",(履歴データ!$D$878-(履歴データ!$B$878+履歴データ!$F$878)/2)*100)</f>
        <v>-7.0000000000000284</v>
      </c>
      <c r="C878" s="28">
        <f>IF(履歴データ!$A$878="","",(履歴データ!$H$878-(履歴データ!$G$878+履歴データ!$J$878)/2)*100)</f>
        <v>15.75000000000002</v>
      </c>
      <c r="D878" s="28">
        <f>IF(履歴データ!$A$878="","",(履歴データ!$D$878-履歴データ!$H$878)*100)</f>
        <v>171.59999999999997</v>
      </c>
      <c r="E878" s="28">
        <f>IF(履歴データ!$A$878="","",(履歴データ!$D$878-履歴データ!$C$878)*100)</f>
        <v>28.000000000000025</v>
      </c>
      <c r="F878" s="28">
        <f>IF(履歴データ!$A$878="","",(履歴データ!$R$878-履歴データ!$D$878)*100)</f>
        <v>-344.31</v>
      </c>
      <c r="G878" s="28">
        <f>IF(履歴データ!$A$878="","",(履歴データ!$S$878-履歴データ!$R$878)*100)</f>
        <v>163.33682141113263</v>
      </c>
      <c r="H878" s="29">
        <f>IF(履歴データ!$A$878="","",履歴データ!$O$878)</f>
        <v>162.36300659179688</v>
      </c>
      <c r="I878" s="29">
        <f>IF(履歴データ!$A$878="","",履歴データ!$Q$878)</f>
        <v>109.328125</v>
      </c>
      <c r="J878" s="29">
        <f>IF(履歴データ!$A$878="","",履歴データ!$D$878)</f>
        <v>4.55</v>
      </c>
      <c r="K878" s="28">
        <f>IF(OR(履歴データ!$A$878="",履歴データ!$A$877=""),"",B878-B877)</f>
        <v>0.99999999999997868</v>
      </c>
      <c r="L878" s="28">
        <f>IF(OR(履歴データ!$A$878="",履歴データ!$A$877=""),"",C878-C877)</f>
        <v>2.0500000000000185</v>
      </c>
      <c r="M878" s="28">
        <f>IF(OR(履歴データ!$A$878="",履歴データ!$A$877=""),"",D878-D877)</f>
        <v>5.8999999999999204</v>
      </c>
      <c r="N878" s="28">
        <f>IF(OR(履歴データ!$A$878="",履歴データ!$A$877=""),"",E878-E877)</f>
        <v>0.99999999999997868</v>
      </c>
      <c r="O878" s="28">
        <f>IF(OR(履歴データ!$A$878="",履歴データ!$A$877=""),"",F878-F877)</f>
        <v>-2.0399999999999068</v>
      </c>
      <c r="P878" s="28">
        <f>IF(OR(履歴データ!$A$878="",履歴データ!$A$877=""),"",G878-G877)</f>
        <v>-3.7321785888672139</v>
      </c>
      <c r="Q878" s="29">
        <f>IF(OR(履歴データ!$A$878="",履歴データ!$A$877=""),"",H878-H877)</f>
        <v>0.2750091552734375</v>
      </c>
      <c r="R878" s="29">
        <f>IF(OR(履歴データ!$A$878="",履歴データ!$A$877=""),"",I878-I877)</f>
        <v>-0.3125</v>
      </c>
      <c r="S878" s="28">
        <f>IF(OR(履歴データ!$A$878="",履歴データ!$A$877=""),"",(J878-J877)*100)</f>
        <v>6.9999999999999396</v>
      </c>
      <c r="T878" s="11">
        <f>IF(OR(履歴データ!$A$878="",履歴データ!$A$877=""),"",-80000*K878)</f>
        <v>-79999.999999998297</v>
      </c>
      <c r="U878" s="11">
        <f>IF(OR(履歴データ!$A$878="",履歴データ!$A$877=""),"",60000*L878)</f>
        <v>123000.00000000111</v>
      </c>
      <c r="V878" s="11">
        <f>IF(OR(履歴データ!$A$878="",履歴データ!$A$877=""),"",-50000*M878)</f>
        <v>-294999.99999999604</v>
      </c>
      <c r="W878" s="11">
        <f>IF(OR(履歴データ!$A$878="",履歴データ!$A$877=""),"",-40000*N878)</f>
        <v>-39999.999999999149</v>
      </c>
      <c r="X878" s="11">
        <f>IF(OR(履歴データ!$A$878="",履歴データ!$A$877=""),"",120*1000000*(-Q878/H877))</f>
        <v>-203599.89113775262</v>
      </c>
      <c r="Y878" s="11">
        <f>IF(OR(履歴データ!$A$878="",履歴データ!$A$877=""),"",40000*(-S878)+(-506.3)*R878*1000)</f>
        <v>-121781.24999999756</v>
      </c>
      <c r="Z878" s="11">
        <f>IF(OR(履歴データ!$A$878="",履歴データ!$A$877=""),"",-40000*O878)</f>
        <v>81599.999999996275</v>
      </c>
      <c r="AA878" s="11">
        <f>IF(OR(履歴データ!$A$878="",履歴データ!$A$877=""),"",-40000*P878)</f>
        <v>149287.14355468855</v>
      </c>
      <c r="AB878" s="11">
        <f>IF(履歴データ!$A$878="","",123.3)</f>
        <v>123.3</v>
      </c>
      <c r="AC878">
        <f>IF(履歴データ!$A$878="","",SUM(T878:AA878))</f>
        <v>-386493.99758305773</v>
      </c>
      <c r="AD878" s="29">
        <f>IF(履歴データ!$A$878="","",AC878/1000000)</f>
        <v>-0.38649399758305775</v>
      </c>
      <c r="AE878" s="29">
        <f>IF(履歴データ!$A$878="",AE877,AE877+AC878/1000000)</f>
        <v>70.185337818940951</v>
      </c>
      <c r="AF878" s="12">
        <f>IF(OR(履歴データ!$A$878="",AE877=0),"",(AE878-AE877)/AE877)</f>
        <v>-5.4766042999689285E-3</v>
      </c>
      <c r="AG878" s="29">
        <f t="shared" si="41"/>
        <v>102.17217746631495</v>
      </c>
      <c r="AH878" s="12">
        <f>IF(OR(履歴データ!$A$878="",AG878=0),"",AE878/AG878-1)</f>
        <v>-0.31306800384008371</v>
      </c>
      <c r="AJ878" s="28">
        <f t="shared" ca="1" si="39"/>
        <v>3.6293908613555725</v>
      </c>
      <c r="AK878" s="28">
        <f t="shared" ca="1" si="40"/>
        <v>-7.994470226434947</v>
      </c>
    </row>
    <row r="879" spans="1:37">
      <c r="A879" s="10">
        <f>IF(履歴データ!$A$879="","",履歴データ!$A$879)</f>
        <v>46211</v>
      </c>
      <c r="B879" s="28">
        <f>IF(履歴データ!$A$879="","",(履歴データ!$D$879-(履歴データ!$B$879+履歴データ!$F$879)/2)*100)</f>
        <v>-7.5000000000000178</v>
      </c>
      <c r="C879" s="28">
        <f>IF(履歴データ!$A$879="","",(履歴データ!$H$879-(履歴データ!$G$879+履歴データ!$J$879)/2)*100)</f>
        <v>14.049999999999985</v>
      </c>
      <c r="D879" s="28">
        <f>IF(履歴データ!$A$879="","",(履歴データ!$D$879-履歴データ!$H$879)*100)</f>
        <v>170.39999999999998</v>
      </c>
      <c r="E879" s="28">
        <f>IF(履歴データ!$A$879="","",(履歴データ!$D$879-履歴データ!$C$879)*100)</f>
        <v>25</v>
      </c>
      <c r="F879" s="28">
        <f>IF(履歴データ!$A$879="","",(履歴データ!$R$879-履歴データ!$D$879)*100)</f>
        <v>-339.65</v>
      </c>
      <c r="G879" s="28">
        <f>IF(履歴データ!$A$879="","",(履歴データ!$S$879-履歴データ!$R$879)*100)</f>
        <v>162.58799999999997</v>
      </c>
      <c r="H879" s="29">
        <f>IF(履歴データ!$A$879="","",履歴データ!$O$879)</f>
        <v>162.53900146484375</v>
      </c>
      <c r="I879" s="29">
        <f>IF(履歴データ!$A$879="","",履歴データ!$Q$879)</f>
        <v>109</v>
      </c>
      <c r="J879" s="29">
        <f>IF(履歴データ!$A$879="","",履歴データ!$D$879)</f>
        <v>4.5599999999999996</v>
      </c>
      <c r="K879" s="28">
        <f>IF(OR(履歴データ!$A$879="",履歴データ!$A$878=""),"",B879-B878)</f>
        <v>-0.49999999999998934</v>
      </c>
      <c r="L879" s="28">
        <f>IF(OR(履歴データ!$A$879="",履歴データ!$A$878=""),"",C879-C878)</f>
        <v>-1.7000000000000348</v>
      </c>
      <c r="M879" s="28">
        <f>IF(OR(履歴データ!$A$879="",履歴データ!$A$878=""),"",D879-D878)</f>
        <v>-1.1999999999999886</v>
      </c>
      <c r="N879" s="28">
        <f>IF(OR(履歴データ!$A$879="",履歴データ!$A$878=""),"",E879-E878)</f>
        <v>-3.0000000000000249</v>
      </c>
      <c r="O879" s="28">
        <f>IF(OR(履歴データ!$A$879="",履歴データ!$A$878=""),"",F879-F878)</f>
        <v>4.660000000000025</v>
      </c>
      <c r="P879" s="28">
        <f>IF(OR(履歴データ!$A$879="",履歴データ!$A$878=""),"",G879-G878)</f>
        <v>-0.74882141113266698</v>
      </c>
      <c r="Q879" s="29">
        <f>IF(OR(履歴データ!$A$879="",履歴データ!$A$878=""),"",H879-H878)</f>
        <v>0.175994873046875</v>
      </c>
      <c r="R879" s="29">
        <f>IF(OR(履歴データ!$A$879="",履歴データ!$A$878=""),"",I879-I878)</f>
        <v>-0.328125</v>
      </c>
      <c r="S879" s="28">
        <f>IF(OR(履歴データ!$A$879="",履歴データ!$A$878=""),"",(J879-J878)*100)</f>
        <v>0.99999999999997868</v>
      </c>
      <c r="T879" s="11">
        <f>IF(OR(履歴データ!$A$879="",履歴データ!$A$878=""),"",-80000*K879)</f>
        <v>39999.999999999149</v>
      </c>
      <c r="U879" s="11">
        <f>IF(OR(履歴データ!$A$879="",履歴データ!$A$878=""),"",60000*L879)</f>
        <v>-102000.0000000021</v>
      </c>
      <c r="V879" s="11">
        <f>IF(OR(履歴データ!$A$879="",履歴データ!$A$878=""),"",-50000*M879)</f>
        <v>59999.999999999432</v>
      </c>
      <c r="W879" s="11">
        <f>IF(OR(履歴データ!$A$879="",履歴データ!$A$878=""),"",-40000*N879)</f>
        <v>120000.00000000099</v>
      </c>
      <c r="X879" s="11">
        <f>IF(OR(履歴データ!$A$879="",履歴データ!$A$878=""),"",120*1000000*(-Q879/H878))</f>
        <v>-130075.10275245187</v>
      </c>
      <c r="Y879" s="11">
        <f>IF(OR(履歴データ!$A$879="",履歴データ!$A$878=""),"",40000*(-S879)+(-506.3)*R879*1000)</f>
        <v>126129.68750000087</v>
      </c>
      <c r="Z879" s="11">
        <f>IF(OR(履歴データ!$A$879="",履歴データ!$A$878=""),"",-40000*O879)</f>
        <v>-186400.00000000099</v>
      </c>
      <c r="AA879" s="11">
        <f>IF(OR(履歴データ!$A$879="",履歴データ!$A$878=""),"",-40000*P879)</f>
        <v>29952.856445306679</v>
      </c>
      <c r="AB879" s="11">
        <f>IF(履歴データ!$A$879="","",123.3)</f>
        <v>123.3</v>
      </c>
      <c r="AC879">
        <f>IF(履歴データ!$A$879="","",SUM(T879:AA879))</f>
        <v>-42392.558807147841</v>
      </c>
      <c r="AD879" s="29">
        <f>IF(履歴データ!$A$879="","",AC879/1000000)</f>
        <v>-4.2392558807147838E-2</v>
      </c>
      <c r="AE879" s="29">
        <f>IF(履歴データ!$A$879="",AE878,AE878+AC879/1000000)</f>
        <v>70.1429452601338</v>
      </c>
      <c r="AF879" s="12">
        <f>IF(OR(履歴データ!$A$879="",AE878=0),"",(AE879-AE878)/AE878)</f>
        <v>-6.0400875915867858E-4</v>
      </c>
      <c r="AG879" s="29">
        <f t="shared" si="41"/>
        <v>102.17217746631495</v>
      </c>
      <c r="AH879" s="12">
        <f>IF(OR(履歴データ!$A$879="",AG879=0),"",AE879/AG879-1)</f>
        <v>-0.31348291678271056</v>
      </c>
      <c r="AJ879" s="28">
        <f t="shared" ca="1" si="39"/>
        <v>3.6459935753711448</v>
      </c>
      <c r="AK879" s="28">
        <f t="shared" ca="1" si="40"/>
        <v>-8.0547237341013123</v>
      </c>
    </row>
    <row r="880" spans="1:37">
      <c r="A880" s="10">
        <f>IF(履歴データ!$A$880="","",履歴データ!$A$880)</f>
        <v>46212</v>
      </c>
      <c r="B880" s="28">
        <f>IF(履歴データ!$A$880="","",(履歴データ!$D$880-(履歴データ!$B$880+履歴データ!$F$880)/2)*100)</f>
        <v>-6.5000000000000391</v>
      </c>
      <c r="C880" s="28">
        <f>IF(履歴データ!$A$880="","",(履歴データ!$H$880-(履歴データ!$G$880+履歴データ!$J$880)/2)*100)</f>
        <v>13.750000000000018</v>
      </c>
      <c r="D880" s="28">
        <f>IF(履歴データ!$A$880="","",(履歴データ!$D$880-履歴データ!$H$880)*100)</f>
        <v>167.4</v>
      </c>
      <c r="E880" s="28">
        <f>IF(履歴データ!$A$880="","",(履歴データ!$D$880-履歴データ!$C$880)*100)</f>
        <v>27.000000000000046</v>
      </c>
      <c r="F880" s="28">
        <f>IF(履歴データ!$A$880="","",(履歴データ!$R$880-履歴データ!$D$880)*100)</f>
        <v>-324.45</v>
      </c>
      <c r="G880" s="28">
        <f>IF(履歴データ!$A$880="","",(履歴データ!$S$880-履歴データ!$R$880)*100)</f>
        <v>149.73882141113273</v>
      </c>
      <c r="H880" s="29">
        <f>IF(履歴データ!$A$880="","",履歴データ!$O$880)</f>
        <v>162.36300659179688</v>
      </c>
      <c r="I880" s="29">
        <f>IF(履歴データ!$A$880="","",履歴データ!$Q$880)</f>
        <v>109.265625</v>
      </c>
      <c r="J880" s="29">
        <f>IF(履歴データ!$A$880="","",履歴データ!$D$880)</f>
        <v>4.54</v>
      </c>
      <c r="K880" s="28">
        <f>IF(OR(履歴データ!$A$880="",履歴データ!$A$879=""),"",B880-B879)</f>
        <v>0.99999999999997868</v>
      </c>
      <c r="L880" s="28">
        <f>IF(OR(履歴データ!$A$880="",履歴データ!$A$879=""),"",C880-C879)</f>
        <v>-0.29999999999996696</v>
      </c>
      <c r="M880" s="28">
        <f>IF(OR(履歴データ!$A$880="",履歴データ!$A$879=""),"",D880-D879)</f>
        <v>-2.9999999999999716</v>
      </c>
      <c r="N880" s="28">
        <f>IF(OR(履歴データ!$A$880="",履歴データ!$A$879=""),"",E880-E879)</f>
        <v>2.0000000000000462</v>
      </c>
      <c r="O880" s="28">
        <f>IF(OR(履歴データ!$A$880="",履歴データ!$A$879=""),"",F880-F879)</f>
        <v>15.199999999999989</v>
      </c>
      <c r="P880" s="28">
        <f>IF(OR(履歴データ!$A$880="",履歴データ!$A$879=""),"",G880-G879)</f>
        <v>-12.849178588867233</v>
      </c>
      <c r="Q880" s="29">
        <f>IF(OR(履歴データ!$A$880="",履歴データ!$A$879=""),"",H880-H879)</f>
        <v>-0.175994873046875</v>
      </c>
      <c r="R880" s="29">
        <f>IF(OR(履歴データ!$A$880="",履歴データ!$A$879=""),"",I880-I879)</f>
        <v>0.265625</v>
      </c>
      <c r="S880" s="28">
        <f>IF(OR(履歴データ!$A$880="",履歴データ!$A$879=""),"",(J880-J879)*100)</f>
        <v>-1.9999999999999574</v>
      </c>
      <c r="T880" s="11">
        <f>IF(OR(履歴データ!$A$880="",履歴データ!$A$879=""),"",-80000*K880)</f>
        <v>-79999.999999998297</v>
      </c>
      <c r="U880" s="11">
        <f>IF(OR(履歴データ!$A$880="",履歴データ!$A$879=""),"",60000*L880)</f>
        <v>-17999.999999998017</v>
      </c>
      <c r="V880" s="11">
        <f>IF(OR(履歴データ!$A$880="",履歴データ!$A$879=""),"",-50000*M880)</f>
        <v>149999.99999999857</v>
      </c>
      <c r="W880" s="11">
        <f>IF(OR(履歴データ!$A$880="",履歴データ!$A$879=""),"",-40000*N880)</f>
        <v>-80000.000000001848</v>
      </c>
      <c r="X880" s="11">
        <f>IF(OR(履歴データ!$A$880="",履歴データ!$A$879=""),"",120*1000000*(-Q880/H879))</f>
        <v>129934.25931801976</v>
      </c>
      <c r="Y880" s="11">
        <f>IF(OR(履歴データ!$A$880="",履歴データ!$A$879=""),"",40000*(-S880)+(-506.3)*R880*1000)</f>
        <v>-54485.937500001703</v>
      </c>
      <c r="Z880" s="11">
        <f>IF(OR(履歴データ!$A$880="",履歴データ!$A$879=""),"",-40000*O880)</f>
        <v>-607999.99999999953</v>
      </c>
      <c r="AA880" s="11">
        <f>IF(OR(履歴データ!$A$880="",履歴データ!$A$879=""),"",-40000*P880)</f>
        <v>513967.1435546893</v>
      </c>
      <c r="AB880" s="11">
        <f>IF(履歴データ!$A$880="","",123.3)</f>
        <v>123.3</v>
      </c>
      <c r="AC880">
        <f>IF(履歴データ!$A$880="","",SUM(T880:AA880))</f>
        <v>-46584.534627291781</v>
      </c>
      <c r="AD880" s="29">
        <f>IF(履歴データ!$A$880="","",AC880/1000000)</f>
        <v>-4.6584534627291778E-2</v>
      </c>
      <c r="AE880" s="29">
        <f>IF(履歴データ!$A$880="",AE879,AE879+AC880/1000000)</f>
        <v>70.096360725506514</v>
      </c>
      <c r="AF880" s="12">
        <f>IF(OR(履歴データ!$A$880="",AE879=0),"",(AE880-AE879)/AE879)</f>
        <v>-6.6413713388454416E-4</v>
      </c>
      <c r="AG880" s="29">
        <f t="shared" si="41"/>
        <v>102.17217746631495</v>
      </c>
      <c r="AH880" s="12">
        <f>IF(OR(履歴データ!$A$880="",AG880=0),"",AE880/AG880-1)</f>
        <v>-0.31393885827072132</v>
      </c>
      <c r="AJ880" s="28">
        <f t="shared" ca="1" si="39"/>
        <v>3.6471162040598628</v>
      </c>
      <c r="AK880" s="28">
        <f t="shared" ca="1" si="40"/>
        <v>-8.0994971564408242</v>
      </c>
    </row>
    <row r="881" spans="1:37">
      <c r="A881" s="10">
        <f>IF(履歴データ!$A$881="","",履歴データ!$A$881)</f>
        <v>46213</v>
      </c>
      <c r="B881" s="28">
        <f>IF(履歴データ!$A$881="","",(履歴データ!$D$881-(履歴データ!$B$881+履歴データ!$F$881)/2)*100)</f>
        <v>-7.5000000000000178</v>
      </c>
      <c r="C881" s="28">
        <f>IF(履歴データ!$A$881="","",(履歴データ!$H$881-(履歴データ!$G$881+履歴データ!$J$881)/2)*100)</f>
        <v>7.5000000000000178</v>
      </c>
      <c r="D881" s="28">
        <f>IF(履歴データ!$A$881="","",(履歴データ!$D$881-履歴データ!$H$881)*100)</f>
        <v>179.89999999999995</v>
      </c>
      <c r="E881" s="28">
        <f>IF(履歴データ!$A$881="","",(履歴データ!$D$881-履歴データ!$C$881)*100)</f>
        <v>25.999999999999979</v>
      </c>
      <c r="F881" s="28">
        <f>IF(履歴データ!$A$881="","",(履歴データ!$R$881-履歴データ!$D$881)*100)</f>
        <v>-332.09999999999997</v>
      </c>
      <c r="G881" s="28">
        <f>IF(履歴データ!$A$881="","",(履歴データ!$S$881-履歴データ!$R$881)*100)</f>
        <v>146.61882141113273</v>
      </c>
      <c r="H881" s="29">
        <f>IF(履歴データ!$A$881="","",履歴データ!$O$881)</f>
        <v>162.36300659179688</v>
      </c>
      <c r="I881" s="29">
        <f>IF(履歴データ!$A$881="","",履歴データ!$Q$881)</f>
        <v>109.03125</v>
      </c>
      <c r="J881" s="29">
        <f>IF(履歴データ!$A$881="","",履歴データ!$D$881)</f>
        <v>4.5599999999999996</v>
      </c>
      <c r="K881" s="28">
        <f>IF(OR(履歴データ!$A$881="",履歴データ!$A$880=""),"",B881-B880)</f>
        <v>-0.99999999999997868</v>
      </c>
      <c r="L881" s="28">
        <f>IF(OR(履歴データ!$A$881="",履歴データ!$A$880=""),"",C881-C880)</f>
        <v>-6.25</v>
      </c>
      <c r="M881" s="28">
        <f>IF(OR(履歴データ!$A$881="",履歴データ!$A$880=""),"",D881-D880)</f>
        <v>12.499999999999943</v>
      </c>
      <c r="N881" s="28">
        <f>IF(OR(履歴データ!$A$881="",履歴データ!$A$880=""),"",E881-E880)</f>
        <v>-1.0000000000000675</v>
      </c>
      <c r="O881" s="28">
        <f>IF(OR(履歴データ!$A$881="",履歴データ!$A$880=""),"",F881-F880)</f>
        <v>-7.6499999999999773</v>
      </c>
      <c r="P881" s="28">
        <f>IF(OR(履歴データ!$A$881="",履歴データ!$A$880=""),"",G881-G880)</f>
        <v>-3.1200000000000045</v>
      </c>
      <c r="Q881" s="29">
        <f>IF(OR(履歴データ!$A$881="",履歴データ!$A$880=""),"",H881-H880)</f>
        <v>0</v>
      </c>
      <c r="R881" s="29">
        <f>IF(OR(履歴データ!$A$881="",履歴データ!$A$880=""),"",I881-I880)</f>
        <v>-0.234375</v>
      </c>
      <c r="S881" s="28">
        <f>IF(OR(履歴データ!$A$881="",履歴データ!$A$880=""),"",(J881-J880)*100)</f>
        <v>1.9999999999999574</v>
      </c>
      <c r="T881" s="11">
        <f>IF(OR(履歴データ!$A$881="",履歴データ!$A$880=""),"",-80000*K881)</f>
        <v>79999.999999998297</v>
      </c>
      <c r="U881" s="11">
        <f>IF(OR(履歴データ!$A$881="",履歴データ!$A$880=""),"",60000*L881)</f>
        <v>-375000</v>
      </c>
      <c r="V881" s="11">
        <f>IF(OR(履歴データ!$A$881="",履歴データ!$A$880=""),"",-50000*M881)</f>
        <v>-624999.99999999721</v>
      </c>
      <c r="W881" s="11">
        <f>IF(OR(履歴データ!$A$881="",履歴データ!$A$880=""),"",-40000*N881)</f>
        <v>40000.000000002699</v>
      </c>
      <c r="X881" s="11">
        <f>IF(OR(履歴データ!$A$881="",履歴データ!$A$880=""),"",120*1000000*(-Q881/H880))</f>
        <v>0</v>
      </c>
      <c r="Y881" s="11">
        <f>IF(OR(履歴データ!$A$881="",履歴データ!$A$880=""),"",40000*(-S881)+(-506.3)*R881*1000)</f>
        <v>38664.062500001703</v>
      </c>
      <c r="Z881" s="11">
        <f>IF(OR(履歴データ!$A$881="",履歴データ!$A$880=""),"",-40000*O881)</f>
        <v>305999.99999999907</v>
      </c>
      <c r="AA881" s="11">
        <f>IF(OR(履歴データ!$A$881="",履歴データ!$A$880=""),"",-40000*P881)</f>
        <v>124800.00000000017</v>
      </c>
      <c r="AB881" s="11">
        <f>IF(履歴データ!$A$881="","",123.3)</f>
        <v>123.3</v>
      </c>
      <c r="AC881">
        <f>IF(履歴データ!$A$881="","",SUM(T881:AA881))</f>
        <v>-410535.93749999517</v>
      </c>
      <c r="AD881" s="29">
        <f>IF(履歴データ!$A$881="","",AC881/1000000)</f>
        <v>-0.41053593749999517</v>
      </c>
      <c r="AE881" s="29">
        <f>IF(履歴データ!$A$881="",AE880,AE880+AC881/1000000)</f>
        <v>69.685824788006514</v>
      </c>
      <c r="AF881" s="12">
        <f>IF(OR(履歴データ!$A$881="",AE880=0),"",(AE881-AE880)/AE880)</f>
        <v>-5.8567368298567844E-3</v>
      </c>
      <c r="AG881" s="29">
        <f t="shared" si="41"/>
        <v>102.17217746631495</v>
      </c>
      <c r="AH881" s="12">
        <f>IF(OR(履歴データ!$A$881="",AG881=0),"",AE881/AG881-1)</f>
        <v>-0.31795693782702072</v>
      </c>
      <c r="AJ881" s="28">
        <f t="shared" ca="1" si="39"/>
        <v>3.6479811736524179</v>
      </c>
      <c r="AK881" s="28">
        <f t="shared" ca="1" si="40"/>
        <v>-8.1598859355571882</v>
      </c>
    </row>
    <row r="882" spans="1:37">
      <c r="A882" s="10">
        <f>IF(履歴データ!$A$882="","",履歴データ!$A$882)</f>
        <v>46216</v>
      </c>
      <c r="B882" s="28">
        <f>IF(履歴データ!$A$882="","",(履歴データ!$D$882-(履歴データ!$B$882+履歴データ!$F$882)/2)*100)</f>
        <v>-5.9999999999999609</v>
      </c>
      <c r="C882" s="28">
        <f>IF(履歴データ!$A$882="","",(履歴データ!$H$882-(履歴データ!$G$882+履歴データ!$J$882)/2)*100)</f>
        <v>9.9499999999999922</v>
      </c>
      <c r="D882" s="28">
        <f>IF(履歴データ!$A$882="","",(履歴データ!$D$882-履歴データ!$H$882)*100)</f>
        <v>183.4</v>
      </c>
      <c r="E882" s="28">
        <f>IF(履歴データ!$A$882="","",(履歴データ!$D$882-履歴データ!$C$882)*100)</f>
        <v>25</v>
      </c>
      <c r="F882" s="28">
        <f>IF(履歴データ!$A$882="","",(履歴データ!$R$882-履歴データ!$D$882)*100)</f>
        <v>-338.02000000000004</v>
      </c>
      <c r="G882" s="28">
        <f>IF(履歴データ!$A$882="","",(履歴データ!$S$882-履歴データ!$R$882)*100)</f>
        <v>157.58899999999983</v>
      </c>
      <c r="H882" s="29">
        <f>IF(履歴データ!$A$882="","",履歴データ!$O$882)</f>
        <v>162.42900085449219</v>
      </c>
      <c r="I882" s="29">
        <f>IF(履歴データ!$A$882="","",履歴データ!$Q$882)</f>
        <v>108.703125</v>
      </c>
      <c r="J882" s="29">
        <f>IF(履歴データ!$A$882="","",履歴データ!$D$882)</f>
        <v>4.62</v>
      </c>
      <c r="K882" s="28">
        <f>IF(OR(履歴データ!$A$882="",履歴データ!$A$881=""),"",B882-B881)</f>
        <v>1.5000000000000568</v>
      </c>
      <c r="L882" s="28">
        <f>IF(OR(履歴データ!$A$882="",履歴データ!$A$881=""),"",C882-C881)</f>
        <v>2.4499999999999744</v>
      </c>
      <c r="M882" s="28">
        <f>IF(OR(履歴データ!$A$882="",履歴データ!$A$881=""),"",D882-D881)</f>
        <v>3.5000000000000568</v>
      </c>
      <c r="N882" s="28">
        <f>IF(OR(履歴データ!$A$882="",履歴データ!$A$881=""),"",E882-E881)</f>
        <v>-0.99999999999997868</v>
      </c>
      <c r="O882" s="28">
        <f>IF(OR(履歴データ!$A$882="",履歴データ!$A$881=""),"",F882-F881)</f>
        <v>-5.9200000000000728</v>
      </c>
      <c r="P882" s="28">
        <f>IF(OR(履歴データ!$A$882="",履歴データ!$A$881=""),"",G882-G881)</f>
        <v>10.9701785888671</v>
      </c>
      <c r="Q882" s="29">
        <f>IF(OR(履歴データ!$A$882="",履歴データ!$A$881=""),"",H882-H881)</f>
        <v>6.59942626953125E-2</v>
      </c>
      <c r="R882" s="29">
        <f>IF(OR(履歴データ!$A$882="",履歴データ!$A$881=""),"",I882-I881)</f>
        <v>-0.328125</v>
      </c>
      <c r="S882" s="28">
        <f>IF(OR(履歴データ!$A$882="",履歴データ!$A$881=""),"",(J882-J881)*100)</f>
        <v>6.0000000000000497</v>
      </c>
      <c r="T882" s="11">
        <f>IF(OR(履歴データ!$A$882="",履歴データ!$A$881=""),"",-80000*K882)</f>
        <v>-120000.00000000454</v>
      </c>
      <c r="U882" s="11">
        <f>IF(OR(履歴データ!$A$882="",履歴データ!$A$881=""),"",60000*L882)</f>
        <v>146999.99999999846</v>
      </c>
      <c r="V882" s="11">
        <f>IF(OR(履歴データ!$A$882="",履歴データ!$A$881=""),"",-50000*M882)</f>
        <v>-175000.00000000285</v>
      </c>
      <c r="W882" s="11">
        <f>IF(OR(履歴データ!$A$882="",履歴データ!$A$881=""),"",-40000*N882)</f>
        <v>39999.999999999149</v>
      </c>
      <c r="X882" s="11">
        <f>IF(OR(履歴データ!$A$882="",履歴データ!$A$881=""),"",120*1000000*(-Q882/H881))</f>
        <v>-48775.344148114644</v>
      </c>
      <c r="Y882" s="11">
        <f>IF(OR(履歴データ!$A$882="",履歴データ!$A$881=""),"",40000*(-S882)+(-506.3)*R882*1000)</f>
        <v>-73870.31250000195</v>
      </c>
      <c r="Z882" s="11">
        <f>IF(OR(履歴データ!$A$882="",履歴データ!$A$881=""),"",-40000*O882)</f>
        <v>236800.00000000291</v>
      </c>
      <c r="AA882" s="11">
        <f>IF(OR(履歴データ!$A$882="",履歴データ!$A$881=""),"",-40000*P882)</f>
        <v>-438807.14355468401</v>
      </c>
      <c r="AB882" s="11">
        <f>IF(履歴データ!$A$882="","",123.3)</f>
        <v>123.3</v>
      </c>
      <c r="AC882">
        <f>IF(履歴データ!$A$882="","",SUM(T882:AA882))</f>
        <v>-432652.80020280747</v>
      </c>
      <c r="AD882" s="29">
        <f>IF(履歴データ!$A$882="","",AC882/1000000)</f>
        <v>-0.4326528002028075</v>
      </c>
      <c r="AE882" s="29">
        <f>IF(履歴データ!$A$882="",AE881,AE881+AC882/1000000)</f>
        <v>69.253171987803711</v>
      </c>
      <c r="AF882" s="12">
        <f>IF(OR(履歴データ!$A$882="",AE881=0),"",(AE882-AE881)/AE881)</f>
        <v>-6.2086199240518388E-3</v>
      </c>
      <c r="AG882" s="29">
        <f t="shared" si="41"/>
        <v>102.17217746631495</v>
      </c>
      <c r="AH882" s="12">
        <f>IF(OR(履歴データ!$A$882="",AG882=0),"",AE882/AG882-1)</f>
        <v>-0.32219148397188924</v>
      </c>
      <c r="AJ882" s="28">
        <f t="shared" ca="1" si="39"/>
        <v>3.6528355149599974</v>
      </c>
      <c r="AK882" s="28">
        <f t="shared" ca="1" si="40"/>
        <v>-8.1925180546425445</v>
      </c>
    </row>
    <row r="883" spans="1:37">
      <c r="A883" s="10">
        <f>IF(履歴データ!$A$883="","",履歴データ!$A$883)</f>
        <v>46217</v>
      </c>
      <c r="B883" s="28">
        <f>IF(履歴データ!$A$883="","",(履歴データ!$D$883-(履歴データ!$B$883+履歴データ!$F$883)/2)*100)</f>
        <v>-4.9999999999999822</v>
      </c>
      <c r="C883" s="28">
        <f>IF(履歴データ!$A$883="","",(履歴データ!$H$883-(履歴データ!$G$883+履歴データ!$J$883)/2)*100)</f>
        <v>10.200000000000031</v>
      </c>
      <c r="D883" s="28">
        <f>IF(履歴データ!$A$883="","",(履歴データ!$D$883-履歴データ!$H$883)*100)</f>
        <v>186.7</v>
      </c>
      <c r="E883" s="28">
        <f>IF(履歴データ!$A$883="","",(履歴データ!$D$883-履歴データ!$C$883)*100)</f>
        <v>27.000000000000046</v>
      </c>
      <c r="F883" s="28">
        <f>IF(履歴データ!$A$883="","",(履歴データ!$R$883-履歴データ!$D$883)*100)</f>
        <v>-329.91</v>
      </c>
      <c r="G883" s="28">
        <f>IF(履歴データ!$A$883="","",(履歴データ!$S$883-履歴データ!$R$883)*100)</f>
        <v>135.93899999999985</v>
      </c>
      <c r="H883" s="29">
        <f>IF(履歴データ!$A$883="","",履歴データ!$O$883)</f>
        <v>162.18699645996094</v>
      </c>
      <c r="I883" s="29">
        <f>IF(履歴データ!$A$883="","",履歴データ!$Q$883)</f>
        <v>108.921875</v>
      </c>
      <c r="J883" s="29">
        <f>IF(履歴データ!$A$883="","",履歴データ!$D$883)</f>
        <v>4.58</v>
      </c>
      <c r="K883" s="28">
        <f>IF(OR(履歴データ!$A$883="",履歴データ!$A$882=""),"",B883-B882)</f>
        <v>0.99999999999997868</v>
      </c>
      <c r="L883" s="28">
        <f>IF(OR(履歴データ!$A$883="",履歴データ!$A$882=""),"",C883-C882)</f>
        <v>0.25000000000003908</v>
      </c>
      <c r="M883" s="28">
        <f>IF(OR(履歴データ!$A$883="",履歴データ!$A$882=""),"",D883-D882)</f>
        <v>3.2999999999999829</v>
      </c>
      <c r="N883" s="28">
        <f>IF(OR(履歴データ!$A$883="",履歴データ!$A$882=""),"",E883-E882)</f>
        <v>2.0000000000000462</v>
      </c>
      <c r="O883" s="28">
        <f>IF(OR(履歴データ!$A$883="",履歴データ!$A$882=""),"",F883-F882)</f>
        <v>8.1100000000000136</v>
      </c>
      <c r="P883" s="28">
        <f>IF(OR(履歴データ!$A$883="",履歴データ!$A$882=""),"",G883-G882)</f>
        <v>-21.649999999999977</v>
      </c>
      <c r="Q883" s="29">
        <f>IF(OR(履歴データ!$A$883="",履歴データ!$A$882=""),"",H883-H882)</f>
        <v>-0.24200439453125</v>
      </c>
      <c r="R883" s="29">
        <f>IF(OR(履歴データ!$A$883="",履歴データ!$A$882=""),"",I883-I882)</f>
        <v>0.21875</v>
      </c>
      <c r="S883" s="28">
        <f>IF(OR(履歴データ!$A$883="",履歴データ!$A$882=""),"",(J883-J882)*100)</f>
        <v>-4.0000000000000036</v>
      </c>
      <c r="T883" s="11">
        <f>IF(OR(履歴データ!$A$883="",履歴データ!$A$882=""),"",-80000*K883)</f>
        <v>-79999.999999998297</v>
      </c>
      <c r="U883" s="11">
        <f>IF(OR(履歴データ!$A$883="",履歴データ!$A$882=""),"",60000*L883)</f>
        <v>15000.000000002345</v>
      </c>
      <c r="V883" s="11">
        <f>IF(OR(履歴データ!$A$883="",履歴データ!$A$882=""),"",-50000*M883)</f>
        <v>-164999.99999999916</v>
      </c>
      <c r="W883" s="11">
        <f>IF(OR(履歴データ!$A$883="",履歴データ!$A$882=""),"",-40000*N883)</f>
        <v>-80000.000000001848</v>
      </c>
      <c r="X883" s="11">
        <f>IF(OR(履歴データ!$A$883="",履歴データ!$A$882=""),"",120*1000000*(-Q883/H882))</f>
        <v>178789.0536232825</v>
      </c>
      <c r="Y883" s="11">
        <f>IF(OR(履歴データ!$A$883="",履歴データ!$A$882=""),"",40000*(-S883)+(-506.3)*R883*1000)</f>
        <v>49246.875000000146</v>
      </c>
      <c r="Z883" s="11">
        <f>IF(OR(履歴データ!$A$883="",履歴データ!$A$882=""),"",-40000*O883)</f>
        <v>-324400.00000000052</v>
      </c>
      <c r="AA883" s="11">
        <f>IF(OR(履歴データ!$A$883="",履歴データ!$A$882=""),"",-40000*P883)</f>
        <v>865999.99999999907</v>
      </c>
      <c r="AB883" s="11">
        <f>IF(履歴データ!$A$883="","",123.3)</f>
        <v>123.3</v>
      </c>
      <c r="AC883">
        <f>IF(履歴データ!$A$883="","",SUM(T883:AA883))</f>
        <v>459635.92862328421</v>
      </c>
      <c r="AD883" s="29">
        <f>IF(履歴データ!$A$883="","",AC883/1000000)</f>
        <v>0.45963592862328423</v>
      </c>
      <c r="AE883" s="29">
        <f>IF(履歴データ!$A$883="",AE882,AE882+AC883/1000000)</f>
        <v>69.712807916426996</v>
      </c>
      <c r="AF883" s="12">
        <f>IF(OR(履歴データ!$A$883="",AE882=0),"",(AE883-AE882)/AE882)</f>
        <v>6.6370379208656703E-3</v>
      </c>
      <c r="AG883" s="29">
        <f t="shared" si="41"/>
        <v>102.17217746631495</v>
      </c>
      <c r="AH883" s="12">
        <f>IF(OR(履歴データ!$A$883="",AG883=0),"",AE883/AG883-1)</f>
        <v>-0.31769284314792501</v>
      </c>
      <c r="AJ883" s="28">
        <f t="shared" ca="1" si="39"/>
        <v>3.644730591114838</v>
      </c>
      <c r="AK883" s="28">
        <f t="shared" ca="1" si="40"/>
        <v>-8.2161591625434163</v>
      </c>
    </row>
    <row r="884" spans="1:37">
      <c r="A884" s="10">
        <f>IF(履歴データ!$A$884="","",履歴データ!$A$884)</f>
        <v>46218</v>
      </c>
      <c r="B884" s="28">
        <f>IF(履歴データ!$A$884="","",(履歴データ!$D$884-(履歴データ!$B$884+履歴データ!$F$884)/2)*100)</f>
        <v>-5.5000000000000604</v>
      </c>
      <c r="C884" s="28">
        <f>IF(履歴データ!$A$884="","",(履歴データ!$H$884-(履歴データ!$G$884+履歴データ!$J$884)/2)*100)</f>
        <v>7.8000000000000291</v>
      </c>
      <c r="D884" s="28">
        <f>IF(履歴データ!$A$884="","",(履歴データ!$D$884-履歴データ!$H$884)*100)</f>
        <v>185.29999999999998</v>
      </c>
      <c r="E884" s="28">
        <f>IF(履歴データ!$A$884="","",(履歴データ!$D$884-履歴データ!$C$884)*100)</f>
        <v>29.000000000000004</v>
      </c>
      <c r="F884" s="28">
        <f>IF(履歴データ!$A$884="","",(履歴データ!$R$884-履歴データ!$D$884)*100)</f>
        <v>-330.28999999999996</v>
      </c>
      <c r="G884" s="28">
        <f>IF(履歴データ!$A$884="","",(履歴データ!$S$884-履歴データ!$R$884)*100)</f>
        <v>137.91582141113275</v>
      </c>
      <c r="H884" s="29">
        <f>IF(履歴データ!$A$884="","",履歴データ!$O$884)</f>
        <v>162.07200622558594</v>
      </c>
      <c r="I884" s="29">
        <f>IF(履歴データ!$A$884="","",履歴データ!$Q$884)</f>
        <v>109.296875</v>
      </c>
      <c r="J884" s="29">
        <f>IF(履歴データ!$A$884="","",履歴データ!$D$884)</f>
        <v>4.55</v>
      </c>
      <c r="K884" s="28">
        <f>IF(OR(履歴データ!$A$884="",履歴データ!$A$883=""),"",B884-B883)</f>
        <v>-0.50000000000007816</v>
      </c>
      <c r="L884" s="28">
        <f>IF(OR(履歴データ!$A$884="",履歴データ!$A$883=""),"",C884-C883)</f>
        <v>-2.4000000000000021</v>
      </c>
      <c r="M884" s="28">
        <f>IF(OR(履歴データ!$A$884="",履歴データ!$A$883=""),"",D884-D883)</f>
        <v>-1.4000000000000057</v>
      </c>
      <c r="N884" s="28">
        <f>IF(OR(履歴データ!$A$884="",履歴データ!$A$883=""),"",E884-E883)</f>
        <v>1.9999999999999574</v>
      </c>
      <c r="O884" s="28">
        <f>IF(OR(履歴データ!$A$884="",履歴データ!$A$883=""),"",F884-F883)</f>
        <v>-0.37999999999993861</v>
      </c>
      <c r="P884" s="28">
        <f>IF(OR(履歴データ!$A$884="",履歴データ!$A$883=""),"",G884-G883)</f>
        <v>1.976821411132903</v>
      </c>
      <c r="Q884" s="29">
        <f>IF(OR(履歴データ!$A$884="",履歴データ!$A$883=""),"",H884-H883)</f>
        <v>-0.114990234375</v>
      </c>
      <c r="R884" s="29">
        <f>IF(OR(履歴データ!$A$884="",履歴データ!$A$883=""),"",I884-I883)</f>
        <v>0.375</v>
      </c>
      <c r="S884" s="28">
        <f>IF(OR(履歴データ!$A$884="",履歴データ!$A$883=""),"",(J884-J883)*100)</f>
        <v>-3.0000000000000249</v>
      </c>
      <c r="T884" s="11">
        <f>IF(OR(履歴データ!$A$884="",履歴データ!$A$883=""),"",-80000*K884)</f>
        <v>40000.00000000625</v>
      </c>
      <c r="U884" s="11">
        <f>IF(OR(履歴データ!$A$884="",履歴データ!$A$883=""),"",60000*L884)</f>
        <v>-144000.00000000012</v>
      </c>
      <c r="V884" s="11">
        <f>IF(OR(履歴データ!$A$884="",履歴データ!$A$883=""),"",-50000*M884)</f>
        <v>70000.000000000291</v>
      </c>
      <c r="W884" s="11">
        <f>IF(OR(履歴データ!$A$884="",履歴データ!$A$883=""),"",-40000*N884)</f>
        <v>-79999.999999998297</v>
      </c>
      <c r="X884" s="11">
        <f>IF(OR(履歴データ!$A$884="",履歴データ!$A$883=""),"",120*1000000*(-Q884/H883))</f>
        <v>85079.743914035149</v>
      </c>
      <c r="Y884" s="11">
        <f>IF(OR(履歴データ!$A$884="",履歴データ!$A$883=""),"",40000*(-S884)+(-506.3)*R884*1000)</f>
        <v>-69862.49999999901</v>
      </c>
      <c r="Z884" s="11">
        <f>IF(OR(履歴データ!$A$884="",履歴データ!$A$883=""),"",-40000*O884)</f>
        <v>15199.999999997544</v>
      </c>
      <c r="AA884" s="11">
        <f>IF(OR(履歴データ!$A$884="",履歴データ!$A$883=""),"",-40000*P884)</f>
        <v>-79072.856445316123</v>
      </c>
      <c r="AB884" s="11">
        <f>IF(履歴データ!$A$884="","",123.3)</f>
        <v>123.3</v>
      </c>
      <c r="AC884">
        <f>IF(履歴データ!$A$884="","",SUM(T884:AA884))</f>
        <v>-162655.61253127432</v>
      </c>
      <c r="AD884" s="29">
        <f>IF(履歴データ!$A$884="","",AC884/1000000)</f>
        <v>-0.16265561253127434</v>
      </c>
      <c r="AE884" s="29">
        <f>IF(履歴データ!$A$884="",AE883,AE883+AC884/1000000)</f>
        <v>69.550152303895729</v>
      </c>
      <c r="AF884" s="12">
        <f>IF(OR(履歴データ!$A$884="",AE883=0),"",(AE884-AE883)/AE883)</f>
        <v>-2.3332242294165232E-3</v>
      </c>
      <c r="AG884" s="29">
        <f t="shared" si="41"/>
        <v>102.17217746631495</v>
      </c>
      <c r="AH884" s="12">
        <f>IF(OR(履歴データ!$A$884="",AG884=0),"",AE884/AG884-1)</f>
        <v>-0.31928481873819659</v>
      </c>
      <c r="AJ884" s="28">
        <f t="shared" ca="1" si="39"/>
        <v>3.6296020695925022</v>
      </c>
      <c r="AK884" s="28">
        <f t="shared" ca="1" si="40"/>
        <v>-8.2446814346718753</v>
      </c>
    </row>
    <row r="885" spans="1:37">
      <c r="A885" s="10">
        <f>IF(履歴データ!$A$885="","",履歴データ!$A$885)</f>
        <v>46219</v>
      </c>
      <c r="B885" s="28">
        <f>IF(履歴データ!$A$885="","",(履歴データ!$D$885-(履歴データ!$B$885+履歴データ!$F$885)/2)*100)</f>
        <v>-5.4999999999999716</v>
      </c>
      <c r="C885" s="28">
        <f>IF(履歴データ!$A$885="","",(履歴データ!$H$885-(履歴データ!$G$885+履歴データ!$J$885)/2)*100)</f>
        <v>6.800000000000006</v>
      </c>
      <c r="D885" s="28">
        <f>IF(履歴データ!$A$885="","",(履歴データ!$D$885-履歴データ!$H$885)*100)</f>
        <v>185.10000000000005</v>
      </c>
      <c r="E885" s="28">
        <f>IF(履歴データ!$A$885="","",(履歴データ!$D$885-履歴データ!$C$885)*100)</f>
        <v>29.000000000000004</v>
      </c>
      <c r="F885" s="28">
        <f>IF(履歴データ!$A$885="","",(履歴データ!$R$885-履歴データ!$D$885)*100)</f>
        <v>-319.97000000000003</v>
      </c>
      <c r="G885" s="28">
        <f>IF(履歴データ!$A$885="","",(履歴データ!$S$885-履歴データ!$R$885)*100)</f>
        <v>124.89417858886702</v>
      </c>
      <c r="H885" s="29">
        <f>IF(履歴データ!$A$885="","",履歴データ!$O$885)</f>
        <v>162.37600708007813</v>
      </c>
      <c r="I885" s="29">
        <f>IF(履歴データ!$A$885="","",履歴データ!$Q$885)</f>
        <v>109.140625</v>
      </c>
      <c r="J885" s="29">
        <f>IF(履歴データ!$A$885="","",履歴データ!$D$885)</f>
        <v>4.57</v>
      </c>
      <c r="K885" s="28">
        <f>IF(OR(履歴データ!$A$885="",履歴データ!$A$884=""),"",B885-B884)</f>
        <v>8.8817841970012523E-14</v>
      </c>
      <c r="L885" s="28">
        <f>IF(OR(履歴データ!$A$885="",履歴データ!$A$884=""),"",C885-C884)</f>
        <v>-1.0000000000000231</v>
      </c>
      <c r="M885" s="28">
        <f>IF(OR(履歴データ!$A$885="",履歴データ!$A$884=""),"",D885-D884)</f>
        <v>-0.19999999999993179</v>
      </c>
      <c r="N885" s="28">
        <f>IF(OR(履歴データ!$A$885="",履歴データ!$A$884=""),"",E885-E884)</f>
        <v>0</v>
      </c>
      <c r="O885" s="28">
        <f>IF(OR(履歴データ!$A$885="",履歴データ!$A$884=""),"",F885-F884)</f>
        <v>10.319999999999936</v>
      </c>
      <c r="P885" s="28">
        <f>IF(OR(履歴データ!$A$885="",履歴データ!$A$884=""),"",G885-G884)</f>
        <v>-13.021642822265733</v>
      </c>
      <c r="Q885" s="29">
        <f>IF(OR(履歴データ!$A$885="",履歴データ!$A$884=""),"",H885-H884)</f>
        <v>0.3040008544921875</v>
      </c>
      <c r="R885" s="29">
        <f>IF(OR(履歴データ!$A$885="",履歴データ!$A$884=""),"",I885-I884)</f>
        <v>-0.15625</v>
      </c>
      <c r="S885" s="28">
        <f>IF(OR(履歴データ!$A$885="",履歴データ!$A$884=""),"",(J885-J884)*100)</f>
        <v>2.0000000000000462</v>
      </c>
      <c r="T885" s="11">
        <f>IF(OR(履歴データ!$A$885="",履歴データ!$A$884=""),"",-80000*K885)</f>
        <v>-7.1054273576010019E-9</v>
      </c>
      <c r="U885" s="11">
        <f>IF(OR(履歴データ!$A$885="",履歴データ!$A$884=""),"",60000*L885)</f>
        <v>-60000.000000001382</v>
      </c>
      <c r="V885" s="11">
        <f>IF(OR(履歴データ!$A$885="",履歴データ!$A$884=""),"",-50000*M885)</f>
        <v>9999.9999999965894</v>
      </c>
      <c r="W885" s="11">
        <f>IF(OR(履歴データ!$A$885="",履歴データ!$A$884=""),"",-40000*N885)</f>
        <v>0</v>
      </c>
      <c r="X885" s="11">
        <f>IF(OR(履歴データ!$A$885="",履歴データ!$A$884=""),"",120*1000000*(-Q885/H884))</f>
        <v>-225085.77137180814</v>
      </c>
      <c r="Y885" s="11">
        <f>IF(OR(履歴データ!$A$885="",履歴データ!$A$884=""),"",40000*(-S885)+(-506.3)*R885*1000)</f>
        <v>-890.62500000184809</v>
      </c>
      <c r="Z885" s="11">
        <f>IF(OR(履歴データ!$A$885="",履歴データ!$A$884=""),"",-40000*O885)</f>
        <v>-412799.99999999744</v>
      </c>
      <c r="AA885" s="11">
        <f>IF(OR(履歴データ!$A$885="",履歴データ!$A$884=""),"",-40000*P885)</f>
        <v>520865.71289062931</v>
      </c>
      <c r="AB885" s="11">
        <f>IF(履歴データ!$A$885="","",123.3)</f>
        <v>123.3</v>
      </c>
      <c r="AC885">
        <f>IF(履歴データ!$A$885="","",SUM(T885:AA885))</f>
        <v>-167910.68348119</v>
      </c>
      <c r="AD885" s="29">
        <f>IF(履歴データ!$A$885="","",AC885/1000000)</f>
        <v>-0.16791068348119001</v>
      </c>
      <c r="AE885" s="29">
        <f>IF(履歴データ!$A$885="",AE884,AE884+AC885/1000000)</f>
        <v>69.382241620414533</v>
      </c>
      <c r="AF885" s="12">
        <f>IF(OR(履歴データ!$A$885="",AE884=0),"",(AE885-AE884)/AE884)</f>
        <v>-2.4142389041438644E-3</v>
      </c>
      <c r="AG885" s="29">
        <f t="shared" si="41"/>
        <v>102.17217746631495</v>
      </c>
      <c r="AH885" s="12">
        <f>IF(OR(履歴データ!$A$885="",AG885=0),"",AE885/AG885-1)</f>
        <v>-0.32092822781144015</v>
      </c>
      <c r="AJ885" s="28">
        <f t="shared" ca="1" si="39"/>
        <v>3.6189139822031837</v>
      </c>
      <c r="AK885" s="28">
        <f t="shared" ca="1" si="40"/>
        <v>-8.2736758869650977</v>
      </c>
    </row>
    <row r="886" spans="1:37">
      <c r="A886" s="10">
        <f>IF(履歴データ!$A$886="","",履歴データ!$A$886)</f>
        <v>46220</v>
      </c>
      <c r="B886" s="28">
        <f>IF(履歴データ!$A$886="","",(履歴データ!$D$886-(履歴データ!$B$886+履歴データ!$F$886)/2)*100)</f>
        <v>-6.9999999999999396</v>
      </c>
      <c r="C886" s="28">
        <f>IF(履歴データ!$A$886="","",(履歴データ!$H$886-(履歴データ!$G$886+履歴データ!$J$886)/2)*100)</f>
        <v>4.9999999999999822</v>
      </c>
      <c r="D886" s="28">
        <f>IF(履歴データ!$A$886="","",(履歴データ!$D$886-履歴データ!$H$886)*100)</f>
        <v>183.5</v>
      </c>
      <c r="E886" s="28">
        <f>IF(履歴データ!$A$886="","",(履歴データ!$D$886-履歴データ!$C$886)*100)</f>
        <v>26.999999999999957</v>
      </c>
      <c r="F886" s="28">
        <f>IF(履歴データ!$A$886="","",(履歴データ!$R$886-履歴データ!$D$886)*100)</f>
        <v>-316.51</v>
      </c>
      <c r="G886" s="28">
        <f>IF(履歴データ!$A$886="","",(履歴データ!$S$886-履歴データ!$R$886)*100)</f>
        <v>124.13582141113278</v>
      </c>
      <c r="H886" s="29">
        <f>IF(履歴データ!$A$886="","",履歴データ!$O$886)</f>
        <v>162.37600708007813</v>
      </c>
      <c r="I886" s="29">
        <f>IF(履歴データ!$A$886="","",履歴データ!$Q$886)</f>
        <v>109.265625</v>
      </c>
      <c r="J886" s="29">
        <f>IF(履歴データ!$A$886="","",履歴データ!$D$886)</f>
        <v>4.55</v>
      </c>
      <c r="K886" s="28">
        <f>IF(OR(履歴データ!$A$886="",履歴データ!$A$885=""),"",B886-B885)</f>
        <v>-1.499999999999968</v>
      </c>
      <c r="L886" s="28">
        <f>IF(OR(履歴データ!$A$886="",履歴データ!$A$885=""),"",C886-C885)</f>
        <v>-1.8000000000000238</v>
      </c>
      <c r="M886" s="28">
        <f>IF(OR(履歴データ!$A$886="",履歴データ!$A$885=""),"",D886-D885)</f>
        <v>-1.6000000000000512</v>
      </c>
      <c r="N886" s="28">
        <f>IF(OR(履歴データ!$A$886="",履歴データ!$A$885=""),"",E886-E885)</f>
        <v>-2.0000000000000462</v>
      </c>
      <c r="O886" s="28">
        <f>IF(OR(履歴データ!$A$886="",履歴データ!$A$885=""),"",F886-F885)</f>
        <v>3.4600000000000364</v>
      </c>
      <c r="P886" s="28">
        <f>IF(OR(履歴データ!$A$886="",履歴データ!$A$885=""),"",G886-G885)</f>
        <v>-0.75835717773423994</v>
      </c>
      <c r="Q886" s="29">
        <f>IF(OR(履歴データ!$A$886="",履歴データ!$A$885=""),"",H886-H885)</f>
        <v>0</v>
      </c>
      <c r="R886" s="29">
        <f>IF(OR(履歴データ!$A$886="",履歴データ!$A$885=""),"",I886-I885)</f>
        <v>0.125</v>
      </c>
      <c r="S886" s="28">
        <f>IF(OR(履歴データ!$A$886="",履歴データ!$A$885=""),"",(J886-J885)*100)</f>
        <v>-2.0000000000000462</v>
      </c>
      <c r="T886" s="11">
        <f>IF(OR(履歴データ!$A$886="",履歴データ!$A$885=""),"",-80000*K886)</f>
        <v>119999.99999999744</v>
      </c>
      <c r="U886" s="11">
        <f>IF(OR(履歴データ!$A$886="",履歴データ!$A$885=""),"",60000*L886)</f>
        <v>-108000.00000000143</v>
      </c>
      <c r="V886" s="11">
        <f>IF(OR(履歴データ!$A$886="",履歴データ!$A$885=""),"",-50000*M886)</f>
        <v>80000.000000002561</v>
      </c>
      <c r="W886" s="11">
        <f>IF(OR(履歴データ!$A$886="",履歴データ!$A$885=""),"",-40000*N886)</f>
        <v>80000.000000001848</v>
      </c>
      <c r="X886" s="11">
        <f>IF(OR(履歴データ!$A$886="",履歴データ!$A$885=""),"",120*1000000*(-Q886/H885))</f>
        <v>0</v>
      </c>
      <c r="Y886" s="11">
        <f>IF(OR(履歴データ!$A$886="",履歴データ!$A$885=""),"",40000*(-S886)+(-506.3)*R886*1000)</f>
        <v>16712.500000001848</v>
      </c>
      <c r="Z886" s="11">
        <f>IF(OR(履歴データ!$A$886="",履歴データ!$A$885=""),"",-40000*O886)</f>
        <v>-138400.00000000146</v>
      </c>
      <c r="AA886" s="11">
        <f>IF(OR(履歴データ!$A$886="",履歴データ!$A$885=""),"",-40000*P886)</f>
        <v>30334.287109369598</v>
      </c>
      <c r="AB886" s="11">
        <f>IF(履歴データ!$A$886="","",123.3)</f>
        <v>123.3</v>
      </c>
      <c r="AC886">
        <f>IF(履歴データ!$A$886="","",SUM(T886:AA886))</f>
        <v>80646.787109370416</v>
      </c>
      <c r="AD886" s="29">
        <f>IF(履歴データ!$A$886="","",AC886/1000000)</f>
        <v>8.0646787109370413E-2</v>
      </c>
      <c r="AE886" s="29">
        <f>IF(履歴データ!$A$886="",AE885,AE885+AC886/1000000)</f>
        <v>69.462888407523906</v>
      </c>
      <c r="AF886" s="12">
        <f>IF(OR(履歴データ!$A$886="",AE885=0),"",(AE886-AE885)/AE885)</f>
        <v>1.1623548796619461E-3</v>
      </c>
      <c r="AG886" s="29">
        <f t="shared" si="41"/>
        <v>102.17217746631495</v>
      </c>
      <c r="AH886" s="12">
        <f>IF(OR(履歴データ!$A$886="",AG886=0),"",AE886/AG886-1)</f>
        <v>-0.32013890542339607</v>
      </c>
      <c r="AJ886" s="28">
        <f t="shared" ca="1" si="39"/>
        <v>3.586931425897097</v>
      </c>
      <c r="AK886" s="28">
        <f t="shared" ca="1" si="40"/>
        <v>-8.3131219020875804</v>
      </c>
    </row>
    <row r="887" spans="1:37">
      <c r="A887" s="10">
        <f>IF(履歴データ!$A$887="","",履歴データ!$A$887)</f>
        <v>46223</v>
      </c>
      <c r="B887" s="28">
        <f>IF(履歴データ!$A$887="","",(履歴データ!$D$887-(履歴データ!$B$887+履歴データ!$F$887)/2)*100)</f>
        <v>-6.0000000000000497</v>
      </c>
      <c r="C887" s="28">
        <f>IF(履歴データ!$A$887="","",(履歴データ!$H$887-(履歴データ!$G$887+履歴データ!$J$887)/2)*100)</f>
        <v>4.9999999999999822</v>
      </c>
      <c r="D887" s="28">
        <f>IF(履歴データ!$A$887="","",(履歴データ!$D$887-履歴データ!$H$887)*100)</f>
        <v>188.49999999999997</v>
      </c>
      <c r="E887" s="28">
        <f>IF(履歴データ!$A$887="","",(履歴データ!$D$887-履歴データ!$C$887)*100)</f>
        <v>26.999999999999957</v>
      </c>
      <c r="F887" s="28">
        <f>IF(履歴データ!$A$887="","",(履歴データ!$R$887-履歴データ!$D$887)*100)</f>
        <v>-325.04000000000002</v>
      </c>
      <c r="G887" s="28">
        <f>IF(履歴データ!$A$887="","",(履歴データ!$S$887-履歴データ!$R$887)*100)</f>
        <v>127.66582141113278</v>
      </c>
      <c r="H887" s="29">
        <f>IF(履歴データ!$A$887="","",履歴データ!$O$887)</f>
        <v>162.48699951171875</v>
      </c>
      <c r="I887" s="29">
        <f>IF(履歴データ!$A$887="","",履歴データ!$Q$887)</f>
        <v>108.859375</v>
      </c>
      <c r="J887" s="29">
        <f>IF(履歴データ!$A$887="","",履歴データ!$D$887)</f>
        <v>4.5999999999999996</v>
      </c>
      <c r="K887" s="28">
        <f>IF(OR(履歴データ!$A$887="",履歴データ!$A$886=""),"",B887-B886)</f>
        <v>0.99999999999988987</v>
      </c>
      <c r="L887" s="28">
        <f>IF(OR(履歴データ!$A$887="",履歴データ!$A$886=""),"",C887-C886)</f>
        <v>0</v>
      </c>
      <c r="M887" s="28">
        <f>IF(OR(履歴データ!$A$887="",履歴データ!$A$886=""),"",D887-D886)</f>
        <v>4.9999999999999716</v>
      </c>
      <c r="N887" s="28">
        <f>IF(OR(履歴データ!$A$887="",履歴データ!$A$886=""),"",E887-E886)</f>
        <v>0</v>
      </c>
      <c r="O887" s="28">
        <f>IF(OR(履歴データ!$A$887="",履歴データ!$A$886=""),"",F887-F886)</f>
        <v>-8.5300000000000296</v>
      </c>
      <c r="P887" s="28">
        <f>IF(OR(履歴データ!$A$887="",履歴データ!$A$886=""),"",G887-G886)</f>
        <v>3.5300000000000011</v>
      </c>
      <c r="Q887" s="29">
        <f>IF(OR(履歴データ!$A$887="",履歴データ!$A$886=""),"",H887-H886)</f>
        <v>0.110992431640625</v>
      </c>
      <c r="R887" s="29">
        <f>IF(OR(履歴データ!$A$887="",履歴データ!$A$886=""),"",I887-I886)</f>
        <v>-0.40625</v>
      </c>
      <c r="S887" s="28">
        <f>IF(OR(履歴データ!$A$887="",履歴データ!$A$886=""),"",(J887-J886)*100)</f>
        <v>4.9999999999999822</v>
      </c>
      <c r="T887" s="11">
        <f>IF(OR(履歴データ!$A$887="",履歴データ!$A$886=""),"",-80000*K887)</f>
        <v>-79999.999999991196</v>
      </c>
      <c r="U887" s="11">
        <f>IF(OR(履歴データ!$A$887="",履歴データ!$A$886=""),"",60000*L887)</f>
        <v>0</v>
      </c>
      <c r="V887" s="11">
        <f>IF(OR(履歴データ!$A$887="",履歴データ!$A$886=""),"",-50000*M887)</f>
        <v>-249999.99999999857</v>
      </c>
      <c r="W887" s="11">
        <f>IF(OR(履歴データ!$A$887="",履歴データ!$A$886=""),"",-40000*N887)</f>
        <v>0</v>
      </c>
      <c r="X887" s="11">
        <f>IF(OR(履歴データ!$A$887="",履歴データ!$A$886=""),"",120*1000000*(-Q887/H886))</f>
        <v>-82026.230576703936</v>
      </c>
      <c r="Y887" s="11">
        <f>IF(OR(履歴データ!$A$887="",履歴データ!$A$886=""),"",40000*(-S887)+(-506.3)*R887*1000)</f>
        <v>5684.3750000007276</v>
      </c>
      <c r="Z887" s="11">
        <f>IF(OR(履歴データ!$A$887="",履歴データ!$A$886=""),"",-40000*O887)</f>
        <v>341200.00000000116</v>
      </c>
      <c r="AA887" s="11">
        <f>IF(OR(履歴データ!$A$887="",履歴データ!$A$886=""),"",-40000*P887)</f>
        <v>-141200.00000000006</v>
      </c>
      <c r="AB887" s="11">
        <f>IF(履歴データ!$A$887="","",123.3)</f>
        <v>123.3</v>
      </c>
      <c r="AC887">
        <f>IF(履歴データ!$A$887="","",SUM(T887:AA887))</f>
        <v>-206341.85557669186</v>
      </c>
      <c r="AD887" s="29">
        <f>IF(履歴データ!$A$887="","",AC887/1000000)</f>
        <v>-0.20634185557669185</v>
      </c>
      <c r="AE887" s="29">
        <f>IF(履歴データ!$A$887="",AE886,AE886+AC887/1000000)</f>
        <v>69.25654655194721</v>
      </c>
      <c r="AF887" s="12">
        <f>IF(OR(履歴データ!$A$887="",AE886=0),"",(AE887-AE886)/AE886)</f>
        <v>-2.9705337671265884E-3</v>
      </c>
      <c r="AG887" s="29">
        <f t="shared" si="41"/>
        <v>102.17217746631495</v>
      </c>
      <c r="AH887" s="12">
        <f>IF(OR(履歴データ!$A$887="",AG887=0),"",AE887/AG887-1)</f>
        <v>-0.32215845576179158</v>
      </c>
      <c r="AJ887" s="28">
        <f t="shared" ca="1" si="39"/>
        <v>3.5545982276502861</v>
      </c>
      <c r="AK887" s="28">
        <f t="shared" ca="1" si="40"/>
        <v>-8.3403125133645784</v>
      </c>
    </row>
    <row r="888" spans="1:37">
      <c r="A888" s="10">
        <f>IF(履歴データ!$A$888="","",履歴データ!$A$888)</f>
        <v>46224</v>
      </c>
      <c r="B888" s="28">
        <f>IF(履歴データ!$A$888="","",(履歴データ!$D$888-(履歴データ!$B$888+履歴データ!$F$888)/2)*100)</f>
        <v>-6.5000000000000391</v>
      </c>
      <c r="C888" s="28">
        <f>IF(履歴データ!$A$888="","",(履歴データ!$H$888-(履歴データ!$G$888+履歴データ!$J$888)/2)*100)</f>
        <v>5.7999999999999829</v>
      </c>
      <c r="D888" s="28">
        <f>IF(履歴データ!$A$888="","",(履歴データ!$D$888-履歴データ!$H$888)*100)</f>
        <v>189.9</v>
      </c>
      <c r="E888" s="28">
        <f>IF(履歴データ!$A$888="","",(履歴データ!$D$888-履歴データ!$C$888)*100)</f>
        <v>25.999999999999979</v>
      </c>
      <c r="F888" s="28">
        <f>IF(履歴データ!$A$888="","",(履歴データ!$R$888-履歴データ!$D$888)*100)</f>
        <v>-326.24</v>
      </c>
      <c r="G888" s="28">
        <f>IF(履歴データ!$A$888="","",(履歴データ!$S$888-履歴データ!$R$888)*100)</f>
        <v>133.23264282226552</v>
      </c>
      <c r="H888" s="29">
        <f>IF(履歴データ!$A$888="","",履歴データ!$O$888)</f>
        <v>163.18600463867188</v>
      </c>
      <c r="I888" s="29">
        <f>IF(履歴データ!$A$888="","",履歴データ!$Q$888)</f>
        <v>108.640625</v>
      </c>
      <c r="J888" s="29">
        <f>IF(履歴データ!$A$888="","",履歴データ!$D$888)</f>
        <v>4.63</v>
      </c>
      <c r="K888" s="28">
        <f>IF(OR(履歴データ!$A$888="",履歴データ!$A$887=""),"",B888-B887)</f>
        <v>-0.49999999999998934</v>
      </c>
      <c r="L888" s="28">
        <f>IF(OR(履歴データ!$A$888="",履歴データ!$A$887=""),"",C888-C887)</f>
        <v>0.80000000000000071</v>
      </c>
      <c r="M888" s="28">
        <f>IF(OR(履歴データ!$A$888="",履歴データ!$A$887=""),"",D888-D887)</f>
        <v>1.4000000000000341</v>
      </c>
      <c r="N888" s="28">
        <f>IF(OR(履歴データ!$A$888="",履歴データ!$A$887=""),"",E888-E887)</f>
        <v>-0.99999999999997868</v>
      </c>
      <c r="O888" s="28">
        <f>IF(OR(履歴データ!$A$888="",履歴データ!$A$887=""),"",F888-F887)</f>
        <v>-1.1999999999999886</v>
      </c>
      <c r="P888" s="28">
        <f>IF(OR(履歴データ!$A$888="",履歴データ!$A$887=""),"",G888-G887)</f>
        <v>5.5668214111327359</v>
      </c>
      <c r="Q888" s="29">
        <f>IF(OR(履歴データ!$A$888="",履歴データ!$A$887=""),"",H888-H887)</f>
        <v>0.699005126953125</v>
      </c>
      <c r="R888" s="29">
        <f>IF(OR(履歴データ!$A$888="",履歴データ!$A$887=""),"",I888-I887)</f>
        <v>-0.21875</v>
      </c>
      <c r="S888" s="28">
        <f>IF(OR(履歴データ!$A$888="",履歴データ!$A$887=""),"",(J888-J887)*100)</f>
        <v>3.0000000000000249</v>
      </c>
      <c r="T888" s="11">
        <f>IF(OR(履歴データ!$A$888="",履歴データ!$A$887=""),"",-80000*K888)</f>
        <v>39999.999999999149</v>
      </c>
      <c r="U888" s="11">
        <f>IF(OR(履歴データ!$A$888="",履歴データ!$A$887=""),"",60000*L888)</f>
        <v>48000.000000000044</v>
      </c>
      <c r="V888" s="11">
        <f>IF(OR(履歴データ!$A$888="",履歴データ!$A$887=""),"",-50000*M888)</f>
        <v>-70000.000000001703</v>
      </c>
      <c r="W888" s="11">
        <f>IF(OR(履歴データ!$A$888="",履歴データ!$A$887=""),"",-40000*N888)</f>
        <v>39999.999999999149</v>
      </c>
      <c r="X888" s="11">
        <f>IF(OR(履歴データ!$A$888="",履歴データ!$A$887=""),"",120*1000000*(-Q888/H887))</f>
        <v>-516229.70136958821</v>
      </c>
      <c r="Y888" s="11">
        <f>IF(OR(履歴データ!$A$888="",履歴データ!$A$887=""),"",40000*(-S888)+(-506.3)*R888*1000)</f>
        <v>-9246.8750000009895</v>
      </c>
      <c r="Z888" s="11">
        <f>IF(OR(履歴データ!$A$888="",履歴データ!$A$887=""),"",-40000*O888)</f>
        <v>47999.999999999549</v>
      </c>
      <c r="AA888" s="11">
        <f>IF(OR(履歴データ!$A$888="",履歴データ!$A$887=""),"",-40000*P888)</f>
        <v>-222672.85644530944</v>
      </c>
      <c r="AB888" s="11">
        <f>IF(履歴データ!$A$888="","",123.3)</f>
        <v>123.3</v>
      </c>
      <c r="AC888">
        <f>IF(履歴データ!$A$888="","",SUM(T888:AA888))</f>
        <v>-642149.43281490251</v>
      </c>
      <c r="AD888" s="29">
        <f>IF(履歴データ!$A$888="","",AC888/1000000)</f>
        <v>-0.64214943281490255</v>
      </c>
      <c r="AE888" s="29">
        <f>IF(履歴データ!$A$888="",AE887,AE887+AC888/1000000)</f>
        <v>68.614397119132306</v>
      </c>
      <c r="AF888" s="12">
        <f>IF(OR(履歴データ!$A$888="",AE887=0),"",(AE888-AE887)/AE887)</f>
        <v>-9.2720394646482584E-3</v>
      </c>
      <c r="AG888" s="29">
        <f t="shared" si="41"/>
        <v>102.17217746631495</v>
      </c>
      <c r="AH888" s="12">
        <f>IF(OR(履歴データ!$A$888="",AG888=0),"",AE888/AG888-1)</f>
        <v>-0.32844342931074633</v>
      </c>
      <c r="AJ888" s="28">
        <f t="shared" ca="1" si="39"/>
        <v>3.5317105518355754</v>
      </c>
      <c r="AK888" s="28">
        <f t="shared" ca="1" si="40"/>
        <v>-8.3769486470736787</v>
      </c>
    </row>
    <row r="889" spans="1:37">
      <c r="A889" s="10">
        <f>IF(履歴データ!$A$889="","",履歴データ!$A$889)</f>
        <v>46225</v>
      </c>
      <c r="B889" s="28">
        <f>IF(履歴データ!$A$889="","",(履歴データ!$D$889-(履歴データ!$B$889+履歴データ!$F$889)/2)*100)</f>
        <v>-6.0000000000000497</v>
      </c>
      <c r="C889" s="28">
        <f>IF(履歴データ!$A$889="","",(履歴データ!$H$889-(履歴データ!$G$889+履歴データ!$J$889)/2)*100)</f>
        <v>6.9500000000000117</v>
      </c>
      <c r="D889" s="28">
        <f>IF(履歴データ!$A$889="","",(履歴データ!$D$889-履歴データ!$H$889)*100)</f>
        <v>192.49999999999997</v>
      </c>
      <c r="E889" s="28">
        <f>IF(履歴データ!$A$889="","",(履歴データ!$D$889-履歴データ!$C$889)*100)</f>
        <v>25.999999999999979</v>
      </c>
      <c r="F889" s="28">
        <f>IF(履歴データ!$A$889="","",(履歴データ!$R$889-履歴データ!$D$889)*100)</f>
        <v>-332.93</v>
      </c>
      <c r="G889" s="28">
        <f>IF(履歴データ!$A$889="","",(履歴データ!$S$889-履歴データ!$R$889)*100)</f>
        <v>132.06382141113266</v>
      </c>
      <c r="H889" s="29">
        <f>IF(履歴データ!$A$889="","",履歴データ!$O$889)</f>
        <v>163.08099365234375</v>
      </c>
      <c r="I889" s="29">
        <f>IF(履歴データ!$A$889="","",履歴データ!$Q$889)</f>
        <v>108.421875</v>
      </c>
      <c r="J889" s="29">
        <f>IF(履歴データ!$A$889="","",履歴データ!$D$889)</f>
        <v>4.67</v>
      </c>
      <c r="K889" s="28">
        <f>IF(OR(履歴データ!$A$889="",履歴データ!$A$888=""),"",B889-B888)</f>
        <v>0.49999999999998934</v>
      </c>
      <c r="L889" s="28">
        <f>IF(OR(履歴データ!$A$889="",履歴データ!$A$888=""),"",C889-C888)</f>
        <v>1.1500000000000288</v>
      </c>
      <c r="M889" s="28">
        <f>IF(OR(履歴データ!$A$889="",履歴データ!$A$888=""),"",D889-D888)</f>
        <v>2.5999999999999659</v>
      </c>
      <c r="N889" s="28">
        <f>IF(OR(履歴データ!$A$889="",履歴データ!$A$888=""),"",E889-E888)</f>
        <v>0</v>
      </c>
      <c r="O889" s="28">
        <f>IF(OR(履歴データ!$A$889="",履歴データ!$A$888=""),"",F889-F888)</f>
        <v>-6.6899999999999977</v>
      </c>
      <c r="P889" s="28">
        <f>IF(OR(履歴データ!$A$889="",履歴データ!$A$888=""),"",G889-G888)</f>
        <v>-1.1688214111328534</v>
      </c>
      <c r="Q889" s="29">
        <f>IF(OR(履歴データ!$A$889="",履歴データ!$A$888=""),"",H889-H888)</f>
        <v>-0.105010986328125</v>
      </c>
      <c r="R889" s="29">
        <f>IF(OR(履歴データ!$A$889="",履歴データ!$A$888=""),"",I889-I888)</f>
        <v>-0.21875</v>
      </c>
      <c r="S889" s="28">
        <f>IF(OR(履歴データ!$A$889="",履歴データ!$A$888=""),"",(J889-J888)*100)</f>
        <v>4.0000000000000036</v>
      </c>
      <c r="T889" s="11">
        <f>IF(OR(履歴データ!$A$889="",履歴データ!$A$888=""),"",-80000*K889)</f>
        <v>-39999.999999999149</v>
      </c>
      <c r="U889" s="11">
        <f>IF(OR(履歴データ!$A$889="",履歴データ!$A$888=""),"",60000*L889)</f>
        <v>69000.000000001732</v>
      </c>
      <c r="V889" s="11">
        <f>IF(OR(履歴データ!$A$889="",履歴データ!$A$888=""),"",-50000*M889)</f>
        <v>-129999.9999999983</v>
      </c>
      <c r="W889" s="11">
        <f>IF(OR(履歴データ!$A$889="",履歴データ!$A$888=""),"",-40000*N889)</f>
        <v>0</v>
      </c>
      <c r="X889" s="11">
        <f>IF(OR(履歴データ!$A$889="",履歴データ!$A$888=""),"",120*1000000*(-Q889/H888))</f>
        <v>77220.582655215854</v>
      </c>
      <c r="Y889" s="11">
        <f>IF(OR(履歴データ!$A$889="",履歴データ!$A$888=""),"",40000*(-S889)+(-506.3)*R889*1000)</f>
        <v>-49246.875000000146</v>
      </c>
      <c r="Z889" s="11">
        <f>IF(OR(履歴データ!$A$889="",履歴データ!$A$888=""),"",-40000*O889)</f>
        <v>267599.99999999988</v>
      </c>
      <c r="AA889" s="11">
        <f>IF(OR(履歴データ!$A$889="",履歴データ!$A$888=""),"",-40000*P889)</f>
        <v>46752.856445314137</v>
      </c>
      <c r="AB889" s="11">
        <f>IF(履歴データ!$A$889="","",123.3)</f>
        <v>123.3</v>
      </c>
      <c r="AC889">
        <f>IF(履歴データ!$A$889="","",SUM(T889:AA889))</f>
        <v>241326.56410053401</v>
      </c>
      <c r="AD889" s="29">
        <f>IF(履歴データ!$A$889="","",AC889/1000000)</f>
        <v>0.24132656410053402</v>
      </c>
      <c r="AE889" s="29">
        <f>IF(履歴データ!$A$889="",AE888,AE888+AC889/1000000)</f>
        <v>68.855723683232839</v>
      </c>
      <c r="AF889" s="12">
        <f>IF(OR(履歴データ!$A$889="",AE888=0),"",(AE889-AE888)/AE888)</f>
        <v>3.5171417987033718E-3</v>
      </c>
      <c r="AG889" s="29">
        <f t="shared" si="41"/>
        <v>102.17217746631495</v>
      </c>
      <c r="AH889" s="12">
        <f>IF(OR(履歴データ!$A$889="",AG889=0),"",AE889/AG889-1)</f>
        <v>-0.32608146962578122</v>
      </c>
      <c r="AJ889" s="28">
        <f t="shared" ca="1" si="39"/>
        <v>3.5169748068463349</v>
      </c>
      <c r="AK889" s="28">
        <f t="shared" ca="1" si="40"/>
        <v>-8.4098319497034861</v>
      </c>
    </row>
    <row r="890" spans="1:37">
      <c r="A890" s="10">
        <f>IF(履歴データ!$A$890="","",履歴データ!$A$890)</f>
        <v>46226</v>
      </c>
      <c r="B890" s="28">
        <f>IF(履歴データ!$A$890="","",(履歴データ!$D$890-(履歴データ!$B$890+履歴データ!$F$890)/2)*100)</f>
        <v>-5.9999999999999609</v>
      </c>
      <c r="C890" s="28">
        <f>IF(履歴データ!$A$890="","",(履歴データ!$H$890-(履歴データ!$G$890+履歴データ!$J$890)/2)*100)</f>
        <v>6.1999999999999833</v>
      </c>
      <c r="D890" s="28">
        <f>IF(履歴データ!$A$890="","",(履歴データ!$D$890-履歴データ!$H$890)*100)</f>
        <v>193.4</v>
      </c>
      <c r="E890" s="28">
        <f>IF(履歴データ!$A$890="","",(履歴データ!$D$890-履歴データ!$C$890)*100)</f>
        <v>25</v>
      </c>
      <c r="F890" s="28">
        <f>IF(履歴データ!$A$890="","",(履歴データ!$R$890-履歴データ!$D$890)*100)</f>
        <v>-335.08</v>
      </c>
      <c r="G890" s="28">
        <f>IF(履歴データ!$A$890="","",(履歴データ!$S$890-履歴データ!$R$890)*100)</f>
        <v>132.66935717773421</v>
      </c>
      <c r="H890" s="29">
        <f>IF(履歴データ!$A$890="","",履歴データ!$O$890)</f>
        <v>163.83200073242188</v>
      </c>
      <c r="I890" s="29">
        <f>IF(履歴データ!$A$890="","",履歴データ!$Q$890)</f>
        <v>108.09375</v>
      </c>
      <c r="J890" s="29">
        <f>IF(履歴データ!$A$890="","",履歴データ!$D$890)</f>
        <v>4.71</v>
      </c>
      <c r="K890" s="28">
        <f>IF(OR(履歴データ!$A$890="",履歴データ!$A$889=""),"",B890-B889)</f>
        <v>8.8817841970012523E-14</v>
      </c>
      <c r="L890" s="28">
        <f>IF(OR(履歴データ!$A$890="",履歴データ!$A$889=""),"",C890-C889)</f>
        <v>-0.75000000000002842</v>
      </c>
      <c r="M890" s="28">
        <f>IF(OR(履歴データ!$A$890="",履歴データ!$A$889=""),"",D890-D889)</f>
        <v>0.90000000000003411</v>
      </c>
      <c r="N890" s="28">
        <f>IF(OR(履歴データ!$A$890="",履歴データ!$A$889=""),"",E890-E889)</f>
        <v>-0.99999999999997868</v>
      </c>
      <c r="O890" s="28">
        <f>IF(OR(履歴データ!$A$890="",履歴データ!$A$889=""),"",F890-F889)</f>
        <v>-2.1499999999999773</v>
      </c>
      <c r="P890" s="28">
        <f>IF(OR(履歴データ!$A$890="",履歴データ!$A$889=""),"",G890-G889)</f>
        <v>0.60553576660154818</v>
      </c>
      <c r="Q890" s="29">
        <f>IF(OR(履歴データ!$A$890="",履歴データ!$A$889=""),"",H890-H889)</f>
        <v>0.751007080078125</v>
      </c>
      <c r="R890" s="29">
        <f>IF(OR(履歴データ!$A$890="",履歴データ!$A$889=""),"",I890-I889)</f>
        <v>-0.328125</v>
      </c>
      <c r="S890" s="28">
        <f>IF(OR(履歴データ!$A$890="",履歴データ!$A$889=""),"",(J890-J889)*100)</f>
        <v>4.0000000000000036</v>
      </c>
      <c r="T890" s="11">
        <f>IF(OR(履歴データ!$A$890="",履歴データ!$A$889=""),"",-80000*K890)</f>
        <v>-7.1054273576010019E-9</v>
      </c>
      <c r="U890" s="11">
        <f>IF(OR(履歴データ!$A$890="",履歴データ!$A$889=""),"",60000*L890)</f>
        <v>-45000.000000001703</v>
      </c>
      <c r="V890" s="11">
        <f>IF(OR(履歴データ!$A$890="",履歴データ!$A$889=""),"",-50000*M890)</f>
        <v>-45000.000000001703</v>
      </c>
      <c r="W890" s="11">
        <f>IF(OR(履歴データ!$A$890="",履歴データ!$A$889=""),"",-40000*N890)</f>
        <v>39999.999999999149</v>
      </c>
      <c r="X890" s="11">
        <f>IF(OR(履歴データ!$A$890="",履歴データ!$A$889=""),"",120*1000000*(-Q890/H889))</f>
        <v>-552614.05753692391</v>
      </c>
      <c r="Y890" s="11">
        <f>IF(OR(履歴データ!$A$890="",履歴データ!$A$889=""),"",40000*(-S890)+(-506.3)*R890*1000)</f>
        <v>6129.6874999998836</v>
      </c>
      <c r="Z890" s="11">
        <f>IF(OR(履歴データ!$A$890="",履歴データ!$A$889=""),"",-40000*O890)</f>
        <v>85999.999999999098</v>
      </c>
      <c r="AA890" s="11">
        <f>IF(OR(履歴データ!$A$890="",履歴データ!$A$889=""),"",-40000*P890)</f>
        <v>-24221.430664061925</v>
      </c>
      <c r="AB890" s="11">
        <f>IF(履歴データ!$A$890="","",123.3)</f>
        <v>123.3</v>
      </c>
      <c r="AC890">
        <f>IF(履歴データ!$A$890="","",SUM(T890:AA890))</f>
        <v>-534705.80070099828</v>
      </c>
      <c r="AD890" s="29">
        <f>IF(履歴データ!$A$890="","",AC890/1000000)</f>
        <v>-0.53470580070099827</v>
      </c>
      <c r="AE890" s="29">
        <f>IF(履歴データ!$A$890="",AE889,AE889+AC890/1000000)</f>
        <v>68.321017882531834</v>
      </c>
      <c r="AF890" s="12">
        <f>IF(OR(履歴データ!$A$890="",AE889=0),"",(AE890-AE889)/AE889)</f>
        <v>-7.7655969917750185E-3</v>
      </c>
      <c r="AG890" s="29">
        <f t="shared" si="41"/>
        <v>102.17217746631495</v>
      </c>
      <c r="AH890" s="12">
        <f>IF(OR(履歴データ!$A$890="",AG890=0),"",AE890/AG890-1)</f>
        <v>-0.33131484933795674</v>
      </c>
      <c r="AJ890" s="28">
        <f t="shared" ca="1" si="39"/>
        <v>3.5146661738077727</v>
      </c>
      <c r="AK890" s="28">
        <f t="shared" ca="1" si="40"/>
        <v>-8.4432376023792095</v>
      </c>
    </row>
    <row r="891" spans="1:37">
      <c r="A891" s="10">
        <f>IF(履歴データ!$A$891="","",履歴データ!$A$891)</f>
        <v>46227</v>
      </c>
      <c r="B891" s="28">
        <f>IF(履歴データ!$A$891="","",(履歴データ!$D$891-(履歴データ!$B$891+履歴データ!$F$891)/2)*100)</f>
        <v>-5.4999999999999716</v>
      </c>
      <c r="C891" s="28">
        <f>IF(履歴データ!$A$891="","",(履歴データ!$H$891-(履歴データ!$G$891+履歴データ!$J$891)/2)*100)</f>
        <v>5.9499999999999886</v>
      </c>
      <c r="D891" s="28">
        <f>IF(履歴データ!$A$891="","",(履歴データ!$D$891-履歴データ!$H$891)*100)</f>
        <v>187.50000000000006</v>
      </c>
      <c r="E891" s="28">
        <f>IF(履歴データ!$A$891="","",(履歴データ!$D$891-履歴データ!$C$891)*100)</f>
        <v>26.000000000000068</v>
      </c>
      <c r="F891" s="28">
        <f>IF(履歴データ!$A$891="","",(履歴データ!$R$891-履歴データ!$D$891)*100)</f>
        <v>-331.19000000000005</v>
      </c>
      <c r="G891" s="28">
        <f>IF(履歴データ!$A$891="","",(履歴データ!$S$891-履歴データ!$R$891)*100)</f>
        <v>134.28735717773426</v>
      </c>
      <c r="H891" s="29">
        <f>IF(履歴データ!$A$891="","",履歴データ!$O$891)</f>
        <v>163.83200073242188</v>
      </c>
      <c r="I891" s="29">
        <f>IF(履歴データ!$A$891="","",履歴データ!$Q$891)</f>
        <v>108.328125</v>
      </c>
      <c r="J891" s="29">
        <f>IF(履歴データ!$A$891="","",履歴データ!$D$891)</f>
        <v>4.6900000000000004</v>
      </c>
      <c r="K891" s="28">
        <f>IF(OR(履歴データ!$A$891="",履歴データ!$A$890=""),"",B891-B890)</f>
        <v>0.49999999999998934</v>
      </c>
      <c r="L891" s="28">
        <f>IF(OR(履歴データ!$A$891="",履歴データ!$A$890=""),"",C891-C890)</f>
        <v>-0.24999999999999467</v>
      </c>
      <c r="M891" s="28">
        <f>IF(OR(履歴データ!$A$891="",履歴データ!$A$890=""),"",D891-D890)</f>
        <v>-5.8999999999999488</v>
      </c>
      <c r="N891" s="28">
        <f>IF(OR(履歴データ!$A$891="",履歴データ!$A$890=""),"",E891-E890)</f>
        <v>1.0000000000000675</v>
      </c>
      <c r="O891" s="28">
        <f>IF(OR(履歴データ!$A$891="",履歴データ!$A$890=""),"",F891-F890)</f>
        <v>3.8899999999999295</v>
      </c>
      <c r="P891" s="28">
        <f>IF(OR(履歴データ!$A$891="",履歴データ!$A$890=""),"",G891-G890)</f>
        <v>1.6180000000000518</v>
      </c>
      <c r="Q891" s="29">
        <f>IF(OR(履歴データ!$A$891="",履歴データ!$A$890=""),"",H891-H890)</f>
        <v>0</v>
      </c>
      <c r="R891" s="29">
        <f>IF(OR(履歴データ!$A$891="",履歴データ!$A$890=""),"",I891-I890)</f>
        <v>0.234375</v>
      </c>
      <c r="S891" s="28">
        <f>IF(OR(履歴データ!$A$891="",履歴データ!$A$890=""),"",(J891-J890)*100)</f>
        <v>-1.9999999999999574</v>
      </c>
      <c r="T891" s="11">
        <f>IF(OR(履歴データ!$A$891="",履歴データ!$A$890=""),"",-80000*K891)</f>
        <v>-39999.999999999149</v>
      </c>
      <c r="U891" s="11">
        <f>IF(OR(履歴データ!$A$891="",履歴データ!$A$890=""),"",60000*L891)</f>
        <v>-14999.99999999968</v>
      </c>
      <c r="V891" s="11">
        <f>IF(OR(履歴データ!$A$891="",履歴データ!$A$890=""),"",-50000*M891)</f>
        <v>294999.99999999744</v>
      </c>
      <c r="W891" s="11">
        <f>IF(OR(履歴データ!$A$891="",履歴データ!$A$890=""),"",-40000*N891)</f>
        <v>-40000.000000002699</v>
      </c>
      <c r="X891" s="11">
        <f>IF(OR(履歴データ!$A$891="",履歴データ!$A$890=""),"",120*1000000*(-Q891/H890))</f>
        <v>0</v>
      </c>
      <c r="Y891" s="11">
        <f>IF(OR(履歴データ!$A$891="",履歴データ!$A$890=""),"",40000*(-S891)+(-506.3)*R891*1000)</f>
        <v>-38664.062500001703</v>
      </c>
      <c r="Z891" s="11">
        <f>IF(OR(履歴データ!$A$891="",履歴データ!$A$890=""),"",-40000*O891)</f>
        <v>-155599.99999999718</v>
      </c>
      <c r="AA891" s="11">
        <f>IF(OR(履歴データ!$A$891="",履歴データ!$A$890=""),"",-40000*P891)</f>
        <v>-64720.000000002074</v>
      </c>
      <c r="AB891" s="11">
        <f>IF(履歴データ!$A$891="","",123.3)</f>
        <v>123.3</v>
      </c>
      <c r="AC891">
        <f>IF(履歴データ!$A$891="","",SUM(T891:AA891))</f>
        <v>-58984.062500005071</v>
      </c>
      <c r="AD891" s="29">
        <f>IF(履歴データ!$A$891="","",AC891/1000000)</f>
        <v>-5.8984062500005069E-2</v>
      </c>
      <c r="AE891" s="29">
        <f>IF(履歴データ!$A$891="",AE890,AE890+AC891/1000000)</f>
        <v>68.262033820031832</v>
      </c>
      <c r="AF891" s="12">
        <f>IF(OR(履歴データ!$A$891="",AE890=0),"",(AE891-AE890)/AE890)</f>
        <v>-8.6333699830726794E-4</v>
      </c>
      <c r="AG891" s="29">
        <f t="shared" si="41"/>
        <v>102.17217746631495</v>
      </c>
      <c r="AH891" s="12">
        <f>IF(OR(履歴データ!$A$891="",AG891=0),"",AE891/AG891-1)</f>
        <v>-0.33189214996874195</v>
      </c>
      <c r="AJ891" s="28">
        <f t="shared" ca="1" si="39"/>
        <v>3.5097408608171397</v>
      </c>
      <c r="AK891" s="28">
        <f t="shared" ca="1" si="40"/>
        <v>-8.4700583211346068</v>
      </c>
    </row>
    <row r="892" spans="1:37">
      <c r="A892" s="10">
        <f>IF(履歴データ!$A$892="","",履歴データ!$A$892)</f>
        <v>46230</v>
      </c>
      <c r="B892" s="28">
        <f>IF(履歴データ!$A$892="","",(履歴データ!$D$892-(履歴データ!$B$892+履歴データ!$F$892)/2)*100)</f>
        <v>-6.4999999999999503</v>
      </c>
      <c r="C892" s="28">
        <f>IF(履歴データ!$A$892="","",(履歴データ!$H$892-(履歴データ!$G$892+履歴データ!$J$892)/2)*100)</f>
        <v>3.7000000000000366</v>
      </c>
      <c r="D892" s="28">
        <f>IF(履歴データ!$A$892="","",(履歴データ!$D$892-履歴データ!$H$892)*100)</f>
        <v>187.20000000000005</v>
      </c>
      <c r="E892" s="28">
        <f>IF(履歴データ!$A$892="","",(履歴データ!$D$892-履歴データ!$C$892)*100)</f>
        <v>25</v>
      </c>
      <c r="F892" s="28">
        <f>IF(履歴データ!$A$892="","",(履歴データ!$R$892-履歴データ!$D$892)*100)</f>
        <v>-330.93000000000006</v>
      </c>
      <c r="G892" s="28">
        <f>IF(履歴データ!$A$892="","",(履歴データ!$S$892-履歴データ!$R$892)*100)</f>
        <v>136.27335717773423</v>
      </c>
      <c r="H892" s="29">
        <f>IF(履歴データ!$A$892="","",履歴データ!$O$892)</f>
        <v>163.77099609375</v>
      </c>
      <c r="I892" s="29">
        <f>IF(履歴データ!$A$892="","",履歴データ!$Q$892)</f>
        <v>108.578125</v>
      </c>
      <c r="J892" s="29">
        <f>IF(履歴データ!$A$892="","",履歴データ!$D$892)</f>
        <v>4.6500000000000004</v>
      </c>
      <c r="K892" s="28">
        <f>IF(OR(履歴データ!$A$892="",履歴データ!$A$891=""),"",B892-B891)</f>
        <v>-0.99999999999997868</v>
      </c>
      <c r="L892" s="28">
        <f>IF(OR(履歴データ!$A$892="",履歴データ!$A$891=""),"",C892-C891)</f>
        <v>-2.249999999999952</v>
      </c>
      <c r="M892" s="28">
        <f>IF(OR(履歴データ!$A$892="",履歴データ!$A$891=""),"",D892-D891)</f>
        <v>-0.30000000000001137</v>
      </c>
      <c r="N892" s="28">
        <f>IF(OR(履歴データ!$A$892="",履歴データ!$A$891=""),"",E892-E891)</f>
        <v>-1.0000000000000675</v>
      </c>
      <c r="O892" s="28">
        <f>IF(OR(履歴データ!$A$892="",履歴データ!$A$891=""),"",F892-F891)</f>
        <v>0.25999999999999091</v>
      </c>
      <c r="P892" s="28">
        <f>IF(OR(履歴データ!$A$892="",履歴データ!$A$891=""),"",G892-G891)</f>
        <v>1.9859999999999616</v>
      </c>
      <c r="Q892" s="29">
        <f>IF(OR(履歴データ!$A$892="",履歴データ!$A$891=""),"",H892-H891)</f>
        <v>-6.1004638671875E-2</v>
      </c>
      <c r="R892" s="29">
        <f>IF(OR(履歴データ!$A$892="",履歴データ!$A$891=""),"",I892-I891)</f>
        <v>0.25</v>
      </c>
      <c r="S892" s="28">
        <f>IF(OR(履歴データ!$A$892="",履歴データ!$A$891=""),"",(J892-J891)*100)</f>
        <v>-4.0000000000000036</v>
      </c>
      <c r="T892" s="11">
        <f>IF(OR(履歴データ!$A$892="",履歴データ!$A$891=""),"",-80000*K892)</f>
        <v>79999.999999998297</v>
      </c>
      <c r="U892" s="11">
        <f>IF(OR(履歴データ!$A$892="",履歴データ!$A$891=""),"",60000*L892)</f>
        <v>-134999.99999999712</v>
      </c>
      <c r="V892" s="11">
        <f>IF(OR(履歴データ!$A$892="",履歴データ!$A$891=""),"",-50000*M892)</f>
        <v>15000.000000000568</v>
      </c>
      <c r="W892" s="11">
        <f>IF(OR(履歴データ!$A$892="",履歴データ!$A$891=""),"",-40000*N892)</f>
        <v>40000.000000002699</v>
      </c>
      <c r="X892" s="11">
        <f>IF(OR(履歴データ!$A$892="",履歴データ!$A$891=""),"",120*1000000*(-Q892/H891))</f>
        <v>44683.313442416402</v>
      </c>
      <c r="Y892" s="11">
        <f>IF(OR(履歴データ!$A$892="",履歴データ!$A$891=""),"",40000*(-S892)+(-506.3)*R892*1000)</f>
        <v>33425.000000000146</v>
      </c>
      <c r="Z892" s="11">
        <f>IF(OR(履歴データ!$A$892="",履歴データ!$A$891=""),"",-40000*O892)</f>
        <v>-10399.999999999636</v>
      </c>
      <c r="AA892" s="11">
        <f>IF(OR(履歴データ!$A$892="",履歴データ!$A$891=""),"",-40000*P892)</f>
        <v>-79439.999999998457</v>
      </c>
      <c r="AB892" s="11">
        <f>IF(履歴データ!$A$892="","",123.3)</f>
        <v>123.3</v>
      </c>
      <c r="AC892">
        <f>IF(履歴データ!$A$892="","",SUM(T892:AA892))</f>
        <v>-11731.686557577093</v>
      </c>
      <c r="AD892" s="29">
        <f>IF(履歴データ!$A$892="","",AC892/1000000)</f>
        <v>-1.1731686557577094E-2</v>
      </c>
      <c r="AE892" s="29">
        <f>IF(履歴データ!$A$892="",AE891,AE891+AC892/1000000)</f>
        <v>68.25030213347425</v>
      </c>
      <c r="AF892" s="12">
        <f>IF(OR(履歴データ!$A$892="",AE891=0),"",(AE892-AE891)/AE891)</f>
        <v>-1.7186254058165624E-4</v>
      </c>
      <c r="AG892" s="29">
        <f t="shared" si="41"/>
        <v>102.17217746631495</v>
      </c>
      <c r="AH892" s="12">
        <f>IF(OR(履歴データ!$A$892="",AG892=0),"",AE892/AG892-1)</f>
        <v>-0.33200697268123092</v>
      </c>
      <c r="AJ892" s="28">
        <f t="shared" ca="1" si="39"/>
        <v>3.5099519059931463</v>
      </c>
      <c r="AK892" s="28">
        <f t="shared" ca="1" si="40"/>
        <v>-8.5099519059931534</v>
      </c>
    </row>
    <row r="893" spans="1:37">
      <c r="A893" s="10">
        <f>IF(履歴データ!$A$893="","",履歴データ!$A$893)</f>
        <v>46231</v>
      </c>
      <c r="B893" s="28">
        <f>IF(履歴データ!$A$893="","",(履歴データ!$D$893-(履歴データ!$B$893+履歴データ!$F$893)/2)*100)</f>
        <v>-6.4999999999999503</v>
      </c>
      <c r="C893" s="28">
        <f>IF(履歴データ!$A$893="","",(履歴データ!$H$893-(履歴データ!$G$893+履歴データ!$J$893)/2)*100)</f>
        <v>4.0999999999999925</v>
      </c>
      <c r="D893" s="28">
        <f>IF(履歴データ!$A$893="","",(履歴データ!$D$893-履歴データ!$H$893)*100)</f>
        <v>182.70000000000005</v>
      </c>
      <c r="E893" s="28">
        <f>IF(履歴データ!$A$893="","",(履歴データ!$D$893-履歴データ!$C$893)*100)</f>
        <v>26.000000000000068</v>
      </c>
      <c r="F893" s="28">
        <f>IF(履歴データ!$A$893="","",(履歴データ!$R$893-履歴データ!$D$893)*100)</f>
        <v>-334.76000000000005</v>
      </c>
      <c r="G893" s="28">
        <f>IF(履歴データ!$A$893="","",(履歴データ!$S$893-履歴データ!$R$893)*100)</f>
        <v>144.45417858886702</v>
      </c>
      <c r="H893" s="29">
        <f>IF(履歴データ!$A$893="","",履歴データ!$O$893)</f>
        <v>163.86399841308594</v>
      </c>
      <c r="I893" s="29">
        <f>IF(履歴データ!$A$893="","",履歴データ!$Q$893)</f>
        <v>108.8125</v>
      </c>
      <c r="J893" s="29">
        <f>IF(履歴データ!$A$893="","",履歴データ!$D$893)</f>
        <v>4.6100000000000003</v>
      </c>
      <c r="K893" s="28">
        <f>IF(OR(履歴データ!$A$893="",履歴データ!$A$892=""),"",B893-B892)</f>
        <v>0</v>
      </c>
      <c r="L893" s="28">
        <f>IF(OR(履歴データ!$A$893="",履歴データ!$A$892=""),"",C893-C892)</f>
        <v>0.39999999999995595</v>
      </c>
      <c r="M893" s="28">
        <f>IF(OR(履歴データ!$A$893="",履歴データ!$A$892=""),"",D893-D892)</f>
        <v>-4.5</v>
      </c>
      <c r="N893" s="28">
        <f>IF(OR(履歴データ!$A$893="",履歴データ!$A$892=""),"",E893-E892)</f>
        <v>1.0000000000000675</v>
      </c>
      <c r="O893" s="28">
        <f>IF(OR(履歴データ!$A$893="",履歴データ!$A$892=""),"",F893-F892)</f>
        <v>-3.8299999999999841</v>
      </c>
      <c r="P893" s="28">
        <f>IF(OR(履歴データ!$A$893="",履歴データ!$A$892=""),"",G893-G892)</f>
        <v>8.180821411132797</v>
      </c>
      <c r="Q893" s="29">
        <f>IF(OR(履歴データ!$A$893="",履歴データ!$A$892=""),"",H893-H892)</f>
        <v>9.30023193359375E-2</v>
      </c>
      <c r="R893" s="29">
        <f>IF(OR(履歴データ!$A$893="",履歴データ!$A$892=""),"",I893-I892)</f>
        <v>0.234375</v>
      </c>
      <c r="S893" s="28">
        <f>IF(OR(履歴データ!$A$893="",履歴データ!$A$892=""),"",(J893-J892)*100)</f>
        <v>-4.0000000000000036</v>
      </c>
      <c r="T893" s="11">
        <f>IF(OR(履歴データ!$A$893="",履歴データ!$A$892=""),"",-80000*K893)</f>
        <v>0</v>
      </c>
      <c r="U893" s="11">
        <f>IF(OR(履歴データ!$A$893="",履歴データ!$A$892=""),"",60000*L893)</f>
        <v>23999.999999997355</v>
      </c>
      <c r="V893" s="11">
        <f>IF(OR(履歴データ!$A$893="",履歴データ!$A$892=""),"",-50000*M893)</f>
        <v>225000</v>
      </c>
      <c r="W893" s="11">
        <f>IF(OR(履歴データ!$A$893="",履歴データ!$A$892=""),"",-40000*N893)</f>
        <v>-40000.000000002699</v>
      </c>
      <c r="X893" s="11">
        <f>IF(OR(履歴データ!$A$893="",履歴データ!$A$892=""),"",120*1000000*(-Q893/H892))</f>
        <v>-68145.633759984266</v>
      </c>
      <c r="Y893" s="11">
        <f>IF(OR(履歴データ!$A$893="",履歴データ!$A$892=""),"",40000*(-S893)+(-506.3)*R893*1000)</f>
        <v>41335.937500000146</v>
      </c>
      <c r="Z893" s="11">
        <f>IF(OR(履歴データ!$A$893="",履歴データ!$A$892=""),"",-40000*O893)</f>
        <v>153199.99999999936</v>
      </c>
      <c r="AA893" s="11">
        <f>IF(OR(履歴データ!$A$893="",履歴データ!$A$892=""),"",-40000*P893)</f>
        <v>-327232.85644531186</v>
      </c>
      <c r="AB893" s="11">
        <f>IF(履歴データ!$A$893="","",123.3)</f>
        <v>123.3</v>
      </c>
      <c r="AC893">
        <f>IF(履歴データ!$A$893="","",SUM(T893:AA893))</f>
        <v>8157.4472946980386</v>
      </c>
      <c r="AD893" s="29">
        <f>IF(履歴データ!$A$893="","",AC893/1000000)</f>
        <v>8.1574472946980385E-3</v>
      </c>
      <c r="AE893" s="29">
        <f>IF(履歴データ!$A$893="",AE892,AE892+AC893/1000000)</f>
        <v>68.258459580768942</v>
      </c>
      <c r="AF893" s="12">
        <f>IF(OR(履歴データ!$A$893="",AE892=0),"",(AE893-AE892)/AE892)</f>
        <v>1.1952250817497351E-4</v>
      </c>
      <c r="AG893" s="29">
        <f t="shared" si="41"/>
        <v>102.17217746631495</v>
      </c>
      <c r="AH893" s="12">
        <f>IF(OR(履歴データ!$A$893="",AG893=0),"",AE893/AG893-1)</f>
        <v>-0.33192713247916228</v>
      </c>
      <c r="AJ893" s="28">
        <f t="shared" ca="1" si="39"/>
        <v>3.5018423383757868</v>
      </c>
      <c r="AK893" s="28">
        <f t="shared" ca="1" si="40"/>
        <v>-8.5494613859948423</v>
      </c>
    </row>
    <row r="894" spans="1:37">
      <c r="A894" s="10">
        <f>IF(履歴データ!$A$894="","",履歴データ!$A$894)</f>
        <v>46232</v>
      </c>
      <c r="B894" s="28">
        <f>IF(履歴データ!$A$894="","",(履歴データ!$D$894-(履歴データ!$B$894+履歴データ!$F$894)/2)*100)</f>
        <v>-4.0000000000000036</v>
      </c>
      <c r="C894" s="28">
        <f>IF(履歴データ!$A$894="","",(履歴データ!$H$894-(履歴データ!$G$894+履歴データ!$J$894)/2)*100)</f>
        <v>4.2499999999999982</v>
      </c>
      <c r="D894" s="28">
        <f>IF(履歴データ!$A$894="","",(履歴データ!$D$894-履歴データ!$H$894)*100)</f>
        <v>191.29999999999998</v>
      </c>
      <c r="E894" s="28">
        <f>IF(履歴データ!$A$894="","",(履歴データ!$D$894-履歴データ!$C$894)*100)</f>
        <v>29.999999999999982</v>
      </c>
      <c r="F894" s="28">
        <f>IF(履歴データ!$A$894="","",(履歴データ!$R$894-履歴データ!$D$894)*100)</f>
        <v>-345.88</v>
      </c>
      <c r="G894" s="28">
        <f>IF(履歴データ!$A$894="","",(履歴データ!$S$894-履歴データ!$R$894)*100)</f>
        <v>146.7678214111327</v>
      </c>
      <c r="H894" s="29">
        <f>IF(履歴データ!$A$894="","",履歴データ!$O$894)</f>
        <v>163.30000305175781</v>
      </c>
      <c r="I894" s="29">
        <f>IF(履歴データ!$A$894="","",履歴データ!$Q$894)</f>
        <v>108.78125</v>
      </c>
      <c r="J894" s="29">
        <f>IF(履歴データ!$A$894="","",履歴データ!$D$894)</f>
        <v>4.67</v>
      </c>
      <c r="K894" s="28">
        <f>IF(OR(履歴データ!$A$894="",履歴データ!$A$893=""),"",B894-B893)</f>
        <v>2.4999999999999467</v>
      </c>
      <c r="L894" s="28">
        <f>IF(OR(履歴データ!$A$894="",履歴データ!$A$893=""),"",C894-C893)</f>
        <v>0.15000000000000568</v>
      </c>
      <c r="M894" s="28">
        <f>IF(OR(履歴データ!$A$894="",履歴データ!$A$893=""),"",D894-D893)</f>
        <v>8.5999999999999375</v>
      </c>
      <c r="N894" s="28">
        <f>IF(OR(履歴データ!$A$894="",履歴データ!$A$893=""),"",E894-E893)</f>
        <v>3.9999999999999147</v>
      </c>
      <c r="O894" s="28">
        <f>IF(OR(履歴データ!$A$894="",履歴データ!$A$893=""),"",F894-F893)</f>
        <v>-11.119999999999948</v>
      </c>
      <c r="P894" s="28">
        <f>IF(OR(履歴データ!$A$894="",履歴データ!$A$893=""),"",G894-G893)</f>
        <v>2.3136428222656775</v>
      </c>
      <c r="Q894" s="29">
        <f>IF(OR(履歴データ!$A$894="",履歴データ!$A$893=""),"",H894-H893)</f>
        <v>-0.563995361328125</v>
      </c>
      <c r="R894" s="29">
        <f>IF(OR(履歴データ!$A$894="",履歴データ!$A$893=""),"",I894-I893)</f>
        <v>-3.125E-2</v>
      </c>
      <c r="S894" s="28">
        <f>IF(OR(履歴データ!$A$894="",履歴データ!$A$893=""),"",(J894-J893)*100)</f>
        <v>5.9999999999999609</v>
      </c>
      <c r="T894" s="11">
        <f>IF(OR(履歴データ!$A$894="",履歴データ!$A$893=""),"",-80000*K894)</f>
        <v>-199999.99999999575</v>
      </c>
      <c r="U894" s="11">
        <f>IF(OR(履歴データ!$A$894="",履歴データ!$A$893=""),"",60000*L894)</f>
        <v>9000.000000000342</v>
      </c>
      <c r="V894" s="11">
        <f>IF(OR(履歴データ!$A$894="",履歴データ!$A$893=""),"",-50000*M894)</f>
        <v>-429999.99999999686</v>
      </c>
      <c r="W894" s="11">
        <f>IF(OR(履歴データ!$A$894="",履歴データ!$A$893=""),"",-40000*N894)</f>
        <v>-159999.99999999659</v>
      </c>
      <c r="X894" s="11">
        <f>IF(OR(履歴データ!$A$894="",履歴データ!$A$893=""),"",120*1000000*(-Q894/H893))</f>
        <v>413022.0427598831</v>
      </c>
      <c r="Y894" s="11">
        <f>IF(OR(履歴データ!$A$894="",履歴データ!$A$893=""),"",40000*(-S894)+(-506.3)*R894*1000)</f>
        <v>-224178.12499999843</v>
      </c>
      <c r="Z894" s="11">
        <f>IF(OR(履歴データ!$A$894="",履歴データ!$A$893=""),"",-40000*O894)</f>
        <v>444799.9999999979</v>
      </c>
      <c r="AA894" s="11">
        <f>IF(OR(履歴データ!$A$894="",履歴データ!$A$893=""),"",-40000*P894)</f>
        <v>-92545.712890627095</v>
      </c>
      <c r="AB894" s="11">
        <f>IF(履歴データ!$A$894="","",123.3)</f>
        <v>123.3</v>
      </c>
      <c r="AC894">
        <f>IF(履歴データ!$A$894="","",SUM(T894:AA894))</f>
        <v>-239901.7951307334</v>
      </c>
      <c r="AD894" s="29">
        <f>IF(履歴データ!$A$894="","",AC894/1000000)</f>
        <v>-0.2399017951307334</v>
      </c>
      <c r="AE894" s="29">
        <f>IF(履歴データ!$A$894="",AE893,AE893+AC894/1000000)</f>
        <v>68.018557785638208</v>
      </c>
      <c r="AF894" s="12">
        <f>IF(OR(履歴データ!$A$894="",AE893=0),"",(AE894-AE893)/AE893)</f>
        <v>-3.5146089818634571E-3</v>
      </c>
      <c r="AG894" s="29">
        <f t="shared" si="41"/>
        <v>102.17217746631495</v>
      </c>
      <c r="AH894" s="12">
        <f>IF(OR(履歴データ!$A$894="",AG894=0),"",AE894/AG894-1)</f>
        <v>-0.33427514737989039</v>
      </c>
      <c r="AJ894" s="28">
        <f t="shared" ca="1" si="39"/>
        <v>3.4933842640555373</v>
      </c>
      <c r="AK894" s="28">
        <f t="shared" ca="1" si="40"/>
        <v>-8.5608445815158607</v>
      </c>
    </row>
    <row r="895" spans="1:37">
      <c r="A895" s="10">
        <f>IF(履歴データ!$A$895="","",履歴データ!$A$895)</f>
        <v>46233</v>
      </c>
      <c r="B895" s="28">
        <f>IF(履歴データ!$A$895="","",(履歴データ!$D$895-(履歴データ!$B$895+履歴データ!$F$895)/2)*100)</f>
        <v>-4.0000000000000924</v>
      </c>
      <c r="C895" s="28">
        <f>IF(履歴データ!$A$895="","",(履歴データ!$H$895-(履歴データ!$G$895+履歴データ!$J$895)/2)*100)</f>
        <v>6.7000000000000171</v>
      </c>
      <c r="D895" s="28">
        <f>IF(履歴データ!$A$895="","",(履歴データ!$D$895-履歴データ!$H$895)*100)</f>
        <v>187.89999999999995</v>
      </c>
      <c r="E895" s="28">
        <f>IF(履歴データ!$A$895="","",(履歴データ!$D$895-履歴データ!$C$895)*100)</f>
        <v>29.999999999999982</v>
      </c>
      <c r="F895" s="28">
        <f>IF(履歴データ!$A$895="","",(履歴データ!$R$895-履歴データ!$D$895)*100)</f>
        <v>-341.21999999999997</v>
      </c>
      <c r="G895" s="28">
        <f>IF(履歴データ!$A$895="","",(履歴データ!$S$895-履歴データ!$R$895)*100)</f>
        <v>143.56335717773422</v>
      </c>
      <c r="H895" s="29">
        <f>IF(履歴データ!$A$895="","",履歴データ!$O$895)</f>
        <v>160.18299865722656</v>
      </c>
      <c r="I895" s="29">
        <f>IF(履歴データ!$A$895="","",履歴データ!$Q$895)</f>
        <v>108.546875</v>
      </c>
      <c r="J895" s="29">
        <f>IF(履歴データ!$A$895="","",履歴データ!$D$895)</f>
        <v>4.68</v>
      </c>
      <c r="K895" s="28">
        <f>IF(OR(履歴データ!$A$895="",履歴データ!$A$894=""),"",B895-B894)</f>
        <v>-8.8817841970012523E-14</v>
      </c>
      <c r="L895" s="28">
        <f>IF(OR(履歴データ!$A$895="",履歴データ!$A$894=""),"",C895-C894)</f>
        <v>2.4500000000000188</v>
      </c>
      <c r="M895" s="28">
        <f>IF(OR(履歴データ!$A$895="",履歴データ!$A$894=""),"",D895-D894)</f>
        <v>-3.4000000000000341</v>
      </c>
      <c r="N895" s="28">
        <f>IF(OR(履歴データ!$A$895="",履歴データ!$A$894=""),"",E895-E894)</f>
        <v>0</v>
      </c>
      <c r="O895" s="28">
        <f>IF(OR(履歴データ!$A$895="",履歴データ!$A$894=""),"",F895-F894)</f>
        <v>4.660000000000025</v>
      </c>
      <c r="P895" s="28">
        <f>IF(OR(履歴データ!$A$895="",履歴データ!$A$894=""),"",G895-G894)</f>
        <v>-3.2044642333984825</v>
      </c>
      <c r="Q895" s="29">
        <f>IF(OR(履歴データ!$A$895="",履歴データ!$A$894=""),"",H895-H894)</f>
        <v>-3.11700439453125</v>
      </c>
      <c r="R895" s="29">
        <f>IF(OR(履歴データ!$A$895="",履歴データ!$A$894=""),"",I895-I894)</f>
        <v>-0.234375</v>
      </c>
      <c r="S895" s="28">
        <f>IF(OR(履歴データ!$A$895="",履歴データ!$A$894=""),"",(J895-J894)*100)</f>
        <v>0.99999999999997868</v>
      </c>
      <c r="T895" s="11">
        <f>IF(OR(履歴データ!$A$895="",履歴データ!$A$894=""),"",-80000*K895)</f>
        <v>7.1054273576010019E-9</v>
      </c>
      <c r="U895" s="11">
        <f>IF(OR(履歴データ!$A$895="",履歴データ!$A$894=""),"",60000*L895)</f>
        <v>147000.00000000114</v>
      </c>
      <c r="V895" s="11">
        <f>IF(OR(履歴データ!$A$895="",履歴データ!$A$894=""),"",-50000*M895)</f>
        <v>170000.00000000172</v>
      </c>
      <c r="W895" s="11">
        <f>IF(OR(履歴データ!$A$895="",履歴データ!$A$894=""),"",-40000*N895)</f>
        <v>0</v>
      </c>
      <c r="X895" s="11">
        <f>IF(OR(履歴データ!$A$895="",履歴データ!$A$894=""),"",120*1000000*(-Q895/H894))</f>
        <v>2290511.4534823257</v>
      </c>
      <c r="Y895" s="11">
        <f>IF(OR(履歴データ!$A$895="",履歴データ!$A$894=""),"",40000*(-S895)+(-506.3)*R895*1000)</f>
        <v>78664.062500000844</v>
      </c>
      <c r="Z895" s="11">
        <f>IF(OR(履歴データ!$A$895="",履歴データ!$A$894=""),"",-40000*O895)</f>
        <v>-186400.00000000099</v>
      </c>
      <c r="AA895" s="11">
        <f>IF(OR(履歴データ!$A$895="",履歴データ!$A$894=""),"",-40000*P895)</f>
        <v>128178.5693359393</v>
      </c>
      <c r="AB895" s="11">
        <f>IF(履歴データ!$A$895="","",123.3)</f>
        <v>123.3</v>
      </c>
      <c r="AC895">
        <f>IF(履歴データ!$A$895="","",SUM(T895:AA895))</f>
        <v>2627954.0853182748</v>
      </c>
      <c r="AD895" s="29">
        <f>IF(履歴データ!$A$895="","",AC895/1000000)</f>
        <v>2.627954085318275</v>
      </c>
      <c r="AE895" s="29">
        <f>IF(履歴データ!$A$895="",AE894,AE894+AC895/1000000)</f>
        <v>70.646511870956488</v>
      </c>
      <c r="AF895" s="12">
        <f>IF(OR(履歴データ!$A$895="",AE894=0),"",(AE895-AE894)/AE894)</f>
        <v>3.8635839554262932E-2</v>
      </c>
      <c r="AG895" s="29">
        <f t="shared" si="41"/>
        <v>102.17217746631495</v>
      </c>
      <c r="AH895" s="12">
        <f>IF(OR(履歴データ!$A$895="",AG895=0),"",AE895/AG895-1)</f>
        <v>-0.30855430878677448</v>
      </c>
      <c r="AJ895" s="28">
        <f t="shared" ca="1" si="39"/>
        <v>3.4848602727408977</v>
      </c>
      <c r="AK895" s="28">
        <f t="shared" ca="1" si="40"/>
        <v>-8.5721618600424918</v>
      </c>
    </row>
    <row r="896" spans="1:37">
      <c r="A896" s="10">
        <f>IF(履歴データ!$A$896="","",履歴データ!$A$896)</f>
        <v>46234</v>
      </c>
      <c r="B896" s="28">
        <f>IF(履歴データ!$A$896="","",(履歴データ!$D$896-(履歴データ!$B$896+履歴データ!$F$896)/2)*100)</f>
        <v>-2.5000000000000355</v>
      </c>
      <c r="C896" s="28">
        <f>IF(履歴データ!$A$896="","",(履歴データ!$H$896-(履歴データ!$G$896+履歴データ!$J$896)/2)*100)</f>
        <v>5.6500000000000217</v>
      </c>
      <c r="D896" s="28">
        <f>IF(履歴データ!$A$896="","",(履歴データ!$D$896-履歴データ!$H$896)*100)</f>
        <v>194.89999999999998</v>
      </c>
      <c r="E896" s="28">
        <f>IF(履歴データ!$A$896="","",(履歴データ!$D$896-履歴データ!$C$896)*100)</f>
        <v>29.999999999999982</v>
      </c>
      <c r="F896" s="28">
        <f>IF(履歴データ!$A$896="","",(履歴データ!$R$896-履歴データ!$D$896)*100)</f>
        <v>-348.26</v>
      </c>
      <c r="G896" s="28">
        <f>IF(履歴データ!$A$896="","",(履歴データ!$S$896-履歴データ!$R$896)*100)</f>
        <v>142.37564282226549</v>
      </c>
      <c r="H896" s="29">
        <f>IF(履歴データ!$A$896="","",履歴データ!$O$896)</f>
        <v>160.18299865722656</v>
      </c>
      <c r="I896" s="29">
        <f>IF(履歴データ!$A$896="","",履歴データ!$Q$896)</f>
        <v>108</v>
      </c>
      <c r="J896" s="29">
        <f>IF(履歴データ!$A$896="","",履歴データ!$D$896)</f>
        <v>4.75</v>
      </c>
      <c r="K896" s="28">
        <f>IF(OR(履歴データ!$A$896="",履歴データ!$A$895=""),"",B896-B895)</f>
        <v>1.5000000000000568</v>
      </c>
      <c r="L896" s="28">
        <f>IF(OR(履歴データ!$A$896="",履歴データ!$A$895=""),"",C896-C895)</f>
        <v>-1.0499999999999954</v>
      </c>
      <c r="M896" s="28">
        <f>IF(OR(履歴データ!$A$896="",履歴データ!$A$895=""),"",D896-D895)</f>
        <v>7.0000000000000284</v>
      </c>
      <c r="N896" s="28">
        <f>IF(OR(履歴データ!$A$896="",履歴データ!$A$895=""),"",E896-E895)</f>
        <v>0</v>
      </c>
      <c r="O896" s="28">
        <f>IF(OR(履歴データ!$A$896="",履歴データ!$A$895=""),"",F896-F895)</f>
        <v>-7.0400000000000205</v>
      </c>
      <c r="P896" s="28">
        <f>IF(OR(履歴データ!$A$896="",履歴データ!$A$895=""),"",G896-G895)</f>
        <v>-1.1877143554687279</v>
      </c>
      <c r="Q896" s="29">
        <f>IF(OR(履歴データ!$A$896="",履歴データ!$A$895=""),"",H896-H895)</f>
        <v>0</v>
      </c>
      <c r="R896" s="29">
        <f>IF(OR(履歴データ!$A$896="",履歴データ!$A$895=""),"",I896-I895)</f>
        <v>-0.546875</v>
      </c>
      <c r="S896" s="28">
        <f>IF(OR(履歴データ!$A$896="",履歴データ!$A$895=""),"",(J896-J895)*100)</f>
        <v>7.0000000000000284</v>
      </c>
      <c r="T896" s="11">
        <f>IF(OR(履歴データ!$A$896="",履歴データ!$A$895=""),"",-80000*K896)</f>
        <v>-120000.00000000454</v>
      </c>
      <c r="U896" s="11">
        <f>IF(OR(履歴データ!$A$896="",履歴データ!$A$895=""),"",60000*L896)</f>
        <v>-62999.999999999724</v>
      </c>
      <c r="V896" s="11">
        <f>IF(OR(履歴データ!$A$896="",履歴データ!$A$895=""),"",-50000*M896)</f>
        <v>-350000.0000000014</v>
      </c>
      <c r="W896" s="11">
        <f>IF(OR(履歴データ!$A$896="",履歴データ!$A$895=""),"",-40000*N896)</f>
        <v>0</v>
      </c>
      <c r="X896" s="11">
        <f>IF(OR(履歴データ!$A$896="",履歴データ!$A$895=""),"",120*1000000*(-Q896/H895))</f>
        <v>0</v>
      </c>
      <c r="Y896" s="11">
        <f>IF(OR(履歴データ!$A$896="",履歴データ!$A$895=""),"",40000*(-S896)+(-506.3)*R896*1000)</f>
        <v>-3117.1875000011642</v>
      </c>
      <c r="Z896" s="11">
        <f>IF(OR(履歴データ!$A$896="",履歴データ!$A$895=""),"",-40000*O896)</f>
        <v>281600.00000000081</v>
      </c>
      <c r="AA896" s="11">
        <f>IF(OR(履歴データ!$A$896="",履歴データ!$A$895=""),"",-40000*P896)</f>
        <v>47508.57421874912</v>
      </c>
      <c r="AB896" s="11">
        <f>IF(履歴データ!$A$896="","",123.3)</f>
        <v>123.3</v>
      </c>
      <c r="AC896">
        <f>IF(履歴データ!$A$896="","",SUM(T896:AA896))</f>
        <v>-207008.61328125681</v>
      </c>
      <c r="AD896" s="29">
        <f>IF(履歴データ!$A$896="","",AC896/1000000)</f>
        <v>-0.2070086132812568</v>
      </c>
      <c r="AE896" s="29">
        <f>IF(履歴データ!$A$896="",AE895,AE895+AC896/1000000)</f>
        <v>70.439503257675227</v>
      </c>
      <c r="AF896" s="12">
        <f>IF(OR(履歴データ!$A$896="",AE895=0),"",(AE896-AE895)/AE895)</f>
        <v>-2.9302028904043304E-3</v>
      </c>
      <c r="AG896" s="29">
        <f t="shared" si="41"/>
        <v>102.17217746631495</v>
      </c>
      <c r="AH896" s="12">
        <f>IF(OR(履歴データ!$A$896="",AG896=0),"",AE896/AG896-1)</f>
        <v>-0.31058038494972506</v>
      </c>
      <c r="AJ896" s="28">
        <f t="shared" ca="1" si="39"/>
        <v>3.4824866917670421</v>
      </c>
      <c r="AK896" s="28">
        <f t="shared" ca="1" si="40"/>
        <v>-8.5737565330368888</v>
      </c>
    </row>
    <row r="897" spans="1:37">
      <c r="A897" s="10">
        <f>IF(履歴データ!$A$897="","",履歴データ!$A$897)</f>
        <v>46237</v>
      </c>
      <c r="B897" s="28">
        <f>IF(履歴データ!$A$897="","",(履歴データ!$D$897-(履歴データ!$B$897+履歴データ!$F$897)/2)*100)</f>
        <v>-4.0000000000000036</v>
      </c>
      <c r="C897" s="28">
        <f>IF(履歴データ!$A$897="","",(履歴データ!$H$897-(履歴データ!$G$897+履歴データ!$J$897)/2)*100)</f>
        <v>5.6500000000000217</v>
      </c>
      <c r="D897" s="28">
        <f>IF(履歴データ!$A$897="","",(履歴データ!$D$897-履歴データ!$H$897)*100)</f>
        <v>189.9</v>
      </c>
      <c r="E897" s="28">
        <f>IF(履歴データ!$A$897="","",(履歴データ!$D$897-履歴データ!$C$897)*100)</f>
        <v>29.999999999999982</v>
      </c>
      <c r="F897" s="28">
        <f>IF(履歴データ!$A$897="","",(履歴データ!$R$897-履歴データ!$D$897)*100)</f>
        <v>-337.31</v>
      </c>
      <c r="G897" s="28">
        <f>IF(履歴データ!$A$897="","",(履歴データ!$S$897-履歴データ!$R$897)*100)</f>
        <v>141.86299999999989</v>
      </c>
      <c r="H897" s="29">
        <f>IF(履歴データ!$A$897="","",履歴データ!$O$897)</f>
        <v>157.52900695800781</v>
      </c>
      <c r="I897" s="29">
        <f>IF(履歴データ!$A$897="","",履歴データ!$Q$897)</f>
        <v>108.421875</v>
      </c>
      <c r="J897" s="29">
        <f>IF(履歴データ!$A$897="","",履歴データ!$D$897)</f>
        <v>4.7</v>
      </c>
      <c r="K897" s="28">
        <f>IF(OR(履歴データ!$A$897="",履歴データ!$A$896=""),"",B897-B896)</f>
        <v>-1.499999999999968</v>
      </c>
      <c r="L897" s="28">
        <f>IF(OR(履歴データ!$A$897="",履歴データ!$A$896=""),"",C897-C896)</f>
        <v>0</v>
      </c>
      <c r="M897" s="28">
        <f>IF(OR(履歴データ!$A$897="",履歴データ!$A$896=""),"",D897-D896)</f>
        <v>-4.9999999999999716</v>
      </c>
      <c r="N897" s="28">
        <f>IF(OR(履歴データ!$A$897="",履歴データ!$A$896=""),"",E897-E896)</f>
        <v>0</v>
      </c>
      <c r="O897" s="28">
        <f>IF(OR(履歴データ!$A$897="",履歴データ!$A$896=""),"",F897-F896)</f>
        <v>10.949999999999989</v>
      </c>
      <c r="P897" s="28">
        <f>IF(OR(履歴データ!$A$897="",履歴データ!$A$896=""),"",G897-G896)</f>
        <v>-0.51264282226560454</v>
      </c>
      <c r="Q897" s="29">
        <f>IF(OR(履歴データ!$A$897="",履歴データ!$A$896=""),"",H897-H896)</f>
        <v>-2.65399169921875</v>
      </c>
      <c r="R897" s="29">
        <f>IF(OR(履歴データ!$A$897="",履歴データ!$A$896=""),"",I897-I896)</f>
        <v>0.421875</v>
      </c>
      <c r="S897" s="28">
        <f>IF(OR(履歴データ!$A$897="",履歴データ!$A$896=""),"",(J897-J896)*100)</f>
        <v>-4.9999999999999822</v>
      </c>
      <c r="T897" s="11">
        <f>IF(OR(履歴データ!$A$897="",履歴データ!$A$896=""),"",-80000*K897)</f>
        <v>119999.99999999744</v>
      </c>
      <c r="U897" s="11">
        <f>IF(OR(履歴データ!$A$897="",履歴データ!$A$896=""),"",60000*L897)</f>
        <v>0</v>
      </c>
      <c r="V897" s="11">
        <f>IF(OR(履歴データ!$A$897="",履歴データ!$A$896=""),"",-50000*M897)</f>
        <v>249999.99999999857</v>
      </c>
      <c r="W897" s="11">
        <f>IF(OR(履歴データ!$A$897="",履歴データ!$A$896=""),"",-40000*N897)</f>
        <v>0</v>
      </c>
      <c r="X897" s="11">
        <f>IF(OR(履歴データ!$A$897="",履歴データ!$A$896=""),"",120*1000000*(-Q897/H896))</f>
        <v>1988219.7647439407</v>
      </c>
      <c r="Y897" s="11">
        <f>IF(OR(履歴データ!$A$897="",履歴データ!$A$896=""),"",40000*(-S897)+(-506.3)*R897*1000)</f>
        <v>-13595.312500000698</v>
      </c>
      <c r="Z897" s="11">
        <f>IF(OR(履歴データ!$A$897="",履歴データ!$A$896=""),"",-40000*O897)</f>
        <v>-437999.99999999953</v>
      </c>
      <c r="AA897" s="11">
        <f>IF(OR(履歴データ!$A$897="",履歴データ!$A$896=""),"",-40000*P897)</f>
        <v>20505.712890624181</v>
      </c>
      <c r="AB897" s="11">
        <f>IF(履歴データ!$A$897="","",123.3)</f>
        <v>123.3</v>
      </c>
      <c r="AC897">
        <f>IF(履歴データ!$A$897="","",SUM(T897:AA897))</f>
        <v>1927130.1651345608</v>
      </c>
      <c r="AD897" s="29">
        <f>IF(履歴データ!$A$897="","",AC897/1000000)</f>
        <v>1.9271301651345607</v>
      </c>
      <c r="AE897" s="29">
        <f>IF(履歴データ!$A$897="",AE896,AE896+AC897/1000000)</f>
        <v>72.366633422809784</v>
      </c>
      <c r="AF897" s="12">
        <f>IF(OR(履歴データ!$A$897="",AE896=0),"",(AE897-AE896)/AE896)</f>
        <v>2.7358656379005239E-2</v>
      </c>
      <c r="AG897" s="29">
        <f t="shared" si="41"/>
        <v>102.17217746631495</v>
      </c>
      <c r="AH897" s="12">
        <f>IF(OR(履歴データ!$A$897="",AG897=0),"",AE897/AG897-1)</f>
        <v>-0.29171879060061856</v>
      </c>
      <c r="AJ897" s="28">
        <f t="shared" ca="1" si="39"/>
        <v>3.4820930046372398</v>
      </c>
      <c r="AK897" s="28">
        <f t="shared" ca="1" si="40"/>
        <v>-8.5773310998753409</v>
      </c>
    </row>
    <row r="898" spans="1:37">
      <c r="A898" s="10">
        <f>IF(履歴データ!$A$898="","",履歴データ!$A$898)</f>
        <v>46238</v>
      </c>
      <c r="B898" s="28">
        <f>IF(履歴データ!$A$898="","",(履歴データ!$D$898-(履歴データ!$B$898+履歴データ!$F$898)/2)*100)</f>
        <v>-5.9999999999999609</v>
      </c>
      <c r="C898" s="28">
        <f>IF(履歴データ!$A$898="","",(履歴データ!$H$898-(履歴データ!$G$898+履歴データ!$J$898)/2)*100)</f>
        <v>5.6500000000000217</v>
      </c>
      <c r="D898" s="28">
        <f>IF(履歴データ!$A$898="","",(履歴データ!$D$898-履歴データ!$H$898)*100)</f>
        <v>182.89999999999998</v>
      </c>
      <c r="E898" s="28">
        <f>IF(履歴データ!$A$898="","",(履歴データ!$D$898-履歴データ!$C$898)*100)</f>
        <v>29.999999999999982</v>
      </c>
      <c r="F898" s="28">
        <f>IF(履歴データ!$A$898="","",(履歴データ!$R$898-履歴データ!$D$898)*100)</f>
        <v>-339.67</v>
      </c>
      <c r="G898" s="28">
        <f>IF(履歴データ!$A$898="","",(履歴データ!$S$898-履歴データ!$R$898)*100)</f>
        <v>152.09999999999988</v>
      </c>
      <c r="H898" s="29">
        <f>IF(履歴データ!$A$898="","",履歴データ!$O$898)</f>
        <v>157.69200134277344</v>
      </c>
      <c r="I898" s="29">
        <f>IF(履歴データ!$A$898="","",履歴データ!$Q$898)</f>
        <v>108.84375</v>
      </c>
      <c r="J898" s="29">
        <f>IF(履歴データ!$A$898="","",履歴データ!$D$898)</f>
        <v>4.63</v>
      </c>
      <c r="K898" s="28">
        <f>IF(OR(履歴データ!$A$898="",履歴データ!$A$897=""),"",B898-B897)</f>
        <v>-1.9999999999999574</v>
      </c>
      <c r="L898" s="28">
        <f>IF(OR(履歴データ!$A$898="",履歴データ!$A$897=""),"",C898-C897)</f>
        <v>0</v>
      </c>
      <c r="M898" s="28">
        <f>IF(OR(履歴データ!$A$898="",履歴データ!$A$897=""),"",D898-D897)</f>
        <v>-7.0000000000000284</v>
      </c>
      <c r="N898" s="28">
        <f>IF(OR(履歴データ!$A$898="",履歴データ!$A$897=""),"",E898-E897)</f>
        <v>0</v>
      </c>
      <c r="O898" s="28">
        <f>IF(OR(履歴データ!$A$898="",履歴データ!$A$897=""),"",F898-F897)</f>
        <v>-2.3600000000000136</v>
      </c>
      <c r="P898" s="28">
        <f>IF(OR(履歴データ!$A$898="",履歴データ!$A$897=""),"",G898-G897)</f>
        <v>10.236999999999995</v>
      </c>
      <c r="Q898" s="29">
        <f>IF(OR(履歴データ!$A$898="",履歴データ!$A$897=""),"",H898-H897)</f>
        <v>0.162994384765625</v>
      </c>
      <c r="R898" s="29">
        <f>IF(OR(履歴データ!$A$898="",履歴データ!$A$897=""),"",I898-I897)</f>
        <v>0.421875</v>
      </c>
      <c r="S898" s="28">
        <f>IF(OR(履歴データ!$A$898="",履歴データ!$A$897=""),"",(J898-J897)*100)</f>
        <v>-7.0000000000000284</v>
      </c>
      <c r="T898" s="11">
        <f>IF(OR(履歴データ!$A$898="",履歴データ!$A$897=""),"",-80000*K898)</f>
        <v>159999.99999999659</v>
      </c>
      <c r="U898" s="11">
        <f>IF(OR(履歴データ!$A$898="",履歴データ!$A$897=""),"",60000*L898)</f>
        <v>0</v>
      </c>
      <c r="V898" s="11">
        <f>IF(OR(履歴データ!$A$898="",履歴データ!$A$897=""),"",-50000*M898)</f>
        <v>350000.0000000014</v>
      </c>
      <c r="W898" s="11">
        <f>IF(OR(履歴データ!$A$898="",履歴データ!$A$897=""),"",-40000*N898)</f>
        <v>0</v>
      </c>
      <c r="X898" s="11">
        <f>IF(OR(履歴データ!$A$898="",履歴データ!$A$897=""),"",120*1000000*(-Q898/H897))</f>
        <v>-124163.33061179578</v>
      </c>
      <c r="Y898" s="11">
        <f>IF(OR(履歴データ!$A$898="",履歴データ!$A$897=""),"",40000*(-S898)+(-506.3)*R898*1000)</f>
        <v>66404.687500001164</v>
      </c>
      <c r="Z898" s="11">
        <f>IF(OR(履歴データ!$A$898="",履歴データ!$A$897=""),"",-40000*O898)</f>
        <v>94400.000000000553</v>
      </c>
      <c r="AA898" s="11">
        <f>IF(OR(履歴データ!$A$898="",履歴データ!$A$897=""),"",-40000*P898)</f>
        <v>-409479.99999999977</v>
      </c>
      <c r="AB898" s="11">
        <f>IF(履歴データ!$A$898="","",123.3)</f>
        <v>123.3</v>
      </c>
      <c r="AC898">
        <f>IF(履歴データ!$A$898="","",SUM(T898:AA898))</f>
        <v>137161.35688820423</v>
      </c>
      <c r="AD898" s="29">
        <f>IF(履歴データ!$A$898="","",AC898/1000000)</f>
        <v>0.13716135688820424</v>
      </c>
      <c r="AE898" s="29">
        <f>IF(履歴データ!$A$898="",AE897,AE897+AC898/1000000)</f>
        <v>72.503794779697984</v>
      </c>
      <c r="AF898" s="12">
        <f>IF(OR(履歴データ!$A$898="",AE897=0),"",(AE898-AE897)/AE897)</f>
        <v>1.8953673868842271E-3</v>
      </c>
      <c r="AG898" s="29">
        <f t="shared" si="41"/>
        <v>102.17217746631495</v>
      </c>
      <c r="AH898" s="12">
        <f>IF(OR(履歴データ!$A$898="",AG898=0),"",AE898/AG898-1)</f>
        <v>-0.29037633749558001</v>
      </c>
      <c r="AJ898" s="28">
        <f t="shared" ref="AJ898:AJ907" ca="1" si="42">IF(ROW()-1&lt;2,"",IFERROR(AVERAGE(OFFSET($B$1,MAX(1,ROW()-252),0,MIN(252,ROW()-1),1))+2*STDEV(OFFSET($B$1,MAX(1,ROW()-252),0,MIN(252,ROW()-1),1)),""))</f>
        <v>3.4868327500299658</v>
      </c>
      <c r="AK898" s="28">
        <f t="shared" ref="AK898:AK907" ca="1" si="43">IF(ROW()-1&lt;2,"",IFERROR(AVERAGE(OFFSET($B$1,MAX(1,ROW()-252),0,MIN(252,ROW()-1),1))-2*STDEV(OFFSET($B$1,MAX(1,ROW()-252),0,MIN(252,ROW()-1),1)),""))</f>
        <v>-8.5939756071728297</v>
      </c>
    </row>
    <row r="899" spans="1:37">
      <c r="A899" s="10">
        <f>IF(履歴データ!$A$899="","",履歴データ!$A$899)</f>
        <v>46239</v>
      </c>
      <c r="B899" s="28">
        <f>IF(履歴データ!$A$899="","",(履歴データ!$D$899-(履歴データ!$B$899+履歴データ!$F$899)/2)*100)</f>
        <v>-4.4999999999999929</v>
      </c>
      <c r="C899" s="28">
        <f>IF(履歴データ!$A$899="","",(履歴データ!$H$899-(履歴データ!$G$899+履歴データ!$J$899)/2)*100)</f>
        <v>5.6500000000000217</v>
      </c>
      <c r="D899" s="28">
        <f>IF(履歴データ!$A$899="","",(履歴データ!$D$899-履歴データ!$H$899)*100)</f>
        <v>182.89999999999998</v>
      </c>
      <c r="E899" s="28">
        <f>IF(履歴データ!$A$899="","",(履歴データ!$D$899-履歴データ!$C$899)*100)</f>
        <v>29.999999999999982</v>
      </c>
      <c r="F899" s="28">
        <f>IF(履歴データ!$A$899="","",(履歴データ!$R$899-履歴データ!$D$899)*100)</f>
        <v>-343.81</v>
      </c>
      <c r="G899" s="28">
        <f>IF(履歴データ!$A$899="","",(履歴データ!$S$899-履歴データ!$R$899)*100)</f>
        <v>153.78435717773428</v>
      </c>
      <c r="H899" s="29">
        <f>IF(履歴データ!$A$899="","",履歴データ!$O$899)</f>
        <v>157.60000610351563</v>
      </c>
      <c r="I899" s="29">
        <f>IF(履歴データ!$A$899="","",履歴データ!$Q$899)</f>
        <v>108.890625</v>
      </c>
      <c r="J899" s="29">
        <f>IF(履歴データ!$A$899="","",履歴データ!$D$899)</f>
        <v>4.63</v>
      </c>
      <c r="K899" s="28">
        <f>IF(OR(履歴データ!$A$899="",履歴データ!$A$898=""),"",B899-B898)</f>
        <v>1.499999999999968</v>
      </c>
      <c r="L899" s="28">
        <f>IF(OR(履歴データ!$A$899="",履歴データ!$A$898=""),"",C899-C898)</f>
        <v>0</v>
      </c>
      <c r="M899" s="28">
        <f>IF(OR(履歴データ!$A$899="",履歴データ!$A$898=""),"",D899-D898)</f>
        <v>0</v>
      </c>
      <c r="N899" s="28">
        <f>IF(OR(履歴データ!$A$899="",履歴データ!$A$898=""),"",E899-E898)</f>
        <v>0</v>
      </c>
      <c r="O899" s="28">
        <f>IF(OR(履歴データ!$A$899="",履歴データ!$A$898=""),"",F899-F898)</f>
        <v>-4.1399999999999864</v>
      </c>
      <c r="P899" s="28">
        <f>IF(OR(履歴データ!$A$899="",履歴データ!$A$898=""),"",G899-G898)</f>
        <v>1.6843571777343982</v>
      </c>
      <c r="Q899" s="29">
        <f>IF(OR(履歴データ!$A$899="",履歴データ!$A$898=""),"",H899-H898)</f>
        <v>-9.19952392578125E-2</v>
      </c>
      <c r="R899" s="29">
        <f>IF(OR(履歴データ!$A$899="",履歴データ!$A$898=""),"",I899-I898)</f>
        <v>4.6875E-2</v>
      </c>
      <c r="S899" s="28">
        <f>IF(OR(履歴データ!$A$899="",履歴データ!$A$898=""),"",(J899-J898)*100)</f>
        <v>0</v>
      </c>
      <c r="T899" s="11">
        <f>IF(OR(履歴データ!$A$899="",履歴データ!$A$898=""),"",-80000*K899)</f>
        <v>-119999.99999999744</v>
      </c>
      <c r="U899" s="11">
        <f>IF(OR(履歴データ!$A$899="",履歴データ!$A$898=""),"",60000*L899)</f>
        <v>0</v>
      </c>
      <c r="V899" s="11">
        <f>IF(OR(履歴データ!$A$899="",履歴データ!$A$898=""),"",-50000*M899)</f>
        <v>0</v>
      </c>
      <c r="W899" s="11">
        <f>IF(OR(履歴データ!$A$899="",履歴データ!$A$898=""),"",-40000*N899)</f>
        <v>0</v>
      </c>
      <c r="X899" s="11">
        <f>IF(OR(履歴データ!$A$899="",履歴データ!$A$898=""),"",120*1000000*(-Q899/H898))</f>
        <v>70006.26929035678</v>
      </c>
      <c r="Y899" s="11">
        <f>IF(OR(履歴データ!$A$899="",履歴データ!$A$898=""),"",40000*(-S899)+(-506.3)*R899*1000)</f>
        <v>-23732.8125</v>
      </c>
      <c r="Z899" s="11">
        <f>IF(OR(履歴データ!$A$899="",履歴データ!$A$898=""),"",-40000*O899)</f>
        <v>165599.99999999945</v>
      </c>
      <c r="AA899" s="11">
        <f>IF(OR(履歴データ!$A$899="",履歴データ!$A$898=""),"",-40000*P899)</f>
        <v>-67374.287109375931</v>
      </c>
      <c r="AB899" s="11">
        <f>IF(履歴データ!$A$899="","",123.3)</f>
        <v>123.3</v>
      </c>
      <c r="AC899">
        <f>IF(履歴データ!$A$899="","",SUM(T899:AA899))</f>
        <v>24499.169680982857</v>
      </c>
      <c r="AD899" s="29">
        <f>IF(履歴データ!$A$899="","",AC899/1000000)</f>
        <v>2.4499169680982858E-2</v>
      </c>
      <c r="AE899" s="29">
        <f>IF(履歴データ!$A$899="",AE898,AE898+AC899/1000000)</f>
        <v>72.528293949378963</v>
      </c>
      <c r="AF899" s="12">
        <f>IF(OR(履歴データ!$A$899="",AE898=0),"",(AE899-AE898)/AE898)</f>
        <v>3.379018954169166E-4</v>
      </c>
      <c r="AG899" s="29">
        <f t="shared" ref="AG899:AG962" si="44">MAX(AG898,AE899)</f>
        <v>102.17217746631495</v>
      </c>
      <c r="AH899" s="12">
        <f>IF(OR(履歴データ!$A$899="",AG899=0),"",AE899/AG899-1)</f>
        <v>-0.29013655431498708</v>
      </c>
      <c r="AJ899" s="28">
        <f t="shared" ca="1" si="42"/>
        <v>3.4814711053696406</v>
      </c>
      <c r="AK899" s="28">
        <f t="shared" ca="1" si="43"/>
        <v>-8.6084552323537729</v>
      </c>
    </row>
    <row r="900" spans="1:37">
      <c r="A900" s="10">
        <f>IF(履歴データ!$A$900="","",履歴データ!$A$900)</f>
        <v>46240</v>
      </c>
      <c r="B900" s="28">
        <f>IF(履歴データ!$A$900="","",(履歴データ!$D$900-(履歴データ!$B$900+履歴データ!$F$900)/2)*100)</f>
        <v>-4.4999999999999041</v>
      </c>
      <c r="C900" s="28">
        <f>IF(履歴データ!$A$900="","",(履歴データ!$H$900-(履歴データ!$G$900+履歴データ!$J$900)/2)*100)</f>
        <v>5.6500000000000217</v>
      </c>
      <c r="D900" s="28">
        <f>IF(履歴データ!$A$900="","",(履歴データ!$D$900-履歴データ!$H$900)*100)</f>
        <v>188.90000000000003</v>
      </c>
      <c r="E900" s="28">
        <f>IF(履歴データ!$A$900="","",(履歴データ!$D$900-履歴データ!$C$900)*100)</f>
        <v>29.000000000000004</v>
      </c>
      <c r="F900" s="28">
        <f>IF(履歴データ!$A$900="","",(履歴データ!$R$900-履歴データ!$D$900)*100)</f>
        <v>-352.03000000000009</v>
      </c>
      <c r="G900" s="28">
        <f>IF(履歴データ!$A$900="","",(履歴データ!$S$900-履歴データ!$R$900)*100)</f>
        <v>153.54882141113276</v>
      </c>
      <c r="H900" s="29">
        <f>IF(履歴データ!$A$900="","",履歴データ!$O$900)</f>
        <v>158.40899658203125</v>
      </c>
      <c r="I900" s="29">
        <f>IF(履歴データ!$A$900="","",履歴データ!$Q$900)</f>
        <v>108.5</v>
      </c>
      <c r="J900" s="29">
        <f>IF(履歴データ!$A$900="","",履歴データ!$D$900)</f>
        <v>4.6900000000000004</v>
      </c>
      <c r="K900" s="28">
        <f>IF(OR(履歴データ!$A$900="",履歴データ!$A$899=""),"",B900-B899)</f>
        <v>8.8817841970012523E-14</v>
      </c>
      <c r="L900" s="28">
        <f>IF(OR(履歴データ!$A$900="",履歴データ!$A$899=""),"",C900-C899)</f>
        <v>0</v>
      </c>
      <c r="M900" s="28">
        <f>IF(OR(履歴データ!$A$900="",履歴データ!$A$899=""),"",D900-D899)</f>
        <v>6.0000000000000568</v>
      </c>
      <c r="N900" s="28">
        <f>IF(OR(履歴データ!$A$900="",履歴データ!$A$899=""),"",E900-E899)</f>
        <v>-0.99999999999997868</v>
      </c>
      <c r="O900" s="28">
        <f>IF(OR(履歴データ!$A$900="",履歴データ!$A$899=""),"",F900-F899)</f>
        <v>-8.2200000000000841</v>
      </c>
      <c r="P900" s="28">
        <f>IF(OR(履歴データ!$A$900="",履歴データ!$A$899=""),"",G900-G899)</f>
        <v>-0.23553576660151521</v>
      </c>
      <c r="Q900" s="29">
        <f>IF(OR(履歴データ!$A$900="",履歴データ!$A$899=""),"",H900-H899)</f>
        <v>0.808990478515625</v>
      </c>
      <c r="R900" s="29">
        <f>IF(OR(履歴データ!$A$900="",履歴データ!$A$899=""),"",I900-I899)</f>
        <v>-0.390625</v>
      </c>
      <c r="S900" s="28">
        <f>IF(OR(履歴データ!$A$900="",履歴データ!$A$899=""),"",(J900-J899)*100)</f>
        <v>6.0000000000000497</v>
      </c>
      <c r="T900" s="11">
        <f>IF(OR(履歴データ!$A$900="",履歴データ!$A$899=""),"",-80000*K900)</f>
        <v>-7.1054273576010019E-9</v>
      </c>
      <c r="U900" s="11">
        <f>IF(OR(履歴データ!$A$900="",履歴データ!$A$899=""),"",60000*L900)</f>
        <v>0</v>
      </c>
      <c r="V900" s="11">
        <f>IF(OR(履歴データ!$A$900="",履歴データ!$A$899=""),"",-50000*M900)</f>
        <v>-300000.00000000285</v>
      </c>
      <c r="W900" s="11">
        <f>IF(OR(履歴データ!$A$900="",履歴データ!$A$899=""),"",-40000*N900)</f>
        <v>39999.999999999149</v>
      </c>
      <c r="X900" s="11">
        <f>IF(OR(履歴データ!$A$900="",履歴データ!$A$899=""),"",120*1000000*(-Q900/H899))</f>
        <v>-615982.57399883075</v>
      </c>
      <c r="Y900" s="11">
        <f>IF(OR(履歴データ!$A$900="",履歴データ!$A$899=""),"",40000*(-S900)+(-506.3)*R900*1000)</f>
        <v>-42226.562500001979</v>
      </c>
      <c r="Z900" s="11">
        <f>IF(OR(履歴データ!$A$900="",履歴データ!$A$899=""),"",-40000*O900)</f>
        <v>328800.00000000338</v>
      </c>
      <c r="AA900" s="11">
        <f>IF(OR(履歴データ!$A$900="",履歴データ!$A$899=""),"",-40000*P900)</f>
        <v>9421.4306640606083</v>
      </c>
      <c r="AB900" s="11">
        <f>IF(履歴データ!$A$900="","",123.3)</f>
        <v>123.3</v>
      </c>
      <c r="AC900">
        <f>IF(履歴データ!$A$900="","",SUM(T900:AA900))</f>
        <v>-579987.70583477954</v>
      </c>
      <c r="AD900" s="29">
        <f>IF(履歴データ!$A$900="","",AC900/1000000)</f>
        <v>-0.57998770583477954</v>
      </c>
      <c r="AE900" s="29">
        <f>IF(履歴データ!$A$900="",AE899,AE899+AC900/1000000)</f>
        <v>71.948306243544181</v>
      </c>
      <c r="AF900" s="12">
        <f>IF(OR(履歴データ!$A$900="",AE899=0),"",(AE900-AE899)/AE899)</f>
        <v>-7.9967096184501932E-3</v>
      </c>
      <c r="AG900" s="29">
        <f t="shared" si="44"/>
        <v>102.17217746631495</v>
      </c>
      <c r="AH900" s="12">
        <f>IF(OR(履歴データ!$A$900="",AG900=0),"",AE900/AG900-1)</f>
        <v>-0.29581312615888267</v>
      </c>
      <c r="AJ900" s="28">
        <f t="shared" ca="1" si="42"/>
        <v>3.4784494830064521</v>
      </c>
      <c r="AK900" s="28">
        <f t="shared" ca="1" si="43"/>
        <v>-8.6213066258635997</v>
      </c>
    </row>
    <row r="901" spans="1:37">
      <c r="A901" s="10">
        <f>IF(履歴データ!$A$901="","",履歴データ!$A$901)</f>
        <v>46241</v>
      </c>
      <c r="B901" s="28">
        <f>IF(履歴データ!$A$901="","",(履歴データ!$D$901-(履歴データ!$B$901+履歴データ!$F$901)/2)*100)</f>
        <v>-4.0000000000000036</v>
      </c>
      <c r="C901" s="28">
        <f>IF(履歴データ!$A$901="","",(履歴データ!$H$901-(履歴データ!$G$901+履歴データ!$J$901)/2)*100)</f>
        <v>5.6500000000000217</v>
      </c>
      <c r="D901" s="28">
        <f>IF(履歴データ!$A$901="","",(履歴データ!$D$901-履歴データ!$H$901)*100)</f>
        <v>184.90000000000003</v>
      </c>
      <c r="E901" s="28">
        <f>IF(履歴データ!$A$901="","",(履歴データ!$D$901-履歴データ!$C$901)*100)</f>
        <v>30.000000000000071</v>
      </c>
      <c r="F901" s="28">
        <f>IF(履歴データ!$A$901="","",(履歴データ!$R$901-履歴データ!$D$901)*100)</f>
        <v>-344.82000000000005</v>
      </c>
      <c r="G901" s="28">
        <f>IF(履歴データ!$A$901="","",(履歴データ!$S$901-履歴データ!$R$901)*100)</f>
        <v>151.21582141113277</v>
      </c>
      <c r="H901" s="29">
        <f>IF(履歴データ!$A$901="","",履歴データ!$O$901)</f>
        <v>158.40899658203125</v>
      </c>
      <c r="I901" s="29">
        <f>IF(履歴データ!$A$901="","",履歴データ!$Q$901)</f>
        <v>108.640625</v>
      </c>
      <c r="J901" s="29">
        <f>IF(履歴データ!$A$901="","",履歴データ!$D$901)</f>
        <v>4.6500000000000004</v>
      </c>
      <c r="K901" s="28">
        <f>IF(OR(履歴データ!$A$901="",履歴データ!$A$900=""),"",B901-B900)</f>
        <v>0.49999999999990052</v>
      </c>
      <c r="L901" s="28">
        <f>IF(OR(履歴データ!$A$901="",履歴データ!$A$900=""),"",C901-C900)</f>
        <v>0</v>
      </c>
      <c r="M901" s="28">
        <f>IF(OR(履歴データ!$A$901="",履歴データ!$A$900=""),"",D901-D900)</f>
        <v>-4</v>
      </c>
      <c r="N901" s="28">
        <f>IF(OR(履歴データ!$A$901="",履歴データ!$A$900=""),"",E901-E900)</f>
        <v>1.0000000000000675</v>
      </c>
      <c r="O901" s="28">
        <f>IF(OR(履歴データ!$A$901="",履歴データ!$A$900=""),"",F901-F900)</f>
        <v>7.2100000000000364</v>
      </c>
      <c r="P901" s="28">
        <f>IF(OR(履歴データ!$A$901="",履歴データ!$A$900=""),"",G901-G900)</f>
        <v>-2.3329999999999984</v>
      </c>
      <c r="Q901" s="29">
        <f>IF(OR(履歴データ!$A$901="",履歴データ!$A$900=""),"",H901-H900)</f>
        <v>0</v>
      </c>
      <c r="R901" s="29">
        <f>IF(OR(履歴データ!$A$901="",履歴データ!$A$900=""),"",I901-I900)</f>
        <v>0.140625</v>
      </c>
      <c r="S901" s="28">
        <f>IF(OR(履歴データ!$A$901="",履歴データ!$A$900=""),"",(J901-J900)*100)</f>
        <v>-4.0000000000000036</v>
      </c>
      <c r="T901" s="11">
        <f>IF(OR(履歴データ!$A$901="",履歴データ!$A$900=""),"",-80000*K901)</f>
        <v>-39999.99999999204</v>
      </c>
      <c r="U901" s="11">
        <f>IF(OR(履歴データ!$A$901="",履歴データ!$A$900=""),"",60000*L901)</f>
        <v>0</v>
      </c>
      <c r="V901" s="11">
        <f>IF(OR(履歴データ!$A$901="",履歴データ!$A$900=""),"",-50000*M901)</f>
        <v>200000</v>
      </c>
      <c r="W901" s="11">
        <f>IF(OR(履歴データ!$A$901="",履歴データ!$A$900=""),"",-40000*N901)</f>
        <v>-40000.000000002699</v>
      </c>
      <c r="X901" s="11">
        <f>IF(OR(履歴データ!$A$901="",履歴データ!$A$900=""),"",120*1000000*(-Q901/H900))</f>
        <v>0</v>
      </c>
      <c r="Y901" s="11">
        <f>IF(OR(履歴データ!$A$901="",履歴データ!$A$900=""),"",40000*(-S901)+(-506.3)*R901*1000)</f>
        <v>88801.562500000146</v>
      </c>
      <c r="Z901" s="11">
        <f>IF(OR(履歴データ!$A$901="",履歴データ!$A$900=""),"",-40000*O901)</f>
        <v>-288400.00000000146</v>
      </c>
      <c r="AA901" s="11">
        <f>IF(OR(履歴データ!$A$901="",履歴データ!$A$900=""),"",-40000*P901)</f>
        <v>93319.999999999942</v>
      </c>
      <c r="AB901" s="11">
        <f>IF(履歴データ!$A$901="","",123.3)</f>
        <v>123.3</v>
      </c>
      <c r="AC901">
        <f>IF(履歴データ!$A$901="","",SUM(T901:AA901))</f>
        <v>13721.5625000039</v>
      </c>
      <c r="AD901" s="29">
        <f>IF(履歴データ!$A$901="","",AC901/1000000)</f>
        <v>1.3721562500003901E-2</v>
      </c>
      <c r="AE901" s="29">
        <f>IF(履歴データ!$A$901="",AE900,AE900+AC901/1000000)</f>
        <v>71.96202780604419</v>
      </c>
      <c r="AF901" s="12">
        <f>IF(OR(履歴データ!$A$901="",AE900=0),"",(AE901-AE900)/AE900)</f>
        <v>1.9071418378581735E-4</v>
      </c>
      <c r="AG901" s="29">
        <f t="shared" si="44"/>
        <v>102.17217746631495</v>
      </c>
      <c r="AH901" s="12">
        <f>IF(OR(履歴データ!$A$901="",AG901=0),"",AE901/AG901-1)</f>
        <v>-0.29567882773400533</v>
      </c>
      <c r="AJ901" s="28">
        <f t="shared" ca="1" si="42"/>
        <v>3.4769215020322024</v>
      </c>
      <c r="AK901" s="28">
        <f t="shared" ca="1" si="43"/>
        <v>-8.6277151528258571</v>
      </c>
    </row>
    <row r="902" spans="1:37">
      <c r="A902" s="10">
        <f>IF(履歴データ!$A$902="","",履歴データ!$A$902)</f>
        <v>46244</v>
      </c>
      <c r="B902" s="28">
        <f>IF(履歴データ!$A$902="","",(履歴データ!$D$902-(履歴データ!$B$902+履歴データ!$F$902)/2)*100)</f>
        <v>-3.0000000000000249</v>
      </c>
      <c r="C902" s="28">
        <f>IF(履歴データ!$A$902="","",(履歴データ!$H$902-(履歴データ!$G$902+履歴データ!$J$902)/2)*100)</f>
        <v>5.6500000000000217</v>
      </c>
      <c r="D902" s="28">
        <f>IF(履歴データ!$A$902="","",(履歴データ!$D$902-履歴データ!$H$902)*100)</f>
        <v>191.89999999999995</v>
      </c>
      <c r="E902" s="28">
        <f>IF(履歴データ!$A$902="","",(履歴データ!$D$902-履歴データ!$C$902)*100)</f>
        <v>30.999999999999961</v>
      </c>
      <c r="F902" s="28">
        <f>IF(履歴データ!$A$902="","",(履歴データ!$R$902-履歴データ!$D$902)*100)</f>
        <v>-351.85999999999996</v>
      </c>
      <c r="G902" s="28">
        <f>IF(履歴データ!$A$902="","",(履歴データ!$S$902-履歴データ!$R$902)*100)</f>
        <v>152.1328214111326</v>
      </c>
      <c r="H902" s="29">
        <f>IF(履歴データ!$A$902="","",履歴データ!$O$902)</f>
        <v>159.156005859375</v>
      </c>
      <c r="I902" s="29">
        <f>IF(履歴データ!$A$902="","",履歴データ!$Q$902)</f>
        <v>108.375</v>
      </c>
      <c r="J902" s="29">
        <f>IF(履歴データ!$A$902="","",履歴データ!$D$902)</f>
        <v>4.72</v>
      </c>
      <c r="K902" s="28">
        <f>IF(OR(履歴データ!$A$902="",履歴データ!$A$901=""),"",B902-B901)</f>
        <v>0.99999999999997868</v>
      </c>
      <c r="L902" s="28">
        <f>IF(OR(履歴データ!$A$902="",履歴データ!$A$901=""),"",C902-C901)</f>
        <v>0</v>
      </c>
      <c r="M902" s="28">
        <f>IF(OR(履歴データ!$A$902="",履歴データ!$A$901=""),"",D902-D901)</f>
        <v>6.9999999999999147</v>
      </c>
      <c r="N902" s="28">
        <f>IF(OR(履歴データ!$A$902="",履歴データ!$A$901=""),"",E902-E901)</f>
        <v>0.99999999999988987</v>
      </c>
      <c r="O902" s="28">
        <f>IF(OR(履歴データ!$A$902="",履歴データ!$A$901=""),"",F902-F901)</f>
        <v>-7.0399999999999068</v>
      </c>
      <c r="P902" s="28">
        <f>IF(OR(履歴データ!$A$902="",履歴データ!$A$901=""),"",G902-G901)</f>
        <v>0.91699999999983106</v>
      </c>
      <c r="Q902" s="29">
        <f>IF(OR(履歴データ!$A$902="",履歴データ!$A$901=""),"",H902-H901)</f>
        <v>0.74700927734375</v>
      </c>
      <c r="R902" s="29">
        <f>IF(OR(履歴データ!$A$902="",履歴データ!$A$901=""),"",I902-I901)</f>
        <v>-0.265625</v>
      </c>
      <c r="S902" s="28">
        <f>IF(OR(履歴データ!$A$902="",履歴データ!$A$901=""),"",(J902-J901)*100)</f>
        <v>6.9999999999999396</v>
      </c>
      <c r="T902" s="11">
        <f>IF(OR(履歴データ!$A$902="",履歴データ!$A$901=""),"",-80000*K902)</f>
        <v>-79999.999999998297</v>
      </c>
      <c r="U902" s="11">
        <f>IF(OR(履歴データ!$A$902="",履歴データ!$A$901=""),"",60000*L902)</f>
        <v>0</v>
      </c>
      <c r="V902" s="11">
        <f>IF(OR(履歴データ!$A$902="",履歴データ!$A$901=""),"",-50000*M902)</f>
        <v>-349999.99999999575</v>
      </c>
      <c r="W902" s="11">
        <f>IF(OR(履歴データ!$A$902="",履歴データ!$A$901=""),"",-40000*N902)</f>
        <v>-39999.999999995598</v>
      </c>
      <c r="X902" s="11">
        <f>IF(OR(履歴データ!$A$902="",履歴データ!$A$901=""),"",120*1000000*(-Q902/H901))</f>
        <v>-565883.97891170171</v>
      </c>
      <c r="Y902" s="11">
        <f>IF(OR(履歴データ!$A$902="",履歴データ!$A$901=""),"",40000*(-S902)+(-506.3)*R902*1000)</f>
        <v>-145514.06249999756</v>
      </c>
      <c r="Z902" s="11">
        <f>IF(OR(履歴データ!$A$902="",履歴データ!$A$901=""),"",-40000*O902)</f>
        <v>281599.99999999627</v>
      </c>
      <c r="AA902" s="11">
        <f>IF(OR(履歴データ!$A$902="",履歴データ!$A$901=""),"",-40000*P902)</f>
        <v>-36679.999999993241</v>
      </c>
      <c r="AB902" s="11">
        <f>IF(履歴データ!$A$902="","",123.3)</f>
        <v>123.3</v>
      </c>
      <c r="AC902">
        <f>IF(履歴データ!$A$902="","",SUM(T902:AA902))</f>
        <v>-936478.04141168599</v>
      </c>
      <c r="AD902" s="29">
        <f>IF(履歴データ!$A$902="","",AC902/1000000)</f>
        <v>-0.936478041411686</v>
      </c>
      <c r="AE902" s="29">
        <f>IF(履歴データ!$A$902="",AE901,AE901+AC902/1000000)</f>
        <v>71.025549764632501</v>
      </c>
      <c r="AF902" s="12">
        <f>IF(OR(履歴データ!$A$902="",AE901=0),"",(AE902-AE901)/AE901)</f>
        <v>-1.3013502675824169E-2</v>
      </c>
      <c r="AG902" s="29">
        <f t="shared" si="44"/>
        <v>102.17217746631495</v>
      </c>
      <c r="AH902" s="12">
        <f>IF(OR(履歴データ!$A$902="",AG902=0),"",AE902/AG902-1)</f>
        <v>-0.30484451319392847</v>
      </c>
      <c r="AJ902" s="28">
        <f t="shared" ca="1" si="42"/>
        <v>3.4769215020322037</v>
      </c>
      <c r="AK902" s="28">
        <f t="shared" ca="1" si="43"/>
        <v>-8.6277151528258589</v>
      </c>
    </row>
    <row r="903" spans="1:37">
      <c r="A903" s="10">
        <f>IF(履歴データ!$A$903="","",履歴データ!$A$903)</f>
        <v>46245</v>
      </c>
      <c r="B903" s="28">
        <f>IF(履歴データ!$A$903="","",(履歴データ!$D$903-(履歴データ!$B$903+履歴データ!$F$903)/2)*100)</f>
        <v>-3.0000000000000249</v>
      </c>
      <c r="C903" s="28">
        <f>IF(履歴データ!$A$903="","",(履歴データ!$H$903-(履歴データ!$G$903+履歴データ!$J$903)/2)*100)</f>
        <v>5.6500000000000217</v>
      </c>
      <c r="D903" s="28">
        <f>IF(履歴データ!$A$903="","",(履歴データ!$D$903-履歴データ!$H$903)*100)</f>
        <v>189.9</v>
      </c>
      <c r="E903" s="28">
        <f>IF(履歴データ!$A$903="","",(履歴データ!$D$903-履歴データ!$C$903)*100)</f>
        <v>31.00000000000005</v>
      </c>
      <c r="F903" s="28">
        <f>IF(履歴データ!$A$903="","",(履歴データ!$R$903-履歴データ!$D$903)*100)</f>
        <v>-340.5</v>
      </c>
      <c r="G903" s="28">
        <f>IF(履歴データ!$A$903="","",(履歴データ!$S$903-履歴データ!$R$903)*100)</f>
        <v>142.77282141113261</v>
      </c>
      <c r="H903" s="29">
        <f>IF(履歴データ!$A$903="","",履歴データ!$O$903)</f>
        <v>159.26499938964844</v>
      </c>
      <c r="I903" s="29">
        <f>IF(履歴データ!$A$903="","",履歴データ!$Q$903)</f>
        <v>108.484375</v>
      </c>
      <c r="J903" s="29">
        <f>IF(履歴データ!$A$903="","",履歴データ!$D$903)</f>
        <v>4.7</v>
      </c>
      <c r="K903" s="28">
        <f>IF(OR(履歴データ!$A$903="",履歴データ!$A$902=""),"",B903-B902)</f>
        <v>0</v>
      </c>
      <c r="L903" s="28">
        <f>IF(OR(履歴データ!$A$903="",履歴データ!$A$902=""),"",C903-C902)</f>
        <v>0</v>
      </c>
      <c r="M903" s="28">
        <f>IF(OR(履歴データ!$A$903="",履歴データ!$A$902=""),"",D903-D902)</f>
        <v>-1.9999999999999432</v>
      </c>
      <c r="N903" s="28">
        <f>IF(OR(履歴データ!$A$903="",履歴データ!$A$902=""),"",E903-E902)</f>
        <v>8.8817841970012523E-14</v>
      </c>
      <c r="O903" s="28">
        <f>IF(OR(履歴データ!$A$903="",履歴データ!$A$902=""),"",F903-F902)</f>
        <v>11.359999999999957</v>
      </c>
      <c r="P903" s="28">
        <f>IF(OR(履歴データ!$A$903="",履歴データ!$A$902=""),"",G903-G902)</f>
        <v>-9.3599999999999852</v>
      </c>
      <c r="Q903" s="29">
        <f>IF(OR(履歴データ!$A$903="",履歴データ!$A$902=""),"",H903-H902)</f>
        <v>0.1089935302734375</v>
      </c>
      <c r="R903" s="29">
        <f>IF(OR(履歴データ!$A$903="",履歴データ!$A$902=""),"",I903-I902)</f>
        <v>0.109375</v>
      </c>
      <c r="S903" s="28">
        <f>IF(OR(履歴データ!$A$903="",履歴データ!$A$902=""),"",(J903-J902)*100)</f>
        <v>-1.9999999999999574</v>
      </c>
      <c r="T903" s="11">
        <f>IF(OR(履歴データ!$A$903="",履歴データ!$A$902=""),"",-80000*K903)</f>
        <v>0</v>
      </c>
      <c r="U903" s="11">
        <f>IF(OR(履歴データ!$A$903="",履歴データ!$A$902=""),"",60000*L903)</f>
        <v>0</v>
      </c>
      <c r="V903" s="11">
        <f>IF(OR(履歴データ!$A$903="",履歴データ!$A$902=""),"",-50000*M903)</f>
        <v>99999.999999997162</v>
      </c>
      <c r="W903" s="11">
        <f>IF(OR(履歴データ!$A$903="",履歴データ!$A$902=""),"",-40000*N903)</f>
        <v>-3.5527136788005009E-9</v>
      </c>
      <c r="X903" s="11">
        <f>IF(OR(履歴データ!$A$903="",履歴データ!$A$902=""),"",120*1000000*(-Q903/H902))</f>
        <v>-82178.637005812212</v>
      </c>
      <c r="Y903" s="11">
        <f>IF(OR(履歴データ!$A$903="",履歴データ!$A$902=""),"",40000*(-S903)+(-506.3)*R903*1000)</f>
        <v>24623.437499998297</v>
      </c>
      <c r="Z903" s="11">
        <f>IF(OR(履歴データ!$A$903="",履歴データ!$A$902=""),"",-40000*O903)</f>
        <v>-454399.99999999825</v>
      </c>
      <c r="AA903" s="11">
        <f>IF(OR(履歴データ!$A$903="",履歴データ!$A$902=""),"",-40000*P903)</f>
        <v>374399.99999999942</v>
      </c>
      <c r="AB903" s="11">
        <f>IF(履歴データ!$A$903="","",123.3)</f>
        <v>123.3</v>
      </c>
      <c r="AC903">
        <f>IF(履歴データ!$A$903="","",SUM(T903:AA903))</f>
        <v>-37555.199505819124</v>
      </c>
      <c r="AD903" s="29">
        <f>IF(履歴データ!$A$903="","",AC903/1000000)</f>
        <v>-3.7555199505819127E-2</v>
      </c>
      <c r="AE903" s="29">
        <f>IF(履歴データ!$A$903="",AE902,AE902+AC903/1000000)</f>
        <v>70.987994565126684</v>
      </c>
      <c r="AF903" s="12">
        <f>IF(OR(履歴データ!$A$903="",AE902=0),"",(AE903-AE902)/AE902)</f>
        <v>-5.2875619590794375E-4</v>
      </c>
      <c r="AG903" s="29">
        <f t="shared" si="44"/>
        <v>102.17217746631495</v>
      </c>
      <c r="AH903" s="12">
        <f>IF(OR(履歴データ!$A$903="",AG903=0),"",AE903/AG903-1)</f>
        <v>-0.30521208096469654</v>
      </c>
      <c r="AJ903" s="28">
        <f t="shared" ca="1" si="42"/>
        <v>3.4780161145665711</v>
      </c>
      <c r="AK903" s="28">
        <f t="shared" ca="1" si="43"/>
        <v>-8.6248415113919723</v>
      </c>
    </row>
    <row r="904" spans="1:37">
      <c r="A904" s="10">
        <f>IF(履歴データ!$A$904="","",履歴データ!$A$904)</f>
        <v>46246</v>
      </c>
      <c r="B904" s="28">
        <f>IF(履歴データ!$A$904="","",(履歴データ!$D$904-(履歴データ!$B$904+履歴データ!$F$904)/2)*100)</f>
        <v>-4.0000000000000924</v>
      </c>
      <c r="C904" s="28">
        <f>IF(履歴データ!$A$904="","",(履歴データ!$H$904-(履歴データ!$G$904+履歴データ!$J$904)/2)*100)</f>
        <v>5.6500000000000217</v>
      </c>
      <c r="D904" s="28">
        <f>IF(履歴データ!$A$904="","",(履歴データ!$D$904-履歴データ!$H$904)*100)</f>
        <v>187.89999999999995</v>
      </c>
      <c r="E904" s="28">
        <f>IF(履歴データ!$A$904="","",(履歴データ!$D$904-履歴データ!$C$904)*100)</f>
        <v>29.999999999999982</v>
      </c>
      <c r="F904" s="28">
        <f>IF(履歴データ!$A$904="","",(履歴データ!$R$904-履歴データ!$D$904)*100)</f>
        <v>-340.21</v>
      </c>
      <c r="G904" s="28">
        <f>IF(履歴データ!$A$904="","",(履歴データ!$S$904-履歴データ!$R$904)*100)</f>
        <v>147.63999999999987</v>
      </c>
      <c r="H904" s="29">
        <f>IF(履歴データ!$A$904="","",履歴データ!$O$904)</f>
        <v>159.3280029296875</v>
      </c>
      <c r="I904" s="29">
        <f>IF(履歴データ!$A$904="","",履歴データ!$Q$904)</f>
        <v>108.546875</v>
      </c>
      <c r="J904" s="29">
        <f>IF(履歴データ!$A$904="","",履歴データ!$D$904)</f>
        <v>4.68</v>
      </c>
      <c r="K904" s="28">
        <f>IF(OR(履歴データ!$A$904="",履歴データ!$A$903=""),"",B904-B903)</f>
        <v>-1.0000000000000675</v>
      </c>
      <c r="L904" s="28">
        <f>IF(OR(履歴データ!$A$904="",履歴データ!$A$903=""),"",C904-C903)</f>
        <v>0</v>
      </c>
      <c r="M904" s="28">
        <f>IF(OR(履歴データ!$A$904="",履歴データ!$A$903=""),"",D904-D903)</f>
        <v>-2.0000000000000568</v>
      </c>
      <c r="N904" s="28">
        <f>IF(OR(履歴データ!$A$904="",履歴データ!$A$903=""),"",E904-E903)</f>
        <v>-1.0000000000000675</v>
      </c>
      <c r="O904" s="28">
        <f>IF(OR(履歴データ!$A$904="",履歴データ!$A$903=""),"",F904-F903)</f>
        <v>0.29000000000002046</v>
      </c>
      <c r="P904" s="28">
        <f>IF(OR(履歴データ!$A$904="",履歴データ!$A$903=""),"",G904-G903)</f>
        <v>4.8671785888672616</v>
      </c>
      <c r="Q904" s="29">
        <f>IF(OR(履歴データ!$A$904="",履歴データ!$A$903=""),"",H904-H903)</f>
        <v>6.30035400390625E-2</v>
      </c>
      <c r="R904" s="29">
        <f>IF(OR(履歴データ!$A$904="",履歴データ!$A$903=""),"",I904-I903)</f>
        <v>6.25E-2</v>
      </c>
      <c r="S904" s="28">
        <f>IF(OR(履歴データ!$A$904="",履歴データ!$A$903=""),"",(J904-J903)*100)</f>
        <v>-2.0000000000000462</v>
      </c>
      <c r="T904" s="11">
        <f>IF(OR(履歴データ!$A$904="",履歴データ!$A$903=""),"",-80000*K904)</f>
        <v>80000.000000005399</v>
      </c>
      <c r="U904" s="11">
        <f>IF(OR(履歴データ!$A$904="",履歴データ!$A$903=""),"",60000*L904)</f>
        <v>0</v>
      </c>
      <c r="V904" s="11">
        <f>IF(OR(履歴データ!$A$904="",履歴データ!$A$903=""),"",-50000*M904)</f>
        <v>100000.00000000284</v>
      </c>
      <c r="W904" s="11">
        <f>IF(OR(履歴データ!$A$904="",履歴データ!$A$903=""),"",-40000*N904)</f>
        <v>40000.000000002699</v>
      </c>
      <c r="X904" s="11">
        <f>IF(OR(履歴データ!$A$904="",履歴データ!$A$903=""),"",120*1000000*(-Q904/H903))</f>
        <v>-47470.723848060341</v>
      </c>
      <c r="Y904" s="11">
        <f>IF(OR(履歴データ!$A$904="",履歴データ!$A$903=""),"",40000*(-S904)+(-506.3)*R904*1000)</f>
        <v>48356.250000001848</v>
      </c>
      <c r="Z904" s="11">
        <f>IF(OR(履歴データ!$A$904="",履歴データ!$A$903=""),"",-40000*O904)</f>
        <v>-11600.000000000819</v>
      </c>
      <c r="AA904" s="11">
        <f>IF(OR(履歴データ!$A$904="",履歴データ!$A$903=""),"",-40000*P904)</f>
        <v>-194687.14355469047</v>
      </c>
      <c r="AB904" s="11">
        <f>IF(履歴データ!$A$904="","",123.3)</f>
        <v>123.3</v>
      </c>
      <c r="AC904">
        <f>IF(履歴データ!$A$904="","",SUM(T904:AA904))</f>
        <v>14598.382597261167</v>
      </c>
      <c r="AD904" s="29">
        <f>IF(履歴データ!$A$904="","",AC904/1000000)</f>
        <v>1.4598382597261166E-2</v>
      </c>
      <c r="AE904" s="29">
        <f>IF(履歴データ!$A$904="",AE903,AE903+AC904/1000000)</f>
        <v>71.00259294772394</v>
      </c>
      <c r="AF904" s="12">
        <f>IF(OR(履歴データ!$A$904="",AE903=0),"",(AE904-AE903)/AE903)</f>
        <v>2.0564579527406431E-4</v>
      </c>
      <c r="AG904" s="29">
        <f t="shared" si="44"/>
        <v>102.17217746631495</v>
      </c>
      <c r="AH904" s="12">
        <f>IF(OR(履歴データ!$A$904="",AG904=0),"",AE904/AG904-1)</f>
        <v>-0.30506920075053978</v>
      </c>
      <c r="AJ904" s="28">
        <f t="shared" ca="1" si="42"/>
        <v>3.477579736925497</v>
      </c>
      <c r="AK904" s="28">
        <f t="shared" ca="1" si="43"/>
        <v>-8.6283733877191526</v>
      </c>
    </row>
    <row r="905" spans="1:37">
      <c r="A905" s="10">
        <f>IF(履歴データ!$A$905="","",履歴データ!$A$905)</f>
        <v>46247</v>
      </c>
      <c r="B905" s="28">
        <f>IF(履歴データ!$A$905="","",(履歴データ!$D$905-(履歴データ!$B$905+履歴データ!$F$905)/2)*100)</f>
        <v>-4.9999999999999822</v>
      </c>
      <c r="C905" s="28">
        <f>IF(履歴データ!$A$905="","",(履歴データ!$H$905-(履歴データ!$G$905+履歴データ!$J$905)/2)*100)</f>
        <v>5.6500000000000217</v>
      </c>
      <c r="D905" s="28">
        <f>IF(履歴データ!$A$905="","",(履歴データ!$D$905-履歴データ!$H$905)*100)</f>
        <v>182.89999999999998</v>
      </c>
      <c r="E905" s="28">
        <f>IF(履歴データ!$A$905="","",(履歴データ!$D$905-履歴データ!$C$905)*100)</f>
        <v>30.999999999999961</v>
      </c>
      <c r="F905" s="28">
        <f>IF(履歴データ!$A$905="","",(履歴データ!$R$905-履歴データ!$D$905)*100)</f>
        <v>-335.56</v>
      </c>
      <c r="G905" s="28">
        <f>IF(履歴データ!$A$905="","",(履歴データ!$S$905-履歴データ!$R$905)*100)</f>
        <v>150.97182141113274</v>
      </c>
      <c r="H905" s="29">
        <f>IF(履歴データ!$A$905="","",履歴データ!$O$905)</f>
        <v>159.42599487304688</v>
      </c>
      <c r="I905" s="29">
        <f>IF(履歴データ!$A$905="","",履歴データ!$Q$905)</f>
        <v>108.921875</v>
      </c>
      <c r="J905" s="29">
        <f>IF(履歴データ!$A$905="","",履歴データ!$D$905)</f>
        <v>4.63</v>
      </c>
      <c r="K905" s="28">
        <f>IF(OR(履歴データ!$A$905="",履歴データ!$A$904=""),"",B905-B904)</f>
        <v>-0.99999999999988987</v>
      </c>
      <c r="L905" s="28">
        <f>IF(OR(履歴データ!$A$905="",履歴データ!$A$904=""),"",C905-C904)</f>
        <v>0</v>
      </c>
      <c r="M905" s="28">
        <f>IF(OR(履歴データ!$A$905="",履歴データ!$A$904=""),"",D905-D904)</f>
        <v>-4.9999999999999716</v>
      </c>
      <c r="N905" s="28">
        <f>IF(OR(履歴データ!$A$905="",履歴データ!$A$904=""),"",E905-E904)</f>
        <v>0.99999999999997868</v>
      </c>
      <c r="O905" s="28">
        <f>IF(OR(履歴データ!$A$905="",履歴データ!$A$904=""),"",F905-F904)</f>
        <v>4.6499999999999773</v>
      </c>
      <c r="P905" s="28">
        <f>IF(OR(履歴データ!$A$905="",履歴データ!$A$904=""),"",G905-G904)</f>
        <v>3.3318214111328643</v>
      </c>
      <c r="Q905" s="29">
        <f>IF(OR(履歴データ!$A$905="",履歴データ!$A$904=""),"",H905-H904)</f>
        <v>9.7991943359375E-2</v>
      </c>
      <c r="R905" s="29">
        <f>IF(OR(履歴データ!$A$905="",履歴データ!$A$904=""),"",I905-I904)</f>
        <v>0.375</v>
      </c>
      <c r="S905" s="28">
        <f>IF(OR(履歴データ!$A$905="",履歴データ!$A$904=""),"",(J905-J904)*100)</f>
        <v>-4.9999999999999822</v>
      </c>
      <c r="T905" s="11">
        <f>IF(OR(履歴データ!$A$905="",履歴データ!$A$904=""),"",-80000*K905)</f>
        <v>79999.999999991196</v>
      </c>
      <c r="U905" s="11">
        <f>IF(OR(履歴データ!$A$905="",履歴データ!$A$904=""),"",60000*L905)</f>
        <v>0</v>
      </c>
      <c r="V905" s="11">
        <f>IF(OR(履歴データ!$A$905="",履歴データ!$A$904=""),"",-50000*M905)</f>
        <v>249999.99999999857</v>
      </c>
      <c r="W905" s="11">
        <f>IF(OR(履歴データ!$A$905="",履歴データ!$A$904=""),"",-40000*N905)</f>
        <v>-39999.999999999149</v>
      </c>
      <c r="X905" s="11">
        <f>IF(OR(履歴データ!$A$905="",履歴データ!$A$904=""),"",120*1000000*(-Q905/H904))</f>
        <v>-73803.932685419641</v>
      </c>
      <c r="Y905" s="11">
        <f>IF(OR(履歴データ!$A$905="",履歴データ!$A$904=""),"",40000*(-S905)+(-506.3)*R905*1000)</f>
        <v>10137.499999999302</v>
      </c>
      <c r="Z905" s="11">
        <f>IF(OR(履歴データ!$A$905="",履歴データ!$A$904=""),"",-40000*O905)</f>
        <v>-185999.9999999991</v>
      </c>
      <c r="AA905" s="11">
        <f>IF(OR(履歴データ!$A$905="",履歴データ!$A$904=""),"",-40000*P905)</f>
        <v>-133272.85644531457</v>
      </c>
      <c r="AB905" s="11">
        <f>IF(履歴データ!$A$905="","",123.3)</f>
        <v>123.3</v>
      </c>
      <c r="AC905">
        <f>IF(履歴データ!$A$905="","",SUM(T905:AA905))</f>
        <v>-92939.28913074336</v>
      </c>
      <c r="AD905" s="29">
        <f>IF(履歴データ!$A$905="","",AC905/1000000)</f>
        <v>-9.2939289130743355E-2</v>
      </c>
      <c r="AE905" s="29">
        <f>IF(履歴データ!$A$905="",AE904,AE904+AC905/1000000)</f>
        <v>70.9096536585932</v>
      </c>
      <c r="AF905" s="12">
        <f>IF(OR(履歴データ!$A$905="",AE904=0),"",(AE905-AE904)/AE904)</f>
        <v>-1.3089562686698949E-3</v>
      </c>
      <c r="AG905" s="29">
        <f t="shared" si="44"/>
        <v>102.17217746631495</v>
      </c>
      <c r="AH905" s="12">
        <f>IF(OR(履歴データ!$A$905="",AG905=0),"",AE905/AG905-1)</f>
        <v>-0.30597883477650911</v>
      </c>
      <c r="AJ905" s="28">
        <f t="shared" ca="1" si="42"/>
        <v>3.4771190974129667</v>
      </c>
      <c r="AK905" s="28">
        <f t="shared" ca="1" si="43"/>
        <v>-8.6437857640796381</v>
      </c>
    </row>
    <row r="906" spans="1:37">
      <c r="A906" s="10">
        <f>IF(履歴データ!$A$906="","",履歴データ!$A$906)</f>
        <v>46248</v>
      </c>
      <c r="B906" s="28">
        <f>IF(履歴データ!$A$906="","",(履歴データ!$D$906-(履歴データ!$B$906+履歴データ!$F$906)/2)*100)</f>
        <v>-3.0000000000000249</v>
      </c>
      <c r="C906" s="28">
        <f>IF(履歴データ!$A$906="","",(履歴データ!$H$906-(履歴データ!$G$906+履歴データ!$J$906)/2)*100)</f>
        <v>5.6500000000000217</v>
      </c>
      <c r="D906" s="28">
        <f>IF(履歴データ!$A$906="","",(履歴データ!$D$906-履歴データ!$H$906)*100)</f>
        <v>187.89999999999995</v>
      </c>
      <c r="E906" s="28">
        <f>IF(履歴データ!$A$906="","",(履歴データ!$D$906-履歴データ!$C$906)*100)</f>
        <v>31.99999999999994</v>
      </c>
      <c r="F906" s="28">
        <f>IF(履歴データ!$A$906="","",(履歴データ!$R$906-履歴データ!$D$906)*100)</f>
        <v>-343.49</v>
      </c>
      <c r="G906" s="28">
        <f>IF(履歴データ!$A$906="","",(履歴データ!$S$906-履歴データ!$R$906)*100)</f>
        <v>152.14782141113267</v>
      </c>
      <c r="H906" s="29">
        <f>IF(履歴データ!$A$906="","",履歴データ!$O$906)</f>
        <v>159.42599487304688</v>
      </c>
      <c r="I906" s="29">
        <f>IF(履歴データ!$A$906="","",履歴データ!$Q$906)</f>
        <v>108.578125</v>
      </c>
      <c r="J906" s="29">
        <f>IF(履歴データ!$A$906="","",履歴データ!$D$906)</f>
        <v>4.68</v>
      </c>
      <c r="K906" s="28">
        <f>IF(OR(履歴データ!$A$906="",履歴データ!$A$905=""),"",B906-B905)</f>
        <v>1.9999999999999574</v>
      </c>
      <c r="L906" s="28">
        <f>IF(OR(履歴データ!$A$906="",履歴データ!$A$905=""),"",C906-C905)</f>
        <v>0</v>
      </c>
      <c r="M906" s="28">
        <f>IF(OR(履歴データ!$A$906="",履歴データ!$A$905=""),"",D906-D905)</f>
        <v>4.9999999999999716</v>
      </c>
      <c r="N906" s="28">
        <f>IF(OR(履歴データ!$A$906="",履歴データ!$A$905=""),"",E906-E905)</f>
        <v>0.99999999999997868</v>
      </c>
      <c r="O906" s="28">
        <f>IF(OR(履歴データ!$A$906="",履歴データ!$A$905=""),"",F906-F905)</f>
        <v>-7.9300000000000068</v>
      </c>
      <c r="P906" s="28">
        <f>IF(OR(履歴データ!$A$906="",履歴データ!$A$905=""),"",G906-G905)</f>
        <v>1.1759999999999309</v>
      </c>
      <c r="Q906" s="29">
        <f>IF(OR(履歴データ!$A$906="",履歴データ!$A$905=""),"",H906-H905)</f>
        <v>0</v>
      </c>
      <c r="R906" s="29">
        <f>IF(OR(履歴データ!$A$906="",履歴データ!$A$905=""),"",I906-I905)</f>
        <v>-0.34375</v>
      </c>
      <c r="S906" s="28">
        <f>IF(OR(履歴データ!$A$906="",履歴データ!$A$905=""),"",(J906-J905)*100)</f>
        <v>4.9999999999999822</v>
      </c>
      <c r="T906" s="11">
        <f>IF(OR(履歴データ!$A$906="",履歴データ!$A$905=""),"",-80000*K906)</f>
        <v>-159999.99999999659</v>
      </c>
      <c r="U906" s="11">
        <f>IF(OR(履歴データ!$A$906="",履歴データ!$A$905=""),"",60000*L906)</f>
        <v>0</v>
      </c>
      <c r="V906" s="11">
        <f>IF(OR(履歴データ!$A$906="",履歴データ!$A$905=""),"",-50000*M906)</f>
        <v>-249999.99999999857</v>
      </c>
      <c r="W906" s="11">
        <f>IF(OR(履歴データ!$A$906="",履歴データ!$A$905=""),"",-40000*N906)</f>
        <v>-39999.999999999149</v>
      </c>
      <c r="X906" s="11">
        <f>IF(OR(履歴データ!$A$906="",履歴データ!$A$905=""),"",120*1000000*(-Q906/H905))</f>
        <v>0</v>
      </c>
      <c r="Y906" s="11">
        <f>IF(OR(履歴データ!$A$906="",履歴データ!$A$905=""),"",40000*(-S906)+(-506.3)*R906*1000)</f>
        <v>-25959.374999999302</v>
      </c>
      <c r="Z906" s="11">
        <f>IF(OR(履歴データ!$A$906="",履歴データ!$A$905=""),"",-40000*O906)</f>
        <v>317200.00000000029</v>
      </c>
      <c r="AA906" s="11">
        <f>IF(OR(履歴データ!$A$906="",履歴データ!$A$905=""),"",-40000*P906)</f>
        <v>-47039.999999997235</v>
      </c>
      <c r="AB906" s="11">
        <f>IF(履歴データ!$A$906="","",123.3)</f>
        <v>123.3</v>
      </c>
      <c r="AC906">
        <f>IF(履歴データ!$A$906="","",SUM(T906:AA906))</f>
        <v>-205799.37499999054</v>
      </c>
      <c r="AD906" s="29">
        <f>IF(履歴データ!$A$906="","",AC906/1000000)</f>
        <v>-0.20579937499999054</v>
      </c>
      <c r="AE906" s="29">
        <f>IF(履歴データ!$A$906="",AE905,AE905+AC906/1000000)</f>
        <v>70.703854283593216</v>
      </c>
      <c r="AF906" s="12">
        <f>IF(OR(履歴データ!$A$906="",AE905=0),"",(AE906-AE905)/AE905)</f>
        <v>-2.9022758451316163E-3</v>
      </c>
      <c r="AG906" s="29">
        <f t="shared" si="44"/>
        <v>102.17217746631495</v>
      </c>
      <c r="AH906" s="12">
        <f>IF(OR(履歴データ!$A$906="",AG906=0),"",AE906/AG906-1)</f>
        <v>-0.30799307564034739</v>
      </c>
      <c r="AJ906" s="28">
        <f t="shared" ca="1" si="42"/>
        <v>3.4660931257280057</v>
      </c>
      <c r="AK906" s="28">
        <f t="shared" ca="1" si="43"/>
        <v>-8.648632808267692</v>
      </c>
    </row>
    <row r="907" spans="1:37">
      <c r="A907" s="10">
        <f>IF(履歴データ!$A$907="","",履歴データ!$A$907)</f>
        <v>46251</v>
      </c>
      <c r="B907" s="28">
        <f>IF(履歴データ!$A$907="","",(履歴データ!$D$907-(履歴データ!$B$907+履歴データ!$F$907)/2)*100)</f>
        <v>-3.0000000000000249</v>
      </c>
      <c r="C907" s="28">
        <f>IF(履歴データ!$A$907="","",(履歴データ!$H$907-(履歴データ!$G$907+履歴データ!$J$907)/2)*100)</f>
        <v>5.6500000000000217</v>
      </c>
      <c r="D907" s="28">
        <f>IF(履歴データ!$A$907="","",(履歴データ!$D$907-履歴データ!$H$907)*100)</f>
        <v>191.89999999999995</v>
      </c>
      <c r="E907" s="28">
        <f>IF(履歴データ!$A$907="","",(履歴データ!$D$907-履歴データ!$C$907)*100)</f>
        <v>33.999999999999986</v>
      </c>
      <c r="F907" s="28">
        <f>IF(履歴データ!$A$907="","",(履歴データ!$R$907-履歴データ!$D$907)*100)</f>
        <v>-341.2</v>
      </c>
      <c r="G907" s="28">
        <f>IF(履歴データ!$A$907="","",(履歴データ!$S$907-履歴データ!$R$907)*100)</f>
        <v>153.22464282226542</v>
      </c>
      <c r="H907" s="29">
        <f>IF(履歴データ!$A$907="","",履歴データ!$O$907)</f>
        <v>159.33999633789063</v>
      </c>
      <c r="I907" s="29">
        <f>IF(履歴データ!$A$907="","",履歴データ!$Q$907)</f>
        <v>108.453125</v>
      </c>
      <c r="J907" s="29">
        <f>IF(履歴データ!$A$907="","",履歴データ!$D$907)</f>
        <v>4.72</v>
      </c>
      <c r="K907" s="28">
        <f>IF(OR(履歴データ!$A$907="",履歴データ!$A$906=""),"",B907-B906)</f>
        <v>0</v>
      </c>
      <c r="L907" s="28">
        <f>IF(OR(履歴データ!$A$907="",履歴データ!$A$906=""),"",C907-C906)</f>
        <v>0</v>
      </c>
      <c r="M907" s="28">
        <f>IF(OR(履歴データ!$A$907="",履歴データ!$A$906=""),"",D907-D906)</f>
        <v>4</v>
      </c>
      <c r="N907" s="28">
        <f>IF(OR(履歴データ!$A$907="",履歴データ!$A$906=""),"",E907-E906)</f>
        <v>2.0000000000000462</v>
      </c>
      <c r="O907" s="28">
        <f>IF(OR(履歴データ!$A$907="",履歴データ!$A$906=""),"",F907-F906)</f>
        <v>2.2900000000000205</v>
      </c>
      <c r="P907" s="28">
        <f>IF(OR(履歴データ!$A$907="",履歴データ!$A$906=""),"",G907-G906)</f>
        <v>1.0768214111327552</v>
      </c>
      <c r="Q907" s="29">
        <f>IF(OR(履歴データ!$A$907="",履歴データ!$A$906=""),"",H907-H906)</f>
        <v>-8.599853515625E-2</v>
      </c>
      <c r="R907" s="29">
        <f>IF(OR(履歴データ!$A$907="",履歴データ!$A$906=""),"",I907-I906)</f>
        <v>-0.125</v>
      </c>
      <c r="S907" s="28">
        <f>IF(OR(履歴データ!$A$907="",履歴データ!$A$906=""),"",(J907-J906)*100)</f>
        <v>4.0000000000000036</v>
      </c>
      <c r="T907" s="11">
        <f>IF(OR(履歴データ!$A$907="",履歴データ!$A$906=""),"",-80000*K907)</f>
        <v>0</v>
      </c>
      <c r="U907" s="11">
        <f>IF(OR(履歴データ!$A$907="",履歴データ!$A$906=""),"",60000*L907)</f>
        <v>0</v>
      </c>
      <c r="V907" s="11">
        <f>IF(OR(履歴データ!$A$907="",履歴データ!$A$906=""),"",-50000*M907)</f>
        <v>-200000</v>
      </c>
      <c r="W907" s="11">
        <f>IF(OR(履歴データ!$A$907="",履歴データ!$A$906=""),"",-40000*N907)</f>
        <v>-80000.000000001848</v>
      </c>
      <c r="X907" s="11">
        <f>IF(OR(履歴データ!$A$907="",履歴データ!$A$906=""),"",120*1000000*(-Q907/H906))</f>
        <v>64731.126357203029</v>
      </c>
      <c r="Y907" s="11">
        <f>IF(OR(履歴データ!$A$907="",履歴データ!$A$906=""),"",40000*(-S907)+(-506.3)*R907*1000)</f>
        <v>-96712.500000000146</v>
      </c>
      <c r="Z907" s="11">
        <f>IF(OR(履歴データ!$A$907="",履歴データ!$A$906=""),"",-40000*O907)</f>
        <v>-91600.000000000815</v>
      </c>
      <c r="AA907" s="11">
        <f>IF(OR(履歴データ!$A$907="",履歴データ!$A$906=""),"",-40000*P907)</f>
        <v>-43072.856445310208</v>
      </c>
      <c r="AB907" s="11">
        <f>IF(履歴データ!$A$907="","",123.3)</f>
        <v>123.3</v>
      </c>
      <c r="AC907">
        <f>IF(履歴データ!$A$907="","",SUM(T907:AA907))</f>
        <v>-446654.23008811002</v>
      </c>
      <c r="AD907" s="29">
        <f>IF(履歴データ!$A$907="","",AC907/1000000)</f>
        <v>-0.44665423008811</v>
      </c>
      <c r="AE907" s="29">
        <f>IF(履歴データ!$A$907="",AE906,AE906+AC907/1000000)</f>
        <v>70.257200053505102</v>
      </c>
      <c r="AF907" s="12">
        <f>IF(OR(履歴データ!$A$907="",AE906=0),"",(AE907-AE906)/AE906)</f>
        <v>-6.3172543366106174E-3</v>
      </c>
      <c r="AG907" s="29">
        <f t="shared" si="44"/>
        <v>102.17217746631495</v>
      </c>
      <c r="AH907" s="12">
        <f>IF(OR(履歴データ!$A$907="",AG907=0),"",AE907/AG907-1)</f>
        <v>-0.31236465938422298</v>
      </c>
      <c r="AJ907" s="28">
        <f t="shared" ca="1" si="42"/>
        <v>3.455023795883831</v>
      </c>
      <c r="AK907" s="28">
        <f t="shared" ca="1" si="43"/>
        <v>-8.6534364942965354</v>
      </c>
    </row>
    <row r="908" spans="1:37">
      <c r="A908" s="10">
        <f>IF(履歴データ!$A$908="","",履歴データ!$A$908)</f>
        <v>46252</v>
      </c>
      <c r="B908" s="28">
        <f>IF(履歴データ!$A$908="","",(履歴データ!$D$908-(履歴データ!$B$908+履歴データ!$F$908)/2)*100)</f>
        <v>-2.5000000000000355</v>
      </c>
      <c r="C908" s="28">
        <f>IF(履歴データ!$A$908="","",(履歴データ!$H$908-(履歴データ!$G$908+履歴データ!$J$908)/2)*100)</f>
        <v>5.6500000000000217</v>
      </c>
      <c r="D908" s="28">
        <f>IF(履歴データ!$A$908="","",(履歴データ!$D$908-履歴データ!$H$908)*100)</f>
        <v>190.89999999999998</v>
      </c>
      <c r="E908" s="28">
        <f>IF(履歴データ!$A$908="","",(履歴データ!$D$908-履歴データ!$C$908)*100)</f>
        <v>33.999999999999986</v>
      </c>
      <c r="F908" s="28">
        <f>IF(履歴データ!$A$908="","",(履歴データ!$R$908-履歴データ!$D$908)*100)</f>
        <v>-338.1</v>
      </c>
      <c r="G908" s="28">
        <f>IF(履歴データ!$A$908="","",(履歴データ!$S$908-履歴データ!$R$908)*100)</f>
        <v>150.5983571777343</v>
      </c>
      <c r="H908" s="29">
        <f>IF(履歴データ!$A$908="","",履歴データ!$O$908)</f>
        <v>159.55000305175781</v>
      </c>
      <c r="I908" s="29">
        <f>IF(履歴データ!$A$908="","",履歴データ!$Q$908)</f>
        <v>108.5625</v>
      </c>
      <c r="J908" s="29">
        <f>IF(履歴データ!$A$908="","",履歴データ!$D$908)</f>
        <v>4.71</v>
      </c>
      <c r="K908" s="28">
        <f>IF(OR(履歴データ!$A$908="",履歴データ!$A$907=""),"",B908-B907)</f>
        <v>0.49999999999998934</v>
      </c>
      <c r="L908" s="28">
        <f>IF(OR(履歴データ!$A$908="",履歴データ!$A$907=""),"",C908-C907)</f>
        <v>0</v>
      </c>
      <c r="M908" s="28">
        <f>IF(OR(履歴データ!$A$908="",履歴データ!$A$907=""),"",D908-D907)</f>
        <v>-0.99999999999997158</v>
      </c>
      <c r="N908" s="28">
        <f>IF(OR(履歴データ!$A$908="",履歴データ!$A$907=""),"",E908-E907)</f>
        <v>0</v>
      </c>
      <c r="O908" s="28">
        <f>IF(OR(履歴データ!$A$908="",履歴データ!$A$907=""),"",F908-F907)</f>
        <v>3.0999999999999659</v>
      </c>
      <c r="P908" s="28">
        <f>IF(OR(履歴データ!$A$908="",履歴データ!$A$907=""),"",G908-G907)</f>
        <v>-2.6262856445311229</v>
      </c>
      <c r="Q908" s="29">
        <f>IF(OR(履歴データ!$A$908="",履歴データ!$A$907=""),"",H908-H907)</f>
        <v>0.2100067138671875</v>
      </c>
      <c r="R908" s="29">
        <f>IF(OR(履歴データ!$A$908="",履歴データ!$A$907=""),"",I908-I907)</f>
        <v>0.109375</v>
      </c>
      <c r="S908" s="28">
        <f>IF(OR(履歴データ!$A$908="",履歴データ!$A$907=""),"",(J908-J907)*100)</f>
        <v>-0.99999999999997868</v>
      </c>
      <c r="T908" s="11">
        <f>IF(OR(履歴データ!$A$908="",履歴データ!$A$907=""),"",-80000*K908)</f>
        <v>-39999.999999999149</v>
      </c>
      <c r="U908" s="11">
        <f>IF(OR(履歴データ!$A$908="",履歴データ!$A$907=""),"",60000*L908)</f>
        <v>0</v>
      </c>
      <c r="V908" s="11">
        <f>IF(OR(履歴データ!$A$908="",履歴データ!$A$907=""),"",-50000*M908)</f>
        <v>49999.999999998581</v>
      </c>
      <c r="W908" s="11">
        <f>IF(OR(履歴データ!$A$908="",履歴データ!$A$907=""),"",-40000*N908)</f>
        <v>0</v>
      </c>
      <c r="X908" s="11">
        <f>IF(OR(履歴データ!$A$908="",履歴データ!$A$907=""),"",120*1000000*(-Q908/H907))</f>
        <v>-158157.43845394964</v>
      </c>
      <c r="Y908" s="11">
        <f>IF(OR(履歴データ!$A$908="",履歴データ!$A$907=""),"",40000*(-S908)+(-506.3)*R908*1000)</f>
        <v>-15376.562500000851</v>
      </c>
      <c r="Z908" s="11">
        <f>IF(OR(履歴データ!$A$908="",履歴データ!$A$907=""),"",-40000*O908)</f>
        <v>-123999.99999999863</v>
      </c>
      <c r="AA908" s="11">
        <f>IF(OR(履歴データ!$A$908="",履歴データ!$A$907=""),"",-40000*P908)</f>
        <v>105051.42578124492</v>
      </c>
      <c r="AB908" s="11">
        <f>IF(履歴データ!$A$908="","",123.3)</f>
        <v>123.3</v>
      </c>
      <c r="AC908">
        <f>IF(履歴データ!$A$908="","",SUM(T908:AA908))</f>
        <v>-182482.57517270476</v>
      </c>
      <c r="AD908" s="29">
        <f>IF(履歴データ!$A$908="","",AC908/1000000)</f>
        <v>-0.18248257517270475</v>
      </c>
      <c r="AE908" s="29">
        <f>IF(履歴データ!$A$908="",AE907,AE907+AC908/1000000)</f>
        <v>70.074717478332403</v>
      </c>
      <c r="AF908" s="12">
        <f>IF(OR(履歴データ!$A$908="",AE907=0),"",(AE908-AE907)/AE907)</f>
        <v>-2.5973505211384393E-3</v>
      </c>
      <c r="AG908" s="29">
        <f t="shared" si="44"/>
        <v>102.17217746631495</v>
      </c>
      <c r="AH908" s="12">
        <f>IF(OR(履歴データ!$A$908="",AG908=0),"",AE908/AG908-1)</f>
        <v>-0.31415068939452451</v>
      </c>
      <c r="AJ908" s="28">
        <f ca="1">IF(ROW()-1&lt;2,"",IFERROR(AVERAGE(OFFSET($B$1,MAX(1,ROW()-252),0,MIN(252,ROW()-1),1))+2*STDEV(OFFSET($B$1,MAX(1,ROW()-252),0,MIN(252,ROW()-1),1)),""))</f>
        <v>3.4525787462460955</v>
      </c>
      <c r="AK908" s="28">
        <f ca="1">IF(ROW()-1&lt;2,"",IFERROR(AVERAGE(OFFSET($B$1,MAX(1,ROW()-252),0,MIN(252,ROW()-1),1))-2*STDEV(OFFSET($B$1,MAX(1,ROW()-252),0,MIN(252,ROW()-1),1)),""))</f>
        <v>-8.6549596986270529</v>
      </c>
    </row>
    <row r="909" spans="1:37">
      <c r="A909" s="30">
        <f>IF(履歴データ!A909="","",履歴データ!A909)</f>
        <v>46253</v>
      </c>
      <c r="B909" s="28">
        <f>IF(履歴データ!$A$909="","",(履歴データ!$D$909-(履歴データ!$B$909+履歴データ!$F$909)/2)*100)</f>
        <v>-4.0000000000000036</v>
      </c>
      <c r="C909" s="28">
        <f>IF(履歴データ!$A$909="","",(履歴データ!$H$909-(履歴データ!$G$909+履歴データ!$J$909)/2)*100)</f>
        <v>5.6500000000000217</v>
      </c>
      <c r="D909" s="28">
        <f>IF(履歴データ!$A$909="","",(履歴データ!$D$909-履歴データ!$H$909)*100)</f>
        <v>184.90000000000003</v>
      </c>
      <c r="E909" s="28">
        <f>IF(履歴データ!$A$909="","",(履歴データ!$D$909-履歴データ!$C$909)*100)</f>
        <v>30.000000000000071</v>
      </c>
      <c r="F909" s="28">
        <f>IF(履歴データ!$A$909="","",(履歴データ!$R$909-履歴データ!$D$909)*100)</f>
        <v>-332.10000000000008</v>
      </c>
      <c r="G909" s="28">
        <f>IF(履歴データ!$A$909="","",(履歴データ!$S$909-履歴データ!$R$909)*100)</f>
        <v>152.52782141113269</v>
      </c>
      <c r="H909" s="29">
        <f>IF(履歴データ!$A$909="","",履歴データ!$O$909)</f>
        <v>158.2760009765625</v>
      </c>
      <c r="I909" s="29">
        <f>IF(履歴データ!$A$909="","",履歴データ!$Q$909)</f>
        <v>108.78125</v>
      </c>
      <c r="J909" s="29">
        <f>IF(履歴データ!$A$909="","",履歴データ!$D$909)</f>
        <v>4.6500000000000004</v>
      </c>
      <c r="K909" s="28">
        <f>IF(OR(履歴データ!$A$909="",履歴データ!$A$908=""),"",B909-B908)</f>
        <v>-1.499999999999968</v>
      </c>
      <c r="L909" s="28">
        <f>IF(OR(履歴データ!$A$909="",履歴データ!$A$908=""),"",C909-C908)</f>
        <v>0</v>
      </c>
      <c r="M909" s="28">
        <f>IF(OR(履歴データ!$A$909="",履歴データ!$A$908=""),"",D909-D908)</f>
        <v>-5.9999999999999432</v>
      </c>
      <c r="N909" s="28">
        <f>IF(OR(履歴データ!$A$909="",履歴データ!$A$908=""),"",E909-E908)</f>
        <v>-3.9999999999999147</v>
      </c>
      <c r="O909" s="28">
        <f>IF(OR(履歴データ!$A$909="",履歴データ!$A$908=""),"",F909-F908)</f>
        <v>5.9999999999999432</v>
      </c>
      <c r="P909" s="28">
        <f>IF(OR(履歴データ!$A$909="",履歴データ!$A$908=""),"",G909-G908)</f>
        <v>1.9294642333983916</v>
      </c>
      <c r="Q909" s="29">
        <f>IF(OR(履歴データ!$A$909="",履歴データ!$A$908=""),"",H909-H908)</f>
        <v>-1.2740020751953125</v>
      </c>
      <c r="R909" s="29">
        <f>IF(OR(履歴データ!$A$909="",履歴データ!$A$908=""),"",I909-I908)</f>
        <v>0.21875</v>
      </c>
      <c r="S909" s="28">
        <f>IF(OR(履歴データ!$A$909="",履歴データ!$A$908=""),"",(J909-J908)*100)</f>
        <v>-5.9999999999999609</v>
      </c>
      <c r="T909" s="11">
        <f>IF(OR(履歴データ!$A$909="",履歴データ!$A$908=""),"",-80000*K909)</f>
        <v>119999.99999999744</v>
      </c>
      <c r="U909" s="11">
        <f>IF(OR(履歴データ!$A$909="",履歴データ!$A$908=""),"",60000*L909)</f>
        <v>0</v>
      </c>
      <c r="V909" s="11">
        <f>IF(OR(履歴データ!$A$909="",履歴データ!$A$908=""),"",-50000*M909)</f>
        <v>299999.99999999715</v>
      </c>
      <c r="W909" s="11">
        <f>IF(OR(履歴データ!$A$909="",履歴データ!$A$908=""),"",-40000*N909)</f>
        <v>159999.99999999659</v>
      </c>
      <c r="X909" s="11">
        <f>IF(OR(履歴データ!$A$909="",履歴データ!$A$908=""),"",120*1000000*(-Q909/H908))</f>
        <v>958196.46568006231</v>
      </c>
      <c r="Y909" s="11">
        <f>IF(OR(履歴データ!$A$909="",履歴データ!$A$908=""),"",40000*(-S909)+(-506.3)*R909*1000)</f>
        <v>129246.87499999843</v>
      </c>
      <c r="Z909" s="11">
        <f>IF(OR(履歴データ!$A$909="",履歴データ!$A$908=""),"",-40000*O909)</f>
        <v>-239999.99999999773</v>
      </c>
      <c r="AA909" s="11">
        <f>IF(OR(履歴データ!$A$909="",履歴データ!$A$908=""),"",-40000*P909)</f>
        <v>-77178.569335935666</v>
      </c>
      <c r="AB909" s="11">
        <f>IF(履歴データ!$A$909="","",123.3)</f>
        <v>123.3</v>
      </c>
      <c r="AC909">
        <f>IF(履歴データ!$A$909="","",SUM(T909:AA909))</f>
        <v>1350264.7713441185</v>
      </c>
      <c r="AD909" s="29">
        <f>IF(履歴データ!$A$909="","",AC909/1000000)</f>
        <v>1.3502647713441185</v>
      </c>
      <c r="AE909" s="29">
        <f>IF(履歴データ!$A$909="",AE908,AE908+AC909/1000000)</f>
        <v>71.424982249676518</v>
      </c>
      <c r="AF909" s="12">
        <f>IF(OR(履歴データ!$A$909="",AE908=0),"",(AE909-AE908)/AE908)</f>
        <v>1.9268929222035412E-2</v>
      </c>
      <c r="AG909" s="29">
        <f t="shared" si="44"/>
        <v>102.17217746631495</v>
      </c>
      <c r="AH909" s="12">
        <f>IF(OR(履歴データ!$A$909="",AG909=0),"",AE909/AG909-1)</f>
        <v>-0.30093510757148589</v>
      </c>
      <c r="AJ909" s="28">
        <f ca="1">IF(ROW()-1&lt;2,"",IFERROR(AVERAGE(OFFSET($B$1,MAX(1,ROW()-252),0,MIN(252,ROW()-1),1))+2*STDEV(OFFSET($B$1,MAX(1,ROW()-252),0,MIN(252,ROW()-1),1)),""))</f>
        <v>3.4353892525264431</v>
      </c>
      <c r="AK909" s="28">
        <f ca="1">IF(ROW()-1&lt;2,"",IFERROR(AVERAGE(OFFSET($B$1,MAX(1,ROW()-252),0,MIN(252,ROW()-1),1))-2*STDEV(OFFSET($B$1,MAX(1,ROW()-252),0,MIN(252,ROW()-1),1)),""))</f>
        <v>-8.6655479826851778</v>
      </c>
    </row>
    <row r="910" spans="1:37">
      <c r="A910" s="10">
        <f>IF(履歴データ!$A$910="","",履歴データ!$A$910)</f>
        <v>46254</v>
      </c>
      <c r="B910" s="28">
        <f>IF(履歴データ!$A$910="","",(履歴データ!$D$910-(履歴データ!$B$910+履歴データ!$F$910)/2)*100)</f>
        <v>-2.0000000000000462</v>
      </c>
      <c r="C910" s="28">
        <f>IF(履歴データ!$A$910="","",(履歴データ!$H$910-(履歴データ!$G$910+履歴データ!$J$910)/2)*100)</f>
        <v>5.6500000000000217</v>
      </c>
      <c r="D910" s="28">
        <f>IF(履歴データ!$A$910="","",(履歴データ!$D$910-履歴データ!$H$910)*100)</f>
        <v>188.90000000000003</v>
      </c>
      <c r="E910" s="28">
        <f>IF(履歴データ!$A$910="","",(履歴データ!$D$910-履歴データ!$C$910)*100)</f>
        <v>30.000000000000071</v>
      </c>
      <c r="F910" s="28">
        <f>IF(履歴データ!$A$910="","",(履歴データ!$R$910-履歴データ!$D$910)*100)</f>
        <v>-336.10000000000008</v>
      </c>
      <c r="G910" s="28">
        <f>IF(履歴データ!$A$910="","",(履歴データ!$S$910-履歴データ!$R$910)*100)</f>
        <v>144.81017858886699</v>
      </c>
      <c r="H910" s="29">
        <f>IF(履歴データ!$A$910="","",履歴データ!$O$910)</f>
        <v>158.88299560546875</v>
      </c>
      <c r="I910" s="29">
        <f>IF(履歴データ!$A$910="","",履歴データ!$Q$910)</f>
        <v>108.5</v>
      </c>
      <c r="J910" s="29">
        <f>IF(履歴データ!$A$910="","",履歴データ!$D$910)</f>
        <v>4.6900000000000004</v>
      </c>
      <c r="K910" s="28">
        <f>IF(OR(履歴データ!$A$910="",履歴データ!$A$909=""),"",B910-B909)</f>
        <v>1.9999999999999574</v>
      </c>
      <c r="L910" s="28">
        <f>IF(OR(履歴データ!$A$910="",履歴データ!$A$909=""),"",C910-C909)</f>
        <v>0</v>
      </c>
      <c r="M910" s="28">
        <f>IF(OR(履歴データ!$A$910="",履歴データ!$A$909=""),"",D910-D909)</f>
        <v>4</v>
      </c>
      <c r="N910" s="28">
        <f>IF(OR(履歴データ!$A$910="",履歴データ!$A$909=""),"",E910-E909)</f>
        <v>0</v>
      </c>
      <c r="O910" s="28">
        <f>IF(OR(履歴データ!$A$910="",履歴データ!$A$909=""),"",F910-F909)</f>
        <v>-4</v>
      </c>
      <c r="P910" s="28">
        <f>IF(OR(履歴データ!$A$910="",履歴データ!$A$909=""),"",G910-G909)</f>
        <v>-7.7176428222657023</v>
      </c>
      <c r="Q910" s="29">
        <f>IF(OR(履歴データ!$A$910="",履歴データ!$A$909=""),"",H910-H909)</f>
        <v>0.60699462890625</v>
      </c>
      <c r="R910" s="29">
        <f>IF(OR(履歴データ!$A$910="",履歴データ!$A$909=""),"",I910-I909)</f>
        <v>-0.28125</v>
      </c>
      <c r="S910" s="28">
        <f>IF(OR(履歴データ!$A$910="",履歴データ!$A$909=""),"",(J910-J909)*100)</f>
        <v>4.0000000000000036</v>
      </c>
      <c r="T910" s="11">
        <f>IF(OR(履歴データ!$A$910="",履歴データ!$A$909=""),"",-80000*K910)</f>
        <v>-159999.99999999659</v>
      </c>
      <c r="U910" s="11">
        <f>IF(OR(履歴データ!$A$910="",履歴データ!$A$909=""),"",60000*L910)</f>
        <v>0</v>
      </c>
      <c r="V910" s="11">
        <f>IF(OR(履歴データ!$A$910="",履歴データ!$A$909=""),"",-50000*M910)</f>
        <v>-200000</v>
      </c>
      <c r="W910" s="11">
        <f>IF(OR(履歴データ!$A$910="",履歴データ!$A$909=""),"",-40000*N910)</f>
        <v>0</v>
      </c>
      <c r="X910" s="11">
        <f>IF(OR(履歴データ!$A$910="",履歴データ!$A$909=""),"",120*1000000*(-Q910/H909))</f>
        <v>-460204.67423571087</v>
      </c>
      <c r="Y910" s="11">
        <f>IF(OR(履歴データ!$A$910="",履歴データ!$A$909=""),"",40000*(-S910)+(-506.3)*R910*1000)</f>
        <v>-17603.125000000146</v>
      </c>
      <c r="Z910" s="11">
        <f>IF(OR(履歴データ!$A$910="",履歴データ!$A$909=""),"",-40000*O910)</f>
        <v>160000</v>
      </c>
      <c r="AA910" s="11">
        <f>IF(OR(履歴データ!$A$910="",履歴データ!$A$909=""),"",-40000*P910)</f>
        <v>308705.71289062809</v>
      </c>
      <c r="AB910" s="11">
        <f>IF(履歴データ!$A$910="","",123.3)</f>
        <v>123.3</v>
      </c>
      <c r="AC910">
        <f>IF(履歴データ!$A$910="","",SUM(T910:AA910))</f>
        <v>-369102.08634507953</v>
      </c>
      <c r="AD910" s="29">
        <f>IF(履歴データ!$A$910="","",AC910/1000000)</f>
        <v>-0.36910208634507952</v>
      </c>
      <c r="AE910" s="29">
        <f>IF(履歴データ!$A$910="",AE909,AE909+AC910/1000000)</f>
        <v>71.055880163331437</v>
      </c>
      <c r="AF910" s="12">
        <f>IF(OR(履歴データ!$A$910="",AE909=0),"",(AE910-AE909)/AE909)</f>
        <v>-5.1676888774690862E-3</v>
      </c>
      <c r="AG910" s="29">
        <f t="shared" si="44"/>
        <v>102.17217746631495</v>
      </c>
      <c r="AH910" s="12">
        <f>IF(OR(履歴データ!$A$910="",AG910=0),"",AE910/AG910-1)</f>
        <v>-0.30454765744071777</v>
      </c>
      <c r="AJ910" s="28">
        <f ca="1">IF(ROW()-1&lt;2,"",IFERROR(AVERAGE(OFFSET($B$1,MAX(1,ROW()-252),0,MIN(252,ROW()-1),1))+2*STDEV(OFFSET($B$1,MAX(1,ROW()-252),0,MIN(252,ROW()-1),1)),""))</f>
        <v>3.4322644505691486</v>
      </c>
      <c r="AK910" s="28">
        <f ca="1">IF(ROW()-1&lt;2,"",IFERROR(AVERAGE(OFFSET($B$1,MAX(1,ROW()-252),0,MIN(252,ROW()-1),1))-2*STDEV(OFFSET($B$1,MAX(1,ROW()-252),0,MIN(252,ROW()-1),1)),""))</f>
        <v>-8.6663914346961377</v>
      </c>
    </row>
    <row r="911" spans="1:37">
      <c r="A911" s="10">
        <f>IF(履歴データ!$A$911="","",履歴データ!$A$911)</f>
        <v>46255</v>
      </c>
      <c r="B911" s="28">
        <f>IF(履歴データ!$A$911="","",(履歴データ!$D$911-(履歴データ!$B$911+履歴データ!$F$911)/2)*100)</f>
        <v>-1.499999999999968</v>
      </c>
      <c r="C911" s="28">
        <f>IF(履歴データ!$A$911="","",(履歴データ!$H$911-(履歴データ!$G$911+履歴データ!$J$911)/2)*100)</f>
        <v>5.6500000000000217</v>
      </c>
      <c r="D911" s="28">
        <f>IF(履歴データ!$A$911="","",(履歴データ!$D$911-履歴データ!$H$911)*100)</f>
        <v>193.9</v>
      </c>
      <c r="E911" s="28">
        <f>IF(履歴データ!$A$911="","",(履歴データ!$D$911-履歴データ!$C$911)*100)</f>
        <v>31.00000000000005</v>
      </c>
      <c r="F911" s="28">
        <f>IF(履歴データ!$A$911="","",(履歴データ!$R$911-履歴データ!$D$911)*100)</f>
        <v>-341.1</v>
      </c>
      <c r="G911" s="28">
        <f>IF(履歴データ!$A$911="","",(履歴データ!$S$911-履歴データ!$R$911)*100)</f>
        <v>144.81017858886699</v>
      </c>
      <c r="H911" s="29">
        <f>IF(履歴データ!$A$911="","",履歴データ!$O$911)</f>
        <v>158.88299560546875</v>
      </c>
      <c r="I911" s="29">
        <f>IF(履歴データ!$A$911="","",履歴データ!$Q$911)</f>
        <v>108.265625</v>
      </c>
      <c r="J911" s="29">
        <f>IF(履歴データ!$A$911="","",履歴データ!$D$911)</f>
        <v>4.74</v>
      </c>
      <c r="K911" s="28">
        <f>IF(OR(履歴データ!$A$911="",履歴データ!$A$910=""),"",B911-B910)</f>
        <v>0.50000000000007816</v>
      </c>
      <c r="L911" s="28">
        <f>IF(OR(履歴データ!$A$911="",履歴データ!$A$910=""),"",C911-C910)</f>
        <v>0</v>
      </c>
      <c r="M911" s="28">
        <f>IF(OR(履歴データ!$A$911="",履歴データ!$A$910=""),"",D911-D910)</f>
        <v>4.9999999999999716</v>
      </c>
      <c r="N911" s="28">
        <f>IF(OR(履歴データ!$A$911="",履歴データ!$A$910=""),"",E911-E910)</f>
        <v>0.99999999999997868</v>
      </c>
      <c r="O911" s="28">
        <f>IF(OR(履歴データ!$A$911="",履歴データ!$A$910=""),"",F911-F910)</f>
        <v>-4.9999999999999432</v>
      </c>
      <c r="P911" s="28">
        <f>IF(OR(履歴データ!$A$911="",履歴データ!$A$910=""),"",G911-G910)</f>
        <v>0</v>
      </c>
      <c r="Q911" s="29">
        <f>IF(OR(履歴データ!$A$911="",履歴データ!$A$910=""),"",H911-H910)</f>
        <v>0</v>
      </c>
      <c r="R911" s="29">
        <f>IF(OR(履歴データ!$A$911="",履歴データ!$A$910=""),"",I911-I910)</f>
        <v>-0.234375</v>
      </c>
      <c r="S911" s="28">
        <f>IF(OR(履歴データ!$A$911="",履歴データ!$A$910=""),"",(J911-J910)*100)</f>
        <v>4.9999999999999822</v>
      </c>
      <c r="T911" s="11">
        <f>IF(OR(履歴データ!$A$911="",履歴データ!$A$910=""),"",-80000*K911)</f>
        <v>-40000.00000000625</v>
      </c>
      <c r="U911" s="11">
        <f>IF(OR(履歴データ!$A$911="",履歴データ!$A$910=""),"",60000*L911)</f>
        <v>0</v>
      </c>
      <c r="V911" s="11">
        <f>IF(OR(履歴データ!$A$911="",履歴データ!$A$910=""),"",-50000*M911)</f>
        <v>-249999.99999999857</v>
      </c>
      <c r="W911" s="11">
        <f>IF(OR(履歴データ!$A$911="",履歴データ!$A$910=""),"",-40000*N911)</f>
        <v>-39999.999999999149</v>
      </c>
      <c r="X911" s="11">
        <f>IF(OR(履歴データ!$A$911="",履歴データ!$A$910=""),"",120*1000000*(-Q911/H910))</f>
        <v>0</v>
      </c>
      <c r="Y911" s="11">
        <f>IF(OR(履歴データ!$A$911="",履歴データ!$A$910=""),"",40000*(-S911)+(-506.3)*R911*1000)</f>
        <v>-81335.937499999302</v>
      </c>
      <c r="Z911" s="11">
        <f>IF(OR(履歴データ!$A$911="",履歴データ!$A$910=""),"",-40000*O911)</f>
        <v>199999.99999999773</v>
      </c>
      <c r="AA911" s="11">
        <f>IF(OR(履歴データ!$A$911="",履歴データ!$A$910=""),"",-40000*P911)</f>
        <v>0</v>
      </c>
      <c r="AB911" s="11">
        <f>IF(履歴データ!$A$911="","",123.3)</f>
        <v>123.3</v>
      </c>
      <c r="AC911">
        <f>IF(履歴データ!$A$911="","",SUM(T911:AA911))</f>
        <v>-211335.93750000553</v>
      </c>
      <c r="AD911" s="29">
        <f>IF(履歴データ!$A$911="","",AC911/1000000)</f>
        <v>-0.21133593750000554</v>
      </c>
      <c r="AE911" s="29">
        <f>IF(履歴データ!$A$911="",AE910,AE910+AC911/1000000)</f>
        <v>70.844544225831427</v>
      </c>
      <c r="AF911" s="12">
        <f>IF(OR(履歴データ!$A$911="",AE910=0),"",(AE911-AE910)/AE910)</f>
        <v>-2.9742216550442584E-3</v>
      </c>
      <c r="AG911" s="29">
        <f t="shared" si="44"/>
        <v>102.17217746631495</v>
      </c>
      <c r="AH911" s="12">
        <f>IF(OR(履歴データ!$A$911="",AG911=0),"",AE911/AG911-1)</f>
        <v>-0.3066160868580089</v>
      </c>
      <c r="AJ911" s="28">
        <f ca="1">IF(ROW()-1&lt;2,"",IFERROR(AVERAGE(OFFSET($B$1,MAX(1,ROW()-252),0,MIN(252,ROW()-1),1))+2*STDEV(OFFSET($B$1,MAX(1,ROW()-252),0,MIN(252,ROW()-1),1)),""))</f>
        <v>3.4378528430492246</v>
      </c>
      <c r="AK911" s="28">
        <f ca="1">IF(ROW()-1&lt;2,"",IFERROR(AVERAGE(OFFSET($B$1,MAX(1,ROW()-252),0,MIN(252,ROW()-1),1))-2*STDEV(OFFSET($B$1,MAX(1,ROW()-252),0,MIN(252,ROW()-1),1)),""))</f>
        <v>-8.6640433192397044</v>
      </c>
    </row>
    <row r="912" spans="1:37">
      <c r="A912" s="10" t="str">
        <f>IF(履歴データ!$A$912="","",履歴データ!$A$912)</f>
        <v/>
      </c>
      <c r="B912" s="28" t="str">
        <f>IF(履歴データ!$A$912="","",(履歴データ!$D$912-(履歴データ!$B$912+履歴データ!$F$912)/2)*100)</f>
        <v/>
      </c>
      <c r="C912" s="28" t="str">
        <f>IF(履歴データ!$A$912="","",(履歴データ!$H$912-(履歴データ!$G$912+履歴データ!$J$912)/2)*100)</f>
        <v/>
      </c>
      <c r="D912" s="28" t="str">
        <f>IF(履歴データ!$A$912="","",(履歴データ!$D$912-履歴データ!$H$912)*100)</f>
        <v/>
      </c>
      <c r="E912" s="28" t="str">
        <f>IF(履歴データ!$A$912="","",(履歴データ!$D$912-履歴データ!$C$912)*100)</f>
        <v/>
      </c>
      <c r="F912" s="28" t="str">
        <f>IF(履歴データ!$A$912="","",(履歴データ!$R$912-履歴データ!$D$912)*100)</f>
        <v/>
      </c>
      <c r="G912" s="28" t="str">
        <f>IF(履歴データ!$A$912="","",(履歴データ!$S$912-履歴データ!$R$912)*100)</f>
        <v/>
      </c>
      <c r="H912" s="29" t="str">
        <f>IF(履歴データ!$A$912="","",履歴データ!$O$912)</f>
        <v/>
      </c>
      <c r="I912" s="29" t="str">
        <f>IF(履歴データ!$A$912="","",履歴データ!$Q$912)</f>
        <v/>
      </c>
      <c r="J912" s="29" t="str">
        <f>IF(履歴データ!$A$912="","",履歴データ!$D$912)</f>
        <v/>
      </c>
      <c r="K912" s="28" t="str">
        <f>IF(OR(履歴データ!$A$912="",履歴データ!$A$911=""),"",B912-B911)</f>
        <v/>
      </c>
      <c r="L912" s="28" t="str">
        <f>IF(OR(履歴データ!$A$912="",履歴データ!$A$911=""),"",C912-C911)</f>
        <v/>
      </c>
      <c r="M912" s="28" t="str">
        <f>IF(OR(履歴データ!$A$912="",履歴データ!$A$911=""),"",D912-D911)</f>
        <v/>
      </c>
      <c r="N912" s="28" t="str">
        <f>IF(OR(履歴データ!$A$912="",履歴データ!$A$911=""),"",E912-E911)</f>
        <v/>
      </c>
      <c r="O912" s="28" t="str">
        <f>IF(OR(履歴データ!$A$912="",履歴データ!$A$911=""),"",F912-F911)</f>
        <v/>
      </c>
      <c r="P912" s="28" t="str">
        <f>IF(OR(履歴データ!$A$912="",履歴データ!$A$911=""),"",G912-G911)</f>
        <v/>
      </c>
      <c r="Q912" s="29" t="str">
        <f>IF(OR(履歴データ!$A$912="",履歴データ!$A$911=""),"",H912-H911)</f>
        <v/>
      </c>
      <c r="R912" s="29" t="str">
        <f>IF(OR(履歴データ!$A$912="",履歴データ!$A$911=""),"",I912-I911)</f>
        <v/>
      </c>
      <c r="S912" s="28" t="str">
        <f>IF(OR(履歴データ!$A$912="",履歴データ!$A$911=""),"",(J912-J911)*100)</f>
        <v/>
      </c>
      <c r="T912" s="11" t="str">
        <f>IF(OR(履歴データ!$A$912="",履歴データ!$A$911=""),"",-80000*K912)</f>
        <v/>
      </c>
      <c r="U912" s="11" t="str">
        <f>IF(OR(履歴データ!$A$912="",履歴データ!$A$911=""),"",60000*L912)</f>
        <v/>
      </c>
      <c r="V912" s="11" t="str">
        <f>IF(OR(履歴データ!$A$912="",履歴データ!$A$911=""),"",-50000*M912)</f>
        <v/>
      </c>
      <c r="W912" s="11" t="str">
        <f>IF(OR(履歴データ!$A$912="",履歴データ!$A$911=""),"",-40000*N912)</f>
        <v/>
      </c>
      <c r="X912" s="11" t="str">
        <f>IF(OR(履歴データ!$A$912="",履歴データ!$A$911=""),"",120*1000000*(-Q912/H911))</f>
        <v/>
      </c>
      <c r="Y912" s="11" t="str">
        <f>IF(OR(履歴データ!$A$912="",履歴データ!$A$911=""),"",40000*(-S912)+(-506.3)*R912*1000)</f>
        <v/>
      </c>
      <c r="Z912" s="11" t="str">
        <f>IF(OR(履歴データ!$A$912="",履歴データ!$A$911=""),"",-40000*O912)</f>
        <v/>
      </c>
      <c r="AA912" s="11" t="str">
        <f>IF(OR(履歴データ!$A$912="",履歴データ!$A$911=""),"",-40000*P912)</f>
        <v/>
      </c>
      <c r="AB912" s="11" t="str">
        <f>IF(履歴データ!$A$912="","",123.3)</f>
        <v/>
      </c>
      <c r="AC912" t="str">
        <f>IF(履歴データ!$A$912="","",SUM(T912:AA912))</f>
        <v/>
      </c>
      <c r="AD912" s="29" t="str">
        <f>IF(履歴データ!$A$912="","",AC912/1000000)</f>
        <v/>
      </c>
      <c r="AE912" s="29">
        <f>IF(履歴データ!$A$912="",AE911,AE911+AC912/1000000)</f>
        <v>70.844544225831427</v>
      </c>
      <c r="AF912" s="12" t="str">
        <f>IF(OR(履歴データ!$A$912="",AE911=0),"",(AE912-AE911)/AE911)</f>
        <v/>
      </c>
      <c r="AG912" s="29">
        <f t="shared" si="44"/>
        <v>102.17217746631495</v>
      </c>
      <c r="AH912" s="12" t="str">
        <f>IF(OR(履歴データ!$A$912="",AG912=0),"",AE912/AG912-1)</f>
        <v/>
      </c>
    </row>
    <row r="913" spans="1:34">
      <c r="A913" s="10" t="str">
        <f>IF(履歴データ!$A$913="","",履歴データ!$A$913)</f>
        <v/>
      </c>
      <c r="B913" s="28" t="str">
        <f>IF(履歴データ!$A$913="","",(履歴データ!$D$913-(履歴データ!$B$913+履歴データ!$F$913)/2)*100)</f>
        <v/>
      </c>
      <c r="C913" s="28" t="str">
        <f>IF(履歴データ!$A$913="","",(履歴データ!$H$913-(履歴データ!$G$913+履歴データ!$J$913)/2)*100)</f>
        <v/>
      </c>
      <c r="D913" s="28" t="str">
        <f>IF(履歴データ!$A$913="","",(履歴データ!$D$913-履歴データ!$H$913)*100)</f>
        <v/>
      </c>
      <c r="E913" s="28" t="str">
        <f>IF(履歴データ!$A$913="","",(履歴データ!$D$913-履歴データ!$C$913)*100)</f>
        <v/>
      </c>
      <c r="F913" s="28" t="str">
        <f>IF(履歴データ!$A$913="","",(履歴データ!$R$913-履歴データ!$D$913)*100)</f>
        <v/>
      </c>
      <c r="G913" s="28" t="str">
        <f>IF(履歴データ!$A$913="","",(履歴データ!$S$913-履歴データ!$R$913)*100)</f>
        <v/>
      </c>
      <c r="H913" s="29" t="str">
        <f>IF(履歴データ!$A$913="","",履歴データ!$O$913)</f>
        <v/>
      </c>
      <c r="I913" s="29" t="str">
        <f>IF(履歴データ!$A$913="","",履歴データ!$Q$913)</f>
        <v/>
      </c>
      <c r="J913" s="29" t="str">
        <f>IF(履歴データ!$A$913="","",履歴データ!$D$913)</f>
        <v/>
      </c>
      <c r="K913" s="28" t="str">
        <f>IF(OR(履歴データ!$A$913="",履歴データ!$A$912=""),"",B913-B912)</f>
        <v/>
      </c>
      <c r="L913" s="28" t="str">
        <f>IF(OR(履歴データ!$A$913="",履歴データ!$A$912=""),"",C913-C912)</f>
        <v/>
      </c>
      <c r="M913" s="28" t="str">
        <f>IF(OR(履歴データ!$A$913="",履歴データ!$A$912=""),"",D913-D912)</f>
        <v/>
      </c>
      <c r="N913" s="28" t="str">
        <f>IF(OR(履歴データ!$A$913="",履歴データ!$A$912=""),"",E913-E912)</f>
        <v/>
      </c>
      <c r="O913" s="28" t="str">
        <f>IF(OR(履歴データ!$A$913="",履歴データ!$A$912=""),"",F913-F912)</f>
        <v/>
      </c>
      <c r="P913" s="28" t="str">
        <f>IF(OR(履歴データ!$A$913="",履歴データ!$A$912=""),"",G913-G912)</f>
        <v/>
      </c>
      <c r="Q913" s="29" t="str">
        <f>IF(OR(履歴データ!$A$913="",履歴データ!$A$912=""),"",H913-H912)</f>
        <v/>
      </c>
      <c r="R913" s="29" t="str">
        <f>IF(OR(履歴データ!$A$913="",履歴データ!$A$912=""),"",I913-I912)</f>
        <v/>
      </c>
      <c r="S913" s="28" t="str">
        <f>IF(OR(履歴データ!$A$913="",履歴データ!$A$912=""),"",(J913-J912)*100)</f>
        <v/>
      </c>
      <c r="T913" s="11" t="str">
        <f>IF(OR(履歴データ!$A$913="",履歴データ!$A$912=""),"",-80000*K913)</f>
        <v/>
      </c>
      <c r="U913" s="11" t="str">
        <f>IF(OR(履歴データ!$A$913="",履歴データ!$A$912=""),"",60000*L913)</f>
        <v/>
      </c>
      <c r="V913" s="11" t="str">
        <f>IF(OR(履歴データ!$A$913="",履歴データ!$A$912=""),"",-50000*M913)</f>
        <v/>
      </c>
      <c r="W913" s="11" t="str">
        <f>IF(OR(履歴データ!$A$913="",履歴データ!$A$912=""),"",-40000*N913)</f>
        <v/>
      </c>
      <c r="X913" s="11" t="str">
        <f>IF(OR(履歴データ!$A$913="",履歴データ!$A$912=""),"",120*1000000*(-Q913/H912))</f>
        <v/>
      </c>
      <c r="Y913" s="11" t="str">
        <f>IF(OR(履歴データ!$A$913="",履歴データ!$A$912=""),"",40000*(-S913)+(-506.3)*R913*1000)</f>
        <v/>
      </c>
      <c r="Z913" s="11" t="str">
        <f>IF(OR(履歴データ!$A$913="",履歴データ!$A$912=""),"",-40000*O913)</f>
        <v/>
      </c>
      <c r="AA913" s="11" t="str">
        <f>IF(OR(履歴データ!$A$913="",履歴データ!$A$912=""),"",-40000*P913)</f>
        <v/>
      </c>
      <c r="AB913" s="11" t="str">
        <f>IF(履歴データ!$A$913="","",123.3)</f>
        <v/>
      </c>
      <c r="AC913" t="str">
        <f>IF(履歴データ!$A$913="","",SUM(T913:AA913))</f>
        <v/>
      </c>
      <c r="AD913" s="29" t="str">
        <f>IF(履歴データ!$A$913="","",AC913/1000000)</f>
        <v/>
      </c>
      <c r="AE913" s="29">
        <f>IF(履歴データ!$A$913="",AE912,AE912+AC913/1000000)</f>
        <v>70.844544225831427</v>
      </c>
      <c r="AF913" s="12" t="str">
        <f>IF(OR(履歴データ!$A$913="",AE912=0),"",(AE913-AE912)/AE912)</f>
        <v/>
      </c>
      <c r="AG913" s="29">
        <f t="shared" si="44"/>
        <v>102.17217746631495</v>
      </c>
      <c r="AH913" s="12" t="str">
        <f>IF(OR(履歴データ!$A$913="",AG913=0),"",AE913/AG913-1)</f>
        <v/>
      </c>
    </row>
    <row r="914" spans="1:34">
      <c r="A914" s="10" t="str">
        <f>IF(履歴データ!$A$914="","",履歴データ!$A$914)</f>
        <v/>
      </c>
      <c r="B914" s="28" t="str">
        <f>IF(履歴データ!$A$914="","",(履歴データ!$D$914-(履歴データ!$B$914+履歴データ!$F$914)/2)*100)</f>
        <v/>
      </c>
      <c r="C914" s="28" t="str">
        <f>IF(履歴データ!$A$914="","",(履歴データ!$H$914-(履歴データ!$G$914+履歴データ!$J$914)/2)*100)</f>
        <v/>
      </c>
      <c r="D914" s="28" t="str">
        <f>IF(履歴データ!$A$914="","",(履歴データ!$D$914-履歴データ!$H$914)*100)</f>
        <v/>
      </c>
      <c r="E914" s="28" t="str">
        <f>IF(履歴データ!$A$914="","",(履歴データ!$D$914-履歴データ!$C$914)*100)</f>
        <v/>
      </c>
      <c r="F914" s="28" t="str">
        <f>IF(履歴データ!$A$914="","",(履歴データ!$R$914-履歴データ!$D$914)*100)</f>
        <v/>
      </c>
      <c r="G914" s="28" t="str">
        <f>IF(履歴データ!$A$914="","",(履歴データ!$S$914-履歴データ!$R$914)*100)</f>
        <v/>
      </c>
      <c r="H914" s="29" t="str">
        <f>IF(履歴データ!$A$914="","",履歴データ!$O$914)</f>
        <v/>
      </c>
      <c r="I914" s="29" t="str">
        <f>IF(履歴データ!$A$914="","",履歴データ!$Q$914)</f>
        <v/>
      </c>
      <c r="J914" s="29" t="str">
        <f>IF(履歴データ!$A$914="","",履歴データ!$D$914)</f>
        <v/>
      </c>
      <c r="K914" s="28" t="str">
        <f>IF(OR(履歴データ!$A$914="",履歴データ!$A$913=""),"",B914-B913)</f>
        <v/>
      </c>
      <c r="L914" s="28" t="str">
        <f>IF(OR(履歴データ!$A$914="",履歴データ!$A$913=""),"",C914-C913)</f>
        <v/>
      </c>
      <c r="M914" s="28" t="str">
        <f>IF(OR(履歴データ!$A$914="",履歴データ!$A$913=""),"",D914-D913)</f>
        <v/>
      </c>
      <c r="N914" s="28" t="str">
        <f>IF(OR(履歴データ!$A$914="",履歴データ!$A$913=""),"",E914-E913)</f>
        <v/>
      </c>
      <c r="O914" s="28" t="str">
        <f>IF(OR(履歴データ!$A$914="",履歴データ!$A$913=""),"",F914-F913)</f>
        <v/>
      </c>
      <c r="P914" s="28" t="str">
        <f>IF(OR(履歴データ!$A$914="",履歴データ!$A$913=""),"",G914-G913)</f>
        <v/>
      </c>
      <c r="Q914" s="29" t="str">
        <f>IF(OR(履歴データ!$A$914="",履歴データ!$A$913=""),"",H914-H913)</f>
        <v/>
      </c>
      <c r="R914" s="29" t="str">
        <f>IF(OR(履歴データ!$A$914="",履歴データ!$A$913=""),"",I914-I913)</f>
        <v/>
      </c>
      <c r="S914" s="28" t="str">
        <f>IF(OR(履歴データ!$A$914="",履歴データ!$A$913=""),"",(J914-J913)*100)</f>
        <v/>
      </c>
      <c r="T914" s="11" t="str">
        <f>IF(OR(履歴データ!$A$914="",履歴データ!$A$913=""),"",-80000*K914)</f>
        <v/>
      </c>
      <c r="U914" s="11" t="str">
        <f>IF(OR(履歴データ!$A$914="",履歴データ!$A$913=""),"",60000*L914)</f>
        <v/>
      </c>
      <c r="V914" s="11" t="str">
        <f>IF(OR(履歴データ!$A$914="",履歴データ!$A$913=""),"",-50000*M914)</f>
        <v/>
      </c>
      <c r="W914" s="11" t="str">
        <f>IF(OR(履歴データ!$A$914="",履歴データ!$A$913=""),"",-40000*N914)</f>
        <v/>
      </c>
      <c r="X914" s="11" t="str">
        <f>IF(OR(履歴データ!$A$914="",履歴データ!$A$913=""),"",120*1000000*(-Q914/H913))</f>
        <v/>
      </c>
      <c r="Y914" s="11" t="str">
        <f>IF(OR(履歴データ!$A$914="",履歴データ!$A$913=""),"",40000*(-S914)+(-506.3)*R914*1000)</f>
        <v/>
      </c>
      <c r="Z914" s="11" t="str">
        <f>IF(OR(履歴データ!$A$914="",履歴データ!$A$913=""),"",-40000*O914)</f>
        <v/>
      </c>
      <c r="AA914" s="11" t="str">
        <f>IF(OR(履歴データ!$A$914="",履歴データ!$A$913=""),"",-40000*P914)</f>
        <v/>
      </c>
      <c r="AB914" s="11" t="str">
        <f>IF(履歴データ!$A$914="","",123.3)</f>
        <v/>
      </c>
      <c r="AC914" t="str">
        <f>IF(履歴データ!$A$914="","",SUM(T914:AA914))</f>
        <v/>
      </c>
      <c r="AD914" s="29" t="str">
        <f>IF(履歴データ!$A$914="","",AC914/1000000)</f>
        <v/>
      </c>
      <c r="AE914" s="29">
        <f>IF(履歴データ!$A$914="",AE913,AE913+AC914/1000000)</f>
        <v>70.844544225831427</v>
      </c>
      <c r="AF914" s="12" t="str">
        <f>IF(OR(履歴データ!$A$914="",AE913=0),"",(AE914-AE913)/AE913)</f>
        <v/>
      </c>
      <c r="AG914" s="29">
        <f t="shared" si="44"/>
        <v>102.17217746631495</v>
      </c>
      <c r="AH914" s="12" t="str">
        <f>IF(OR(履歴データ!$A$914="",AG914=0),"",AE914/AG914-1)</f>
        <v/>
      </c>
    </row>
    <row r="915" spans="1:34">
      <c r="A915" s="10" t="str">
        <f>IF(履歴データ!$A$915="","",履歴データ!$A$915)</f>
        <v/>
      </c>
      <c r="B915" s="28" t="str">
        <f>IF(履歴データ!$A$915="","",(履歴データ!$D$915-(履歴データ!$B$915+履歴データ!$F$915)/2)*100)</f>
        <v/>
      </c>
      <c r="C915" s="28" t="str">
        <f>IF(履歴データ!$A$915="","",(履歴データ!$H$915-(履歴データ!$G$915+履歴データ!$J$915)/2)*100)</f>
        <v/>
      </c>
      <c r="D915" s="28" t="str">
        <f>IF(履歴データ!$A$915="","",(履歴データ!$D$915-履歴データ!$H$915)*100)</f>
        <v/>
      </c>
      <c r="E915" s="28" t="str">
        <f>IF(履歴データ!$A$915="","",(履歴データ!$D$915-履歴データ!$C$915)*100)</f>
        <v/>
      </c>
      <c r="F915" s="28" t="str">
        <f>IF(履歴データ!$A$915="","",(履歴データ!$R$915-履歴データ!$D$915)*100)</f>
        <v/>
      </c>
      <c r="G915" s="28" t="str">
        <f>IF(履歴データ!$A$915="","",(履歴データ!$S$915-履歴データ!$R$915)*100)</f>
        <v/>
      </c>
      <c r="H915" s="29" t="str">
        <f>IF(履歴データ!$A$915="","",履歴データ!$O$915)</f>
        <v/>
      </c>
      <c r="I915" s="29" t="str">
        <f>IF(履歴データ!$A$915="","",履歴データ!$Q$915)</f>
        <v/>
      </c>
      <c r="J915" s="29" t="str">
        <f>IF(履歴データ!$A$915="","",履歴データ!$D$915)</f>
        <v/>
      </c>
      <c r="K915" s="28" t="str">
        <f>IF(OR(履歴データ!$A$915="",履歴データ!$A$914=""),"",B915-B914)</f>
        <v/>
      </c>
      <c r="L915" s="28" t="str">
        <f>IF(OR(履歴データ!$A$915="",履歴データ!$A$914=""),"",C915-C914)</f>
        <v/>
      </c>
      <c r="M915" s="28" t="str">
        <f>IF(OR(履歴データ!$A$915="",履歴データ!$A$914=""),"",D915-D914)</f>
        <v/>
      </c>
      <c r="N915" s="28" t="str">
        <f>IF(OR(履歴データ!$A$915="",履歴データ!$A$914=""),"",E915-E914)</f>
        <v/>
      </c>
      <c r="O915" s="28" t="str">
        <f>IF(OR(履歴データ!$A$915="",履歴データ!$A$914=""),"",F915-F914)</f>
        <v/>
      </c>
      <c r="P915" s="28" t="str">
        <f>IF(OR(履歴データ!$A$915="",履歴データ!$A$914=""),"",G915-G914)</f>
        <v/>
      </c>
      <c r="Q915" s="29" t="str">
        <f>IF(OR(履歴データ!$A$915="",履歴データ!$A$914=""),"",H915-H914)</f>
        <v/>
      </c>
      <c r="R915" s="29" t="str">
        <f>IF(OR(履歴データ!$A$915="",履歴データ!$A$914=""),"",I915-I914)</f>
        <v/>
      </c>
      <c r="S915" s="28" t="str">
        <f>IF(OR(履歴データ!$A$915="",履歴データ!$A$914=""),"",(J915-J914)*100)</f>
        <v/>
      </c>
      <c r="T915" s="11" t="str">
        <f>IF(OR(履歴データ!$A$915="",履歴データ!$A$914=""),"",-80000*K915)</f>
        <v/>
      </c>
      <c r="U915" s="11" t="str">
        <f>IF(OR(履歴データ!$A$915="",履歴データ!$A$914=""),"",60000*L915)</f>
        <v/>
      </c>
      <c r="V915" s="11" t="str">
        <f>IF(OR(履歴データ!$A$915="",履歴データ!$A$914=""),"",-50000*M915)</f>
        <v/>
      </c>
      <c r="W915" s="11" t="str">
        <f>IF(OR(履歴データ!$A$915="",履歴データ!$A$914=""),"",-40000*N915)</f>
        <v/>
      </c>
      <c r="X915" s="11" t="str">
        <f>IF(OR(履歴データ!$A$915="",履歴データ!$A$914=""),"",120*1000000*(-Q915/H914))</f>
        <v/>
      </c>
      <c r="Y915" s="11" t="str">
        <f>IF(OR(履歴データ!$A$915="",履歴データ!$A$914=""),"",40000*(-S915)+(-506.3)*R915*1000)</f>
        <v/>
      </c>
      <c r="Z915" s="11" t="str">
        <f>IF(OR(履歴データ!$A$915="",履歴データ!$A$914=""),"",-40000*O915)</f>
        <v/>
      </c>
      <c r="AA915" s="11" t="str">
        <f>IF(OR(履歴データ!$A$915="",履歴データ!$A$914=""),"",-40000*P915)</f>
        <v/>
      </c>
      <c r="AB915" s="11" t="str">
        <f>IF(履歴データ!$A$915="","",123.3)</f>
        <v/>
      </c>
      <c r="AC915" t="str">
        <f>IF(履歴データ!$A$915="","",SUM(T915:AA915))</f>
        <v/>
      </c>
      <c r="AD915" s="29" t="str">
        <f>IF(履歴データ!$A$915="","",AC915/1000000)</f>
        <v/>
      </c>
      <c r="AE915" s="29">
        <f>IF(履歴データ!$A$915="",AE914,AE914+AC915/1000000)</f>
        <v>70.844544225831427</v>
      </c>
      <c r="AF915" s="12" t="str">
        <f>IF(OR(履歴データ!$A$915="",AE914=0),"",(AE915-AE914)/AE914)</f>
        <v/>
      </c>
      <c r="AG915" s="29">
        <f t="shared" si="44"/>
        <v>102.17217746631495</v>
      </c>
      <c r="AH915" s="12" t="str">
        <f>IF(OR(履歴データ!$A$915="",AG915=0),"",AE915/AG915-1)</f>
        <v/>
      </c>
    </row>
    <row r="916" spans="1:34">
      <c r="A916" s="10" t="str">
        <f>IF(履歴データ!$A$916="","",履歴データ!$A$916)</f>
        <v/>
      </c>
      <c r="B916" s="28" t="str">
        <f>IF(履歴データ!$A$916="","",(履歴データ!$D$916-(履歴データ!$B$916+履歴データ!$F$916)/2)*100)</f>
        <v/>
      </c>
      <c r="C916" s="28" t="str">
        <f>IF(履歴データ!$A$916="","",(履歴データ!$H$916-(履歴データ!$G$916+履歴データ!$J$916)/2)*100)</f>
        <v/>
      </c>
      <c r="D916" s="28" t="str">
        <f>IF(履歴データ!$A$916="","",(履歴データ!$D$916-履歴データ!$H$916)*100)</f>
        <v/>
      </c>
      <c r="E916" s="28" t="str">
        <f>IF(履歴データ!$A$916="","",(履歴データ!$D$916-履歴データ!$C$916)*100)</f>
        <v/>
      </c>
      <c r="F916" s="28" t="str">
        <f>IF(履歴データ!$A$916="","",(履歴データ!$R$916-履歴データ!$D$916)*100)</f>
        <v/>
      </c>
      <c r="G916" s="28" t="str">
        <f>IF(履歴データ!$A$916="","",(履歴データ!$S$916-履歴データ!$R$916)*100)</f>
        <v/>
      </c>
      <c r="H916" s="29" t="str">
        <f>IF(履歴データ!$A$916="","",履歴データ!$O$916)</f>
        <v/>
      </c>
      <c r="I916" s="29" t="str">
        <f>IF(履歴データ!$A$916="","",履歴データ!$Q$916)</f>
        <v/>
      </c>
      <c r="J916" s="29" t="str">
        <f>IF(履歴データ!$A$916="","",履歴データ!$D$916)</f>
        <v/>
      </c>
      <c r="K916" s="28" t="str">
        <f>IF(OR(履歴データ!$A$916="",履歴データ!$A$915=""),"",B916-B915)</f>
        <v/>
      </c>
      <c r="L916" s="28" t="str">
        <f>IF(OR(履歴データ!$A$916="",履歴データ!$A$915=""),"",C916-C915)</f>
        <v/>
      </c>
      <c r="M916" s="28" t="str">
        <f>IF(OR(履歴データ!$A$916="",履歴データ!$A$915=""),"",D916-D915)</f>
        <v/>
      </c>
      <c r="N916" s="28" t="str">
        <f>IF(OR(履歴データ!$A$916="",履歴データ!$A$915=""),"",E916-E915)</f>
        <v/>
      </c>
      <c r="O916" s="28" t="str">
        <f>IF(OR(履歴データ!$A$916="",履歴データ!$A$915=""),"",F916-F915)</f>
        <v/>
      </c>
      <c r="P916" s="28" t="str">
        <f>IF(OR(履歴データ!$A$916="",履歴データ!$A$915=""),"",G916-G915)</f>
        <v/>
      </c>
      <c r="Q916" s="29" t="str">
        <f>IF(OR(履歴データ!$A$916="",履歴データ!$A$915=""),"",H916-H915)</f>
        <v/>
      </c>
      <c r="R916" s="29" t="str">
        <f>IF(OR(履歴データ!$A$916="",履歴データ!$A$915=""),"",I916-I915)</f>
        <v/>
      </c>
      <c r="S916" s="28" t="str">
        <f>IF(OR(履歴データ!$A$916="",履歴データ!$A$915=""),"",(J916-J915)*100)</f>
        <v/>
      </c>
      <c r="T916" s="11" t="str">
        <f>IF(OR(履歴データ!$A$916="",履歴データ!$A$915=""),"",-80000*K916)</f>
        <v/>
      </c>
      <c r="U916" s="11" t="str">
        <f>IF(OR(履歴データ!$A$916="",履歴データ!$A$915=""),"",60000*L916)</f>
        <v/>
      </c>
      <c r="V916" s="11" t="str">
        <f>IF(OR(履歴データ!$A$916="",履歴データ!$A$915=""),"",-50000*M916)</f>
        <v/>
      </c>
      <c r="W916" s="11" t="str">
        <f>IF(OR(履歴データ!$A$916="",履歴データ!$A$915=""),"",-40000*N916)</f>
        <v/>
      </c>
      <c r="X916" s="11" t="str">
        <f>IF(OR(履歴データ!$A$916="",履歴データ!$A$915=""),"",120*1000000*(-Q916/H915))</f>
        <v/>
      </c>
      <c r="Y916" s="11" t="str">
        <f>IF(OR(履歴データ!$A$916="",履歴データ!$A$915=""),"",40000*(-S916)+(-506.3)*R916*1000)</f>
        <v/>
      </c>
      <c r="Z916" s="11" t="str">
        <f>IF(OR(履歴データ!$A$916="",履歴データ!$A$915=""),"",-40000*O916)</f>
        <v/>
      </c>
      <c r="AA916" s="11" t="str">
        <f>IF(OR(履歴データ!$A$916="",履歴データ!$A$915=""),"",-40000*P916)</f>
        <v/>
      </c>
      <c r="AB916" s="11" t="str">
        <f>IF(履歴データ!$A$916="","",123.3)</f>
        <v/>
      </c>
      <c r="AC916" t="str">
        <f>IF(履歴データ!$A$916="","",SUM(T916:AA916))</f>
        <v/>
      </c>
      <c r="AD916" s="29" t="str">
        <f>IF(履歴データ!$A$916="","",AC916/1000000)</f>
        <v/>
      </c>
      <c r="AE916" s="29">
        <f>IF(履歴データ!$A$916="",AE915,AE915+AC916/1000000)</f>
        <v>70.844544225831427</v>
      </c>
      <c r="AF916" s="12" t="str">
        <f>IF(OR(履歴データ!$A$916="",AE915=0),"",(AE916-AE915)/AE915)</f>
        <v/>
      </c>
      <c r="AG916" s="29">
        <f t="shared" si="44"/>
        <v>102.17217746631495</v>
      </c>
      <c r="AH916" s="12" t="str">
        <f>IF(OR(履歴データ!$A$916="",AG916=0),"",AE916/AG916-1)</f>
        <v/>
      </c>
    </row>
    <row r="917" spans="1:34">
      <c r="A917" s="10" t="str">
        <f>IF(履歴データ!$A$917="","",履歴データ!$A$917)</f>
        <v/>
      </c>
      <c r="B917" s="28" t="str">
        <f>IF(履歴データ!$A$917="","",(履歴データ!$D$917-(履歴データ!$B$917+履歴データ!$F$917)/2)*100)</f>
        <v/>
      </c>
      <c r="C917" s="28" t="str">
        <f>IF(履歴データ!$A$917="","",(履歴データ!$H$917-(履歴データ!$G$917+履歴データ!$J$917)/2)*100)</f>
        <v/>
      </c>
      <c r="D917" s="28" t="str">
        <f>IF(履歴データ!$A$917="","",(履歴データ!$D$917-履歴データ!$H$917)*100)</f>
        <v/>
      </c>
      <c r="E917" s="28" t="str">
        <f>IF(履歴データ!$A$917="","",(履歴データ!$D$917-履歴データ!$C$917)*100)</f>
        <v/>
      </c>
      <c r="F917" s="28" t="str">
        <f>IF(履歴データ!$A$917="","",(履歴データ!$R$917-履歴データ!$D$917)*100)</f>
        <v/>
      </c>
      <c r="G917" s="28" t="str">
        <f>IF(履歴データ!$A$917="","",(履歴データ!$S$917-履歴データ!$R$917)*100)</f>
        <v/>
      </c>
      <c r="H917" s="29" t="str">
        <f>IF(履歴データ!$A$917="","",履歴データ!$O$917)</f>
        <v/>
      </c>
      <c r="I917" s="29" t="str">
        <f>IF(履歴データ!$A$917="","",履歴データ!$Q$917)</f>
        <v/>
      </c>
      <c r="J917" s="29" t="str">
        <f>IF(履歴データ!$A$917="","",履歴データ!$D$917)</f>
        <v/>
      </c>
      <c r="K917" s="28" t="str">
        <f>IF(OR(履歴データ!$A$917="",履歴データ!$A$916=""),"",B917-B916)</f>
        <v/>
      </c>
      <c r="L917" s="28" t="str">
        <f>IF(OR(履歴データ!$A$917="",履歴データ!$A$916=""),"",C917-C916)</f>
        <v/>
      </c>
      <c r="M917" s="28" t="str">
        <f>IF(OR(履歴データ!$A$917="",履歴データ!$A$916=""),"",D917-D916)</f>
        <v/>
      </c>
      <c r="N917" s="28" t="str">
        <f>IF(OR(履歴データ!$A$917="",履歴データ!$A$916=""),"",E917-E916)</f>
        <v/>
      </c>
      <c r="O917" s="28" t="str">
        <f>IF(OR(履歴データ!$A$917="",履歴データ!$A$916=""),"",F917-F916)</f>
        <v/>
      </c>
      <c r="P917" s="28" t="str">
        <f>IF(OR(履歴データ!$A$917="",履歴データ!$A$916=""),"",G917-G916)</f>
        <v/>
      </c>
      <c r="Q917" s="29" t="str">
        <f>IF(OR(履歴データ!$A$917="",履歴データ!$A$916=""),"",H917-H916)</f>
        <v/>
      </c>
      <c r="R917" s="29" t="str">
        <f>IF(OR(履歴データ!$A$917="",履歴データ!$A$916=""),"",I917-I916)</f>
        <v/>
      </c>
      <c r="S917" s="28" t="str">
        <f>IF(OR(履歴データ!$A$917="",履歴データ!$A$916=""),"",(J917-J916)*100)</f>
        <v/>
      </c>
      <c r="T917" s="11" t="str">
        <f>IF(OR(履歴データ!$A$917="",履歴データ!$A$916=""),"",-80000*K917)</f>
        <v/>
      </c>
      <c r="U917" s="11" t="str">
        <f>IF(OR(履歴データ!$A$917="",履歴データ!$A$916=""),"",60000*L917)</f>
        <v/>
      </c>
      <c r="V917" s="11" t="str">
        <f>IF(OR(履歴データ!$A$917="",履歴データ!$A$916=""),"",-50000*M917)</f>
        <v/>
      </c>
      <c r="W917" s="11" t="str">
        <f>IF(OR(履歴データ!$A$917="",履歴データ!$A$916=""),"",-40000*N917)</f>
        <v/>
      </c>
      <c r="X917" s="11" t="str">
        <f>IF(OR(履歴データ!$A$917="",履歴データ!$A$916=""),"",120*1000000*(-Q917/H916))</f>
        <v/>
      </c>
      <c r="Y917" s="11" t="str">
        <f>IF(OR(履歴データ!$A$917="",履歴データ!$A$916=""),"",40000*(-S917)+(-506.3)*R917*1000)</f>
        <v/>
      </c>
      <c r="Z917" s="11" t="str">
        <f>IF(OR(履歴データ!$A$917="",履歴データ!$A$916=""),"",-40000*O917)</f>
        <v/>
      </c>
      <c r="AA917" s="11" t="str">
        <f>IF(OR(履歴データ!$A$917="",履歴データ!$A$916=""),"",-40000*P917)</f>
        <v/>
      </c>
      <c r="AB917" s="11" t="str">
        <f>IF(履歴データ!$A$917="","",123.3)</f>
        <v/>
      </c>
      <c r="AC917" t="str">
        <f>IF(履歴データ!$A$917="","",SUM(T917:AA917))</f>
        <v/>
      </c>
      <c r="AD917" s="29" t="str">
        <f>IF(履歴データ!$A$917="","",AC917/1000000)</f>
        <v/>
      </c>
      <c r="AE917" s="29">
        <f>IF(履歴データ!$A$917="",AE916,AE916+AC917/1000000)</f>
        <v>70.844544225831427</v>
      </c>
      <c r="AF917" s="12" t="str">
        <f>IF(OR(履歴データ!$A$917="",AE916=0),"",(AE917-AE916)/AE916)</f>
        <v/>
      </c>
      <c r="AG917" s="29">
        <f t="shared" si="44"/>
        <v>102.17217746631495</v>
      </c>
      <c r="AH917" s="12" t="str">
        <f>IF(OR(履歴データ!$A$917="",AG917=0),"",AE917/AG917-1)</f>
        <v/>
      </c>
    </row>
    <row r="918" spans="1:34">
      <c r="A918" s="10" t="str">
        <f>IF(履歴データ!$A$918="","",履歴データ!$A$918)</f>
        <v/>
      </c>
      <c r="B918" s="28" t="str">
        <f>IF(履歴データ!$A$918="","",(履歴データ!$D$918-(履歴データ!$B$918+履歴データ!$F$918)/2)*100)</f>
        <v/>
      </c>
      <c r="C918" s="28" t="str">
        <f>IF(履歴データ!$A$918="","",(履歴データ!$H$918-(履歴データ!$G$918+履歴データ!$J$918)/2)*100)</f>
        <v/>
      </c>
      <c r="D918" s="28" t="str">
        <f>IF(履歴データ!$A$918="","",(履歴データ!$D$918-履歴データ!$H$918)*100)</f>
        <v/>
      </c>
      <c r="E918" s="28" t="str">
        <f>IF(履歴データ!$A$918="","",(履歴データ!$D$918-履歴データ!$C$918)*100)</f>
        <v/>
      </c>
      <c r="F918" s="28" t="str">
        <f>IF(履歴データ!$A$918="","",(履歴データ!$R$918-履歴データ!$D$918)*100)</f>
        <v/>
      </c>
      <c r="G918" s="28" t="str">
        <f>IF(履歴データ!$A$918="","",(履歴データ!$S$918-履歴データ!$R$918)*100)</f>
        <v/>
      </c>
      <c r="H918" s="29" t="str">
        <f>IF(履歴データ!$A$918="","",履歴データ!$O$918)</f>
        <v/>
      </c>
      <c r="I918" s="29" t="str">
        <f>IF(履歴データ!$A$918="","",履歴データ!$Q$918)</f>
        <v/>
      </c>
      <c r="J918" s="29" t="str">
        <f>IF(履歴データ!$A$918="","",履歴データ!$D$918)</f>
        <v/>
      </c>
      <c r="K918" s="28" t="str">
        <f>IF(OR(履歴データ!$A$918="",履歴データ!$A$917=""),"",B918-B917)</f>
        <v/>
      </c>
      <c r="L918" s="28" t="str">
        <f>IF(OR(履歴データ!$A$918="",履歴データ!$A$917=""),"",C918-C917)</f>
        <v/>
      </c>
      <c r="M918" s="28" t="str">
        <f>IF(OR(履歴データ!$A$918="",履歴データ!$A$917=""),"",D918-D917)</f>
        <v/>
      </c>
      <c r="N918" s="28" t="str">
        <f>IF(OR(履歴データ!$A$918="",履歴データ!$A$917=""),"",E918-E917)</f>
        <v/>
      </c>
      <c r="O918" s="28" t="str">
        <f>IF(OR(履歴データ!$A$918="",履歴データ!$A$917=""),"",F918-F917)</f>
        <v/>
      </c>
      <c r="P918" s="28" t="str">
        <f>IF(OR(履歴データ!$A$918="",履歴データ!$A$917=""),"",G918-G917)</f>
        <v/>
      </c>
      <c r="Q918" s="29" t="str">
        <f>IF(OR(履歴データ!$A$918="",履歴データ!$A$917=""),"",H918-H917)</f>
        <v/>
      </c>
      <c r="R918" s="29" t="str">
        <f>IF(OR(履歴データ!$A$918="",履歴データ!$A$917=""),"",I918-I917)</f>
        <v/>
      </c>
      <c r="S918" s="28" t="str">
        <f>IF(OR(履歴データ!$A$918="",履歴データ!$A$917=""),"",(J918-J917)*100)</f>
        <v/>
      </c>
      <c r="T918" s="11" t="str">
        <f>IF(OR(履歴データ!$A$918="",履歴データ!$A$917=""),"",-80000*K918)</f>
        <v/>
      </c>
      <c r="U918" s="11" t="str">
        <f>IF(OR(履歴データ!$A$918="",履歴データ!$A$917=""),"",60000*L918)</f>
        <v/>
      </c>
      <c r="V918" s="11" t="str">
        <f>IF(OR(履歴データ!$A$918="",履歴データ!$A$917=""),"",-50000*M918)</f>
        <v/>
      </c>
      <c r="W918" s="11" t="str">
        <f>IF(OR(履歴データ!$A$918="",履歴データ!$A$917=""),"",-40000*N918)</f>
        <v/>
      </c>
      <c r="X918" s="11" t="str">
        <f>IF(OR(履歴データ!$A$918="",履歴データ!$A$917=""),"",120*1000000*(-Q918/H917))</f>
        <v/>
      </c>
      <c r="Y918" s="11" t="str">
        <f>IF(OR(履歴データ!$A$918="",履歴データ!$A$917=""),"",40000*(-S918)+(-506.3)*R918*1000)</f>
        <v/>
      </c>
      <c r="Z918" s="11" t="str">
        <f>IF(OR(履歴データ!$A$918="",履歴データ!$A$917=""),"",-40000*O918)</f>
        <v/>
      </c>
      <c r="AA918" s="11" t="str">
        <f>IF(OR(履歴データ!$A$918="",履歴データ!$A$917=""),"",-40000*P918)</f>
        <v/>
      </c>
      <c r="AB918" s="11" t="str">
        <f>IF(履歴データ!$A$918="","",123.3)</f>
        <v/>
      </c>
      <c r="AC918" t="str">
        <f>IF(履歴データ!$A$918="","",SUM(T918:AA918))</f>
        <v/>
      </c>
      <c r="AD918" s="29" t="str">
        <f>IF(履歴データ!$A$918="","",AC918/1000000)</f>
        <v/>
      </c>
      <c r="AE918" s="29">
        <f>IF(履歴データ!$A$918="",AE917,AE917+AC918/1000000)</f>
        <v>70.844544225831427</v>
      </c>
      <c r="AF918" s="12" t="str">
        <f>IF(OR(履歴データ!$A$918="",AE917=0),"",(AE918-AE917)/AE917)</f>
        <v/>
      </c>
      <c r="AG918" s="29">
        <f t="shared" si="44"/>
        <v>102.17217746631495</v>
      </c>
      <c r="AH918" s="12" t="str">
        <f>IF(OR(履歴データ!$A$918="",AG918=0),"",AE918/AG918-1)</f>
        <v/>
      </c>
    </row>
    <row r="919" spans="1:34">
      <c r="A919" s="10" t="str">
        <f>IF(履歴データ!$A$919="","",履歴データ!$A$919)</f>
        <v/>
      </c>
      <c r="B919" s="28" t="str">
        <f>IF(履歴データ!$A$919="","",(履歴データ!$D$919-(履歴データ!$B$919+履歴データ!$F$919)/2)*100)</f>
        <v/>
      </c>
      <c r="C919" s="28" t="str">
        <f>IF(履歴データ!$A$919="","",(履歴データ!$H$919-(履歴データ!$G$919+履歴データ!$J$919)/2)*100)</f>
        <v/>
      </c>
      <c r="D919" s="28" t="str">
        <f>IF(履歴データ!$A$919="","",(履歴データ!$D$919-履歴データ!$H$919)*100)</f>
        <v/>
      </c>
      <c r="E919" s="28" t="str">
        <f>IF(履歴データ!$A$919="","",(履歴データ!$D$919-履歴データ!$C$919)*100)</f>
        <v/>
      </c>
      <c r="F919" s="28" t="str">
        <f>IF(履歴データ!$A$919="","",(履歴データ!$R$919-履歴データ!$D$919)*100)</f>
        <v/>
      </c>
      <c r="G919" s="28" t="str">
        <f>IF(履歴データ!$A$919="","",(履歴データ!$S$919-履歴データ!$R$919)*100)</f>
        <v/>
      </c>
      <c r="H919" s="29" t="str">
        <f>IF(履歴データ!$A$919="","",履歴データ!$O$919)</f>
        <v/>
      </c>
      <c r="I919" s="29" t="str">
        <f>IF(履歴データ!$A$919="","",履歴データ!$Q$919)</f>
        <v/>
      </c>
      <c r="J919" s="29" t="str">
        <f>IF(履歴データ!$A$919="","",履歴データ!$D$919)</f>
        <v/>
      </c>
      <c r="K919" s="28" t="str">
        <f>IF(OR(履歴データ!$A$919="",履歴データ!$A$918=""),"",B919-B918)</f>
        <v/>
      </c>
      <c r="L919" s="28" t="str">
        <f>IF(OR(履歴データ!$A$919="",履歴データ!$A$918=""),"",C919-C918)</f>
        <v/>
      </c>
      <c r="M919" s="28" t="str">
        <f>IF(OR(履歴データ!$A$919="",履歴データ!$A$918=""),"",D919-D918)</f>
        <v/>
      </c>
      <c r="N919" s="28" t="str">
        <f>IF(OR(履歴データ!$A$919="",履歴データ!$A$918=""),"",E919-E918)</f>
        <v/>
      </c>
      <c r="O919" s="28" t="str">
        <f>IF(OR(履歴データ!$A$919="",履歴データ!$A$918=""),"",F919-F918)</f>
        <v/>
      </c>
      <c r="P919" s="28" t="str">
        <f>IF(OR(履歴データ!$A$919="",履歴データ!$A$918=""),"",G919-G918)</f>
        <v/>
      </c>
      <c r="Q919" s="29" t="str">
        <f>IF(OR(履歴データ!$A$919="",履歴データ!$A$918=""),"",H919-H918)</f>
        <v/>
      </c>
      <c r="R919" s="29" t="str">
        <f>IF(OR(履歴データ!$A$919="",履歴データ!$A$918=""),"",I919-I918)</f>
        <v/>
      </c>
      <c r="S919" s="28" t="str">
        <f>IF(OR(履歴データ!$A$919="",履歴データ!$A$918=""),"",(J919-J918)*100)</f>
        <v/>
      </c>
      <c r="T919" s="11" t="str">
        <f>IF(OR(履歴データ!$A$919="",履歴データ!$A$918=""),"",-80000*K919)</f>
        <v/>
      </c>
      <c r="U919" s="11" t="str">
        <f>IF(OR(履歴データ!$A$919="",履歴データ!$A$918=""),"",60000*L919)</f>
        <v/>
      </c>
      <c r="V919" s="11" t="str">
        <f>IF(OR(履歴データ!$A$919="",履歴データ!$A$918=""),"",-50000*M919)</f>
        <v/>
      </c>
      <c r="W919" s="11" t="str">
        <f>IF(OR(履歴データ!$A$919="",履歴データ!$A$918=""),"",-40000*N919)</f>
        <v/>
      </c>
      <c r="X919" s="11" t="str">
        <f>IF(OR(履歴データ!$A$919="",履歴データ!$A$918=""),"",120*1000000*(-Q919/H918))</f>
        <v/>
      </c>
      <c r="Y919" s="11" t="str">
        <f>IF(OR(履歴データ!$A$919="",履歴データ!$A$918=""),"",40000*(-S919)+(-506.3)*R919*1000)</f>
        <v/>
      </c>
      <c r="Z919" s="11" t="str">
        <f>IF(OR(履歴データ!$A$919="",履歴データ!$A$918=""),"",-40000*O919)</f>
        <v/>
      </c>
      <c r="AA919" s="11" t="str">
        <f>IF(OR(履歴データ!$A$919="",履歴データ!$A$918=""),"",-40000*P919)</f>
        <v/>
      </c>
      <c r="AB919" s="11" t="str">
        <f>IF(履歴データ!$A$919="","",123.3)</f>
        <v/>
      </c>
      <c r="AC919" t="str">
        <f>IF(履歴データ!$A$919="","",SUM(T919:AA919))</f>
        <v/>
      </c>
      <c r="AD919" s="29" t="str">
        <f>IF(履歴データ!$A$919="","",AC919/1000000)</f>
        <v/>
      </c>
      <c r="AE919" s="29">
        <f>IF(履歴データ!$A$919="",AE918,AE918+AC919/1000000)</f>
        <v>70.844544225831427</v>
      </c>
      <c r="AF919" s="12" t="str">
        <f>IF(OR(履歴データ!$A$919="",AE918=0),"",(AE919-AE918)/AE918)</f>
        <v/>
      </c>
      <c r="AG919" s="29">
        <f t="shared" si="44"/>
        <v>102.17217746631495</v>
      </c>
      <c r="AH919" s="12" t="str">
        <f>IF(OR(履歴データ!$A$919="",AG919=0),"",AE919/AG919-1)</f>
        <v/>
      </c>
    </row>
    <row r="920" spans="1:34">
      <c r="A920" s="10" t="str">
        <f>IF(履歴データ!$A$920="","",履歴データ!$A$920)</f>
        <v/>
      </c>
      <c r="B920" s="28" t="str">
        <f>IF(履歴データ!$A$920="","",(履歴データ!$D$920-(履歴データ!$B$920+履歴データ!$F$920)/2)*100)</f>
        <v/>
      </c>
      <c r="C920" s="28" t="str">
        <f>IF(履歴データ!$A$920="","",(履歴データ!$H$920-(履歴データ!$G$920+履歴データ!$J$920)/2)*100)</f>
        <v/>
      </c>
      <c r="D920" s="28" t="str">
        <f>IF(履歴データ!$A$920="","",(履歴データ!$D$920-履歴データ!$H$920)*100)</f>
        <v/>
      </c>
      <c r="E920" s="28" t="str">
        <f>IF(履歴データ!$A$920="","",(履歴データ!$D$920-履歴データ!$C$920)*100)</f>
        <v/>
      </c>
      <c r="F920" s="28" t="str">
        <f>IF(履歴データ!$A$920="","",(履歴データ!$R$920-履歴データ!$D$920)*100)</f>
        <v/>
      </c>
      <c r="G920" s="28" t="str">
        <f>IF(履歴データ!$A$920="","",(履歴データ!$S$920-履歴データ!$R$920)*100)</f>
        <v/>
      </c>
      <c r="H920" s="29" t="str">
        <f>IF(履歴データ!$A$920="","",履歴データ!$O$920)</f>
        <v/>
      </c>
      <c r="I920" s="29" t="str">
        <f>IF(履歴データ!$A$920="","",履歴データ!$Q$920)</f>
        <v/>
      </c>
      <c r="J920" s="29" t="str">
        <f>IF(履歴データ!$A$920="","",履歴データ!$D$920)</f>
        <v/>
      </c>
      <c r="K920" s="28" t="str">
        <f>IF(OR(履歴データ!$A$920="",履歴データ!$A$919=""),"",B920-B919)</f>
        <v/>
      </c>
      <c r="L920" s="28" t="str">
        <f>IF(OR(履歴データ!$A$920="",履歴データ!$A$919=""),"",C920-C919)</f>
        <v/>
      </c>
      <c r="M920" s="28" t="str">
        <f>IF(OR(履歴データ!$A$920="",履歴データ!$A$919=""),"",D920-D919)</f>
        <v/>
      </c>
      <c r="N920" s="28" t="str">
        <f>IF(OR(履歴データ!$A$920="",履歴データ!$A$919=""),"",E920-E919)</f>
        <v/>
      </c>
      <c r="O920" s="28" t="str">
        <f>IF(OR(履歴データ!$A$920="",履歴データ!$A$919=""),"",F920-F919)</f>
        <v/>
      </c>
      <c r="P920" s="28" t="str">
        <f>IF(OR(履歴データ!$A$920="",履歴データ!$A$919=""),"",G920-G919)</f>
        <v/>
      </c>
      <c r="Q920" s="29" t="str">
        <f>IF(OR(履歴データ!$A$920="",履歴データ!$A$919=""),"",H920-H919)</f>
        <v/>
      </c>
      <c r="R920" s="29" t="str">
        <f>IF(OR(履歴データ!$A$920="",履歴データ!$A$919=""),"",I920-I919)</f>
        <v/>
      </c>
      <c r="S920" s="28" t="str">
        <f>IF(OR(履歴データ!$A$920="",履歴データ!$A$919=""),"",(J920-J919)*100)</f>
        <v/>
      </c>
      <c r="T920" s="11" t="str">
        <f>IF(OR(履歴データ!$A$920="",履歴データ!$A$919=""),"",-80000*K920)</f>
        <v/>
      </c>
      <c r="U920" s="11" t="str">
        <f>IF(OR(履歴データ!$A$920="",履歴データ!$A$919=""),"",60000*L920)</f>
        <v/>
      </c>
      <c r="V920" s="11" t="str">
        <f>IF(OR(履歴データ!$A$920="",履歴データ!$A$919=""),"",-50000*M920)</f>
        <v/>
      </c>
      <c r="W920" s="11" t="str">
        <f>IF(OR(履歴データ!$A$920="",履歴データ!$A$919=""),"",-40000*N920)</f>
        <v/>
      </c>
      <c r="X920" s="11" t="str">
        <f>IF(OR(履歴データ!$A$920="",履歴データ!$A$919=""),"",120*1000000*(-Q920/H919))</f>
        <v/>
      </c>
      <c r="Y920" s="11" t="str">
        <f>IF(OR(履歴データ!$A$920="",履歴データ!$A$919=""),"",40000*(-S920)+(-506.3)*R920*1000)</f>
        <v/>
      </c>
      <c r="Z920" s="11" t="str">
        <f>IF(OR(履歴データ!$A$920="",履歴データ!$A$919=""),"",-40000*O920)</f>
        <v/>
      </c>
      <c r="AA920" s="11" t="str">
        <f>IF(OR(履歴データ!$A$920="",履歴データ!$A$919=""),"",-40000*P920)</f>
        <v/>
      </c>
      <c r="AB920" s="11" t="str">
        <f>IF(履歴データ!$A$920="","",123.3)</f>
        <v/>
      </c>
      <c r="AC920" t="str">
        <f>IF(履歴データ!$A$920="","",SUM(T920:AA920))</f>
        <v/>
      </c>
      <c r="AD920" s="29" t="str">
        <f>IF(履歴データ!$A$920="","",AC920/1000000)</f>
        <v/>
      </c>
      <c r="AE920" s="29">
        <f>IF(履歴データ!$A$920="",AE919,AE919+AC920/1000000)</f>
        <v>70.844544225831427</v>
      </c>
      <c r="AF920" s="12" t="str">
        <f>IF(OR(履歴データ!$A$920="",AE919=0),"",(AE920-AE919)/AE919)</f>
        <v/>
      </c>
      <c r="AG920" s="29">
        <f t="shared" si="44"/>
        <v>102.17217746631495</v>
      </c>
      <c r="AH920" s="12" t="str">
        <f>IF(OR(履歴データ!$A$920="",AG920=0),"",AE920/AG920-1)</f>
        <v/>
      </c>
    </row>
    <row r="921" spans="1:34">
      <c r="A921" s="10" t="str">
        <f>IF(履歴データ!$A$921="","",履歴データ!$A$921)</f>
        <v/>
      </c>
      <c r="B921" s="28" t="str">
        <f>IF(履歴データ!$A$921="","",(履歴データ!$D$921-(履歴データ!$B$921+履歴データ!$F$921)/2)*100)</f>
        <v/>
      </c>
      <c r="C921" s="28" t="str">
        <f>IF(履歴データ!$A$921="","",(履歴データ!$H$921-(履歴データ!$G$921+履歴データ!$J$921)/2)*100)</f>
        <v/>
      </c>
      <c r="D921" s="28" t="str">
        <f>IF(履歴データ!$A$921="","",(履歴データ!$D$921-履歴データ!$H$921)*100)</f>
        <v/>
      </c>
      <c r="E921" s="28" t="str">
        <f>IF(履歴データ!$A$921="","",(履歴データ!$D$921-履歴データ!$C$921)*100)</f>
        <v/>
      </c>
      <c r="F921" s="28" t="str">
        <f>IF(履歴データ!$A$921="","",(履歴データ!$R$921-履歴データ!$D$921)*100)</f>
        <v/>
      </c>
      <c r="G921" s="28" t="str">
        <f>IF(履歴データ!$A$921="","",(履歴データ!$S$921-履歴データ!$R$921)*100)</f>
        <v/>
      </c>
      <c r="H921" s="29" t="str">
        <f>IF(履歴データ!$A$921="","",履歴データ!$O$921)</f>
        <v/>
      </c>
      <c r="I921" s="29" t="str">
        <f>IF(履歴データ!$A$921="","",履歴データ!$Q$921)</f>
        <v/>
      </c>
      <c r="J921" s="29" t="str">
        <f>IF(履歴データ!$A$921="","",履歴データ!$D$921)</f>
        <v/>
      </c>
      <c r="K921" s="28" t="str">
        <f>IF(OR(履歴データ!$A$921="",履歴データ!$A$920=""),"",B921-B920)</f>
        <v/>
      </c>
      <c r="L921" s="28" t="str">
        <f>IF(OR(履歴データ!$A$921="",履歴データ!$A$920=""),"",C921-C920)</f>
        <v/>
      </c>
      <c r="M921" s="28" t="str">
        <f>IF(OR(履歴データ!$A$921="",履歴データ!$A$920=""),"",D921-D920)</f>
        <v/>
      </c>
      <c r="N921" s="28" t="str">
        <f>IF(OR(履歴データ!$A$921="",履歴データ!$A$920=""),"",E921-E920)</f>
        <v/>
      </c>
      <c r="O921" s="28" t="str">
        <f>IF(OR(履歴データ!$A$921="",履歴データ!$A$920=""),"",F921-F920)</f>
        <v/>
      </c>
      <c r="P921" s="28" t="str">
        <f>IF(OR(履歴データ!$A$921="",履歴データ!$A$920=""),"",G921-G920)</f>
        <v/>
      </c>
      <c r="Q921" s="29" t="str">
        <f>IF(OR(履歴データ!$A$921="",履歴データ!$A$920=""),"",H921-H920)</f>
        <v/>
      </c>
      <c r="R921" s="29" t="str">
        <f>IF(OR(履歴データ!$A$921="",履歴データ!$A$920=""),"",I921-I920)</f>
        <v/>
      </c>
      <c r="S921" s="28" t="str">
        <f>IF(OR(履歴データ!$A$921="",履歴データ!$A$920=""),"",(J921-J920)*100)</f>
        <v/>
      </c>
      <c r="T921" s="11" t="str">
        <f>IF(OR(履歴データ!$A$921="",履歴データ!$A$920=""),"",-80000*K921)</f>
        <v/>
      </c>
      <c r="U921" s="11" t="str">
        <f>IF(OR(履歴データ!$A$921="",履歴データ!$A$920=""),"",60000*L921)</f>
        <v/>
      </c>
      <c r="V921" s="11" t="str">
        <f>IF(OR(履歴データ!$A$921="",履歴データ!$A$920=""),"",-50000*M921)</f>
        <v/>
      </c>
      <c r="W921" s="11" t="str">
        <f>IF(OR(履歴データ!$A$921="",履歴データ!$A$920=""),"",-40000*N921)</f>
        <v/>
      </c>
      <c r="X921" s="11" t="str">
        <f>IF(OR(履歴データ!$A$921="",履歴データ!$A$920=""),"",120*1000000*(-Q921/H920))</f>
        <v/>
      </c>
      <c r="Y921" s="11" t="str">
        <f>IF(OR(履歴データ!$A$921="",履歴データ!$A$920=""),"",40000*(-S921)+(-506.3)*R921*1000)</f>
        <v/>
      </c>
      <c r="Z921" s="11" t="str">
        <f>IF(OR(履歴データ!$A$921="",履歴データ!$A$920=""),"",-40000*O921)</f>
        <v/>
      </c>
      <c r="AA921" s="11" t="str">
        <f>IF(OR(履歴データ!$A$921="",履歴データ!$A$920=""),"",-40000*P921)</f>
        <v/>
      </c>
      <c r="AB921" s="11" t="str">
        <f>IF(履歴データ!$A$921="","",123.3)</f>
        <v/>
      </c>
      <c r="AC921" t="str">
        <f>IF(履歴データ!$A$921="","",SUM(T921:AA921))</f>
        <v/>
      </c>
      <c r="AD921" s="29" t="str">
        <f>IF(履歴データ!$A$921="","",AC921/1000000)</f>
        <v/>
      </c>
      <c r="AE921" s="29">
        <f>IF(履歴データ!$A$921="",AE920,AE920+AC921/1000000)</f>
        <v>70.844544225831427</v>
      </c>
      <c r="AF921" s="12" t="str">
        <f>IF(OR(履歴データ!$A$921="",AE920=0),"",(AE921-AE920)/AE920)</f>
        <v/>
      </c>
      <c r="AG921" s="29">
        <f t="shared" si="44"/>
        <v>102.17217746631495</v>
      </c>
      <c r="AH921" s="12" t="str">
        <f>IF(OR(履歴データ!$A$921="",AG921=0),"",AE921/AG921-1)</f>
        <v/>
      </c>
    </row>
    <row r="922" spans="1:34">
      <c r="A922" s="10" t="str">
        <f>IF(履歴データ!$A$922="","",履歴データ!$A$922)</f>
        <v/>
      </c>
      <c r="B922" s="28" t="str">
        <f>IF(履歴データ!$A$922="","",(履歴データ!$D$922-(履歴データ!$B$922+履歴データ!$F$922)/2)*100)</f>
        <v/>
      </c>
      <c r="C922" s="28" t="str">
        <f>IF(履歴データ!$A$922="","",(履歴データ!$H$922-(履歴データ!$G$922+履歴データ!$J$922)/2)*100)</f>
        <v/>
      </c>
      <c r="D922" s="28" t="str">
        <f>IF(履歴データ!$A$922="","",(履歴データ!$D$922-履歴データ!$H$922)*100)</f>
        <v/>
      </c>
      <c r="E922" s="28" t="str">
        <f>IF(履歴データ!$A$922="","",(履歴データ!$D$922-履歴データ!$C$922)*100)</f>
        <v/>
      </c>
      <c r="F922" s="28" t="str">
        <f>IF(履歴データ!$A$922="","",(履歴データ!$R$922-履歴データ!$D$922)*100)</f>
        <v/>
      </c>
      <c r="G922" s="28" t="str">
        <f>IF(履歴データ!$A$922="","",(履歴データ!$S$922-履歴データ!$R$922)*100)</f>
        <v/>
      </c>
      <c r="H922" s="29" t="str">
        <f>IF(履歴データ!$A$922="","",履歴データ!$O$922)</f>
        <v/>
      </c>
      <c r="I922" s="29" t="str">
        <f>IF(履歴データ!$A$922="","",履歴データ!$Q$922)</f>
        <v/>
      </c>
      <c r="J922" s="29" t="str">
        <f>IF(履歴データ!$A$922="","",履歴データ!$D$922)</f>
        <v/>
      </c>
      <c r="K922" s="28" t="str">
        <f>IF(OR(履歴データ!$A$922="",履歴データ!$A$921=""),"",B922-B921)</f>
        <v/>
      </c>
      <c r="L922" s="28" t="str">
        <f>IF(OR(履歴データ!$A$922="",履歴データ!$A$921=""),"",C922-C921)</f>
        <v/>
      </c>
      <c r="M922" s="28" t="str">
        <f>IF(OR(履歴データ!$A$922="",履歴データ!$A$921=""),"",D922-D921)</f>
        <v/>
      </c>
      <c r="N922" s="28" t="str">
        <f>IF(OR(履歴データ!$A$922="",履歴データ!$A$921=""),"",E922-E921)</f>
        <v/>
      </c>
      <c r="O922" s="28" t="str">
        <f>IF(OR(履歴データ!$A$922="",履歴データ!$A$921=""),"",F922-F921)</f>
        <v/>
      </c>
      <c r="P922" s="28" t="str">
        <f>IF(OR(履歴データ!$A$922="",履歴データ!$A$921=""),"",G922-G921)</f>
        <v/>
      </c>
      <c r="Q922" s="29" t="str">
        <f>IF(OR(履歴データ!$A$922="",履歴データ!$A$921=""),"",H922-H921)</f>
        <v/>
      </c>
      <c r="R922" s="29" t="str">
        <f>IF(OR(履歴データ!$A$922="",履歴データ!$A$921=""),"",I922-I921)</f>
        <v/>
      </c>
      <c r="S922" s="28" t="str">
        <f>IF(OR(履歴データ!$A$922="",履歴データ!$A$921=""),"",(J922-J921)*100)</f>
        <v/>
      </c>
      <c r="T922" s="11" t="str">
        <f>IF(OR(履歴データ!$A$922="",履歴データ!$A$921=""),"",-80000*K922)</f>
        <v/>
      </c>
      <c r="U922" s="11" t="str">
        <f>IF(OR(履歴データ!$A$922="",履歴データ!$A$921=""),"",60000*L922)</f>
        <v/>
      </c>
      <c r="V922" s="11" t="str">
        <f>IF(OR(履歴データ!$A$922="",履歴データ!$A$921=""),"",-50000*M922)</f>
        <v/>
      </c>
      <c r="W922" s="11" t="str">
        <f>IF(OR(履歴データ!$A$922="",履歴データ!$A$921=""),"",-40000*N922)</f>
        <v/>
      </c>
      <c r="X922" s="11" t="str">
        <f>IF(OR(履歴データ!$A$922="",履歴データ!$A$921=""),"",120*1000000*(-Q922/H921))</f>
        <v/>
      </c>
      <c r="Y922" s="11" t="str">
        <f>IF(OR(履歴データ!$A$922="",履歴データ!$A$921=""),"",40000*(-S922)+(-506.3)*R922*1000)</f>
        <v/>
      </c>
      <c r="Z922" s="11" t="str">
        <f>IF(OR(履歴データ!$A$922="",履歴データ!$A$921=""),"",-40000*O922)</f>
        <v/>
      </c>
      <c r="AA922" s="11" t="str">
        <f>IF(OR(履歴データ!$A$922="",履歴データ!$A$921=""),"",-40000*P922)</f>
        <v/>
      </c>
      <c r="AB922" s="11" t="str">
        <f>IF(履歴データ!$A$922="","",123.3)</f>
        <v/>
      </c>
      <c r="AC922" t="str">
        <f>IF(履歴データ!$A$922="","",SUM(T922:AA922))</f>
        <v/>
      </c>
      <c r="AD922" s="29" t="str">
        <f>IF(履歴データ!$A$922="","",AC922/1000000)</f>
        <v/>
      </c>
      <c r="AE922" s="29">
        <f>IF(履歴データ!$A$922="",AE921,AE921+AC922/1000000)</f>
        <v>70.844544225831427</v>
      </c>
      <c r="AF922" s="12" t="str">
        <f>IF(OR(履歴データ!$A$922="",AE921=0),"",(AE922-AE921)/AE921)</f>
        <v/>
      </c>
      <c r="AG922" s="29">
        <f t="shared" si="44"/>
        <v>102.17217746631495</v>
      </c>
      <c r="AH922" s="12" t="str">
        <f>IF(OR(履歴データ!$A$922="",AG922=0),"",AE922/AG922-1)</f>
        <v/>
      </c>
    </row>
    <row r="923" spans="1:34">
      <c r="A923" s="10" t="str">
        <f>IF(履歴データ!$A$923="","",履歴データ!$A$923)</f>
        <v/>
      </c>
      <c r="B923" s="28" t="str">
        <f>IF(履歴データ!$A$923="","",(履歴データ!$D$923-(履歴データ!$B$923+履歴データ!$F$923)/2)*100)</f>
        <v/>
      </c>
      <c r="C923" s="28" t="str">
        <f>IF(履歴データ!$A$923="","",(履歴データ!$H$923-(履歴データ!$G$923+履歴データ!$J$923)/2)*100)</f>
        <v/>
      </c>
      <c r="D923" s="28" t="str">
        <f>IF(履歴データ!$A$923="","",(履歴データ!$D$923-履歴データ!$H$923)*100)</f>
        <v/>
      </c>
      <c r="E923" s="28" t="str">
        <f>IF(履歴データ!$A$923="","",(履歴データ!$D$923-履歴データ!$C$923)*100)</f>
        <v/>
      </c>
      <c r="F923" s="28" t="str">
        <f>IF(履歴データ!$A$923="","",(履歴データ!$R$923-履歴データ!$D$923)*100)</f>
        <v/>
      </c>
      <c r="G923" s="28" t="str">
        <f>IF(履歴データ!$A$923="","",(履歴データ!$S$923-履歴データ!$R$923)*100)</f>
        <v/>
      </c>
      <c r="H923" s="29" t="str">
        <f>IF(履歴データ!$A$923="","",履歴データ!$O$923)</f>
        <v/>
      </c>
      <c r="I923" s="29" t="str">
        <f>IF(履歴データ!$A$923="","",履歴データ!$Q$923)</f>
        <v/>
      </c>
      <c r="J923" s="29" t="str">
        <f>IF(履歴データ!$A$923="","",履歴データ!$D$923)</f>
        <v/>
      </c>
      <c r="K923" s="28" t="str">
        <f>IF(OR(履歴データ!$A$923="",履歴データ!$A$922=""),"",B923-B922)</f>
        <v/>
      </c>
      <c r="L923" s="28" t="str">
        <f>IF(OR(履歴データ!$A$923="",履歴データ!$A$922=""),"",C923-C922)</f>
        <v/>
      </c>
      <c r="M923" s="28" t="str">
        <f>IF(OR(履歴データ!$A$923="",履歴データ!$A$922=""),"",D923-D922)</f>
        <v/>
      </c>
      <c r="N923" s="28" t="str">
        <f>IF(OR(履歴データ!$A$923="",履歴データ!$A$922=""),"",E923-E922)</f>
        <v/>
      </c>
      <c r="O923" s="28" t="str">
        <f>IF(OR(履歴データ!$A$923="",履歴データ!$A$922=""),"",F923-F922)</f>
        <v/>
      </c>
      <c r="P923" s="28" t="str">
        <f>IF(OR(履歴データ!$A$923="",履歴データ!$A$922=""),"",G923-G922)</f>
        <v/>
      </c>
      <c r="Q923" s="29" t="str">
        <f>IF(OR(履歴データ!$A$923="",履歴データ!$A$922=""),"",H923-H922)</f>
        <v/>
      </c>
      <c r="R923" s="29" t="str">
        <f>IF(OR(履歴データ!$A$923="",履歴データ!$A$922=""),"",I923-I922)</f>
        <v/>
      </c>
      <c r="S923" s="28" t="str">
        <f>IF(OR(履歴データ!$A$923="",履歴データ!$A$922=""),"",(J923-J922)*100)</f>
        <v/>
      </c>
      <c r="T923" s="11" t="str">
        <f>IF(OR(履歴データ!$A$923="",履歴データ!$A$922=""),"",-80000*K923)</f>
        <v/>
      </c>
      <c r="U923" s="11" t="str">
        <f>IF(OR(履歴データ!$A$923="",履歴データ!$A$922=""),"",60000*L923)</f>
        <v/>
      </c>
      <c r="V923" s="11" t="str">
        <f>IF(OR(履歴データ!$A$923="",履歴データ!$A$922=""),"",-50000*M923)</f>
        <v/>
      </c>
      <c r="W923" s="11" t="str">
        <f>IF(OR(履歴データ!$A$923="",履歴データ!$A$922=""),"",-40000*N923)</f>
        <v/>
      </c>
      <c r="X923" s="11" t="str">
        <f>IF(OR(履歴データ!$A$923="",履歴データ!$A$922=""),"",120*1000000*(-Q923/H922))</f>
        <v/>
      </c>
      <c r="Y923" s="11" t="str">
        <f>IF(OR(履歴データ!$A$923="",履歴データ!$A$922=""),"",40000*(-S923)+(-506.3)*R923*1000)</f>
        <v/>
      </c>
      <c r="Z923" s="11" t="str">
        <f>IF(OR(履歴データ!$A$923="",履歴データ!$A$922=""),"",-40000*O923)</f>
        <v/>
      </c>
      <c r="AA923" s="11" t="str">
        <f>IF(OR(履歴データ!$A$923="",履歴データ!$A$922=""),"",-40000*P923)</f>
        <v/>
      </c>
      <c r="AB923" s="11" t="str">
        <f>IF(履歴データ!$A$923="","",123.3)</f>
        <v/>
      </c>
      <c r="AC923" t="str">
        <f>IF(履歴データ!$A$923="","",SUM(T923:AA923))</f>
        <v/>
      </c>
      <c r="AD923" s="29" t="str">
        <f>IF(履歴データ!$A$923="","",AC923/1000000)</f>
        <v/>
      </c>
      <c r="AE923" s="29">
        <f>IF(履歴データ!$A$923="",AE922,AE922+AC923/1000000)</f>
        <v>70.844544225831427</v>
      </c>
      <c r="AF923" s="12" t="str">
        <f>IF(OR(履歴データ!$A$923="",AE922=0),"",(AE923-AE922)/AE922)</f>
        <v/>
      </c>
      <c r="AG923" s="29">
        <f t="shared" si="44"/>
        <v>102.17217746631495</v>
      </c>
      <c r="AH923" s="12" t="str">
        <f>IF(OR(履歴データ!$A$923="",AG923=0),"",AE923/AG923-1)</f>
        <v/>
      </c>
    </row>
    <row r="924" spans="1:34">
      <c r="A924" s="10" t="str">
        <f>IF(履歴データ!$A$924="","",履歴データ!$A$924)</f>
        <v/>
      </c>
      <c r="B924" s="28" t="str">
        <f>IF(履歴データ!$A$924="","",(履歴データ!$D$924-(履歴データ!$B$924+履歴データ!$F$924)/2)*100)</f>
        <v/>
      </c>
      <c r="C924" s="28" t="str">
        <f>IF(履歴データ!$A$924="","",(履歴データ!$H$924-(履歴データ!$G$924+履歴データ!$J$924)/2)*100)</f>
        <v/>
      </c>
      <c r="D924" s="28" t="str">
        <f>IF(履歴データ!$A$924="","",(履歴データ!$D$924-履歴データ!$H$924)*100)</f>
        <v/>
      </c>
      <c r="E924" s="28" t="str">
        <f>IF(履歴データ!$A$924="","",(履歴データ!$D$924-履歴データ!$C$924)*100)</f>
        <v/>
      </c>
      <c r="F924" s="28" t="str">
        <f>IF(履歴データ!$A$924="","",(履歴データ!$R$924-履歴データ!$D$924)*100)</f>
        <v/>
      </c>
      <c r="G924" s="28" t="str">
        <f>IF(履歴データ!$A$924="","",(履歴データ!$S$924-履歴データ!$R$924)*100)</f>
        <v/>
      </c>
      <c r="H924" s="29" t="str">
        <f>IF(履歴データ!$A$924="","",履歴データ!$O$924)</f>
        <v/>
      </c>
      <c r="I924" s="29" t="str">
        <f>IF(履歴データ!$A$924="","",履歴データ!$Q$924)</f>
        <v/>
      </c>
      <c r="J924" s="29" t="str">
        <f>IF(履歴データ!$A$924="","",履歴データ!$D$924)</f>
        <v/>
      </c>
      <c r="K924" s="28" t="str">
        <f>IF(OR(履歴データ!$A$924="",履歴データ!$A$923=""),"",B924-B923)</f>
        <v/>
      </c>
      <c r="L924" s="28" t="str">
        <f>IF(OR(履歴データ!$A$924="",履歴データ!$A$923=""),"",C924-C923)</f>
        <v/>
      </c>
      <c r="M924" s="28" t="str">
        <f>IF(OR(履歴データ!$A$924="",履歴データ!$A$923=""),"",D924-D923)</f>
        <v/>
      </c>
      <c r="N924" s="28" t="str">
        <f>IF(OR(履歴データ!$A$924="",履歴データ!$A$923=""),"",E924-E923)</f>
        <v/>
      </c>
      <c r="O924" s="28" t="str">
        <f>IF(OR(履歴データ!$A$924="",履歴データ!$A$923=""),"",F924-F923)</f>
        <v/>
      </c>
      <c r="P924" s="28" t="str">
        <f>IF(OR(履歴データ!$A$924="",履歴データ!$A$923=""),"",G924-G923)</f>
        <v/>
      </c>
      <c r="Q924" s="29" t="str">
        <f>IF(OR(履歴データ!$A$924="",履歴データ!$A$923=""),"",H924-H923)</f>
        <v/>
      </c>
      <c r="R924" s="29" t="str">
        <f>IF(OR(履歴データ!$A$924="",履歴データ!$A$923=""),"",I924-I923)</f>
        <v/>
      </c>
      <c r="S924" s="28" t="str">
        <f>IF(OR(履歴データ!$A$924="",履歴データ!$A$923=""),"",(J924-J923)*100)</f>
        <v/>
      </c>
      <c r="T924" s="11" t="str">
        <f>IF(OR(履歴データ!$A$924="",履歴データ!$A$923=""),"",-80000*K924)</f>
        <v/>
      </c>
      <c r="U924" s="11" t="str">
        <f>IF(OR(履歴データ!$A$924="",履歴データ!$A$923=""),"",60000*L924)</f>
        <v/>
      </c>
      <c r="V924" s="11" t="str">
        <f>IF(OR(履歴データ!$A$924="",履歴データ!$A$923=""),"",-50000*M924)</f>
        <v/>
      </c>
      <c r="W924" s="11" t="str">
        <f>IF(OR(履歴データ!$A$924="",履歴データ!$A$923=""),"",-40000*N924)</f>
        <v/>
      </c>
      <c r="X924" s="11" t="str">
        <f>IF(OR(履歴データ!$A$924="",履歴データ!$A$923=""),"",120*1000000*(-Q924/H923))</f>
        <v/>
      </c>
      <c r="Y924" s="11" t="str">
        <f>IF(OR(履歴データ!$A$924="",履歴データ!$A$923=""),"",40000*(-S924)+(-506.3)*R924*1000)</f>
        <v/>
      </c>
      <c r="Z924" s="11" t="str">
        <f>IF(OR(履歴データ!$A$924="",履歴データ!$A$923=""),"",-40000*O924)</f>
        <v/>
      </c>
      <c r="AA924" s="11" t="str">
        <f>IF(OR(履歴データ!$A$924="",履歴データ!$A$923=""),"",-40000*P924)</f>
        <v/>
      </c>
      <c r="AB924" s="11" t="str">
        <f>IF(履歴データ!$A$924="","",123.3)</f>
        <v/>
      </c>
      <c r="AC924" t="str">
        <f>IF(履歴データ!$A$924="","",SUM(T924:AA924))</f>
        <v/>
      </c>
      <c r="AD924" s="29" t="str">
        <f>IF(履歴データ!$A$924="","",AC924/1000000)</f>
        <v/>
      </c>
      <c r="AE924" s="29">
        <f>IF(履歴データ!$A$924="",AE923,AE923+AC924/1000000)</f>
        <v>70.844544225831427</v>
      </c>
      <c r="AF924" s="12" t="str">
        <f>IF(OR(履歴データ!$A$924="",AE923=0),"",(AE924-AE923)/AE923)</f>
        <v/>
      </c>
      <c r="AG924" s="29">
        <f t="shared" si="44"/>
        <v>102.17217746631495</v>
      </c>
      <c r="AH924" s="12" t="str">
        <f>IF(OR(履歴データ!$A$924="",AG924=0),"",AE924/AG924-1)</f>
        <v/>
      </c>
    </row>
    <row r="925" spans="1:34">
      <c r="A925" s="10" t="str">
        <f>IF(履歴データ!$A$925="","",履歴データ!$A$925)</f>
        <v/>
      </c>
      <c r="B925" s="28" t="str">
        <f>IF(履歴データ!$A$925="","",(履歴データ!$D$925-(履歴データ!$B$925+履歴データ!$F$925)/2)*100)</f>
        <v/>
      </c>
      <c r="C925" s="28" t="str">
        <f>IF(履歴データ!$A$925="","",(履歴データ!$H$925-(履歴データ!$G$925+履歴データ!$J$925)/2)*100)</f>
        <v/>
      </c>
      <c r="D925" s="28" t="str">
        <f>IF(履歴データ!$A$925="","",(履歴データ!$D$925-履歴データ!$H$925)*100)</f>
        <v/>
      </c>
      <c r="E925" s="28" t="str">
        <f>IF(履歴データ!$A$925="","",(履歴データ!$D$925-履歴データ!$C$925)*100)</f>
        <v/>
      </c>
      <c r="F925" s="28" t="str">
        <f>IF(履歴データ!$A$925="","",(履歴データ!$R$925-履歴データ!$D$925)*100)</f>
        <v/>
      </c>
      <c r="G925" s="28" t="str">
        <f>IF(履歴データ!$A$925="","",(履歴データ!$S$925-履歴データ!$R$925)*100)</f>
        <v/>
      </c>
      <c r="H925" s="29" t="str">
        <f>IF(履歴データ!$A$925="","",履歴データ!$O$925)</f>
        <v/>
      </c>
      <c r="I925" s="29" t="str">
        <f>IF(履歴データ!$A$925="","",履歴データ!$Q$925)</f>
        <v/>
      </c>
      <c r="J925" s="29" t="str">
        <f>IF(履歴データ!$A$925="","",履歴データ!$D$925)</f>
        <v/>
      </c>
      <c r="K925" s="28" t="str">
        <f>IF(OR(履歴データ!$A$925="",履歴データ!$A$924=""),"",B925-B924)</f>
        <v/>
      </c>
      <c r="L925" s="28" t="str">
        <f>IF(OR(履歴データ!$A$925="",履歴データ!$A$924=""),"",C925-C924)</f>
        <v/>
      </c>
      <c r="M925" s="28" t="str">
        <f>IF(OR(履歴データ!$A$925="",履歴データ!$A$924=""),"",D925-D924)</f>
        <v/>
      </c>
      <c r="N925" s="28" t="str">
        <f>IF(OR(履歴データ!$A$925="",履歴データ!$A$924=""),"",E925-E924)</f>
        <v/>
      </c>
      <c r="O925" s="28" t="str">
        <f>IF(OR(履歴データ!$A$925="",履歴データ!$A$924=""),"",F925-F924)</f>
        <v/>
      </c>
      <c r="P925" s="28" t="str">
        <f>IF(OR(履歴データ!$A$925="",履歴データ!$A$924=""),"",G925-G924)</f>
        <v/>
      </c>
      <c r="Q925" s="29" t="str">
        <f>IF(OR(履歴データ!$A$925="",履歴データ!$A$924=""),"",H925-H924)</f>
        <v/>
      </c>
      <c r="R925" s="29" t="str">
        <f>IF(OR(履歴データ!$A$925="",履歴データ!$A$924=""),"",I925-I924)</f>
        <v/>
      </c>
      <c r="S925" s="28" t="str">
        <f>IF(OR(履歴データ!$A$925="",履歴データ!$A$924=""),"",(J925-J924)*100)</f>
        <v/>
      </c>
      <c r="T925" s="11" t="str">
        <f>IF(OR(履歴データ!$A$925="",履歴データ!$A$924=""),"",-80000*K925)</f>
        <v/>
      </c>
      <c r="U925" s="11" t="str">
        <f>IF(OR(履歴データ!$A$925="",履歴データ!$A$924=""),"",60000*L925)</f>
        <v/>
      </c>
      <c r="V925" s="11" t="str">
        <f>IF(OR(履歴データ!$A$925="",履歴データ!$A$924=""),"",-50000*M925)</f>
        <v/>
      </c>
      <c r="W925" s="11" t="str">
        <f>IF(OR(履歴データ!$A$925="",履歴データ!$A$924=""),"",-40000*N925)</f>
        <v/>
      </c>
      <c r="X925" s="11" t="str">
        <f>IF(OR(履歴データ!$A$925="",履歴データ!$A$924=""),"",120*1000000*(-Q925/H924))</f>
        <v/>
      </c>
      <c r="Y925" s="11" t="str">
        <f>IF(OR(履歴データ!$A$925="",履歴データ!$A$924=""),"",40000*(-S925)+(-506.3)*R925*1000)</f>
        <v/>
      </c>
      <c r="Z925" s="11" t="str">
        <f>IF(OR(履歴データ!$A$925="",履歴データ!$A$924=""),"",-40000*O925)</f>
        <v/>
      </c>
      <c r="AA925" s="11" t="str">
        <f>IF(OR(履歴データ!$A$925="",履歴データ!$A$924=""),"",-40000*P925)</f>
        <v/>
      </c>
      <c r="AB925" s="11" t="str">
        <f>IF(履歴データ!$A$925="","",123.3)</f>
        <v/>
      </c>
      <c r="AC925" t="str">
        <f>IF(履歴データ!$A$925="","",SUM(T925:AA925))</f>
        <v/>
      </c>
      <c r="AD925" s="29" t="str">
        <f>IF(履歴データ!$A$925="","",AC925/1000000)</f>
        <v/>
      </c>
      <c r="AE925" s="29">
        <f>IF(履歴データ!$A$925="",AE924,AE924+AC925/1000000)</f>
        <v>70.844544225831427</v>
      </c>
      <c r="AF925" s="12" t="str">
        <f>IF(OR(履歴データ!$A$925="",AE924=0),"",(AE925-AE924)/AE924)</f>
        <v/>
      </c>
      <c r="AG925" s="29">
        <f t="shared" si="44"/>
        <v>102.17217746631495</v>
      </c>
      <c r="AH925" s="12" t="str">
        <f>IF(OR(履歴データ!$A$925="",AG925=0),"",AE925/AG925-1)</f>
        <v/>
      </c>
    </row>
    <row r="926" spans="1:34">
      <c r="A926" s="10" t="str">
        <f>IF(履歴データ!$A$926="","",履歴データ!$A$926)</f>
        <v/>
      </c>
      <c r="B926" s="28" t="str">
        <f>IF(履歴データ!$A$926="","",(履歴データ!$D$926-(履歴データ!$B$926+履歴データ!$F$926)/2)*100)</f>
        <v/>
      </c>
      <c r="C926" s="28" t="str">
        <f>IF(履歴データ!$A$926="","",(履歴データ!$H$926-(履歴データ!$G$926+履歴データ!$J$926)/2)*100)</f>
        <v/>
      </c>
      <c r="D926" s="28" t="str">
        <f>IF(履歴データ!$A$926="","",(履歴データ!$D$926-履歴データ!$H$926)*100)</f>
        <v/>
      </c>
      <c r="E926" s="28" t="str">
        <f>IF(履歴データ!$A$926="","",(履歴データ!$D$926-履歴データ!$C$926)*100)</f>
        <v/>
      </c>
      <c r="F926" s="28" t="str">
        <f>IF(履歴データ!$A$926="","",(履歴データ!$R$926-履歴データ!$D$926)*100)</f>
        <v/>
      </c>
      <c r="G926" s="28" t="str">
        <f>IF(履歴データ!$A$926="","",(履歴データ!$S$926-履歴データ!$R$926)*100)</f>
        <v/>
      </c>
      <c r="H926" s="29" t="str">
        <f>IF(履歴データ!$A$926="","",履歴データ!$O$926)</f>
        <v/>
      </c>
      <c r="I926" s="29" t="str">
        <f>IF(履歴データ!$A$926="","",履歴データ!$Q$926)</f>
        <v/>
      </c>
      <c r="J926" s="29" t="str">
        <f>IF(履歴データ!$A$926="","",履歴データ!$D$926)</f>
        <v/>
      </c>
      <c r="K926" s="28" t="str">
        <f>IF(OR(履歴データ!$A$926="",履歴データ!$A$925=""),"",B926-B925)</f>
        <v/>
      </c>
      <c r="L926" s="28" t="str">
        <f>IF(OR(履歴データ!$A$926="",履歴データ!$A$925=""),"",C926-C925)</f>
        <v/>
      </c>
      <c r="M926" s="28" t="str">
        <f>IF(OR(履歴データ!$A$926="",履歴データ!$A$925=""),"",D926-D925)</f>
        <v/>
      </c>
      <c r="N926" s="28" t="str">
        <f>IF(OR(履歴データ!$A$926="",履歴データ!$A$925=""),"",E926-E925)</f>
        <v/>
      </c>
      <c r="O926" s="28" t="str">
        <f>IF(OR(履歴データ!$A$926="",履歴データ!$A$925=""),"",F926-F925)</f>
        <v/>
      </c>
      <c r="P926" s="28" t="str">
        <f>IF(OR(履歴データ!$A$926="",履歴データ!$A$925=""),"",G926-G925)</f>
        <v/>
      </c>
      <c r="Q926" s="29" t="str">
        <f>IF(OR(履歴データ!$A$926="",履歴データ!$A$925=""),"",H926-H925)</f>
        <v/>
      </c>
      <c r="R926" s="29" t="str">
        <f>IF(OR(履歴データ!$A$926="",履歴データ!$A$925=""),"",I926-I925)</f>
        <v/>
      </c>
      <c r="S926" s="28" t="str">
        <f>IF(OR(履歴データ!$A$926="",履歴データ!$A$925=""),"",(J926-J925)*100)</f>
        <v/>
      </c>
      <c r="T926" s="11" t="str">
        <f>IF(OR(履歴データ!$A$926="",履歴データ!$A$925=""),"",-80000*K926)</f>
        <v/>
      </c>
      <c r="U926" s="11" t="str">
        <f>IF(OR(履歴データ!$A$926="",履歴データ!$A$925=""),"",60000*L926)</f>
        <v/>
      </c>
      <c r="V926" s="11" t="str">
        <f>IF(OR(履歴データ!$A$926="",履歴データ!$A$925=""),"",-50000*M926)</f>
        <v/>
      </c>
      <c r="W926" s="11" t="str">
        <f>IF(OR(履歴データ!$A$926="",履歴データ!$A$925=""),"",-40000*N926)</f>
        <v/>
      </c>
      <c r="X926" s="11" t="str">
        <f>IF(OR(履歴データ!$A$926="",履歴データ!$A$925=""),"",120*1000000*(-Q926/H925))</f>
        <v/>
      </c>
      <c r="Y926" s="11" t="str">
        <f>IF(OR(履歴データ!$A$926="",履歴データ!$A$925=""),"",40000*(-S926)+(-506.3)*R926*1000)</f>
        <v/>
      </c>
      <c r="Z926" s="11" t="str">
        <f>IF(OR(履歴データ!$A$926="",履歴データ!$A$925=""),"",-40000*O926)</f>
        <v/>
      </c>
      <c r="AA926" s="11" t="str">
        <f>IF(OR(履歴データ!$A$926="",履歴データ!$A$925=""),"",-40000*P926)</f>
        <v/>
      </c>
      <c r="AB926" s="11" t="str">
        <f>IF(履歴データ!$A$926="","",123.3)</f>
        <v/>
      </c>
      <c r="AC926" t="str">
        <f>IF(履歴データ!$A$926="","",SUM(T926:AA926))</f>
        <v/>
      </c>
      <c r="AD926" s="29" t="str">
        <f>IF(履歴データ!$A$926="","",AC926/1000000)</f>
        <v/>
      </c>
      <c r="AE926" s="29">
        <f>IF(履歴データ!$A$926="",AE925,AE925+AC926/1000000)</f>
        <v>70.844544225831427</v>
      </c>
      <c r="AF926" s="12" t="str">
        <f>IF(OR(履歴データ!$A$926="",AE925=0),"",(AE926-AE925)/AE925)</f>
        <v/>
      </c>
      <c r="AG926" s="29">
        <f t="shared" si="44"/>
        <v>102.17217746631495</v>
      </c>
      <c r="AH926" s="12" t="str">
        <f>IF(OR(履歴データ!$A$926="",AG926=0),"",AE926/AG926-1)</f>
        <v/>
      </c>
    </row>
    <row r="927" spans="1:34">
      <c r="A927" s="10" t="str">
        <f>IF(履歴データ!$A$927="","",履歴データ!$A$927)</f>
        <v/>
      </c>
      <c r="B927" s="28" t="str">
        <f>IF(履歴データ!$A$927="","",(履歴データ!$D$927-(履歴データ!$B$927+履歴データ!$F$927)/2)*100)</f>
        <v/>
      </c>
      <c r="C927" s="28" t="str">
        <f>IF(履歴データ!$A$927="","",(履歴データ!$H$927-(履歴データ!$G$927+履歴データ!$J$927)/2)*100)</f>
        <v/>
      </c>
      <c r="D927" s="28" t="str">
        <f>IF(履歴データ!$A$927="","",(履歴データ!$D$927-履歴データ!$H$927)*100)</f>
        <v/>
      </c>
      <c r="E927" s="28" t="str">
        <f>IF(履歴データ!$A$927="","",(履歴データ!$D$927-履歴データ!$C$927)*100)</f>
        <v/>
      </c>
      <c r="F927" s="28" t="str">
        <f>IF(履歴データ!$A$927="","",(履歴データ!$R$927-履歴データ!$D$927)*100)</f>
        <v/>
      </c>
      <c r="G927" s="28" t="str">
        <f>IF(履歴データ!$A$927="","",(履歴データ!$S$927-履歴データ!$R$927)*100)</f>
        <v/>
      </c>
      <c r="H927" s="29" t="str">
        <f>IF(履歴データ!$A$927="","",履歴データ!$O$927)</f>
        <v/>
      </c>
      <c r="I927" s="29" t="str">
        <f>IF(履歴データ!$A$927="","",履歴データ!$Q$927)</f>
        <v/>
      </c>
      <c r="J927" s="29" t="str">
        <f>IF(履歴データ!$A$927="","",履歴データ!$D$927)</f>
        <v/>
      </c>
      <c r="K927" s="28" t="str">
        <f>IF(OR(履歴データ!$A$927="",履歴データ!$A$926=""),"",B927-B926)</f>
        <v/>
      </c>
      <c r="L927" s="28" t="str">
        <f>IF(OR(履歴データ!$A$927="",履歴データ!$A$926=""),"",C927-C926)</f>
        <v/>
      </c>
      <c r="M927" s="28" t="str">
        <f>IF(OR(履歴データ!$A$927="",履歴データ!$A$926=""),"",D927-D926)</f>
        <v/>
      </c>
      <c r="N927" s="28" t="str">
        <f>IF(OR(履歴データ!$A$927="",履歴データ!$A$926=""),"",E927-E926)</f>
        <v/>
      </c>
      <c r="O927" s="28" t="str">
        <f>IF(OR(履歴データ!$A$927="",履歴データ!$A$926=""),"",F927-F926)</f>
        <v/>
      </c>
      <c r="P927" s="28" t="str">
        <f>IF(OR(履歴データ!$A$927="",履歴データ!$A$926=""),"",G927-G926)</f>
        <v/>
      </c>
      <c r="Q927" s="29" t="str">
        <f>IF(OR(履歴データ!$A$927="",履歴データ!$A$926=""),"",H927-H926)</f>
        <v/>
      </c>
      <c r="R927" s="29" t="str">
        <f>IF(OR(履歴データ!$A$927="",履歴データ!$A$926=""),"",I927-I926)</f>
        <v/>
      </c>
      <c r="S927" s="28" t="str">
        <f>IF(OR(履歴データ!$A$927="",履歴データ!$A$926=""),"",(J927-J926)*100)</f>
        <v/>
      </c>
      <c r="T927" s="11" t="str">
        <f>IF(OR(履歴データ!$A$927="",履歴データ!$A$926=""),"",-80000*K927)</f>
        <v/>
      </c>
      <c r="U927" s="11" t="str">
        <f>IF(OR(履歴データ!$A$927="",履歴データ!$A$926=""),"",60000*L927)</f>
        <v/>
      </c>
      <c r="V927" s="11" t="str">
        <f>IF(OR(履歴データ!$A$927="",履歴データ!$A$926=""),"",-50000*M927)</f>
        <v/>
      </c>
      <c r="W927" s="11" t="str">
        <f>IF(OR(履歴データ!$A$927="",履歴データ!$A$926=""),"",-40000*N927)</f>
        <v/>
      </c>
      <c r="X927" s="11" t="str">
        <f>IF(OR(履歴データ!$A$927="",履歴データ!$A$926=""),"",120*1000000*(-Q927/H926))</f>
        <v/>
      </c>
      <c r="Y927" s="11" t="str">
        <f>IF(OR(履歴データ!$A$927="",履歴データ!$A$926=""),"",40000*(-S927)+(-506.3)*R927*1000)</f>
        <v/>
      </c>
      <c r="Z927" s="11" t="str">
        <f>IF(OR(履歴データ!$A$927="",履歴データ!$A$926=""),"",-40000*O927)</f>
        <v/>
      </c>
      <c r="AA927" s="11" t="str">
        <f>IF(OR(履歴データ!$A$927="",履歴データ!$A$926=""),"",-40000*P927)</f>
        <v/>
      </c>
      <c r="AB927" s="11" t="str">
        <f>IF(履歴データ!$A$927="","",123.3)</f>
        <v/>
      </c>
      <c r="AC927" t="str">
        <f>IF(履歴データ!$A$927="","",SUM(T927:AA927))</f>
        <v/>
      </c>
      <c r="AD927" s="29" t="str">
        <f>IF(履歴データ!$A$927="","",AC927/1000000)</f>
        <v/>
      </c>
      <c r="AE927" s="29">
        <f>IF(履歴データ!$A$927="",AE926,AE926+AC927/1000000)</f>
        <v>70.844544225831427</v>
      </c>
      <c r="AF927" s="12" t="str">
        <f>IF(OR(履歴データ!$A$927="",AE926=0),"",(AE927-AE926)/AE926)</f>
        <v/>
      </c>
      <c r="AG927" s="29">
        <f t="shared" si="44"/>
        <v>102.17217746631495</v>
      </c>
      <c r="AH927" s="12" t="str">
        <f>IF(OR(履歴データ!$A$927="",AG927=0),"",AE927/AG927-1)</f>
        <v/>
      </c>
    </row>
    <row r="928" spans="1:34">
      <c r="A928" s="10" t="str">
        <f>IF(履歴データ!$A$928="","",履歴データ!$A$928)</f>
        <v/>
      </c>
      <c r="B928" s="28" t="str">
        <f>IF(履歴データ!$A$928="","",(履歴データ!$D$928-(履歴データ!$B$928+履歴データ!$F$928)/2)*100)</f>
        <v/>
      </c>
      <c r="C928" s="28" t="str">
        <f>IF(履歴データ!$A$928="","",(履歴データ!$H$928-(履歴データ!$G$928+履歴データ!$J$928)/2)*100)</f>
        <v/>
      </c>
      <c r="D928" s="28" t="str">
        <f>IF(履歴データ!$A$928="","",(履歴データ!$D$928-履歴データ!$H$928)*100)</f>
        <v/>
      </c>
      <c r="E928" s="28" t="str">
        <f>IF(履歴データ!$A$928="","",(履歴データ!$D$928-履歴データ!$C$928)*100)</f>
        <v/>
      </c>
      <c r="F928" s="28" t="str">
        <f>IF(履歴データ!$A$928="","",(履歴データ!$R$928-履歴データ!$D$928)*100)</f>
        <v/>
      </c>
      <c r="G928" s="28" t="str">
        <f>IF(履歴データ!$A$928="","",(履歴データ!$S$928-履歴データ!$R$928)*100)</f>
        <v/>
      </c>
      <c r="H928" s="29" t="str">
        <f>IF(履歴データ!$A$928="","",履歴データ!$O$928)</f>
        <v/>
      </c>
      <c r="I928" s="29" t="str">
        <f>IF(履歴データ!$A$928="","",履歴データ!$Q$928)</f>
        <v/>
      </c>
      <c r="J928" s="29" t="str">
        <f>IF(履歴データ!$A$928="","",履歴データ!$D$928)</f>
        <v/>
      </c>
      <c r="K928" s="28" t="str">
        <f>IF(OR(履歴データ!$A$928="",履歴データ!$A$927=""),"",B928-B927)</f>
        <v/>
      </c>
      <c r="L928" s="28" t="str">
        <f>IF(OR(履歴データ!$A$928="",履歴データ!$A$927=""),"",C928-C927)</f>
        <v/>
      </c>
      <c r="M928" s="28" t="str">
        <f>IF(OR(履歴データ!$A$928="",履歴データ!$A$927=""),"",D928-D927)</f>
        <v/>
      </c>
      <c r="N928" s="28" t="str">
        <f>IF(OR(履歴データ!$A$928="",履歴データ!$A$927=""),"",E928-E927)</f>
        <v/>
      </c>
      <c r="O928" s="28" t="str">
        <f>IF(OR(履歴データ!$A$928="",履歴データ!$A$927=""),"",F928-F927)</f>
        <v/>
      </c>
      <c r="P928" s="28" t="str">
        <f>IF(OR(履歴データ!$A$928="",履歴データ!$A$927=""),"",G928-G927)</f>
        <v/>
      </c>
      <c r="Q928" s="29" t="str">
        <f>IF(OR(履歴データ!$A$928="",履歴データ!$A$927=""),"",H928-H927)</f>
        <v/>
      </c>
      <c r="R928" s="29" t="str">
        <f>IF(OR(履歴データ!$A$928="",履歴データ!$A$927=""),"",I928-I927)</f>
        <v/>
      </c>
      <c r="S928" s="28" t="str">
        <f>IF(OR(履歴データ!$A$928="",履歴データ!$A$927=""),"",(J928-J927)*100)</f>
        <v/>
      </c>
      <c r="T928" s="11" t="str">
        <f>IF(OR(履歴データ!$A$928="",履歴データ!$A$927=""),"",-80000*K928)</f>
        <v/>
      </c>
      <c r="U928" s="11" t="str">
        <f>IF(OR(履歴データ!$A$928="",履歴データ!$A$927=""),"",60000*L928)</f>
        <v/>
      </c>
      <c r="V928" s="11" t="str">
        <f>IF(OR(履歴データ!$A$928="",履歴データ!$A$927=""),"",-50000*M928)</f>
        <v/>
      </c>
      <c r="W928" s="11" t="str">
        <f>IF(OR(履歴データ!$A$928="",履歴データ!$A$927=""),"",-40000*N928)</f>
        <v/>
      </c>
      <c r="X928" s="11" t="str">
        <f>IF(OR(履歴データ!$A$928="",履歴データ!$A$927=""),"",120*1000000*(-Q928/H927))</f>
        <v/>
      </c>
      <c r="Y928" s="11" t="str">
        <f>IF(OR(履歴データ!$A$928="",履歴データ!$A$927=""),"",40000*(-S928)+(-506.3)*R928*1000)</f>
        <v/>
      </c>
      <c r="Z928" s="11" t="str">
        <f>IF(OR(履歴データ!$A$928="",履歴データ!$A$927=""),"",-40000*O928)</f>
        <v/>
      </c>
      <c r="AA928" s="11" t="str">
        <f>IF(OR(履歴データ!$A$928="",履歴データ!$A$927=""),"",-40000*P928)</f>
        <v/>
      </c>
      <c r="AB928" s="11" t="str">
        <f>IF(履歴データ!$A$928="","",123.3)</f>
        <v/>
      </c>
      <c r="AC928" t="str">
        <f>IF(履歴データ!$A$928="","",SUM(T928:AA928))</f>
        <v/>
      </c>
      <c r="AD928" s="29" t="str">
        <f>IF(履歴データ!$A$928="","",AC928/1000000)</f>
        <v/>
      </c>
      <c r="AE928" s="29">
        <f>IF(履歴データ!$A$928="",AE927,AE927+AC928/1000000)</f>
        <v>70.844544225831427</v>
      </c>
      <c r="AF928" s="12" t="str">
        <f>IF(OR(履歴データ!$A$928="",AE927=0),"",(AE928-AE927)/AE927)</f>
        <v/>
      </c>
      <c r="AG928" s="29">
        <f t="shared" si="44"/>
        <v>102.17217746631495</v>
      </c>
      <c r="AH928" s="12" t="str">
        <f>IF(OR(履歴データ!$A$928="",AG928=0),"",AE928/AG928-1)</f>
        <v/>
      </c>
    </row>
    <row r="929" spans="1:34">
      <c r="A929" s="10" t="str">
        <f>IF(履歴データ!$A$929="","",履歴データ!$A$929)</f>
        <v/>
      </c>
      <c r="B929" s="28" t="str">
        <f>IF(履歴データ!$A$929="","",(履歴データ!$D$929-(履歴データ!$B$929+履歴データ!$F$929)/2)*100)</f>
        <v/>
      </c>
      <c r="C929" s="28" t="str">
        <f>IF(履歴データ!$A$929="","",(履歴データ!$H$929-(履歴データ!$G$929+履歴データ!$J$929)/2)*100)</f>
        <v/>
      </c>
      <c r="D929" s="28" t="str">
        <f>IF(履歴データ!$A$929="","",(履歴データ!$D$929-履歴データ!$H$929)*100)</f>
        <v/>
      </c>
      <c r="E929" s="28" t="str">
        <f>IF(履歴データ!$A$929="","",(履歴データ!$D$929-履歴データ!$C$929)*100)</f>
        <v/>
      </c>
      <c r="F929" s="28" t="str">
        <f>IF(履歴データ!$A$929="","",(履歴データ!$R$929-履歴データ!$D$929)*100)</f>
        <v/>
      </c>
      <c r="G929" s="28" t="str">
        <f>IF(履歴データ!$A$929="","",(履歴データ!$S$929-履歴データ!$R$929)*100)</f>
        <v/>
      </c>
      <c r="H929" s="29" t="str">
        <f>IF(履歴データ!$A$929="","",履歴データ!$O$929)</f>
        <v/>
      </c>
      <c r="I929" s="29" t="str">
        <f>IF(履歴データ!$A$929="","",履歴データ!$Q$929)</f>
        <v/>
      </c>
      <c r="J929" s="29" t="str">
        <f>IF(履歴データ!$A$929="","",履歴データ!$D$929)</f>
        <v/>
      </c>
      <c r="K929" s="28" t="str">
        <f>IF(OR(履歴データ!$A$929="",履歴データ!$A$928=""),"",B929-B928)</f>
        <v/>
      </c>
      <c r="L929" s="28" t="str">
        <f>IF(OR(履歴データ!$A$929="",履歴データ!$A$928=""),"",C929-C928)</f>
        <v/>
      </c>
      <c r="M929" s="28" t="str">
        <f>IF(OR(履歴データ!$A$929="",履歴データ!$A$928=""),"",D929-D928)</f>
        <v/>
      </c>
      <c r="N929" s="28" t="str">
        <f>IF(OR(履歴データ!$A$929="",履歴データ!$A$928=""),"",E929-E928)</f>
        <v/>
      </c>
      <c r="O929" s="28" t="str">
        <f>IF(OR(履歴データ!$A$929="",履歴データ!$A$928=""),"",F929-F928)</f>
        <v/>
      </c>
      <c r="P929" s="28" t="str">
        <f>IF(OR(履歴データ!$A$929="",履歴データ!$A$928=""),"",G929-G928)</f>
        <v/>
      </c>
      <c r="Q929" s="29" t="str">
        <f>IF(OR(履歴データ!$A$929="",履歴データ!$A$928=""),"",H929-H928)</f>
        <v/>
      </c>
      <c r="R929" s="29" t="str">
        <f>IF(OR(履歴データ!$A$929="",履歴データ!$A$928=""),"",I929-I928)</f>
        <v/>
      </c>
      <c r="S929" s="28" t="str">
        <f>IF(OR(履歴データ!$A$929="",履歴データ!$A$928=""),"",(J929-J928)*100)</f>
        <v/>
      </c>
      <c r="T929" s="11" t="str">
        <f>IF(OR(履歴データ!$A$929="",履歴データ!$A$928=""),"",-80000*K929)</f>
        <v/>
      </c>
      <c r="U929" s="11" t="str">
        <f>IF(OR(履歴データ!$A$929="",履歴データ!$A$928=""),"",60000*L929)</f>
        <v/>
      </c>
      <c r="V929" s="11" t="str">
        <f>IF(OR(履歴データ!$A$929="",履歴データ!$A$928=""),"",-50000*M929)</f>
        <v/>
      </c>
      <c r="W929" s="11" t="str">
        <f>IF(OR(履歴データ!$A$929="",履歴データ!$A$928=""),"",-40000*N929)</f>
        <v/>
      </c>
      <c r="X929" s="11" t="str">
        <f>IF(OR(履歴データ!$A$929="",履歴データ!$A$928=""),"",120*1000000*(-Q929/H928))</f>
        <v/>
      </c>
      <c r="Y929" s="11" t="str">
        <f>IF(OR(履歴データ!$A$929="",履歴データ!$A$928=""),"",40000*(-S929)+(-506.3)*R929*1000)</f>
        <v/>
      </c>
      <c r="Z929" s="11" t="str">
        <f>IF(OR(履歴データ!$A$929="",履歴データ!$A$928=""),"",-40000*O929)</f>
        <v/>
      </c>
      <c r="AA929" s="11" t="str">
        <f>IF(OR(履歴データ!$A$929="",履歴データ!$A$928=""),"",-40000*P929)</f>
        <v/>
      </c>
      <c r="AB929" s="11" t="str">
        <f>IF(履歴データ!$A$929="","",123.3)</f>
        <v/>
      </c>
      <c r="AC929" t="str">
        <f>IF(履歴データ!$A$929="","",SUM(T929:AA929))</f>
        <v/>
      </c>
      <c r="AD929" s="29" t="str">
        <f>IF(履歴データ!$A$929="","",AC929/1000000)</f>
        <v/>
      </c>
      <c r="AE929" s="29">
        <f>IF(履歴データ!$A$929="",AE928,AE928+AC929/1000000)</f>
        <v>70.844544225831427</v>
      </c>
      <c r="AF929" s="12" t="str">
        <f>IF(OR(履歴データ!$A$929="",AE928=0),"",(AE929-AE928)/AE928)</f>
        <v/>
      </c>
      <c r="AG929" s="29">
        <f t="shared" si="44"/>
        <v>102.17217746631495</v>
      </c>
      <c r="AH929" s="12" t="str">
        <f>IF(OR(履歴データ!$A$929="",AG929=0),"",AE929/AG929-1)</f>
        <v/>
      </c>
    </row>
    <row r="930" spans="1:34">
      <c r="A930" s="10" t="str">
        <f>IF(履歴データ!$A$930="","",履歴データ!$A$930)</f>
        <v/>
      </c>
      <c r="B930" s="28" t="str">
        <f>IF(履歴データ!$A$930="","",(履歴データ!$D$930-(履歴データ!$B$930+履歴データ!$F$930)/2)*100)</f>
        <v/>
      </c>
      <c r="C930" s="28" t="str">
        <f>IF(履歴データ!$A$930="","",(履歴データ!$H$930-(履歴データ!$G$930+履歴データ!$J$930)/2)*100)</f>
        <v/>
      </c>
      <c r="D930" s="28" t="str">
        <f>IF(履歴データ!$A$930="","",(履歴データ!$D$930-履歴データ!$H$930)*100)</f>
        <v/>
      </c>
      <c r="E930" s="28" t="str">
        <f>IF(履歴データ!$A$930="","",(履歴データ!$D$930-履歴データ!$C$930)*100)</f>
        <v/>
      </c>
      <c r="F930" s="28" t="str">
        <f>IF(履歴データ!$A$930="","",(履歴データ!$R$930-履歴データ!$D$930)*100)</f>
        <v/>
      </c>
      <c r="G930" s="28" t="str">
        <f>IF(履歴データ!$A$930="","",(履歴データ!$S$930-履歴データ!$R$930)*100)</f>
        <v/>
      </c>
      <c r="H930" s="29" t="str">
        <f>IF(履歴データ!$A$930="","",履歴データ!$O$930)</f>
        <v/>
      </c>
      <c r="I930" s="29" t="str">
        <f>IF(履歴データ!$A$930="","",履歴データ!$Q$930)</f>
        <v/>
      </c>
      <c r="J930" s="29" t="str">
        <f>IF(履歴データ!$A$930="","",履歴データ!$D$930)</f>
        <v/>
      </c>
      <c r="K930" s="28" t="str">
        <f>IF(OR(履歴データ!$A$930="",履歴データ!$A$929=""),"",B930-B929)</f>
        <v/>
      </c>
      <c r="L930" s="28" t="str">
        <f>IF(OR(履歴データ!$A$930="",履歴データ!$A$929=""),"",C930-C929)</f>
        <v/>
      </c>
      <c r="M930" s="28" t="str">
        <f>IF(OR(履歴データ!$A$930="",履歴データ!$A$929=""),"",D930-D929)</f>
        <v/>
      </c>
      <c r="N930" s="28" t="str">
        <f>IF(OR(履歴データ!$A$930="",履歴データ!$A$929=""),"",E930-E929)</f>
        <v/>
      </c>
      <c r="O930" s="28" t="str">
        <f>IF(OR(履歴データ!$A$930="",履歴データ!$A$929=""),"",F930-F929)</f>
        <v/>
      </c>
      <c r="P930" s="28" t="str">
        <f>IF(OR(履歴データ!$A$930="",履歴データ!$A$929=""),"",G930-G929)</f>
        <v/>
      </c>
      <c r="Q930" s="29" t="str">
        <f>IF(OR(履歴データ!$A$930="",履歴データ!$A$929=""),"",H930-H929)</f>
        <v/>
      </c>
      <c r="R930" s="29" t="str">
        <f>IF(OR(履歴データ!$A$930="",履歴データ!$A$929=""),"",I930-I929)</f>
        <v/>
      </c>
      <c r="S930" s="28" t="str">
        <f>IF(OR(履歴データ!$A$930="",履歴データ!$A$929=""),"",(J930-J929)*100)</f>
        <v/>
      </c>
      <c r="T930" s="11" t="str">
        <f>IF(OR(履歴データ!$A$930="",履歴データ!$A$929=""),"",-80000*K930)</f>
        <v/>
      </c>
      <c r="U930" s="11" t="str">
        <f>IF(OR(履歴データ!$A$930="",履歴データ!$A$929=""),"",60000*L930)</f>
        <v/>
      </c>
      <c r="V930" s="11" t="str">
        <f>IF(OR(履歴データ!$A$930="",履歴データ!$A$929=""),"",-50000*M930)</f>
        <v/>
      </c>
      <c r="W930" s="11" t="str">
        <f>IF(OR(履歴データ!$A$930="",履歴データ!$A$929=""),"",-40000*N930)</f>
        <v/>
      </c>
      <c r="X930" s="11" t="str">
        <f>IF(OR(履歴データ!$A$930="",履歴データ!$A$929=""),"",120*1000000*(-Q930/H929))</f>
        <v/>
      </c>
      <c r="Y930" s="11" t="str">
        <f>IF(OR(履歴データ!$A$930="",履歴データ!$A$929=""),"",40000*(-S930)+(-506.3)*R930*1000)</f>
        <v/>
      </c>
      <c r="Z930" s="11" t="str">
        <f>IF(OR(履歴データ!$A$930="",履歴データ!$A$929=""),"",-40000*O930)</f>
        <v/>
      </c>
      <c r="AA930" s="11" t="str">
        <f>IF(OR(履歴データ!$A$930="",履歴データ!$A$929=""),"",-40000*P930)</f>
        <v/>
      </c>
      <c r="AB930" s="11" t="str">
        <f>IF(履歴データ!$A$930="","",123.3)</f>
        <v/>
      </c>
      <c r="AC930" t="str">
        <f>IF(履歴データ!$A$930="","",SUM(T930:AA930))</f>
        <v/>
      </c>
      <c r="AD930" s="29" t="str">
        <f>IF(履歴データ!$A$930="","",AC930/1000000)</f>
        <v/>
      </c>
      <c r="AE930" s="29">
        <f>IF(履歴データ!$A$930="",AE929,AE929+AC930/1000000)</f>
        <v>70.844544225831427</v>
      </c>
      <c r="AF930" s="12" t="str">
        <f>IF(OR(履歴データ!$A$930="",AE929=0),"",(AE930-AE929)/AE929)</f>
        <v/>
      </c>
      <c r="AG930" s="29">
        <f t="shared" si="44"/>
        <v>102.17217746631495</v>
      </c>
      <c r="AH930" s="12" t="str">
        <f>IF(OR(履歴データ!$A$930="",AG930=0),"",AE930/AG930-1)</f>
        <v/>
      </c>
    </row>
    <row r="931" spans="1:34">
      <c r="A931" s="10" t="str">
        <f>IF(履歴データ!$A$931="","",履歴データ!$A$931)</f>
        <v/>
      </c>
      <c r="B931" s="28" t="str">
        <f>IF(履歴データ!$A$931="","",(履歴データ!$D$931-(履歴データ!$B$931+履歴データ!$F$931)/2)*100)</f>
        <v/>
      </c>
      <c r="C931" s="28" t="str">
        <f>IF(履歴データ!$A$931="","",(履歴データ!$H$931-(履歴データ!$G$931+履歴データ!$J$931)/2)*100)</f>
        <v/>
      </c>
      <c r="D931" s="28" t="str">
        <f>IF(履歴データ!$A$931="","",(履歴データ!$D$931-履歴データ!$H$931)*100)</f>
        <v/>
      </c>
      <c r="E931" s="28" t="str">
        <f>IF(履歴データ!$A$931="","",(履歴データ!$D$931-履歴データ!$C$931)*100)</f>
        <v/>
      </c>
      <c r="F931" s="28" t="str">
        <f>IF(履歴データ!$A$931="","",(履歴データ!$R$931-履歴データ!$D$931)*100)</f>
        <v/>
      </c>
      <c r="G931" s="28" t="str">
        <f>IF(履歴データ!$A$931="","",(履歴データ!$S$931-履歴データ!$R$931)*100)</f>
        <v/>
      </c>
      <c r="H931" s="29" t="str">
        <f>IF(履歴データ!$A$931="","",履歴データ!$O$931)</f>
        <v/>
      </c>
      <c r="I931" s="29" t="str">
        <f>IF(履歴データ!$A$931="","",履歴データ!$Q$931)</f>
        <v/>
      </c>
      <c r="J931" s="29" t="str">
        <f>IF(履歴データ!$A$931="","",履歴データ!$D$931)</f>
        <v/>
      </c>
      <c r="K931" s="28" t="str">
        <f>IF(OR(履歴データ!$A$931="",履歴データ!$A$930=""),"",B931-B930)</f>
        <v/>
      </c>
      <c r="L931" s="28" t="str">
        <f>IF(OR(履歴データ!$A$931="",履歴データ!$A$930=""),"",C931-C930)</f>
        <v/>
      </c>
      <c r="M931" s="28" t="str">
        <f>IF(OR(履歴データ!$A$931="",履歴データ!$A$930=""),"",D931-D930)</f>
        <v/>
      </c>
      <c r="N931" s="28" t="str">
        <f>IF(OR(履歴データ!$A$931="",履歴データ!$A$930=""),"",E931-E930)</f>
        <v/>
      </c>
      <c r="O931" s="28" t="str">
        <f>IF(OR(履歴データ!$A$931="",履歴データ!$A$930=""),"",F931-F930)</f>
        <v/>
      </c>
      <c r="P931" s="28" t="str">
        <f>IF(OR(履歴データ!$A$931="",履歴データ!$A$930=""),"",G931-G930)</f>
        <v/>
      </c>
      <c r="Q931" s="29" t="str">
        <f>IF(OR(履歴データ!$A$931="",履歴データ!$A$930=""),"",H931-H930)</f>
        <v/>
      </c>
      <c r="R931" s="29" t="str">
        <f>IF(OR(履歴データ!$A$931="",履歴データ!$A$930=""),"",I931-I930)</f>
        <v/>
      </c>
      <c r="S931" s="28" t="str">
        <f>IF(OR(履歴データ!$A$931="",履歴データ!$A$930=""),"",(J931-J930)*100)</f>
        <v/>
      </c>
      <c r="T931" s="11" t="str">
        <f>IF(OR(履歴データ!$A$931="",履歴データ!$A$930=""),"",-80000*K931)</f>
        <v/>
      </c>
      <c r="U931" s="11" t="str">
        <f>IF(OR(履歴データ!$A$931="",履歴データ!$A$930=""),"",60000*L931)</f>
        <v/>
      </c>
      <c r="V931" s="11" t="str">
        <f>IF(OR(履歴データ!$A$931="",履歴データ!$A$930=""),"",-50000*M931)</f>
        <v/>
      </c>
      <c r="W931" s="11" t="str">
        <f>IF(OR(履歴データ!$A$931="",履歴データ!$A$930=""),"",-40000*N931)</f>
        <v/>
      </c>
      <c r="X931" s="11" t="str">
        <f>IF(OR(履歴データ!$A$931="",履歴データ!$A$930=""),"",120*1000000*(-Q931/H930))</f>
        <v/>
      </c>
      <c r="Y931" s="11" t="str">
        <f>IF(OR(履歴データ!$A$931="",履歴データ!$A$930=""),"",40000*(-S931)+(-506.3)*R931*1000)</f>
        <v/>
      </c>
      <c r="Z931" s="11" t="str">
        <f>IF(OR(履歴データ!$A$931="",履歴データ!$A$930=""),"",-40000*O931)</f>
        <v/>
      </c>
      <c r="AA931" s="11" t="str">
        <f>IF(OR(履歴データ!$A$931="",履歴データ!$A$930=""),"",-40000*P931)</f>
        <v/>
      </c>
      <c r="AB931" s="11" t="str">
        <f>IF(履歴データ!$A$931="","",123.3)</f>
        <v/>
      </c>
      <c r="AC931" t="str">
        <f>IF(履歴データ!$A$931="","",SUM(T931:AA931))</f>
        <v/>
      </c>
      <c r="AD931" s="29" t="str">
        <f>IF(履歴データ!$A$931="","",AC931/1000000)</f>
        <v/>
      </c>
      <c r="AE931" s="29">
        <f>IF(履歴データ!$A$931="",AE930,AE930+AC931/1000000)</f>
        <v>70.844544225831427</v>
      </c>
      <c r="AF931" s="12" t="str">
        <f>IF(OR(履歴データ!$A$931="",AE930=0),"",(AE931-AE930)/AE930)</f>
        <v/>
      </c>
      <c r="AG931" s="29">
        <f t="shared" si="44"/>
        <v>102.17217746631495</v>
      </c>
      <c r="AH931" s="12" t="str">
        <f>IF(OR(履歴データ!$A$931="",AG931=0),"",AE931/AG931-1)</f>
        <v/>
      </c>
    </row>
    <row r="932" spans="1:34">
      <c r="A932" s="10" t="str">
        <f>IF(履歴データ!$A$932="","",履歴データ!$A$932)</f>
        <v/>
      </c>
      <c r="B932" s="28" t="str">
        <f>IF(履歴データ!$A$932="","",(履歴データ!$D$932-(履歴データ!$B$932+履歴データ!$F$932)/2)*100)</f>
        <v/>
      </c>
      <c r="C932" s="28" t="str">
        <f>IF(履歴データ!$A$932="","",(履歴データ!$H$932-(履歴データ!$G$932+履歴データ!$J$932)/2)*100)</f>
        <v/>
      </c>
      <c r="D932" s="28" t="str">
        <f>IF(履歴データ!$A$932="","",(履歴データ!$D$932-履歴データ!$H$932)*100)</f>
        <v/>
      </c>
      <c r="E932" s="28" t="str">
        <f>IF(履歴データ!$A$932="","",(履歴データ!$D$932-履歴データ!$C$932)*100)</f>
        <v/>
      </c>
      <c r="F932" s="28" t="str">
        <f>IF(履歴データ!$A$932="","",(履歴データ!$R$932-履歴データ!$D$932)*100)</f>
        <v/>
      </c>
      <c r="G932" s="28" t="str">
        <f>IF(履歴データ!$A$932="","",(履歴データ!$S$932-履歴データ!$R$932)*100)</f>
        <v/>
      </c>
      <c r="H932" s="29" t="str">
        <f>IF(履歴データ!$A$932="","",履歴データ!$O$932)</f>
        <v/>
      </c>
      <c r="I932" s="29" t="str">
        <f>IF(履歴データ!$A$932="","",履歴データ!$Q$932)</f>
        <v/>
      </c>
      <c r="J932" s="29" t="str">
        <f>IF(履歴データ!$A$932="","",履歴データ!$D$932)</f>
        <v/>
      </c>
      <c r="K932" s="28" t="str">
        <f>IF(OR(履歴データ!$A$932="",履歴データ!$A$931=""),"",B932-B931)</f>
        <v/>
      </c>
      <c r="L932" s="28" t="str">
        <f>IF(OR(履歴データ!$A$932="",履歴データ!$A$931=""),"",C932-C931)</f>
        <v/>
      </c>
      <c r="M932" s="28" t="str">
        <f>IF(OR(履歴データ!$A$932="",履歴データ!$A$931=""),"",D932-D931)</f>
        <v/>
      </c>
      <c r="N932" s="28" t="str">
        <f>IF(OR(履歴データ!$A$932="",履歴データ!$A$931=""),"",E932-E931)</f>
        <v/>
      </c>
      <c r="O932" s="28" t="str">
        <f>IF(OR(履歴データ!$A$932="",履歴データ!$A$931=""),"",F932-F931)</f>
        <v/>
      </c>
      <c r="P932" s="28" t="str">
        <f>IF(OR(履歴データ!$A$932="",履歴データ!$A$931=""),"",G932-G931)</f>
        <v/>
      </c>
      <c r="Q932" s="29" t="str">
        <f>IF(OR(履歴データ!$A$932="",履歴データ!$A$931=""),"",H932-H931)</f>
        <v/>
      </c>
      <c r="R932" s="29" t="str">
        <f>IF(OR(履歴データ!$A$932="",履歴データ!$A$931=""),"",I932-I931)</f>
        <v/>
      </c>
      <c r="S932" s="28" t="str">
        <f>IF(OR(履歴データ!$A$932="",履歴データ!$A$931=""),"",(J932-J931)*100)</f>
        <v/>
      </c>
      <c r="T932" s="11" t="str">
        <f>IF(OR(履歴データ!$A$932="",履歴データ!$A$931=""),"",-80000*K932)</f>
        <v/>
      </c>
      <c r="U932" s="11" t="str">
        <f>IF(OR(履歴データ!$A$932="",履歴データ!$A$931=""),"",60000*L932)</f>
        <v/>
      </c>
      <c r="V932" s="11" t="str">
        <f>IF(OR(履歴データ!$A$932="",履歴データ!$A$931=""),"",-50000*M932)</f>
        <v/>
      </c>
      <c r="W932" s="11" t="str">
        <f>IF(OR(履歴データ!$A$932="",履歴データ!$A$931=""),"",-40000*N932)</f>
        <v/>
      </c>
      <c r="X932" s="11" t="str">
        <f>IF(OR(履歴データ!$A$932="",履歴データ!$A$931=""),"",120*1000000*(-Q932/H931))</f>
        <v/>
      </c>
      <c r="Y932" s="11" t="str">
        <f>IF(OR(履歴データ!$A$932="",履歴データ!$A$931=""),"",40000*(-S932)+(-506.3)*R932*1000)</f>
        <v/>
      </c>
      <c r="Z932" s="11" t="str">
        <f>IF(OR(履歴データ!$A$932="",履歴データ!$A$931=""),"",-40000*O932)</f>
        <v/>
      </c>
      <c r="AA932" s="11" t="str">
        <f>IF(OR(履歴データ!$A$932="",履歴データ!$A$931=""),"",-40000*P932)</f>
        <v/>
      </c>
      <c r="AB932" s="11" t="str">
        <f>IF(履歴データ!$A$932="","",123.3)</f>
        <v/>
      </c>
      <c r="AC932" t="str">
        <f>IF(履歴データ!$A$932="","",SUM(T932:AA932))</f>
        <v/>
      </c>
      <c r="AD932" s="29" t="str">
        <f>IF(履歴データ!$A$932="","",AC932/1000000)</f>
        <v/>
      </c>
      <c r="AE932" s="29">
        <f>IF(履歴データ!$A$932="",AE931,AE931+AC932/1000000)</f>
        <v>70.844544225831427</v>
      </c>
      <c r="AF932" s="12" t="str">
        <f>IF(OR(履歴データ!$A$932="",AE931=0),"",(AE932-AE931)/AE931)</f>
        <v/>
      </c>
      <c r="AG932" s="29">
        <f t="shared" si="44"/>
        <v>102.17217746631495</v>
      </c>
      <c r="AH932" s="12" t="str">
        <f>IF(OR(履歴データ!$A$932="",AG932=0),"",AE932/AG932-1)</f>
        <v/>
      </c>
    </row>
    <row r="933" spans="1:34">
      <c r="A933" s="10" t="str">
        <f>IF(履歴データ!$A$933="","",履歴データ!$A$933)</f>
        <v/>
      </c>
      <c r="B933" s="28" t="str">
        <f>IF(履歴データ!$A$933="","",(履歴データ!$D$933-(履歴データ!$B$933+履歴データ!$F$933)/2)*100)</f>
        <v/>
      </c>
      <c r="C933" s="28" t="str">
        <f>IF(履歴データ!$A$933="","",(履歴データ!$H$933-(履歴データ!$G$933+履歴データ!$J$933)/2)*100)</f>
        <v/>
      </c>
      <c r="D933" s="28" t="str">
        <f>IF(履歴データ!$A$933="","",(履歴データ!$D$933-履歴データ!$H$933)*100)</f>
        <v/>
      </c>
      <c r="E933" s="28" t="str">
        <f>IF(履歴データ!$A$933="","",(履歴データ!$D$933-履歴データ!$C$933)*100)</f>
        <v/>
      </c>
      <c r="F933" s="28" t="str">
        <f>IF(履歴データ!$A$933="","",(履歴データ!$R$933-履歴データ!$D$933)*100)</f>
        <v/>
      </c>
      <c r="G933" s="28" t="str">
        <f>IF(履歴データ!$A$933="","",(履歴データ!$S$933-履歴データ!$R$933)*100)</f>
        <v/>
      </c>
      <c r="H933" s="29" t="str">
        <f>IF(履歴データ!$A$933="","",履歴データ!$O$933)</f>
        <v/>
      </c>
      <c r="I933" s="29" t="str">
        <f>IF(履歴データ!$A$933="","",履歴データ!$Q$933)</f>
        <v/>
      </c>
      <c r="J933" s="29" t="str">
        <f>IF(履歴データ!$A$933="","",履歴データ!$D$933)</f>
        <v/>
      </c>
      <c r="K933" s="28" t="str">
        <f>IF(OR(履歴データ!$A$933="",履歴データ!$A$932=""),"",B933-B932)</f>
        <v/>
      </c>
      <c r="L933" s="28" t="str">
        <f>IF(OR(履歴データ!$A$933="",履歴データ!$A$932=""),"",C933-C932)</f>
        <v/>
      </c>
      <c r="M933" s="28" t="str">
        <f>IF(OR(履歴データ!$A$933="",履歴データ!$A$932=""),"",D933-D932)</f>
        <v/>
      </c>
      <c r="N933" s="28" t="str">
        <f>IF(OR(履歴データ!$A$933="",履歴データ!$A$932=""),"",E933-E932)</f>
        <v/>
      </c>
      <c r="O933" s="28" t="str">
        <f>IF(OR(履歴データ!$A$933="",履歴データ!$A$932=""),"",F933-F932)</f>
        <v/>
      </c>
      <c r="P933" s="28" t="str">
        <f>IF(OR(履歴データ!$A$933="",履歴データ!$A$932=""),"",G933-G932)</f>
        <v/>
      </c>
      <c r="Q933" s="29" t="str">
        <f>IF(OR(履歴データ!$A$933="",履歴データ!$A$932=""),"",H933-H932)</f>
        <v/>
      </c>
      <c r="R933" s="29" t="str">
        <f>IF(OR(履歴データ!$A$933="",履歴データ!$A$932=""),"",I933-I932)</f>
        <v/>
      </c>
      <c r="S933" s="28" t="str">
        <f>IF(OR(履歴データ!$A$933="",履歴データ!$A$932=""),"",(J933-J932)*100)</f>
        <v/>
      </c>
      <c r="T933" s="11" t="str">
        <f>IF(OR(履歴データ!$A$933="",履歴データ!$A$932=""),"",-80000*K933)</f>
        <v/>
      </c>
      <c r="U933" s="11" t="str">
        <f>IF(OR(履歴データ!$A$933="",履歴データ!$A$932=""),"",60000*L933)</f>
        <v/>
      </c>
      <c r="V933" s="11" t="str">
        <f>IF(OR(履歴データ!$A$933="",履歴データ!$A$932=""),"",-50000*M933)</f>
        <v/>
      </c>
      <c r="W933" s="11" t="str">
        <f>IF(OR(履歴データ!$A$933="",履歴データ!$A$932=""),"",-40000*N933)</f>
        <v/>
      </c>
      <c r="X933" s="11" t="str">
        <f>IF(OR(履歴データ!$A$933="",履歴データ!$A$932=""),"",120*1000000*(-Q933/H932))</f>
        <v/>
      </c>
      <c r="Y933" s="11" t="str">
        <f>IF(OR(履歴データ!$A$933="",履歴データ!$A$932=""),"",40000*(-S933)+(-506.3)*R933*1000)</f>
        <v/>
      </c>
      <c r="Z933" s="11" t="str">
        <f>IF(OR(履歴データ!$A$933="",履歴データ!$A$932=""),"",-40000*O933)</f>
        <v/>
      </c>
      <c r="AA933" s="11" t="str">
        <f>IF(OR(履歴データ!$A$933="",履歴データ!$A$932=""),"",-40000*P933)</f>
        <v/>
      </c>
      <c r="AB933" s="11" t="str">
        <f>IF(履歴データ!$A$933="","",123.3)</f>
        <v/>
      </c>
      <c r="AC933" t="str">
        <f>IF(履歴データ!$A$933="","",SUM(T933:AA933))</f>
        <v/>
      </c>
      <c r="AD933" s="29" t="str">
        <f>IF(履歴データ!$A$933="","",AC933/1000000)</f>
        <v/>
      </c>
      <c r="AE933" s="29">
        <f>IF(履歴データ!$A$933="",AE932,AE932+AC933/1000000)</f>
        <v>70.844544225831427</v>
      </c>
      <c r="AF933" s="12" t="str">
        <f>IF(OR(履歴データ!$A$933="",AE932=0),"",(AE933-AE932)/AE932)</f>
        <v/>
      </c>
      <c r="AG933" s="29">
        <f t="shared" si="44"/>
        <v>102.17217746631495</v>
      </c>
      <c r="AH933" s="12" t="str">
        <f>IF(OR(履歴データ!$A$933="",AG933=0),"",AE933/AG933-1)</f>
        <v/>
      </c>
    </row>
    <row r="934" spans="1:34">
      <c r="A934" s="10" t="str">
        <f>IF(履歴データ!$A$934="","",履歴データ!$A$934)</f>
        <v/>
      </c>
      <c r="B934" s="28" t="str">
        <f>IF(履歴データ!$A$934="","",(履歴データ!$D$934-(履歴データ!$B$934+履歴データ!$F$934)/2)*100)</f>
        <v/>
      </c>
      <c r="C934" s="28" t="str">
        <f>IF(履歴データ!$A$934="","",(履歴データ!$H$934-(履歴データ!$G$934+履歴データ!$J$934)/2)*100)</f>
        <v/>
      </c>
      <c r="D934" s="28" t="str">
        <f>IF(履歴データ!$A$934="","",(履歴データ!$D$934-履歴データ!$H$934)*100)</f>
        <v/>
      </c>
      <c r="E934" s="28" t="str">
        <f>IF(履歴データ!$A$934="","",(履歴データ!$D$934-履歴データ!$C$934)*100)</f>
        <v/>
      </c>
      <c r="F934" s="28" t="str">
        <f>IF(履歴データ!$A$934="","",(履歴データ!$R$934-履歴データ!$D$934)*100)</f>
        <v/>
      </c>
      <c r="G934" s="28" t="str">
        <f>IF(履歴データ!$A$934="","",(履歴データ!$S$934-履歴データ!$R$934)*100)</f>
        <v/>
      </c>
      <c r="H934" s="29" t="str">
        <f>IF(履歴データ!$A$934="","",履歴データ!$O$934)</f>
        <v/>
      </c>
      <c r="I934" s="29" t="str">
        <f>IF(履歴データ!$A$934="","",履歴データ!$Q$934)</f>
        <v/>
      </c>
      <c r="J934" s="29" t="str">
        <f>IF(履歴データ!$A$934="","",履歴データ!$D$934)</f>
        <v/>
      </c>
      <c r="K934" s="28" t="str">
        <f>IF(OR(履歴データ!$A$934="",履歴データ!$A$933=""),"",B934-B933)</f>
        <v/>
      </c>
      <c r="L934" s="28" t="str">
        <f>IF(OR(履歴データ!$A$934="",履歴データ!$A$933=""),"",C934-C933)</f>
        <v/>
      </c>
      <c r="M934" s="28" t="str">
        <f>IF(OR(履歴データ!$A$934="",履歴データ!$A$933=""),"",D934-D933)</f>
        <v/>
      </c>
      <c r="N934" s="28" t="str">
        <f>IF(OR(履歴データ!$A$934="",履歴データ!$A$933=""),"",E934-E933)</f>
        <v/>
      </c>
      <c r="O934" s="28" t="str">
        <f>IF(OR(履歴データ!$A$934="",履歴データ!$A$933=""),"",F934-F933)</f>
        <v/>
      </c>
      <c r="P934" s="28" t="str">
        <f>IF(OR(履歴データ!$A$934="",履歴データ!$A$933=""),"",G934-G933)</f>
        <v/>
      </c>
      <c r="Q934" s="29" t="str">
        <f>IF(OR(履歴データ!$A$934="",履歴データ!$A$933=""),"",H934-H933)</f>
        <v/>
      </c>
      <c r="R934" s="29" t="str">
        <f>IF(OR(履歴データ!$A$934="",履歴データ!$A$933=""),"",I934-I933)</f>
        <v/>
      </c>
      <c r="S934" s="28" t="str">
        <f>IF(OR(履歴データ!$A$934="",履歴データ!$A$933=""),"",(J934-J933)*100)</f>
        <v/>
      </c>
      <c r="T934" s="11" t="str">
        <f>IF(OR(履歴データ!$A$934="",履歴データ!$A$933=""),"",-80000*K934)</f>
        <v/>
      </c>
      <c r="U934" s="11" t="str">
        <f>IF(OR(履歴データ!$A$934="",履歴データ!$A$933=""),"",60000*L934)</f>
        <v/>
      </c>
      <c r="V934" s="11" t="str">
        <f>IF(OR(履歴データ!$A$934="",履歴データ!$A$933=""),"",-50000*M934)</f>
        <v/>
      </c>
      <c r="W934" s="11" t="str">
        <f>IF(OR(履歴データ!$A$934="",履歴データ!$A$933=""),"",-40000*N934)</f>
        <v/>
      </c>
      <c r="X934" s="11" t="str">
        <f>IF(OR(履歴データ!$A$934="",履歴データ!$A$933=""),"",120*1000000*(-Q934/H933))</f>
        <v/>
      </c>
      <c r="Y934" s="11" t="str">
        <f>IF(OR(履歴データ!$A$934="",履歴データ!$A$933=""),"",40000*(-S934)+(-506.3)*R934*1000)</f>
        <v/>
      </c>
      <c r="Z934" s="11" t="str">
        <f>IF(OR(履歴データ!$A$934="",履歴データ!$A$933=""),"",-40000*O934)</f>
        <v/>
      </c>
      <c r="AA934" s="11" t="str">
        <f>IF(OR(履歴データ!$A$934="",履歴データ!$A$933=""),"",-40000*P934)</f>
        <v/>
      </c>
      <c r="AB934" s="11" t="str">
        <f>IF(履歴データ!$A$934="","",123.3)</f>
        <v/>
      </c>
      <c r="AC934" t="str">
        <f>IF(履歴データ!$A$934="","",SUM(T934:AA934))</f>
        <v/>
      </c>
      <c r="AD934" s="29" t="str">
        <f>IF(履歴データ!$A$934="","",AC934/1000000)</f>
        <v/>
      </c>
      <c r="AE934" s="29">
        <f>IF(履歴データ!$A$934="",AE933,AE933+AC934/1000000)</f>
        <v>70.844544225831427</v>
      </c>
      <c r="AF934" s="12" t="str">
        <f>IF(OR(履歴データ!$A$934="",AE933=0),"",(AE934-AE933)/AE933)</f>
        <v/>
      </c>
      <c r="AG934" s="29">
        <f t="shared" si="44"/>
        <v>102.17217746631495</v>
      </c>
      <c r="AH934" s="12" t="str">
        <f>IF(OR(履歴データ!$A$934="",AG934=0),"",AE934/AG934-1)</f>
        <v/>
      </c>
    </row>
    <row r="935" spans="1:34">
      <c r="A935" s="10" t="str">
        <f>IF(履歴データ!$A$935="","",履歴データ!$A$935)</f>
        <v/>
      </c>
      <c r="B935" s="28" t="str">
        <f>IF(履歴データ!$A$935="","",(履歴データ!$D$935-(履歴データ!$B$935+履歴データ!$F$935)/2)*100)</f>
        <v/>
      </c>
      <c r="C935" s="28" t="str">
        <f>IF(履歴データ!$A$935="","",(履歴データ!$H$935-(履歴データ!$G$935+履歴データ!$J$935)/2)*100)</f>
        <v/>
      </c>
      <c r="D935" s="28" t="str">
        <f>IF(履歴データ!$A$935="","",(履歴データ!$D$935-履歴データ!$H$935)*100)</f>
        <v/>
      </c>
      <c r="E935" s="28" t="str">
        <f>IF(履歴データ!$A$935="","",(履歴データ!$D$935-履歴データ!$C$935)*100)</f>
        <v/>
      </c>
      <c r="F935" s="28" t="str">
        <f>IF(履歴データ!$A$935="","",(履歴データ!$R$935-履歴データ!$D$935)*100)</f>
        <v/>
      </c>
      <c r="G935" s="28" t="str">
        <f>IF(履歴データ!$A$935="","",(履歴データ!$S$935-履歴データ!$R$935)*100)</f>
        <v/>
      </c>
      <c r="H935" s="29" t="str">
        <f>IF(履歴データ!$A$935="","",履歴データ!$O$935)</f>
        <v/>
      </c>
      <c r="I935" s="29" t="str">
        <f>IF(履歴データ!$A$935="","",履歴データ!$Q$935)</f>
        <v/>
      </c>
      <c r="J935" s="29" t="str">
        <f>IF(履歴データ!$A$935="","",履歴データ!$D$935)</f>
        <v/>
      </c>
      <c r="K935" s="28" t="str">
        <f>IF(OR(履歴データ!$A$935="",履歴データ!$A$934=""),"",B935-B934)</f>
        <v/>
      </c>
      <c r="L935" s="28" t="str">
        <f>IF(OR(履歴データ!$A$935="",履歴データ!$A$934=""),"",C935-C934)</f>
        <v/>
      </c>
      <c r="M935" s="28" t="str">
        <f>IF(OR(履歴データ!$A$935="",履歴データ!$A$934=""),"",D935-D934)</f>
        <v/>
      </c>
      <c r="N935" s="28" t="str">
        <f>IF(OR(履歴データ!$A$935="",履歴データ!$A$934=""),"",E935-E934)</f>
        <v/>
      </c>
      <c r="O935" s="28" t="str">
        <f>IF(OR(履歴データ!$A$935="",履歴データ!$A$934=""),"",F935-F934)</f>
        <v/>
      </c>
      <c r="P935" s="28" t="str">
        <f>IF(OR(履歴データ!$A$935="",履歴データ!$A$934=""),"",G935-G934)</f>
        <v/>
      </c>
      <c r="Q935" s="29" t="str">
        <f>IF(OR(履歴データ!$A$935="",履歴データ!$A$934=""),"",H935-H934)</f>
        <v/>
      </c>
      <c r="R935" s="29" t="str">
        <f>IF(OR(履歴データ!$A$935="",履歴データ!$A$934=""),"",I935-I934)</f>
        <v/>
      </c>
      <c r="S935" s="28" t="str">
        <f>IF(OR(履歴データ!$A$935="",履歴データ!$A$934=""),"",(J935-J934)*100)</f>
        <v/>
      </c>
      <c r="T935" s="11" t="str">
        <f>IF(OR(履歴データ!$A$935="",履歴データ!$A$934=""),"",-80000*K935)</f>
        <v/>
      </c>
      <c r="U935" s="11" t="str">
        <f>IF(OR(履歴データ!$A$935="",履歴データ!$A$934=""),"",60000*L935)</f>
        <v/>
      </c>
      <c r="V935" s="11" t="str">
        <f>IF(OR(履歴データ!$A$935="",履歴データ!$A$934=""),"",-50000*M935)</f>
        <v/>
      </c>
      <c r="W935" s="11" t="str">
        <f>IF(OR(履歴データ!$A$935="",履歴データ!$A$934=""),"",-40000*N935)</f>
        <v/>
      </c>
      <c r="X935" s="11" t="str">
        <f>IF(OR(履歴データ!$A$935="",履歴データ!$A$934=""),"",120*1000000*(-Q935/H934))</f>
        <v/>
      </c>
      <c r="Y935" s="11" t="str">
        <f>IF(OR(履歴データ!$A$935="",履歴データ!$A$934=""),"",40000*(-S935)+(-506.3)*R935*1000)</f>
        <v/>
      </c>
      <c r="Z935" s="11" t="str">
        <f>IF(OR(履歴データ!$A$935="",履歴データ!$A$934=""),"",-40000*O935)</f>
        <v/>
      </c>
      <c r="AA935" s="11" t="str">
        <f>IF(OR(履歴データ!$A$935="",履歴データ!$A$934=""),"",-40000*P935)</f>
        <v/>
      </c>
      <c r="AB935" s="11" t="str">
        <f>IF(履歴データ!$A$935="","",123.3)</f>
        <v/>
      </c>
      <c r="AC935" t="str">
        <f>IF(履歴データ!$A$935="","",SUM(T935:AA935))</f>
        <v/>
      </c>
      <c r="AD935" s="29" t="str">
        <f>IF(履歴データ!$A$935="","",AC935/1000000)</f>
        <v/>
      </c>
      <c r="AE935" s="29">
        <f>IF(履歴データ!$A$935="",AE934,AE934+AC935/1000000)</f>
        <v>70.844544225831427</v>
      </c>
      <c r="AF935" s="12" t="str">
        <f>IF(OR(履歴データ!$A$935="",AE934=0),"",(AE935-AE934)/AE934)</f>
        <v/>
      </c>
      <c r="AG935" s="29">
        <f t="shared" si="44"/>
        <v>102.17217746631495</v>
      </c>
      <c r="AH935" s="12" t="str">
        <f>IF(OR(履歴データ!$A$935="",AG935=0),"",AE935/AG935-1)</f>
        <v/>
      </c>
    </row>
    <row r="936" spans="1:34">
      <c r="A936" s="10" t="str">
        <f>IF(履歴データ!$A$936="","",履歴データ!$A$936)</f>
        <v/>
      </c>
      <c r="B936" s="28" t="str">
        <f>IF(履歴データ!$A$936="","",(履歴データ!$D$936-(履歴データ!$B$936+履歴データ!$F$936)/2)*100)</f>
        <v/>
      </c>
      <c r="C936" s="28" t="str">
        <f>IF(履歴データ!$A$936="","",(履歴データ!$H$936-(履歴データ!$G$936+履歴データ!$J$936)/2)*100)</f>
        <v/>
      </c>
      <c r="D936" s="28" t="str">
        <f>IF(履歴データ!$A$936="","",(履歴データ!$D$936-履歴データ!$H$936)*100)</f>
        <v/>
      </c>
      <c r="E936" s="28" t="str">
        <f>IF(履歴データ!$A$936="","",(履歴データ!$D$936-履歴データ!$C$936)*100)</f>
        <v/>
      </c>
      <c r="F936" s="28" t="str">
        <f>IF(履歴データ!$A$936="","",(履歴データ!$R$936-履歴データ!$D$936)*100)</f>
        <v/>
      </c>
      <c r="G936" s="28" t="str">
        <f>IF(履歴データ!$A$936="","",(履歴データ!$S$936-履歴データ!$R$936)*100)</f>
        <v/>
      </c>
      <c r="H936" s="29" t="str">
        <f>IF(履歴データ!$A$936="","",履歴データ!$O$936)</f>
        <v/>
      </c>
      <c r="I936" s="29" t="str">
        <f>IF(履歴データ!$A$936="","",履歴データ!$Q$936)</f>
        <v/>
      </c>
      <c r="J936" s="29" t="str">
        <f>IF(履歴データ!$A$936="","",履歴データ!$D$936)</f>
        <v/>
      </c>
      <c r="K936" s="28" t="str">
        <f>IF(OR(履歴データ!$A$936="",履歴データ!$A$935=""),"",B936-B935)</f>
        <v/>
      </c>
      <c r="L936" s="28" t="str">
        <f>IF(OR(履歴データ!$A$936="",履歴データ!$A$935=""),"",C936-C935)</f>
        <v/>
      </c>
      <c r="M936" s="28" t="str">
        <f>IF(OR(履歴データ!$A$936="",履歴データ!$A$935=""),"",D936-D935)</f>
        <v/>
      </c>
      <c r="N936" s="28" t="str">
        <f>IF(OR(履歴データ!$A$936="",履歴データ!$A$935=""),"",E936-E935)</f>
        <v/>
      </c>
      <c r="O936" s="28" t="str">
        <f>IF(OR(履歴データ!$A$936="",履歴データ!$A$935=""),"",F936-F935)</f>
        <v/>
      </c>
      <c r="P936" s="28" t="str">
        <f>IF(OR(履歴データ!$A$936="",履歴データ!$A$935=""),"",G936-G935)</f>
        <v/>
      </c>
      <c r="Q936" s="29" t="str">
        <f>IF(OR(履歴データ!$A$936="",履歴データ!$A$935=""),"",H936-H935)</f>
        <v/>
      </c>
      <c r="R936" s="29" t="str">
        <f>IF(OR(履歴データ!$A$936="",履歴データ!$A$935=""),"",I936-I935)</f>
        <v/>
      </c>
      <c r="S936" s="28" t="str">
        <f>IF(OR(履歴データ!$A$936="",履歴データ!$A$935=""),"",(J936-J935)*100)</f>
        <v/>
      </c>
      <c r="T936" s="11" t="str">
        <f>IF(OR(履歴データ!$A$936="",履歴データ!$A$935=""),"",-80000*K936)</f>
        <v/>
      </c>
      <c r="U936" s="11" t="str">
        <f>IF(OR(履歴データ!$A$936="",履歴データ!$A$935=""),"",60000*L936)</f>
        <v/>
      </c>
      <c r="V936" s="11" t="str">
        <f>IF(OR(履歴データ!$A$936="",履歴データ!$A$935=""),"",-50000*M936)</f>
        <v/>
      </c>
      <c r="W936" s="11" t="str">
        <f>IF(OR(履歴データ!$A$936="",履歴データ!$A$935=""),"",-40000*N936)</f>
        <v/>
      </c>
      <c r="X936" s="11" t="str">
        <f>IF(OR(履歴データ!$A$936="",履歴データ!$A$935=""),"",120*1000000*(-Q936/H935))</f>
        <v/>
      </c>
      <c r="Y936" s="11" t="str">
        <f>IF(OR(履歴データ!$A$936="",履歴データ!$A$935=""),"",40000*(-S936)+(-506.3)*R936*1000)</f>
        <v/>
      </c>
      <c r="Z936" s="11" t="str">
        <f>IF(OR(履歴データ!$A$936="",履歴データ!$A$935=""),"",-40000*O936)</f>
        <v/>
      </c>
      <c r="AA936" s="11" t="str">
        <f>IF(OR(履歴データ!$A$936="",履歴データ!$A$935=""),"",-40000*P936)</f>
        <v/>
      </c>
      <c r="AB936" s="11" t="str">
        <f>IF(履歴データ!$A$936="","",123.3)</f>
        <v/>
      </c>
      <c r="AC936" t="str">
        <f>IF(履歴データ!$A$936="","",SUM(T936:AA936))</f>
        <v/>
      </c>
      <c r="AD936" s="29" t="str">
        <f>IF(履歴データ!$A$936="","",AC936/1000000)</f>
        <v/>
      </c>
      <c r="AE936" s="29">
        <f>IF(履歴データ!$A$936="",AE935,AE935+AC936/1000000)</f>
        <v>70.844544225831427</v>
      </c>
      <c r="AF936" s="12" t="str">
        <f>IF(OR(履歴データ!$A$936="",AE935=0),"",(AE936-AE935)/AE935)</f>
        <v/>
      </c>
      <c r="AG936" s="29">
        <f t="shared" si="44"/>
        <v>102.17217746631495</v>
      </c>
      <c r="AH936" s="12" t="str">
        <f>IF(OR(履歴データ!$A$936="",AG936=0),"",AE936/AG936-1)</f>
        <v/>
      </c>
    </row>
    <row r="937" spans="1:34">
      <c r="A937" s="10" t="str">
        <f>IF(履歴データ!$A$937="","",履歴データ!$A$937)</f>
        <v/>
      </c>
      <c r="B937" s="28" t="str">
        <f>IF(履歴データ!$A$937="","",(履歴データ!$D$937-(履歴データ!$B$937+履歴データ!$F$937)/2)*100)</f>
        <v/>
      </c>
      <c r="C937" s="28" t="str">
        <f>IF(履歴データ!$A$937="","",(履歴データ!$H$937-(履歴データ!$G$937+履歴データ!$J$937)/2)*100)</f>
        <v/>
      </c>
      <c r="D937" s="28" t="str">
        <f>IF(履歴データ!$A$937="","",(履歴データ!$D$937-履歴データ!$H$937)*100)</f>
        <v/>
      </c>
      <c r="E937" s="28" t="str">
        <f>IF(履歴データ!$A$937="","",(履歴データ!$D$937-履歴データ!$C$937)*100)</f>
        <v/>
      </c>
      <c r="F937" s="28" t="str">
        <f>IF(履歴データ!$A$937="","",(履歴データ!$R$937-履歴データ!$D$937)*100)</f>
        <v/>
      </c>
      <c r="G937" s="28" t="str">
        <f>IF(履歴データ!$A$937="","",(履歴データ!$S$937-履歴データ!$R$937)*100)</f>
        <v/>
      </c>
      <c r="H937" s="29" t="str">
        <f>IF(履歴データ!$A$937="","",履歴データ!$O$937)</f>
        <v/>
      </c>
      <c r="I937" s="29" t="str">
        <f>IF(履歴データ!$A$937="","",履歴データ!$Q$937)</f>
        <v/>
      </c>
      <c r="J937" s="29" t="str">
        <f>IF(履歴データ!$A$937="","",履歴データ!$D$937)</f>
        <v/>
      </c>
      <c r="K937" s="28" t="str">
        <f>IF(OR(履歴データ!$A$937="",履歴データ!$A$936=""),"",B937-B936)</f>
        <v/>
      </c>
      <c r="L937" s="28" t="str">
        <f>IF(OR(履歴データ!$A$937="",履歴データ!$A$936=""),"",C937-C936)</f>
        <v/>
      </c>
      <c r="M937" s="28" t="str">
        <f>IF(OR(履歴データ!$A$937="",履歴データ!$A$936=""),"",D937-D936)</f>
        <v/>
      </c>
      <c r="N937" s="28" t="str">
        <f>IF(OR(履歴データ!$A$937="",履歴データ!$A$936=""),"",E937-E936)</f>
        <v/>
      </c>
      <c r="O937" s="28" t="str">
        <f>IF(OR(履歴データ!$A$937="",履歴データ!$A$936=""),"",F937-F936)</f>
        <v/>
      </c>
      <c r="P937" s="28" t="str">
        <f>IF(OR(履歴データ!$A$937="",履歴データ!$A$936=""),"",G937-G936)</f>
        <v/>
      </c>
      <c r="Q937" s="29" t="str">
        <f>IF(OR(履歴データ!$A$937="",履歴データ!$A$936=""),"",H937-H936)</f>
        <v/>
      </c>
      <c r="R937" s="29" t="str">
        <f>IF(OR(履歴データ!$A$937="",履歴データ!$A$936=""),"",I937-I936)</f>
        <v/>
      </c>
      <c r="S937" s="28" t="str">
        <f>IF(OR(履歴データ!$A$937="",履歴データ!$A$936=""),"",(J937-J936)*100)</f>
        <v/>
      </c>
      <c r="T937" s="11" t="str">
        <f>IF(OR(履歴データ!$A$937="",履歴データ!$A$936=""),"",-80000*K937)</f>
        <v/>
      </c>
      <c r="U937" s="11" t="str">
        <f>IF(OR(履歴データ!$A$937="",履歴データ!$A$936=""),"",60000*L937)</f>
        <v/>
      </c>
      <c r="V937" s="11" t="str">
        <f>IF(OR(履歴データ!$A$937="",履歴データ!$A$936=""),"",-50000*M937)</f>
        <v/>
      </c>
      <c r="W937" s="11" t="str">
        <f>IF(OR(履歴データ!$A$937="",履歴データ!$A$936=""),"",-40000*N937)</f>
        <v/>
      </c>
      <c r="X937" s="11" t="str">
        <f>IF(OR(履歴データ!$A$937="",履歴データ!$A$936=""),"",120*1000000*(-Q937/H936))</f>
        <v/>
      </c>
      <c r="Y937" s="11" t="str">
        <f>IF(OR(履歴データ!$A$937="",履歴データ!$A$936=""),"",40000*(-S937)+(-506.3)*R937*1000)</f>
        <v/>
      </c>
      <c r="Z937" s="11" t="str">
        <f>IF(OR(履歴データ!$A$937="",履歴データ!$A$936=""),"",-40000*O937)</f>
        <v/>
      </c>
      <c r="AA937" s="11" t="str">
        <f>IF(OR(履歴データ!$A$937="",履歴データ!$A$936=""),"",-40000*P937)</f>
        <v/>
      </c>
      <c r="AB937" s="11" t="str">
        <f>IF(履歴データ!$A$937="","",123.3)</f>
        <v/>
      </c>
      <c r="AC937" t="str">
        <f>IF(履歴データ!$A$937="","",SUM(T937:AA937))</f>
        <v/>
      </c>
      <c r="AD937" s="29" t="str">
        <f>IF(履歴データ!$A$937="","",AC937/1000000)</f>
        <v/>
      </c>
      <c r="AE937" s="29">
        <f>IF(履歴データ!$A$937="",AE936,AE936+AC937/1000000)</f>
        <v>70.844544225831427</v>
      </c>
      <c r="AF937" s="12" t="str">
        <f>IF(OR(履歴データ!$A$937="",AE936=0),"",(AE937-AE936)/AE936)</f>
        <v/>
      </c>
      <c r="AG937" s="29">
        <f t="shared" si="44"/>
        <v>102.17217746631495</v>
      </c>
      <c r="AH937" s="12" t="str">
        <f>IF(OR(履歴データ!$A$937="",AG937=0),"",AE937/AG937-1)</f>
        <v/>
      </c>
    </row>
    <row r="938" spans="1:34">
      <c r="A938" s="10" t="str">
        <f>IF(履歴データ!$A$938="","",履歴データ!$A$938)</f>
        <v/>
      </c>
      <c r="B938" s="28" t="str">
        <f>IF(履歴データ!$A$938="","",(履歴データ!$D$938-(履歴データ!$B$938+履歴データ!$F$938)/2)*100)</f>
        <v/>
      </c>
      <c r="C938" s="28" t="str">
        <f>IF(履歴データ!$A$938="","",(履歴データ!$H$938-(履歴データ!$G$938+履歴データ!$J$938)/2)*100)</f>
        <v/>
      </c>
      <c r="D938" s="28" t="str">
        <f>IF(履歴データ!$A$938="","",(履歴データ!$D$938-履歴データ!$H$938)*100)</f>
        <v/>
      </c>
      <c r="E938" s="28" t="str">
        <f>IF(履歴データ!$A$938="","",(履歴データ!$D$938-履歴データ!$C$938)*100)</f>
        <v/>
      </c>
      <c r="F938" s="28" t="str">
        <f>IF(履歴データ!$A$938="","",(履歴データ!$R$938-履歴データ!$D$938)*100)</f>
        <v/>
      </c>
      <c r="G938" s="28" t="str">
        <f>IF(履歴データ!$A$938="","",(履歴データ!$S$938-履歴データ!$R$938)*100)</f>
        <v/>
      </c>
      <c r="H938" s="29" t="str">
        <f>IF(履歴データ!$A$938="","",履歴データ!$O$938)</f>
        <v/>
      </c>
      <c r="I938" s="29" t="str">
        <f>IF(履歴データ!$A$938="","",履歴データ!$Q$938)</f>
        <v/>
      </c>
      <c r="J938" s="29" t="str">
        <f>IF(履歴データ!$A$938="","",履歴データ!$D$938)</f>
        <v/>
      </c>
      <c r="K938" s="28" t="str">
        <f>IF(OR(履歴データ!$A$938="",履歴データ!$A$937=""),"",B938-B937)</f>
        <v/>
      </c>
      <c r="L938" s="28" t="str">
        <f>IF(OR(履歴データ!$A$938="",履歴データ!$A$937=""),"",C938-C937)</f>
        <v/>
      </c>
      <c r="M938" s="28" t="str">
        <f>IF(OR(履歴データ!$A$938="",履歴データ!$A$937=""),"",D938-D937)</f>
        <v/>
      </c>
      <c r="N938" s="28" t="str">
        <f>IF(OR(履歴データ!$A$938="",履歴データ!$A$937=""),"",E938-E937)</f>
        <v/>
      </c>
      <c r="O938" s="28" t="str">
        <f>IF(OR(履歴データ!$A$938="",履歴データ!$A$937=""),"",F938-F937)</f>
        <v/>
      </c>
      <c r="P938" s="28" t="str">
        <f>IF(OR(履歴データ!$A$938="",履歴データ!$A$937=""),"",G938-G937)</f>
        <v/>
      </c>
      <c r="Q938" s="29" t="str">
        <f>IF(OR(履歴データ!$A$938="",履歴データ!$A$937=""),"",H938-H937)</f>
        <v/>
      </c>
      <c r="R938" s="29" t="str">
        <f>IF(OR(履歴データ!$A$938="",履歴データ!$A$937=""),"",I938-I937)</f>
        <v/>
      </c>
      <c r="S938" s="28" t="str">
        <f>IF(OR(履歴データ!$A$938="",履歴データ!$A$937=""),"",(J938-J937)*100)</f>
        <v/>
      </c>
      <c r="T938" s="11" t="str">
        <f>IF(OR(履歴データ!$A$938="",履歴データ!$A$937=""),"",-80000*K938)</f>
        <v/>
      </c>
      <c r="U938" s="11" t="str">
        <f>IF(OR(履歴データ!$A$938="",履歴データ!$A$937=""),"",60000*L938)</f>
        <v/>
      </c>
      <c r="V938" s="11" t="str">
        <f>IF(OR(履歴データ!$A$938="",履歴データ!$A$937=""),"",-50000*M938)</f>
        <v/>
      </c>
      <c r="W938" s="11" t="str">
        <f>IF(OR(履歴データ!$A$938="",履歴データ!$A$937=""),"",-40000*N938)</f>
        <v/>
      </c>
      <c r="X938" s="11" t="str">
        <f>IF(OR(履歴データ!$A$938="",履歴データ!$A$937=""),"",120*1000000*(-Q938/H937))</f>
        <v/>
      </c>
      <c r="Y938" s="11" t="str">
        <f>IF(OR(履歴データ!$A$938="",履歴データ!$A$937=""),"",40000*(-S938)+(-506.3)*R938*1000)</f>
        <v/>
      </c>
      <c r="Z938" s="11" t="str">
        <f>IF(OR(履歴データ!$A$938="",履歴データ!$A$937=""),"",-40000*O938)</f>
        <v/>
      </c>
      <c r="AA938" s="11" t="str">
        <f>IF(OR(履歴データ!$A$938="",履歴データ!$A$937=""),"",-40000*P938)</f>
        <v/>
      </c>
      <c r="AB938" s="11" t="str">
        <f>IF(履歴データ!$A$938="","",123.3)</f>
        <v/>
      </c>
      <c r="AC938" t="str">
        <f>IF(履歴データ!$A$938="","",SUM(T938:AA938))</f>
        <v/>
      </c>
      <c r="AD938" s="29" t="str">
        <f>IF(履歴データ!$A$938="","",AC938/1000000)</f>
        <v/>
      </c>
      <c r="AE938" s="29">
        <f>IF(履歴データ!$A$938="",AE937,AE937+AC938/1000000)</f>
        <v>70.844544225831427</v>
      </c>
      <c r="AF938" s="12" t="str">
        <f>IF(OR(履歴データ!$A$938="",AE937=0),"",(AE938-AE937)/AE937)</f>
        <v/>
      </c>
      <c r="AG938" s="29">
        <f t="shared" si="44"/>
        <v>102.17217746631495</v>
      </c>
      <c r="AH938" s="12" t="str">
        <f>IF(OR(履歴データ!$A$938="",AG938=0),"",AE938/AG938-1)</f>
        <v/>
      </c>
    </row>
    <row r="939" spans="1:34">
      <c r="A939" s="10" t="str">
        <f>IF(履歴データ!$A$939="","",履歴データ!$A$939)</f>
        <v/>
      </c>
      <c r="B939" s="28" t="str">
        <f>IF(履歴データ!$A$939="","",(履歴データ!$D$939-(履歴データ!$B$939+履歴データ!$F$939)/2)*100)</f>
        <v/>
      </c>
      <c r="C939" s="28" t="str">
        <f>IF(履歴データ!$A$939="","",(履歴データ!$H$939-(履歴データ!$G$939+履歴データ!$J$939)/2)*100)</f>
        <v/>
      </c>
      <c r="D939" s="28" t="str">
        <f>IF(履歴データ!$A$939="","",(履歴データ!$D$939-履歴データ!$H$939)*100)</f>
        <v/>
      </c>
      <c r="E939" s="28" t="str">
        <f>IF(履歴データ!$A$939="","",(履歴データ!$D$939-履歴データ!$C$939)*100)</f>
        <v/>
      </c>
      <c r="F939" s="28" t="str">
        <f>IF(履歴データ!$A$939="","",(履歴データ!$R$939-履歴データ!$D$939)*100)</f>
        <v/>
      </c>
      <c r="G939" s="28" t="str">
        <f>IF(履歴データ!$A$939="","",(履歴データ!$S$939-履歴データ!$R$939)*100)</f>
        <v/>
      </c>
      <c r="H939" s="29" t="str">
        <f>IF(履歴データ!$A$939="","",履歴データ!$O$939)</f>
        <v/>
      </c>
      <c r="I939" s="29" t="str">
        <f>IF(履歴データ!$A$939="","",履歴データ!$Q$939)</f>
        <v/>
      </c>
      <c r="J939" s="29" t="str">
        <f>IF(履歴データ!$A$939="","",履歴データ!$D$939)</f>
        <v/>
      </c>
      <c r="K939" s="28" t="str">
        <f>IF(OR(履歴データ!$A$939="",履歴データ!$A$938=""),"",B939-B938)</f>
        <v/>
      </c>
      <c r="L939" s="28" t="str">
        <f>IF(OR(履歴データ!$A$939="",履歴データ!$A$938=""),"",C939-C938)</f>
        <v/>
      </c>
      <c r="M939" s="28" t="str">
        <f>IF(OR(履歴データ!$A$939="",履歴データ!$A$938=""),"",D939-D938)</f>
        <v/>
      </c>
      <c r="N939" s="28" t="str">
        <f>IF(OR(履歴データ!$A$939="",履歴データ!$A$938=""),"",E939-E938)</f>
        <v/>
      </c>
      <c r="O939" s="28" t="str">
        <f>IF(OR(履歴データ!$A$939="",履歴データ!$A$938=""),"",F939-F938)</f>
        <v/>
      </c>
      <c r="P939" s="28" t="str">
        <f>IF(OR(履歴データ!$A$939="",履歴データ!$A$938=""),"",G939-G938)</f>
        <v/>
      </c>
      <c r="Q939" s="29" t="str">
        <f>IF(OR(履歴データ!$A$939="",履歴データ!$A$938=""),"",H939-H938)</f>
        <v/>
      </c>
      <c r="R939" s="29" t="str">
        <f>IF(OR(履歴データ!$A$939="",履歴データ!$A$938=""),"",I939-I938)</f>
        <v/>
      </c>
      <c r="S939" s="28" t="str">
        <f>IF(OR(履歴データ!$A$939="",履歴データ!$A$938=""),"",(J939-J938)*100)</f>
        <v/>
      </c>
      <c r="T939" s="11" t="str">
        <f>IF(OR(履歴データ!$A$939="",履歴データ!$A$938=""),"",-80000*K939)</f>
        <v/>
      </c>
      <c r="U939" s="11" t="str">
        <f>IF(OR(履歴データ!$A$939="",履歴データ!$A$938=""),"",60000*L939)</f>
        <v/>
      </c>
      <c r="V939" s="11" t="str">
        <f>IF(OR(履歴データ!$A$939="",履歴データ!$A$938=""),"",-50000*M939)</f>
        <v/>
      </c>
      <c r="W939" s="11" t="str">
        <f>IF(OR(履歴データ!$A$939="",履歴データ!$A$938=""),"",-40000*N939)</f>
        <v/>
      </c>
      <c r="X939" s="11" t="str">
        <f>IF(OR(履歴データ!$A$939="",履歴データ!$A$938=""),"",120*1000000*(-Q939/H938))</f>
        <v/>
      </c>
      <c r="Y939" s="11" t="str">
        <f>IF(OR(履歴データ!$A$939="",履歴データ!$A$938=""),"",40000*(-S939)+(-506.3)*R939*1000)</f>
        <v/>
      </c>
      <c r="Z939" s="11" t="str">
        <f>IF(OR(履歴データ!$A$939="",履歴データ!$A$938=""),"",-40000*O939)</f>
        <v/>
      </c>
      <c r="AA939" s="11" t="str">
        <f>IF(OR(履歴データ!$A$939="",履歴データ!$A$938=""),"",-40000*P939)</f>
        <v/>
      </c>
      <c r="AB939" s="11" t="str">
        <f>IF(履歴データ!$A$939="","",123.3)</f>
        <v/>
      </c>
      <c r="AC939" t="str">
        <f>IF(履歴データ!$A$939="","",SUM(T939:AA939))</f>
        <v/>
      </c>
      <c r="AD939" s="29" t="str">
        <f>IF(履歴データ!$A$939="","",AC939/1000000)</f>
        <v/>
      </c>
      <c r="AE939" s="29">
        <f>IF(履歴データ!$A$939="",AE938,AE938+AC939/1000000)</f>
        <v>70.844544225831427</v>
      </c>
      <c r="AF939" s="12" t="str">
        <f>IF(OR(履歴データ!$A$939="",AE938=0),"",(AE939-AE938)/AE938)</f>
        <v/>
      </c>
      <c r="AG939" s="29">
        <f t="shared" si="44"/>
        <v>102.17217746631495</v>
      </c>
      <c r="AH939" s="12" t="str">
        <f>IF(OR(履歴データ!$A$939="",AG939=0),"",AE939/AG939-1)</f>
        <v/>
      </c>
    </row>
    <row r="940" spans="1:34">
      <c r="A940" s="10" t="str">
        <f>IF(履歴データ!$A$940="","",履歴データ!$A$940)</f>
        <v/>
      </c>
      <c r="B940" s="28" t="str">
        <f>IF(履歴データ!$A$940="","",(履歴データ!$D$940-(履歴データ!$B$940+履歴データ!$F$940)/2)*100)</f>
        <v/>
      </c>
      <c r="C940" s="28" t="str">
        <f>IF(履歴データ!$A$940="","",(履歴データ!$H$940-(履歴データ!$G$940+履歴データ!$J$940)/2)*100)</f>
        <v/>
      </c>
      <c r="D940" s="28" t="str">
        <f>IF(履歴データ!$A$940="","",(履歴データ!$D$940-履歴データ!$H$940)*100)</f>
        <v/>
      </c>
      <c r="E940" s="28" t="str">
        <f>IF(履歴データ!$A$940="","",(履歴データ!$D$940-履歴データ!$C$940)*100)</f>
        <v/>
      </c>
      <c r="F940" s="28" t="str">
        <f>IF(履歴データ!$A$940="","",(履歴データ!$R$940-履歴データ!$D$940)*100)</f>
        <v/>
      </c>
      <c r="G940" s="28" t="str">
        <f>IF(履歴データ!$A$940="","",(履歴データ!$S$940-履歴データ!$R$940)*100)</f>
        <v/>
      </c>
      <c r="H940" s="29" t="str">
        <f>IF(履歴データ!$A$940="","",履歴データ!$O$940)</f>
        <v/>
      </c>
      <c r="I940" s="29" t="str">
        <f>IF(履歴データ!$A$940="","",履歴データ!$Q$940)</f>
        <v/>
      </c>
      <c r="J940" s="29" t="str">
        <f>IF(履歴データ!$A$940="","",履歴データ!$D$940)</f>
        <v/>
      </c>
      <c r="K940" s="28" t="str">
        <f>IF(OR(履歴データ!$A$940="",履歴データ!$A$939=""),"",B940-B939)</f>
        <v/>
      </c>
      <c r="L940" s="28" t="str">
        <f>IF(OR(履歴データ!$A$940="",履歴データ!$A$939=""),"",C940-C939)</f>
        <v/>
      </c>
      <c r="M940" s="28" t="str">
        <f>IF(OR(履歴データ!$A$940="",履歴データ!$A$939=""),"",D940-D939)</f>
        <v/>
      </c>
      <c r="N940" s="28" t="str">
        <f>IF(OR(履歴データ!$A$940="",履歴データ!$A$939=""),"",E940-E939)</f>
        <v/>
      </c>
      <c r="O940" s="28" t="str">
        <f>IF(OR(履歴データ!$A$940="",履歴データ!$A$939=""),"",F940-F939)</f>
        <v/>
      </c>
      <c r="P940" s="28" t="str">
        <f>IF(OR(履歴データ!$A$940="",履歴データ!$A$939=""),"",G940-G939)</f>
        <v/>
      </c>
      <c r="Q940" s="29" t="str">
        <f>IF(OR(履歴データ!$A$940="",履歴データ!$A$939=""),"",H940-H939)</f>
        <v/>
      </c>
      <c r="R940" s="29" t="str">
        <f>IF(OR(履歴データ!$A$940="",履歴データ!$A$939=""),"",I940-I939)</f>
        <v/>
      </c>
      <c r="S940" s="28" t="str">
        <f>IF(OR(履歴データ!$A$940="",履歴データ!$A$939=""),"",(J940-J939)*100)</f>
        <v/>
      </c>
      <c r="T940" s="11" t="str">
        <f>IF(OR(履歴データ!$A$940="",履歴データ!$A$939=""),"",-80000*K940)</f>
        <v/>
      </c>
      <c r="U940" s="11" t="str">
        <f>IF(OR(履歴データ!$A$940="",履歴データ!$A$939=""),"",60000*L940)</f>
        <v/>
      </c>
      <c r="V940" s="11" t="str">
        <f>IF(OR(履歴データ!$A$940="",履歴データ!$A$939=""),"",-50000*M940)</f>
        <v/>
      </c>
      <c r="W940" s="11" t="str">
        <f>IF(OR(履歴データ!$A$940="",履歴データ!$A$939=""),"",-40000*N940)</f>
        <v/>
      </c>
      <c r="X940" s="11" t="str">
        <f>IF(OR(履歴データ!$A$940="",履歴データ!$A$939=""),"",120*1000000*(-Q940/H939))</f>
        <v/>
      </c>
      <c r="Y940" s="11" t="str">
        <f>IF(OR(履歴データ!$A$940="",履歴データ!$A$939=""),"",40000*(-S940)+(-506.3)*R940*1000)</f>
        <v/>
      </c>
      <c r="Z940" s="11" t="str">
        <f>IF(OR(履歴データ!$A$940="",履歴データ!$A$939=""),"",-40000*O940)</f>
        <v/>
      </c>
      <c r="AA940" s="11" t="str">
        <f>IF(OR(履歴データ!$A$940="",履歴データ!$A$939=""),"",-40000*P940)</f>
        <v/>
      </c>
      <c r="AB940" s="11" t="str">
        <f>IF(履歴データ!$A$940="","",123.3)</f>
        <v/>
      </c>
      <c r="AC940" t="str">
        <f>IF(履歴データ!$A$940="","",SUM(T940:AA940))</f>
        <v/>
      </c>
      <c r="AD940" s="29" t="str">
        <f>IF(履歴データ!$A$940="","",AC940/1000000)</f>
        <v/>
      </c>
      <c r="AE940" s="29">
        <f>IF(履歴データ!$A$940="",AE939,AE939+AC940/1000000)</f>
        <v>70.844544225831427</v>
      </c>
      <c r="AF940" s="12" t="str">
        <f>IF(OR(履歴データ!$A$940="",AE939=0),"",(AE940-AE939)/AE939)</f>
        <v/>
      </c>
      <c r="AG940" s="29">
        <f t="shared" si="44"/>
        <v>102.17217746631495</v>
      </c>
      <c r="AH940" s="12" t="str">
        <f>IF(OR(履歴データ!$A$940="",AG940=0),"",AE940/AG940-1)</f>
        <v/>
      </c>
    </row>
    <row r="941" spans="1:34">
      <c r="A941" s="10" t="str">
        <f>IF(履歴データ!$A$941="","",履歴データ!$A$941)</f>
        <v/>
      </c>
      <c r="B941" s="28" t="str">
        <f>IF(履歴データ!$A$941="","",(履歴データ!$D$941-(履歴データ!$B$941+履歴データ!$F$941)/2)*100)</f>
        <v/>
      </c>
      <c r="C941" s="28" t="str">
        <f>IF(履歴データ!$A$941="","",(履歴データ!$H$941-(履歴データ!$G$941+履歴データ!$J$941)/2)*100)</f>
        <v/>
      </c>
      <c r="D941" s="28" t="str">
        <f>IF(履歴データ!$A$941="","",(履歴データ!$D$941-履歴データ!$H$941)*100)</f>
        <v/>
      </c>
      <c r="E941" s="28" t="str">
        <f>IF(履歴データ!$A$941="","",(履歴データ!$D$941-履歴データ!$C$941)*100)</f>
        <v/>
      </c>
      <c r="F941" s="28" t="str">
        <f>IF(履歴データ!$A$941="","",(履歴データ!$R$941-履歴データ!$D$941)*100)</f>
        <v/>
      </c>
      <c r="G941" s="28" t="str">
        <f>IF(履歴データ!$A$941="","",(履歴データ!$S$941-履歴データ!$R$941)*100)</f>
        <v/>
      </c>
      <c r="H941" s="29" t="str">
        <f>IF(履歴データ!$A$941="","",履歴データ!$O$941)</f>
        <v/>
      </c>
      <c r="I941" s="29" t="str">
        <f>IF(履歴データ!$A$941="","",履歴データ!$Q$941)</f>
        <v/>
      </c>
      <c r="J941" s="29" t="str">
        <f>IF(履歴データ!$A$941="","",履歴データ!$D$941)</f>
        <v/>
      </c>
      <c r="K941" s="28" t="str">
        <f>IF(OR(履歴データ!$A$941="",履歴データ!$A$940=""),"",B941-B940)</f>
        <v/>
      </c>
      <c r="L941" s="28" t="str">
        <f>IF(OR(履歴データ!$A$941="",履歴データ!$A$940=""),"",C941-C940)</f>
        <v/>
      </c>
      <c r="M941" s="28" t="str">
        <f>IF(OR(履歴データ!$A$941="",履歴データ!$A$940=""),"",D941-D940)</f>
        <v/>
      </c>
      <c r="N941" s="28" t="str">
        <f>IF(OR(履歴データ!$A$941="",履歴データ!$A$940=""),"",E941-E940)</f>
        <v/>
      </c>
      <c r="O941" s="28" t="str">
        <f>IF(OR(履歴データ!$A$941="",履歴データ!$A$940=""),"",F941-F940)</f>
        <v/>
      </c>
      <c r="P941" s="28" t="str">
        <f>IF(OR(履歴データ!$A$941="",履歴データ!$A$940=""),"",G941-G940)</f>
        <v/>
      </c>
      <c r="Q941" s="29" t="str">
        <f>IF(OR(履歴データ!$A$941="",履歴データ!$A$940=""),"",H941-H940)</f>
        <v/>
      </c>
      <c r="R941" s="29" t="str">
        <f>IF(OR(履歴データ!$A$941="",履歴データ!$A$940=""),"",I941-I940)</f>
        <v/>
      </c>
      <c r="S941" s="28" t="str">
        <f>IF(OR(履歴データ!$A$941="",履歴データ!$A$940=""),"",(J941-J940)*100)</f>
        <v/>
      </c>
      <c r="T941" s="11" t="str">
        <f>IF(OR(履歴データ!$A$941="",履歴データ!$A$940=""),"",-80000*K941)</f>
        <v/>
      </c>
      <c r="U941" s="11" t="str">
        <f>IF(OR(履歴データ!$A$941="",履歴データ!$A$940=""),"",60000*L941)</f>
        <v/>
      </c>
      <c r="V941" s="11" t="str">
        <f>IF(OR(履歴データ!$A$941="",履歴データ!$A$940=""),"",-50000*M941)</f>
        <v/>
      </c>
      <c r="W941" s="11" t="str">
        <f>IF(OR(履歴データ!$A$941="",履歴データ!$A$940=""),"",-40000*N941)</f>
        <v/>
      </c>
      <c r="X941" s="11" t="str">
        <f>IF(OR(履歴データ!$A$941="",履歴データ!$A$940=""),"",120*1000000*(-Q941/H940))</f>
        <v/>
      </c>
      <c r="Y941" s="11" t="str">
        <f>IF(OR(履歴データ!$A$941="",履歴データ!$A$940=""),"",40000*(-S941)+(-506.3)*R941*1000)</f>
        <v/>
      </c>
      <c r="Z941" s="11" t="str">
        <f>IF(OR(履歴データ!$A$941="",履歴データ!$A$940=""),"",-40000*O941)</f>
        <v/>
      </c>
      <c r="AA941" s="11" t="str">
        <f>IF(OR(履歴データ!$A$941="",履歴データ!$A$940=""),"",-40000*P941)</f>
        <v/>
      </c>
      <c r="AB941" s="11" t="str">
        <f>IF(履歴データ!$A$941="","",123.3)</f>
        <v/>
      </c>
      <c r="AC941" t="str">
        <f>IF(履歴データ!$A$941="","",SUM(T941:AA941))</f>
        <v/>
      </c>
      <c r="AD941" s="29" t="str">
        <f>IF(履歴データ!$A$941="","",AC941/1000000)</f>
        <v/>
      </c>
      <c r="AE941" s="29">
        <f>IF(履歴データ!$A$941="",AE940,AE940+AC941/1000000)</f>
        <v>70.844544225831427</v>
      </c>
      <c r="AF941" s="12" t="str">
        <f>IF(OR(履歴データ!$A$941="",AE940=0),"",(AE941-AE940)/AE940)</f>
        <v/>
      </c>
      <c r="AG941" s="29">
        <f t="shared" si="44"/>
        <v>102.17217746631495</v>
      </c>
      <c r="AH941" s="12" t="str">
        <f>IF(OR(履歴データ!$A$941="",AG941=0),"",AE941/AG941-1)</f>
        <v/>
      </c>
    </row>
    <row r="942" spans="1:34">
      <c r="A942" s="10" t="str">
        <f>IF(履歴データ!$A$942="","",履歴データ!$A$942)</f>
        <v/>
      </c>
      <c r="B942" s="28" t="str">
        <f>IF(履歴データ!$A$942="","",(履歴データ!$D$942-(履歴データ!$B$942+履歴データ!$F$942)/2)*100)</f>
        <v/>
      </c>
      <c r="C942" s="28" t="str">
        <f>IF(履歴データ!$A$942="","",(履歴データ!$H$942-(履歴データ!$G$942+履歴データ!$J$942)/2)*100)</f>
        <v/>
      </c>
      <c r="D942" s="28" t="str">
        <f>IF(履歴データ!$A$942="","",(履歴データ!$D$942-履歴データ!$H$942)*100)</f>
        <v/>
      </c>
      <c r="E942" s="28" t="str">
        <f>IF(履歴データ!$A$942="","",(履歴データ!$D$942-履歴データ!$C$942)*100)</f>
        <v/>
      </c>
      <c r="F942" s="28" t="str">
        <f>IF(履歴データ!$A$942="","",(履歴データ!$R$942-履歴データ!$D$942)*100)</f>
        <v/>
      </c>
      <c r="G942" s="28" t="str">
        <f>IF(履歴データ!$A$942="","",(履歴データ!$S$942-履歴データ!$R$942)*100)</f>
        <v/>
      </c>
      <c r="H942" s="29" t="str">
        <f>IF(履歴データ!$A$942="","",履歴データ!$O$942)</f>
        <v/>
      </c>
      <c r="I942" s="29" t="str">
        <f>IF(履歴データ!$A$942="","",履歴データ!$Q$942)</f>
        <v/>
      </c>
      <c r="J942" s="29" t="str">
        <f>IF(履歴データ!$A$942="","",履歴データ!$D$942)</f>
        <v/>
      </c>
      <c r="K942" s="28" t="str">
        <f>IF(OR(履歴データ!$A$942="",履歴データ!$A$941=""),"",B942-B941)</f>
        <v/>
      </c>
      <c r="L942" s="28" t="str">
        <f>IF(OR(履歴データ!$A$942="",履歴データ!$A$941=""),"",C942-C941)</f>
        <v/>
      </c>
      <c r="M942" s="28" t="str">
        <f>IF(OR(履歴データ!$A$942="",履歴データ!$A$941=""),"",D942-D941)</f>
        <v/>
      </c>
      <c r="N942" s="28" t="str">
        <f>IF(OR(履歴データ!$A$942="",履歴データ!$A$941=""),"",E942-E941)</f>
        <v/>
      </c>
      <c r="O942" s="28" t="str">
        <f>IF(OR(履歴データ!$A$942="",履歴データ!$A$941=""),"",F942-F941)</f>
        <v/>
      </c>
      <c r="P942" s="28" t="str">
        <f>IF(OR(履歴データ!$A$942="",履歴データ!$A$941=""),"",G942-G941)</f>
        <v/>
      </c>
      <c r="Q942" s="29" t="str">
        <f>IF(OR(履歴データ!$A$942="",履歴データ!$A$941=""),"",H942-H941)</f>
        <v/>
      </c>
      <c r="R942" s="29" t="str">
        <f>IF(OR(履歴データ!$A$942="",履歴データ!$A$941=""),"",I942-I941)</f>
        <v/>
      </c>
      <c r="S942" s="28" t="str">
        <f>IF(OR(履歴データ!$A$942="",履歴データ!$A$941=""),"",(J942-J941)*100)</f>
        <v/>
      </c>
      <c r="T942" s="11" t="str">
        <f>IF(OR(履歴データ!$A$942="",履歴データ!$A$941=""),"",-80000*K942)</f>
        <v/>
      </c>
      <c r="U942" s="11" t="str">
        <f>IF(OR(履歴データ!$A$942="",履歴データ!$A$941=""),"",60000*L942)</f>
        <v/>
      </c>
      <c r="V942" s="11" t="str">
        <f>IF(OR(履歴データ!$A$942="",履歴データ!$A$941=""),"",-50000*M942)</f>
        <v/>
      </c>
      <c r="W942" s="11" t="str">
        <f>IF(OR(履歴データ!$A$942="",履歴データ!$A$941=""),"",-40000*N942)</f>
        <v/>
      </c>
      <c r="X942" s="11" t="str">
        <f>IF(OR(履歴データ!$A$942="",履歴データ!$A$941=""),"",120*1000000*(-Q942/H941))</f>
        <v/>
      </c>
      <c r="Y942" s="11" t="str">
        <f>IF(OR(履歴データ!$A$942="",履歴データ!$A$941=""),"",40000*(-S942)+(-506.3)*R942*1000)</f>
        <v/>
      </c>
      <c r="Z942" s="11" t="str">
        <f>IF(OR(履歴データ!$A$942="",履歴データ!$A$941=""),"",-40000*O942)</f>
        <v/>
      </c>
      <c r="AA942" s="11" t="str">
        <f>IF(OR(履歴データ!$A$942="",履歴データ!$A$941=""),"",-40000*P942)</f>
        <v/>
      </c>
      <c r="AB942" s="11" t="str">
        <f>IF(履歴データ!$A$942="","",123.3)</f>
        <v/>
      </c>
      <c r="AC942" t="str">
        <f>IF(履歴データ!$A$942="","",SUM(T942:AA942))</f>
        <v/>
      </c>
      <c r="AD942" s="29" t="str">
        <f>IF(履歴データ!$A$942="","",AC942/1000000)</f>
        <v/>
      </c>
      <c r="AE942" s="29">
        <f>IF(履歴データ!$A$942="",AE941,AE941+AC942/1000000)</f>
        <v>70.844544225831427</v>
      </c>
      <c r="AF942" s="12" t="str">
        <f>IF(OR(履歴データ!$A$942="",AE941=0),"",(AE942-AE941)/AE941)</f>
        <v/>
      </c>
      <c r="AG942" s="29">
        <f t="shared" si="44"/>
        <v>102.17217746631495</v>
      </c>
      <c r="AH942" s="12" t="str">
        <f>IF(OR(履歴データ!$A$942="",AG942=0),"",AE942/AG942-1)</f>
        <v/>
      </c>
    </row>
    <row r="943" spans="1:34">
      <c r="A943" s="10" t="str">
        <f>IF(履歴データ!$A$943="","",履歴データ!$A$943)</f>
        <v/>
      </c>
      <c r="B943" s="28" t="str">
        <f>IF(履歴データ!$A$943="","",(履歴データ!$D$943-(履歴データ!$B$943+履歴データ!$F$943)/2)*100)</f>
        <v/>
      </c>
      <c r="C943" s="28" t="str">
        <f>IF(履歴データ!$A$943="","",(履歴データ!$H$943-(履歴データ!$G$943+履歴データ!$J$943)/2)*100)</f>
        <v/>
      </c>
      <c r="D943" s="28" t="str">
        <f>IF(履歴データ!$A$943="","",(履歴データ!$D$943-履歴データ!$H$943)*100)</f>
        <v/>
      </c>
      <c r="E943" s="28" t="str">
        <f>IF(履歴データ!$A$943="","",(履歴データ!$D$943-履歴データ!$C$943)*100)</f>
        <v/>
      </c>
      <c r="F943" s="28" t="str">
        <f>IF(履歴データ!$A$943="","",(履歴データ!$R$943-履歴データ!$D$943)*100)</f>
        <v/>
      </c>
      <c r="G943" s="28" t="str">
        <f>IF(履歴データ!$A$943="","",(履歴データ!$S$943-履歴データ!$R$943)*100)</f>
        <v/>
      </c>
      <c r="H943" s="29" t="str">
        <f>IF(履歴データ!$A$943="","",履歴データ!$O$943)</f>
        <v/>
      </c>
      <c r="I943" s="29" t="str">
        <f>IF(履歴データ!$A$943="","",履歴データ!$Q$943)</f>
        <v/>
      </c>
      <c r="J943" s="29" t="str">
        <f>IF(履歴データ!$A$943="","",履歴データ!$D$943)</f>
        <v/>
      </c>
      <c r="K943" s="28" t="str">
        <f>IF(OR(履歴データ!$A$943="",履歴データ!$A$942=""),"",B943-B942)</f>
        <v/>
      </c>
      <c r="L943" s="28" t="str">
        <f>IF(OR(履歴データ!$A$943="",履歴データ!$A$942=""),"",C943-C942)</f>
        <v/>
      </c>
      <c r="M943" s="28" t="str">
        <f>IF(OR(履歴データ!$A$943="",履歴データ!$A$942=""),"",D943-D942)</f>
        <v/>
      </c>
      <c r="N943" s="28" t="str">
        <f>IF(OR(履歴データ!$A$943="",履歴データ!$A$942=""),"",E943-E942)</f>
        <v/>
      </c>
      <c r="O943" s="28" t="str">
        <f>IF(OR(履歴データ!$A$943="",履歴データ!$A$942=""),"",F943-F942)</f>
        <v/>
      </c>
      <c r="P943" s="28" t="str">
        <f>IF(OR(履歴データ!$A$943="",履歴データ!$A$942=""),"",G943-G942)</f>
        <v/>
      </c>
      <c r="Q943" s="29" t="str">
        <f>IF(OR(履歴データ!$A$943="",履歴データ!$A$942=""),"",H943-H942)</f>
        <v/>
      </c>
      <c r="R943" s="29" t="str">
        <f>IF(OR(履歴データ!$A$943="",履歴データ!$A$942=""),"",I943-I942)</f>
        <v/>
      </c>
      <c r="S943" s="28" t="str">
        <f>IF(OR(履歴データ!$A$943="",履歴データ!$A$942=""),"",(J943-J942)*100)</f>
        <v/>
      </c>
      <c r="T943" s="11" t="str">
        <f>IF(OR(履歴データ!$A$943="",履歴データ!$A$942=""),"",-80000*K943)</f>
        <v/>
      </c>
      <c r="U943" s="11" t="str">
        <f>IF(OR(履歴データ!$A$943="",履歴データ!$A$942=""),"",60000*L943)</f>
        <v/>
      </c>
      <c r="V943" s="11" t="str">
        <f>IF(OR(履歴データ!$A$943="",履歴データ!$A$942=""),"",-50000*M943)</f>
        <v/>
      </c>
      <c r="W943" s="11" t="str">
        <f>IF(OR(履歴データ!$A$943="",履歴データ!$A$942=""),"",-40000*N943)</f>
        <v/>
      </c>
      <c r="X943" s="11" t="str">
        <f>IF(OR(履歴データ!$A$943="",履歴データ!$A$942=""),"",120*1000000*(-Q943/H942))</f>
        <v/>
      </c>
      <c r="Y943" s="11" t="str">
        <f>IF(OR(履歴データ!$A$943="",履歴データ!$A$942=""),"",40000*(-S943)+(-506.3)*R943*1000)</f>
        <v/>
      </c>
      <c r="Z943" s="11" t="str">
        <f>IF(OR(履歴データ!$A$943="",履歴データ!$A$942=""),"",-40000*O943)</f>
        <v/>
      </c>
      <c r="AA943" s="11" t="str">
        <f>IF(OR(履歴データ!$A$943="",履歴データ!$A$942=""),"",-40000*P943)</f>
        <v/>
      </c>
      <c r="AB943" s="11" t="str">
        <f>IF(履歴データ!$A$943="","",123.3)</f>
        <v/>
      </c>
      <c r="AC943" t="str">
        <f>IF(履歴データ!$A$943="","",SUM(T943:AA943))</f>
        <v/>
      </c>
      <c r="AD943" s="29" t="str">
        <f>IF(履歴データ!$A$943="","",AC943/1000000)</f>
        <v/>
      </c>
      <c r="AE943" s="29">
        <f>IF(履歴データ!$A$943="",AE942,AE942+AC943/1000000)</f>
        <v>70.844544225831427</v>
      </c>
      <c r="AF943" s="12" t="str">
        <f>IF(OR(履歴データ!$A$943="",AE942=0),"",(AE943-AE942)/AE942)</f>
        <v/>
      </c>
      <c r="AG943" s="29">
        <f t="shared" si="44"/>
        <v>102.17217746631495</v>
      </c>
      <c r="AH943" s="12" t="str">
        <f>IF(OR(履歴データ!$A$943="",AG943=0),"",AE943/AG943-1)</f>
        <v/>
      </c>
    </row>
    <row r="944" spans="1:34">
      <c r="A944" s="10" t="str">
        <f>IF(履歴データ!$A$944="","",履歴データ!$A$944)</f>
        <v/>
      </c>
      <c r="B944" s="28" t="str">
        <f>IF(履歴データ!$A$944="","",(履歴データ!$D$944-(履歴データ!$B$944+履歴データ!$F$944)/2)*100)</f>
        <v/>
      </c>
      <c r="C944" s="28" t="str">
        <f>IF(履歴データ!$A$944="","",(履歴データ!$H$944-(履歴データ!$G$944+履歴データ!$J$944)/2)*100)</f>
        <v/>
      </c>
      <c r="D944" s="28" t="str">
        <f>IF(履歴データ!$A$944="","",(履歴データ!$D$944-履歴データ!$H$944)*100)</f>
        <v/>
      </c>
      <c r="E944" s="28" t="str">
        <f>IF(履歴データ!$A$944="","",(履歴データ!$D$944-履歴データ!$C$944)*100)</f>
        <v/>
      </c>
      <c r="F944" s="28" t="str">
        <f>IF(履歴データ!$A$944="","",(履歴データ!$R$944-履歴データ!$D$944)*100)</f>
        <v/>
      </c>
      <c r="G944" s="28" t="str">
        <f>IF(履歴データ!$A$944="","",(履歴データ!$S$944-履歴データ!$R$944)*100)</f>
        <v/>
      </c>
      <c r="H944" s="29" t="str">
        <f>IF(履歴データ!$A$944="","",履歴データ!$O$944)</f>
        <v/>
      </c>
      <c r="I944" s="29" t="str">
        <f>IF(履歴データ!$A$944="","",履歴データ!$Q$944)</f>
        <v/>
      </c>
      <c r="J944" s="29" t="str">
        <f>IF(履歴データ!$A$944="","",履歴データ!$D$944)</f>
        <v/>
      </c>
      <c r="K944" s="28" t="str">
        <f>IF(OR(履歴データ!$A$944="",履歴データ!$A$943=""),"",B944-B943)</f>
        <v/>
      </c>
      <c r="L944" s="28" t="str">
        <f>IF(OR(履歴データ!$A$944="",履歴データ!$A$943=""),"",C944-C943)</f>
        <v/>
      </c>
      <c r="M944" s="28" t="str">
        <f>IF(OR(履歴データ!$A$944="",履歴データ!$A$943=""),"",D944-D943)</f>
        <v/>
      </c>
      <c r="N944" s="28" t="str">
        <f>IF(OR(履歴データ!$A$944="",履歴データ!$A$943=""),"",E944-E943)</f>
        <v/>
      </c>
      <c r="O944" s="28" t="str">
        <f>IF(OR(履歴データ!$A$944="",履歴データ!$A$943=""),"",F944-F943)</f>
        <v/>
      </c>
      <c r="P944" s="28" t="str">
        <f>IF(OR(履歴データ!$A$944="",履歴データ!$A$943=""),"",G944-G943)</f>
        <v/>
      </c>
      <c r="Q944" s="29" t="str">
        <f>IF(OR(履歴データ!$A$944="",履歴データ!$A$943=""),"",H944-H943)</f>
        <v/>
      </c>
      <c r="R944" s="29" t="str">
        <f>IF(OR(履歴データ!$A$944="",履歴データ!$A$943=""),"",I944-I943)</f>
        <v/>
      </c>
      <c r="S944" s="28" t="str">
        <f>IF(OR(履歴データ!$A$944="",履歴データ!$A$943=""),"",(J944-J943)*100)</f>
        <v/>
      </c>
      <c r="T944" s="11" t="str">
        <f>IF(OR(履歴データ!$A$944="",履歴データ!$A$943=""),"",-80000*K944)</f>
        <v/>
      </c>
      <c r="U944" s="11" t="str">
        <f>IF(OR(履歴データ!$A$944="",履歴データ!$A$943=""),"",60000*L944)</f>
        <v/>
      </c>
      <c r="V944" s="11" t="str">
        <f>IF(OR(履歴データ!$A$944="",履歴データ!$A$943=""),"",-50000*M944)</f>
        <v/>
      </c>
      <c r="W944" s="11" t="str">
        <f>IF(OR(履歴データ!$A$944="",履歴データ!$A$943=""),"",-40000*N944)</f>
        <v/>
      </c>
      <c r="X944" s="11" t="str">
        <f>IF(OR(履歴データ!$A$944="",履歴データ!$A$943=""),"",120*1000000*(-Q944/H943))</f>
        <v/>
      </c>
      <c r="Y944" s="11" t="str">
        <f>IF(OR(履歴データ!$A$944="",履歴データ!$A$943=""),"",40000*(-S944)+(-506.3)*R944*1000)</f>
        <v/>
      </c>
      <c r="Z944" s="11" t="str">
        <f>IF(OR(履歴データ!$A$944="",履歴データ!$A$943=""),"",-40000*O944)</f>
        <v/>
      </c>
      <c r="AA944" s="11" t="str">
        <f>IF(OR(履歴データ!$A$944="",履歴データ!$A$943=""),"",-40000*P944)</f>
        <v/>
      </c>
      <c r="AB944" s="11" t="str">
        <f>IF(履歴データ!$A$944="","",123.3)</f>
        <v/>
      </c>
      <c r="AC944" t="str">
        <f>IF(履歴データ!$A$944="","",SUM(T944:AA944))</f>
        <v/>
      </c>
      <c r="AD944" s="29" t="str">
        <f>IF(履歴データ!$A$944="","",AC944/1000000)</f>
        <v/>
      </c>
      <c r="AE944" s="29">
        <f>IF(履歴データ!$A$944="",AE943,AE943+AC944/1000000)</f>
        <v>70.844544225831427</v>
      </c>
      <c r="AF944" s="12" t="str">
        <f>IF(OR(履歴データ!$A$944="",AE943=0),"",(AE944-AE943)/AE943)</f>
        <v/>
      </c>
      <c r="AG944" s="29">
        <f t="shared" si="44"/>
        <v>102.17217746631495</v>
      </c>
      <c r="AH944" s="12" t="str">
        <f>IF(OR(履歴データ!$A$944="",AG944=0),"",AE944/AG944-1)</f>
        <v/>
      </c>
    </row>
    <row r="945" spans="1:34">
      <c r="A945" s="10" t="str">
        <f>IF(履歴データ!$A$945="","",履歴データ!$A$945)</f>
        <v/>
      </c>
      <c r="B945" s="28" t="str">
        <f>IF(履歴データ!$A$945="","",(履歴データ!$D$945-(履歴データ!$B$945+履歴データ!$F$945)/2)*100)</f>
        <v/>
      </c>
      <c r="C945" s="28" t="str">
        <f>IF(履歴データ!$A$945="","",(履歴データ!$H$945-(履歴データ!$G$945+履歴データ!$J$945)/2)*100)</f>
        <v/>
      </c>
      <c r="D945" s="28" t="str">
        <f>IF(履歴データ!$A$945="","",(履歴データ!$D$945-履歴データ!$H$945)*100)</f>
        <v/>
      </c>
      <c r="E945" s="28" t="str">
        <f>IF(履歴データ!$A$945="","",(履歴データ!$D$945-履歴データ!$C$945)*100)</f>
        <v/>
      </c>
      <c r="F945" s="28" t="str">
        <f>IF(履歴データ!$A$945="","",(履歴データ!$R$945-履歴データ!$D$945)*100)</f>
        <v/>
      </c>
      <c r="G945" s="28" t="str">
        <f>IF(履歴データ!$A$945="","",(履歴データ!$S$945-履歴データ!$R$945)*100)</f>
        <v/>
      </c>
      <c r="H945" s="29" t="str">
        <f>IF(履歴データ!$A$945="","",履歴データ!$O$945)</f>
        <v/>
      </c>
      <c r="I945" s="29" t="str">
        <f>IF(履歴データ!$A$945="","",履歴データ!$Q$945)</f>
        <v/>
      </c>
      <c r="J945" s="29" t="str">
        <f>IF(履歴データ!$A$945="","",履歴データ!$D$945)</f>
        <v/>
      </c>
      <c r="K945" s="28" t="str">
        <f>IF(OR(履歴データ!$A$945="",履歴データ!$A$944=""),"",B945-B944)</f>
        <v/>
      </c>
      <c r="L945" s="28" t="str">
        <f>IF(OR(履歴データ!$A$945="",履歴データ!$A$944=""),"",C945-C944)</f>
        <v/>
      </c>
      <c r="M945" s="28" t="str">
        <f>IF(OR(履歴データ!$A$945="",履歴データ!$A$944=""),"",D945-D944)</f>
        <v/>
      </c>
      <c r="N945" s="28" t="str">
        <f>IF(OR(履歴データ!$A$945="",履歴データ!$A$944=""),"",E945-E944)</f>
        <v/>
      </c>
      <c r="O945" s="28" t="str">
        <f>IF(OR(履歴データ!$A$945="",履歴データ!$A$944=""),"",F945-F944)</f>
        <v/>
      </c>
      <c r="P945" s="28" t="str">
        <f>IF(OR(履歴データ!$A$945="",履歴データ!$A$944=""),"",G945-G944)</f>
        <v/>
      </c>
      <c r="Q945" s="29" t="str">
        <f>IF(OR(履歴データ!$A$945="",履歴データ!$A$944=""),"",H945-H944)</f>
        <v/>
      </c>
      <c r="R945" s="29" t="str">
        <f>IF(OR(履歴データ!$A$945="",履歴データ!$A$944=""),"",I945-I944)</f>
        <v/>
      </c>
      <c r="S945" s="28" t="str">
        <f>IF(OR(履歴データ!$A$945="",履歴データ!$A$944=""),"",(J945-J944)*100)</f>
        <v/>
      </c>
      <c r="T945" s="11" t="str">
        <f>IF(OR(履歴データ!$A$945="",履歴データ!$A$944=""),"",-80000*K945)</f>
        <v/>
      </c>
      <c r="U945" s="11" t="str">
        <f>IF(OR(履歴データ!$A$945="",履歴データ!$A$944=""),"",60000*L945)</f>
        <v/>
      </c>
      <c r="V945" s="11" t="str">
        <f>IF(OR(履歴データ!$A$945="",履歴データ!$A$944=""),"",-50000*M945)</f>
        <v/>
      </c>
      <c r="W945" s="11" t="str">
        <f>IF(OR(履歴データ!$A$945="",履歴データ!$A$944=""),"",-40000*N945)</f>
        <v/>
      </c>
      <c r="X945" s="11" t="str">
        <f>IF(OR(履歴データ!$A$945="",履歴データ!$A$944=""),"",120*1000000*(-Q945/H944))</f>
        <v/>
      </c>
      <c r="Y945" s="11" t="str">
        <f>IF(OR(履歴データ!$A$945="",履歴データ!$A$944=""),"",40000*(-S945)+(-506.3)*R945*1000)</f>
        <v/>
      </c>
      <c r="Z945" s="11" t="str">
        <f>IF(OR(履歴データ!$A$945="",履歴データ!$A$944=""),"",-40000*O945)</f>
        <v/>
      </c>
      <c r="AA945" s="11" t="str">
        <f>IF(OR(履歴データ!$A$945="",履歴データ!$A$944=""),"",-40000*P945)</f>
        <v/>
      </c>
      <c r="AB945" s="11" t="str">
        <f>IF(履歴データ!$A$945="","",123.3)</f>
        <v/>
      </c>
      <c r="AC945" t="str">
        <f>IF(履歴データ!$A$945="","",SUM(T945:AA945))</f>
        <v/>
      </c>
      <c r="AD945" s="29" t="str">
        <f>IF(履歴データ!$A$945="","",AC945/1000000)</f>
        <v/>
      </c>
      <c r="AE945" s="29">
        <f>IF(履歴データ!$A$945="",AE944,AE944+AC945/1000000)</f>
        <v>70.844544225831427</v>
      </c>
      <c r="AF945" s="12" t="str">
        <f>IF(OR(履歴データ!$A$945="",AE944=0),"",(AE945-AE944)/AE944)</f>
        <v/>
      </c>
      <c r="AG945" s="29">
        <f t="shared" si="44"/>
        <v>102.17217746631495</v>
      </c>
      <c r="AH945" s="12" t="str">
        <f>IF(OR(履歴データ!$A$945="",AG945=0),"",AE945/AG945-1)</f>
        <v/>
      </c>
    </row>
    <row r="946" spans="1:34">
      <c r="A946" s="10" t="str">
        <f>IF(履歴データ!$A$946="","",履歴データ!$A$946)</f>
        <v/>
      </c>
      <c r="B946" s="28" t="str">
        <f>IF(履歴データ!$A$946="","",(履歴データ!$D$946-(履歴データ!$B$946+履歴データ!$F$946)/2)*100)</f>
        <v/>
      </c>
      <c r="C946" s="28" t="str">
        <f>IF(履歴データ!$A$946="","",(履歴データ!$H$946-(履歴データ!$G$946+履歴データ!$J$946)/2)*100)</f>
        <v/>
      </c>
      <c r="D946" s="28" t="str">
        <f>IF(履歴データ!$A$946="","",(履歴データ!$D$946-履歴データ!$H$946)*100)</f>
        <v/>
      </c>
      <c r="E946" s="28" t="str">
        <f>IF(履歴データ!$A$946="","",(履歴データ!$D$946-履歴データ!$C$946)*100)</f>
        <v/>
      </c>
      <c r="F946" s="28" t="str">
        <f>IF(履歴データ!$A$946="","",(履歴データ!$R$946-履歴データ!$D$946)*100)</f>
        <v/>
      </c>
      <c r="G946" s="28" t="str">
        <f>IF(履歴データ!$A$946="","",(履歴データ!$S$946-履歴データ!$R$946)*100)</f>
        <v/>
      </c>
      <c r="H946" s="29" t="str">
        <f>IF(履歴データ!$A$946="","",履歴データ!$O$946)</f>
        <v/>
      </c>
      <c r="I946" s="29" t="str">
        <f>IF(履歴データ!$A$946="","",履歴データ!$Q$946)</f>
        <v/>
      </c>
      <c r="J946" s="29" t="str">
        <f>IF(履歴データ!$A$946="","",履歴データ!$D$946)</f>
        <v/>
      </c>
      <c r="K946" s="28" t="str">
        <f>IF(OR(履歴データ!$A$946="",履歴データ!$A$945=""),"",B946-B945)</f>
        <v/>
      </c>
      <c r="L946" s="28" t="str">
        <f>IF(OR(履歴データ!$A$946="",履歴データ!$A$945=""),"",C946-C945)</f>
        <v/>
      </c>
      <c r="M946" s="28" t="str">
        <f>IF(OR(履歴データ!$A$946="",履歴データ!$A$945=""),"",D946-D945)</f>
        <v/>
      </c>
      <c r="N946" s="28" t="str">
        <f>IF(OR(履歴データ!$A$946="",履歴データ!$A$945=""),"",E946-E945)</f>
        <v/>
      </c>
      <c r="O946" s="28" t="str">
        <f>IF(OR(履歴データ!$A$946="",履歴データ!$A$945=""),"",F946-F945)</f>
        <v/>
      </c>
      <c r="P946" s="28" t="str">
        <f>IF(OR(履歴データ!$A$946="",履歴データ!$A$945=""),"",G946-G945)</f>
        <v/>
      </c>
      <c r="Q946" s="29" t="str">
        <f>IF(OR(履歴データ!$A$946="",履歴データ!$A$945=""),"",H946-H945)</f>
        <v/>
      </c>
      <c r="R946" s="29" t="str">
        <f>IF(OR(履歴データ!$A$946="",履歴データ!$A$945=""),"",I946-I945)</f>
        <v/>
      </c>
      <c r="S946" s="28" t="str">
        <f>IF(OR(履歴データ!$A$946="",履歴データ!$A$945=""),"",(J946-J945)*100)</f>
        <v/>
      </c>
      <c r="T946" s="11" t="str">
        <f>IF(OR(履歴データ!$A$946="",履歴データ!$A$945=""),"",-80000*K946)</f>
        <v/>
      </c>
      <c r="U946" s="11" t="str">
        <f>IF(OR(履歴データ!$A$946="",履歴データ!$A$945=""),"",60000*L946)</f>
        <v/>
      </c>
      <c r="V946" s="11" t="str">
        <f>IF(OR(履歴データ!$A$946="",履歴データ!$A$945=""),"",-50000*M946)</f>
        <v/>
      </c>
      <c r="W946" s="11" t="str">
        <f>IF(OR(履歴データ!$A$946="",履歴データ!$A$945=""),"",-40000*N946)</f>
        <v/>
      </c>
      <c r="X946" s="11" t="str">
        <f>IF(OR(履歴データ!$A$946="",履歴データ!$A$945=""),"",120*1000000*(-Q946/H945))</f>
        <v/>
      </c>
      <c r="Y946" s="11" t="str">
        <f>IF(OR(履歴データ!$A$946="",履歴データ!$A$945=""),"",40000*(-S946)+(-506.3)*R946*1000)</f>
        <v/>
      </c>
      <c r="Z946" s="11" t="str">
        <f>IF(OR(履歴データ!$A$946="",履歴データ!$A$945=""),"",-40000*O946)</f>
        <v/>
      </c>
      <c r="AA946" s="11" t="str">
        <f>IF(OR(履歴データ!$A$946="",履歴データ!$A$945=""),"",-40000*P946)</f>
        <v/>
      </c>
      <c r="AB946" s="11" t="str">
        <f>IF(履歴データ!$A$946="","",123.3)</f>
        <v/>
      </c>
      <c r="AC946" t="str">
        <f>IF(履歴データ!$A$946="","",SUM(T946:AA946))</f>
        <v/>
      </c>
      <c r="AD946" s="29" t="str">
        <f>IF(履歴データ!$A$946="","",AC946/1000000)</f>
        <v/>
      </c>
      <c r="AE946" s="29">
        <f>IF(履歴データ!$A$946="",AE945,AE945+AC946/1000000)</f>
        <v>70.844544225831427</v>
      </c>
      <c r="AF946" s="12" t="str">
        <f>IF(OR(履歴データ!$A$946="",AE945=0),"",(AE946-AE945)/AE945)</f>
        <v/>
      </c>
      <c r="AG946" s="29">
        <f t="shared" si="44"/>
        <v>102.17217746631495</v>
      </c>
      <c r="AH946" s="12" t="str">
        <f>IF(OR(履歴データ!$A$946="",AG946=0),"",AE946/AG946-1)</f>
        <v/>
      </c>
    </row>
    <row r="947" spans="1:34">
      <c r="A947" s="10" t="str">
        <f>IF(履歴データ!$A$947="","",履歴データ!$A$947)</f>
        <v/>
      </c>
      <c r="B947" s="28" t="str">
        <f>IF(履歴データ!$A$947="","",(履歴データ!$D$947-(履歴データ!$B$947+履歴データ!$F$947)/2)*100)</f>
        <v/>
      </c>
      <c r="C947" s="28" t="str">
        <f>IF(履歴データ!$A$947="","",(履歴データ!$H$947-(履歴データ!$G$947+履歴データ!$J$947)/2)*100)</f>
        <v/>
      </c>
      <c r="D947" s="28" t="str">
        <f>IF(履歴データ!$A$947="","",(履歴データ!$D$947-履歴データ!$H$947)*100)</f>
        <v/>
      </c>
      <c r="E947" s="28" t="str">
        <f>IF(履歴データ!$A$947="","",(履歴データ!$D$947-履歴データ!$C$947)*100)</f>
        <v/>
      </c>
      <c r="F947" s="28" t="str">
        <f>IF(履歴データ!$A$947="","",(履歴データ!$R$947-履歴データ!$D$947)*100)</f>
        <v/>
      </c>
      <c r="G947" s="28" t="str">
        <f>IF(履歴データ!$A$947="","",(履歴データ!$S$947-履歴データ!$R$947)*100)</f>
        <v/>
      </c>
      <c r="H947" s="29" t="str">
        <f>IF(履歴データ!$A$947="","",履歴データ!$O$947)</f>
        <v/>
      </c>
      <c r="I947" s="29" t="str">
        <f>IF(履歴データ!$A$947="","",履歴データ!$Q$947)</f>
        <v/>
      </c>
      <c r="J947" s="29" t="str">
        <f>IF(履歴データ!$A$947="","",履歴データ!$D$947)</f>
        <v/>
      </c>
      <c r="K947" s="28" t="str">
        <f>IF(OR(履歴データ!$A$947="",履歴データ!$A$946=""),"",B947-B946)</f>
        <v/>
      </c>
      <c r="L947" s="28" t="str">
        <f>IF(OR(履歴データ!$A$947="",履歴データ!$A$946=""),"",C947-C946)</f>
        <v/>
      </c>
      <c r="M947" s="28" t="str">
        <f>IF(OR(履歴データ!$A$947="",履歴データ!$A$946=""),"",D947-D946)</f>
        <v/>
      </c>
      <c r="N947" s="28" t="str">
        <f>IF(OR(履歴データ!$A$947="",履歴データ!$A$946=""),"",E947-E946)</f>
        <v/>
      </c>
      <c r="O947" s="28" t="str">
        <f>IF(OR(履歴データ!$A$947="",履歴データ!$A$946=""),"",F947-F946)</f>
        <v/>
      </c>
      <c r="P947" s="28" t="str">
        <f>IF(OR(履歴データ!$A$947="",履歴データ!$A$946=""),"",G947-G946)</f>
        <v/>
      </c>
      <c r="Q947" s="29" t="str">
        <f>IF(OR(履歴データ!$A$947="",履歴データ!$A$946=""),"",H947-H946)</f>
        <v/>
      </c>
      <c r="R947" s="29" t="str">
        <f>IF(OR(履歴データ!$A$947="",履歴データ!$A$946=""),"",I947-I946)</f>
        <v/>
      </c>
      <c r="S947" s="28" t="str">
        <f>IF(OR(履歴データ!$A$947="",履歴データ!$A$946=""),"",(J947-J946)*100)</f>
        <v/>
      </c>
      <c r="T947" s="11" t="str">
        <f>IF(OR(履歴データ!$A$947="",履歴データ!$A$946=""),"",-80000*K947)</f>
        <v/>
      </c>
      <c r="U947" s="11" t="str">
        <f>IF(OR(履歴データ!$A$947="",履歴データ!$A$946=""),"",60000*L947)</f>
        <v/>
      </c>
      <c r="V947" s="11" t="str">
        <f>IF(OR(履歴データ!$A$947="",履歴データ!$A$946=""),"",-50000*M947)</f>
        <v/>
      </c>
      <c r="W947" s="11" t="str">
        <f>IF(OR(履歴データ!$A$947="",履歴データ!$A$946=""),"",-40000*N947)</f>
        <v/>
      </c>
      <c r="X947" s="11" t="str">
        <f>IF(OR(履歴データ!$A$947="",履歴データ!$A$946=""),"",120*1000000*(-Q947/H946))</f>
        <v/>
      </c>
      <c r="Y947" s="11" t="str">
        <f>IF(OR(履歴データ!$A$947="",履歴データ!$A$946=""),"",40000*(-S947)+(-506.3)*R947*1000)</f>
        <v/>
      </c>
      <c r="Z947" s="11" t="str">
        <f>IF(OR(履歴データ!$A$947="",履歴データ!$A$946=""),"",-40000*O947)</f>
        <v/>
      </c>
      <c r="AA947" s="11" t="str">
        <f>IF(OR(履歴データ!$A$947="",履歴データ!$A$946=""),"",-40000*P947)</f>
        <v/>
      </c>
      <c r="AB947" s="11" t="str">
        <f>IF(履歴データ!$A$947="","",123.3)</f>
        <v/>
      </c>
      <c r="AC947" t="str">
        <f>IF(履歴データ!$A$947="","",SUM(T947:AA947))</f>
        <v/>
      </c>
      <c r="AD947" s="29" t="str">
        <f>IF(履歴データ!$A$947="","",AC947/1000000)</f>
        <v/>
      </c>
      <c r="AE947" s="29">
        <f>IF(履歴データ!$A$947="",AE946,AE946+AC947/1000000)</f>
        <v>70.844544225831427</v>
      </c>
      <c r="AF947" s="12" t="str">
        <f>IF(OR(履歴データ!$A$947="",AE946=0),"",(AE947-AE946)/AE946)</f>
        <v/>
      </c>
      <c r="AG947" s="29">
        <f t="shared" si="44"/>
        <v>102.17217746631495</v>
      </c>
      <c r="AH947" s="12" t="str">
        <f>IF(OR(履歴データ!$A$947="",AG947=0),"",AE947/AG947-1)</f>
        <v/>
      </c>
    </row>
    <row r="948" spans="1:34">
      <c r="A948" s="10" t="str">
        <f>IF(履歴データ!$A$948="","",履歴データ!$A$948)</f>
        <v/>
      </c>
      <c r="B948" s="28" t="str">
        <f>IF(履歴データ!$A$948="","",(履歴データ!$D$948-(履歴データ!$B$948+履歴データ!$F$948)/2)*100)</f>
        <v/>
      </c>
      <c r="C948" s="28" t="str">
        <f>IF(履歴データ!$A$948="","",(履歴データ!$H$948-(履歴データ!$G$948+履歴データ!$J$948)/2)*100)</f>
        <v/>
      </c>
      <c r="D948" s="28" t="str">
        <f>IF(履歴データ!$A$948="","",(履歴データ!$D$948-履歴データ!$H$948)*100)</f>
        <v/>
      </c>
      <c r="E948" s="28" t="str">
        <f>IF(履歴データ!$A$948="","",(履歴データ!$D$948-履歴データ!$C$948)*100)</f>
        <v/>
      </c>
      <c r="F948" s="28" t="str">
        <f>IF(履歴データ!$A$948="","",(履歴データ!$R$948-履歴データ!$D$948)*100)</f>
        <v/>
      </c>
      <c r="G948" s="28" t="str">
        <f>IF(履歴データ!$A$948="","",(履歴データ!$S$948-履歴データ!$R$948)*100)</f>
        <v/>
      </c>
      <c r="H948" s="29" t="str">
        <f>IF(履歴データ!$A$948="","",履歴データ!$O$948)</f>
        <v/>
      </c>
      <c r="I948" s="29" t="str">
        <f>IF(履歴データ!$A$948="","",履歴データ!$Q$948)</f>
        <v/>
      </c>
      <c r="J948" s="29" t="str">
        <f>IF(履歴データ!$A$948="","",履歴データ!$D$948)</f>
        <v/>
      </c>
      <c r="K948" s="28" t="str">
        <f>IF(OR(履歴データ!$A$948="",履歴データ!$A$947=""),"",B948-B947)</f>
        <v/>
      </c>
      <c r="L948" s="28" t="str">
        <f>IF(OR(履歴データ!$A$948="",履歴データ!$A$947=""),"",C948-C947)</f>
        <v/>
      </c>
      <c r="M948" s="28" t="str">
        <f>IF(OR(履歴データ!$A$948="",履歴データ!$A$947=""),"",D948-D947)</f>
        <v/>
      </c>
      <c r="N948" s="28" t="str">
        <f>IF(OR(履歴データ!$A$948="",履歴データ!$A$947=""),"",E948-E947)</f>
        <v/>
      </c>
      <c r="O948" s="28" t="str">
        <f>IF(OR(履歴データ!$A$948="",履歴データ!$A$947=""),"",F948-F947)</f>
        <v/>
      </c>
      <c r="P948" s="28" t="str">
        <f>IF(OR(履歴データ!$A$948="",履歴データ!$A$947=""),"",G948-G947)</f>
        <v/>
      </c>
      <c r="Q948" s="29" t="str">
        <f>IF(OR(履歴データ!$A$948="",履歴データ!$A$947=""),"",H948-H947)</f>
        <v/>
      </c>
      <c r="R948" s="29" t="str">
        <f>IF(OR(履歴データ!$A$948="",履歴データ!$A$947=""),"",I948-I947)</f>
        <v/>
      </c>
      <c r="S948" s="28" t="str">
        <f>IF(OR(履歴データ!$A$948="",履歴データ!$A$947=""),"",(J948-J947)*100)</f>
        <v/>
      </c>
      <c r="T948" s="11" t="str">
        <f>IF(OR(履歴データ!$A$948="",履歴データ!$A$947=""),"",-80000*K948)</f>
        <v/>
      </c>
      <c r="U948" s="11" t="str">
        <f>IF(OR(履歴データ!$A$948="",履歴データ!$A$947=""),"",60000*L948)</f>
        <v/>
      </c>
      <c r="V948" s="11" t="str">
        <f>IF(OR(履歴データ!$A$948="",履歴データ!$A$947=""),"",-50000*M948)</f>
        <v/>
      </c>
      <c r="W948" s="11" t="str">
        <f>IF(OR(履歴データ!$A$948="",履歴データ!$A$947=""),"",-40000*N948)</f>
        <v/>
      </c>
      <c r="X948" s="11" t="str">
        <f>IF(OR(履歴データ!$A$948="",履歴データ!$A$947=""),"",120*1000000*(-Q948/H947))</f>
        <v/>
      </c>
      <c r="Y948" s="11" t="str">
        <f>IF(OR(履歴データ!$A$948="",履歴データ!$A$947=""),"",40000*(-S948)+(-506.3)*R948*1000)</f>
        <v/>
      </c>
      <c r="Z948" s="11" t="str">
        <f>IF(OR(履歴データ!$A$948="",履歴データ!$A$947=""),"",-40000*O948)</f>
        <v/>
      </c>
      <c r="AA948" s="11" t="str">
        <f>IF(OR(履歴データ!$A$948="",履歴データ!$A$947=""),"",-40000*P948)</f>
        <v/>
      </c>
      <c r="AB948" s="11" t="str">
        <f>IF(履歴データ!$A$948="","",123.3)</f>
        <v/>
      </c>
      <c r="AC948" t="str">
        <f>IF(履歴データ!$A$948="","",SUM(T948:AA948))</f>
        <v/>
      </c>
      <c r="AD948" s="29" t="str">
        <f>IF(履歴データ!$A$948="","",AC948/1000000)</f>
        <v/>
      </c>
      <c r="AE948" s="29">
        <f>IF(履歴データ!$A$948="",AE947,AE947+AC948/1000000)</f>
        <v>70.844544225831427</v>
      </c>
      <c r="AF948" s="12" t="str">
        <f>IF(OR(履歴データ!$A$948="",AE947=0),"",(AE948-AE947)/AE947)</f>
        <v/>
      </c>
      <c r="AG948" s="29">
        <f t="shared" si="44"/>
        <v>102.17217746631495</v>
      </c>
      <c r="AH948" s="12" t="str">
        <f>IF(OR(履歴データ!$A$948="",AG948=0),"",AE948/AG948-1)</f>
        <v/>
      </c>
    </row>
    <row r="949" spans="1:34">
      <c r="A949" s="10" t="str">
        <f>IF(履歴データ!$A$949="","",履歴データ!$A$949)</f>
        <v/>
      </c>
      <c r="B949" s="28" t="str">
        <f>IF(履歴データ!$A$949="","",(履歴データ!$D$949-(履歴データ!$B$949+履歴データ!$F$949)/2)*100)</f>
        <v/>
      </c>
      <c r="C949" s="28" t="str">
        <f>IF(履歴データ!$A$949="","",(履歴データ!$H$949-(履歴データ!$G$949+履歴データ!$J$949)/2)*100)</f>
        <v/>
      </c>
      <c r="D949" s="28" t="str">
        <f>IF(履歴データ!$A$949="","",(履歴データ!$D$949-履歴データ!$H$949)*100)</f>
        <v/>
      </c>
      <c r="E949" s="28" t="str">
        <f>IF(履歴データ!$A$949="","",(履歴データ!$D$949-履歴データ!$C$949)*100)</f>
        <v/>
      </c>
      <c r="F949" s="28" t="str">
        <f>IF(履歴データ!$A$949="","",(履歴データ!$R$949-履歴データ!$D$949)*100)</f>
        <v/>
      </c>
      <c r="G949" s="28" t="str">
        <f>IF(履歴データ!$A$949="","",(履歴データ!$S$949-履歴データ!$R$949)*100)</f>
        <v/>
      </c>
      <c r="H949" s="29" t="str">
        <f>IF(履歴データ!$A$949="","",履歴データ!$O$949)</f>
        <v/>
      </c>
      <c r="I949" s="29" t="str">
        <f>IF(履歴データ!$A$949="","",履歴データ!$Q$949)</f>
        <v/>
      </c>
      <c r="J949" s="29" t="str">
        <f>IF(履歴データ!$A$949="","",履歴データ!$D$949)</f>
        <v/>
      </c>
      <c r="K949" s="28" t="str">
        <f>IF(OR(履歴データ!$A$949="",履歴データ!$A$948=""),"",B949-B948)</f>
        <v/>
      </c>
      <c r="L949" s="28" t="str">
        <f>IF(OR(履歴データ!$A$949="",履歴データ!$A$948=""),"",C949-C948)</f>
        <v/>
      </c>
      <c r="M949" s="28" t="str">
        <f>IF(OR(履歴データ!$A$949="",履歴データ!$A$948=""),"",D949-D948)</f>
        <v/>
      </c>
      <c r="N949" s="28" t="str">
        <f>IF(OR(履歴データ!$A$949="",履歴データ!$A$948=""),"",E949-E948)</f>
        <v/>
      </c>
      <c r="O949" s="28" t="str">
        <f>IF(OR(履歴データ!$A$949="",履歴データ!$A$948=""),"",F949-F948)</f>
        <v/>
      </c>
      <c r="P949" s="28" t="str">
        <f>IF(OR(履歴データ!$A$949="",履歴データ!$A$948=""),"",G949-G948)</f>
        <v/>
      </c>
      <c r="Q949" s="29" t="str">
        <f>IF(OR(履歴データ!$A$949="",履歴データ!$A$948=""),"",H949-H948)</f>
        <v/>
      </c>
      <c r="R949" s="29" t="str">
        <f>IF(OR(履歴データ!$A$949="",履歴データ!$A$948=""),"",I949-I948)</f>
        <v/>
      </c>
      <c r="S949" s="28" t="str">
        <f>IF(OR(履歴データ!$A$949="",履歴データ!$A$948=""),"",(J949-J948)*100)</f>
        <v/>
      </c>
      <c r="T949" s="11" t="str">
        <f>IF(OR(履歴データ!$A$949="",履歴データ!$A$948=""),"",-80000*K949)</f>
        <v/>
      </c>
      <c r="U949" s="11" t="str">
        <f>IF(OR(履歴データ!$A$949="",履歴データ!$A$948=""),"",60000*L949)</f>
        <v/>
      </c>
      <c r="V949" s="11" t="str">
        <f>IF(OR(履歴データ!$A$949="",履歴データ!$A$948=""),"",-50000*M949)</f>
        <v/>
      </c>
      <c r="W949" s="11" t="str">
        <f>IF(OR(履歴データ!$A$949="",履歴データ!$A$948=""),"",-40000*N949)</f>
        <v/>
      </c>
      <c r="X949" s="11" t="str">
        <f>IF(OR(履歴データ!$A$949="",履歴データ!$A$948=""),"",120*1000000*(-Q949/H948))</f>
        <v/>
      </c>
      <c r="Y949" s="11" t="str">
        <f>IF(OR(履歴データ!$A$949="",履歴データ!$A$948=""),"",40000*(-S949)+(-506.3)*R949*1000)</f>
        <v/>
      </c>
      <c r="Z949" s="11" t="str">
        <f>IF(OR(履歴データ!$A$949="",履歴データ!$A$948=""),"",-40000*O949)</f>
        <v/>
      </c>
      <c r="AA949" s="11" t="str">
        <f>IF(OR(履歴データ!$A$949="",履歴データ!$A$948=""),"",-40000*P949)</f>
        <v/>
      </c>
      <c r="AB949" s="11" t="str">
        <f>IF(履歴データ!$A$949="","",123.3)</f>
        <v/>
      </c>
      <c r="AC949" t="str">
        <f>IF(履歴データ!$A$949="","",SUM(T949:AA949))</f>
        <v/>
      </c>
      <c r="AD949" s="29" t="str">
        <f>IF(履歴データ!$A$949="","",AC949/1000000)</f>
        <v/>
      </c>
      <c r="AE949" s="29">
        <f>IF(履歴データ!$A$949="",AE948,AE948+AC949/1000000)</f>
        <v>70.844544225831427</v>
      </c>
      <c r="AF949" s="12" t="str">
        <f>IF(OR(履歴データ!$A$949="",AE948=0),"",(AE949-AE948)/AE948)</f>
        <v/>
      </c>
      <c r="AG949" s="29">
        <f t="shared" si="44"/>
        <v>102.17217746631495</v>
      </c>
      <c r="AH949" s="12" t="str">
        <f>IF(OR(履歴データ!$A$949="",AG949=0),"",AE949/AG949-1)</f>
        <v/>
      </c>
    </row>
    <row r="950" spans="1:34">
      <c r="A950" s="10" t="str">
        <f>IF(履歴データ!$A$950="","",履歴データ!$A$950)</f>
        <v/>
      </c>
      <c r="B950" s="28" t="str">
        <f>IF(履歴データ!$A$950="","",(履歴データ!$D$950-(履歴データ!$B$950+履歴データ!$F$950)/2)*100)</f>
        <v/>
      </c>
      <c r="C950" s="28" t="str">
        <f>IF(履歴データ!$A$950="","",(履歴データ!$H$950-(履歴データ!$G$950+履歴データ!$J$950)/2)*100)</f>
        <v/>
      </c>
      <c r="D950" s="28" t="str">
        <f>IF(履歴データ!$A$950="","",(履歴データ!$D$950-履歴データ!$H$950)*100)</f>
        <v/>
      </c>
      <c r="E950" s="28" t="str">
        <f>IF(履歴データ!$A$950="","",(履歴データ!$D$950-履歴データ!$C$950)*100)</f>
        <v/>
      </c>
      <c r="F950" s="28" t="str">
        <f>IF(履歴データ!$A$950="","",(履歴データ!$R$950-履歴データ!$D$950)*100)</f>
        <v/>
      </c>
      <c r="G950" s="28" t="str">
        <f>IF(履歴データ!$A$950="","",(履歴データ!$S$950-履歴データ!$R$950)*100)</f>
        <v/>
      </c>
      <c r="H950" s="29" t="str">
        <f>IF(履歴データ!$A$950="","",履歴データ!$O$950)</f>
        <v/>
      </c>
      <c r="I950" s="29" t="str">
        <f>IF(履歴データ!$A$950="","",履歴データ!$Q$950)</f>
        <v/>
      </c>
      <c r="J950" s="29" t="str">
        <f>IF(履歴データ!$A$950="","",履歴データ!$D$950)</f>
        <v/>
      </c>
      <c r="K950" s="28" t="str">
        <f>IF(OR(履歴データ!$A$950="",履歴データ!$A$949=""),"",B950-B949)</f>
        <v/>
      </c>
      <c r="L950" s="28" t="str">
        <f>IF(OR(履歴データ!$A$950="",履歴データ!$A$949=""),"",C950-C949)</f>
        <v/>
      </c>
      <c r="M950" s="28" t="str">
        <f>IF(OR(履歴データ!$A$950="",履歴データ!$A$949=""),"",D950-D949)</f>
        <v/>
      </c>
      <c r="N950" s="28" t="str">
        <f>IF(OR(履歴データ!$A$950="",履歴データ!$A$949=""),"",E950-E949)</f>
        <v/>
      </c>
      <c r="O950" s="28" t="str">
        <f>IF(OR(履歴データ!$A$950="",履歴データ!$A$949=""),"",F950-F949)</f>
        <v/>
      </c>
      <c r="P950" s="28" t="str">
        <f>IF(OR(履歴データ!$A$950="",履歴データ!$A$949=""),"",G950-G949)</f>
        <v/>
      </c>
      <c r="Q950" s="29" t="str">
        <f>IF(OR(履歴データ!$A$950="",履歴データ!$A$949=""),"",H950-H949)</f>
        <v/>
      </c>
      <c r="R950" s="29" t="str">
        <f>IF(OR(履歴データ!$A$950="",履歴データ!$A$949=""),"",I950-I949)</f>
        <v/>
      </c>
      <c r="S950" s="28" t="str">
        <f>IF(OR(履歴データ!$A$950="",履歴データ!$A$949=""),"",(J950-J949)*100)</f>
        <v/>
      </c>
      <c r="T950" s="11" t="str">
        <f>IF(OR(履歴データ!$A$950="",履歴データ!$A$949=""),"",-80000*K950)</f>
        <v/>
      </c>
      <c r="U950" s="11" t="str">
        <f>IF(OR(履歴データ!$A$950="",履歴データ!$A$949=""),"",60000*L950)</f>
        <v/>
      </c>
      <c r="V950" s="11" t="str">
        <f>IF(OR(履歴データ!$A$950="",履歴データ!$A$949=""),"",-50000*M950)</f>
        <v/>
      </c>
      <c r="W950" s="11" t="str">
        <f>IF(OR(履歴データ!$A$950="",履歴データ!$A$949=""),"",-40000*N950)</f>
        <v/>
      </c>
      <c r="X950" s="11" t="str">
        <f>IF(OR(履歴データ!$A$950="",履歴データ!$A$949=""),"",120*1000000*(-Q950/H949))</f>
        <v/>
      </c>
      <c r="Y950" s="11" t="str">
        <f>IF(OR(履歴データ!$A$950="",履歴データ!$A$949=""),"",40000*(-S950)+(-506.3)*R950*1000)</f>
        <v/>
      </c>
      <c r="Z950" s="11" t="str">
        <f>IF(OR(履歴データ!$A$950="",履歴データ!$A$949=""),"",-40000*O950)</f>
        <v/>
      </c>
      <c r="AA950" s="11" t="str">
        <f>IF(OR(履歴データ!$A$950="",履歴データ!$A$949=""),"",-40000*P950)</f>
        <v/>
      </c>
      <c r="AB950" s="11" t="str">
        <f>IF(履歴データ!$A$950="","",123.3)</f>
        <v/>
      </c>
      <c r="AC950" t="str">
        <f>IF(履歴データ!$A$950="","",SUM(T950:AA950))</f>
        <v/>
      </c>
      <c r="AD950" s="29" t="str">
        <f>IF(履歴データ!$A$950="","",AC950/1000000)</f>
        <v/>
      </c>
      <c r="AE950" s="29">
        <f>IF(履歴データ!$A$950="",AE949,AE949+AC950/1000000)</f>
        <v>70.844544225831427</v>
      </c>
      <c r="AF950" s="12" t="str">
        <f>IF(OR(履歴データ!$A$950="",AE949=0),"",(AE950-AE949)/AE949)</f>
        <v/>
      </c>
      <c r="AG950" s="29">
        <f t="shared" si="44"/>
        <v>102.17217746631495</v>
      </c>
      <c r="AH950" s="12" t="str">
        <f>IF(OR(履歴データ!$A$950="",AG950=0),"",AE950/AG950-1)</f>
        <v/>
      </c>
    </row>
    <row r="951" spans="1:34">
      <c r="A951" s="10" t="str">
        <f>IF(履歴データ!$A$951="","",履歴データ!$A$951)</f>
        <v/>
      </c>
      <c r="B951" s="28" t="str">
        <f>IF(履歴データ!$A$951="","",(履歴データ!$D$951-(履歴データ!$B$951+履歴データ!$F$951)/2)*100)</f>
        <v/>
      </c>
      <c r="C951" s="28" t="str">
        <f>IF(履歴データ!$A$951="","",(履歴データ!$H$951-(履歴データ!$G$951+履歴データ!$J$951)/2)*100)</f>
        <v/>
      </c>
      <c r="D951" s="28" t="str">
        <f>IF(履歴データ!$A$951="","",(履歴データ!$D$951-履歴データ!$H$951)*100)</f>
        <v/>
      </c>
      <c r="E951" s="28" t="str">
        <f>IF(履歴データ!$A$951="","",(履歴データ!$D$951-履歴データ!$C$951)*100)</f>
        <v/>
      </c>
      <c r="F951" s="28" t="str">
        <f>IF(履歴データ!$A$951="","",(履歴データ!$R$951-履歴データ!$D$951)*100)</f>
        <v/>
      </c>
      <c r="G951" s="28" t="str">
        <f>IF(履歴データ!$A$951="","",(履歴データ!$S$951-履歴データ!$R$951)*100)</f>
        <v/>
      </c>
      <c r="H951" s="29" t="str">
        <f>IF(履歴データ!$A$951="","",履歴データ!$O$951)</f>
        <v/>
      </c>
      <c r="I951" s="29" t="str">
        <f>IF(履歴データ!$A$951="","",履歴データ!$Q$951)</f>
        <v/>
      </c>
      <c r="J951" s="29" t="str">
        <f>IF(履歴データ!$A$951="","",履歴データ!$D$951)</f>
        <v/>
      </c>
      <c r="K951" s="28" t="str">
        <f>IF(OR(履歴データ!$A$951="",履歴データ!$A$950=""),"",B951-B950)</f>
        <v/>
      </c>
      <c r="L951" s="28" t="str">
        <f>IF(OR(履歴データ!$A$951="",履歴データ!$A$950=""),"",C951-C950)</f>
        <v/>
      </c>
      <c r="M951" s="28" t="str">
        <f>IF(OR(履歴データ!$A$951="",履歴データ!$A$950=""),"",D951-D950)</f>
        <v/>
      </c>
      <c r="N951" s="28" t="str">
        <f>IF(OR(履歴データ!$A$951="",履歴データ!$A$950=""),"",E951-E950)</f>
        <v/>
      </c>
      <c r="O951" s="28" t="str">
        <f>IF(OR(履歴データ!$A$951="",履歴データ!$A$950=""),"",F951-F950)</f>
        <v/>
      </c>
      <c r="P951" s="28" t="str">
        <f>IF(OR(履歴データ!$A$951="",履歴データ!$A$950=""),"",G951-G950)</f>
        <v/>
      </c>
      <c r="Q951" s="29" t="str">
        <f>IF(OR(履歴データ!$A$951="",履歴データ!$A$950=""),"",H951-H950)</f>
        <v/>
      </c>
      <c r="R951" s="29" t="str">
        <f>IF(OR(履歴データ!$A$951="",履歴データ!$A$950=""),"",I951-I950)</f>
        <v/>
      </c>
      <c r="S951" s="28" t="str">
        <f>IF(OR(履歴データ!$A$951="",履歴データ!$A$950=""),"",(J951-J950)*100)</f>
        <v/>
      </c>
      <c r="T951" s="11" t="str">
        <f>IF(OR(履歴データ!$A$951="",履歴データ!$A$950=""),"",-80000*K951)</f>
        <v/>
      </c>
      <c r="U951" s="11" t="str">
        <f>IF(OR(履歴データ!$A$951="",履歴データ!$A$950=""),"",60000*L951)</f>
        <v/>
      </c>
      <c r="V951" s="11" t="str">
        <f>IF(OR(履歴データ!$A$951="",履歴データ!$A$950=""),"",-50000*M951)</f>
        <v/>
      </c>
      <c r="W951" s="11" t="str">
        <f>IF(OR(履歴データ!$A$951="",履歴データ!$A$950=""),"",-40000*N951)</f>
        <v/>
      </c>
      <c r="X951" s="11" t="str">
        <f>IF(OR(履歴データ!$A$951="",履歴データ!$A$950=""),"",120*1000000*(-Q951/H950))</f>
        <v/>
      </c>
      <c r="Y951" s="11" t="str">
        <f>IF(OR(履歴データ!$A$951="",履歴データ!$A$950=""),"",40000*(-S951)+(-506.3)*R951*1000)</f>
        <v/>
      </c>
      <c r="Z951" s="11" t="str">
        <f>IF(OR(履歴データ!$A$951="",履歴データ!$A$950=""),"",-40000*O951)</f>
        <v/>
      </c>
      <c r="AA951" s="11" t="str">
        <f>IF(OR(履歴データ!$A$951="",履歴データ!$A$950=""),"",-40000*P951)</f>
        <v/>
      </c>
      <c r="AB951" s="11" t="str">
        <f>IF(履歴データ!$A$951="","",123.3)</f>
        <v/>
      </c>
      <c r="AC951" t="str">
        <f>IF(履歴データ!$A$951="","",SUM(T951:AA951))</f>
        <v/>
      </c>
      <c r="AD951" s="29" t="str">
        <f>IF(履歴データ!$A$951="","",AC951/1000000)</f>
        <v/>
      </c>
      <c r="AE951" s="29">
        <f>IF(履歴データ!$A$951="",AE950,AE950+AC951/1000000)</f>
        <v>70.844544225831427</v>
      </c>
      <c r="AF951" s="12" t="str">
        <f>IF(OR(履歴データ!$A$951="",AE950=0),"",(AE951-AE950)/AE950)</f>
        <v/>
      </c>
      <c r="AG951" s="29">
        <f t="shared" si="44"/>
        <v>102.17217746631495</v>
      </c>
      <c r="AH951" s="12" t="str">
        <f>IF(OR(履歴データ!$A$951="",AG951=0),"",AE951/AG951-1)</f>
        <v/>
      </c>
    </row>
    <row r="952" spans="1:34">
      <c r="A952" s="10" t="str">
        <f>IF(履歴データ!$A$952="","",履歴データ!$A$952)</f>
        <v/>
      </c>
      <c r="B952" s="28" t="str">
        <f>IF(履歴データ!$A$952="","",(履歴データ!$D$952-(履歴データ!$B$952+履歴データ!$F$952)/2)*100)</f>
        <v/>
      </c>
      <c r="C952" s="28" t="str">
        <f>IF(履歴データ!$A$952="","",(履歴データ!$H$952-(履歴データ!$G$952+履歴データ!$J$952)/2)*100)</f>
        <v/>
      </c>
      <c r="D952" s="28" t="str">
        <f>IF(履歴データ!$A$952="","",(履歴データ!$D$952-履歴データ!$H$952)*100)</f>
        <v/>
      </c>
      <c r="E952" s="28" t="str">
        <f>IF(履歴データ!$A$952="","",(履歴データ!$D$952-履歴データ!$C$952)*100)</f>
        <v/>
      </c>
      <c r="F952" s="28" t="str">
        <f>IF(履歴データ!$A$952="","",(履歴データ!$R$952-履歴データ!$D$952)*100)</f>
        <v/>
      </c>
      <c r="G952" s="28" t="str">
        <f>IF(履歴データ!$A$952="","",(履歴データ!$S$952-履歴データ!$R$952)*100)</f>
        <v/>
      </c>
      <c r="H952" s="29" t="str">
        <f>IF(履歴データ!$A$952="","",履歴データ!$O$952)</f>
        <v/>
      </c>
      <c r="I952" s="29" t="str">
        <f>IF(履歴データ!$A$952="","",履歴データ!$Q$952)</f>
        <v/>
      </c>
      <c r="J952" s="29" t="str">
        <f>IF(履歴データ!$A$952="","",履歴データ!$D$952)</f>
        <v/>
      </c>
      <c r="K952" s="28" t="str">
        <f>IF(OR(履歴データ!$A$952="",履歴データ!$A$951=""),"",B952-B951)</f>
        <v/>
      </c>
      <c r="L952" s="28" t="str">
        <f>IF(OR(履歴データ!$A$952="",履歴データ!$A$951=""),"",C952-C951)</f>
        <v/>
      </c>
      <c r="M952" s="28" t="str">
        <f>IF(OR(履歴データ!$A$952="",履歴データ!$A$951=""),"",D952-D951)</f>
        <v/>
      </c>
      <c r="N952" s="28" t="str">
        <f>IF(OR(履歴データ!$A$952="",履歴データ!$A$951=""),"",E952-E951)</f>
        <v/>
      </c>
      <c r="O952" s="28" t="str">
        <f>IF(OR(履歴データ!$A$952="",履歴データ!$A$951=""),"",F952-F951)</f>
        <v/>
      </c>
      <c r="P952" s="28" t="str">
        <f>IF(OR(履歴データ!$A$952="",履歴データ!$A$951=""),"",G952-G951)</f>
        <v/>
      </c>
      <c r="Q952" s="29" t="str">
        <f>IF(OR(履歴データ!$A$952="",履歴データ!$A$951=""),"",H952-H951)</f>
        <v/>
      </c>
      <c r="R952" s="29" t="str">
        <f>IF(OR(履歴データ!$A$952="",履歴データ!$A$951=""),"",I952-I951)</f>
        <v/>
      </c>
      <c r="S952" s="28" t="str">
        <f>IF(OR(履歴データ!$A$952="",履歴データ!$A$951=""),"",(J952-J951)*100)</f>
        <v/>
      </c>
      <c r="T952" s="11" t="str">
        <f>IF(OR(履歴データ!$A$952="",履歴データ!$A$951=""),"",-80000*K952)</f>
        <v/>
      </c>
      <c r="U952" s="11" t="str">
        <f>IF(OR(履歴データ!$A$952="",履歴データ!$A$951=""),"",60000*L952)</f>
        <v/>
      </c>
      <c r="V952" s="11" t="str">
        <f>IF(OR(履歴データ!$A$952="",履歴データ!$A$951=""),"",-50000*M952)</f>
        <v/>
      </c>
      <c r="W952" s="11" t="str">
        <f>IF(OR(履歴データ!$A$952="",履歴データ!$A$951=""),"",-40000*N952)</f>
        <v/>
      </c>
      <c r="X952" s="11" t="str">
        <f>IF(OR(履歴データ!$A$952="",履歴データ!$A$951=""),"",120*1000000*(-Q952/H951))</f>
        <v/>
      </c>
      <c r="Y952" s="11" t="str">
        <f>IF(OR(履歴データ!$A$952="",履歴データ!$A$951=""),"",40000*(-S952)+(-506.3)*R952*1000)</f>
        <v/>
      </c>
      <c r="Z952" s="11" t="str">
        <f>IF(OR(履歴データ!$A$952="",履歴データ!$A$951=""),"",-40000*O952)</f>
        <v/>
      </c>
      <c r="AA952" s="11" t="str">
        <f>IF(OR(履歴データ!$A$952="",履歴データ!$A$951=""),"",-40000*P952)</f>
        <v/>
      </c>
      <c r="AB952" s="11" t="str">
        <f>IF(履歴データ!$A$952="","",123.3)</f>
        <v/>
      </c>
      <c r="AC952" t="str">
        <f>IF(履歴データ!$A$952="","",SUM(T952:AA952))</f>
        <v/>
      </c>
      <c r="AD952" s="29" t="str">
        <f>IF(履歴データ!$A$952="","",AC952/1000000)</f>
        <v/>
      </c>
      <c r="AE952" s="29">
        <f>IF(履歴データ!$A$952="",AE951,AE951+AC952/1000000)</f>
        <v>70.844544225831427</v>
      </c>
      <c r="AF952" s="12" t="str">
        <f>IF(OR(履歴データ!$A$952="",AE951=0),"",(AE952-AE951)/AE951)</f>
        <v/>
      </c>
      <c r="AG952" s="29">
        <f t="shared" si="44"/>
        <v>102.17217746631495</v>
      </c>
      <c r="AH952" s="12" t="str">
        <f>IF(OR(履歴データ!$A$952="",AG952=0),"",AE952/AG952-1)</f>
        <v/>
      </c>
    </row>
    <row r="953" spans="1:34">
      <c r="A953" s="10" t="str">
        <f>IF(履歴データ!$A$953="","",履歴データ!$A$953)</f>
        <v/>
      </c>
      <c r="B953" s="28" t="str">
        <f>IF(履歴データ!$A$953="","",(履歴データ!$D$953-(履歴データ!$B$953+履歴データ!$F$953)/2)*100)</f>
        <v/>
      </c>
      <c r="C953" s="28" t="str">
        <f>IF(履歴データ!$A$953="","",(履歴データ!$H$953-(履歴データ!$G$953+履歴データ!$J$953)/2)*100)</f>
        <v/>
      </c>
      <c r="D953" s="28" t="str">
        <f>IF(履歴データ!$A$953="","",(履歴データ!$D$953-履歴データ!$H$953)*100)</f>
        <v/>
      </c>
      <c r="E953" s="28" t="str">
        <f>IF(履歴データ!$A$953="","",(履歴データ!$D$953-履歴データ!$C$953)*100)</f>
        <v/>
      </c>
      <c r="F953" s="28" t="str">
        <f>IF(履歴データ!$A$953="","",(履歴データ!$R$953-履歴データ!$D$953)*100)</f>
        <v/>
      </c>
      <c r="G953" s="28" t="str">
        <f>IF(履歴データ!$A$953="","",(履歴データ!$S$953-履歴データ!$R$953)*100)</f>
        <v/>
      </c>
      <c r="H953" s="29" t="str">
        <f>IF(履歴データ!$A$953="","",履歴データ!$O$953)</f>
        <v/>
      </c>
      <c r="I953" s="29" t="str">
        <f>IF(履歴データ!$A$953="","",履歴データ!$Q$953)</f>
        <v/>
      </c>
      <c r="J953" s="29" t="str">
        <f>IF(履歴データ!$A$953="","",履歴データ!$D$953)</f>
        <v/>
      </c>
      <c r="K953" s="28" t="str">
        <f>IF(OR(履歴データ!$A$953="",履歴データ!$A$952=""),"",B953-B952)</f>
        <v/>
      </c>
      <c r="L953" s="28" t="str">
        <f>IF(OR(履歴データ!$A$953="",履歴データ!$A$952=""),"",C953-C952)</f>
        <v/>
      </c>
      <c r="M953" s="28" t="str">
        <f>IF(OR(履歴データ!$A$953="",履歴データ!$A$952=""),"",D953-D952)</f>
        <v/>
      </c>
      <c r="N953" s="28" t="str">
        <f>IF(OR(履歴データ!$A$953="",履歴データ!$A$952=""),"",E953-E952)</f>
        <v/>
      </c>
      <c r="O953" s="28" t="str">
        <f>IF(OR(履歴データ!$A$953="",履歴データ!$A$952=""),"",F953-F952)</f>
        <v/>
      </c>
      <c r="P953" s="28" t="str">
        <f>IF(OR(履歴データ!$A$953="",履歴データ!$A$952=""),"",G953-G952)</f>
        <v/>
      </c>
      <c r="Q953" s="29" t="str">
        <f>IF(OR(履歴データ!$A$953="",履歴データ!$A$952=""),"",H953-H952)</f>
        <v/>
      </c>
      <c r="R953" s="29" t="str">
        <f>IF(OR(履歴データ!$A$953="",履歴データ!$A$952=""),"",I953-I952)</f>
        <v/>
      </c>
      <c r="S953" s="28" t="str">
        <f>IF(OR(履歴データ!$A$953="",履歴データ!$A$952=""),"",(J953-J952)*100)</f>
        <v/>
      </c>
      <c r="T953" s="11" t="str">
        <f>IF(OR(履歴データ!$A$953="",履歴データ!$A$952=""),"",-80000*K953)</f>
        <v/>
      </c>
      <c r="U953" s="11" t="str">
        <f>IF(OR(履歴データ!$A$953="",履歴データ!$A$952=""),"",60000*L953)</f>
        <v/>
      </c>
      <c r="V953" s="11" t="str">
        <f>IF(OR(履歴データ!$A$953="",履歴データ!$A$952=""),"",-50000*M953)</f>
        <v/>
      </c>
      <c r="W953" s="11" t="str">
        <f>IF(OR(履歴データ!$A$953="",履歴データ!$A$952=""),"",-40000*N953)</f>
        <v/>
      </c>
      <c r="X953" s="11" t="str">
        <f>IF(OR(履歴データ!$A$953="",履歴データ!$A$952=""),"",120*1000000*(-Q953/H952))</f>
        <v/>
      </c>
      <c r="Y953" s="11" t="str">
        <f>IF(OR(履歴データ!$A$953="",履歴データ!$A$952=""),"",40000*(-S953)+(-506.3)*R953*1000)</f>
        <v/>
      </c>
      <c r="Z953" s="11" t="str">
        <f>IF(OR(履歴データ!$A$953="",履歴データ!$A$952=""),"",-40000*O953)</f>
        <v/>
      </c>
      <c r="AA953" s="11" t="str">
        <f>IF(OR(履歴データ!$A$953="",履歴データ!$A$952=""),"",-40000*P953)</f>
        <v/>
      </c>
      <c r="AB953" s="11" t="str">
        <f>IF(履歴データ!$A$953="","",123.3)</f>
        <v/>
      </c>
      <c r="AC953" t="str">
        <f>IF(履歴データ!$A$953="","",SUM(T953:AA953))</f>
        <v/>
      </c>
      <c r="AD953" s="29" t="str">
        <f>IF(履歴データ!$A$953="","",AC953/1000000)</f>
        <v/>
      </c>
      <c r="AE953" s="29">
        <f>IF(履歴データ!$A$953="",AE952,AE952+AC953/1000000)</f>
        <v>70.844544225831427</v>
      </c>
      <c r="AF953" s="12" t="str">
        <f>IF(OR(履歴データ!$A$953="",AE952=0),"",(AE953-AE952)/AE952)</f>
        <v/>
      </c>
      <c r="AG953" s="29">
        <f t="shared" si="44"/>
        <v>102.17217746631495</v>
      </c>
      <c r="AH953" s="12" t="str">
        <f>IF(OR(履歴データ!$A$953="",AG953=0),"",AE953/AG953-1)</f>
        <v/>
      </c>
    </row>
    <row r="954" spans="1:34">
      <c r="A954" s="10" t="str">
        <f>IF(履歴データ!$A$954="","",履歴データ!$A$954)</f>
        <v/>
      </c>
      <c r="B954" s="28" t="str">
        <f>IF(履歴データ!$A$954="","",(履歴データ!$D$954-(履歴データ!$B$954+履歴データ!$F$954)/2)*100)</f>
        <v/>
      </c>
      <c r="C954" s="28" t="str">
        <f>IF(履歴データ!$A$954="","",(履歴データ!$H$954-(履歴データ!$G$954+履歴データ!$J$954)/2)*100)</f>
        <v/>
      </c>
      <c r="D954" s="28" t="str">
        <f>IF(履歴データ!$A$954="","",(履歴データ!$D$954-履歴データ!$H$954)*100)</f>
        <v/>
      </c>
      <c r="E954" s="28" t="str">
        <f>IF(履歴データ!$A$954="","",(履歴データ!$D$954-履歴データ!$C$954)*100)</f>
        <v/>
      </c>
      <c r="F954" s="28" t="str">
        <f>IF(履歴データ!$A$954="","",(履歴データ!$R$954-履歴データ!$D$954)*100)</f>
        <v/>
      </c>
      <c r="G954" s="28" t="str">
        <f>IF(履歴データ!$A$954="","",(履歴データ!$S$954-履歴データ!$R$954)*100)</f>
        <v/>
      </c>
      <c r="H954" s="29" t="str">
        <f>IF(履歴データ!$A$954="","",履歴データ!$O$954)</f>
        <v/>
      </c>
      <c r="I954" s="29" t="str">
        <f>IF(履歴データ!$A$954="","",履歴データ!$Q$954)</f>
        <v/>
      </c>
      <c r="J954" s="29" t="str">
        <f>IF(履歴データ!$A$954="","",履歴データ!$D$954)</f>
        <v/>
      </c>
      <c r="K954" s="28" t="str">
        <f>IF(OR(履歴データ!$A$954="",履歴データ!$A$953=""),"",B954-B953)</f>
        <v/>
      </c>
      <c r="L954" s="28" t="str">
        <f>IF(OR(履歴データ!$A$954="",履歴データ!$A$953=""),"",C954-C953)</f>
        <v/>
      </c>
      <c r="M954" s="28" t="str">
        <f>IF(OR(履歴データ!$A$954="",履歴データ!$A$953=""),"",D954-D953)</f>
        <v/>
      </c>
      <c r="N954" s="28" t="str">
        <f>IF(OR(履歴データ!$A$954="",履歴データ!$A$953=""),"",E954-E953)</f>
        <v/>
      </c>
      <c r="O954" s="28" t="str">
        <f>IF(OR(履歴データ!$A$954="",履歴データ!$A$953=""),"",F954-F953)</f>
        <v/>
      </c>
      <c r="P954" s="28" t="str">
        <f>IF(OR(履歴データ!$A$954="",履歴データ!$A$953=""),"",G954-G953)</f>
        <v/>
      </c>
      <c r="Q954" s="29" t="str">
        <f>IF(OR(履歴データ!$A$954="",履歴データ!$A$953=""),"",H954-H953)</f>
        <v/>
      </c>
      <c r="R954" s="29" t="str">
        <f>IF(OR(履歴データ!$A$954="",履歴データ!$A$953=""),"",I954-I953)</f>
        <v/>
      </c>
      <c r="S954" s="28" t="str">
        <f>IF(OR(履歴データ!$A$954="",履歴データ!$A$953=""),"",(J954-J953)*100)</f>
        <v/>
      </c>
      <c r="T954" s="11" t="str">
        <f>IF(OR(履歴データ!$A$954="",履歴データ!$A$953=""),"",-80000*K954)</f>
        <v/>
      </c>
      <c r="U954" s="11" t="str">
        <f>IF(OR(履歴データ!$A$954="",履歴データ!$A$953=""),"",60000*L954)</f>
        <v/>
      </c>
      <c r="V954" s="11" t="str">
        <f>IF(OR(履歴データ!$A$954="",履歴データ!$A$953=""),"",-50000*M954)</f>
        <v/>
      </c>
      <c r="W954" s="11" t="str">
        <f>IF(OR(履歴データ!$A$954="",履歴データ!$A$953=""),"",-40000*N954)</f>
        <v/>
      </c>
      <c r="X954" s="11" t="str">
        <f>IF(OR(履歴データ!$A$954="",履歴データ!$A$953=""),"",120*1000000*(-Q954/H953))</f>
        <v/>
      </c>
      <c r="Y954" s="11" t="str">
        <f>IF(OR(履歴データ!$A$954="",履歴データ!$A$953=""),"",40000*(-S954)+(-506.3)*R954*1000)</f>
        <v/>
      </c>
      <c r="Z954" s="11" t="str">
        <f>IF(OR(履歴データ!$A$954="",履歴データ!$A$953=""),"",-40000*O954)</f>
        <v/>
      </c>
      <c r="AA954" s="11" t="str">
        <f>IF(OR(履歴データ!$A$954="",履歴データ!$A$953=""),"",-40000*P954)</f>
        <v/>
      </c>
      <c r="AB954" s="11" t="str">
        <f>IF(履歴データ!$A$954="","",123.3)</f>
        <v/>
      </c>
      <c r="AC954" t="str">
        <f>IF(履歴データ!$A$954="","",SUM(T954:AA954))</f>
        <v/>
      </c>
      <c r="AD954" s="29" t="str">
        <f>IF(履歴データ!$A$954="","",AC954/1000000)</f>
        <v/>
      </c>
      <c r="AE954" s="29">
        <f>IF(履歴データ!$A$954="",AE953,AE953+AC954/1000000)</f>
        <v>70.844544225831427</v>
      </c>
      <c r="AF954" s="12" t="str">
        <f>IF(OR(履歴データ!$A$954="",AE953=0),"",(AE954-AE953)/AE953)</f>
        <v/>
      </c>
      <c r="AG954" s="29">
        <f t="shared" si="44"/>
        <v>102.17217746631495</v>
      </c>
      <c r="AH954" s="12" t="str">
        <f>IF(OR(履歴データ!$A$954="",AG954=0),"",AE954/AG954-1)</f>
        <v/>
      </c>
    </row>
    <row r="955" spans="1:34">
      <c r="A955" s="10" t="str">
        <f>IF(履歴データ!$A$955="","",履歴データ!$A$955)</f>
        <v/>
      </c>
      <c r="B955" s="28" t="str">
        <f>IF(履歴データ!$A$955="","",(履歴データ!$D$955-(履歴データ!$B$955+履歴データ!$F$955)/2)*100)</f>
        <v/>
      </c>
      <c r="C955" s="28" t="str">
        <f>IF(履歴データ!$A$955="","",(履歴データ!$H$955-(履歴データ!$G$955+履歴データ!$J$955)/2)*100)</f>
        <v/>
      </c>
      <c r="D955" s="28" t="str">
        <f>IF(履歴データ!$A$955="","",(履歴データ!$D$955-履歴データ!$H$955)*100)</f>
        <v/>
      </c>
      <c r="E955" s="28" t="str">
        <f>IF(履歴データ!$A$955="","",(履歴データ!$D$955-履歴データ!$C$955)*100)</f>
        <v/>
      </c>
      <c r="F955" s="28" t="str">
        <f>IF(履歴データ!$A$955="","",(履歴データ!$R$955-履歴データ!$D$955)*100)</f>
        <v/>
      </c>
      <c r="G955" s="28" t="str">
        <f>IF(履歴データ!$A$955="","",(履歴データ!$S$955-履歴データ!$R$955)*100)</f>
        <v/>
      </c>
      <c r="H955" s="29" t="str">
        <f>IF(履歴データ!$A$955="","",履歴データ!$O$955)</f>
        <v/>
      </c>
      <c r="I955" s="29" t="str">
        <f>IF(履歴データ!$A$955="","",履歴データ!$Q$955)</f>
        <v/>
      </c>
      <c r="J955" s="29" t="str">
        <f>IF(履歴データ!$A$955="","",履歴データ!$D$955)</f>
        <v/>
      </c>
      <c r="K955" s="28" t="str">
        <f>IF(OR(履歴データ!$A$955="",履歴データ!$A$954=""),"",B955-B954)</f>
        <v/>
      </c>
      <c r="L955" s="28" t="str">
        <f>IF(OR(履歴データ!$A$955="",履歴データ!$A$954=""),"",C955-C954)</f>
        <v/>
      </c>
      <c r="M955" s="28" t="str">
        <f>IF(OR(履歴データ!$A$955="",履歴データ!$A$954=""),"",D955-D954)</f>
        <v/>
      </c>
      <c r="N955" s="28" t="str">
        <f>IF(OR(履歴データ!$A$955="",履歴データ!$A$954=""),"",E955-E954)</f>
        <v/>
      </c>
      <c r="O955" s="28" t="str">
        <f>IF(OR(履歴データ!$A$955="",履歴データ!$A$954=""),"",F955-F954)</f>
        <v/>
      </c>
      <c r="P955" s="28" t="str">
        <f>IF(OR(履歴データ!$A$955="",履歴データ!$A$954=""),"",G955-G954)</f>
        <v/>
      </c>
      <c r="Q955" s="29" t="str">
        <f>IF(OR(履歴データ!$A$955="",履歴データ!$A$954=""),"",H955-H954)</f>
        <v/>
      </c>
      <c r="R955" s="29" t="str">
        <f>IF(OR(履歴データ!$A$955="",履歴データ!$A$954=""),"",I955-I954)</f>
        <v/>
      </c>
      <c r="S955" s="28" t="str">
        <f>IF(OR(履歴データ!$A$955="",履歴データ!$A$954=""),"",(J955-J954)*100)</f>
        <v/>
      </c>
      <c r="T955" s="11" t="str">
        <f>IF(OR(履歴データ!$A$955="",履歴データ!$A$954=""),"",-80000*K955)</f>
        <v/>
      </c>
      <c r="U955" s="11" t="str">
        <f>IF(OR(履歴データ!$A$955="",履歴データ!$A$954=""),"",60000*L955)</f>
        <v/>
      </c>
      <c r="V955" s="11" t="str">
        <f>IF(OR(履歴データ!$A$955="",履歴データ!$A$954=""),"",-50000*M955)</f>
        <v/>
      </c>
      <c r="W955" s="11" t="str">
        <f>IF(OR(履歴データ!$A$955="",履歴データ!$A$954=""),"",-40000*N955)</f>
        <v/>
      </c>
      <c r="X955" s="11" t="str">
        <f>IF(OR(履歴データ!$A$955="",履歴データ!$A$954=""),"",120*1000000*(-Q955/H954))</f>
        <v/>
      </c>
      <c r="Y955" s="11" t="str">
        <f>IF(OR(履歴データ!$A$955="",履歴データ!$A$954=""),"",40000*(-S955)+(-506.3)*R955*1000)</f>
        <v/>
      </c>
      <c r="Z955" s="11" t="str">
        <f>IF(OR(履歴データ!$A$955="",履歴データ!$A$954=""),"",-40000*O955)</f>
        <v/>
      </c>
      <c r="AA955" s="11" t="str">
        <f>IF(OR(履歴データ!$A$955="",履歴データ!$A$954=""),"",-40000*P955)</f>
        <v/>
      </c>
      <c r="AB955" s="11" t="str">
        <f>IF(履歴データ!$A$955="","",123.3)</f>
        <v/>
      </c>
      <c r="AC955" t="str">
        <f>IF(履歴データ!$A$955="","",SUM(T955:AA955))</f>
        <v/>
      </c>
      <c r="AD955" s="29" t="str">
        <f>IF(履歴データ!$A$955="","",AC955/1000000)</f>
        <v/>
      </c>
      <c r="AE955" s="29">
        <f>IF(履歴データ!$A$955="",AE954,AE954+AC955/1000000)</f>
        <v>70.844544225831427</v>
      </c>
      <c r="AF955" s="12" t="str">
        <f>IF(OR(履歴データ!$A$955="",AE954=0),"",(AE955-AE954)/AE954)</f>
        <v/>
      </c>
      <c r="AG955" s="29">
        <f t="shared" si="44"/>
        <v>102.17217746631495</v>
      </c>
      <c r="AH955" s="12" t="str">
        <f>IF(OR(履歴データ!$A$955="",AG955=0),"",AE955/AG955-1)</f>
        <v/>
      </c>
    </row>
    <row r="956" spans="1:34">
      <c r="A956" s="10" t="str">
        <f>IF(履歴データ!$A$956="","",履歴データ!$A$956)</f>
        <v/>
      </c>
      <c r="B956" s="28" t="str">
        <f>IF(履歴データ!$A$956="","",(履歴データ!$D$956-(履歴データ!$B$956+履歴データ!$F$956)/2)*100)</f>
        <v/>
      </c>
      <c r="C956" s="28" t="str">
        <f>IF(履歴データ!$A$956="","",(履歴データ!$H$956-(履歴データ!$G$956+履歴データ!$J$956)/2)*100)</f>
        <v/>
      </c>
      <c r="D956" s="28" t="str">
        <f>IF(履歴データ!$A$956="","",(履歴データ!$D$956-履歴データ!$H$956)*100)</f>
        <v/>
      </c>
      <c r="E956" s="28" t="str">
        <f>IF(履歴データ!$A$956="","",(履歴データ!$D$956-履歴データ!$C$956)*100)</f>
        <v/>
      </c>
      <c r="F956" s="28" t="str">
        <f>IF(履歴データ!$A$956="","",(履歴データ!$R$956-履歴データ!$D$956)*100)</f>
        <v/>
      </c>
      <c r="G956" s="28" t="str">
        <f>IF(履歴データ!$A$956="","",(履歴データ!$S$956-履歴データ!$R$956)*100)</f>
        <v/>
      </c>
      <c r="H956" s="29" t="str">
        <f>IF(履歴データ!$A$956="","",履歴データ!$O$956)</f>
        <v/>
      </c>
      <c r="I956" s="29" t="str">
        <f>IF(履歴データ!$A$956="","",履歴データ!$Q$956)</f>
        <v/>
      </c>
      <c r="J956" s="29" t="str">
        <f>IF(履歴データ!$A$956="","",履歴データ!$D$956)</f>
        <v/>
      </c>
      <c r="K956" s="28" t="str">
        <f>IF(OR(履歴データ!$A$956="",履歴データ!$A$955=""),"",B956-B955)</f>
        <v/>
      </c>
      <c r="L956" s="28" t="str">
        <f>IF(OR(履歴データ!$A$956="",履歴データ!$A$955=""),"",C956-C955)</f>
        <v/>
      </c>
      <c r="M956" s="28" t="str">
        <f>IF(OR(履歴データ!$A$956="",履歴データ!$A$955=""),"",D956-D955)</f>
        <v/>
      </c>
      <c r="N956" s="28" t="str">
        <f>IF(OR(履歴データ!$A$956="",履歴データ!$A$955=""),"",E956-E955)</f>
        <v/>
      </c>
      <c r="O956" s="28" t="str">
        <f>IF(OR(履歴データ!$A$956="",履歴データ!$A$955=""),"",F956-F955)</f>
        <v/>
      </c>
      <c r="P956" s="28" t="str">
        <f>IF(OR(履歴データ!$A$956="",履歴データ!$A$955=""),"",G956-G955)</f>
        <v/>
      </c>
      <c r="Q956" s="29" t="str">
        <f>IF(OR(履歴データ!$A$956="",履歴データ!$A$955=""),"",H956-H955)</f>
        <v/>
      </c>
      <c r="R956" s="29" t="str">
        <f>IF(OR(履歴データ!$A$956="",履歴データ!$A$955=""),"",I956-I955)</f>
        <v/>
      </c>
      <c r="S956" s="28" t="str">
        <f>IF(OR(履歴データ!$A$956="",履歴データ!$A$955=""),"",(J956-J955)*100)</f>
        <v/>
      </c>
      <c r="T956" s="11" t="str">
        <f>IF(OR(履歴データ!$A$956="",履歴データ!$A$955=""),"",-80000*K956)</f>
        <v/>
      </c>
      <c r="U956" s="11" t="str">
        <f>IF(OR(履歴データ!$A$956="",履歴データ!$A$955=""),"",60000*L956)</f>
        <v/>
      </c>
      <c r="V956" s="11" t="str">
        <f>IF(OR(履歴データ!$A$956="",履歴データ!$A$955=""),"",-50000*M956)</f>
        <v/>
      </c>
      <c r="W956" s="11" t="str">
        <f>IF(OR(履歴データ!$A$956="",履歴データ!$A$955=""),"",-40000*N956)</f>
        <v/>
      </c>
      <c r="X956" s="11" t="str">
        <f>IF(OR(履歴データ!$A$956="",履歴データ!$A$955=""),"",120*1000000*(-Q956/H955))</f>
        <v/>
      </c>
      <c r="Y956" s="11" t="str">
        <f>IF(OR(履歴データ!$A$956="",履歴データ!$A$955=""),"",40000*(-S956)+(-506.3)*R956*1000)</f>
        <v/>
      </c>
      <c r="Z956" s="11" t="str">
        <f>IF(OR(履歴データ!$A$956="",履歴データ!$A$955=""),"",-40000*O956)</f>
        <v/>
      </c>
      <c r="AA956" s="11" t="str">
        <f>IF(OR(履歴データ!$A$956="",履歴データ!$A$955=""),"",-40000*P956)</f>
        <v/>
      </c>
      <c r="AB956" s="11" t="str">
        <f>IF(履歴データ!$A$956="","",123.3)</f>
        <v/>
      </c>
      <c r="AC956" t="str">
        <f>IF(履歴データ!$A$956="","",SUM(T956:AA956))</f>
        <v/>
      </c>
      <c r="AD956" s="29" t="str">
        <f>IF(履歴データ!$A$956="","",AC956/1000000)</f>
        <v/>
      </c>
      <c r="AE956" s="29">
        <f>IF(履歴データ!$A$956="",AE955,AE955+AC956/1000000)</f>
        <v>70.844544225831427</v>
      </c>
      <c r="AF956" s="12" t="str">
        <f>IF(OR(履歴データ!$A$956="",AE955=0),"",(AE956-AE955)/AE955)</f>
        <v/>
      </c>
      <c r="AG956" s="29">
        <f t="shared" si="44"/>
        <v>102.17217746631495</v>
      </c>
      <c r="AH956" s="12" t="str">
        <f>IF(OR(履歴データ!$A$956="",AG956=0),"",AE956/AG956-1)</f>
        <v/>
      </c>
    </row>
    <row r="957" spans="1:34">
      <c r="A957" s="10" t="str">
        <f>IF(履歴データ!$A$957="","",履歴データ!$A$957)</f>
        <v/>
      </c>
      <c r="B957" s="28" t="str">
        <f>IF(履歴データ!$A$957="","",(履歴データ!$D$957-(履歴データ!$B$957+履歴データ!$F$957)/2)*100)</f>
        <v/>
      </c>
      <c r="C957" s="28" t="str">
        <f>IF(履歴データ!$A$957="","",(履歴データ!$H$957-(履歴データ!$G$957+履歴データ!$J$957)/2)*100)</f>
        <v/>
      </c>
      <c r="D957" s="28" t="str">
        <f>IF(履歴データ!$A$957="","",(履歴データ!$D$957-履歴データ!$H$957)*100)</f>
        <v/>
      </c>
      <c r="E957" s="28" t="str">
        <f>IF(履歴データ!$A$957="","",(履歴データ!$D$957-履歴データ!$C$957)*100)</f>
        <v/>
      </c>
      <c r="F957" s="28" t="str">
        <f>IF(履歴データ!$A$957="","",(履歴データ!$R$957-履歴データ!$D$957)*100)</f>
        <v/>
      </c>
      <c r="G957" s="28" t="str">
        <f>IF(履歴データ!$A$957="","",(履歴データ!$S$957-履歴データ!$R$957)*100)</f>
        <v/>
      </c>
      <c r="H957" s="29" t="str">
        <f>IF(履歴データ!$A$957="","",履歴データ!$O$957)</f>
        <v/>
      </c>
      <c r="I957" s="29" t="str">
        <f>IF(履歴データ!$A$957="","",履歴データ!$Q$957)</f>
        <v/>
      </c>
      <c r="J957" s="29" t="str">
        <f>IF(履歴データ!$A$957="","",履歴データ!$D$957)</f>
        <v/>
      </c>
      <c r="K957" s="28" t="str">
        <f>IF(OR(履歴データ!$A$957="",履歴データ!$A$956=""),"",B957-B956)</f>
        <v/>
      </c>
      <c r="L957" s="28" t="str">
        <f>IF(OR(履歴データ!$A$957="",履歴データ!$A$956=""),"",C957-C956)</f>
        <v/>
      </c>
      <c r="M957" s="28" t="str">
        <f>IF(OR(履歴データ!$A$957="",履歴データ!$A$956=""),"",D957-D956)</f>
        <v/>
      </c>
      <c r="N957" s="28" t="str">
        <f>IF(OR(履歴データ!$A$957="",履歴データ!$A$956=""),"",E957-E956)</f>
        <v/>
      </c>
      <c r="O957" s="28" t="str">
        <f>IF(OR(履歴データ!$A$957="",履歴データ!$A$956=""),"",F957-F956)</f>
        <v/>
      </c>
      <c r="P957" s="28" t="str">
        <f>IF(OR(履歴データ!$A$957="",履歴データ!$A$956=""),"",G957-G956)</f>
        <v/>
      </c>
      <c r="Q957" s="29" t="str">
        <f>IF(OR(履歴データ!$A$957="",履歴データ!$A$956=""),"",H957-H956)</f>
        <v/>
      </c>
      <c r="R957" s="29" t="str">
        <f>IF(OR(履歴データ!$A$957="",履歴データ!$A$956=""),"",I957-I956)</f>
        <v/>
      </c>
      <c r="S957" s="28" t="str">
        <f>IF(OR(履歴データ!$A$957="",履歴データ!$A$956=""),"",(J957-J956)*100)</f>
        <v/>
      </c>
      <c r="T957" s="11" t="str">
        <f>IF(OR(履歴データ!$A$957="",履歴データ!$A$956=""),"",-80000*K957)</f>
        <v/>
      </c>
      <c r="U957" s="11" t="str">
        <f>IF(OR(履歴データ!$A$957="",履歴データ!$A$956=""),"",60000*L957)</f>
        <v/>
      </c>
      <c r="V957" s="11" t="str">
        <f>IF(OR(履歴データ!$A$957="",履歴データ!$A$956=""),"",-50000*M957)</f>
        <v/>
      </c>
      <c r="W957" s="11" t="str">
        <f>IF(OR(履歴データ!$A$957="",履歴データ!$A$956=""),"",-40000*N957)</f>
        <v/>
      </c>
      <c r="X957" s="11" t="str">
        <f>IF(OR(履歴データ!$A$957="",履歴データ!$A$956=""),"",120*1000000*(-Q957/H956))</f>
        <v/>
      </c>
      <c r="Y957" s="11" t="str">
        <f>IF(OR(履歴データ!$A$957="",履歴データ!$A$956=""),"",40000*(-S957)+(-506.3)*R957*1000)</f>
        <v/>
      </c>
      <c r="Z957" s="11" t="str">
        <f>IF(OR(履歴データ!$A$957="",履歴データ!$A$956=""),"",-40000*O957)</f>
        <v/>
      </c>
      <c r="AA957" s="11" t="str">
        <f>IF(OR(履歴データ!$A$957="",履歴データ!$A$956=""),"",-40000*P957)</f>
        <v/>
      </c>
      <c r="AB957" s="11" t="str">
        <f>IF(履歴データ!$A$957="","",123.3)</f>
        <v/>
      </c>
      <c r="AC957" t="str">
        <f>IF(履歴データ!$A$957="","",SUM(T957:AA957))</f>
        <v/>
      </c>
      <c r="AD957" s="29" t="str">
        <f>IF(履歴データ!$A$957="","",AC957/1000000)</f>
        <v/>
      </c>
      <c r="AE957" s="29">
        <f>IF(履歴データ!$A$957="",AE956,AE956+AC957/1000000)</f>
        <v>70.844544225831427</v>
      </c>
      <c r="AF957" s="12" t="str">
        <f>IF(OR(履歴データ!$A$957="",AE956=0),"",(AE957-AE956)/AE956)</f>
        <v/>
      </c>
      <c r="AG957" s="29">
        <f t="shared" si="44"/>
        <v>102.17217746631495</v>
      </c>
      <c r="AH957" s="12" t="str">
        <f>IF(OR(履歴データ!$A$957="",AG957=0),"",AE957/AG957-1)</f>
        <v/>
      </c>
    </row>
    <row r="958" spans="1:34">
      <c r="A958" s="10" t="str">
        <f>IF(履歴データ!$A$958="","",履歴データ!$A$958)</f>
        <v/>
      </c>
      <c r="B958" s="28" t="str">
        <f>IF(履歴データ!$A$958="","",(履歴データ!$D$958-(履歴データ!$B$958+履歴データ!$F$958)/2)*100)</f>
        <v/>
      </c>
      <c r="C958" s="28" t="str">
        <f>IF(履歴データ!$A$958="","",(履歴データ!$H$958-(履歴データ!$G$958+履歴データ!$J$958)/2)*100)</f>
        <v/>
      </c>
      <c r="D958" s="28" t="str">
        <f>IF(履歴データ!$A$958="","",(履歴データ!$D$958-履歴データ!$H$958)*100)</f>
        <v/>
      </c>
      <c r="E958" s="28" t="str">
        <f>IF(履歴データ!$A$958="","",(履歴データ!$D$958-履歴データ!$C$958)*100)</f>
        <v/>
      </c>
      <c r="F958" s="28" t="str">
        <f>IF(履歴データ!$A$958="","",(履歴データ!$R$958-履歴データ!$D$958)*100)</f>
        <v/>
      </c>
      <c r="G958" s="28" t="str">
        <f>IF(履歴データ!$A$958="","",(履歴データ!$S$958-履歴データ!$R$958)*100)</f>
        <v/>
      </c>
      <c r="H958" s="29" t="str">
        <f>IF(履歴データ!$A$958="","",履歴データ!$O$958)</f>
        <v/>
      </c>
      <c r="I958" s="29" t="str">
        <f>IF(履歴データ!$A$958="","",履歴データ!$Q$958)</f>
        <v/>
      </c>
      <c r="J958" s="29" t="str">
        <f>IF(履歴データ!$A$958="","",履歴データ!$D$958)</f>
        <v/>
      </c>
      <c r="K958" s="28" t="str">
        <f>IF(OR(履歴データ!$A$958="",履歴データ!$A$957=""),"",B958-B957)</f>
        <v/>
      </c>
      <c r="L958" s="28" t="str">
        <f>IF(OR(履歴データ!$A$958="",履歴データ!$A$957=""),"",C958-C957)</f>
        <v/>
      </c>
      <c r="M958" s="28" t="str">
        <f>IF(OR(履歴データ!$A$958="",履歴データ!$A$957=""),"",D958-D957)</f>
        <v/>
      </c>
      <c r="N958" s="28" t="str">
        <f>IF(OR(履歴データ!$A$958="",履歴データ!$A$957=""),"",E958-E957)</f>
        <v/>
      </c>
      <c r="O958" s="28" t="str">
        <f>IF(OR(履歴データ!$A$958="",履歴データ!$A$957=""),"",F958-F957)</f>
        <v/>
      </c>
      <c r="P958" s="28" t="str">
        <f>IF(OR(履歴データ!$A$958="",履歴データ!$A$957=""),"",G958-G957)</f>
        <v/>
      </c>
      <c r="Q958" s="29" t="str">
        <f>IF(OR(履歴データ!$A$958="",履歴データ!$A$957=""),"",H958-H957)</f>
        <v/>
      </c>
      <c r="R958" s="29" t="str">
        <f>IF(OR(履歴データ!$A$958="",履歴データ!$A$957=""),"",I958-I957)</f>
        <v/>
      </c>
      <c r="S958" s="28" t="str">
        <f>IF(OR(履歴データ!$A$958="",履歴データ!$A$957=""),"",(J958-J957)*100)</f>
        <v/>
      </c>
      <c r="T958" s="11" t="str">
        <f>IF(OR(履歴データ!$A$958="",履歴データ!$A$957=""),"",-80000*K958)</f>
        <v/>
      </c>
      <c r="U958" s="11" t="str">
        <f>IF(OR(履歴データ!$A$958="",履歴データ!$A$957=""),"",60000*L958)</f>
        <v/>
      </c>
      <c r="V958" s="11" t="str">
        <f>IF(OR(履歴データ!$A$958="",履歴データ!$A$957=""),"",-50000*M958)</f>
        <v/>
      </c>
      <c r="W958" s="11" t="str">
        <f>IF(OR(履歴データ!$A$958="",履歴データ!$A$957=""),"",-40000*N958)</f>
        <v/>
      </c>
      <c r="X958" s="11" t="str">
        <f>IF(OR(履歴データ!$A$958="",履歴データ!$A$957=""),"",120*1000000*(-Q958/H957))</f>
        <v/>
      </c>
      <c r="Y958" s="11" t="str">
        <f>IF(OR(履歴データ!$A$958="",履歴データ!$A$957=""),"",40000*(-S958)+(-506.3)*R958*1000)</f>
        <v/>
      </c>
      <c r="Z958" s="11" t="str">
        <f>IF(OR(履歴データ!$A$958="",履歴データ!$A$957=""),"",-40000*O958)</f>
        <v/>
      </c>
      <c r="AA958" s="11" t="str">
        <f>IF(OR(履歴データ!$A$958="",履歴データ!$A$957=""),"",-40000*P958)</f>
        <v/>
      </c>
      <c r="AB958" s="11" t="str">
        <f>IF(履歴データ!$A$958="","",123.3)</f>
        <v/>
      </c>
      <c r="AC958" t="str">
        <f>IF(履歴データ!$A$958="","",SUM(T958:AA958))</f>
        <v/>
      </c>
      <c r="AD958" s="29" t="str">
        <f>IF(履歴データ!$A$958="","",AC958/1000000)</f>
        <v/>
      </c>
      <c r="AE958" s="29">
        <f>IF(履歴データ!$A$958="",AE957,AE957+AC958/1000000)</f>
        <v>70.844544225831427</v>
      </c>
      <c r="AF958" s="12" t="str">
        <f>IF(OR(履歴データ!$A$958="",AE957=0),"",(AE958-AE957)/AE957)</f>
        <v/>
      </c>
      <c r="AG958" s="29">
        <f t="shared" si="44"/>
        <v>102.17217746631495</v>
      </c>
      <c r="AH958" s="12" t="str">
        <f>IF(OR(履歴データ!$A$958="",AG958=0),"",AE958/AG958-1)</f>
        <v/>
      </c>
    </row>
    <row r="959" spans="1:34">
      <c r="A959" s="10" t="str">
        <f>IF(履歴データ!$A$959="","",履歴データ!$A$959)</f>
        <v/>
      </c>
      <c r="B959" s="28" t="str">
        <f>IF(履歴データ!$A$959="","",(履歴データ!$D$959-(履歴データ!$B$959+履歴データ!$F$959)/2)*100)</f>
        <v/>
      </c>
      <c r="C959" s="28" t="str">
        <f>IF(履歴データ!$A$959="","",(履歴データ!$H$959-(履歴データ!$G$959+履歴データ!$J$959)/2)*100)</f>
        <v/>
      </c>
      <c r="D959" s="28" t="str">
        <f>IF(履歴データ!$A$959="","",(履歴データ!$D$959-履歴データ!$H$959)*100)</f>
        <v/>
      </c>
      <c r="E959" s="28" t="str">
        <f>IF(履歴データ!$A$959="","",(履歴データ!$D$959-履歴データ!$C$959)*100)</f>
        <v/>
      </c>
      <c r="F959" s="28" t="str">
        <f>IF(履歴データ!$A$959="","",(履歴データ!$R$959-履歴データ!$D$959)*100)</f>
        <v/>
      </c>
      <c r="G959" s="28" t="str">
        <f>IF(履歴データ!$A$959="","",(履歴データ!$S$959-履歴データ!$R$959)*100)</f>
        <v/>
      </c>
      <c r="H959" s="29" t="str">
        <f>IF(履歴データ!$A$959="","",履歴データ!$O$959)</f>
        <v/>
      </c>
      <c r="I959" s="29" t="str">
        <f>IF(履歴データ!$A$959="","",履歴データ!$Q$959)</f>
        <v/>
      </c>
      <c r="J959" s="29" t="str">
        <f>IF(履歴データ!$A$959="","",履歴データ!$D$959)</f>
        <v/>
      </c>
      <c r="K959" s="28" t="str">
        <f>IF(OR(履歴データ!$A$959="",履歴データ!$A$958=""),"",B959-B958)</f>
        <v/>
      </c>
      <c r="L959" s="28" t="str">
        <f>IF(OR(履歴データ!$A$959="",履歴データ!$A$958=""),"",C959-C958)</f>
        <v/>
      </c>
      <c r="M959" s="28" t="str">
        <f>IF(OR(履歴データ!$A$959="",履歴データ!$A$958=""),"",D959-D958)</f>
        <v/>
      </c>
      <c r="N959" s="28" t="str">
        <f>IF(OR(履歴データ!$A$959="",履歴データ!$A$958=""),"",E959-E958)</f>
        <v/>
      </c>
      <c r="O959" s="28" t="str">
        <f>IF(OR(履歴データ!$A$959="",履歴データ!$A$958=""),"",F959-F958)</f>
        <v/>
      </c>
      <c r="P959" s="28" t="str">
        <f>IF(OR(履歴データ!$A$959="",履歴データ!$A$958=""),"",G959-G958)</f>
        <v/>
      </c>
      <c r="Q959" s="29" t="str">
        <f>IF(OR(履歴データ!$A$959="",履歴データ!$A$958=""),"",H959-H958)</f>
        <v/>
      </c>
      <c r="R959" s="29" t="str">
        <f>IF(OR(履歴データ!$A$959="",履歴データ!$A$958=""),"",I959-I958)</f>
        <v/>
      </c>
      <c r="S959" s="28" t="str">
        <f>IF(OR(履歴データ!$A$959="",履歴データ!$A$958=""),"",(J959-J958)*100)</f>
        <v/>
      </c>
      <c r="T959" s="11" t="str">
        <f>IF(OR(履歴データ!$A$959="",履歴データ!$A$958=""),"",-80000*K959)</f>
        <v/>
      </c>
      <c r="U959" s="11" t="str">
        <f>IF(OR(履歴データ!$A$959="",履歴データ!$A$958=""),"",60000*L959)</f>
        <v/>
      </c>
      <c r="V959" s="11" t="str">
        <f>IF(OR(履歴データ!$A$959="",履歴データ!$A$958=""),"",-50000*M959)</f>
        <v/>
      </c>
      <c r="W959" s="11" t="str">
        <f>IF(OR(履歴データ!$A$959="",履歴データ!$A$958=""),"",-40000*N959)</f>
        <v/>
      </c>
      <c r="X959" s="11" t="str">
        <f>IF(OR(履歴データ!$A$959="",履歴データ!$A$958=""),"",120*1000000*(-Q959/H958))</f>
        <v/>
      </c>
      <c r="Y959" s="11" t="str">
        <f>IF(OR(履歴データ!$A$959="",履歴データ!$A$958=""),"",40000*(-S959)+(-506.3)*R959*1000)</f>
        <v/>
      </c>
      <c r="Z959" s="11" t="str">
        <f>IF(OR(履歴データ!$A$959="",履歴データ!$A$958=""),"",-40000*O959)</f>
        <v/>
      </c>
      <c r="AA959" s="11" t="str">
        <f>IF(OR(履歴データ!$A$959="",履歴データ!$A$958=""),"",-40000*P959)</f>
        <v/>
      </c>
      <c r="AB959" s="11" t="str">
        <f>IF(履歴データ!$A$959="","",123.3)</f>
        <v/>
      </c>
      <c r="AC959" t="str">
        <f>IF(履歴データ!$A$959="","",SUM(T959:AA959))</f>
        <v/>
      </c>
      <c r="AD959" s="29" t="str">
        <f>IF(履歴データ!$A$959="","",AC959/1000000)</f>
        <v/>
      </c>
      <c r="AE959" s="29">
        <f>IF(履歴データ!$A$959="",AE958,AE958+AC959/1000000)</f>
        <v>70.844544225831427</v>
      </c>
      <c r="AF959" s="12" t="str">
        <f>IF(OR(履歴データ!$A$959="",AE958=0),"",(AE959-AE958)/AE958)</f>
        <v/>
      </c>
      <c r="AG959" s="29">
        <f t="shared" si="44"/>
        <v>102.17217746631495</v>
      </c>
      <c r="AH959" s="12" t="str">
        <f>IF(OR(履歴データ!$A$959="",AG959=0),"",AE959/AG959-1)</f>
        <v/>
      </c>
    </row>
    <row r="960" spans="1:34">
      <c r="A960" s="10" t="str">
        <f>IF(履歴データ!$A$960="","",履歴データ!$A$960)</f>
        <v/>
      </c>
      <c r="B960" s="28" t="str">
        <f>IF(履歴データ!$A$960="","",(履歴データ!$D$960-(履歴データ!$B$960+履歴データ!$F$960)/2)*100)</f>
        <v/>
      </c>
      <c r="C960" s="28" t="str">
        <f>IF(履歴データ!$A$960="","",(履歴データ!$H$960-(履歴データ!$G$960+履歴データ!$J$960)/2)*100)</f>
        <v/>
      </c>
      <c r="D960" s="28" t="str">
        <f>IF(履歴データ!$A$960="","",(履歴データ!$D$960-履歴データ!$H$960)*100)</f>
        <v/>
      </c>
      <c r="E960" s="28" t="str">
        <f>IF(履歴データ!$A$960="","",(履歴データ!$D$960-履歴データ!$C$960)*100)</f>
        <v/>
      </c>
      <c r="F960" s="28" t="str">
        <f>IF(履歴データ!$A$960="","",(履歴データ!$R$960-履歴データ!$D$960)*100)</f>
        <v/>
      </c>
      <c r="G960" s="28" t="str">
        <f>IF(履歴データ!$A$960="","",(履歴データ!$S$960-履歴データ!$R$960)*100)</f>
        <v/>
      </c>
      <c r="H960" s="29" t="str">
        <f>IF(履歴データ!$A$960="","",履歴データ!$O$960)</f>
        <v/>
      </c>
      <c r="I960" s="29" t="str">
        <f>IF(履歴データ!$A$960="","",履歴データ!$Q$960)</f>
        <v/>
      </c>
      <c r="J960" s="29" t="str">
        <f>IF(履歴データ!$A$960="","",履歴データ!$D$960)</f>
        <v/>
      </c>
      <c r="K960" s="28" t="str">
        <f>IF(OR(履歴データ!$A$960="",履歴データ!$A$959=""),"",B960-B959)</f>
        <v/>
      </c>
      <c r="L960" s="28" t="str">
        <f>IF(OR(履歴データ!$A$960="",履歴データ!$A$959=""),"",C960-C959)</f>
        <v/>
      </c>
      <c r="M960" s="28" t="str">
        <f>IF(OR(履歴データ!$A$960="",履歴データ!$A$959=""),"",D960-D959)</f>
        <v/>
      </c>
      <c r="N960" s="28" t="str">
        <f>IF(OR(履歴データ!$A$960="",履歴データ!$A$959=""),"",E960-E959)</f>
        <v/>
      </c>
      <c r="O960" s="28" t="str">
        <f>IF(OR(履歴データ!$A$960="",履歴データ!$A$959=""),"",F960-F959)</f>
        <v/>
      </c>
      <c r="P960" s="28" t="str">
        <f>IF(OR(履歴データ!$A$960="",履歴データ!$A$959=""),"",G960-G959)</f>
        <v/>
      </c>
      <c r="Q960" s="29" t="str">
        <f>IF(OR(履歴データ!$A$960="",履歴データ!$A$959=""),"",H960-H959)</f>
        <v/>
      </c>
      <c r="R960" s="29" t="str">
        <f>IF(OR(履歴データ!$A$960="",履歴データ!$A$959=""),"",I960-I959)</f>
        <v/>
      </c>
      <c r="S960" s="28" t="str">
        <f>IF(OR(履歴データ!$A$960="",履歴データ!$A$959=""),"",(J960-J959)*100)</f>
        <v/>
      </c>
      <c r="T960" s="11" t="str">
        <f>IF(OR(履歴データ!$A$960="",履歴データ!$A$959=""),"",-80000*K960)</f>
        <v/>
      </c>
      <c r="U960" s="11" t="str">
        <f>IF(OR(履歴データ!$A$960="",履歴データ!$A$959=""),"",60000*L960)</f>
        <v/>
      </c>
      <c r="V960" s="11" t="str">
        <f>IF(OR(履歴データ!$A$960="",履歴データ!$A$959=""),"",-50000*M960)</f>
        <v/>
      </c>
      <c r="W960" s="11" t="str">
        <f>IF(OR(履歴データ!$A$960="",履歴データ!$A$959=""),"",-40000*N960)</f>
        <v/>
      </c>
      <c r="X960" s="11" t="str">
        <f>IF(OR(履歴データ!$A$960="",履歴データ!$A$959=""),"",120*1000000*(-Q960/H959))</f>
        <v/>
      </c>
      <c r="Y960" s="11" t="str">
        <f>IF(OR(履歴データ!$A$960="",履歴データ!$A$959=""),"",40000*(-S960)+(-506.3)*R960*1000)</f>
        <v/>
      </c>
      <c r="Z960" s="11" t="str">
        <f>IF(OR(履歴データ!$A$960="",履歴データ!$A$959=""),"",-40000*O960)</f>
        <v/>
      </c>
      <c r="AA960" s="11" t="str">
        <f>IF(OR(履歴データ!$A$960="",履歴データ!$A$959=""),"",-40000*P960)</f>
        <v/>
      </c>
      <c r="AB960" s="11" t="str">
        <f>IF(履歴データ!$A$960="","",123.3)</f>
        <v/>
      </c>
      <c r="AC960" t="str">
        <f>IF(履歴データ!$A$960="","",SUM(T960:AA960))</f>
        <v/>
      </c>
      <c r="AD960" s="29" t="str">
        <f>IF(履歴データ!$A$960="","",AC960/1000000)</f>
        <v/>
      </c>
      <c r="AE960" s="29">
        <f>IF(履歴データ!$A$960="",AE959,AE959+AC960/1000000)</f>
        <v>70.844544225831427</v>
      </c>
      <c r="AF960" s="12" t="str">
        <f>IF(OR(履歴データ!$A$960="",AE959=0),"",(AE960-AE959)/AE959)</f>
        <v/>
      </c>
      <c r="AG960" s="29">
        <f t="shared" si="44"/>
        <v>102.17217746631495</v>
      </c>
      <c r="AH960" s="12" t="str">
        <f>IF(OR(履歴データ!$A$960="",AG960=0),"",AE960/AG960-1)</f>
        <v/>
      </c>
    </row>
    <row r="961" spans="1:34">
      <c r="A961" s="10" t="str">
        <f>IF(履歴データ!$A$961="","",履歴データ!$A$961)</f>
        <v/>
      </c>
      <c r="B961" s="28" t="str">
        <f>IF(履歴データ!$A$961="","",(履歴データ!$D$961-(履歴データ!$B$961+履歴データ!$F$961)/2)*100)</f>
        <v/>
      </c>
      <c r="C961" s="28" t="str">
        <f>IF(履歴データ!$A$961="","",(履歴データ!$H$961-(履歴データ!$G$961+履歴データ!$J$961)/2)*100)</f>
        <v/>
      </c>
      <c r="D961" s="28" t="str">
        <f>IF(履歴データ!$A$961="","",(履歴データ!$D$961-履歴データ!$H$961)*100)</f>
        <v/>
      </c>
      <c r="E961" s="28" t="str">
        <f>IF(履歴データ!$A$961="","",(履歴データ!$D$961-履歴データ!$C$961)*100)</f>
        <v/>
      </c>
      <c r="F961" s="28" t="str">
        <f>IF(履歴データ!$A$961="","",(履歴データ!$R$961-履歴データ!$D$961)*100)</f>
        <v/>
      </c>
      <c r="G961" s="28" t="str">
        <f>IF(履歴データ!$A$961="","",(履歴データ!$S$961-履歴データ!$R$961)*100)</f>
        <v/>
      </c>
      <c r="H961" s="29" t="str">
        <f>IF(履歴データ!$A$961="","",履歴データ!$O$961)</f>
        <v/>
      </c>
      <c r="I961" s="29" t="str">
        <f>IF(履歴データ!$A$961="","",履歴データ!$Q$961)</f>
        <v/>
      </c>
      <c r="J961" s="29" t="str">
        <f>IF(履歴データ!$A$961="","",履歴データ!$D$961)</f>
        <v/>
      </c>
      <c r="K961" s="28" t="str">
        <f>IF(OR(履歴データ!$A$961="",履歴データ!$A$960=""),"",B961-B960)</f>
        <v/>
      </c>
      <c r="L961" s="28" t="str">
        <f>IF(OR(履歴データ!$A$961="",履歴データ!$A$960=""),"",C961-C960)</f>
        <v/>
      </c>
      <c r="M961" s="28" t="str">
        <f>IF(OR(履歴データ!$A$961="",履歴データ!$A$960=""),"",D961-D960)</f>
        <v/>
      </c>
      <c r="N961" s="28" t="str">
        <f>IF(OR(履歴データ!$A$961="",履歴データ!$A$960=""),"",E961-E960)</f>
        <v/>
      </c>
      <c r="O961" s="28" t="str">
        <f>IF(OR(履歴データ!$A$961="",履歴データ!$A$960=""),"",F961-F960)</f>
        <v/>
      </c>
      <c r="P961" s="28" t="str">
        <f>IF(OR(履歴データ!$A$961="",履歴データ!$A$960=""),"",G961-G960)</f>
        <v/>
      </c>
      <c r="Q961" s="29" t="str">
        <f>IF(OR(履歴データ!$A$961="",履歴データ!$A$960=""),"",H961-H960)</f>
        <v/>
      </c>
      <c r="R961" s="29" t="str">
        <f>IF(OR(履歴データ!$A$961="",履歴データ!$A$960=""),"",I961-I960)</f>
        <v/>
      </c>
      <c r="S961" s="28" t="str">
        <f>IF(OR(履歴データ!$A$961="",履歴データ!$A$960=""),"",(J961-J960)*100)</f>
        <v/>
      </c>
      <c r="T961" s="11" t="str">
        <f>IF(OR(履歴データ!$A$961="",履歴データ!$A$960=""),"",-80000*K961)</f>
        <v/>
      </c>
      <c r="U961" s="11" t="str">
        <f>IF(OR(履歴データ!$A$961="",履歴データ!$A$960=""),"",60000*L961)</f>
        <v/>
      </c>
      <c r="V961" s="11" t="str">
        <f>IF(OR(履歴データ!$A$961="",履歴データ!$A$960=""),"",-50000*M961)</f>
        <v/>
      </c>
      <c r="W961" s="11" t="str">
        <f>IF(OR(履歴データ!$A$961="",履歴データ!$A$960=""),"",-40000*N961)</f>
        <v/>
      </c>
      <c r="X961" s="11" t="str">
        <f>IF(OR(履歴データ!$A$961="",履歴データ!$A$960=""),"",120*1000000*(-Q961/H960))</f>
        <v/>
      </c>
      <c r="Y961" s="11" t="str">
        <f>IF(OR(履歴データ!$A$961="",履歴データ!$A$960=""),"",40000*(-S961)+(-506.3)*R961*1000)</f>
        <v/>
      </c>
      <c r="Z961" s="11" t="str">
        <f>IF(OR(履歴データ!$A$961="",履歴データ!$A$960=""),"",-40000*O961)</f>
        <v/>
      </c>
      <c r="AA961" s="11" t="str">
        <f>IF(OR(履歴データ!$A$961="",履歴データ!$A$960=""),"",-40000*P961)</f>
        <v/>
      </c>
      <c r="AB961" s="11" t="str">
        <f>IF(履歴データ!$A$961="","",123.3)</f>
        <v/>
      </c>
      <c r="AC961" t="str">
        <f>IF(履歴データ!$A$961="","",SUM(T961:AA961))</f>
        <v/>
      </c>
      <c r="AD961" s="29" t="str">
        <f>IF(履歴データ!$A$961="","",AC961/1000000)</f>
        <v/>
      </c>
      <c r="AE961" s="29">
        <f>IF(履歴データ!$A$961="",AE960,AE960+AC961/1000000)</f>
        <v>70.844544225831427</v>
      </c>
      <c r="AF961" s="12" t="str">
        <f>IF(OR(履歴データ!$A$961="",AE960=0),"",(AE961-AE960)/AE960)</f>
        <v/>
      </c>
      <c r="AG961" s="29">
        <f t="shared" si="44"/>
        <v>102.17217746631495</v>
      </c>
      <c r="AH961" s="12" t="str">
        <f>IF(OR(履歴データ!$A$961="",AG961=0),"",AE961/AG961-1)</f>
        <v/>
      </c>
    </row>
    <row r="962" spans="1:34">
      <c r="A962" s="10" t="str">
        <f>IF(履歴データ!$A$962="","",履歴データ!$A$962)</f>
        <v/>
      </c>
      <c r="B962" s="28" t="str">
        <f>IF(履歴データ!$A$962="","",(履歴データ!$D$962-(履歴データ!$B$962+履歴データ!$F$962)/2)*100)</f>
        <v/>
      </c>
      <c r="C962" s="28" t="str">
        <f>IF(履歴データ!$A$962="","",(履歴データ!$H$962-(履歴データ!$G$962+履歴データ!$J$962)/2)*100)</f>
        <v/>
      </c>
      <c r="D962" s="28" t="str">
        <f>IF(履歴データ!$A$962="","",(履歴データ!$D$962-履歴データ!$H$962)*100)</f>
        <v/>
      </c>
      <c r="E962" s="28" t="str">
        <f>IF(履歴データ!$A$962="","",(履歴データ!$D$962-履歴データ!$C$962)*100)</f>
        <v/>
      </c>
      <c r="F962" s="28" t="str">
        <f>IF(履歴データ!$A$962="","",(履歴データ!$R$962-履歴データ!$D$962)*100)</f>
        <v/>
      </c>
      <c r="G962" s="28" t="str">
        <f>IF(履歴データ!$A$962="","",(履歴データ!$S$962-履歴データ!$R$962)*100)</f>
        <v/>
      </c>
      <c r="H962" s="29" t="str">
        <f>IF(履歴データ!$A$962="","",履歴データ!$O$962)</f>
        <v/>
      </c>
      <c r="I962" s="29" t="str">
        <f>IF(履歴データ!$A$962="","",履歴データ!$Q$962)</f>
        <v/>
      </c>
      <c r="J962" s="29" t="str">
        <f>IF(履歴データ!$A$962="","",履歴データ!$D$962)</f>
        <v/>
      </c>
      <c r="K962" s="28" t="str">
        <f>IF(OR(履歴データ!$A$962="",履歴データ!$A$961=""),"",B962-B961)</f>
        <v/>
      </c>
      <c r="L962" s="28" t="str">
        <f>IF(OR(履歴データ!$A$962="",履歴データ!$A$961=""),"",C962-C961)</f>
        <v/>
      </c>
      <c r="M962" s="28" t="str">
        <f>IF(OR(履歴データ!$A$962="",履歴データ!$A$961=""),"",D962-D961)</f>
        <v/>
      </c>
      <c r="N962" s="28" t="str">
        <f>IF(OR(履歴データ!$A$962="",履歴データ!$A$961=""),"",E962-E961)</f>
        <v/>
      </c>
      <c r="O962" s="28" t="str">
        <f>IF(OR(履歴データ!$A$962="",履歴データ!$A$961=""),"",F962-F961)</f>
        <v/>
      </c>
      <c r="P962" s="28" t="str">
        <f>IF(OR(履歴データ!$A$962="",履歴データ!$A$961=""),"",G962-G961)</f>
        <v/>
      </c>
      <c r="Q962" s="29" t="str">
        <f>IF(OR(履歴データ!$A$962="",履歴データ!$A$961=""),"",H962-H961)</f>
        <v/>
      </c>
      <c r="R962" s="29" t="str">
        <f>IF(OR(履歴データ!$A$962="",履歴データ!$A$961=""),"",I962-I961)</f>
        <v/>
      </c>
      <c r="S962" s="28" t="str">
        <f>IF(OR(履歴データ!$A$962="",履歴データ!$A$961=""),"",(J962-J961)*100)</f>
        <v/>
      </c>
      <c r="T962" s="11" t="str">
        <f>IF(OR(履歴データ!$A$962="",履歴データ!$A$961=""),"",-80000*K962)</f>
        <v/>
      </c>
      <c r="U962" s="11" t="str">
        <f>IF(OR(履歴データ!$A$962="",履歴データ!$A$961=""),"",60000*L962)</f>
        <v/>
      </c>
      <c r="V962" s="11" t="str">
        <f>IF(OR(履歴データ!$A$962="",履歴データ!$A$961=""),"",-50000*M962)</f>
        <v/>
      </c>
      <c r="W962" s="11" t="str">
        <f>IF(OR(履歴データ!$A$962="",履歴データ!$A$961=""),"",-40000*N962)</f>
        <v/>
      </c>
      <c r="X962" s="11" t="str">
        <f>IF(OR(履歴データ!$A$962="",履歴データ!$A$961=""),"",120*1000000*(-Q962/H961))</f>
        <v/>
      </c>
      <c r="Y962" s="11" t="str">
        <f>IF(OR(履歴データ!$A$962="",履歴データ!$A$961=""),"",40000*(-S962)+(-506.3)*R962*1000)</f>
        <v/>
      </c>
      <c r="Z962" s="11" t="str">
        <f>IF(OR(履歴データ!$A$962="",履歴データ!$A$961=""),"",-40000*O962)</f>
        <v/>
      </c>
      <c r="AA962" s="11" t="str">
        <f>IF(OR(履歴データ!$A$962="",履歴データ!$A$961=""),"",-40000*P962)</f>
        <v/>
      </c>
      <c r="AB962" s="11" t="str">
        <f>IF(履歴データ!$A$962="","",123.3)</f>
        <v/>
      </c>
      <c r="AC962" t="str">
        <f>IF(履歴データ!$A$962="","",SUM(T962:AA962))</f>
        <v/>
      </c>
      <c r="AD962" s="29" t="str">
        <f>IF(履歴データ!$A$962="","",AC962/1000000)</f>
        <v/>
      </c>
      <c r="AE962" s="29">
        <f>IF(履歴データ!$A$962="",AE961,AE961+AC962/1000000)</f>
        <v>70.844544225831427</v>
      </c>
      <c r="AF962" s="12" t="str">
        <f>IF(OR(履歴データ!$A$962="",AE961=0),"",(AE962-AE961)/AE961)</f>
        <v/>
      </c>
      <c r="AG962" s="29">
        <f t="shared" si="44"/>
        <v>102.17217746631495</v>
      </c>
      <c r="AH962" s="12" t="str">
        <f>IF(OR(履歴データ!$A$962="",AG962=0),"",AE962/AG962-1)</f>
        <v/>
      </c>
    </row>
    <row r="963" spans="1:34">
      <c r="A963" s="10" t="str">
        <f>IF(履歴データ!$A$963="","",履歴データ!$A$963)</f>
        <v/>
      </c>
      <c r="B963" s="28" t="str">
        <f>IF(履歴データ!$A$963="","",(履歴データ!$D$963-(履歴データ!$B$963+履歴データ!$F$963)/2)*100)</f>
        <v/>
      </c>
      <c r="C963" s="28" t="str">
        <f>IF(履歴データ!$A$963="","",(履歴データ!$H$963-(履歴データ!$G$963+履歴データ!$J$963)/2)*100)</f>
        <v/>
      </c>
      <c r="D963" s="28" t="str">
        <f>IF(履歴データ!$A$963="","",(履歴データ!$D$963-履歴データ!$H$963)*100)</f>
        <v/>
      </c>
      <c r="E963" s="28" t="str">
        <f>IF(履歴データ!$A$963="","",(履歴データ!$D$963-履歴データ!$C$963)*100)</f>
        <v/>
      </c>
      <c r="F963" s="28" t="str">
        <f>IF(履歴データ!$A$963="","",(履歴データ!$R$963-履歴データ!$D$963)*100)</f>
        <v/>
      </c>
      <c r="G963" s="28" t="str">
        <f>IF(履歴データ!$A$963="","",(履歴データ!$S$963-履歴データ!$R$963)*100)</f>
        <v/>
      </c>
      <c r="H963" s="29" t="str">
        <f>IF(履歴データ!$A$963="","",履歴データ!$O$963)</f>
        <v/>
      </c>
      <c r="I963" s="29" t="str">
        <f>IF(履歴データ!$A$963="","",履歴データ!$Q$963)</f>
        <v/>
      </c>
      <c r="J963" s="29" t="str">
        <f>IF(履歴データ!$A$963="","",履歴データ!$D$963)</f>
        <v/>
      </c>
      <c r="K963" s="28" t="str">
        <f>IF(OR(履歴データ!$A$963="",履歴データ!$A$962=""),"",B963-B962)</f>
        <v/>
      </c>
      <c r="L963" s="28" t="str">
        <f>IF(OR(履歴データ!$A$963="",履歴データ!$A$962=""),"",C963-C962)</f>
        <v/>
      </c>
      <c r="M963" s="28" t="str">
        <f>IF(OR(履歴データ!$A$963="",履歴データ!$A$962=""),"",D963-D962)</f>
        <v/>
      </c>
      <c r="N963" s="28" t="str">
        <f>IF(OR(履歴データ!$A$963="",履歴データ!$A$962=""),"",E963-E962)</f>
        <v/>
      </c>
      <c r="O963" s="28" t="str">
        <f>IF(OR(履歴データ!$A$963="",履歴データ!$A$962=""),"",F963-F962)</f>
        <v/>
      </c>
      <c r="P963" s="28" t="str">
        <f>IF(OR(履歴データ!$A$963="",履歴データ!$A$962=""),"",G963-G962)</f>
        <v/>
      </c>
      <c r="Q963" s="29" t="str">
        <f>IF(OR(履歴データ!$A$963="",履歴データ!$A$962=""),"",H963-H962)</f>
        <v/>
      </c>
      <c r="R963" s="29" t="str">
        <f>IF(OR(履歴データ!$A$963="",履歴データ!$A$962=""),"",I963-I962)</f>
        <v/>
      </c>
      <c r="S963" s="28" t="str">
        <f>IF(OR(履歴データ!$A$963="",履歴データ!$A$962=""),"",(J963-J962)*100)</f>
        <v/>
      </c>
      <c r="T963" s="11" t="str">
        <f>IF(OR(履歴データ!$A$963="",履歴データ!$A$962=""),"",-80000*K963)</f>
        <v/>
      </c>
      <c r="U963" s="11" t="str">
        <f>IF(OR(履歴データ!$A$963="",履歴データ!$A$962=""),"",60000*L963)</f>
        <v/>
      </c>
      <c r="V963" s="11" t="str">
        <f>IF(OR(履歴データ!$A$963="",履歴データ!$A$962=""),"",-50000*M963)</f>
        <v/>
      </c>
      <c r="W963" s="11" t="str">
        <f>IF(OR(履歴データ!$A$963="",履歴データ!$A$962=""),"",-40000*N963)</f>
        <v/>
      </c>
      <c r="X963" s="11" t="str">
        <f>IF(OR(履歴データ!$A$963="",履歴データ!$A$962=""),"",120*1000000*(-Q963/H962))</f>
        <v/>
      </c>
      <c r="Y963" s="11" t="str">
        <f>IF(OR(履歴データ!$A$963="",履歴データ!$A$962=""),"",40000*(-S963)+(-506.3)*R963*1000)</f>
        <v/>
      </c>
      <c r="Z963" s="11" t="str">
        <f>IF(OR(履歴データ!$A$963="",履歴データ!$A$962=""),"",-40000*O963)</f>
        <v/>
      </c>
      <c r="AA963" s="11" t="str">
        <f>IF(OR(履歴データ!$A$963="",履歴データ!$A$962=""),"",-40000*P963)</f>
        <v/>
      </c>
      <c r="AB963" s="11" t="str">
        <f>IF(履歴データ!$A$963="","",123.3)</f>
        <v/>
      </c>
      <c r="AC963" t="str">
        <f>IF(履歴データ!$A$963="","",SUM(T963:AA963))</f>
        <v/>
      </c>
      <c r="AD963" s="29" t="str">
        <f>IF(履歴データ!$A$963="","",AC963/1000000)</f>
        <v/>
      </c>
      <c r="AE963" s="29">
        <f>IF(履歴データ!$A$963="",AE962,AE962+AC963/1000000)</f>
        <v>70.844544225831427</v>
      </c>
      <c r="AF963" s="12" t="str">
        <f>IF(OR(履歴データ!$A$963="",AE962=0),"",(AE963-AE962)/AE962)</f>
        <v/>
      </c>
      <c r="AG963" s="29">
        <f t="shared" ref="AG963:AG1026" si="45">MAX(AG962,AE963)</f>
        <v>102.17217746631495</v>
      </c>
      <c r="AH963" s="12" t="str">
        <f>IF(OR(履歴データ!$A$963="",AG963=0),"",AE963/AG963-1)</f>
        <v/>
      </c>
    </row>
    <row r="964" spans="1:34">
      <c r="A964" s="10" t="str">
        <f>IF(履歴データ!$A$964="","",履歴データ!$A$964)</f>
        <v/>
      </c>
      <c r="B964" s="28" t="str">
        <f>IF(履歴データ!$A$964="","",(履歴データ!$D$964-(履歴データ!$B$964+履歴データ!$F$964)/2)*100)</f>
        <v/>
      </c>
      <c r="C964" s="28" t="str">
        <f>IF(履歴データ!$A$964="","",(履歴データ!$H$964-(履歴データ!$G$964+履歴データ!$J$964)/2)*100)</f>
        <v/>
      </c>
      <c r="D964" s="28" t="str">
        <f>IF(履歴データ!$A$964="","",(履歴データ!$D$964-履歴データ!$H$964)*100)</f>
        <v/>
      </c>
      <c r="E964" s="28" t="str">
        <f>IF(履歴データ!$A$964="","",(履歴データ!$D$964-履歴データ!$C$964)*100)</f>
        <v/>
      </c>
      <c r="F964" s="28" t="str">
        <f>IF(履歴データ!$A$964="","",(履歴データ!$R$964-履歴データ!$D$964)*100)</f>
        <v/>
      </c>
      <c r="G964" s="28" t="str">
        <f>IF(履歴データ!$A$964="","",(履歴データ!$S$964-履歴データ!$R$964)*100)</f>
        <v/>
      </c>
      <c r="H964" s="29" t="str">
        <f>IF(履歴データ!$A$964="","",履歴データ!$O$964)</f>
        <v/>
      </c>
      <c r="I964" s="29" t="str">
        <f>IF(履歴データ!$A$964="","",履歴データ!$Q$964)</f>
        <v/>
      </c>
      <c r="J964" s="29" t="str">
        <f>IF(履歴データ!$A$964="","",履歴データ!$D$964)</f>
        <v/>
      </c>
      <c r="K964" s="28" t="str">
        <f>IF(OR(履歴データ!$A$964="",履歴データ!$A$963=""),"",B964-B963)</f>
        <v/>
      </c>
      <c r="L964" s="28" t="str">
        <f>IF(OR(履歴データ!$A$964="",履歴データ!$A$963=""),"",C964-C963)</f>
        <v/>
      </c>
      <c r="M964" s="28" t="str">
        <f>IF(OR(履歴データ!$A$964="",履歴データ!$A$963=""),"",D964-D963)</f>
        <v/>
      </c>
      <c r="N964" s="28" t="str">
        <f>IF(OR(履歴データ!$A$964="",履歴データ!$A$963=""),"",E964-E963)</f>
        <v/>
      </c>
      <c r="O964" s="28" t="str">
        <f>IF(OR(履歴データ!$A$964="",履歴データ!$A$963=""),"",F964-F963)</f>
        <v/>
      </c>
      <c r="P964" s="28" t="str">
        <f>IF(OR(履歴データ!$A$964="",履歴データ!$A$963=""),"",G964-G963)</f>
        <v/>
      </c>
      <c r="Q964" s="29" t="str">
        <f>IF(OR(履歴データ!$A$964="",履歴データ!$A$963=""),"",H964-H963)</f>
        <v/>
      </c>
      <c r="R964" s="29" t="str">
        <f>IF(OR(履歴データ!$A$964="",履歴データ!$A$963=""),"",I964-I963)</f>
        <v/>
      </c>
      <c r="S964" s="28" t="str">
        <f>IF(OR(履歴データ!$A$964="",履歴データ!$A$963=""),"",(J964-J963)*100)</f>
        <v/>
      </c>
      <c r="T964" s="11" t="str">
        <f>IF(OR(履歴データ!$A$964="",履歴データ!$A$963=""),"",-80000*K964)</f>
        <v/>
      </c>
      <c r="U964" s="11" t="str">
        <f>IF(OR(履歴データ!$A$964="",履歴データ!$A$963=""),"",60000*L964)</f>
        <v/>
      </c>
      <c r="V964" s="11" t="str">
        <f>IF(OR(履歴データ!$A$964="",履歴データ!$A$963=""),"",-50000*M964)</f>
        <v/>
      </c>
      <c r="W964" s="11" t="str">
        <f>IF(OR(履歴データ!$A$964="",履歴データ!$A$963=""),"",-40000*N964)</f>
        <v/>
      </c>
      <c r="X964" s="11" t="str">
        <f>IF(OR(履歴データ!$A$964="",履歴データ!$A$963=""),"",120*1000000*(-Q964/H963))</f>
        <v/>
      </c>
      <c r="Y964" s="11" t="str">
        <f>IF(OR(履歴データ!$A$964="",履歴データ!$A$963=""),"",40000*(-S964)+(-506.3)*R964*1000)</f>
        <v/>
      </c>
      <c r="Z964" s="11" t="str">
        <f>IF(OR(履歴データ!$A$964="",履歴データ!$A$963=""),"",-40000*O964)</f>
        <v/>
      </c>
      <c r="AA964" s="11" t="str">
        <f>IF(OR(履歴データ!$A$964="",履歴データ!$A$963=""),"",-40000*P964)</f>
        <v/>
      </c>
      <c r="AB964" s="11" t="str">
        <f>IF(履歴データ!$A$964="","",123.3)</f>
        <v/>
      </c>
      <c r="AC964" t="str">
        <f>IF(履歴データ!$A$964="","",SUM(T964:AA964))</f>
        <v/>
      </c>
      <c r="AD964" s="29" t="str">
        <f>IF(履歴データ!$A$964="","",AC964/1000000)</f>
        <v/>
      </c>
      <c r="AE964" s="29">
        <f>IF(履歴データ!$A$964="",AE963,AE963+AC964/1000000)</f>
        <v>70.844544225831427</v>
      </c>
      <c r="AF964" s="12" t="str">
        <f>IF(OR(履歴データ!$A$964="",AE963=0),"",(AE964-AE963)/AE963)</f>
        <v/>
      </c>
      <c r="AG964" s="29">
        <f t="shared" si="45"/>
        <v>102.17217746631495</v>
      </c>
      <c r="AH964" s="12" t="str">
        <f>IF(OR(履歴データ!$A$964="",AG964=0),"",AE964/AG964-1)</f>
        <v/>
      </c>
    </row>
    <row r="965" spans="1:34">
      <c r="A965" s="10" t="str">
        <f>IF(履歴データ!$A$965="","",履歴データ!$A$965)</f>
        <v/>
      </c>
      <c r="B965" s="28" t="str">
        <f>IF(履歴データ!$A$965="","",(履歴データ!$D$965-(履歴データ!$B$965+履歴データ!$F$965)/2)*100)</f>
        <v/>
      </c>
      <c r="C965" s="28" t="str">
        <f>IF(履歴データ!$A$965="","",(履歴データ!$H$965-(履歴データ!$G$965+履歴データ!$J$965)/2)*100)</f>
        <v/>
      </c>
      <c r="D965" s="28" t="str">
        <f>IF(履歴データ!$A$965="","",(履歴データ!$D$965-履歴データ!$H$965)*100)</f>
        <v/>
      </c>
      <c r="E965" s="28" t="str">
        <f>IF(履歴データ!$A$965="","",(履歴データ!$D$965-履歴データ!$C$965)*100)</f>
        <v/>
      </c>
      <c r="F965" s="28" t="str">
        <f>IF(履歴データ!$A$965="","",(履歴データ!$R$965-履歴データ!$D$965)*100)</f>
        <v/>
      </c>
      <c r="G965" s="28" t="str">
        <f>IF(履歴データ!$A$965="","",(履歴データ!$S$965-履歴データ!$R$965)*100)</f>
        <v/>
      </c>
      <c r="H965" s="29" t="str">
        <f>IF(履歴データ!$A$965="","",履歴データ!$O$965)</f>
        <v/>
      </c>
      <c r="I965" s="29" t="str">
        <f>IF(履歴データ!$A$965="","",履歴データ!$Q$965)</f>
        <v/>
      </c>
      <c r="J965" s="29" t="str">
        <f>IF(履歴データ!$A$965="","",履歴データ!$D$965)</f>
        <v/>
      </c>
      <c r="K965" s="28" t="str">
        <f>IF(OR(履歴データ!$A$965="",履歴データ!$A$964=""),"",B965-B964)</f>
        <v/>
      </c>
      <c r="L965" s="28" t="str">
        <f>IF(OR(履歴データ!$A$965="",履歴データ!$A$964=""),"",C965-C964)</f>
        <v/>
      </c>
      <c r="M965" s="28" t="str">
        <f>IF(OR(履歴データ!$A$965="",履歴データ!$A$964=""),"",D965-D964)</f>
        <v/>
      </c>
      <c r="N965" s="28" t="str">
        <f>IF(OR(履歴データ!$A$965="",履歴データ!$A$964=""),"",E965-E964)</f>
        <v/>
      </c>
      <c r="O965" s="28" t="str">
        <f>IF(OR(履歴データ!$A$965="",履歴データ!$A$964=""),"",F965-F964)</f>
        <v/>
      </c>
      <c r="P965" s="28" t="str">
        <f>IF(OR(履歴データ!$A$965="",履歴データ!$A$964=""),"",G965-G964)</f>
        <v/>
      </c>
      <c r="Q965" s="29" t="str">
        <f>IF(OR(履歴データ!$A$965="",履歴データ!$A$964=""),"",H965-H964)</f>
        <v/>
      </c>
      <c r="R965" s="29" t="str">
        <f>IF(OR(履歴データ!$A$965="",履歴データ!$A$964=""),"",I965-I964)</f>
        <v/>
      </c>
      <c r="S965" s="28" t="str">
        <f>IF(OR(履歴データ!$A$965="",履歴データ!$A$964=""),"",(J965-J964)*100)</f>
        <v/>
      </c>
      <c r="T965" s="11" t="str">
        <f>IF(OR(履歴データ!$A$965="",履歴データ!$A$964=""),"",-80000*K965)</f>
        <v/>
      </c>
      <c r="U965" s="11" t="str">
        <f>IF(OR(履歴データ!$A$965="",履歴データ!$A$964=""),"",60000*L965)</f>
        <v/>
      </c>
      <c r="V965" s="11" t="str">
        <f>IF(OR(履歴データ!$A$965="",履歴データ!$A$964=""),"",-50000*M965)</f>
        <v/>
      </c>
      <c r="W965" s="11" t="str">
        <f>IF(OR(履歴データ!$A$965="",履歴データ!$A$964=""),"",-40000*N965)</f>
        <v/>
      </c>
      <c r="X965" s="11" t="str">
        <f>IF(OR(履歴データ!$A$965="",履歴データ!$A$964=""),"",120*1000000*(-Q965/H964))</f>
        <v/>
      </c>
      <c r="Y965" s="11" t="str">
        <f>IF(OR(履歴データ!$A$965="",履歴データ!$A$964=""),"",40000*(-S965)+(-506.3)*R965*1000)</f>
        <v/>
      </c>
      <c r="Z965" s="11" t="str">
        <f>IF(OR(履歴データ!$A$965="",履歴データ!$A$964=""),"",-40000*O965)</f>
        <v/>
      </c>
      <c r="AA965" s="11" t="str">
        <f>IF(OR(履歴データ!$A$965="",履歴データ!$A$964=""),"",-40000*P965)</f>
        <v/>
      </c>
      <c r="AB965" s="11" t="str">
        <f>IF(履歴データ!$A$965="","",123.3)</f>
        <v/>
      </c>
      <c r="AC965" t="str">
        <f>IF(履歴データ!$A$965="","",SUM(T965:AA965))</f>
        <v/>
      </c>
      <c r="AD965" s="29" t="str">
        <f>IF(履歴データ!$A$965="","",AC965/1000000)</f>
        <v/>
      </c>
      <c r="AE965" s="29">
        <f>IF(履歴データ!$A$965="",AE964,AE964+AC965/1000000)</f>
        <v>70.844544225831427</v>
      </c>
      <c r="AF965" s="12" t="str">
        <f>IF(OR(履歴データ!$A$965="",AE964=0),"",(AE965-AE964)/AE964)</f>
        <v/>
      </c>
      <c r="AG965" s="29">
        <f t="shared" si="45"/>
        <v>102.17217746631495</v>
      </c>
      <c r="AH965" s="12" t="str">
        <f>IF(OR(履歴データ!$A$965="",AG965=0),"",AE965/AG965-1)</f>
        <v/>
      </c>
    </row>
    <row r="966" spans="1:34">
      <c r="A966" s="10" t="str">
        <f>IF(履歴データ!$A$966="","",履歴データ!$A$966)</f>
        <v/>
      </c>
      <c r="B966" s="28" t="str">
        <f>IF(履歴データ!$A$966="","",(履歴データ!$D$966-(履歴データ!$B$966+履歴データ!$F$966)/2)*100)</f>
        <v/>
      </c>
      <c r="C966" s="28" t="str">
        <f>IF(履歴データ!$A$966="","",(履歴データ!$H$966-(履歴データ!$G$966+履歴データ!$J$966)/2)*100)</f>
        <v/>
      </c>
      <c r="D966" s="28" t="str">
        <f>IF(履歴データ!$A$966="","",(履歴データ!$D$966-履歴データ!$H$966)*100)</f>
        <v/>
      </c>
      <c r="E966" s="28" t="str">
        <f>IF(履歴データ!$A$966="","",(履歴データ!$D$966-履歴データ!$C$966)*100)</f>
        <v/>
      </c>
      <c r="F966" s="28" t="str">
        <f>IF(履歴データ!$A$966="","",(履歴データ!$R$966-履歴データ!$D$966)*100)</f>
        <v/>
      </c>
      <c r="G966" s="28" t="str">
        <f>IF(履歴データ!$A$966="","",(履歴データ!$S$966-履歴データ!$R$966)*100)</f>
        <v/>
      </c>
      <c r="H966" s="29" t="str">
        <f>IF(履歴データ!$A$966="","",履歴データ!$O$966)</f>
        <v/>
      </c>
      <c r="I966" s="29" t="str">
        <f>IF(履歴データ!$A$966="","",履歴データ!$Q$966)</f>
        <v/>
      </c>
      <c r="J966" s="29" t="str">
        <f>IF(履歴データ!$A$966="","",履歴データ!$D$966)</f>
        <v/>
      </c>
      <c r="K966" s="28" t="str">
        <f>IF(OR(履歴データ!$A$966="",履歴データ!$A$965=""),"",B966-B965)</f>
        <v/>
      </c>
      <c r="L966" s="28" t="str">
        <f>IF(OR(履歴データ!$A$966="",履歴データ!$A$965=""),"",C966-C965)</f>
        <v/>
      </c>
      <c r="M966" s="28" t="str">
        <f>IF(OR(履歴データ!$A$966="",履歴データ!$A$965=""),"",D966-D965)</f>
        <v/>
      </c>
      <c r="N966" s="28" t="str">
        <f>IF(OR(履歴データ!$A$966="",履歴データ!$A$965=""),"",E966-E965)</f>
        <v/>
      </c>
      <c r="O966" s="28" t="str">
        <f>IF(OR(履歴データ!$A$966="",履歴データ!$A$965=""),"",F966-F965)</f>
        <v/>
      </c>
      <c r="P966" s="28" t="str">
        <f>IF(OR(履歴データ!$A$966="",履歴データ!$A$965=""),"",G966-G965)</f>
        <v/>
      </c>
      <c r="Q966" s="29" t="str">
        <f>IF(OR(履歴データ!$A$966="",履歴データ!$A$965=""),"",H966-H965)</f>
        <v/>
      </c>
      <c r="R966" s="29" t="str">
        <f>IF(OR(履歴データ!$A$966="",履歴データ!$A$965=""),"",I966-I965)</f>
        <v/>
      </c>
      <c r="S966" s="28" t="str">
        <f>IF(OR(履歴データ!$A$966="",履歴データ!$A$965=""),"",(J966-J965)*100)</f>
        <v/>
      </c>
      <c r="T966" s="11" t="str">
        <f>IF(OR(履歴データ!$A$966="",履歴データ!$A$965=""),"",-80000*K966)</f>
        <v/>
      </c>
      <c r="U966" s="11" t="str">
        <f>IF(OR(履歴データ!$A$966="",履歴データ!$A$965=""),"",60000*L966)</f>
        <v/>
      </c>
      <c r="V966" s="11" t="str">
        <f>IF(OR(履歴データ!$A$966="",履歴データ!$A$965=""),"",-50000*M966)</f>
        <v/>
      </c>
      <c r="W966" s="11" t="str">
        <f>IF(OR(履歴データ!$A$966="",履歴データ!$A$965=""),"",-40000*N966)</f>
        <v/>
      </c>
      <c r="X966" s="11" t="str">
        <f>IF(OR(履歴データ!$A$966="",履歴データ!$A$965=""),"",120*1000000*(-Q966/H965))</f>
        <v/>
      </c>
      <c r="Y966" s="11" t="str">
        <f>IF(OR(履歴データ!$A$966="",履歴データ!$A$965=""),"",40000*(-S966)+(-506.3)*R966*1000)</f>
        <v/>
      </c>
      <c r="Z966" s="11" t="str">
        <f>IF(OR(履歴データ!$A$966="",履歴データ!$A$965=""),"",-40000*O966)</f>
        <v/>
      </c>
      <c r="AA966" s="11" t="str">
        <f>IF(OR(履歴データ!$A$966="",履歴データ!$A$965=""),"",-40000*P966)</f>
        <v/>
      </c>
      <c r="AB966" s="11" t="str">
        <f>IF(履歴データ!$A$966="","",123.3)</f>
        <v/>
      </c>
      <c r="AC966" t="str">
        <f>IF(履歴データ!$A$966="","",SUM(T966:AA966))</f>
        <v/>
      </c>
      <c r="AD966" s="29" t="str">
        <f>IF(履歴データ!$A$966="","",AC966/1000000)</f>
        <v/>
      </c>
      <c r="AE966" s="29">
        <f>IF(履歴データ!$A$966="",AE965,AE965+AC966/1000000)</f>
        <v>70.844544225831427</v>
      </c>
      <c r="AF966" s="12" t="str">
        <f>IF(OR(履歴データ!$A$966="",AE965=0),"",(AE966-AE965)/AE965)</f>
        <v/>
      </c>
      <c r="AG966" s="29">
        <f t="shared" si="45"/>
        <v>102.17217746631495</v>
      </c>
      <c r="AH966" s="12" t="str">
        <f>IF(OR(履歴データ!$A$966="",AG966=0),"",AE966/AG966-1)</f>
        <v/>
      </c>
    </row>
    <row r="967" spans="1:34">
      <c r="A967" s="10" t="str">
        <f>IF(履歴データ!$A$967="","",履歴データ!$A$967)</f>
        <v/>
      </c>
      <c r="B967" s="28" t="str">
        <f>IF(履歴データ!$A$967="","",(履歴データ!$D$967-(履歴データ!$B$967+履歴データ!$F$967)/2)*100)</f>
        <v/>
      </c>
      <c r="C967" s="28" t="str">
        <f>IF(履歴データ!$A$967="","",(履歴データ!$H$967-(履歴データ!$G$967+履歴データ!$J$967)/2)*100)</f>
        <v/>
      </c>
      <c r="D967" s="28" t="str">
        <f>IF(履歴データ!$A$967="","",(履歴データ!$D$967-履歴データ!$H$967)*100)</f>
        <v/>
      </c>
      <c r="E967" s="28" t="str">
        <f>IF(履歴データ!$A$967="","",(履歴データ!$D$967-履歴データ!$C$967)*100)</f>
        <v/>
      </c>
      <c r="F967" s="28" t="str">
        <f>IF(履歴データ!$A$967="","",(履歴データ!$R$967-履歴データ!$D$967)*100)</f>
        <v/>
      </c>
      <c r="G967" s="28" t="str">
        <f>IF(履歴データ!$A$967="","",(履歴データ!$S$967-履歴データ!$R$967)*100)</f>
        <v/>
      </c>
      <c r="H967" s="29" t="str">
        <f>IF(履歴データ!$A$967="","",履歴データ!$O$967)</f>
        <v/>
      </c>
      <c r="I967" s="29" t="str">
        <f>IF(履歴データ!$A$967="","",履歴データ!$Q$967)</f>
        <v/>
      </c>
      <c r="J967" s="29" t="str">
        <f>IF(履歴データ!$A$967="","",履歴データ!$D$967)</f>
        <v/>
      </c>
      <c r="K967" s="28" t="str">
        <f>IF(OR(履歴データ!$A$967="",履歴データ!$A$966=""),"",B967-B966)</f>
        <v/>
      </c>
      <c r="L967" s="28" t="str">
        <f>IF(OR(履歴データ!$A$967="",履歴データ!$A$966=""),"",C967-C966)</f>
        <v/>
      </c>
      <c r="M967" s="28" t="str">
        <f>IF(OR(履歴データ!$A$967="",履歴データ!$A$966=""),"",D967-D966)</f>
        <v/>
      </c>
      <c r="N967" s="28" t="str">
        <f>IF(OR(履歴データ!$A$967="",履歴データ!$A$966=""),"",E967-E966)</f>
        <v/>
      </c>
      <c r="O967" s="28" t="str">
        <f>IF(OR(履歴データ!$A$967="",履歴データ!$A$966=""),"",F967-F966)</f>
        <v/>
      </c>
      <c r="P967" s="28" t="str">
        <f>IF(OR(履歴データ!$A$967="",履歴データ!$A$966=""),"",G967-G966)</f>
        <v/>
      </c>
      <c r="Q967" s="29" t="str">
        <f>IF(OR(履歴データ!$A$967="",履歴データ!$A$966=""),"",H967-H966)</f>
        <v/>
      </c>
      <c r="R967" s="29" t="str">
        <f>IF(OR(履歴データ!$A$967="",履歴データ!$A$966=""),"",I967-I966)</f>
        <v/>
      </c>
      <c r="S967" s="28" t="str">
        <f>IF(OR(履歴データ!$A$967="",履歴データ!$A$966=""),"",(J967-J966)*100)</f>
        <v/>
      </c>
      <c r="T967" s="11" t="str">
        <f>IF(OR(履歴データ!$A$967="",履歴データ!$A$966=""),"",-80000*K967)</f>
        <v/>
      </c>
      <c r="U967" s="11" t="str">
        <f>IF(OR(履歴データ!$A$967="",履歴データ!$A$966=""),"",60000*L967)</f>
        <v/>
      </c>
      <c r="V967" s="11" t="str">
        <f>IF(OR(履歴データ!$A$967="",履歴データ!$A$966=""),"",-50000*M967)</f>
        <v/>
      </c>
      <c r="W967" s="11" t="str">
        <f>IF(OR(履歴データ!$A$967="",履歴データ!$A$966=""),"",-40000*N967)</f>
        <v/>
      </c>
      <c r="X967" s="11" t="str">
        <f>IF(OR(履歴データ!$A$967="",履歴データ!$A$966=""),"",120*1000000*(-Q967/H966))</f>
        <v/>
      </c>
      <c r="Y967" s="11" t="str">
        <f>IF(OR(履歴データ!$A$967="",履歴データ!$A$966=""),"",40000*(-S967)+(-506.3)*R967*1000)</f>
        <v/>
      </c>
      <c r="Z967" s="11" t="str">
        <f>IF(OR(履歴データ!$A$967="",履歴データ!$A$966=""),"",-40000*O967)</f>
        <v/>
      </c>
      <c r="AA967" s="11" t="str">
        <f>IF(OR(履歴データ!$A$967="",履歴データ!$A$966=""),"",-40000*P967)</f>
        <v/>
      </c>
      <c r="AB967" s="11" t="str">
        <f>IF(履歴データ!$A$967="","",123.3)</f>
        <v/>
      </c>
      <c r="AC967" t="str">
        <f>IF(履歴データ!$A$967="","",SUM(T967:AA967))</f>
        <v/>
      </c>
      <c r="AD967" s="29" t="str">
        <f>IF(履歴データ!$A$967="","",AC967/1000000)</f>
        <v/>
      </c>
      <c r="AE967" s="29">
        <f>IF(履歴データ!$A$967="",AE966,AE966+AC967/1000000)</f>
        <v>70.844544225831427</v>
      </c>
      <c r="AF967" s="12" t="str">
        <f>IF(OR(履歴データ!$A$967="",AE966=0),"",(AE967-AE966)/AE966)</f>
        <v/>
      </c>
      <c r="AG967" s="29">
        <f t="shared" si="45"/>
        <v>102.17217746631495</v>
      </c>
      <c r="AH967" s="12" t="str">
        <f>IF(OR(履歴データ!$A$967="",AG967=0),"",AE967/AG967-1)</f>
        <v/>
      </c>
    </row>
    <row r="968" spans="1:34">
      <c r="A968" s="10" t="str">
        <f>IF(履歴データ!$A$968="","",履歴データ!$A$968)</f>
        <v/>
      </c>
      <c r="B968" s="28" t="str">
        <f>IF(履歴データ!$A$968="","",(履歴データ!$D$968-(履歴データ!$B$968+履歴データ!$F$968)/2)*100)</f>
        <v/>
      </c>
      <c r="C968" s="28" t="str">
        <f>IF(履歴データ!$A$968="","",(履歴データ!$H$968-(履歴データ!$G$968+履歴データ!$J$968)/2)*100)</f>
        <v/>
      </c>
      <c r="D968" s="28" t="str">
        <f>IF(履歴データ!$A$968="","",(履歴データ!$D$968-履歴データ!$H$968)*100)</f>
        <v/>
      </c>
      <c r="E968" s="28" t="str">
        <f>IF(履歴データ!$A$968="","",(履歴データ!$D$968-履歴データ!$C$968)*100)</f>
        <v/>
      </c>
      <c r="F968" s="28" t="str">
        <f>IF(履歴データ!$A$968="","",(履歴データ!$R$968-履歴データ!$D$968)*100)</f>
        <v/>
      </c>
      <c r="G968" s="28" t="str">
        <f>IF(履歴データ!$A$968="","",(履歴データ!$S$968-履歴データ!$R$968)*100)</f>
        <v/>
      </c>
      <c r="H968" s="29" t="str">
        <f>IF(履歴データ!$A$968="","",履歴データ!$O$968)</f>
        <v/>
      </c>
      <c r="I968" s="29" t="str">
        <f>IF(履歴データ!$A$968="","",履歴データ!$Q$968)</f>
        <v/>
      </c>
      <c r="J968" s="29" t="str">
        <f>IF(履歴データ!$A$968="","",履歴データ!$D$968)</f>
        <v/>
      </c>
      <c r="K968" s="28" t="str">
        <f>IF(OR(履歴データ!$A$968="",履歴データ!$A$967=""),"",B968-B967)</f>
        <v/>
      </c>
      <c r="L968" s="28" t="str">
        <f>IF(OR(履歴データ!$A$968="",履歴データ!$A$967=""),"",C968-C967)</f>
        <v/>
      </c>
      <c r="M968" s="28" t="str">
        <f>IF(OR(履歴データ!$A$968="",履歴データ!$A$967=""),"",D968-D967)</f>
        <v/>
      </c>
      <c r="N968" s="28" t="str">
        <f>IF(OR(履歴データ!$A$968="",履歴データ!$A$967=""),"",E968-E967)</f>
        <v/>
      </c>
      <c r="O968" s="28" t="str">
        <f>IF(OR(履歴データ!$A$968="",履歴データ!$A$967=""),"",F968-F967)</f>
        <v/>
      </c>
      <c r="P968" s="28" t="str">
        <f>IF(OR(履歴データ!$A$968="",履歴データ!$A$967=""),"",G968-G967)</f>
        <v/>
      </c>
      <c r="Q968" s="29" t="str">
        <f>IF(OR(履歴データ!$A$968="",履歴データ!$A$967=""),"",H968-H967)</f>
        <v/>
      </c>
      <c r="R968" s="29" t="str">
        <f>IF(OR(履歴データ!$A$968="",履歴データ!$A$967=""),"",I968-I967)</f>
        <v/>
      </c>
      <c r="S968" s="28" t="str">
        <f>IF(OR(履歴データ!$A$968="",履歴データ!$A$967=""),"",(J968-J967)*100)</f>
        <v/>
      </c>
      <c r="T968" s="11" t="str">
        <f>IF(OR(履歴データ!$A$968="",履歴データ!$A$967=""),"",-80000*K968)</f>
        <v/>
      </c>
      <c r="U968" s="11" t="str">
        <f>IF(OR(履歴データ!$A$968="",履歴データ!$A$967=""),"",60000*L968)</f>
        <v/>
      </c>
      <c r="V968" s="11" t="str">
        <f>IF(OR(履歴データ!$A$968="",履歴データ!$A$967=""),"",-50000*M968)</f>
        <v/>
      </c>
      <c r="W968" s="11" t="str">
        <f>IF(OR(履歴データ!$A$968="",履歴データ!$A$967=""),"",-40000*N968)</f>
        <v/>
      </c>
      <c r="X968" s="11" t="str">
        <f>IF(OR(履歴データ!$A$968="",履歴データ!$A$967=""),"",120*1000000*(-Q968/H967))</f>
        <v/>
      </c>
      <c r="Y968" s="11" t="str">
        <f>IF(OR(履歴データ!$A$968="",履歴データ!$A$967=""),"",40000*(-S968)+(-506.3)*R968*1000)</f>
        <v/>
      </c>
      <c r="Z968" s="11" t="str">
        <f>IF(OR(履歴データ!$A$968="",履歴データ!$A$967=""),"",-40000*O968)</f>
        <v/>
      </c>
      <c r="AA968" s="11" t="str">
        <f>IF(OR(履歴データ!$A$968="",履歴データ!$A$967=""),"",-40000*P968)</f>
        <v/>
      </c>
      <c r="AB968" s="11" t="str">
        <f>IF(履歴データ!$A$968="","",123.3)</f>
        <v/>
      </c>
      <c r="AC968" t="str">
        <f>IF(履歴データ!$A$968="","",SUM(T968:AA968))</f>
        <v/>
      </c>
      <c r="AD968" s="29" t="str">
        <f>IF(履歴データ!$A$968="","",AC968/1000000)</f>
        <v/>
      </c>
      <c r="AE968" s="29">
        <f>IF(履歴データ!$A$968="",AE967,AE967+AC968/1000000)</f>
        <v>70.844544225831427</v>
      </c>
      <c r="AF968" s="12" t="str">
        <f>IF(OR(履歴データ!$A$968="",AE967=0),"",(AE968-AE967)/AE967)</f>
        <v/>
      </c>
      <c r="AG968" s="29">
        <f t="shared" si="45"/>
        <v>102.17217746631495</v>
      </c>
      <c r="AH968" s="12" t="str">
        <f>IF(OR(履歴データ!$A$968="",AG968=0),"",AE968/AG968-1)</f>
        <v/>
      </c>
    </row>
    <row r="969" spans="1:34">
      <c r="A969" s="10" t="str">
        <f>IF(履歴データ!$A$969="","",履歴データ!$A$969)</f>
        <v/>
      </c>
      <c r="B969" s="28" t="str">
        <f>IF(履歴データ!$A$969="","",(履歴データ!$D$969-(履歴データ!$B$969+履歴データ!$F$969)/2)*100)</f>
        <v/>
      </c>
      <c r="C969" s="28" t="str">
        <f>IF(履歴データ!$A$969="","",(履歴データ!$H$969-(履歴データ!$G$969+履歴データ!$J$969)/2)*100)</f>
        <v/>
      </c>
      <c r="D969" s="28" t="str">
        <f>IF(履歴データ!$A$969="","",(履歴データ!$D$969-履歴データ!$H$969)*100)</f>
        <v/>
      </c>
      <c r="E969" s="28" t="str">
        <f>IF(履歴データ!$A$969="","",(履歴データ!$D$969-履歴データ!$C$969)*100)</f>
        <v/>
      </c>
      <c r="F969" s="28" t="str">
        <f>IF(履歴データ!$A$969="","",(履歴データ!$R$969-履歴データ!$D$969)*100)</f>
        <v/>
      </c>
      <c r="G969" s="28" t="str">
        <f>IF(履歴データ!$A$969="","",(履歴データ!$S$969-履歴データ!$R$969)*100)</f>
        <v/>
      </c>
      <c r="H969" s="29" t="str">
        <f>IF(履歴データ!$A$969="","",履歴データ!$O$969)</f>
        <v/>
      </c>
      <c r="I969" s="29" t="str">
        <f>IF(履歴データ!$A$969="","",履歴データ!$Q$969)</f>
        <v/>
      </c>
      <c r="J969" s="29" t="str">
        <f>IF(履歴データ!$A$969="","",履歴データ!$D$969)</f>
        <v/>
      </c>
      <c r="K969" s="28" t="str">
        <f>IF(OR(履歴データ!$A$969="",履歴データ!$A$968=""),"",B969-B968)</f>
        <v/>
      </c>
      <c r="L969" s="28" t="str">
        <f>IF(OR(履歴データ!$A$969="",履歴データ!$A$968=""),"",C969-C968)</f>
        <v/>
      </c>
      <c r="M969" s="28" t="str">
        <f>IF(OR(履歴データ!$A$969="",履歴データ!$A$968=""),"",D969-D968)</f>
        <v/>
      </c>
      <c r="N969" s="28" t="str">
        <f>IF(OR(履歴データ!$A$969="",履歴データ!$A$968=""),"",E969-E968)</f>
        <v/>
      </c>
      <c r="O969" s="28" t="str">
        <f>IF(OR(履歴データ!$A$969="",履歴データ!$A$968=""),"",F969-F968)</f>
        <v/>
      </c>
      <c r="P969" s="28" t="str">
        <f>IF(OR(履歴データ!$A$969="",履歴データ!$A$968=""),"",G969-G968)</f>
        <v/>
      </c>
      <c r="Q969" s="29" t="str">
        <f>IF(OR(履歴データ!$A$969="",履歴データ!$A$968=""),"",H969-H968)</f>
        <v/>
      </c>
      <c r="R969" s="29" t="str">
        <f>IF(OR(履歴データ!$A$969="",履歴データ!$A$968=""),"",I969-I968)</f>
        <v/>
      </c>
      <c r="S969" s="28" t="str">
        <f>IF(OR(履歴データ!$A$969="",履歴データ!$A$968=""),"",(J969-J968)*100)</f>
        <v/>
      </c>
      <c r="T969" s="11" t="str">
        <f>IF(OR(履歴データ!$A$969="",履歴データ!$A$968=""),"",-80000*K969)</f>
        <v/>
      </c>
      <c r="U969" s="11" t="str">
        <f>IF(OR(履歴データ!$A$969="",履歴データ!$A$968=""),"",60000*L969)</f>
        <v/>
      </c>
      <c r="V969" s="11" t="str">
        <f>IF(OR(履歴データ!$A$969="",履歴データ!$A$968=""),"",-50000*M969)</f>
        <v/>
      </c>
      <c r="W969" s="11" t="str">
        <f>IF(OR(履歴データ!$A$969="",履歴データ!$A$968=""),"",-40000*N969)</f>
        <v/>
      </c>
      <c r="X969" s="11" t="str">
        <f>IF(OR(履歴データ!$A$969="",履歴データ!$A$968=""),"",120*1000000*(-Q969/H968))</f>
        <v/>
      </c>
      <c r="Y969" s="11" t="str">
        <f>IF(OR(履歴データ!$A$969="",履歴データ!$A$968=""),"",40000*(-S969)+(-506.3)*R969*1000)</f>
        <v/>
      </c>
      <c r="Z969" s="11" t="str">
        <f>IF(OR(履歴データ!$A$969="",履歴データ!$A$968=""),"",-40000*O969)</f>
        <v/>
      </c>
      <c r="AA969" s="11" t="str">
        <f>IF(OR(履歴データ!$A$969="",履歴データ!$A$968=""),"",-40000*P969)</f>
        <v/>
      </c>
      <c r="AB969" s="11" t="str">
        <f>IF(履歴データ!$A$969="","",123.3)</f>
        <v/>
      </c>
      <c r="AC969" t="str">
        <f>IF(履歴データ!$A$969="","",SUM(T969:AA969))</f>
        <v/>
      </c>
      <c r="AD969" s="29" t="str">
        <f>IF(履歴データ!$A$969="","",AC969/1000000)</f>
        <v/>
      </c>
      <c r="AE969" s="29">
        <f>IF(履歴データ!$A$969="",AE968,AE968+AC969/1000000)</f>
        <v>70.844544225831427</v>
      </c>
      <c r="AF969" s="12" t="str">
        <f>IF(OR(履歴データ!$A$969="",AE968=0),"",(AE969-AE968)/AE968)</f>
        <v/>
      </c>
      <c r="AG969" s="29">
        <f t="shared" si="45"/>
        <v>102.17217746631495</v>
      </c>
      <c r="AH969" s="12" t="str">
        <f>IF(OR(履歴データ!$A$969="",AG969=0),"",AE969/AG969-1)</f>
        <v/>
      </c>
    </row>
    <row r="970" spans="1:34">
      <c r="A970" s="10" t="str">
        <f>IF(履歴データ!$A$970="","",履歴データ!$A$970)</f>
        <v/>
      </c>
      <c r="B970" s="28" t="str">
        <f>IF(履歴データ!$A$970="","",(履歴データ!$D$970-(履歴データ!$B$970+履歴データ!$F$970)/2)*100)</f>
        <v/>
      </c>
      <c r="C970" s="28" t="str">
        <f>IF(履歴データ!$A$970="","",(履歴データ!$H$970-(履歴データ!$G$970+履歴データ!$J$970)/2)*100)</f>
        <v/>
      </c>
      <c r="D970" s="28" t="str">
        <f>IF(履歴データ!$A$970="","",(履歴データ!$D$970-履歴データ!$H$970)*100)</f>
        <v/>
      </c>
      <c r="E970" s="28" t="str">
        <f>IF(履歴データ!$A$970="","",(履歴データ!$D$970-履歴データ!$C$970)*100)</f>
        <v/>
      </c>
      <c r="F970" s="28" t="str">
        <f>IF(履歴データ!$A$970="","",(履歴データ!$R$970-履歴データ!$D$970)*100)</f>
        <v/>
      </c>
      <c r="G970" s="28" t="str">
        <f>IF(履歴データ!$A$970="","",(履歴データ!$S$970-履歴データ!$R$970)*100)</f>
        <v/>
      </c>
      <c r="H970" s="29" t="str">
        <f>IF(履歴データ!$A$970="","",履歴データ!$O$970)</f>
        <v/>
      </c>
      <c r="I970" s="29" t="str">
        <f>IF(履歴データ!$A$970="","",履歴データ!$Q$970)</f>
        <v/>
      </c>
      <c r="J970" s="29" t="str">
        <f>IF(履歴データ!$A$970="","",履歴データ!$D$970)</f>
        <v/>
      </c>
      <c r="K970" s="28" t="str">
        <f>IF(OR(履歴データ!$A$970="",履歴データ!$A$969=""),"",B970-B969)</f>
        <v/>
      </c>
      <c r="L970" s="28" t="str">
        <f>IF(OR(履歴データ!$A$970="",履歴データ!$A$969=""),"",C970-C969)</f>
        <v/>
      </c>
      <c r="M970" s="28" t="str">
        <f>IF(OR(履歴データ!$A$970="",履歴データ!$A$969=""),"",D970-D969)</f>
        <v/>
      </c>
      <c r="N970" s="28" t="str">
        <f>IF(OR(履歴データ!$A$970="",履歴データ!$A$969=""),"",E970-E969)</f>
        <v/>
      </c>
      <c r="O970" s="28" t="str">
        <f>IF(OR(履歴データ!$A$970="",履歴データ!$A$969=""),"",F970-F969)</f>
        <v/>
      </c>
      <c r="P970" s="28" t="str">
        <f>IF(OR(履歴データ!$A$970="",履歴データ!$A$969=""),"",G970-G969)</f>
        <v/>
      </c>
      <c r="Q970" s="29" t="str">
        <f>IF(OR(履歴データ!$A$970="",履歴データ!$A$969=""),"",H970-H969)</f>
        <v/>
      </c>
      <c r="R970" s="29" t="str">
        <f>IF(OR(履歴データ!$A$970="",履歴データ!$A$969=""),"",I970-I969)</f>
        <v/>
      </c>
      <c r="S970" s="28" t="str">
        <f>IF(OR(履歴データ!$A$970="",履歴データ!$A$969=""),"",(J970-J969)*100)</f>
        <v/>
      </c>
      <c r="T970" s="11" t="str">
        <f>IF(OR(履歴データ!$A$970="",履歴データ!$A$969=""),"",-80000*K970)</f>
        <v/>
      </c>
      <c r="U970" s="11" t="str">
        <f>IF(OR(履歴データ!$A$970="",履歴データ!$A$969=""),"",60000*L970)</f>
        <v/>
      </c>
      <c r="V970" s="11" t="str">
        <f>IF(OR(履歴データ!$A$970="",履歴データ!$A$969=""),"",-50000*M970)</f>
        <v/>
      </c>
      <c r="W970" s="11" t="str">
        <f>IF(OR(履歴データ!$A$970="",履歴データ!$A$969=""),"",-40000*N970)</f>
        <v/>
      </c>
      <c r="X970" s="11" t="str">
        <f>IF(OR(履歴データ!$A$970="",履歴データ!$A$969=""),"",120*1000000*(-Q970/H969))</f>
        <v/>
      </c>
      <c r="Y970" s="11" t="str">
        <f>IF(OR(履歴データ!$A$970="",履歴データ!$A$969=""),"",40000*(-S970)+(-506.3)*R970*1000)</f>
        <v/>
      </c>
      <c r="Z970" s="11" t="str">
        <f>IF(OR(履歴データ!$A$970="",履歴データ!$A$969=""),"",-40000*O970)</f>
        <v/>
      </c>
      <c r="AA970" s="11" t="str">
        <f>IF(OR(履歴データ!$A$970="",履歴データ!$A$969=""),"",-40000*P970)</f>
        <v/>
      </c>
      <c r="AB970" s="11" t="str">
        <f>IF(履歴データ!$A$970="","",123.3)</f>
        <v/>
      </c>
      <c r="AC970" t="str">
        <f>IF(履歴データ!$A$970="","",SUM(T970:AA970))</f>
        <v/>
      </c>
      <c r="AD970" s="29" t="str">
        <f>IF(履歴データ!$A$970="","",AC970/1000000)</f>
        <v/>
      </c>
      <c r="AE970" s="29">
        <f>IF(履歴データ!$A$970="",AE969,AE969+AC970/1000000)</f>
        <v>70.844544225831427</v>
      </c>
      <c r="AF970" s="12" t="str">
        <f>IF(OR(履歴データ!$A$970="",AE969=0),"",(AE970-AE969)/AE969)</f>
        <v/>
      </c>
      <c r="AG970" s="29">
        <f t="shared" si="45"/>
        <v>102.17217746631495</v>
      </c>
      <c r="AH970" s="12" t="str">
        <f>IF(OR(履歴データ!$A$970="",AG970=0),"",AE970/AG970-1)</f>
        <v/>
      </c>
    </row>
    <row r="971" spans="1:34">
      <c r="A971" s="10" t="str">
        <f>IF(履歴データ!$A$971="","",履歴データ!$A$971)</f>
        <v/>
      </c>
      <c r="B971" s="28" t="str">
        <f>IF(履歴データ!$A$971="","",(履歴データ!$D$971-(履歴データ!$B$971+履歴データ!$F$971)/2)*100)</f>
        <v/>
      </c>
      <c r="C971" s="28" t="str">
        <f>IF(履歴データ!$A$971="","",(履歴データ!$H$971-(履歴データ!$G$971+履歴データ!$J$971)/2)*100)</f>
        <v/>
      </c>
      <c r="D971" s="28" t="str">
        <f>IF(履歴データ!$A$971="","",(履歴データ!$D$971-履歴データ!$H$971)*100)</f>
        <v/>
      </c>
      <c r="E971" s="28" t="str">
        <f>IF(履歴データ!$A$971="","",(履歴データ!$D$971-履歴データ!$C$971)*100)</f>
        <v/>
      </c>
      <c r="F971" s="28" t="str">
        <f>IF(履歴データ!$A$971="","",(履歴データ!$R$971-履歴データ!$D$971)*100)</f>
        <v/>
      </c>
      <c r="G971" s="28" t="str">
        <f>IF(履歴データ!$A$971="","",(履歴データ!$S$971-履歴データ!$R$971)*100)</f>
        <v/>
      </c>
      <c r="H971" s="29" t="str">
        <f>IF(履歴データ!$A$971="","",履歴データ!$O$971)</f>
        <v/>
      </c>
      <c r="I971" s="29" t="str">
        <f>IF(履歴データ!$A$971="","",履歴データ!$Q$971)</f>
        <v/>
      </c>
      <c r="J971" s="29" t="str">
        <f>IF(履歴データ!$A$971="","",履歴データ!$D$971)</f>
        <v/>
      </c>
      <c r="K971" s="28" t="str">
        <f>IF(OR(履歴データ!$A$971="",履歴データ!$A$970=""),"",B971-B970)</f>
        <v/>
      </c>
      <c r="L971" s="28" t="str">
        <f>IF(OR(履歴データ!$A$971="",履歴データ!$A$970=""),"",C971-C970)</f>
        <v/>
      </c>
      <c r="M971" s="28" t="str">
        <f>IF(OR(履歴データ!$A$971="",履歴データ!$A$970=""),"",D971-D970)</f>
        <v/>
      </c>
      <c r="N971" s="28" t="str">
        <f>IF(OR(履歴データ!$A$971="",履歴データ!$A$970=""),"",E971-E970)</f>
        <v/>
      </c>
      <c r="O971" s="28" t="str">
        <f>IF(OR(履歴データ!$A$971="",履歴データ!$A$970=""),"",F971-F970)</f>
        <v/>
      </c>
      <c r="P971" s="28" t="str">
        <f>IF(OR(履歴データ!$A$971="",履歴データ!$A$970=""),"",G971-G970)</f>
        <v/>
      </c>
      <c r="Q971" s="29" t="str">
        <f>IF(OR(履歴データ!$A$971="",履歴データ!$A$970=""),"",H971-H970)</f>
        <v/>
      </c>
      <c r="R971" s="29" t="str">
        <f>IF(OR(履歴データ!$A$971="",履歴データ!$A$970=""),"",I971-I970)</f>
        <v/>
      </c>
      <c r="S971" s="28" t="str">
        <f>IF(OR(履歴データ!$A$971="",履歴データ!$A$970=""),"",(J971-J970)*100)</f>
        <v/>
      </c>
      <c r="T971" s="11" t="str">
        <f>IF(OR(履歴データ!$A$971="",履歴データ!$A$970=""),"",-80000*K971)</f>
        <v/>
      </c>
      <c r="U971" s="11" t="str">
        <f>IF(OR(履歴データ!$A$971="",履歴データ!$A$970=""),"",60000*L971)</f>
        <v/>
      </c>
      <c r="V971" s="11" t="str">
        <f>IF(OR(履歴データ!$A$971="",履歴データ!$A$970=""),"",-50000*M971)</f>
        <v/>
      </c>
      <c r="W971" s="11" t="str">
        <f>IF(OR(履歴データ!$A$971="",履歴データ!$A$970=""),"",-40000*N971)</f>
        <v/>
      </c>
      <c r="X971" s="11" t="str">
        <f>IF(OR(履歴データ!$A$971="",履歴データ!$A$970=""),"",120*1000000*(-Q971/H970))</f>
        <v/>
      </c>
      <c r="Y971" s="11" t="str">
        <f>IF(OR(履歴データ!$A$971="",履歴データ!$A$970=""),"",40000*(-S971)+(-506.3)*R971*1000)</f>
        <v/>
      </c>
      <c r="Z971" s="11" t="str">
        <f>IF(OR(履歴データ!$A$971="",履歴データ!$A$970=""),"",-40000*O971)</f>
        <v/>
      </c>
      <c r="AA971" s="11" t="str">
        <f>IF(OR(履歴データ!$A$971="",履歴データ!$A$970=""),"",-40000*P971)</f>
        <v/>
      </c>
      <c r="AB971" s="11" t="str">
        <f>IF(履歴データ!$A$971="","",123.3)</f>
        <v/>
      </c>
      <c r="AC971" t="str">
        <f>IF(履歴データ!$A$971="","",SUM(T971:AA971))</f>
        <v/>
      </c>
      <c r="AD971" s="29" t="str">
        <f>IF(履歴データ!$A$971="","",AC971/1000000)</f>
        <v/>
      </c>
      <c r="AE971" s="29">
        <f>IF(履歴データ!$A$971="",AE970,AE970+AC971/1000000)</f>
        <v>70.844544225831427</v>
      </c>
      <c r="AF971" s="12" t="str">
        <f>IF(OR(履歴データ!$A$971="",AE970=0),"",(AE971-AE970)/AE970)</f>
        <v/>
      </c>
      <c r="AG971" s="29">
        <f t="shared" si="45"/>
        <v>102.17217746631495</v>
      </c>
      <c r="AH971" s="12" t="str">
        <f>IF(OR(履歴データ!$A$971="",AG971=0),"",AE971/AG971-1)</f>
        <v/>
      </c>
    </row>
    <row r="972" spans="1:34">
      <c r="A972" s="10" t="str">
        <f>IF(履歴データ!$A$972="","",履歴データ!$A$972)</f>
        <v/>
      </c>
      <c r="B972" s="28" t="str">
        <f>IF(履歴データ!$A$972="","",(履歴データ!$D$972-(履歴データ!$B$972+履歴データ!$F$972)/2)*100)</f>
        <v/>
      </c>
      <c r="C972" s="28" t="str">
        <f>IF(履歴データ!$A$972="","",(履歴データ!$H$972-(履歴データ!$G$972+履歴データ!$J$972)/2)*100)</f>
        <v/>
      </c>
      <c r="D972" s="28" t="str">
        <f>IF(履歴データ!$A$972="","",(履歴データ!$D$972-履歴データ!$H$972)*100)</f>
        <v/>
      </c>
      <c r="E972" s="28" t="str">
        <f>IF(履歴データ!$A$972="","",(履歴データ!$D$972-履歴データ!$C$972)*100)</f>
        <v/>
      </c>
      <c r="F972" s="28" t="str">
        <f>IF(履歴データ!$A$972="","",(履歴データ!$R$972-履歴データ!$D$972)*100)</f>
        <v/>
      </c>
      <c r="G972" s="28" t="str">
        <f>IF(履歴データ!$A$972="","",(履歴データ!$S$972-履歴データ!$R$972)*100)</f>
        <v/>
      </c>
      <c r="H972" s="29" t="str">
        <f>IF(履歴データ!$A$972="","",履歴データ!$O$972)</f>
        <v/>
      </c>
      <c r="I972" s="29" t="str">
        <f>IF(履歴データ!$A$972="","",履歴データ!$Q$972)</f>
        <v/>
      </c>
      <c r="J972" s="29" t="str">
        <f>IF(履歴データ!$A$972="","",履歴データ!$D$972)</f>
        <v/>
      </c>
      <c r="K972" s="28" t="str">
        <f>IF(OR(履歴データ!$A$972="",履歴データ!$A$971=""),"",B972-B971)</f>
        <v/>
      </c>
      <c r="L972" s="28" t="str">
        <f>IF(OR(履歴データ!$A$972="",履歴データ!$A$971=""),"",C972-C971)</f>
        <v/>
      </c>
      <c r="M972" s="28" t="str">
        <f>IF(OR(履歴データ!$A$972="",履歴データ!$A$971=""),"",D972-D971)</f>
        <v/>
      </c>
      <c r="N972" s="28" t="str">
        <f>IF(OR(履歴データ!$A$972="",履歴データ!$A$971=""),"",E972-E971)</f>
        <v/>
      </c>
      <c r="O972" s="28" t="str">
        <f>IF(OR(履歴データ!$A$972="",履歴データ!$A$971=""),"",F972-F971)</f>
        <v/>
      </c>
      <c r="P972" s="28" t="str">
        <f>IF(OR(履歴データ!$A$972="",履歴データ!$A$971=""),"",G972-G971)</f>
        <v/>
      </c>
      <c r="Q972" s="29" t="str">
        <f>IF(OR(履歴データ!$A$972="",履歴データ!$A$971=""),"",H972-H971)</f>
        <v/>
      </c>
      <c r="R972" s="29" t="str">
        <f>IF(OR(履歴データ!$A$972="",履歴データ!$A$971=""),"",I972-I971)</f>
        <v/>
      </c>
      <c r="S972" s="28" t="str">
        <f>IF(OR(履歴データ!$A$972="",履歴データ!$A$971=""),"",(J972-J971)*100)</f>
        <v/>
      </c>
      <c r="T972" s="11" t="str">
        <f>IF(OR(履歴データ!$A$972="",履歴データ!$A$971=""),"",-80000*K972)</f>
        <v/>
      </c>
      <c r="U972" s="11" t="str">
        <f>IF(OR(履歴データ!$A$972="",履歴データ!$A$971=""),"",60000*L972)</f>
        <v/>
      </c>
      <c r="V972" s="11" t="str">
        <f>IF(OR(履歴データ!$A$972="",履歴データ!$A$971=""),"",-50000*M972)</f>
        <v/>
      </c>
      <c r="W972" s="11" t="str">
        <f>IF(OR(履歴データ!$A$972="",履歴データ!$A$971=""),"",-40000*N972)</f>
        <v/>
      </c>
      <c r="X972" s="11" t="str">
        <f>IF(OR(履歴データ!$A$972="",履歴データ!$A$971=""),"",120*1000000*(-Q972/H971))</f>
        <v/>
      </c>
      <c r="Y972" s="11" t="str">
        <f>IF(OR(履歴データ!$A$972="",履歴データ!$A$971=""),"",40000*(-S972)+(-506.3)*R972*1000)</f>
        <v/>
      </c>
      <c r="Z972" s="11" t="str">
        <f>IF(OR(履歴データ!$A$972="",履歴データ!$A$971=""),"",-40000*O972)</f>
        <v/>
      </c>
      <c r="AA972" s="11" t="str">
        <f>IF(OR(履歴データ!$A$972="",履歴データ!$A$971=""),"",-40000*P972)</f>
        <v/>
      </c>
      <c r="AB972" s="11" t="str">
        <f>IF(履歴データ!$A$972="","",123.3)</f>
        <v/>
      </c>
      <c r="AC972" t="str">
        <f>IF(履歴データ!$A$972="","",SUM(T972:AA972))</f>
        <v/>
      </c>
      <c r="AD972" s="29" t="str">
        <f>IF(履歴データ!$A$972="","",AC972/1000000)</f>
        <v/>
      </c>
      <c r="AE972" s="29">
        <f>IF(履歴データ!$A$972="",AE971,AE971+AC972/1000000)</f>
        <v>70.844544225831427</v>
      </c>
      <c r="AF972" s="12" t="str">
        <f>IF(OR(履歴データ!$A$972="",AE971=0),"",(AE972-AE971)/AE971)</f>
        <v/>
      </c>
      <c r="AG972" s="29">
        <f t="shared" si="45"/>
        <v>102.17217746631495</v>
      </c>
      <c r="AH972" s="12" t="str">
        <f>IF(OR(履歴データ!$A$972="",AG972=0),"",AE972/AG972-1)</f>
        <v/>
      </c>
    </row>
    <row r="973" spans="1:34">
      <c r="A973" s="10" t="str">
        <f>IF(履歴データ!$A$973="","",履歴データ!$A$973)</f>
        <v/>
      </c>
      <c r="B973" s="28" t="str">
        <f>IF(履歴データ!$A$973="","",(履歴データ!$D$973-(履歴データ!$B$973+履歴データ!$F$973)/2)*100)</f>
        <v/>
      </c>
      <c r="C973" s="28" t="str">
        <f>IF(履歴データ!$A$973="","",(履歴データ!$H$973-(履歴データ!$G$973+履歴データ!$J$973)/2)*100)</f>
        <v/>
      </c>
      <c r="D973" s="28" t="str">
        <f>IF(履歴データ!$A$973="","",(履歴データ!$D$973-履歴データ!$H$973)*100)</f>
        <v/>
      </c>
      <c r="E973" s="28" t="str">
        <f>IF(履歴データ!$A$973="","",(履歴データ!$D$973-履歴データ!$C$973)*100)</f>
        <v/>
      </c>
      <c r="F973" s="28" t="str">
        <f>IF(履歴データ!$A$973="","",(履歴データ!$R$973-履歴データ!$D$973)*100)</f>
        <v/>
      </c>
      <c r="G973" s="28" t="str">
        <f>IF(履歴データ!$A$973="","",(履歴データ!$S$973-履歴データ!$R$973)*100)</f>
        <v/>
      </c>
      <c r="H973" s="29" t="str">
        <f>IF(履歴データ!$A$973="","",履歴データ!$O$973)</f>
        <v/>
      </c>
      <c r="I973" s="29" t="str">
        <f>IF(履歴データ!$A$973="","",履歴データ!$Q$973)</f>
        <v/>
      </c>
      <c r="J973" s="29" t="str">
        <f>IF(履歴データ!$A$973="","",履歴データ!$D$973)</f>
        <v/>
      </c>
      <c r="K973" s="28" t="str">
        <f>IF(OR(履歴データ!$A$973="",履歴データ!$A$972=""),"",B973-B972)</f>
        <v/>
      </c>
      <c r="L973" s="28" t="str">
        <f>IF(OR(履歴データ!$A$973="",履歴データ!$A$972=""),"",C973-C972)</f>
        <v/>
      </c>
      <c r="M973" s="28" t="str">
        <f>IF(OR(履歴データ!$A$973="",履歴データ!$A$972=""),"",D973-D972)</f>
        <v/>
      </c>
      <c r="N973" s="28" t="str">
        <f>IF(OR(履歴データ!$A$973="",履歴データ!$A$972=""),"",E973-E972)</f>
        <v/>
      </c>
      <c r="O973" s="28" t="str">
        <f>IF(OR(履歴データ!$A$973="",履歴データ!$A$972=""),"",F973-F972)</f>
        <v/>
      </c>
      <c r="P973" s="28" t="str">
        <f>IF(OR(履歴データ!$A$973="",履歴データ!$A$972=""),"",G973-G972)</f>
        <v/>
      </c>
      <c r="Q973" s="29" t="str">
        <f>IF(OR(履歴データ!$A$973="",履歴データ!$A$972=""),"",H973-H972)</f>
        <v/>
      </c>
      <c r="R973" s="29" t="str">
        <f>IF(OR(履歴データ!$A$973="",履歴データ!$A$972=""),"",I973-I972)</f>
        <v/>
      </c>
      <c r="S973" s="28" t="str">
        <f>IF(OR(履歴データ!$A$973="",履歴データ!$A$972=""),"",(J973-J972)*100)</f>
        <v/>
      </c>
      <c r="T973" s="11" t="str">
        <f>IF(OR(履歴データ!$A$973="",履歴データ!$A$972=""),"",-80000*K973)</f>
        <v/>
      </c>
      <c r="U973" s="11" t="str">
        <f>IF(OR(履歴データ!$A$973="",履歴データ!$A$972=""),"",60000*L973)</f>
        <v/>
      </c>
      <c r="V973" s="11" t="str">
        <f>IF(OR(履歴データ!$A$973="",履歴データ!$A$972=""),"",-50000*M973)</f>
        <v/>
      </c>
      <c r="W973" s="11" t="str">
        <f>IF(OR(履歴データ!$A$973="",履歴データ!$A$972=""),"",-40000*N973)</f>
        <v/>
      </c>
      <c r="X973" s="11" t="str">
        <f>IF(OR(履歴データ!$A$973="",履歴データ!$A$972=""),"",120*1000000*(-Q973/H972))</f>
        <v/>
      </c>
      <c r="Y973" s="11" t="str">
        <f>IF(OR(履歴データ!$A$973="",履歴データ!$A$972=""),"",40000*(-S973)+(-506.3)*R973*1000)</f>
        <v/>
      </c>
      <c r="Z973" s="11" t="str">
        <f>IF(OR(履歴データ!$A$973="",履歴データ!$A$972=""),"",-40000*O973)</f>
        <v/>
      </c>
      <c r="AA973" s="11" t="str">
        <f>IF(OR(履歴データ!$A$973="",履歴データ!$A$972=""),"",-40000*P973)</f>
        <v/>
      </c>
      <c r="AB973" s="11" t="str">
        <f>IF(履歴データ!$A$973="","",123.3)</f>
        <v/>
      </c>
      <c r="AC973" t="str">
        <f>IF(履歴データ!$A$973="","",SUM(T973:AA973))</f>
        <v/>
      </c>
      <c r="AD973" s="29" t="str">
        <f>IF(履歴データ!$A$973="","",AC973/1000000)</f>
        <v/>
      </c>
      <c r="AE973" s="29">
        <f>IF(履歴データ!$A$973="",AE972,AE972+AC973/1000000)</f>
        <v>70.844544225831427</v>
      </c>
      <c r="AF973" s="12" t="str">
        <f>IF(OR(履歴データ!$A$973="",AE972=0),"",(AE973-AE972)/AE972)</f>
        <v/>
      </c>
      <c r="AG973" s="29">
        <f t="shared" si="45"/>
        <v>102.17217746631495</v>
      </c>
      <c r="AH973" s="12" t="str">
        <f>IF(OR(履歴データ!$A$973="",AG973=0),"",AE973/AG973-1)</f>
        <v/>
      </c>
    </row>
    <row r="974" spans="1:34">
      <c r="A974" s="10" t="str">
        <f>IF(履歴データ!$A$974="","",履歴データ!$A$974)</f>
        <v/>
      </c>
      <c r="B974" s="28" t="str">
        <f>IF(履歴データ!$A$974="","",(履歴データ!$D$974-(履歴データ!$B$974+履歴データ!$F$974)/2)*100)</f>
        <v/>
      </c>
      <c r="C974" s="28" t="str">
        <f>IF(履歴データ!$A$974="","",(履歴データ!$H$974-(履歴データ!$G$974+履歴データ!$J$974)/2)*100)</f>
        <v/>
      </c>
      <c r="D974" s="28" t="str">
        <f>IF(履歴データ!$A$974="","",(履歴データ!$D$974-履歴データ!$H$974)*100)</f>
        <v/>
      </c>
      <c r="E974" s="28" t="str">
        <f>IF(履歴データ!$A$974="","",(履歴データ!$D$974-履歴データ!$C$974)*100)</f>
        <v/>
      </c>
      <c r="F974" s="28" t="str">
        <f>IF(履歴データ!$A$974="","",(履歴データ!$R$974-履歴データ!$D$974)*100)</f>
        <v/>
      </c>
      <c r="G974" s="28" t="str">
        <f>IF(履歴データ!$A$974="","",(履歴データ!$S$974-履歴データ!$R$974)*100)</f>
        <v/>
      </c>
      <c r="H974" s="29" t="str">
        <f>IF(履歴データ!$A$974="","",履歴データ!$O$974)</f>
        <v/>
      </c>
      <c r="I974" s="29" t="str">
        <f>IF(履歴データ!$A$974="","",履歴データ!$Q$974)</f>
        <v/>
      </c>
      <c r="J974" s="29" t="str">
        <f>IF(履歴データ!$A$974="","",履歴データ!$D$974)</f>
        <v/>
      </c>
      <c r="K974" s="28" t="str">
        <f>IF(OR(履歴データ!$A$974="",履歴データ!$A$973=""),"",B974-B973)</f>
        <v/>
      </c>
      <c r="L974" s="28" t="str">
        <f>IF(OR(履歴データ!$A$974="",履歴データ!$A$973=""),"",C974-C973)</f>
        <v/>
      </c>
      <c r="M974" s="28" t="str">
        <f>IF(OR(履歴データ!$A$974="",履歴データ!$A$973=""),"",D974-D973)</f>
        <v/>
      </c>
      <c r="N974" s="28" t="str">
        <f>IF(OR(履歴データ!$A$974="",履歴データ!$A$973=""),"",E974-E973)</f>
        <v/>
      </c>
      <c r="O974" s="28" t="str">
        <f>IF(OR(履歴データ!$A$974="",履歴データ!$A$973=""),"",F974-F973)</f>
        <v/>
      </c>
      <c r="P974" s="28" t="str">
        <f>IF(OR(履歴データ!$A$974="",履歴データ!$A$973=""),"",G974-G973)</f>
        <v/>
      </c>
      <c r="Q974" s="29" t="str">
        <f>IF(OR(履歴データ!$A$974="",履歴データ!$A$973=""),"",H974-H973)</f>
        <v/>
      </c>
      <c r="R974" s="29" t="str">
        <f>IF(OR(履歴データ!$A$974="",履歴データ!$A$973=""),"",I974-I973)</f>
        <v/>
      </c>
      <c r="S974" s="28" t="str">
        <f>IF(OR(履歴データ!$A$974="",履歴データ!$A$973=""),"",(J974-J973)*100)</f>
        <v/>
      </c>
      <c r="T974" s="11" t="str">
        <f>IF(OR(履歴データ!$A$974="",履歴データ!$A$973=""),"",-80000*K974)</f>
        <v/>
      </c>
      <c r="U974" s="11" t="str">
        <f>IF(OR(履歴データ!$A$974="",履歴データ!$A$973=""),"",60000*L974)</f>
        <v/>
      </c>
      <c r="V974" s="11" t="str">
        <f>IF(OR(履歴データ!$A$974="",履歴データ!$A$973=""),"",-50000*M974)</f>
        <v/>
      </c>
      <c r="W974" s="11" t="str">
        <f>IF(OR(履歴データ!$A$974="",履歴データ!$A$973=""),"",-40000*N974)</f>
        <v/>
      </c>
      <c r="X974" s="11" t="str">
        <f>IF(OR(履歴データ!$A$974="",履歴データ!$A$973=""),"",120*1000000*(-Q974/H973))</f>
        <v/>
      </c>
      <c r="Y974" s="11" t="str">
        <f>IF(OR(履歴データ!$A$974="",履歴データ!$A$973=""),"",40000*(-S974)+(-506.3)*R974*1000)</f>
        <v/>
      </c>
      <c r="Z974" s="11" t="str">
        <f>IF(OR(履歴データ!$A$974="",履歴データ!$A$973=""),"",-40000*O974)</f>
        <v/>
      </c>
      <c r="AA974" s="11" t="str">
        <f>IF(OR(履歴データ!$A$974="",履歴データ!$A$973=""),"",-40000*P974)</f>
        <v/>
      </c>
      <c r="AB974" s="11" t="str">
        <f>IF(履歴データ!$A$974="","",123.3)</f>
        <v/>
      </c>
      <c r="AC974" t="str">
        <f>IF(履歴データ!$A$974="","",SUM(T974:AA974))</f>
        <v/>
      </c>
      <c r="AD974" s="29" t="str">
        <f>IF(履歴データ!$A$974="","",AC974/1000000)</f>
        <v/>
      </c>
      <c r="AE974" s="29">
        <f>IF(履歴データ!$A$974="",AE973,AE973+AC974/1000000)</f>
        <v>70.844544225831427</v>
      </c>
      <c r="AF974" s="12" t="str">
        <f>IF(OR(履歴データ!$A$974="",AE973=0),"",(AE974-AE973)/AE973)</f>
        <v/>
      </c>
      <c r="AG974" s="29">
        <f t="shared" si="45"/>
        <v>102.17217746631495</v>
      </c>
      <c r="AH974" s="12" t="str">
        <f>IF(OR(履歴データ!$A$974="",AG974=0),"",AE974/AG974-1)</f>
        <v/>
      </c>
    </row>
    <row r="975" spans="1:34">
      <c r="A975" s="10" t="str">
        <f>IF(履歴データ!$A$975="","",履歴データ!$A$975)</f>
        <v/>
      </c>
      <c r="B975" s="28" t="str">
        <f>IF(履歴データ!$A$975="","",(履歴データ!$D$975-(履歴データ!$B$975+履歴データ!$F$975)/2)*100)</f>
        <v/>
      </c>
      <c r="C975" s="28" t="str">
        <f>IF(履歴データ!$A$975="","",(履歴データ!$H$975-(履歴データ!$G$975+履歴データ!$J$975)/2)*100)</f>
        <v/>
      </c>
      <c r="D975" s="28" t="str">
        <f>IF(履歴データ!$A$975="","",(履歴データ!$D$975-履歴データ!$H$975)*100)</f>
        <v/>
      </c>
      <c r="E975" s="28" t="str">
        <f>IF(履歴データ!$A$975="","",(履歴データ!$D$975-履歴データ!$C$975)*100)</f>
        <v/>
      </c>
      <c r="F975" s="28" t="str">
        <f>IF(履歴データ!$A$975="","",(履歴データ!$R$975-履歴データ!$D$975)*100)</f>
        <v/>
      </c>
      <c r="G975" s="28" t="str">
        <f>IF(履歴データ!$A$975="","",(履歴データ!$S$975-履歴データ!$R$975)*100)</f>
        <v/>
      </c>
      <c r="H975" s="29" t="str">
        <f>IF(履歴データ!$A$975="","",履歴データ!$O$975)</f>
        <v/>
      </c>
      <c r="I975" s="29" t="str">
        <f>IF(履歴データ!$A$975="","",履歴データ!$Q$975)</f>
        <v/>
      </c>
      <c r="J975" s="29" t="str">
        <f>IF(履歴データ!$A$975="","",履歴データ!$D$975)</f>
        <v/>
      </c>
      <c r="K975" s="28" t="str">
        <f>IF(OR(履歴データ!$A$975="",履歴データ!$A$974=""),"",B975-B974)</f>
        <v/>
      </c>
      <c r="L975" s="28" t="str">
        <f>IF(OR(履歴データ!$A$975="",履歴データ!$A$974=""),"",C975-C974)</f>
        <v/>
      </c>
      <c r="M975" s="28" t="str">
        <f>IF(OR(履歴データ!$A$975="",履歴データ!$A$974=""),"",D975-D974)</f>
        <v/>
      </c>
      <c r="N975" s="28" t="str">
        <f>IF(OR(履歴データ!$A$975="",履歴データ!$A$974=""),"",E975-E974)</f>
        <v/>
      </c>
      <c r="O975" s="28" t="str">
        <f>IF(OR(履歴データ!$A$975="",履歴データ!$A$974=""),"",F975-F974)</f>
        <v/>
      </c>
      <c r="P975" s="28" t="str">
        <f>IF(OR(履歴データ!$A$975="",履歴データ!$A$974=""),"",G975-G974)</f>
        <v/>
      </c>
      <c r="Q975" s="29" t="str">
        <f>IF(OR(履歴データ!$A$975="",履歴データ!$A$974=""),"",H975-H974)</f>
        <v/>
      </c>
      <c r="R975" s="29" t="str">
        <f>IF(OR(履歴データ!$A$975="",履歴データ!$A$974=""),"",I975-I974)</f>
        <v/>
      </c>
      <c r="S975" s="28" t="str">
        <f>IF(OR(履歴データ!$A$975="",履歴データ!$A$974=""),"",(J975-J974)*100)</f>
        <v/>
      </c>
      <c r="T975" s="11" t="str">
        <f>IF(OR(履歴データ!$A$975="",履歴データ!$A$974=""),"",-80000*K975)</f>
        <v/>
      </c>
      <c r="U975" s="11" t="str">
        <f>IF(OR(履歴データ!$A$975="",履歴データ!$A$974=""),"",60000*L975)</f>
        <v/>
      </c>
      <c r="V975" s="11" t="str">
        <f>IF(OR(履歴データ!$A$975="",履歴データ!$A$974=""),"",-50000*M975)</f>
        <v/>
      </c>
      <c r="W975" s="11" t="str">
        <f>IF(OR(履歴データ!$A$975="",履歴データ!$A$974=""),"",-40000*N975)</f>
        <v/>
      </c>
      <c r="X975" s="11" t="str">
        <f>IF(OR(履歴データ!$A$975="",履歴データ!$A$974=""),"",120*1000000*(-Q975/H974))</f>
        <v/>
      </c>
      <c r="Y975" s="11" t="str">
        <f>IF(OR(履歴データ!$A$975="",履歴データ!$A$974=""),"",40000*(-S975)+(-506.3)*R975*1000)</f>
        <v/>
      </c>
      <c r="Z975" s="11" t="str">
        <f>IF(OR(履歴データ!$A$975="",履歴データ!$A$974=""),"",-40000*O975)</f>
        <v/>
      </c>
      <c r="AA975" s="11" t="str">
        <f>IF(OR(履歴データ!$A$975="",履歴データ!$A$974=""),"",-40000*P975)</f>
        <v/>
      </c>
      <c r="AB975" s="11" t="str">
        <f>IF(履歴データ!$A$975="","",123.3)</f>
        <v/>
      </c>
      <c r="AC975" t="str">
        <f>IF(履歴データ!$A$975="","",SUM(T975:AA975))</f>
        <v/>
      </c>
      <c r="AD975" s="29" t="str">
        <f>IF(履歴データ!$A$975="","",AC975/1000000)</f>
        <v/>
      </c>
      <c r="AE975" s="29">
        <f>IF(履歴データ!$A$975="",AE974,AE974+AC975/1000000)</f>
        <v>70.844544225831427</v>
      </c>
      <c r="AF975" s="12" t="str">
        <f>IF(OR(履歴データ!$A$975="",AE974=0),"",(AE975-AE974)/AE974)</f>
        <v/>
      </c>
      <c r="AG975" s="29">
        <f t="shared" si="45"/>
        <v>102.17217746631495</v>
      </c>
      <c r="AH975" s="12" t="str">
        <f>IF(OR(履歴データ!$A$975="",AG975=0),"",AE975/AG975-1)</f>
        <v/>
      </c>
    </row>
    <row r="976" spans="1:34">
      <c r="A976" s="10" t="str">
        <f>IF(履歴データ!$A$976="","",履歴データ!$A$976)</f>
        <v/>
      </c>
      <c r="B976" s="28" t="str">
        <f>IF(履歴データ!$A$976="","",(履歴データ!$D$976-(履歴データ!$B$976+履歴データ!$F$976)/2)*100)</f>
        <v/>
      </c>
      <c r="C976" s="28" t="str">
        <f>IF(履歴データ!$A$976="","",(履歴データ!$H$976-(履歴データ!$G$976+履歴データ!$J$976)/2)*100)</f>
        <v/>
      </c>
      <c r="D976" s="28" t="str">
        <f>IF(履歴データ!$A$976="","",(履歴データ!$D$976-履歴データ!$H$976)*100)</f>
        <v/>
      </c>
      <c r="E976" s="28" t="str">
        <f>IF(履歴データ!$A$976="","",(履歴データ!$D$976-履歴データ!$C$976)*100)</f>
        <v/>
      </c>
      <c r="F976" s="28" t="str">
        <f>IF(履歴データ!$A$976="","",(履歴データ!$R$976-履歴データ!$D$976)*100)</f>
        <v/>
      </c>
      <c r="G976" s="28" t="str">
        <f>IF(履歴データ!$A$976="","",(履歴データ!$S$976-履歴データ!$R$976)*100)</f>
        <v/>
      </c>
      <c r="H976" s="29" t="str">
        <f>IF(履歴データ!$A$976="","",履歴データ!$O$976)</f>
        <v/>
      </c>
      <c r="I976" s="29" t="str">
        <f>IF(履歴データ!$A$976="","",履歴データ!$Q$976)</f>
        <v/>
      </c>
      <c r="J976" s="29" t="str">
        <f>IF(履歴データ!$A$976="","",履歴データ!$D$976)</f>
        <v/>
      </c>
      <c r="K976" s="28" t="str">
        <f>IF(OR(履歴データ!$A$976="",履歴データ!$A$975=""),"",B976-B975)</f>
        <v/>
      </c>
      <c r="L976" s="28" t="str">
        <f>IF(OR(履歴データ!$A$976="",履歴データ!$A$975=""),"",C976-C975)</f>
        <v/>
      </c>
      <c r="M976" s="28" t="str">
        <f>IF(OR(履歴データ!$A$976="",履歴データ!$A$975=""),"",D976-D975)</f>
        <v/>
      </c>
      <c r="N976" s="28" t="str">
        <f>IF(OR(履歴データ!$A$976="",履歴データ!$A$975=""),"",E976-E975)</f>
        <v/>
      </c>
      <c r="O976" s="28" t="str">
        <f>IF(OR(履歴データ!$A$976="",履歴データ!$A$975=""),"",F976-F975)</f>
        <v/>
      </c>
      <c r="P976" s="28" t="str">
        <f>IF(OR(履歴データ!$A$976="",履歴データ!$A$975=""),"",G976-G975)</f>
        <v/>
      </c>
      <c r="Q976" s="29" t="str">
        <f>IF(OR(履歴データ!$A$976="",履歴データ!$A$975=""),"",H976-H975)</f>
        <v/>
      </c>
      <c r="R976" s="29" t="str">
        <f>IF(OR(履歴データ!$A$976="",履歴データ!$A$975=""),"",I976-I975)</f>
        <v/>
      </c>
      <c r="S976" s="28" t="str">
        <f>IF(OR(履歴データ!$A$976="",履歴データ!$A$975=""),"",(J976-J975)*100)</f>
        <v/>
      </c>
      <c r="T976" s="11" t="str">
        <f>IF(OR(履歴データ!$A$976="",履歴データ!$A$975=""),"",-80000*K976)</f>
        <v/>
      </c>
      <c r="U976" s="11" t="str">
        <f>IF(OR(履歴データ!$A$976="",履歴データ!$A$975=""),"",60000*L976)</f>
        <v/>
      </c>
      <c r="V976" s="11" t="str">
        <f>IF(OR(履歴データ!$A$976="",履歴データ!$A$975=""),"",-50000*M976)</f>
        <v/>
      </c>
      <c r="W976" s="11" t="str">
        <f>IF(OR(履歴データ!$A$976="",履歴データ!$A$975=""),"",-40000*N976)</f>
        <v/>
      </c>
      <c r="X976" s="11" t="str">
        <f>IF(OR(履歴データ!$A$976="",履歴データ!$A$975=""),"",120*1000000*(-Q976/H975))</f>
        <v/>
      </c>
      <c r="Y976" s="11" t="str">
        <f>IF(OR(履歴データ!$A$976="",履歴データ!$A$975=""),"",40000*(-S976)+(-506.3)*R976*1000)</f>
        <v/>
      </c>
      <c r="Z976" s="11" t="str">
        <f>IF(OR(履歴データ!$A$976="",履歴データ!$A$975=""),"",-40000*O976)</f>
        <v/>
      </c>
      <c r="AA976" s="11" t="str">
        <f>IF(OR(履歴データ!$A$976="",履歴データ!$A$975=""),"",-40000*P976)</f>
        <v/>
      </c>
      <c r="AB976" s="11" t="str">
        <f>IF(履歴データ!$A$976="","",123.3)</f>
        <v/>
      </c>
      <c r="AC976" t="str">
        <f>IF(履歴データ!$A$976="","",SUM(T976:AA976))</f>
        <v/>
      </c>
      <c r="AD976" s="29" t="str">
        <f>IF(履歴データ!$A$976="","",AC976/1000000)</f>
        <v/>
      </c>
      <c r="AE976" s="29">
        <f>IF(履歴データ!$A$976="",AE975,AE975+AC976/1000000)</f>
        <v>70.844544225831427</v>
      </c>
      <c r="AF976" s="12" t="str">
        <f>IF(OR(履歴データ!$A$976="",AE975=0),"",(AE976-AE975)/AE975)</f>
        <v/>
      </c>
      <c r="AG976" s="29">
        <f t="shared" si="45"/>
        <v>102.17217746631495</v>
      </c>
      <c r="AH976" s="12" t="str">
        <f>IF(OR(履歴データ!$A$976="",AG976=0),"",AE976/AG976-1)</f>
        <v/>
      </c>
    </row>
    <row r="977" spans="1:34">
      <c r="A977" s="10" t="str">
        <f>IF(履歴データ!$A$977="","",履歴データ!$A$977)</f>
        <v/>
      </c>
      <c r="B977" s="28" t="str">
        <f>IF(履歴データ!$A$977="","",(履歴データ!$D$977-(履歴データ!$B$977+履歴データ!$F$977)/2)*100)</f>
        <v/>
      </c>
      <c r="C977" s="28" t="str">
        <f>IF(履歴データ!$A$977="","",(履歴データ!$H$977-(履歴データ!$G$977+履歴データ!$J$977)/2)*100)</f>
        <v/>
      </c>
      <c r="D977" s="28" t="str">
        <f>IF(履歴データ!$A$977="","",(履歴データ!$D$977-履歴データ!$H$977)*100)</f>
        <v/>
      </c>
      <c r="E977" s="28" t="str">
        <f>IF(履歴データ!$A$977="","",(履歴データ!$D$977-履歴データ!$C$977)*100)</f>
        <v/>
      </c>
      <c r="F977" s="28" t="str">
        <f>IF(履歴データ!$A$977="","",(履歴データ!$R$977-履歴データ!$D$977)*100)</f>
        <v/>
      </c>
      <c r="G977" s="28" t="str">
        <f>IF(履歴データ!$A$977="","",(履歴データ!$S$977-履歴データ!$R$977)*100)</f>
        <v/>
      </c>
      <c r="H977" s="29" t="str">
        <f>IF(履歴データ!$A$977="","",履歴データ!$O$977)</f>
        <v/>
      </c>
      <c r="I977" s="29" t="str">
        <f>IF(履歴データ!$A$977="","",履歴データ!$Q$977)</f>
        <v/>
      </c>
      <c r="J977" s="29" t="str">
        <f>IF(履歴データ!$A$977="","",履歴データ!$D$977)</f>
        <v/>
      </c>
      <c r="K977" s="28" t="str">
        <f>IF(OR(履歴データ!$A$977="",履歴データ!$A$976=""),"",B977-B976)</f>
        <v/>
      </c>
      <c r="L977" s="28" t="str">
        <f>IF(OR(履歴データ!$A$977="",履歴データ!$A$976=""),"",C977-C976)</f>
        <v/>
      </c>
      <c r="M977" s="28" t="str">
        <f>IF(OR(履歴データ!$A$977="",履歴データ!$A$976=""),"",D977-D976)</f>
        <v/>
      </c>
      <c r="N977" s="28" t="str">
        <f>IF(OR(履歴データ!$A$977="",履歴データ!$A$976=""),"",E977-E976)</f>
        <v/>
      </c>
      <c r="O977" s="28" t="str">
        <f>IF(OR(履歴データ!$A$977="",履歴データ!$A$976=""),"",F977-F976)</f>
        <v/>
      </c>
      <c r="P977" s="28" t="str">
        <f>IF(OR(履歴データ!$A$977="",履歴データ!$A$976=""),"",G977-G976)</f>
        <v/>
      </c>
      <c r="Q977" s="29" t="str">
        <f>IF(OR(履歴データ!$A$977="",履歴データ!$A$976=""),"",H977-H976)</f>
        <v/>
      </c>
      <c r="R977" s="29" t="str">
        <f>IF(OR(履歴データ!$A$977="",履歴データ!$A$976=""),"",I977-I976)</f>
        <v/>
      </c>
      <c r="S977" s="28" t="str">
        <f>IF(OR(履歴データ!$A$977="",履歴データ!$A$976=""),"",(J977-J976)*100)</f>
        <v/>
      </c>
      <c r="T977" s="11" t="str">
        <f>IF(OR(履歴データ!$A$977="",履歴データ!$A$976=""),"",-80000*K977)</f>
        <v/>
      </c>
      <c r="U977" s="11" t="str">
        <f>IF(OR(履歴データ!$A$977="",履歴データ!$A$976=""),"",60000*L977)</f>
        <v/>
      </c>
      <c r="V977" s="11" t="str">
        <f>IF(OR(履歴データ!$A$977="",履歴データ!$A$976=""),"",-50000*M977)</f>
        <v/>
      </c>
      <c r="W977" s="11" t="str">
        <f>IF(OR(履歴データ!$A$977="",履歴データ!$A$976=""),"",-40000*N977)</f>
        <v/>
      </c>
      <c r="X977" s="11" t="str">
        <f>IF(OR(履歴データ!$A$977="",履歴データ!$A$976=""),"",120*1000000*(-Q977/H976))</f>
        <v/>
      </c>
      <c r="Y977" s="11" t="str">
        <f>IF(OR(履歴データ!$A$977="",履歴データ!$A$976=""),"",40000*(-S977)+(-506.3)*R977*1000)</f>
        <v/>
      </c>
      <c r="Z977" s="11" t="str">
        <f>IF(OR(履歴データ!$A$977="",履歴データ!$A$976=""),"",-40000*O977)</f>
        <v/>
      </c>
      <c r="AA977" s="11" t="str">
        <f>IF(OR(履歴データ!$A$977="",履歴データ!$A$976=""),"",-40000*P977)</f>
        <v/>
      </c>
      <c r="AB977" s="11" t="str">
        <f>IF(履歴データ!$A$977="","",123.3)</f>
        <v/>
      </c>
      <c r="AC977" t="str">
        <f>IF(履歴データ!$A$977="","",SUM(T977:AA977))</f>
        <v/>
      </c>
      <c r="AD977" s="29" t="str">
        <f>IF(履歴データ!$A$977="","",AC977/1000000)</f>
        <v/>
      </c>
      <c r="AE977" s="29">
        <f>IF(履歴データ!$A$977="",AE976,AE976+AC977/1000000)</f>
        <v>70.844544225831427</v>
      </c>
      <c r="AF977" s="12" t="str">
        <f>IF(OR(履歴データ!$A$977="",AE976=0),"",(AE977-AE976)/AE976)</f>
        <v/>
      </c>
      <c r="AG977" s="29">
        <f t="shared" si="45"/>
        <v>102.17217746631495</v>
      </c>
      <c r="AH977" s="12" t="str">
        <f>IF(OR(履歴データ!$A$977="",AG977=0),"",AE977/AG977-1)</f>
        <v/>
      </c>
    </row>
    <row r="978" spans="1:34">
      <c r="A978" s="10" t="str">
        <f>IF(履歴データ!$A$978="","",履歴データ!$A$978)</f>
        <v/>
      </c>
      <c r="B978" s="28" t="str">
        <f>IF(履歴データ!$A$978="","",(履歴データ!$D$978-(履歴データ!$B$978+履歴データ!$F$978)/2)*100)</f>
        <v/>
      </c>
      <c r="C978" s="28" t="str">
        <f>IF(履歴データ!$A$978="","",(履歴データ!$H$978-(履歴データ!$G$978+履歴データ!$J$978)/2)*100)</f>
        <v/>
      </c>
      <c r="D978" s="28" t="str">
        <f>IF(履歴データ!$A$978="","",(履歴データ!$D$978-履歴データ!$H$978)*100)</f>
        <v/>
      </c>
      <c r="E978" s="28" t="str">
        <f>IF(履歴データ!$A$978="","",(履歴データ!$D$978-履歴データ!$C$978)*100)</f>
        <v/>
      </c>
      <c r="F978" s="28" t="str">
        <f>IF(履歴データ!$A$978="","",(履歴データ!$R$978-履歴データ!$D$978)*100)</f>
        <v/>
      </c>
      <c r="G978" s="28" t="str">
        <f>IF(履歴データ!$A$978="","",(履歴データ!$S$978-履歴データ!$R$978)*100)</f>
        <v/>
      </c>
      <c r="H978" s="29" t="str">
        <f>IF(履歴データ!$A$978="","",履歴データ!$O$978)</f>
        <v/>
      </c>
      <c r="I978" s="29" t="str">
        <f>IF(履歴データ!$A$978="","",履歴データ!$Q$978)</f>
        <v/>
      </c>
      <c r="J978" s="29" t="str">
        <f>IF(履歴データ!$A$978="","",履歴データ!$D$978)</f>
        <v/>
      </c>
      <c r="K978" s="28" t="str">
        <f>IF(OR(履歴データ!$A$978="",履歴データ!$A$977=""),"",B978-B977)</f>
        <v/>
      </c>
      <c r="L978" s="28" t="str">
        <f>IF(OR(履歴データ!$A$978="",履歴データ!$A$977=""),"",C978-C977)</f>
        <v/>
      </c>
      <c r="M978" s="28" t="str">
        <f>IF(OR(履歴データ!$A$978="",履歴データ!$A$977=""),"",D978-D977)</f>
        <v/>
      </c>
      <c r="N978" s="28" t="str">
        <f>IF(OR(履歴データ!$A$978="",履歴データ!$A$977=""),"",E978-E977)</f>
        <v/>
      </c>
      <c r="O978" s="28" t="str">
        <f>IF(OR(履歴データ!$A$978="",履歴データ!$A$977=""),"",F978-F977)</f>
        <v/>
      </c>
      <c r="P978" s="28" t="str">
        <f>IF(OR(履歴データ!$A$978="",履歴データ!$A$977=""),"",G978-G977)</f>
        <v/>
      </c>
      <c r="Q978" s="29" t="str">
        <f>IF(OR(履歴データ!$A$978="",履歴データ!$A$977=""),"",H978-H977)</f>
        <v/>
      </c>
      <c r="R978" s="29" t="str">
        <f>IF(OR(履歴データ!$A$978="",履歴データ!$A$977=""),"",I978-I977)</f>
        <v/>
      </c>
      <c r="S978" s="28" t="str">
        <f>IF(OR(履歴データ!$A$978="",履歴データ!$A$977=""),"",(J978-J977)*100)</f>
        <v/>
      </c>
      <c r="T978" s="11" t="str">
        <f>IF(OR(履歴データ!$A$978="",履歴データ!$A$977=""),"",-80000*K978)</f>
        <v/>
      </c>
      <c r="U978" s="11" t="str">
        <f>IF(OR(履歴データ!$A$978="",履歴データ!$A$977=""),"",60000*L978)</f>
        <v/>
      </c>
      <c r="V978" s="11" t="str">
        <f>IF(OR(履歴データ!$A$978="",履歴データ!$A$977=""),"",-50000*M978)</f>
        <v/>
      </c>
      <c r="W978" s="11" t="str">
        <f>IF(OR(履歴データ!$A$978="",履歴データ!$A$977=""),"",-40000*N978)</f>
        <v/>
      </c>
      <c r="X978" s="11" t="str">
        <f>IF(OR(履歴データ!$A$978="",履歴データ!$A$977=""),"",120*1000000*(-Q978/H977))</f>
        <v/>
      </c>
      <c r="Y978" s="11" t="str">
        <f>IF(OR(履歴データ!$A$978="",履歴データ!$A$977=""),"",40000*(-S978)+(-506.3)*R978*1000)</f>
        <v/>
      </c>
      <c r="Z978" s="11" t="str">
        <f>IF(OR(履歴データ!$A$978="",履歴データ!$A$977=""),"",-40000*O978)</f>
        <v/>
      </c>
      <c r="AA978" s="11" t="str">
        <f>IF(OR(履歴データ!$A$978="",履歴データ!$A$977=""),"",-40000*P978)</f>
        <v/>
      </c>
      <c r="AB978" s="11" t="str">
        <f>IF(履歴データ!$A$978="","",123.3)</f>
        <v/>
      </c>
      <c r="AC978" t="str">
        <f>IF(履歴データ!$A$978="","",SUM(T978:AA978))</f>
        <v/>
      </c>
      <c r="AD978" s="29" t="str">
        <f>IF(履歴データ!$A$978="","",AC978/1000000)</f>
        <v/>
      </c>
      <c r="AE978" s="29">
        <f>IF(履歴データ!$A$978="",AE977,AE977+AC978/1000000)</f>
        <v>70.844544225831427</v>
      </c>
      <c r="AF978" s="12" t="str">
        <f>IF(OR(履歴データ!$A$978="",AE977=0),"",(AE978-AE977)/AE977)</f>
        <v/>
      </c>
      <c r="AG978" s="29">
        <f t="shared" si="45"/>
        <v>102.17217746631495</v>
      </c>
      <c r="AH978" s="12" t="str">
        <f>IF(OR(履歴データ!$A$978="",AG978=0),"",AE978/AG978-1)</f>
        <v/>
      </c>
    </row>
    <row r="979" spans="1:34">
      <c r="A979" s="10" t="str">
        <f>IF(履歴データ!$A$979="","",履歴データ!$A$979)</f>
        <v/>
      </c>
      <c r="B979" s="28" t="str">
        <f>IF(履歴データ!$A$979="","",(履歴データ!$D$979-(履歴データ!$B$979+履歴データ!$F$979)/2)*100)</f>
        <v/>
      </c>
      <c r="C979" s="28" t="str">
        <f>IF(履歴データ!$A$979="","",(履歴データ!$H$979-(履歴データ!$G$979+履歴データ!$J$979)/2)*100)</f>
        <v/>
      </c>
      <c r="D979" s="28" t="str">
        <f>IF(履歴データ!$A$979="","",(履歴データ!$D$979-履歴データ!$H$979)*100)</f>
        <v/>
      </c>
      <c r="E979" s="28" t="str">
        <f>IF(履歴データ!$A$979="","",(履歴データ!$D$979-履歴データ!$C$979)*100)</f>
        <v/>
      </c>
      <c r="F979" s="28" t="str">
        <f>IF(履歴データ!$A$979="","",(履歴データ!$R$979-履歴データ!$D$979)*100)</f>
        <v/>
      </c>
      <c r="G979" s="28" t="str">
        <f>IF(履歴データ!$A$979="","",(履歴データ!$S$979-履歴データ!$R$979)*100)</f>
        <v/>
      </c>
      <c r="H979" s="29" t="str">
        <f>IF(履歴データ!$A$979="","",履歴データ!$O$979)</f>
        <v/>
      </c>
      <c r="I979" s="29" t="str">
        <f>IF(履歴データ!$A$979="","",履歴データ!$Q$979)</f>
        <v/>
      </c>
      <c r="J979" s="29" t="str">
        <f>IF(履歴データ!$A$979="","",履歴データ!$D$979)</f>
        <v/>
      </c>
      <c r="K979" s="28" t="str">
        <f>IF(OR(履歴データ!$A$979="",履歴データ!$A$978=""),"",B979-B978)</f>
        <v/>
      </c>
      <c r="L979" s="28" t="str">
        <f>IF(OR(履歴データ!$A$979="",履歴データ!$A$978=""),"",C979-C978)</f>
        <v/>
      </c>
      <c r="M979" s="28" t="str">
        <f>IF(OR(履歴データ!$A$979="",履歴データ!$A$978=""),"",D979-D978)</f>
        <v/>
      </c>
      <c r="N979" s="28" t="str">
        <f>IF(OR(履歴データ!$A$979="",履歴データ!$A$978=""),"",E979-E978)</f>
        <v/>
      </c>
      <c r="O979" s="28" t="str">
        <f>IF(OR(履歴データ!$A$979="",履歴データ!$A$978=""),"",F979-F978)</f>
        <v/>
      </c>
      <c r="P979" s="28" t="str">
        <f>IF(OR(履歴データ!$A$979="",履歴データ!$A$978=""),"",G979-G978)</f>
        <v/>
      </c>
      <c r="Q979" s="29" t="str">
        <f>IF(OR(履歴データ!$A$979="",履歴データ!$A$978=""),"",H979-H978)</f>
        <v/>
      </c>
      <c r="R979" s="29" t="str">
        <f>IF(OR(履歴データ!$A$979="",履歴データ!$A$978=""),"",I979-I978)</f>
        <v/>
      </c>
      <c r="S979" s="28" t="str">
        <f>IF(OR(履歴データ!$A$979="",履歴データ!$A$978=""),"",(J979-J978)*100)</f>
        <v/>
      </c>
      <c r="T979" s="11" t="str">
        <f>IF(OR(履歴データ!$A$979="",履歴データ!$A$978=""),"",-80000*K979)</f>
        <v/>
      </c>
      <c r="U979" s="11" t="str">
        <f>IF(OR(履歴データ!$A$979="",履歴データ!$A$978=""),"",60000*L979)</f>
        <v/>
      </c>
      <c r="V979" s="11" t="str">
        <f>IF(OR(履歴データ!$A$979="",履歴データ!$A$978=""),"",-50000*M979)</f>
        <v/>
      </c>
      <c r="W979" s="11" t="str">
        <f>IF(OR(履歴データ!$A$979="",履歴データ!$A$978=""),"",-40000*N979)</f>
        <v/>
      </c>
      <c r="X979" s="11" t="str">
        <f>IF(OR(履歴データ!$A$979="",履歴データ!$A$978=""),"",120*1000000*(-Q979/H978))</f>
        <v/>
      </c>
      <c r="Y979" s="11" t="str">
        <f>IF(OR(履歴データ!$A$979="",履歴データ!$A$978=""),"",40000*(-S979)+(-506.3)*R979*1000)</f>
        <v/>
      </c>
      <c r="Z979" s="11" t="str">
        <f>IF(OR(履歴データ!$A$979="",履歴データ!$A$978=""),"",-40000*O979)</f>
        <v/>
      </c>
      <c r="AA979" s="11" t="str">
        <f>IF(OR(履歴データ!$A$979="",履歴データ!$A$978=""),"",-40000*P979)</f>
        <v/>
      </c>
      <c r="AB979" s="11" t="str">
        <f>IF(履歴データ!$A$979="","",123.3)</f>
        <v/>
      </c>
      <c r="AC979" t="str">
        <f>IF(履歴データ!$A$979="","",SUM(T979:AA979))</f>
        <v/>
      </c>
      <c r="AD979" s="29" t="str">
        <f>IF(履歴データ!$A$979="","",AC979/1000000)</f>
        <v/>
      </c>
      <c r="AE979" s="29">
        <f>IF(履歴データ!$A$979="",AE978,AE978+AC979/1000000)</f>
        <v>70.844544225831427</v>
      </c>
      <c r="AF979" s="12" t="str">
        <f>IF(OR(履歴データ!$A$979="",AE978=0),"",(AE979-AE978)/AE978)</f>
        <v/>
      </c>
      <c r="AG979" s="29">
        <f t="shared" si="45"/>
        <v>102.17217746631495</v>
      </c>
      <c r="AH979" s="12" t="str">
        <f>IF(OR(履歴データ!$A$979="",AG979=0),"",AE979/AG979-1)</f>
        <v/>
      </c>
    </row>
    <row r="980" spans="1:34">
      <c r="A980" s="10" t="str">
        <f>IF(履歴データ!$A$980="","",履歴データ!$A$980)</f>
        <v/>
      </c>
      <c r="B980" s="28" t="str">
        <f>IF(履歴データ!$A$980="","",(履歴データ!$D$980-(履歴データ!$B$980+履歴データ!$F$980)/2)*100)</f>
        <v/>
      </c>
      <c r="C980" s="28" t="str">
        <f>IF(履歴データ!$A$980="","",(履歴データ!$H$980-(履歴データ!$G$980+履歴データ!$J$980)/2)*100)</f>
        <v/>
      </c>
      <c r="D980" s="28" t="str">
        <f>IF(履歴データ!$A$980="","",(履歴データ!$D$980-履歴データ!$H$980)*100)</f>
        <v/>
      </c>
      <c r="E980" s="28" t="str">
        <f>IF(履歴データ!$A$980="","",(履歴データ!$D$980-履歴データ!$C$980)*100)</f>
        <v/>
      </c>
      <c r="F980" s="28" t="str">
        <f>IF(履歴データ!$A$980="","",(履歴データ!$R$980-履歴データ!$D$980)*100)</f>
        <v/>
      </c>
      <c r="G980" s="28" t="str">
        <f>IF(履歴データ!$A$980="","",(履歴データ!$S$980-履歴データ!$R$980)*100)</f>
        <v/>
      </c>
      <c r="H980" s="29" t="str">
        <f>IF(履歴データ!$A$980="","",履歴データ!$O$980)</f>
        <v/>
      </c>
      <c r="I980" s="29" t="str">
        <f>IF(履歴データ!$A$980="","",履歴データ!$Q$980)</f>
        <v/>
      </c>
      <c r="J980" s="29" t="str">
        <f>IF(履歴データ!$A$980="","",履歴データ!$D$980)</f>
        <v/>
      </c>
      <c r="K980" s="28" t="str">
        <f>IF(OR(履歴データ!$A$980="",履歴データ!$A$979=""),"",B980-B979)</f>
        <v/>
      </c>
      <c r="L980" s="28" t="str">
        <f>IF(OR(履歴データ!$A$980="",履歴データ!$A$979=""),"",C980-C979)</f>
        <v/>
      </c>
      <c r="M980" s="28" t="str">
        <f>IF(OR(履歴データ!$A$980="",履歴データ!$A$979=""),"",D980-D979)</f>
        <v/>
      </c>
      <c r="N980" s="28" t="str">
        <f>IF(OR(履歴データ!$A$980="",履歴データ!$A$979=""),"",E980-E979)</f>
        <v/>
      </c>
      <c r="O980" s="28" t="str">
        <f>IF(OR(履歴データ!$A$980="",履歴データ!$A$979=""),"",F980-F979)</f>
        <v/>
      </c>
      <c r="P980" s="28" t="str">
        <f>IF(OR(履歴データ!$A$980="",履歴データ!$A$979=""),"",G980-G979)</f>
        <v/>
      </c>
      <c r="Q980" s="29" t="str">
        <f>IF(OR(履歴データ!$A$980="",履歴データ!$A$979=""),"",H980-H979)</f>
        <v/>
      </c>
      <c r="R980" s="29" t="str">
        <f>IF(OR(履歴データ!$A$980="",履歴データ!$A$979=""),"",I980-I979)</f>
        <v/>
      </c>
      <c r="S980" s="28" t="str">
        <f>IF(OR(履歴データ!$A$980="",履歴データ!$A$979=""),"",(J980-J979)*100)</f>
        <v/>
      </c>
      <c r="T980" s="11" t="str">
        <f>IF(OR(履歴データ!$A$980="",履歴データ!$A$979=""),"",-80000*K980)</f>
        <v/>
      </c>
      <c r="U980" s="11" t="str">
        <f>IF(OR(履歴データ!$A$980="",履歴データ!$A$979=""),"",60000*L980)</f>
        <v/>
      </c>
      <c r="V980" s="11" t="str">
        <f>IF(OR(履歴データ!$A$980="",履歴データ!$A$979=""),"",-50000*M980)</f>
        <v/>
      </c>
      <c r="W980" s="11" t="str">
        <f>IF(OR(履歴データ!$A$980="",履歴データ!$A$979=""),"",-40000*N980)</f>
        <v/>
      </c>
      <c r="X980" s="11" t="str">
        <f>IF(OR(履歴データ!$A$980="",履歴データ!$A$979=""),"",120*1000000*(-Q980/H979))</f>
        <v/>
      </c>
      <c r="Y980" s="11" t="str">
        <f>IF(OR(履歴データ!$A$980="",履歴データ!$A$979=""),"",40000*(-S980)+(-506.3)*R980*1000)</f>
        <v/>
      </c>
      <c r="Z980" s="11" t="str">
        <f>IF(OR(履歴データ!$A$980="",履歴データ!$A$979=""),"",-40000*O980)</f>
        <v/>
      </c>
      <c r="AA980" s="11" t="str">
        <f>IF(OR(履歴データ!$A$980="",履歴データ!$A$979=""),"",-40000*P980)</f>
        <v/>
      </c>
      <c r="AB980" s="11" t="str">
        <f>IF(履歴データ!$A$980="","",123.3)</f>
        <v/>
      </c>
      <c r="AC980" t="str">
        <f>IF(履歴データ!$A$980="","",SUM(T980:AA980))</f>
        <v/>
      </c>
      <c r="AD980" s="29" t="str">
        <f>IF(履歴データ!$A$980="","",AC980/1000000)</f>
        <v/>
      </c>
      <c r="AE980" s="29">
        <f>IF(履歴データ!$A$980="",AE979,AE979+AC980/1000000)</f>
        <v>70.844544225831427</v>
      </c>
      <c r="AF980" s="12" t="str">
        <f>IF(OR(履歴データ!$A$980="",AE979=0),"",(AE980-AE979)/AE979)</f>
        <v/>
      </c>
      <c r="AG980" s="29">
        <f t="shared" si="45"/>
        <v>102.17217746631495</v>
      </c>
      <c r="AH980" s="12" t="str">
        <f>IF(OR(履歴データ!$A$980="",AG980=0),"",AE980/AG980-1)</f>
        <v/>
      </c>
    </row>
    <row r="981" spans="1:34">
      <c r="A981" s="10" t="str">
        <f>IF(履歴データ!$A$981="","",履歴データ!$A$981)</f>
        <v/>
      </c>
      <c r="B981" s="28" t="str">
        <f>IF(履歴データ!$A$981="","",(履歴データ!$D$981-(履歴データ!$B$981+履歴データ!$F$981)/2)*100)</f>
        <v/>
      </c>
      <c r="C981" s="28" t="str">
        <f>IF(履歴データ!$A$981="","",(履歴データ!$H$981-(履歴データ!$G$981+履歴データ!$J$981)/2)*100)</f>
        <v/>
      </c>
      <c r="D981" s="28" t="str">
        <f>IF(履歴データ!$A$981="","",(履歴データ!$D$981-履歴データ!$H$981)*100)</f>
        <v/>
      </c>
      <c r="E981" s="28" t="str">
        <f>IF(履歴データ!$A$981="","",(履歴データ!$D$981-履歴データ!$C$981)*100)</f>
        <v/>
      </c>
      <c r="F981" s="28" t="str">
        <f>IF(履歴データ!$A$981="","",(履歴データ!$R$981-履歴データ!$D$981)*100)</f>
        <v/>
      </c>
      <c r="G981" s="28" t="str">
        <f>IF(履歴データ!$A$981="","",(履歴データ!$S$981-履歴データ!$R$981)*100)</f>
        <v/>
      </c>
      <c r="H981" s="29" t="str">
        <f>IF(履歴データ!$A$981="","",履歴データ!$O$981)</f>
        <v/>
      </c>
      <c r="I981" s="29" t="str">
        <f>IF(履歴データ!$A$981="","",履歴データ!$Q$981)</f>
        <v/>
      </c>
      <c r="J981" s="29" t="str">
        <f>IF(履歴データ!$A$981="","",履歴データ!$D$981)</f>
        <v/>
      </c>
      <c r="K981" s="28" t="str">
        <f>IF(OR(履歴データ!$A$981="",履歴データ!$A$980=""),"",B981-B980)</f>
        <v/>
      </c>
      <c r="L981" s="28" t="str">
        <f>IF(OR(履歴データ!$A$981="",履歴データ!$A$980=""),"",C981-C980)</f>
        <v/>
      </c>
      <c r="M981" s="28" t="str">
        <f>IF(OR(履歴データ!$A$981="",履歴データ!$A$980=""),"",D981-D980)</f>
        <v/>
      </c>
      <c r="N981" s="28" t="str">
        <f>IF(OR(履歴データ!$A$981="",履歴データ!$A$980=""),"",E981-E980)</f>
        <v/>
      </c>
      <c r="O981" s="28" t="str">
        <f>IF(OR(履歴データ!$A$981="",履歴データ!$A$980=""),"",F981-F980)</f>
        <v/>
      </c>
      <c r="P981" s="28" t="str">
        <f>IF(OR(履歴データ!$A$981="",履歴データ!$A$980=""),"",G981-G980)</f>
        <v/>
      </c>
      <c r="Q981" s="29" t="str">
        <f>IF(OR(履歴データ!$A$981="",履歴データ!$A$980=""),"",H981-H980)</f>
        <v/>
      </c>
      <c r="R981" s="29" t="str">
        <f>IF(OR(履歴データ!$A$981="",履歴データ!$A$980=""),"",I981-I980)</f>
        <v/>
      </c>
      <c r="S981" s="28" t="str">
        <f>IF(OR(履歴データ!$A$981="",履歴データ!$A$980=""),"",(J981-J980)*100)</f>
        <v/>
      </c>
      <c r="T981" s="11" t="str">
        <f>IF(OR(履歴データ!$A$981="",履歴データ!$A$980=""),"",-80000*K981)</f>
        <v/>
      </c>
      <c r="U981" s="11" t="str">
        <f>IF(OR(履歴データ!$A$981="",履歴データ!$A$980=""),"",60000*L981)</f>
        <v/>
      </c>
      <c r="V981" s="11" t="str">
        <f>IF(OR(履歴データ!$A$981="",履歴データ!$A$980=""),"",-50000*M981)</f>
        <v/>
      </c>
      <c r="W981" s="11" t="str">
        <f>IF(OR(履歴データ!$A$981="",履歴データ!$A$980=""),"",-40000*N981)</f>
        <v/>
      </c>
      <c r="X981" s="11" t="str">
        <f>IF(OR(履歴データ!$A$981="",履歴データ!$A$980=""),"",120*1000000*(-Q981/H980))</f>
        <v/>
      </c>
      <c r="Y981" s="11" t="str">
        <f>IF(OR(履歴データ!$A$981="",履歴データ!$A$980=""),"",40000*(-S981)+(-506.3)*R981*1000)</f>
        <v/>
      </c>
      <c r="Z981" s="11" t="str">
        <f>IF(OR(履歴データ!$A$981="",履歴データ!$A$980=""),"",-40000*O981)</f>
        <v/>
      </c>
      <c r="AA981" s="11" t="str">
        <f>IF(OR(履歴データ!$A$981="",履歴データ!$A$980=""),"",-40000*P981)</f>
        <v/>
      </c>
      <c r="AB981" s="11" t="str">
        <f>IF(履歴データ!$A$981="","",123.3)</f>
        <v/>
      </c>
      <c r="AC981" t="str">
        <f>IF(履歴データ!$A$981="","",SUM(T981:AA981))</f>
        <v/>
      </c>
      <c r="AD981" s="29" t="str">
        <f>IF(履歴データ!$A$981="","",AC981/1000000)</f>
        <v/>
      </c>
      <c r="AE981" s="29">
        <f>IF(履歴データ!$A$981="",AE980,AE980+AC981/1000000)</f>
        <v>70.844544225831427</v>
      </c>
      <c r="AF981" s="12" t="str">
        <f>IF(OR(履歴データ!$A$981="",AE980=0),"",(AE981-AE980)/AE980)</f>
        <v/>
      </c>
      <c r="AG981" s="29">
        <f t="shared" si="45"/>
        <v>102.17217746631495</v>
      </c>
      <c r="AH981" s="12" t="str">
        <f>IF(OR(履歴データ!$A$981="",AG981=0),"",AE981/AG981-1)</f>
        <v/>
      </c>
    </row>
    <row r="982" spans="1:34">
      <c r="A982" s="10" t="str">
        <f>IF(履歴データ!$A$982="","",履歴データ!$A$982)</f>
        <v/>
      </c>
      <c r="B982" s="28" t="str">
        <f>IF(履歴データ!$A$982="","",(履歴データ!$D$982-(履歴データ!$B$982+履歴データ!$F$982)/2)*100)</f>
        <v/>
      </c>
      <c r="C982" s="28" t="str">
        <f>IF(履歴データ!$A$982="","",(履歴データ!$H$982-(履歴データ!$G$982+履歴データ!$J$982)/2)*100)</f>
        <v/>
      </c>
      <c r="D982" s="28" t="str">
        <f>IF(履歴データ!$A$982="","",(履歴データ!$D$982-履歴データ!$H$982)*100)</f>
        <v/>
      </c>
      <c r="E982" s="28" t="str">
        <f>IF(履歴データ!$A$982="","",(履歴データ!$D$982-履歴データ!$C$982)*100)</f>
        <v/>
      </c>
      <c r="F982" s="28" t="str">
        <f>IF(履歴データ!$A$982="","",(履歴データ!$R$982-履歴データ!$D$982)*100)</f>
        <v/>
      </c>
      <c r="G982" s="28" t="str">
        <f>IF(履歴データ!$A$982="","",(履歴データ!$S$982-履歴データ!$R$982)*100)</f>
        <v/>
      </c>
      <c r="H982" s="29" t="str">
        <f>IF(履歴データ!$A$982="","",履歴データ!$O$982)</f>
        <v/>
      </c>
      <c r="I982" s="29" t="str">
        <f>IF(履歴データ!$A$982="","",履歴データ!$Q$982)</f>
        <v/>
      </c>
      <c r="J982" s="29" t="str">
        <f>IF(履歴データ!$A$982="","",履歴データ!$D$982)</f>
        <v/>
      </c>
      <c r="K982" s="28" t="str">
        <f>IF(OR(履歴データ!$A$982="",履歴データ!$A$981=""),"",B982-B981)</f>
        <v/>
      </c>
      <c r="L982" s="28" t="str">
        <f>IF(OR(履歴データ!$A$982="",履歴データ!$A$981=""),"",C982-C981)</f>
        <v/>
      </c>
      <c r="M982" s="28" t="str">
        <f>IF(OR(履歴データ!$A$982="",履歴データ!$A$981=""),"",D982-D981)</f>
        <v/>
      </c>
      <c r="N982" s="28" t="str">
        <f>IF(OR(履歴データ!$A$982="",履歴データ!$A$981=""),"",E982-E981)</f>
        <v/>
      </c>
      <c r="O982" s="28" t="str">
        <f>IF(OR(履歴データ!$A$982="",履歴データ!$A$981=""),"",F982-F981)</f>
        <v/>
      </c>
      <c r="P982" s="28" t="str">
        <f>IF(OR(履歴データ!$A$982="",履歴データ!$A$981=""),"",G982-G981)</f>
        <v/>
      </c>
      <c r="Q982" s="29" t="str">
        <f>IF(OR(履歴データ!$A$982="",履歴データ!$A$981=""),"",H982-H981)</f>
        <v/>
      </c>
      <c r="R982" s="29" t="str">
        <f>IF(OR(履歴データ!$A$982="",履歴データ!$A$981=""),"",I982-I981)</f>
        <v/>
      </c>
      <c r="S982" s="28" t="str">
        <f>IF(OR(履歴データ!$A$982="",履歴データ!$A$981=""),"",(J982-J981)*100)</f>
        <v/>
      </c>
      <c r="T982" s="11" t="str">
        <f>IF(OR(履歴データ!$A$982="",履歴データ!$A$981=""),"",-80000*K982)</f>
        <v/>
      </c>
      <c r="U982" s="11" t="str">
        <f>IF(OR(履歴データ!$A$982="",履歴データ!$A$981=""),"",60000*L982)</f>
        <v/>
      </c>
      <c r="V982" s="11" t="str">
        <f>IF(OR(履歴データ!$A$982="",履歴データ!$A$981=""),"",-50000*M982)</f>
        <v/>
      </c>
      <c r="W982" s="11" t="str">
        <f>IF(OR(履歴データ!$A$982="",履歴データ!$A$981=""),"",-40000*N982)</f>
        <v/>
      </c>
      <c r="X982" s="11" t="str">
        <f>IF(OR(履歴データ!$A$982="",履歴データ!$A$981=""),"",120*1000000*(-Q982/H981))</f>
        <v/>
      </c>
      <c r="Y982" s="11" t="str">
        <f>IF(OR(履歴データ!$A$982="",履歴データ!$A$981=""),"",40000*(-S982)+(-506.3)*R982*1000)</f>
        <v/>
      </c>
      <c r="Z982" s="11" t="str">
        <f>IF(OR(履歴データ!$A$982="",履歴データ!$A$981=""),"",-40000*O982)</f>
        <v/>
      </c>
      <c r="AA982" s="11" t="str">
        <f>IF(OR(履歴データ!$A$982="",履歴データ!$A$981=""),"",-40000*P982)</f>
        <v/>
      </c>
      <c r="AB982" s="11" t="str">
        <f>IF(履歴データ!$A$982="","",123.3)</f>
        <v/>
      </c>
      <c r="AC982" t="str">
        <f>IF(履歴データ!$A$982="","",SUM(T982:AA982))</f>
        <v/>
      </c>
      <c r="AD982" s="29" t="str">
        <f>IF(履歴データ!$A$982="","",AC982/1000000)</f>
        <v/>
      </c>
      <c r="AE982" s="29">
        <f>IF(履歴データ!$A$982="",AE981,AE981+AC982/1000000)</f>
        <v>70.844544225831427</v>
      </c>
      <c r="AF982" s="12" t="str">
        <f>IF(OR(履歴データ!$A$982="",AE981=0),"",(AE982-AE981)/AE981)</f>
        <v/>
      </c>
      <c r="AG982" s="29">
        <f t="shared" si="45"/>
        <v>102.17217746631495</v>
      </c>
      <c r="AH982" s="12" t="str">
        <f>IF(OR(履歴データ!$A$982="",AG982=0),"",AE982/AG982-1)</f>
        <v/>
      </c>
    </row>
    <row r="983" spans="1:34">
      <c r="A983" s="10" t="str">
        <f>IF(履歴データ!$A$983="","",履歴データ!$A$983)</f>
        <v/>
      </c>
      <c r="B983" s="28" t="str">
        <f>IF(履歴データ!$A$983="","",(履歴データ!$D$983-(履歴データ!$B$983+履歴データ!$F$983)/2)*100)</f>
        <v/>
      </c>
      <c r="C983" s="28" t="str">
        <f>IF(履歴データ!$A$983="","",(履歴データ!$H$983-(履歴データ!$G$983+履歴データ!$J$983)/2)*100)</f>
        <v/>
      </c>
      <c r="D983" s="28" t="str">
        <f>IF(履歴データ!$A$983="","",(履歴データ!$D$983-履歴データ!$H$983)*100)</f>
        <v/>
      </c>
      <c r="E983" s="28" t="str">
        <f>IF(履歴データ!$A$983="","",(履歴データ!$D$983-履歴データ!$C$983)*100)</f>
        <v/>
      </c>
      <c r="F983" s="28" t="str">
        <f>IF(履歴データ!$A$983="","",(履歴データ!$R$983-履歴データ!$D$983)*100)</f>
        <v/>
      </c>
      <c r="G983" s="28" t="str">
        <f>IF(履歴データ!$A$983="","",(履歴データ!$S$983-履歴データ!$R$983)*100)</f>
        <v/>
      </c>
      <c r="H983" s="29" t="str">
        <f>IF(履歴データ!$A$983="","",履歴データ!$O$983)</f>
        <v/>
      </c>
      <c r="I983" s="29" t="str">
        <f>IF(履歴データ!$A$983="","",履歴データ!$Q$983)</f>
        <v/>
      </c>
      <c r="J983" s="29" t="str">
        <f>IF(履歴データ!$A$983="","",履歴データ!$D$983)</f>
        <v/>
      </c>
      <c r="K983" s="28" t="str">
        <f>IF(OR(履歴データ!$A$983="",履歴データ!$A$982=""),"",B983-B982)</f>
        <v/>
      </c>
      <c r="L983" s="28" t="str">
        <f>IF(OR(履歴データ!$A$983="",履歴データ!$A$982=""),"",C983-C982)</f>
        <v/>
      </c>
      <c r="M983" s="28" t="str">
        <f>IF(OR(履歴データ!$A$983="",履歴データ!$A$982=""),"",D983-D982)</f>
        <v/>
      </c>
      <c r="N983" s="28" t="str">
        <f>IF(OR(履歴データ!$A$983="",履歴データ!$A$982=""),"",E983-E982)</f>
        <v/>
      </c>
      <c r="O983" s="28" t="str">
        <f>IF(OR(履歴データ!$A$983="",履歴データ!$A$982=""),"",F983-F982)</f>
        <v/>
      </c>
      <c r="P983" s="28" t="str">
        <f>IF(OR(履歴データ!$A$983="",履歴データ!$A$982=""),"",G983-G982)</f>
        <v/>
      </c>
      <c r="Q983" s="29" t="str">
        <f>IF(OR(履歴データ!$A$983="",履歴データ!$A$982=""),"",H983-H982)</f>
        <v/>
      </c>
      <c r="R983" s="29" t="str">
        <f>IF(OR(履歴データ!$A$983="",履歴データ!$A$982=""),"",I983-I982)</f>
        <v/>
      </c>
      <c r="S983" s="28" t="str">
        <f>IF(OR(履歴データ!$A$983="",履歴データ!$A$982=""),"",(J983-J982)*100)</f>
        <v/>
      </c>
      <c r="T983" s="11" t="str">
        <f>IF(OR(履歴データ!$A$983="",履歴データ!$A$982=""),"",-80000*K983)</f>
        <v/>
      </c>
      <c r="U983" s="11" t="str">
        <f>IF(OR(履歴データ!$A$983="",履歴データ!$A$982=""),"",60000*L983)</f>
        <v/>
      </c>
      <c r="V983" s="11" t="str">
        <f>IF(OR(履歴データ!$A$983="",履歴データ!$A$982=""),"",-50000*M983)</f>
        <v/>
      </c>
      <c r="W983" s="11" t="str">
        <f>IF(OR(履歴データ!$A$983="",履歴データ!$A$982=""),"",-40000*N983)</f>
        <v/>
      </c>
      <c r="X983" s="11" t="str">
        <f>IF(OR(履歴データ!$A$983="",履歴データ!$A$982=""),"",120*1000000*(-Q983/H982))</f>
        <v/>
      </c>
      <c r="Y983" s="11" t="str">
        <f>IF(OR(履歴データ!$A$983="",履歴データ!$A$982=""),"",40000*(-S983)+(-506.3)*R983*1000)</f>
        <v/>
      </c>
      <c r="Z983" s="11" t="str">
        <f>IF(OR(履歴データ!$A$983="",履歴データ!$A$982=""),"",-40000*O983)</f>
        <v/>
      </c>
      <c r="AA983" s="11" t="str">
        <f>IF(OR(履歴データ!$A$983="",履歴データ!$A$982=""),"",-40000*P983)</f>
        <v/>
      </c>
      <c r="AB983" s="11" t="str">
        <f>IF(履歴データ!$A$983="","",123.3)</f>
        <v/>
      </c>
      <c r="AC983" t="str">
        <f>IF(履歴データ!$A$983="","",SUM(T983:AA983))</f>
        <v/>
      </c>
      <c r="AD983" s="29" t="str">
        <f>IF(履歴データ!$A$983="","",AC983/1000000)</f>
        <v/>
      </c>
      <c r="AE983" s="29">
        <f>IF(履歴データ!$A$983="",AE982,AE982+AC983/1000000)</f>
        <v>70.844544225831427</v>
      </c>
      <c r="AF983" s="12" t="str">
        <f>IF(OR(履歴データ!$A$983="",AE982=0),"",(AE983-AE982)/AE982)</f>
        <v/>
      </c>
      <c r="AG983" s="29">
        <f t="shared" si="45"/>
        <v>102.17217746631495</v>
      </c>
      <c r="AH983" s="12" t="str">
        <f>IF(OR(履歴データ!$A$983="",AG983=0),"",AE983/AG983-1)</f>
        <v/>
      </c>
    </row>
    <row r="984" spans="1:34">
      <c r="A984" s="10" t="str">
        <f>IF(履歴データ!$A$984="","",履歴データ!$A$984)</f>
        <v/>
      </c>
      <c r="B984" s="28" t="str">
        <f>IF(履歴データ!$A$984="","",(履歴データ!$D$984-(履歴データ!$B$984+履歴データ!$F$984)/2)*100)</f>
        <v/>
      </c>
      <c r="C984" s="28" t="str">
        <f>IF(履歴データ!$A$984="","",(履歴データ!$H$984-(履歴データ!$G$984+履歴データ!$J$984)/2)*100)</f>
        <v/>
      </c>
      <c r="D984" s="28" t="str">
        <f>IF(履歴データ!$A$984="","",(履歴データ!$D$984-履歴データ!$H$984)*100)</f>
        <v/>
      </c>
      <c r="E984" s="28" t="str">
        <f>IF(履歴データ!$A$984="","",(履歴データ!$D$984-履歴データ!$C$984)*100)</f>
        <v/>
      </c>
      <c r="F984" s="28" t="str">
        <f>IF(履歴データ!$A$984="","",(履歴データ!$R$984-履歴データ!$D$984)*100)</f>
        <v/>
      </c>
      <c r="G984" s="28" t="str">
        <f>IF(履歴データ!$A$984="","",(履歴データ!$S$984-履歴データ!$R$984)*100)</f>
        <v/>
      </c>
      <c r="H984" s="29" t="str">
        <f>IF(履歴データ!$A$984="","",履歴データ!$O$984)</f>
        <v/>
      </c>
      <c r="I984" s="29" t="str">
        <f>IF(履歴データ!$A$984="","",履歴データ!$Q$984)</f>
        <v/>
      </c>
      <c r="J984" s="29" t="str">
        <f>IF(履歴データ!$A$984="","",履歴データ!$D$984)</f>
        <v/>
      </c>
      <c r="K984" s="28" t="str">
        <f>IF(OR(履歴データ!$A$984="",履歴データ!$A$983=""),"",B984-B983)</f>
        <v/>
      </c>
      <c r="L984" s="28" t="str">
        <f>IF(OR(履歴データ!$A$984="",履歴データ!$A$983=""),"",C984-C983)</f>
        <v/>
      </c>
      <c r="M984" s="28" t="str">
        <f>IF(OR(履歴データ!$A$984="",履歴データ!$A$983=""),"",D984-D983)</f>
        <v/>
      </c>
      <c r="N984" s="28" t="str">
        <f>IF(OR(履歴データ!$A$984="",履歴データ!$A$983=""),"",E984-E983)</f>
        <v/>
      </c>
      <c r="O984" s="28" t="str">
        <f>IF(OR(履歴データ!$A$984="",履歴データ!$A$983=""),"",F984-F983)</f>
        <v/>
      </c>
      <c r="P984" s="28" t="str">
        <f>IF(OR(履歴データ!$A$984="",履歴データ!$A$983=""),"",G984-G983)</f>
        <v/>
      </c>
      <c r="Q984" s="29" t="str">
        <f>IF(OR(履歴データ!$A$984="",履歴データ!$A$983=""),"",H984-H983)</f>
        <v/>
      </c>
      <c r="R984" s="29" t="str">
        <f>IF(OR(履歴データ!$A$984="",履歴データ!$A$983=""),"",I984-I983)</f>
        <v/>
      </c>
      <c r="S984" s="28" t="str">
        <f>IF(OR(履歴データ!$A$984="",履歴データ!$A$983=""),"",(J984-J983)*100)</f>
        <v/>
      </c>
      <c r="T984" s="11" t="str">
        <f>IF(OR(履歴データ!$A$984="",履歴データ!$A$983=""),"",-80000*K984)</f>
        <v/>
      </c>
      <c r="U984" s="11" t="str">
        <f>IF(OR(履歴データ!$A$984="",履歴データ!$A$983=""),"",60000*L984)</f>
        <v/>
      </c>
      <c r="V984" s="11" t="str">
        <f>IF(OR(履歴データ!$A$984="",履歴データ!$A$983=""),"",-50000*M984)</f>
        <v/>
      </c>
      <c r="W984" s="11" t="str">
        <f>IF(OR(履歴データ!$A$984="",履歴データ!$A$983=""),"",-40000*N984)</f>
        <v/>
      </c>
      <c r="X984" s="11" t="str">
        <f>IF(OR(履歴データ!$A$984="",履歴データ!$A$983=""),"",120*1000000*(-Q984/H983))</f>
        <v/>
      </c>
      <c r="Y984" s="11" t="str">
        <f>IF(OR(履歴データ!$A$984="",履歴データ!$A$983=""),"",40000*(-S984)+(-506.3)*R984*1000)</f>
        <v/>
      </c>
      <c r="Z984" s="11" t="str">
        <f>IF(OR(履歴データ!$A$984="",履歴データ!$A$983=""),"",-40000*O984)</f>
        <v/>
      </c>
      <c r="AA984" s="11" t="str">
        <f>IF(OR(履歴データ!$A$984="",履歴データ!$A$983=""),"",-40000*P984)</f>
        <v/>
      </c>
      <c r="AB984" s="11" t="str">
        <f>IF(履歴データ!$A$984="","",123.3)</f>
        <v/>
      </c>
      <c r="AC984" t="str">
        <f>IF(履歴データ!$A$984="","",SUM(T984:AA984))</f>
        <v/>
      </c>
      <c r="AD984" s="29" t="str">
        <f>IF(履歴データ!$A$984="","",AC984/1000000)</f>
        <v/>
      </c>
      <c r="AE984" s="29">
        <f>IF(履歴データ!$A$984="",AE983,AE983+AC984/1000000)</f>
        <v>70.844544225831427</v>
      </c>
      <c r="AF984" s="12" t="str">
        <f>IF(OR(履歴データ!$A$984="",AE983=0),"",(AE984-AE983)/AE983)</f>
        <v/>
      </c>
      <c r="AG984" s="29">
        <f t="shared" si="45"/>
        <v>102.17217746631495</v>
      </c>
      <c r="AH984" s="12" t="str">
        <f>IF(OR(履歴データ!$A$984="",AG984=0),"",AE984/AG984-1)</f>
        <v/>
      </c>
    </row>
    <row r="985" spans="1:34">
      <c r="A985" s="10" t="str">
        <f>IF(履歴データ!$A$985="","",履歴データ!$A$985)</f>
        <v/>
      </c>
      <c r="B985" s="28" t="str">
        <f>IF(履歴データ!$A$985="","",(履歴データ!$D$985-(履歴データ!$B$985+履歴データ!$F$985)/2)*100)</f>
        <v/>
      </c>
      <c r="C985" s="28" t="str">
        <f>IF(履歴データ!$A$985="","",(履歴データ!$H$985-(履歴データ!$G$985+履歴データ!$J$985)/2)*100)</f>
        <v/>
      </c>
      <c r="D985" s="28" t="str">
        <f>IF(履歴データ!$A$985="","",(履歴データ!$D$985-履歴データ!$H$985)*100)</f>
        <v/>
      </c>
      <c r="E985" s="28" t="str">
        <f>IF(履歴データ!$A$985="","",(履歴データ!$D$985-履歴データ!$C$985)*100)</f>
        <v/>
      </c>
      <c r="F985" s="28" t="str">
        <f>IF(履歴データ!$A$985="","",(履歴データ!$R$985-履歴データ!$D$985)*100)</f>
        <v/>
      </c>
      <c r="G985" s="28" t="str">
        <f>IF(履歴データ!$A$985="","",(履歴データ!$S$985-履歴データ!$R$985)*100)</f>
        <v/>
      </c>
      <c r="H985" s="29" t="str">
        <f>IF(履歴データ!$A$985="","",履歴データ!$O$985)</f>
        <v/>
      </c>
      <c r="I985" s="29" t="str">
        <f>IF(履歴データ!$A$985="","",履歴データ!$Q$985)</f>
        <v/>
      </c>
      <c r="J985" s="29" t="str">
        <f>IF(履歴データ!$A$985="","",履歴データ!$D$985)</f>
        <v/>
      </c>
      <c r="K985" s="28" t="str">
        <f>IF(OR(履歴データ!$A$985="",履歴データ!$A$984=""),"",B985-B984)</f>
        <v/>
      </c>
      <c r="L985" s="28" t="str">
        <f>IF(OR(履歴データ!$A$985="",履歴データ!$A$984=""),"",C985-C984)</f>
        <v/>
      </c>
      <c r="M985" s="28" t="str">
        <f>IF(OR(履歴データ!$A$985="",履歴データ!$A$984=""),"",D985-D984)</f>
        <v/>
      </c>
      <c r="N985" s="28" t="str">
        <f>IF(OR(履歴データ!$A$985="",履歴データ!$A$984=""),"",E985-E984)</f>
        <v/>
      </c>
      <c r="O985" s="28" t="str">
        <f>IF(OR(履歴データ!$A$985="",履歴データ!$A$984=""),"",F985-F984)</f>
        <v/>
      </c>
      <c r="P985" s="28" t="str">
        <f>IF(OR(履歴データ!$A$985="",履歴データ!$A$984=""),"",G985-G984)</f>
        <v/>
      </c>
      <c r="Q985" s="29" t="str">
        <f>IF(OR(履歴データ!$A$985="",履歴データ!$A$984=""),"",H985-H984)</f>
        <v/>
      </c>
      <c r="R985" s="29" t="str">
        <f>IF(OR(履歴データ!$A$985="",履歴データ!$A$984=""),"",I985-I984)</f>
        <v/>
      </c>
      <c r="S985" s="28" t="str">
        <f>IF(OR(履歴データ!$A$985="",履歴データ!$A$984=""),"",(J985-J984)*100)</f>
        <v/>
      </c>
      <c r="T985" s="11" t="str">
        <f>IF(OR(履歴データ!$A$985="",履歴データ!$A$984=""),"",-80000*K985)</f>
        <v/>
      </c>
      <c r="U985" s="11" t="str">
        <f>IF(OR(履歴データ!$A$985="",履歴データ!$A$984=""),"",60000*L985)</f>
        <v/>
      </c>
      <c r="V985" s="11" t="str">
        <f>IF(OR(履歴データ!$A$985="",履歴データ!$A$984=""),"",-50000*M985)</f>
        <v/>
      </c>
      <c r="W985" s="11" t="str">
        <f>IF(OR(履歴データ!$A$985="",履歴データ!$A$984=""),"",-40000*N985)</f>
        <v/>
      </c>
      <c r="X985" s="11" t="str">
        <f>IF(OR(履歴データ!$A$985="",履歴データ!$A$984=""),"",120*1000000*(-Q985/H984))</f>
        <v/>
      </c>
      <c r="Y985" s="11" t="str">
        <f>IF(OR(履歴データ!$A$985="",履歴データ!$A$984=""),"",40000*(-S985)+(-506.3)*R985*1000)</f>
        <v/>
      </c>
      <c r="Z985" s="11" t="str">
        <f>IF(OR(履歴データ!$A$985="",履歴データ!$A$984=""),"",-40000*O985)</f>
        <v/>
      </c>
      <c r="AA985" s="11" t="str">
        <f>IF(OR(履歴データ!$A$985="",履歴データ!$A$984=""),"",-40000*P985)</f>
        <v/>
      </c>
      <c r="AB985" s="11" t="str">
        <f>IF(履歴データ!$A$985="","",123.3)</f>
        <v/>
      </c>
      <c r="AC985" t="str">
        <f>IF(履歴データ!$A$985="","",SUM(T985:AA985))</f>
        <v/>
      </c>
      <c r="AD985" s="29" t="str">
        <f>IF(履歴データ!$A$985="","",AC985/1000000)</f>
        <v/>
      </c>
      <c r="AE985" s="29">
        <f>IF(履歴データ!$A$985="",AE984,AE984+AC985/1000000)</f>
        <v>70.844544225831427</v>
      </c>
      <c r="AF985" s="12" t="str">
        <f>IF(OR(履歴データ!$A$985="",AE984=0),"",(AE985-AE984)/AE984)</f>
        <v/>
      </c>
      <c r="AG985" s="29">
        <f t="shared" si="45"/>
        <v>102.17217746631495</v>
      </c>
      <c r="AH985" s="12" t="str">
        <f>IF(OR(履歴データ!$A$985="",AG985=0),"",AE985/AG985-1)</f>
        <v/>
      </c>
    </row>
    <row r="986" spans="1:34">
      <c r="A986" s="10" t="str">
        <f>IF(履歴データ!$A$986="","",履歴データ!$A$986)</f>
        <v/>
      </c>
      <c r="B986" s="28" t="str">
        <f>IF(履歴データ!$A$986="","",(履歴データ!$D$986-(履歴データ!$B$986+履歴データ!$F$986)/2)*100)</f>
        <v/>
      </c>
      <c r="C986" s="28" t="str">
        <f>IF(履歴データ!$A$986="","",(履歴データ!$H$986-(履歴データ!$G$986+履歴データ!$J$986)/2)*100)</f>
        <v/>
      </c>
      <c r="D986" s="28" t="str">
        <f>IF(履歴データ!$A$986="","",(履歴データ!$D$986-履歴データ!$H$986)*100)</f>
        <v/>
      </c>
      <c r="E986" s="28" t="str">
        <f>IF(履歴データ!$A$986="","",(履歴データ!$D$986-履歴データ!$C$986)*100)</f>
        <v/>
      </c>
      <c r="F986" s="28" t="str">
        <f>IF(履歴データ!$A$986="","",(履歴データ!$R$986-履歴データ!$D$986)*100)</f>
        <v/>
      </c>
      <c r="G986" s="28" t="str">
        <f>IF(履歴データ!$A$986="","",(履歴データ!$S$986-履歴データ!$R$986)*100)</f>
        <v/>
      </c>
      <c r="H986" s="29" t="str">
        <f>IF(履歴データ!$A$986="","",履歴データ!$O$986)</f>
        <v/>
      </c>
      <c r="I986" s="29" t="str">
        <f>IF(履歴データ!$A$986="","",履歴データ!$Q$986)</f>
        <v/>
      </c>
      <c r="J986" s="29" t="str">
        <f>IF(履歴データ!$A$986="","",履歴データ!$D$986)</f>
        <v/>
      </c>
      <c r="K986" s="28" t="str">
        <f>IF(OR(履歴データ!$A$986="",履歴データ!$A$985=""),"",B986-B985)</f>
        <v/>
      </c>
      <c r="L986" s="28" t="str">
        <f>IF(OR(履歴データ!$A$986="",履歴データ!$A$985=""),"",C986-C985)</f>
        <v/>
      </c>
      <c r="M986" s="28" t="str">
        <f>IF(OR(履歴データ!$A$986="",履歴データ!$A$985=""),"",D986-D985)</f>
        <v/>
      </c>
      <c r="N986" s="28" t="str">
        <f>IF(OR(履歴データ!$A$986="",履歴データ!$A$985=""),"",E986-E985)</f>
        <v/>
      </c>
      <c r="O986" s="28" t="str">
        <f>IF(OR(履歴データ!$A$986="",履歴データ!$A$985=""),"",F986-F985)</f>
        <v/>
      </c>
      <c r="P986" s="28" t="str">
        <f>IF(OR(履歴データ!$A$986="",履歴データ!$A$985=""),"",G986-G985)</f>
        <v/>
      </c>
      <c r="Q986" s="29" t="str">
        <f>IF(OR(履歴データ!$A$986="",履歴データ!$A$985=""),"",H986-H985)</f>
        <v/>
      </c>
      <c r="R986" s="29" t="str">
        <f>IF(OR(履歴データ!$A$986="",履歴データ!$A$985=""),"",I986-I985)</f>
        <v/>
      </c>
      <c r="S986" s="28" t="str">
        <f>IF(OR(履歴データ!$A$986="",履歴データ!$A$985=""),"",(J986-J985)*100)</f>
        <v/>
      </c>
      <c r="T986" s="11" t="str">
        <f>IF(OR(履歴データ!$A$986="",履歴データ!$A$985=""),"",-80000*K986)</f>
        <v/>
      </c>
      <c r="U986" s="11" t="str">
        <f>IF(OR(履歴データ!$A$986="",履歴データ!$A$985=""),"",60000*L986)</f>
        <v/>
      </c>
      <c r="V986" s="11" t="str">
        <f>IF(OR(履歴データ!$A$986="",履歴データ!$A$985=""),"",-50000*M986)</f>
        <v/>
      </c>
      <c r="W986" s="11" t="str">
        <f>IF(OR(履歴データ!$A$986="",履歴データ!$A$985=""),"",-40000*N986)</f>
        <v/>
      </c>
      <c r="X986" s="11" t="str">
        <f>IF(OR(履歴データ!$A$986="",履歴データ!$A$985=""),"",120*1000000*(-Q986/H985))</f>
        <v/>
      </c>
      <c r="Y986" s="11" t="str">
        <f>IF(OR(履歴データ!$A$986="",履歴データ!$A$985=""),"",40000*(-S986)+(-506.3)*R986*1000)</f>
        <v/>
      </c>
      <c r="Z986" s="11" t="str">
        <f>IF(OR(履歴データ!$A$986="",履歴データ!$A$985=""),"",-40000*O986)</f>
        <v/>
      </c>
      <c r="AA986" s="11" t="str">
        <f>IF(OR(履歴データ!$A$986="",履歴データ!$A$985=""),"",-40000*P986)</f>
        <v/>
      </c>
      <c r="AB986" s="11" t="str">
        <f>IF(履歴データ!$A$986="","",123.3)</f>
        <v/>
      </c>
      <c r="AC986" t="str">
        <f>IF(履歴データ!$A$986="","",SUM(T986:AA986))</f>
        <v/>
      </c>
      <c r="AD986" s="29" t="str">
        <f>IF(履歴データ!$A$986="","",AC986/1000000)</f>
        <v/>
      </c>
      <c r="AE986" s="29">
        <f>IF(履歴データ!$A$986="",AE985,AE985+AC986/1000000)</f>
        <v>70.844544225831427</v>
      </c>
      <c r="AF986" s="12" t="str">
        <f>IF(OR(履歴データ!$A$986="",AE985=0),"",(AE986-AE985)/AE985)</f>
        <v/>
      </c>
      <c r="AG986" s="29">
        <f t="shared" si="45"/>
        <v>102.17217746631495</v>
      </c>
      <c r="AH986" s="12" t="str">
        <f>IF(OR(履歴データ!$A$986="",AG986=0),"",AE986/AG986-1)</f>
        <v/>
      </c>
    </row>
    <row r="987" spans="1:34">
      <c r="A987" s="10" t="str">
        <f>IF(履歴データ!$A$987="","",履歴データ!$A$987)</f>
        <v/>
      </c>
      <c r="B987" s="28" t="str">
        <f>IF(履歴データ!$A$987="","",(履歴データ!$D$987-(履歴データ!$B$987+履歴データ!$F$987)/2)*100)</f>
        <v/>
      </c>
      <c r="C987" s="28" t="str">
        <f>IF(履歴データ!$A$987="","",(履歴データ!$H$987-(履歴データ!$G$987+履歴データ!$J$987)/2)*100)</f>
        <v/>
      </c>
      <c r="D987" s="28" t="str">
        <f>IF(履歴データ!$A$987="","",(履歴データ!$D$987-履歴データ!$H$987)*100)</f>
        <v/>
      </c>
      <c r="E987" s="28" t="str">
        <f>IF(履歴データ!$A$987="","",(履歴データ!$D$987-履歴データ!$C$987)*100)</f>
        <v/>
      </c>
      <c r="F987" s="28" t="str">
        <f>IF(履歴データ!$A$987="","",(履歴データ!$R$987-履歴データ!$D$987)*100)</f>
        <v/>
      </c>
      <c r="G987" s="28" t="str">
        <f>IF(履歴データ!$A$987="","",(履歴データ!$S$987-履歴データ!$R$987)*100)</f>
        <v/>
      </c>
      <c r="H987" s="29" t="str">
        <f>IF(履歴データ!$A$987="","",履歴データ!$O$987)</f>
        <v/>
      </c>
      <c r="I987" s="29" t="str">
        <f>IF(履歴データ!$A$987="","",履歴データ!$Q$987)</f>
        <v/>
      </c>
      <c r="J987" s="29" t="str">
        <f>IF(履歴データ!$A$987="","",履歴データ!$D$987)</f>
        <v/>
      </c>
      <c r="K987" s="28" t="str">
        <f>IF(OR(履歴データ!$A$987="",履歴データ!$A$986=""),"",B987-B986)</f>
        <v/>
      </c>
      <c r="L987" s="28" t="str">
        <f>IF(OR(履歴データ!$A$987="",履歴データ!$A$986=""),"",C987-C986)</f>
        <v/>
      </c>
      <c r="M987" s="28" t="str">
        <f>IF(OR(履歴データ!$A$987="",履歴データ!$A$986=""),"",D987-D986)</f>
        <v/>
      </c>
      <c r="N987" s="28" t="str">
        <f>IF(OR(履歴データ!$A$987="",履歴データ!$A$986=""),"",E987-E986)</f>
        <v/>
      </c>
      <c r="O987" s="28" t="str">
        <f>IF(OR(履歴データ!$A$987="",履歴データ!$A$986=""),"",F987-F986)</f>
        <v/>
      </c>
      <c r="P987" s="28" t="str">
        <f>IF(OR(履歴データ!$A$987="",履歴データ!$A$986=""),"",G987-G986)</f>
        <v/>
      </c>
      <c r="Q987" s="29" t="str">
        <f>IF(OR(履歴データ!$A$987="",履歴データ!$A$986=""),"",H987-H986)</f>
        <v/>
      </c>
      <c r="R987" s="29" t="str">
        <f>IF(OR(履歴データ!$A$987="",履歴データ!$A$986=""),"",I987-I986)</f>
        <v/>
      </c>
      <c r="S987" s="28" t="str">
        <f>IF(OR(履歴データ!$A$987="",履歴データ!$A$986=""),"",(J987-J986)*100)</f>
        <v/>
      </c>
      <c r="T987" s="11" t="str">
        <f>IF(OR(履歴データ!$A$987="",履歴データ!$A$986=""),"",-80000*K987)</f>
        <v/>
      </c>
      <c r="U987" s="11" t="str">
        <f>IF(OR(履歴データ!$A$987="",履歴データ!$A$986=""),"",60000*L987)</f>
        <v/>
      </c>
      <c r="V987" s="11" t="str">
        <f>IF(OR(履歴データ!$A$987="",履歴データ!$A$986=""),"",-50000*M987)</f>
        <v/>
      </c>
      <c r="W987" s="11" t="str">
        <f>IF(OR(履歴データ!$A$987="",履歴データ!$A$986=""),"",-40000*N987)</f>
        <v/>
      </c>
      <c r="X987" s="11" t="str">
        <f>IF(OR(履歴データ!$A$987="",履歴データ!$A$986=""),"",120*1000000*(-Q987/H986))</f>
        <v/>
      </c>
      <c r="Y987" s="11" t="str">
        <f>IF(OR(履歴データ!$A$987="",履歴データ!$A$986=""),"",40000*(-S987)+(-506.3)*R987*1000)</f>
        <v/>
      </c>
      <c r="Z987" s="11" t="str">
        <f>IF(OR(履歴データ!$A$987="",履歴データ!$A$986=""),"",-40000*O987)</f>
        <v/>
      </c>
      <c r="AA987" s="11" t="str">
        <f>IF(OR(履歴データ!$A$987="",履歴データ!$A$986=""),"",-40000*P987)</f>
        <v/>
      </c>
      <c r="AB987" s="11" t="str">
        <f>IF(履歴データ!$A$987="","",123.3)</f>
        <v/>
      </c>
      <c r="AC987" t="str">
        <f>IF(履歴データ!$A$987="","",SUM(T987:AA987))</f>
        <v/>
      </c>
      <c r="AD987" s="29" t="str">
        <f>IF(履歴データ!$A$987="","",AC987/1000000)</f>
        <v/>
      </c>
      <c r="AE987" s="29">
        <f>IF(履歴データ!$A$987="",AE986,AE986+AC987/1000000)</f>
        <v>70.844544225831427</v>
      </c>
      <c r="AF987" s="12" t="str">
        <f>IF(OR(履歴データ!$A$987="",AE986=0),"",(AE987-AE986)/AE986)</f>
        <v/>
      </c>
      <c r="AG987" s="29">
        <f t="shared" si="45"/>
        <v>102.17217746631495</v>
      </c>
      <c r="AH987" s="12" t="str">
        <f>IF(OR(履歴データ!$A$987="",AG987=0),"",AE987/AG987-1)</f>
        <v/>
      </c>
    </row>
    <row r="988" spans="1:34">
      <c r="A988" s="10" t="str">
        <f>IF(履歴データ!$A$988="","",履歴データ!$A$988)</f>
        <v/>
      </c>
      <c r="B988" s="28" t="str">
        <f>IF(履歴データ!$A$988="","",(履歴データ!$D$988-(履歴データ!$B$988+履歴データ!$F$988)/2)*100)</f>
        <v/>
      </c>
      <c r="C988" s="28" t="str">
        <f>IF(履歴データ!$A$988="","",(履歴データ!$H$988-(履歴データ!$G$988+履歴データ!$J$988)/2)*100)</f>
        <v/>
      </c>
      <c r="D988" s="28" t="str">
        <f>IF(履歴データ!$A$988="","",(履歴データ!$D$988-履歴データ!$H$988)*100)</f>
        <v/>
      </c>
      <c r="E988" s="28" t="str">
        <f>IF(履歴データ!$A$988="","",(履歴データ!$D$988-履歴データ!$C$988)*100)</f>
        <v/>
      </c>
      <c r="F988" s="28" t="str">
        <f>IF(履歴データ!$A$988="","",(履歴データ!$R$988-履歴データ!$D$988)*100)</f>
        <v/>
      </c>
      <c r="G988" s="28" t="str">
        <f>IF(履歴データ!$A$988="","",(履歴データ!$S$988-履歴データ!$R$988)*100)</f>
        <v/>
      </c>
      <c r="H988" s="29" t="str">
        <f>IF(履歴データ!$A$988="","",履歴データ!$O$988)</f>
        <v/>
      </c>
      <c r="I988" s="29" t="str">
        <f>IF(履歴データ!$A$988="","",履歴データ!$Q$988)</f>
        <v/>
      </c>
      <c r="J988" s="29" t="str">
        <f>IF(履歴データ!$A$988="","",履歴データ!$D$988)</f>
        <v/>
      </c>
      <c r="K988" s="28" t="str">
        <f>IF(OR(履歴データ!$A$988="",履歴データ!$A$987=""),"",B988-B987)</f>
        <v/>
      </c>
      <c r="L988" s="28" t="str">
        <f>IF(OR(履歴データ!$A$988="",履歴データ!$A$987=""),"",C988-C987)</f>
        <v/>
      </c>
      <c r="M988" s="28" t="str">
        <f>IF(OR(履歴データ!$A$988="",履歴データ!$A$987=""),"",D988-D987)</f>
        <v/>
      </c>
      <c r="N988" s="28" t="str">
        <f>IF(OR(履歴データ!$A$988="",履歴データ!$A$987=""),"",E988-E987)</f>
        <v/>
      </c>
      <c r="O988" s="28" t="str">
        <f>IF(OR(履歴データ!$A$988="",履歴データ!$A$987=""),"",F988-F987)</f>
        <v/>
      </c>
      <c r="P988" s="28" t="str">
        <f>IF(OR(履歴データ!$A$988="",履歴データ!$A$987=""),"",G988-G987)</f>
        <v/>
      </c>
      <c r="Q988" s="29" t="str">
        <f>IF(OR(履歴データ!$A$988="",履歴データ!$A$987=""),"",H988-H987)</f>
        <v/>
      </c>
      <c r="R988" s="29" t="str">
        <f>IF(OR(履歴データ!$A$988="",履歴データ!$A$987=""),"",I988-I987)</f>
        <v/>
      </c>
      <c r="S988" s="28" t="str">
        <f>IF(OR(履歴データ!$A$988="",履歴データ!$A$987=""),"",(J988-J987)*100)</f>
        <v/>
      </c>
      <c r="T988" s="11" t="str">
        <f>IF(OR(履歴データ!$A$988="",履歴データ!$A$987=""),"",-80000*K988)</f>
        <v/>
      </c>
      <c r="U988" s="11" t="str">
        <f>IF(OR(履歴データ!$A$988="",履歴データ!$A$987=""),"",60000*L988)</f>
        <v/>
      </c>
      <c r="V988" s="11" t="str">
        <f>IF(OR(履歴データ!$A$988="",履歴データ!$A$987=""),"",-50000*M988)</f>
        <v/>
      </c>
      <c r="W988" s="11" t="str">
        <f>IF(OR(履歴データ!$A$988="",履歴データ!$A$987=""),"",-40000*N988)</f>
        <v/>
      </c>
      <c r="X988" s="11" t="str">
        <f>IF(OR(履歴データ!$A$988="",履歴データ!$A$987=""),"",120*1000000*(-Q988/H987))</f>
        <v/>
      </c>
      <c r="Y988" s="11" t="str">
        <f>IF(OR(履歴データ!$A$988="",履歴データ!$A$987=""),"",40000*(-S988)+(-506.3)*R988*1000)</f>
        <v/>
      </c>
      <c r="Z988" s="11" t="str">
        <f>IF(OR(履歴データ!$A$988="",履歴データ!$A$987=""),"",-40000*O988)</f>
        <v/>
      </c>
      <c r="AA988" s="11" t="str">
        <f>IF(OR(履歴データ!$A$988="",履歴データ!$A$987=""),"",-40000*P988)</f>
        <v/>
      </c>
      <c r="AB988" s="11" t="str">
        <f>IF(履歴データ!$A$988="","",123.3)</f>
        <v/>
      </c>
      <c r="AC988" t="str">
        <f>IF(履歴データ!$A$988="","",SUM(T988:AA988))</f>
        <v/>
      </c>
      <c r="AD988" s="29" t="str">
        <f>IF(履歴データ!$A$988="","",AC988/1000000)</f>
        <v/>
      </c>
      <c r="AE988" s="29">
        <f>IF(履歴データ!$A$988="",AE987,AE987+AC988/1000000)</f>
        <v>70.844544225831427</v>
      </c>
      <c r="AF988" s="12" t="str">
        <f>IF(OR(履歴データ!$A$988="",AE987=0),"",(AE988-AE987)/AE987)</f>
        <v/>
      </c>
      <c r="AG988" s="29">
        <f t="shared" si="45"/>
        <v>102.17217746631495</v>
      </c>
      <c r="AH988" s="12" t="str">
        <f>IF(OR(履歴データ!$A$988="",AG988=0),"",AE988/AG988-1)</f>
        <v/>
      </c>
    </row>
    <row r="989" spans="1:34">
      <c r="A989" s="10" t="str">
        <f>IF(履歴データ!$A$989="","",履歴データ!$A$989)</f>
        <v/>
      </c>
      <c r="B989" s="28" t="str">
        <f>IF(履歴データ!$A$989="","",(履歴データ!$D$989-(履歴データ!$B$989+履歴データ!$F$989)/2)*100)</f>
        <v/>
      </c>
      <c r="C989" s="28" t="str">
        <f>IF(履歴データ!$A$989="","",(履歴データ!$H$989-(履歴データ!$G$989+履歴データ!$J$989)/2)*100)</f>
        <v/>
      </c>
      <c r="D989" s="28" t="str">
        <f>IF(履歴データ!$A$989="","",(履歴データ!$D$989-履歴データ!$H$989)*100)</f>
        <v/>
      </c>
      <c r="E989" s="28" t="str">
        <f>IF(履歴データ!$A$989="","",(履歴データ!$D$989-履歴データ!$C$989)*100)</f>
        <v/>
      </c>
      <c r="F989" s="28" t="str">
        <f>IF(履歴データ!$A$989="","",(履歴データ!$R$989-履歴データ!$D$989)*100)</f>
        <v/>
      </c>
      <c r="G989" s="28" t="str">
        <f>IF(履歴データ!$A$989="","",(履歴データ!$S$989-履歴データ!$R$989)*100)</f>
        <v/>
      </c>
      <c r="H989" s="29" t="str">
        <f>IF(履歴データ!$A$989="","",履歴データ!$O$989)</f>
        <v/>
      </c>
      <c r="I989" s="29" t="str">
        <f>IF(履歴データ!$A$989="","",履歴データ!$Q$989)</f>
        <v/>
      </c>
      <c r="J989" s="29" t="str">
        <f>IF(履歴データ!$A$989="","",履歴データ!$D$989)</f>
        <v/>
      </c>
      <c r="K989" s="28" t="str">
        <f>IF(OR(履歴データ!$A$989="",履歴データ!$A$988=""),"",B989-B988)</f>
        <v/>
      </c>
      <c r="L989" s="28" t="str">
        <f>IF(OR(履歴データ!$A$989="",履歴データ!$A$988=""),"",C989-C988)</f>
        <v/>
      </c>
      <c r="M989" s="28" t="str">
        <f>IF(OR(履歴データ!$A$989="",履歴データ!$A$988=""),"",D989-D988)</f>
        <v/>
      </c>
      <c r="N989" s="28" t="str">
        <f>IF(OR(履歴データ!$A$989="",履歴データ!$A$988=""),"",E989-E988)</f>
        <v/>
      </c>
      <c r="O989" s="28" t="str">
        <f>IF(OR(履歴データ!$A$989="",履歴データ!$A$988=""),"",F989-F988)</f>
        <v/>
      </c>
      <c r="P989" s="28" t="str">
        <f>IF(OR(履歴データ!$A$989="",履歴データ!$A$988=""),"",G989-G988)</f>
        <v/>
      </c>
      <c r="Q989" s="29" t="str">
        <f>IF(OR(履歴データ!$A$989="",履歴データ!$A$988=""),"",H989-H988)</f>
        <v/>
      </c>
      <c r="R989" s="29" t="str">
        <f>IF(OR(履歴データ!$A$989="",履歴データ!$A$988=""),"",I989-I988)</f>
        <v/>
      </c>
      <c r="S989" s="28" t="str">
        <f>IF(OR(履歴データ!$A$989="",履歴データ!$A$988=""),"",(J989-J988)*100)</f>
        <v/>
      </c>
      <c r="T989" s="11" t="str">
        <f>IF(OR(履歴データ!$A$989="",履歴データ!$A$988=""),"",-80000*K989)</f>
        <v/>
      </c>
      <c r="U989" s="11" t="str">
        <f>IF(OR(履歴データ!$A$989="",履歴データ!$A$988=""),"",60000*L989)</f>
        <v/>
      </c>
      <c r="V989" s="11" t="str">
        <f>IF(OR(履歴データ!$A$989="",履歴データ!$A$988=""),"",-50000*M989)</f>
        <v/>
      </c>
      <c r="W989" s="11" t="str">
        <f>IF(OR(履歴データ!$A$989="",履歴データ!$A$988=""),"",-40000*N989)</f>
        <v/>
      </c>
      <c r="X989" s="11" t="str">
        <f>IF(OR(履歴データ!$A$989="",履歴データ!$A$988=""),"",120*1000000*(-Q989/H988))</f>
        <v/>
      </c>
      <c r="Y989" s="11" t="str">
        <f>IF(OR(履歴データ!$A$989="",履歴データ!$A$988=""),"",40000*(-S989)+(-506.3)*R989*1000)</f>
        <v/>
      </c>
      <c r="Z989" s="11" t="str">
        <f>IF(OR(履歴データ!$A$989="",履歴データ!$A$988=""),"",-40000*O989)</f>
        <v/>
      </c>
      <c r="AA989" s="11" t="str">
        <f>IF(OR(履歴データ!$A$989="",履歴データ!$A$988=""),"",-40000*P989)</f>
        <v/>
      </c>
      <c r="AB989" s="11" t="str">
        <f>IF(履歴データ!$A$989="","",123.3)</f>
        <v/>
      </c>
      <c r="AC989" t="str">
        <f>IF(履歴データ!$A$989="","",SUM(T989:AA989))</f>
        <v/>
      </c>
      <c r="AD989" s="29" t="str">
        <f>IF(履歴データ!$A$989="","",AC989/1000000)</f>
        <v/>
      </c>
      <c r="AE989" s="29">
        <f>IF(履歴データ!$A$989="",AE988,AE988+AC989/1000000)</f>
        <v>70.844544225831427</v>
      </c>
      <c r="AF989" s="12" t="str">
        <f>IF(OR(履歴データ!$A$989="",AE988=0),"",(AE989-AE988)/AE988)</f>
        <v/>
      </c>
      <c r="AG989" s="29">
        <f t="shared" si="45"/>
        <v>102.17217746631495</v>
      </c>
      <c r="AH989" s="12" t="str">
        <f>IF(OR(履歴データ!$A$989="",AG989=0),"",AE989/AG989-1)</f>
        <v/>
      </c>
    </row>
    <row r="990" spans="1:34">
      <c r="A990" s="10" t="str">
        <f>IF(履歴データ!$A$990="","",履歴データ!$A$990)</f>
        <v/>
      </c>
      <c r="B990" s="28" t="str">
        <f>IF(履歴データ!$A$990="","",(履歴データ!$D$990-(履歴データ!$B$990+履歴データ!$F$990)/2)*100)</f>
        <v/>
      </c>
      <c r="C990" s="28" t="str">
        <f>IF(履歴データ!$A$990="","",(履歴データ!$H$990-(履歴データ!$G$990+履歴データ!$J$990)/2)*100)</f>
        <v/>
      </c>
      <c r="D990" s="28" t="str">
        <f>IF(履歴データ!$A$990="","",(履歴データ!$D$990-履歴データ!$H$990)*100)</f>
        <v/>
      </c>
      <c r="E990" s="28" t="str">
        <f>IF(履歴データ!$A$990="","",(履歴データ!$D$990-履歴データ!$C$990)*100)</f>
        <v/>
      </c>
      <c r="F990" s="28" t="str">
        <f>IF(履歴データ!$A$990="","",(履歴データ!$R$990-履歴データ!$D$990)*100)</f>
        <v/>
      </c>
      <c r="G990" s="28" t="str">
        <f>IF(履歴データ!$A$990="","",(履歴データ!$S$990-履歴データ!$R$990)*100)</f>
        <v/>
      </c>
      <c r="H990" s="29" t="str">
        <f>IF(履歴データ!$A$990="","",履歴データ!$O$990)</f>
        <v/>
      </c>
      <c r="I990" s="29" t="str">
        <f>IF(履歴データ!$A$990="","",履歴データ!$Q$990)</f>
        <v/>
      </c>
      <c r="J990" s="29" t="str">
        <f>IF(履歴データ!$A$990="","",履歴データ!$D$990)</f>
        <v/>
      </c>
      <c r="K990" s="28" t="str">
        <f>IF(OR(履歴データ!$A$990="",履歴データ!$A$989=""),"",B990-B989)</f>
        <v/>
      </c>
      <c r="L990" s="28" t="str">
        <f>IF(OR(履歴データ!$A$990="",履歴データ!$A$989=""),"",C990-C989)</f>
        <v/>
      </c>
      <c r="M990" s="28" t="str">
        <f>IF(OR(履歴データ!$A$990="",履歴データ!$A$989=""),"",D990-D989)</f>
        <v/>
      </c>
      <c r="N990" s="28" t="str">
        <f>IF(OR(履歴データ!$A$990="",履歴データ!$A$989=""),"",E990-E989)</f>
        <v/>
      </c>
      <c r="O990" s="28" t="str">
        <f>IF(OR(履歴データ!$A$990="",履歴データ!$A$989=""),"",F990-F989)</f>
        <v/>
      </c>
      <c r="P990" s="28" t="str">
        <f>IF(OR(履歴データ!$A$990="",履歴データ!$A$989=""),"",G990-G989)</f>
        <v/>
      </c>
      <c r="Q990" s="29" t="str">
        <f>IF(OR(履歴データ!$A$990="",履歴データ!$A$989=""),"",H990-H989)</f>
        <v/>
      </c>
      <c r="R990" s="29" t="str">
        <f>IF(OR(履歴データ!$A$990="",履歴データ!$A$989=""),"",I990-I989)</f>
        <v/>
      </c>
      <c r="S990" s="28" t="str">
        <f>IF(OR(履歴データ!$A$990="",履歴データ!$A$989=""),"",(J990-J989)*100)</f>
        <v/>
      </c>
      <c r="T990" s="11" t="str">
        <f>IF(OR(履歴データ!$A$990="",履歴データ!$A$989=""),"",-80000*K990)</f>
        <v/>
      </c>
      <c r="U990" s="11" t="str">
        <f>IF(OR(履歴データ!$A$990="",履歴データ!$A$989=""),"",60000*L990)</f>
        <v/>
      </c>
      <c r="V990" s="11" t="str">
        <f>IF(OR(履歴データ!$A$990="",履歴データ!$A$989=""),"",-50000*M990)</f>
        <v/>
      </c>
      <c r="W990" s="11" t="str">
        <f>IF(OR(履歴データ!$A$990="",履歴データ!$A$989=""),"",-40000*N990)</f>
        <v/>
      </c>
      <c r="X990" s="11" t="str">
        <f>IF(OR(履歴データ!$A$990="",履歴データ!$A$989=""),"",120*1000000*(-Q990/H989))</f>
        <v/>
      </c>
      <c r="Y990" s="11" t="str">
        <f>IF(OR(履歴データ!$A$990="",履歴データ!$A$989=""),"",40000*(-S990)+(-506.3)*R990*1000)</f>
        <v/>
      </c>
      <c r="Z990" s="11" t="str">
        <f>IF(OR(履歴データ!$A$990="",履歴データ!$A$989=""),"",-40000*O990)</f>
        <v/>
      </c>
      <c r="AA990" s="11" t="str">
        <f>IF(OR(履歴データ!$A$990="",履歴データ!$A$989=""),"",-40000*P990)</f>
        <v/>
      </c>
      <c r="AB990" s="11" t="str">
        <f>IF(履歴データ!$A$990="","",123.3)</f>
        <v/>
      </c>
      <c r="AC990" t="str">
        <f>IF(履歴データ!$A$990="","",SUM(T990:AA990))</f>
        <v/>
      </c>
      <c r="AD990" s="29" t="str">
        <f>IF(履歴データ!$A$990="","",AC990/1000000)</f>
        <v/>
      </c>
      <c r="AE990" s="29">
        <f>IF(履歴データ!$A$990="",AE989,AE989+AC990/1000000)</f>
        <v>70.844544225831427</v>
      </c>
      <c r="AF990" s="12" t="str">
        <f>IF(OR(履歴データ!$A$990="",AE989=0),"",(AE990-AE989)/AE989)</f>
        <v/>
      </c>
      <c r="AG990" s="29">
        <f t="shared" si="45"/>
        <v>102.17217746631495</v>
      </c>
      <c r="AH990" s="12" t="str">
        <f>IF(OR(履歴データ!$A$990="",AG990=0),"",AE990/AG990-1)</f>
        <v/>
      </c>
    </row>
    <row r="991" spans="1:34">
      <c r="A991" s="10" t="str">
        <f>IF(履歴データ!$A$991="","",履歴データ!$A$991)</f>
        <v/>
      </c>
      <c r="B991" s="28" t="str">
        <f>IF(履歴データ!$A$991="","",(履歴データ!$D$991-(履歴データ!$B$991+履歴データ!$F$991)/2)*100)</f>
        <v/>
      </c>
      <c r="C991" s="28" t="str">
        <f>IF(履歴データ!$A$991="","",(履歴データ!$H$991-(履歴データ!$G$991+履歴データ!$J$991)/2)*100)</f>
        <v/>
      </c>
      <c r="D991" s="28" t="str">
        <f>IF(履歴データ!$A$991="","",(履歴データ!$D$991-履歴データ!$H$991)*100)</f>
        <v/>
      </c>
      <c r="E991" s="28" t="str">
        <f>IF(履歴データ!$A$991="","",(履歴データ!$D$991-履歴データ!$C$991)*100)</f>
        <v/>
      </c>
      <c r="F991" s="28" t="str">
        <f>IF(履歴データ!$A$991="","",(履歴データ!$R$991-履歴データ!$D$991)*100)</f>
        <v/>
      </c>
      <c r="G991" s="28" t="str">
        <f>IF(履歴データ!$A$991="","",(履歴データ!$S$991-履歴データ!$R$991)*100)</f>
        <v/>
      </c>
      <c r="H991" s="29" t="str">
        <f>IF(履歴データ!$A$991="","",履歴データ!$O$991)</f>
        <v/>
      </c>
      <c r="I991" s="29" t="str">
        <f>IF(履歴データ!$A$991="","",履歴データ!$Q$991)</f>
        <v/>
      </c>
      <c r="J991" s="29" t="str">
        <f>IF(履歴データ!$A$991="","",履歴データ!$D$991)</f>
        <v/>
      </c>
      <c r="K991" s="28" t="str">
        <f>IF(OR(履歴データ!$A$991="",履歴データ!$A$990=""),"",B991-B990)</f>
        <v/>
      </c>
      <c r="L991" s="28" t="str">
        <f>IF(OR(履歴データ!$A$991="",履歴データ!$A$990=""),"",C991-C990)</f>
        <v/>
      </c>
      <c r="M991" s="28" t="str">
        <f>IF(OR(履歴データ!$A$991="",履歴データ!$A$990=""),"",D991-D990)</f>
        <v/>
      </c>
      <c r="N991" s="28" t="str">
        <f>IF(OR(履歴データ!$A$991="",履歴データ!$A$990=""),"",E991-E990)</f>
        <v/>
      </c>
      <c r="O991" s="28" t="str">
        <f>IF(OR(履歴データ!$A$991="",履歴データ!$A$990=""),"",F991-F990)</f>
        <v/>
      </c>
      <c r="P991" s="28" t="str">
        <f>IF(OR(履歴データ!$A$991="",履歴データ!$A$990=""),"",G991-G990)</f>
        <v/>
      </c>
      <c r="Q991" s="29" t="str">
        <f>IF(OR(履歴データ!$A$991="",履歴データ!$A$990=""),"",H991-H990)</f>
        <v/>
      </c>
      <c r="R991" s="29" t="str">
        <f>IF(OR(履歴データ!$A$991="",履歴データ!$A$990=""),"",I991-I990)</f>
        <v/>
      </c>
      <c r="S991" s="28" t="str">
        <f>IF(OR(履歴データ!$A$991="",履歴データ!$A$990=""),"",(J991-J990)*100)</f>
        <v/>
      </c>
      <c r="T991" s="11" t="str">
        <f>IF(OR(履歴データ!$A$991="",履歴データ!$A$990=""),"",-80000*K991)</f>
        <v/>
      </c>
      <c r="U991" s="11" t="str">
        <f>IF(OR(履歴データ!$A$991="",履歴データ!$A$990=""),"",60000*L991)</f>
        <v/>
      </c>
      <c r="V991" s="11" t="str">
        <f>IF(OR(履歴データ!$A$991="",履歴データ!$A$990=""),"",-50000*M991)</f>
        <v/>
      </c>
      <c r="W991" s="11" t="str">
        <f>IF(OR(履歴データ!$A$991="",履歴データ!$A$990=""),"",-40000*N991)</f>
        <v/>
      </c>
      <c r="X991" s="11" t="str">
        <f>IF(OR(履歴データ!$A$991="",履歴データ!$A$990=""),"",120*1000000*(-Q991/H990))</f>
        <v/>
      </c>
      <c r="Y991" s="11" t="str">
        <f>IF(OR(履歴データ!$A$991="",履歴データ!$A$990=""),"",40000*(-S991)+(-506.3)*R991*1000)</f>
        <v/>
      </c>
      <c r="Z991" s="11" t="str">
        <f>IF(OR(履歴データ!$A$991="",履歴データ!$A$990=""),"",-40000*O991)</f>
        <v/>
      </c>
      <c r="AA991" s="11" t="str">
        <f>IF(OR(履歴データ!$A$991="",履歴データ!$A$990=""),"",-40000*P991)</f>
        <v/>
      </c>
      <c r="AB991" s="11" t="str">
        <f>IF(履歴データ!$A$991="","",123.3)</f>
        <v/>
      </c>
      <c r="AC991" t="str">
        <f>IF(履歴データ!$A$991="","",SUM(T991:AA991))</f>
        <v/>
      </c>
      <c r="AD991" s="29" t="str">
        <f>IF(履歴データ!$A$991="","",AC991/1000000)</f>
        <v/>
      </c>
      <c r="AE991" s="29">
        <f>IF(履歴データ!$A$991="",AE990,AE990+AC991/1000000)</f>
        <v>70.844544225831427</v>
      </c>
      <c r="AF991" s="12" t="str">
        <f>IF(OR(履歴データ!$A$991="",AE990=0),"",(AE991-AE990)/AE990)</f>
        <v/>
      </c>
      <c r="AG991" s="29">
        <f t="shared" si="45"/>
        <v>102.17217746631495</v>
      </c>
      <c r="AH991" s="12" t="str">
        <f>IF(OR(履歴データ!$A$991="",AG991=0),"",AE991/AG991-1)</f>
        <v/>
      </c>
    </row>
    <row r="992" spans="1:34">
      <c r="A992" s="10" t="str">
        <f>IF(履歴データ!$A$992="","",履歴データ!$A$992)</f>
        <v/>
      </c>
      <c r="B992" s="28" t="str">
        <f>IF(履歴データ!$A$992="","",(履歴データ!$D$992-(履歴データ!$B$992+履歴データ!$F$992)/2)*100)</f>
        <v/>
      </c>
      <c r="C992" s="28" t="str">
        <f>IF(履歴データ!$A$992="","",(履歴データ!$H$992-(履歴データ!$G$992+履歴データ!$J$992)/2)*100)</f>
        <v/>
      </c>
      <c r="D992" s="28" t="str">
        <f>IF(履歴データ!$A$992="","",(履歴データ!$D$992-履歴データ!$H$992)*100)</f>
        <v/>
      </c>
      <c r="E992" s="28" t="str">
        <f>IF(履歴データ!$A$992="","",(履歴データ!$D$992-履歴データ!$C$992)*100)</f>
        <v/>
      </c>
      <c r="F992" s="28" t="str">
        <f>IF(履歴データ!$A$992="","",(履歴データ!$R$992-履歴データ!$D$992)*100)</f>
        <v/>
      </c>
      <c r="G992" s="28" t="str">
        <f>IF(履歴データ!$A$992="","",(履歴データ!$S$992-履歴データ!$R$992)*100)</f>
        <v/>
      </c>
      <c r="H992" s="29" t="str">
        <f>IF(履歴データ!$A$992="","",履歴データ!$O$992)</f>
        <v/>
      </c>
      <c r="I992" s="29" t="str">
        <f>IF(履歴データ!$A$992="","",履歴データ!$Q$992)</f>
        <v/>
      </c>
      <c r="J992" s="29" t="str">
        <f>IF(履歴データ!$A$992="","",履歴データ!$D$992)</f>
        <v/>
      </c>
      <c r="K992" s="28" t="str">
        <f>IF(OR(履歴データ!$A$992="",履歴データ!$A$991=""),"",B992-B991)</f>
        <v/>
      </c>
      <c r="L992" s="28" t="str">
        <f>IF(OR(履歴データ!$A$992="",履歴データ!$A$991=""),"",C992-C991)</f>
        <v/>
      </c>
      <c r="M992" s="28" t="str">
        <f>IF(OR(履歴データ!$A$992="",履歴データ!$A$991=""),"",D992-D991)</f>
        <v/>
      </c>
      <c r="N992" s="28" t="str">
        <f>IF(OR(履歴データ!$A$992="",履歴データ!$A$991=""),"",E992-E991)</f>
        <v/>
      </c>
      <c r="O992" s="28" t="str">
        <f>IF(OR(履歴データ!$A$992="",履歴データ!$A$991=""),"",F992-F991)</f>
        <v/>
      </c>
      <c r="P992" s="28" t="str">
        <f>IF(OR(履歴データ!$A$992="",履歴データ!$A$991=""),"",G992-G991)</f>
        <v/>
      </c>
      <c r="Q992" s="29" t="str">
        <f>IF(OR(履歴データ!$A$992="",履歴データ!$A$991=""),"",H992-H991)</f>
        <v/>
      </c>
      <c r="R992" s="29" t="str">
        <f>IF(OR(履歴データ!$A$992="",履歴データ!$A$991=""),"",I992-I991)</f>
        <v/>
      </c>
      <c r="S992" s="28" t="str">
        <f>IF(OR(履歴データ!$A$992="",履歴データ!$A$991=""),"",(J992-J991)*100)</f>
        <v/>
      </c>
      <c r="T992" s="11" t="str">
        <f>IF(OR(履歴データ!$A$992="",履歴データ!$A$991=""),"",-80000*K992)</f>
        <v/>
      </c>
      <c r="U992" s="11" t="str">
        <f>IF(OR(履歴データ!$A$992="",履歴データ!$A$991=""),"",60000*L992)</f>
        <v/>
      </c>
      <c r="V992" s="11" t="str">
        <f>IF(OR(履歴データ!$A$992="",履歴データ!$A$991=""),"",-50000*M992)</f>
        <v/>
      </c>
      <c r="W992" s="11" t="str">
        <f>IF(OR(履歴データ!$A$992="",履歴データ!$A$991=""),"",-40000*N992)</f>
        <v/>
      </c>
      <c r="X992" s="11" t="str">
        <f>IF(OR(履歴データ!$A$992="",履歴データ!$A$991=""),"",120*1000000*(-Q992/H991))</f>
        <v/>
      </c>
      <c r="Y992" s="11" t="str">
        <f>IF(OR(履歴データ!$A$992="",履歴データ!$A$991=""),"",40000*(-S992)+(-506.3)*R992*1000)</f>
        <v/>
      </c>
      <c r="Z992" s="11" t="str">
        <f>IF(OR(履歴データ!$A$992="",履歴データ!$A$991=""),"",-40000*O992)</f>
        <v/>
      </c>
      <c r="AA992" s="11" t="str">
        <f>IF(OR(履歴データ!$A$992="",履歴データ!$A$991=""),"",-40000*P992)</f>
        <v/>
      </c>
      <c r="AB992" s="11" t="str">
        <f>IF(履歴データ!$A$992="","",123.3)</f>
        <v/>
      </c>
      <c r="AC992" t="str">
        <f>IF(履歴データ!$A$992="","",SUM(T992:AA992))</f>
        <v/>
      </c>
      <c r="AD992" s="29" t="str">
        <f>IF(履歴データ!$A$992="","",AC992/1000000)</f>
        <v/>
      </c>
      <c r="AE992" s="29">
        <f>IF(履歴データ!$A$992="",AE991,AE991+AC992/1000000)</f>
        <v>70.844544225831427</v>
      </c>
      <c r="AF992" s="12" t="str">
        <f>IF(OR(履歴データ!$A$992="",AE991=0),"",(AE992-AE991)/AE991)</f>
        <v/>
      </c>
      <c r="AG992" s="29">
        <f t="shared" si="45"/>
        <v>102.17217746631495</v>
      </c>
      <c r="AH992" s="12" t="str">
        <f>IF(OR(履歴データ!$A$992="",AG992=0),"",AE992/AG992-1)</f>
        <v/>
      </c>
    </row>
    <row r="993" spans="1:34">
      <c r="A993" s="10" t="str">
        <f>IF(履歴データ!$A$993="","",履歴データ!$A$993)</f>
        <v/>
      </c>
      <c r="B993" s="28" t="str">
        <f>IF(履歴データ!$A$993="","",(履歴データ!$D$993-(履歴データ!$B$993+履歴データ!$F$993)/2)*100)</f>
        <v/>
      </c>
      <c r="C993" s="28" t="str">
        <f>IF(履歴データ!$A$993="","",(履歴データ!$H$993-(履歴データ!$G$993+履歴データ!$J$993)/2)*100)</f>
        <v/>
      </c>
      <c r="D993" s="28" t="str">
        <f>IF(履歴データ!$A$993="","",(履歴データ!$D$993-履歴データ!$H$993)*100)</f>
        <v/>
      </c>
      <c r="E993" s="28" t="str">
        <f>IF(履歴データ!$A$993="","",(履歴データ!$D$993-履歴データ!$C$993)*100)</f>
        <v/>
      </c>
      <c r="F993" s="28" t="str">
        <f>IF(履歴データ!$A$993="","",(履歴データ!$R$993-履歴データ!$D$993)*100)</f>
        <v/>
      </c>
      <c r="G993" s="28" t="str">
        <f>IF(履歴データ!$A$993="","",(履歴データ!$S$993-履歴データ!$R$993)*100)</f>
        <v/>
      </c>
      <c r="H993" s="29" t="str">
        <f>IF(履歴データ!$A$993="","",履歴データ!$O$993)</f>
        <v/>
      </c>
      <c r="I993" s="29" t="str">
        <f>IF(履歴データ!$A$993="","",履歴データ!$Q$993)</f>
        <v/>
      </c>
      <c r="J993" s="29" t="str">
        <f>IF(履歴データ!$A$993="","",履歴データ!$D$993)</f>
        <v/>
      </c>
      <c r="K993" s="28" t="str">
        <f>IF(OR(履歴データ!$A$993="",履歴データ!$A$992=""),"",B993-B992)</f>
        <v/>
      </c>
      <c r="L993" s="28" t="str">
        <f>IF(OR(履歴データ!$A$993="",履歴データ!$A$992=""),"",C993-C992)</f>
        <v/>
      </c>
      <c r="M993" s="28" t="str">
        <f>IF(OR(履歴データ!$A$993="",履歴データ!$A$992=""),"",D993-D992)</f>
        <v/>
      </c>
      <c r="N993" s="28" t="str">
        <f>IF(OR(履歴データ!$A$993="",履歴データ!$A$992=""),"",E993-E992)</f>
        <v/>
      </c>
      <c r="O993" s="28" t="str">
        <f>IF(OR(履歴データ!$A$993="",履歴データ!$A$992=""),"",F993-F992)</f>
        <v/>
      </c>
      <c r="P993" s="28" t="str">
        <f>IF(OR(履歴データ!$A$993="",履歴データ!$A$992=""),"",G993-G992)</f>
        <v/>
      </c>
      <c r="Q993" s="29" t="str">
        <f>IF(OR(履歴データ!$A$993="",履歴データ!$A$992=""),"",H993-H992)</f>
        <v/>
      </c>
      <c r="R993" s="29" t="str">
        <f>IF(OR(履歴データ!$A$993="",履歴データ!$A$992=""),"",I993-I992)</f>
        <v/>
      </c>
      <c r="S993" s="28" t="str">
        <f>IF(OR(履歴データ!$A$993="",履歴データ!$A$992=""),"",(J993-J992)*100)</f>
        <v/>
      </c>
      <c r="T993" s="11" t="str">
        <f>IF(OR(履歴データ!$A$993="",履歴データ!$A$992=""),"",-80000*K993)</f>
        <v/>
      </c>
      <c r="U993" s="11" t="str">
        <f>IF(OR(履歴データ!$A$993="",履歴データ!$A$992=""),"",60000*L993)</f>
        <v/>
      </c>
      <c r="V993" s="11" t="str">
        <f>IF(OR(履歴データ!$A$993="",履歴データ!$A$992=""),"",-50000*M993)</f>
        <v/>
      </c>
      <c r="W993" s="11" t="str">
        <f>IF(OR(履歴データ!$A$993="",履歴データ!$A$992=""),"",-40000*N993)</f>
        <v/>
      </c>
      <c r="X993" s="11" t="str">
        <f>IF(OR(履歴データ!$A$993="",履歴データ!$A$992=""),"",120*1000000*(-Q993/H992))</f>
        <v/>
      </c>
      <c r="Y993" s="11" t="str">
        <f>IF(OR(履歴データ!$A$993="",履歴データ!$A$992=""),"",40000*(-S993)+(-506.3)*R993*1000)</f>
        <v/>
      </c>
      <c r="Z993" s="11" t="str">
        <f>IF(OR(履歴データ!$A$993="",履歴データ!$A$992=""),"",-40000*O993)</f>
        <v/>
      </c>
      <c r="AA993" s="11" t="str">
        <f>IF(OR(履歴データ!$A$993="",履歴データ!$A$992=""),"",-40000*P993)</f>
        <v/>
      </c>
      <c r="AB993" s="11" t="str">
        <f>IF(履歴データ!$A$993="","",123.3)</f>
        <v/>
      </c>
      <c r="AC993" t="str">
        <f>IF(履歴データ!$A$993="","",SUM(T993:AA993))</f>
        <v/>
      </c>
      <c r="AD993" s="29" t="str">
        <f>IF(履歴データ!$A$993="","",AC993/1000000)</f>
        <v/>
      </c>
      <c r="AE993" s="29">
        <f>IF(履歴データ!$A$993="",AE992,AE992+AC993/1000000)</f>
        <v>70.844544225831427</v>
      </c>
      <c r="AF993" s="12" t="str">
        <f>IF(OR(履歴データ!$A$993="",AE992=0),"",(AE993-AE992)/AE992)</f>
        <v/>
      </c>
      <c r="AG993" s="29">
        <f t="shared" si="45"/>
        <v>102.17217746631495</v>
      </c>
      <c r="AH993" s="12" t="str">
        <f>IF(OR(履歴データ!$A$993="",AG993=0),"",AE993/AG993-1)</f>
        <v/>
      </c>
    </row>
    <row r="994" spans="1:34">
      <c r="A994" s="10" t="str">
        <f>IF(履歴データ!$A$994="","",履歴データ!$A$994)</f>
        <v/>
      </c>
      <c r="B994" s="28" t="str">
        <f>IF(履歴データ!$A$994="","",(履歴データ!$D$994-(履歴データ!$B$994+履歴データ!$F$994)/2)*100)</f>
        <v/>
      </c>
      <c r="C994" s="28" t="str">
        <f>IF(履歴データ!$A$994="","",(履歴データ!$H$994-(履歴データ!$G$994+履歴データ!$J$994)/2)*100)</f>
        <v/>
      </c>
      <c r="D994" s="28" t="str">
        <f>IF(履歴データ!$A$994="","",(履歴データ!$D$994-履歴データ!$H$994)*100)</f>
        <v/>
      </c>
      <c r="E994" s="28" t="str">
        <f>IF(履歴データ!$A$994="","",(履歴データ!$D$994-履歴データ!$C$994)*100)</f>
        <v/>
      </c>
      <c r="F994" s="28" t="str">
        <f>IF(履歴データ!$A$994="","",(履歴データ!$R$994-履歴データ!$D$994)*100)</f>
        <v/>
      </c>
      <c r="G994" s="28" t="str">
        <f>IF(履歴データ!$A$994="","",(履歴データ!$S$994-履歴データ!$R$994)*100)</f>
        <v/>
      </c>
      <c r="H994" s="29" t="str">
        <f>IF(履歴データ!$A$994="","",履歴データ!$O$994)</f>
        <v/>
      </c>
      <c r="I994" s="29" t="str">
        <f>IF(履歴データ!$A$994="","",履歴データ!$Q$994)</f>
        <v/>
      </c>
      <c r="J994" s="29" t="str">
        <f>IF(履歴データ!$A$994="","",履歴データ!$D$994)</f>
        <v/>
      </c>
      <c r="K994" s="28" t="str">
        <f>IF(OR(履歴データ!$A$994="",履歴データ!$A$993=""),"",B994-B993)</f>
        <v/>
      </c>
      <c r="L994" s="28" t="str">
        <f>IF(OR(履歴データ!$A$994="",履歴データ!$A$993=""),"",C994-C993)</f>
        <v/>
      </c>
      <c r="M994" s="28" t="str">
        <f>IF(OR(履歴データ!$A$994="",履歴データ!$A$993=""),"",D994-D993)</f>
        <v/>
      </c>
      <c r="N994" s="28" t="str">
        <f>IF(OR(履歴データ!$A$994="",履歴データ!$A$993=""),"",E994-E993)</f>
        <v/>
      </c>
      <c r="O994" s="28" t="str">
        <f>IF(OR(履歴データ!$A$994="",履歴データ!$A$993=""),"",F994-F993)</f>
        <v/>
      </c>
      <c r="P994" s="28" t="str">
        <f>IF(OR(履歴データ!$A$994="",履歴データ!$A$993=""),"",G994-G993)</f>
        <v/>
      </c>
      <c r="Q994" s="29" t="str">
        <f>IF(OR(履歴データ!$A$994="",履歴データ!$A$993=""),"",H994-H993)</f>
        <v/>
      </c>
      <c r="R994" s="29" t="str">
        <f>IF(OR(履歴データ!$A$994="",履歴データ!$A$993=""),"",I994-I993)</f>
        <v/>
      </c>
      <c r="S994" s="28" t="str">
        <f>IF(OR(履歴データ!$A$994="",履歴データ!$A$993=""),"",(J994-J993)*100)</f>
        <v/>
      </c>
      <c r="T994" s="11" t="str">
        <f>IF(OR(履歴データ!$A$994="",履歴データ!$A$993=""),"",-80000*K994)</f>
        <v/>
      </c>
      <c r="U994" s="11" t="str">
        <f>IF(OR(履歴データ!$A$994="",履歴データ!$A$993=""),"",60000*L994)</f>
        <v/>
      </c>
      <c r="V994" s="11" t="str">
        <f>IF(OR(履歴データ!$A$994="",履歴データ!$A$993=""),"",-50000*M994)</f>
        <v/>
      </c>
      <c r="W994" s="11" t="str">
        <f>IF(OR(履歴データ!$A$994="",履歴データ!$A$993=""),"",-40000*N994)</f>
        <v/>
      </c>
      <c r="X994" s="11" t="str">
        <f>IF(OR(履歴データ!$A$994="",履歴データ!$A$993=""),"",120*1000000*(-Q994/H993))</f>
        <v/>
      </c>
      <c r="Y994" s="11" t="str">
        <f>IF(OR(履歴データ!$A$994="",履歴データ!$A$993=""),"",40000*(-S994)+(-506.3)*R994*1000)</f>
        <v/>
      </c>
      <c r="Z994" s="11" t="str">
        <f>IF(OR(履歴データ!$A$994="",履歴データ!$A$993=""),"",-40000*O994)</f>
        <v/>
      </c>
      <c r="AA994" s="11" t="str">
        <f>IF(OR(履歴データ!$A$994="",履歴データ!$A$993=""),"",-40000*P994)</f>
        <v/>
      </c>
      <c r="AB994" s="11" t="str">
        <f>IF(履歴データ!$A$994="","",123.3)</f>
        <v/>
      </c>
      <c r="AC994" t="str">
        <f>IF(履歴データ!$A$994="","",SUM(T994:AA994))</f>
        <v/>
      </c>
      <c r="AD994" s="29" t="str">
        <f>IF(履歴データ!$A$994="","",AC994/1000000)</f>
        <v/>
      </c>
      <c r="AE994" s="29">
        <f>IF(履歴データ!$A$994="",AE993,AE993+AC994/1000000)</f>
        <v>70.844544225831427</v>
      </c>
      <c r="AF994" s="12" t="str">
        <f>IF(OR(履歴データ!$A$994="",AE993=0),"",(AE994-AE993)/AE993)</f>
        <v/>
      </c>
      <c r="AG994" s="29">
        <f t="shared" si="45"/>
        <v>102.17217746631495</v>
      </c>
      <c r="AH994" s="12" t="str">
        <f>IF(OR(履歴データ!$A$994="",AG994=0),"",AE994/AG994-1)</f>
        <v/>
      </c>
    </row>
    <row r="995" spans="1:34">
      <c r="A995" s="10" t="str">
        <f>IF(履歴データ!$A$995="","",履歴データ!$A$995)</f>
        <v/>
      </c>
      <c r="B995" s="28" t="str">
        <f>IF(履歴データ!$A$995="","",(履歴データ!$D$995-(履歴データ!$B$995+履歴データ!$F$995)/2)*100)</f>
        <v/>
      </c>
      <c r="C995" s="28" t="str">
        <f>IF(履歴データ!$A$995="","",(履歴データ!$H$995-(履歴データ!$G$995+履歴データ!$J$995)/2)*100)</f>
        <v/>
      </c>
      <c r="D995" s="28" t="str">
        <f>IF(履歴データ!$A$995="","",(履歴データ!$D$995-履歴データ!$H$995)*100)</f>
        <v/>
      </c>
      <c r="E995" s="28" t="str">
        <f>IF(履歴データ!$A$995="","",(履歴データ!$D$995-履歴データ!$C$995)*100)</f>
        <v/>
      </c>
      <c r="F995" s="28" t="str">
        <f>IF(履歴データ!$A$995="","",(履歴データ!$R$995-履歴データ!$D$995)*100)</f>
        <v/>
      </c>
      <c r="G995" s="28" t="str">
        <f>IF(履歴データ!$A$995="","",(履歴データ!$S$995-履歴データ!$R$995)*100)</f>
        <v/>
      </c>
      <c r="H995" s="29" t="str">
        <f>IF(履歴データ!$A$995="","",履歴データ!$O$995)</f>
        <v/>
      </c>
      <c r="I995" s="29" t="str">
        <f>IF(履歴データ!$A$995="","",履歴データ!$Q$995)</f>
        <v/>
      </c>
      <c r="J995" s="29" t="str">
        <f>IF(履歴データ!$A$995="","",履歴データ!$D$995)</f>
        <v/>
      </c>
      <c r="K995" s="28" t="str">
        <f>IF(OR(履歴データ!$A$995="",履歴データ!$A$994=""),"",B995-B994)</f>
        <v/>
      </c>
      <c r="L995" s="28" t="str">
        <f>IF(OR(履歴データ!$A$995="",履歴データ!$A$994=""),"",C995-C994)</f>
        <v/>
      </c>
      <c r="M995" s="28" t="str">
        <f>IF(OR(履歴データ!$A$995="",履歴データ!$A$994=""),"",D995-D994)</f>
        <v/>
      </c>
      <c r="N995" s="28" t="str">
        <f>IF(OR(履歴データ!$A$995="",履歴データ!$A$994=""),"",E995-E994)</f>
        <v/>
      </c>
      <c r="O995" s="28" t="str">
        <f>IF(OR(履歴データ!$A$995="",履歴データ!$A$994=""),"",F995-F994)</f>
        <v/>
      </c>
      <c r="P995" s="28" t="str">
        <f>IF(OR(履歴データ!$A$995="",履歴データ!$A$994=""),"",G995-G994)</f>
        <v/>
      </c>
      <c r="Q995" s="29" t="str">
        <f>IF(OR(履歴データ!$A$995="",履歴データ!$A$994=""),"",H995-H994)</f>
        <v/>
      </c>
      <c r="R995" s="29" t="str">
        <f>IF(OR(履歴データ!$A$995="",履歴データ!$A$994=""),"",I995-I994)</f>
        <v/>
      </c>
      <c r="S995" s="28" t="str">
        <f>IF(OR(履歴データ!$A$995="",履歴データ!$A$994=""),"",(J995-J994)*100)</f>
        <v/>
      </c>
      <c r="T995" s="11" t="str">
        <f>IF(OR(履歴データ!$A$995="",履歴データ!$A$994=""),"",-80000*K995)</f>
        <v/>
      </c>
      <c r="U995" s="11" t="str">
        <f>IF(OR(履歴データ!$A$995="",履歴データ!$A$994=""),"",60000*L995)</f>
        <v/>
      </c>
      <c r="V995" s="11" t="str">
        <f>IF(OR(履歴データ!$A$995="",履歴データ!$A$994=""),"",-50000*M995)</f>
        <v/>
      </c>
      <c r="W995" s="11" t="str">
        <f>IF(OR(履歴データ!$A$995="",履歴データ!$A$994=""),"",-40000*N995)</f>
        <v/>
      </c>
      <c r="X995" s="11" t="str">
        <f>IF(OR(履歴データ!$A$995="",履歴データ!$A$994=""),"",120*1000000*(-Q995/H994))</f>
        <v/>
      </c>
      <c r="Y995" s="11" t="str">
        <f>IF(OR(履歴データ!$A$995="",履歴データ!$A$994=""),"",40000*(-S995)+(-506.3)*R995*1000)</f>
        <v/>
      </c>
      <c r="Z995" s="11" t="str">
        <f>IF(OR(履歴データ!$A$995="",履歴データ!$A$994=""),"",-40000*O995)</f>
        <v/>
      </c>
      <c r="AA995" s="11" t="str">
        <f>IF(OR(履歴データ!$A$995="",履歴データ!$A$994=""),"",-40000*P995)</f>
        <v/>
      </c>
      <c r="AB995" s="11" t="str">
        <f>IF(履歴データ!$A$995="","",123.3)</f>
        <v/>
      </c>
      <c r="AC995" t="str">
        <f>IF(履歴データ!$A$995="","",SUM(T995:AA995))</f>
        <v/>
      </c>
      <c r="AD995" s="29" t="str">
        <f>IF(履歴データ!$A$995="","",AC995/1000000)</f>
        <v/>
      </c>
      <c r="AE995" s="29">
        <f>IF(履歴データ!$A$995="",AE994,AE994+AC995/1000000)</f>
        <v>70.844544225831427</v>
      </c>
      <c r="AF995" s="12" t="str">
        <f>IF(OR(履歴データ!$A$995="",AE994=0),"",(AE995-AE994)/AE994)</f>
        <v/>
      </c>
      <c r="AG995" s="29">
        <f t="shared" si="45"/>
        <v>102.17217746631495</v>
      </c>
      <c r="AH995" s="12" t="str">
        <f>IF(OR(履歴データ!$A$995="",AG995=0),"",AE995/AG995-1)</f>
        <v/>
      </c>
    </row>
    <row r="996" spans="1:34">
      <c r="A996" s="10" t="str">
        <f>IF(履歴データ!$A$996="","",履歴データ!$A$996)</f>
        <v/>
      </c>
      <c r="B996" s="28" t="str">
        <f>IF(履歴データ!$A$996="","",(履歴データ!$D$996-(履歴データ!$B$996+履歴データ!$F$996)/2)*100)</f>
        <v/>
      </c>
      <c r="C996" s="28" t="str">
        <f>IF(履歴データ!$A$996="","",(履歴データ!$H$996-(履歴データ!$G$996+履歴データ!$J$996)/2)*100)</f>
        <v/>
      </c>
      <c r="D996" s="28" t="str">
        <f>IF(履歴データ!$A$996="","",(履歴データ!$D$996-履歴データ!$H$996)*100)</f>
        <v/>
      </c>
      <c r="E996" s="28" t="str">
        <f>IF(履歴データ!$A$996="","",(履歴データ!$D$996-履歴データ!$C$996)*100)</f>
        <v/>
      </c>
      <c r="F996" s="28" t="str">
        <f>IF(履歴データ!$A$996="","",(履歴データ!$R$996-履歴データ!$D$996)*100)</f>
        <v/>
      </c>
      <c r="G996" s="28" t="str">
        <f>IF(履歴データ!$A$996="","",(履歴データ!$S$996-履歴データ!$R$996)*100)</f>
        <v/>
      </c>
      <c r="H996" s="29" t="str">
        <f>IF(履歴データ!$A$996="","",履歴データ!$O$996)</f>
        <v/>
      </c>
      <c r="I996" s="29" t="str">
        <f>IF(履歴データ!$A$996="","",履歴データ!$Q$996)</f>
        <v/>
      </c>
      <c r="J996" s="29" t="str">
        <f>IF(履歴データ!$A$996="","",履歴データ!$D$996)</f>
        <v/>
      </c>
      <c r="K996" s="28" t="str">
        <f>IF(OR(履歴データ!$A$996="",履歴データ!$A$995=""),"",B996-B995)</f>
        <v/>
      </c>
      <c r="L996" s="28" t="str">
        <f>IF(OR(履歴データ!$A$996="",履歴データ!$A$995=""),"",C996-C995)</f>
        <v/>
      </c>
      <c r="M996" s="28" t="str">
        <f>IF(OR(履歴データ!$A$996="",履歴データ!$A$995=""),"",D996-D995)</f>
        <v/>
      </c>
      <c r="N996" s="28" t="str">
        <f>IF(OR(履歴データ!$A$996="",履歴データ!$A$995=""),"",E996-E995)</f>
        <v/>
      </c>
      <c r="O996" s="28" t="str">
        <f>IF(OR(履歴データ!$A$996="",履歴データ!$A$995=""),"",F996-F995)</f>
        <v/>
      </c>
      <c r="P996" s="28" t="str">
        <f>IF(OR(履歴データ!$A$996="",履歴データ!$A$995=""),"",G996-G995)</f>
        <v/>
      </c>
      <c r="Q996" s="29" t="str">
        <f>IF(OR(履歴データ!$A$996="",履歴データ!$A$995=""),"",H996-H995)</f>
        <v/>
      </c>
      <c r="R996" s="29" t="str">
        <f>IF(OR(履歴データ!$A$996="",履歴データ!$A$995=""),"",I996-I995)</f>
        <v/>
      </c>
      <c r="S996" s="28" t="str">
        <f>IF(OR(履歴データ!$A$996="",履歴データ!$A$995=""),"",(J996-J995)*100)</f>
        <v/>
      </c>
      <c r="T996" s="11" t="str">
        <f>IF(OR(履歴データ!$A$996="",履歴データ!$A$995=""),"",-80000*K996)</f>
        <v/>
      </c>
      <c r="U996" s="11" t="str">
        <f>IF(OR(履歴データ!$A$996="",履歴データ!$A$995=""),"",60000*L996)</f>
        <v/>
      </c>
      <c r="V996" s="11" t="str">
        <f>IF(OR(履歴データ!$A$996="",履歴データ!$A$995=""),"",-50000*M996)</f>
        <v/>
      </c>
      <c r="W996" s="11" t="str">
        <f>IF(OR(履歴データ!$A$996="",履歴データ!$A$995=""),"",-40000*N996)</f>
        <v/>
      </c>
      <c r="X996" s="11" t="str">
        <f>IF(OR(履歴データ!$A$996="",履歴データ!$A$995=""),"",120*1000000*(-Q996/H995))</f>
        <v/>
      </c>
      <c r="Y996" s="11" t="str">
        <f>IF(OR(履歴データ!$A$996="",履歴データ!$A$995=""),"",40000*(-S996)+(-506.3)*R996*1000)</f>
        <v/>
      </c>
      <c r="Z996" s="11" t="str">
        <f>IF(OR(履歴データ!$A$996="",履歴データ!$A$995=""),"",-40000*O996)</f>
        <v/>
      </c>
      <c r="AA996" s="11" t="str">
        <f>IF(OR(履歴データ!$A$996="",履歴データ!$A$995=""),"",-40000*P996)</f>
        <v/>
      </c>
      <c r="AB996" s="11" t="str">
        <f>IF(履歴データ!$A$996="","",123.3)</f>
        <v/>
      </c>
      <c r="AC996" t="str">
        <f>IF(履歴データ!$A$996="","",SUM(T996:AA996))</f>
        <v/>
      </c>
      <c r="AD996" s="29" t="str">
        <f>IF(履歴データ!$A$996="","",AC996/1000000)</f>
        <v/>
      </c>
      <c r="AE996" s="29">
        <f>IF(履歴データ!$A$996="",AE995,AE995+AC996/1000000)</f>
        <v>70.844544225831427</v>
      </c>
      <c r="AF996" s="12" t="str">
        <f>IF(OR(履歴データ!$A$996="",AE995=0),"",(AE996-AE995)/AE995)</f>
        <v/>
      </c>
      <c r="AG996" s="29">
        <f t="shared" si="45"/>
        <v>102.17217746631495</v>
      </c>
      <c r="AH996" s="12" t="str">
        <f>IF(OR(履歴データ!$A$996="",AG996=0),"",AE996/AG996-1)</f>
        <v/>
      </c>
    </row>
    <row r="997" spans="1:34">
      <c r="A997" s="10" t="str">
        <f>IF(履歴データ!$A$997="","",履歴データ!$A$997)</f>
        <v/>
      </c>
      <c r="B997" s="28" t="str">
        <f>IF(履歴データ!$A$997="","",(履歴データ!$D$997-(履歴データ!$B$997+履歴データ!$F$997)/2)*100)</f>
        <v/>
      </c>
      <c r="C997" s="28" t="str">
        <f>IF(履歴データ!$A$997="","",(履歴データ!$H$997-(履歴データ!$G$997+履歴データ!$J$997)/2)*100)</f>
        <v/>
      </c>
      <c r="D997" s="28" t="str">
        <f>IF(履歴データ!$A$997="","",(履歴データ!$D$997-履歴データ!$H$997)*100)</f>
        <v/>
      </c>
      <c r="E997" s="28" t="str">
        <f>IF(履歴データ!$A$997="","",(履歴データ!$D$997-履歴データ!$C$997)*100)</f>
        <v/>
      </c>
      <c r="F997" s="28" t="str">
        <f>IF(履歴データ!$A$997="","",(履歴データ!$R$997-履歴データ!$D$997)*100)</f>
        <v/>
      </c>
      <c r="G997" s="28" t="str">
        <f>IF(履歴データ!$A$997="","",(履歴データ!$S$997-履歴データ!$R$997)*100)</f>
        <v/>
      </c>
      <c r="H997" s="29" t="str">
        <f>IF(履歴データ!$A$997="","",履歴データ!$O$997)</f>
        <v/>
      </c>
      <c r="I997" s="29" t="str">
        <f>IF(履歴データ!$A$997="","",履歴データ!$Q$997)</f>
        <v/>
      </c>
      <c r="J997" s="29" t="str">
        <f>IF(履歴データ!$A$997="","",履歴データ!$D$997)</f>
        <v/>
      </c>
      <c r="K997" s="28" t="str">
        <f>IF(OR(履歴データ!$A$997="",履歴データ!$A$996=""),"",B997-B996)</f>
        <v/>
      </c>
      <c r="L997" s="28" t="str">
        <f>IF(OR(履歴データ!$A$997="",履歴データ!$A$996=""),"",C997-C996)</f>
        <v/>
      </c>
      <c r="M997" s="28" t="str">
        <f>IF(OR(履歴データ!$A$997="",履歴データ!$A$996=""),"",D997-D996)</f>
        <v/>
      </c>
      <c r="N997" s="28" t="str">
        <f>IF(OR(履歴データ!$A$997="",履歴データ!$A$996=""),"",E997-E996)</f>
        <v/>
      </c>
      <c r="O997" s="28" t="str">
        <f>IF(OR(履歴データ!$A$997="",履歴データ!$A$996=""),"",F997-F996)</f>
        <v/>
      </c>
      <c r="P997" s="28" t="str">
        <f>IF(OR(履歴データ!$A$997="",履歴データ!$A$996=""),"",G997-G996)</f>
        <v/>
      </c>
      <c r="Q997" s="29" t="str">
        <f>IF(OR(履歴データ!$A$997="",履歴データ!$A$996=""),"",H997-H996)</f>
        <v/>
      </c>
      <c r="R997" s="29" t="str">
        <f>IF(OR(履歴データ!$A$997="",履歴データ!$A$996=""),"",I997-I996)</f>
        <v/>
      </c>
      <c r="S997" s="28" t="str">
        <f>IF(OR(履歴データ!$A$997="",履歴データ!$A$996=""),"",(J997-J996)*100)</f>
        <v/>
      </c>
      <c r="T997" s="11" t="str">
        <f>IF(OR(履歴データ!$A$997="",履歴データ!$A$996=""),"",-80000*K997)</f>
        <v/>
      </c>
      <c r="U997" s="11" t="str">
        <f>IF(OR(履歴データ!$A$997="",履歴データ!$A$996=""),"",60000*L997)</f>
        <v/>
      </c>
      <c r="V997" s="11" t="str">
        <f>IF(OR(履歴データ!$A$997="",履歴データ!$A$996=""),"",-50000*M997)</f>
        <v/>
      </c>
      <c r="W997" s="11" t="str">
        <f>IF(OR(履歴データ!$A$997="",履歴データ!$A$996=""),"",-40000*N997)</f>
        <v/>
      </c>
      <c r="X997" s="11" t="str">
        <f>IF(OR(履歴データ!$A$997="",履歴データ!$A$996=""),"",120*1000000*(-Q997/H996))</f>
        <v/>
      </c>
      <c r="Y997" s="11" t="str">
        <f>IF(OR(履歴データ!$A$997="",履歴データ!$A$996=""),"",40000*(-S997)+(-506.3)*R997*1000)</f>
        <v/>
      </c>
      <c r="Z997" s="11" t="str">
        <f>IF(OR(履歴データ!$A$997="",履歴データ!$A$996=""),"",-40000*O997)</f>
        <v/>
      </c>
      <c r="AA997" s="11" t="str">
        <f>IF(OR(履歴データ!$A$997="",履歴データ!$A$996=""),"",-40000*P997)</f>
        <v/>
      </c>
      <c r="AB997" s="11" t="str">
        <f>IF(履歴データ!$A$997="","",123.3)</f>
        <v/>
      </c>
      <c r="AC997" t="str">
        <f>IF(履歴データ!$A$997="","",SUM(T997:AA997))</f>
        <v/>
      </c>
      <c r="AD997" s="29" t="str">
        <f>IF(履歴データ!$A$997="","",AC997/1000000)</f>
        <v/>
      </c>
      <c r="AE997" s="29">
        <f>IF(履歴データ!$A$997="",AE996,AE996+AC997/1000000)</f>
        <v>70.844544225831427</v>
      </c>
      <c r="AF997" s="12" t="str">
        <f>IF(OR(履歴データ!$A$997="",AE996=0),"",(AE997-AE996)/AE996)</f>
        <v/>
      </c>
      <c r="AG997" s="29">
        <f t="shared" si="45"/>
        <v>102.17217746631495</v>
      </c>
      <c r="AH997" s="12" t="str">
        <f>IF(OR(履歴データ!$A$997="",AG997=0),"",AE997/AG997-1)</f>
        <v/>
      </c>
    </row>
    <row r="998" spans="1:34">
      <c r="A998" s="10" t="str">
        <f>IF(履歴データ!$A$998="","",履歴データ!$A$998)</f>
        <v/>
      </c>
      <c r="B998" s="28" t="str">
        <f>IF(履歴データ!$A$998="","",(履歴データ!$D$998-(履歴データ!$B$998+履歴データ!$F$998)/2)*100)</f>
        <v/>
      </c>
      <c r="C998" s="28" t="str">
        <f>IF(履歴データ!$A$998="","",(履歴データ!$H$998-(履歴データ!$G$998+履歴データ!$J$998)/2)*100)</f>
        <v/>
      </c>
      <c r="D998" s="28" t="str">
        <f>IF(履歴データ!$A$998="","",(履歴データ!$D$998-履歴データ!$H$998)*100)</f>
        <v/>
      </c>
      <c r="E998" s="28" t="str">
        <f>IF(履歴データ!$A$998="","",(履歴データ!$D$998-履歴データ!$C$998)*100)</f>
        <v/>
      </c>
      <c r="F998" s="28" t="str">
        <f>IF(履歴データ!$A$998="","",(履歴データ!$R$998-履歴データ!$D$998)*100)</f>
        <v/>
      </c>
      <c r="G998" s="28" t="str">
        <f>IF(履歴データ!$A$998="","",(履歴データ!$S$998-履歴データ!$R$998)*100)</f>
        <v/>
      </c>
      <c r="H998" s="29" t="str">
        <f>IF(履歴データ!$A$998="","",履歴データ!$O$998)</f>
        <v/>
      </c>
      <c r="I998" s="29" t="str">
        <f>IF(履歴データ!$A$998="","",履歴データ!$Q$998)</f>
        <v/>
      </c>
      <c r="J998" s="29" t="str">
        <f>IF(履歴データ!$A$998="","",履歴データ!$D$998)</f>
        <v/>
      </c>
      <c r="K998" s="28" t="str">
        <f>IF(OR(履歴データ!$A$998="",履歴データ!$A$997=""),"",B998-B997)</f>
        <v/>
      </c>
      <c r="L998" s="28" t="str">
        <f>IF(OR(履歴データ!$A$998="",履歴データ!$A$997=""),"",C998-C997)</f>
        <v/>
      </c>
      <c r="M998" s="28" t="str">
        <f>IF(OR(履歴データ!$A$998="",履歴データ!$A$997=""),"",D998-D997)</f>
        <v/>
      </c>
      <c r="N998" s="28" t="str">
        <f>IF(OR(履歴データ!$A$998="",履歴データ!$A$997=""),"",E998-E997)</f>
        <v/>
      </c>
      <c r="O998" s="28" t="str">
        <f>IF(OR(履歴データ!$A$998="",履歴データ!$A$997=""),"",F998-F997)</f>
        <v/>
      </c>
      <c r="P998" s="28" t="str">
        <f>IF(OR(履歴データ!$A$998="",履歴データ!$A$997=""),"",G998-G997)</f>
        <v/>
      </c>
      <c r="Q998" s="29" t="str">
        <f>IF(OR(履歴データ!$A$998="",履歴データ!$A$997=""),"",H998-H997)</f>
        <v/>
      </c>
      <c r="R998" s="29" t="str">
        <f>IF(OR(履歴データ!$A$998="",履歴データ!$A$997=""),"",I998-I997)</f>
        <v/>
      </c>
      <c r="S998" s="28" t="str">
        <f>IF(OR(履歴データ!$A$998="",履歴データ!$A$997=""),"",(J998-J997)*100)</f>
        <v/>
      </c>
      <c r="T998" s="11" t="str">
        <f>IF(OR(履歴データ!$A$998="",履歴データ!$A$997=""),"",-80000*K998)</f>
        <v/>
      </c>
      <c r="U998" s="11" t="str">
        <f>IF(OR(履歴データ!$A$998="",履歴データ!$A$997=""),"",60000*L998)</f>
        <v/>
      </c>
      <c r="V998" s="11" t="str">
        <f>IF(OR(履歴データ!$A$998="",履歴データ!$A$997=""),"",-50000*M998)</f>
        <v/>
      </c>
      <c r="W998" s="11" t="str">
        <f>IF(OR(履歴データ!$A$998="",履歴データ!$A$997=""),"",-40000*N998)</f>
        <v/>
      </c>
      <c r="X998" s="11" t="str">
        <f>IF(OR(履歴データ!$A$998="",履歴データ!$A$997=""),"",120*1000000*(-Q998/H997))</f>
        <v/>
      </c>
      <c r="Y998" s="11" t="str">
        <f>IF(OR(履歴データ!$A$998="",履歴データ!$A$997=""),"",40000*(-S998)+(-506.3)*R998*1000)</f>
        <v/>
      </c>
      <c r="Z998" s="11" t="str">
        <f>IF(OR(履歴データ!$A$998="",履歴データ!$A$997=""),"",-40000*O998)</f>
        <v/>
      </c>
      <c r="AA998" s="11" t="str">
        <f>IF(OR(履歴データ!$A$998="",履歴データ!$A$997=""),"",-40000*P998)</f>
        <v/>
      </c>
      <c r="AB998" s="11" t="str">
        <f>IF(履歴データ!$A$998="","",123.3)</f>
        <v/>
      </c>
      <c r="AC998" t="str">
        <f>IF(履歴データ!$A$998="","",SUM(T998:AA998))</f>
        <v/>
      </c>
      <c r="AD998" s="29" t="str">
        <f>IF(履歴データ!$A$998="","",AC998/1000000)</f>
        <v/>
      </c>
      <c r="AE998" s="29">
        <f>IF(履歴データ!$A$998="",AE997,AE997+AC998/1000000)</f>
        <v>70.844544225831427</v>
      </c>
      <c r="AF998" s="12" t="str">
        <f>IF(OR(履歴データ!$A$998="",AE997=0),"",(AE998-AE997)/AE997)</f>
        <v/>
      </c>
      <c r="AG998" s="29">
        <f t="shared" si="45"/>
        <v>102.17217746631495</v>
      </c>
      <c r="AH998" s="12" t="str">
        <f>IF(OR(履歴データ!$A$998="",AG998=0),"",AE998/AG998-1)</f>
        <v/>
      </c>
    </row>
    <row r="999" spans="1:34">
      <c r="A999" s="10" t="str">
        <f>IF(履歴データ!$A$999="","",履歴データ!$A$999)</f>
        <v/>
      </c>
      <c r="B999" s="28" t="str">
        <f>IF(履歴データ!$A$999="","",(履歴データ!$D$999-(履歴データ!$B$999+履歴データ!$F$999)/2)*100)</f>
        <v/>
      </c>
      <c r="C999" s="28" t="str">
        <f>IF(履歴データ!$A$999="","",(履歴データ!$H$999-(履歴データ!$G$999+履歴データ!$J$999)/2)*100)</f>
        <v/>
      </c>
      <c r="D999" s="28" t="str">
        <f>IF(履歴データ!$A$999="","",(履歴データ!$D$999-履歴データ!$H$999)*100)</f>
        <v/>
      </c>
      <c r="E999" s="28" t="str">
        <f>IF(履歴データ!$A$999="","",(履歴データ!$D$999-履歴データ!$C$999)*100)</f>
        <v/>
      </c>
      <c r="F999" s="28" t="str">
        <f>IF(履歴データ!$A$999="","",(履歴データ!$R$999-履歴データ!$D$999)*100)</f>
        <v/>
      </c>
      <c r="G999" s="28" t="str">
        <f>IF(履歴データ!$A$999="","",(履歴データ!$S$999-履歴データ!$R$999)*100)</f>
        <v/>
      </c>
      <c r="H999" s="29" t="str">
        <f>IF(履歴データ!$A$999="","",履歴データ!$O$999)</f>
        <v/>
      </c>
      <c r="I999" s="29" t="str">
        <f>IF(履歴データ!$A$999="","",履歴データ!$Q$999)</f>
        <v/>
      </c>
      <c r="J999" s="29" t="str">
        <f>IF(履歴データ!$A$999="","",履歴データ!$D$999)</f>
        <v/>
      </c>
      <c r="K999" s="28" t="str">
        <f>IF(OR(履歴データ!$A$999="",履歴データ!$A$998=""),"",B999-B998)</f>
        <v/>
      </c>
      <c r="L999" s="28" t="str">
        <f>IF(OR(履歴データ!$A$999="",履歴データ!$A$998=""),"",C999-C998)</f>
        <v/>
      </c>
      <c r="M999" s="28" t="str">
        <f>IF(OR(履歴データ!$A$999="",履歴データ!$A$998=""),"",D999-D998)</f>
        <v/>
      </c>
      <c r="N999" s="28" t="str">
        <f>IF(OR(履歴データ!$A$999="",履歴データ!$A$998=""),"",E999-E998)</f>
        <v/>
      </c>
      <c r="O999" s="28" t="str">
        <f>IF(OR(履歴データ!$A$999="",履歴データ!$A$998=""),"",F999-F998)</f>
        <v/>
      </c>
      <c r="P999" s="28" t="str">
        <f>IF(OR(履歴データ!$A$999="",履歴データ!$A$998=""),"",G999-G998)</f>
        <v/>
      </c>
      <c r="Q999" s="29" t="str">
        <f>IF(OR(履歴データ!$A$999="",履歴データ!$A$998=""),"",H999-H998)</f>
        <v/>
      </c>
      <c r="R999" s="29" t="str">
        <f>IF(OR(履歴データ!$A$999="",履歴データ!$A$998=""),"",I999-I998)</f>
        <v/>
      </c>
      <c r="S999" s="28" t="str">
        <f>IF(OR(履歴データ!$A$999="",履歴データ!$A$998=""),"",(J999-J998)*100)</f>
        <v/>
      </c>
      <c r="T999" s="11" t="str">
        <f>IF(OR(履歴データ!$A$999="",履歴データ!$A$998=""),"",-80000*K999)</f>
        <v/>
      </c>
      <c r="U999" s="11" t="str">
        <f>IF(OR(履歴データ!$A$999="",履歴データ!$A$998=""),"",60000*L999)</f>
        <v/>
      </c>
      <c r="V999" s="11" t="str">
        <f>IF(OR(履歴データ!$A$999="",履歴データ!$A$998=""),"",-50000*M999)</f>
        <v/>
      </c>
      <c r="W999" s="11" t="str">
        <f>IF(OR(履歴データ!$A$999="",履歴データ!$A$998=""),"",-40000*N999)</f>
        <v/>
      </c>
      <c r="X999" s="11" t="str">
        <f>IF(OR(履歴データ!$A$999="",履歴データ!$A$998=""),"",120*1000000*(-Q999/H998))</f>
        <v/>
      </c>
      <c r="Y999" s="11" t="str">
        <f>IF(OR(履歴データ!$A$999="",履歴データ!$A$998=""),"",40000*(-S999)+(-506.3)*R999*1000)</f>
        <v/>
      </c>
      <c r="Z999" s="11" t="str">
        <f>IF(OR(履歴データ!$A$999="",履歴データ!$A$998=""),"",-40000*O999)</f>
        <v/>
      </c>
      <c r="AA999" s="11" t="str">
        <f>IF(OR(履歴データ!$A$999="",履歴データ!$A$998=""),"",-40000*P999)</f>
        <v/>
      </c>
      <c r="AB999" s="11" t="str">
        <f>IF(履歴データ!$A$999="","",123.3)</f>
        <v/>
      </c>
      <c r="AC999" t="str">
        <f>IF(履歴データ!$A$999="","",SUM(T999:AA999))</f>
        <v/>
      </c>
      <c r="AD999" s="29" t="str">
        <f>IF(履歴データ!$A$999="","",AC999/1000000)</f>
        <v/>
      </c>
      <c r="AE999" s="29">
        <f>IF(履歴データ!$A$999="",AE998,AE998+AC999/1000000)</f>
        <v>70.844544225831427</v>
      </c>
      <c r="AF999" s="12" t="str">
        <f>IF(OR(履歴データ!$A$999="",AE998=0),"",(AE999-AE998)/AE998)</f>
        <v/>
      </c>
      <c r="AG999" s="29">
        <f t="shared" si="45"/>
        <v>102.17217746631495</v>
      </c>
      <c r="AH999" s="12" t="str">
        <f>IF(OR(履歴データ!$A$999="",AG999=0),"",AE999/AG999-1)</f>
        <v/>
      </c>
    </row>
    <row r="1000" spans="1:34">
      <c r="A1000" s="10" t="str">
        <f>IF(履歴データ!$A$1000="","",履歴データ!$A$1000)</f>
        <v/>
      </c>
      <c r="B1000" s="28" t="str">
        <f>IF(履歴データ!$A$1000="","",(履歴データ!$D$1000-(履歴データ!$B$1000+履歴データ!$F$1000)/2)*100)</f>
        <v/>
      </c>
      <c r="C1000" s="28" t="str">
        <f>IF(履歴データ!$A$1000="","",(履歴データ!$H$1000-(履歴データ!$G$1000+履歴データ!$J$1000)/2)*100)</f>
        <v/>
      </c>
      <c r="D1000" s="28" t="str">
        <f>IF(履歴データ!$A$1000="","",(履歴データ!$D$1000-履歴データ!$H$1000)*100)</f>
        <v/>
      </c>
      <c r="E1000" s="28" t="str">
        <f>IF(履歴データ!$A$1000="","",(履歴データ!$D$1000-履歴データ!$C$1000)*100)</f>
        <v/>
      </c>
      <c r="F1000" s="28" t="str">
        <f>IF(履歴データ!$A$1000="","",(履歴データ!$R$1000-履歴データ!$D$1000)*100)</f>
        <v/>
      </c>
      <c r="G1000" s="28" t="str">
        <f>IF(履歴データ!$A$1000="","",(履歴データ!$S$1000-履歴データ!$R$1000)*100)</f>
        <v/>
      </c>
      <c r="H1000" s="29" t="str">
        <f>IF(履歴データ!$A$1000="","",履歴データ!$O$1000)</f>
        <v/>
      </c>
      <c r="I1000" s="29" t="str">
        <f>IF(履歴データ!$A$1000="","",履歴データ!$Q$1000)</f>
        <v/>
      </c>
      <c r="J1000" s="29" t="str">
        <f>IF(履歴データ!$A$1000="","",履歴データ!$D$1000)</f>
        <v/>
      </c>
      <c r="K1000" s="28" t="str">
        <f>IF(OR(履歴データ!$A$1000="",履歴データ!$A$999=""),"",B1000-B999)</f>
        <v/>
      </c>
      <c r="L1000" s="28" t="str">
        <f>IF(OR(履歴データ!$A$1000="",履歴データ!$A$999=""),"",C1000-C999)</f>
        <v/>
      </c>
      <c r="M1000" s="28" t="str">
        <f>IF(OR(履歴データ!$A$1000="",履歴データ!$A$999=""),"",D1000-D999)</f>
        <v/>
      </c>
      <c r="N1000" s="28" t="str">
        <f>IF(OR(履歴データ!$A$1000="",履歴データ!$A$999=""),"",E1000-E999)</f>
        <v/>
      </c>
      <c r="O1000" s="28" t="str">
        <f>IF(OR(履歴データ!$A$1000="",履歴データ!$A$999=""),"",F1000-F999)</f>
        <v/>
      </c>
      <c r="P1000" s="28" t="str">
        <f>IF(OR(履歴データ!$A$1000="",履歴データ!$A$999=""),"",G1000-G999)</f>
        <v/>
      </c>
      <c r="Q1000" s="29" t="str">
        <f>IF(OR(履歴データ!$A$1000="",履歴データ!$A$999=""),"",H1000-H999)</f>
        <v/>
      </c>
      <c r="R1000" s="29" t="str">
        <f>IF(OR(履歴データ!$A$1000="",履歴データ!$A$999=""),"",I1000-I999)</f>
        <v/>
      </c>
      <c r="S1000" s="28" t="str">
        <f>IF(OR(履歴データ!$A$1000="",履歴データ!$A$999=""),"",(J1000-J999)*100)</f>
        <v/>
      </c>
      <c r="T1000" s="11" t="str">
        <f>IF(OR(履歴データ!$A$1000="",履歴データ!$A$999=""),"",-80000*K1000)</f>
        <v/>
      </c>
      <c r="U1000" s="11" t="str">
        <f>IF(OR(履歴データ!$A$1000="",履歴データ!$A$999=""),"",60000*L1000)</f>
        <v/>
      </c>
      <c r="V1000" s="11" t="str">
        <f>IF(OR(履歴データ!$A$1000="",履歴データ!$A$999=""),"",-50000*M1000)</f>
        <v/>
      </c>
      <c r="W1000" s="11" t="str">
        <f>IF(OR(履歴データ!$A$1000="",履歴データ!$A$999=""),"",-40000*N1000)</f>
        <v/>
      </c>
      <c r="X1000" s="11" t="str">
        <f>IF(OR(履歴データ!$A$1000="",履歴データ!$A$999=""),"",120*1000000*(-Q1000/H999))</f>
        <v/>
      </c>
      <c r="Y1000" s="11" t="str">
        <f>IF(OR(履歴データ!$A$1000="",履歴データ!$A$999=""),"",40000*(-S1000)+(-506.3)*R1000*1000)</f>
        <v/>
      </c>
      <c r="Z1000" s="11" t="str">
        <f>IF(OR(履歴データ!$A$1000="",履歴データ!$A$999=""),"",-40000*O1000)</f>
        <v/>
      </c>
      <c r="AA1000" s="11" t="str">
        <f>IF(OR(履歴データ!$A$1000="",履歴データ!$A$999=""),"",-40000*P1000)</f>
        <v/>
      </c>
      <c r="AB1000" s="11" t="str">
        <f>IF(履歴データ!$A$1000="","",123.3)</f>
        <v/>
      </c>
      <c r="AC1000" t="str">
        <f>IF(履歴データ!$A$1000="","",SUM(T1000:AA1000))</f>
        <v/>
      </c>
      <c r="AD1000" s="29" t="str">
        <f>IF(履歴データ!$A$1000="","",AC1000/1000000)</f>
        <v/>
      </c>
      <c r="AE1000" s="29">
        <f>IF(履歴データ!$A$1000="",AE999,AE999+AC1000/1000000)</f>
        <v>70.844544225831427</v>
      </c>
      <c r="AF1000" s="12" t="str">
        <f>IF(OR(履歴データ!$A$1000="",AE999=0),"",(AE1000-AE999)/AE999)</f>
        <v/>
      </c>
      <c r="AG1000" s="29">
        <f t="shared" si="45"/>
        <v>102.17217746631495</v>
      </c>
      <c r="AH1000" s="12" t="str">
        <f>IF(OR(履歴データ!$A$1000="",AG1000=0),"",AE1000/AG1000-1)</f>
        <v/>
      </c>
    </row>
    <row r="1001" spans="1:34">
      <c r="A1001" s="10" t="str">
        <f>IF(履歴データ!$A$1001="","",履歴データ!$A$1001)</f>
        <v/>
      </c>
      <c r="B1001" s="28" t="str">
        <f>IF(履歴データ!$A$1001="","",(履歴データ!$D$1001-(履歴データ!$B$1001+履歴データ!$F$1001)/2)*100)</f>
        <v/>
      </c>
      <c r="C1001" s="28" t="str">
        <f>IF(履歴データ!$A$1001="","",(履歴データ!$H$1001-(履歴データ!$G$1001+履歴データ!$J$1001)/2)*100)</f>
        <v/>
      </c>
      <c r="D1001" s="28" t="str">
        <f>IF(履歴データ!$A$1001="","",(履歴データ!$D$1001-履歴データ!$H$1001)*100)</f>
        <v/>
      </c>
      <c r="E1001" s="28" t="str">
        <f>IF(履歴データ!$A$1001="","",(履歴データ!$D$1001-履歴データ!$C$1001)*100)</f>
        <v/>
      </c>
      <c r="F1001" s="28" t="str">
        <f>IF(履歴データ!$A$1001="","",(履歴データ!$R$1001-履歴データ!$D$1001)*100)</f>
        <v/>
      </c>
      <c r="G1001" s="28" t="str">
        <f>IF(履歴データ!$A$1001="","",(履歴データ!$S$1001-履歴データ!$R$1001)*100)</f>
        <v/>
      </c>
      <c r="H1001" s="29" t="str">
        <f>IF(履歴データ!$A$1001="","",履歴データ!$O$1001)</f>
        <v/>
      </c>
      <c r="I1001" s="29" t="str">
        <f>IF(履歴データ!$A$1001="","",履歴データ!$Q$1001)</f>
        <v/>
      </c>
      <c r="J1001" s="29" t="str">
        <f>IF(履歴データ!$A$1001="","",履歴データ!$D$1001)</f>
        <v/>
      </c>
      <c r="K1001" s="28" t="str">
        <f>IF(OR(履歴データ!$A$1001="",履歴データ!$A$1000=""),"",B1001-B1000)</f>
        <v/>
      </c>
      <c r="L1001" s="28" t="str">
        <f>IF(OR(履歴データ!$A$1001="",履歴データ!$A$1000=""),"",C1001-C1000)</f>
        <v/>
      </c>
      <c r="M1001" s="28" t="str">
        <f>IF(OR(履歴データ!$A$1001="",履歴データ!$A$1000=""),"",D1001-D1000)</f>
        <v/>
      </c>
      <c r="N1001" s="28" t="str">
        <f>IF(OR(履歴データ!$A$1001="",履歴データ!$A$1000=""),"",E1001-E1000)</f>
        <v/>
      </c>
      <c r="O1001" s="28" t="str">
        <f>IF(OR(履歴データ!$A$1001="",履歴データ!$A$1000=""),"",F1001-F1000)</f>
        <v/>
      </c>
      <c r="P1001" s="28" t="str">
        <f>IF(OR(履歴データ!$A$1001="",履歴データ!$A$1000=""),"",G1001-G1000)</f>
        <v/>
      </c>
      <c r="Q1001" s="29" t="str">
        <f>IF(OR(履歴データ!$A$1001="",履歴データ!$A$1000=""),"",H1001-H1000)</f>
        <v/>
      </c>
      <c r="R1001" s="29" t="str">
        <f>IF(OR(履歴データ!$A$1001="",履歴データ!$A$1000=""),"",I1001-I1000)</f>
        <v/>
      </c>
      <c r="S1001" s="28" t="str">
        <f>IF(OR(履歴データ!$A$1001="",履歴データ!$A$1000=""),"",(J1001-J1000)*100)</f>
        <v/>
      </c>
      <c r="T1001" s="11" t="str">
        <f>IF(OR(履歴データ!$A$1001="",履歴データ!$A$1000=""),"",-80000*K1001)</f>
        <v/>
      </c>
      <c r="U1001" s="11" t="str">
        <f>IF(OR(履歴データ!$A$1001="",履歴データ!$A$1000=""),"",60000*L1001)</f>
        <v/>
      </c>
      <c r="V1001" s="11" t="str">
        <f>IF(OR(履歴データ!$A$1001="",履歴データ!$A$1000=""),"",-50000*M1001)</f>
        <v/>
      </c>
      <c r="W1001" s="11" t="str">
        <f>IF(OR(履歴データ!$A$1001="",履歴データ!$A$1000=""),"",-40000*N1001)</f>
        <v/>
      </c>
      <c r="X1001" s="11" t="str">
        <f>IF(OR(履歴データ!$A$1001="",履歴データ!$A$1000=""),"",120*1000000*(-Q1001/H1000))</f>
        <v/>
      </c>
      <c r="Y1001" s="11" t="str">
        <f>IF(OR(履歴データ!$A$1001="",履歴データ!$A$1000=""),"",40000*(-S1001)+(-506.3)*R1001*1000)</f>
        <v/>
      </c>
      <c r="Z1001" s="11" t="str">
        <f>IF(OR(履歴データ!$A$1001="",履歴データ!$A$1000=""),"",-40000*O1001)</f>
        <v/>
      </c>
      <c r="AA1001" s="11" t="str">
        <f>IF(OR(履歴データ!$A$1001="",履歴データ!$A$1000=""),"",-40000*P1001)</f>
        <v/>
      </c>
      <c r="AB1001" s="11" t="str">
        <f>IF(履歴データ!$A$1001="","",123.3)</f>
        <v/>
      </c>
      <c r="AC1001" t="str">
        <f>IF(履歴データ!$A$1001="","",SUM(T1001:AA1001))</f>
        <v/>
      </c>
      <c r="AD1001" s="29" t="str">
        <f>IF(履歴データ!$A$1001="","",AC1001/1000000)</f>
        <v/>
      </c>
      <c r="AE1001" s="29">
        <f>IF(履歴データ!$A$1001="",AE1000,AE1000+AC1001/1000000)</f>
        <v>70.844544225831427</v>
      </c>
      <c r="AF1001" s="12" t="str">
        <f>IF(OR(履歴データ!$A$1001="",AE1000=0),"",(AE1001-AE1000)/AE1000)</f>
        <v/>
      </c>
      <c r="AG1001" s="29">
        <f t="shared" si="45"/>
        <v>102.17217746631495</v>
      </c>
      <c r="AH1001" s="12" t="str">
        <f>IF(OR(履歴データ!$A$1001="",AG1001=0),"",AE1001/AG1001-1)</f>
        <v/>
      </c>
    </row>
    <row r="1002" spans="1:34">
      <c r="A1002" s="10" t="str">
        <f>IF(履歴データ!$A$1002="","",履歴データ!$A$1002)</f>
        <v/>
      </c>
      <c r="B1002" s="28" t="str">
        <f>IF(履歴データ!$A$1002="","",(履歴データ!$D$1002-(履歴データ!$B$1002+履歴データ!$F$1002)/2)*100)</f>
        <v/>
      </c>
      <c r="C1002" s="28" t="str">
        <f>IF(履歴データ!$A$1002="","",(履歴データ!$H$1002-(履歴データ!$G$1002+履歴データ!$J$1002)/2)*100)</f>
        <v/>
      </c>
      <c r="D1002" s="28" t="str">
        <f>IF(履歴データ!$A$1002="","",(履歴データ!$D$1002-履歴データ!$H$1002)*100)</f>
        <v/>
      </c>
      <c r="E1002" s="28" t="str">
        <f>IF(履歴データ!$A$1002="","",(履歴データ!$D$1002-履歴データ!$C$1002)*100)</f>
        <v/>
      </c>
      <c r="F1002" s="28" t="str">
        <f>IF(履歴データ!$A$1002="","",(履歴データ!$R$1002-履歴データ!$D$1002)*100)</f>
        <v/>
      </c>
      <c r="G1002" s="28" t="str">
        <f>IF(履歴データ!$A$1002="","",(履歴データ!$S$1002-履歴データ!$R$1002)*100)</f>
        <v/>
      </c>
      <c r="H1002" s="29" t="str">
        <f>IF(履歴データ!$A$1002="","",履歴データ!$O$1002)</f>
        <v/>
      </c>
      <c r="I1002" s="29" t="str">
        <f>IF(履歴データ!$A$1002="","",履歴データ!$Q$1002)</f>
        <v/>
      </c>
      <c r="J1002" s="29" t="str">
        <f>IF(履歴データ!$A$1002="","",履歴データ!$D$1002)</f>
        <v/>
      </c>
      <c r="K1002" s="28" t="str">
        <f>IF(OR(履歴データ!$A$1002="",履歴データ!$A$1001=""),"",B1002-B1001)</f>
        <v/>
      </c>
      <c r="L1002" s="28" t="str">
        <f>IF(OR(履歴データ!$A$1002="",履歴データ!$A$1001=""),"",C1002-C1001)</f>
        <v/>
      </c>
      <c r="M1002" s="28" t="str">
        <f>IF(OR(履歴データ!$A$1002="",履歴データ!$A$1001=""),"",D1002-D1001)</f>
        <v/>
      </c>
      <c r="N1002" s="28" t="str">
        <f>IF(OR(履歴データ!$A$1002="",履歴データ!$A$1001=""),"",E1002-E1001)</f>
        <v/>
      </c>
      <c r="O1002" s="28" t="str">
        <f>IF(OR(履歴データ!$A$1002="",履歴データ!$A$1001=""),"",F1002-F1001)</f>
        <v/>
      </c>
      <c r="P1002" s="28" t="str">
        <f>IF(OR(履歴データ!$A$1002="",履歴データ!$A$1001=""),"",G1002-G1001)</f>
        <v/>
      </c>
      <c r="Q1002" s="29" t="str">
        <f>IF(OR(履歴データ!$A$1002="",履歴データ!$A$1001=""),"",H1002-H1001)</f>
        <v/>
      </c>
      <c r="R1002" s="29" t="str">
        <f>IF(OR(履歴データ!$A$1002="",履歴データ!$A$1001=""),"",I1002-I1001)</f>
        <v/>
      </c>
      <c r="S1002" s="28" t="str">
        <f>IF(OR(履歴データ!$A$1002="",履歴データ!$A$1001=""),"",(J1002-J1001)*100)</f>
        <v/>
      </c>
      <c r="T1002" s="11" t="str">
        <f>IF(OR(履歴データ!$A$1002="",履歴データ!$A$1001=""),"",-80000*K1002)</f>
        <v/>
      </c>
      <c r="U1002" s="11" t="str">
        <f>IF(OR(履歴データ!$A$1002="",履歴データ!$A$1001=""),"",60000*L1002)</f>
        <v/>
      </c>
      <c r="V1002" s="11" t="str">
        <f>IF(OR(履歴データ!$A$1002="",履歴データ!$A$1001=""),"",-50000*M1002)</f>
        <v/>
      </c>
      <c r="W1002" s="11" t="str">
        <f>IF(OR(履歴データ!$A$1002="",履歴データ!$A$1001=""),"",-40000*N1002)</f>
        <v/>
      </c>
      <c r="X1002" s="11" t="str">
        <f>IF(OR(履歴データ!$A$1002="",履歴データ!$A$1001=""),"",120*1000000*(-Q1002/H1001))</f>
        <v/>
      </c>
      <c r="Y1002" s="11" t="str">
        <f>IF(OR(履歴データ!$A$1002="",履歴データ!$A$1001=""),"",40000*(-S1002)+(-506.3)*R1002*1000)</f>
        <v/>
      </c>
      <c r="Z1002" s="11" t="str">
        <f>IF(OR(履歴データ!$A$1002="",履歴データ!$A$1001=""),"",-40000*O1002)</f>
        <v/>
      </c>
      <c r="AA1002" s="11" t="str">
        <f>IF(OR(履歴データ!$A$1002="",履歴データ!$A$1001=""),"",-40000*P1002)</f>
        <v/>
      </c>
      <c r="AB1002" s="11" t="str">
        <f>IF(履歴データ!$A$1002="","",123.3)</f>
        <v/>
      </c>
      <c r="AC1002" t="str">
        <f>IF(履歴データ!$A$1002="","",SUM(T1002:AA1002))</f>
        <v/>
      </c>
      <c r="AD1002" s="29" t="str">
        <f>IF(履歴データ!$A$1002="","",AC1002/1000000)</f>
        <v/>
      </c>
      <c r="AE1002" s="29">
        <f>IF(履歴データ!$A$1002="",AE1001,AE1001+AC1002/1000000)</f>
        <v>70.844544225831427</v>
      </c>
      <c r="AF1002" s="12" t="str">
        <f>IF(OR(履歴データ!$A$1002="",AE1001=0),"",(AE1002-AE1001)/AE1001)</f>
        <v/>
      </c>
      <c r="AG1002" s="29">
        <f t="shared" si="45"/>
        <v>102.17217746631495</v>
      </c>
      <c r="AH1002" s="12" t="str">
        <f>IF(OR(履歴データ!$A$1002="",AG1002=0),"",AE1002/AG1002-1)</f>
        <v/>
      </c>
    </row>
    <row r="1003" spans="1:34">
      <c r="A1003" s="10" t="str">
        <f>IF(履歴データ!$A$1003="","",履歴データ!$A$1003)</f>
        <v/>
      </c>
      <c r="B1003" s="28" t="str">
        <f>IF(履歴データ!$A$1003="","",(履歴データ!$D$1003-(履歴データ!$B$1003+履歴データ!$F$1003)/2)*100)</f>
        <v/>
      </c>
      <c r="C1003" s="28" t="str">
        <f>IF(履歴データ!$A$1003="","",(履歴データ!$H$1003-(履歴データ!$G$1003+履歴データ!$J$1003)/2)*100)</f>
        <v/>
      </c>
      <c r="D1003" s="28" t="str">
        <f>IF(履歴データ!$A$1003="","",(履歴データ!$D$1003-履歴データ!$H$1003)*100)</f>
        <v/>
      </c>
      <c r="E1003" s="28" t="str">
        <f>IF(履歴データ!$A$1003="","",(履歴データ!$D$1003-履歴データ!$C$1003)*100)</f>
        <v/>
      </c>
      <c r="F1003" s="28" t="str">
        <f>IF(履歴データ!$A$1003="","",(履歴データ!$R$1003-履歴データ!$D$1003)*100)</f>
        <v/>
      </c>
      <c r="G1003" s="28" t="str">
        <f>IF(履歴データ!$A$1003="","",(履歴データ!$S$1003-履歴データ!$R$1003)*100)</f>
        <v/>
      </c>
      <c r="H1003" s="29" t="str">
        <f>IF(履歴データ!$A$1003="","",履歴データ!$O$1003)</f>
        <v/>
      </c>
      <c r="I1003" s="29" t="str">
        <f>IF(履歴データ!$A$1003="","",履歴データ!$Q$1003)</f>
        <v/>
      </c>
      <c r="J1003" s="29" t="str">
        <f>IF(履歴データ!$A$1003="","",履歴データ!$D$1003)</f>
        <v/>
      </c>
      <c r="K1003" s="28" t="str">
        <f>IF(OR(履歴データ!$A$1003="",履歴データ!$A$1002=""),"",B1003-B1002)</f>
        <v/>
      </c>
      <c r="L1003" s="28" t="str">
        <f>IF(OR(履歴データ!$A$1003="",履歴データ!$A$1002=""),"",C1003-C1002)</f>
        <v/>
      </c>
      <c r="M1003" s="28" t="str">
        <f>IF(OR(履歴データ!$A$1003="",履歴データ!$A$1002=""),"",D1003-D1002)</f>
        <v/>
      </c>
      <c r="N1003" s="28" t="str">
        <f>IF(OR(履歴データ!$A$1003="",履歴データ!$A$1002=""),"",E1003-E1002)</f>
        <v/>
      </c>
      <c r="O1003" s="28" t="str">
        <f>IF(OR(履歴データ!$A$1003="",履歴データ!$A$1002=""),"",F1003-F1002)</f>
        <v/>
      </c>
      <c r="P1003" s="28" t="str">
        <f>IF(OR(履歴データ!$A$1003="",履歴データ!$A$1002=""),"",G1003-G1002)</f>
        <v/>
      </c>
      <c r="Q1003" s="29" t="str">
        <f>IF(OR(履歴データ!$A$1003="",履歴データ!$A$1002=""),"",H1003-H1002)</f>
        <v/>
      </c>
      <c r="R1003" s="29" t="str">
        <f>IF(OR(履歴データ!$A$1003="",履歴データ!$A$1002=""),"",I1003-I1002)</f>
        <v/>
      </c>
      <c r="S1003" s="28" t="str">
        <f>IF(OR(履歴データ!$A$1003="",履歴データ!$A$1002=""),"",(J1003-J1002)*100)</f>
        <v/>
      </c>
      <c r="T1003" s="11" t="str">
        <f>IF(OR(履歴データ!$A$1003="",履歴データ!$A$1002=""),"",-80000*K1003)</f>
        <v/>
      </c>
      <c r="U1003" s="11" t="str">
        <f>IF(OR(履歴データ!$A$1003="",履歴データ!$A$1002=""),"",60000*L1003)</f>
        <v/>
      </c>
      <c r="V1003" s="11" t="str">
        <f>IF(OR(履歴データ!$A$1003="",履歴データ!$A$1002=""),"",-50000*M1003)</f>
        <v/>
      </c>
      <c r="W1003" s="11" t="str">
        <f>IF(OR(履歴データ!$A$1003="",履歴データ!$A$1002=""),"",-40000*N1003)</f>
        <v/>
      </c>
      <c r="X1003" s="11" t="str">
        <f>IF(OR(履歴データ!$A$1003="",履歴データ!$A$1002=""),"",120*1000000*(-Q1003/H1002))</f>
        <v/>
      </c>
      <c r="Y1003" s="11" t="str">
        <f>IF(OR(履歴データ!$A$1003="",履歴データ!$A$1002=""),"",40000*(-S1003)+(-506.3)*R1003*1000)</f>
        <v/>
      </c>
      <c r="Z1003" s="11" t="str">
        <f>IF(OR(履歴データ!$A$1003="",履歴データ!$A$1002=""),"",-40000*O1003)</f>
        <v/>
      </c>
      <c r="AA1003" s="11" t="str">
        <f>IF(OR(履歴データ!$A$1003="",履歴データ!$A$1002=""),"",-40000*P1003)</f>
        <v/>
      </c>
      <c r="AB1003" s="11" t="str">
        <f>IF(履歴データ!$A$1003="","",123.3)</f>
        <v/>
      </c>
      <c r="AC1003" t="str">
        <f>IF(履歴データ!$A$1003="","",SUM(T1003:AA1003))</f>
        <v/>
      </c>
      <c r="AD1003" s="29" t="str">
        <f>IF(履歴データ!$A$1003="","",AC1003/1000000)</f>
        <v/>
      </c>
      <c r="AE1003" s="29">
        <f>IF(履歴データ!$A$1003="",AE1002,AE1002+AC1003/1000000)</f>
        <v>70.844544225831427</v>
      </c>
      <c r="AF1003" s="12" t="str">
        <f>IF(OR(履歴データ!$A$1003="",AE1002=0),"",(AE1003-AE1002)/AE1002)</f>
        <v/>
      </c>
      <c r="AG1003" s="29">
        <f t="shared" si="45"/>
        <v>102.17217746631495</v>
      </c>
      <c r="AH1003" s="12" t="str">
        <f>IF(OR(履歴データ!$A$1003="",AG1003=0),"",AE1003/AG1003-1)</f>
        <v/>
      </c>
    </row>
    <row r="1004" spans="1:34">
      <c r="A1004" s="10" t="str">
        <f>IF(履歴データ!$A$1004="","",履歴データ!$A$1004)</f>
        <v/>
      </c>
      <c r="B1004" s="28" t="str">
        <f>IF(履歴データ!$A$1004="","",(履歴データ!$D$1004-(履歴データ!$B$1004+履歴データ!$F$1004)/2)*100)</f>
        <v/>
      </c>
      <c r="C1004" s="28" t="str">
        <f>IF(履歴データ!$A$1004="","",(履歴データ!$H$1004-(履歴データ!$G$1004+履歴データ!$J$1004)/2)*100)</f>
        <v/>
      </c>
      <c r="D1004" s="28" t="str">
        <f>IF(履歴データ!$A$1004="","",(履歴データ!$D$1004-履歴データ!$H$1004)*100)</f>
        <v/>
      </c>
      <c r="E1004" s="28" t="str">
        <f>IF(履歴データ!$A$1004="","",(履歴データ!$D$1004-履歴データ!$C$1004)*100)</f>
        <v/>
      </c>
      <c r="F1004" s="28" t="str">
        <f>IF(履歴データ!$A$1004="","",(履歴データ!$R$1004-履歴データ!$D$1004)*100)</f>
        <v/>
      </c>
      <c r="G1004" s="28" t="str">
        <f>IF(履歴データ!$A$1004="","",(履歴データ!$S$1004-履歴データ!$R$1004)*100)</f>
        <v/>
      </c>
      <c r="H1004" s="29" t="str">
        <f>IF(履歴データ!$A$1004="","",履歴データ!$O$1004)</f>
        <v/>
      </c>
      <c r="I1004" s="29" t="str">
        <f>IF(履歴データ!$A$1004="","",履歴データ!$Q$1004)</f>
        <v/>
      </c>
      <c r="J1004" s="29" t="str">
        <f>IF(履歴データ!$A$1004="","",履歴データ!$D$1004)</f>
        <v/>
      </c>
      <c r="K1004" s="28" t="str">
        <f>IF(OR(履歴データ!$A$1004="",履歴データ!$A$1003=""),"",B1004-B1003)</f>
        <v/>
      </c>
      <c r="L1004" s="28" t="str">
        <f>IF(OR(履歴データ!$A$1004="",履歴データ!$A$1003=""),"",C1004-C1003)</f>
        <v/>
      </c>
      <c r="M1004" s="28" t="str">
        <f>IF(OR(履歴データ!$A$1004="",履歴データ!$A$1003=""),"",D1004-D1003)</f>
        <v/>
      </c>
      <c r="N1004" s="28" t="str">
        <f>IF(OR(履歴データ!$A$1004="",履歴データ!$A$1003=""),"",E1004-E1003)</f>
        <v/>
      </c>
      <c r="O1004" s="28" t="str">
        <f>IF(OR(履歴データ!$A$1004="",履歴データ!$A$1003=""),"",F1004-F1003)</f>
        <v/>
      </c>
      <c r="P1004" s="28" t="str">
        <f>IF(OR(履歴データ!$A$1004="",履歴データ!$A$1003=""),"",G1004-G1003)</f>
        <v/>
      </c>
      <c r="Q1004" s="29" t="str">
        <f>IF(OR(履歴データ!$A$1004="",履歴データ!$A$1003=""),"",H1004-H1003)</f>
        <v/>
      </c>
      <c r="R1004" s="29" t="str">
        <f>IF(OR(履歴データ!$A$1004="",履歴データ!$A$1003=""),"",I1004-I1003)</f>
        <v/>
      </c>
      <c r="S1004" s="28" t="str">
        <f>IF(OR(履歴データ!$A$1004="",履歴データ!$A$1003=""),"",(J1004-J1003)*100)</f>
        <v/>
      </c>
      <c r="T1004" s="11" t="str">
        <f>IF(OR(履歴データ!$A$1004="",履歴データ!$A$1003=""),"",-80000*K1004)</f>
        <v/>
      </c>
      <c r="U1004" s="11" t="str">
        <f>IF(OR(履歴データ!$A$1004="",履歴データ!$A$1003=""),"",60000*L1004)</f>
        <v/>
      </c>
      <c r="V1004" s="11" t="str">
        <f>IF(OR(履歴データ!$A$1004="",履歴データ!$A$1003=""),"",-50000*M1004)</f>
        <v/>
      </c>
      <c r="W1004" s="11" t="str">
        <f>IF(OR(履歴データ!$A$1004="",履歴データ!$A$1003=""),"",-40000*N1004)</f>
        <v/>
      </c>
      <c r="X1004" s="11" t="str">
        <f>IF(OR(履歴データ!$A$1004="",履歴データ!$A$1003=""),"",120*1000000*(-Q1004/H1003))</f>
        <v/>
      </c>
      <c r="Y1004" s="11" t="str">
        <f>IF(OR(履歴データ!$A$1004="",履歴データ!$A$1003=""),"",40000*(-S1004)+(-506.3)*R1004*1000)</f>
        <v/>
      </c>
      <c r="Z1004" s="11" t="str">
        <f>IF(OR(履歴データ!$A$1004="",履歴データ!$A$1003=""),"",-40000*O1004)</f>
        <v/>
      </c>
      <c r="AA1004" s="11" t="str">
        <f>IF(OR(履歴データ!$A$1004="",履歴データ!$A$1003=""),"",-40000*P1004)</f>
        <v/>
      </c>
      <c r="AB1004" s="11" t="str">
        <f>IF(履歴データ!$A$1004="","",123.3)</f>
        <v/>
      </c>
      <c r="AC1004" t="str">
        <f>IF(履歴データ!$A$1004="","",SUM(T1004:AA1004))</f>
        <v/>
      </c>
      <c r="AD1004" s="29" t="str">
        <f>IF(履歴データ!$A$1004="","",AC1004/1000000)</f>
        <v/>
      </c>
      <c r="AE1004" s="29">
        <f>IF(履歴データ!$A$1004="",AE1003,AE1003+AC1004/1000000)</f>
        <v>70.844544225831427</v>
      </c>
      <c r="AF1004" s="12" t="str">
        <f>IF(OR(履歴データ!$A$1004="",AE1003=0),"",(AE1004-AE1003)/AE1003)</f>
        <v/>
      </c>
      <c r="AG1004" s="29">
        <f t="shared" si="45"/>
        <v>102.17217746631495</v>
      </c>
      <c r="AH1004" s="12" t="str">
        <f>IF(OR(履歴データ!$A$1004="",AG1004=0),"",AE1004/AG1004-1)</f>
        <v/>
      </c>
    </row>
    <row r="1005" spans="1:34">
      <c r="A1005" s="10" t="str">
        <f>IF(履歴データ!$A$1005="","",履歴データ!$A$1005)</f>
        <v/>
      </c>
      <c r="B1005" s="28" t="str">
        <f>IF(履歴データ!$A$1005="","",(履歴データ!$D$1005-(履歴データ!$B$1005+履歴データ!$F$1005)/2)*100)</f>
        <v/>
      </c>
      <c r="C1005" s="28" t="str">
        <f>IF(履歴データ!$A$1005="","",(履歴データ!$H$1005-(履歴データ!$G$1005+履歴データ!$J$1005)/2)*100)</f>
        <v/>
      </c>
      <c r="D1005" s="28" t="str">
        <f>IF(履歴データ!$A$1005="","",(履歴データ!$D$1005-履歴データ!$H$1005)*100)</f>
        <v/>
      </c>
      <c r="E1005" s="28" t="str">
        <f>IF(履歴データ!$A$1005="","",(履歴データ!$D$1005-履歴データ!$C$1005)*100)</f>
        <v/>
      </c>
      <c r="F1005" s="28" t="str">
        <f>IF(履歴データ!$A$1005="","",(履歴データ!$R$1005-履歴データ!$D$1005)*100)</f>
        <v/>
      </c>
      <c r="G1005" s="28" t="str">
        <f>IF(履歴データ!$A$1005="","",(履歴データ!$S$1005-履歴データ!$R$1005)*100)</f>
        <v/>
      </c>
      <c r="H1005" s="29" t="str">
        <f>IF(履歴データ!$A$1005="","",履歴データ!$O$1005)</f>
        <v/>
      </c>
      <c r="I1005" s="29" t="str">
        <f>IF(履歴データ!$A$1005="","",履歴データ!$Q$1005)</f>
        <v/>
      </c>
      <c r="J1005" s="29" t="str">
        <f>IF(履歴データ!$A$1005="","",履歴データ!$D$1005)</f>
        <v/>
      </c>
      <c r="K1005" s="28" t="str">
        <f>IF(OR(履歴データ!$A$1005="",履歴データ!$A$1004=""),"",B1005-B1004)</f>
        <v/>
      </c>
      <c r="L1005" s="28" t="str">
        <f>IF(OR(履歴データ!$A$1005="",履歴データ!$A$1004=""),"",C1005-C1004)</f>
        <v/>
      </c>
      <c r="M1005" s="28" t="str">
        <f>IF(OR(履歴データ!$A$1005="",履歴データ!$A$1004=""),"",D1005-D1004)</f>
        <v/>
      </c>
      <c r="N1005" s="28" t="str">
        <f>IF(OR(履歴データ!$A$1005="",履歴データ!$A$1004=""),"",E1005-E1004)</f>
        <v/>
      </c>
      <c r="O1005" s="28" t="str">
        <f>IF(OR(履歴データ!$A$1005="",履歴データ!$A$1004=""),"",F1005-F1004)</f>
        <v/>
      </c>
      <c r="P1005" s="28" t="str">
        <f>IF(OR(履歴データ!$A$1005="",履歴データ!$A$1004=""),"",G1005-G1004)</f>
        <v/>
      </c>
      <c r="Q1005" s="29" t="str">
        <f>IF(OR(履歴データ!$A$1005="",履歴データ!$A$1004=""),"",H1005-H1004)</f>
        <v/>
      </c>
      <c r="R1005" s="29" t="str">
        <f>IF(OR(履歴データ!$A$1005="",履歴データ!$A$1004=""),"",I1005-I1004)</f>
        <v/>
      </c>
      <c r="S1005" s="28" t="str">
        <f>IF(OR(履歴データ!$A$1005="",履歴データ!$A$1004=""),"",(J1005-J1004)*100)</f>
        <v/>
      </c>
      <c r="T1005" s="11" t="str">
        <f>IF(OR(履歴データ!$A$1005="",履歴データ!$A$1004=""),"",-80000*K1005)</f>
        <v/>
      </c>
      <c r="U1005" s="11" t="str">
        <f>IF(OR(履歴データ!$A$1005="",履歴データ!$A$1004=""),"",60000*L1005)</f>
        <v/>
      </c>
      <c r="V1005" s="11" t="str">
        <f>IF(OR(履歴データ!$A$1005="",履歴データ!$A$1004=""),"",-50000*M1005)</f>
        <v/>
      </c>
      <c r="W1005" s="11" t="str">
        <f>IF(OR(履歴データ!$A$1005="",履歴データ!$A$1004=""),"",-40000*N1005)</f>
        <v/>
      </c>
      <c r="X1005" s="11" t="str">
        <f>IF(OR(履歴データ!$A$1005="",履歴データ!$A$1004=""),"",120*1000000*(-Q1005/H1004))</f>
        <v/>
      </c>
      <c r="Y1005" s="11" t="str">
        <f>IF(OR(履歴データ!$A$1005="",履歴データ!$A$1004=""),"",40000*(-S1005)+(-506.3)*R1005*1000)</f>
        <v/>
      </c>
      <c r="Z1005" s="11" t="str">
        <f>IF(OR(履歴データ!$A$1005="",履歴データ!$A$1004=""),"",-40000*O1005)</f>
        <v/>
      </c>
      <c r="AA1005" s="11" t="str">
        <f>IF(OR(履歴データ!$A$1005="",履歴データ!$A$1004=""),"",-40000*P1005)</f>
        <v/>
      </c>
      <c r="AB1005" s="11" t="str">
        <f>IF(履歴データ!$A$1005="","",123.3)</f>
        <v/>
      </c>
      <c r="AC1005" t="str">
        <f>IF(履歴データ!$A$1005="","",SUM(T1005:AA1005))</f>
        <v/>
      </c>
      <c r="AD1005" s="29" t="str">
        <f>IF(履歴データ!$A$1005="","",AC1005/1000000)</f>
        <v/>
      </c>
      <c r="AE1005" s="29">
        <f>IF(履歴データ!$A$1005="",AE1004,AE1004+AC1005/1000000)</f>
        <v>70.844544225831427</v>
      </c>
      <c r="AF1005" s="12" t="str">
        <f>IF(OR(履歴データ!$A$1005="",AE1004=0),"",(AE1005-AE1004)/AE1004)</f>
        <v/>
      </c>
      <c r="AG1005" s="29">
        <f t="shared" si="45"/>
        <v>102.17217746631495</v>
      </c>
      <c r="AH1005" s="12" t="str">
        <f>IF(OR(履歴データ!$A$1005="",AG1005=0),"",AE1005/AG1005-1)</f>
        <v/>
      </c>
    </row>
    <row r="1006" spans="1:34">
      <c r="A1006" s="10" t="str">
        <f>IF(履歴データ!$A$1006="","",履歴データ!$A$1006)</f>
        <v/>
      </c>
      <c r="B1006" s="28" t="str">
        <f>IF(履歴データ!$A$1006="","",(履歴データ!$D$1006-(履歴データ!$B$1006+履歴データ!$F$1006)/2)*100)</f>
        <v/>
      </c>
      <c r="C1006" s="28" t="str">
        <f>IF(履歴データ!$A$1006="","",(履歴データ!$H$1006-(履歴データ!$G$1006+履歴データ!$J$1006)/2)*100)</f>
        <v/>
      </c>
      <c r="D1006" s="28" t="str">
        <f>IF(履歴データ!$A$1006="","",(履歴データ!$D$1006-履歴データ!$H$1006)*100)</f>
        <v/>
      </c>
      <c r="E1006" s="28" t="str">
        <f>IF(履歴データ!$A$1006="","",(履歴データ!$D$1006-履歴データ!$C$1006)*100)</f>
        <v/>
      </c>
      <c r="F1006" s="28" t="str">
        <f>IF(履歴データ!$A$1006="","",(履歴データ!$R$1006-履歴データ!$D$1006)*100)</f>
        <v/>
      </c>
      <c r="G1006" s="28" t="str">
        <f>IF(履歴データ!$A$1006="","",(履歴データ!$S$1006-履歴データ!$R$1006)*100)</f>
        <v/>
      </c>
      <c r="H1006" s="29" t="str">
        <f>IF(履歴データ!$A$1006="","",履歴データ!$O$1006)</f>
        <v/>
      </c>
      <c r="I1006" s="29" t="str">
        <f>IF(履歴データ!$A$1006="","",履歴データ!$Q$1006)</f>
        <v/>
      </c>
      <c r="J1006" s="29" t="str">
        <f>IF(履歴データ!$A$1006="","",履歴データ!$D$1006)</f>
        <v/>
      </c>
      <c r="K1006" s="28" t="str">
        <f>IF(OR(履歴データ!$A$1006="",履歴データ!$A$1005=""),"",B1006-B1005)</f>
        <v/>
      </c>
      <c r="L1006" s="28" t="str">
        <f>IF(OR(履歴データ!$A$1006="",履歴データ!$A$1005=""),"",C1006-C1005)</f>
        <v/>
      </c>
      <c r="M1006" s="28" t="str">
        <f>IF(OR(履歴データ!$A$1006="",履歴データ!$A$1005=""),"",D1006-D1005)</f>
        <v/>
      </c>
      <c r="N1006" s="28" t="str">
        <f>IF(OR(履歴データ!$A$1006="",履歴データ!$A$1005=""),"",E1006-E1005)</f>
        <v/>
      </c>
      <c r="O1006" s="28" t="str">
        <f>IF(OR(履歴データ!$A$1006="",履歴データ!$A$1005=""),"",F1006-F1005)</f>
        <v/>
      </c>
      <c r="P1006" s="28" t="str">
        <f>IF(OR(履歴データ!$A$1006="",履歴データ!$A$1005=""),"",G1006-G1005)</f>
        <v/>
      </c>
      <c r="Q1006" s="29" t="str">
        <f>IF(OR(履歴データ!$A$1006="",履歴データ!$A$1005=""),"",H1006-H1005)</f>
        <v/>
      </c>
      <c r="R1006" s="29" t="str">
        <f>IF(OR(履歴データ!$A$1006="",履歴データ!$A$1005=""),"",I1006-I1005)</f>
        <v/>
      </c>
      <c r="S1006" s="28" t="str">
        <f>IF(OR(履歴データ!$A$1006="",履歴データ!$A$1005=""),"",(J1006-J1005)*100)</f>
        <v/>
      </c>
      <c r="T1006" s="11" t="str">
        <f>IF(OR(履歴データ!$A$1006="",履歴データ!$A$1005=""),"",-80000*K1006)</f>
        <v/>
      </c>
      <c r="U1006" s="11" t="str">
        <f>IF(OR(履歴データ!$A$1006="",履歴データ!$A$1005=""),"",60000*L1006)</f>
        <v/>
      </c>
      <c r="V1006" s="11" t="str">
        <f>IF(OR(履歴データ!$A$1006="",履歴データ!$A$1005=""),"",-50000*M1006)</f>
        <v/>
      </c>
      <c r="W1006" s="11" t="str">
        <f>IF(OR(履歴データ!$A$1006="",履歴データ!$A$1005=""),"",-40000*N1006)</f>
        <v/>
      </c>
      <c r="X1006" s="11" t="str">
        <f>IF(OR(履歴データ!$A$1006="",履歴データ!$A$1005=""),"",120*1000000*(-Q1006/H1005))</f>
        <v/>
      </c>
      <c r="Y1006" s="11" t="str">
        <f>IF(OR(履歴データ!$A$1006="",履歴データ!$A$1005=""),"",40000*(-S1006)+(-506.3)*R1006*1000)</f>
        <v/>
      </c>
      <c r="Z1006" s="11" t="str">
        <f>IF(OR(履歴データ!$A$1006="",履歴データ!$A$1005=""),"",-40000*O1006)</f>
        <v/>
      </c>
      <c r="AA1006" s="11" t="str">
        <f>IF(OR(履歴データ!$A$1006="",履歴データ!$A$1005=""),"",-40000*P1006)</f>
        <v/>
      </c>
      <c r="AB1006" s="11" t="str">
        <f>IF(履歴データ!$A$1006="","",123.3)</f>
        <v/>
      </c>
      <c r="AC1006" t="str">
        <f>IF(履歴データ!$A$1006="","",SUM(T1006:AA1006))</f>
        <v/>
      </c>
      <c r="AD1006" s="29" t="str">
        <f>IF(履歴データ!$A$1006="","",AC1006/1000000)</f>
        <v/>
      </c>
      <c r="AE1006" s="29">
        <f>IF(履歴データ!$A$1006="",AE1005,AE1005+AC1006/1000000)</f>
        <v>70.844544225831427</v>
      </c>
      <c r="AF1006" s="12" t="str">
        <f>IF(OR(履歴データ!$A$1006="",AE1005=0),"",(AE1006-AE1005)/AE1005)</f>
        <v/>
      </c>
      <c r="AG1006" s="29">
        <f t="shared" si="45"/>
        <v>102.17217746631495</v>
      </c>
      <c r="AH1006" s="12" t="str">
        <f>IF(OR(履歴データ!$A$1006="",AG1006=0),"",AE1006/AG1006-1)</f>
        <v/>
      </c>
    </row>
    <row r="1007" spans="1:34">
      <c r="A1007" s="10" t="str">
        <f>IF(履歴データ!$A$1007="","",履歴データ!$A$1007)</f>
        <v/>
      </c>
      <c r="B1007" s="28" t="str">
        <f>IF(履歴データ!$A$1007="","",(履歴データ!$D$1007-(履歴データ!$B$1007+履歴データ!$F$1007)/2)*100)</f>
        <v/>
      </c>
      <c r="C1007" s="28" t="str">
        <f>IF(履歴データ!$A$1007="","",(履歴データ!$H$1007-(履歴データ!$G$1007+履歴データ!$J$1007)/2)*100)</f>
        <v/>
      </c>
      <c r="D1007" s="28" t="str">
        <f>IF(履歴データ!$A$1007="","",(履歴データ!$D$1007-履歴データ!$H$1007)*100)</f>
        <v/>
      </c>
      <c r="E1007" s="28" t="str">
        <f>IF(履歴データ!$A$1007="","",(履歴データ!$D$1007-履歴データ!$C$1007)*100)</f>
        <v/>
      </c>
      <c r="F1007" s="28" t="str">
        <f>IF(履歴データ!$A$1007="","",(履歴データ!$R$1007-履歴データ!$D$1007)*100)</f>
        <v/>
      </c>
      <c r="G1007" s="28" t="str">
        <f>IF(履歴データ!$A$1007="","",(履歴データ!$S$1007-履歴データ!$R$1007)*100)</f>
        <v/>
      </c>
      <c r="H1007" s="29" t="str">
        <f>IF(履歴データ!$A$1007="","",履歴データ!$O$1007)</f>
        <v/>
      </c>
      <c r="I1007" s="29" t="str">
        <f>IF(履歴データ!$A$1007="","",履歴データ!$Q$1007)</f>
        <v/>
      </c>
      <c r="J1007" s="29" t="str">
        <f>IF(履歴データ!$A$1007="","",履歴データ!$D$1007)</f>
        <v/>
      </c>
      <c r="K1007" s="28" t="str">
        <f>IF(OR(履歴データ!$A$1007="",履歴データ!$A$1006=""),"",B1007-B1006)</f>
        <v/>
      </c>
      <c r="L1007" s="28" t="str">
        <f>IF(OR(履歴データ!$A$1007="",履歴データ!$A$1006=""),"",C1007-C1006)</f>
        <v/>
      </c>
      <c r="M1007" s="28" t="str">
        <f>IF(OR(履歴データ!$A$1007="",履歴データ!$A$1006=""),"",D1007-D1006)</f>
        <v/>
      </c>
      <c r="N1007" s="28" t="str">
        <f>IF(OR(履歴データ!$A$1007="",履歴データ!$A$1006=""),"",E1007-E1006)</f>
        <v/>
      </c>
      <c r="O1007" s="28" t="str">
        <f>IF(OR(履歴データ!$A$1007="",履歴データ!$A$1006=""),"",F1007-F1006)</f>
        <v/>
      </c>
      <c r="P1007" s="28" t="str">
        <f>IF(OR(履歴データ!$A$1007="",履歴データ!$A$1006=""),"",G1007-G1006)</f>
        <v/>
      </c>
      <c r="Q1007" s="29" t="str">
        <f>IF(OR(履歴データ!$A$1007="",履歴データ!$A$1006=""),"",H1007-H1006)</f>
        <v/>
      </c>
      <c r="R1007" s="29" t="str">
        <f>IF(OR(履歴データ!$A$1007="",履歴データ!$A$1006=""),"",I1007-I1006)</f>
        <v/>
      </c>
      <c r="S1007" s="28" t="str">
        <f>IF(OR(履歴データ!$A$1007="",履歴データ!$A$1006=""),"",(J1007-J1006)*100)</f>
        <v/>
      </c>
      <c r="T1007" s="11" t="str">
        <f>IF(OR(履歴データ!$A$1007="",履歴データ!$A$1006=""),"",-80000*K1007)</f>
        <v/>
      </c>
      <c r="U1007" s="11" t="str">
        <f>IF(OR(履歴データ!$A$1007="",履歴データ!$A$1006=""),"",60000*L1007)</f>
        <v/>
      </c>
      <c r="V1007" s="11" t="str">
        <f>IF(OR(履歴データ!$A$1007="",履歴データ!$A$1006=""),"",-50000*M1007)</f>
        <v/>
      </c>
      <c r="W1007" s="11" t="str">
        <f>IF(OR(履歴データ!$A$1007="",履歴データ!$A$1006=""),"",-40000*N1007)</f>
        <v/>
      </c>
      <c r="X1007" s="11" t="str">
        <f>IF(OR(履歴データ!$A$1007="",履歴データ!$A$1006=""),"",120*1000000*(-Q1007/H1006))</f>
        <v/>
      </c>
      <c r="Y1007" s="11" t="str">
        <f>IF(OR(履歴データ!$A$1007="",履歴データ!$A$1006=""),"",40000*(-S1007)+(-506.3)*R1007*1000)</f>
        <v/>
      </c>
      <c r="Z1007" s="11" t="str">
        <f>IF(OR(履歴データ!$A$1007="",履歴データ!$A$1006=""),"",-40000*O1007)</f>
        <v/>
      </c>
      <c r="AA1007" s="11" t="str">
        <f>IF(OR(履歴データ!$A$1007="",履歴データ!$A$1006=""),"",-40000*P1007)</f>
        <v/>
      </c>
      <c r="AB1007" s="11" t="str">
        <f>IF(履歴データ!$A$1007="","",123.3)</f>
        <v/>
      </c>
      <c r="AC1007" t="str">
        <f>IF(履歴データ!$A$1007="","",SUM(T1007:AA1007))</f>
        <v/>
      </c>
      <c r="AD1007" s="29" t="str">
        <f>IF(履歴データ!$A$1007="","",AC1007/1000000)</f>
        <v/>
      </c>
      <c r="AE1007" s="29">
        <f>IF(履歴データ!$A$1007="",AE1006,AE1006+AC1007/1000000)</f>
        <v>70.844544225831427</v>
      </c>
      <c r="AF1007" s="12" t="str">
        <f>IF(OR(履歴データ!$A$1007="",AE1006=0),"",(AE1007-AE1006)/AE1006)</f>
        <v/>
      </c>
      <c r="AG1007" s="29">
        <f t="shared" si="45"/>
        <v>102.17217746631495</v>
      </c>
      <c r="AH1007" s="12" t="str">
        <f>IF(OR(履歴データ!$A$1007="",AG1007=0),"",AE1007/AG1007-1)</f>
        <v/>
      </c>
    </row>
    <row r="1008" spans="1:34">
      <c r="A1008" s="10" t="str">
        <f>IF(履歴データ!$A$1008="","",履歴データ!$A$1008)</f>
        <v/>
      </c>
      <c r="B1008" s="28" t="str">
        <f>IF(履歴データ!$A$1008="","",(履歴データ!$D$1008-(履歴データ!$B$1008+履歴データ!$F$1008)/2)*100)</f>
        <v/>
      </c>
      <c r="C1008" s="28" t="str">
        <f>IF(履歴データ!$A$1008="","",(履歴データ!$H$1008-(履歴データ!$G$1008+履歴データ!$J$1008)/2)*100)</f>
        <v/>
      </c>
      <c r="D1008" s="28" t="str">
        <f>IF(履歴データ!$A$1008="","",(履歴データ!$D$1008-履歴データ!$H$1008)*100)</f>
        <v/>
      </c>
      <c r="E1008" s="28" t="str">
        <f>IF(履歴データ!$A$1008="","",(履歴データ!$D$1008-履歴データ!$C$1008)*100)</f>
        <v/>
      </c>
      <c r="F1008" s="28" t="str">
        <f>IF(履歴データ!$A$1008="","",(履歴データ!$R$1008-履歴データ!$D$1008)*100)</f>
        <v/>
      </c>
      <c r="G1008" s="28" t="str">
        <f>IF(履歴データ!$A$1008="","",(履歴データ!$S$1008-履歴データ!$R$1008)*100)</f>
        <v/>
      </c>
      <c r="H1008" s="29" t="str">
        <f>IF(履歴データ!$A$1008="","",履歴データ!$O$1008)</f>
        <v/>
      </c>
      <c r="I1008" s="29" t="str">
        <f>IF(履歴データ!$A$1008="","",履歴データ!$Q$1008)</f>
        <v/>
      </c>
      <c r="J1008" s="29" t="str">
        <f>IF(履歴データ!$A$1008="","",履歴データ!$D$1008)</f>
        <v/>
      </c>
      <c r="K1008" s="28" t="str">
        <f>IF(OR(履歴データ!$A$1008="",履歴データ!$A$1007=""),"",B1008-B1007)</f>
        <v/>
      </c>
      <c r="L1008" s="28" t="str">
        <f>IF(OR(履歴データ!$A$1008="",履歴データ!$A$1007=""),"",C1008-C1007)</f>
        <v/>
      </c>
      <c r="M1008" s="28" t="str">
        <f>IF(OR(履歴データ!$A$1008="",履歴データ!$A$1007=""),"",D1008-D1007)</f>
        <v/>
      </c>
      <c r="N1008" s="28" t="str">
        <f>IF(OR(履歴データ!$A$1008="",履歴データ!$A$1007=""),"",E1008-E1007)</f>
        <v/>
      </c>
      <c r="O1008" s="28" t="str">
        <f>IF(OR(履歴データ!$A$1008="",履歴データ!$A$1007=""),"",F1008-F1007)</f>
        <v/>
      </c>
      <c r="P1008" s="28" t="str">
        <f>IF(OR(履歴データ!$A$1008="",履歴データ!$A$1007=""),"",G1008-G1007)</f>
        <v/>
      </c>
      <c r="Q1008" s="29" t="str">
        <f>IF(OR(履歴データ!$A$1008="",履歴データ!$A$1007=""),"",H1008-H1007)</f>
        <v/>
      </c>
      <c r="R1008" s="29" t="str">
        <f>IF(OR(履歴データ!$A$1008="",履歴データ!$A$1007=""),"",I1008-I1007)</f>
        <v/>
      </c>
      <c r="S1008" s="28" t="str">
        <f>IF(OR(履歴データ!$A$1008="",履歴データ!$A$1007=""),"",(J1008-J1007)*100)</f>
        <v/>
      </c>
      <c r="T1008" s="11" t="str">
        <f>IF(OR(履歴データ!$A$1008="",履歴データ!$A$1007=""),"",-80000*K1008)</f>
        <v/>
      </c>
      <c r="U1008" s="11" t="str">
        <f>IF(OR(履歴データ!$A$1008="",履歴データ!$A$1007=""),"",60000*L1008)</f>
        <v/>
      </c>
      <c r="V1008" s="11" t="str">
        <f>IF(OR(履歴データ!$A$1008="",履歴データ!$A$1007=""),"",-50000*M1008)</f>
        <v/>
      </c>
      <c r="W1008" s="11" t="str">
        <f>IF(OR(履歴データ!$A$1008="",履歴データ!$A$1007=""),"",-40000*N1008)</f>
        <v/>
      </c>
      <c r="X1008" s="11" t="str">
        <f>IF(OR(履歴データ!$A$1008="",履歴データ!$A$1007=""),"",120*1000000*(-Q1008/H1007))</f>
        <v/>
      </c>
      <c r="Y1008" s="11" t="str">
        <f>IF(OR(履歴データ!$A$1008="",履歴データ!$A$1007=""),"",40000*(-S1008)+(-506.3)*R1008*1000)</f>
        <v/>
      </c>
      <c r="Z1008" s="11" t="str">
        <f>IF(OR(履歴データ!$A$1008="",履歴データ!$A$1007=""),"",-40000*O1008)</f>
        <v/>
      </c>
      <c r="AA1008" s="11" t="str">
        <f>IF(OR(履歴データ!$A$1008="",履歴データ!$A$1007=""),"",-40000*P1008)</f>
        <v/>
      </c>
      <c r="AB1008" s="11" t="str">
        <f>IF(履歴データ!$A$1008="","",123.3)</f>
        <v/>
      </c>
      <c r="AC1008" t="str">
        <f>IF(履歴データ!$A$1008="","",SUM(T1008:AA1008))</f>
        <v/>
      </c>
      <c r="AD1008" s="29" t="str">
        <f>IF(履歴データ!$A$1008="","",AC1008/1000000)</f>
        <v/>
      </c>
      <c r="AE1008" s="29">
        <f>IF(履歴データ!$A$1008="",AE1007,AE1007+AC1008/1000000)</f>
        <v>70.844544225831427</v>
      </c>
      <c r="AF1008" s="12" t="str">
        <f>IF(OR(履歴データ!$A$1008="",AE1007=0),"",(AE1008-AE1007)/AE1007)</f>
        <v/>
      </c>
      <c r="AG1008" s="29">
        <f t="shared" si="45"/>
        <v>102.17217746631495</v>
      </c>
      <c r="AH1008" s="12" t="str">
        <f>IF(OR(履歴データ!$A$1008="",AG1008=0),"",AE1008/AG1008-1)</f>
        <v/>
      </c>
    </row>
    <row r="1009" spans="1:34">
      <c r="A1009" s="10" t="str">
        <f>IF(履歴データ!$A$1009="","",履歴データ!$A$1009)</f>
        <v/>
      </c>
      <c r="B1009" s="28" t="str">
        <f>IF(履歴データ!$A$1009="","",(履歴データ!$D$1009-(履歴データ!$B$1009+履歴データ!$F$1009)/2)*100)</f>
        <v/>
      </c>
      <c r="C1009" s="28" t="str">
        <f>IF(履歴データ!$A$1009="","",(履歴データ!$H$1009-(履歴データ!$G$1009+履歴データ!$J$1009)/2)*100)</f>
        <v/>
      </c>
      <c r="D1009" s="28" t="str">
        <f>IF(履歴データ!$A$1009="","",(履歴データ!$D$1009-履歴データ!$H$1009)*100)</f>
        <v/>
      </c>
      <c r="E1009" s="28" t="str">
        <f>IF(履歴データ!$A$1009="","",(履歴データ!$D$1009-履歴データ!$C$1009)*100)</f>
        <v/>
      </c>
      <c r="F1009" s="28" t="str">
        <f>IF(履歴データ!$A$1009="","",(履歴データ!$R$1009-履歴データ!$D$1009)*100)</f>
        <v/>
      </c>
      <c r="G1009" s="28" t="str">
        <f>IF(履歴データ!$A$1009="","",(履歴データ!$S$1009-履歴データ!$R$1009)*100)</f>
        <v/>
      </c>
      <c r="H1009" s="29" t="str">
        <f>IF(履歴データ!$A$1009="","",履歴データ!$O$1009)</f>
        <v/>
      </c>
      <c r="I1009" s="29" t="str">
        <f>IF(履歴データ!$A$1009="","",履歴データ!$Q$1009)</f>
        <v/>
      </c>
      <c r="J1009" s="29" t="str">
        <f>IF(履歴データ!$A$1009="","",履歴データ!$D$1009)</f>
        <v/>
      </c>
      <c r="K1009" s="28" t="str">
        <f>IF(OR(履歴データ!$A$1009="",履歴データ!$A$1008=""),"",B1009-B1008)</f>
        <v/>
      </c>
      <c r="L1009" s="28" t="str">
        <f>IF(OR(履歴データ!$A$1009="",履歴データ!$A$1008=""),"",C1009-C1008)</f>
        <v/>
      </c>
      <c r="M1009" s="28" t="str">
        <f>IF(OR(履歴データ!$A$1009="",履歴データ!$A$1008=""),"",D1009-D1008)</f>
        <v/>
      </c>
      <c r="N1009" s="28" t="str">
        <f>IF(OR(履歴データ!$A$1009="",履歴データ!$A$1008=""),"",E1009-E1008)</f>
        <v/>
      </c>
      <c r="O1009" s="28" t="str">
        <f>IF(OR(履歴データ!$A$1009="",履歴データ!$A$1008=""),"",F1009-F1008)</f>
        <v/>
      </c>
      <c r="P1009" s="28" t="str">
        <f>IF(OR(履歴データ!$A$1009="",履歴データ!$A$1008=""),"",G1009-G1008)</f>
        <v/>
      </c>
      <c r="Q1009" s="29" t="str">
        <f>IF(OR(履歴データ!$A$1009="",履歴データ!$A$1008=""),"",H1009-H1008)</f>
        <v/>
      </c>
      <c r="R1009" s="29" t="str">
        <f>IF(OR(履歴データ!$A$1009="",履歴データ!$A$1008=""),"",I1009-I1008)</f>
        <v/>
      </c>
      <c r="S1009" s="28" t="str">
        <f>IF(OR(履歴データ!$A$1009="",履歴データ!$A$1008=""),"",(J1009-J1008)*100)</f>
        <v/>
      </c>
      <c r="T1009" s="11" t="str">
        <f>IF(OR(履歴データ!$A$1009="",履歴データ!$A$1008=""),"",-80000*K1009)</f>
        <v/>
      </c>
      <c r="U1009" s="11" t="str">
        <f>IF(OR(履歴データ!$A$1009="",履歴データ!$A$1008=""),"",60000*L1009)</f>
        <v/>
      </c>
      <c r="V1009" s="11" t="str">
        <f>IF(OR(履歴データ!$A$1009="",履歴データ!$A$1008=""),"",-50000*M1009)</f>
        <v/>
      </c>
      <c r="W1009" s="11" t="str">
        <f>IF(OR(履歴データ!$A$1009="",履歴データ!$A$1008=""),"",-40000*N1009)</f>
        <v/>
      </c>
      <c r="X1009" s="11" t="str">
        <f>IF(OR(履歴データ!$A$1009="",履歴データ!$A$1008=""),"",120*1000000*(-Q1009/H1008))</f>
        <v/>
      </c>
      <c r="Y1009" s="11" t="str">
        <f>IF(OR(履歴データ!$A$1009="",履歴データ!$A$1008=""),"",40000*(-S1009)+(-506.3)*R1009*1000)</f>
        <v/>
      </c>
      <c r="Z1009" s="11" t="str">
        <f>IF(OR(履歴データ!$A$1009="",履歴データ!$A$1008=""),"",-40000*O1009)</f>
        <v/>
      </c>
      <c r="AA1009" s="11" t="str">
        <f>IF(OR(履歴データ!$A$1009="",履歴データ!$A$1008=""),"",-40000*P1009)</f>
        <v/>
      </c>
      <c r="AB1009" s="11" t="str">
        <f>IF(履歴データ!$A$1009="","",123.3)</f>
        <v/>
      </c>
      <c r="AC1009" t="str">
        <f>IF(履歴データ!$A$1009="","",SUM(T1009:AA1009))</f>
        <v/>
      </c>
      <c r="AD1009" s="29" t="str">
        <f>IF(履歴データ!$A$1009="","",AC1009/1000000)</f>
        <v/>
      </c>
      <c r="AE1009" s="29">
        <f>IF(履歴データ!$A$1009="",AE1008,AE1008+AC1009/1000000)</f>
        <v>70.844544225831427</v>
      </c>
      <c r="AF1009" s="12" t="str">
        <f>IF(OR(履歴データ!$A$1009="",AE1008=0),"",(AE1009-AE1008)/AE1008)</f>
        <v/>
      </c>
      <c r="AG1009" s="29">
        <f t="shared" si="45"/>
        <v>102.17217746631495</v>
      </c>
      <c r="AH1009" s="12" t="str">
        <f>IF(OR(履歴データ!$A$1009="",AG1009=0),"",AE1009/AG1009-1)</f>
        <v/>
      </c>
    </row>
    <row r="1010" spans="1:34">
      <c r="A1010" s="10" t="str">
        <f>IF(履歴データ!$A$1010="","",履歴データ!$A$1010)</f>
        <v/>
      </c>
      <c r="B1010" s="28" t="str">
        <f>IF(履歴データ!$A$1010="","",(履歴データ!$D$1010-(履歴データ!$B$1010+履歴データ!$F$1010)/2)*100)</f>
        <v/>
      </c>
      <c r="C1010" s="28" t="str">
        <f>IF(履歴データ!$A$1010="","",(履歴データ!$H$1010-(履歴データ!$G$1010+履歴データ!$J$1010)/2)*100)</f>
        <v/>
      </c>
      <c r="D1010" s="28" t="str">
        <f>IF(履歴データ!$A$1010="","",(履歴データ!$D$1010-履歴データ!$H$1010)*100)</f>
        <v/>
      </c>
      <c r="E1010" s="28" t="str">
        <f>IF(履歴データ!$A$1010="","",(履歴データ!$D$1010-履歴データ!$C$1010)*100)</f>
        <v/>
      </c>
      <c r="F1010" s="28" t="str">
        <f>IF(履歴データ!$A$1010="","",(履歴データ!$R$1010-履歴データ!$D$1010)*100)</f>
        <v/>
      </c>
      <c r="G1010" s="28" t="str">
        <f>IF(履歴データ!$A$1010="","",(履歴データ!$S$1010-履歴データ!$R$1010)*100)</f>
        <v/>
      </c>
      <c r="H1010" s="29" t="str">
        <f>IF(履歴データ!$A$1010="","",履歴データ!$O$1010)</f>
        <v/>
      </c>
      <c r="I1010" s="29" t="str">
        <f>IF(履歴データ!$A$1010="","",履歴データ!$Q$1010)</f>
        <v/>
      </c>
      <c r="J1010" s="29" t="str">
        <f>IF(履歴データ!$A$1010="","",履歴データ!$D$1010)</f>
        <v/>
      </c>
      <c r="K1010" s="28" t="str">
        <f>IF(OR(履歴データ!$A$1010="",履歴データ!$A$1009=""),"",B1010-B1009)</f>
        <v/>
      </c>
      <c r="L1010" s="28" t="str">
        <f>IF(OR(履歴データ!$A$1010="",履歴データ!$A$1009=""),"",C1010-C1009)</f>
        <v/>
      </c>
      <c r="M1010" s="28" t="str">
        <f>IF(OR(履歴データ!$A$1010="",履歴データ!$A$1009=""),"",D1010-D1009)</f>
        <v/>
      </c>
      <c r="N1010" s="28" t="str">
        <f>IF(OR(履歴データ!$A$1010="",履歴データ!$A$1009=""),"",E1010-E1009)</f>
        <v/>
      </c>
      <c r="O1010" s="28" t="str">
        <f>IF(OR(履歴データ!$A$1010="",履歴データ!$A$1009=""),"",F1010-F1009)</f>
        <v/>
      </c>
      <c r="P1010" s="28" t="str">
        <f>IF(OR(履歴データ!$A$1010="",履歴データ!$A$1009=""),"",G1010-G1009)</f>
        <v/>
      </c>
      <c r="Q1010" s="29" t="str">
        <f>IF(OR(履歴データ!$A$1010="",履歴データ!$A$1009=""),"",H1010-H1009)</f>
        <v/>
      </c>
      <c r="R1010" s="29" t="str">
        <f>IF(OR(履歴データ!$A$1010="",履歴データ!$A$1009=""),"",I1010-I1009)</f>
        <v/>
      </c>
      <c r="S1010" s="28" t="str">
        <f>IF(OR(履歴データ!$A$1010="",履歴データ!$A$1009=""),"",(J1010-J1009)*100)</f>
        <v/>
      </c>
      <c r="T1010" s="11" t="str">
        <f>IF(OR(履歴データ!$A$1010="",履歴データ!$A$1009=""),"",-80000*K1010)</f>
        <v/>
      </c>
      <c r="U1010" s="11" t="str">
        <f>IF(OR(履歴データ!$A$1010="",履歴データ!$A$1009=""),"",60000*L1010)</f>
        <v/>
      </c>
      <c r="V1010" s="11" t="str">
        <f>IF(OR(履歴データ!$A$1010="",履歴データ!$A$1009=""),"",-50000*M1010)</f>
        <v/>
      </c>
      <c r="W1010" s="11" t="str">
        <f>IF(OR(履歴データ!$A$1010="",履歴データ!$A$1009=""),"",-40000*N1010)</f>
        <v/>
      </c>
      <c r="X1010" s="11" t="str">
        <f>IF(OR(履歴データ!$A$1010="",履歴データ!$A$1009=""),"",120*1000000*(-Q1010/H1009))</f>
        <v/>
      </c>
      <c r="Y1010" s="11" t="str">
        <f>IF(OR(履歴データ!$A$1010="",履歴データ!$A$1009=""),"",40000*(-S1010)+(-506.3)*R1010*1000)</f>
        <v/>
      </c>
      <c r="Z1010" s="11" t="str">
        <f>IF(OR(履歴データ!$A$1010="",履歴データ!$A$1009=""),"",-40000*O1010)</f>
        <v/>
      </c>
      <c r="AA1010" s="11" t="str">
        <f>IF(OR(履歴データ!$A$1010="",履歴データ!$A$1009=""),"",-40000*P1010)</f>
        <v/>
      </c>
      <c r="AB1010" s="11" t="str">
        <f>IF(履歴データ!$A$1010="","",123.3)</f>
        <v/>
      </c>
      <c r="AC1010" t="str">
        <f>IF(履歴データ!$A$1010="","",SUM(T1010:AA1010))</f>
        <v/>
      </c>
      <c r="AD1010" s="29" t="str">
        <f>IF(履歴データ!$A$1010="","",AC1010/1000000)</f>
        <v/>
      </c>
      <c r="AE1010" s="29">
        <f>IF(履歴データ!$A$1010="",AE1009,AE1009+AC1010/1000000)</f>
        <v>70.844544225831427</v>
      </c>
      <c r="AF1010" s="12" t="str">
        <f>IF(OR(履歴データ!$A$1010="",AE1009=0),"",(AE1010-AE1009)/AE1009)</f>
        <v/>
      </c>
      <c r="AG1010" s="29">
        <f t="shared" si="45"/>
        <v>102.17217746631495</v>
      </c>
      <c r="AH1010" s="12" t="str">
        <f>IF(OR(履歴データ!$A$1010="",AG1010=0),"",AE1010/AG1010-1)</f>
        <v/>
      </c>
    </row>
    <row r="1011" spans="1:34">
      <c r="A1011" s="10" t="str">
        <f>IF(履歴データ!$A$1011="","",履歴データ!$A$1011)</f>
        <v/>
      </c>
      <c r="B1011" s="28" t="str">
        <f>IF(履歴データ!$A$1011="","",(履歴データ!$D$1011-(履歴データ!$B$1011+履歴データ!$F$1011)/2)*100)</f>
        <v/>
      </c>
      <c r="C1011" s="28" t="str">
        <f>IF(履歴データ!$A$1011="","",(履歴データ!$H$1011-(履歴データ!$G$1011+履歴データ!$J$1011)/2)*100)</f>
        <v/>
      </c>
      <c r="D1011" s="28" t="str">
        <f>IF(履歴データ!$A$1011="","",(履歴データ!$D$1011-履歴データ!$H$1011)*100)</f>
        <v/>
      </c>
      <c r="E1011" s="28" t="str">
        <f>IF(履歴データ!$A$1011="","",(履歴データ!$D$1011-履歴データ!$C$1011)*100)</f>
        <v/>
      </c>
      <c r="F1011" s="28" t="str">
        <f>IF(履歴データ!$A$1011="","",(履歴データ!$R$1011-履歴データ!$D$1011)*100)</f>
        <v/>
      </c>
      <c r="G1011" s="28" t="str">
        <f>IF(履歴データ!$A$1011="","",(履歴データ!$S$1011-履歴データ!$R$1011)*100)</f>
        <v/>
      </c>
      <c r="H1011" s="29" t="str">
        <f>IF(履歴データ!$A$1011="","",履歴データ!$O$1011)</f>
        <v/>
      </c>
      <c r="I1011" s="29" t="str">
        <f>IF(履歴データ!$A$1011="","",履歴データ!$Q$1011)</f>
        <v/>
      </c>
      <c r="J1011" s="29" t="str">
        <f>IF(履歴データ!$A$1011="","",履歴データ!$D$1011)</f>
        <v/>
      </c>
      <c r="K1011" s="28" t="str">
        <f>IF(OR(履歴データ!$A$1011="",履歴データ!$A$1010=""),"",B1011-B1010)</f>
        <v/>
      </c>
      <c r="L1011" s="28" t="str">
        <f>IF(OR(履歴データ!$A$1011="",履歴データ!$A$1010=""),"",C1011-C1010)</f>
        <v/>
      </c>
      <c r="M1011" s="28" t="str">
        <f>IF(OR(履歴データ!$A$1011="",履歴データ!$A$1010=""),"",D1011-D1010)</f>
        <v/>
      </c>
      <c r="N1011" s="28" t="str">
        <f>IF(OR(履歴データ!$A$1011="",履歴データ!$A$1010=""),"",E1011-E1010)</f>
        <v/>
      </c>
      <c r="O1011" s="28" t="str">
        <f>IF(OR(履歴データ!$A$1011="",履歴データ!$A$1010=""),"",F1011-F1010)</f>
        <v/>
      </c>
      <c r="P1011" s="28" t="str">
        <f>IF(OR(履歴データ!$A$1011="",履歴データ!$A$1010=""),"",G1011-G1010)</f>
        <v/>
      </c>
      <c r="Q1011" s="29" t="str">
        <f>IF(OR(履歴データ!$A$1011="",履歴データ!$A$1010=""),"",H1011-H1010)</f>
        <v/>
      </c>
      <c r="R1011" s="29" t="str">
        <f>IF(OR(履歴データ!$A$1011="",履歴データ!$A$1010=""),"",I1011-I1010)</f>
        <v/>
      </c>
      <c r="S1011" s="28" t="str">
        <f>IF(OR(履歴データ!$A$1011="",履歴データ!$A$1010=""),"",(J1011-J1010)*100)</f>
        <v/>
      </c>
      <c r="T1011" s="11" t="str">
        <f>IF(OR(履歴データ!$A$1011="",履歴データ!$A$1010=""),"",-80000*K1011)</f>
        <v/>
      </c>
      <c r="U1011" s="11" t="str">
        <f>IF(OR(履歴データ!$A$1011="",履歴データ!$A$1010=""),"",60000*L1011)</f>
        <v/>
      </c>
      <c r="V1011" s="11" t="str">
        <f>IF(OR(履歴データ!$A$1011="",履歴データ!$A$1010=""),"",-50000*M1011)</f>
        <v/>
      </c>
      <c r="W1011" s="11" t="str">
        <f>IF(OR(履歴データ!$A$1011="",履歴データ!$A$1010=""),"",-40000*N1011)</f>
        <v/>
      </c>
      <c r="X1011" s="11" t="str">
        <f>IF(OR(履歴データ!$A$1011="",履歴データ!$A$1010=""),"",120*1000000*(-Q1011/H1010))</f>
        <v/>
      </c>
      <c r="Y1011" s="11" t="str">
        <f>IF(OR(履歴データ!$A$1011="",履歴データ!$A$1010=""),"",40000*(-S1011)+(-506.3)*R1011*1000)</f>
        <v/>
      </c>
      <c r="Z1011" s="11" t="str">
        <f>IF(OR(履歴データ!$A$1011="",履歴データ!$A$1010=""),"",-40000*O1011)</f>
        <v/>
      </c>
      <c r="AA1011" s="11" t="str">
        <f>IF(OR(履歴データ!$A$1011="",履歴データ!$A$1010=""),"",-40000*P1011)</f>
        <v/>
      </c>
      <c r="AB1011" s="11" t="str">
        <f>IF(履歴データ!$A$1011="","",123.3)</f>
        <v/>
      </c>
      <c r="AC1011" t="str">
        <f>IF(履歴データ!$A$1011="","",SUM(T1011:AA1011))</f>
        <v/>
      </c>
      <c r="AD1011" s="29" t="str">
        <f>IF(履歴データ!$A$1011="","",AC1011/1000000)</f>
        <v/>
      </c>
      <c r="AE1011" s="29">
        <f>IF(履歴データ!$A$1011="",AE1010,AE1010+AC1011/1000000)</f>
        <v>70.844544225831427</v>
      </c>
      <c r="AF1011" s="12" t="str">
        <f>IF(OR(履歴データ!$A$1011="",AE1010=0),"",(AE1011-AE1010)/AE1010)</f>
        <v/>
      </c>
      <c r="AG1011" s="29">
        <f t="shared" si="45"/>
        <v>102.17217746631495</v>
      </c>
      <c r="AH1011" s="12" t="str">
        <f>IF(OR(履歴データ!$A$1011="",AG1011=0),"",AE1011/AG1011-1)</f>
        <v/>
      </c>
    </row>
    <row r="1012" spans="1:34">
      <c r="A1012" s="10" t="str">
        <f>IF(履歴データ!$A$1012="","",履歴データ!$A$1012)</f>
        <v/>
      </c>
      <c r="B1012" s="28" t="str">
        <f>IF(履歴データ!$A$1012="","",(履歴データ!$D$1012-(履歴データ!$B$1012+履歴データ!$F$1012)/2)*100)</f>
        <v/>
      </c>
      <c r="C1012" s="28" t="str">
        <f>IF(履歴データ!$A$1012="","",(履歴データ!$H$1012-(履歴データ!$G$1012+履歴データ!$J$1012)/2)*100)</f>
        <v/>
      </c>
      <c r="D1012" s="28" t="str">
        <f>IF(履歴データ!$A$1012="","",(履歴データ!$D$1012-履歴データ!$H$1012)*100)</f>
        <v/>
      </c>
      <c r="E1012" s="28" t="str">
        <f>IF(履歴データ!$A$1012="","",(履歴データ!$D$1012-履歴データ!$C$1012)*100)</f>
        <v/>
      </c>
      <c r="F1012" s="28" t="str">
        <f>IF(履歴データ!$A$1012="","",(履歴データ!$R$1012-履歴データ!$D$1012)*100)</f>
        <v/>
      </c>
      <c r="G1012" s="28" t="str">
        <f>IF(履歴データ!$A$1012="","",(履歴データ!$S$1012-履歴データ!$R$1012)*100)</f>
        <v/>
      </c>
      <c r="H1012" s="29" t="str">
        <f>IF(履歴データ!$A$1012="","",履歴データ!$O$1012)</f>
        <v/>
      </c>
      <c r="I1012" s="29" t="str">
        <f>IF(履歴データ!$A$1012="","",履歴データ!$Q$1012)</f>
        <v/>
      </c>
      <c r="J1012" s="29" t="str">
        <f>IF(履歴データ!$A$1012="","",履歴データ!$D$1012)</f>
        <v/>
      </c>
      <c r="K1012" s="28" t="str">
        <f>IF(OR(履歴データ!$A$1012="",履歴データ!$A$1011=""),"",B1012-B1011)</f>
        <v/>
      </c>
      <c r="L1012" s="28" t="str">
        <f>IF(OR(履歴データ!$A$1012="",履歴データ!$A$1011=""),"",C1012-C1011)</f>
        <v/>
      </c>
      <c r="M1012" s="28" t="str">
        <f>IF(OR(履歴データ!$A$1012="",履歴データ!$A$1011=""),"",D1012-D1011)</f>
        <v/>
      </c>
      <c r="N1012" s="28" t="str">
        <f>IF(OR(履歴データ!$A$1012="",履歴データ!$A$1011=""),"",E1012-E1011)</f>
        <v/>
      </c>
      <c r="O1012" s="28" t="str">
        <f>IF(OR(履歴データ!$A$1012="",履歴データ!$A$1011=""),"",F1012-F1011)</f>
        <v/>
      </c>
      <c r="P1012" s="28" t="str">
        <f>IF(OR(履歴データ!$A$1012="",履歴データ!$A$1011=""),"",G1012-G1011)</f>
        <v/>
      </c>
      <c r="Q1012" s="29" t="str">
        <f>IF(OR(履歴データ!$A$1012="",履歴データ!$A$1011=""),"",H1012-H1011)</f>
        <v/>
      </c>
      <c r="R1012" s="29" t="str">
        <f>IF(OR(履歴データ!$A$1012="",履歴データ!$A$1011=""),"",I1012-I1011)</f>
        <v/>
      </c>
      <c r="S1012" s="28" t="str">
        <f>IF(OR(履歴データ!$A$1012="",履歴データ!$A$1011=""),"",(J1012-J1011)*100)</f>
        <v/>
      </c>
      <c r="T1012" s="11" t="str">
        <f>IF(OR(履歴データ!$A$1012="",履歴データ!$A$1011=""),"",-80000*K1012)</f>
        <v/>
      </c>
      <c r="U1012" s="11" t="str">
        <f>IF(OR(履歴データ!$A$1012="",履歴データ!$A$1011=""),"",60000*L1012)</f>
        <v/>
      </c>
      <c r="V1012" s="11" t="str">
        <f>IF(OR(履歴データ!$A$1012="",履歴データ!$A$1011=""),"",-50000*M1012)</f>
        <v/>
      </c>
      <c r="W1012" s="11" t="str">
        <f>IF(OR(履歴データ!$A$1012="",履歴データ!$A$1011=""),"",-40000*N1012)</f>
        <v/>
      </c>
      <c r="X1012" s="11" t="str">
        <f>IF(OR(履歴データ!$A$1012="",履歴データ!$A$1011=""),"",120*1000000*(-Q1012/H1011))</f>
        <v/>
      </c>
      <c r="Y1012" s="11" t="str">
        <f>IF(OR(履歴データ!$A$1012="",履歴データ!$A$1011=""),"",40000*(-S1012)+(-506.3)*R1012*1000)</f>
        <v/>
      </c>
      <c r="Z1012" s="11" t="str">
        <f>IF(OR(履歴データ!$A$1012="",履歴データ!$A$1011=""),"",-40000*O1012)</f>
        <v/>
      </c>
      <c r="AA1012" s="11" t="str">
        <f>IF(OR(履歴データ!$A$1012="",履歴データ!$A$1011=""),"",-40000*P1012)</f>
        <v/>
      </c>
      <c r="AB1012" s="11" t="str">
        <f>IF(履歴データ!$A$1012="","",123.3)</f>
        <v/>
      </c>
      <c r="AC1012" t="str">
        <f>IF(履歴データ!$A$1012="","",SUM(T1012:AA1012))</f>
        <v/>
      </c>
      <c r="AD1012" s="29" t="str">
        <f>IF(履歴データ!$A$1012="","",AC1012/1000000)</f>
        <v/>
      </c>
      <c r="AE1012" s="29">
        <f>IF(履歴データ!$A$1012="",AE1011,AE1011+AC1012/1000000)</f>
        <v>70.844544225831427</v>
      </c>
      <c r="AF1012" s="12" t="str">
        <f>IF(OR(履歴データ!$A$1012="",AE1011=0),"",(AE1012-AE1011)/AE1011)</f>
        <v/>
      </c>
      <c r="AG1012" s="29">
        <f t="shared" si="45"/>
        <v>102.17217746631495</v>
      </c>
      <c r="AH1012" s="12" t="str">
        <f>IF(OR(履歴データ!$A$1012="",AG1012=0),"",AE1012/AG1012-1)</f>
        <v/>
      </c>
    </row>
    <row r="1013" spans="1:34">
      <c r="A1013" s="10" t="str">
        <f>IF(履歴データ!$A$1013="","",履歴データ!$A$1013)</f>
        <v/>
      </c>
      <c r="B1013" s="28" t="str">
        <f>IF(履歴データ!$A$1013="","",(履歴データ!$D$1013-(履歴データ!$B$1013+履歴データ!$F$1013)/2)*100)</f>
        <v/>
      </c>
      <c r="C1013" s="28" t="str">
        <f>IF(履歴データ!$A$1013="","",(履歴データ!$H$1013-(履歴データ!$G$1013+履歴データ!$J$1013)/2)*100)</f>
        <v/>
      </c>
      <c r="D1013" s="28" t="str">
        <f>IF(履歴データ!$A$1013="","",(履歴データ!$D$1013-履歴データ!$H$1013)*100)</f>
        <v/>
      </c>
      <c r="E1013" s="28" t="str">
        <f>IF(履歴データ!$A$1013="","",(履歴データ!$D$1013-履歴データ!$C$1013)*100)</f>
        <v/>
      </c>
      <c r="F1013" s="28" t="str">
        <f>IF(履歴データ!$A$1013="","",(履歴データ!$R$1013-履歴データ!$D$1013)*100)</f>
        <v/>
      </c>
      <c r="G1013" s="28" t="str">
        <f>IF(履歴データ!$A$1013="","",(履歴データ!$S$1013-履歴データ!$R$1013)*100)</f>
        <v/>
      </c>
      <c r="H1013" s="29" t="str">
        <f>IF(履歴データ!$A$1013="","",履歴データ!$O$1013)</f>
        <v/>
      </c>
      <c r="I1013" s="29" t="str">
        <f>IF(履歴データ!$A$1013="","",履歴データ!$Q$1013)</f>
        <v/>
      </c>
      <c r="J1013" s="29" t="str">
        <f>IF(履歴データ!$A$1013="","",履歴データ!$D$1013)</f>
        <v/>
      </c>
      <c r="K1013" s="28" t="str">
        <f>IF(OR(履歴データ!$A$1013="",履歴データ!$A$1012=""),"",B1013-B1012)</f>
        <v/>
      </c>
      <c r="L1013" s="28" t="str">
        <f>IF(OR(履歴データ!$A$1013="",履歴データ!$A$1012=""),"",C1013-C1012)</f>
        <v/>
      </c>
      <c r="M1013" s="28" t="str">
        <f>IF(OR(履歴データ!$A$1013="",履歴データ!$A$1012=""),"",D1013-D1012)</f>
        <v/>
      </c>
      <c r="N1013" s="28" t="str">
        <f>IF(OR(履歴データ!$A$1013="",履歴データ!$A$1012=""),"",E1013-E1012)</f>
        <v/>
      </c>
      <c r="O1013" s="28" t="str">
        <f>IF(OR(履歴データ!$A$1013="",履歴データ!$A$1012=""),"",F1013-F1012)</f>
        <v/>
      </c>
      <c r="P1013" s="28" t="str">
        <f>IF(OR(履歴データ!$A$1013="",履歴データ!$A$1012=""),"",G1013-G1012)</f>
        <v/>
      </c>
      <c r="Q1013" s="29" t="str">
        <f>IF(OR(履歴データ!$A$1013="",履歴データ!$A$1012=""),"",H1013-H1012)</f>
        <v/>
      </c>
      <c r="R1013" s="29" t="str">
        <f>IF(OR(履歴データ!$A$1013="",履歴データ!$A$1012=""),"",I1013-I1012)</f>
        <v/>
      </c>
      <c r="S1013" s="28" t="str">
        <f>IF(OR(履歴データ!$A$1013="",履歴データ!$A$1012=""),"",(J1013-J1012)*100)</f>
        <v/>
      </c>
      <c r="T1013" s="11" t="str">
        <f>IF(OR(履歴データ!$A$1013="",履歴データ!$A$1012=""),"",-80000*K1013)</f>
        <v/>
      </c>
      <c r="U1013" s="11" t="str">
        <f>IF(OR(履歴データ!$A$1013="",履歴データ!$A$1012=""),"",60000*L1013)</f>
        <v/>
      </c>
      <c r="V1013" s="11" t="str">
        <f>IF(OR(履歴データ!$A$1013="",履歴データ!$A$1012=""),"",-50000*M1013)</f>
        <v/>
      </c>
      <c r="W1013" s="11" t="str">
        <f>IF(OR(履歴データ!$A$1013="",履歴データ!$A$1012=""),"",-40000*N1013)</f>
        <v/>
      </c>
      <c r="X1013" s="11" t="str">
        <f>IF(OR(履歴データ!$A$1013="",履歴データ!$A$1012=""),"",120*1000000*(-Q1013/H1012))</f>
        <v/>
      </c>
      <c r="Y1013" s="11" t="str">
        <f>IF(OR(履歴データ!$A$1013="",履歴データ!$A$1012=""),"",40000*(-S1013)+(-506.3)*R1013*1000)</f>
        <v/>
      </c>
      <c r="Z1013" s="11" t="str">
        <f>IF(OR(履歴データ!$A$1013="",履歴データ!$A$1012=""),"",-40000*O1013)</f>
        <v/>
      </c>
      <c r="AA1013" s="11" t="str">
        <f>IF(OR(履歴データ!$A$1013="",履歴データ!$A$1012=""),"",-40000*P1013)</f>
        <v/>
      </c>
      <c r="AB1013" s="11" t="str">
        <f>IF(履歴データ!$A$1013="","",123.3)</f>
        <v/>
      </c>
      <c r="AC1013" t="str">
        <f>IF(履歴データ!$A$1013="","",SUM(T1013:AA1013))</f>
        <v/>
      </c>
      <c r="AD1013" s="29" t="str">
        <f>IF(履歴データ!$A$1013="","",AC1013/1000000)</f>
        <v/>
      </c>
      <c r="AE1013" s="29">
        <f>IF(履歴データ!$A$1013="",AE1012,AE1012+AC1013/1000000)</f>
        <v>70.844544225831427</v>
      </c>
      <c r="AF1013" s="12" t="str">
        <f>IF(OR(履歴データ!$A$1013="",AE1012=0),"",(AE1013-AE1012)/AE1012)</f>
        <v/>
      </c>
      <c r="AG1013" s="29">
        <f t="shared" si="45"/>
        <v>102.17217746631495</v>
      </c>
      <c r="AH1013" s="12" t="str">
        <f>IF(OR(履歴データ!$A$1013="",AG1013=0),"",AE1013/AG1013-1)</f>
        <v/>
      </c>
    </row>
    <row r="1014" spans="1:34">
      <c r="A1014" s="10" t="str">
        <f>IF(履歴データ!$A$1014="","",履歴データ!$A$1014)</f>
        <v/>
      </c>
      <c r="B1014" s="28" t="str">
        <f>IF(履歴データ!$A$1014="","",(履歴データ!$D$1014-(履歴データ!$B$1014+履歴データ!$F$1014)/2)*100)</f>
        <v/>
      </c>
      <c r="C1014" s="28" t="str">
        <f>IF(履歴データ!$A$1014="","",(履歴データ!$H$1014-(履歴データ!$G$1014+履歴データ!$J$1014)/2)*100)</f>
        <v/>
      </c>
      <c r="D1014" s="28" t="str">
        <f>IF(履歴データ!$A$1014="","",(履歴データ!$D$1014-履歴データ!$H$1014)*100)</f>
        <v/>
      </c>
      <c r="E1014" s="28" t="str">
        <f>IF(履歴データ!$A$1014="","",(履歴データ!$D$1014-履歴データ!$C$1014)*100)</f>
        <v/>
      </c>
      <c r="F1014" s="28" t="str">
        <f>IF(履歴データ!$A$1014="","",(履歴データ!$R$1014-履歴データ!$D$1014)*100)</f>
        <v/>
      </c>
      <c r="G1014" s="28" t="str">
        <f>IF(履歴データ!$A$1014="","",(履歴データ!$S$1014-履歴データ!$R$1014)*100)</f>
        <v/>
      </c>
      <c r="H1014" s="29" t="str">
        <f>IF(履歴データ!$A$1014="","",履歴データ!$O$1014)</f>
        <v/>
      </c>
      <c r="I1014" s="29" t="str">
        <f>IF(履歴データ!$A$1014="","",履歴データ!$Q$1014)</f>
        <v/>
      </c>
      <c r="J1014" s="29" t="str">
        <f>IF(履歴データ!$A$1014="","",履歴データ!$D$1014)</f>
        <v/>
      </c>
      <c r="K1014" s="28" t="str">
        <f>IF(OR(履歴データ!$A$1014="",履歴データ!$A$1013=""),"",B1014-B1013)</f>
        <v/>
      </c>
      <c r="L1014" s="28" t="str">
        <f>IF(OR(履歴データ!$A$1014="",履歴データ!$A$1013=""),"",C1014-C1013)</f>
        <v/>
      </c>
      <c r="M1014" s="28" t="str">
        <f>IF(OR(履歴データ!$A$1014="",履歴データ!$A$1013=""),"",D1014-D1013)</f>
        <v/>
      </c>
      <c r="N1014" s="28" t="str">
        <f>IF(OR(履歴データ!$A$1014="",履歴データ!$A$1013=""),"",E1014-E1013)</f>
        <v/>
      </c>
      <c r="O1014" s="28" t="str">
        <f>IF(OR(履歴データ!$A$1014="",履歴データ!$A$1013=""),"",F1014-F1013)</f>
        <v/>
      </c>
      <c r="P1014" s="28" t="str">
        <f>IF(OR(履歴データ!$A$1014="",履歴データ!$A$1013=""),"",G1014-G1013)</f>
        <v/>
      </c>
      <c r="Q1014" s="29" t="str">
        <f>IF(OR(履歴データ!$A$1014="",履歴データ!$A$1013=""),"",H1014-H1013)</f>
        <v/>
      </c>
      <c r="R1014" s="29" t="str">
        <f>IF(OR(履歴データ!$A$1014="",履歴データ!$A$1013=""),"",I1014-I1013)</f>
        <v/>
      </c>
      <c r="S1014" s="28" t="str">
        <f>IF(OR(履歴データ!$A$1014="",履歴データ!$A$1013=""),"",(J1014-J1013)*100)</f>
        <v/>
      </c>
      <c r="T1014" s="11" t="str">
        <f>IF(OR(履歴データ!$A$1014="",履歴データ!$A$1013=""),"",-80000*K1014)</f>
        <v/>
      </c>
      <c r="U1014" s="11" t="str">
        <f>IF(OR(履歴データ!$A$1014="",履歴データ!$A$1013=""),"",60000*L1014)</f>
        <v/>
      </c>
      <c r="V1014" s="11" t="str">
        <f>IF(OR(履歴データ!$A$1014="",履歴データ!$A$1013=""),"",-50000*M1014)</f>
        <v/>
      </c>
      <c r="W1014" s="11" t="str">
        <f>IF(OR(履歴データ!$A$1014="",履歴データ!$A$1013=""),"",-40000*N1014)</f>
        <v/>
      </c>
      <c r="X1014" s="11" t="str">
        <f>IF(OR(履歴データ!$A$1014="",履歴データ!$A$1013=""),"",120*1000000*(-Q1014/H1013))</f>
        <v/>
      </c>
      <c r="Y1014" s="11" t="str">
        <f>IF(OR(履歴データ!$A$1014="",履歴データ!$A$1013=""),"",40000*(-S1014)+(-506.3)*R1014*1000)</f>
        <v/>
      </c>
      <c r="Z1014" s="11" t="str">
        <f>IF(OR(履歴データ!$A$1014="",履歴データ!$A$1013=""),"",-40000*O1014)</f>
        <v/>
      </c>
      <c r="AA1014" s="11" t="str">
        <f>IF(OR(履歴データ!$A$1014="",履歴データ!$A$1013=""),"",-40000*P1014)</f>
        <v/>
      </c>
      <c r="AB1014" s="11" t="str">
        <f>IF(履歴データ!$A$1014="","",123.3)</f>
        <v/>
      </c>
      <c r="AC1014" t="str">
        <f>IF(履歴データ!$A$1014="","",SUM(T1014:AA1014))</f>
        <v/>
      </c>
      <c r="AD1014" s="29" t="str">
        <f>IF(履歴データ!$A$1014="","",AC1014/1000000)</f>
        <v/>
      </c>
      <c r="AE1014" s="29">
        <f>IF(履歴データ!$A$1014="",AE1013,AE1013+AC1014/1000000)</f>
        <v>70.844544225831427</v>
      </c>
      <c r="AF1014" s="12" t="str">
        <f>IF(OR(履歴データ!$A$1014="",AE1013=0),"",(AE1014-AE1013)/AE1013)</f>
        <v/>
      </c>
      <c r="AG1014" s="29">
        <f t="shared" si="45"/>
        <v>102.17217746631495</v>
      </c>
      <c r="AH1014" s="12" t="str">
        <f>IF(OR(履歴データ!$A$1014="",AG1014=0),"",AE1014/AG1014-1)</f>
        <v/>
      </c>
    </row>
    <row r="1015" spans="1:34">
      <c r="A1015" s="10" t="str">
        <f>IF(履歴データ!$A$1015="","",履歴データ!$A$1015)</f>
        <v/>
      </c>
      <c r="B1015" s="28" t="str">
        <f>IF(履歴データ!$A$1015="","",(履歴データ!$D$1015-(履歴データ!$B$1015+履歴データ!$F$1015)/2)*100)</f>
        <v/>
      </c>
      <c r="C1015" s="28" t="str">
        <f>IF(履歴データ!$A$1015="","",(履歴データ!$H$1015-(履歴データ!$G$1015+履歴データ!$J$1015)/2)*100)</f>
        <v/>
      </c>
      <c r="D1015" s="28" t="str">
        <f>IF(履歴データ!$A$1015="","",(履歴データ!$D$1015-履歴データ!$H$1015)*100)</f>
        <v/>
      </c>
      <c r="E1015" s="28" t="str">
        <f>IF(履歴データ!$A$1015="","",(履歴データ!$D$1015-履歴データ!$C$1015)*100)</f>
        <v/>
      </c>
      <c r="F1015" s="28" t="str">
        <f>IF(履歴データ!$A$1015="","",(履歴データ!$R$1015-履歴データ!$D$1015)*100)</f>
        <v/>
      </c>
      <c r="G1015" s="28" t="str">
        <f>IF(履歴データ!$A$1015="","",(履歴データ!$S$1015-履歴データ!$R$1015)*100)</f>
        <v/>
      </c>
      <c r="H1015" s="29" t="str">
        <f>IF(履歴データ!$A$1015="","",履歴データ!$O$1015)</f>
        <v/>
      </c>
      <c r="I1015" s="29" t="str">
        <f>IF(履歴データ!$A$1015="","",履歴データ!$Q$1015)</f>
        <v/>
      </c>
      <c r="J1015" s="29" t="str">
        <f>IF(履歴データ!$A$1015="","",履歴データ!$D$1015)</f>
        <v/>
      </c>
      <c r="K1015" s="28" t="str">
        <f>IF(OR(履歴データ!$A$1015="",履歴データ!$A$1014=""),"",B1015-B1014)</f>
        <v/>
      </c>
      <c r="L1015" s="28" t="str">
        <f>IF(OR(履歴データ!$A$1015="",履歴データ!$A$1014=""),"",C1015-C1014)</f>
        <v/>
      </c>
      <c r="M1015" s="28" t="str">
        <f>IF(OR(履歴データ!$A$1015="",履歴データ!$A$1014=""),"",D1015-D1014)</f>
        <v/>
      </c>
      <c r="N1015" s="28" t="str">
        <f>IF(OR(履歴データ!$A$1015="",履歴データ!$A$1014=""),"",E1015-E1014)</f>
        <v/>
      </c>
      <c r="O1015" s="28" t="str">
        <f>IF(OR(履歴データ!$A$1015="",履歴データ!$A$1014=""),"",F1015-F1014)</f>
        <v/>
      </c>
      <c r="P1015" s="28" t="str">
        <f>IF(OR(履歴データ!$A$1015="",履歴データ!$A$1014=""),"",G1015-G1014)</f>
        <v/>
      </c>
      <c r="Q1015" s="29" t="str">
        <f>IF(OR(履歴データ!$A$1015="",履歴データ!$A$1014=""),"",H1015-H1014)</f>
        <v/>
      </c>
      <c r="R1015" s="29" t="str">
        <f>IF(OR(履歴データ!$A$1015="",履歴データ!$A$1014=""),"",I1015-I1014)</f>
        <v/>
      </c>
      <c r="S1015" s="28" t="str">
        <f>IF(OR(履歴データ!$A$1015="",履歴データ!$A$1014=""),"",(J1015-J1014)*100)</f>
        <v/>
      </c>
      <c r="T1015" s="11" t="str">
        <f>IF(OR(履歴データ!$A$1015="",履歴データ!$A$1014=""),"",-80000*K1015)</f>
        <v/>
      </c>
      <c r="U1015" s="11" t="str">
        <f>IF(OR(履歴データ!$A$1015="",履歴データ!$A$1014=""),"",60000*L1015)</f>
        <v/>
      </c>
      <c r="V1015" s="11" t="str">
        <f>IF(OR(履歴データ!$A$1015="",履歴データ!$A$1014=""),"",-50000*M1015)</f>
        <v/>
      </c>
      <c r="W1015" s="11" t="str">
        <f>IF(OR(履歴データ!$A$1015="",履歴データ!$A$1014=""),"",-40000*N1015)</f>
        <v/>
      </c>
      <c r="X1015" s="11" t="str">
        <f>IF(OR(履歴データ!$A$1015="",履歴データ!$A$1014=""),"",120*1000000*(-Q1015/H1014))</f>
        <v/>
      </c>
      <c r="Y1015" s="11" t="str">
        <f>IF(OR(履歴データ!$A$1015="",履歴データ!$A$1014=""),"",40000*(-S1015)+(-506.3)*R1015*1000)</f>
        <v/>
      </c>
      <c r="Z1015" s="11" t="str">
        <f>IF(OR(履歴データ!$A$1015="",履歴データ!$A$1014=""),"",-40000*O1015)</f>
        <v/>
      </c>
      <c r="AA1015" s="11" t="str">
        <f>IF(OR(履歴データ!$A$1015="",履歴データ!$A$1014=""),"",-40000*P1015)</f>
        <v/>
      </c>
      <c r="AB1015" s="11" t="str">
        <f>IF(履歴データ!$A$1015="","",123.3)</f>
        <v/>
      </c>
      <c r="AC1015" t="str">
        <f>IF(履歴データ!$A$1015="","",SUM(T1015:AA1015))</f>
        <v/>
      </c>
      <c r="AD1015" s="29" t="str">
        <f>IF(履歴データ!$A$1015="","",AC1015/1000000)</f>
        <v/>
      </c>
      <c r="AE1015" s="29">
        <f>IF(履歴データ!$A$1015="",AE1014,AE1014+AC1015/1000000)</f>
        <v>70.844544225831427</v>
      </c>
      <c r="AF1015" s="12" t="str">
        <f>IF(OR(履歴データ!$A$1015="",AE1014=0),"",(AE1015-AE1014)/AE1014)</f>
        <v/>
      </c>
      <c r="AG1015" s="29">
        <f t="shared" si="45"/>
        <v>102.17217746631495</v>
      </c>
      <c r="AH1015" s="12" t="str">
        <f>IF(OR(履歴データ!$A$1015="",AG1015=0),"",AE1015/AG1015-1)</f>
        <v/>
      </c>
    </row>
    <row r="1016" spans="1:34">
      <c r="A1016" s="10" t="str">
        <f>IF(履歴データ!$A$1016="","",履歴データ!$A$1016)</f>
        <v/>
      </c>
      <c r="B1016" s="28" t="str">
        <f>IF(履歴データ!$A$1016="","",(履歴データ!$D$1016-(履歴データ!$B$1016+履歴データ!$F$1016)/2)*100)</f>
        <v/>
      </c>
      <c r="C1016" s="28" t="str">
        <f>IF(履歴データ!$A$1016="","",(履歴データ!$H$1016-(履歴データ!$G$1016+履歴データ!$J$1016)/2)*100)</f>
        <v/>
      </c>
      <c r="D1016" s="28" t="str">
        <f>IF(履歴データ!$A$1016="","",(履歴データ!$D$1016-履歴データ!$H$1016)*100)</f>
        <v/>
      </c>
      <c r="E1016" s="28" t="str">
        <f>IF(履歴データ!$A$1016="","",(履歴データ!$D$1016-履歴データ!$C$1016)*100)</f>
        <v/>
      </c>
      <c r="F1016" s="28" t="str">
        <f>IF(履歴データ!$A$1016="","",(履歴データ!$R$1016-履歴データ!$D$1016)*100)</f>
        <v/>
      </c>
      <c r="G1016" s="28" t="str">
        <f>IF(履歴データ!$A$1016="","",(履歴データ!$S$1016-履歴データ!$R$1016)*100)</f>
        <v/>
      </c>
      <c r="H1016" s="29" t="str">
        <f>IF(履歴データ!$A$1016="","",履歴データ!$O$1016)</f>
        <v/>
      </c>
      <c r="I1016" s="29" t="str">
        <f>IF(履歴データ!$A$1016="","",履歴データ!$Q$1016)</f>
        <v/>
      </c>
      <c r="J1016" s="29" t="str">
        <f>IF(履歴データ!$A$1016="","",履歴データ!$D$1016)</f>
        <v/>
      </c>
      <c r="K1016" s="28" t="str">
        <f>IF(OR(履歴データ!$A$1016="",履歴データ!$A$1015=""),"",B1016-B1015)</f>
        <v/>
      </c>
      <c r="L1016" s="28" t="str">
        <f>IF(OR(履歴データ!$A$1016="",履歴データ!$A$1015=""),"",C1016-C1015)</f>
        <v/>
      </c>
      <c r="M1016" s="28" t="str">
        <f>IF(OR(履歴データ!$A$1016="",履歴データ!$A$1015=""),"",D1016-D1015)</f>
        <v/>
      </c>
      <c r="N1016" s="28" t="str">
        <f>IF(OR(履歴データ!$A$1016="",履歴データ!$A$1015=""),"",E1016-E1015)</f>
        <v/>
      </c>
      <c r="O1016" s="28" t="str">
        <f>IF(OR(履歴データ!$A$1016="",履歴データ!$A$1015=""),"",F1016-F1015)</f>
        <v/>
      </c>
      <c r="P1016" s="28" t="str">
        <f>IF(OR(履歴データ!$A$1016="",履歴データ!$A$1015=""),"",G1016-G1015)</f>
        <v/>
      </c>
      <c r="Q1016" s="29" t="str">
        <f>IF(OR(履歴データ!$A$1016="",履歴データ!$A$1015=""),"",H1016-H1015)</f>
        <v/>
      </c>
      <c r="R1016" s="29" t="str">
        <f>IF(OR(履歴データ!$A$1016="",履歴データ!$A$1015=""),"",I1016-I1015)</f>
        <v/>
      </c>
      <c r="S1016" s="28" t="str">
        <f>IF(OR(履歴データ!$A$1016="",履歴データ!$A$1015=""),"",(J1016-J1015)*100)</f>
        <v/>
      </c>
      <c r="T1016" s="11" t="str">
        <f>IF(OR(履歴データ!$A$1016="",履歴データ!$A$1015=""),"",-80000*K1016)</f>
        <v/>
      </c>
      <c r="U1016" s="11" t="str">
        <f>IF(OR(履歴データ!$A$1016="",履歴データ!$A$1015=""),"",60000*L1016)</f>
        <v/>
      </c>
      <c r="V1016" s="11" t="str">
        <f>IF(OR(履歴データ!$A$1016="",履歴データ!$A$1015=""),"",-50000*M1016)</f>
        <v/>
      </c>
      <c r="W1016" s="11" t="str">
        <f>IF(OR(履歴データ!$A$1016="",履歴データ!$A$1015=""),"",-40000*N1016)</f>
        <v/>
      </c>
      <c r="X1016" s="11" t="str">
        <f>IF(OR(履歴データ!$A$1016="",履歴データ!$A$1015=""),"",120*1000000*(-Q1016/H1015))</f>
        <v/>
      </c>
      <c r="Y1016" s="11" t="str">
        <f>IF(OR(履歴データ!$A$1016="",履歴データ!$A$1015=""),"",40000*(-S1016)+(-506.3)*R1016*1000)</f>
        <v/>
      </c>
      <c r="Z1016" s="11" t="str">
        <f>IF(OR(履歴データ!$A$1016="",履歴データ!$A$1015=""),"",-40000*O1016)</f>
        <v/>
      </c>
      <c r="AA1016" s="11" t="str">
        <f>IF(OR(履歴データ!$A$1016="",履歴データ!$A$1015=""),"",-40000*P1016)</f>
        <v/>
      </c>
      <c r="AB1016" s="11" t="str">
        <f>IF(履歴データ!$A$1016="","",123.3)</f>
        <v/>
      </c>
      <c r="AC1016" t="str">
        <f>IF(履歴データ!$A$1016="","",SUM(T1016:AA1016))</f>
        <v/>
      </c>
      <c r="AD1016" s="29" t="str">
        <f>IF(履歴データ!$A$1016="","",AC1016/1000000)</f>
        <v/>
      </c>
      <c r="AE1016" s="29">
        <f>IF(履歴データ!$A$1016="",AE1015,AE1015+AC1016/1000000)</f>
        <v>70.844544225831427</v>
      </c>
      <c r="AF1016" s="12" t="str">
        <f>IF(OR(履歴データ!$A$1016="",AE1015=0),"",(AE1016-AE1015)/AE1015)</f>
        <v/>
      </c>
      <c r="AG1016" s="29">
        <f t="shared" si="45"/>
        <v>102.17217746631495</v>
      </c>
      <c r="AH1016" s="12" t="str">
        <f>IF(OR(履歴データ!$A$1016="",AG1016=0),"",AE1016/AG1016-1)</f>
        <v/>
      </c>
    </row>
    <row r="1017" spans="1:34">
      <c r="A1017" s="10" t="str">
        <f>IF(履歴データ!$A$1017="","",履歴データ!$A$1017)</f>
        <v/>
      </c>
      <c r="B1017" s="28" t="str">
        <f>IF(履歴データ!$A$1017="","",(履歴データ!$D$1017-(履歴データ!$B$1017+履歴データ!$F$1017)/2)*100)</f>
        <v/>
      </c>
      <c r="C1017" s="28" t="str">
        <f>IF(履歴データ!$A$1017="","",(履歴データ!$H$1017-(履歴データ!$G$1017+履歴データ!$J$1017)/2)*100)</f>
        <v/>
      </c>
      <c r="D1017" s="28" t="str">
        <f>IF(履歴データ!$A$1017="","",(履歴データ!$D$1017-履歴データ!$H$1017)*100)</f>
        <v/>
      </c>
      <c r="E1017" s="28" t="str">
        <f>IF(履歴データ!$A$1017="","",(履歴データ!$D$1017-履歴データ!$C$1017)*100)</f>
        <v/>
      </c>
      <c r="F1017" s="28" t="str">
        <f>IF(履歴データ!$A$1017="","",(履歴データ!$R$1017-履歴データ!$D$1017)*100)</f>
        <v/>
      </c>
      <c r="G1017" s="28" t="str">
        <f>IF(履歴データ!$A$1017="","",(履歴データ!$S$1017-履歴データ!$R$1017)*100)</f>
        <v/>
      </c>
      <c r="H1017" s="29" t="str">
        <f>IF(履歴データ!$A$1017="","",履歴データ!$O$1017)</f>
        <v/>
      </c>
      <c r="I1017" s="29" t="str">
        <f>IF(履歴データ!$A$1017="","",履歴データ!$Q$1017)</f>
        <v/>
      </c>
      <c r="J1017" s="29" t="str">
        <f>IF(履歴データ!$A$1017="","",履歴データ!$D$1017)</f>
        <v/>
      </c>
      <c r="K1017" s="28" t="str">
        <f>IF(OR(履歴データ!$A$1017="",履歴データ!$A$1016=""),"",B1017-B1016)</f>
        <v/>
      </c>
      <c r="L1017" s="28" t="str">
        <f>IF(OR(履歴データ!$A$1017="",履歴データ!$A$1016=""),"",C1017-C1016)</f>
        <v/>
      </c>
      <c r="M1017" s="28" t="str">
        <f>IF(OR(履歴データ!$A$1017="",履歴データ!$A$1016=""),"",D1017-D1016)</f>
        <v/>
      </c>
      <c r="N1017" s="28" t="str">
        <f>IF(OR(履歴データ!$A$1017="",履歴データ!$A$1016=""),"",E1017-E1016)</f>
        <v/>
      </c>
      <c r="O1017" s="28" t="str">
        <f>IF(OR(履歴データ!$A$1017="",履歴データ!$A$1016=""),"",F1017-F1016)</f>
        <v/>
      </c>
      <c r="P1017" s="28" t="str">
        <f>IF(OR(履歴データ!$A$1017="",履歴データ!$A$1016=""),"",G1017-G1016)</f>
        <v/>
      </c>
      <c r="Q1017" s="29" t="str">
        <f>IF(OR(履歴データ!$A$1017="",履歴データ!$A$1016=""),"",H1017-H1016)</f>
        <v/>
      </c>
      <c r="R1017" s="29" t="str">
        <f>IF(OR(履歴データ!$A$1017="",履歴データ!$A$1016=""),"",I1017-I1016)</f>
        <v/>
      </c>
      <c r="S1017" s="28" t="str">
        <f>IF(OR(履歴データ!$A$1017="",履歴データ!$A$1016=""),"",(J1017-J1016)*100)</f>
        <v/>
      </c>
      <c r="T1017" s="11" t="str">
        <f>IF(OR(履歴データ!$A$1017="",履歴データ!$A$1016=""),"",-80000*K1017)</f>
        <v/>
      </c>
      <c r="U1017" s="11" t="str">
        <f>IF(OR(履歴データ!$A$1017="",履歴データ!$A$1016=""),"",60000*L1017)</f>
        <v/>
      </c>
      <c r="V1017" s="11" t="str">
        <f>IF(OR(履歴データ!$A$1017="",履歴データ!$A$1016=""),"",-50000*M1017)</f>
        <v/>
      </c>
      <c r="W1017" s="11" t="str">
        <f>IF(OR(履歴データ!$A$1017="",履歴データ!$A$1016=""),"",-40000*N1017)</f>
        <v/>
      </c>
      <c r="X1017" s="11" t="str">
        <f>IF(OR(履歴データ!$A$1017="",履歴データ!$A$1016=""),"",120*1000000*(-Q1017/H1016))</f>
        <v/>
      </c>
      <c r="Y1017" s="11" t="str">
        <f>IF(OR(履歴データ!$A$1017="",履歴データ!$A$1016=""),"",40000*(-S1017)+(-506.3)*R1017*1000)</f>
        <v/>
      </c>
      <c r="Z1017" s="11" t="str">
        <f>IF(OR(履歴データ!$A$1017="",履歴データ!$A$1016=""),"",-40000*O1017)</f>
        <v/>
      </c>
      <c r="AA1017" s="11" t="str">
        <f>IF(OR(履歴データ!$A$1017="",履歴データ!$A$1016=""),"",-40000*P1017)</f>
        <v/>
      </c>
      <c r="AB1017" s="11" t="str">
        <f>IF(履歴データ!$A$1017="","",123.3)</f>
        <v/>
      </c>
      <c r="AC1017" t="str">
        <f>IF(履歴データ!$A$1017="","",SUM(T1017:AA1017))</f>
        <v/>
      </c>
      <c r="AD1017" s="29" t="str">
        <f>IF(履歴データ!$A$1017="","",AC1017/1000000)</f>
        <v/>
      </c>
      <c r="AE1017" s="29">
        <f>IF(履歴データ!$A$1017="",AE1016,AE1016+AC1017/1000000)</f>
        <v>70.844544225831427</v>
      </c>
      <c r="AF1017" s="12" t="str">
        <f>IF(OR(履歴データ!$A$1017="",AE1016=0),"",(AE1017-AE1016)/AE1016)</f>
        <v/>
      </c>
      <c r="AG1017" s="29">
        <f t="shared" si="45"/>
        <v>102.17217746631495</v>
      </c>
      <c r="AH1017" s="12" t="str">
        <f>IF(OR(履歴データ!$A$1017="",AG1017=0),"",AE1017/AG1017-1)</f>
        <v/>
      </c>
    </row>
    <row r="1018" spans="1:34">
      <c r="A1018" s="10" t="str">
        <f>IF(履歴データ!$A$1018="","",履歴データ!$A$1018)</f>
        <v/>
      </c>
      <c r="B1018" s="28" t="str">
        <f>IF(履歴データ!$A$1018="","",(履歴データ!$D$1018-(履歴データ!$B$1018+履歴データ!$F$1018)/2)*100)</f>
        <v/>
      </c>
      <c r="C1018" s="28" t="str">
        <f>IF(履歴データ!$A$1018="","",(履歴データ!$H$1018-(履歴データ!$G$1018+履歴データ!$J$1018)/2)*100)</f>
        <v/>
      </c>
      <c r="D1018" s="28" t="str">
        <f>IF(履歴データ!$A$1018="","",(履歴データ!$D$1018-履歴データ!$H$1018)*100)</f>
        <v/>
      </c>
      <c r="E1018" s="28" t="str">
        <f>IF(履歴データ!$A$1018="","",(履歴データ!$D$1018-履歴データ!$C$1018)*100)</f>
        <v/>
      </c>
      <c r="F1018" s="28" t="str">
        <f>IF(履歴データ!$A$1018="","",(履歴データ!$R$1018-履歴データ!$D$1018)*100)</f>
        <v/>
      </c>
      <c r="G1018" s="28" t="str">
        <f>IF(履歴データ!$A$1018="","",(履歴データ!$S$1018-履歴データ!$R$1018)*100)</f>
        <v/>
      </c>
      <c r="H1018" s="29" t="str">
        <f>IF(履歴データ!$A$1018="","",履歴データ!$O$1018)</f>
        <v/>
      </c>
      <c r="I1018" s="29" t="str">
        <f>IF(履歴データ!$A$1018="","",履歴データ!$Q$1018)</f>
        <v/>
      </c>
      <c r="J1018" s="29" t="str">
        <f>IF(履歴データ!$A$1018="","",履歴データ!$D$1018)</f>
        <v/>
      </c>
      <c r="K1018" s="28" t="str">
        <f>IF(OR(履歴データ!$A$1018="",履歴データ!$A$1017=""),"",B1018-B1017)</f>
        <v/>
      </c>
      <c r="L1018" s="28" t="str">
        <f>IF(OR(履歴データ!$A$1018="",履歴データ!$A$1017=""),"",C1018-C1017)</f>
        <v/>
      </c>
      <c r="M1018" s="28" t="str">
        <f>IF(OR(履歴データ!$A$1018="",履歴データ!$A$1017=""),"",D1018-D1017)</f>
        <v/>
      </c>
      <c r="N1018" s="28" t="str">
        <f>IF(OR(履歴データ!$A$1018="",履歴データ!$A$1017=""),"",E1018-E1017)</f>
        <v/>
      </c>
      <c r="O1018" s="28" t="str">
        <f>IF(OR(履歴データ!$A$1018="",履歴データ!$A$1017=""),"",F1018-F1017)</f>
        <v/>
      </c>
      <c r="P1018" s="28" t="str">
        <f>IF(OR(履歴データ!$A$1018="",履歴データ!$A$1017=""),"",G1018-G1017)</f>
        <v/>
      </c>
      <c r="Q1018" s="29" t="str">
        <f>IF(OR(履歴データ!$A$1018="",履歴データ!$A$1017=""),"",H1018-H1017)</f>
        <v/>
      </c>
      <c r="R1018" s="29" t="str">
        <f>IF(OR(履歴データ!$A$1018="",履歴データ!$A$1017=""),"",I1018-I1017)</f>
        <v/>
      </c>
      <c r="S1018" s="28" t="str">
        <f>IF(OR(履歴データ!$A$1018="",履歴データ!$A$1017=""),"",(J1018-J1017)*100)</f>
        <v/>
      </c>
      <c r="T1018" s="11" t="str">
        <f>IF(OR(履歴データ!$A$1018="",履歴データ!$A$1017=""),"",-80000*K1018)</f>
        <v/>
      </c>
      <c r="U1018" s="11" t="str">
        <f>IF(OR(履歴データ!$A$1018="",履歴データ!$A$1017=""),"",60000*L1018)</f>
        <v/>
      </c>
      <c r="V1018" s="11" t="str">
        <f>IF(OR(履歴データ!$A$1018="",履歴データ!$A$1017=""),"",-50000*M1018)</f>
        <v/>
      </c>
      <c r="W1018" s="11" t="str">
        <f>IF(OR(履歴データ!$A$1018="",履歴データ!$A$1017=""),"",-40000*N1018)</f>
        <v/>
      </c>
      <c r="X1018" s="11" t="str">
        <f>IF(OR(履歴データ!$A$1018="",履歴データ!$A$1017=""),"",120*1000000*(-Q1018/H1017))</f>
        <v/>
      </c>
      <c r="Y1018" s="11" t="str">
        <f>IF(OR(履歴データ!$A$1018="",履歴データ!$A$1017=""),"",40000*(-S1018)+(-506.3)*R1018*1000)</f>
        <v/>
      </c>
      <c r="Z1018" s="11" t="str">
        <f>IF(OR(履歴データ!$A$1018="",履歴データ!$A$1017=""),"",-40000*O1018)</f>
        <v/>
      </c>
      <c r="AA1018" s="11" t="str">
        <f>IF(OR(履歴データ!$A$1018="",履歴データ!$A$1017=""),"",-40000*P1018)</f>
        <v/>
      </c>
      <c r="AB1018" s="11" t="str">
        <f>IF(履歴データ!$A$1018="","",123.3)</f>
        <v/>
      </c>
      <c r="AC1018" t="str">
        <f>IF(履歴データ!$A$1018="","",SUM(T1018:AA1018))</f>
        <v/>
      </c>
      <c r="AD1018" s="29" t="str">
        <f>IF(履歴データ!$A$1018="","",AC1018/1000000)</f>
        <v/>
      </c>
      <c r="AE1018" s="29">
        <f>IF(履歴データ!$A$1018="",AE1017,AE1017+AC1018/1000000)</f>
        <v>70.844544225831427</v>
      </c>
      <c r="AF1018" s="12" t="str">
        <f>IF(OR(履歴データ!$A$1018="",AE1017=0),"",(AE1018-AE1017)/AE1017)</f>
        <v/>
      </c>
      <c r="AG1018" s="29">
        <f t="shared" si="45"/>
        <v>102.17217746631495</v>
      </c>
      <c r="AH1018" s="12" t="str">
        <f>IF(OR(履歴データ!$A$1018="",AG1018=0),"",AE1018/AG1018-1)</f>
        <v/>
      </c>
    </row>
    <row r="1019" spans="1:34">
      <c r="A1019" s="10" t="str">
        <f>IF(履歴データ!$A$1019="","",履歴データ!$A$1019)</f>
        <v/>
      </c>
      <c r="B1019" s="28" t="str">
        <f>IF(履歴データ!$A$1019="","",(履歴データ!$D$1019-(履歴データ!$B$1019+履歴データ!$F$1019)/2)*100)</f>
        <v/>
      </c>
      <c r="C1019" s="28" t="str">
        <f>IF(履歴データ!$A$1019="","",(履歴データ!$H$1019-(履歴データ!$G$1019+履歴データ!$J$1019)/2)*100)</f>
        <v/>
      </c>
      <c r="D1019" s="28" t="str">
        <f>IF(履歴データ!$A$1019="","",(履歴データ!$D$1019-履歴データ!$H$1019)*100)</f>
        <v/>
      </c>
      <c r="E1019" s="28" t="str">
        <f>IF(履歴データ!$A$1019="","",(履歴データ!$D$1019-履歴データ!$C$1019)*100)</f>
        <v/>
      </c>
      <c r="F1019" s="28" t="str">
        <f>IF(履歴データ!$A$1019="","",(履歴データ!$R$1019-履歴データ!$D$1019)*100)</f>
        <v/>
      </c>
      <c r="G1019" s="28" t="str">
        <f>IF(履歴データ!$A$1019="","",(履歴データ!$S$1019-履歴データ!$R$1019)*100)</f>
        <v/>
      </c>
      <c r="H1019" s="29" t="str">
        <f>IF(履歴データ!$A$1019="","",履歴データ!$O$1019)</f>
        <v/>
      </c>
      <c r="I1019" s="29" t="str">
        <f>IF(履歴データ!$A$1019="","",履歴データ!$Q$1019)</f>
        <v/>
      </c>
      <c r="J1019" s="29" t="str">
        <f>IF(履歴データ!$A$1019="","",履歴データ!$D$1019)</f>
        <v/>
      </c>
      <c r="K1019" s="28" t="str">
        <f>IF(OR(履歴データ!$A$1019="",履歴データ!$A$1018=""),"",B1019-B1018)</f>
        <v/>
      </c>
      <c r="L1019" s="28" t="str">
        <f>IF(OR(履歴データ!$A$1019="",履歴データ!$A$1018=""),"",C1019-C1018)</f>
        <v/>
      </c>
      <c r="M1019" s="28" t="str">
        <f>IF(OR(履歴データ!$A$1019="",履歴データ!$A$1018=""),"",D1019-D1018)</f>
        <v/>
      </c>
      <c r="N1019" s="28" t="str">
        <f>IF(OR(履歴データ!$A$1019="",履歴データ!$A$1018=""),"",E1019-E1018)</f>
        <v/>
      </c>
      <c r="O1019" s="28" t="str">
        <f>IF(OR(履歴データ!$A$1019="",履歴データ!$A$1018=""),"",F1019-F1018)</f>
        <v/>
      </c>
      <c r="P1019" s="28" t="str">
        <f>IF(OR(履歴データ!$A$1019="",履歴データ!$A$1018=""),"",G1019-G1018)</f>
        <v/>
      </c>
      <c r="Q1019" s="29" t="str">
        <f>IF(OR(履歴データ!$A$1019="",履歴データ!$A$1018=""),"",H1019-H1018)</f>
        <v/>
      </c>
      <c r="R1019" s="29" t="str">
        <f>IF(OR(履歴データ!$A$1019="",履歴データ!$A$1018=""),"",I1019-I1018)</f>
        <v/>
      </c>
      <c r="S1019" s="28" t="str">
        <f>IF(OR(履歴データ!$A$1019="",履歴データ!$A$1018=""),"",(J1019-J1018)*100)</f>
        <v/>
      </c>
      <c r="T1019" s="11" t="str">
        <f>IF(OR(履歴データ!$A$1019="",履歴データ!$A$1018=""),"",-80000*K1019)</f>
        <v/>
      </c>
      <c r="U1019" s="11" t="str">
        <f>IF(OR(履歴データ!$A$1019="",履歴データ!$A$1018=""),"",60000*L1019)</f>
        <v/>
      </c>
      <c r="V1019" s="11" t="str">
        <f>IF(OR(履歴データ!$A$1019="",履歴データ!$A$1018=""),"",-50000*M1019)</f>
        <v/>
      </c>
      <c r="W1019" s="11" t="str">
        <f>IF(OR(履歴データ!$A$1019="",履歴データ!$A$1018=""),"",-40000*N1019)</f>
        <v/>
      </c>
      <c r="X1019" s="11" t="str">
        <f>IF(OR(履歴データ!$A$1019="",履歴データ!$A$1018=""),"",120*1000000*(-Q1019/H1018))</f>
        <v/>
      </c>
      <c r="Y1019" s="11" t="str">
        <f>IF(OR(履歴データ!$A$1019="",履歴データ!$A$1018=""),"",40000*(-S1019)+(-506.3)*R1019*1000)</f>
        <v/>
      </c>
      <c r="Z1019" s="11" t="str">
        <f>IF(OR(履歴データ!$A$1019="",履歴データ!$A$1018=""),"",-40000*O1019)</f>
        <v/>
      </c>
      <c r="AA1019" s="11" t="str">
        <f>IF(OR(履歴データ!$A$1019="",履歴データ!$A$1018=""),"",-40000*P1019)</f>
        <v/>
      </c>
      <c r="AB1019" s="11" t="str">
        <f>IF(履歴データ!$A$1019="","",123.3)</f>
        <v/>
      </c>
      <c r="AC1019" t="str">
        <f>IF(履歴データ!$A$1019="","",SUM(T1019:AA1019))</f>
        <v/>
      </c>
      <c r="AD1019" s="29" t="str">
        <f>IF(履歴データ!$A$1019="","",AC1019/1000000)</f>
        <v/>
      </c>
      <c r="AE1019" s="29">
        <f>IF(履歴データ!$A$1019="",AE1018,AE1018+AC1019/1000000)</f>
        <v>70.844544225831427</v>
      </c>
      <c r="AF1019" s="12" t="str">
        <f>IF(OR(履歴データ!$A$1019="",AE1018=0),"",(AE1019-AE1018)/AE1018)</f>
        <v/>
      </c>
      <c r="AG1019" s="29">
        <f t="shared" si="45"/>
        <v>102.17217746631495</v>
      </c>
      <c r="AH1019" s="12" t="str">
        <f>IF(OR(履歴データ!$A$1019="",AG1019=0),"",AE1019/AG1019-1)</f>
        <v/>
      </c>
    </row>
    <row r="1020" spans="1:34">
      <c r="A1020" s="10" t="str">
        <f>IF(履歴データ!$A$1020="","",履歴データ!$A$1020)</f>
        <v/>
      </c>
      <c r="B1020" s="28" t="str">
        <f>IF(履歴データ!$A$1020="","",(履歴データ!$D$1020-(履歴データ!$B$1020+履歴データ!$F$1020)/2)*100)</f>
        <v/>
      </c>
      <c r="C1020" s="28" t="str">
        <f>IF(履歴データ!$A$1020="","",(履歴データ!$H$1020-(履歴データ!$G$1020+履歴データ!$J$1020)/2)*100)</f>
        <v/>
      </c>
      <c r="D1020" s="28" t="str">
        <f>IF(履歴データ!$A$1020="","",(履歴データ!$D$1020-履歴データ!$H$1020)*100)</f>
        <v/>
      </c>
      <c r="E1020" s="28" t="str">
        <f>IF(履歴データ!$A$1020="","",(履歴データ!$D$1020-履歴データ!$C$1020)*100)</f>
        <v/>
      </c>
      <c r="F1020" s="28" t="str">
        <f>IF(履歴データ!$A$1020="","",(履歴データ!$R$1020-履歴データ!$D$1020)*100)</f>
        <v/>
      </c>
      <c r="G1020" s="28" t="str">
        <f>IF(履歴データ!$A$1020="","",(履歴データ!$S$1020-履歴データ!$R$1020)*100)</f>
        <v/>
      </c>
      <c r="H1020" s="29" t="str">
        <f>IF(履歴データ!$A$1020="","",履歴データ!$O$1020)</f>
        <v/>
      </c>
      <c r="I1020" s="29" t="str">
        <f>IF(履歴データ!$A$1020="","",履歴データ!$Q$1020)</f>
        <v/>
      </c>
      <c r="J1020" s="29" t="str">
        <f>IF(履歴データ!$A$1020="","",履歴データ!$D$1020)</f>
        <v/>
      </c>
      <c r="K1020" s="28" t="str">
        <f>IF(OR(履歴データ!$A$1020="",履歴データ!$A$1019=""),"",B1020-B1019)</f>
        <v/>
      </c>
      <c r="L1020" s="28" t="str">
        <f>IF(OR(履歴データ!$A$1020="",履歴データ!$A$1019=""),"",C1020-C1019)</f>
        <v/>
      </c>
      <c r="M1020" s="28" t="str">
        <f>IF(OR(履歴データ!$A$1020="",履歴データ!$A$1019=""),"",D1020-D1019)</f>
        <v/>
      </c>
      <c r="N1020" s="28" t="str">
        <f>IF(OR(履歴データ!$A$1020="",履歴データ!$A$1019=""),"",E1020-E1019)</f>
        <v/>
      </c>
      <c r="O1020" s="28" t="str">
        <f>IF(OR(履歴データ!$A$1020="",履歴データ!$A$1019=""),"",F1020-F1019)</f>
        <v/>
      </c>
      <c r="P1020" s="28" t="str">
        <f>IF(OR(履歴データ!$A$1020="",履歴データ!$A$1019=""),"",G1020-G1019)</f>
        <v/>
      </c>
      <c r="Q1020" s="29" t="str">
        <f>IF(OR(履歴データ!$A$1020="",履歴データ!$A$1019=""),"",H1020-H1019)</f>
        <v/>
      </c>
      <c r="R1020" s="29" t="str">
        <f>IF(OR(履歴データ!$A$1020="",履歴データ!$A$1019=""),"",I1020-I1019)</f>
        <v/>
      </c>
      <c r="S1020" s="28" t="str">
        <f>IF(OR(履歴データ!$A$1020="",履歴データ!$A$1019=""),"",(J1020-J1019)*100)</f>
        <v/>
      </c>
      <c r="T1020" s="11" t="str">
        <f>IF(OR(履歴データ!$A$1020="",履歴データ!$A$1019=""),"",-80000*K1020)</f>
        <v/>
      </c>
      <c r="U1020" s="11" t="str">
        <f>IF(OR(履歴データ!$A$1020="",履歴データ!$A$1019=""),"",60000*L1020)</f>
        <v/>
      </c>
      <c r="V1020" s="11" t="str">
        <f>IF(OR(履歴データ!$A$1020="",履歴データ!$A$1019=""),"",-50000*M1020)</f>
        <v/>
      </c>
      <c r="W1020" s="11" t="str">
        <f>IF(OR(履歴データ!$A$1020="",履歴データ!$A$1019=""),"",-40000*N1020)</f>
        <v/>
      </c>
      <c r="X1020" s="11" t="str">
        <f>IF(OR(履歴データ!$A$1020="",履歴データ!$A$1019=""),"",120*1000000*(-Q1020/H1019))</f>
        <v/>
      </c>
      <c r="Y1020" s="11" t="str">
        <f>IF(OR(履歴データ!$A$1020="",履歴データ!$A$1019=""),"",40000*(-S1020)+(-506.3)*R1020*1000)</f>
        <v/>
      </c>
      <c r="Z1020" s="11" t="str">
        <f>IF(OR(履歴データ!$A$1020="",履歴データ!$A$1019=""),"",-40000*O1020)</f>
        <v/>
      </c>
      <c r="AA1020" s="11" t="str">
        <f>IF(OR(履歴データ!$A$1020="",履歴データ!$A$1019=""),"",-40000*P1020)</f>
        <v/>
      </c>
      <c r="AB1020" s="11" t="str">
        <f>IF(履歴データ!$A$1020="","",123.3)</f>
        <v/>
      </c>
      <c r="AC1020" t="str">
        <f>IF(履歴データ!$A$1020="","",SUM(T1020:AA1020))</f>
        <v/>
      </c>
      <c r="AD1020" s="29" t="str">
        <f>IF(履歴データ!$A$1020="","",AC1020/1000000)</f>
        <v/>
      </c>
      <c r="AE1020" s="29">
        <f>IF(履歴データ!$A$1020="",AE1019,AE1019+AC1020/1000000)</f>
        <v>70.844544225831427</v>
      </c>
      <c r="AF1020" s="12" t="str">
        <f>IF(OR(履歴データ!$A$1020="",AE1019=0),"",(AE1020-AE1019)/AE1019)</f>
        <v/>
      </c>
      <c r="AG1020" s="29">
        <f t="shared" si="45"/>
        <v>102.17217746631495</v>
      </c>
      <c r="AH1020" s="12" t="str">
        <f>IF(OR(履歴データ!$A$1020="",AG1020=0),"",AE1020/AG1020-1)</f>
        <v/>
      </c>
    </row>
    <row r="1021" spans="1:34">
      <c r="A1021" s="10" t="str">
        <f>IF(履歴データ!$A$1021="","",履歴データ!$A$1021)</f>
        <v/>
      </c>
      <c r="B1021" s="28" t="str">
        <f>IF(履歴データ!$A$1021="","",(履歴データ!$D$1021-(履歴データ!$B$1021+履歴データ!$F$1021)/2)*100)</f>
        <v/>
      </c>
      <c r="C1021" s="28" t="str">
        <f>IF(履歴データ!$A$1021="","",(履歴データ!$H$1021-(履歴データ!$G$1021+履歴データ!$J$1021)/2)*100)</f>
        <v/>
      </c>
      <c r="D1021" s="28" t="str">
        <f>IF(履歴データ!$A$1021="","",(履歴データ!$D$1021-履歴データ!$H$1021)*100)</f>
        <v/>
      </c>
      <c r="E1021" s="28" t="str">
        <f>IF(履歴データ!$A$1021="","",(履歴データ!$D$1021-履歴データ!$C$1021)*100)</f>
        <v/>
      </c>
      <c r="F1021" s="28" t="str">
        <f>IF(履歴データ!$A$1021="","",(履歴データ!$R$1021-履歴データ!$D$1021)*100)</f>
        <v/>
      </c>
      <c r="G1021" s="28" t="str">
        <f>IF(履歴データ!$A$1021="","",(履歴データ!$S$1021-履歴データ!$R$1021)*100)</f>
        <v/>
      </c>
      <c r="H1021" s="29" t="str">
        <f>IF(履歴データ!$A$1021="","",履歴データ!$O$1021)</f>
        <v/>
      </c>
      <c r="I1021" s="29" t="str">
        <f>IF(履歴データ!$A$1021="","",履歴データ!$Q$1021)</f>
        <v/>
      </c>
      <c r="J1021" s="29" t="str">
        <f>IF(履歴データ!$A$1021="","",履歴データ!$D$1021)</f>
        <v/>
      </c>
      <c r="K1021" s="28" t="str">
        <f>IF(OR(履歴データ!$A$1021="",履歴データ!$A$1020=""),"",B1021-B1020)</f>
        <v/>
      </c>
      <c r="L1021" s="28" t="str">
        <f>IF(OR(履歴データ!$A$1021="",履歴データ!$A$1020=""),"",C1021-C1020)</f>
        <v/>
      </c>
      <c r="M1021" s="28" t="str">
        <f>IF(OR(履歴データ!$A$1021="",履歴データ!$A$1020=""),"",D1021-D1020)</f>
        <v/>
      </c>
      <c r="N1021" s="28" t="str">
        <f>IF(OR(履歴データ!$A$1021="",履歴データ!$A$1020=""),"",E1021-E1020)</f>
        <v/>
      </c>
      <c r="O1021" s="28" t="str">
        <f>IF(OR(履歴データ!$A$1021="",履歴データ!$A$1020=""),"",F1021-F1020)</f>
        <v/>
      </c>
      <c r="P1021" s="28" t="str">
        <f>IF(OR(履歴データ!$A$1021="",履歴データ!$A$1020=""),"",G1021-G1020)</f>
        <v/>
      </c>
      <c r="Q1021" s="29" t="str">
        <f>IF(OR(履歴データ!$A$1021="",履歴データ!$A$1020=""),"",H1021-H1020)</f>
        <v/>
      </c>
      <c r="R1021" s="29" t="str">
        <f>IF(OR(履歴データ!$A$1021="",履歴データ!$A$1020=""),"",I1021-I1020)</f>
        <v/>
      </c>
      <c r="S1021" s="28" t="str">
        <f>IF(OR(履歴データ!$A$1021="",履歴データ!$A$1020=""),"",(J1021-J1020)*100)</f>
        <v/>
      </c>
      <c r="T1021" s="11" t="str">
        <f>IF(OR(履歴データ!$A$1021="",履歴データ!$A$1020=""),"",-80000*K1021)</f>
        <v/>
      </c>
      <c r="U1021" s="11" t="str">
        <f>IF(OR(履歴データ!$A$1021="",履歴データ!$A$1020=""),"",60000*L1021)</f>
        <v/>
      </c>
      <c r="V1021" s="11" t="str">
        <f>IF(OR(履歴データ!$A$1021="",履歴データ!$A$1020=""),"",-50000*M1021)</f>
        <v/>
      </c>
      <c r="W1021" s="11" t="str">
        <f>IF(OR(履歴データ!$A$1021="",履歴データ!$A$1020=""),"",-40000*N1021)</f>
        <v/>
      </c>
      <c r="X1021" s="11" t="str">
        <f>IF(OR(履歴データ!$A$1021="",履歴データ!$A$1020=""),"",120*1000000*(-Q1021/H1020))</f>
        <v/>
      </c>
      <c r="Y1021" s="11" t="str">
        <f>IF(OR(履歴データ!$A$1021="",履歴データ!$A$1020=""),"",40000*(-S1021)+(-506.3)*R1021*1000)</f>
        <v/>
      </c>
      <c r="Z1021" s="11" t="str">
        <f>IF(OR(履歴データ!$A$1021="",履歴データ!$A$1020=""),"",-40000*O1021)</f>
        <v/>
      </c>
      <c r="AA1021" s="11" t="str">
        <f>IF(OR(履歴データ!$A$1021="",履歴データ!$A$1020=""),"",-40000*P1021)</f>
        <v/>
      </c>
      <c r="AB1021" s="11" t="str">
        <f>IF(履歴データ!$A$1021="","",123.3)</f>
        <v/>
      </c>
      <c r="AC1021" t="str">
        <f>IF(履歴データ!$A$1021="","",SUM(T1021:AA1021))</f>
        <v/>
      </c>
      <c r="AD1021" s="29" t="str">
        <f>IF(履歴データ!$A$1021="","",AC1021/1000000)</f>
        <v/>
      </c>
      <c r="AE1021" s="29">
        <f>IF(履歴データ!$A$1021="",AE1020,AE1020+AC1021/1000000)</f>
        <v>70.844544225831427</v>
      </c>
      <c r="AF1021" s="12" t="str">
        <f>IF(OR(履歴データ!$A$1021="",AE1020=0),"",(AE1021-AE1020)/AE1020)</f>
        <v/>
      </c>
      <c r="AG1021" s="29">
        <f t="shared" si="45"/>
        <v>102.17217746631495</v>
      </c>
      <c r="AH1021" s="12" t="str">
        <f>IF(OR(履歴データ!$A$1021="",AG1021=0),"",AE1021/AG1021-1)</f>
        <v/>
      </c>
    </row>
    <row r="1022" spans="1:34">
      <c r="A1022" s="10" t="str">
        <f>IF(履歴データ!$A$1022="","",履歴データ!$A$1022)</f>
        <v/>
      </c>
      <c r="B1022" s="28" t="str">
        <f>IF(履歴データ!$A$1022="","",(履歴データ!$D$1022-(履歴データ!$B$1022+履歴データ!$F$1022)/2)*100)</f>
        <v/>
      </c>
      <c r="C1022" s="28" t="str">
        <f>IF(履歴データ!$A$1022="","",(履歴データ!$H$1022-(履歴データ!$G$1022+履歴データ!$J$1022)/2)*100)</f>
        <v/>
      </c>
      <c r="D1022" s="28" t="str">
        <f>IF(履歴データ!$A$1022="","",(履歴データ!$D$1022-履歴データ!$H$1022)*100)</f>
        <v/>
      </c>
      <c r="E1022" s="28" t="str">
        <f>IF(履歴データ!$A$1022="","",(履歴データ!$D$1022-履歴データ!$C$1022)*100)</f>
        <v/>
      </c>
      <c r="F1022" s="28" t="str">
        <f>IF(履歴データ!$A$1022="","",(履歴データ!$R$1022-履歴データ!$D$1022)*100)</f>
        <v/>
      </c>
      <c r="G1022" s="28" t="str">
        <f>IF(履歴データ!$A$1022="","",(履歴データ!$S$1022-履歴データ!$R$1022)*100)</f>
        <v/>
      </c>
      <c r="H1022" s="29" t="str">
        <f>IF(履歴データ!$A$1022="","",履歴データ!$O$1022)</f>
        <v/>
      </c>
      <c r="I1022" s="29" t="str">
        <f>IF(履歴データ!$A$1022="","",履歴データ!$Q$1022)</f>
        <v/>
      </c>
      <c r="J1022" s="29" t="str">
        <f>IF(履歴データ!$A$1022="","",履歴データ!$D$1022)</f>
        <v/>
      </c>
      <c r="K1022" s="28" t="str">
        <f>IF(OR(履歴データ!$A$1022="",履歴データ!$A$1021=""),"",B1022-B1021)</f>
        <v/>
      </c>
      <c r="L1022" s="28" t="str">
        <f>IF(OR(履歴データ!$A$1022="",履歴データ!$A$1021=""),"",C1022-C1021)</f>
        <v/>
      </c>
      <c r="M1022" s="28" t="str">
        <f>IF(OR(履歴データ!$A$1022="",履歴データ!$A$1021=""),"",D1022-D1021)</f>
        <v/>
      </c>
      <c r="N1022" s="28" t="str">
        <f>IF(OR(履歴データ!$A$1022="",履歴データ!$A$1021=""),"",E1022-E1021)</f>
        <v/>
      </c>
      <c r="O1022" s="28" t="str">
        <f>IF(OR(履歴データ!$A$1022="",履歴データ!$A$1021=""),"",F1022-F1021)</f>
        <v/>
      </c>
      <c r="P1022" s="28" t="str">
        <f>IF(OR(履歴データ!$A$1022="",履歴データ!$A$1021=""),"",G1022-G1021)</f>
        <v/>
      </c>
      <c r="Q1022" s="29" t="str">
        <f>IF(OR(履歴データ!$A$1022="",履歴データ!$A$1021=""),"",H1022-H1021)</f>
        <v/>
      </c>
      <c r="R1022" s="29" t="str">
        <f>IF(OR(履歴データ!$A$1022="",履歴データ!$A$1021=""),"",I1022-I1021)</f>
        <v/>
      </c>
      <c r="S1022" s="28" t="str">
        <f>IF(OR(履歴データ!$A$1022="",履歴データ!$A$1021=""),"",(J1022-J1021)*100)</f>
        <v/>
      </c>
      <c r="T1022" s="11" t="str">
        <f>IF(OR(履歴データ!$A$1022="",履歴データ!$A$1021=""),"",-80000*K1022)</f>
        <v/>
      </c>
      <c r="U1022" s="11" t="str">
        <f>IF(OR(履歴データ!$A$1022="",履歴データ!$A$1021=""),"",60000*L1022)</f>
        <v/>
      </c>
      <c r="V1022" s="11" t="str">
        <f>IF(OR(履歴データ!$A$1022="",履歴データ!$A$1021=""),"",-50000*M1022)</f>
        <v/>
      </c>
      <c r="W1022" s="11" t="str">
        <f>IF(OR(履歴データ!$A$1022="",履歴データ!$A$1021=""),"",-40000*N1022)</f>
        <v/>
      </c>
      <c r="X1022" s="11" t="str">
        <f>IF(OR(履歴データ!$A$1022="",履歴データ!$A$1021=""),"",120*1000000*(-Q1022/H1021))</f>
        <v/>
      </c>
      <c r="Y1022" s="11" t="str">
        <f>IF(OR(履歴データ!$A$1022="",履歴データ!$A$1021=""),"",40000*(-S1022)+(-506.3)*R1022*1000)</f>
        <v/>
      </c>
      <c r="Z1022" s="11" t="str">
        <f>IF(OR(履歴データ!$A$1022="",履歴データ!$A$1021=""),"",-40000*O1022)</f>
        <v/>
      </c>
      <c r="AA1022" s="11" t="str">
        <f>IF(OR(履歴データ!$A$1022="",履歴データ!$A$1021=""),"",-40000*P1022)</f>
        <v/>
      </c>
      <c r="AB1022" s="11" t="str">
        <f>IF(履歴データ!$A$1022="","",123.3)</f>
        <v/>
      </c>
      <c r="AC1022" t="str">
        <f>IF(履歴データ!$A$1022="","",SUM(T1022:AA1022))</f>
        <v/>
      </c>
      <c r="AD1022" s="29" t="str">
        <f>IF(履歴データ!$A$1022="","",AC1022/1000000)</f>
        <v/>
      </c>
      <c r="AE1022" s="29">
        <f>IF(履歴データ!$A$1022="",AE1021,AE1021+AC1022/1000000)</f>
        <v>70.844544225831427</v>
      </c>
      <c r="AF1022" s="12" t="str">
        <f>IF(OR(履歴データ!$A$1022="",AE1021=0),"",(AE1022-AE1021)/AE1021)</f>
        <v/>
      </c>
      <c r="AG1022" s="29">
        <f t="shared" si="45"/>
        <v>102.17217746631495</v>
      </c>
      <c r="AH1022" s="12" t="str">
        <f>IF(OR(履歴データ!$A$1022="",AG1022=0),"",AE1022/AG1022-1)</f>
        <v/>
      </c>
    </row>
    <row r="1023" spans="1:34">
      <c r="A1023" s="10" t="str">
        <f>IF(履歴データ!$A$1023="","",履歴データ!$A$1023)</f>
        <v/>
      </c>
      <c r="B1023" s="28" t="str">
        <f>IF(履歴データ!$A$1023="","",(履歴データ!$D$1023-(履歴データ!$B$1023+履歴データ!$F$1023)/2)*100)</f>
        <v/>
      </c>
      <c r="C1023" s="28" t="str">
        <f>IF(履歴データ!$A$1023="","",(履歴データ!$H$1023-(履歴データ!$G$1023+履歴データ!$J$1023)/2)*100)</f>
        <v/>
      </c>
      <c r="D1023" s="28" t="str">
        <f>IF(履歴データ!$A$1023="","",(履歴データ!$D$1023-履歴データ!$H$1023)*100)</f>
        <v/>
      </c>
      <c r="E1023" s="28" t="str">
        <f>IF(履歴データ!$A$1023="","",(履歴データ!$D$1023-履歴データ!$C$1023)*100)</f>
        <v/>
      </c>
      <c r="F1023" s="28" t="str">
        <f>IF(履歴データ!$A$1023="","",(履歴データ!$R$1023-履歴データ!$D$1023)*100)</f>
        <v/>
      </c>
      <c r="G1023" s="28" t="str">
        <f>IF(履歴データ!$A$1023="","",(履歴データ!$S$1023-履歴データ!$R$1023)*100)</f>
        <v/>
      </c>
      <c r="H1023" s="29" t="str">
        <f>IF(履歴データ!$A$1023="","",履歴データ!$O$1023)</f>
        <v/>
      </c>
      <c r="I1023" s="29" t="str">
        <f>IF(履歴データ!$A$1023="","",履歴データ!$Q$1023)</f>
        <v/>
      </c>
      <c r="J1023" s="29" t="str">
        <f>IF(履歴データ!$A$1023="","",履歴データ!$D$1023)</f>
        <v/>
      </c>
      <c r="K1023" s="28" t="str">
        <f>IF(OR(履歴データ!$A$1023="",履歴データ!$A$1022=""),"",B1023-B1022)</f>
        <v/>
      </c>
      <c r="L1023" s="28" t="str">
        <f>IF(OR(履歴データ!$A$1023="",履歴データ!$A$1022=""),"",C1023-C1022)</f>
        <v/>
      </c>
      <c r="M1023" s="28" t="str">
        <f>IF(OR(履歴データ!$A$1023="",履歴データ!$A$1022=""),"",D1023-D1022)</f>
        <v/>
      </c>
      <c r="N1023" s="28" t="str">
        <f>IF(OR(履歴データ!$A$1023="",履歴データ!$A$1022=""),"",E1023-E1022)</f>
        <v/>
      </c>
      <c r="O1023" s="28" t="str">
        <f>IF(OR(履歴データ!$A$1023="",履歴データ!$A$1022=""),"",F1023-F1022)</f>
        <v/>
      </c>
      <c r="P1023" s="28" t="str">
        <f>IF(OR(履歴データ!$A$1023="",履歴データ!$A$1022=""),"",G1023-G1022)</f>
        <v/>
      </c>
      <c r="Q1023" s="29" t="str">
        <f>IF(OR(履歴データ!$A$1023="",履歴データ!$A$1022=""),"",H1023-H1022)</f>
        <v/>
      </c>
      <c r="R1023" s="29" t="str">
        <f>IF(OR(履歴データ!$A$1023="",履歴データ!$A$1022=""),"",I1023-I1022)</f>
        <v/>
      </c>
      <c r="S1023" s="28" t="str">
        <f>IF(OR(履歴データ!$A$1023="",履歴データ!$A$1022=""),"",(J1023-J1022)*100)</f>
        <v/>
      </c>
      <c r="T1023" s="11" t="str">
        <f>IF(OR(履歴データ!$A$1023="",履歴データ!$A$1022=""),"",-80000*K1023)</f>
        <v/>
      </c>
      <c r="U1023" s="11" t="str">
        <f>IF(OR(履歴データ!$A$1023="",履歴データ!$A$1022=""),"",60000*L1023)</f>
        <v/>
      </c>
      <c r="V1023" s="11" t="str">
        <f>IF(OR(履歴データ!$A$1023="",履歴データ!$A$1022=""),"",-50000*M1023)</f>
        <v/>
      </c>
      <c r="W1023" s="11" t="str">
        <f>IF(OR(履歴データ!$A$1023="",履歴データ!$A$1022=""),"",-40000*N1023)</f>
        <v/>
      </c>
      <c r="X1023" s="11" t="str">
        <f>IF(OR(履歴データ!$A$1023="",履歴データ!$A$1022=""),"",120*1000000*(-Q1023/H1022))</f>
        <v/>
      </c>
      <c r="Y1023" s="11" t="str">
        <f>IF(OR(履歴データ!$A$1023="",履歴データ!$A$1022=""),"",40000*(-S1023)+(-506.3)*R1023*1000)</f>
        <v/>
      </c>
      <c r="Z1023" s="11" t="str">
        <f>IF(OR(履歴データ!$A$1023="",履歴データ!$A$1022=""),"",-40000*O1023)</f>
        <v/>
      </c>
      <c r="AA1023" s="11" t="str">
        <f>IF(OR(履歴データ!$A$1023="",履歴データ!$A$1022=""),"",-40000*P1023)</f>
        <v/>
      </c>
      <c r="AB1023" s="11" t="str">
        <f>IF(履歴データ!$A$1023="","",123.3)</f>
        <v/>
      </c>
      <c r="AC1023" t="str">
        <f>IF(履歴データ!$A$1023="","",SUM(T1023:AA1023))</f>
        <v/>
      </c>
      <c r="AD1023" s="29" t="str">
        <f>IF(履歴データ!$A$1023="","",AC1023/1000000)</f>
        <v/>
      </c>
      <c r="AE1023" s="29">
        <f>IF(履歴データ!$A$1023="",AE1022,AE1022+AC1023/1000000)</f>
        <v>70.844544225831427</v>
      </c>
      <c r="AF1023" s="12" t="str">
        <f>IF(OR(履歴データ!$A$1023="",AE1022=0),"",(AE1023-AE1022)/AE1022)</f>
        <v/>
      </c>
      <c r="AG1023" s="29">
        <f t="shared" si="45"/>
        <v>102.17217746631495</v>
      </c>
      <c r="AH1023" s="12" t="str">
        <f>IF(OR(履歴データ!$A$1023="",AG1023=0),"",AE1023/AG1023-1)</f>
        <v/>
      </c>
    </row>
    <row r="1024" spans="1:34">
      <c r="A1024" s="10" t="str">
        <f>IF(履歴データ!$A$1024="","",履歴データ!$A$1024)</f>
        <v/>
      </c>
      <c r="B1024" s="28" t="str">
        <f>IF(履歴データ!$A$1024="","",(履歴データ!$D$1024-(履歴データ!$B$1024+履歴データ!$F$1024)/2)*100)</f>
        <v/>
      </c>
      <c r="C1024" s="28" t="str">
        <f>IF(履歴データ!$A$1024="","",(履歴データ!$H$1024-(履歴データ!$G$1024+履歴データ!$J$1024)/2)*100)</f>
        <v/>
      </c>
      <c r="D1024" s="28" t="str">
        <f>IF(履歴データ!$A$1024="","",(履歴データ!$D$1024-履歴データ!$H$1024)*100)</f>
        <v/>
      </c>
      <c r="E1024" s="28" t="str">
        <f>IF(履歴データ!$A$1024="","",(履歴データ!$D$1024-履歴データ!$C$1024)*100)</f>
        <v/>
      </c>
      <c r="F1024" s="28" t="str">
        <f>IF(履歴データ!$A$1024="","",(履歴データ!$R$1024-履歴データ!$D$1024)*100)</f>
        <v/>
      </c>
      <c r="G1024" s="28" t="str">
        <f>IF(履歴データ!$A$1024="","",(履歴データ!$S$1024-履歴データ!$R$1024)*100)</f>
        <v/>
      </c>
      <c r="H1024" s="29" t="str">
        <f>IF(履歴データ!$A$1024="","",履歴データ!$O$1024)</f>
        <v/>
      </c>
      <c r="I1024" s="29" t="str">
        <f>IF(履歴データ!$A$1024="","",履歴データ!$Q$1024)</f>
        <v/>
      </c>
      <c r="J1024" s="29" t="str">
        <f>IF(履歴データ!$A$1024="","",履歴データ!$D$1024)</f>
        <v/>
      </c>
      <c r="K1024" s="28" t="str">
        <f>IF(OR(履歴データ!$A$1024="",履歴データ!$A$1023=""),"",B1024-B1023)</f>
        <v/>
      </c>
      <c r="L1024" s="28" t="str">
        <f>IF(OR(履歴データ!$A$1024="",履歴データ!$A$1023=""),"",C1024-C1023)</f>
        <v/>
      </c>
      <c r="M1024" s="28" t="str">
        <f>IF(OR(履歴データ!$A$1024="",履歴データ!$A$1023=""),"",D1024-D1023)</f>
        <v/>
      </c>
      <c r="N1024" s="28" t="str">
        <f>IF(OR(履歴データ!$A$1024="",履歴データ!$A$1023=""),"",E1024-E1023)</f>
        <v/>
      </c>
      <c r="O1024" s="28" t="str">
        <f>IF(OR(履歴データ!$A$1024="",履歴データ!$A$1023=""),"",F1024-F1023)</f>
        <v/>
      </c>
      <c r="P1024" s="28" t="str">
        <f>IF(OR(履歴データ!$A$1024="",履歴データ!$A$1023=""),"",G1024-G1023)</f>
        <v/>
      </c>
      <c r="Q1024" s="29" t="str">
        <f>IF(OR(履歴データ!$A$1024="",履歴データ!$A$1023=""),"",H1024-H1023)</f>
        <v/>
      </c>
      <c r="R1024" s="29" t="str">
        <f>IF(OR(履歴データ!$A$1024="",履歴データ!$A$1023=""),"",I1024-I1023)</f>
        <v/>
      </c>
      <c r="S1024" s="28" t="str">
        <f>IF(OR(履歴データ!$A$1024="",履歴データ!$A$1023=""),"",(J1024-J1023)*100)</f>
        <v/>
      </c>
      <c r="T1024" s="11" t="str">
        <f>IF(OR(履歴データ!$A$1024="",履歴データ!$A$1023=""),"",-80000*K1024)</f>
        <v/>
      </c>
      <c r="U1024" s="11" t="str">
        <f>IF(OR(履歴データ!$A$1024="",履歴データ!$A$1023=""),"",60000*L1024)</f>
        <v/>
      </c>
      <c r="V1024" s="11" t="str">
        <f>IF(OR(履歴データ!$A$1024="",履歴データ!$A$1023=""),"",-50000*M1024)</f>
        <v/>
      </c>
      <c r="W1024" s="11" t="str">
        <f>IF(OR(履歴データ!$A$1024="",履歴データ!$A$1023=""),"",-40000*N1024)</f>
        <v/>
      </c>
      <c r="X1024" s="11" t="str">
        <f>IF(OR(履歴データ!$A$1024="",履歴データ!$A$1023=""),"",120*1000000*(-Q1024/H1023))</f>
        <v/>
      </c>
      <c r="Y1024" s="11" t="str">
        <f>IF(OR(履歴データ!$A$1024="",履歴データ!$A$1023=""),"",40000*(-S1024)+(-506.3)*R1024*1000)</f>
        <v/>
      </c>
      <c r="Z1024" s="11" t="str">
        <f>IF(OR(履歴データ!$A$1024="",履歴データ!$A$1023=""),"",-40000*O1024)</f>
        <v/>
      </c>
      <c r="AA1024" s="11" t="str">
        <f>IF(OR(履歴データ!$A$1024="",履歴データ!$A$1023=""),"",-40000*P1024)</f>
        <v/>
      </c>
      <c r="AB1024" s="11" t="str">
        <f>IF(履歴データ!$A$1024="","",123.3)</f>
        <v/>
      </c>
      <c r="AC1024" t="str">
        <f>IF(履歴データ!$A$1024="","",SUM(T1024:AA1024))</f>
        <v/>
      </c>
      <c r="AD1024" s="29" t="str">
        <f>IF(履歴データ!$A$1024="","",AC1024/1000000)</f>
        <v/>
      </c>
      <c r="AE1024" s="29">
        <f>IF(履歴データ!$A$1024="",AE1023,AE1023+AC1024/1000000)</f>
        <v>70.844544225831427</v>
      </c>
      <c r="AF1024" s="12" t="str">
        <f>IF(OR(履歴データ!$A$1024="",AE1023=0),"",(AE1024-AE1023)/AE1023)</f>
        <v/>
      </c>
      <c r="AG1024" s="29">
        <f t="shared" si="45"/>
        <v>102.17217746631495</v>
      </c>
      <c r="AH1024" s="12" t="str">
        <f>IF(OR(履歴データ!$A$1024="",AG1024=0),"",AE1024/AG1024-1)</f>
        <v/>
      </c>
    </row>
    <row r="1025" spans="1:34">
      <c r="A1025" s="10" t="str">
        <f>IF(履歴データ!$A$1025="","",履歴データ!$A$1025)</f>
        <v/>
      </c>
      <c r="B1025" s="28" t="str">
        <f>IF(履歴データ!$A$1025="","",(履歴データ!$D$1025-(履歴データ!$B$1025+履歴データ!$F$1025)/2)*100)</f>
        <v/>
      </c>
      <c r="C1025" s="28" t="str">
        <f>IF(履歴データ!$A$1025="","",(履歴データ!$H$1025-(履歴データ!$G$1025+履歴データ!$J$1025)/2)*100)</f>
        <v/>
      </c>
      <c r="D1025" s="28" t="str">
        <f>IF(履歴データ!$A$1025="","",(履歴データ!$D$1025-履歴データ!$H$1025)*100)</f>
        <v/>
      </c>
      <c r="E1025" s="28" t="str">
        <f>IF(履歴データ!$A$1025="","",(履歴データ!$D$1025-履歴データ!$C$1025)*100)</f>
        <v/>
      </c>
      <c r="F1025" s="28" t="str">
        <f>IF(履歴データ!$A$1025="","",(履歴データ!$R$1025-履歴データ!$D$1025)*100)</f>
        <v/>
      </c>
      <c r="G1025" s="28" t="str">
        <f>IF(履歴データ!$A$1025="","",(履歴データ!$S$1025-履歴データ!$R$1025)*100)</f>
        <v/>
      </c>
      <c r="H1025" s="29" t="str">
        <f>IF(履歴データ!$A$1025="","",履歴データ!$O$1025)</f>
        <v/>
      </c>
      <c r="I1025" s="29" t="str">
        <f>IF(履歴データ!$A$1025="","",履歴データ!$Q$1025)</f>
        <v/>
      </c>
      <c r="J1025" s="29" t="str">
        <f>IF(履歴データ!$A$1025="","",履歴データ!$D$1025)</f>
        <v/>
      </c>
      <c r="K1025" s="28" t="str">
        <f>IF(OR(履歴データ!$A$1025="",履歴データ!$A$1024=""),"",B1025-B1024)</f>
        <v/>
      </c>
      <c r="L1025" s="28" t="str">
        <f>IF(OR(履歴データ!$A$1025="",履歴データ!$A$1024=""),"",C1025-C1024)</f>
        <v/>
      </c>
      <c r="M1025" s="28" t="str">
        <f>IF(OR(履歴データ!$A$1025="",履歴データ!$A$1024=""),"",D1025-D1024)</f>
        <v/>
      </c>
      <c r="N1025" s="28" t="str">
        <f>IF(OR(履歴データ!$A$1025="",履歴データ!$A$1024=""),"",E1025-E1024)</f>
        <v/>
      </c>
      <c r="O1025" s="28" t="str">
        <f>IF(OR(履歴データ!$A$1025="",履歴データ!$A$1024=""),"",F1025-F1024)</f>
        <v/>
      </c>
      <c r="P1025" s="28" t="str">
        <f>IF(OR(履歴データ!$A$1025="",履歴データ!$A$1024=""),"",G1025-G1024)</f>
        <v/>
      </c>
      <c r="Q1025" s="29" t="str">
        <f>IF(OR(履歴データ!$A$1025="",履歴データ!$A$1024=""),"",H1025-H1024)</f>
        <v/>
      </c>
      <c r="R1025" s="29" t="str">
        <f>IF(OR(履歴データ!$A$1025="",履歴データ!$A$1024=""),"",I1025-I1024)</f>
        <v/>
      </c>
      <c r="S1025" s="28" t="str">
        <f>IF(OR(履歴データ!$A$1025="",履歴データ!$A$1024=""),"",(J1025-J1024)*100)</f>
        <v/>
      </c>
      <c r="T1025" s="11" t="str">
        <f>IF(OR(履歴データ!$A$1025="",履歴データ!$A$1024=""),"",-80000*K1025)</f>
        <v/>
      </c>
      <c r="U1025" s="11" t="str">
        <f>IF(OR(履歴データ!$A$1025="",履歴データ!$A$1024=""),"",60000*L1025)</f>
        <v/>
      </c>
      <c r="V1025" s="11" t="str">
        <f>IF(OR(履歴データ!$A$1025="",履歴データ!$A$1024=""),"",-50000*M1025)</f>
        <v/>
      </c>
      <c r="W1025" s="11" t="str">
        <f>IF(OR(履歴データ!$A$1025="",履歴データ!$A$1024=""),"",-40000*N1025)</f>
        <v/>
      </c>
      <c r="X1025" s="11" t="str">
        <f>IF(OR(履歴データ!$A$1025="",履歴データ!$A$1024=""),"",120*1000000*(-Q1025/H1024))</f>
        <v/>
      </c>
      <c r="Y1025" s="11" t="str">
        <f>IF(OR(履歴データ!$A$1025="",履歴データ!$A$1024=""),"",40000*(-S1025)+(-506.3)*R1025*1000)</f>
        <v/>
      </c>
      <c r="Z1025" s="11" t="str">
        <f>IF(OR(履歴データ!$A$1025="",履歴データ!$A$1024=""),"",-40000*O1025)</f>
        <v/>
      </c>
      <c r="AA1025" s="11" t="str">
        <f>IF(OR(履歴データ!$A$1025="",履歴データ!$A$1024=""),"",-40000*P1025)</f>
        <v/>
      </c>
      <c r="AB1025" s="11" t="str">
        <f>IF(履歴データ!$A$1025="","",123.3)</f>
        <v/>
      </c>
      <c r="AC1025" t="str">
        <f>IF(履歴データ!$A$1025="","",SUM(T1025:AA1025))</f>
        <v/>
      </c>
      <c r="AD1025" s="29" t="str">
        <f>IF(履歴データ!$A$1025="","",AC1025/1000000)</f>
        <v/>
      </c>
      <c r="AE1025" s="29">
        <f>IF(履歴データ!$A$1025="",AE1024,AE1024+AC1025/1000000)</f>
        <v>70.844544225831427</v>
      </c>
      <c r="AF1025" s="12" t="str">
        <f>IF(OR(履歴データ!$A$1025="",AE1024=0),"",(AE1025-AE1024)/AE1024)</f>
        <v/>
      </c>
      <c r="AG1025" s="29">
        <f t="shared" si="45"/>
        <v>102.17217746631495</v>
      </c>
      <c r="AH1025" s="12" t="str">
        <f>IF(OR(履歴データ!$A$1025="",AG1025=0),"",AE1025/AG1025-1)</f>
        <v/>
      </c>
    </row>
    <row r="1026" spans="1:34">
      <c r="A1026" s="10" t="str">
        <f>IF(履歴データ!$A$1026="","",履歴データ!$A$1026)</f>
        <v/>
      </c>
      <c r="B1026" s="28" t="str">
        <f>IF(履歴データ!$A$1026="","",(履歴データ!$D$1026-(履歴データ!$B$1026+履歴データ!$F$1026)/2)*100)</f>
        <v/>
      </c>
      <c r="C1026" s="28" t="str">
        <f>IF(履歴データ!$A$1026="","",(履歴データ!$H$1026-(履歴データ!$G$1026+履歴データ!$J$1026)/2)*100)</f>
        <v/>
      </c>
      <c r="D1026" s="28" t="str">
        <f>IF(履歴データ!$A$1026="","",(履歴データ!$D$1026-履歴データ!$H$1026)*100)</f>
        <v/>
      </c>
      <c r="E1026" s="28" t="str">
        <f>IF(履歴データ!$A$1026="","",(履歴データ!$D$1026-履歴データ!$C$1026)*100)</f>
        <v/>
      </c>
      <c r="F1026" s="28" t="str">
        <f>IF(履歴データ!$A$1026="","",(履歴データ!$R$1026-履歴データ!$D$1026)*100)</f>
        <v/>
      </c>
      <c r="G1026" s="28" t="str">
        <f>IF(履歴データ!$A$1026="","",(履歴データ!$S$1026-履歴データ!$R$1026)*100)</f>
        <v/>
      </c>
      <c r="H1026" s="29" t="str">
        <f>IF(履歴データ!$A$1026="","",履歴データ!$O$1026)</f>
        <v/>
      </c>
      <c r="I1026" s="29" t="str">
        <f>IF(履歴データ!$A$1026="","",履歴データ!$Q$1026)</f>
        <v/>
      </c>
      <c r="J1026" s="29" t="str">
        <f>IF(履歴データ!$A$1026="","",履歴データ!$D$1026)</f>
        <v/>
      </c>
      <c r="K1026" s="28" t="str">
        <f>IF(OR(履歴データ!$A$1026="",履歴データ!$A$1025=""),"",B1026-B1025)</f>
        <v/>
      </c>
      <c r="L1026" s="28" t="str">
        <f>IF(OR(履歴データ!$A$1026="",履歴データ!$A$1025=""),"",C1026-C1025)</f>
        <v/>
      </c>
      <c r="M1026" s="28" t="str">
        <f>IF(OR(履歴データ!$A$1026="",履歴データ!$A$1025=""),"",D1026-D1025)</f>
        <v/>
      </c>
      <c r="N1026" s="28" t="str">
        <f>IF(OR(履歴データ!$A$1026="",履歴データ!$A$1025=""),"",E1026-E1025)</f>
        <v/>
      </c>
      <c r="O1026" s="28" t="str">
        <f>IF(OR(履歴データ!$A$1026="",履歴データ!$A$1025=""),"",F1026-F1025)</f>
        <v/>
      </c>
      <c r="P1026" s="28" t="str">
        <f>IF(OR(履歴データ!$A$1026="",履歴データ!$A$1025=""),"",G1026-G1025)</f>
        <v/>
      </c>
      <c r="Q1026" s="29" t="str">
        <f>IF(OR(履歴データ!$A$1026="",履歴データ!$A$1025=""),"",H1026-H1025)</f>
        <v/>
      </c>
      <c r="R1026" s="29" t="str">
        <f>IF(OR(履歴データ!$A$1026="",履歴データ!$A$1025=""),"",I1026-I1025)</f>
        <v/>
      </c>
      <c r="S1026" s="28" t="str">
        <f>IF(OR(履歴データ!$A$1026="",履歴データ!$A$1025=""),"",(J1026-J1025)*100)</f>
        <v/>
      </c>
      <c r="T1026" s="11" t="str">
        <f>IF(OR(履歴データ!$A$1026="",履歴データ!$A$1025=""),"",-80000*K1026)</f>
        <v/>
      </c>
      <c r="U1026" s="11" t="str">
        <f>IF(OR(履歴データ!$A$1026="",履歴データ!$A$1025=""),"",60000*L1026)</f>
        <v/>
      </c>
      <c r="V1026" s="11" t="str">
        <f>IF(OR(履歴データ!$A$1026="",履歴データ!$A$1025=""),"",-50000*M1026)</f>
        <v/>
      </c>
      <c r="W1026" s="11" t="str">
        <f>IF(OR(履歴データ!$A$1026="",履歴データ!$A$1025=""),"",-40000*N1026)</f>
        <v/>
      </c>
      <c r="X1026" s="11" t="str">
        <f>IF(OR(履歴データ!$A$1026="",履歴データ!$A$1025=""),"",120*1000000*(-Q1026/H1025))</f>
        <v/>
      </c>
      <c r="Y1026" s="11" t="str">
        <f>IF(OR(履歴データ!$A$1026="",履歴データ!$A$1025=""),"",40000*(-S1026)+(-506.3)*R1026*1000)</f>
        <v/>
      </c>
      <c r="Z1026" s="11" t="str">
        <f>IF(OR(履歴データ!$A$1026="",履歴データ!$A$1025=""),"",-40000*O1026)</f>
        <v/>
      </c>
      <c r="AA1026" s="11" t="str">
        <f>IF(OR(履歴データ!$A$1026="",履歴データ!$A$1025=""),"",-40000*P1026)</f>
        <v/>
      </c>
      <c r="AB1026" s="11" t="str">
        <f>IF(履歴データ!$A$1026="","",123.3)</f>
        <v/>
      </c>
      <c r="AC1026" t="str">
        <f>IF(履歴データ!$A$1026="","",SUM(T1026:AA1026))</f>
        <v/>
      </c>
      <c r="AD1026" s="29" t="str">
        <f>IF(履歴データ!$A$1026="","",AC1026/1000000)</f>
        <v/>
      </c>
      <c r="AE1026" s="29">
        <f>IF(履歴データ!$A$1026="",AE1025,AE1025+AC1026/1000000)</f>
        <v>70.844544225831427</v>
      </c>
      <c r="AF1026" s="12" t="str">
        <f>IF(OR(履歴データ!$A$1026="",AE1025=0),"",(AE1026-AE1025)/AE1025)</f>
        <v/>
      </c>
      <c r="AG1026" s="29">
        <f t="shared" si="45"/>
        <v>102.17217746631495</v>
      </c>
      <c r="AH1026" s="12" t="str">
        <f>IF(OR(履歴データ!$A$1026="",AG1026=0),"",AE1026/AG1026-1)</f>
        <v/>
      </c>
    </row>
    <row r="1027" spans="1:34">
      <c r="A1027" s="10" t="str">
        <f>IF(履歴データ!$A$1027="","",履歴データ!$A$1027)</f>
        <v/>
      </c>
      <c r="B1027" s="28" t="str">
        <f>IF(履歴データ!$A$1027="","",(履歴データ!$D$1027-(履歴データ!$B$1027+履歴データ!$F$1027)/2)*100)</f>
        <v/>
      </c>
      <c r="C1027" s="28" t="str">
        <f>IF(履歴データ!$A$1027="","",(履歴データ!$H$1027-(履歴データ!$G$1027+履歴データ!$J$1027)/2)*100)</f>
        <v/>
      </c>
      <c r="D1027" s="28" t="str">
        <f>IF(履歴データ!$A$1027="","",(履歴データ!$D$1027-履歴データ!$H$1027)*100)</f>
        <v/>
      </c>
      <c r="E1027" s="28" t="str">
        <f>IF(履歴データ!$A$1027="","",(履歴データ!$D$1027-履歴データ!$C$1027)*100)</f>
        <v/>
      </c>
      <c r="F1027" s="28" t="str">
        <f>IF(履歴データ!$A$1027="","",(履歴データ!$R$1027-履歴データ!$D$1027)*100)</f>
        <v/>
      </c>
      <c r="G1027" s="28" t="str">
        <f>IF(履歴データ!$A$1027="","",(履歴データ!$S$1027-履歴データ!$R$1027)*100)</f>
        <v/>
      </c>
      <c r="H1027" s="29" t="str">
        <f>IF(履歴データ!$A$1027="","",履歴データ!$O$1027)</f>
        <v/>
      </c>
      <c r="I1027" s="29" t="str">
        <f>IF(履歴データ!$A$1027="","",履歴データ!$Q$1027)</f>
        <v/>
      </c>
      <c r="J1027" s="29" t="str">
        <f>IF(履歴データ!$A$1027="","",履歴データ!$D$1027)</f>
        <v/>
      </c>
      <c r="K1027" s="28" t="str">
        <f>IF(OR(履歴データ!$A$1027="",履歴データ!$A$1026=""),"",B1027-B1026)</f>
        <v/>
      </c>
      <c r="L1027" s="28" t="str">
        <f>IF(OR(履歴データ!$A$1027="",履歴データ!$A$1026=""),"",C1027-C1026)</f>
        <v/>
      </c>
      <c r="M1027" s="28" t="str">
        <f>IF(OR(履歴データ!$A$1027="",履歴データ!$A$1026=""),"",D1027-D1026)</f>
        <v/>
      </c>
      <c r="N1027" s="28" t="str">
        <f>IF(OR(履歴データ!$A$1027="",履歴データ!$A$1026=""),"",E1027-E1026)</f>
        <v/>
      </c>
      <c r="O1027" s="28" t="str">
        <f>IF(OR(履歴データ!$A$1027="",履歴データ!$A$1026=""),"",F1027-F1026)</f>
        <v/>
      </c>
      <c r="P1027" s="28" t="str">
        <f>IF(OR(履歴データ!$A$1027="",履歴データ!$A$1026=""),"",G1027-G1026)</f>
        <v/>
      </c>
      <c r="Q1027" s="29" t="str">
        <f>IF(OR(履歴データ!$A$1027="",履歴データ!$A$1026=""),"",H1027-H1026)</f>
        <v/>
      </c>
      <c r="R1027" s="29" t="str">
        <f>IF(OR(履歴データ!$A$1027="",履歴データ!$A$1026=""),"",I1027-I1026)</f>
        <v/>
      </c>
      <c r="S1027" s="28" t="str">
        <f>IF(OR(履歴データ!$A$1027="",履歴データ!$A$1026=""),"",(J1027-J1026)*100)</f>
        <v/>
      </c>
      <c r="T1027" s="11" t="str">
        <f>IF(OR(履歴データ!$A$1027="",履歴データ!$A$1026=""),"",-80000*K1027)</f>
        <v/>
      </c>
      <c r="U1027" s="11" t="str">
        <f>IF(OR(履歴データ!$A$1027="",履歴データ!$A$1026=""),"",60000*L1027)</f>
        <v/>
      </c>
      <c r="V1027" s="11" t="str">
        <f>IF(OR(履歴データ!$A$1027="",履歴データ!$A$1026=""),"",-50000*M1027)</f>
        <v/>
      </c>
      <c r="W1027" s="11" t="str">
        <f>IF(OR(履歴データ!$A$1027="",履歴データ!$A$1026=""),"",-40000*N1027)</f>
        <v/>
      </c>
      <c r="X1027" s="11" t="str">
        <f>IF(OR(履歴データ!$A$1027="",履歴データ!$A$1026=""),"",120*1000000*(-Q1027/H1026))</f>
        <v/>
      </c>
      <c r="Y1027" s="11" t="str">
        <f>IF(OR(履歴データ!$A$1027="",履歴データ!$A$1026=""),"",40000*(-S1027)+(-506.3)*R1027*1000)</f>
        <v/>
      </c>
      <c r="Z1027" s="11" t="str">
        <f>IF(OR(履歴データ!$A$1027="",履歴データ!$A$1026=""),"",-40000*O1027)</f>
        <v/>
      </c>
      <c r="AA1027" s="11" t="str">
        <f>IF(OR(履歴データ!$A$1027="",履歴データ!$A$1026=""),"",-40000*P1027)</f>
        <v/>
      </c>
      <c r="AB1027" s="11" t="str">
        <f>IF(履歴データ!$A$1027="","",123.3)</f>
        <v/>
      </c>
      <c r="AC1027" t="str">
        <f>IF(履歴データ!$A$1027="","",SUM(T1027:AA1027))</f>
        <v/>
      </c>
      <c r="AD1027" s="29" t="str">
        <f>IF(履歴データ!$A$1027="","",AC1027/1000000)</f>
        <v/>
      </c>
      <c r="AE1027" s="29">
        <f>IF(履歴データ!$A$1027="",AE1026,AE1026+AC1027/1000000)</f>
        <v>70.844544225831427</v>
      </c>
      <c r="AF1027" s="12" t="str">
        <f>IF(OR(履歴データ!$A$1027="",AE1026=0),"",(AE1027-AE1026)/AE1026)</f>
        <v/>
      </c>
      <c r="AG1027" s="29">
        <f t="shared" ref="AG1027:AG1090" si="46">MAX(AG1026,AE1027)</f>
        <v>102.17217746631495</v>
      </c>
      <c r="AH1027" s="12" t="str">
        <f>IF(OR(履歴データ!$A$1027="",AG1027=0),"",AE1027/AG1027-1)</f>
        <v/>
      </c>
    </row>
    <row r="1028" spans="1:34">
      <c r="A1028" s="10" t="str">
        <f>IF(履歴データ!$A$1028="","",履歴データ!$A$1028)</f>
        <v/>
      </c>
      <c r="B1028" s="28" t="str">
        <f>IF(履歴データ!$A$1028="","",(履歴データ!$D$1028-(履歴データ!$B$1028+履歴データ!$F$1028)/2)*100)</f>
        <v/>
      </c>
      <c r="C1028" s="28" t="str">
        <f>IF(履歴データ!$A$1028="","",(履歴データ!$H$1028-(履歴データ!$G$1028+履歴データ!$J$1028)/2)*100)</f>
        <v/>
      </c>
      <c r="D1028" s="28" t="str">
        <f>IF(履歴データ!$A$1028="","",(履歴データ!$D$1028-履歴データ!$H$1028)*100)</f>
        <v/>
      </c>
      <c r="E1028" s="28" t="str">
        <f>IF(履歴データ!$A$1028="","",(履歴データ!$D$1028-履歴データ!$C$1028)*100)</f>
        <v/>
      </c>
      <c r="F1028" s="28" t="str">
        <f>IF(履歴データ!$A$1028="","",(履歴データ!$R$1028-履歴データ!$D$1028)*100)</f>
        <v/>
      </c>
      <c r="G1028" s="28" t="str">
        <f>IF(履歴データ!$A$1028="","",(履歴データ!$S$1028-履歴データ!$R$1028)*100)</f>
        <v/>
      </c>
      <c r="H1028" s="29" t="str">
        <f>IF(履歴データ!$A$1028="","",履歴データ!$O$1028)</f>
        <v/>
      </c>
      <c r="I1028" s="29" t="str">
        <f>IF(履歴データ!$A$1028="","",履歴データ!$Q$1028)</f>
        <v/>
      </c>
      <c r="J1028" s="29" t="str">
        <f>IF(履歴データ!$A$1028="","",履歴データ!$D$1028)</f>
        <v/>
      </c>
      <c r="K1028" s="28" t="str">
        <f>IF(OR(履歴データ!$A$1028="",履歴データ!$A$1027=""),"",B1028-B1027)</f>
        <v/>
      </c>
      <c r="L1028" s="28" t="str">
        <f>IF(OR(履歴データ!$A$1028="",履歴データ!$A$1027=""),"",C1028-C1027)</f>
        <v/>
      </c>
      <c r="M1028" s="28" t="str">
        <f>IF(OR(履歴データ!$A$1028="",履歴データ!$A$1027=""),"",D1028-D1027)</f>
        <v/>
      </c>
      <c r="N1028" s="28" t="str">
        <f>IF(OR(履歴データ!$A$1028="",履歴データ!$A$1027=""),"",E1028-E1027)</f>
        <v/>
      </c>
      <c r="O1028" s="28" t="str">
        <f>IF(OR(履歴データ!$A$1028="",履歴データ!$A$1027=""),"",F1028-F1027)</f>
        <v/>
      </c>
      <c r="P1028" s="28" t="str">
        <f>IF(OR(履歴データ!$A$1028="",履歴データ!$A$1027=""),"",G1028-G1027)</f>
        <v/>
      </c>
      <c r="Q1028" s="29" t="str">
        <f>IF(OR(履歴データ!$A$1028="",履歴データ!$A$1027=""),"",H1028-H1027)</f>
        <v/>
      </c>
      <c r="R1028" s="29" t="str">
        <f>IF(OR(履歴データ!$A$1028="",履歴データ!$A$1027=""),"",I1028-I1027)</f>
        <v/>
      </c>
      <c r="S1028" s="28" t="str">
        <f>IF(OR(履歴データ!$A$1028="",履歴データ!$A$1027=""),"",(J1028-J1027)*100)</f>
        <v/>
      </c>
      <c r="T1028" s="11" t="str">
        <f>IF(OR(履歴データ!$A$1028="",履歴データ!$A$1027=""),"",-80000*K1028)</f>
        <v/>
      </c>
      <c r="U1028" s="11" t="str">
        <f>IF(OR(履歴データ!$A$1028="",履歴データ!$A$1027=""),"",60000*L1028)</f>
        <v/>
      </c>
      <c r="V1028" s="11" t="str">
        <f>IF(OR(履歴データ!$A$1028="",履歴データ!$A$1027=""),"",-50000*M1028)</f>
        <v/>
      </c>
      <c r="W1028" s="11" t="str">
        <f>IF(OR(履歴データ!$A$1028="",履歴データ!$A$1027=""),"",-40000*N1028)</f>
        <v/>
      </c>
      <c r="X1028" s="11" t="str">
        <f>IF(OR(履歴データ!$A$1028="",履歴データ!$A$1027=""),"",120*1000000*(-Q1028/H1027))</f>
        <v/>
      </c>
      <c r="Y1028" s="11" t="str">
        <f>IF(OR(履歴データ!$A$1028="",履歴データ!$A$1027=""),"",40000*(-S1028)+(-506.3)*R1028*1000)</f>
        <v/>
      </c>
      <c r="Z1028" s="11" t="str">
        <f>IF(OR(履歴データ!$A$1028="",履歴データ!$A$1027=""),"",-40000*O1028)</f>
        <v/>
      </c>
      <c r="AA1028" s="11" t="str">
        <f>IF(OR(履歴データ!$A$1028="",履歴データ!$A$1027=""),"",-40000*P1028)</f>
        <v/>
      </c>
      <c r="AB1028" s="11" t="str">
        <f>IF(履歴データ!$A$1028="","",123.3)</f>
        <v/>
      </c>
      <c r="AC1028" t="str">
        <f>IF(履歴データ!$A$1028="","",SUM(T1028:AA1028))</f>
        <v/>
      </c>
      <c r="AD1028" s="29" t="str">
        <f>IF(履歴データ!$A$1028="","",AC1028/1000000)</f>
        <v/>
      </c>
      <c r="AE1028" s="29">
        <f>IF(履歴データ!$A$1028="",AE1027,AE1027+AC1028/1000000)</f>
        <v>70.844544225831427</v>
      </c>
      <c r="AF1028" s="12" t="str">
        <f>IF(OR(履歴データ!$A$1028="",AE1027=0),"",(AE1028-AE1027)/AE1027)</f>
        <v/>
      </c>
      <c r="AG1028" s="29">
        <f t="shared" si="46"/>
        <v>102.17217746631495</v>
      </c>
      <c r="AH1028" s="12" t="str">
        <f>IF(OR(履歴データ!$A$1028="",AG1028=0),"",AE1028/AG1028-1)</f>
        <v/>
      </c>
    </row>
    <row r="1029" spans="1:34">
      <c r="A1029" s="10" t="str">
        <f>IF(履歴データ!$A$1029="","",履歴データ!$A$1029)</f>
        <v/>
      </c>
      <c r="B1029" s="28" t="str">
        <f>IF(履歴データ!$A$1029="","",(履歴データ!$D$1029-(履歴データ!$B$1029+履歴データ!$F$1029)/2)*100)</f>
        <v/>
      </c>
      <c r="C1029" s="28" t="str">
        <f>IF(履歴データ!$A$1029="","",(履歴データ!$H$1029-(履歴データ!$G$1029+履歴データ!$J$1029)/2)*100)</f>
        <v/>
      </c>
      <c r="D1029" s="28" t="str">
        <f>IF(履歴データ!$A$1029="","",(履歴データ!$D$1029-履歴データ!$H$1029)*100)</f>
        <v/>
      </c>
      <c r="E1029" s="28" t="str">
        <f>IF(履歴データ!$A$1029="","",(履歴データ!$D$1029-履歴データ!$C$1029)*100)</f>
        <v/>
      </c>
      <c r="F1029" s="28" t="str">
        <f>IF(履歴データ!$A$1029="","",(履歴データ!$R$1029-履歴データ!$D$1029)*100)</f>
        <v/>
      </c>
      <c r="G1029" s="28" t="str">
        <f>IF(履歴データ!$A$1029="","",(履歴データ!$S$1029-履歴データ!$R$1029)*100)</f>
        <v/>
      </c>
      <c r="H1029" s="29" t="str">
        <f>IF(履歴データ!$A$1029="","",履歴データ!$O$1029)</f>
        <v/>
      </c>
      <c r="I1029" s="29" t="str">
        <f>IF(履歴データ!$A$1029="","",履歴データ!$Q$1029)</f>
        <v/>
      </c>
      <c r="J1029" s="29" t="str">
        <f>IF(履歴データ!$A$1029="","",履歴データ!$D$1029)</f>
        <v/>
      </c>
      <c r="K1029" s="28" t="str">
        <f>IF(OR(履歴データ!$A$1029="",履歴データ!$A$1028=""),"",B1029-B1028)</f>
        <v/>
      </c>
      <c r="L1029" s="28" t="str">
        <f>IF(OR(履歴データ!$A$1029="",履歴データ!$A$1028=""),"",C1029-C1028)</f>
        <v/>
      </c>
      <c r="M1029" s="28" t="str">
        <f>IF(OR(履歴データ!$A$1029="",履歴データ!$A$1028=""),"",D1029-D1028)</f>
        <v/>
      </c>
      <c r="N1029" s="28" t="str">
        <f>IF(OR(履歴データ!$A$1029="",履歴データ!$A$1028=""),"",E1029-E1028)</f>
        <v/>
      </c>
      <c r="O1029" s="28" t="str">
        <f>IF(OR(履歴データ!$A$1029="",履歴データ!$A$1028=""),"",F1029-F1028)</f>
        <v/>
      </c>
      <c r="P1029" s="28" t="str">
        <f>IF(OR(履歴データ!$A$1029="",履歴データ!$A$1028=""),"",G1029-G1028)</f>
        <v/>
      </c>
      <c r="Q1029" s="29" t="str">
        <f>IF(OR(履歴データ!$A$1029="",履歴データ!$A$1028=""),"",H1029-H1028)</f>
        <v/>
      </c>
      <c r="R1029" s="29" t="str">
        <f>IF(OR(履歴データ!$A$1029="",履歴データ!$A$1028=""),"",I1029-I1028)</f>
        <v/>
      </c>
      <c r="S1029" s="28" t="str">
        <f>IF(OR(履歴データ!$A$1029="",履歴データ!$A$1028=""),"",(J1029-J1028)*100)</f>
        <v/>
      </c>
      <c r="T1029" s="11" t="str">
        <f>IF(OR(履歴データ!$A$1029="",履歴データ!$A$1028=""),"",-80000*K1029)</f>
        <v/>
      </c>
      <c r="U1029" s="11" t="str">
        <f>IF(OR(履歴データ!$A$1029="",履歴データ!$A$1028=""),"",60000*L1029)</f>
        <v/>
      </c>
      <c r="V1029" s="11" t="str">
        <f>IF(OR(履歴データ!$A$1029="",履歴データ!$A$1028=""),"",-50000*M1029)</f>
        <v/>
      </c>
      <c r="W1029" s="11" t="str">
        <f>IF(OR(履歴データ!$A$1029="",履歴データ!$A$1028=""),"",-40000*N1029)</f>
        <v/>
      </c>
      <c r="X1029" s="11" t="str">
        <f>IF(OR(履歴データ!$A$1029="",履歴データ!$A$1028=""),"",120*1000000*(-Q1029/H1028))</f>
        <v/>
      </c>
      <c r="Y1029" s="11" t="str">
        <f>IF(OR(履歴データ!$A$1029="",履歴データ!$A$1028=""),"",40000*(-S1029)+(-506.3)*R1029*1000)</f>
        <v/>
      </c>
      <c r="Z1029" s="11" t="str">
        <f>IF(OR(履歴データ!$A$1029="",履歴データ!$A$1028=""),"",-40000*O1029)</f>
        <v/>
      </c>
      <c r="AA1029" s="11" t="str">
        <f>IF(OR(履歴データ!$A$1029="",履歴データ!$A$1028=""),"",-40000*P1029)</f>
        <v/>
      </c>
      <c r="AB1029" s="11" t="str">
        <f>IF(履歴データ!$A$1029="","",123.3)</f>
        <v/>
      </c>
      <c r="AC1029" t="str">
        <f>IF(履歴データ!$A$1029="","",SUM(T1029:AA1029))</f>
        <v/>
      </c>
      <c r="AD1029" s="29" t="str">
        <f>IF(履歴データ!$A$1029="","",AC1029/1000000)</f>
        <v/>
      </c>
      <c r="AE1029" s="29">
        <f>IF(履歴データ!$A$1029="",AE1028,AE1028+AC1029/1000000)</f>
        <v>70.844544225831427</v>
      </c>
      <c r="AF1029" s="12" t="str">
        <f>IF(OR(履歴データ!$A$1029="",AE1028=0),"",(AE1029-AE1028)/AE1028)</f>
        <v/>
      </c>
      <c r="AG1029" s="29">
        <f t="shared" si="46"/>
        <v>102.17217746631495</v>
      </c>
      <c r="AH1029" s="12" t="str">
        <f>IF(OR(履歴データ!$A$1029="",AG1029=0),"",AE1029/AG1029-1)</f>
        <v/>
      </c>
    </row>
    <row r="1030" spans="1:34">
      <c r="A1030" s="10" t="str">
        <f>IF(履歴データ!$A$1030="","",履歴データ!$A$1030)</f>
        <v/>
      </c>
      <c r="B1030" s="28" t="str">
        <f>IF(履歴データ!$A$1030="","",(履歴データ!$D$1030-(履歴データ!$B$1030+履歴データ!$F$1030)/2)*100)</f>
        <v/>
      </c>
      <c r="C1030" s="28" t="str">
        <f>IF(履歴データ!$A$1030="","",(履歴データ!$H$1030-(履歴データ!$G$1030+履歴データ!$J$1030)/2)*100)</f>
        <v/>
      </c>
      <c r="D1030" s="28" t="str">
        <f>IF(履歴データ!$A$1030="","",(履歴データ!$D$1030-履歴データ!$H$1030)*100)</f>
        <v/>
      </c>
      <c r="E1030" s="28" t="str">
        <f>IF(履歴データ!$A$1030="","",(履歴データ!$D$1030-履歴データ!$C$1030)*100)</f>
        <v/>
      </c>
      <c r="F1030" s="28" t="str">
        <f>IF(履歴データ!$A$1030="","",(履歴データ!$R$1030-履歴データ!$D$1030)*100)</f>
        <v/>
      </c>
      <c r="G1030" s="28" t="str">
        <f>IF(履歴データ!$A$1030="","",(履歴データ!$S$1030-履歴データ!$R$1030)*100)</f>
        <v/>
      </c>
      <c r="H1030" s="29" t="str">
        <f>IF(履歴データ!$A$1030="","",履歴データ!$O$1030)</f>
        <v/>
      </c>
      <c r="I1030" s="29" t="str">
        <f>IF(履歴データ!$A$1030="","",履歴データ!$Q$1030)</f>
        <v/>
      </c>
      <c r="J1030" s="29" t="str">
        <f>IF(履歴データ!$A$1030="","",履歴データ!$D$1030)</f>
        <v/>
      </c>
      <c r="K1030" s="28" t="str">
        <f>IF(OR(履歴データ!$A$1030="",履歴データ!$A$1029=""),"",B1030-B1029)</f>
        <v/>
      </c>
      <c r="L1030" s="28" t="str">
        <f>IF(OR(履歴データ!$A$1030="",履歴データ!$A$1029=""),"",C1030-C1029)</f>
        <v/>
      </c>
      <c r="M1030" s="28" t="str">
        <f>IF(OR(履歴データ!$A$1030="",履歴データ!$A$1029=""),"",D1030-D1029)</f>
        <v/>
      </c>
      <c r="N1030" s="28" t="str">
        <f>IF(OR(履歴データ!$A$1030="",履歴データ!$A$1029=""),"",E1030-E1029)</f>
        <v/>
      </c>
      <c r="O1030" s="28" t="str">
        <f>IF(OR(履歴データ!$A$1030="",履歴データ!$A$1029=""),"",F1030-F1029)</f>
        <v/>
      </c>
      <c r="P1030" s="28" t="str">
        <f>IF(OR(履歴データ!$A$1030="",履歴データ!$A$1029=""),"",G1030-G1029)</f>
        <v/>
      </c>
      <c r="Q1030" s="29" t="str">
        <f>IF(OR(履歴データ!$A$1030="",履歴データ!$A$1029=""),"",H1030-H1029)</f>
        <v/>
      </c>
      <c r="R1030" s="29" t="str">
        <f>IF(OR(履歴データ!$A$1030="",履歴データ!$A$1029=""),"",I1030-I1029)</f>
        <v/>
      </c>
      <c r="S1030" s="28" t="str">
        <f>IF(OR(履歴データ!$A$1030="",履歴データ!$A$1029=""),"",(J1030-J1029)*100)</f>
        <v/>
      </c>
      <c r="T1030" s="11" t="str">
        <f>IF(OR(履歴データ!$A$1030="",履歴データ!$A$1029=""),"",-80000*K1030)</f>
        <v/>
      </c>
      <c r="U1030" s="11" t="str">
        <f>IF(OR(履歴データ!$A$1030="",履歴データ!$A$1029=""),"",60000*L1030)</f>
        <v/>
      </c>
      <c r="V1030" s="11" t="str">
        <f>IF(OR(履歴データ!$A$1030="",履歴データ!$A$1029=""),"",-50000*M1030)</f>
        <v/>
      </c>
      <c r="W1030" s="11" t="str">
        <f>IF(OR(履歴データ!$A$1030="",履歴データ!$A$1029=""),"",-40000*N1030)</f>
        <v/>
      </c>
      <c r="X1030" s="11" t="str">
        <f>IF(OR(履歴データ!$A$1030="",履歴データ!$A$1029=""),"",120*1000000*(-Q1030/H1029))</f>
        <v/>
      </c>
      <c r="Y1030" s="11" t="str">
        <f>IF(OR(履歴データ!$A$1030="",履歴データ!$A$1029=""),"",40000*(-S1030)+(-506.3)*R1030*1000)</f>
        <v/>
      </c>
      <c r="Z1030" s="11" t="str">
        <f>IF(OR(履歴データ!$A$1030="",履歴データ!$A$1029=""),"",-40000*O1030)</f>
        <v/>
      </c>
      <c r="AA1030" s="11" t="str">
        <f>IF(OR(履歴データ!$A$1030="",履歴データ!$A$1029=""),"",-40000*P1030)</f>
        <v/>
      </c>
      <c r="AB1030" s="11" t="str">
        <f>IF(履歴データ!$A$1030="","",123.3)</f>
        <v/>
      </c>
      <c r="AC1030" t="str">
        <f>IF(履歴データ!$A$1030="","",SUM(T1030:AA1030))</f>
        <v/>
      </c>
      <c r="AD1030" s="29" t="str">
        <f>IF(履歴データ!$A$1030="","",AC1030/1000000)</f>
        <v/>
      </c>
      <c r="AE1030" s="29">
        <f>IF(履歴データ!$A$1030="",AE1029,AE1029+AC1030/1000000)</f>
        <v>70.844544225831427</v>
      </c>
      <c r="AF1030" s="12" t="str">
        <f>IF(OR(履歴データ!$A$1030="",AE1029=0),"",(AE1030-AE1029)/AE1029)</f>
        <v/>
      </c>
      <c r="AG1030" s="29">
        <f t="shared" si="46"/>
        <v>102.17217746631495</v>
      </c>
      <c r="AH1030" s="12" t="str">
        <f>IF(OR(履歴データ!$A$1030="",AG1030=0),"",AE1030/AG1030-1)</f>
        <v/>
      </c>
    </row>
    <row r="1031" spans="1:34">
      <c r="A1031" s="10" t="str">
        <f>IF(履歴データ!$A$1031="","",履歴データ!$A$1031)</f>
        <v/>
      </c>
      <c r="B1031" s="28" t="str">
        <f>IF(履歴データ!$A$1031="","",(履歴データ!$D$1031-(履歴データ!$B$1031+履歴データ!$F$1031)/2)*100)</f>
        <v/>
      </c>
      <c r="C1031" s="28" t="str">
        <f>IF(履歴データ!$A$1031="","",(履歴データ!$H$1031-(履歴データ!$G$1031+履歴データ!$J$1031)/2)*100)</f>
        <v/>
      </c>
      <c r="D1031" s="28" t="str">
        <f>IF(履歴データ!$A$1031="","",(履歴データ!$D$1031-履歴データ!$H$1031)*100)</f>
        <v/>
      </c>
      <c r="E1031" s="28" t="str">
        <f>IF(履歴データ!$A$1031="","",(履歴データ!$D$1031-履歴データ!$C$1031)*100)</f>
        <v/>
      </c>
      <c r="F1031" s="28" t="str">
        <f>IF(履歴データ!$A$1031="","",(履歴データ!$R$1031-履歴データ!$D$1031)*100)</f>
        <v/>
      </c>
      <c r="G1031" s="28" t="str">
        <f>IF(履歴データ!$A$1031="","",(履歴データ!$S$1031-履歴データ!$R$1031)*100)</f>
        <v/>
      </c>
      <c r="H1031" s="29" t="str">
        <f>IF(履歴データ!$A$1031="","",履歴データ!$O$1031)</f>
        <v/>
      </c>
      <c r="I1031" s="29" t="str">
        <f>IF(履歴データ!$A$1031="","",履歴データ!$Q$1031)</f>
        <v/>
      </c>
      <c r="J1031" s="29" t="str">
        <f>IF(履歴データ!$A$1031="","",履歴データ!$D$1031)</f>
        <v/>
      </c>
      <c r="K1031" s="28" t="str">
        <f>IF(OR(履歴データ!$A$1031="",履歴データ!$A$1030=""),"",B1031-B1030)</f>
        <v/>
      </c>
      <c r="L1031" s="28" t="str">
        <f>IF(OR(履歴データ!$A$1031="",履歴データ!$A$1030=""),"",C1031-C1030)</f>
        <v/>
      </c>
      <c r="M1031" s="28" t="str">
        <f>IF(OR(履歴データ!$A$1031="",履歴データ!$A$1030=""),"",D1031-D1030)</f>
        <v/>
      </c>
      <c r="N1031" s="28" t="str">
        <f>IF(OR(履歴データ!$A$1031="",履歴データ!$A$1030=""),"",E1031-E1030)</f>
        <v/>
      </c>
      <c r="O1031" s="28" t="str">
        <f>IF(OR(履歴データ!$A$1031="",履歴データ!$A$1030=""),"",F1031-F1030)</f>
        <v/>
      </c>
      <c r="P1031" s="28" t="str">
        <f>IF(OR(履歴データ!$A$1031="",履歴データ!$A$1030=""),"",G1031-G1030)</f>
        <v/>
      </c>
      <c r="Q1031" s="29" t="str">
        <f>IF(OR(履歴データ!$A$1031="",履歴データ!$A$1030=""),"",H1031-H1030)</f>
        <v/>
      </c>
      <c r="R1031" s="29" t="str">
        <f>IF(OR(履歴データ!$A$1031="",履歴データ!$A$1030=""),"",I1031-I1030)</f>
        <v/>
      </c>
      <c r="S1031" s="28" t="str">
        <f>IF(OR(履歴データ!$A$1031="",履歴データ!$A$1030=""),"",(J1031-J1030)*100)</f>
        <v/>
      </c>
      <c r="T1031" s="11" t="str">
        <f>IF(OR(履歴データ!$A$1031="",履歴データ!$A$1030=""),"",-80000*K1031)</f>
        <v/>
      </c>
      <c r="U1031" s="11" t="str">
        <f>IF(OR(履歴データ!$A$1031="",履歴データ!$A$1030=""),"",60000*L1031)</f>
        <v/>
      </c>
      <c r="V1031" s="11" t="str">
        <f>IF(OR(履歴データ!$A$1031="",履歴データ!$A$1030=""),"",-50000*M1031)</f>
        <v/>
      </c>
      <c r="W1031" s="11" t="str">
        <f>IF(OR(履歴データ!$A$1031="",履歴データ!$A$1030=""),"",-40000*N1031)</f>
        <v/>
      </c>
      <c r="X1031" s="11" t="str">
        <f>IF(OR(履歴データ!$A$1031="",履歴データ!$A$1030=""),"",120*1000000*(-Q1031/H1030))</f>
        <v/>
      </c>
      <c r="Y1031" s="11" t="str">
        <f>IF(OR(履歴データ!$A$1031="",履歴データ!$A$1030=""),"",40000*(-S1031)+(-506.3)*R1031*1000)</f>
        <v/>
      </c>
      <c r="Z1031" s="11" t="str">
        <f>IF(OR(履歴データ!$A$1031="",履歴データ!$A$1030=""),"",-40000*O1031)</f>
        <v/>
      </c>
      <c r="AA1031" s="11" t="str">
        <f>IF(OR(履歴データ!$A$1031="",履歴データ!$A$1030=""),"",-40000*P1031)</f>
        <v/>
      </c>
      <c r="AB1031" s="11" t="str">
        <f>IF(履歴データ!$A$1031="","",123.3)</f>
        <v/>
      </c>
      <c r="AC1031" t="str">
        <f>IF(履歴データ!$A$1031="","",SUM(T1031:AA1031))</f>
        <v/>
      </c>
      <c r="AD1031" s="29" t="str">
        <f>IF(履歴データ!$A$1031="","",AC1031/1000000)</f>
        <v/>
      </c>
      <c r="AE1031" s="29">
        <f>IF(履歴データ!$A$1031="",AE1030,AE1030+AC1031/1000000)</f>
        <v>70.844544225831427</v>
      </c>
      <c r="AF1031" s="12" t="str">
        <f>IF(OR(履歴データ!$A$1031="",AE1030=0),"",(AE1031-AE1030)/AE1030)</f>
        <v/>
      </c>
      <c r="AG1031" s="29">
        <f t="shared" si="46"/>
        <v>102.17217746631495</v>
      </c>
      <c r="AH1031" s="12" t="str">
        <f>IF(OR(履歴データ!$A$1031="",AG1031=0),"",AE1031/AG1031-1)</f>
        <v/>
      </c>
    </row>
    <row r="1032" spans="1:34">
      <c r="A1032" s="10" t="str">
        <f>IF(履歴データ!$A$1032="","",履歴データ!$A$1032)</f>
        <v/>
      </c>
      <c r="B1032" s="28" t="str">
        <f>IF(履歴データ!$A$1032="","",(履歴データ!$D$1032-(履歴データ!$B$1032+履歴データ!$F$1032)/2)*100)</f>
        <v/>
      </c>
      <c r="C1032" s="28" t="str">
        <f>IF(履歴データ!$A$1032="","",(履歴データ!$H$1032-(履歴データ!$G$1032+履歴データ!$J$1032)/2)*100)</f>
        <v/>
      </c>
      <c r="D1032" s="28" t="str">
        <f>IF(履歴データ!$A$1032="","",(履歴データ!$D$1032-履歴データ!$H$1032)*100)</f>
        <v/>
      </c>
      <c r="E1032" s="28" t="str">
        <f>IF(履歴データ!$A$1032="","",(履歴データ!$D$1032-履歴データ!$C$1032)*100)</f>
        <v/>
      </c>
      <c r="F1032" s="28" t="str">
        <f>IF(履歴データ!$A$1032="","",(履歴データ!$R$1032-履歴データ!$D$1032)*100)</f>
        <v/>
      </c>
      <c r="G1032" s="28" t="str">
        <f>IF(履歴データ!$A$1032="","",(履歴データ!$S$1032-履歴データ!$R$1032)*100)</f>
        <v/>
      </c>
      <c r="H1032" s="29" t="str">
        <f>IF(履歴データ!$A$1032="","",履歴データ!$O$1032)</f>
        <v/>
      </c>
      <c r="I1032" s="29" t="str">
        <f>IF(履歴データ!$A$1032="","",履歴データ!$Q$1032)</f>
        <v/>
      </c>
      <c r="J1032" s="29" t="str">
        <f>IF(履歴データ!$A$1032="","",履歴データ!$D$1032)</f>
        <v/>
      </c>
      <c r="K1032" s="28" t="str">
        <f>IF(OR(履歴データ!$A$1032="",履歴データ!$A$1031=""),"",B1032-B1031)</f>
        <v/>
      </c>
      <c r="L1032" s="28" t="str">
        <f>IF(OR(履歴データ!$A$1032="",履歴データ!$A$1031=""),"",C1032-C1031)</f>
        <v/>
      </c>
      <c r="M1032" s="28" t="str">
        <f>IF(OR(履歴データ!$A$1032="",履歴データ!$A$1031=""),"",D1032-D1031)</f>
        <v/>
      </c>
      <c r="N1032" s="28" t="str">
        <f>IF(OR(履歴データ!$A$1032="",履歴データ!$A$1031=""),"",E1032-E1031)</f>
        <v/>
      </c>
      <c r="O1032" s="28" t="str">
        <f>IF(OR(履歴データ!$A$1032="",履歴データ!$A$1031=""),"",F1032-F1031)</f>
        <v/>
      </c>
      <c r="P1032" s="28" t="str">
        <f>IF(OR(履歴データ!$A$1032="",履歴データ!$A$1031=""),"",G1032-G1031)</f>
        <v/>
      </c>
      <c r="Q1032" s="29" t="str">
        <f>IF(OR(履歴データ!$A$1032="",履歴データ!$A$1031=""),"",H1032-H1031)</f>
        <v/>
      </c>
      <c r="R1032" s="29" t="str">
        <f>IF(OR(履歴データ!$A$1032="",履歴データ!$A$1031=""),"",I1032-I1031)</f>
        <v/>
      </c>
      <c r="S1032" s="28" t="str">
        <f>IF(OR(履歴データ!$A$1032="",履歴データ!$A$1031=""),"",(J1032-J1031)*100)</f>
        <v/>
      </c>
      <c r="T1032" s="11" t="str">
        <f>IF(OR(履歴データ!$A$1032="",履歴データ!$A$1031=""),"",-80000*K1032)</f>
        <v/>
      </c>
      <c r="U1032" s="11" t="str">
        <f>IF(OR(履歴データ!$A$1032="",履歴データ!$A$1031=""),"",60000*L1032)</f>
        <v/>
      </c>
      <c r="V1032" s="11" t="str">
        <f>IF(OR(履歴データ!$A$1032="",履歴データ!$A$1031=""),"",-50000*M1032)</f>
        <v/>
      </c>
      <c r="W1032" s="11" t="str">
        <f>IF(OR(履歴データ!$A$1032="",履歴データ!$A$1031=""),"",-40000*N1032)</f>
        <v/>
      </c>
      <c r="X1032" s="11" t="str">
        <f>IF(OR(履歴データ!$A$1032="",履歴データ!$A$1031=""),"",120*1000000*(-Q1032/H1031))</f>
        <v/>
      </c>
      <c r="Y1032" s="11" t="str">
        <f>IF(OR(履歴データ!$A$1032="",履歴データ!$A$1031=""),"",40000*(-S1032)+(-506.3)*R1032*1000)</f>
        <v/>
      </c>
      <c r="Z1032" s="11" t="str">
        <f>IF(OR(履歴データ!$A$1032="",履歴データ!$A$1031=""),"",-40000*O1032)</f>
        <v/>
      </c>
      <c r="AA1032" s="11" t="str">
        <f>IF(OR(履歴データ!$A$1032="",履歴データ!$A$1031=""),"",-40000*P1032)</f>
        <v/>
      </c>
      <c r="AB1032" s="11" t="str">
        <f>IF(履歴データ!$A$1032="","",123.3)</f>
        <v/>
      </c>
      <c r="AC1032" t="str">
        <f>IF(履歴データ!$A$1032="","",SUM(T1032:AA1032))</f>
        <v/>
      </c>
      <c r="AD1032" s="29" t="str">
        <f>IF(履歴データ!$A$1032="","",AC1032/1000000)</f>
        <v/>
      </c>
      <c r="AE1032" s="29">
        <f>IF(履歴データ!$A$1032="",AE1031,AE1031+AC1032/1000000)</f>
        <v>70.844544225831427</v>
      </c>
      <c r="AF1032" s="12" t="str">
        <f>IF(OR(履歴データ!$A$1032="",AE1031=0),"",(AE1032-AE1031)/AE1031)</f>
        <v/>
      </c>
      <c r="AG1032" s="29">
        <f t="shared" si="46"/>
        <v>102.17217746631495</v>
      </c>
      <c r="AH1032" s="12" t="str">
        <f>IF(OR(履歴データ!$A$1032="",AG1032=0),"",AE1032/AG1032-1)</f>
        <v/>
      </c>
    </row>
    <row r="1033" spans="1:34">
      <c r="A1033" s="10" t="str">
        <f>IF(履歴データ!$A$1033="","",履歴データ!$A$1033)</f>
        <v/>
      </c>
      <c r="B1033" s="28" t="str">
        <f>IF(履歴データ!$A$1033="","",(履歴データ!$D$1033-(履歴データ!$B$1033+履歴データ!$F$1033)/2)*100)</f>
        <v/>
      </c>
      <c r="C1033" s="28" t="str">
        <f>IF(履歴データ!$A$1033="","",(履歴データ!$H$1033-(履歴データ!$G$1033+履歴データ!$J$1033)/2)*100)</f>
        <v/>
      </c>
      <c r="D1033" s="28" t="str">
        <f>IF(履歴データ!$A$1033="","",(履歴データ!$D$1033-履歴データ!$H$1033)*100)</f>
        <v/>
      </c>
      <c r="E1033" s="28" t="str">
        <f>IF(履歴データ!$A$1033="","",(履歴データ!$D$1033-履歴データ!$C$1033)*100)</f>
        <v/>
      </c>
      <c r="F1033" s="28" t="str">
        <f>IF(履歴データ!$A$1033="","",(履歴データ!$R$1033-履歴データ!$D$1033)*100)</f>
        <v/>
      </c>
      <c r="G1033" s="28" t="str">
        <f>IF(履歴データ!$A$1033="","",(履歴データ!$S$1033-履歴データ!$R$1033)*100)</f>
        <v/>
      </c>
      <c r="H1033" s="29" t="str">
        <f>IF(履歴データ!$A$1033="","",履歴データ!$O$1033)</f>
        <v/>
      </c>
      <c r="I1033" s="29" t="str">
        <f>IF(履歴データ!$A$1033="","",履歴データ!$Q$1033)</f>
        <v/>
      </c>
      <c r="J1033" s="29" t="str">
        <f>IF(履歴データ!$A$1033="","",履歴データ!$D$1033)</f>
        <v/>
      </c>
      <c r="K1033" s="28" t="str">
        <f>IF(OR(履歴データ!$A$1033="",履歴データ!$A$1032=""),"",B1033-B1032)</f>
        <v/>
      </c>
      <c r="L1033" s="28" t="str">
        <f>IF(OR(履歴データ!$A$1033="",履歴データ!$A$1032=""),"",C1033-C1032)</f>
        <v/>
      </c>
      <c r="M1033" s="28" t="str">
        <f>IF(OR(履歴データ!$A$1033="",履歴データ!$A$1032=""),"",D1033-D1032)</f>
        <v/>
      </c>
      <c r="N1033" s="28" t="str">
        <f>IF(OR(履歴データ!$A$1033="",履歴データ!$A$1032=""),"",E1033-E1032)</f>
        <v/>
      </c>
      <c r="O1033" s="28" t="str">
        <f>IF(OR(履歴データ!$A$1033="",履歴データ!$A$1032=""),"",F1033-F1032)</f>
        <v/>
      </c>
      <c r="P1033" s="28" t="str">
        <f>IF(OR(履歴データ!$A$1033="",履歴データ!$A$1032=""),"",G1033-G1032)</f>
        <v/>
      </c>
      <c r="Q1033" s="29" t="str">
        <f>IF(OR(履歴データ!$A$1033="",履歴データ!$A$1032=""),"",H1033-H1032)</f>
        <v/>
      </c>
      <c r="R1033" s="29" t="str">
        <f>IF(OR(履歴データ!$A$1033="",履歴データ!$A$1032=""),"",I1033-I1032)</f>
        <v/>
      </c>
      <c r="S1033" s="28" t="str">
        <f>IF(OR(履歴データ!$A$1033="",履歴データ!$A$1032=""),"",(J1033-J1032)*100)</f>
        <v/>
      </c>
      <c r="T1033" s="11" t="str">
        <f>IF(OR(履歴データ!$A$1033="",履歴データ!$A$1032=""),"",-80000*K1033)</f>
        <v/>
      </c>
      <c r="U1033" s="11" t="str">
        <f>IF(OR(履歴データ!$A$1033="",履歴データ!$A$1032=""),"",60000*L1033)</f>
        <v/>
      </c>
      <c r="V1033" s="11" t="str">
        <f>IF(OR(履歴データ!$A$1033="",履歴データ!$A$1032=""),"",-50000*M1033)</f>
        <v/>
      </c>
      <c r="W1033" s="11" t="str">
        <f>IF(OR(履歴データ!$A$1033="",履歴データ!$A$1032=""),"",-40000*N1033)</f>
        <v/>
      </c>
      <c r="X1033" s="11" t="str">
        <f>IF(OR(履歴データ!$A$1033="",履歴データ!$A$1032=""),"",120*1000000*(-Q1033/H1032))</f>
        <v/>
      </c>
      <c r="Y1033" s="11" t="str">
        <f>IF(OR(履歴データ!$A$1033="",履歴データ!$A$1032=""),"",40000*(-S1033)+(-506.3)*R1033*1000)</f>
        <v/>
      </c>
      <c r="Z1033" s="11" t="str">
        <f>IF(OR(履歴データ!$A$1033="",履歴データ!$A$1032=""),"",-40000*O1033)</f>
        <v/>
      </c>
      <c r="AA1033" s="11" t="str">
        <f>IF(OR(履歴データ!$A$1033="",履歴データ!$A$1032=""),"",-40000*P1033)</f>
        <v/>
      </c>
      <c r="AB1033" s="11" t="str">
        <f>IF(履歴データ!$A$1033="","",123.3)</f>
        <v/>
      </c>
      <c r="AC1033" t="str">
        <f>IF(履歴データ!$A$1033="","",SUM(T1033:AA1033))</f>
        <v/>
      </c>
      <c r="AD1033" s="29" t="str">
        <f>IF(履歴データ!$A$1033="","",AC1033/1000000)</f>
        <v/>
      </c>
      <c r="AE1033" s="29">
        <f>IF(履歴データ!$A$1033="",AE1032,AE1032+AC1033/1000000)</f>
        <v>70.844544225831427</v>
      </c>
      <c r="AF1033" s="12" t="str">
        <f>IF(OR(履歴データ!$A$1033="",AE1032=0),"",(AE1033-AE1032)/AE1032)</f>
        <v/>
      </c>
      <c r="AG1033" s="29">
        <f t="shared" si="46"/>
        <v>102.17217746631495</v>
      </c>
      <c r="AH1033" s="12" t="str">
        <f>IF(OR(履歴データ!$A$1033="",AG1033=0),"",AE1033/AG1033-1)</f>
        <v/>
      </c>
    </row>
    <row r="1034" spans="1:34">
      <c r="A1034" s="10" t="str">
        <f>IF(履歴データ!$A$1034="","",履歴データ!$A$1034)</f>
        <v/>
      </c>
      <c r="B1034" s="28" t="str">
        <f>IF(履歴データ!$A$1034="","",(履歴データ!$D$1034-(履歴データ!$B$1034+履歴データ!$F$1034)/2)*100)</f>
        <v/>
      </c>
      <c r="C1034" s="28" t="str">
        <f>IF(履歴データ!$A$1034="","",(履歴データ!$H$1034-(履歴データ!$G$1034+履歴データ!$J$1034)/2)*100)</f>
        <v/>
      </c>
      <c r="D1034" s="28" t="str">
        <f>IF(履歴データ!$A$1034="","",(履歴データ!$D$1034-履歴データ!$H$1034)*100)</f>
        <v/>
      </c>
      <c r="E1034" s="28" t="str">
        <f>IF(履歴データ!$A$1034="","",(履歴データ!$D$1034-履歴データ!$C$1034)*100)</f>
        <v/>
      </c>
      <c r="F1034" s="28" t="str">
        <f>IF(履歴データ!$A$1034="","",(履歴データ!$R$1034-履歴データ!$D$1034)*100)</f>
        <v/>
      </c>
      <c r="G1034" s="28" t="str">
        <f>IF(履歴データ!$A$1034="","",(履歴データ!$S$1034-履歴データ!$R$1034)*100)</f>
        <v/>
      </c>
      <c r="H1034" s="29" t="str">
        <f>IF(履歴データ!$A$1034="","",履歴データ!$O$1034)</f>
        <v/>
      </c>
      <c r="I1034" s="29" t="str">
        <f>IF(履歴データ!$A$1034="","",履歴データ!$Q$1034)</f>
        <v/>
      </c>
      <c r="J1034" s="29" t="str">
        <f>IF(履歴データ!$A$1034="","",履歴データ!$D$1034)</f>
        <v/>
      </c>
      <c r="K1034" s="28" t="str">
        <f>IF(OR(履歴データ!$A$1034="",履歴データ!$A$1033=""),"",B1034-B1033)</f>
        <v/>
      </c>
      <c r="L1034" s="28" t="str">
        <f>IF(OR(履歴データ!$A$1034="",履歴データ!$A$1033=""),"",C1034-C1033)</f>
        <v/>
      </c>
      <c r="M1034" s="28" t="str">
        <f>IF(OR(履歴データ!$A$1034="",履歴データ!$A$1033=""),"",D1034-D1033)</f>
        <v/>
      </c>
      <c r="N1034" s="28" t="str">
        <f>IF(OR(履歴データ!$A$1034="",履歴データ!$A$1033=""),"",E1034-E1033)</f>
        <v/>
      </c>
      <c r="O1034" s="28" t="str">
        <f>IF(OR(履歴データ!$A$1034="",履歴データ!$A$1033=""),"",F1034-F1033)</f>
        <v/>
      </c>
      <c r="P1034" s="28" t="str">
        <f>IF(OR(履歴データ!$A$1034="",履歴データ!$A$1033=""),"",G1034-G1033)</f>
        <v/>
      </c>
      <c r="Q1034" s="29" t="str">
        <f>IF(OR(履歴データ!$A$1034="",履歴データ!$A$1033=""),"",H1034-H1033)</f>
        <v/>
      </c>
      <c r="R1034" s="29" t="str">
        <f>IF(OR(履歴データ!$A$1034="",履歴データ!$A$1033=""),"",I1034-I1033)</f>
        <v/>
      </c>
      <c r="S1034" s="28" t="str">
        <f>IF(OR(履歴データ!$A$1034="",履歴データ!$A$1033=""),"",(J1034-J1033)*100)</f>
        <v/>
      </c>
      <c r="T1034" s="11" t="str">
        <f>IF(OR(履歴データ!$A$1034="",履歴データ!$A$1033=""),"",-80000*K1034)</f>
        <v/>
      </c>
      <c r="U1034" s="11" t="str">
        <f>IF(OR(履歴データ!$A$1034="",履歴データ!$A$1033=""),"",60000*L1034)</f>
        <v/>
      </c>
      <c r="V1034" s="11" t="str">
        <f>IF(OR(履歴データ!$A$1034="",履歴データ!$A$1033=""),"",-50000*M1034)</f>
        <v/>
      </c>
      <c r="W1034" s="11" t="str">
        <f>IF(OR(履歴データ!$A$1034="",履歴データ!$A$1033=""),"",-40000*N1034)</f>
        <v/>
      </c>
      <c r="X1034" s="11" t="str">
        <f>IF(OR(履歴データ!$A$1034="",履歴データ!$A$1033=""),"",120*1000000*(-Q1034/H1033))</f>
        <v/>
      </c>
      <c r="Y1034" s="11" t="str">
        <f>IF(OR(履歴データ!$A$1034="",履歴データ!$A$1033=""),"",40000*(-S1034)+(-506.3)*R1034*1000)</f>
        <v/>
      </c>
      <c r="Z1034" s="11" t="str">
        <f>IF(OR(履歴データ!$A$1034="",履歴データ!$A$1033=""),"",-40000*O1034)</f>
        <v/>
      </c>
      <c r="AA1034" s="11" t="str">
        <f>IF(OR(履歴データ!$A$1034="",履歴データ!$A$1033=""),"",-40000*P1034)</f>
        <v/>
      </c>
      <c r="AB1034" s="11" t="str">
        <f>IF(履歴データ!$A$1034="","",123.3)</f>
        <v/>
      </c>
      <c r="AC1034" t="str">
        <f>IF(履歴データ!$A$1034="","",SUM(T1034:AA1034))</f>
        <v/>
      </c>
      <c r="AD1034" s="29" t="str">
        <f>IF(履歴データ!$A$1034="","",AC1034/1000000)</f>
        <v/>
      </c>
      <c r="AE1034" s="29">
        <f>IF(履歴データ!$A$1034="",AE1033,AE1033+AC1034/1000000)</f>
        <v>70.844544225831427</v>
      </c>
      <c r="AF1034" s="12" t="str">
        <f>IF(OR(履歴データ!$A$1034="",AE1033=0),"",(AE1034-AE1033)/AE1033)</f>
        <v/>
      </c>
      <c r="AG1034" s="29">
        <f t="shared" si="46"/>
        <v>102.17217746631495</v>
      </c>
      <c r="AH1034" s="12" t="str">
        <f>IF(OR(履歴データ!$A$1034="",AG1034=0),"",AE1034/AG1034-1)</f>
        <v/>
      </c>
    </row>
    <row r="1035" spans="1:34">
      <c r="A1035" s="10" t="str">
        <f>IF(履歴データ!$A$1035="","",履歴データ!$A$1035)</f>
        <v/>
      </c>
      <c r="B1035" s="28" t="str">
        <f>IF(履歴データ!$A$1035="","",(履歴データ!$D$1035-(履歴データ!$B$1035+履歴データ!$F$1035)/2)*100)</f>
        <v/>
      </c>
      <c r="C1035" s="28" t="str">
        <f>IF(履歴データ!$A$1035="","",(履歴データ!$H$1035-(履歴データ!$G$1035+履歴データ!$J$1035)/2)*100)</f>
        <v/>
      </c>
      <c r="D1035" s="28" t="str">
        <f>IF(履歴データ!$A$1035="","",(履歴データ!$D$1035-履歴データ!$H$1035)*100)</f>
        <v/>
      </c>
      <c r="E1035" s="28" t="str">
        <f>IF(履歴データ!$A$1035="","",(履歴データ!$D$1035-履歴データ!$C$1035)*100)</f>
        <v/>
      </c>
      <c r="F1035" s="28" t="str">
        <f>IF(履歴データ!$A$1035="","",(履歴データ!$R$1035-履歴データ!$D$1035)*100)</f>
        <v/>
      </c>
      <c r="G1035" s="28" t="str">
        <f>IF(履歴データ!$A$1035="","",(履歴データ!$S$1035-履歴データ!$R$1035)*100)</f>
        <v/>
      </c>
      <c r="H1035" s="29" t="str">
        <f>IF(履歴データ!$A$1035="","",履歴データ!$O$1035)</f>
        <v/>
      </c>
      <c r="I1035" s="29" t="str">
        <f>IF(履歴データ!$A$1035="","",履歴データ!$Q$1035)</f>
        <v/>
      </c>
      <c r="J1035" s="29" t="str">
        <f>IF(履歴データ!$A$1035="","",履歴データ!$D$1035)</f>
        <v/>
      </c>
      <c r="K1035" s="28" t="str">
        <f>IF(OR(履歴データ!$A$1035="",履歴データ!$A$1034=""),"",B1035-B1034)</f>
        <v/>
      </c>
      <c r="L1035" s="28" t="str">
        <f>IF(OR(履歴データ!$A$1035="",履歴データ!$A$1034=""),"",C1035-C1034)</f>
        <v/>
      </c>
      <c r="M1035" s="28" t="str">
        <f>IF(OR(履歴データ!$A$1035="",履歴データ!$A$1034=""),"",D1035-D1034)</f>
        <v/>
      </c>
      <c r="N1035" s="28" t="str">
        <f>IF(OR(履歴データ!$A$1035="",履歴データ!$A$1034=""),"",E1035-E1034)</f>
        <v/>
      </c>
      <c r="O1035" s="28" t="str">
        <f>IF(OR(履歴データ!$A$1035="",履歴データ!$A$1034=""),"",F1035-F1034)</f>
        <v/>
      </c>
      <c r="P1035" s="28" t="str">
        <f>IF(OR(履歴データ!$A$1035="",履歴データ!$A$1034=""),"",G1035-G1034)</f>
        <v/>
      </c>
      <c r="Q1035" s="29" t="str">
        <f>IF(OR(履歴データ!$A$1035="",履歴データ!$A$1034=""),"",H1035-H1034)</f>
        <v/>
      </c>
      <c r="R1035" s="29" t="str">
        <f>IF(OR(履歴データ!$A$1035="",履歴データ!$A$1034=""),"",I1035-I1034)</f>
        <v/>
      </c>
      <c r="S1035" s="28" t="str">
        <f>IF(OR(履歴データ!$A$1035="",履歴データ!$A$1034=""),"",(J1035-J1034)*100)</f>
        <v/>
      </c>
      <c r="T1035" s="11" t="str">
        <f>IF(OR(履歴データ!$A$1035="",履歴データ!$A$1034=""),"",-80000*K1035)</f>
        <v/>
      </c>
      <c r="U1035" s="11" t="str">
        <f>IF(OR(履歴データ!$A$1035="",履歴データ!$A$1034=""),"",60000*L1035)</f>
        <v/>
      </c>
      <c r="V1035" s="11" t="str">
        <f>IF(OR(履歴データ!$A$1035="",履歴データ!$A$1034=""),"",-50000*M1035)</f>
        <v/>
      </c>
      <c r="W1035" s="11" t="str">
        <f>IF(OR(履歴データ!$A$1035="",履歴データ!$A$1034=""),"",-40000*N1035)</f>
        <v/>
      </c>
      <c r="X1035" s="11" t="str">
        <f>IF(OR(履歴データ!$A$1035="",履歴データ!$A$1034=""),"",120*1000000*(-Q1035/H1034))</f>
        <v/>
      </c>
      <c r="Y1035" s="11" t="str">
        <f>IF(OR(履歴データ!$A$1035="",履歴データ!$A$1034=""),"",40000*(-S1035)+(-506.3)*R1035*1000)</f>
        <v/>
      </c>
      <c r="Z1035" s="11" t="str">
        <f>IF(OR(履歴データ!$A$1035="",履歴データ!$A$1034=""),"",-40000*O1035)</f>
        <v/>
      </c>
      <c r="AA1035" s="11" t="str">
        <f>IF(OR(履歴データ!$A$1035="",履歴データ!$A$1034=""),"",-40000*P1035)</f>
        <v/>
      </c>
      <c r="AB1035" s="11" t="str">
        <f>IF(履歴データ!$A$1035="","",123.3)</f>
        <v/>
      </c>
      <c r="AC1035" t="str">
        <f>IF(履歴データ!$A$1035="","",SUM(T1035:AA1035))</f>
        <v/>
      </c>
      <c r="AD1035" s="29" t="str">
        <f>IF(履歴データ!$A$1035="","",AC1035/1000000)</f>
        <v/>
      </c>
      <c r="AE1035" s="29">
        <f>IF(履歴データ!$A$1035="",AE1034,AE1034+AC1035/1000000)</f>
        <v>70.844544225831427</v>
      </c>
      <c r="AF1035" s="12" t="str">
        <f>IF(OR(履歴データ!$A$1035="",AE1034=0),"",(AE1035-AE1034)/AE1034)</f>
        <v/>
      </c>
      <c r="AG1035" s="29">
        <f t="shared" si="46"/>
        <v>102.17217746631495</v>
      </c>
      <c r="AH1035" s="12" t="str">
        <f>IF(OR(履歴データ!$A$1035="",AG1035=0),"",AE1035/AG1035-1)</f>
        <v/>
      </c>
    </row>
    <row r="1036" spans="1:34">
      <c r="A1036" s="10" t="str">
        <f>IF(履歴データ!$A$1036="","",履歴データ!$A$1036)</f>
        <v/>
      </c>
      <c r="B1036" s="28" t="str">
        <f>IF(履歴データ!$A$1036="","",(履歴データ!$D$1036-(履歴データ!$B$1036+履歴データ!$F$1036)/2)*100)</f>
        <v/>
      </c>
      <c r="C1036" s="28" t="str">
        <f>IF(履歴データ!$A$1036="","",(履歴データ!$H$1036-(履歴データ!$G$1036+履歴データ!$J$1036)/2)*100)</f>
        <v/>
      </c>
      <c r="D1036" s="28" t="str">
        <f>IF(履歴データ!$A$1036="","",(履歴データ!$D$1036-履歴データ!$H$1036)*100)</f>
        <v/>
      </c>
      <c r="E1036" s="28" t="str">
        <f>IF(履歴データ!$A$1036="","",(履歴データ!$D$1036-履歴データ!$C$1036)*100)</f>
        <v/>
      </c>
      <c r="F1036" s="28" t="str">
        <f>IF(履歴データ!$A$1036="","",(履歴データ!$R$1036-履歴データ!$D$1036)*100)</f>
        <v/>
      </c>
      <c r="G1036" s="28" t="str">
        <f>IF(履歴データ!$A$1036="","",(履歴データ!$S$1036-履歴データ!$R$1036)*100)</f>
        <v/>
      </c>
      <c r="H1036" s="29" t="str">
        <f>IF(履歴データ!$A$1036="","",履歴データ!$O$1036)</f>
        <v/>
      </c>
      <c r="I1036" s="29" t="str">
        <f>IF(履歴データ!$A$1036="","",履歴データ!$Q$1036)</f>
        <v/>
      </c>
      <c r="J1036" s="29" t="str">
        <f>IF(履歴データ!$A$1036="","",履歴データ!$D$1036)</f>
        <v/>
      </c>
      <c r="K1036" s="28" t="str">
        <f>IF(OR(履歴データ!$A$1036="",履歴データ!$A$1035=""),"",B1036-B1035)</f>
        <v/>
      </c>
      <c r="L1036" s="28" t="str">
        <f>IF(OR(履歴データ!$A$1036="",履歴データ!$A$1035=""),"",C1036-C1035)</f>
        <v/>
      </c>
      <c r="M1036" s="28" t="str">
        <f>IF(OR(履歴データ!$A$1036="",履歴データ!$A$1035=""),"",D1036-D1035)</f>
        <v/>
      </c>
      <c r="N1036" s="28" t="str">
        <f>IF(OR(履歴データ!$A$1036="",履歴データ!$A$1035=""),"",E1036-E1035)</f>
        <v/>
      </c>
      <c r="O1036" s="28" t="str">
        <f>IF(OR(履歴データ!$A$1036="",履歴データ!$A$1035=""),"",F1036-F1035)</f>
        <v/>
      </c>
      <c r="P1036" s="28" t="str">
        <f>IF(OR(履歴データ!$A$1036="",履歴データ!$A$1035=""),"",G1036-G1035)</f>
        <v/>
      </c>
      <c r="Q1036" s="29" t="str">
        <f>IF(OR(履歴データ!$A$1036="",履歴データ!$A$1035=""),"",H1036-H1035)</f>
        <v/>
      </c>
      <c r="R1036" s="29" t="str">
        <f>IF(OR(履歴データ!$A$1036="",履歴データ!$A$1035=""),"",I1036-I1035)</f>
        <v/>
      </c>
      <c r="S1036" s="28" t="str">
        <f>IF(OR(履歴データ!$A$1036="",履歴データ!$A$1035=""),"",(J1036-J1035)*100)</f>
        <v/>
      </c>
      <c r="T1036" s="11" t="str">
        <f>IF(OR(履歴データ!$A$1036="",履歴データ!$A$1035=""),"",-80000*K1036)</f>
        <v/>
      </c>
      <c r="U1036" s="11" t="str">
        <f>IF(OR(履歴データ!$A$1036="",履歴データ!$A$1035=""),"",60000*L1036)</f>
        <v/>
      </c>
      <c r="V1036" s="11" t="str">
        <f>IF(OR(履歴データ!$A$1036="",履歴データ!$A$1035=""),"",-50000*M1036)</f>
        <v/>
      </c>
      <c r="W1036" s="11" t="str">
        <f>IF(OR(履歴データ!$A$1036="",履歴データ!$A$1035=""),"",-40000*N1036)</f>
        <v/>
      </c>
      <c r="X1036" s="11" t="str">
        <f>IF(OR(履歴データ!$A$1036="",履歴データ!$A$1035=""),"",120*1000000*(-Q1036/H1035))</f>
        <v/>
      </c>
      <c r="Y1036" s="11" t="str">
        <f>IF(OR(履歴データ!$A$1036="",履歴データ!$A$1035=""),"",40000*(-S1036)+(-506.3)*R1036*1000)</f>
        <v/>
      </c>
      <c r="Z1036" s="11" t="str">
        <f>IF(OR(履歴データ!$A$1036="",履歴データ!$A$1035=""),"",-40000*O1036)</f>
        <v/>
      </c>
      <c r="AA1036" s="11" t="str">
        <f>IF(OR(履歴データ!$A$1036="",履歴データ!$A$1035=""),"",-40000*P1036)</f>
        <v/>
      </c>
      <c r="AB1036" s="11" t="str">
        <f>IF(履歴データ!$A$1036="","",123.3)</f>
        <v/>
      </c>
      <c r="AC1036" t="str">
        <f>IF(履歴データ!$A$1036="","",SUM(T1036:AA1036))</f>
        <v/>
      </c>
      <c r="AD1036" s="29" t="str">
        <f>IF(履歴データ!$A$1036="","",AC1036/1000000)</f>
        <v/>
      </c>
      <c r="AE1036" s="29">
        <f>IF(履歴データ!$A$1036="",AE1035,AE1035+AC1036/1000000)</f>
        <v>70.844544225831427</v>
      </c>
      <c r="AF1036" s="12" t="str">
        <f>IF(OR(履歴データ!$A$1036="",AE1035=0),"",(AE1036-AE1035)/AE1035)</f>
        <v/>
      </c>
      <c r="AG1036" s="29">
        <f t="shared" si="46"/>
        <v>102.17217746631495</v>
      </c>
      <c r="AH1036" s="12" t="str">
        <f>IF(OR(履歴データ!$A$1036="",AG1036=0),"",AE1036/AG1036-1)</f>
        <v/>
      </c>
    </row>
    <row r="1037" spans="1:34">
      <c r="A1037" s="10" t="str">
        <f>IF(履歴データ!$A$1037="","",履歴データ!$A$1037)</f>
        <v/>
      </c>
      <c r="B1037" s="28" t="str">
        <f>IF(履歴データ!$A$1037="","",(履歴データ!$D$1037-(履歴データ!$B$1037+履歴データ!$F$1037)/2)*100)</f>
        <v/>
      </c>
      <c r="C1037" s="28" t="str">
        <f>IF(履歴データ!$A$1037="","",(履歴データ!$H$1037-(履歴データ!$G$1037+履歴データ!$J$1037)/2)*100)</f>
        <v/>
      </c>
      <c r="D1037" s="28" t="str">
        <f>IF(履歴データ!$A$1037="","",(履歴データ!$D$1037-履歴データ!$H$1037)*100)</f>
        <v/>
      </c>
      <c r="E1037" s="28" t="str">
        <f>IF(履歴データ!$A$1037="","",(履歴データ!$D$1037-履歴データ!$C$1037)*100)</f>
        <v/>
      </c>
      <c r="F1037" s="28" t="str">
        <f>IF(履歴データ!$A$1037="","",(履歴データ!$R$1037-履歴データ!$D$1037)*100)</f>
        <v/>
      </c>
      <c r="G1037" s="28" t="str">
        <f>IF(履歴データ!$A$1037="","",(履歴データ!$S$1037-履歴データ!$R$1037)*100)</f>
        <v/>
      </c>
      <c r="H1037" s="29" t="str">
        <f>IF(履歴データ!$A$1037="","",履歴データ!$O$1037)</f>
        <v/>
      </c>
      <c r="I1037" s="29" t="str">
        <f>IF(履歴データ!$A$1037="","",履歴データ!$Q$1037)</f>
        <v/>
      </c>
      <c r="J1037" s="29" t="str">
        <f>IF(履歴データ!$A$1037="","",履歴データ!$D$1037)</f>
        <v/>
      </c>
      <c r="K1037" s="28" t="str">
        <f>IF(OR(履歴データ!$A$1037="",履歴データ!$A$1036=""),"",B1037-B1036)</f>
        <v/>
      </c>
      <c r="L1037" s="28" t="str">
        <f>IF(OR(履歴データ!$A$1037="",履歴データ!$A$1036=""),"",C1037-C1036)</f>
        <v/>
      </c>
      <c r="M1037" s="28" t="str">
        <f>IF(OR(履歴データ!$A$1037="",履歴データ!$A$1036=""),"",D1037-D1036)</f>
        <v/>
      </c>
      <c r="N1037" s="28" t="str">
        <f>IF(OR(履歴データ!$A$1037="",履歴データ!$A$1036=""),"",E1037-E1036)</f>
        <v/>
      </c>
      <c r="O1037" s="28" t="str">
        <f>IF(OR(履歴データ!$A$1037="",履歴データ!$A$1036=""),"",F1037-F1036)</f>
        <v/>
      </c>
      <c r="P1037" s="28" t="str">
        <f>IF(OR(履歴データ!$A$1037="",履歴データ!$A$1036=""),"",G1037-G1036)</f>
        <v/>
      </c>
      <c r="Q1037" s="29" t="str">
        <f>IF(OR(履歴データ!$A$1037="",履歴データ!$A$1036=""),"",H1037-H1036)</f>
        <v/>
      </c>
      <c r="R1037" s="29" t="str">
        <f>IF(OR(履歴データ!$A$1037="",履歴データ!$A$1036=""),"",I1037-I1036)</f>
        <v/>
      </c>
      <c r="S1037" s="28" t="str">
        <f>IF(OR(履歴データ!$A$1037="",履歴データ!$A$1036=""),"",(J1037-J1036)*100)</f>
        <v/>
      </c>
      <c r="T1037" s="11" t="str">
        <f>IF(OR(履歴データ!$A$1037="",履歴データ!$A$1036=""),"",-80000*K1037)</f>
        <v/>
      </c>
      <c r="U1037" s="11" t="str">
        <f>IF(OR(履歴データ!$A$1037="",履歴データ!$A$1036=""),"",60000*L1037)</f>
        <v/>
      </c>
      <c r="V1037" s="11" t="str">
        <f>IF(OR(履歴データ!$A$1037="",履歴データ!$A$1036=""),"",-50000*M1037)</f>
        <v/>
      </c>
      <c r="W1037" s="11" t="str">
        <f>IF(OR(履歴データ!$A$1037="",履歴データ!$A$1036=""),"",-40000*N1037)</f>
        <v/>
      </c>
      <c r="X1037" s="11" t="str">
        <f>IF(OR(履歴データ!$A$1037="",履歴データ!$A$1036=""),"",120*1000000*(-Q1037/H1036))</f>
        <v/>
      </c>
      <c r="Y1037" s="11" t="str">
        <f>IF(OR(履歴データ!$A$1037="",履歴データ!$A$1036=""),"",40000*(-S1037)+(-506.3)*R1037*1000)</f>
        <v/>
      </c>
      <c r="Z1037" s="11" t="str">
        <f>IF(OR(履歴データ!$A$1037="",履歴データ!$A$1036=""),"",-40000*O1037)</f>
        <v/>
      </c>
      <c r="AA1037" s="11" t="str">
        <f>IF(OR(履歴データ!$A$1037="",履歴データ!$A$1036=""),"",-40000*P1037)</f>
        <v/>
      </c>
      <c r="AB1037" s="11" t="str">
        <f>IF(履歴データ!$A$1037="","",123.3)</f>
        <v/>
      </c>
      <c r="AC1037" t="str">
        <f>IF(履歴データ!$A$1037="","",SUM(T1037:AA1037))</f>
        <v/>
      </c>
      <c r="AD1037" s="29" t="str">
        <f>IF(履歴データ!$A$1037="","",AC1037/1000000)</f>
        <v/>
      </c>
      <c r="AE1037" s="29">
        <f>IF(履歴データ!$A$1037="",AE1036,AE1036+AC1037/1000000)</f>
        <v>70.844544225831427</v>
      </c>
      <c r="AF1037" s="12" t="str">
        <f>IF(OR(履歴データ!$A$1037="",AE1036=0),"",(AE1037-AE1036)/AE1036)</f>
        <v/>
      </c>
      <c r="AG1037" s="29">
        <f t="shared" si="46"/>
        <v>102.17217746631495</v>
      </c>
      <c r="AH1037" s="12" t="str">
        <f>IF(OR(履歴データ!$A$1037="",AG1037=0),"",AE1037/AG1037-1)</f>
        <v/>
      </c>
    </row>
    <row r="1038" spans="1:34">
      <c r="A1038" s="10" t="str">
        <f>IF(履歴データ!$A$1038="","",履歴データ!$A$1038)</f>
        <v/>
      </c>
      <c r="B1038" s="28" t="str">
        <f>IF(履歴データ!$A$1038="","",(履歴データ!$D$1038-(履歴データ!$B$1038+履歴データ!$F$1038)/2)*100)</f>
        <v/>
      </c>
      <c r="C1038" s="28" t="str">
        <f>IF(履歴データ!$A$1038="","",(履歴データ!$H$1038-(履歴データ!$G$1038+履歴データ!$J$1038)/2)*100)</f>
        <v/>
      </c>
      <c r="D1038" s="28" t="str">
        <f>IF(履歴データ!$A$1038="","",(履歴データ!$D$1038-履歴データ!$H$1038)*100)</f>
        <v/>
      </c>
      <c r="E1038" s="28" t="str">
        <f>IF(履歴データ!$A$1038="","",(履歴データ!$D$1038-履歴データ!$C$1038)*100)</f>
        <v/>
      </c>
      <c r="F1038" s="28" t="str">
        <f>IF(履歴データ!$A$1038="","",(履歴データ!$R$1038-履歴データ!$D$1038)*100)</f>
        <v/>
      </c>
      <c r="G1038" s="28" t="str">
        <f>IF(履歴データ!$A$1038="","",(履歴データ!$S$1038-履歴データ!$R$1038)*100)</f>
        <v/>
      </c>
      <c r="H1038" s="29" t="str">
        <f>IF(履歴データ!$A$1038="","",履歴データ!$O$1038)</f>
        <v/>
      </c>
      <c r="I1038" s="29" t="str">
        <f>IF(履歴データ!$A$1038="","",履歴データ!$Q$1038)</f>
        <v/>
      </c>
      <c r="J1038" s="29" t="str">
        <f>IF(履歴データ!$A$1038="","",履歴データ!$D$1038)</f>
        <v/>
      </c>
      <c r="K1038" s="28" t="str">
        <f>IF(OR(履歴データ!$A$1038="",履歴データ!$A$1037=""),"",B1038-B1037)</f>
        <v/>
      </c>
      <c r="L1038" s="28" t="str">
        <f>IF(OR(履歴データ!$A$1038="",履歴データ!$A$1037=""),"",C1038-C1037)</f>
        <v/>
      </c>
      <c r="M1038" s="28" t="str">
        <f>IF(OR(履歴データ!$A$1038="",履歴データ!$A$1037=""),"",D1038-D1037)</f>
        <v/>
      </c>
      <c r="N1038" s="28" t="str">
        <f>IF(OR(履歴データ!$A$1038="",履歴データ!$A$1037=""),"",E1038-E1037)</f>
        <v/>
      </c>
      <c r="O1038" s="28" t="str">
        <f>IF(OR(履歴データ!$A$1038="",履歴データ!$A$1037=""),"",F1038-F1037)</f>
        <v/>
      </c>
      <c r="P1038" s="28" t="str">
        <f>IF(OR(履歴データ!$A$1038="",履歴データ!$A$1037=""),"",G1038-G1037)</f>
        <v/>
      </c>
      <c r="Q1038" s="29" t="str">
        <f>IF(OR(履歴データ!$A$1038="",履歴データ!$A$1037=""),"",H1038-H1037)</f>
        <v/>
      </c>
      <c r="R1038" s="29" t="str">
        <f>IF(OR(履歴データ!$A$1038="",履歴データ!$A$1037=""),"",I1038-I1037)</f>
        <v/>
      </c>
      <c r="S1038" s="28" t="str">
        <f>IF(OR(履歴データ!$A$1038="",履歴データ!$A$1037=""),"",(J1038-J1037)*100)</f>
        <v/>
      </c>
      <c r="T1038" s="11" t="str">
        <f>IF(OR(履歴データ!$A$1038="",履歴データ!$A$1037=""),"",-80000*K1038)</f>
        <v/>
      </c>
      <c r="U1038" s="11" t="str">
        <f>IF(OR(履歴データ!$A$1038="",履歴データ!$A$1037=""),"",60000*L1038)</f>
        <v/>
      </c>
      <c r="V1038" s="11" t="str">
        <f>IF(OR(履歴データ!$A$1038="",履歴データ!$A$1037=""),"",-50000*M1038)</f>
        <v/>
      </c>
      <c r="W1038" s="11" t="str">
        <f>IF(OR(履歴データ!$A$1038="",履歴データ!$A$1037=""),"",-40000*N1038)</f>
        <v/>
      </c>
      <c r="X1038" s="11" t="str">
        <f>IF(OR(履歴データ!$A$1038="",履歴データ!$A$1037=""),"",120*1000000*(-Q1038/H1037))</f>
        <v/>
      </c>
      <c r="Y1038" s="11" t="str">
        <f>IF(OR(履歴データ!$A$1038="",履歴データ!$A$1037=""),"",40000*(-S1038)+(-506.3)*R1038*1000)</f>
        <v/>
      </c>
      <c r="Z1038" s="11" t="str">
        <f>IF(OR(履歴データ!$A$1038="",履歴データ!$A$1037=""),"",-40000*O1038)</f>
        <v/>
      </c>
      <c r="AA1038" s="11" t="str">
        <f>IF(OR(履歴データ!$A$1038="",履歴データ!$A$1037=""),"",-40000*P1038)</f>
        <v/>
      </c>
      <c r="AB1038" s="11" t="str">
        <f>IF(履歴データ!$A$1038="","",123.3)</f>
        <v/>
      </c>
      <c r="AC1038" t="str">
        <f>IF(履歴データ!$A$1038="","",SUM(T1038:AA1038))</f>
        <v/>
      </c>
      <c r="AD1038" s="29" t="str">
        <f>IF(履歴データ!$A$1038="","",AC1038/1000000)</f>
        <v/>
      </c>
      <c r="AE1038" s="29">
        <f>IF(履歴データ!$A$1038="",AE1037,AE1037+AC1038/1000000)</f>
        <v>70.844544225831427</v>
      </c>
      <c r="AF1038" s="12" t="str">
        <f>IF(OR(履歴データ!$A$1038="",AE1037=0),"",(AE1038-AE1037)/AE1037)</f>
        <v/>
      </c>
      <c r="AG1038" s="29">
        <f t="shared" si="46"/>
        <v>102.17217746631495</v>
      </c>
      <c r="AH1038" s="12" t="str">
        <f>IF(OR(履歴データ!$A$1038="",AG1038=0),"",AE1038/AG1038-1)</f>
        <v/>
      </c>
    </row>
    <row r="1039" spans="1:34">
      <c r="A1039" s="10" t="str">
        <f>IF(履歴データ!$A$1039="","",履歴データ!$A$1039)</f>
        <v/>
      </c>
      <c r="B1039" s="28" t="str">
        <f>IF(履歴データ!$A$1039="","",(履歴データ!$D$1039-(履歴データ!$B$1039+履歴データ!$F$1039)/2)*100)</f>
        <v/>
      </c>
      <c r="C1039" s="28" t="str">
        <f>IF(履歴データ!$A$1039="","",(履歴データ!$H$1039-(履歴データ!$G$1039+履歴データ!$J$1039)/2)*100)</f>
        <v/>
      </c>
      <c r="D1039" s="28" t="str">
        <f>IF(履歴データ!$A$1039="","",(履歴データ!$D$1039-履歴データ!$H$1039)*100)</f>
        <v/>
      </c>
      <c r="E1039" s="28" t="str">
        <f>IF(履歴データ!$A$1039="","",(履歴データ!$D$1039-履歴データ!$C$1039)*100)</f>
        <v/>
      </c>
      <c r="F1039" s="28" t="str">
        <f>IF(履歴データ!$A$1039="","",(履歴データ!$R$1039-履歴データ!$D$1039)*100)</f>
        <v/>
      </c>
      <c r="G1039" s="28" t="str">
        <f>IF(履歴データ!$A$1039="","",(履歴データ!$S$1039-履歴データ!$R$1039)*100)</f>
        <v/>
      </c>
      <c r="H1039" s="29" t="str">
        <f>IF(履歴データ!$A$1039="","",履歴データ!$O$1039)</f>
        <v/>
      </c>
      <c r="I1039" s="29" t="str">
        <f>IF(履歴データ!$A$1039="","",履歴データ!$Q$1039)</f>
        <v/>
      </c>
      <c r="J1039" s="29" t="str">
        <f>IF(履歴データ!$A$1039="","",履歴データ!$D$1039)</f>
        <v/>
      </c>
      <c r="K1039" s="28" t="str">
        <f>IF(OR(履歴データ!$A$1039="",履歴データ!$A$1038=""),"",B1039-B1038)</f>
        <v/>
      </c>
      <c r="L1039" s="28" t="str">
        <f>IF(OR(履歴データ!$A$1039="",履歴データ!$A$1038=""),"",C1039-C1038)</f>
        <v/>
      </c>
      <c r="M1039" s="28" t="str">
        <f>IF(OR(履歴データ!$A$1039="",履歴データ!$A$1038=""),"",D1039-D1038)</f>
        <v/>
      </c>
      <c r="N1039" s="28" t="str">
        <f>IF(OR(履歴データ!$A$1039="",履歴データ!$A$1038=""),"",E1039-E1038)</f>
        <v/>
      </c>
      <c r="O1039" s="28" t="str">
        <f>IF(OR(履歴データ!$A$1039="",履歴データ!$A$1038=""),"",F1039-F1038)</f>
        <v/>
      </c>
      <c r="P1039" s="28" t="str">
        <f>IF(OR(履歴データ!$A$1039="",履歴データ!$A$1038=""),"",G1039-G1038)</f>
        <v/>
      </c>
      <c r="Q1039" s="29" t="str">
        <f>IF(OR(履歴データ!$A$1039="",履歴データ!$A$1038=""),"",H1039-H1038)</f>
        <v/>
      </c>
      <c r="R1039" s="29" t="str">
        <f>IF(OR(履歴データ!$A$1039="",履歴データ!$A$1038=""),"",I1039-I1038)</f>
        <v/>
      </c>
      <c r="S1039" s="28" t="str">
        <f>IF(OR(履歴データ!$A$1039="",履歴データ!$A$1038=""),"",(J1039-J1038)*100)</f>
        <v/>
      </c>
      <c r="T1039" s="11" t="str">
        <f>IF(OR(履歴データ!$A$1039="",履歴データ!$A$1038=""),"",-80000*K1039)</f>
        <v/>
      </c>
      <c r="U1039" s="11" t="str">
        <f>IF(OR(履歴データ!$A$1039="",履歴データ!$A$1038=""),"",60000*L1039)</f>
        <v/>
      </c>
      <c r="V1039" s="11" t="str">
        <f>IF(OR(履歴データ!$A$1039="",履歴データ!$A$1038=""),"",-50000*M1039)</f>
        <v/>
      </c>
      <c r="W1039" s="11" t="str">
        <f>IF(OR(履歴データ!$A$1039="",履歴データ!$A$1038=""),"",-40000*N1039)</f>
        <v/>
      </c>
      <c r="X1039" s="11" t="str">
        <f>IF(OR(履歴データ!$A$1039="",履歴データ!$A$1038=""),"",120*1000000*(-Q1039/H1038))</f>
        <v/>
      </c>
      <c r="Y1039" s="11" t="str">
        <f>IF(OR(履歴データ!$A$1039="",履歴データ!$A$1038=""),"",40000*(-S1039)+(-506.3)*R1039*1000)</f>
        <v/>
      </c>
      <c r="Z1039" s="11" t="str">
        <f>IF(OR(履歴データ!$A$1039="",履歴データ!$A$1038=""),"",-40000*O1039)</f>
        <v/>
      </c>
      <c r="AA1039" s="11" t="str">
        <f>IF(OR(履歴データ!$A$1039="",履歴データ!$A$1038=""),"",-40000*P1039)</f>
        <v/>
      </c>
      <c r="AB1039" s="11" t="str">
        <f>IF(履歴データ!$A$1039="","",123.3)</f>
        <v/>
      </c>
      <c r="AC1039" t="str">
        <f>IF(履歴データ!$A$1039="","",SUM(T1039:AA1039))</f>
        <v/>
      </c>
      <c r="AD1039" s="29" t="str">
        <f>IF(履歴データ!$A$1039="","",AC1039/1000000)</f>
        <v/>
      </c>
      <c r="AE1039" s="29">
        <f>IF(履歴データ!$A$1039="",AE1038,AE1038+AC1039/1000000)</f>
        <v>70.844544225831427</v>
      </c>
      <c r="AF1039" s="12" t="str">
        <f>IF(OR(履歴データ!$A$1039="",AE1038=0),"",(AE1039-AE1038)/AE1038)</f>
        <v/>
      </c>
      <c r="AG1039" s="29">
        <f t="shared" si="46"/>
        <v>102.17217746631495</v>
      </c>
      <c r="AH1039" s="12" t="str">
        <f>IF(OR(履歴データ!$A$1039="",AG1039=0),"",AE1039/AG1039-1)</f>
        <v/>
      </c>
    </row>
    <row r="1040" spans="1:34">
      <c r="A1040" s="10" t="str">
        <f>IF(履歴データ!$A$1040="","",履歴データ!$A$1040)</f>
        <v/>
      </c>
      <c r="B1040" s="28" t="str">
        <f>IF(履歴データ!$A$1040="","",(履歴データ!$D$1040-(履歴データ!$B$1040+履歴データ!$F$1040)/2)*100)</f>
        <v/>
      </c>
      <c r="C1040" s="28" t="str">
        <f>IF(履歴データ!$A$1040="","",(履歴データ!$H$1040-(履歴データ!$G$1040+履歴データ!$J$1040)/2)*100)</f>
        <v/>
      </c>
      <c r="D1040" s="28" t="str">
        <f>IF(履歴データ!$A$1040="","",(履歴データ!$D$1040-履歴データ!$H$1040)*100)</f>
        <v/>
      </c>
      <c r="E1040" s="28" t="str">
        <f>IF(履歴データ!$A$1040="","",(履歴データ!$D$1040-履歴データ!$C$1040)*100)</f>
        <v/>
      </c>
      <c r="F1040" s="28" t="str">
        <f>IF(履歴データ!$A$1040="","",(履歴データ!$R$1040-履歴データ!$D$1040)*100)</f>
        <v/>
      </c>
      <c r="G1040" s="28" t="str">
        <f>IF(履歴データ!$A$1040="","",(履歴データ!$S$1040-履歴データ!$R$1040)*100)</f>
        <v/>
      </c>
      <c r="H1040" s="29" t="str">
        <f>IF(履歴データ!$A$1040="","",履歴データ!$O$1040)</f>
        <v/>
      </c>
      <c r="I1040" s="29" t="str">
        <f>IF(履歴データ!$A$1040="","",履歴データ!$Q$1040)</f>
        <v/>
      </c>
      <c r="J1040" s="29" t="str">
        <f>IF(履歴データ!$A$1040="","",履歴データ!$D$1040)</f>
        <v/>
      </c>
      <c r="K1040" s="28" t="str">
        <f>IF(OR(履歴データ!$A$1040="",履歴データ!$A$1039=""),"",B1040-B1039)</f>
        <v/>
      </c>
      <c r="L1040" s="28" t="str">
        <f>IF(OR(履歴データ!$A$1040="",履歴データ!$A$1039=""),"",C1040-C1039)</f>
        <v/>
      </c>
      <c r="M1040" s="28" t="str">
        <f>IF(OR(履歴データ!$A$1040="",履歴データ!$A$1039=""),"",D1040-D1039)</f>
        <v/>
      </c>
      <c r="N1040" s="28" t="str">
        <f>IF(OR(履歴データ!$A$1040="",履歴データ!$A$1039=""),"",E1040-E1039)</f>
        <v/>
      </c>
      <c r="O1040" s="28" t="str">
        <f>IF(OR(履歴データ!$A$1040="",履歴データ!$A$1039=""),"",F1040-F1039)</f>
        <v/>
      </c>
      <c r="P1040" s="28" t="str">
        <f>IF(OR(履歴データ!$A$1040="",履歴データ!$A$1039=""),"",G1040-G1039)</f>
        <v/>
      </c>
      <c r="Q1040" s="29" t="str">
        <f>IF(OR(履歴データ!$A$1040="",履歴データ!$A$1039=""),"",H1040-H1039)</f>
        <v/>
      </c>
      <c r="R1040" s="29" t="str">
        <f>IF(OR(履歴データ!$A$1040="",履歴データ!$A$1039=""),"",I1040-I1039)</f>
        <v/>
      </c>
      <c r="S1040" s="28" t="str">
        <f>IF(OR(履歴データ!$A$1040="",履歴データ!$A$1039=""),"",(J1040-J1039)*100)</f>
        <v/>
      </c>
      <c r="T1040" s="11" t="str">
        <f>IF(OR(履歴データ!$A$1040="",履歴データ!$A$1039=""),"",-80000*K1040)</f>
        <v/>
      </c>
      <c r="U1040" s="11" t="str">
        <f>IF(OR(履歴データ!$A$1040="",履歴データ!$A$1039=""),"",60000*L1040)</f>
        <v/>
      </c>
      <c r="V1040" s="11" t="str">
        <f>IF(OR(履歴データ!$A$1040="",履歴データ!$A$1039=""),"",-50000*M1040)</f>
        <v/>
      </c>
      <c r="W1040" s="11" t="str">
        <f>IF(OR(履歴データ!$A$1040="",履歴データ!$A$1039=""),"",-40000*N1040)</f>
        <v/>
      </c>
      <c r="X1040" s="11" t="str">
        <f>IF(OR(履歴データ!$A$1040="",履歴データ!$A$1039=""),"",120*1000000*(-Q1040/H1039))</f>
        <v/>
      </c>
      <c r="Y1040" s="11" t="str">
        <f>IF(OR(履歴データ!$A$1040="",履歴データ!$A$1039=""),"",40000*(-S1040)+(-506.3)*R1040*1000)</f>
        <v/>
      </c>
      <c r="Z1040" s="11" t="str">
        <f>IF(OR(履歴データ!$A$1040="",履歴データ!$A$1039=""),"",-40000*O1040)</f>
        <v/>
      </c>
      <c r="AA1040" s="11" t="str">
        <f>IF(OR(履歴データ!$A$1040="",履歴データ!$A$1039=""),"",-40000*P1040)</f>
        <v/>
      </c>
      <c r="AB1040" s="11" t="str">
        <f>IF(履歴データ!$A$1040="","",123.3)</f>
        <v/>
      </c>
      <c r="AC1040" t="str">
        <f>IF(履歴データ!$A$1040="","",SUM(T1040:AA1040))</f>
        <v/>
      </c>
      <c r="AD1040" s="29" t="str">
        <f>IF(履歴データ!$A$1040="","",AC1040/1000000)</f>
        <v/>
      </c>
      <c r="AE1040" s="29">
        <f>IF(履歴データ!$A$1040="",AE1039,AE1039+AC1040/1000000)</f>
        <v>70.844544225831427</v>
      </c>
      <c r="AF1040" s="12" t="str">
        <f>IF(OR(履歴データ!$A$1040="",AE1039=0),"",(AE1040-AE1039)/AE1039)</f>
        <v/>
      </c>
      <c r="AG1040" s="29">
        <f t="shared" si="46"/>
        <v>102.17217746631495</v>
      </c>
      <c r="AH1040" s="12" t="str">
        <f>IF(OR(履歴データ!$A$1040="",AG1040=0),"",AE1040/AG1040-1)</f>
        <v/>
      </c>
    </row>
    <row r="1041" spans="1:34">
      <c r="A1041" s="10" t="str">
        <f>IF(履歴データ!$A$1041="","",履歴データ!$A$1041)</f>
        <v/>
      </c>
      <c r="B1041" s="28" t="str">
        <f>IF(履歴データ!$A$1041="","",(履歴データ!$D$1041-(履歴データ!$B$1041+履歴データ!$F$1041)/2)*100)</f>
        <v/>
      </c>
      <c r="C1041" s="28" t="str">
        <f>IF(履歴データ!$A$1041="","",(履歴データ!$H$1041-(履歴データ!$G$1041+履歴データ!$J$1041)/2)*100)</f>
        <v/>
      </c>
      <c r="D1041" s="28" t="str">
        <f>IF(履歴データ!$A$1041="","",(履歴データ!$D$1041-履歴データ!$H$1041)*100)</f>
        <v/>
      </c>
      <c r="E1041" s="28" t="str">
        <f>IF(履歴データ!$A$1041="","",(履歴データ!$D$1041-履歴データ!$C$1041)*100)</f>
        <v/>
      </c>
      <c r="F1041" s="28" t="str">
        <f>IF(履歴データ!$A$1041="","",(履歴データ!$R$1041-履歴データ!$D$1041)*100)</f>
        <v/>
      </c>
      <c r="G1041" s="28" t="str">
        <f>IF(履歴データ!$A$1041="","",(履歴データ!$S$1041-履歴データ!$R$1041)*100)</f>
        <v/>
      </c>
      <c r="H1041" s="29" t="str">
        <f>IF(履歴データ!$A$1041="","",履歴データ!$O$1041)</f>
        <v/>
      </c>
      <c r="I1041" s="29" t="str">
        <f>IF(履歴データ!$A$1041="","",履歴データ!$Q$1041)</f>
        <v/>
      </c>
      <c r="J1041" s="29" t="str">
        <f>IF(履歴データ!$A$1041="","",履歴データ!$D$1041)</f>
        <v/>
      </c>
      <c r="K1041" s="28" t="str">
        <f>IF(OR(履歴データ!$A$1041="",履歴データ!$A$1040=""),"",B1041-B1040)</f>
        <v/>
      </c>
      <c r="L1041" s="28" t="str">
        <f>IF(OR(履歴データ!$A$1041="",履歴データ!$A$1040=""),"",C1041-C1040)</f>
        <v/>
      </c>
      <c r="M1041" s="28" t="str">
        <f>IF(OR(履歴データ!$A$1041="",履歴データ!$A$1040=""),"",D1041-D1040)</f>
        <v/>
      </c>
      <c r="N1041" s="28" t="str">
        <f>IF(OR(履歴データ!$A$1041="",履歴データ!$A$1040=""),"",E1041-E1040)</f>
        <v/>
      </c>
      <c r="O1041" s="28" t="str">
        <f>IF(OR(履歴データ!$A$1041="",履歴データ!$A$1040=""),"",F1041-F1040)</f>
        <v/>
      </c>
      <c r="P1041" s="28" t="str">
        <f>IF(OR(履歴データ!$A$1041="",履歴データ!$A$1040=""),"",G1041-G1040)</f>
        <v/>
      </c>
      <c r="Q1041" s="29" t="str">
        <f>IF(OR(履歴データ!$A$1041="",履歴データ!$A$1040=""),"",H1041-H1040)</f>
        <v/>
      </c>
      <c r="R1041" s="29" t="str">
        <f>IF(OR(履歴データ!$A$1041="",履歴データ!$A$1040=""),"",I1041-I1040)</f>
        <v/>
      </c>
      <c r="S1041" s="28" t="str">
        <f>IF(OR(履歴データ!$A$1041="",履歴データ!$A$1040=""),"",(J1041-J1040)*100)</f>
        <v/>
      </c>
      <c r="T1041" s="11" t="str">
        <f>IF(OR(履歴データ!$A$1041="",履歴データ!$A$1040=""),"",-80000*K1041)</f>
        <v/>
      </c>
      <c r="U1041" s="11" t="str">
        <f>IF(OR(履歴データ!$A$1041="",履歴データ!$A$1040=""),"",60000*L1041)</f>
        <v/>
      </c>
      <c r="V1041" s="11" t="str">
        <f>IF(OR(履歴データ!$A$1041="",履歴データ!$A$1040=""),"",-50000*M1041)</f>
        <v/>
      </c>
      <c r="W1041" s="11" t="str">
        <f>IF(OR(履歴データ!$A$1041="",履歴データ!$A$1040=""),"",-40000*N1041)</f>
        <v/>
      </c>
      <c r="X1041" s="11" t="str">
        <f>IF(OR(履歴データ!$A$1041="",履歴データ!$A$1040=""),"",120*1000000*(-Q1041/H1040))</f>
        <v/>
      </c>
      <c r="Y1041" s="11" t="str">
        <f>IF(OR(履歴データ!$A$1041="",履歴データ!$A$1040=""),"",40000*(-S1041)+(-506.3)*R1041*1000)</f>
        <v/>
      </c>
      <c r="Z1041" s="11" t="str">
        <f>IF(OR(履歴データ!$A$1041="",履歴データ!$A$1040=""),"",-40000*O1041)</f>
        <v/>
      </c>
      <c r="AA1041" s="11" t="str">
        <f>IF(OR(履歴データ!$A$1041="",履歴データ!$A$1040=""),"",-40000*P1041)</f>
        <v/>
      </c>
      <c r="AB1041" s="11" t="str">
        <f>IF(履歴データ!$A$1041="","",123.3)</f>
        <v/>
      </c>
      <c r="AC1041" t="str">
        <f>IF(履歴データ!$A$1041="","",SUM(T1041:AA1041))</f>
        <v/>
      </c>
      <c r="AD1041" s="29" t="str">
        <f>IF(履歴データ!$A$1041="","",AC1041/1000000)</f>
        <v/>
      </c>
      <c r="AE1041" s="29">
        <f>IF(履歴データ!$A$1041="",AE1040,AE1040+AC1041/1000000)</f>
        <v>70.844544225831427</v>
      </c>
      <c r="AF1041" s="12" t="str">
        <f>IF(OR(履歴データ!$A$1041="",AE1040=0),"",(AE1041-AE1040)/AE1040)</f>
        <v/>
      </c>
      <c r="AG1041" s="29">
        <f t="shared" si="46"/>
        <v>102.17217746631495</v>
      </c>
      <c r="AH1041" s="12" t="str">
        <f>IF(OR(履歴データ!$A$1041="",AG1041=0),"",AE1041/AG1041-1)</f>
        <v/>
      </c>
    </row>
    <row r="1042" spans="1:34">
      <c r="A1042" s="10" t="str">
        <f>IF(履歴データ!$A$1042="","",履歴データ!$A$1042)</f>
        <v/>
      </c>
      <c r="B1042" s="28" t="str">
        <f>IF(履歴データ!$A$1042="","",(履歴データ!$D$1042-(履歴データ!$B$1042+履歴データ!$F$1042)/2)*100)</f>
        <v/>
      </c>
      <c r="C1042" s="28" t="str">
        <f>IF(履歴データ!$A$1042="","",(履歴データ!$H$1042-(履歴データ!$G$1042+履歴データ!$J$1042)/2)*100)</f>
        <v/>
      </c>
      <c r="D1042" s="28" t="str">
        <f>IF(履歴データ!$A$1042="","",(履歴データ!$D$1042-履歴データ!$H$1042)*100)</f>
        <v/>
      </c>
      <c r="E1042" s="28" t="str">
        <f>IF(履歴データ!$A$1042="","",(履歴データ!$D$1042-履歴データ!$C$1042)*100)</f>
        <v/>
      </c>
      <c r="F1042" s="28" t="str">
        <f>IF(履歴データ!$A$1042="","",(履歴データ!$R$1042-履歴データ!$D$1042)*100)</f>
        <v/>
      </c>
      <c r="G1042" s="28" t="str">
        <f>IF(履歴データ!$A$1042="","",(履歴データ!$S$1042-履歴データ!$R$1042)*100)</f>
        <v/>
      </c>
      <c r="H1042" s="29" t="str">
        <f>IF(履歴データ!$A$1042="","",履歴データ!$O$1042)</f>
        <v/>
      </c>
      <c r="I1042" s="29" t="str">
        <f>IF(履歴データ!$A$1042="","",履歴データ!$Q$1042)</f>
        <v/>
      </c>
      <c r="J1042" s="29" t="str">
        <f>IF(履歴データ!$A$1042="","",履歴データ!$D$1042)</f>
        <v/>
      </c>
      <c r="K1042" s="28" t="str">
        <f>IF(OR(履歴データ!$A$1042="",履歴データ!$A$1041=""),"",B1042-B1041)</f>
        <v/>
      </c>
      <c r="L1042" s="28" t="str">
        <f>IF(OR(履歴データ!$A$1042="",履歴データ!$A$1041=""),"",C1042-C1041)</f>
        <v/>
      </c>
      <c r="M1042" s="28" t="str">
        <f>IF(OR(履歴データ!$A$1042="",履歴データ!$A$1041=""),"",D1042-D1041)</f>
        <v/>
      </c>
      <c r="N1042" s="28" t="str">
        <f>IF(OR(履歴データ!$A$1042="",履歴データ!$A$1041=""),"",E1042-E1041)</f>
        <v/>
      </c>
      <c r="O1042" s="28" t="str">
        <f>IF(OR(履歴データ!$A$1042="",履歴データ!$A$1041=""),"",F1042-F1041)</f>
        <v/>
      </c>
      <c r="P1042" s="28" t="str">
        <f>IF(OR(履歴データ!$A$1042="",履歴データ!$A$1041=""),"",G1042-G1041)</f>
        <v/>
      </c>
      <c r="Q1042" s="29" t="str">
        <f>IF(OR(履歴データ!$A$1042="",履歴データ!$A$1041=""),"",H1042-H1041)</f>
        <v/>
      </c>
      <c r="R1042" s="29" t="str">
        <f>IF(OR(履歴データ!$A$1042="",履歴データ!$A$1041=""),"",I1042-I1041)</f>
        <v/>
      </c>
      <c r="S1042" s="28" t="str">
        <f>IF(OR(履歴データ!$A$1042="",履歴データ!$A$1041=""),"",(J1042-J1041)*100)</f>
        <v/>
      </c>
      <c r="T1042" s="11" t="str">
        <f>IF(OR(履歴データ!$A$1042="",履歴データ!$A$1041=""),"",-80000*K1042)</f>
        <v/>
      </c>
      <c r="U1042" s="11" t="str">
        <f>IF(OR(履歴データ!$A$1042="",履歴データ!$A$1041=""),"",60000*L1042)</f>
        <v/>
      </c>
      <c r="V1042" s="11" t="str">
        <f>IF(OR(履歴データ!$A$1042="",履歴データ!$A$1041=""),"",-50000*M1042)</f>
        <v/>
      </c>
      <c r="W1042" s="11" t="str">
        <f>IF(OR(履歴データ!$A$1042="",履歴データ!$A$1041=""),"",-40000*N1042)</f>
        <v/>
      </c>
      <c r="X1042" s="11" t="str">
        <f>IF(OR(履歴データ!$A$1042="",履歴データ!$A$1041=""),"",120*1000000*(-Q1042/H1041))</f>
        <v/>
      </c>
      <c r="Y1042" s="11" t="str">
        <f>IF(OR(履歴データ!$A$1042="",履歴データ!$A$1041=""),"",40000*(-S1042)+(-506.3)*R1042*1000)</f>
        <v/>
      </c>
      <c r="Z1042" s="11" t="str">
        <f>IF(OR(履歴データ!$A$1042="",履歴データ!$A$1041=""),"",-40000*O1042)</f>
        <v/>
      </c>
      <c r="AA1042" s="11" t="str">
        <f>IF(OR(履歴データ!$A$1042="",履歴データ!$A$1041=""),"",-40000*P1042)</f>
        <v/>
      </c>
      <c r="AB1042" s="11" t="str">
        <f>IF(履歴データ!$A$1042="","",123.3)</f>
        <v/>
      </c>
      <c r="AC1042" t="str">
        <f>IF(履歴データ!$A$1042="","",SUM(T1042:AA1042))</f>
        <v/>
      </c>
      <c r="AD1042" s="29" t="str">
        <f>IF(履歴データ!$A$1042="","",AC1042/1000000)</f>
        <v/>
      </c>
      <c r="AE1042" s="29">
        <f>IF(履歴データ!$A$1042="",AE1041,AE1041+AC1042/1000000)</f>
        <v>70.844544225831427</v>
      </c>
      <c r="AF1042" s="12" t="str">
        <f>IF(OR(履歴データ!$A$1042="",AE1041=0),"",(AE1042-AE1041)/AE1041)</f>
        <v/>
      </c>
      <c r="AG1042" s="29">
        <f t="shared" si="46"/>
        <v>102.17217746631495</v>
      </c>
      <c r="AH1042" s="12" t="str">
        <f>IF(OR(履歴データ!$A$1042="",AG1042=0),"",AE1042/AG1042-1)</f>
        <v/>
      </c>
    </row>
    <row r="1043" spans="1:34">
      <c r="A1043" s="10" t="str">
        <f>IF(履歴データ!$A$1043="","",履歴データ!$A$1043)</f>
        <v/>
      </c>
      <c r="B1043" s="28" t="str">
        <f>IF(履歴データ!$A$1043="","",(履歴データ!$D$1043-(履歴データ!$B$1043+履歴データ!$F$1043)/2)*100)</f>
        <v/>
      </c>
      <c r="C1043" s="28" t="str">
        <f>IF(履歴データ!$A$1043="","",(履歴データ!$H$1043-(履歴データ!$G$1043+履歴データ!$J$1043)/2)*100)</f>
        <v/>
      </c>
      <c r="D1043" s="28" t="str">
        <f>IF(履歴データ!$A$1043="","",(履歴データ!$D$1043-履歴データ!$H$1043)*100)</f>
        <v/>
      </c>
      <c r="E1043" s="28" t="str">
        <f>IF(履歴データ!$A$1043="","",(履歴データ!$D$1043-履歴データ!$C$1043)*100)</f>
        <v/>
      </c>
      <c r="F1043" s="28" t="str">
        <f>IF(履歴データ!$A$1043="","",(履歴データ!$R$1043-履歴データ!$D$1043)*100)</f>
        <v/>
      </c>
      <c r="G1043" s="28" t="str">
        <f>IF(履歴データ!$A$1043="","",(履歴データ!$S$1043-履歴データ!$R$1043)*100)</f>
        <v/>
      </c>
      <c r="H1043" s="29" t="str">
        <f>IF(履歴データ!$A$1043="","",履歴データ!$O$1043)</f>
        <v/>
      </c>
      <c r="I1043" s="29" t="str">
        <f>IF(履歴データ!$A$1043="","",履歴データ!$Q$1043)</f>
        <v/>
      </c>
      <c r="J1043" s="29" t="str">
        <f>IF(履歴データ!$A$1043="","",履歴データ!$D$1043)</f>
        <v/>
      </c>
      <c r="K1043" s="28" t="str">
        <f>IF(OR(履歴データ!$A$1043="",履歴データ!$A$1042=""),"",B1043-B1042)</f>
        <v/>
      </c>
      <c r="L1043" s="28" t="str">
        <f>IF(OR(履歴データ!$A$1043="",履歴データ!$A$1042=""),"",C1043-C1042)</f>
        <v/>
      </c>
      <c r="M1043" s="28" t="str">
        <f>IF(OR(履歴データ!$A$1043="",履歴データ!$A$1042=""),"",D1043-D1042)</f>
        <v/>
      </c>
      <c r="N1043" s="28" t="str">
        <f>IF(OR(履歴データ!$A$1043="",履歴データ!$A$1042=""),"",E1043-E1042)</f>
        <v/>
      </c>
      <c r="O1043" s="28" t="str">
        <f>IF(OR(履歴データ!$A$1043="",履歴データ!$A$1042=""),"",F1043-F1042)</f>
        <v/>
      </c>
      <c r="P1043" s="28" t="str">
        <f>IF(OR(履歴データ!$A$1043="",履歴データ!$A$1042=""),"",G1043-G1042)</f>
        <v/>
      </c>
      <c r="Q1043" s="29" t="str">
        <f>IF(OR(履歴データ!$A$1043="",履歴データ!$A$1042=""),"",H1043-H1042)</f>
        <v/>
      </c>
      <c r="R1043" s="29" t="str">
        <f>IF(OR(履歴データ!$A$1043="",履歴データ!$A$1042=""),"",I1043-I1042)</f>
        <v/>
      </c>
      <c r="S1043" s="28" t="str">
        <f>IF(OR(履歴データ!$A$1043="",履歴データ!$A$1042=""),"",(J1043-J1042)*100)</f>
        <v/>
      </c>
      <c r="T1043" s="11" t="str">
        <f>IF(OR(履歴データ!$A$1043="",履歴データ!$A$1042=""),"",-80000*K1043)</f>
        <v/>
      </c>
      <c r="U1043" s="11" t="str">
        <f>IF(OR(履歴データ!$A$1043="",履歴データ!$A$1042=""),"",60000*L1043)</f>
        <v/>
      </c>
      <c r="V1043" s="11" t="str">
        <f>IF(OR(履歴データ!$A$1043="",履歴データ!$A$1042=""),"",-50000*M1043)</f>
        <v/>
      </c>
      <c r="W1043" s="11" t="str">
        <f>IF(OR(履歴データ!$A$1043="",履歴データ!$A$1042=""),"",-40000*N1043)</f>
        <v/>
      </c>
      <c r="X1043" s="11" t="str">
        <f>IF(OR(履歴データ!$A$1043="",履歴データ!$A$1042=""),"",120*1000000*(-Q1043/H1042))</f>
        <v/>
      </c>
      <c r="Y1043" s="11" t="str">
        <f>IF(OR(履歴データ!$A$1043="",履歴データ!$A$1042=""),"",40000*(-S1043)+(-506.3)*R1043*1000)</f>
        <v/>
      </c>
      <c r="Z1043" s="11" t="str">
        <f>IF(OR(履歴データ!$A$1043="",履歴データ!$A$1042=""),"",-40000*O1043)</f>
        <v/>
      </c>
      <c r="AA1043" s="11" t="str">
        <f>IF(OR(履歴データ!$A$1043="",履歴データ!$A$1042=""),"",-40000*P1043)</f>
        <v/>
      </c>
      <c r="AB1043" s="11" t="str">
        <f>IF(履歴データ!$A$1043="","",123.3)</f>
        <v/>
      </c>
      <c r="AC1043" t="str">
        <f>IF(履歴データ!$A$1043="","",SUM(T1043:AA1043))</f>
        <v/>
      </c>
      <c r="AD1043" s="29" t="str">
        <f>IF(履歴データ!$A$1043="","",AC1043/1000000)</f>
        <v/>
      </c>
      <c r="AE1043" s="29">
        <f>IF(履歴データ!$A$1043="",AE1042,AE1042+AC1043/1000000)</f>
        <v>70.844544225831427</v>
      </c>
      <c r="AF1043" s="12" t="str">
        <f>IF(OR(履歴データ!$A$1043="",AE1042=0),"",(AE1043-AE1042)/AE1042)</f>
        <v/>
      </c>
      <c r="AG1043" s="29">
        <f t="shared" si="46"/>
        <v>102.17217746631495</v>
      </c>
      <c r="AH1043" s="12" t="str">
        <f>IF(OR(履歴データ!$A$1043="",AG1043=0),"",AE1043/AG1043-1)</f>
        <v/>
      </c>
    </row>
    <row r="1044" spans="1:34">
      <c r="A1044" s="10" t="str">
        <f>IF(履歴データ!$A$1044="","",履歴データ!$A$1044)</f>
        <v/>
      </c>
      <c r="B1044" s="28" t="str">
        <f>IF(履歴データ!$A$1044="","",(履歴データ!$D$1044-(履歴データ!$B$1044+履歴データ!$F$1044)/2)*100)</f>
        <v/>
      </c>
      <c r="C1044" s="28" t="str">
        <f>IF(履歴データ!$A$1044="","",(履歴データ!$H$1044-(履歴データ!$G$1044+履歴データ!$J$1044)/2)*100)</f>
        <v/>
      </c>
      <c r="D1044" s="28" t="str">
        <f>IF(履歴データ!$A$1044="","",(履歴データ!$D$1044-履歴データ!$H$1044)*100)</f>
        <v/>
      </c>
      <c r="E1044" s="28" t="str">
        <f>IF(履歴データ!$A$1044="","",(履歴データ!$D$1044-履歴データ!$C$1044)*100)</f>
        <v/>
      </c>
      <c r="F1044" s="28" t="str">
        <f>IF(履歴データ!$A$1044="","",(履歴データ!$R$1044-履歴データ!$D$1044)*100)</f>
        <v/>
      </c>
      <c r="G1044" s="28" t="str">
        <f>IF(履歴データ!$A$1044="","",(履歴データ!$S$1044-履歴データ!$R$1044)*100)</f>
        <v/>
      </c>
      <c r="H1044" s="29" t="str">
        <f>IF(履歴データ!$A$1044="","",履歴データ!$O$1044)</f>
        <v/>
      </c>
      <c r="I1044" s="29" t="str">
        <f>IF(履歴データ!$A$1044="","",履歴データ!$Q$1044)</f>
        <v/>
      </c>
      <c r="J1044" s="29" t="str">
        <f>IF(履歴データ!$A$1044="","",履歴データ!$D$1044)</f>
        <v/>
      </c>
      <c r="K1044" s="28" t="str">
        <f>IF(OR(履歴データ!$A$1044="",履歴データ!$A$1043=""),"",B1044-B1043)</f>
        <v/>
      </c>
      <c r="L1044" s="28" t="str">
        <f>IF(OR(履歴データ!$A$1044="",履歴データ!$A$1043=""),"",C1044-C1043)</f>
        <v/>
      </c>
      <c r="M1044" s="28" t="str">
        <f>IF(OR(履歴データ!$A$1044="",履歴データ!$A$1043=""),"",D1044-D1043)</f>
        <v/>
      </c>
      <c r="N1044" s="28" t="str">
        <f>IF(OR(履歴データ!$A$1044="",履歴データ!$A$1043=""),"",E1044-E1043)</f>
        <v/>
      </c>
      <c r="O1044" s="28" t="str">
        <f>IF(OR(履歴データ!$A$1044="",履歴データ!$A$1043=""),"",F1044-F1043)</f>
        <v/>
      </c>
      <c r="P1044" s="28" t="str">
        <f>IF(OR(履歴データ!$A$1044="",履歴データ!$A$1043=""),"",G1044-G1043)</f>
        <v/>
      </c>
      <c r="Q1044" s="29" t="str">
        <f>IF(OR(履歴データ!$A$1044="",履歴データ!$A$1043=""),"",H1044-H1043)</f>
        <v/>
      </c>
      <c r="R1044" s="29" t="str">
        <f>IF(OR(履歴データ!$A$1044="",履歴データ!$A$1043=""),"",I1044-I1043)</f>
        <v/>
      </c>
      <c r="S1044" s="28" t="str">
        <f>IF(OR(履歴データ!$A$1044="",履歴データ!$A$1043=""),"",(J1044-J1043)*100)</f>
        <v/>
      </c>
      <c r="T1044" s="11" t="str">
        <f>IF(OR(履歴データ!$A$1044="",履歴データ!$A$1043=""),"",-80000*K1044)</f>
        <v/>
      </c>
      <c r="U1044" s="11" t="str">
        <f>IF(OR(履歴データ!$A$1044="",履歴データ!$A$1043=""),"",60000*L1044)</f>
        <v/>
      </c>
      <c r="V1044" s="11" t="str">
        <f>IF(OR(履歴データ!$A$1044="",履歴データ!$A$1043=""),"",-50000*M1044)</f>
        <v/>
      </c>
      <c r="W1044" s="11" t="str">
        <f>IF(OR(履歴データ!$A$1044="",履歴データ!$A$1043=""),"",-40000*N1044)</f>
        <v/>
      </c>
      <c r="X1044" s="11" t="str">
        <f>IF(OR(履歴データ!$A$1044="",履歴データ!$A$1043=""),"",120*1000000*(-Q1044/H1043))</f>
        <v/>
      </c>
      <c r="Y1044" s="11" t="str">
        <f>IF(OR(履歴データ!$A$1044="",履歴データ!$A$1043=""),"",40000*(-S1044)+(-506.3)*R1044*1000)</f>
        <v/>
      </c>
      <c r="Z1044" s="11" t="str">
        <f>IF(OR(履歴データ!$A$1044="",履歴データ!$A$1043=""),"",-40000*O1044)</f>
        <v/>
      </c>
      <c r="AA1044" s="11" t="str">
        <f>IF(OR(履歴データ!$A$1044="",履歴データ!$A$1043=""),"",-40000*P1044)</f>
        <v/>
      </c>
      <c r="AB1044" s="11" t="str">
        <f>IF(履歴データ!$A$1044="","",123.3)</f>
        <v/>
      </c>
      <c r="AC1044" t="str">
        <f>IF(履歴データ!$A$1044="","",SUM(T1044:AA1044))</f>
        <v/>
      </c>
      <c r="AD1044" s="29" t="str">
        <f>IF(履歴データ!$A$1044="","",AC1044/1000000)</f>
        <v/>
      </c>
      <c r="AE1044" s="29">
        <f>IF(履歴データ!$A$1044="",AE1043,AE1043+AC1044/1000000)</f>
        <v>70.844544225831427</v>
      </c>
      <c r="AF1044" s="12" t="str">
        <f>IF(OR(履歴データ!$A$1044="",AE1043=0),"",(AE1044-AE1043)/AE1043)</f>
        <v/>
      </c>
      <c r="AG1044" s="29">
        <f t="shared" si="46"/>
        <v>102.17217746631495</v>
      </c>
      <c r="AH1044" s="12" t="str">
        <f>IF(OR(履歴データ!$A$1044="",AG1044=0),"",AE1044/AG1044-1)</f>
        <v/>
      </c>
    </row>
    <row r="1045" spans="1:34">
      <c r="A1045" s="10" t="str">
        <f>IF(履歴データ!$A$1045="","",履歴データ!$A$1045)</f>
        <v/>
      </c>
      <c r="B1045" s="28" t="str">
        <f>IF(履歴データ!$A$1045="","",(履歴データ!$D$1045-(履歴データ!$B$1045+履歴データ!$F$1045)/2)*100)</f>
        <v/>
      </c>
      <c r="C1045" s="28" t="str">
        <f>IF(履歴データ!$A$1045="","",(履歴データ!$H$1045-(履歴データ!$G$1045+履歴データ!$J$1045)/2)*100)</f>
        <v/>
      </c>
      <c r="D1045" s="28" t="str">
        <f>IF(履歴データ!$A$1045="","",(履歴データ!$D$1045-履歴データ!$H$1045)*100)</f>
        <v/>
      </c>
      <c r="E1045" s="28" t="str">
        <f>IF(履歴データ!$A$1045="","",(履歴データ!$D$1045-履歴データ!$C$1045)*100)</f>
        <v/>
      </c>
      <c r="F1045" s="28" t="str">
        <f>IF(履歴データ!$A$1045="","",(履歴データ!$R$1045-履歴データ!$D$1045)*100)</f>
        <v/>
      </c>
      <c r="G1045" s="28" t="str">
        <f>IF(履歴データ!$A$1045="","",(履歴データ!$S$1045-履歴データ!$R$1045)*100)</f>
        <v/>
      </c>
      <c r="H1045" s="29" t="str">
        <f>IF(履歴データ!$A$1045="","",履歴データ!$O$1045)</f>
        <v/>
      </c>
      <c r="I1045" s="29" t="str">
        <f>IF(履歴データ!$A$1045="","",履歴データ!$Q$1045)</f>
        <v/>
      </c>
      <c r="J1045" s="29" t="str">
        <f>IF(履歴データ!$A$1045="","",履歴データ!$D$1045)</f>
        <v/>
      </c>
      <c r="K1045" s="28" t="str">
        <f>IF(OR(履歴データ!$A$1045="",履歴データ!$A$1044=""),"",B1045-B1044)</f>
        <v/>
      </c>
      <c r="L1045" s="28" t="str">
        <f>IF(OR(履歴データ!$A$1045="",履歴データ!$A$1044=""),"",C1045-C1044)</f>
        <v/>
      </c>
      <c r="M1045" s="28" t="str">
        <f>IF(OR(履歴データ!$A$1045="",履歴データ!$A$1044=""),"",D1045-D1044)</f>
        <v/>
      </c>
      <c r="N1045" s="28" t="str">
        <f>IF(OR(履歴データ!$A$1045="",履歴データ!$A$1044=""),"",E1045-E1044)</f>
        <v/>
      </c>
      <c r="O1045" s="28" t="str">
        <f>IF(OR(履歴データ!$A$1045="",履歴データ!$A$1044=""),"",F1045-F1044)</f>
        <v/>
      </c>
      <c r="P1045" s="28" t="str">
        <f>IF(OR(履歴データ!$A$1045="",履歴データ!$A$1044=""),"",G1045-G1044)</f>
        <v/>
      </c>
      <c r="Q1045" s="29" t="str">
        <f>IF(OR(履歴データ!$A$1045="",履歴データ!$A$1044=""),"",H1045-H1044)</f>
        <v/>
      </c>
      <c r="R1045" s="29" t="str">
        <f>IF(OR(履歴データ!$A$1045="",履歴データ!$A$1044=""),"",I1045-I1044)</f>
        <v/>
      </c>
      <c r="S1045" s="28" t="str">
        <f>IF(OR(履歴データ!$A$1045="",履歴データ!$A$1044=""),"",(J1045-J1044)*100)</f>
        <v/>
      </c>
      <c r="T1045" s="11" t="str">
        <f>IF(OR(履歴データ!$A$1045="",履歴データ!$A$1044=""),"",-80000*K1045)</f>
        <v/>
      </c>
      <c r="U1045" s="11" t="str">
        <f>IF(OR(履歴データ!$A$1045="",履歴データ!$A$1044=""),"",60000*L1045)</f>
        <v/>
      </c>
      <c r="V1045" s="11" t="str">
        <f>IF(OR(履歴データ!$A$1045="",履歴データ!$A$1044=""),"",-50000*M1045)</f>
        <v/>
      </c>
      <c r="W1045" s="11" t="str">
        <f>IF(OR(履歴データ!$A$1045="",履歴データ!$A$1044=""),"",-40000*N1045)</f>
        <v/>
      </c>
      <c r="X1045" s="11" t="str">
        <f>IF(OR(履歴データ!$A$1045="",履歴データ!$A$1044=""),"",120*1000000*(-Q1045/H1044))</f>
        <v/>
      </c>
      <c r="Y1045" s="11" t="str">
        <f>IF(OR(履歴データ!$A$1045="",履歴データ!$A$1044=""),"",40000*(-S1045)+(-506.3)*R1045*1000)</f>
        <v/>
      </c>
      <c r="Z1045" s="11" t="str">
        <f>IF(OR(履歴データ!$A$1045="",履歴データ!$A$1044=""),"",-40000*O1045)</f>
        <v/>
      </c>
      <c r="AA1045" s="11" t="str">
        <f>IF(OR(履歴データ!$A$1045="",履歴データ!$A$1044=""),"",-40000*P1045)</f>
        <v/>
      </c>
      <c r="AB1045" s="11" t="str">
        <f>IF(履歴データ!$A$1045="","",123.3)</f>
        <v/>
      </c>
      <c r="AC1045" t="str">
        <f>IF(履歴データ!$A$1045="","",SUM(T1045:AA1045))</f>
        <v/>
      </c>
      <c r="AD1045" s="29" t="str">
        <f>IF(履歴データ!$A$1045="","",AC1045/1000000)</f>
        <v/>
      </c>
      <c r="AE1045" s="29">
        <f>IF(履歴データ!$A$1045="",AE1044,AE1044+AC1045/1000000)</f>
        <v>70.844544225831427</v>
      </c>
      <c r="AF1045" s="12" t="str">
        <f>IF(OR(履歴データ!$A$1045="",AE1044=0),"",(AE1045-AE1044)/AE1044)</f>
        <v/>
      </c>
      <c r="AG1045" s="29">
        <f t="shared" si="46"/>
        <v>102.17217746631495</v>
      </c>
      <c r="AH1045" s="12" t="str">
        <f>IF(OR(履歴データ!$A$1045="",AG1045=0),"",AE1045/AG1045-1)</f>
        <v/>
      </c>
    </row>
    <row r="1046" spans="1:34">
      <c r="A1046" s="10" t="str">
        <f>IF(履歴データ!$A$1046="","",履歴データ!$A$1046)</f>
        <v/>
      </c>
      <c r="B1046" s="28" t="str">
        <f>IF(履歴データ!$A$1046="","",(履歴データ!$D$1046-(履歴データ!$B$1046+履歴データ!$F$1046)/2)*100)</f>
        <v/>
      </c>
      <c r="C1046" s="28" t="str">
        <f>IF(履歴データ!$A$1046="","",(履歴データ!$H$1046-(履歴データ!$G$1046+履歴データ!$J$1046)/2)*100)</f>
        <v/>
      </c>
      <c r="D1046" s="28" t="str">
        <f>IF(履歴データ!$A$1046="","",(履歴データ!$D$1046-履歴データ!$H$1046)*100)</f>
        <v/>
      </c>
      <c r="E1046" s="28" t="str">
        <f>IF(履歴データ!$A$1046="","",(履歴データ!$D$1046-履歴データ!$C$1046)*100)</f>
        <v/>
      </c>
      <c r="F1046" s="28" t="str">
        <f>IF(履歴データ!$A$1046="","",(履歴データ!$R$1046-履歴データ!$D$1046)*100)</f>
        <v/>
      </c>
      <c r="G1046" s="28" t="str">
        <f>IF(履歴データ!$A$1046="","",(履歴データ!$S$1046-履歴データ!$R$1046)*100)</f>
        <v/>
      </c>
      <c r="H1046" s="29" t="str">
        <f>IF(履歴データ!$A$1046="","",履歴データ!$O$1046)</f>
        <v/>
      </c>
      <c r="I1046" s="29" t="str">
        <f>IF(履歴データ!$A$1046="","",履歴データ!$Q$1046)</f>
        <v/>
      </c>
      <c r="J1046" s="29" t="str">
        <f>IF(履歴データ!$A$1046="","",履歴データ!$D$1046)</f>
        <v/>
      </c>
      <c r="K1046" s="28" t="str">
        <f>IF(OR(履歴データ!$A$1046="",履歴データ!$A$1045=""),"",B1046-B1045)</f>
        <v/>
      </c>
      <c r="L1046" s="28" t="str">
        <f>IF(OR(履歴データ!$A$1046="",履歴データ!$A$1045=""),"",C1046-C1045)</f>
        <v/>
      </c>
      <c r="M1046" s="28" t="str">
        <f>IF(OR(履歴データ!$A$1046="",履歴データ!$A$1045=""),"",D1046-D1045)</f>
        <v/>
      </c>
      <c r="N1046" s="28" t="str">
        <f>IF(OR(履歴データ!$A$1046="",履歴データ!$A$1045=""),"",E1046-E1045)</f>
        <v/>
      </c>
      <c r="O1046" s="28" t="str">
        <f>IF(OR(履歴データ!$A$1046="",履歴データ!$A$1045=""),"",F1046-F1045)</f>
        <v/>
      </c>
      <c r="P1046" s="28" t="str">
        <f>IF(OR(履歴データ!$A$1046="",履歴データ!$A$1045=""),"",G1046-G1045)</f>
        <v/>
      </c>
      <c r="Q1046" s="29" t="str">
        <f>IF(OR(履歴データ!$A$1046="",履歴データ!$A$1045=""),"",H1046-H1045)</f>
        <v/>
      </c>
      <c r="R1046" s="29" t="str">
        <f>IF(OR(履歴データ!$A$1046="",履歴データ!$A$1045=""),"",I1046-I1045)</f>
        <v/>
      </c>
      <c r="S1046" s="28" t="str">
        <f>IF(OR(履歴データ!$A$1046="",履歴データ!$A$1045=""),"",(J1046-J1045)*100)</f>
        <v/>
      </c>
      <c r="T1046" s="11" t="str">
        <f>IF(OR(履歴データ!$A$1046="",履歴データ!$A$1045=""),"",-80000*K1046)</f>
        <v/>
      </c>
      <c r="U1046" s="11" t="str">
        <f>IF(OR(履歴データ!$A$1046="",履歴データ!$A$1045=""),"",60000*L1046)</f>
        <v/>
      </c>
      <c r="V1046" s="11" t="str">
        <f>IF(OR(履歴データ!$A$1046="",履歴データ!$A$1045=""),"",-50000*M1046)</f>
        <v/>
      </c>
      <c r="W1046" s="11" t="str">
        <f>IF(OR(履歴データ!$A$1046="",履歴データ!$A$1045=""),"",-40000*N1046)</f>
        <v/>
      </c>
      <c r="X1046" s="11" t="str">
        <f>IF(OR(履歴データ!$A$1046="",履歴データ!$A$1045=""),"",120*1000000*(-Q1046/H1045))</f>
        <v/>
      </c>
      <c r="Y1046" s="11" t="str">
        <f>IF(OR(履歴データ!$A$1046="",履歴データ!$A$1045=""),"",40000*(-S1046)+(-506.3)*R1046*1000)</f>
        <v/>
      </c>
      <c r="Z1046" s="11" t="str">
        <f>IF(OR(履歴データ!$A$1046="",履歴データ!$A$1045=""),"",-40000*O1046)</f>
        <v/>
      </c>
      <c r="AA1046" s="11" t="str">
        <f>IF(OR(履歴データ!$A$1046="",履歴データ!$A$1045=""),"",-40000*P1046)</f>
        <v/>
      </c>
      <c r="AB1046" s="11" t="str">
        <f>IF(履歴データ!$A$1046="","",123.3)</f>
        <v/>
      </c>
      <c r="AC1046" t="str">
        <f>IF(履歴データ!$A$1046="","",SUM(T1046:AA1046))</f>
        <v/>
      </c>
      <c r="AD1046" s="29" t="str">
        <f>IF(履歴データ!$A$1046="","",AC1046/1000000)</f>
        <v/>
      </c>
      <c r="AE1046" s="29">
        <f>IF(履歴データ!$A$1046="",AE1045,AE1045+AC1046/1000000)</f>
        <v>70.844544225831427</v>
      </c>
      <c r="AF1046" s="12" t="str">
        <f>IF(OR(履歴データ!$A$1046="",AE1045=0),"",(AE1046-AE1045)/AE1045)</f>
        <v/>
      </c>
      <c r="AG1046" s="29">
        <f t="shared" si="46"/>
        <v>102.17217746631495</v>
      </c>
      <c r="AH1046" s="12" t="str">
        <f>IF(OR(履歴データ!$A$1046="",AG1046=0),"",AE1046/AG1046-1)</f>
        <v/>
      </c>
    </row>
    <row r="1047" spans="1:34">
      <c r="A1047" s="10" t="str">
        <f>IF(履歴データ!$A$1047="","",履歴データ!$A$1047)</f>
        <v/>
      </c>
      <c r="B1047" s="28" t="str">
        <f>IF(履歴データ!$A$1047="","",(履歴データ!$D$1047-(履歴データ!$B$1047+履歴データ!$F$1047)/2)*100)</f>
        <v/>
      </c>
      <c r="C1047" s="28" t="str">
        <f>IF(履歴データ!$A$1047="","",(履歴データ!$H$1047-(履歴データ!$G$1047+履歴データ!$J$1047)/2)*100)</f>
        <v/>
      </c>
      <c r="D1047" s="28" t="str">
        <f>IF(履歴データ!$A$1047="","",(履歴データ!$D$1047-履歴データ!$H$1047)*100)</f>
        <v/>
      </c>
      <c r="E1047" s="28" t="str">
        <f>IF(履歴データ!$A$1047="","",(履歴データ!$D$1047-履歴データ!$C$1047)*100)</f>
        <v/>
      </c>
      <c r="F1047" s="28" t="str">
        <f>IF(履歴データ!$A$1047="","",(履歴データ!$R$1047-履歴データ!$D$1047)*100)</f>
        <v/>
      </c>
      <c r="G1047" s="28" t="str">
        <f>IF(履歴データ!$A$1047="","",(履歴データ!$S$1047-履歴データ!$R$1047)*100)</f>
        <v/>
      </c>
      <c r="H1047" s="29" t="str">
        <f>IF(履歴データ!$A$1047="","",履歴データ!$O$1047)</f>
        <v/>
      </c>
      <c r="I1047" s="29" t="str">
        <f>IF(履歴データ!$A$1047="","",履歴データ!$Q$1047)</f>
        <v/>
      </c>
      <c r="J1047" s="29" t="str">
        <f>IF(履歴データ!$A$1047="","",履歴データ!$D$1047)</f>
        <v/>
      </c>
      <c r="K1047" s="28" t="str">
        <f>IF(OR(履歴データ!$A$1047="",履歴データ!$A$1046=""),"",B1047-B1046)</f>
        <v/>
      </c>
      <c r="L1047" s="28" t="str">
        <f>IF(OR(履歴データ!$A$1047="",履歴データ!$A$1046=""),"",C1047-C1046)</f>
        <v/>
      </c>
      <c r="M1047" s="28" t="str">
        <f>IF(OR(履歴データ!$A$1047="",履歴データ!$A$1046=""),"",D1047-D1046)</f>
        <v/>
      </c>
      <c r="N1047" s="28" t="str">
        <f>IF(OR(履歴データ!$A$1047="",履歴データ!$A$1046=""),"",E1047-E1046)</f>
        <v/>
      </c>
      <c r="O1047" s="28" t="str">
        <f>IF(OR(履歴データ!$A$1047="",履歴データ!$A$1046=""),"",F1047-F1046)</f>
        <v/>
      </c>
      <c r="P1047" s="28" t="str">
        <f>IF(OR(履歴データ!$A$1047="",履歴データ!$A$1046=""),"",G1047-G1046)</f>
        <v/>
      </c>
      <c r="Q1047" s="29" t="str">
        <f>IF(OR(履歴データ!$A$1047="",履歴データ!$A$1046=""),"",H1047-H1046)</f>
        <v/>
      </c>
      <c r="R1047" s="29" t="str">
        <f>IF(OR(履歴データ!$A$1047="",履歴データ!$A$1046=""),"",I1047-I1046)</f>
        <v/>
      </c>
      <c r="S1047" s="28" t="str">
        <f>IF(OR(履歴データ!$A$1047="",履歴データ!$A$1046=""),"",(J1047-J1046)*100)</f>
        <v/>
      </c>
      <c r="T1047" s="11" t="str">
        <f>IF(OR(履歴データ!$A$1047="",履歴データ!$A$1046=""),"",-80000*K1047)</f>
        <v/>
      </c>
      <c r="U1047" s="11" t="str">
        <f>IF(OR(履歴データ!$A$1047="",履歴データ!$A$1046=""),"",60000*L1047)</f>
        <v/>
      </c>
      <c r="V1047" s="11" t="str">
        <f>IF(OR(履歴データ!$A$1047="",履歴データ!$A$1046=""),"",-50000*M1047)</f>
        <v/>
      </c>
      <c r="W1047" s="11" t="str">
        <f>IF(OR(履歴データ!$A$1047="",履歴データ!$A$1046=""),"",-40000*N1047)</f>
        <v/>
      </c>
      <c r="X1047" s="11" t="str">
        <f>IF(OR(履歴データ!$A$1047="",履歴データ!$A$1046=""),"",120*1000000*(-Q1047/H1046))</f>
        <v/>
      </c>
      <c r="Y1047" s="11" t="str">
        <f>IF(OR(履歴データ!$A$1047="",履歴データ!$A$1046=""),"",40000*(-S1047)+(-506.3)*R1047*1000)</f>
        <v/>
      </c>
      <c r="Z1047" s="11" t="str">
        <f>IF(OR(履歴データ!$A$1047="",履歴データ!$A$1046=""),"",-40000*O1047)</f>
        <v/>
      </c>
      <c r="AA1047" s="11" t="str">
        <f>IF(OR(履歴データ!$A$1047="",履歴データ!$A$1046=""),"",-40000*P1047)</f>
        <v/>
      </c>
      <c r="AB1047" s="11" t="str">
        <f>IF(履歴データ!$A$1047="","",123.3)</f>
        <v/>
      </c>
      <c r="AC1047" t="str">
        <f>IF(履歴データ!$A$1047="","",SUM(T1047:AA1047))</f>
        <v/>
      </c>
      <c r="AD1047" s="29" t="str">
        <f>IF(履歴データ!$A$1047="","",AC1047/1000000)</f>
        <v/>
      </c>
      <c r="AE1047" s="29">
        <f>IF(履歴データ!$A$1047="",AE1046,AE1046+AC1047/1000000)</f>
        <v>70.844544225831427</v>
      </c>
      <c r="AF1047" s="12" t="str">
        <f>IF(OR(履歴データ!$A$1047="",AE1046=0),"",(AE1047-AE1046)/AE1046)</f>
        <v/>
      </c>
      <c r="AG1047" s="29">
        <f t="shared" si="46"/>
        <v>102.17217746631495</v>
      </c>
      <c r="AH1047" s="12" t="str">
        <f>IF(OR(履歴データ!$A$1047="",AG1047=0),"",AE1047/AG1047-1)</f>
        <v/>
      </c>
    </row>
    <row r="1048" spans="1:34">
      <c r="A1048" s="10" t="str">
        <f>IF(履歴データ!$A$1048="","",履歴データ!$A$1048)</f>
        <v/>
      </c>
      <c r="B1048" s="28" t="str">
        <f>IF(履歴データ!$A$1048="","",(履歴データ!$D$1048-(履歴データ!$B$1048+履歴データ!$F$1048)/2)*100)</f>
        <v/>
      </c>
      <c r="C1048" s="28" t="str">
        <f>IF(履歴データ!$A$1048="","",(履歴データ!$H$1048-(履歴データ!$G$1048+履歴データ!$J$1048)/2)*100)</f>
        <v/>
      </c>
      <c r="D1048" s="28" t="str">
        <f>IF(履歴データ!$A$1048="","",(履歴データ!$D$1048-履歴データ!$H$1048)*100)</f>
        <v/>
      </c>
      <c r="E1048" s="28" t="str">
        <f>IF(履歴データ!$A$1048="","",(履歴データ!$D$1048-履歴データ!$C$1048)*100)</f>
        <v/>
      </c>
      <c r="F1048" s="28" t="str">
        <f>IF(履歴データ!$A$1048="","",(履歴データ!$R$1048-履歴データ!$D$1048)*100)</f>
        <v/>
      </c>
      <c r="G1048" s="28" t="str">
        <f>IF(履歴データ!$A$1048="","",(履歴データ!$S$1048-履歴データ!$R$1048)*100)</f>
        <v/>
      </c>
      <c r="H1048" s="29" t="str">
        <f>IF(履歴データ!$A$1048="","",履歴データ!$O$1048)</f>
        <v/>
      </c>
      <c r="I1048" s="29" t="str">
        <f>IF(履歴データ!$A$1048="","",履歴データ!$Q$1048)</f>
        <v/>
      </c>
      <c r="J1048" s="29" t="str">
        <f>IF(履歴データ!$A$1048="","",履歴データ!$D$1048)</f>
        <v/>
      </c>
      <c r="K1048" s="28" t="str">
        <f>IF(OR(履歴データ!$A$1048="",履歴データ!$A$1047=""),"",B1048-B1047)</f>
        <v/>
      </c>
      <c r="L1048" s="28" t="str">
        <f>IF(OR(履歴データ!$A$1048="",履歴データ!$A$1047=""),"",C1048-C1047)</f>
        <v/>
      </c>
      <c r="M1048" s="28" t="str">
        <f>IF(OR(履歴データ!$A$1048="",履歴データ!$A$1047=""),"",D1048-D1047)</f>
        <v/>
      </c>
      <c r="N1048" s="28" t="str">
        <f>IF(OR(履歴データ!$A$1048="",履歴データ!$A$1047=""),"",E1048-E1047)</f>
        <v/>
      </c>
      <c r="O1048" s="28" t="str">
        <f>IF(OR(履歴データ!$A$1048="",履歴データ!$A$1047=""),"",F1048-F1047)</f>
        <v/>
      </c>
      <c r="P1048" s="28" t="str">
        <f>IF(OR(履歴データ!$A$1048="",履歴データ!$A$1047=""),"",G1048-G1047)</f>
        <v/>
      </c>
      <c r="Q1048" s="29" t="str">
        <f>IF(OR(履歴データ!$A$1048="",履歴データ!$A$1047=""),"",H1048-H1047)</f>
        <v/>
      </c>
      <c r="R1048" s="29" t="str">
        <f>IF(OR(履歴データ!$A$1048="",履歴データ!$A$1047=""),"",I1048-I1047)</f>
        <v/>
      </c>
      <c r="S1048" s="28" t="str">
        <f>IF(OR(履歴データ!$A$1048="",履歴データ!$A$1047=""),"",(J1048-J1047)*100)</f>
        <v/>
      </c>
      <c r="T1048" s="11" t="str">
        <f>IF(OR(履歴データ!$A$1048="",履歴データ!$A$1047=""),"",-80000*K1048)</f>
        <v/>
      </c>
      <c r="U1048" s="11" t="str">
        <f>IF(OR(履歴データ!$A$1048="",履歴データ!$A$1047=""),"",60000*L1048)</f>
        <v/>
      </c>
      <c r="V1048" s="11" t="str">
        <f>IF(OR(履歴データ!$A$1048="",履歴データ!$A$1047=""),"",-50000*M1048)</f>
        <v/>
      </c>
      <c r="W1048" s="11" t="str">
        <f>IF(OR(履歴データ!$A$1048="",履歴データ!$A$1047=""),"",-40000*N1048)</f>
        <v/>
      </c>
      <c r="X1048" s="11" t="str">
        <f>IF(OR(履歴データ!$A$1048="",履歴データ!$A$1047=""),"",120*1000000*(-Q1048/H1047))</f>
        <v/>
      </c>
      <c r="Y1048" s="11" t="str">
        <f>IF(OR(履歴データ!$A$1048="",履歴データ!$A$1047=""),"",40000*(-S1048)+(-506.3)*R1048*1000)</f>
        <v/>
      </c>
      <c r="Z1048" s="11" t="str">
        <f>IF(OR(履歴データ!$A$1048="",履歴データ!$A$1047=""),"",-40000*O1048)</f>
        <v/>
      </c>
      <c r="AA1048" s="11" t="str">
        <f>IF(OR(履歴データ!$A$1048="",履歴データ!$A$1047=""),"",-40000*P1048)</f>
        <v/>
      </c>
      <c r="AB1048" s="11" t="str">
        <f>IF(履歴データ!$A$1048="","",123.3)</f>
        <v/>
      </c>
      <c r="AC1048" t="str">
        <f>IF(履歴データ!$A$1048="","",SUM(T1048:AA1048))</f>
        <v/>
      </c>
      <c r="AD1048" s="29" t="str">
        <f>IF(履歴データ!$A$1048="","",AC1048/1000000)</f>
        <v/>
      </c>
      <c r="AE1048" s="29">
        <f>IF(履歴データ!$A$1048="",AE1047,AE1047+AC1048/1000000)</f>
        <v>70.844544225831427</v>
      </c>
      <c r="AF1048" s="12" t="str">
        <f>IF(OR(履歴データ!$A$1048="",AE1047=0),"",(AE1048-AE1047)/AE1047)</f>
        <v/>
      </c>
      <c r="AG1048" s="29">
        <f t="shared" si="46"/>
        <v>102.17217746631495</v>
      </c>
      <c r="AH1048" s="12" t="str">
        <f>IF(OR(履歴データ!$A$1048="",AG1048=0),"",AE1048/AG1048-1)</f>
        <v/>
      </c>
    </row>
    <row r="1049" spans="1:34">
      <c r="A1049" s="10" t="str">
        <f>IF(履歴データ!$A$1049="","",履歴データ!$A$1049)</f>
        <v/>
      </c>
      <c r="B1049" s="28" t="str">
        <f>IF(履歴データ!$A$1049="","",(履歴データ!$D$1049-(履歴データ!$B$1049+履歴データ!$F$1049)/2)*100)</f>
        <v/>
      </c>
      <c r="C1049" s="28" t="str">
        <f>IF(履歴データ!$A$1049="","",(履歴データ!$H$1049-(履歴データ!$G$1049+履歴データ!$J$1049)/2)*100)</f>
        <v/>
      </c>
      <c r="D1049" s="28" t="str">
        <f>IF(履歴データ!$A$1049="","",(履歴データ!$D$1049-履歴データ!$H$1049)*100)</f>
        <v/>
      </c>
      <c r="E1049" s="28" t="str">
        <f>IF(履歴データ!$A$1049="","",(履歴データ!$D$1049-履歴データ!$C$1049)*100)</f>
        <v/>
      </c>
      <c r="F1049" s="28" t="str">
        <f>IF(履歴データ!$A$1049="","",(履歴データ!$R$1049-履歴データ!$D$1049)*100)</f>
        <v/>
      </c>
      <c r="G1049" s="28" t="str">
        <f>IF(履歴データ!$A$1049="","",(履歴データ!$S$1049-履歴データ!$R$1049)*100)</f>
        <v/>
      </c>
      <c r="H1049" s="29" t="str">
        <f>IF(履歴データ!$A$1049="","",履歴データ!$O$1049)</f>
        <v/>
      </c>
      <c r="I1049" s="29" t="str">
        <f>IF(履歴データ!$A$1049="","",履歴データ!$Q$1049)</f>
        <v/>
      </c>
      <c r="J1049" s="29" t="str">
        <f>IF(履歴データ!$A$1049="","",履歴データ!$D$1049)</f>
        <v/>
      </c>
      <c r="K1049" s="28" t="str">
        <f>IF(OR(履歴データ!$A$1049="",履歴データ!$A$1048=""),"",B1049-B1048)</f>
        <v/>
      </c>
      <c r="L1049" s="28" t="str">
        <f>IF(OR(履歴データ!$A$1049="",履歴データ!$A$1048=""),"",C1049-C1048)</f>
        <v/>
      </c>
      <c r="M1049" s="28" t="str">
        <f>IF(OR(履歴データ!$A$1049="",履歴データ!$A$1048=""),"",D1049-D1048)</f>
        <v/>
      </c>
      <c r="N1049" s="28" t="str">
        <f>IF(OR(履歴データ!$A$1049="",履歴データ!$A$1048=""),"",E1049-E1048)</f>
        <v/>
      </c>
      <c r="O1049" s="28" t="str">
        <f>IF(OR(履歴データ!$A$1049="",履歴データ!$A$1048=""),"",F1049-F1048)</f>
        <v/>
      </c>
      <c r="P1049" s="28" t="str">
        <f>IF(OR(履歴データ!$A$1049="",履歴データ!$A$1048=""),"",G1049-G1048)</f>
        <v/>
      </c>
      <c r="Q1049" s="29" t="str">
        <f>IF(OR(履歴データ!$A$1049="",履歴データ!$A$1048=""),"",H1049-H1048)</f>
        <v/>
      </c>
      <c r="R1049" s="29" t="str">
        <f>IF(OR(履歴データ!$A$1049="",履歴データ!$A$1048=""),"",I1049-I1048)</f>
        <v/>
      </c>
      <c r="S1049" s="28" t="str">
        <f>IF(OR(履歴データ!$A$1049="",履歴データ!$A$1048=""),"",(J1049-J1048)*100)</f>
        <v/>
      </c>
      <c r="T1049" s="11" t="str">
        <f>IF(OR(履歴データ!$A$1049="",履歴データ!$A$1048=""),"",-80000*K1049)</f>
        <v/>
      </c>
      <c r="U1049" s="11" t="str">
        <f>IF(OR(履歴データ!$A$1049="",履歴データ!$A$1048=""),"",60000*L1049)</f>
        <v/>
      </c>
      <c r="V1049" s="11" t="str">
        <f>IF(OR(履歴データ!$A$1049="",履歴データ!$A$1048=""),"",-50000*M1049)</f>
        <v/>
      </c>
      <c r="W1049" s="11" t="str">
        <f>IF(OR(履歴データ!$A$1049="",履歴データ!$A$1048=""),"",-40000*N1049)</f>
        <v/>
      </c>
      <c r="X1049" s="11" t="str">
        <f>IF(OR(履歴データ!$A$1049="",履歴データ!$A$1048=""),"",120*1000000*(-Q1049/H1048))</f>
        <v/>
      </c>
      <c r="Y1049" s="11" t="str">
        <f>IF(OR(履歴データ!$A$1049="",履歴データ!$A$1048=""),"",40000*(-S1049)+(-506.3)*R1049*1000)</f>
        <v/>
      </c>
      <c r="Z1049" s="11" t="str">
        <f>IF(OR(履歴データ!$A$1049="",履歴データ!$A$1048=""),"",-40000*O1049)</f>
        <v/>
      </c>
      <c r="AA1049" s="11" t="str">
        <f>IF(OR(履歴データ!$A$1049="",履歴データ!$A$1048=""),"",-40000*P1049)</f>
        <v/>
      </c>
      <c r="AB1049" s="11" t="str">
        <f>IF(履歴データ!$A$1049="","",123.3)</f>
        <v/>
      </c>
      <c r="AC1049" t="str">
        <f>IF(履歴データ!$A$1049="","",SUM(T1049:AA1049))</f>
        <v/>
      </c>
      <c r="AD1049" s="29" t="str">
        <f>IF(履歴データ!$A$1049="","",AC1049/1000000)</f>
        <v/>
      </c>
      <c r="AE1049" s="29">
        <f>IF(履歴データ!$A$1049="",AE1048,AE1048+AC1049/1000000)</f>
        <v>70.844544225831427</v>
      </c>
      <c r="AF1049" s="12" t="str">
        <f>IF(OR(履歴データ!$A$1049="",AE1048=0),"",(AE1049-AE1048)/AE1048)</f>
        <v/>
      </c>
      <c r="AG1049" s="29">
        <f t="shared" si="46"/>
        <v>102.17217746631495</v>
      </c>
      <c r="AH1049" s="12" t="str">
        <f>IF(OR(履歴データ!$A$1049="",AG1049=0),"",AE1049/AG1049-1)</f>
        <v/>
      </c>
    </row>
    <row r="1050" spans="1:34">
      <c r="A1050" s="10" t="str">
        <f>IF(履歴データ!$A$1050="","",履歴データ!$A$1050)</f>
        <v/>
      </c>
      <c r="B1050" s="28" t="str">
        <f>IF(履歴データ!$A$1050="","",(履歴データ!$D$1050-(履歴データ!$B$1050+履歴データ!$F$1050)/2)*100)</f>
        <v/>
      </c>
      <c r="C1050" s="28" t="str">
        <f>IF(履歴データ!$A$1050="","",(履歴データ!$H$1050-(履歴データ!$G$1050+履歴データ!$J$1050)/2)*100)</f>
        <v/>
      </c>
      <c r="D1050" s="28" t="str">
        <f>IF(履歴データ!$A$1050="","",(履歴データ!$D$1050-履歴データ!$H$1050)*100)</f>
        <v/>
      </c>
      <c r="E1050" s="28" t="str">
        <f>IF(履歴データ!$A$1050="","",(履歴データ!$D$1050-履歴データ!$C$1050)*100)</f>
        <v/>
      </c>
      <c r="F1050" s="28" t="str">
        <f>IF(履歴データ!$A$1050="","",(履歴データ!$R$1050-履歴データ!$D$1050)*100)</f>
        <v/>
      </c>
      <c r="G1050" s="28" t="str">
        <f>IF(履歴データ!$A$1050="","",(履歴データ!$S$1050-履歴データ!$R$1050)*100)</f>
        <v/>
      </c>
      <c r="H1050" s="29" t="str">
        <f>IF(履歴データ!$A$1050="","",履歴データ!$O$1050)</f>
        <v/>
      </c>
      <c r="I1050" s="29" t="str">
        <f>IF(履歴データ!$A$1050="","",履歴データ!$Q$1050)</f>
        <v/>
      </c>
      <c r="J1050" s="29" t="str">
        <f>IF(履歴データ!$A$1050="","",履歴データ!$D$1050)</f>
        <v/>
      </c>
      <c r="K1050" s="28" t="str">
        <f>IF(OR(履歴データ!$A$1050="",履歴データ!$A$1049=""),"",B1050-B1049)</f>
        <v/>
      </c>
      <c r="L1050" s="28" t="str">
        <f>IF(OR(履歴データ!$A$1050="",履歴データ!$A$1049=""),"",C1050-C1049)</f>
        <v/>
      </c>
      <c r="M1050" s="28" t="str">
        <f>IF(OR(履歴データ!$A$1050="",履歴データ!$A$1049=""),"",D1050-D1049)</f>
        <v/>
      </c>
      <c r="N1050" s="28" t="str">
        <f>IF(OR(履歴データ!$A$1050="",履歴データ!$A$1049=""),"",E1050-E1049)</f>
        <v/>
      </c>
      <c r="O1050" s="28" t="str">
        <f>IF(OR(履歴データ!$A$1050="",履歴データ!$A$1049=""),"",F1050-F1049)</f>
        <v/>
      </c>
      <c r="P1050" s="28" t="str">
        <f>IF(OR(履歴データ!$A$1050="",履歴データ!$A$1049=""),"",G1050-G1049)</f>
        <v/>
      </c>
      <c r="Q1050" s="29" t="str">
        <f>IF(OR(履歴データ!$A$1050="",履歴データ!$A$1049=""),"",H1050-H1049)</f>
        <v/>
      </c>
      <c r="R1050" s="29" t="str">
        <f>IF(OR(履歴データ!$A$1050="",履歴データ!$A$1049=""),"",I1050-I1049)</f>
        <v/>
      </c>
      <c r="S1050" s="28" t="str">
        <f>IF(OR(履歴データ!$A$1050="",履歴データ!$A$1049=""),"",(J1050-J1049)*100)</f>
        <v/>
      </c>
      <c r="T1050" s="11" t="str">
        <f>IF(OR(履歴データ!$A$1050="",履歴データ!$A$1049=""),"",-80000*K1050)</f>
        <v/>
      </c>
      <c r="U1050" s="11" t="str">
        <f>IF(OR(履歴データ!$A$1050="",履歴データ!$A$1049=""),"",60000*L1050)</f>
        <v/>
      </c>
      <c r="V1050" s="11" t="str">
        <f>IF(OR(履歴データ!$A$1050="",履歴データ!$A$1049=""),"",-50000*M1050)</f>
        <v/>
      </c>
      <c r="W1050" s="11" t="str">
        <f>IF(OR(履歴データ!$A$1050="",履歴データ!$A$1049=""),"",-40000*N1050)</f>
        <v/>
      </c>
      <c r="X1050" s="11" t="str">
        <f>IF(OR(履歴データ!$A$1050="",履歴データ!$A$1049=""),"",120*1000000*(-Q1050/H1049))</f>
        <v/>
      </c>
      <c r="Y1050" s="11" t="str">
        <f>IF(OR(履歴データ!$A$1050="",履歴データ!$A$1049=""),"",40000*(-S1050)+(-506.3)*R1050*1000)</f>
        <v/>
      </c>
      <c r="Z1050" s="11" t="str">
        <f>IF(OR(履歴データ!$A$1050="",履歴データ!$A$1049=""),"",-40000*O1050)</f>
        <v/>
      </c>
      <c r="AA1050" s="11" t="str">
        <f>IF(OR(履歴データ!$A$1050="",履歴データ!$A$1049=""),"",-40000*P1050)</f>
        <v/>
      </c>
      <c r="AB1050" s="11" t="str">
        <f>IF(履歴データ!$A$1050="","",123.3)</f>
        <v/>
      </c>
      <c r="AC1050" t="str">
        <f>IF(履歴データ!$A$1050="","",SUM(T1050:AA1050))</f>
        <v/>
      </c>
      <c r="AD1050" s="29" t="str">
        <f>IF(履歴データ!$A$1050="","",AC1050/1000000)</f>
        <v/>
      </c>
      <c r="AE1050" s="29">
        <f>IF(履歴データ!$A$1050="",AE1049,AE1049+AC1050/1000000)</f>
        <v>70.844544225831427</v>
      </c>
      <c r="AF1050" s="12" t="str">
        <f>IF(OR(履歴データ!$A$1050="",AE1049=0),"",(AE1050-AE1049)/AE1049)</f>
        <v/>
      </c>
      <c r="AG1050" s="29">
        <f t="shared" si="46"/>
        <v>102.17217746631495</v>
      </c>
      <c r="AH1050" s="12" t="str">
        <f>IF(OR(履歴データ!$A$1050="",AG1050=0),"",AE1050/AG1050-1)</f>
        <v/>
      </c>
    </row>
    <row r="1051" spans="1:34">
      <c r="A1051" s="10" t="str">
        <f>IF(履歴データ!$A$1051="","",履歴データ!$A$1051)</f>
        <v/>
      </c>
      <c r="B1051" s="28" t="str">
        <f>IF(履歴データ!$A$1051="","",(履歴データ!$D$1051-(履歴データ!$B$1051+履歴データ!$F$1051)/2)*100)</f>
        <v/>
      </c>
      <c r="C1051" s="28" t="str">
        <f>IF(履歴データ!$A$1051="","",(履歴データ!$H$1051-(履歴データ!$G$1051+履歴データ!$J$1051)/2)*100)</f>
        <v/>
      </c>
      <c r="D1051" s="28" t="str">
        <f>IF(履歴データ!$A$1051="","",(履歴データ!$D$1051-履歴データ!$H$1051)*100)</f>
        <v/>
      </c>
      <c r="E1051" s="28" t="str">
        <f>IF(履歴データ!$A$1051="","",(履歴データ!$D$1051-履歴データ!$C$1051)*100)</f>
        <v/>
      </c>
      <c r="F1051" s="28" t="str">
        <f>IF(履歴データ!$A$1051="","",(履歴データ!$R$1051-履歴データ!$D$1051)*100)</f>
        <v/>
      </c>
      <c r="G1051" s="28" t="str">
        <f>IF(履歴データ!$A$1051="","",(履歴データ!$S$1051-履歴データ!$R$1051)*100)</f>
        <v/>
      </c>
      <c r="H1051" s="29" t="str">
        <f>IF(履歴データ!$A$1051="","",履歴データ!$O$1051)</f>
        <v/>
      </c>
      <c r="I1051" s="29" t="str">
        <f>IF(履歴データ!$A$1051="","",履歴データ!$Q$1051)</f>
        <v/>
      </c>
      <c r="J1051" s="29" t="str">
        <f>IF(履歴データ!$A$1051="","",履歴データ!$D$1051)</f>
        <v/>
      </c>
      <c r="K1051" s="28" t="str">
        <f>IF(OR(履歴データ!$A$1051="",履歴データ!$A$1050=""),"",B1051-B1050)</f>
        <v/>
      </c>
      <c r="L1051" s="28" t="str">
        <f>IF(OR(履歴データ!$A$1051="",履歴データ!$A$1050=""),"",C1051-C1050)</f>
        <v/>
      </c>
      <c r="M1051" s="28" t="str">
        <f>IF(OR(履歴データ!$A$1051="",履歴データ!$A$1050=""),"",D1051-D1050)</f>
        <v/>
      </c>
      <c r="N1051" s="28" t="str">
        <f>IF(OR(履歴データ!$A$1051="",履歴データ!$A$1050=""),"",E1051-E1050)</f>
        <v/>
      </c>
      <c r="O1051" s="28" t="str">
        <f>IF(OR(履歴データ!$A$1051="",履歴データ!$A$1050=""),"",F1051-F1050)</f>
        <v/>
      </c>
      <c r="P1051" s="28" t="str">
        <f>IF(OR(履歴データ!$A$1051="",履歴データ!$A$1050=""),"",G1051-G1050)</f>
        <v/>
      </c>
      <c r="Q1051" s="29" t="str">
        <f>IF(OR(履歴データ!$A$1051="",履歴データ!$A$1050=""),"",H1051-H1050)</f>
        <v/>
      </c>
      <c r="R1051" s="29" t="str">
        <f>IF(OR(履歴データ!$A$1051="",履歴データ!$A$1050=""),"",I1051-I1050)</f>
        <v/>
      </c>
      <c r="S1051" s="28" t="str">
        <f>IF(OR(履歴データ!$A$1051="",履歴データ!$A$1050=""),"",(J1051-J1050)*100)</f>
        <v/>
      </c>
      <c r="T1051" s="11" t="str">
        <f>IF(OR(履歴データ!$A$1051="",履歴データ!$A$1050=""),"",-80000*K1051)</f>
        <v/>
      </c>
      <c r="U1051" s="11" t="str">
        <f>IF(OR(履歴データ!$A$1051="",履歴データ!$A$1050=""),"",60000*L1051)</f>
        <v/>
      </c>
      <c r="V1051" s="11" t="str">
        <f>IF(OR(履歴データ!$A$1051="",履歴データ!$A$1050=""),"",-50000*M1051)</f>
        <v/>
      </c>
      <c r="W1051" s="11" t="str">
        <f>IF(OR(履歴データ!$A$1051="",履歴データ!$A$1050=""),"",-40000*N1051)</f>
        <v/>
      </c>
      <c r="X1051" s="11" t="str">
        <f>IF(OR(履歴データ!$A$1051="",履歴データ!$A$1050=""),"",120*1000000*(-Q1051/H1050))</f>
        <v/>
      </c>
      <c r="Y1051" s="11" t="str">
        <f>IF(OR(履歴データ!$A$1051="",履歴データ!$A$1050=""),"",40000*(-S1051)+(-506.3)*R1051*1000)</f>
        <v/>
      </c>
      <c r="Z1051" s="11" t="str">
        <f>IF(OR(履歴データ!$A$1051="",履歴データ!$A$1050=""),"",-40000*O1051)</f>
        <v/>
      </c>
      <c r="AA1051" s="11" t="str">
        <f>IF(OR(履歴データ!$A$1051="",履歴データ!$A$1050=""),"",-40000*P1051)</f>
        <v/>
      </c>
      <c r="AB1051" s="11" t="str">
        <f>IF(履歴データ!$A$1051="","",123.3)</f>
        <v/>
      </c>
      <c r="AC1051" t="str">
        <f>IF(履歴データ!$A$1051="","",SUM(T1051:AA1051))</f>
        <v/>
      </c>
      <c r="AD1051" s="29" t="str">
        <f>IF(履歴データ!$A$1051="","",AC1051/1000000)</f>
        <v/>
      </c>
      <c r="AE1051" s="29">
        <f>IF(履歴データ!$A$1051="",AE1050,AE1050+AC1051/1000000)</f>
        <v>70.844544225831427</v>
      </c>
      <c r="AF1051" s="12" t="str">
        <f>IF(OR(履歴データ!$A$1051="",AE1050=0),"",(AE1051-AE1050)/AE1050)</f>
        <v/>
      </c>
      <c r="AG1051" s="29">
        <f t="shared" si="46"/>
        <v>102.17217746631495</v>
      </c>
      <c r="AH1051" s="12" t="str">
        <f>IF(OR(履歴データ!$A$1051="",AG1051=0),"",AE1051/AG1051-1)</f>
        <v/>
      </c>
    </row>
    <row r="1052" spans="1:34">
      <c r="A1052" s="10" t="str">
        <f>IF(履歴データ!$A$1052="","",履歴データ!$A$1052)</f>
        <v/>
      </c>
      <c r="B1052" s="28" t="str">
        <f>IF(履歴データ!$A$1052="","",(履歴データ!$D$1052-(履歴データ!$B$1052+履歴データ!$F$1052)/2)*100)</f>
        <v/>
      </c>
      <c r="C1052" s="28" t="str">
        <f>IF(履歴データ!$A$1052="","",(履歴データ!$H$1052-(履歴データ!$G$1052+履歴データ!$J$1052)/2)*100)</f>
        <v/>
      </c>
      <c r="D1052" s="28" t="str">
        <f>IF(履歴データ!$A$1052="","",(履歴データ!$D$1052-履歴データ!$H$1052)*100)</f>
        <v/>
      </c>
      <c r="E1052" s="28" t="str">
        <f>IF(履歴データ!$A$1052="","",(履歴データ!$D$1052-履歴データ!$C$1052)*100)</f>
        <v/>
      </c>
      <c r="F1052" s="28" t="str">
        <f>IF(履歴データ!$A$1052="","",(履歴データ!$R$1052-履歴データ!$D$1052)*100)</f>
        <v/>
      </c>
      <c r="G1052" s="28" t="str">
        <f>IF(履歴データ!$A$1052="","",(履歴データ!$S$1052-履歴データ!$R$1052)*100)</f>
        <v/>
      </c>
      <c r="H1052" s="29" t="str">
        <f>IF(履歴データ!$A$1052="","",履歴データ!$O$1052)</f>
        <v/>
      </c>
      <c r="I1052" s="29" t="str">
        <f>IF(履歴データ!$A$1052="","",履歴データ!$Q$1052)</f>
        <v/>
      </c>
      <c r="J1052" s="29" t="str">
        <f>IF(履歴データ!$A$1052="","",履歴データ!$D$1052)</f>
        <v/>
      </c>
      <c r="K1052" s="28" t="str">
        <f>IF(OR(履歴データ!$A$1052="",履歴データ!$A$1051=""),"",B1052-B1051)</f>
        <v/>
      </c>
      <c r="L1052" s="28" t="str">
        <f>IF(OR(履歴データ!$A$1052="",履歴データ!$A$1051=""),"",C1052-C1051)</f>
        <v/>
      </c>
      <c r="M1052" s="28" t="str">
        <f>IF(OR(履歴データ!$A$1052="",履歴データ!$A$1051=""),"",D1052-D1051)</f>
        <v/>
      </c>
      <c r="N1052" s="28" t="str">
        <f>IF(OR(履歴データ!$A$1052="",履歴データ!$A$1051=""),"",E1052-E1051)</f>
        <v/>
      </c>
      <c r="O1052" s="28" t="str">
        <f>IF(OR(履歴データ!$A$1052="",履歴データ!$A$1051=""),"",F1052-F1051)</f>
        <v/>
      </c>
      <c r="P1052" s="28" t="str">
        <f>IF(OR(履歴データ!$A$1052="",履歴データ!$A$1051=""),"",G1052-G1051)</f>
        <v/>
      </c>
      <c r="Q1052" s="29" t="str">
        <f>IF(OR(履歴データ!$A$1052="",履歴データ!$A$1051=""),"",H1052-H1051)</f>
        <v/>
      </c>
      <c r="R1052" s="29" t="str">
        <f>IF(OR(履歴データ!$A$1052="",履歴データ!$A$1051=""),"",I1052-I1051)</f>
        <v/>
      </c>
      <c r="S1052" s="28" t="str">
        <f>IF(OR(履歴データ!$A$1052="",履歴データ!$A$1051=""),"",(J1052-J1051)*100)</f>
        <v/>
      </c>
      <c r="T1052" s="11" t="str">
        <f>IF(OR(履歴データ!$A$1052="",履歴データ!$A$1051=""),"",-80000*K1052)</f>
        <v/>
      </c>
      <c r="U1052" s="11" t="str">
        <f>IF(OR(履歴データ!$A$1052="",履歴データ!$A$1051=""),"",60000*L1052)</f>
        <v/>
      </c>
      <c r="V1052" s="11" t="str">
        <f>IF(OR(履歴データ!$A$1052="",履歴データ!$A$1051=""),"",-50000*M1052)</f>
        <v/>
      </c>
      <c r="W1052" s="11" t="str">
        <f>IF(OR(履歴データ!$A$1052="",履歴データ!$A$1051=""),"",-40000*N1052)</f>
        <v/>
      </c>
      <c r="X1052" s="11" t="str">
        <f>IF(OR(履歴データ!$A$1052="",履歴データ!$A$1051=""),"",120*1000000*(-Q1052/H1051))</f>
        <v/>
      </c>
      <c r="Y1052" s="11" t="str">
        <f>IF(OR(履歴データ!$A$1052="",履歴データ!$A$1051=""),"",40000*(-S1052)+(-506.3)*R1052*1000)</f>
        <v/>
      </c>
      <c r="Z1052" s="11" t="str">
        <f>IF(OR(履歴データ!$A$1052="",履歴データ!$A$1051=""),"",-40000*O1052)</f>
        <v/>
      </c>
      <c r="AA1052" s="11" t="str">
        <f>IF(OR(履歴データ!$A$1052="",履歴データ!$A$1051=""),"",-40000*P1052)</f>
        <v/>
      </c>
      <c r="AB1052" s="11" t="str">
        <f>IF(履歴データ!$A$1052="","",123.3)</f>
        <v/>
      </c>
      <c r="AC1052" t="str">
        <f>IF(履歴データ!$A$1052="","",SUM(T1052:AA1052))</f>
        <v/>
      </c>
      <c r="AD1052" s="29" t="str">
        <f>IF(履歴データ!$A$1052="","",AC1052/1000000)</f>
        <v/>
      </c>
      <c r="AE1052" s="29">
        <f>IF(履歴データ!$A$1052="",AE1051,AE1051+AC1052/1000000)</f>
        <v>70.844544225831427</v>
      </c>
      <c r="AF1052" s="12" t="str">
        <f>IF(OR(履歴データ!$A$1052="",AE1051=0),"",(AE1052-AE1051)/AE1051)</f>
        <v/>
      </c>
      <c r="AG1052" s="29">
        <f t="shared" si="46"/>
        <v>102.17217746631495</v>
      </c>
      <c r="AH1052" s="12" t="str">
        <f>IF(OR(履歴データ!$A$1052="",AG1052=0),"",AE1052/AG1052-1)</f>
        <v/>
      </c>
    </row>
    <row r="1053" spans="1:34">
      <c r="A1053" s="10" t="str">
        <f>IF(履歴データ!$A$1053="","",履歴データ!$A$1053)</f>
        <v/>
      </c>
      <c r="B1053" s="28" t="str">
        <f>IF(履歴データ!$A$1053="","",(履歴データ!$D$1053-(履歴データ!$B$1053+履歴データ!$F$1053)/2)*100)</f>
        <v/>
      </c>
      <c r="C1053" s="28" t="str">
        <f>IF(履歴データ!$A$1053="","",(履歴データ!$H$1053-(履歴データ!$G$1053+履歴データ!$J$1053)/2)*100)</f>
        <v/>
      </c>
      <c r="D1053" s="28" t="str">
        <f>IF(履歴データ!$A$1053="","",(履歴データ!$D$1053-履歴データ!$H$1053)*100)</f>
        <v/>
      </c>
      <c r="E1053" s="28" t="str">
        <f>IF(履歴データ!$A$1053="","",(履歴データ!$D$1053-履歴データ!$C$1053)*100)</f>
        <v/>
      </c>
      <c r="F1053" s="28" t="str">
        <f>IF(履歴データ!$A$1053="","",(履歴データ!$R$1053-履歴データ!$D$1053)*100)</f>
        <v/>
      </c>
      <c r="G1053" s="28" t="str">
        <f>IF(履歴データ!$A$1053="","",(履歴データ!$S$1053-履歴データ!$R$1053)*100)</f>
        <v/>
      </c>
      <c r="H1053" s="29" t="str">
        <f>IF(履歴データ!$A$1053="","",履歴データ!$O$1053)</f>
        <v/>
      </c>
      <c r="I1053" s="29" t="str">
        <f>IF(履歴データ!$A$1053="","",履歴データ!$Q$1053)</f>
        <v/>
      </c>
      <c r="J1053" s="29" t="str">
        <f>IF(履歴データ!$A$1053="","",履歴データ!$D$1053)</f>
        <v/>
      </c>
      <c r="K1053" s="28" t="str">
        <f>IF(OR(履歴データ!$A$1053="",履歴データ!$A$1052=""),"",B1053-B1052)</f>
        <v/>
      </c>
      <c r="L1053" s="28" t="str">
        <f>IF(OR(履歴データ!$A$1053="",履歴データ!$A$1052=""),"",C1053-C1052)</f>
        <v/>
      </c>
      <c r="M1053" s="28" t="str">
        <f>IF(OR(履歴データ!$A$1053="",履歴データ!$A$1052=""),"",D1053-D1052)</f>
        <v/>
      </c>
      <c r="N1053" s="28" t="str">
        <f>IF(OR(履歴データ!$A$1053="",履歴データ!$A$1052=""),"",E1053-E1052)</f>
        <v/>
      </c>
      <c r="O1053" s="28" t="str">
        <f>IF(OR(履歴データ!$A$1053="",履歴データ!$A$1052=""),"",F1053-F1052)</f>
        <v/>
      </c>
      <c r="P1053" s="28" t="str">
        <f>IF(OR(履歴データ!$A$1053="",履歴データ!$A$1052=""),"",G1053-G1052)</f>
        <v/>
      </c>
      <c r="Q1053" s="29" t="str">
        <f>IF(OR(履歴データ!$A$1053="",履歴データ!$A$1052=""),"",H1053-H1052)</f>
        <v/>
      </c>
      <c r="R1053" s="29" t="str">
        <f>IF(OR(履歴データ!$A$1053="",履歴データ!$A$1052=""),"",I1053-I1052)</f>
        <v/>
      </c>
      <c r="S1053" s="28" t="str">
        <f>IF(OR(履歴データ!$A$1053="",履歴データ!$A$1052=""),"",(J1053-J1052)*100)</f>
        <v/>
      </c>
      <c r="T1053" s="11" t="str">
        <f>IF(OR(履歴データ!$A$1053="",履歴データ!$A$1052=""),"",-80000*K1053)</f>
        <v/>
      </c>
      <c r="U1053" s="11" t="str">
        <f>IF(OR(履歴データ!$A$1053="",履歴データ!$A$1052=""),"",60000*L1053)</f>
        <v/>
      </c>
      <c r="V1053" s="11" t="str">
        <f>IF(OR(履歴データ!$A$1053="",履歴データ!$A$1052=""),"",-50000*M1053)</f>
        <v/>
      </c>
      <c r="W1053" s="11" t="str">
        <f>IF(OR(履歴データ!$A$1053="",履歴データ!$A$1052=""),"",-40000*N1053)</f>
        <v/>
      </c>
      <c r="X1053" s="11" t="str">
        <f>IF(OR(履歴データ!$A$1053="",履歴データ!$A$1052=""),"",120*1000000*(-Q1053/H1052))</f>
        <v/>
      </c>
      <c r="Y1053" s="11" t="str">
        <f>IF(OR(履歴データ!$A$1053="",履歴データ!$A$1052=""),"",40000*(-S1053)+(-506.3)*R1053*1000)</f>
        <v/>
      </c>
      <c r="Z1053" s="11" t="str">
        <f>IF(OR(履歴データ!$A$1053="",履歴データ!$A$1052=""),"",-40000*O1053)</f>
        <v/>
      </c>
      <c r="AA1053" s="11" t="str">
        <f>IF(OR(履歴データ!$A$1053="",履歴データ!$A$1052=""),"",-40000*P1053)</f>
        <v/>
      </c>
      <c r="AB1053" s="11" t="str">
        <f>IF(履歴データ!$A$1053="","",123.3)</f>
        <v/>
      </c>
      <c r="AC1053" t="str">
        <f>IF(履歴データ!$A$1053="","",SUM(T1053:AA1053))</f>
        <v/>
      </c>
      <c r="AD1053" s="29" t="str">
        <f>IF(履歴データ!$A$1053="","",AC1053/1000000)</f>
        <v/>
      </c>
      <c r="AE1053" s="29">
        <f>IF(履歴データ!$A$1053="",AE1052,AE1052+AC1053/1000000)</f>
        <v>70.844544225831427</v>
      </c>
      <c r="AF1053" s="12" t="str">
        <f>IF(OR(履歴データ!$A$1053="",AE1052=0),"",(AE1053-AE1052)/AE1052)</f>
        <v/>
      </c>
      <c r="AG1053" s="29">
        <f t="shared" si="46"/>
        <v>102.17217746631495</v>
      </c>
      <c r="AH1053" s="12" t="str">
        <f>IF(OR(履歴データ!$A$1053="",AG1053=0),"",AE1053/AG1053-1)</f>
        <v/>
      </c>
    </row>
    <row r="1054" spans="1:34">
      <c r="A1054" s="10" t="str">
        <f>IF(履歴データ!$A$1054="","",履歴データ!$A$1054)</f>
        <v/>
      </c>
      <c r="B1054" s="28" t="str">
        <f>IF(履歴データ!$A$1054="","",(履歴データ!$D$1054-(履歴データ!$B$1054+履歴データ!$F$1054)/2)*100)</f>
        <v/>
      </c>
      <c r="C1054" s="28" t="str">
        <f>IF(履歴データ!$A$1054="","",(履歴データ!$H$1054-(履歴データ!$G$1054+履歴データ!$J$1054)/2)*100)</f>
        <v/>
      </c>
      <c r="D1054" s="28" t="str">
        <f>IF(履歴データ!$A$1054="","",(履歴データ!$D$1054-履歴データ!$H$1054)*100)</f>
        <v/>
      </c>
      <c r="E1054" s="28" t="str">
        <f>IF(履歴データ!$A$1054="","",(履歴データ!$D$1054-履歴データ!$C$1054)*100)</f>
        <v/>
      </c>
      <c r="F1054" s="28" t="str">
        <f>IF(履歴データ!$A$1054="","",(履歴データ!$R$1054-履歴データ!$D$1054)*100)</f>
        <v/>
      </c>
      <c r="G1054" s="28" t="str">
        <f>IF(履歴データ!$A$1054="","",(履歴データ!$S$1054-履歴データ!$R$1054)*100)</f>
        <v/>
      </c>
      <c r="H1054" s="29" t="str">
        <f>IF(履歴データ!$A$1054="","",履歴データ!$O$1054)</f>
        <v/>
      </c>
      <c r="I1054" s="29" t="str">
        <f>IF(履歴データ!$A$1054="","",履歴データ!$Q$1054)</f>
        <v/>
      </c>
      <c r="J1054" s="29" t="str">
        <f>IF(履歴データ!$A$1054="","",履歴データ!$D$1054)</f>
        <v/>
      </c>
      <c r="K1054" s="28" t="str">
        <f>IF(OR(履歴データ!$A$1054="",履歴データ!$A$1053=""),"",B1054-B1053)</f>
        <v/>
      </c>
      <c r="L1054" s="28" t="str">
        <f>IF(OR(履歴データ!$A$1054="",履歴データ!$A$1053=""),"",C1054-C1053)</f>
        <v/>
      </c>
      <c r="M1054" s="28" t="str">
        <f>IF(OR(履歴データ!$A$1054="",履歴データ!$A$1053=""),"",D1054-D1053)</f>
        <v/>
      </c>
      <c r="N1054" s="28" t="str">
        <f>IF(OR(履歴データ!$A$1054="",履歴データ!$A$1053=""),"",E1054-E1053)</f>
        <v/>
      </c>
      <c r="O1054" s="28" t="str">
        <f>IF(OR(履歴データ!$A$1054="",履歴データ!$A$1053=""),"",F1054-F1053)</f>
        <v/>
      </c>
      <c r="P1054" s="28" t="str">
        <f>IF(OR(履歴データ!$A$1054="",履歴データ!$A$1053=""),"",G1054-G1053)</f>
        <v/>
      </c>
      <c r="Q1054" s="29" t="str">
        <f>IF(OR(履歴データ!$A$1054="",履歴データ!$A$1053=""),"",H1054-H1053)</f>
        <v/>
      </c>
      <c r="R1054" s="29" t="str">
        <f>IF(OR(履歴データ!$A$1054="",履歴データ!$A$1053=""),"",I1054-I1053)</f>
        <v/>
      </c>
      <c r="S1054" s="28" t="str">
        <f>IF(OR(履歴データ!$A$1054="",履歴データ!$A$1053=""),"",(J1054-J1053)*100)</f>
        <v/>
      </c>
      <c r="T1054" s="11" t="str">
        <f>IF(OR(履歴データ!$A$1054="",履歴データ!$A$1053=""),"",-80000*K1054)</f>
        <v/>
      </c>
      <c r="U1054" s="11" t="str">
        <f>IF(OR(履歴データ!$A$1054="",履歴データ!$A$1053=""),"",60000*L1054)</f>
        <v/>
      </c>
      <c r="V1054" s="11" t="str">
        <f>IF(OR(履歴データ!$A$1054="",履歴データ!$A$1053=""),"",-50000*M1054)</f>
        <v/>
      </c>
      <c r="W1054" s="11" t="str">
        <f>IF(OR(履歴データ!$A$1054="",履歴データ!$A$1053=""),"",-40000*N1054)</f>
        <v/>
      </c>
      <c r="X1054" s="11" t="str">
        <f>IF(OR(履歴データ!$A$1054="",履歴データ!$A$1053=""),"",120*1000000*(-Q1054/H1053))</f>
        <v/>
      </c>
      <c r="Y1054" s="11" t="str">
        <f>IF(OR(履歴データ!$A$1054="",履歴データ!$A$1053=""),"",40000*(-S1054)+(-506.3)*R1054*1000)</f>
        <v/>
      </c>
      <c r="Z1054" s="11" t="str">
        <f>IF(OR(履歴データ!$A$1054="",履歴データ!$A$1053=""),"",-40000*O1054)</f>
        <v/>
      </c>
      <c r="AA1054" s="11" t="str">
        <f>IF(OR(履歴データ!$A$1054="",履歴データ!$A$1053=""),"",-40000*P1054)</f>
        <v/>
      </c>
      <c r="AB1054" s="11" t="str">
        <f>IF(履歴データ!$A$1054="","",123.3)</f>
        <v/>
      </c>
      <c r="AC1054" t="str">
        <f>IF(履歴データ!$A$1054="","",SUM(T1054:AA1054))</f>
        <v/>
      </c>
      <c r="AD1054" s="29" t="str">
        <f>IF(履歴データ!$A$1054="","",AC1054/1000000)</f>
        <v/>
      </c>
      <c r="AE1054" s="29">
        <f>IF(履歴データ!$A$1054="",AE1053,AE1053+AC1054/1000000)</f>
        <v>70.844544225831427</v>
      </c>
      <c r="AF1054" s="12" t="str">
        <f>IF(OR(履歴データ!$A$1054="",AE1053=0),"",(AE1054-AE1053)/AE1053)</f>
        <v/>
      </c>
      <c r="AG1054" s="29">
        <f t="shared" si="46"/>
        <v>102.17217746631495</v>
      </c>
      <c r="AH1054" s="12" t="str">
        <f>IF(OR(履歴データ!$A$1054="",AG1054=0),"",AE1054/AG1054-1)</f>
        <v/>
      </c>
    </row>
    <row r="1055" spans="1:34">
      <c r="A1055" s="10" t="str">
        <f>IF(履歴データ!$A$1055="","",履歴データ!$A$1055)</f>
        <v/>
      </c>
      <c r="B1055" s="28" t="str">
        <f>IF(履歴データ!$A$1055="","",(履歴データ!$D$1055-(履歴データ!$B$1055+履歴データ!$F$1055)/2)*100)</f>
        <v/>
      </c>
      <c r="C1055" s="28" t="str">
        <f>IF(履歴データ!$A$1055="","",(履歴データ!$H$1055-(履歴データ!$G$1055+履歴データ!$J$1055)/2)*100)</f>
        <v/>
      </c>
      <c r="D1055" s="28" t="str">
        <f>IF(履歴データ!$A$1055="","",(履歴データ!$D$1055-履歴データ!$H$1055)*100)</f>
        <v/>
      </c>
      <c r="E1055" s="28" t="str">
        <f>IF(履歴データ!$A$1055="","",(履歴データ!$D$1055-履歴データ!$C$1055)*100)</f>
        <v/>
      </c>
      <c r="F1055" s="28" t="str">
        <f>IF(履歴データ!$A$1055="","",(履歴データ!$R$1055-履歴データ!$D$1055)*100)</f>
        <v/>
      </c>
      <c r="G1055" s="28" t="str">
        <f>IF(履歴データ!$A$1055="","",(履歴データ!$S$1055-履歴データ!$R$1055)*100)</f>
        <v/>
      </c>
      <c r="H1055" s="29" t="str">
        <f>IF(履歴データ!$A$1055="","",履歴データ!$O$1055)</f>
        <v/>
      </c>
      <c r="I1055" s="29" t="str">
        <f>IF(履歴データ!$A$1055="","",履歴データ!$Q$1055)</f>
        <v/>
      </c>
      <c r="J1055" s="29" t="str">
        <f>IF(履歴データ!$A$1055="","",履歴データ!$D$1055)</f>
        <v/>
      </c>
      <c r="K1055" s="28" t="str">
        <f>IF(OR(履歴データ!$A$1055="",履歴データ!$A$1054=""),"",B1055-B1054)</f>
        <v/>
      </c>
      <c r="L1055" s="28" t="str">
        <f>IF(OR(履歴データ!$A$1055="",履歴データ!$A$1054=""),"",C1055-C1054)</f>
        <v/>
      </c>
      <c r="M1055" s="28" t="str">
        <f>IF(OR(履歴データ!$A$1055="",履歴データ!$A$1054=""),"",D1055-D1054)</f>
        <v/>
      </c>
      <c r="N1055" s="28" t="str">
        <f>IF(OR(履歴データ!$A$1055="",履歴データ!$A$1054=""),"",E1055-E1054)</f>
        <v/>
      </c>
      <c r="O1055" s="28" t="str">
        <f>IF(OR(履歴データ!$A$1055="",履歴データ!$A$1054=""),"",F1055-F1054)</f>
        <v/>
      </c>
      <c r="P1055" s="28" t="str">
        <f>IF(OR(履歴データ!$A$1055="",履歴データ!$A$1054=""),"",G1055-G1054)</f>
        <v/>
      </c>
      <c r="Q1055" s="29" t="str">
        <f>IF(OR(履歴データ!$A$1055="",履歴データ!$A$1054=""),"",H1055-H1054)</f>
        <v/>
      </c>
      <c r="R1055" s="29" t="str">
        <f>IF(OR(履歴データ!$A$1055="",履歴データ!$A$1054=""),"",I1055-I1054)</f>
        <v/>
      </c>
      <c r="S1055" s="28" t="str">
        <f>IF(OR(履歴データ!$A$1055="",履歴データ!$A$1054=""),"",(J1055-J1054)*100)</f>
        <v/>
      </c>
      <c r="T1055" s="11" t="str">
        <f>IF(OR(履歴データ!$A$1055="",履歴データ!$A$1054=""),"",-80000*K1055)</f>
        <v/>
      </c>
      <c r="U1055" s="11" t="str">
        <f>IF(OR(履歴データ!$A$1055="",履歴データ!$A$1054=""),"",60000*L1055)</f>
        <v/>
      </c>
      <c r="V1055" s="11" t="str">
        <f>IF(OR(履歴データ!$A$1055="",履歴データ!$A$1054=""),"",-50000*M1055)</f>
        <v/>
      </c>
      <c r="W1055" s="11" t="str">
        <f>IF(OR(履歴データ!$A$1055="",履歴データ!$A$1054=""),"",-40000*N1055)</f>
        <v/>
      </c>
      <c r="X1055" s="11" t="str">
        <f>IF(OR(履歴データ!$A$1055="",履歴データ!$A$1054=""),"",120*1000000*(-Q1055/H1054))</f>
        <v/>
      </c>
      <c r="Y1055" s="11" t="str">
        <f>IF(OR(履歴データ!$A$1055="",履歴データ!$A$1054=""),"",40000*(-S1055)+(-506.3)*R1055*1000)</f>
        <v/>
      </c>
      <c r="Z1055" s="11" t="str">
        <f>IF(OR(履歴データ!$A$1055="",履歴データ!$A$1054=""),"",-40000*O1055)</f>
        <v/>
      </c>
      <c r="AA1055" s="11" t="str">
        <f>IF(OR(履歴データ!$A$1055="",履歴データ!$A$1054=""),"",-40000*P1055)</f>
        <v/>
      </c>
      <c r="AB1055" s="11" t="str">
        <f>IF(履歴データ!$A$1055="","",123.3)</f>
        <v/>
      </c>
      <c r="AC1055" t="str">
        <f>IF(履歴データ!$A$1055="","",SUM(T1055:AA1055))</f>
        <v/>
      </c>
      <c r="AD1055" s="29" t="str">
        <f>IF(履歴データ!$A$1055="","",AC1055/1000000)</f>
        <v/>
      </c>
      <c r="AE1055" s="29">
        <f>IF(履歴データ!$A$1055="",AE1054,AE1054+AC1055/1000000)</f>
        <v>70.844544225831427</v>
      </c>
      <c r="AF1055" s="12" t="str">
        <f>IF(OR(履歴データ!$A$1055="",AE1054=0),"",(AE1055-AE1054)/AE1054)</f>
        <v/>
      </c>
      <c r="AG1055" s="29">
        <f t="shared" si="46"/>
        <v>102.17217746631495</v>
      </c>
      <c r="AH1055" s="12" t="str">
        <f>IF(OR(履歴データ!$A$1055="",AG1055=0),"",AE1055/AG1055-1)</f>
        <v/>
      </c>
    </row>
    <row r="1056" spans="1:34">
      <c r="A1056" s="10" t="str">
        <f>IF(履歴データ!$A$1056="","",履歴データ!$A$1056)</f>
        <v/>
      </c>
      <c r="B1056" s="28" t="str">
        <f>IF(履歴データ!$A$1056="","",(履歴データ!$D$1056-(履歴データ!$B$1056+履歴データ!$F$1056)/2)*100)</f>
        <v/>
      </c>
      <c r="C1056" s="28" t="str">
        <f>IF(履歴データ!$A$1056="","",(履歴データ!$H$1056-(履歴データ!$G$1056+履歴データ!$J$1056)/2)*100)</f>
        <v/>
      </c>
      <c r="D1056" s="28" t="str">
        <f>IF(履歴データ!$A$1056="","",(履歴データ!$D$1056-履歴データ!$H$1056)*100)</f>
        <v/>
      </c>
      <c r="E1056" s="28" t="str">
        <f>IF(履歴データ!$A$1056="","",(履歴データ!$D$1056-履歴データ!$C$1056)*100)</f>
        <v/>
      </c>
      <c r="F1056" s="28" t="str">
        <f>IF(履歴データ!$A$1056="","",(履歴データ!$R$1056-履歴データ!$D$1056)*100)</f>
        <v/>
      </c>
      <c r="G1056" s="28" t="str">
        <f>IF(履歴データ!$A$1056="","",(履歴データ!$S$1056-履歴データ!$R$1056)*100)</f>
        <v/>
      </c>
      <c r="H1056" s="29" t="str">
        <f>IF(履歴データ!$A$1056="","",履歴データ!$O$1056)</f>
        <v/>
      </c>
      <c r="I1056" s="29" t="str">
        <f>IF(履歴データ!$A$1056="","",履歴データ!$Q$1056)</f>
        <v/>
      </c>
      <c r="J1056" s="29" t="str">
        <f>IF(履歴データ!$A$1056="","",履歴データ!$D$1056)</f>
        <v/>
      </c>
      <c r="K1056" s="28" t="str">
        <f>IF(OR(履歴データ!$A$1056="",履歴データ!$A$1055=""),"",B1056-B1055)</f>
        <v/>
      </c>
      <c r="L1056" s="28" t="str">
        <f>IF(OR(履歴データ!$A$1056="",履歴データ!$A$1055=""),"",C1056-C1055)</f>
        <v/>
      </c>
      <c r="M1056" s="28" t="str">
        <f>IF(OR(履歴データ!$A$1056="",履歴データ!$A$1055=""),"",D1056-D1055)</f>
        <v/>
      </c>
      <c r="N1056" s="28" t="str">
        <f>IF(OR(履歴データ!$A$1056="",履歴データ!$A$1055=""),"",E1056-E1055)</f>
        <v/>
      </c>
      <c r="O1056" s="28" t="str">
        <f>IF(OR(履歴データ!$A$1056="",履歴データ!$A$1055=""),"",F1056-F1055)</f>
        <v/>
      </c>
      <c r="P1056" s="28" t="str">
        <f>IF(OR(履歴データ!$A$1056="",履歴データ!$A$1055=""),"",G1056-G1055)</f>
        <v/>
      </c>
      <c r="Q1056" s="29" t="str">
        <f>IF(OR(履歴データ!$A$1056="",履歴データ!$A$1055=""),"",H1056-H1055)</f>
        <v/>
      </c>
      <c r="R1056" s="29" t="str">
        <f>IF(OR(履歴データ!$A$1056="",履歴データ!$A$1055=""),"",I1056-I1055)</f>
        <v/>
      </c>
      <c r="S1056" s="28" t="str">
        <f>IF(OR(履歴データ!$A$1056="",履歴データ!$A$1055=""),"",(J1056-J1055)*100)</f>
        <v/>
      </c>
      <c r="T1056" s="11" t="str">
        <f>IF(OR(履歴データ!$A$1056="",履歴データ!$A$1055=""),"",-80000*K1056)</f>
        <v/>
      </c>
      <c r="U1056" s="11" t="str">
        <f>IF(OR(履歴データ!$A$1056="",履歴データ!$A$1055=""),"",60000*L1056)</f>
        <v/>
      </c>
      <c r="V1056" s="11" t="str">
        <f>IF(OR(履歴データ!$A$1056="",履歴データ!$A$1055=""),"",-50000*M1056)</f>
        <v/>
      </c>
      <c r="W1056" s="11" t="str">
        <f>IF(OR(履歴データ!$A$1056="",履歴データ!$A$1055=""),"",-40000*N1056)</f>
        <v/>
      </c>
      <c r="X1056" s="11" t="str">
        <f>IF(OR(履歴データ!$A$1056="",履歴データ!$A$1055=""),"",120*1000000*(-Q1056/H1055))</f>
        <v/>
      </c>
      <c r="Y1056" s="11" t="str">
        <f>IF(OR(履歴データ!$A$1056="",履歴データ!$A$1055=""),"",40000*(-S1056)+(-506.3)*R1056*1000)</f>
        <v/>
      </c>
      <c r="Z1056" s="11" t="str">
        <f>IF(OR(履歴データ!$A$1056="",履歴データ!$A$1055=""),"",-40000*O1056)</f>
        <v/>
      </c>
      <c r="AA1056" s="11" t="str">
        <f>IF(OR(履歴データ!$A$1056="",履歴データ!$A$1055=""),"",-40000*P1056)</f>
        <v/>
      </c>
      <c r="AB1056" s="11" t="str">
        <f>IF(履歴データ!$A$1056="","",123.3)</f>
        <v/>
      </c>
      <c r="AC1056" t="str">
        <f>IF(履歴データ!$A$1056="","",SUM(T1056:AA1056))</f>
        <v/>
      </c>
      <c r="AD1056" s="29" t="str">
        <f>IF(履歴データ!$A$1056="","",AC1056/1000000)</f>
        <v/>
      </c>
      <c r="AE1056" s="29">
        <f>IF(履歴データ!$A$1056="",AE1055,AE1055+AC1056/1000000)</f>
        <v>70.844544225831427</v>
      </c>
      <c r="AF1056" s="12" t="str">
        <f>IF(OR(履歴データ!$A$1056="",AE1055=0),"",(AE1056-AE1055)/AE1055)</f>
        <v/>
      </c>
      <c r="AG1056" s="29">
        <f t="shared" si="46"/>
        <v>102.17217746631495</v>
      </c>
      <c r="AH1056" s="12" t="str">
        <f>IF(OR(履歴データ!$A$1056="",AG1056=0),"",AE1056/AG1056-1)</f>
        <v/>
      </c>
    </row>
    <row r="1057" spans="1:34">
      <c r="A1057" s="10" t="str">
        <f>IF(履歴データ!$A$1057="","",履歴データ!$A$1057)</f>
        <v/>
      </c>
      <c r="B1057" s="28" t="str">
        <f>IF(履歴データ!$A$1057="","",(履歴データ!$D$1057-(履歴データ!$B$1057+履歴データ!$F$1057)/2)*100)</f>
        <v/>
      </c>
      <c r="C1057" s="28" t="str">
        <f>IF(履歴データ!$A$1057="","",(履歴データ!$H$1057-(履歴データ!$G$1057+履歴データ!$J$1057)/2)*100)</f>
        <v/>
      </c>
      <c r="D1057" s="28" t="str">
        <f>IF(履歴データ!$A$1057="","",(履歴データ!$D$1057-履歴データ!$H$1057)*100)</f>
        <v/>
      </c>
      <c r="E1057" s="28" t="str">
        <f>IF(履歴データ!$A$1057="","",(履歴データ!$D$1057-履歴データ!$C$1057)*100)</f>
        <v/>
      </c>
      <c r="F1057" s="28" t="str">
        <f>IF(履歴データ!$A$1057="","",(履歴データ!$R$1057-履歴データ!$D$1057)*100)</f>
        <v/>
      </c>
      <c r="G1057" s="28" t="str">
        <f>IF(履歴データ!$A$1057="","",(履歴データ!$S$1057-履歴データ!$R$1057)*100)</f>
        <v/>
      </c>
      <c r="H1057" s="29" t="str">
        <f>IF(履歴データ!$A$1057="","",履歴データ!$O$1057)</f>
        <v/>
      </c>
      <c r="I1057" s="29" t="str">
        <f>IF(履歴データ!$A$1057="","",履歴データ!$Q$1057)</f>
        <v/>
      </c>
      <c r="J1057" s="29" t="str">
        <f>IF(履歴データ!$A$1057="","",履歴データ!$D$1057)</f>
        <v/>
      </c>
      <c r="K1057" s="28" t="str">
        <f>IF(OR(履歴データ!$A$1057="",履歴データ!$A$1056=""),"",B1057-B1056)</f>
        <v/>
      </c>
      <c r="L1057" s="28" t="str">
        <f>IF(OR(履歴データ!$A$1057="",履歴データ!$A$1056=""),"",C1057-C1056)</f>
        <v/>
      </c>
      <c r="M1057" s="28" t="str">
        <f>IF(OR(履歴データ!$A$1057="",履歴データ!$A$1056=""),"",D1057-D1056)</f>
        <v/>
      </c>
      <c r="N1057" s="28" t="str">
        <f>IF(OR(履歴データ!$A$1057="",履歴データ!$A$1056=""),"",E1057-E1056)</f>
        <v/>
      </c>
      <c r="O1057" s="28" t="str">
        <f>IF(OR(履歴データ!$A$1057="",履歴データ!$A$1056=""),"",F1057-F1056)</f>
        <v/>
      </c>
      <c r="P1057" s="28" t="str">
        <f>IF(OR(履歴データ!$A$1057="",履歴データ!$A$1056=""),"",G1057-G1056)</f>
        <v/>
      </c>
      <c r="Q1057" s="29" t="str">
        <f>IF(OR(履歴データ!$A$1057="",履歴データ!$A$1056=""),"",H1057-H1056)</f>
        <v/>
      </c>
      <c r="R1057" s="29" t="str">
        <f>IF(OR(履歴データ!$A$1057="",履歴データ!$A$1056=""),"",I1057-I1056)</f>
        <v/>
      </c>
      <c r="S1057" s="28" t="str">
        <f>IF(OR(履歴データ!$A$1057="",履歴データ!$A$1056=""),"",(J1057-J1056)*100)</f>
        <v/>
      </c>
      <c r="T1057" s="11" t="str">
        <f>IF(OR(履歴データ!$A$1057="",履歴データ!$A$1056=""),"",-80000*K1057)</f>
        <v/>
      </c>
      <c r="U1057" s="11" t="str">
        <f>IF(OR(履歴データ!$A$1057="",履歴データ!$A$1056=""),"",60000*L1057)</f>
        <v/>
      </c>
      <c r="V1057" s="11" t="str">
        <f>IF(OR(履歴データ!$A$1057="",履歴データ!$A$1056=""),"",-50000*M1057)</f>
        <v/>
      </c>
      <c r="W1057" s="11" t="str">
        <f>IF(OR(履歴データ!$A$1057="",履歴データ!$A$1056=""),"",-40000*N1057)</f>
        <v/>
      </c>
      <c r="X1057" s="11" t="str">
        <f>IF(OR(履歴データ!$A$1057="",履歴データ!$A$1056=""),"",120*1000000*(-Q1057/H1056))</f>
        <v/>
      </c>
      <c r="Y1057" s="11" t="str">
        <f>IF(OR(履歴データ!$A$1057="",履歴データ!$A$1056=""),"",40000*(-S1057)+(-506.3)*R1057*1000)</f>
        <v/>
      </c>
      <c r="Z1057" s="11" t="str">
        <f>IF(OR(履歴データ!$A$1057="",履歴データ!$A$1056=""),"",-40000*O1057)</f>
        <v/>
      </c>
      <c r="AA1057" s="11" t="str">
        <f>IF(OR(履歴データ!$A$1057="",履歴データ!$A$1056=""),"",-40000*P1057)</f>
        <v/>
      </c>
      <c r="AB1057" s="11" t="str">
        <f>IF(履歴データ!$A$1057="","",123.3)</f>
        <v/>
      </c>
      <c r="AC1057" t="str">
        <f>IF(履歴データ!$A$1057="","",SUM(T1057:AA1057))</f>
        <v/>
      </c>
      <c r="AD1057" s="29" t="str">
        <f>IF(履歴データ!$A$1057="","",AC1057/1000000)</f>
        <v/>
      </c>
      <c r="AE1057" s="29">
        <f>IF(履歴データ!$A$1057="",AE1056,AE1056+AC1057/1000000)</f>
        <v>70.844544225831427</v>
      </c>
      <c r="AF1057" s="12" t="str">
        <f>IF(OR(履歴データ!$A$1057="",AE1056=0),"",(AE1057-AE1056)/AE1056)</f>
        <v/>
      </c>
      <c r="AG1057" s="29">
        <f t="shared" si="46"/>
        <v>102.17217746631495</v>
      </c>
      <c r="AH1057" s="12" t="str">
        <f>IF(OR(履歴データ!$A$1057="",AG1057=0),"",AE1057/AG1057-1)</f>
        <v/>
      </c>
    </row>
    <row r="1058" spans="1:34">
      <c r="A1058" s="10" t="str">
        <f>IF(履歴データ!$A$1058="","",履歴データ!$A$1058)</f>
        <v/>
      </c>
      <c r="B1058" s="28" t="str">
        <f>IF(履歴データ!$A$1058="","",(履歴データ!$D$1058-(履歴データ!$B$1058+履歴データ!$F$1058)/2)*100)</f>
        <v/>
      </c>
      <c r="C1058" s="28" t="str">
        <f>IF(履歴データ!$A$1058="","",(履歴データ!$H$1058-(履歴データ!$G$1058+履歴データ!$J$1058)/2)*100)</f>
        <v/>
      </c>
      <c r="D1058" s="28" t="str">
        <f>IF(履歴データ!$A$1058="","",(履歴データ!$D$1058-履歴データ!$H$1058)*100)</f>
        <v/>
      </c>
      <c r="E1058" s="28" t="str">
        <f>IF(履歴データ!$A$1058="","",(履歴データ!$D$1058-履歴データ!$C$1058)*100)</f>
        <v/>
      </c>
      <c r="F1058" s="28" t="str">
        <f>IF(履歴データ!$A$1058="","",(履歴データ!$R$1058-履歴データ!$D$1058)*100)</f>
        <v/>
      </c>
      <c r="G1058" s="28" t="str">
        <f>IF(履歴データ!$A$1058="","",(履歴データ!$S$1058-履歴データ!$R$1058)*100)</f>
        <v/>
      </c>
      <c r="H1058" s="29" t="str">
        <f>IF(履歴データ!$A$1058="","",履歴データ!$O$1058)</f>
        <v/>
      </c>
      <c r="I1058" s="29" t="str">
        <f>IF(履歴データ!$A$1058="","",履歴データ!$Q$1058)</f>
        <v/>
      </c>
      <c r="J1058" s="29" t="str">
        <f>IF(履歴データ!$A$1058="","",履歴データ!$D$1058)</f>
        <v/>
      </c>
      <c r="K1058" s="28" t="str">
        <f>IF(OR(履歴データ!$A$1058="",履歴データ!$A$1057=""),"",B1058-B1057)</f>
        <v/>
      </c>
      <c r="L1058" s="28" t="str">
        <f>IF(OR(履歴データ!$A$1058="",履歴データ!$A$1057=""),"",C1058-C1057)</f>
        <v/>
      </c>
      <c r="M1058" s="28" t="str">
        <f>IF(OR(履歴データ!$A$1058="",履歴データ!$A$1057=""),"",D1058-D1057)</f>
        <v/>
      </c>
      <c r="N1058" s="28" t="str">
        <f>IF(OR(履歴データ!$A$1058="",履歴データ!$A$1057=""),"",E1058-E1057)</f>
        <v/>
      </c>
      <c r="O1058" s="28" t="str">
        <f>IF(OR(履歴データ!$A$1058="",履歴データ!$A$1057=""),"",F1058-F1057)</f>
        <v/>
      </c>
      <c r="P1058" s="28" t="str">
        <f>IF(OR(履歴データ!$A$1058="",履歴データ!$A$1057=""),"",G1058-G1057)</f>
        <v/>
      </c>
      <c r="Q1058" s="29" t="str">
        <f>IF(OR(履歴データ!$A$1058="",履歴データ!$A$1057=""),"",H1058-H1057)</f>
        <v/>
      </c>
      <c r="R1058" s="29" t="str">
        <f>IF(OR(履歴データ!$A$1058="",履歴データ!$A$1057=""),"",I1058-I1057)</f>
        <v/>
      </c>
      <c r="S1058" s="28" t="str">
        <f>IF(OR(履歴データ!$A$1058="",履歴データ!$A$1057=""),"",(J1058-J1057)*100)</f>
        <v/>
      </c>
      <c r="T1058" s="11" t="str">
        <f>IF(OR(履歴データ!$A$1058="",履歴データ!$A$1057=""),"",-80000*K1058)</f>
        <v/>
      </c>
      <c r="U1058" s="11" t="str">
        <f>IF(OR(履歴データ!$A$1058="",履歴データ!$A$1057=""),"",60000*L1058)</f>
        <v/>
      </c>
      <c r="V1058" s="11" t="str">
        <f>IF(OR(履歴データ!$A$1058="",履歴データ!$A$1057=""),"",-50000*M1058)</f>
        <v/>
      </c>
      <c r="W1058" s="11" t="str">
        <f>IF(OR(履歴データ!$A$1058="",履歴データ!$A$1057=""),"",-40000*N1058)</f>
        <v/>
      </c>
      <c r="X1058" s="11" t="str">
        <f>IF(OR(履歴データ!$A$1058="",履歴データ!$A$1057=""),"",120*1000000*(-Q1058/H1057))</f>
        <v/>
      </c>
      <c r="Y1058" s="11" t="str">
        <f>IF(OR(履歴データ!$A$1058="",履歴データ!$A$1057=""),"",40000*(-S1058)+(-506.3)*R1058*1000)</f>
        <v/>
      </c>
      <c r="Z1058" s="11" t="str">
        <f>IF(OR(履歴データ!$A$1058="",履歴データ!$A$1057=""),"",-40000*O1058)</f>
        <v/>
      </c>
      <c r="AA1058" s="11" t="str">
        <f>IF(OR(履歴データ!$A$1058="",履歴データ!$A$1057=""),"",-40000*P1058)</f>
        <v/>
      </c>
      <c r="AB1058" s="11" t="str">
        <f>IF(履歴データ!$A$1058="","",123.3)</f>
        <v/>
      </c>
      <c r="AC1058" t="str">
        <f>IF(履歴データ!$A$1058="","",SUM(T1058:AA1058))</f>
        <v/>
      </c>
      <c r="AD1058" s="29" t="str">
        <f>IF(履歴データ!$A$1058="","",AC1058/1000000)</f>
        <v/>
      </c>
      <c r="AE1058" s="29">
        <f>IF(履歴データ!$A$1058="",AE1057,AE1057+AC1058/1000000)</f>
        <v>70.844544225831427</v>
      </c>
      <c r="AF1058" s="12" t="str">
        <f>IF(OR(履歴データ!$A$1058="",AE1057=0),"",(AE1058-AE1057)/AE1057)</f>
        <v/>
      </c>
      <c r="AG1058" s="29">
        <f t="shared" si="46"/>
        <v>102.17217746631495</v>
      </c>
      <c r="AH1058" s="12" t="str">
        <f>IF(OR(履歴データ!$A$1058="",AG1058=0),"",AE1058/AG1058-1)</f>
        <v/>
      </c>
    </row>
    <row r="1059" spans="1:34">
      <c r="A1059" s="10" t="str">
        <f>IF(履歴データ!$A$1059="","",履歴データ!$A$1059)</f>
        <v/>
      </c>
      <c r="B1059" s="28" t="str">
        <f>IF(履歴データ!$A$1059="","",(履歴データ!$D$1059-(履歴データ!$B$1059+履歴データ!$F$1059)/2)*100)</f>
        <v/>
      </c>
      <c r="C1059" s="28" t="str">
        <f>IF(履歴データ!$A$1059="","",(履歴データ!$H$1059-(履歴データ!$G$1059+履歴データ!$J$1059)/2)*100)</f>
        <v/>
      </c>
      <c r="D1059" s="28" t="str">
        <f>IF(履歴データ!$A$1059="","",(履歴データ!$D$1059-履歴データ!$H$1059)*100)</f>
        <v/>
      </c>
      <c r="E1059" s="28" t="str">
        <f>IF(履歴データ!$A$1059="","",(履歴データ!$D$1059-履歴データ!$C$1059)*100)</f>
        <v/>
      </c>
      <c r="F1059" s="28" t="str">
        <f>IF(履歴データ!$A$1059="","",(履歴データ!$R$1059-履歴データ!$D$1059)*100)</f>
        <v/>
      </c>
      <c r="G1059" s="28" t="str">
        <f>IF(履歴データ!$A$1059="","",(履歴データ!$S$1059-履歴データ!$R$1059)*100)</f>
        <v/>
      </c>
      <c r="H1059" s="29" t="str">
        <f>IF(履歴データ!$A$1059="","",履歴データ!$O$1059)</f>
        <v/>
      </c>
      <c r="I1059" s="29" t="str">
        <f>IF(履歴データ!$A$1059="","",履歴データ!$Q$1059)</f>
        <v/>
      </c>
      <c r="J1059" s="29" t="str">
        <f>IF(履歴データ!$A$1059="","",履歴データ!$D$1059)</f>
        <v/>
      </c>
      <c r="K1059" s="28" t="str">
        <f>IF(OR(履歴データ!$A$1059="",履歴データ!$A$1058=""),"",B1059-B1058)</f>
        <v/>
      </c>
      <c r="L1059" s="28" t="str">
        <f>IF(OR(履歴データ!$A$1059="",履歴データ!$A$1058=""),"",C1059-C1058)</f>
        <v/>
      </c>
      <c r="M1059" s="28" t="str">
        <f>IF(OR(履歴データ!$A$1059="",履歴データ!$A$1058=""),"",D1059-D1058)</f>
        <v/>
      </c>
      <c r="N1059" s="28" t="str">
        <f>IF(OR(履歴データ!$A$1059="",履歴データ!$A$1058=""),"",E1059-E1058)</f>
        <v/>
      </c>
      <c r="O1059" s="28" t="str">
        <f>IF(OR(履歴データ!$A$1059="",履歴データ!$A$1058=""),"",F1059-F1058)</f>
        <v/>
      </c>
      <c r="P1059" s="28" t="str">
        <f>IF(OR(履歴データ!$A$1059="",履歴データ!$A$1058=""),"",G1059-G1058)</f>
        <v/>
      </c>
      <c r="Q1059" s="29" t="str">
        <f>IF(OR(履歴データ!$A$1059="",履歴データ!$A$1058=""),"",H1059-H1058)</f>
        <v/>
      </c>
      <c r="R1059" s="29" t="str">
        <f>IF(OR(履歴データ!$A$1059="",履歴データ!$A$1058=""),"",I1059-I1058)</f>
        <v/>
      </c>
      <c r="S1059" s="28" t="str">
        <f>IF(OR(履歴データ!$A$1059="",履歴データ!$A$1058=""),"",(J1059-J1058)*100)</f>
        <v/>
      </c>
      <c r="T1059" s="11" t="str">
        <f>IF(OR(履歴データ!$A$1059="",履歴データ!$A$1058=""),"",-80000*K1059)</f>
        <v/>
      </c>
      <c r="U1059" s="11" t="str">
        <f>IF(OR(履歴データ!$A$1059="",履歴データ!$A$1058=""),"",60000*L1059)</f>
        <v/>
      </c>
      <c r="V1059" s="11" t="str">
        <f>IF(OR(履歴データ!$A$1059="",履歴データ!$A$1058=""),"",-50000*M1059)</f>
        <v/>
      </c>
      <c r="W1059" s="11" t="str">
        <f>IF(OR(履歴データ!$A$1059="",履歴データ!$A$1058=""),"",-40000*N1059)</f>
        <v/>
      </c>
      <c r="X1059" s="11" t="str">
        <f>IF(OR(履歴データ!$A$1059="",履歴データ!$A$1058=""),"",120*1000000*(-Q1059/H1058))</f>
        <v/>
      </c>
      <c r="Y1059" s="11" t="str">
        <f>IF(OR(履歴データ!$A$1059="",履歴データ!$A$1058=""),"",40000*(-S1059)+(-506.3)*R1059*1000)</f>
        <v/>
      </c>
      <c r="Z1059" s="11" t="str">
        <f>IF(OR(履歴データ!$A$1059="",履歴データ!$A$1058=""),"",-40000*O1059)</f>
        <v/>
      </c>
      <c r="AA1059" s="11" t="str">
        <f>IF(OR(履歴データ!$A$1059="",履歴データ!$A$1058=""),"",-40000*P1059)</f>
        <v/>
      </c>
      <c r="AB1059" s="11" t="str">
        <f>IF(履歴データ!$A$1059="","",123.3)</f>
        <v/>
      </c>
      <c r="AC1059" t="str">
        <f>IF(履歴データ!$A$1059="","",SUM(T1059:AA1059))</f>
        <v/>
      </c>
      <c r="AD1059" s="29" t="str">
        <f>IF(履歴データ!$A$1059="","",AC1059/1000000)</f>
        <v/>
      </c>
      <c r="AE1059" s="29">
        <f>IF(履歴データ!$A$1059="",AE1058,AE1058+AC1059/1000000)</f>
        <v>70.844544225831427</v>
      </c>
      <c r="AF1059" s="12" t="str">
        <f>IF(OR(履歴データ!$A$1059="",AE1058=0),"",(AE1059-AE1058)/AE1058)</f>
        <v/>
      </c>
      <c r="AG1059" s="29">
        <f t="shared" si="46"/>
        <v>102.17217746631495</v>
      </c>
      <c r="AH1059" s="12" t="str">
        <f>IF(OR(履歴データ!$A$1059="",AG1059=0),"",AE1059/AG1059-1)</f>
        <v/>
      </c>
    </row>
    <row r="1060" spans="1:34">
      <c r="A1060" s="10" t="str">
        <f>IF(履歴データ!$A$1060="","",履歴データ!$A$1060)</f>
        <v/>
      </c>
      <c r="B1060" s="28" t="str">
        <f>IF(履歴データ!$A$1060="","",(履歴データ!$D$1060-(履歴データ!$B$1060+履歴データ!$F$1060)/2)*100)</f>
        <v/>
      </c>
      <c r="C1060" s="28" t="str">
        <f>IF(履歴データ!$A$1060="","",(履歴データ!$H$1060-(履歴データ!$G$1060+履歴データ!$J$1060)/2)*100)</f>
        <v/>
      </c>
      <c r="D1060" s="28" t="str">
        <f>IF(履歴データ!$A$1060="","",(履歴データ!$D$1060-履歴データ!$H$1060)*100)</f>
        <v/>
      </c>
      <c r="E1060" s="28" t="str">
        <f>IF(履歴データ!$A$1060="","",(履歴データ!$D$1060-履歴データ!$C$1060)*100)</f>
        <v/>
      </c>
      <c r="F1060" s="28" t="str">
        <f>IF(履歴データ!$A$1060="","",(履歴データ!$R$1060-履歴データ!$D$1060)*100)</f>
        <v/>
      </c>
      <c r="G1060" s="28" t="str">
        <f>IF(履歴データ!$A$1060="","",(履歴データ!$S$1060-履歴データ!$R$1060)*100)</f>
        <v/>
      </c>
      <c r="H1060" s="29" t="str">
        <f>IF(履歴データ!$A$1060="","",履歴データ!$O$1060)</f>
        <v/>
      </c>
      <c r="I1060" s="29" t="str">
        <f>IF(履歴データ!$A$1060="","",履歴データ!$Q$1060)</f>
        <v/>
      </c>
      <c r="J1060" s="29" t="str">
        <f>IF(履歴データ!$A$1060="","",履歴データ!$D$1060)</f>
        <v/>
      </c>
      <c r="K1060" s="28" t="str">
        <f>IF(OR(履歴データ!$A$1060="",履歴データ!$A$1059=""),"",B1060-B1059)</f>
        <v/>
      </c>
      <c r="L1060" s="28" t="str">
        <f>IF(OR(履歴データ!$A$1060="",履歴データ!$A$1059=""),"",C1060-C1059)</f>
        <v/>
      </c>
      <c r="M1060" s="28" t="str">
        <f>IF(OR(履歴データ!$A$1060="",履歴データ!$A$1059=""),"",D1060-D1059)</f>
        <v/>
      </c>
      <c r="N1060" s="28" t="str">
        <f>IF(OR(履歴データ!$A$1060="",履歴データ!$A$1059=""),"",E1060-E1059)</f>
        <v/>
      </c>
      <c r="O1060" s="28" t="str">
        <f>IF(OR(履歴データ!$A$1060="",履歴データ!$A$1059=""),"",F1060-F1059)</f>
        <v/>
      </c>
      <c r="P1060" s="28" t="str">
        <f>IF(OR(履歴データ!$A$1060="",履歴データ!$A$1059=""),"",G1060-G1059)</f>
        <v/>
      </c>
      <c r="Q1060" s="29" t="str">
        <f>IF(OR(履歴データ!$A$1060="",履歴データ!$A$1059=""),"",H1060-H1059)</f>
        <v/>
      </c>
      <c r="R1060" s="29" t="str">
        <f>IF(OR(履歴データ!$A$1060="",履歴データ!$A$1059=""),"",I1060-I1059)</f>
        <v/>
      </c>
      <c r="S1060" s="28" t="str">
        <f>IF(OR(履歴データ!$A$1060="",履歴データ!$A$1059=""),"",(J1060-J1059)*100)</f>
        <v/>
      </c>
      <c r="T1060" s="11" t="str">
        <f>IF(OR(履歴データ!$A$1060="",履歴データ!$A$1059=""),"",-80000*K1060)</f>
        <v/>
      </c>
      <c r="U1060" s="11" t="str">
        <f>IF(OR(履歴データ!$A$1060="",履歴データ!$A$1059=""),"",60000*L1060)</f>
        <v/>
      </c>
      <c r="V1060" s="11" t="str">
        <f>IF(OR(履歴データ!$A$1060="",履歴データ!$A$1059=""),"",-50000*M1060)</f>
        <v/>
      </c>
      <c r="W1060" s="11" t="str">
        <f>IF(OR(履歴データ!$A$1060="",履歴データ!$A$1059=""),"",-40000*N1060)</f>
        <v/>
      </c>
      <c r="X1060" s="11" t="str">
        <f>IF(OR(履歴データ!$A$1060="",履歴データ!$A$1059=""),"",120*1000000*(-Q1060/H1059))</f>
        <v/>
      </c>
      <c r="Y1060" s="11" t="str">
        <f>IF(OR(履歴データ!$A$1060="",履歴データ!$A$1059=""),"",40000*(-S1060)+(-506.3)*R1060*1000)</f>
        <v/>
      </c>
      <c r="Z1060" s="11" t="str">
        <f>IF(OR(履歴データ!$A$1060="",履歴データ!$A$1059=""),"",-40000*O1060)</f>
        <v/>
      </c>
      <c r="AA1060" s="11" t="str">
        <f>IF(OR(履歴データ!$A$1060="",履歴データ!$A$1059=""),"",-40000*P1060)</f>
        <v/>
      </c>
      <c r="AB1060" s="11" t="str">
        <f>IF(履歴データ!$A$1060="","",123.3)</f>
        <v/>
      </c>
      <c r="AC1060" t="str">
        <f>IF(履歴データ!$A$1060="","",SUM(T1060:AA1060))</f>
        <v/>
      </c>
      <c r="AD1060" s="29" t="str">
        <f>IF(履歴データ!$A$1060="","",AC1060/1000000)</f>
        <v/>
      </c>
      <c r="AE1060" s="29">
        <f>IF(履歴データ!$A$1060="",AE1059,AE1059+AC1060/1000000)</f>
        <v>70.844544225831427</v>
      </c>
      <c r="AF1060" s="12" t="str">
        <f>IF(OR(履歴データ!$A$1060="",AE1059=0),"",(AE1060-AE1059)/AE1059)</f>
        <v/>
      </c>
      <c r="AG1060" s="29">
        <f t="shared" si="46"/>
        <v>102.17217746631495</v>
      </c>
      <c r="AH1060" s="12" t="str">
        <f>IF(OR(履歴データ!$A$1060="",AG1060=0),"",AE1060/AG1060-1)</f>
        <v/>
      </c>
    </row>
    <row r="1061" spans="1:34">
      <c r="A1061" s="10" t="str">
        <f>IF(履歴データ!$A$1061="","",履歴データ!$A$1061)</f>
        <v/>
      </c>
      <c r="B1061" s="28" t="str">
        <f>IF(履歴データ!$A$1061="","",(履歴データ!$D$1061-(履歴データ!$B$1061+履歴データ!$F$1061)/2)*100)</f>
        <v/>
      </c>
      <c r="C1061" s="28" t="str">
        <f>IF(履歴データ!$A$1061="","",(履歴データ!$H$1061-(履歴データ!$G$1061+履歴データ!$J$1061)/2)*100)</f>
        <v/>
      </c>
      <c r="D1061" s="28" t="str">
        <f>IF(履歴データ!$A$1061="","",(履歴データ!$D$1061-履歴データ!$H$1061)*100)</f>
        <v/>
      </c>
      <c r="E1061" s="28" t="str">
        <f>IF(履歴データ!$A$1061="","",(履歴データ!$D$1061-履歴データ!$C$1061)*100)</f>
        <v/>
      </c>
      <c r="F1061" s="28" t="str">
        <f>IF(履歴データ!$A$1061="","",(履歴データ!$R$1061-履歴データ!$D$1061)*100)</f>
        <v/>
      </c>
      <c r="G1061" s="28" t="str">
        <f>IF(履歴データ!$A$1061="","",(履歴データ!$S$1061-履歴データ!$R$1061)*100)</f>
        <v/>
      </c>
      <c r="H1061" s="29" t="str">
        <f>IF(履歴データ!$A$1061="","",履歴データ!$O$1061)</f>
        <v/>
      </c>
      <c r="I1061" s="29" t="str">
        <f>IF(履歴データ!$A$1061="","",履歴データ!$Q$1061)</f>
        <v/>
      </c>
      <c r="J1061" s="29" t="str">
        <f>IF(履歴データ!$A$1061="","",履歴データ!$D$1061)</f>
        <v/>
      </c>
      <c r="K1061" s="28" t="str">
        <f>IF(OR(履歴データ!$A$1061="",履歴データ!$A$1060=""),"",B1061-B1060)</f>
        <v/>
      </c>
      <c r="L1061" s="28" t="str">
        <f>IF(OR(履歴データ!$A$1061="",履歴データ!$A$1060=""),"",C1061-C1060)</f>
        <v/>
      </c>
      <c r="M1061" s="28" t="str">
        <f>IF(OR(履歴データ!$A$1061="",履歴データ!$A$1060=""),"",D1061-D1060)</f>
        <v/>
      </c>
      <c r="N1061" s="28" t="str">
        <f>IF(OR(履歴データ!$A$1061="",履歴データ!$A$1060=""),"",E1061-E1060)</f>
        <v/>
      </c>
      <c r="O1061" s="28" t="str">
        <f>IF(OR(履歴データ!$A$1061="",履歴データ!$A$1060=""),"",F1061-F1060)</f>
        <v/>
      </c>
      <c r="P1061" s="28" t="str">
        <f>IF(OR(履歴データ!$A$1061="",履歴データ!$A$1060=""),"",G1061-G1060)</f>
        <v/>
      </c>
      <c r="Q1061" s="29" t="str">
        <f>IF(OR(履歴データ!$A$1061="",履歴データ!$A$1060=""),"",H1061-H1060)</f>
        <v/>
      </c>
      <c r="R1061" s="29" t="str">
        <f>IF(OR(履歴データ!$A$1061="",履歴データ!$A$1060=""),"",I1061-I1060)</f>
        <v/>
      </c>
      <c r="S1061" s="28" t="str">
        <f>IF(OR(履歴データ!$A$1061="",履歴データ!$A$1060=""),"",(J1061-J1060)*100)</f>
        <v/>
      </c>
      <c r="T1061" s="11" t="str">
        <f>IF(OR(履歴データ!$A$1061="",履歴データ!$A$1060=""),"",-80000*K1061)</f>
        <v/>
      </c>
      <c r="U1061" s="11" t="str">
        <f>IF(OR(履歴データ!$A$1061="",履歴データ!$A$1060=""),"",60000*L1061)</f>
        <v/>
      </c>
      <c r="V1061" s="11" t="str">
        <f>IF(OR(履歴データ!$A$1061="",履歴データ!$A$1060=""),"",-50000*M1061)</f>
        <v/>
      </c>
      <c r="W1061" s="11" t="str">
        <f>IF(OR(履歴データ!$A$1061="",履歴データ!$A$1060=""),"",-40000*N1061)</f>
        <v/>
      </c>
      <c r="X1061" s="11" t="str">
        <f>IF(OR(履歴データ!$A$1061="",履歴データ!$A$1060=""),"",120*1000000*(-Q1061/H1060))</f>
        <v/>
      </c>
      <c r="Y1061" s="11" t="str">
        <f>IF(OR(履歴データ!$A$1061="",履歴データ!$A$1060=""),"",40000*(-S1061)+(-506.3)*R1061*1000)</f>
        <v/>
      </c>
      <c r="Z1061" s="11" t="str">
        <f>IF(OR(履歴データ!$A$1061="",履歴データ!$A$1060=""),"",-40000*O1061)</f>
        <v/>
      </c>
      <c r="AA1061" s="11" t="str">
        <f>IF(OR(履歴データ!$A$1061="",履歴データ!$A$1060=""),"",-40000*P1061)</f>
        <v/>
      </c>
      <c r="AB1061" s="11" t="str">
        <f>IF(履歴データ!$A$1061="","",123.3)</f>
        <v/>
      </c>
      <c r="AC1061" t="str">
        <f>IF(履歴データ!$A$1061="","",SUM(T1061:AA1061))</f>
        <v/>
      </c>
      <c r="AD1061" s="29" t="str">
        <f>IF(履歴データ!$A$1061="","",AC1061/1000000)</f>
        <v/>
      </c>
      <c r="AE1061" s="29">
        <f>IF(履歴データ!$A$1061="",AE1060,AE1060+AC1061/1000000)</f>
        <v>70.844544225831427</v>
      </c>
      <c r="AF1061" s="12" t="str">
        <f>IF(OR(履歴データ!$A$1061="",AE1060=0),"",(AE1061-AE1060)/AE1060)</f>
        <v/>
      </c>
      <c r="AG1061" s="29">
        <f t="shared" si="46"/>
        <v>102.17217746631495</v>
      </c>
      <c r="AH1061" s="12" t="str">
        <f>IF(OR(履歴データ!$A$1061="",AG1061=0),"",AE1061/AG1061-1)</f>
        <v/>
      </c>
    </row>
    <row r="1062" spans="1:34">
      <c r="A1062" s="10" t="str">
        <f>IF(履歴データ!$A$1062="","",履歴データ!$A$1062)</f>
        <v/>
      </c>
      <c r="B1062" s="28" t="str">
        <f>IF(履歴データ!$A$1062="","",(履歴データ!$D$1062-(履歴データ!$B$1062+履歴データ!$F$1062)/2)*100)</f>
        <v/>
      </c>
      <c r="C1062" s="28" t="str">
        <f>IF(履歴データ!$A$1062="","",(履歴データ!$H$1062-(履歴データ!$G$1062+履歴データ!$J$1062)/2)*100)</f>
        <v/>
      </c>
      <c r="D1062" s="28" t="str">
        <f>IF(履歴データ!$A$1062="","",(履歴データ!$D$1062-履歴データ!$H$1062)*100)</f>
        <v/>
      </c>
      <c r="E1062" s="28" t="str">
        <f>IF(履歴データ!$A$1062="","",(履歴データ!$D$1062-履歴データ!$C$1062)*100)</f>
        <v/>
      </c>
      <c r="F1062" s="28" t="str">
        <f>IF(履歴データ!$A$1062="","",(履歴データ!$R$1062-履歴データ!$D$1062)*100)</f>
        <v/>
      </c>
      <c r="G1062" s="28" t="str">
        <f>IF(履歴データ!$A$1062="","",(履歴データ!$S$1062-履歴データ!$R$1062)*100)</f>
        <v/>
      </c>
      <c r="H1062" s="29" t="str">
        <f>IF(履歴データ!$A$1062="","",履歴データ!$O$1062)</f>
        <v/>
      </c>
      <c r="I1062" s="29" t="str">
        <f>IF(履歴データ!$A$1062="","",履歴データ!$Q$1062)</f>
        <v/>
      </c>
      <c r="J1062" s="29" t="str">
        <f>IF(履歴データ!$A$1062="","",履歴データ!$D$1062)</f>
        <v/>
      </c>
      <c r="K1062" s="28" t="str">
        <f>IF(OR(履歴データ!$A$1062="",履歴データ!$A$1061=""),"",B1062-B1061)</f>
        <v/>
      </c>
      <c r="L1062" s="28" t="str">
        <f>IF(OR(履歴データ!$A$1062="",履歴データ!$A$1061=""),"",C1062-C1061)</f>
        <v/>
      </c>
      <c r="M1062" s="28" t="str">
        <f>IF(OR(履歴データ!$A$1062="",履歴データ!$A$1061=""),"",D1062-D1061)</f>
        <v/>
      </c>
      <c r="N1062" s="28" t="str">
        <f>IF(OR(履歴データ!$A$1062="",履歴データ!$A$1061=""),"",E1062-E1061)</f>
        <v/>
      </c>
      <c r="O1062" s="28" t="str">
        <f>IF(OR(履歴データ!$A$1062="",履歴データ!$A$1061=""),"",F1062-F1061)</f>
        <v/>
      </c>
      <c r="P1062" s="28" t="str">
        <f>IF(OR(履歴データ!$A$1062="",履歴データ!$A$1061=""),"",G1062-G1061)</f>
        <v/>
      </c>
      <c r="Q1062" s="29" t="str">
        <f>IF(OR(履歴データ!$A$1062="",履歴データ!$A$1061=""),"",H1062-H1061)</f>
        <v/>
      </c>
      <c r="R1062" s="29" t="str">
        <f>IF(OR(履歴データ!$A$1062="",履歴データ!$A$1061=""),"",I1062-I1061)</f>
        <v/>
      </c>
      <c r="S1062" s="28" t="str">
        <f>IF(OR(履歴データ!$A$1062="",履歴データ!$A$1061=""),"",(J1062-J1061)*100)</f>
        <v/>
      </c>
      <c r="T1062" s="11" t="str">
        <f>IF(OR(履歴データ!$A$1062="",履歴データ!$A$1061=""),"",-80000*K1062)</f>
        <v/>
      </c>
      <c r="U1062" s="11" t="str">
        <f>IF(OR(履歴データ!$A$1062="",履歴データ!$A$1061=""),"",60000*L1062)</f>
        <v/>
      </c>
      <c r="V1062" s="11" t="str">
        <f>IF(OR(履歴データ!$A$1062="",履歴データ!$A$1061=""),"",-50000*M1062)</f>
        <v/>
      </c>
      <c r="W1062" s="11" t="str">
        <f>IF(OR(履歴データ!$A$1062="",履歴データ!$A$1061=""),"",-40000*N1062)</f>
        <v/>
      </c>
      <c r="X1062" s="11" t="str">
        <f>IF(OR(履歴データ!$A$1062="",履歴データ!$A$1061=""),"",120*1000000*(-Q1062/H1061))</f>
        <v/>
      </c>
      <c r="Y1062" s="11" t="str">
        <f>IF(OR(履歴データ!$A$1062="",履歴データ!$A$1061=""),"",40000*(-S1062)+(-506.3)*R1062*1000)</f>
        <v/>
      </c>
      <c r="Z1062" s="11" t="str">
        <f>IF(OR(履歴データ!$A$1062="",履歴データ!$A$1061=""),"",-40000*O1062)</f>
        <v/>
      </c>
      <c r="AA1062" s="11" t="str">
        <f>IF(OR(履歴データ!$A$1062="",履歴データ!$A$1061=""),"",-40000*P1062)</f>
        <v/>
      </c>
      <c r="AB1062" s="11" t="str">
        <f>IF(履歴データ!$A$1062="","",123.3)</f>
        <v/>
      </c>
      <c r="AC1062" t="str">
        <f>IF(履歴データ!$A$1062="","",SUM(T1062:AA1062))</f>
        <v/>
      </c>
      <c r="AD1062" s="29" t="str">
        <f>IF(履歴データ!$A$1062="","",AC1062/1000000)</f>
        <v/>
      </c>
      <c r="AE1062" s="29">
        <f>IF(履歴データ!$A$1062="",AE1061,AE1061+AC1062/1000000)</f>
        <v>70.844544225831427</v>
      </c>
      <c r="AF1062" s="12" t="str">
        <f>IF(OR(履歴データ!$A$1062="",AE1061=0),"",(AE1062-AE1061)/AE1061)</f>
        <v/>
      </c>
      <c r="AG1062" s="29">
        <f t="shared" si="46"/>
        <v>102.17217746631495</v>
      </c>
      <c r="AH1062" s="12" t="str">
        <f>IF(OR(履歴データ!$A$1062="",AG1062=0),"",AE1062/AG1062-1)</f>
        <v/>
      </c>
    </row>
    <row r="1063" spans="1:34">
      <c r="A1063" s="10" t="str">
        <f>IF(履歴データ!$A$1063="","",履歴データ!$A$1063)</f>
        <v/>
      </c>
      <c r="B1063" s="28" t="str">
        <f>IF(履歴データ!$A$1063="","",(履歴データ!$D$1063-(履歴データ!$B$1063+履歴データ!$F$1063)/2)*100)</f>
        <v/>
      </c>
      <c r="C1063" s="28" t="str">
        <f>IF(履歴データ!$A$1063="","",(履歴データ!$H$1063-(履歴データ!$G$1063+履歴データ!$J$1063)/2)*100)</f>
        <v/>
      </c>
      <c r="D1063" s="28" t="str">
        <f>IF(履歴データ!$A$1063="","",(履歴データ!$D$1063-履歴データ!$H$1063)*100)</f>
        <v/>
      </c>
      <c r="E1063" s="28" t="str">
        <f>IF(履歴データ!$A$1063="","",(履歴データ!$D$1063-履歴データ!$C$1063)*100)</f>
        <v/>
      </c>
      <c r="F1063" s="28" t="str">
        <f>IF(履歴データ!$A$1063="","",(履歴データ!$R$1063-履歴データ!$D$1063)*100)</f>
        <v/>
      </c>
      <c r="G1063" s="28" t="str">
        <f>IF(履歴データ!$A$1063="","",(履歴データ!$S$1063-履歴データ!$R$1063)*100)</f>
        <v/>
      </c>
      <c r="H1063" s="29" t="str">
        <f>IF(履歴データ!$A$1063="","",履歴データ!$O$1063)</f>
        <v/>
      </c>
      <c r="I1063" s="29" t="str">
        <f>IF(履歴データ!$A$1063="","",履歴データ!$Q$1063)</f>
        <v/>
      </c>
      <c r="J1063" s="29" t="str">
        <f>IF(履歴データ!$A$1063="","",履歴データ!$D$1063)</f>
        <v/>
      </c>
      <c r="K1063" s="28" t="str">
        <f>IF(OR(履歴データ!$A$1063="",履歴データ!$A$1062=""),"",B1063-B1062)</f>
        <v/>
      </c>
      <c r="L1063" s="28" t="str">
        <f>IF(OR(履歴データ!$A$1063="",履歴データ!$A$1062=""),"",C1063-C1062)</f>
        <v/>
      </c>
      <c r="M1063" s="28" t="str">
        <f>IF(OR(履歴データ!$A$1063="",履歴データ!$A$1062=""),"",D1063-D1062)</f>
        <v/>
      </c>
      <c r="N1063" s="28" t="str">
        <f>IF(OR(履歴データ!$A$1063="",履歴データ!$A$1062=""),"",E1063-E1062)</f>
        <v/>
      </c>
      <c r="O1063" s="28" t="str">
        <f>IF(OR(履歴データ!$A$1063="",履歴データ!$A$1062=""),"",F1063-F1062)</f>
        <v/>
      </c>
      <c r="P1063" s="28" t="str">
        <f>IF(OR(履歴データ!$A$1063="",履歴データ!$A$1062=""),"",G1063-G1062)</f>
        <v/>
      </c>
      <c r="Q1063" s="29" t="str">
        <f>IF(OR(履歴データ!$A$1063="",履歴データ!$A$1062=""),"",H1063-H1062)</f>
        <v/>
      </c>
      <c r="R1063" s="29" t="str">
        <f>IF(OR(履歴データ!$A$1063="",履歴データ!$A$1062=""),"",I1063-I1062)</f>
        <v/>
      </c>
      <c r="S1063" s="28" t="str">
        <f>IF(OR(履歴データ!$A$1063="",履歴データ!$A$1062=""),"",(J1063-J1062)*100)</f>
        <v/>
      </c>
      <c r="T1063" s="11" t="str">
        <f>IF(OR(履歴データ!$A$1063="",履歴データ!$A$1062=""),"",-80000*K1063)</f>
        <v/>
      </c>
      <c r="U1063" s="11" t="str">
        <f>IF(OR(履歴データ!$A$1063="",履歴データ!$A$1062=""),"",60000*L1063)</f>
        <v/>
      </c>
      <c r="V1063" s="11" t="str">
        <f>IF(OR(履歴データ!$A$1063="",履歴データ!$A$1062=""),"",-50000*M1063)</f>
        <v/>
      </c>
      <c r="W1063" s="11" t="str">
        <f>IF(OR(履歴データ!$A$1063="",履歴データ!$A$1062=""),"",-40000*N1063)</f>
        <v/>
      </c>
      <c r="X1063" s="11" t="str">
        <f>IF(OR(履歴データ!$A$1063="",履歴データ!$A$1062=""),"",120*1000000*(-Q1063/H1062))</f>
        <v/>
      </c>
      <c r="Y1063" s="11" t="str">
        <f>IF(OR(履歴データ!$A$1063="",履歴データ!$A$1062=""),"",40000*(-S1063)+(-506.3)*R1063*1000)</f>
        <v/>
      </c>
      <c r="Z1063" s="11" t="str">
        <f>IF(OR(履歴データ!$A$1063="",履歴データ!$A$1062=""),"",-40000*O1063)</f>
        <v/>
      </c>
      <c r="AA1063" s="11" t="str">
        <f>IF(OR(履歴データ!$A$1063="",履歴データ!$A$1062=""),"",-40000*P1063)</f>
        <v/>
      </c>
      <c r="AB1063" s="11" t="str">
        <f>IF(履歴データ!$A$1063="","",123.3)</f>
        <v/>
      </c>
      <c r="AC1063" t="str">
        <f>IF(履歴データ!$A$1063="","",SUM(T1063:AA1063))</f>
        <v/>
      </c>
      <c r="AD1063" s="29" t="str">
        <f>IF(履歴データ!$A$1063="","",AC1063/1000000)</f>
        <v/>
      </c>
      <c r="AE1063" s="29">
        <f>IF(履歴データ!$A$1063="",AE1062,AE1062+AC1063/1000000)</f>
        <v>70.844544225831427</v>
      </c>
      <c r="AF1063" s="12" t="str">
        <f>IF(OR(履歴データ!$A$1063="",AE1062=0),"",(AE1063-AE1062)/AE1062)</f>
        <v/>
      </c>
      <c r="AG1063" s="29">
        <f t="shared" si="46"/>
        <v>102.17217746631495</v>
      </c>
      <c r="AH1063" s="12" t="str">
        <f>IF(OR(履歴データ!$A$1063="",AG1063=0),"",AE1063/AG1063-1)</f>
        <v/>
      </c>
    </row>
    <row r="1064" spans="1:34">
      <c r="A1064" s="10" t="str">
        <f>IF(履歴データ!$A$1064="","",履歴データ!$A$1064)</f>
        <v/>
      </c>
      <c r="B1064" s="28" t="str">
        <f>IF(履歴データ!$A$1064="","",(履歴データ!$D$1064-(履歴データ!$B$1064+履歴データ!$F$1064)/2)*100)</f>
        <v/>
      </c>
      <c r="C1064" s="28" t="str">
        <f>IF(履歴データ!$A$1064="","",(履歴データ!$H$1064-(履歴データ!$G$1064+履歴データ!$J$1064)/2)*100)</f>
        <v/>
      </c>
      <c r="D1064" s="28" t="str">
        <f>IF(履歴データ!$A$1064="","",(履歴データ!$D$1064-履歴データ!$H$1064)*100)</f>
        <v/>
      </c>
      <c r="E1064" s="28" t="str">
        <f>IF(履歴データ!$A$1064="","",(履歴データ!$D$1064-履歴データ!$C$1064)*100)</f>
        <v/>
      </c>
      <c r="F1064" s="28" t="str">
        <f>IF(履歴データ!$A$1064="","",(履歴データ!$R$1064-履歴データ!$D$1064)*100)</f>
        <v/>
      </c>
      <c r="G1064" s="28" t="str">
        <f>IF(履歴データ!$A$1064="","",(履歴データ!$S$1064-履歴データ!$R$1064)*100)</f>
        <v/>
      </c>
      <c r="H1064" s="29" t="str">
        <f>IF(履歴データ!$A$1064="","",履歴データ!$O$1064)</f>
        <v/>
      </c>
      <c r="I1064" s="29" t="str">
        <f>IF(履歴データ!$A$1064="","",履歴データ!$Q$1064)</f>
        <v/>
      </c>
      <c r="J1064" s="29" t="str">
        <f>IF(履歴データ!$A$1064="","",履歴データ!$D$1064)</f>
        <v/>
      </c>
      <c r="K1064" s="28" t="str">
        <f>IF(OR(履歴データ!$A$1064="",履歴データ!$A$1063=""),"",B1064-B1063)</f>
        <v/>
      </c>
      <c r="L1064" s="28" t="str">
        <f>IF(OR(履歴データ!$A$1064="",履歴データ!$A$1063=""),"",C1064-C1063)</f>
        <v/>
      </c>
      <c r="M1064" s="28" t="str">
        <f>IF(OR(履歴データ!$A$1064="",履歴データ!$A$1063=""),"",D1064-D1063)</f>
        <v/>
      </c>
      <c r="N1064" s="28" t="str">
        <f>IF(OR(履歴データ!$A$1064="",履歴データ!$A$1063=""),"",E1064-E1063)</f>
        <v/>
      </c>
      <c r="O1064" s="28" t="str">
        <f>IF(OR(履歴データ!$A$1064="",履歴データ!$A$1063=""),"",F1064-F1063)</f>
        <v/>
      </c>
      <c r="P1064" s="28" t="str">
        <f>IF(OR(履歴データ!$A$1064="",履歴データ!$A$1063=""),"",G1064-G1063)</f>
        <v/>
      </c>
      <c r="Q1064" s="29" t="str">
        <f>IF(OR(履歴データ!$A$1064="",履歴データ!$A$1063=""),"",H1064-H1063)</f>
        <v/>
      </c>
      <c r="R1064" s="29" t="str">
        <f>IF(OR(履歴データ!$A$1064="",履歴データ!$A$1063=""),"",I1064-I1063)</f>
        <v/>
      </c>
      <c r="S1064" s="28" t="str">
        <f>IF(OR(履歴データ!$A$1064="",履歴データ!$A$1063=""),"",(J1064-J1063)*100)</f>
        <v/>
      </c>
      <c r="T1064" s="11" t="str">
        <f>IF(OR(履歴データ!$A$1064="",履歴データ!$A$1063=""),"",-80000*K1064)</f>
        <v/>
      </c>
      <c r="U1064" s="11" t="str">
        <f>IF(OR(履歴データ!$A$1064="",履歴データ!$A$1063=""),"",60000*L1064)</f>
        <v/>
      </c>
      <c r="V1064" s="11" t="str">
        <f>IF(OR(履歴データ!$A$1064="",履歴データ!$A$1063=""),"",-50000*M1064)</f>
        <v/>
      </c>
      <c r="W1064" s="11" t="str">
        <f>IF(OR(履歴データ!$A$1064="",履歴データ!$A$1063=""),"",-40000*N1064)</f>
        <v/>
      </c>
      <c r="X1064" s="11" t="str">
        <f>IF(OR(履歴データ!$A$1064="",履歴データ!$A$1063=""),"",120*1000000*(-Q1064/H1063))</f>
        <v/>
      </c>
      <c r="Y1064" s="11" t="str">
        <f>IF(OR(履歴データ!$A$1064="",履歴データ!$A$1063=""),"",40000*(-S1064)+(-506.3)*R1064*1000)</f>
        <v/>
      </c>
      <c r="Z1064" s="11" t="str">
        <f>IF(OR(履歴データ!$A$1064="",履歴データ!$A$1063=""),"",-40000*O1064)</f>
        <v/>
      </c>
      <c r="AA1064" s="11" t="str">
        <f>IF(OR(履歴データ!$A$1064="",履歴データ!$A$1063=""),"",-40000*P1064)</f>
        <v/>
      </c>
      <c r="AB1064" s="11" t="str">
        <f>IF(履歴データ!$A$1064="","",123.3)</f>
        <v/>
      </c>
      <c r="AC1064" t="str">
        <f>IF(履歴データ!$A$1064="","",SUM(T1064:AA1064))</f>
        <v/>
      </c>
      <c r="AD1064" s="29" t="str">
        <f>IF(履歴データ!$A$1064="","",AC1064/1000000)</f>
        <v/>
      </c>
      <c r="AE1064" s="29">
        <f>IF(履歴データ!$A$1064="",AE1063,AE1063+AC1064/1000000)</f>
        <v>70.844544225831427</v>
      </c>
      <c r="AF1064" s="12" t="str">
        <f>IF(OR(履歴データ!$A$1064="",AE1063=0),"",(AE1064-AE1063)/AE1063)</f>
        <v/>
      </c>
      <c r="AG1064" s="29">
        <f t="shared" si="46"/>
        <v>102.17217746631495</v>
      </c>
      <c r="AH1064" s="12" t="str">
        <f>IF(OR(履歴データ!$A$1064="",AG1064=0),"",AE1064/AG1064-1)</f>
        <v/>
      </c>
    </row>
    <row r="1065" spans="1:34">
      <c r="A1065" s="10" t="str">
        <f>IF(履歴データ!$A$1065="","",履歴データ!$A$1065)</f>
        <v/>
      </c>
      <c r="B1065" s="28" t="str">
        <f>IF(履歴データ!$A$1065="","",(履歴データ!$D$1065-(履歴データ!$B$1065+履歴データ!$F$1065)/2)*100)</f>
        <v/>
      </c>
      <c r="C1065" s="28" t="str">
        <f>IF(履歴データ!$A$1065="","",(履歴データ!$H$1065-(履歴データ!$G$1065+履歴データ!$J$1065)/2)*100)</f>
        <v/>
      </c>
      <c r="D1065" s="28" t="str">
        <f>IF(履歴データ!$A$1065="","",(履歴データ!$D$1065-履歴データ!$H$1065)*100)</f>
        <v/>
      </c>
      <c r="E1065" s="28" t="str">
        <f>IF(履歴データ!$A$1065="","",(履歴データ!$D$1065-履歴データ!$C$1065)*100)</f>
        <v/>
      </c>
      <c r="F1065" s="28" t="str">
        <f>IF(履歴データ!$A$1065="","",(履歴データ!$R$1065-履歴データ!$D$1065)*100)</f>
        <v/>
      </c>
      <c r="G1065" s="28" t="str">
        <f>IF(履歴データ!$A$1065="","",(履歴データ!$S$1065-履歴データ!$R$1065)*100)</f>
        <v/>
      </c>
      <c r="H1065" s="29" t="str">
        <f>IF(履歴データ!$A$1065="","",履歴データ!$O$1065)</f>
        <v/>
      </c>
      <c r="I1065" s="29" t="str">
        <f>IF(履歴データ!$A$1065="","",履歴データ!$Q$1065)</f>
        <v/>
      </c>
      <c r="J1065" s="29" t="str">
        <f>IF(履歴データ!$A$1065="","",履歴データ!$D$1065)</f>
        <v/>
      </c>
      <c r="K1065" s="28" t="str">
        <f>IF(OR(履歴データ!$A$1065="",履歴データ!$A$1064=""),"",B1065-B1064)</f>
        <v/>
      </c>
      <c r="L1065" s="28" t="str">
        <f>IF(OR(履歴データ!$A$1065="",履歴データ!$A$1064=""),"",C1065-C1064)</f>
        <v/>
      </c>
      <c r="M1065" s="28" t="str">
        <f>IF(OR(履歴データ!$A$1065="",履歴データ!$A$1064=""),"",D1065-D1064)</f>
        <v/>
      </c>
      <c r="N1065" s="28" t="str">
        <f>IF(OR(履歴データ!$A$1065="",履歴データ!$A$1064=""),"",E1065-E1064)</f>
        <v/>
      </c>
      <c r="O1065" s="28" t="str">
        <f>IF(OR(履歴データ!$A$1065="",履歴データ!$A$1064=""),"",F1065-F1064)</f>
        <v/>
      </c>
      <c r="P1065" s="28" t="str">
        <f>IF(OR(履歴データ!$A$1065="",履歴データ!$A$1064=""),"",G1065-G1064)</f>
        <v/>
      </c>
      <c r="Q1065" s="29" t="str">
        <f>IF(OR(履歴データ!$A$1065="",履歴データ!$A$1064=""),"",H1065-H1064)</f>
        <v/>
      </c>
      <c r="R1065" s="29" t="str">
        <f>IF(OR(履歴データ!$A$1065="",履歴データ!$A$1064=""),"",I1065-I1064)</f>
        <v/>
      </c>
      <c r="S1065" s="28" t="str">
        <f>IF(OR(履歴データ!$A$1065="",履歴データ!$A$1064=""),"",(J1065-J1064)*100)</f>
        <v/>
      </c>
      <c r="T1065" s="11" t="str">
        <f>IF(OR(履歴データ!$A$1065="",履歴データ!$A$1064=""),"",-80000*K1065)</f>
        <v/>
      </c>
      <c r="U1065" s="11" t="str">
        <f>IF(OR(履歴データ!$A$1065="",履歴データ!$A$1064=""),"",60000*L1065)</f>
        <v/>
      </c>
      <c r="V1065" s="11" t="str">
        <f>IF(OR(履歴データ!$A$1065="",履歴データ!$A$1064=""),"",-50000*M1065)</f>
        <v/>
      </c>
      <c r="W1065" s="11" t="str">
        <f>IF(OR(履歴データ!$A$1065="",履歴データ!$A$1064=""),"",-40000*N1065)</f>
        <v/>
      </c>
      <c r="X1065" s="11" t="str">
        <f>IF(OR(履歴データ!$A$1065="",履歴データ!$A$1064=""),"",120*1000000*(-Q1065/H1064))</f>
        <v/>
      </c>
      <c r="Y1065" s="11" t="str">
        <f>IF(OR(履歴データ!$A$1065="",履歴データ!$A$1064=""),"",40000*(-S1065)+(-506.3)*R1065*1000)</f>
        <v/>
      </c>
      <c r="Z1065" s="11" t="str">
        <f>IF(OR(履歴データ!$A$1065="",履歴データ!$A$1064=""),"",-40000*O1065)</f>
        <v/>
      </c>
      <c r="AA1065" s="11" t="str">
        <f>IF(OR(履歴データ!$A$1065="",履歴データ!$A$1064=""),"",-40000*P1065)</f>
        <v/>
      </c>
      <c r="AB1065" s="11" t="str">
        <f>IF(履歴データ!$A$1065="","",123.3)</f>
        <v/>
      </c>
      <c r="AC1065" t="str">
        <f>IF(履歴データ!$A$1065="","",SUM(T1065:AA1065))</f>
        <v/>
      </c>
      <c r="AD1065" s="29" t="str">
        <f>IF(履歴データ!$A$1065="","",AC1065/1000000)</f>
        <v/>
      </c>
      <c r="AE1065" s="29">
        <f>IF(履歴データ!$A$1065="",AE1064,AE1064+AC1065/1000000)</f>
        <v>70.844544225831427</v>
      </c>
      <c r="AF1065" s="12" t="str">
        <f>IF(OR(履歴データ!$A$1065="",AE1064=0),"",(AE1065-AE1064)/AE1064)</f>
        <v/>
      </c>
      <c r="AG1065" s="29">
        <f t="shared" si="46"/>
        <v>102.17217746631495</v>
      </c>
      <c r="AH1065" s="12" t="str">
        <f>IF(OR(履歴データ!$A$1065="",AG1065=0),"",AE1065/AG1065-1)</f>
        <v/>
      </c>
    </row>
    <row r="1066" spans="1:34">
      <c r="A1066" s="10" t="str">
        <f>IF(履歴データ!$A$1066="","",履歴データ!$A$1066)</f>
        <v/>
      </c>
      <c r="B1066" s="28" t="str">
        <f>IF(履歴データ!$A$1066="","",(履歴データ!$D$1066-(履歴データ!$B$1066+履歴データ!$F$1066)/2)*100)</f>
        <v/>
      </c>
      <c r="C1066" s="28" t="str">
        <f>IF(履歴データ!$A$1066="","",(履歴データ!$H$1066-(履歴データ!$G$1066+履歴データ!$J$1066)/2)*100)</f>
        <v/>
      </c>
      <c r="D1066" s="28" t="str">
        <f>IF(履歴データ!$A$1066="","",(履歴データ!$D$1066-履歴データ!$H$1066)*100)</f>
        <v/>
      </c>
      <c r="E1066" s="28" t="str">
        <f>IF(履歴データ!$A$1066="","",(履歴データ!$D$1066-履歴データ!$C$1066)*100)</f>
        <v/>
      </c>
      <c r="F1066" s="28" t="str">
        <f>IF(履歴データ!$A$1066="","",(履歴データ!$R$1066-履歴データ!$D$1066)*100)</f>
        <v/>
      </c>
      <c r="G1066" s="28" t="str">
        <f>IF(履歴データ!$A$1066="","",(履歴データ!$S$1066-履歴データ!$R$1066)*100)</f>
        <v/>
      </c>
      <c r="H1066" s="29" t="str">
        <f>IF(履歴データ!$A$1066="","",履歴データ!$O$1066)</f>
        <v/>
      </c>
      <c r="I1066" s="29" t="str">
        <f>IF(履歴データ!$A$1066="","",履歴データ!$Q$1066)</f>
        <v/>
      </c>
      <c r="J1066" s="29" t="str">
        <f>IF(履歴データ!$A$1066="","",履歴データ!$D$1066)</f>
        <v/>
      </c>
      <c r="K1066" s="28" t="str">
        <f>IF(OR(履歴データ!$A$1066="",履歴データ!$A$1065=""),"",B1066-B1065)</f>
        <v/>
      </c>
      <c r="L1066" s="28" t="str">
        <f>IF(OR(履歴データ!$A$1066="",履歴データ!$A$1065=""),"",C1066-C1065)</f>
        <v/>
      </c>
      <c r="M1066" s="28" t="str">
        <f>IF(OR(履歴データ!$A$1066="",履歴データ!$A$1065=""),"",D1066-D1065)</f>
        <v/>
      </c>
      <c r="N1066" s="28" t="str">
        <f>IF(OR(履歴データ!$A$1066="",履歴データ!$A$1065=""),"",E1066-E1065)</f>
        <v/>
      </c>
      <c r="O1066" s="28" t="str">
        <f>IF(OR(履歴データ!$A$1066="",履歴データ!$A$1065=""),"",F1066-F1065)</f>
        <v/>
      </c>
      <c r="P1066" s="28" t="str">
        <f>IF(OR(履歴データ!$A$1066="",履歴データ!$A$1065=""),"",G1066-G1065)</f>
        <v/>
      </c>
      <c r="Q1066" s="29" t="str">
        <f>IF(OR(履歴データ!$A$1066="",履歴データ!$A$1065=""),"",H1066-H1065)</f>
        <v/>
      </c>
      <c r="R1066" s="29" t="str">
        <f>IF(OR(履歴データ!$A$1066="",履歴データ!$A$1065=""),"",I1066-I1065)</f>
        <v/>
      </c>
      <c r="S1066" s="28" t="str">
        <f>IF(OR(履歴データ!$A$1066="",履歴データ!$A$1065=""),"",(J1066-J1065)*100)</f>
        <v/>
      </c>
      <c r="T1066" s="11" t="str">
        <f>IF(OR(履歴データ!$A$1066="",履歴データ!$A$1065=""),"",-80000*K1066)</f>
        <v/>
      </c>
      <c r="U1066" s="11" t="str">
        <f>IF(OR(履歴データ!$A$1066="",履歴データ!$A$1065=""),"",60000*L1066)</f>
        <v/>
      </c>
      <c r="V1066" s="11" t="str">
        <f>IF(OR(履歴データ!$A$1066="",履歴データ!$A$1065=""),"",-50000*M1066)</f>
        <v/>
      </c>
      <c r="W1066" s="11" t="str">
        <f>IF(OR(履歴データ!$A$1066="",履歴データ!$A$1065=""),"",-40000*N1066)</f>
        <v/>
      </c>
      <c r="X1066" s="11" t="str">
        <f>IF(OR(履歴データ!$A$1066="",履歴データ!$A$1065=""),"",120*1000000*(-Q1066/H1065))</f>
        <v/>
      </c>
      <c r="Y1066" s="11" t="str">
        <f>IF(OR(履歴データ!$A$1066="",履歴データ!$A$1065=""),"",40000*(-S1066)+(-506.3)*R1066*1000)</f>
        <v/>
      </c>
      <c r="Z1066" s="11" t="str">
        <f>IF(OR(履歴データ!$A$1066="",履歴データ!$A$1065=""),"",-40000*O1066)</f>
        <v/>
      </c>
      <c r="AA1066" s="11" t="str">
        <f>IF(OR(履歴データ!$A$1066="",履歴データ!$A$1065=""),"",-40000*P1066)</f>
        <v/>
      </c>
      <c r="AB1066" s="11" t="str">
        <f>IF(履歴データ!$A$1066="","",123.3)</f>
        <v/>
      </c>
      <c r="AC1066" t="str">
        <f>IF(履歴データ!$A$1066="","",SUM(T1066:AA1066))</f>
        <v/>
      </c>
      <c r="AD1066" s="29" t="str">
        <f>IF(履歴データ!$A$1066="","",AC1066/1000000)</f>
        <v/>
      </c>
      <c r="AE1066" s="29">
        <f>IF(履歴データ!$A$1066="",AE1065,AE1065+AC1066/1000000)</f>
        <v>70.844544225831427</v>
      </c>
      <c r="AF1066" s="12" t="str">
        <f>IF(OR(履歴データ!$A$1066="",AE1065=0),"",(AE1066-AE1065)/AE1065)</f>
        <v/>
      </c>
      <c r="AG1066" s="29">
        <f t="shared" si="46"/>
        <v>102.17217746631495</v>
      </c>
      <c r="AH1066" s="12" t="str">
        <f>IF(OR(履歴データ!$A$1066="",AG1066=0),"",AE1066/AG1066-1)</f>
        <v/>
      </c>
    </row>
    <row r="1067" spans="1:34">
      <c r="A1067" s="10" t="str">
        <f>IF(履歴データ!$A$1067="","",履歴データ!$A$1067)</f>
        <v/>
      </c>
      <c r="B1067" s="28" t="str">
        <f>IF(履歴データ!$A$1067="","",(履歴データ!$D$1067-(履歴データ!$B$1067+履歴データ!$F$1067)/2)*100)</f>
        <v/>
      </c>
      <c r="C1067" s="28" t="str">
        <f>IF(履歴データ!$A$1067="","",(履歴データ!$H$1067-(履歴データ!$G$1067+履歴データ!$J$1067)/2)*100)</f>
        <v/>
      </c>
      <c r="D1067" s="28" t="str">
        <f>IF(履歴データ!$A$1067="","",(履歴データ!$D$1067-履歴データ!$H$1067)*100)</f>
        <v/>
      </c>
      <c r="E1067" s="28" t="str">
        <f>IF(履歴データ!$A$1067="","",(履歴データ!$D$1067-履歴データ!$C$1067)*100)</f>
        <v/>
      </c>
      <c r="F1067" s="28" t="str">
        <f>IF(履歴データ!$A$1067="","",(履歴データ!$R$1067-履歴データ!$D$1067)*100)</f>
        <v/>
      </c>
      <c r="G1067" s="28" t="str">
        <f>IF(履歴データ!$A$1067="","",(履歴データ!$S$1067-履歴データ!$R$1067)*100)</f>
        <v/>
      </c>
      <c r="H1067" s="29" t="str">
        <f>IF(履歴データ!$A$1067="","",履歴データ!$O$1067)</f>
        <v/>
      </c>
      <c r="I1067" s="29" t="str">
        <f>IF(履歴データ!$A$1067="","",履歴データ!$Q$1067)</f>
        <v/>
      </c>
      <c r="J1067" s="29" t="str">
        <f>IF(履歴データ!$A$1067="","",履歴データ!$D$1067)</f>
        <v/>
      </c>
      <c r="K1067" s="28" t="str">
        <f>IF(OR(履歴データ!$A$1067="",履歴データ!$A$1066=""),"",B1067-B1066)</f>
        <v/>
      </c>
      <c r="L1067" s="28" t="str">
        <f>IF(OR(履歴データ!$A$1067="",履歴データ!$A$1066=""),"",C1067-C1066)</f>
        <v/>
      </c>
      <c r="M1067" s="28" t="str">
        <f>IF(OR(履歴データ!$A$1067="",履歴データ!$A$1066=""),"",D1067-D1066)</f>
        <v/>
      </c>
      <c r="N1067" s="28" t="str">
        <f>IF(OR(履歴データ!$A$1067="",履歴データ!$A$1066=""),"",E1067-E1066)</f>
        <v/>
      </c>
      <c r="O1067" s="28" t="str">
        <f>IF(OR(履歴データ!$A$1067="",履歴データ!$A$1066=""),"",F1067-F1066)</f>
        <v/>
      </c>
      <c r="P1067" s="28" t="str">
        <f>IF(OR(履歴データ!$A$1067="",履歴データ!$A$1066=""),"",G1067-G1066)</f>
        <v/>
      </c>
      <c r="Q1067" s="29" t="str">
        <f>IF(OR(履歴データ!$A$1067="",履歴データ!$A$1066=""),"",H1067-H1066)</f>
        <v/>
      </c>
      <c r="R1067" s="29" t="str">
        <f>IF(OR(履歴データ!$A$1067="",履歴データ!$A$1066=""),"",I1067-I1066)</f>
        <v/>
      </c>
      <c r="S1067" s="28" t="str">
        <f>IF(OR(履歴データ!$A$1067="",履歴データ!$A$1066=""),"",(J1067-J1066)*100)</f>
        <v/>
      </c>
      <c r="T1067" s="11" t="str">
        <f>IF(OR(履歴データ!$A$1067="",履歴データ!$A$1066=""),"",-80000*K1067)</f>
        <v/>
      </c>
      <c r="U1067" s="11" t="str">
        <f>IF(OR(履歴データ!$A$1067="",履歴データ!$A$1066=""),"",60000*L1067)</f>
        <v/>
      </c>
      <c r="V1067" s="11" t="str">
        <f>IF(OR(履歴データ!$A$1067="",履歴データ!$A$1066=""),"",-50000*M1067)</f>
        <v/>
      </c>
      <c r="W1067" s="11" t="str">
        <f>IF(OR(履歴データ!$A$1067="",履歴データ!$A$1066=""),"",-40000*N1067)</f>
        <v/>
      </c>
      <c r="X1067" s="11" t="str">
        <f>IF(OR(履歴データ!$A$1067="",履歴データ!$A$1066=""),"",120*1000000*(-Q1067/H1066))</f>
        <v/>
      </c>
      <c r="Y1067" s="11" t="str">
        <f>IF(OR(履歴データ!$A$1067="",履歴データ!$A$1066=""),"",40000*(-S1067)+(-506.3)*R1067*1000)</f>
        <v/>
      </c>
      <c r="Z1067" s="11" t="str">
        <f>IF(OR(履歴データ!$A$1067="",履歴データ!$A$1066=""),"",-40000*O1067)</f>
        <v/>
      </c>
      <c r="AA1067" s="11" t="str">
        <f>IF(OR(履歴データ!$A$1067="",履歴データ!$A$1066=""),"",-40000*P1067)</f>
        <v/>
      </c>
      <c r="AB1067" s="11" t="str">
        <f>IF(履歴データ!$A$1067="","",123.3)</f>
        <v/>
      </c>
      <c r="AC1067" t="str">
        <f>IF(履歴データ!$A$1067="","",SUM(T1067:AA1067))</f>
        <v/>
      </c>
      <c r="AD1067" s="29" t="str">
        <f>IF(履歴データ!$A$1067="","",AC1067/1000000)</f>
        <v/>
      </c>
      <c r="AE1067" s="29">
        <f>IF(履歴データ!$A$1067="",AE1066,AE1066+AC1067/1000000)</f>
        <v>70.844544225831427</v>
      </c>
      <c r="AF1067" s="12" t="str">
        <f>IF(OR(履歴データ!$A$1067="",AE1066=0),"",(AE1067-AE1066)/AE1066)</f>
        <v/>
      </c>
      <c r="AG1067" s="29">
        <f t="shared" si="46"/>
        <v>102.17217746631495</v>
      </c>
      <c r="AH1067" s="12" t="str">
        <f>IF(OR(履歴データ!$A$1067="",AG1067=0),"",AE1067/AG1067-1)</f>
        <v/>
      </c>
    </row>
    <row r="1068" spans="1:34">
      <c r="A1068" s="10" t="str">
        <f>IF(履歴データ!$A$1068="","",履歴データ!$A$1068)</f>
        <v/>
      </c>
      <c r="B1068" s="28" t="str">
        <f>IF(履歴データ!$A$1068="","",(履歴データ!$D$1068-(履歴データ!$B$1068+履歴データ!$F$1068)/2)*100)</f>
        <v/>
      </c>
      <c r="C1068" s="28" t="str">
        <f>IF(履歴データ!$A$1068="","",(履歴データ!$H$1068-(履歴データ!$G$1068+履歴データ!$J$1068)/2)*100)</f>
        <v/>
      </c>
      <c r="D1068" s="28" t="str">
        <f>IF(履歴データ!$A$1068="","",(履歴データ!$D$1068-履歴データ!$H$1068)*100)</f>
        <v/>
      </c>
      <c r="E1068" s="28" t="str">
        <f>IF(履歴データ!$A$1068="","",(履歴データ!$D$1068-履歴データ!$C$1068)*100)</f>
        <v/>
      </c>
      <c r="F1068" s="28" t="str">
        <f>IF(履歴データ!$A$1068="","",(履歴データ!$R$1068-履歴データ!$D$1068)*100)</f>
        <v/>
      </c>
      <c r="G1068" s="28" t="str">
        <f>IF(履歴データ!$A$1068="","",(履歴データ!$S$1068-履歴データ!$R$1068)*100)</f>
        <v/>
      </c>
      <c r="H1068" s="29" t="str">
        <f>IF(履歴データ!$A$1068="","",履歴データ!$O$1068)</f>
        <v/>
      </c>
      <c r="I1068" s="29" t="str">
        <f>IF(履歴データ!$A$1068="","",履歴データ!$Q$1068)</f>
        <v/>
      </c>
      <c r="J1068" s="29" t="str">
        <f>IF(履歴データ!$A$1068="","",履歴データ!$D$1068)</f>
        <v/>
      </c>
      <c r="K1068" s="28" t="str">
        <f>IF(OR(履歴データ!$A$1068="",履歴データ!$A$1067=""),"",B1068-B1067)</f>
        <v/>
      </c>
      <c r="L1068" s="28" t="str">
        <f>IF(OR(履歴データ!$A$1068="",履歴データ!$A$1067=""),"",C1068-C1067)</f>
        <v/>
      </c>
      <c r="M1068" s="28" t="str">
        <f>IF(OR(履歴データ!$A$1068="",履歴データ!$A$1067=""),"",D1068-D1067)</f>
        <v/>
      </c>
      <c r="N1068" s="28" t="str">
        <f>IF(OR(履歴データ!$A$1068="",履歴データ!$A$1067=""),"",E1068-E1067)</f>
        <v/>
      </c>
      <c r="O1068" s="28" t="str">
        <f>IF(OR(履歴データ!$A$1068="",履歴データ!$A$1067=""),"",F1068-F1067)</f>
        <v/>
      </c>
      <c r="P1068" s="28" t="str">
        <f>IF(OR(履歴データ!$A$1068="",履歴データ!$A$1067=""),"",G1068-G1067)</f>
        <v/>
      </c>
      <c r="Q1068" s="29" t="str">
        <f>IF(OR(履歴データ!$A$1068="",履歴データ!$A$1067=""),"",H1068-H1067)</f>
        <v/>
      </c>
      <c r="R1068" s="29" t="str">
        <f>IF(OR(履歴データ!$A$1068="",履歴データ!$A$1067=""),"",I1068-I1067)</f>
        <v/>
      </c>
      <c r="S1068" s="28" t="str">
        <f>IF(OR(履歴データ!$A$1068="",履歴データ!$A$1067=""),"",(J1068-J1067)*100)</f>
        <v/>
      </c>
      <c r="T1068" s="11" t="str">
        <f>IF(OR(履歴データ!$A$1068="",履歴データ!$A$1067=""),"",-80000*K1068)</f>
        <v/>
      </c>
      <c r="U1068" s="11" t="str">
        <f>IF(OR(履歴データ!$A$1068="",履歴データ!$A$1067=""),"",60000*L1068)</f>
        <v/>
      </c>
      <c r="V1068" s="11" t="str">
        <f>IF(OR(履歴データ!$A$1068="",履歴データ!$A$1067=""),"",-50000*M1068)</f>
        <v/>
      </c>
      <c r="W1068" s="11" t="str">
        <f>IF(OR(履歴データ!$A$1068="",履歴データ!$A$1067=""),"",-40000*N1068)</f>
        <v/>
      </c>
      <c r="X1068" s="11" t="str">
        <f>IF(OR(履歴データ!$A$1068="",履歴データ!$A$1067=""),"",120*1000000*(-Q1068/H1067))</f>
        <v/>
      </c>
      <c r="Y1068" s="11" t="str">
        <f>IF(OR(履歴データ!$A$1068="",履歴データ!$A$1067=""),"",40000*(-S1068)+(-506.3)*R1068*1000)</f>
        <v/>
      </c>
      <c r="Z1068" s="11" t="str">
        <f>IF(OR(履歴データ!$A$1068="",履歴データ!$A$1067=""),"",-40000*O1068)</f>
        <v/>
      </c>
      <c r="AA1068" s="11" t="str">
        <f>IF(OR(履歴データ!$A$1068="",履歴データ!$A$1067=""),"",-40000*P1068)</f>
        <v/>
      </c>
      <c r="AB1068" s="11" t="str">
        <f>IF(履歴データ!$A$1068="","",123.3)</f>
        <v/>
      </c>
      <c r="AC1068" t="str">
        <f>IF(履歴データ!$A$1068="","",SUM(T1068:AA1068))</f>
        <v/>
      </c>
      <c r="AD1068" s="29" t="str">
        <f>IF(履歴データ!$A$1068="","",AC1068/1000000)</f>
        <v/>
      </c>
      <c r="AE1068" s="29">
        <f>IF(履歴データ!$A$1068="",AE1067,AE1067+AC1068/1000000)</f>
        <v>70.844544225831427</v>
      </c>
      <c r="AF1068" s="12" t="str">
        <f>IF(OR(履歴データ!$A$1068="",AE1067=0),"",(AE1068-AE1067)/AE1067)</f>
        <v/>
      </c>
      <c r="AG1068" s="29">
        <f t="shared" si="46"/>
        <v>102.17217746631495</v>
      </c>
      <c r="AH1068" s="12" t="str">
        <f>IF(OR(履歴データ!$A$1068="",AG1068=0),"",AE1068/AG1068-1)</f>
        <v/>
      </c>
    </row>
    <row r="1069" spans="1:34">
      <c r="A1069" s="10" t="str">
        <f>IF(履歴データ!$A$1069="","",履歴データ!$A$1069)</f>
        <v/>
      </c>
      <c r="B1069" s="28" t="str">
        <f>IF(履歴データ!$A$1069="","",(履歴データ!$D$1069-(履歴データ!$B$1069+履歴データ!$F$1069)/2)*100)</f>
        <v/>
      </c>
      <c r="C1069" s="28" t="str">
        <f>IF(履歴データ!$A$1069="","",(履歴データ!$H$1069-(履歴データ!$G$1069+履歴データ!$J$1069)/2)*100)</f>
        <v/>
      </c>
      <c r="D1069" s="28" t="str">
        <f>IF(履歴データ!$A$1069="","",(履歴データ!$D$1069-履歴データ!$H$1069)*100)</f>
        <v/>
      </c>
      <c r="E1069" s="28" t="str">
        <f>IF(履歴データ!$A$1069="","",(履歴データ!$D$1069-履歴データ!$C$1069)*100)</f>
        <v/>
      </c>
      <c r="F1069" s="28" t="str">
        <f>IF(履歴データ!$A$1069="","",(履歴データ!$R$1069-履歴データ!$D$1069)*100)</f>
        <v/>
      </c>
      <c r="G1069" s="28" t="str">
        <f>IF(履歴データ!$A$1069="","",(履歴データ!$S$1069-履歴データ!$R$1069)*100)</f>
        <v/>
      </c>
      <c r="H1069" s="29" t="str">
        <f>IF(履歴データ!$A$1069="","",履歴データ!$O$1069)</f>
        <v/>
      </c>
      <c r="I1069" s="29" t="str">
        <f>IF(履歴データ!$A$1069="","",履歴データ!$Q$1069)</f>
        <v/>
      </c>
      <c r="J1069" s="29" t="str">
        <f>IF(履歴データ!$A$1069="","",履歴データ!$D$1069)</f>
        <v/>
      </c>
      <c r="K1069" s="28" t="str">
        <f>IF(OR(履歴データ!$A$1069="",履歴データ!$A$1068=""),"",B1069-B1068)</f>
        <v/>
      </c>
      <c r="L1069" s="28" t="str">
        <f>IF(OR(履歴データ!$A$1069="",履歴データ!$A$1068=""),"",C1069-C1068)</f>
        <v/>
      </c>
      <c r="M1069" s="28" t="str">
        <f>IF(OR(履歴データ!$A$1069="",履歴データ!$A$1068=""),"",D1069-D1068)</f>
        <v/>
      </c>
      <c r="N1069" s="28" t="str">
        <f>IF(OR(履歴データ!$A$1069="",履歴データ!$A$1068=""),"",E1069-E1068)</f>
        <v/>
      </c>
      <c r="O1069" s="28" t="str">
        <f>IF(OR(履歴データ!$A$1069="",履歴データ!$A$1068=""),"",F1069-F1068)</f>
        <v/>
      </c>
      <c r="P1069" s="28" t="str">
        <f>IF(OR(履歴データ!$A$1069="",履歴データ!$A$1068=""),"",G1069-G1068)</f>
        <v/>
      </c>
      <c r="Q1069" s="29" t="str">
        <f>IF(OR(履歴データ!$A$1069="",履歴データ!$A$1068=""),"",H1069-H1068)</f>
        <v/>
      </c>
      <c r="R1069" s="29" t="str">
        <f>IF(OR(履歴データ!$A$1069="",履歴データ!$A$1068=""),"",I1069-I1068)</f>
        <v/>
      </c>
      <c r="S1069" s="28" t="str">
        <f>IF(OR(履歴データ!$A$1069="",履歴データ!$A$1068=""),"",(J1069-J1068)*100)</f>
        <v/>
      </c>
      <c r="T1069" s="11" t="str">
        <f>IF(OR(履歴データ!$A$1069="",履歴データ!$A$1068=""),"",-80000*K1069)</f>
        <v/>
      </c>
      <c r="U1069" s="11" t="str">
        <f>IF(OR(履歴データ!$A$1069="",履歴データ!$A$1068=""),"",60000*L1069)</f>
        <v/>
      </c>
      <c r="V1069" s="11" t="str">
        <f>IF(OR(履歴データ!$A$1069="",履歴データ!$A$1068=""),"",-50000*M1069)</f>
        <v/>
      </c>
      <c r="W1069" s="11" t="str">
        <f>IF(OR(履歴データ!$A$1069="",履歴データ!$A$1068=""),"",-40000*N1069)</f>
        <v/>
      </c>
      <c r="X1069" s="11" t="str">
        <f>IF(OR(履歴データ!$A$1069="",履歴データ!$A$1068=""),"",120*1000000*(-Q1069/H1068))</f>
        <v/>
      </c>
      <c r="Y1069" s="11" t="str">
        <f>IF(OR(履歴データ!$A$1069="",履歴データ!$A$1068=""),"",40000*(-S1069)+(-506.3)*R1069*1000)</f>
        <v/>
      </c>
      <c r="Z1069" s="11" t="str">
        <f>IF(OR(履歴データ!$A$1069="",履歴データ!$A$1068=""),"",-40000*O1069)</f>
        <v/>
      </c>
      <c r="AA1069" s="11" t="str">
        <f>IF(OR(履歴データ!$A$1069="",履歴データ!$A$1068=""),"",-40000*P1069)</f>
        <v/>
      </c>
      <c r="AB1069" s="11" t="str">
        <f>IF(履歴データ!$A$1069="","",123.3)</f>
        <v/>
      </c>
      <c r="AC1069" t="str">
        <f>IF(履歴データ!$A$1069="","",SUM(T1069:AA1069))</f>
        <v/>
      </c>
      <c r="AD1069" s="29" t="str">
        <f>IF(履歴データ!$A$1069="","",AC1069/1000000)</f>
        <v/>
      </c>
      <c r="AE1069" s="29">
        <f>IF(履歴データ!$A$1069="",AE1068,AE1068+AC1069/1000000)</f>
        <v>70.844544225831427</v>
      </c>
      <c r="AF1069" s="12" t="str">
        <f>IF(OR(履歴データ!$A$1069="",AE1068=0),"",(AE1069-AE1068)/AE1068)</f>
        <v/>
      </c>
      <c r="AG1069" s="29">
        <f t="shared" si="46"/>
        <v>102.17217746631495</v>
      </c>
      <c r="AH1069" s="12" t="str">
        <f>IF(OR(履歴データ!$A$1069="",AG1069=0),"",AE1069/AG1069-1)</f>
        <v/>
      </c>
    </row>
    <row r="1070" spans="1:34">
      <c r="A1070" s="10" t="str">
        <f>IF(履歴データ!$A$1070="","",履歴データ!$A$1070)</f>
        <v/>
      </c>
      <c r="B1070" s="28" t="str">
        <f>IF(履歴データ!$A$1070="","",(履歴データ!$D$1070-(履歴データ!$B$1070+履歴データ!$F$1070)/2)*100)</f>
        <v/>
      </c>
      <c r="C1070" s="28" t="str">
        <f>IF(履歴データ!$A$1070="","",(履歴データ!$H$1070-(履歴データ!$G$1070+履歴データ!$J$1070)/2)*100)</f>
        <v/>
      </c>
      <c r="D1070" s="28" t="str">
        <f>IF(履歴データ!$A$1070="","",(履歴データ!$D$1070-履歴データ!$H$1070)*100)</f>
        <v/>
      </c>
      <c r="E1070" s="28" t="str">
        <f>IF(履歴データ!$A$1070="","",(履歴データ!$D$1070-履歴データ!$C$1070)*100)</f>
        <v/>
      </c>
      <c r="F1070" s="28" t="str">
        <f>IF(履歴データ!$A$1070="","",(履歴データ!$R$1070-履歴データ!$D$1070)*100)</f>
        <v/>
      </c>
      <c r="G1070" s="28" t="str">
        <f>IF(履歴データ!$A$1070="","",(履歴データ!$S$1070-履歴データ!$R$1070)*100)</f>
        <v/>
      </c>
      <c r="H1070" s="29" t="str">
        <f>IF(履歴データ!$A$1070="","",履歴データ!$O$1070)</f>
        <v/>
      </c>
      <c r="I1070" s="29" t="str">
        <f>IF(履歴データ!$A$1070="","",履歴データ!$Q$1070)</f>
        <v/>
      </c>
      <c r="J1070" s="29" t="str">
        <f>IF(履歴データ!$A$1070="","",履歴データ!$D$1070)</f>
        <v/>
      </c>
      <c r="K1070" s="28" t="str">
        <f>IF(OR(履歴データ!$A$1070="",履歴データ!$A$1069=""),"",B1070-B1069)</f>
        <v/>
      </c>
      <c r="L1070" s="28" t="str">
        <f>IF(OR(履歴データ!$A$1070="",履歴データ!$A$1069=""),"",C1070-C1069)</f>
        <v/>
      </c>
      <c r="M1070" s="28" t="str">
        <f>IF(OR(履歴データ!$A$1070="",履歴データ!$A$1069=""),"",D1070-D1069)</f>
        <v/>
      </c>
      <c r="N1070" s="28" t="str">
        <f>IF(OR(履歴データ!$A$1070="",履歴データ!$A$1069=""),"",E1070-E1069)</f>
        <v/>
      </c>
      <c r="O1070" s="28" t="str">
        <f>IF(OR(履歴データ!$A$1070="",履歴データ!$A$1069=""),"",F1070-F1069)</f>
        <v/>
      </c>
      <c r="P1070" s="28" t="str">
        <f>IF(OR(履歴データ!$A$1070="",履歴データ!$A$1069=""),"",G1070-G1069)</f>
        <v/>
      </c>
      <c r="Q1070" s="29" t="str">
        <f>IF(OR(履歴データ!$A$1070="",履歴データ!$A$1069=""),"",H1070-H1069)</f>
        <v/>
      </c>
      <c r="R1070" s="29" t="str">
        <f>IF(OR(履歴データ!$A$1070="",履歴データ!$A$1069=""),"",I1070-I1069)</f>
        <v/>
      </c>
      <c r="S1070" s="28" t="str">
        <f>IF(OR(履歴データ!$A$1070="",履歴データ!$A$1069=""),"",(J1070-J1069)*100)</f>
        <v/>
      </c>
      <c r="T1070" s="11" t="str">
        <f>IF(OR(履歴データ!$A$1070="",履歴データ!$A$1069=""),"",-80000*K1070)</f>
        <v/>
      </c>
      <c r="U1070" s="11" t="str">
        <f>IF(OR(履歴データ!$A$1070="",履歴データ!$A$1069=""),"",60000*L1070)</f>
        <v/>
      </c>
      <c r="V1070" s="11" t="str">
        <f>IF(OR(履歴データ!$A$1070="",履歴データ!$A$1069=""),"",-50000*M1070)</f>
        <v/>
      </c>
      <c r="W1070" s="11" t="str">
        <f>IF(OR(履歴データ!$A$1070="",履歴データ!$A$1069=""),"",-40000*N1070)</f>
        <v/>
      </c>
      <c r="X1070" s="11" t="str">
        <f>IF(OR(履歴データ!$A$1070="",履歴データ!$A$1069=""),"",120*1000000*(-Q1070/H1069))</f>
        <v/>
      </c>
      <c r="Y1070" s="11" t="str">
        <f>IF(OR(履歴データ!$A$1070="",履歴データ!$A$1069=""),"",40000*(-S1070)+(-506.3)*R1070*1000)</f>
        <v/>
      </c>
      <c r="Z1070" s="11" t="str">
        <f>IF(OR(履歴データ!$A$1070="",履歴データ!$A$1069=""),"",-40000*O1070)</f>
        <v/>
      </c>
      <c r="AA1070" s="11" t="str">
        <f>IF(OR(履歴データ!$A$1070="",履歴データ!$A$1069=""),"",-40000*P1070)</f>
        <v/>
      </c>
      <c r="AB1070" s="11" t="str">
        <f>IF(履歴データ!$A$1070="","",123.3)</f>
        <v/>
      </c>
      <c r="AC1070" t="str">
        <f>IF(履歴データ!$A$1070="","",SUM(T1070:AA1070))</f>
        <v/>
      </c>
      <c r="AD1070" s="29" t="str">
        <f>IF(履歴データ!$A$1070="","",AC1070/1000000)</f>
        <v/>
      </c>
      <c r="AE1070" s="29">
        <f>IF(履歴データ!$A$1070="",AE1069,AE1069+AC1070/1000000)</f>
        <v>70.844544225831427</v>
      </c>
      <c r="AF1070" s="12" t="str">
        <f>IF(OR(履歴データ!$A$1070="",AE1069=0),"",(AE1070-AE1069)/AE1069)</f>
        <v/>
      </c>
      <c r="AG1070" s="29">
        <f t="shared" si="46"/>
        <v>102.17217746631495</v>
      </c>
      <c r="AH1070" s="12" t="str">
        <f>IF(OR(履歴データ!$A$1070="",AG1070=0),"",AE1070/AG1070-1)</f>
        <v/>
      </c>
    </row>
    <row r="1071" spans="1:34">
      <c r="A1071" s="10" t="str">
        <f>IF(履歴データ!$A$1071="","",履歴データ!$A$1071)</f>
        <v/>
      </c>
      <c r="B1071" s="28" t="str">
        <f>IF(履歴データ!$A$1071="","",(履歴データ!$D$1071-(履歴データ!$B$1071+履歴データ!$F$1071)/2)*100)</f>
        <v/>
      </c>
      <c r="C1071" s="28" t="str">
        <f>IF(履歴データ!$A$1071="","",(履歴データ!$H$1071-(履歴データ!$G$1071+履歴データ!$J$1071)/2)*100)</f>
        <v/>
      </c>
      <c r="D1071" s="28" t="str">
        <f>IF(履歴データ!$A$1071="","",(履歴データ!$D$1071-履歴データ!$H$1071)*100)</f>
        <v/>
      </c>
      <c r="E1071" s="28" t="str">
        <f>IF(履歴データ!$A$1071="","",(履歴データ!$D$1071-履歴データ!$C$1071)*100)</f>
        <v/>
      </c>
      <c r="F1071" s="28" t="str">
        <f>IF(履歴データ!$A$1071="","",(履歴データ!$R$1071-履歴データ!$D$1071)*100)</f>
        <v/>
      </c>
      <c r="G1071" s="28" t="str">
        <f>IF(履歴データ!$A$1071="","",(履歴データ!$S$1071-履歴データ!$R$1071)*100)</f>
        <v/>
      </c>
      <c r="H1071" s="29" t="str">
        <f>IF(履歴データ!$A$1071="","",履歴データ!$O$1071)</f>
        <v/>
      </c>
      <c r="I1071" s="29" t="str">
        <f>IF(履歴データ!$A$1071="","",履歴データ!$Q$1071)</f>
        <v/>
      </c>
      <c r="J1071" s="29" t="str">
        <f>IF(履歴データ!$A$1071="","",履歴データ!$D$1071)</f>
        <v/>
      </c>
      <c r="K1071" s="28" t="str">
        <f>IF(OR(履歴データ!$A$1071="",履歴データ!$A$1070=""),"",B1071-B1070)</f>
        <v/>
      </c>
      <c r="L1071" s="28" t="str">
        <f>IF(OR(履歴データ!$A$1071="",履歴データ!$A$1070=""),"",C1071-C1070)</f>
        <v/>
      </c>
      <c r="M1071" s="28" t="str">
        <f>IF(OR(履歴データ!$A$1071="",履歴データ!$A$1070=""),"",D1071-D1070)</f>
        <v/>
      </c>
      <c r="N1071" s="28" t="str">
        <f>IF(OR(履歴データ!$A$1071="",履歴データ!$A$1070=""),"",E1071-E1070)</f>
        <v/>
      </c>
      <c r="O1071" s="28" t="str">
        <f>IF(OR(履歴データ!$A$1071="",履歴データ!$A$1070=""),"",F1071-F1070)</f>
        <v/>
      </c>
      <c r="P1071" s="28" t="str">
        <f>IF(OR(履歴データ!$A$1071="",履歴データ!$A$1070=""),"",G1071-G1070)</f>
        <v/>
      </c>
      <c r="Q1071" s="29" t="str">
        <f>IF(OR(履歴データ!$A$1071="",履歴データ!$A$1070=""),"",H1071-H1070)</f>
        <v/>
      </c>
      <c r="R1071" s="29" t="str">
        <f>IF(OR(履歴データ!$A$1071="",履歴データ!$A$1070=""),"",I1071-I1070)</f>
        <v/>
      </c>
      <c r="S1071" s="28" t="str">
        <f>IF(OR(履歴データ!$A$1071="",履歴データ!$A$1070=""),"",(J1071-J1070)*100)</f>
        <v/>
      </c>
      <c r="T1071" s="11" t="str">
        <f>IF(OR(履歴データ!$A$1071="",履歴データ!$A$1070=""),"",-80000*K1071)</f>
        <v/>
      </c>
      <c r="U1071" s="11" t="str">
        <f>IF(OR(履歴データ!$A$1071="",履歴データ!$A$1070=""),"",60000*L1071)</f>
        <v/>
      </c>
      <c r="V1071" s="11" t="str">
        <f>IF(OR(履歴データ!$A$1071="",履歴データ!$A$1070=""),"",-50000*M1071)</f>
        <v/>
      </c>
      <c r="W1071" s="11" t="str">
        <f>IF(OR(履歴データ!$A$1071="",履歴データ!$A$1070=""),"",-40000*N1071)</f>
        <v/>
      </c>
      <c r="X1071" s="11" t="str">
        <f>IF(OR(履歴データ!$A$1071="",履歴データ!$A$1070=""),"",120*1000000*(-Q1071/H1070))</f>
        <v/>
      </c>
      <c r="Y1071" s="11" t="str">
        <f>IF(OR(履歴データ!$A$1071="",履歴データ!$A$1070=""),"",40000*(-S1071)+(-506.3)*R1071*1000)</f>
        <v/>
      </c>
      <c r="Z1071" s="11" t="str">
        <f>IF(OR(履歴データ!$A$1071="",履歴データ!$A$1070=""),"",-40000*O1071)</f>
        <v/>
      </c>
      <c r="AA1071" s="11" t="str">
        <f>IF(OR(履歴データ!$A$1071="",履歴データ!$A$1070=""),"",-40000*P1071)</f>
        <v/>
      </c>
      <c r="AB1071" s="11" t="str">
        <f>IF(履歴データ!$A$1071="","",123.3)</f>
        <v/>
      </c>
      <c r="AC1071" t="str">
        <f>IF(履歴データ!$A$1071="","",SUM(T1071:AA1071))</f>
        <v/>
      </c>
      <c r="AD1071" s="29" t="str">
        <f>IF(履歴データ!$A$1071="","",AC1071/1000000)</f>
        <v/>
      </c>
      <c r="AE1071" s="29">
        <f>IF(履歴データ!$A$1071="",AE1070,AE1070+AC1071/1000000)</f>
        <v>70.844544225831427</v>
      </c>
      <c r="AF1071" s="12" t="str">
        <f>IF(OR(履歴データ!$A$1071="",AE1070=0),"",(AE1071-AE1070)/AE1070)</f>
        <v/>
      </c>
      <c r="AG1071" s="29">
        <f t="shared" si="46"/>
        <v>102.17217746631495</v>
      </c>
      <c r="AH1071" s="12" t="str">
        <f>IF(OR(履歴データ!$A$1071="",AG1071=0),"",AE1071/AG1071-1)</f>
        <v/>
      </c>
    </row>
    <row r="1072" spans="1:34">
      <c r="A1072" s="10" t="str">
        <f>IF(履歴データ!$A$1072="","",履歴データ!$A$1072)</f>
        <v/>
      </c>
      <c r="B1072" s="28" t="str">
        <f>IF(履歴データ!$A$1072="","",(履歴データ!$D$1072-(履歴データ!$B$1072+履歴データ!$F$1072)/2)*100)</f>
        <v/>
      </c>
      <c r="C1072" s="28" t="str">
        <f>IF(履歴データ!$A$1072="","",(履歴データ!$H$1072-(履歴データ!$G$1072+履歴データ!$J$1072)/2)*100)</f>
        <v/>
      </c>
      <c r="D1072" s="28" t="str">
        <f>IF(履歴データ!$A$1072="","",(履歴データ!$D$1072-履歴データ!$H$1072)*100)</f>
        <v/>
      </c>
      <c r="E1072" s="28" t="str">
        <f>IF(履歴データ!$A$1072="","",(履歴データ!$D$1072-履歴データ!$C$1072)*100)</f>
        <v/>
      </c>
      <c r="F1072" s="28" t="str">
        <f>IF(履歴データ!$A$1072="","",(履歴データ!$R$1072-履歴データ!$D$1072)*100)</f>
        <v/>
      </c>
      <c r="G1072" s="28" t="str">
        <f>IF(履歴データ!$A$1072="","",(履歴データ!$S$1072-履歴データ!$R$1072)*100)</f>
        <v/>
      </c>
      <c r="H1072" s="29" t="str">
        <f>IF(履歴データ!$A$1072="","",履歴データ!$O$1072)</f>
        <v/>
      </c>
      <c r="I1072" s="29" t="str">
        <f>IF(履歴データ!$A$1072="","",履歴データ!$Q$1072)</f>
        <v/>
      </c>
      <c r="J1072" s="29" t="str">
        <f>IF(履歴データ!$A$1072="","",履歴データ!$D$1072)</f>
        <v/>
      </c>
      <c r="K1072" s="28" t="str">
        <f>IF(OR(履歴データ!$A$1072="",履歴データ!$A$1071=""),"",B1072-B1071)</f>
        <v/>
      </c>
      <c r="L1072" s="28" t="str">
        <f>IF(OR(履歴データ!$A$1072="",履歴データ!$A$1071=""),"",C1072-C1071)</f>
        <v/>
      </c>
      <c r="M1072" s="28" t="str">
        <f>IF(OR(履歴データ!$A$1072="",履歴データ!$A$1071=""),"",D1072-D1071)</f>
        <v/>
      </c>
      <c r="N1072" s="28" t="str">
        <f>IF(OR(履歴データ!$A$1072="",履歴データ!$A$1071=""),"",E1072-E1071)</f>
        <v/>
      </c>
      <c r="O1072" s="28" t="str">
        <f>IF(OR(履歴データ!$A$1072="",履歴データ!$A$1071=""),"",F1072-F1071)</f>
        <v/>
      </c>
      <c r="P1072" s="28" t="str">
        <f>IF(OR(履歴データ!$A$1072="",履歴データ!$A$1071=""),"",G1072-G1071)</f>
        <v/>
      </c>
      <c r="Q1072" s="29" t="str">
        <f>IF(OR(履歴データ!$A$1072="",履歴データ!$A$1071=""),"",H1072-H1071)</f>
        <v/>
      </c>
      <c r="R1072" s="29" t="str">
        <f>IF(OR(履歴データ!$A$1072="",履歴データ!$A$1071=""),"",I1072-I1071)</f>
        <v/>
      </c>
      <c r="S1072" s="28" t="str">
        <f>IF(OR(履歴データ!$A$1072="",履歴データ!$A$1071=""),"",(J1072-J1071)*100)</f>
        <v/>
      </c>
      <c r="T1072" s="11" t="str">
        <f>IF(OR(履歴データ!$A$1072="",履歴データ!$A$1071=""),"",-80000*K1072)</f>
        <v/>
      </c>
      <c r="U1072" s="11" t="str">
        <f>IF(OR(履歴データ!$A$1072="",履歴データ!$A$1071=""),"",60000*L1072)</f>
        <v/>
      </c>
      <c r="V1072" s="11" t="str">
        <f>IF(OR(履歴データ!$A$1072="",履歴データ!$A$1071=""),"",-50000*M1072)</f>
        <v/>
      </c>
      <c r="W1072" s="11" t="str">
        <f>IF(OR(履歴データ!$A$1072="",履歴データ!$A$1071=""),"",-40000*N1072)</f>
        <v/>
      </c>
      <c r="X1072" s="11" t="str">
        <f>IF(OR(履歴データ!$A$1072="",履歴データ!$A$1071=""),"",120*1000000*(-Q1072/H1071))</f>
        <v/>
      </c>
      <c r="Y1072" s="11" t="str">
        <f>IF(OR(履歴データ!$A$1072="",履歴データ!$A$1071=""),"",40000*(-S1072)+(-506.3)*R1072*1000)</f>
        <v/>
      </c>
      <c r="Z1072" s="11" t="str">
        <f>IF(OR(履歴データ!$A$1072="",履歴データ!$A$1071=""),"",-40000*O1072)</f>
        <v/>
      </c>
      <c r="AA1072" s="11" t="str">
        <f>IF(OR(履歴データ!$A$1072="",履歴データ!$A$1071=""),"",-40000*P1072)</f>
        <v/>
      </c>
      <c r="AB1072" s="11" t="str">
        <f>IF(履歴データ!$A$1072="","",123.3)</f>
        <v/>
      </c>
      <c r="AC1072" t="str">
        <f>IF(履歴データ!$A$1072="","",SUM(T1072:AA1072))</f>
        <v/>
      </c>
      <c r="AD1072" s="29" t="str">
        <f>IF(履歴データ!$A$1072="","",AC1072/1000000)</f>
        <v/>
      </c>
      <c r="AE1072" s="29">
        <f>IF(履歴データ!$A$1072="",AE1071,AE1071+AC1072/1000000)</f>
        <v>70.844544225831427</v>
      </c>
      <c r="AF1072" s="12" t="str">
        <f>IF(OR(履歴データ!$A$1072="",AE1071=0),"",(AE1072-AE1071)/AE1071)</f>
        <v/>
      </c>
      <c r="AG1072" s="29">
        <f t="shared" si="46"/>
        <v>102.17217746631495</v>
      </c>
      <c r="AH1072" s="12" t="str">
        <f>IF(OR(履歴データ!$A$1072="",AG1072=0),"",AE1072/AG1072-1)</f>
        <v/>
      </c>
    </row>
    <row r="1073" spans="1:34">
      <c r="A1073" s="10" t="str">
        <f>IF(履歴データ!$A$1073="","",履歴データ!$A$1073)</f>
        <v/>
      </c>
      <c r="B1073" s="28" t="str">
        <f>IF(履歴データ!$A$1073="","",(履歴データ!$D$1073-(履歴データ!$B$1073+履歴データ!$F$1073)/2)*100)</f>
        <v/>
      </c>
      <c r="C1073" s="28" t="str">
        <f>IF(履歴データ!$A$1073="","",(履歴データ!$H$1073-(履歴データ!$G$1073+履歴データ!$J$1073)/2)*100)</f>
        <v/>
      </c>
      <c r="D1073" s="28" t="str">
        <f>IF(履歴データ!$A$1073="","",(履歴データ!$D$1073-履歴データ!$H$1073)*100)</f>
        <v/>
      </c>
      <c r="E1073" s="28" t="str">
        <f>IF(履歴データ!$A$1073="","",(履歴データ!$D$1073-履歴データ!$C$1073)*100)</f>
        <v/>
      </c>
      <c r="F1073" s="28" t="str">
        <f>IF(履歴データ!$A$1073="","",(履歴データ!$R$1073-履歴データ!$D$1073)*100)</f>
        <v/>
      </c>
      <c r="G1073" s="28" t="str">
        <f>IF(履歴データ!$A$1073="","",(履歴データ!$S$1073-履歴データ!$R$1073)*100)</f>
        <v/>
      </c>
      <c r="H1073" s="29" t="str">
        <f>IF(履歴データ!$A$1073="","",履歴データ!$O$1073)</f>
        <v/>
      </c>
      <c r="I1073" s="29" t="str">
        <f>IF(履歴データ!$A$1073="","",履歴データ!$Q$1073)</f>
        <v/>
      </c>
      <c r="J1073" s="29" t="str">
        <f>IF(履歴データ!$A$1073="","",履歴データ!$D$1073)</f>
        <v/>
      </c>
      <c r="K1073" s="28" t="str">
        <f>IF(OR(履歴データ!$A$1073="",履歴データ!$A$1072=""),"",B1073-B1072)</f>
        <v/>
      </c>
      <c r="L1073" s="28" t="str">
        <f>IF(OR(履歴データ!$A$1073="",履歴データ!$A$1072=""),"",C1073-C1072)</f>
        <v/>
      </c>
      <c r="M1073" s="28" t="str">
        <f>IF(OR(履歴データ!$A$1073="",履歴データ!$A$1072=""),"",D1073-D1072)</f>
        <v/>
      </c>
      <c r="N1073" s="28" t="str">
        <f>IF(OR(履歴データ!$A$1073="",履歴データ!$A$1072=""),"",E1073-E1072)</f>
        <v/>
      </c>
      <c r="O1073" s="28" t="str">
        <f>IF(OR(履歴データ!$A$1073="",履歴データ!$A$1072=""),"",F1073-F1072)</f>
        <v/>
      </c>
      <c r="P1073" s="28" t="str">
        <f>IF(OR(履歴データ!$A$1073="",履歴データ!$A$1072=""),"",G1073-G1072)</f>
        <v/>
      </c>
      <c r="Q1073" s="29" t="str">
        <f>IF(OR(履歴データ!$A$1073="",履歴データ!$A$1072=""),"",H1073-H1072)</f>
        <v/>
      </c>
      <c r="R1073" s="29" t="str">
        <f>IF(OR(履歴データ!$A$1073="",履歴データ!$A$1072=""),"",I1073-I1072)</f>
        <v/>
      </c>
      <c r="S1073" s="28" t="str">
        <f>IF(OR(履歴データ!$A$1073="",履歴データ!$A$1072=""),"",(J1073-J1072)*100)</f>
        <v/>
      </c>
      <c r="T1073" s="11" t="str">
        <f>IF(OR(履歴データ!$A$1073="",履歴データ!$A$1072=""),"",-80000*K1073)</f>
        <v/>
      </c>
      <c r="U1073" s="11" t="str">
        <f>IF(OR(履歴データ!$A$1073="",履歴データ!$A$1072=""),"",60000*L1073)</f>
        <v/>
      </c>
      <c r="V1073" s="11" t="str">
        <f>IF(OR(履歴データ!$A$1073="",履歴データ!$A$1072=""),"",-50000*M1073)</f>
        <v/>
      </c>
      <c r="W1073" s="11" t="str">
        <f>IF(OR(履歴データ!$A$1073="",履歴データ!$A$1072=""),"",-40000*N1073)</f>
        <v/>
      </c>
      <c r="X1073" s="11" t="str">
        <f>IF(OR(履歴データ!$A$1073="",履歴データ!$A$1072=""),"",120*1000000*(-Q1073/H1072))</f>
        <v/>
      </c>
      <c r="Y1073" s="11" t="str">
        <f>IF(OR(履歴データ!$A$1073="",履歴データ!$A$1072=""),"",40000*(-S1073)+(-506.3)*R1073*1000)</f>
        <v/>
      </c>
      <c r="Z1073" s="11" t="str">
        <f>IF(OR(履歴データ!$A$1073="",履歴データ!$A$1072=""),"",-40000*O1073)</f>
        <v/>
      </c>
      <c r="AA1073" s="11" t="str">
        <f>IF(OR(履歴データ!$A$1073="",履歴データ!$A$1072=""),"",-40000*P1073)</f>
        <v/>
      </c>
      <c r="AB1073" s="11" t="str">
        <f>IF(履歴データ!$A$1073="","",123.3)</f>
        <v/>
      </c>
      <c r="AC1073" t="str">
        <f>IF(履歴データ!$A$1073="","",SUM(T1073:AA1073))</f>
        <v/>
      </c>
      <c r="AD1073" s="29" t="str">
        <f>IF(履歴データ!$A$1073="","",AC1073/1000000)</f>
        <v/>
      </c>
      <c r="AE1073" s="29">
        <f>IF(履歴データ!$A$1073="",AE1072,AE1072+AC1073/1000000)</f>
        <v>70.844544225831427</v>
      </c>
      <c r="AF1073" s="12" t="str">
        <f>IF(OR(履歴データ!$A$1073="",AE1072=0),"",(AE1073-AE1072)/AE1072)</f>
        <v/>
      </c>
      <c r="AG1073" s="29">
        <f t="shared" si="46"/>
        <v>102.17217746631495</v>
      </c>
      <c r="AH1073" s="12" t="str">
        <f>IF(OR(履歴データ!$A$1073="",AG1073=0),"",AE1073/AG1073-1)</f>
        <v/>
      </c>
    </row>
    <row r="1074" spans="1:34">
      <c r="A1074" s="10" t="str">
        <f>IF(履歴データ!$A$1074="","",履歴データ!$A$1074)</f>
        <v/>
      </c>
      <c r="B1074" s="28" t="str">
        <f>IF(履歴データ!$A$1074="","",(履歴データ!$D$1074-(履歴データ!$B$1074+履歴データ!$F$1074)/2)*100)</f>
        <v/>
      </c>
      <c r="C1074" s="28" t="str">
        <f>IF(履歴データ!$A$1074="","",(履歴データ!$H$1074-(履歴データ!$G$1074+履歴データ!$J$1074)/2)*100)</f>
        <v/>
      </c>
      <c r="D1074" s="28" t="str">
        <f>IF(履歴データ!$A$1074="","",(履歴データ!$D$1074-履歴データ!$H$1074)*100)</f>
        <v/>
      </c>
      <c r="E1074" s="28" t="str">
        <f>IF(履歴データ!$A$1074="","",(履歴データ!$D$1074-履歴データ!$C$1074)*100)</f>
        <v/>
      </c>
      <c r="F1074" s="28" t="str">
        <f>IF(履歴データ!$A$1074="","",(履歴データ!$R$1074-履歴データ!$D$1074)*100)</f>
        <v/>
      </c>
      <c r="G1074" s="28" t="str">
        <f>IF(履歴データ!$A$1074="","",(履歴データ!$S$1074-履歴データ!$R$1074)*100)</f>
        <v/>
      </c>
      <c r="H1074" s="29" t="str">
        <f>IF(履歴データ!$A$1074="","",履歴データ!$O$1074)</f>
        <v/>
      </c>
      <c r="I1074" s="29" t="str">
        <f>IF(履歴データ!$A$1074="","",履歴データ!$Q$1074)</f>
        <v/>
      </c>
      <c r="J1074" s="29" t="str">
        <f>IF(履歴データ!$A$1074="","",履歴データ!$D$1074)</f>
        <v/>
      </c>
      <c r="K1074" s="28" t="str">
        <f>IF(OR(履歴データ!$A$1074="",履歴データ!$A$1073=""),"",B1074-B1073)</f>
        <v/>
      </c>
      <c r="L1074" s="28" t="str">
        <f>IF(OR(履歴データ!$A$1074="",履歴データ!$A$1073=""),"",C1074-C1073)</f>
        <v/>
      </c>
      <c r="M1074" s="28" t="str">
        <f>IF(OR(履歴データ!$A$1074="",履歴データ!$A$1073=""),"",D1074-D1073)</f>
        <v/>
      </c>
      <c r="N1074" s="28" t="str">
        <f>IF(OR(履歴データ!$A$1074="",履歴データ!$A$1073=""),"",E1074-E1073)</f>
        <v/>
      </c>
      <c r="O1074" s="28" t="str">
        <f>IF(OR(履歴データ!$A$1074="",履歴データ!$A$1073=""),"",F1074-F1073)</f>
        <v/>
      </c>
      <c r="P1074" s="28" t="str">
        <f>IF(OR(履歴データ!$A$1074="",履歴データ!$A$1073=""),"",G1074-G1073)</f>
        <v/>
      </c>
      <c r="Q1074" s="29" t="str">
        <f>IF(OR(履歴データ!$A$1074="",履歴データ!$A$1073=""),"",H1074-H1073)</f>
        <v/>
      </c>
      <c r="R1074" s="29" t="str">
        <f>IF(OR(履歴データ!$A$1074="",履歴データ!$A$1073=""),"",I1074-I1073)</f>
        <v/>
      </c>
      <c r="S1074" s="28" t="str">
        <f>IF(OR(履歴データ!$A$1074="",履歴データ!$A$1073=""),"",(J1074-J1073)*100)</f>
        <v/>
      </c>
      <c r="T1074" s="11" t="str">
        <f>IF(OR(履歴データ!$A$1074="",履歴データ!$A$1073=""),"",-80000*K1074)</f>
        <v/>
      </c>
      <c r="U1074" s="11" t="str">
        <f>IF(OR(履歴データ!$A$1074="",履歴データ!$A$1073=""),"",60000*L1074)</f>
        <v/>
      </c>
      <c r="V1074" s="11" t="str">
        <f>IF(OR(履歴データ!$A$1074="",履歴データ!$A$1073=""),"",-50000*M1074)</f>
        <v/>
      </c>
      <c r="W1074" s="11" t="str">
        <f>IF(OR(履歴データ!$A$1074="",履歴データ!$A$1073=""),"",-40000*N1074)</f>
        <v/>
      </c>
      <c r="X1074" s="11" t="str">
        <f>IF(OR(履歴データ!$A$1074="",履歴データ!$A$1073=""),"",120*1000000*(-Q1074/H1073))</f>
        <v/>
      </c>
      <c r="Y1074" s="11" t="str">
        <f>IF(OR(履歴データ!$A$1074="",履歴データ!$A$1073=""),"",40000*(-S1074)+(-506.3)*R1074*1000)</f>
        <v/>
      </c>
      <c r="Z1074" s="11" t="str">
        <f>IF(OR(履歴データ!$A$1074="",履歴データ!$A$1073=""),"",-40000*O1074)</f>
        <v/>
      </c>
      <c r="AA1074" s="11" t="str">
        <f>IF(OR(履歴データ!$A$1074="",履歴データ!$A$1073=""),"",-40000*P1074)</f>
        <v/>
      </c>
      <c r="AB1074" s="11" t="str">
        <f>IF(履歴データ!$A$1074="","",123.3)</f>
        <v/>
      </c>
      <c r="AC1074" t="str">
        <f>IF(履歴データ!$A$1074="","",SUM(T1074:AA1074))</f>
        <v/>
      </c>
      <c r="AD1074" s="29" t="str">
        <f>IF(履歴データ!$A$1074="","",AC1074/1000000)</f>
        <v/>
      </c>
      <c r="AE1074" s="29">
        <f>IF(履歴データ!$A$1074="",AE1073,AE1073+AC1074/1000000)</f>
        <v>70.844544225831427</v>
      </c>
      <c r="AF1074" s="12" t="str">
        <f>IF(OR(履歴データ!$A$1074="",AE1073=0),"",(AE1074-AE1073)/AE1073)</f>
        <v/>
      </c>
      <c r="AG1074" s="29">
        <f t="shared" si="46"/>
        <v>102.17217746631495</v>
      </c>
      <c r="AH1074" s="12" t="str">
        <f>IF(OR(履歴データ!$A$1074="",AG1074=0),"",AE1074/AG1074-1)</f>
        <v/>
      </c>
    </row>
    <row r="1075" spans="1:34">
      <c r="A1075" s="10" t="str">
        <f>IF(履歴データ!$A$1075="","",履歴データ!$A$1075)</f>
        <v/>
      </c>
      <c r="B1075" s="28" t="str">
        <f>IF(履歴データ!$A$1075="","",(履歴データ!$D$1075-(履歴データ!$B$1075+履歴データ!$F$1075)/2)*100)</f>
        <v/>
      </c>
      <c r="C1075" s="28" t="str">
        <f>IF(履歴データ!$A$1075="","",(履歴データ!$H$1075-(履歴データ!$G$1075+履歴データ!$J$1075)/2)*100)</f>
        <v/>
      </c>
      <c r="D1075" s="28" t="str">
        <f>IF(履歴データ!$A$1075="","",(履歴データ!$D$1075-履歴データ!$H$1075)*100)</f>
        <v/>
      </c>
      <c r="E1075" s="28" t="str">
        <f>IF(履歴データ!$A$1075="","",(履歴データ!$D$1075-履歴データ!$C$1075)*100)</f>
        <v/>
      </c>
      <c r="F1075" s="28" t="str">
        <f>IF(履歴データ!$A$1075="","",(履歴データ!$R$1075-履歴データ!$D$1075)*100)</f>
        <v/>
      </c>
      <c r="G1075" s="28" t="str">
        <f>IF(履歴データ!$A$1075="","",(履歴データ!$S$1075-履歴データ!$R$1075)*100)</f>
        <v/>
      </c>
      <c r="H1075" s="29" t="str">
        <f>IF(履歴データ!$A$1075="","",履歴データ!$O$1075)</f>
        <v/>
      </c>
      <c r="I1075" s="29" t="str">
        <f>IF(履歴データ!$A$1075="","",履歴データ!$Q$1075)</f>
        <v/>
      </c>
      <c r="J1075" s="29" t="str">
        <f>IF(履歴データ!$A$1075="","",履歴データ!$D$1075)</f>
        <v/>
      </c>
      <c r="K1075" s="28" t="str">
        <f>IF(OR(履歴データ!$A$1075="",履歴データ!$A$1074=""),"",B1075-B1074)</f>
        <v/>
      </c>
      <c r="L1075" s="28" t="str">
        <f>IF(OR(履歴データ!$A$1075="",履歴データ!$A$1074=""),"",C1075-C1074)</f>
        <v/>
      </c>
      <c r="M1075" s="28" t="str">
        <f>IF(OR(履歴データ!$A$1075="",履歴データ!$A$1074=""),"",D1075-D1074)</f>
        <v/>
      </c>
      <c r="N1075" s="28" t="str">
        <f>IF(OR(履歴データ!$A$1075="",履歴データ!$A$1074=""),"",E1075-E1074)</f>
        <v/>
      </c>
      <c r="O1075" s="28" t="str">
        <f>IF(OR(履歴データ!$A$1075="",履歴データ!$A$1074=""),"",F1075-F1074)</f>
        <v/>
      </c>
      <c r="P1075" s="28" t="str">
        <f>IF(OR(履歴データ!$A$1075="",履歴データ!$A$1074=""),"",G1075-G1074)</f>
        <v/>
      </c>
      <c r="Q1075" s="29" t="str">
        <f>IF(OR(履歴データ!$A$1075="",履歴データ!$A$1074=""),"",H1075-H1074)</f>
        <v/>
      </c>
      <c r="R1075" s="29" t="str">
        <f>IF(OR(履歴データ!$A$1075="",履歴データ!$A$1074=""),"",I1075-I1074)</f>
        <v/>
      </c>
      <c r="S1075" s="28" t="str">
        <f>IF(OR(履歴データ!$A$1075="",履歴データ!$A$1074=""),"",(J1075-J1074)*100)</f>
        <v/>
      </c>
      <c r="T1075" s="11" t="str">
        <f>IF(OR(履歴データ!$A$1075="",履歴データ!$A$1074=""),"",-80000*K1075)</f>
        <v/>
      </c>
      <c r="U1075" s="11" t="str">
        <f>IF(OR(履歴データ!$A$1075="",履歴データ!$A$1074=""),"",60000*L1075)</f>
        <v/>
      </c>
      <c r="V1075" s="11" t="str">
        <f>IF(OR(履歴データ!$A$1075="",履歴データ!$A$1074=""),"",-50000*M1075)</f>
        <v/>
      </c>
      <c r="W1075" s="11" t="str">
        <f>IF(OR(履歴データ!$A$1075="",履歴データ!$A$1074=""),"",-40000*N1075)</f>
        <v/>
      </c>
      <c r="X1075" s="11" t="str">
        <f>IF(OR(履歴データ!$A$1075="",履歴データ!$A$1074=""),"",120*1000000*(-Q1075/H1074))</f>
        <v/>
      </c>
      <c r="Y1075" s="11" t="str">
        <f>IF(OR(履歴データ!$A$1075="",履歴データ!$A$1074=""),"",40000*(-S1075)+(-506.3)*R1075*1000)</f>
        <v/>
      </c>
      <c r="Z1075" s="11" t="str">
        <f>IF(OR(履歴データ!$A$1075="",履歴データ!$A$1074=""),"",-40000*O1075)</f>
        <v/>
      </c>
      <c r="AA1075" s="11" t="str">
        <f>IF(OR(履歴データ!$A$1075="",履歴データ!$A$1074=""),"",-40000*P1075)</f>
        <v/>
      </c>
      <c r="AB1075" s="11" t="str">
        <f>IF(履歴データ!$A$1075="","",123.3)</f>
        <v/>
      </c>
      <c r="AC1075" t="str">
        <f>IF(履歴データ!$A$1075="","",SUM(T1075:AA1075))</f>
        <v/>
      </c>
      <c r="AD1075" s="29" t="str">
        <f>IF(履歴データ!$A$1075="","",AC1075/1000000)</f>
        <v/>
      </c>
      <c r="AE1075" s="29">
        <f>IF(履歴データ!$A$1075="",AE1074,AE1074+AC1075/1000000)</f>
        <v>70.844544225831427</v>
      </c>
      <c r="AF1075" s="12" t="str">
        <f>IF(OR(履歴データ!$A$1075="",AE1074=0),"",(AE1075-AE1074)/AE1074)</f>
        <v/>
      </c>
      <c r="AG1075" s="29">
        <f t="shared" si="46"/>
        <v>102.17217746631495</v>
      </c>
      <c r="AH1075" s="12" t="str">
        <f>IF(OR(履歴データ!$A$1075="",AG1075=0),"",AE1075/AG1075-1)</f>
        <v/>
      </c>
    </row>
    <row r="1076" spans="1:34">
      <c r="A1076" s="10" t="str">
        <f>IF(履歴データ!$A$1076="","",履歴データ!$A$1076)</f>
        <v/>
      </c>
      <c r="B1076" s="28" t="str">
        <f>IF(履歴データ!$A$1076="","",(履歴データ!$D$1076-(履歴データ!$B$1076+履歴データ!$F$1076)/2)*100)</f>
        <v/>
      </c>
      <c r="C1076" s="28" t="str">
        <f>IF(履歴データ!$A$1076="","",(履歴データ!$H$1076-(履歴データ!$G$1076+履歴データ!$J$1076)/2)*100)</f>
        <v/>
      </c>
      <c r="D1076" s="28" t="str">
        <f>IF(履歴データ!$A$1076="","",(履歴データ!$D$1076-履歴データ!$H$1076)*100)</f>
        <v/>
      </c>
      <c r="E1076" s="28" t="str">
        <f>IF(履歴データ!$A$1076="","",(履歴データ!$D$1076-履歴データ!$C$1076)*100)</f>
        <v/>
      </c>
      <c r="F1076" s="28" t="str">
        <f>IF(履歴データ!$A$1076="","",(履歴データ!$R$1076-履歴データ!$D$1076)*100)</f>
        <v/>
      </c>
      <c r="G1076" s="28" t="str">
        <f>IF(履歴データ!$A$1076="","",(履歴データ!$S$1076-履歴データ!$R$1076)*100)</f>
        <v/>
      </c>
      <c r="H1076" s="29" t="str">
        <f>IF(履歴データ!$A$1076="","",履歴データ!$O$1076)</f>
        <v/>
      </c>
      <c r="I1076" s="29" t="str">
        <f>IF(履歴データ!$A$1076="","",履歴データ!$Q$1076)</f>
        <v/>
      </c>
      <c r="J1076" s="29" t="str">
        <f>IF(履歴データ!$A$1076="","",履歴データ!$D$1076)</f>
        <v/>
      </c>
      <c r="K1076" s="28" t="str">
        <f>IF(OR(履歴データ!$A$1076="",履歴データ!$A$1075=""),"",B1076-B1075)</f>
        <v/>
      </c>
      <c r="L1076" s="28" t="str">
        <f>IF(OR(履歴データ!$A$1076="",履歴データ!$A$1075=""),"",C1076-C1075)</f>
        <v/>
      </c>
      <c r="M1076" s="28" t="str">
        <f>IF(OR(履歴データ!$A$1076="",履歴データ!$A$1075=""),"",D1076-D1075)</f>
        <v/>
      </c>
      <c r="N1076" s="28" t="str">
        <f>IF(OR(履歴データ!$A$1076="",履歴データ!$A$1075=""),"",E1076-E1075)</f>
        <v/>
      </c>
      <c r="O1076" s="28" t="str">
        <f>IF(OR(履歴データ!$A$1076="",履歴データ!$A$1075=""),"",F1076-F1075)</f>
        <v/>
      </c>
      <c r="P1076" s="28" t="str">
        <f>IF(OR(履歴データ!$A$1076="",履歴データ!$A$1075=""),"",G1076-G1075)</f>
        <v/>
      </c>
      <c r="Q1076" s="29" t="str">
        <f>IF(OR(履歴データ!$A$1076="",履歴データ!$A$1075=""),"",H1076-H1075)</f>
        <v/>
      </c>
      <c r="R1076" s="29" t="str">
        <f>IF(OR(履歴データ!$A$1076="",履歴データ!$A$1075=""),"",I1076-I1075)</f>
        <v/>
      </c>
      <c r="S1076" s="28" t="str">
        <f>IF(OR(履歴データ!$A$1076="",履歴データ!$A$1075=""),"",(J1076-J1075)*100)</f>
        <v/>
      </c>
      <c r="T1076" s="11" t="str">
        <f>IF(OR(履歴データ!$A$1076="",履歴データ!$A$1075=""),"",-80000*K1076)</f>
        <v/>
      </c>
      <c r="U1076" s="11" t="str">
        <f>IF(OR(履歴データ!$A$1076="",履歴データ!$A$1075=""),"",60000*L1076)</f>
        <v/>
      </c>
      <c r="V1076" s="11" t="str">
        <f>IF(OR(履歴データ!$A$1076="",履歴データ!$A$1075=""),"",-50000*M1076)</f>
        <v/>
      </c>
      <c r="W1076" s="11" t="str">
        <f>IF(OR(履歴データ!$A$1076="",履歴データ!$A$1075=""),"",-40000*N1076)</f>
        <v/>
      </c>
      <c r="X1076" s="11" t="str">
        <f>IF(OR(履歴データ!$A$1076="",履歴データ!$A$1075=""),"",120*1000000*(-Q1076/H1075))</f>
        <v/>
      </c>
      <c r="Y1076" s="11" t="str">
        <f>IF(OR(履歴データ!$A$1076="",履歴データ!$A$1075=""),"",40000*(-S1076)+(-506.3)*R1076*1000)</f>
        <v/>
      </c>
      <c r="Z1076" s="11" t="str">
        <f>IF(OR(履歴データ!$A$1076="",履歴データ!$A$1075=""),"",-40000*O1076)</f>
        <v/>
      </c>
      <c r="AA1076" s="11" t="str">
        <f>IF(OR(履歴データ!$A$1076="",履歴データ!$A$1075=""),"",-40000*P1076)</f>
        <v/>
      </c>
      <c r="AB1076" s="11" t="str">
        <f>IF(履歴データ!$A$1076="","",123.3)</f>
        <v/>
      </c>
      <c r="AC1076" t="str">
        <f>IF(履歴データ!$A$1076="","",SUM(T1076:AA1076))</f>
        <v/>
      </c>
      <c r="AD1076" s="29" t="str">
        <f>IF(履歴データ!$A$1076="","",AC1076/1000000)</f>
        <v/>
      </c>
      <c r="AE1076" s="29">
        <f>IF(履歴データ!$A$1076="",AE1075,AE1075+AC1076/1000000)</f>
        <v>70.844544225831427</v>
      </c>
      <c r="AF1076" s="12" t="str">
        <f>IF(OR(履歴データ!$A$1076="",AE1075=0),"",(AE1076-AE1075)/AE1075)</f>
        <v/>
      </c>
      <c r="AG1076" s="29">
        <f t="shared" si="46"/>
        <v>102.17217746631495</v>
      </c>
      <c r="AH1076" s="12" t="str">
        <f>IF(OR(履歴データ!$A$1076="",AG1076=0),"",AE1076/AG1076-1)</f>
        <v/>
      </c>
    </row>
    <row r="1077" spans="1:34">
      <c r="A1077" s="10" t="str">
        <f>IF(履歴データ!$A$1077="","",履歴データ!$A$1077)</f>
        <v/>
      </c>
      <c r="B1077" s="28" t="str">
        <f>IF(履歴データ!$A$1077="","",(履歴データ!$D$1077-(履歴データ!$B$1077+履歴データ!$F$1077)/2)*100)</f>
        <v/>
      </c>
      <c r="C1077" s="28" t="str">
        <f>IF(履歴データ!$A$1077="","",(履歴データ!$H$1077-(履歴データ!$G$1077+履歴データ!$J$1077)/2)*100)</f>
        <v/>
      </c>
      <c r="D1077" s="28" t="str">
        <f>IF(履歴データ!$A$1077="","",(履歴データ!$D$1077-履歴データ!$H$1077)*100)</f>
        <v/>
      </c>
      <c r="E1077" s="28" t="str">
        <f>IF(履歴データ!$A$1077="","",(履歴データ!$D$1077-履歴データ!$C$1077)*100)</f>
        <v/>
      </c>
      <c r="F1077" s="28" t="str">
        <f>IF(履歴データ!$A$1077="","",(履歴データ!$R$1077-履歴データ!$D$1077)*100)</f>
        <v/>
      </c>
      <c r="G1077" s="28" t="str">
        <f>IF(履歴データ!$A$1077="","",(履歴データ!$S$1077-履歴データ!$R$1077)*100)</f>
        <v/>
      </c>
      <c r="H1077" s="29" t="str">
        <f>IF(履歴データ!$A$1077="","",履歴データ!$O$1077)</f>
        <v/>
      </c>
      <c r="I1077" s="29" t="str">
        <f>IF(履歴データ!$A$1077="","",履歴データ!$Q$1077)</f>
        <v/>
      </c>
      <c r="J1077" s="29" t="str">
        <f>IF(履歴データ!$A$1077="","",履歴データ!$D$1077)</f>
        <v/>
      </c>
      <c r="K1077" s="28" t="str">
        <f>IF(OR(履歴データ!$A$1077="",履歴データ!$A$1076=""),"",B1077-B1076)</f>
        <v/>
      </c>
      <c r="L1077" s="28" t="str">
        <f>IF(OR(履歴データ!$A$1077="",履歴データ!$A$1076=""),"",C1077-C1076)</f>
        <v/>
      </c>
      <c r="M1077" s="28" t="str">
        <f>IF(OR(履歴データ!$A$1077="",履歴データ!$A$1076=""),"",D1077-D1076)</f>
        <v/>
      </c>
      <c r="N1077" s="28" t="str">
        <f>IF(OR(履歴データ!$A$1077="",履歴データ!$A$1076=""),"",E1077-E1076)</f>
        <v/>
      </c>
      <c r="O1077" s="28" t="str">
        <f>IF(OR(履歴データ!$A$1077="",履歴データ!$A$1076=""),"",F1077-F1076)</f>
        <v/>
      </c>
      <c r="P1077" s="28" t="str">
        <f>IF(OR(履歴データ!$A$1077="",履歴データ!$A$1076=""),"",G1077-G1076)</f>
        <v/>
      </c>
      <c r="Q1077" s="29" t="str">
        <f>IF(OR(履歴データ!$A$1077="",履歴データ!$A$1076=""),"",H1077-H1076)</f>
        <v/>
      </c>
      <c r="R1077" s="29" t="str">
        <f>IF(OR(履歴データ!$A$1077="",履歴データ!$A$1076=""),"",I1077-I1076)</f>
        <v/>
      </c>
      <c r="S1077" s="28" t="str">
        <f>IF(OR(履歴データ!$A$1077="",履歴データ!$A$1076=""),"",(J1077-J1076)*100)</f>
        <v/>
      </c>
      <c r="T1077" s="11" t="str">
        <f>IF(OR(履歴データ!$A$1077="",履歴データ!$A$1076=""),"",-80000*K1077)</f>
        <v/>
      </c>
      <c r="U1077" s="11" t="str">
        <f>IF(OR(履歴データ!$A$1077="",履歴データ!$A$1076=""),"",60000*L1077)</f>
        <v/>
      </c>
      <c r="V1077" s="11" t="str">
        <f>IF(OR(履歴データ!$A$1077="",履歴データ!$A$1076=""),"",-50000*M1077)</f>
        <v/>
      </c>
      <c r="W1077" s="11" t="str">
        <f>IF(OR(履歴データ!$A$1077="",履歴データ!$A$1076=""),"",-40000*N1077)</f>
        <v/>
      </c>
      <c r="X1077" s="11" t="str">
        <f>IF(OR(履歴データ!$A$1077="",履歴データ!$A$1076=""),"",120*1000000*(-Q1077/H1076))</f>
        <v/>
      </c>
      <c r="Y1077" s="11" t="str">
        <f>IF(OR(履歴データ!$A$1077="",履歴データ!$A$1076=""),"",40000*(-S1077)+(-506.3)*R1077*1000)</f>
        <v/>
      </c>
      <c r="Z1077" s="11" t="str">
        <f>IF(OR(履歴データ!$A$1077="",履歴データ!$A$1076=""),"",-40000*O1077)</f>
        <v/>
      </c>
      <c r="AA1077" s="11" t="str">
        <f>IF(OR(履歴データ!$A$1077="",履歴データ!$A$1076=""),"",-40000*P1077)</f>
        <v/>
      </c>
      <c r="AB1077" s="11" t="str">
        <f>IF(履歴データ!$A$1077="","",123.3)</f>
        <v/>
      </c>
      <c r="AC1077" t="str">
        <f>IF(履歴データ!$A$1077="","",SUM(T1077:AA1077))</f>
        <v/>
      </c>
      <c r="AD1077" s="29" t="str">
        <f>IF(履歴データ!$A$1077="","",AC1077/1000000)</f>
        <v/>
      </c>
      <c r="AE1077" s="29">
        <f>IF(履歴データ!$A$1077="",AE1076,AE1076+AC1077/1000000)</f>
        <v>70.844544225831427</v>
      </c>
      <c r="AF1077" s="12" t="str">
        <f>IF(OR(履歴データ!$A$1077="",AE1076=0),"",(AE1077-AE1076)/AE1076)</f>
        <v/>
      </c>
      <c r="AG1077" s="29">
        <f t="shared" si="46"/>
        <v>102.17217746631495</v>
      </c>
      <c r="AH1077" s="12" t="str">
        <f>IF(OR(履歴データ!$A$1077="",AG1077=0),"",AE1077/AG1077-1)</f>
        <v/>
      </c>
    </row>
    <row r="1078" spans="1:34">
      <c r="A1078" s="10" t="str">
        <f>IF(履歴データ!$A$1078="","",履歴データ!$A$1078)</f>
        <v/>
      </c>
      <c r="B1078" s="28" t="str">
        <f>IF(履歴データ!$A$1078="","",(履歴データ!$D$1078-(履歴データ!$B$1078+履歴データ!$F$1078)/2)*100)</f>
        <v/>
      </c>
      <c r="C1078" s="28" t="str">
        <f>IF(履歴データ!$A$1078="","",(履歴データ!$H$1078-(履歴データ!$G$1078+履歴データ!$J$1078)/2)*100)</f>
        <v/>
      </c>
      <c r="D1078" s="28" t="str">
        <f>IF(履歴データ!$A$1078="","",(履歴データ!$D$1078-履歴データ!$H$1078)*100)</f>
        <v/>
      </c>
      <c r="E1078" s="28" t="str">
        <f>IF(履歴データ!$A$1078="","",(履歴データ!$D$1078-履歴データ!$C$1078)*100)</f>
        <v/>
      </c>
      <c r="F1078" s="28" t="str">
        <f>IF(履歴データ!$A$1078="","",(履歴データ!$R$1078-履歴データ!$D$1078)*100)</f>
        <v/>
      </c>
      <c r="G1078" s="28" t="str">
        <f>IF(履歴データ!$A$1078="","",(履歴データ!$S$1078-履歴データ!$R$1078)*100)</f>
        <v/>
      </c>
      <c r="H1078" s="29" t="str">
        <f>IF(履歴データ!$A$1078="","",履歴データ!$O$1078)</f>
        <v/>
      </c>
      <c r="I1078" s="29" t="str">
        <f>IF(履歴データ!$A$1078="","",履歴データ!$Q$1078)</f>
        <v/>
      </c>
      <c r="J1078" s="29" t="str">
        <f>IF(履歴データ!$A$1078="","",履歴データ!$D$1078)</f>
        <v/>
      </c>
      <c r="K1078" s="28" t="str">
        <f>IF(OR(履歴データ!$A$1078="",履歴データ!$A$1077=""),"",B1078-B1077)</f>
        <v/>
      </c>
      <c r="L1078" s="28" t="str">
        <f>IF(OR(履歴データ!$A$1078="",履歴データ!$A$1077=""),"",C1078-C1077)</f>
        <v/>
      </c>
      <c r="M1078" s="28" t="str">
        <f>IF(OR(履歴データ!$A$1078="",履歴データ!$A$1077=""),"",D1078-D1077)</f>
        <v/>
      </c>
      <c r="N1078" s="28" t="str">
        <f>IF(OR(履歴データ!$A$1078="",履歴データ!$A$1077=""),"",E1078-E1077)</f>
        <v/>
      </c>
      <c r="O1078" s="28" t="str">
        <f>IF(OR(履歴データ!$A$1078="",履歴データ!$A$1077=""),"",F1078-F1077)</f>
        <v/>
      </c>
      <c r="P1078" s="28" t="str">
        <f>IF(OR(履歴データ!$A$1078="",履歴データ!$A$1077=""),"",G1078-G1077)</f>
        <v/>
      </c>
      <c r="Q1078" s="29" t="str">
        <f>IF(OR(履歴データ!$A$1078="",履歴データ!$A$1077=""),"",H1078-H1077)</f>
        <v/>
      </c>
      <c r="R1078" s="29" t="str">
        <f>IF(OR(履歴データ!$A$1078="",履歴データ!$A$1077=""),"",I1078-I1077)</f>
        <v/>
      </c>
      <c r="S1078" s="28" t="str">
        <f>IF(OR(履歴データ!$A$1078="",履歴データ!$A$1077=""),"",(J1078-J1077)*100)</f>
        <v/>
      </c>
      <c r="T1078" s="11" t="str">
        <f>IF(OR(履歴データ!$A$1078="",履歴データ!$A$1077=""),"",-80000*K1078)</f>
        <v/>
      </c>
      <c r="U1078" s="11" t="str">
        <f>IF(OR(履歴データ!$A$1078="",履歴データ!$A$1077=""),"",60000*L1078)</f>
        <v/>
      </c>
      <c r="V1078" s="11" t="str">
        <f>IF(OR(履歴データ!$A$1078="",履歴データ!$A$1077=""),"",-50000*M1078)</f>
        <v/>
      </c>
      <c r="W1078" s="11" t="str">
        <f>IF(OR(履歴データ!$A$1078="",履歴データ!$A$1077=""),"",-40000*N1078)</f>
        <v/>
      </c>
      <c r="X1078" s="11" t="str">
        <f>IF(OR(履歴データ!$A$1078="",履歴データ!$A$1077=""),"",120*1000000*(-Q1078/H1077))</f>
        <v/>
      </c>
      <c r="Y1078" s="11" t="str">
        <f>IF(OR(履歴データ!$A$1078="",履歴データ!$A$1077=""),"",40000*(-S1078)+(-506.3)*R1078*1000)</f>
        <v/>
      </c>
      <c r="Z1078" s="11" t="str">
        <f>IF(OR(履歴データ!$A$1078="",履歴データ!$A$1077=""),"",-40000*O1078)</f>
        <v/>
      </c>
      <c r="AA1078" s="11" t="str">
        <f>IF(OR(履歴データ!$A$1078="",履歴データ!$A$1077=""),"",-40000*P1078)</f>
        <v/>
      </c>
      <c r="AB1078" s="11" t="str">
        <f>IF(履歴データ!$A$1078="","",123.3)</f>
        <v/>
      </c>
      <c r="AC1078" t="str">
        <f>IF(履歴データ!$A$1078="","",SUM(T1078:AA1078))</f>
        <v/>
      </c>
      <c r="AD1078" s="29" t="str">
        <f>IF(履歴データ!$A$1078="","",AC1078/1000000)</f>
        <v/>
      </c>
      <c r="AE1078" s="29">
        <f>IF(履歴データ!$A$1078="",AE1077,AE1077+AC1078/1000000)</f>
        <v>70.844544225831427</v>
      </c>
      <c r="AF1078" s="12" t="str">
        <f>IF(OR(履歴データ!$A$1078="",AE1077=0),"",(AE1078-AE1077)/AE1077)</f>
        <v/>
      </c>
      <c r="AG1078" s="29">
        <f t="shared" si="46"/>
        <v>102.17217746631495</v>
      </c>
      <c r="AH1078" s="12" t="str">
        <f>IF(OR(履歴データ!$A$1078="",AG1078=0),"",AE1078/AG1078-1)</f>
        <v/>
      </c>
    </row>
    <row r="1079" spans="1:34">
      <c r="A1079" s="10" t="str">
        <f>IF(履歴データ!$A$1079="","",履歴データ!$A$1079)</f>
        <v/>
      </c>
      <c r="B1079" s="28" t="str">
        <f>IF(履歴データ!$A$1079="","",(履歴データ!$D$1079-(履歴データ!$B$1079+履歴データ!$F$1079)/2)*100)</f>
        <v/>
      </c>
      <c r="C1079" s="28" t="str">
        <f>IF(履歴データ!$A$1079="","",(履歴データ!$H$1079-(履歴データ!$G$1079+履歴データ!$J$1079)/2)*100)</f>
        <v/>
      </c>
      <c r="D1079" s="28" t="str">
        <f>IF(履歴データ!$A$1079="","",(履歴データ!$D$1079-履歴データ!$H$1079)*100)</f>
        <v/>
      </c>
      <c r="E1079" s="28" t="str">
        <f>IF(履歴データ!$A$1079="","",(履歴データ!$D$1079-履歴データ!$C$1079)*100)</f>
        <v/>
      </c>
      <c r="F1079" s="28" t="str">
        <f>IF(履歴データ!$A$1079="","",(履歴データ!$R$1079-履歴データ!$D$1079)*100)</f>
        <v/>
      </c>
      <c r="G1079" s="28" t="str">
        <f>IF(履歴データ!$A$1079="","",(履歴データ!$S$1079-履歴データ!$R$1079)*100)</f>
        <v/>
      </c>
      <c r="H1079" s="29" t="str">
        <f>IF(履歴データ!$A$1079="","",履歴データ!$O$1079)</f>
        <v/>
      </c>
      <c r="I1079" s="29" t="str">
        <f>IF(履歴データ!$A$1079="","",履歴データ!$Q$1079)</f>
        <v/>
      </c>
      <c r="J1079" s="29" t="str">
        <f>IF(履歴データ!$A$1079="","",履歴データ!$D$1079)</f>
        <v/>
      </c>
      <c r="K1079" s="28" t="str">
        <f>IF(OR(履歴データ!$A$1079="",履歴データ!$A$1078=""),"",B1079-B1078)</f>
        <v/>
      </c>
      <c r="L1079" s="28" t="str">
        <f>IF(OR(履歴データ!$A$1079="",履歴データ!$A$1078=""),"",C1079-C1078)</f>
        <v/>
      </c>
      <c r="M1079" s="28" t="str">
        <f>IF(OR(履歴データ!$A$1079="",履歴データ!$A$1078=""),"",D1079-D1078)</f>
        <v/>
      </c>
      <c r="N1079" s="28" t="str">
        <f>IF(OR(履歴データ!$A$1079="",履歴データ!$A$1078=""),"",E1079-E1078)</f>
        <v/>
      </c>
      <c r="O1079" s="28" t="str">
        <f>IF(OR(履歴データ!$A$1079="",履歴データ!$A$1078=""),"",F1079-F1078)</f>
        <v/>
      </c>
      <c r="P1079" s="28" t="str">
        <f>IF(OR(履歴データ!$A$1079="",履歴データ!$A$1078=""),"",G1079-G1078)</f>
        <v/>
      </c>
      <c r="Q1079" s="29" t="str">
        <f>IF(OR(履歴データ!$A$1079="",履歴データ!$A$1078=""),"",H1079-H1078)</f>
        <v/>
      </c>
      <c r="R1079" s="29" t="str">
        <f>IF(OR(履歴データ!$A$1079="",履歴データ!$A$1078=""),"",I1079-I1078)</f>
        <v/>
      </c>
      <c r="S1079" s="28" t="str">
        <f>IF(OR(履歴データ!$A$1079="",履歴データ!$A$1078=""),"",(J1079-J1078)*100)</f>
        <v/>
      </c>
      <c r="T1079" s="11" t="str">
        <f>IF(OR(履歴データ!$A$1079="",履歴データ!$A$1078=""),"",-80000*K1079)</f>
        <v/>
      </c>
      <c r="U1079" s="11" t="str">
        <f>IF(OR(履歴データ!$A$1079="",履歴データ!$A$1078=""),"",60000*L1079)</f>
        <v/>
      </c>
      <c r="V1079" s="11" t="str">
        <f>IF(OR(履歴データ!$A$1079="",履歴データ!$A$1078=""),"",-50000*M1079)</f>
        <v/>
      </c>
      <c r="W1079" s="11" t="str">
        <f>IF(OR(履歴データ!$A$1079="",履歴データ!$A$1078=""),"",-40000*N1079)</f>
        <v/>
      </c>
      <c r="X1079" s="11" t="str">
        <f>IF(OR(履歴データ!$A$1079="",履歴データ!$A$1078=""),"",120*1000000*(-Q1079/H1078))</f>
        <v/>
      </c>
      <c r="Y1079" s="11" t="str">
        <f>IF(OR(履歴データ!$A$1079="",履歴データ!$A$1078=""),"",40000*(-S1079)+(-506.3)*R1079*1000)</f>
        <v/>
      </c>
      <c r="Z1079" s="11" t="str">
        <f>IF(OR(履歴データ!$A$1079="",履歴データ!$A$1078=""),"",-40000*O1079)</f>
        <v/>
      </c>
      <c r="AA1079" s="11" t="str">
        <f>IF(OR(履歴データ!$A$1079="",履歴データ!$A$1078=""),"",-40000*P1079)</f>
        <v/>
      </c>
      <c r="AB1079" s="11" t="str">
        <f>IF(履歴データ!$A$1079="","",123.3)</f>
        <v/>
      </c>
      <c r="AC1079" t="str">
        <f>IF(履歴データ!$A$1079="","",SUM(T1079:AA1079))</f>
        <v/>
      </c>
      <c r="AD1079" s="29" t="str">
        <f>IF(履歴データ!$A$1079="","",AC1079/1000000)</f>
        <v/>
      </c>
      <c r="AE1079" s="29">
        <f>IF(履歴データ!$A$1079="",AE1078,AE1078+AC1079/1000000)</f>
        <v>70.844544225831427</v>
      </c>
      <c r="AF1079" s="12" t="str">
        <f>IF(OR(履歴データ!$A$1079="",AE1078=0),"",(AE1079-AE1078)/AE1078)</f>
        <v/>
      </c>
      <c r="AG1079" s="29">
        <f t="shared" si="46"/>
        <v>102.17217746631495</v>
      </c>
      <c r="AH1079" s="12" t="str">
        <f>IF(OR(履歴データ!$A$1079="",AG1079=0),"",AE1079/AG1079-1)</f>
        <v/>
      </c>
    </row>
    <row r="1080" spans="1:34">
      <c r="A1080" s="10" t="str">
        <f>IF(履歴データ!$A$1080="","",履歴データ!$A$1080)</f>
        <v/>
      </c>
      <c r="B1080" s="28" t="str">
        <f>IF(履歴データ!$A$1080="","",(履歴データ!$D$1080-(履歴データ!$B$1080+履歴データ!$F$1080)/2)*100)</f>
        <v/>
      </c>
      <c r="C1080" s="28" t="str">
        <f>IF(履歴データ!$A$1080="","",(履歴データ!$H$1080-(履歴データ!$G$1080+履歴データ!$J$1080)/2)*100)</f>
        <v/>
      </c>
      <c r="D1080" s="28" t="str">
        <f>IF(履歴データ!$A$1080="","",(履歴データ!$D$1080-履歴データ!$H$1080)*100)</f>
        <v/>
      </c>
      <c r="E1080" s="28" t="str">
        <f>IF(履歴データ!$A$1080="","",(履歴データ!$D$1080-履歴データ!$C$1080)*100)</f>
        <v/>
      </c>
      <c r="F1080" s="28" t="str">
        <f>IF(履歴データ!$A$1080="","",(履歴データ!$R$1080-履歴データ!$D$1080)*100)</f>
        <v/>
      </c>
      <c r="G1080" s="28" t="str">
        <f>IF(履歴データ!$A$1080="","",(履歴データ!$S$1080-履歴データ!$R$1080)*100)</f>
        <v/>
      </c>
      <c r="H1080" s="29" t="str">
        <f>IF(履歴データ!$A$1080="","",履歴データ!$O$1080)</f>
        <v/>
      </c>
      <c r="I1080" s="29" t="str">
        <f>IF(履歴データ!$A$1080="","",履歴データ!$Q$1080)</f>
        <v/>
      </c>
      <c r="J1080" s="29" t="str">
        <f>IF(履歴データ!$A$1080="","",履歴データ!$D$1080)</f>
        <v/>
      </c>
      <c r="K1080" s="28" t="str">
        <f>IF(OR(履歴データ!$A$1080="",履歴データ!$A$1079=""),"",B1080-B1079)</f>
        <v/>
      </c>
      <c r="L1080" s="28" t="str">
        <f>IF(OR(履歴データ!$A$1080="",履歴データ!$A$1079=""),"",C1080-C1079)</f>
        <v/>
      </c>
      <c r="M1080" s="28" t="str">
        <f>IF(OR(履歴データ!$A$1080="",履歴データ!$A$1079=""),"",D1080-D1079)</f>
        <v/>
      </c>
      <c r="N1080" s="28" t="str">
        <f>IF(OR(履歴データ!$A$1080="",履歴データ!$A$1079=""),"",E1080-E1079)</f>
        <v/>
      </c>
      <c r="O1080" s="28" t="str">
        <f>IF(OR(履歴データ!$A$1080="",履歴データ!$A$1079=""),"",F1080-F1079)</f>
        <v/>
      </c>
      <c r="P1080" s="28" t="str">
        <f>IF(OR(履歴データ!$A$1080="",履歴データ!$A$1079=""),"",G1080-G1079)</f>
        <v/>
      </c>
      <c r="Q1080" s="29" t="str">
        <f>IF(OR(履歴データ!$A$1080="",履歴データ!$A$1079=""),"",H1080-H1079)</f>
        <v/>
      </c>
      <c r="R1080" s="29" t="str">
        <f>IF(OR(履歴データ!$A$1080="",履歴データ!$A$1079=""),"",I1080-I1079)</f>
        <v/>
      </c>
      <c r="S1080" s="28" t="str">
        <f>IF(OR(履歴データ!$A$1080="",履歴データ!$A$1079=""),"",(J1080-J1079)*100)</f>
        <v/>
      </c>
      <c r="T1080" s="11" t="str">
        <f>IF(OR(履歴データ!$A$1080="",履歴データ!$A$1079=""),"",-80000*K1080)</f>
        <v/>
      </c>
      <c r="U1080" s="11" t="str">
        <f>IF(OR(履歴データ!$A$1080="",履歴データ!$A$1079=""),"",60000*L1080)</f>
        <v/>
      </c>
      <c r="V1080" s="11" t="str">
        <f>IF(OR(履歴データ!$A$1080="",履歴データ!$A$1079=""),"",-50000*M1080)</f>
        <v/>
      </c>
      <c r="W1080" s="11" t="str">
        <f>IF(OR(履歴データ!$A$1080="",履歴データ!$A$1079=""),"",-40000*N1080)</f>
        <v/>
      </c>
      <c r="X1080" s="11" t="str">
        <f>IF(OR(履歴データ!$A$1080="",履歴データ!$A$1079=""),"",120*1000000*(-Q1080/H1079))</f>
        <v/>
      </c>
      <c r="Y1080" s="11" t="str">
        <f>IF(OR(履歴データ!$A$1080="",履歴データ!$A$1079=""),"",40000*(-S1080)+(-506.3)*R1080*1000)</f>
        <v/>
      </c>
      <c r="Z1080" s="11" t="str">
        <f>IF(OR(履歴データ!$A$1080="",履歴データ!$A$1079=""),"",-40000*O1080)</f>
        <v/>
      </c>
      <c r="AA1080" s="11" t="str">
        <f>IF(OR(履歴データ!$A$1080="",履歴データ!$A$1079=""),"",-40000*P1080)</f>
        <v/>
      </c>
      <c r="AB1080" s="11" t="str">
        <f>IF(履歴データ!$A$1080="","",123.3)</f>
        <v/>
      </c>
      <c r="AC1080" t="str">
        <f>IF(履歴データ!$A$1080="","",SUM(T1080:AA1080))</f>
        <v/>
      </c>
      <c r="AD1080" s="29" t="str">
        <f>IF(履歴データ!$A$1080="","",AC1080/1000000)</f>
        <v/>
      </c>
      <c r="AE1080" s="29">
        <f>IF(履歴データ!$A$1080="",AE1079,AE1079+AC1080/1000000)</f>
        <v>70.844544225831427</v>
      </c>
      <c r="AF1080" s="12" t="str">
        <f>IF(OR(履歴データ!$A$1080="",AE1079=0),"",(AE1080-AE1079)/AE1079)</f>
        <v/>
      </c>
      <c r="AG1080" s="29">
        <f t="shared" si="46"/>
        <v>102.17217746631495</v>
      </c>
      <c r="AH1080" s="12" t="str">
        <f>IF(OR(履歴データ!$A$1080="",AG1080=0),"",AE1080/AG1080-1)</f>
        <v/>
      </c>
    </row>
    <row r="1081" spans="1:34">
      <c r="A1081" s="10" t="str">
        <f>IF(履歴データ!$A$1081="","",履歴データ!$A$1081)</f>
        <v/>
      </c>
      <c r="B1081" s="28" t="str">
        <f>IF(履歴データ!$A$1081="","",(履歴データ!$D$1081-(履歴データ!$B$1081+履歴データ!$F$1081)/2)*100)</f>
        <v/>
      </c>
      <c r="C1081" s="28" t="str">
        <f>IF(履歴データ!$A$1081="","",(履歴データ!$H$1081-(履歴データ!$G$1081+履歴データ!$J$1081)/2)*100)</f>
        <v/>
      </c>
      <c r="D1081" s="28" t="str">
        <f>IF(履歴データ!$A$1081="","",(履歴データ!$D$1081-履歴データ!$H$1081)*100)</f>
        <v/>
      </c>
      <c r="E1081" s="28" t="str">
        <f>IF(履歴データ!$A$1081="","",(履歴データ!$D$1081-履歴データ!$C$1081)*100)</f>
        <v/>
      </c>
      <c r="F1081" s="28" t="str">
        <f>IF(履歴データ!$A$1081="","",(履歴データ!$R$1081-履歴データ!$D$1081)*100)</f>
        <v/>
      </c>
      <c r="G1081" s="28" t="str">
        <f>IF(履歴データ!$A$1081="","",(履歴データ!$S$1081-履歴データ!$R$1081)*100)</f>
        <v/>
      </c>
      <c r="H1081" s="29" t="str">
        <f>IF(履歴データ!$A$1081="","",履歴データ!$O$1081)</f>
        <v/>
      </c>
      <c r="I1081" s="29" t="str">
        <f>IF(履歴データ!$A$1081="","",履歴データ!$Q$1081)</f>
        <v/>
      </c>
      <c r="J1081" s="29" t="str">
        <f>IF(履歴データ!$A$1081="","",履歴データ!$D$1081)</f>
        <v/>
      </c>
      <c r="K1081" s="28" t="str">
        <f>IF(OR(履歴データ!$A$1081="",履歴データ!$A$1080=""),"",B1081-B1080)</f>
        <v/>
      </c>
      <c r="L1081" s="28" t="str">
        <f>IF(OR(履歴データ!$A$1081="",履歴データ!$A$1080=""),"",C1081-C1080)</f>
        <v/>
      </c>
      <c r="M1081" s="28" t="str">
        <f>IF(OR(履歴データ!$A$1081="",履歴データ!$A$1080=""),"",D1081-D1080)</f>
        <v/>
      </c>
      <c r="N1081" s="28" t="str">
        <f>IF(OR(履歴データ!$A$1081="",履歴データ!$A$1080=""),"",E1081-E1080)</f>
        <v/>
      </c>
      <c r="O1081" s="28" t="str">
        <f>IF(OR(履歴データ!$A$1081="",履歴データ!$A$1080=""),"",F1081-F1080)</f>
        <v/>
      </c>
      <c r="P1081" s="28" t="str">
        <f>IF(OR(履歴データ!$A$1081="",履歴データ!$A$1080=""),"",G1081-G1080)</f>
        <v/>
      </c>
      <c r="Q1081" s="29" t="str">
        <f>IF(OR(履歴データ!$A$1081="",履歴データ!$A$1080=""),"",H1081-H1080)</f>
        <v/>
      </c>
      <c r="R1081" s="29" t="str">
        <f>IF(OR(履歴データ!$A$1081="",履歴データ!$A$1080=""),"",I1081-I1080)</f>
        <v/>
      </c>
      <c r="S1081" s="28" t="str">
        <f>IF(OR(履歴データ!$A$1081="",履歴データ!$A$1080=""),"",(J1081-J1080)*100)</f>
        <v/>
      </c>
      <c r="T1081" s="11" t="str">
        <f>IF(OR(履歴データ!$A$1081="",履歴データ!$A$1080=""),"",-80000*K1081)</f>
        <v/>
      </c>
      <c r="U1081" s="11" t="str">
        <f>IF(OR(履歴データ!$A$1081="",履歴データ!$A$1080=""),"",60000*L1081)</f>
        <v/>
      </c>
      <c r="V1081" s="11" t="str">
        <f>IF(OR(履歴データ!$A$1081="",履歴データ!$A$1080=""),"",-50000*M1081)</f>
        <v/>
      </c>
      <c r="W1081" s="11" t="str">
        <f>IF(OR(履歴データ!$A$1081="",履歴データ!$A$1080=""),"",-40000*N1081)</f>
        <v/>
      </c>
      <c r="X1081" s="11" t="str">
        <f>IF(OR(履歴データ!$A$1081="",履歴データ!$A$1080=""),"",120*1000000*(-Q1081/H1080))</f>
        <v/>
      </c>
      <c r="Y1081" s="11" t="str">
        <f>IF(OR(履歴データ!$A$1081="",履歴データ!$A$1080=""),"",40000*(-S1081)+(-506.3)*R1081*1000)</f>
        <v/>
      </c>
      <c r="Z1081" s="11" t="str">
        <f>IF(OR(履歴データ!$A$1081="",履歴データ!$A$1080=""),"",-40000*O1081)</f>
        <v/>
      </c>
      <c r="AA1081" s="11" t="str">
        <f>IF(OR(履歴データ!$A$1081="",履歴データ!$A$1080=""),"",-40000*P1081)</f>
        <v/>
      </c>
      <c r="AB1081" s="11" t="str">
        <f>IF(履歴データ!$A$1081="","",123.3)</f>
        <v/>
      </c>
      <c r="AC1081" t="str">
        <f>IF(履歴データ!$A$1081="","",SUM(T1081:AA1081))</f>
        <v/>
      </c>
      <c r="AD1081" s="29" t="str">
        <f>IF(履歴データ!$A$1081="","",AC1081/1000000)</f>
        <v/>
      </c>
      <c r="AE1081" s="29">
        <f>IF(履歴データ!$A$1081="",AE1080,AE1080+AC1081/1000000)</f>
        <v>70.844544225831427</v>
      </c>
      <c r="AF1081" s="12" t="str">
        <f>IF(OR(履歴データ!$A$1081="",AE1080=0),"",(AE1081-AE1080)/AE1080)</f>
        <v/>
      </c>
      <c r="AG1081" s="29">
        <f t="shared" si="46"/>
        <v>102.17217746631495</v>
      </c>
      <c r="AH1081" s="12" t="str">
        <f>IF(OR(履歴データ!$A$1081="",AG1081=0),"",AE1081/AG1081-1)</f>
        <v/>
      </c>
    </row>
    <row r="1082" spans="1:34">
      <c r="A1082" s="10" t="str">
        <f>IF(履歴データ!$A$1082="","",履歴データ!$A$1082)</f>
        <v/>
      </c>
      <c r="B1082" s="28" t="str">
        <f>IF(履歴データ!$A$1082="","",(履歴データ!$D$1082-(履歴データ!$B$1082+履歴データ!$F$1082)/2)*100)</f>
        <v/>
      </c>
      <c r="C1082" s="28" t="str">
        <f>IF(履歴データ!$A$1082="","",(履歴データ!$H$1082-(履歴データ!$G$1082+履歴データ!$J$1082)/2)*100)</f>
        <v/>
      </c>
      <c r="D1082" s="28" t="str">
        <f>IF(履歴データ!$A$1082="","",(履歴データ!$D$1082-履歴データ!$H$1082)*100)</f>
        <v/>
      </c>
      <c r="E1082" s="28" t="str">
        <f>IF(履歴データ!$A$1082="","",(履歴データ!$D$1082-履歴データ!$C$1082)*100)</f>
        <v/>
      </c>
      <c r="F1082" s="28" t="str">
        <f>IF(履歴データ!$A$1082="","",(履歴データ!$R$1082-履歴データ!$D$1082)*100)</f>
        <v/>
      </c>
      <c r="G1082" s="28" t="str">
        <f>IF(履歴データ!$A$1082="","",(履歴データ!$S$1082-履歴データ!$R$1082)*100)</f>
        <v/>
      </c>
      <c r="H1082" s="29" t="str">
        <f>IF(履歴データ!$A$1082="","",履歴データ!$O$1082)</f>
        <v/>
      </c>
      <c r="I1082" s="29" t="str">
        <f>IF(履歴データ!$A$1082="","",履歴データ!$Q$1082)</f>
        <v/>
      </c>
      <c r="J1082" s="29" t="str">
        <f>IF(履歴データ!$A$1082="","",履歴データ!$D$1082)</f>
        <v/>
      </c>
      <c r="K1082" s="28" t="str">
        <f>IF(OR(履歴データ!$A$1082="",履歴データ!$A$1081=""),"",B1082-B1081)</f>
        <v/>
      </c>
      <c r="L1082" s="28" t="str">
        <f>IF(OR(履歴データ!$A$1082="",履歴データ!$A$1081=""),"",C1082-C1081)</f>
        <v/>
      </c>
      <c r="M1082" s="28" t="str">
        <f>IF(OR(履歴データ!$A$1082="",履歴データ!$A$1081=""),"",D1082-D1081)</f>
        <v/>
      </c>
      <c r="N1082" s="28" t="str">
        <f>IF(OR(履歴データ!$A$1082="",履歴データ!$A$1081=""),"",E1082-E1081)</f>
        <v/>
      </c>
      <c r="O1082" s="28" t="str">
        <f>IF(OR(履歴データ!$A$1082="",履歴データ!$A$1081=""),"",F1082-F1081)</f>
        <v/>
      </c>
      <c r="P1082" s="28" t="str">
        <f>IF(OR(履歴データ!$A$1082="",履歴データ!$A$1081=""),"",G1082-G1081)</f>
        <v/>
      </c>
      <c r="Q1082" s="29" t="str">
        <f>IF(OR(履歴データ!$A$1082="",履歴データ!$A$1081=""),"",H1082-H1081)</f>
        <v/>
      </c>
      <c r="R1082" s="29" t="str">
        <f>IF(OR(履歴データ!$A$1082="",履歴データ!$A$1081=""),"",I1082-I1081)</f>
        <v/>
      </c>
      <c r="S1082" s="28" t="str">
        <f>IF(OR(履歴データ!$A$1082="",履歴データ!$A$1081=""),"",(J1082-J1081)*100)</f>
        <v/>
      </c>
      <c r="T1082" s="11" t="str">
        <f>IF(OR(履歴データ!$A$1082="",履歴データ!$A$1081=""),"",-80000*K1082)</f>
        <v/>
      </c>
      <c r="U1082" s="11" t="str">
        <f>IF(OR(履歴データ!$A$1082="",履歴データ!$A$1081=""),"",60000*L1082)</f>
        <v/>
      </c>
      <c r="V1082" s="11" t="str">
        <f>IF(OR(履歴データ!$A$1082="",履歴データ!$A$1081=""),"",-50000*M1082)</f>
        <v/>
      </c>
      <c r="W1082" s="11" t="str">
        <f>IF(OR(履歴データ!$A$1082="",履歴データ!$A$1081=""),"",-40000*N1082)</f>
        <v/>
      </c>
      <c r="X1082" s="11" t="str">
        <f>IF(OR(履歴データ!$A$1082="",履歴データ!$A$1081=""),"",120*1000000*(-Q1082/H1081))</f>
        <v/>
      </c>
      <c r="Y1082" s="11" t="str">
        <f>IF(OR(履歴データ!$A$1082="",履歴データ!$A$1081=""),"",40000*(-S1082)+(-506.3)*R1082*1000)</f>
        <v/>
      </c>
      <c r="Z1082" s="11" t="str">
        <f>IF(OR(履歴データ!$A$1082="",履歴データ!$A$1081=""),"",-40000*O1082)</f>
        <v/>
      </c>
      <c r="AA1082" s="11" t="str">
        <f>IF(OR(履歴データ!$A$1082="",履歴データ!$A$1081=""),"",-40000*P1082)</f>
        <v/>
      </c>
      <c r="AB1082" s="11" t="str">
        <f>IF(履歴データ!$A$1082="","",123.3)</f>
        <v/>
      </c>
      <c r="AC1082" t="str">
        <f>IF(履歴データ!$A$1082="","",SUM(T1082:AA1082))</f>
        <v/>
      </c>
      <c r="AD1082" s="29" t="str">
        <f>IF(履歴データ!$A$1082="","",AC1082/1000000)</f>
        <v/>
      </c>
      <c r="AE1082" s="29">
        <f>IF(履歴データ!$A$1082="",AE1081,AE1081+AC1082/1000000)</f>
        <v>70.844544225831427</v>
      </c>
      <c r="AF1082" s="12" t="str">
        <f>IF(OR(履歴データ!$A$1082="",AE1081=0),"",(AE1082-AE1081)/AE1081)</f>
        <v/>
      </c>
      <c r="AG1082" s="29">
        <f t="shared" si="46"/>
        <v>102.17217746631495</v>
      </c>
      <c r="AH1082" s="12" t="str">
        <f>IF(OR(履歴データ!$A$1082="",AG1082=0),"",AE1082/AG1082-1)</f>
        <v/>
      </c>
    </row>
    <row r="1083" spans="1:34">
      <c r="A1083" s="10" t="str">
        <f>IF(履歴データ!$A$1083="","",履歴データ!$A$1083)</f>
        <v/>
      </c>
      <c r="B1083" s="28" t="str">
        <f>IF(履歴データ!$A$1083="","",(履歴データ!$D$1083-(履歴データ!$B$1083+履歴データ!$F$1083)/2)*100)</f>
        <v/>
      </c>
      <c r="C1083" s="28" t="str">
        <f>IF(履歴データ!$A$1083="","",(履歴データ!$H$1083-(履歴データ!$G$1083+履歴データ!$J$1083)/2)*100)</f>
        <v/>
      </c>
      <c r="D1083" s="28" t="str">
        <f>IF(履歴データ!$A$1083="","",(履歴データ!$D$1083-履歴データ!$H$1083)*100)</f>
        <v/>
      </c>
      <c r="E1083" s="28" t="str">
        <f>IF(履歴データ!$A$1083="","",(履歴データ!$D$1083-履歴データ!$C$1083)*100)</f>
        <v/>
      </c>
      <c r="F1083" s="28" t="str">
        <f>IF(履歴データ!$A$1083="","",(履歴データ!$R$1083-履歴データ!$D$1083)*100)</f>
        <v/>
      </c>
      <c r="G1083" s="28" t="str">
        <f>IF(履歴データ!$A$1083="","",(履歴データ!$S$1083-履歴データ!$R$1083)*100)</f>
        <v/>
      </c>
      <c r="H1083" s="29" t="str">
        <f>IF(履歴データ!$A$1083="","",履歴データ!$O$1083)</f>
        <v/>
      </c>
      <c r="I1083" s="29" t="str">
        <f>IF(履歴データ!$A$1083="","",履歴データ!$Q$1083)</f>
        <v/>
      </c>
      <c r="J1083" s="29" t="str">
        <f>IF(履歴データ!$A$1083="","",履歴データ!$D$1083)</f>
        <v/>
      </c>
      <c r="K1083" s="28" t="str">
        <f>IF(OR(履歴データ!$A$1083="",履歴データ!$A$1082=""),"",B1083-B1082)</f>
        <v/>
      </c>
      <c r="L1083" s="28" t="str">
        <f>IF(OR(履歴データ!$A$1083="",履歴データ!$A$1082=""),"",C1083-C1082)</f>
        <v/>
      </c>
      <c r="M1083" s="28" t="str">
        <f>IF(OR(履歴データ!$A$1083="",履歴データ!$A$1082=""),"",D1083-D1082)</f>
        <v/>
      </c>
      <c r="N1083" s="28" t="str">
        <f>IF(OR(履歴データ!$A$1083="",履歴データ!$A$1082=""),"",E1083-E1082)</f>
        <v/>
      </c>
      <c r="O1083" s="28" t="str">
        <f>IF(OR(履歴データ!$A$1083="",履歴データ!$A$1082=""),"",F1083-F1082)</f>
        <v/>
      </c>
      <c r="P1083" s="28" t="str">
        <f>IF(OR(履歴データ!$A$1083="",履歴データ!$A$1082=""),"",G1083-G1082)</f>
        <v/>
      </c>
      <c r="Q1083" s="29" t="str">
        <f>IF(OR(履歴データ!$A$1083="",履歴データ!$A$1082=""),"",H1083-H1082)</f>
        <v/>
      </c>
      <c r="R1083" s="29" t="str">
        <f>IF(OR(履歴データ!$A$1083="",履歴データ!$A$1082=""),"",I1083-I1082)</f>
        <v/>
      </c>
      <c r="S1083" s="28" t="str">
        <f>IF(OR(履歴データ!$A$1083="",履歴データ!$A$1082=""),"",(J1083-J1082)*100)</f>
        <v/>
      </c>
      <c r="T1083" s="11" t="str">
        <f>IF(OR(履歴データ!$A$1083="",履歴データ!$A$1082=""),"",-80000*K1083)</f>
        <v/>
      </c>
      <c r="U1083" s="11" t="str">
        <f>IF(OR(履歴データ!$A$1083="",履歴データ!$A$1082=""),"",60000*L1083)</f>
        <v/>
      </c>
      <c r="V1083" s="11" t="str">
        <f>IF(OR(履歴データ!$A$1083="",履歴データ!$A$1082=""),"",-50000*M1083)</f>
        <v/>
      </c>
      <c r="W1083" s="11" t="str">
        <f>IF(OR(履歴データ!$A$1083="",履歴データ!$A$1082=""),"",-40000*N1083)</f>
        <v/>
      </c>
      <c r="X1083" s="11" t="str">
        <f>IF(OR(履歴データ!$A$1083="",履歴データ!$A$1082=""),"",120*1000000*(-Q1083/H1082))</f>
        <v/>
      </c>
      <c r="Y1083" s="11" t="str">
        <f>IF(OR(履歴データ!$A$1083="",履歴データ!$A$1082=""),"",40000*(-S1083)+(-506.3)*R1083*1000)</f>
        <v/>
      </c>
      <c r="Z1083" s="11" t="str">
        <f>IF(OR(履歴データ!$A$1083="",履歴データ!$A$1082=""),"",-40000*O1083)</f>
        <v/>
      </c>
      <c r="AA1083" s="11" t="str">
        <f>IF(OR(履歴データ!$A$1083="",履歴データ!$A$1082=""),"",-40000*P1083)</f>
        <v/>
      </c>
      <c r="AB1083" s="11" t="str">
        <f>IF(履歴データ!$A$1083="","",123.3)</f>
        <v/>
      </c>
      <c r="AC1083" t="str">
        <f>IF(履歴データ!$A$1083="","",SUM(T1083:AA1083))</f>
        <v/>
      </c>
      <c r="AD1083" s="29" t="str">
        <f>IF(履歴データ!$A$1083="","",AC1083/1000000)</f>
        <v/>
      </c>
      <c r="AE1083" s="29">
        <f>IF(履歴データ!$A$1083="",AE1082,AE1082+AC1083/1000000)</f>
        <v>70.844544225831427</v>
      </c>
      <c r="AF1083" s="12" t="str">
        <f>IF(OR(履歴データ!$A$1083="",AE1082=0),"",(AE1083-AE1082)/AE1082)</f>
        <v/>
      </c>
      <c r="AG1083" s="29">
        <f t="shared" si="46"/>
        <v>102.17217746631495</v>
      </c>
      <c r="AH1083" s="12" t="str">
        <f>IF(OR(履歴データ!$A$1083="",AG1083=0),"",AE1083/AG1083-1)</f>
        <v/>
      </c>
    </row>
    <row r="1084" spans="1:34">
      <c r="A1084" s="10" t="str">
        <f>IF(履歴データ!$A$1084="","",履歴データ!$A$1084)</f>
        <v/>
      </c>
      <c r="B1084" s="28" t="str">
        <f>IF(履歴データ!$A$1084="","",(履歴データ!$D$1084-(履歴データ!$B$1084+履歴データ!$F$1084)/2)*100)</f>
        <v/>
      </c>
      <c r="C1084" s="28" t="str">
        <f>IF(履歴データ!$A$1084="","",(履歴データ!$H$1084-(履歴データ!$G$1084+履歴データ!$J$1084)/2)*100)</f>
        <v/>
      </c>
      <c r="D1084" s="28" t="str">
        <f>IF(履歴データ!$A$1084="","",(履歴データ!$D$1084-履歴データ!$H$1084)*100)</f>
        <v/>
      </c>
      <c r="E1084" s="28" t="str">
        <f>IF(履歴データ!$A$1084="","",(履歴データ!$D$1084-履歴データ!$C$1084)*100)</f>
        <v/>
      </c>
      <c r="F1084" s="28" t="str">
        <f>IF(履歴データ!$A$1084="","",(履歴データ!$R$1084-履歴データ!$D$1084)*100)</f>
        <v/>
      </c>
      <c r="G1084" s="28" t="str">
        <f>IF(履歴データ!$A$1084="","",(履歴データ!$S$1084-履歴データ!$R$1084)*100)</f>
        <v/>
      </c>
      <c r="H1084" s="29" t="str">
        <f>IF(履歴データ!$A$1084="","",履歴データ!$O$1084)</f>
        <v/>
      </c>
      <c r="I1084" s="29" t="str">
        <f>IF(履歴データ!$A$1084="","",履歴データ!$Q$1084)</f>
        <v/>
      </c>
      <c r="J1084" s="29" t="str">
        <f>IF(履歴データ!$A$1084="","",履歴データ!$D$1084)</f>
        <v/>
      </c>
      <c r="K1084" s="28" t="str">
        <f>IF(OR(履歴データ!$A$1084="",履歴データ!$A$1083=""),"",B1084-B1083)</f>
        <v/>
      </c>
      <c r="L1084" s="28" t="str">
        <f>IF(OR(履歴データ!$A$1084="",履歴データ!$A$1083=""),"",C1084-C1083)</f>
        <v/>
      </c>
      <c r="M1084" s="28" t="str">
        <f>IF(OR(履歴データ!$A$1084="",履歴データ!$A$1083=""),"",D1084-D1083)</f>
        <v/>
      </c>
      <c r="N1084" s="28" t="str">
        <f>IF(OR(履歴データ!$A$1084="",履歴データ!$A$1083=""),"",E1084-E1083)</f>
        <v/>
      </c>
      <c r="O1084" s="28" t="str">
        <f>IF(OR(履歴データ!$A$1084="",履歴データ!$A$1083=""),"",F1084-F1083)</f>
        <v/>
      </c>
      <c r="P1084" s="28" t="str">
        <f>IF(OR(履歴データ!$A$1084="",履歴データ!$A$1083=""),"",G1084-G1083)</f>
        <v/>
      </c>
      <c r="Q1084" s="29" t="str">
        <f>IF(OR(履歴データ!$A$1084="",履歴データ!$A$1083=""),"",H1084-H1083)</f>
        <v/>
      </c>
      <c r="R1084" s="29" t="str">
        <f>IF(OR(履歴データ!$A$1084="",履歴データ!$A$1083=""),"",I1084-I1083)</f>
        <v/>
      </c>
      <c r="S1084" s="28" t="str">
        <f>IF(OR(履歴データ!$A$1084="",履歴データ!$A$1083=""),"",(J1084-J1083)*100)</f>
        <v/>
      </c>
      <c r="T1084" s="11" t="str">
        <f>IF(OR(履歴データ!$A$1084="",履歴データ!$A$1083=""),"",-80000*K1084)</f>
        <v/>
      </c>
      <c r="U1084" s="11" t="str">
        <f>IF(OR(履歴データ!$A$1084="",履歴データ!$A$1083=""),"",60000*L1084)</f>
        <v/>
      </c>
      <c r="V1084" s="11" t="str">
        <f>IF(OR(履歴データ!$A$1084="",履歴データ!$A$1083=""),"",-50000*M1084)</f>
        <v/>
      </c>
      <c r="W1084" s="11" t="str">
        <f>IF(OR(履歴データ!$A$1084="",履歴データ!$A$1083=""),"",-40000*N1084)</f>
        <v/>
      </c>
      <c r="X1084" s="11" t="str">
        <f>IF(OR(履歴データ!$A$1084="",履歴データ!$A$1083=""),"",120*1000000*(-Q1084/H1083))</f>
        <v/>
      </c>
      <c r="Y1084" s="11" t="str">
        <f>IF(OR(履歴データ!$A$1084="",履歴データ!$A$1083=""),"",40000*(-S1084)+(-506.3)*R1084*1000)</f>
        <v/>
      </c>
      <c r="Z1084" s="11" t="str">
        <f>IF(OR(履歴データ!$A$1084="",履歴データ!$A$1083=""),"",-40000*O1084)</f>
        <v/>
      </c>
      <c r="AA1084" s="11" t="str">
        <f>IF(OR(履歴データ!$A$1084="",履歴データ!$A$1083=""),"",-40000*P1084)</f>
        <v/>
      </c>
      <c r="AB1084" s="11" t="str">
        <f>IF(履歴データ!$A$1084="","",123.3)</f>
        <v/>
      </c>
      <c r="AC1084" t="str">
        <f>IF(履歴データ!$A$1084="","",SUM(T1084:AA1084))</f>
        <v/>
      </c>
      <c r="AD1084" s="29" t="str">
        <f>IF(履歴データ!$A$1084="","",AC1084/1000000)</f>
        <v/>
      </c>
      <c r="AE1084" s="29">
        <f>IF(履歴データ!$A$1084="",AE1083,AE1083+AC1084/1000000)</f>
        <v>70.844544225831427</v>
      </c>
      <c r="AF1084" s="12" t="str">
        <f>IF(OR(履歴データ!$A$1084="",AE1083=0),"",(AE1084-AE1083)/AE1083)</f>
        <v/>
      </c>
      <c r="AG1084" s="29">
        <f t="shared" si="46"/>
        <v>102.17217746631495</v>
      </c>
      <c r="AH1084" s="12" t="str">
        <f>IF(OR(履歴データ!$A$1084="",AG1084=0),"",AE1084/AG1084-1)</f>
        <v/>
      </c>
    </row>
    <row r="1085" spans="1:34">
      <c r="A1085" s="10" t="str">
        <f>IF(履歴データ!$A$1085="","",履歴データ!$A$1085)</f>
        <v/>
      </c>
      <c r="B1085" s="28" t="str">
        <f>IF(履歴データ!$A$1085="","",(履歴データ!$D$1085-(履歴データ!$B$1085+履歴データ!$F$1085)/2)*100)</f>
        <v/>
      </c>
      <c r="C1085" s="28" t="str">
        <f>IF(履歴データ!$A$1085="","",(履歴データ!$H$1085-(履歴データ!$G$1085+履歴データ!$J$1085)/2)*100)</f>
        <v/>
      </c>
      <c r="D1085" s="28" t="str">
        <f>IF(履歴データ!$A$1085="","",(履歴データ!$D$1085-履歴データ!$H$1085)*100)</f>
        <v/>
      </c>
      <c r="E1085" s="28" t="str">
        <f>IF(履歴データ!$A$1085="","",(履歴データ!$D$1085-履歴データ!$C$1085)*100)</f>
        <v/>
      </c>
      <c r="F1085" s="28" t="str">
        <f>IF(履歴データ!$A$1085="","",(履歴データ!$R$1085-履歴データ!$D$1085)*100)</f>
        <v/>
      </c>
      <c r="G1085" s="28" t="str">
        <f>IF(履歴データ!$A$1085="","",(履歴データ!$S$1085-履歴データ!$R$1085)*100)</f>
        <v/>
      </c>
      <c r="H1085" s="29" t="str">
        <f>IF(履歴データ!$A$1085="","",履歴データ!$O$1085)</f>
        <v/>
      </c>
      <c r="I1085" s="29" t="str">
        <f>IF(履歴データ!$A$1085="","",履歴データ!$Q$1085)</f>
        <v/>
      </c>
      <c r="J1085" s="29" t="str">
        <f>IF(履歴データ!$A$1085="","",履歴データ!$D$1085)</f>
        <v/>
      </c>
      <c r="K1085" s="28" t="str">
        <f>IF(OR(履歴データ!$A$1085="",履歴データ!$A$1084=""),"",B1085-B1084)</f>
        <v/>
      </c>
      <c r="L1085" s="28" t="str">
        <f>IF(OR(履歴データ!$A$1085="",履歴データ!$A$1084=""),"",C1085-C1084)</f>
        <v/>
      </c>
      <c r="M1085" s="28" t="str">
        <f>IF(OR(履歴データ!$A$1085="",履歴データ!$A$1084=""),"",D1085-D1084)</f>
        <v/>
      </c>
      <c r="N1085" s="28" t="str">
        <f>IF(OR(履歴データ!$A$1085="",履歴データ!$A$1084=""),"",E1085-E1084)</f>
        <v/>
      </c>
      <c r="O1085" s="28" t="str">
        <f>IF(OR(履歴データ!$A$1085="",履歴データ!$A$1084=""),"",F1085-F1084)</f>
        <v/>
      </c>
      <c r="P1085" s="28" t="str">
        <f>IF(OR(履歴データ!$A$1085="",履歴データ!$A$1084=""),"",G1085-G1084)</f>
        <v/>
      </c>
      <c r="Q1085" s="29" t="str">
        <f>IF(OR(履歴データ!$A$1085="",履歴データ!$A$1084=""),"",H1085-H1084)</f>
        <v/>
      </c>
      <c r="R1085" s="29" t="str">
        <f>IF(OR(履歴データ!$A$1085="",履歴データ!$A$1084=""),"",I1085-I1084)</f>
        <v/>
      </c>
      <c r="S1085" s="28" t="str">
        <f>IF(OR(履歴データ!$A$1085="",履歴データ!$A$1084=""),"",(J1085-J1084)*100)</f>
        <v/>
      </c>
      <c r="T1085" s="11" t="str">
        <f>IF(OR(履歴データ!$A$1085="",履歴データ!$A$1084=""),"",-80000*K1085)</f>
        <v/>
      </c>
      <c r="U1085" s="11" t="str">
        <f>IF(OR(履歴データ!$A$1085="",履歴データ!$A$1084=""),"",60000*L1085)</f>
        <v/>
      </c>
      <c r="V1085" s="11" t="str">
        <f>IF(OR(履歴データ!$A$1085="",履歴データ!$A$1084=""),"",-50000*M1085)</f>
        <v/>
      </c>
      <c r="W1085" s="11" t="str">
        <f>IF(OR(履歴データ!$A$1085="",履歴データ!$A$1084=""),"",-40000*N1085)</f>
        <v/>
      </c>
      <c r="X1085" s="11" t="str">
        <f>IF(OR(履歴データ!$A$1085="",履歴データ!$A$1084=""),"",120*1000000*(-Q1085/H1084))</f>
        <v/>
      </c>
      <c r="Y1085" s="11" t="str">
        <f>IF(OR(履歴データ!$A$1085="",履歴データ!$A$1084=""),"",40000*(-S1085)+(-506.3)*R1085*1000)</f>
        <v/>
      </c>
      <c r="Z1085" s="11" t="str">
        <f>IF(OR(履歴データ!$A$1085="",履歴データ!$A$1084=""),"",-40000*O1085)</f>
        <v/>
      </c>
      <c r="AA1085" s="11" t="str">
        <f>IF(OR(履歴データ!$A$1085="",履歴データ!$A$1084=""),"",-40000*P1085)</f>
        <v/>
      </c>
      <c r="AB1085" s="11" t="str">
        <f>IF(履歴データ!$A$1085="","",123.3)</f>
        <v/>
      </c>
      <c r="AC1085" t="str">
        <f>IF(履歴データ!$A$1085="","",SUM(T1085:AA1085))</f>
        <v/>
      </c>
      <c r="AD1085" s="29" t="str">
        <f>IF(履歴データ!$A$1085="","",AC1085/1000000)</f>
        <v/>
      </c>
      <c r="AE1085" s="29">
        <f>IF(履歴データ!$A$1085="",AE1084,AE1084+AC1085/1000000)</f>
        <v>70.844544225831427</v>
      </c>
      <c r="AF1085" s="12" t="str">
        <f>IF(OR(履歴データ!$A$1085="",AE1084=0),"",(AE1085-AE1084)/AE1084)</f>
        <v/>
      </c>
      <c r="AG1085" s="29">
        <f t="shared" si="46"/>
        <v>102.17217746631495</v>
      </c>
      <c r="AH1085" s="12" t="str">
        <f>IF(OR(履歴データ!$A$1085="",AG1085=0),"",AE1085/AG1085-1)</f>
        <v/>
      </c>
    </row>
    <row r="1086" spans="1:34">
      <c r="A1086" s="10" t="str">
        <f>IF(履歴データ!$A$1086="","",履歴データ!$A$1086)</f>
        <v/>
      </c>
      <c r="B1086" s="28" t="str">
        <f>IF(履歴データ!$A$1086="","",(履歴データ!$D$1086-(履歴データ!$B$1086+履歴データ!$F$1086)/2)*100)</f>
        <v/>
      </c>
      <c r="C1086" s="28" t="str">
        <f>IF(履歴データ!$A$1086="","",(履歴データ!$H$1086-(履歴データ!$G$1086+履歴データ!$J$1086)/2)*100)</f>
        <v/>
      </c>
      <c r="D1086" s="28" t="str">
        <f>IF(履歴データ!$A$1086="","",(履歴データ!$D$1086-履歴データ!$H$1086)*100)</f>
        <v/>
      </c>
      <c r="E1086" s="28" t="str">
        <f>IF(履歴データ!$A$1086="","",(履歴データ!$D$1086-履歴データ!$C$1086)*100)</f>
        <v/>
      </c>
      <c r="F1086" s="28" t="str">
        <f>IF(履歴データ!$A$1086="","",(履歴データ!$R$1086-履歴データ!$D$1086)*100)</f>
        <v/>
      </c>
      <c r="G1086" s="28" t="str">
        <f>IF(履歴データ!$A$1086="","",(履歴データ!$S$1086-履歴データ!$R$1086)*100)</f>
        <v/>
      </c>
      <c r="H1086" s="29" t="str">
        <f>IF(履歴データ!$A$1086="","",履歴データ!$O$1086)</f>
        <v/>
      </c>
      <c r="I1086" s="29" t="str">
        <f>IF(履歴データ!$A$1086="","",履歴データ!$Q$1086)</f>
        <v/>
      </c>
      <c r="J1086" s="29" t="str">
        <f>IF(履歴データ!$A$1086="","",履歴データ!$D$1086)</f>
        <v/>
      </c>
      <c r="K1086" s="28" t="str">
        <f>IF(OR(履歴データ!$A$1086="",履歴データ!$A$1085=""),"",B1086-B1085)</f>
        <v/>
      </c>
      <c r="L1086" s="28" t="str">
        <f>IF(OR(履歴データ!$A$1086="",履歴データ!$A$1085=""),"",C1086-C1085)</f>
        <v/>
      </c>
      <c r="M1086" s="28" t="str">
        <f>IF(OR(履歴データ!$A$1086="",履歴データ!$A$1085=""),"",D1086-D1085)</f>
        <v/>
      </c>
      <c r="N1086" s="28" t="str">
        <f>IF(OR(履歴データ!$A$1086="",履歴データ!$A$1085=""),"",E1086-E1085)</f>
        <v/>
      </c>
      <c r="O1086" s="28" t="str">
        <f>IF(OR(履歴データ!$A$1086="",履歴データ!$A$1085=""),"",F1086-F1085)</f>
        <v/>
      </c>
      <c r="P1086" s="28" t="str">
        <f>IF(OR(履歴データ!$A$1086="",履歴データ!$A$1085=""),"",G1086-G1085)</f>
        <v/>
      </c>
      <c r="Q1086" s="29" t="str">
        <f>IF(OR(履歴データ!$A$1086="",履歴データ!$A$1085=""),"",H1086-H1085)</f>
        <v/>
      </c>
      <c r="R1086" s="29" t="str">
        <f>IF(OR(履歴データ!$A$1086="",履歴データ!$A$1085=""),"",I1086-I1085)</f>
        <v/>
      </c>
      <c r="S1086" s="28" t="str">
        <f>IF(OR(履歴データ!$A$1086="",履歴データ!$A$1085=""),"",(J1086-J1085)*100)</f>
        <v/>
      </c>
      <c r="T1086" s="11" t="str">
        <f>IF(OR(履歴データ!$A$1086="",履歴データ!$A$1085=""),"",-80000*K1086)</f>
        <v/>
      </c>
      <c r="U1086" s="11" t="str">
        <f>IF(OR(履歴データ!$A$1086="",履歴データ!$A$1085=""),"",60000*L1086)</f>
        <v/>
      </c>
      <c r="V1086" s="11" t="str">
        <f>IF(OR(履歴データ!$A$1086="",履歴データ!$A$1085=""),"",-50000*M1086)</f>
        <v/>
      </c>
      <c r="W1086" s="11" t="str">
        <f>IF(OR(履歴データ!$A$1086="",履歴データ!$A$1085=""),"",-40000*N1086)</f>
        <v/>
      </c>
      <c r="X1086" s="11" t="str">
        <f>IF(OR(履歴データ!$A$1086="",履歴データ!$A$1085=""),"",120*1000000*(-Q1086/H1085))</f>
        <v/>
      </c>
      <c r="Y1086" s="11" t="str">
        <f>IF(OR(履歴データ!$A$1086="",履歴データ!$A$1085=""),"",40000*(-S1086)+(-506.3)*R1086*1000)</f>
        <v/>
      </c>
      <c r="Z1086" s="11" t="str">
        <f>IF(OR(履歴データ!$A$1086="",履歴データ!$A$1085=""),"",-40000*O1086)</f>
        <v/>
      </c>
      <c r="AA1086" s="11" t="str">
        <f>IF(OR(履歴データ!$A$1086="",履歴データ!$A$1085=""),"",-40000*P1086)</f>
        <v/>
      </c>
      <c r="AB1086" s="11" t="str">
        <f>IF(履歴データ!$A$1086="","",123.3)</f>
        <v/>
      </c>
      <c r="AC1086" t="str">
        <f>IF(履歴データ!$A$1086="","",SUM(T1086:AA1086))</f>
        <v/>
      </c>
      <c r="AD1086" s="29" t="str">
        <f>IF(履歴データ!$A$1086="","",AC1086/1000000)</f>
        <v/>
      </c>
      <c r="AE1086" s="29">
        <f>IF(履歴データ!$A$1086="",AE1085,AE1085+AC1086/1000000)</f>
        <v>70.844544225831427</v>
      </c>
      <c r="AF1086" s="12" t="str">
        <f>IF(OR(履歴データ!$A$1086="",AE1085=0),"",(AE1086-AE1085)/AE1085)</f>
        <v/>
      </c>
      <c r="AG1086" s="29">
        <f t="shared" si="46"/>
        <v>102.17217746631495</v>
      </c>
      <c r="AH1086" s="12" t="str">
        <f>IF(OR(履歴データ!$A$1086="",AG1086=0),"",AE1086/AG1086-1)</f>
        <v/>
      </c>
    </row>
    <row r="1087" spans="1:34">
      <c r="A1087" s="10" t="str">
        <f>IF(履歴データ!$A$1087="","",履歴データ!$A$1087)</f>
        <v/>
      </c>
      <c r="B1087" s="28" t="str">
        <f>IF(履歴データ!$A$1087="","",(履歴データ!$D$1087-(履歴データ!$B$1087+履歴データ!$F$1087)/2)*100)</f>
        <v/>
      </c>
      <c r="C1087" s="28" t="str">
        <f>IF(履歴データ!$A$1087="","",(履歴データ!$H$1087-(履歴データ!$G$1087+履歴データ!$J$1087)/2)*100)</f>
        <v/>
      </c>
      <c r="D1087" s="28" t="str">
        <f>IF(履歴データ!$A$1087="","",(履歴データ!$D$1087-履歴データ!$H$1087)*100)</f>
        <v/>
      </c>
      <c r="E1087" s="28" t="str">
        <f>IF(履歴データ!$A$1087="","",(履歴データ!$D$1087-履歴データ!$C$1087)*100)</f>
        <v/>
      </c>
      <c r="F1087" s="28" t="str">
        <f>IF(履歴データ!$A$1087="","",(履歴データ!$R$1087-履歴データ!$D$1087)*100)</f>
        <v/>
      </c>
      <c r="G1087" s="28" t="str">
        <f>IF(履歴データ!$A$1087="","",(履歴データ!$S$1087-履歴データ!$R$1087)*100)</f>
        <v/>
      </c>
      <c r="H1087" s="29" t="str">
        <f>IF(履歴データ!$A$1087="","",履歴データ!$O$1087)</f>
        <v/>
      </c>
      <c r="I1087" s="29" t="str">
        <f>IF(履歴データ!$A$1087="","",履歴データ!$Q$1087)</f>
        <v/>
      </c>
      <c r="J1087" s="29" t="str">
        <f>IF(履歴データ!$A$1087="","",履歴データ!$D$1087)</f>
        <v/>
      </c>
      <c r="K1087" s="28" t="str">
        <f>IF(OR(履歴データ!$A$1087="",履歴データ!$A$1086=""),"",B1087-B1086)</f>
        <v/>
      </c>
      <c r="L1087" s="28" t="str">
        <f>IF(OR(履歴データ!$A$1087="",履歴データ!$A$1086=""),"",C1087-C1086)</f>
        <v/>
      </c>
      <c r="M1087" s="28" t="str">
        <f>IF(OR(履歴データ!$A$1087="",履歴データ!$A$1086=""),"",D1087-D1086)</f>
        <v/>
      </c>
      <c r="N1087" s="28" t="str">
        <f>IF(OR(履歴データ!$A$1087="",履歴データ!$A$1086=""),"",E1087-E1086)</f>
        <v/>
      </c>
      <c r="O1087" s="28" t="str">
        <f>IF(OR(履歴データ!$A$1087="",履歴データ!$A$1086=""),"",F1087-F1086)</f>
        <v/>
      </c>
      <c r="P1087" s="28" t="str">
        <f>IF(OR(履歴データ!$A$1087="",履歴データ!$A$1086=""),"",G1087-G1086)</f>
        <v/>
      </c>
      <c r="Q1087" s="29" t="str">
        <f>IF(OR(履歴データ!$A$1087="",履歴データ!$A$1086=""),"",H1087-H1086)</f>
        <v/>
      </c>
      <c r="R1087" s="29" t="str">
        <f>IF(OR(履歴データ!$A$1087="",履歴データ!$A$1086=""),"",I1087-I1086)</f>
        <v/>
      </c>
      <c r="S1087" s="28" t="str">
        <f>IF(OR(履歴データ!$A$1087="",履歴データ!$A$1086=""),"",(J1087-J1086)*100)</f>
        <v/>
      </c>
      <c r="T1087" s="11" t="str">
        <f>IF(OR(履歴データ!$A$1087="",履歴データ!$A$1086=""),"",-80000*K1087)</f>
        <v/>
      </c>
      <c r="U1087" s="11" t="str">
        <f>IF(OR(履歴データ!$A$1087="",履歴データ!$A$1086=""),"",60000*L1087)</f>
        <v/>
      </c>
      <c r="V1087" s="11" t="str">
        <f>IF(OR(履歴データ!$A$1087="",履歴データ!$A$1086=""),"",-50000*M1087)</f>
        <v/>
      </c>
      <c r="W1087" s="11" t="str">
        <f>IF(OR(履歴データ!$A$1087="",履歴データ!$A$1086=""),"",-40000*N1087)</f>
        <v/>
      </c>
      <c r="X1087" s="11" t="str">
        <f>IF(OR(履歴データ!$A$1087="",履歴データ!$A$1086=""),"",120*1000000*(-Q1087/H1086))</f>
        <v/>
      </c>
      <c r="Y1087" s="11" t="str">
        <f>IF(OR(履歴データ!$A$1087="",履歴データ!$A$1086=""),"",40000*(-S1087)+(-506.3)*R1087*1000)</f>
        <v/>
      </c>
      <c r="Z1087" s="11" t="str">
        <f>IF(OR(履歴データ!$A$1087="",履歴データ!$A$1086=""),"",-40000*O1087)</f>
        <v/>
      </c>
      <c r="AA1087" s="11" t="str">
        <f>IF(OR(履歴データ!$A$1087="",履歴データ!$A$1086=""),"",-40000*P1087)</f>
        <v/>
      </c>
      <c r="AB1087" s="11" t="str">
        <f>IF(履歴データ!$A$1087="","",123.3)</f>
        <v/>
      </c>
      <c r="AC1087" t="str">
        <f>IF(履歴データ!$A$1087="","",SUM(T1087:AA1087))</f>
        <v/>
      </c>
      <c r="AD1087" s="29" t="str">
        <f>IF(履歴データ!$A$1087="","",AC1087/1000000)</f>
        <v/>
      </c>
      <c r="AE1087" s="29">
        <f>IF(履歴データ!$A$1087="",AE1086,AE1086+AC1087/1000000)</f>
        <v>70.844544225831427</v>
      </c>
      <c r="AF1087" s="12" t="str">
        <f>IF(OR(履歴データ!$A$1087="",AE1086=0),"",(AE1087-AE1086)/AE1086)</f>
        <v/>
      </c>
      <c r="AG1087" s="29">
        <f t="shared" si="46"/>
        <v>102.17217746631495</v>
      </c>
      <c r="AH1087" s="12" t="str">
        <f>IF(OR(履歴データ!$A$1087="",AG1087=0),"",AE1087/AG1087-1)</f>
        <v/>
      </c>
    </row>
    <row r="1088" spans="1:34">
      <c r="A1088" s="10" t="str">
        <f>IF(履歴データ!$A$1088="","",履歴データ!$A$1088)</f>
        <v/>
      </c>
      <c r="B1088" s="28" t="str">
        <f>IF(履歴データ!$A$1088="","",(履歴データ!$D$1088-(履歴データ!$B$1088+履歴データ!$F$1088)/2)*100)</f>
        <v/>
      </c>
      <c r="C1088" s="28" t="str">
        <f>IF(履歴データ!$A$1088="","",(履歴データ!$H$1088-(履歴データ!$G$1088+履歴データ!$J$1088)/2)*100)</f>
        <v/>
      </c>
      <c r="D1088" s="28" t="str">
        <f>IF(履歴データ!$A$1088="","",(履歴データ!$D$1088-履歴データ!$H$1088)*100)</f>
        <v/>
      </c>
      <c r="E1088" s="28" t="str">
        <f>IF(履歴データ!$A$1088="","",(履歴データ!$D$1088-履歴データ!$C$1088)*100)</f>
        <v/>
      </c>
      <c r="F1088" s="28" t="str">
        <f>IF(履歴データ!$A$1088="","",(履歴データ!$R$1088-履歴データ!$D$1088)*100)</f>
        <v/>
      </c>
      <c r="G1088" s="28" t="str">
        <f>IF(履歴データ!$A$1088="","",(履歴データ!$S$1088-履歴データ!$R$1088)*100)</f>
        <v/>
      </c>
      <c r="H1088" s="29" t="str">
        <f>IF(履歴データ!$A$1088="","",履歴データ!$O$1088)</f>
        <v/>
      </c>
      <c r="I1088" s="29" t="str">
        <f>IF(履歴データ!$A$1088="","",履歴データ!$Q$1088)</f>
        <v/>
      </c>
      <c r="J1088" s="29" t="str">
        <f>IF(履歴データ!$A$1088="","",履歴データ!$D$1088)</f>
        <v/>
      </c>
      <c r="K1088" s="28" t="str">
        <f>IF(OR(履歴データ!$A$1088="",履歴データ!$A$1087=""),"",B1088-B1087)</f>
        <v/>
      </c>
      <c r="L1088" s="28" t="str">
        <f>IF(OR(履歴データ!$A$1088="",履歴データ!$A$1087=""),"",C1088-C1087)</f>
        <v/>
      </c>
      <c r="M1088" s="28" t="str">
        <f>IF(OR(履歴データ!$A$1088="",履歴データ!$A$1087=""),"",D1088-D1087)</f>
        <v/>
      </c>
      <c r="N1088" s="28" t="str">
        <f>IF(OR(履歴データ!$A$1088="",履歴データ!$A$1087=""),"",E1088-E1087)</f>
        <v/>
      </c>
      <c r="O1088" s="28" t="str">
        <f>IF(OR(履歴データ!$A$1088="",履歴データ!$A$1087=""),"",F1088-F1087)</f>
        <v/>
      </c>
      <c r="P1088" s="28" t="str">
        <f>IF(OR(履歴データ!$A$1088="",履歴データ!$A$1087=""),"",G1088-G1087)</f>
        <v/>
      </c>
      <c r="Q1088" s="29" t="str">
        <f>IF(OR(履歴データ!$A$1088="",履歴データ!$A$1087=""),"",H1088-H1087)</f>
        <v/>
      </c>
      <c r="R1088" s="29" t="str">
        <f>IF(OR(履歴データ!$A$1088="",履歴データ!$A$1087=""),"",I1088-I1087)</f>
        <v/>
      </c>
      <c r="S1088" s="28" t="str">
        <f>IF(OR(履歴データ!$A$1088="",履歴データ!$A$1087=""),"",(J1088-J1087)*100)</f>
        <v/>
      </c>
      <c r="T1088" s="11" t="str">
        <f>IF(OR(履歴データ!$A$1088="",履歴データ!$A$1087=""),"",-80000*K1088)</f>
        <v/>
      </c>
      <c r="U1088" s="11" t="str">
        <f>IF(OR(履歴データ!$A$1088="",履歴データ!$A$1087=""),"",60000*L1088)</f>
        <v/>
      </c>
      <c r="V1088" s="11" t="str">
        <f>IF(OR(履歴データ!$A$1088="",履歴データ!$A$1087=""),"",-50000*M1088)</f>
        <v/>
      </c>
      <c r="W1088" s="11" t="str">
        <f>IF(OR(履歴データ!$A$1088="",履歴データ!$A$1087=""),"",-40000*N1088)</f>
        <v/>
      </c>
      <c r="X1088" s="11" t="str">
        <f>IF(OR(履歴データ!$A$1088="",履歴データ!$A$1087=""),"",120*1000000*(-Q1088/H1087))</f>
        <v/>
      </c>
      <c r="Y1088" s="11" t="str">
        <f>IF(OR(履歴データ!$A$1088="",履歴データ!$A$1087=""),"",40000*(-S1088)+(-506.3)*R1088*1000)</f>
        <v/>
      </c>
      <c r="Z1088" s="11" t="str">
        <f>IF(OR(履歴データ!$A$1088="",履歴データ!$A$1087=""),"",-40000*O1088)</f>
        <v/>
      </c>
      <c r="AA1088" s="11" t="str">
        <f>IF(OR(履歴データ!$A$1088="",履歴データ!$A$1087=""),"",-40000*P1088)</f>
        <v/>
      </c>
      <c r="AB1088" s="11" t="str">
        <f>IF(履歴データ!$A$1088="","",123.3)</f>
        <v/>
      </c>
      <c r="AC1088" t="str">
        <f>IF(履歴データ!$A$1088="","",SUM(T1088:AA1088))</f>
        <v/>
      </c>
      <c r="AD1088" s="29" t="str">
        <f>IF(履歴データ!$A$1088="","",AC1088/1000000)</f>
        <v/>
      </c>
      <c r="AE1088" s="29">
        <f>IF(履歴データ!$A$1088="",AE1087,AE1087+AC1088/1000000)</f>
        <v>70.844544225831427</v>
      </c>
      <c r="AF1088" s="12" t="str">
        <f>IF(OR(履歴データ!$A$1088="",AE1087=0),"",(AE1088-AE1087)/AE1087)</f>
        <v/>
      </c>
      <c r="AG1088" s="29">
        <f t="shared" si="46"/>
        <v>102.17217746631495</v>
      </c>
      <c r="AH1088" s="12" t="str">
        <f>IF(OR(履歴データ!$A$1088="",AG1088=0),"",AE1088/AG1088-1)</f>
        <v/>
      </c>
    </row>
    <row r="1089" spans="1:34">
      <c r="A1089" s="10" t="str">
        <f>IF(履歴データ!$A$1089="","",履歴データ!$A$1089)</f>
        <v/>
      </c>
      <c r="B1089" s="28" t="str">
        <f>IF(履歴データ!$A$1089="","",(履歴データ!$D$1089-(履歴データ!$B$1089+履歴データ!$F$1089)/2)*100)</f>
        <v/>
      </c>
      <c r="C1089" s="28" t="str">
        <f>IF(履歴データ!$A$1089="","",(履歴データ!$H$1089-(履歴データ!$G$1089+履歴データ!$J$1089)/2)*100)</f>
        <v/>
      </c>
      <c r="D1089" s="28" t="str">
        <f>IF(履歴データ!$A$1089="","",(履歴データ!$D$1089-履歴データ!$H$1089)*100)</f>
        <v/>
      </c>
      <c r="E1089" s="28" t="str">
        <f>IF(履歴データ!$A$1089="","",(履歴データ!$D$1089-履歴データ!$C$1089)*100)</f>
        <v/>
      </c>
      <c r="F1089" s="28" t="str">
        <f>IF(履歴データ!$A$1089="","",(履歴データ!$R$1089-履歴データ!$D$1089)*100)</f>
        <v/>
      </c>
      <c r="G1089" s="28" t="str">
        <f>IF(履歴データ!$A$1089="","",(履歴データ!$S$1089-履歴データ!$R$1089)*100)</f>
        <v/>
      </c>
      <c r="H1089" s="29" t="str">
        <f>IF(履歴データ!$A$1089="","",履歴データ!$O$1089)</f>
        <v/>
      </c>
      <c r="I1089" s="29" t="str">
        <f>IF(履歴データ!$A$1089="","",履歴データ!$Q$1089)</f>
        <v/>
      </c>
      <c r="J1089" s="29" t="str">
        <f>IF(履歴データ!$A$1089="","",履歴データ!$D$1089)</f>
        <v/>
      </c>
      <c r="K1089" s="28" t="str">
        <f>IF(OR(履歴データ!$A$1089="",履歴データ!$A$1088=""),"",B1089-B1088)</f>
        <v/>
      </c>
      <c r="L1089" s="28" t="str">
        <f>IF(OR(履歴データ!$A$1089="",履歴データ!$A$1088=""),"",C1089-C1088)</f>
        <v/>
      </c>
      <c r="M1089" s="28" t="str">
        <f>IF(OR(履歴データ!$A$1089="",履歴データ!$A$1088=""),"",D1089-D1088)</f>
        <v/>
      </c>
      <c r="N1089" s="28" t="str">
        <f>IF(OR(履歴データ!$A$1089="",履歴データ!$A$1088=""),"",E1089-E1088)</f>
        <v/>
      </c>
      <c r="O1089" s="28" t="str">
        <f>IF(OR(履歴データ!$A$1089="",履歴データ!$A$1088=""),"",F1089-F1088)</f>
        <v/>
      </c>
      <c r="P1089" s="28" t="str">
        <f>IF(OR(履歴データ!$A$1089="",履歴データ!$A$1088=""),"",G1089-G1088)</f>
        <v/>
      </c>
      <c r="Q1089" s="29" t="str">
        <f>IF(OR(履歴データ!$A$1089="",履歴データ!$A$1088=""),"",H1089-H1088)</f>
        <v/>
      </c>
      <c r="R1089" s="29" t="str">
        <f>IF(OR(履歴データ!$A$1089="",履歴データ!$A$1088=""),"",I1089-I1088)</f>
        <v/>
      </c>
      <c r="S1089" s="28" t="str">
        <f>IF(OR(履歴データ!$A$1089="",履歴データ!$A$1088=""),"",(J1089-J1088)*100)</f>
        <v/>
      </c>
      <c r="T1089" s="11" t="str">
        <f>IF(OR(履歴データ!$A$1089="",履歴データ!$A$1088=""),"",-80000*K1089)</f>
        <v/>
      </c>
      <c r="U1089" s="11" t="str">
        <f>IF(OR(履歴データ!$A$1089="",履歴データ!$A$1088=""),"",60000*L1089)</f>
        <v/>
      </c>
      <c r="V1089" s="11" t="str">
        <f>IF(OR(履歴データ!$A$1089="",履歴データ!$A$1088=""),"",-50000*M1089)</f>
        <v/>
      </c>
      <c r="W1089" s="11" t="str">
        <f>IF(OR(履歴データ!$A$1089="",履歴データ!$A$1088=""),"",-40000*N1089)</f>
        <v/>
      </c>
      <c r="X1089" s="11" t="str">
        <f>IF(OR(履歴データ!$A$1089="",履歴データ!$A$1088=""),"",120*1000000*(-Q1089/H1088))</f>
        <v/>
      </c>
      <c r="Y1089" s="11" t="str">
        <f>IF(OR(履歴データ!$A$1089="",履歴データ!$A$1088=""),"",40000*(-S1089)+(-506.3)*R1089*1000)</f>
        <v/>
      </c>
      <c r="Z1089" s="11" t="str">
        <f>IF(OR(履歴データ!$A$1089="",履歴データ!$A$1088=""),"",-40000*O1089)</f>
        <v/>
      </c>
      <c r="AA1089" s="11" t="str">
        <f>IF(OR(履歴データ!$A$1089="",履歴データ!$A$1088=""),"",-40000*P1089)</f>
        <v/>
      </c>
      <c r="AB1089" s="11" t="str">
        <f>IF(履歴データ!$A$1089="","",123.3)</f>
        <v/>
      </c>
      <c r="AC1089" t="str">
        <f>IF(履歴データ!$A$1089="","",SUM(T1089:AA1089))</f>
        <v/>
      </c>
      <c r="AD1089" s="29" t="str">
        <f>IF(履歴データ!$A$1089="","",AC1089/1000000)</f>
        <v/>
      </c>
      <c r="AE1089" s="29">
        <f>IF(履歴データ!$A$1089="",AE1088,AE1088+AC1089/1000000)</f>
        <v>70.844544225831427</v>
      </c>
      <c r="AF1089" s="12" t="str">
        <f>IF(OR(履歴データ!$A$1089="",AE1088=0),"",(AE1089-AE1088)/AE1088)</f>
        <v/>
      </c>
      <c r="AG1089" s="29">
        <f t="shared" si="46"/>
        <v>102.17217746631495</v>
      </c>
      <c r="AH1089" s="12" t="str">
        <f>IF(OR(履歴データ!$A$1089="",AG1089=0),"",AE1089/AG1089-1)</f>
        <v/>
      </c>
    </row>
    <row r="1090" spans="1:34">
      <c r="A1090" s="10" t="str">
        <f>IF(履歴データ!$A$1090="","",履歴データ!$A$1090)</f>
        <v/>
      </c>
      <c r="B1090" s="28" t="str">
        <f>IF(履歴データ!$A$1090="","",(履歴データ!$D$1090-(履歴データ!$B$1090+履歴データ!$F$1090)/2)*100)</f>
        <v/>
      </c>
      <c r="C1090" s="28" t="str">
        <f>IF(履歴データ!$A$1090="","",(履歴データ!$H$1090-(履歴データ!$G$1090+履歴データ!$J$1090)/2)*100)</f>
        <v/>
      </c>
      <c r="D1090" s="28" t="str">
        <f>IF(履歴データ!$A$1090="","",(履歴データ!$D$1090-履歴データ!$H$1090)*100)</f>
        <v/>
      </c>
      <c r="E1090" s="28" t="str">
        <f>IF(履歴データ!$A$1090="","",(履歴データ!$D$1090-履歴データ!$C$1090)*100)</f>
        <v/>
      </c>
      <c r="F1090" s="28" t="str">
        <f>IF(履歴データ!$A$1090="","",(履歴データ!$R$1090-履歴データ!$D$1090)*100)</f>
        <v/>
      </c>
      <c r="G1090" s="28" t="str">
        <f>IF(履歴データ!$A$1090="","",(履歴データ!$S$1090-履歴データ!$R$1090)*100)</f>
        <v/>
      </c>
      <c r="H1090" s="29" t="str">
        <f>IF(履歴データ!$A$1090="","",履歴データ!$O$1090)</f>
        <v/>
      </c>
      <c r="I1090" s="29" t="str">
        <f>IF(履歴データ!$A$1090="","",履歴データ!$Q$1090)</f>
        <v/>
      </c>
      <c r="J1090" s="29" t="str">
        <f>IF(履歴データ!$A$1090="","",履歴データ!$D$1090)</f>
        <v/>
      </c>
      <c r="K1090" s="28" t="str">
        <f>IF(OR(履歴データ!$A$1090="",履歴データ!$A$1089=""),"",B1090-B1089)</f>
        <v/>
      </c>
      <c r="L1090" s="28" t="str">
        <f>IF(OR(履歴データ!$A$1090="",履歴データ!$A$1089=""),"",C1090-C1089)</f>
        <v/>
      </c>
      <c r="M1090" s="28" t="str">
        <f>IF(OR(履歴データ!$A$1090="",履歴データ!$A$1089=""),"",D1090-D1089)</f>
        <v/>
      </c>
      <c r="N1090" s="28" t="str">
        <f>IF(OR(履歴データ!$A$1090="",履歴データ!$A$1089=""),"",E1090-E1089)</f>
        <v/>
      </c>
      <c r="O1090" s="28" t="str">
        <f>IF(OR(履歴データ!$A$1090="",履歴データ!$A$1089=""),"",F1090-F1089)</f>
        <v/>
      </c>
      <c r="P1090" s="28" t="str">
        <f>IF(OR(履歴データ!$A$1090="",履歴データ!$A$1089=""),"",G1090-G1089)</f>
        <v/>
      </c>
      <c r="Q1090" s="29" t="str">
        <f>IF(OR(履歴データ!$A$1090="",履歴データ!$A$1089=""),"",H1090-H1089)</f>
        <v/>
      </c>
      <c r="R1090" s="29" t="str">
        <f>IF(OR(履歴データ!$A$1090="",履歴データ!$A$1089=""),"",I1090-I1089)</f>
        <v/>
      </c>
      <c r="S1090" s="28" t="str">
        <f>IF(OR(履歴データ!$A$1090="",履歴データ!$A$1089=""),"",(J1090-J1089)*100)</f>
        <v/>
      </c>
      <c r="T1090" s="11" t="str">
        <f>IF(OR(履歴データ!$A$1090="",履歴データ!$A$1089=""),"",-80000*K1090)</f>
        <v/>
      </c>
      <c r="U1090" s="11" t="str">
        <f>IF(OR(履歴データ!$A$1090="",履歴データ!$A$1089=""),"",60000*L1090)</f>
        <v/>
      </c>
      <c r="V1090" s="11" t="str">
        <f>IF(OR(履歴データ!$A$1090="",履歴データ!$A$1089=""),"",-50000*M1090)</f>
        <v/>
      </c>
      <c r="W1090" s="11" t="str">
        <f>IF(OR(履歴データ!$A$1090="",履歴データ!$A$1089=""),"",-40000*N1090)</f>
        <v/>
      </c>
      <c r="X1090" s="11" t="str">
        <f>IF(OR(履歴データ!$A$1090="",履歴データ!$A$1089=""),"",120*1000000*(-Q1090/H1089))</f>
        <v/>
      </c>
      <c r="Y1090" s="11" t="str">
        <f>IF(OR(履歴データ!$A$1090="",履歴データ!$A$1089=""),"",40000*(-S1090)+(-506.3)*R1090*1000)</f>
        <v/>
      </c>
      <c r="Z1090" s="11" t="str">
        <f>IF(OR(履歴データ!$A$1090="",履歴データ!$A$1089=""),"",-40000*O1090)</f>
        <v/>
      </c>
      <c r="AA1090" s="11" t="str">
        <f>IF(OR(履歴データ!$A$1090="",履歴データ!$A$1089=""),"",-40000*P1090)</f>
        <v/>
      </c>
      <c r="AB1090" s="11" t="str">
        <f>IF(履歴データ!$A$1090="","",123.3)</f>
        <v/>
      </c>
      <c r="AC1090" t="str">
        <f>IF(履歴データ!$A$1090="","",SUM(T1090:AA1090))</f>
        <v/>
      </c>
      <c r="AD1090" s="29" t="str">
        <f>IF(履歴データ!$A$1090="","",AC1090/1000000)</f>
        <v/>
      </c>
      <c r="AE1090" s="29">
        <f>IF(履歴データ!$A$1090="",AE1089,AE1089+AC1090/1000000)</f>
        <v>70.844544225831427</v>
      </c>
      <c r="AF1090" s="12" t="str">
        <f>IF(OR(履歴データ!$A$1090="",AE1089=0),"",(AE1090-AE1089)/AE1089)</f>
        <v/>
      </c>
      <c r="AG1090" s="29">
        <f t="shared" si="46"/>
        <v>102.17217746631495</v>
      </c>
      <c r="AH1090" s="12" t="str">
        <f>IF(OR(履歴データ!$A$1090="",AG1090=0),"",AE1090/AG1090-1)</f>
        <v/>
      </c>
    </row>
    <row r="1091" spans="1:34">
      <c r="A1091" s="10" t="str">
        <f>IF(履歴データ!$A$1091="","",履歴データ!$A$1091)</f>
        <v/>
      </c>
      <c r="B1091" s="28" t="str">
        <f>IF(履歴データ!$A$1091="","",(履歴データ!$D$1091-(履歴データ!$B$1091+履歴データ!$F$1091)/2)*100)</f>
        <v/>
      </c>
      <c r="C1091" s="28" t="str">
        <f>IF(履歴データ!$A$1091="","",(履歴データ!$H$1091-(履歴データ!$G$1091+履歴データ!$J$1091)/2)*100)</f>
        <v/>
      </c>
      <c r="D1091" s="28" t="str">
        <f>IF(履歴データ!$A$1091="","",(履歴データ!$D$1091-履歴データ!$H$1091)*100)</f>
        <v/>
      </c>
      <c r="E1091" s="28" t="str">
        <f>IF(履歴データ!$A$1091="","",(履歴データ!$D$1091-履歴データ!$C$1091)*100)</f>
        <v/>
      </c>
      <c r="F1091" s="28" t="str">
        <f>IF(履歴データ!$A$1091="","",(履歴データ!$R$1091-履歴データ!$D$1091)*100)</f>
        <v/>
      </c>
      <c r="G1091" s="28" t="str">
        <f>IF(履歴データ!$A$1091="","",(履歴データ!$S$1091-履歴データ!$R$1091)*100)</f>
        <v/>
      </c>
      <c r="H1091" s="29" t="str">
        <f>IF(履歴データ!$A$1091="","",履歴データ!$O$1091)</f>
        <v/>
      </c>
      <c r="I1091" s="29" t="str">
        <f>IF(履歴データ!$A$1091="","",履歴データ!$Q$1091)</f>
        <v/>
      </c>
      <c r="J1091" s="29" t="str">
        <f>IF(履歴データ!$A$1091="","",履歴データ!$D$1091)</f>
        <v/>
      </c>
      <c r="K1091" s="28" t="str">
        <f>IF(OR(履歴データ!$A$1091="",履歴データ!$A$1090=""),"",B1091-B1090)</f>
        <v/>
      </c>
      <c r="L1091" s="28" t="str">
        <f>IF(OR(履歴データ!$A$1091="",履歴データ!$A$1090=""),"",C1091-C1090)</f>
        <v/>
      </c>
      <c r="M1091" s="28" t="str">
        <f>IF(OR(履歴データ!$A$1091="",履歴データ!$A$1090=""),"",D1091-D1090)</f>
        <v/>
      </c>
      <c r="N1091" s="28" t="str">
        <f>IF(OR(履歴データ!$A$1091="",履歴データ!$A$1090=""),"",E1091-E1090)</f>
        <v/>
      </c>
      <c r="O1091" s="28" t="str">
        <f>IF(OR(履歴データ!$A$1091="",履歴データ!$A$1090=""),"",F1091-F1090)</f>
        <v/>
      </c>
      <c r="P1091" s="28" t="str">
        <f>IF(OR(履歴データ!$A$1091="",履歴データ!$A$1090=""),"",G1091-G1090)</f>
        <v/>
      </c>
      <c r="Q1091" s="29" t="str">
        <f>IF(OR(履歴データ!$A$1091="",履歴データ!$A$1090=""),"",H1091-H1090)</f>
        <v/>
      </c>
      <c r="R1091" s="29" t="str">
        <f>IF(OR(履歴データ!$A$1091="",履歴データ!$A$1090=""),"",I1091-I1090)</f>
        <v/>
      </c>
      <c r="S1091" s="28" t="str">
        <f>IF(OR(履歴データ!$A$1091="",履歴データ!$A$1090=""),"",(J1091-J1090)*100)</f>
        <v/>
      </c>
      <c r="T1091" s="11" t="str">
        <f>IF(OR(履歴データ!$A$1091="",履歴データ!$A$1090=""),"",-80000*K1091)</f>
        <v/>
      </c>
      <c r="U1091" s="11" t="str">
        <f>IF(OR(履歴データ!$A$1091="",履歴データ!$A$1090=""),"",60000*L1091)</f>
        <v/>
      </c>
      <c r="V1091" s="11" t="str">
        <f>IF(OR(履歴データ!$A$1091="",履歴データ!$A$1090=""),"",-50000*M1091)</f>
        <v/>
      </c>
      <c r="W1091" s="11" t="str">
        <f>IF(OR(履歴データ!$A$1091="",履歴データ!$A$1090=""),"",-40000*N1091)</f>
        <v/>
      </c>
      <c r="X1091" s="11" t="str">
        <f>IF(OR(履歴データ!$A$1091="",履歴データ!$A$1090=""),"",120*1000000*(-Q1091/H1090))</f>
        <v/>
      </c>
      <c r="Y1091" s="11" t="str">
        <f>IF(OR(履歴データ!$A$1091="",履歴データ!$A$1090=""),"",40000*(-S1091)+(-506.3)*R1091*1000)</f>
        <v/>
      </c>
      <c r="Z1091" s="11" t="str">
        <f>IF(OR(履歴データ!$A$1091="",履歴データ!$A$1090=""),"",-40000*O1091)</f>
        <v/>
      </c>
      <c r="AA1091" s="11" t="str">
        <f>IF(OR(履歴データ!$A$1091="",履歴データ!$A$1090=""),"",-40000*P1091)</f>
        <v/>
      </c>
      <c r="AB1091" s="11" t="str">
        <f>IF(履歴データ!$A$1091="","",123.3)</f>
        <v/>
      </c>
      <c r="AC1091" t="str">
        <f>IF(履歴データ!$A$1091="","",SUM(T1091:AA1091))</f>
        <v/>
      </c>
      <c r="AD1091" s="29" t="str">
        <f>IF(履歴データ!$A$1091="","",AC1091/1000000)</f>
        <v/>
      </c>
      <c r="AE1091" s="29">
        <f>IF(履歴データ!$A$1091="",AE1090,AE1090+AC1091/1000000)</f>
        <v>70.844544225831427</v>
      </c>
      <c r="AF1091" s="12" t="str">
        <f>IF(OR(履歴データ!$A$1091="",AE1090=0),"",(AE1091-AE1090)/AE1090)</f>
        <v/>
      </c>
      <c r="AG1091" s="29">
        <f t="shared" ref="AG1091:AG1154" si="47">MAX(AG1090,AE1091)</f>
        <v>102.17217746631495</v>
      </c>
      <c r="AH1091" s="12" t="str">
        <f>IF(OR(履歴データ!$A$1091="",AG1091=0),"",AE1091/AG1091-1)</f>
        <v/>
      </c>
    </row>
    <row r="1092" spans="1:34">
      <c r="A1092" s="10" t="str">
        <f>IF(履歴データ!$A$1092="","",履歴データ!$A$1092)</f>
        <v/>
      </c>
      <c r="B1092" s="28" t="str">
        <f>IF(履歴データ!$A$1092="","",(履歴データ!$D$1092-(履歴データ!$B$1092+履歴データ!$F$1092)/2)*100)</f>
        <v/>
      </c>
      <c r="C1092" s="28" t="str">
        <f>IF(履歴データ!$A$1092="","",(履歴データ!$H$1092-(履歴データ!$G$1092+履歴データ!$J$1092)/2)*100)</f>
        <v/>
      </c>
      <c r="D1092" s="28" t="str">
        <f>IF(履歴データ!$A$1092="","",(履歴データ!$D$1092-履歴データ!$H$1092)*100)</f>
        <v/>
      </c>
      <c r="E1092" s="28" t="str">
        <f>IF(履歴データ!$A$1092="","",(履歴データ!$D$1092-履歴データ!$C$1092)*100)</f>
        <v/>
      </c>
      <c r="F1092" s="28" t="str">
        <f>IF(履歴データ!$A$1092="","",(履歴データ!$R$1092-履歴データ!$D$1092)*100)</f>
        <v/>
      </c>
      <c r="G1092" s="28" t="str">
        <f>IF(履歴データ!$A$1092="","",(履歴データ!$S$1092-履歴データ!$R$1092)*100)</f>
        <v/>
      </c>
      <c r="H1092" s="29" t="str">
        <f>IF(履歴データ!$A$1092="","",履歴データ!$O$1092)</f>
        <v/>
      </c>
      <c r="I1092" s="29" t="str">
        <f>IF(履歴データ!$A$1092="","",履歴データ!$Q$1092)</f>
        <v/>
      </c>
      <c r="J1092" s="29" t="str">
        <f>IF(履歴データ!$A$1092="","",履歴データ!$D$1092)</f>
        <v/>
      </c>
      <c r="K1092" s="28" t="str">
        <f>IF(OR(履歴データ!$A$1092="",履歴データ!$A$1091=""),"",B1092-B1091)</f>
        <v/>
      </c>
      <c r="L1092" s="28" t="str">
        <f>IF(OR(履歴データ!$A$1092="",履歴データ!$A$1091=""),"",C1092-C1091)</f>
        <v/>
      </c>
      <c r="M1092" s="28" t="str">
        <f>IF(OR(履歴データ!$A$1092="",履歴データ!$A$1091=""),"",D1092-D1091)</f>
        <v/>
      </c>
      <c r="N1092" s="28" t="str">
        <f>IF(OR(履歴データ!$A$1092="",履歴データ!$A$1091=""),"",E1092-E1091)</f>
        <v/>
      </c>
      <c r="O1092" s="28" t="str">
        <f>IF(OR(履歴データ!$A$1092="",履歴データ!$A$1091=""),"",F1092-F1091)</f>
        <v/>
      </c>
      <c r="P1092" s="28" t="str">
        <f>IF(OR(履歴データ!$A$1092="",履歴データ!$A$1091=""),"",G1092-G1091)</f>
        <v/>
      </c>
      <c r="Q1092" s="29" t="str">
        <f>IF(OR(履歴データ!$A$1092="",履歴データ!$A$1091=""),"",H1092-H1091)</f>
        <v/>
      </c>
      <c r="R1092" s="29" t="str">
        <f>IF(OR(履歴データ!$A$1092="",履歴データ!$A$1091=""),"",I1092-I1091)</f>
        <v/>
      </c>
      <c r="S1092" s="28" t="str">
        <f>IF(OR(履歴データ!$A$1092="",履歴データ!$A$1091=""),"",(J1092-J1091)*100)</f>
        <v/>
      </c>
      <c r="T1092" s="11" t="str">
        <f>IF(OR(履歴データ!$A$1092="",履歴データ!$A$1091=""),"",-80000*K1092)</f>
        <v/>
      </c>
      <c r="U1092" s="11" t="str">
        <f>IF(OR(履歴データ!$A$1092="",履歴データ!$A$1091=""),"",60000*L1092)</f>
        <v/>
      </c>
      <c r="V1092" s="11" t="str">
        <f>IF(OR(履歴データ!$A$1092="",履歴データ!$A$1091=""),"",-50000*M1092)</f>
        <v/>
      </c>
      <c r="W1092" s="11" t="str">
        <f>IF(OR(履歴データ!$A$1092="",履歴データ!$A$1091=""),"",-40000*N1092)</f>
        <v/>
      </c>
      <c r="X1092" s="11" t="str">
        <f>IF(OR(履歴データ!$A$1092="",履歴データ!$A$1091=""),"",120*1000000*(-Q1092/H1091))</f>
        <v/>
      </c>
      <c r="Y1092" s="11" t="str">
        <f>IF(OR(履歴データ!$A$1092="",履歴データ!$A$1091=""),"",40000*(-S1092)+(-506.3)*R1092*1000)</f>
        <v/>
      </c>
      <c r="Z1092" s="11" t="str">
        <f>IF(OR(履歴データ!$A$1092="",履歴データ!$A$1091=""),"",-40000*O1092)</f>
        <v/>
      </c>
      <c r="AA1092" s="11" t="str">
        <f>IF(OR(履歴データ!$A$1092="",履歴データ!$A$1091=""),"",-40000*P1092)</f>
        <v/>
      </c>
      <c r="AB1092" s="11" t="str">
        <f>IF(履歴データ!$A$1092="","",123.3)</f>
        <v/>
      </c>
      <c r="AC1092" t="str">
        <f>IF(履歴データ!$A$1092="","",SUM(T1092:AA1092))</f>
        <v/>
      </c>
      <c r="AD1092" s="29" t="str">
        <f>IF(履歴データ!$A$1092="","",AC1092/1000000)</f>
        <v/>
      </c>
      <c r="AE1092" s="29">
        <f>IF(履歴データ!$A$1092="",AE1091,AE1091+AC1092/1000000)</f>
        <v>70.844544225831427</v>
      </c>
      <c r="AF1092" s="12" t="str">
        <f>IF(OR(履歴データ!$A$1092="",AE1091=0),"",(AE1092-AE1091)/AE1091)</f>
        <v/>
      </c>
      <c r="AG1092" s="29">
        <f t="shared" si="47"/>
        <v>102.17217746631495</v>
      </c>
      <c r="AH1092" s="12" t="str">
        <f>IF(OR(履歴データ!$A$1092="",AG1092=0),"",AE1092/AG1092-1)</f>
        <v/>
      </c>
    </row>
    <row r="1093" spans="1:34">
      <c r="A1093" s="10" t="str">
        <f>IF(履歴データ!$A$1093="","",履歴データ!$A$1093)</f>
        <v/>
      </c>
      <c r="B1093" s="28" t="str">
        <f>IF(履歴データ!$A$1093="","",(履歴データ!$D$1093-(履歴データ!$B$1093+履歴データ!$F$1093)/2)*100)</f>
        <v/>
      </c>
      <c r="C1093" s="28" t="str">
        <f>IF(履歴データ!$A$1093="","",(履歴データ!$H$1093-(履歴データ!$G$1093+履歴データ!$J$1093)/2)*100)</f>
        <v/>
      </c>
      <c r="D1093" s="28" t="str">
        <f>IF(履歴データ!$A$1093="","",(履歴データ!$D$1093-履歴データ!$H$1093)*100)</f>
        <v/>
      </c>
      <c r="E1093" s="28" t="str">
        <f>IF(履歴データ!$A$1093="","",(履歴データ!$D$1093-履歴データ!$C$1093)*100)</f>
        <v/>
      </c>
      <c r="F1093" s="28" t="str">
        <f>IF(履歴データ!$A$1093="","",(履歴データ!$R$1093-履歴データ!$D$1093)*100)</f>
        <v/>
      </c>
      <c r="G1093" s="28" t="str">
        <f>IF(履歴データ!$A$1093="","",(履歴データ!$S$1093-履歴データ!$R$1093)*100)</f>
        <v/>
      </c>
      <c r="H1093" s="29" t="str">
        <f>IF(履歴データ!$A$1093="","",履歴データ!$O$1093)</f>
        <v/>
      </c>
      <c r="I1093" s="29" t="str">
        <f>IF(履歴データ!$A$1093="","",履歴データ!$Q$1093)</f>
        <v/>
      </c>
      <c r="J1093" s="29" t="str">
        <f>IF(履歴データ!$A$1093="","",履歴データ!$D$1093)</f>
        <v/>
      </c>
      <c r="K1093" s="28" t="str">
        <f>IF(OR(履歴データ!$A$1093="",履歴データ!$A$1092=""),"",B1093-B1092)</f>
        <v/>
      </c>
      <c r="L1093" s="28" t="str">
        <f>IF(OR(履歴データ!$A$1093="",履歴データ!$A$1092=""),"",C1093-C1092)</f>
        <v/>
      </c>
      <c r="M1093" s="28" t="str">
        <f>IF(OR(履歴データ!$A$1093="",履歴データ!$A$1092=""),"",D1093-D1092)</f>
        <v/>
      </c>
      <c r="N1093" s="28" t="str">
        <f>IF(OR(履歴データ!$A$1093="",履歴データ!$A$1092=""),"",E1093-E1092)</f>
        <v/>
      </c>
      <c r="O1093" s="28" t="str">
        <f>IF(OR(履歴データ!$A$1093="",履歴データ!$A$1092=""),"",F1093-F1092)</f>
        <v/>
      </c>
      <c r="P1093" s="28" t="str">
        <f>IF(OR(履歴データ!$A$1093="",履歴データ!$A$1092=""),"",G1093-G1092)</f>
        <v/>
      </c>
      <c r="Q1093" s="29" t="str">
        <f>IF(OR(履歴データ!$A$1093="",履歴データ!$A$1092=""),"",H1093-H1092)</f>
        <v/>
      </c>
      <c r="R1093" s="29" t="str">
        <f>IF(OR(履歴データ!$A$1093="",履歴データ!$A$1092=""),"",I1093-I1092)</f>
        <v/>
      </c>
      <c r="S1093" s="28" t="str">
        <f>IF(OR(履歴データ!$A$1093="",履歴データ!$A$1092=""),"",(J1093-J1092)*100)</f>
        <v/>
      </c>
      <c r="T1093" s="11" t="str">
        <f>IF(OR(履歴データ!$A$1093="",履歴データ!$A$1092=""),"",-80000*K1093)</f>
        <v/>
      </c>
      <c r="U1093" s="11" t="str">
        <f>IF(OR(履歴データ!$A$1093="",履歴データ!$A$1092=""),"",60000*L1093)</f>
        <v/>
      </c>
      <c r="V1093" s="11" t="str">
        <f>IF(OR(履歴データ!$A$1093="",履歴データ!$A$1092=""),"",-50000*M1093)</f>
        <v/>
      </c>
      <c r="W1093" s="11" t="str">
        <f>IF(OR(履歴データ!$A$1093="",履歴データ!$A$1092=""),"",-40000*N1093)</f>
        <v/>
      </c>
      <c r="X1093" s="11" t="str">
        <f>IF(OR(履歴データ!$A$1093="",履歴データ!$A$1092=""),"",120*1000000*(-Q1093/H1092))</f>
        <v/>
      </c>
      <c r="Y1093" s="11" t="str">
        <f>IF(OR(履歴データ!$A$1093="",履歴データ!$A$1092=""),"",40000*(-S1093)+(-506.3)*R1093*1000)</f>
        <v/>
      </c>
      <c r="Z1093" s="11" t="str">
        <f>IF(OR(履歴データ!$A$1093="",履歴データ!$A$1092=""),"",-40000*O1093)</f>
        <v/>
      </c>
      <c r="AA1093" s="11" t="str">
        <f>IF(OR(履歴データ!$A$1093="",履歴データ!$A$1092=""),"",-40000*P1093)</f>
        <v/>
      </c>
      <c r="AB1093" s="11" t="str">
        <f>IF(履歴データ!$A$1093="","",123.3)</f>
        <v/>
      </c>
      <c r="AC1093" t="str">
        <f>IF(履歴データ!$A$1093="","",SUM(T1093:AA1093))</f>
        <v/>
      </c>
      <c r="AD1093" s="29" t="str">
        <f>IF(履歴データ!$A$1093="","",AC1093/1000000)</f>
        <v/>
      </c>
      <c r="AE1093" s="29">
        <f>IF(履歴データ!$A$1093="",AE1092,AE1092+AC1093/1000000)</f>
        <v>70.844544225831427</v>
      </c>
      <c r="AF1093" s="12" t="str">
        <f>IF(OR(履歴データ!$A$1093="",AE1092=0),"",(AE1093-AE1092)/AE1092)</f>
        <v/>
      </c>
      <c r="AG1093" s="29">
        <f t="shared" si="47"/>
        <v>102.17217746631495</v>
      </c>
      <c r="AH1093" s="12" t="str">
        <f>IF(OR(履歴データ!$A$1093="",AG1093=0),"",AE1093/AG1093-1)</f>
        <v/>
      </c>
    </row>
    <row r="1094" spans="1:34">
      <c r="A1094" s="10" t="str">
        <f>IF(履歴データ!$A$1094="","",履歴データ!$A$1094)</f>
        <v/>
      </c>
      <c r="B1094" s="28" t="str">
        <f>IF(履歴データ!$A$1094="","",(履歴データ!$D$1094-(履歴データ!$B$1094+履歴データ!$F$1094)/2)*100)</f>
        <v/>
      </c>
      <c r="C1094" s="28" t="str">
        <f>IF(履歴データ!$A$1094="","",(履歴データ!$H$1094-(履歴データ!$G$1094+履歴データ!$J$1094)/2)*100)</f>
        <v/>
      </c>
      <c r="D1094" s="28" t="str">
        <f>IF(履歴データ!$A$1094="","",(履歴データ!$D$1094-履歴データ!$H$1094)*100)</f>
        <v/>
      </c>
      <c r="E1094" s="28" t="str">
        <f>IF(履歴データ!$A$1094="","",(履歴データ!$D$1094-履歴データ!$C$1094)*100)</f>
        <v/>
      </c>
      <c r="F1094" s="28" t="str">
        <f>IF(履歴データ!$A$1094="","",(履歴データ!$R$1094-履歴データ!$D$1094)*100)</f>
        <v/>
      </c>
      <c r="G1094" s="28" t="str">
        <f>IF(履歴データ!$A$1094="","",(履歴データ!$S$1094-履歴データ!$R$1094)*100)</f>
        <v/>
      </c>
      <c r="H1094" s="29" t="str">
        <f>IF(履歴データ!$A$1094="","",履歴データ!$O$1094)</f>
        <v/>
      </c>
      <c r="I1094" s="29" t="str">
        <f>IF(履歴データ!$A$1094="","",履歴データ!$Q$1094)</f>
        <v/>
      </c>
      <c r="J1094" s="29" t="str">
        <f>IF(履歴データ!$A$1094="","",履歴データ!$D$1094)</f>
        <v/>
      </c>
      <c r="K1094" s="28" t="str">
        <f>IF(OR(履歴データ!$A$1094="",履歴データ!$A$1093=""),"",B1094-B1093)</f>
        <v/>
      </c>
      <c r="L1094" s="28" t="str">
        <f>IF(OR(履歴データ!$A$1094="",履歴データ!$A$1093=""),"",C1094-C1093)</f>
        <v/>
      </c>
      <c r="M1094" s="28" t="str">
        <f>IF(OR(履歴データ!$A$1094="",履歴データ!$A$1093=""),"",D1094-D1093)</f>
        <v/>
      </c>
      <c r="N1094" s="28" t="str">
        <f>IF(OR(履歴データ!$A$1094="",履歴データ!$A$1093=""),"",E1094-E1093)</f>
        <v/>
      </c>
      <c r="O1094" s="28" t="str">
        <f>IF(OR(履歴データ!$A$1094="",履歴データ!$A$1093=""),"",F1094-F1093)</f>
        <v/>
      </c>
      <c r="P1094" s="28" t="str">
        <f>IF(OR(履歴データ!$A$1094="",履歴データ!$A$1093=""),"",G1094-G1093)</f>
        <v/>
      </c>
      <c r="Q1094" s="29" t="str">
        <f>IF(OR(履歴データ!$A$1094="",履歴データ!$A$1093=""),"",H1094-H1093)</f>
        <v/>
      </c>
      <c r="R1094" s="29" t="str">
        <f>IF(OR(履歴データ!$A$1094="",履歴データ!$A$1093=""),"",I1094-I1093)</f>
        <v/>
      </c>
      <c r="S1094" s="28" t="str">
        <f>IF(OR(履歴データ!$A$1094="",履歴データ!$A$1093=""),"",(J1094-J1093)*100)</f>
        <v/>
      </c>
      <c r="T1094" s="11" t="str">
        <f>IF(OR(履歴データ!$A$1094="",履歴データ!$A$1093=""),"",-80000*K1094)</f>
        <v/>
      </c>
      <c r="U1094" s="11" t="str">
        <f>IF(OR(履歴データ!$A$1094="",履歴データ!$A$1093=""),"",60000*L1094)</f>
        <v/>
      </c>
      <c r="V1094" s="11" t="str">
        <f>IF(OR(履歴データ!$A$1094="",履歴データ!$A$1093=""),"",-50000*M1094)</f>
        <v/>
      </c>
      <c r="W1094" s="11" t="str">
        <f>IF(OR(履歴データ!$A$1094="",履歴データ!$A$1093=""),"",-40000*N1094)</f>
        <v/>
      </c>
      <c r="X1094" s="11" t="str">
        <f>IF(OR(履歴データ!$A$1094="",履歴データ!$A$1093=""),"",120*1000000*(-Q1094/H1093))</f>
        <v/>
      </c>
      <c r="Y1094" s="11" t="str">
        <f>IF(OR(履歴データ!$A$1094="",履歴データ!$A$1093=""),"",40000*(-S1094)+(-506.3)*R1094*1000)</f>
        <v/>
      </c>
      <c r="Z1094" s="11" t="str">
        <f>IF(OR(履歴データ!$A$1094="",履歴データ!$A$1093=""),"",-40000*O1094)</f>
        <v/>
      </c>
      <c r="AA1094" s="11" t="str">
        <f>IF(OR(履歴データ!$A$1094="",履歴データ!$A$1093=""),"",-40000*P1094)</f>
        <v/>
      </c>
      <c r="AB1094" s="11" t="str">
        <f>IF(履歴データ!$A$1094="","",123.3)</f>
        <v/>
      </c>
      <c r="AC1094" t="str">
        <f>IF(履歴データ!$A$1094="","",SUM(T1094:AA1094))</f>
        <v/>
      </c>
      <c r="AD1094" s="29" t="str">
        <f>IF(履歴データ!$A$1094="","",AC1094/1000000)</f>
        <v/>
      </c>
      <c r="AE1094" s="29">
        <f>IF(履歴データ!$A$1094="",AE1093,AE1093+AC1094/1000000)</f>
        <v>70.844544225831427</v>
      </c>
      <c r="AF1094" s="12" t="str">
        <f>IF(OR(履歴データ!$A$1094="",AE1093=0),"",(AE1094-AE1093)/AE1093)</f>
        <v/>
      </c>
      <c r="AG1094" s="29">
        <f t="shared" si="47"/>
        <v>102.17217746631495</v>
      </c>
      <c r="AH1094" s="12" t="str">
        <f>IF(OR(履歴データ!$A$1094="",AG1094=0),"",AE1094/AG1094-1)</f>
        <v/>
      </c>
    </row>
    <row r="1095" spans="1:34">
      <c r="A1095" s="10" t="str">
        <f>IF(履歴データ!$A$1095="","",履歴データ!$A$1095)</f>
        <v/>
      </c>
      <c r="B1095" s="28" t="str">
        <f>IF(履歴データ!$A$1095="","",(履歴データ!$D$1095-(履歴データ!$B$1095+履歴データ!$F$1095)/2)*100)</f>
        <v/>
      </c>
      <c r="C1095" s="28" t="str">
        <f>IF(履歴データ!$A$1095="","",(履歴データ!$H$1095-(履歴データ!$G$1095+履歴データ!$J$1095)/2)*100)</f>
        <v/>
      </c>
      <c r="D1095" s="28" t="str">
        <f>IF(履歴データ!$A$1095="","",(履歴データ!$D$1095-履歴データ!$H$1095)*100)</f>
        <v/>
      </c>
      <c r="E1095" s="28" t="str">
        <f>IF(履歴データ!$A$1095="","",(履歴データ!$D$1095-履歴データ!$C$1095)*100)</f>
        <v/>
      </c>
      <c r="F1095" s="28" t="str">
        <f>IF(履歴データ!$A$1095="","",(履歴データ!$R$1095-履歴データ!$D$1095)*100)</f>
        <v/>
      </c>
      <c r="G1095" s="28" t="str">
        <f>IF(履歴データ!$A$1095="","",(履歴データ!$S$1095-履歴データ!$R$1095)*100)</f>
        <v/>
      </c>
      <c r="H1095" s="29" t="str">
        <f>IF(履歴データ!$A$1095="","",履歴データ!$O$1095)</f>
        <v/>
      </c>
      <c r="I1095" s="29" t="str">
        <f>IF(履歴データ!$A$1095="","",履歴データ!$Q$1095)</f>
        <v/>
      </c>
      <c r="J1095" s="29" t="str">
        <f>IF(履歴データ!$A$1095="","",履歴データ!$D$1095)</f>
        <v/>
      </c>
      <c r="K1095" s="28" t="str">
        <f>IF(OR(履歴データ!$A$1095="",履歴データ!$A$1094=""),"",B1095-B1094)</f>
        <v/>
      </c>
      <c r="L1095" s="28" t="str">
        <f>IF(OR(履歴データ!$A$1095="",履歴データ!$A$1094=""),"",C1095-C1094)</f>
        <v/>
      </c>
      <c r="M1095" s="28" t="str">
        <f>IF(OR(履歴データ!$A$1095="",履歴データ!$A$1094=""),"",D1095-D1094)</f>
        <v/>
      </c>
      <c r="N1095" s="28" t="str">
        <f>IF(OR(履歴データ!$A$1095="",履歴データ!$A$1094=""),"",E1095-E1094)</f>
        <v/>
      </c>
      <c r="O1095" s="28" t="str">
        <f>IF(OR(履歴データ!$A$1095="",履歴データ!$A$1094=""),"",F1095-F1094)</f>
        <v/>
      </c>
      <c r="P1095" s="28" t="str">
        <f>IF(OR(履歴データ!$A$1095="",履歴データ!$A$1094=""),"",G1095-G1094)</f>
        <v/>
      </c>
      <c r="Q1095" s="29" t="str">
        <f>IF(OR(履歴データ!$A$1095="",履歴データ!$A$1094=""),"",H1095-H1094)</f>
        <v/>
      </c>
      <c r="R1095" s="29" t="str">
        <f>IF(OR(履歴データ!$A$1095="",履歴データ!$A$1094=""),"",I1095-I1094)</f>
        <v/>
      </c>
      <c r="S1095" s="28" t="str">
        <f>IF(OR(履歴データ!$A$1095="",履歴データ!$A$1094=""),"",(J1095-J1094)*100)</f>
        <v/>
      </c>
      <c r="T1095" s="11" t="str">
        <f>IF(OR(履歴データ!$A$1095="",履歴データ!$A$1094=""),"",-80000*K1095)</f>
        <v/>
      </c>
      <c r="U1095" s="11" t="str">
        <f>IF(OR(履歴データ!$A$1095="",履歴データ!$A$1094=""),"",60000*L1095)</f>
        <v/>
      </c>
      <c r="V1095" s="11" t="str">
        <f>IF(OR(履歴データ!$A$1095="",履歴データ!$A$1094=""),"",-50000*M1095)</f>
        <v/>
      </c>
      <c r="W1095" s="11" t="str">
        <f>IF(OR(履歴データ!$A$1095="",履歴データ!$A$1094=""),"",-40000*N1095)</f>
        <v/>
      </c>
      <c r="X1095" s="11" t="str">
        <f>IF(OR(履歴データ!$A$1095="",履歴データ!$A$1094=""),"",120*1000000*(-Q1095/H1094))</f>
        <v/>
      </c>
      <c r="Y1095" s="11" t="str">
        <f>IF(OR(履歴データ!$A$1095="",履歴データ!$A$1094=""),"",40000*(-S1095)+(-506.3)*R1095*1000)</f>
        <v/>
      </c>
      <c r="Z1095" s="11" t="str">
        <f>IF(OR(履歴データ!$A$1095="",履歴データ!$A$1094=""),"",-40000*O1095)</f>
        <v/>
      </c>
      <c r="AA1095" s="11" t="str">
        <f>IF(OR(履歴データ!$A$1095="",履歴データ!$A$1094=""),"",-40000*P1095)</f>
        <v/>
      </c>
      <c r="AB1095" s="11" t="str">
        <f>IF(履歴データ!$A$1095="","",123.3)</f>
        <v/>
      </c>
      <c r="AC1095" t="str">
        <f>IF(履歴データ!$A$1095="","",SUM(T1095:AA1095))</f>
        <v/>
      </c>
      <c r="AD1095" s="29" t="str">
        <f>IF(履歴データ!$A$1095="","",AC1095/1000000)</f>
        <v/>
      </c>
      <c r="AE1095" s="29">
        <f>IF(履歴データ!$A$1095="",AE1094,AE1094+AC1095/1000000)</f>
        <v>70.844544225831427</v>
      </c>
      <c r="AF1095" s="12" t="str">
        <f>IF(OR(履歴データ!$A$1095="",AE1094=0),"",(AE1095-AE1094)/AE1094)</f>
        <v/>
      </c>
      <c r="AG1095" s="29">
        <f t="shared" si="47"/>
        <v>102.17217746631495</v>
      </c>
      <c r="AH1095" s="12" t="str">
        <f>IF(OR(履歴データ!$A$1095="",AG1095=0),"",AE1095/AG1095-1)</f>
        <v/>
      </c>
    </row>
    <row r="1096" spans="1:34">
      <c r="A1096" s="10" t="str">
        <f>IF(履歴データ!$A$1096="","",履歴データ!$A$1096)</f>
        <v/>
      </c>
      <c r="B1096" s="28" t="str">
        <f>IF(履歴データ!$A$1096="","",(履歴データ!$D$1096-(履歴データ!$B$1096+履歴データ!$F$1096)/2)*100)</f>
        <v/>
      </c>
      <c r="C1096" s="28" t="str">
        <f>IF(履歴データ!$A$1096="","",(履歴データ!$H$1096-(履歴データ!$G$1096+履歴データ!$J$1096)/2)*100)</f>
        <v/>
      </c>
      <c r="D1096" s="28" t="str">
        <f>IF(履歴データ!$A$1096="","",(履歴データ!$D$1096-履歴データ!$H$1096)*100)</f>
        <v/>
      </c>
      <c r="E1096" s="28" t="str">
        <f>IF(履歴データ!$A$1096="","",(履歴データ!$D$1096-履歴データ!$C$1096)*100)</f>
        <v/>
      </c>
      <c r="F1096" s="28" t="str">
        <f>IF(履歴データ!$A$1096="","",(履歴データ!$R$1096-履歴データ!$D$1096)*100)</f>
        <v/>
      </c>
      <c r="G1096" s="28" t="str">
        <f>IF(履歴データ!$A$1096="","",(履歴データ!$S$1096-履歴データ!$R$1096)*100)</f>
        <v/>
      </c>
      <c r="H1096" s="29" t="str">
        <f>IF(履歴データ!$A$1096="","",履歴データ!$O$1096)</f>
        <v/>
      </c>
      <c r="I1096" s="29" t="str">
        <f>IF(履歴データ!$A$1096="","",履歴データ!$Q$1096)</f>
        <v/>
      </c>
      <c r="J1096" s="29" t="str">
        <f>IF(履歴データ!$A$1096="","",履歴データ!$D$1096)</f>
        <v/>
      </c>
      <c r="K1096" s="28" t="str">
        <f>IF(OR(履歴データ!$A$1096="",履歴データ!$A$1095=""),"",B1096-B1095)</f>
        <v/>
      </c>
      <c r="L1096" s="28" t="str">
        <f>IF(OR(履歴データ!$A$1096="",履歴データ!$A$1095=""),"",C1096-C1095)</f>
        <v/>
      </c>
      <c r="M1096" s="28" t="str">
        <f>IF(OR(履歴データ!$A$1096="",履歴データ!$A$1095=""),"",D1096-D1095)</f>
        <v/>
      </c>
      <c r="N1096" s="28" t="str">
        <f>IF(OR(履歴データ!$A$1096="",履歴データ!$A$1095=""),"",E1096-E1095)</f>
        <v/>
      </c>
      <c r="O1096" s="28" t="str">
        <f>IF(OR(履歴データ!$A$1096="",履歴データ!$A$1095=""),"",F1096-F1095)</f>
        <v/>
      </c>
      <c r="P1096" s="28" t="str">
        <f>IF(OR(履歴データ!$A$1096="",履歴データ!$A$1095=""),"",G1096-G1095)</f>
        <v/>
      </c>
      <c r="Q1096" s="29" t="str">
        <f>IF(OR(履歴データ!$A$1096="",履歴データ!$A$1095=""),"",H1096-H1095)</f>
        <v/>
      </c>
      <c r="R1096" s="29" t="str">
        <f>IF(OR(履歴データ!$A$1096="",履歴データ!$A$1095=""),"",I1096-I1095)</f>
        <v/>
      </c>
      <c r="S1096" s="28" t="str">
        <f>IF(OR(履歴データ!$A$1096="",履歴データ!$A$1095=""),"",(J1096-J1095)*100)</f>
        <v/>
      </c>
      <c r="T1096" s="11" t="str">
        <f>IF(OR(履歴データ!$A$1096="",履歴データ!$A$1095=""),"",-80000*K1096)</f>
        <v/>
      </c>
      <c r="U1096" s="11" t="str">
        <f>IF(OR(履歴データ!$A$1096="",履歴データ!$A$1095=""),"",60000*L1096)</f>
        <v/>
      </c>
      <c r="V1096" s="11" t="str">
        <f>IF(OR(履歴データ!$A$1096="",履歴データ!$A$1095=""),"",-50000*M1096)</f>
        <v/>
      </c>
      <c r="W1096" s="11" t="str">
        <f>IF(OR(履歴データ!$A$1096="",履歴データ!$A$1095=""),"",-40000*N1096)</f>
        <v/>
      </c>
      <c r="X1096" s="11" t="str">
        <f>IF(OR(履歴データ!$A$1096="",履歴データ!$A$1095=""),"",120*1000000*(-Q1096/H1095))</f>
        <v/>
      </c>
      <c r="Y1096" s="11" t="str">
        <f>IF(OR(履歴データ!$A$1096="",履歴データ!$A$1095=""),"",40000*(-S1096)+(-506.3)*R1096*1000)</f>
        <v/>
      </c>
      <c r="Z1096" s="11" t="str">
        <f>IF(OR(履歴データ!$A$1096="",履歴データ!$A$1095=""),"",-40000*O1096)</f>
        <v/>
      </c>
      <c r="AA1096" s="11" t="str">
        <f>IF(OR(履歴データ!$A$1096="",履歴データ!$A$1095=""),"",-40000*P1096)</f>
        <v/>
      </c>
      <c r="AB1096" s="11" t="str">
        <f>IF(履歴データ!$A$1096="","",123.3)</f>
        <v/>
      </c>
      <c r="AC1096" t="str">
        <f>IF(履歴データ!$A$1096="","",SUM(T1096:AA1096))</f>
        <v/>
      </c>
      <c r="AD1096" s="29" t="str">
        <f>IF(履歴データ!$A$1096="","",AC1096/1000000)</f>
        <v/>
      </c>
      <c r="AE1096" s="29">
        <f>IF(履歴データ!$A$1096="",AE1095,AE1095+AC1096/1000000)</f>
        <v>70.844544225831427</v>
      </c>
      <c r="AF1096" s="12" t="str">
        <f>IF(OR(履歴データ!$A$1096="",AE1095=0),"",(AE1096-AE1095)/AE1095)</f>
        <v/>
      </c>
      <c r="AG1096" s="29">
        <f t="shared" si="47"/>
        <v>102.17217746631495</v>
      </c>
      <c r="AH1096" s="12" t="str">
        <f>IF(OR(履歴データ!$A$1096="",AG1096=0),"",AE1096/AG1096-1)</f>
        <v/>
      </c>
    </row>
    <row r="1097" spans="1:34">
      <c r="A1097" s="10" t="str">
        <f>IF(履歴データ!$A$1097="","",履歴データ!$A$1097)</f>
        <v/>
      </c>
      <c r="B1097" s="28" t="str">
        <f>IF(履歴データ!$A$1097="","",(履歴データ!$D$1097-(履歴データ!$B$1097+履歴データ!$F$1097)/2)*100)</f>
        <v/>
      </c>
      <c r="C1097" s="28" t="str">
        <f>IF(履歴データ!$A$1097="","",(履歴データ!$H$1097-(履歴データ!$G$1097+履歴データ!$J$1097)/2)*100)</f>
        <v/>
      </c>
      <c r="D1097" s="28" t="str">
        <f>IF(履歴データ!$A$1097="","",(履歴データ!$D$1097-履歴データ!$H$1097)*100)</f>
        <v/>
      </c>
      <c r="E1097" s="28" t="str">
        <f>IF(履歴データ!$A$1097="","",(履歴データ!$D$1097-履歴データ!$C$1097)*100)</f>
        <v/>
      </c>
      <c r="F1097" s="28" t="str">
        <f>IF(履歴データ!$A$1097="","",(履歴データ!$R$1097-履歴データ!$D$1097)*100)</f>
        <v/>
      </c>
      <c r="G1097" s="28" t="str">
        <f>IF(履歴データ!$A$1097="","",(履歴データ!$S$1097-履歴データ!$R$1097)*100)</f>
        <v/>
      </c>
      <c r="H1097" s="29" t="str">
        <f>IF(履歴データ!$A$1097="","",履歴データ!$O$1097)</f>
        <v/>
      </c>
      <c r="I1097" s="29" t="str">
        <f>IF(履歴データ!$A$1097="","",履歴データ!$Q$1097)</f>
        <v/>
      </c>
      <c r="J1097" s="29" t="str">
        <f>IF(履歴データ!$A$1097="","",履歴データ!$D$1097)</f>
        <v/>
      </c>
      <c r="K1097" s="28" t="str">
        <f>IF(OR(履歴データ!$A$1097="",履歴データ!$A$1096=""),"",B1097-B1096)</f>
        <v/>
      </c>
      <c r="L1097" s="28" t="str">
        <f>IF(OR(履歴データ!$A$1097="",履歴データ!$A$1096=""),"",C1097-C1096)</f>
        <v/>
      </c>
      <c r="M1097" s="28" t="str">
        <f>IF(OR(履歴データ!$A$1097="",履歴データ!$A$1096=""),"",D1097-D1096)</f>
        <v/>
      </c>
      <c r="N1097" s="28" t="str">
        <f>IF(OR(履歴データ!$A$1097="",履歴データ!$A$1096=""),"",E1097-E1096)</f>
        <v/>
      </c>
      <c r="O1097" s="28" t="str">
        <f>IF(OR(履歴データ!$A$1097="",履歴データ!$A$1096=""),"",F1097-F1096)</f>
        <v/>
      </c>
      <c r="P1097" s="28" t="str">
        <f>IF(OR(履歴データ!$A$1097="",履歴データ!$A$1096=""),"",G1097-G1096)</f>
        <v/>
      </c>
      <c r="Q1097" s="29" t="str">
        <f>IF(OR(履歴データ!$A$1097="",履歴データ!$A$1096=""),"",H1097-H1096)</f>
        <v/>
      </c>
      <c r="R1097" s="29" t="str">
        <f>IF(OR(履歴データ!$A$1097="",履歴データ!$A$1096=""),"",I1097-I1096)</f>
        <v/>
      </c>
      <c r="S1097" s="28" t="str">
        <f>IF(OR(履歴データ!$A$1097="",履歴データ!$A$1096=""),"",(J1097-J1096)*100)</f>
        <v/>
      </c>
      <c r="T1097" s="11" t="str">
        <f>IF(OR(履歴データ!$A$1097="",履歴データ!$A$1096=""),"",-80000*K1097)</f>
        <v/>
      </c>
      <c r="U1097" s="11" t="str">
        <f>IF(OR(履歴データ!$A$1097="",履歴データ!$A$1096=""),"",60000*L1097)</f>
        <v/>
      </c>
      <c r="V1097" s="11" t="str">
        <f>IF(OR(履歴データ!$A$1097="",履歴データ!$A$1096=""),"",-50000*M1097)</f>
        <v/>
      </c>
      <c r="W1097" s="11" t="str">
        <f>IF(OR(履歴データ!$A$1097="",履歴データ!$A$1096=""),"",-40000*N1097)</f>
        <v/>
      </c>
      <c r="X1097" s="11" t="str">
        <f>IF(OR(履歴データ!$A$1097="",履歴データ!$A$1096=""),"",120*1000000*(-Q1097/H1096))</f>
        <v/>
      </c>
      <c r="Y1097" s="11" t="str">
        <f>IF(OR(履歴データ!$A$1097="",履歴データ!$A$1096=""),"",40000*(-S1097)+(-506.3)*R1097*1000)</f>
        <v/>
      </c>
      <c r="Z1097" s="11" t="str">
        <f>IF(OR(履歴データ!$A$1097="",履歴データ!$A$1096=""),"",-40000*O1097)</f>
        <v/>
      </c>
      <c r="AA1097" s="11" t="str">
        <f>IF(OR(履歴データ!$A$1097="",履歴データ!$A$1096=""),"",-40000*P1097)</f>
        <v/>
      </c>
      <c r="AB1097" s="11" t="str">
        <f>IF(履歴データ!$A$1097="","",123.3)</f>
        <v/>
      </c>
      <c r="AC1097" t="str">
        <f>IF(履歴データ!$A$1097="","",SUM(T1097:AA1097))</f>
        <v/>
      </c>
      <c r="AD1097" s="29" t="str">
        <f>IF(履歴データ!$A$1097="","",AC1097/1000000)</f>
        <v/>
      </c>
      <c r="AE1097" s="29">
        <f>IF(履歴データ!$A$1097="",AE1096,AE1096+AC1097/1000000)</f>
        <v>70.844544225831427</v>
      </c>
      <c r="AF1097" s="12" t="str">
        <f>IF(OR(履歴データ!$A$1097="",AE1096=0),"",(AE1097-AE1096)/AE1096)</f>
        <v/>
      </c>
      <c r="AG1097" s="29">
        <f t="shared" si="47"/>
        <v>102.17217746631495</v>
      </c>
      <c r="AH1097" s="12" t="str">
        <f>IF(OR(履歴データ!$A$1097="",AG1097=0),"",AE1097/AG1097-1)</f>
        <v/>
      </c>
    </row>
    <row r="1098" spans="1:34">
      <c r="A1098" s="10" t="str">
        <f>IF(履歴データ!$A$1098="","",履歴データ!$A$1098)</f>
        <v/>
      </c>
      <c r="B1098" s="28" t="str">
        <f>IF(履歴データ!$A$1098="","",(履歴データ!$D$1098-(履歴データ!$B$1098+履歴データ!$F$1098)/2)*100)</f>
        <v/>
      </c>
      <c r="C1098" s="28" t="str">
        <f>IF(履歴データ!$A$1098="","",(履歴データ!$H$1098-(履歴データ!$G$1098+履歴データ!$J$1098)/2)*100)</f>
        <v/>
      </c>
      <c r="D1098" s="28" t="str">
        <f>IF(履歴データ!$A$1098="","",(履歴データ!$D$1098-履歴データ!$H$1098)*100)</f>
        <v/>
      </c>
      <c r="E1098" s="28" t="str">
        <f>IF(履歴データ!$A$1098="","",(履歴データ!$D$1098-履歴データ!$C$1098)*100)</f>
        <v/>
      </c>
      <c r="F1098" s="28" t="str">
        <f>IF(履歴データ!$A$1098="","",(履歴データ!$R$1098-履歴データ!$D$1098)*100)</f>
        <v/>
      </c>
      <c r="G1098" s="28" t="str">
        <f>IF(履歴データ!$A$1098="","",(履歴データ!$S$1098-履歴データ!$R$1098)*100)</f>
        <v/>
      </c>
      <c r="H1098" s="29" t="str">
        <f>IF(履歴データ!$A$1098="","",履歴データ!$O$1098)</f>
        <v/>
      </c>
      <c r="I1098" s="29" t="str">
        <f>IF(履歴データ!$A$1098="","",履歴データ!$Q$1098)</f>
        <v/>
      </c>
      <c r="J1098" s="29" t="str">
        <f>IF(履歴データ!$A$1098="","",履歴データ!$D$1098)</f>
        <v/>
      </c>
      <c r="K1098" s="28" t="str">
        <f>IF(OR(履歴データ!$A$1098="",履歴データ!$A$1097=""),"",B1098-B1097)</f>
        <v/>
      </c>
      <c r="L1098" s="28" t="str">
        <f>IF(OR(履歴データ!$A$1098="",履歴データ!$A$1097=""),"",C1098-C1097)</f>
        <v/>
      </c>
      <c r="M1098" s="28" t="str">
        <f>IF(OR(履歴データ!$A$1098="",履歴データ!$A$1097=""),"",D1098-D1097)</f>
        <v/>
      </c>
      <c r="N1098" s="28" t="str">
        <f>IF(OR(履歴データ!$A$1098="",履歴データ!$A$1097=""),"",E1098-E1097)</f>
        <v/>
      </c>
      <c r="O1098" s="28" t="str">
        <f>IF(OR(履歴データ!$A$1098="",履歴データ!$A$1097=""),"",F1098-F1097)</f>
        <v/>
      </c>
      <c r="P1098" s="28" t="str">
        <f>IF(OR(履歴データ!$A$1098="",履歴データ!$A$1097=""),"",G1098-G1097)</f>
        <v/>
      </c>
      <c r="Q1098" s="29" t="str">
        <f>IF(OR(履歴データ!$A$1098="",履歴データ!$A$1097=""),"",H1098-H1097)</f>
        <v/>
      </c>
      <c r="R1098" s="29" t="str">
        <f>IF(OR(履歴データ!$A$1098="",履歴データ!$A$1097=""),"",I1098-I1097)</f>
        <v/>
      </c>
      <c r="S1098" s="28" t="str">
        <f>IF(OR(履歴データ!$A$1098="",履歴データ!$A$1097=""),"",(J1098-J1097)*100)</f>
        <v/>
      </c>
      <c r="T1098" s="11" t="str">
        <f>IF(OR(履歴データ!$A$1098="",履歴データ!$A$1097=""),"",-80000*K1098)</f>
        <v/>
      </c>
      <c r="U1098" s="11" t="str">
        <f>IF(OR(履歴データ!$A$1098="",履歴データ!$A$1097=""),"",60000*L1098)</f>
        <v/>
      </c>
      <c r="V1098" s="11" t="str">
        <f>IF(OR(履歴データ!$A$1098="",履歴データ!$A$1097=""),"",-50000*M1098)</f>
        <v/>
      </c>
      <c r="W1098" s="11" t="str">
        <f>IF(OR(履歴データ!$A$1098="",履歴データ!$A$1097=""),"",-40000*N1098)</f>
        <v/>
      </c>
      <c r="X1098" s="11" t="str">
        <f>IF(OR(履歴データ!$A$1098="",履歴データ!$A$1097=""),"",120*1000000*(-Q1098/H1097))</f>
        <v/>
      </c>
      <c r="Y1098" s="11" t="str">
        <f>IF(OR(履歴データ!$A$1098="",履歴データ!$A$1097=""),"",40000*(-S1098)+(-506.3)*R1098*1000)</f>
        <v/>
      </c>
      <c r="Z1098" s="11" t="str">
        <f>IF(OR(履歴データ!$A$1098="",履歴データ!$A$1097=""),"",-40000*O1098)</f>
        <v/>
      </c>
      <c r="AA1098" s="11" t="str">
        <f>IF(OR(履歴データ!$A$1098="",履歴データ!$A$1097=""),"",-40000*P1098)</f>
        <v/>
      </c>
      <c r="AB1098" s="11" t="str">
        <f>IF(履歴データ!$A$1098="","",123.3)</f>
        <v/>
      </c>
      <c r="AC1098" t="str">
        <f>IF(履歴データ!$A$1098="","",SUM(T1098:AA1098))</f>
        <v/>
      </c>
      <c r="AD1098" s="29" t="str">
        <f>IF(履歴データ!$A$1098="","",AC1098/1000000)</f>
        <v/>
      </c>
      <c r="AE1098" s="29">
        <f>IF(履歴データ!$A$1098="",AE1097,AE1097+AC1098/1000000)</f>
        <v>70.844544225831427</v>
      </c>
      <c r="AF1098" s="12" t="str">
        <f>IF(OR(履歴データ!$A$1098="",AE1097=0),"",(AE1098-AE1097)/AE1097)</f>
        <v/>
      </c>
      <c r="AG1098" s="29">
        <f t="shared" si="47"/>
        <v>102.17217746631495</v>
      </c>
      <c r="AH1098" s="12" t="str">
        <f>IF(OR(履歴データ!$A$1098="",AG1098=0),"",AE1098/AG1098-1)</f>
        <v/>
      </c>
    </row>
    <row r="1099" spans="1:34">
      <c r="A1099" s="10" t="str">
        <f>IF(履歴データ!$A$1099="","",履歴データ!$A$1099)</f>
        <v/>
      </c>
      <c r="B1099" s="28" t="str">
        <f>IF(履歴データ!$A$1099="","",(履歴データ!$D$1099-(履歴データ!$B$1099+履歴データ!$F$1099)/2)*100)</f>
        <v/>
      </c>
      <c r="C1099" s="28" t="str">
        <f>IF(履歴データ!$A$1099="","",(履歴データ!$H$1099-(履歴データ!$G$1099+履歴データ!$J$1099)/2)*100)</f>
        <v/>
      </c>
      <c r="D1099" s="28" t="str">
        <f>IF(履歴データ!$A$1099="","",(履歴データ!$D$1099-履歴データ!$H$1099)*100)</f>
        <v/>
      </c>
      <c r="E1099" s="28" t="str">
        <f>IF(履歴データ!$A$1099="","",(履歴データ!$D$1099-履歴データ!$C$1099)*100)</f>
        <v/>
      </c>
      <c r="F1099" s="28" t="str">
        <f>IF(履歴データ!$A$1099="","",(履歴データ!$R$1099-履歴データ!$D$1099)*100)</f>
        <v/>
      </c>
      <c r="G1099" s="28" t="str">
        <f>IF(履歴データ!$A$1099="","",(履歴データ!$S$1099-履歴データ!$R$1099)*100)</f>
        <v/>
      </c>
      <c r="H1099" s="29" t="str">
        <f>IF(履歴データ!$A$1099="","",履歴データ!$O$1099)</f>
        <v/>
      </c>
      <c r="I1099" s="29" t="str">
        <f>IF(履歴データ!$A$1099="","",履歴データ!$Q$1099)</f>
        <v/>
      </c>
      <c r="J1099" s="29" t="str">
        <f>IF(履歴データ!$A$1099="","",履歴データ!$D$1099)</f>
        <v/>
      </c>
      <c r="K1099" s="28" t="str">
        <f>IF(OR(履歴データ!$A$1099="",履歴データ!$A$1098=""),"",B1099-B1098)</f>
        <v/>
      </c>
      <c r="L1099" s="28" t="str">
        <f>IF(OR(履歴データ!$A$1099="",履歴データ!$A$1098=""),"",C1099-C1098)</f>
        <v/>
      </c>
      <c r="M1099" s="28" t="str">
        <f>IF(OR(履歴データ!$A$1099="",履歴データ!$A$1098=""),"",D1099-D1098)</f>
        <v/>
      </c>
      <c r="N1099" s="28" t="str">
        <f>IF(OR(履歴データ!$A$1099="",履歴データ!$A$1098=""),"",E1099-E1098)</f>
        <v/>
      </c>
      <c r="O1099" s="28" t="str">
        <f>IF(OR(履歴データ!$A$1099="",履歴データ!$A$1098=""),"",F1099-F1098)</f>
        <v/>
      </c>
      <c r="P1099" s="28" t="str">
        <f>IF(OR(履歴データ!$A$1099="",履歴データ!$A$1098=""),"",G1099-G1098)</f>
        <v/>
      </c>
      <c r="Q1099" s="29" t="str">
        <f>IF(OR(履歴データ!$A$1099="",履歴データ!$A$1098=""),"",H1099-H1098)</f>
        <v/>
      </c>
      <c r="R1099" s="29" t="str">
        <f>IF(OR(履歴データ!$A$1099="",履歴データ!$A$1098=""),"",I1099-I1098)</f>
        <v/>
      </c>
      <c r="S1099" s="28" t="str">
        <f>IF(OR(履歴データ!$A$1099="",履歴データ!$A$1098=""),"",(J1099-J1098)*100)</f>
        <v/>
      </c>
      <c r="T1099" s="11" t="str">
        <f>IF(OR(履歴データ!$A$1099="",履歴データ!$A$1098=""),"",-80000*K1099)</f>
        <v/>
      </c>
      <c r="U1099" s="11" t="str">
        <f>IF(OR(履歴データ!$A$1099="",履歴データ!$A$1098=""),"",60000*L1099)</f>
        <v/>
      </c>
      <c r="V1099" s="11" t="str">
        <f>IF(OR(履歴データ!$A$1099="",履歴データ!$A$1098=""),"",-50000*M1099)</f>
        <v/>
      </c>
      <c r="W1099" s="11" t="str">
        <f>IF(OR(履歴データ!$A$1099="",履歴データ!$A$1098=""),"",-40000*N1099)</f>
        <v/>
      </c>
      <c r="X1099" s="11" t="str">
        <f>IF(OR(履歴データ!$A$1099="",履歴データ!$A$1098=""),"",120*1000000*(-Q1099/H1098))</f>
        <v/>
      </c>
      <c r="Y1099" s="11" t="str">
        <f>IF(OR(履歴データ!$A$1099="",履歴データ!$A$1098=""),"",40000*(-S1099)+(-506.3)*R1099*1000)</f>
        <v/>
      </c>
      <c r="Z1099" s="11" t="str">
        <f>IF(OR(履歴データ!$A$1099="",履歴データ!$A$1098=""),"",-40000*O1099)</f>
        <v/>
      </c>
      <c r="AA1099" s="11" t="str">
        <f>IF(OR(履歴データ!$A$1099="",履歴データ!$A$1098=""),"",-40000*P1099)</f>
        <v/>
      </c>
      <c r="AB1099" s="11" t="str">
        <f>IF(履歴データ!$A$1099="","",123.3)</f>
        <v/>
      </c>
      <c r="AC1099" t="str">
        <f>IF(履歴データ!$A$1099="","",SUM(T1099:AA1099))</f>
        <v/>
      </c>
      <c r="AD1099" s="29" t="str">
        <f>IF(履歴データ!$A$1099="","",AC1099/1000000)</f>
        <v/>
      </c>
      <c r="AE1099" s="29">
        <f>IF(履歴データ!$A$1099="",AE1098,AE1098+AC1099/1000000)</f>
        <v>70.844544225831427</v>
      </c>
      <c r="AF1099" s="12" t="str">
        <f>IF(OR(履歴データ!$A$1099="",AE1098=0),"",(AE1099-AE1098)/AE1098)</f>
        <v/>
      </c>
      <c r="AG1099" s="29">
        <f t="shared" si="47"/>
        <v>102.17217746631495</v>
      </c>
      <c r="AH1099" s="12" t="str">
        <f>IF(OR(履歴データ!$A$1099="",AG1099=0),"",AE1099/AG1099-1)</f>
        <v/>
      </c>
    </row>
    <row r="1100" spans="1:34">
      <c r="A1100" s="10" t="str">
        <f>IF(履歴データ!$A$1100="","",履歴データ!$A$1100)</f>
        <v/>
      </c>
      <c r="B1100" s="28" t="str">
        <f>IF(履歴データ!$A$1100="","",(履歴データ!$D$1100-(履歴データ!$B$1100+履歴データ!$F$1100)/2)*100)</f>
        <v/>
      </c>
      <c r="C1100" s="28" t="str">
        <f>IF(履歴データ!$A$1100="","",(履歴データ!$H$1100-(履歴データ!$G$1100+履歴データ!$J$1100)/2)*100)</f>
        <v/>
      </c>
      <c r="D1100" s="28" t="str">
        <f>IF(履歴データ!$A$1100="","",(履歴データ!$D$1100-履歴データ!$H$1100)*100)</f>
        <v/>
      </c>
      <c r="E1100" s="28" t="str">
        <f>IF(履歴データ!$A$1100="","",(履歴データ!$D$1100-履歴データ!$C$1100)*100)</f>
        <v/>
      </c>
      <c r="F1100" s="28" t="str">
        <f>IF(履歴データ!$A$1100="","",(履歴データ!$R$1100-履歴データ!$D$1100)*100)</f>
        <v/>
      </c>
      <c r="G1100" s="28" t="str">
        <f>IF(履歴データ!$A$1100="","",(履歴データ!$S$1100-履歴データ!$R$1100)*100)</f>
        <v/>
      </c>
      <c r="H1100" s="29" t="str">
        <f>IF(履歴データ!$A$1100="","",履歴データ!$O$1100)</f>
        <v/>
      </c>
      <c r="I1100" s="29" t="str">
        <f>IF(履歴データ!$A$1100="","",履歴データ!$Q$1100)</f>
        <v/>
      </c>
      <c r="J1100" s="29" t="str">
        <f>IF(履歴データ!$A$1100="","",履歴データ!$D$1100)</f>
        <v/>
      </c>
      <c r="K1100" s="28" t="str">
        <f>IF(OR(履歴データ!$A$1100="",履歴データ!$A$1099=""),"",B1100-B1099)</f>
        <v/>
      </c>
      <c r="L1100" s="28" t="str">
        <f>IF(OR(履歴データ!$A$1100="",履歴データ!$A$1099=""),"",C1100-C1099)</f>
        <v/>
      </c>
      <c r="M1100" s="28" t="str">
        <f>IF(OR(履歴データ!$A$1100="",履歴データ!$A$1099=""),"",D1100-D1099)</f>
        <v/>
      </c>
      <c r="N1100" s="28" t="str">
        <f>IF(OR(履歴データ!$A$1100="",履歴データ!$A$1099=""),"",E1100-E1099)</f>
        <v/>
      </c>
      <c r="O1100" s="28" t="str">
        <f>IF(OR(履歴データ!$A$1100="",履歴データ!$A$1099=""),"",F1100-F1099)</f>
        <v/>
      </c>
      <c r="P1100" s="28" t="str">
        <f>IF(OR(履歴データ!$A$1100="",履歴データ!$A$1099=""),"",G1100-G1099)</f>
        <v/>
      </c>
      <c r="Q1100" s="29" t="str">
        <f>IF(OR(履歴データ!$A$1100="",履歴データ!$A$1099=""),"",H1100-H1099)</f>
        <v/>
      </c>
      <c r="R1100" s="29" t="str">
        <f>IF(OR(履歴データ!$A$1100="",履歴データ!$A$1099=""),"",I1100-I1099)</f>
        <v/>
      </c>
      <c r="S1100" s="28" t="str">
        <f>IF(OR(履歴データ!$A$1100="",履歴データ!$A$1099=""),"",(J1100-J1099)*100)</f>
        <v/>
      </c>
      <c r="T1100" s="11" t="str">
        <f>IF(OR(履歴データ!$A$1100="",履歴データ!$A$1099=""),"",-80000*K1100)</f>
        <v/>
      </c>
      <c r="U1100" s="11" t="str">
        <f>IF(OR(履歴データ!$A$1100="",履歴データ!$A$1099=""),"",60000*L1100)</f>
        <v/>
      </c>
      <c r="V1100" s="11" t="str">
        <f>IF(OR(履歴データ!$A$1100="",履歴データ!$A$1099=""),"",-50000*M1100)</f>
        <v/>
      </c>
      <c r="W1100" s="11" t="str">
        <f>IF(OR(履歴データ!$A$1100="",履歴データ!$A$1099=""),"",-40000*N1100)</f>
        <v/>
      </c>
      <c r="X1100" s="11" t="str">
        <f>IF(OR(履歴データ!$A$1100="",履歴データ!$A$1099=""),"",120*1000000*(-Q1100/H1099))</f>
        <v/>
      </c>
      <c r="Y1100" s="11" t="str">
        <f>IF(OR(履歴データ!$A$1100="",履歴データ!$A$1099=""),"",40000*(-S1100)+(-506.3)*R1100*1000)</f>
        <v/>
      </c>
      <c r="Z1100" s="11" t="str">
        <f>IF(OR(履歴データ!$A$1100="",履歴データ!$A$1099=""),"",-40000*O1100)</f>
        <v/>
      </c>
      <c r="AA1100" s="11" t="str">
        <f>IF(OR(履歴データ!$A$1100="",履歴データ!$A$1099=""),"",-40000*P1100)</f>
        <v/>
      </c>
      <c r="AB1100" s="11" t="str">
        <f>IF(履歴データ!$A$1100="","",123.3)</f>
        <v/>
      </c>
      <c r="AC1100" t="str">
        <f>IF(履歴データ!$A$1100="","",SUM(T1100:AA1100))</f>
        <v/>
      </c>
      <c r="AD1100" s="29" t="str">
        <f>IF(履歴データ!$A$1100="","",AC1100/1000000)</f>
        <v/>
      </c>
      <c r="AE1100" s="29">
        <f>IF(履歴データ!$A$1100="",AE1099,AE1099+AC1100/1000000)</f>
        <v>70.844544225831427</v>
      </c>
      <c r="AF1100" s="12" t="str">
        <f>IF(OR(履歴データ!$A$1100="",AE1099=0),"",(AE1100-AE1099)/AE1099)</f>
        <v/>
      </c>
      <c r="AG1100" s="29">
        <f t="shared" si="47"/>
        <v>102.17217746631495</v>
      </c>
      <c r="AH1100" s="12" t="str">
        <f>IF(OR(履歴データ!$A$1100="",AG1100=0),"",AE1100/AG1100-1)</f>
        <v/>
      </c>
    </row>
    <row r="1101" spans="1:34">
      <c r="A1101" s="10" t="str">
        <f>IF(履歴データ!$A$1101="","",履歴データ!$A$1101)</f>
        <v/>
      </c>
      <c r="B1101" s="28" t="str">
        <f>IF(履歴データ!$A$1101="","",(履歴データ!$D$1101-(履歴データ!$B$1101+履歴データ!$F$1101)/2)*100)</f>
        <v/>
      </c>
      <c r="C1101" s="28" t="str">
        <f>IF(履歴データ!$A$1101="","",(履歴データ!$H$1101-(履歴データ!$G$1101+履歴データ!$J$1101)/2)*100)</f>
        <v/>
      </c>
      <c r="D1101" s="28" t="str">
        <f>IF(履歴データ!$A$1101="","",(履歴データ!$D$1101-履歴データ!$H$1101)*100)</f>
        <v/>
      </c>
      <c r="E1101" s="28" t="str">
        <f>IF(履歴データ!$A$1101="","",(履歴データ!$D$1101-履歴データ!$C$1101)*100)</f>
        <v/>
      </c>
      <c r="F1101" s="28" t="str">
        <f>IF(履歴データ!$A$1101="","",(履歴データ!$R$1101-履歴データ!$D$1101)*100)</f>
        <v/>
      </c>
      <c r="G1101" s="28" t="str">
        <f>IF(履歴データ!$A$1101="","",(履歴データ!$S$1101-履歴データ!$R$1101)*100)</f>
        <v/>
      </c>
      <c r="H1101" s="29" t="str">
        <f>IF(履歴データ!$A$1101="","",履歴データ!$O$1101)</f>
        <v/>
      </c>
      <c r="I1101" s="29" t="str">
        <f>IF(履歴データ!$A$1101="","",履歴データ!$Q$1101)</f>
        <v/>
      </c>
      <c r="J1101" s="29" t="str">
        <f>IF(履歴データ!$A$1101="","",履歴データ!$D$1101)</f>
        <v/>
      </c>
      <c r="K1101" s="28" t="str">
        <f>IF(OR(履歴データ!$A$1101="",履歴データ!$A$1100=""),"",B1101-B1100)</f>
        <v/>
      </c>
      <c r="L1101" s="28" t="str">
        <f>IF(OR(履歴データ!$A$1101="",履歴データ!$A$1100=""),"",C1101-C1100)</f>
        <v/>
      </c>
      <c r="M1101" s="28" t="str">
        <f>IF(OR(履歴データ!$A$1101="",履歴データ!$A$1100=""),"",D1101-D1100)</f>
        <v/>
      </c>
      <c r="N1101" s="28" t="str">
        <f>IF(OR(履歴データ!$A$1101="",履歴データ!$A$1100=""),"",E1101-E1100)</f>
        <v/>
      </c>
      <c r="O1101" s="28" t="str">
        <f>IF(OR(履歴データ!$A$1101="",履歴データ!$A$1100=""),"",F1101-F1100)</f>
        <v/>
      </c>
      <c r="P1101" s="28" t="str">
        <f>IF(OR(履歴データ!$A$1101="",履歴データ!$A$1100=""),"",G1101-G1100)</f>
        <v/>
      </c>
      <c r="Q1101" s="29" t="str">
        <f>IF(OR(履歴データ!$A$1101="",履歴データ!$A$1100=""),"",H1101-H1100)</f>
        <v/>
      </c>
      <c r="R1101" s="29" t="str">
        <f>IF(OR(履歴データ!$A$1101="",履歴データ!$A$1100=""),"",I1101-I1100)</f>
        <v/>
      </c>
      <c r="S1101" s="28" t="str">
        <f>IF(OR(履歴データ!$A$1101="",履歴データ!$A$1100=""),"",(J1101-J1100)*100)</f>
        <v/>
      </c>
      <c r="T1101" s="11" t="str">
        <f>IF(OR(履歴データ!$A$1101="",履歴データ!$A$1100=""),"",-80000*K1101)</f>
        <v/>
      </c>
      <c r="U1101" s="11" t="str">
        <f>IF(OR(履歴データ!$A$1101="",履歴データ!$A$1100=""),"",60000*L1101)</f>
        <v/>
      </c>
      <c r="V1101" s="11" t="str">
        <f>IF(OR(履歴データ!$A$1101="",履歴データ!$A$1100=""),"",-50000*M1101)</f>
        <v/>
      </c>
      <c r="W1101" s="11" t="str">
        <f>IF(OR(履歴データ!$A$1101="",履歴データ!$A$1100=""),"",-40000*N1101)</f>
        <v/>
      </c>
      <c r="X1101" s="11" t="str">
        <f>IF(OR(履歴データ!$A$1101="",履歴データ!$A$1100=""),"",120*1000000*(-Q1101/H1100))</f>
        <v/>
      </c>
      <c r="Y1101" s="11" t="str">
        <f>IF(OR(履歴データ!$A$1101="",履歴データ!$A$1100=""),"",40000*(-S1101)+(-506.3)*R1101*1000)</f>
        <v/>
      </c>
      <c r="Z1101" s="11" t="str">
        <f>IF(OR(履歴データ!$A$1101="",履歴データ!$A$1100=""),"",-40000*O1101)</f>
        <v/>
      </c>
      <c r="AA1101" s="11" t="str">
        <f>IF(OR(履歴データ!$A$1101="",履歴データ!$A$1100=""),"",-40000*P1101)</f>
        <v/>
      </c>
      <c r="AB1101" s="11" t="str">
        <f>IF(履歴データ!$A$1101="","",123.3)</f>
        <v/>
      </c>
      <c r="AC1101" t="str">
        <f>IF(履歴データ!$A$1101="","",SUM(T1101:AA1101))</f>
        <v/>
      </c>
      <c r="AD1101" s="29" t="str">
        <f>IF(履歴データ!$A$1101="","",AC1101/1000000)</f>
        <v/>
      </c>
      <c r="AE1101" s="29">
        <f>IF(履歴データ!$A$1101="",AE1100,AE1100+AC1101/1000000)</f>
        <v>70.844544225831427</v>
      </c>
      <c r="AF1101" s="12" t="str">
        <f>IF(OR(履歴データ!$A$1101="",AE1100=0),"",(AE1101-AE1100)/AE1100)</f>
        <v/>
      </c>
      <c r="AG1101" s="29">
        <f t="shared" si="47"/>
        <v>102.17217746631495</v>
      </c>
      <c r="AH1101" s="12" t="str">
        <f>IF(OR(履歴データ!$A$1101="",AG1101=0),"",AE1101/AG1101-1)</f>
        <v/>
      </c>
    </row>
    <row r="1102" spans="1:34">
      <c r="A1102" s="10" t="str">
        <f>IF(履歴データ!$A$1102="","",履歴データ!$A$1102)</f>
        <v/>
      </c>
      <c r="B1102" s="28" t="str">
        <f>IF(履歴データ!$A$1102="","",(履歴データ!$D$1102-(履歴データ!$B$1102+履歴データ!$F$1102)/2)*100)</f>
        <v/>
      </c>
      <c r="C1102" s="28" t="str">
        <f>IF(履歴データ!$A$1102="","",(履歴データ!$H$1102-(履歴データ!$G$1102+履歴データ!$J$1102)/2)*100)</f>
        <v/>
      </c>
      <c r="D1102" s="28" t="str">
        <f>IF(履歴データ!$A$1102="","",(履歴データ!$D$1102-履歴データ!$H$1102)*100)</f>
        <v/>
      </c>
      <c r="E1102" s="28" t="str">
        <f>IF(履歴データ!$A$1102="","",(履歴データ!$D$1102-履歴データ!$C$1102)*100)</f>
        <v/>
      </c>
      <c r="F1102" s="28" t="str">
        <f>IF(履歴データ!$A$1102="","",(履歴データ!$R$1102-履歴データ!$D$1102)*100)</f>
        <v/>
      </c>
      <c r="G1102" s="28" t="str">
        <f>IF(履歴データ!$A$1102="","",(履歴データ!$S$1102-履歴データ!$R$1102)*100)</f>
        <v/>
      </c>
      <c r="H1102" s="29" t="str">
        <f>IF(履歴データ!$A$1102="","",履歴データ!$O$1102)</f>
        <v/>
      </c>
      <c r="I1102" s="29" t="str">
        <f>IF(履歴データ!$A$1102="","",履歴データ!$Q$1102)</f>
        <v/>
      </c>
      <c r="J1102" s="29" t="str">
        <f>IF(履歴データ!$A$1102="","",履歴データ!$D$1102)</f>
        <v/>
      </c>
      <c r="K1102" s="28" t="str">
        <f>IF(OR(履歴データ!$A$1102="",履歴データ!$A$1101=""),"",B1102-B1101)</f>
        <v/>
      </c>
      <c r="L1102" s="28" t="str">
        <f>IF(OR(履歴データ!$A$1102="",履歴データ!$A$1101=""),"",C1102-C1101)</f>
        <v/>
      </c>
      <c r="M1102" s="28" t="str">
        <f>IF(OR(履歴データ!$A$1102="",履歴データ!$A$1101=""),"",D1102-D1101)</f>
        <v/>
      </c>
      <c r="N1102" s="28" t="str">
        <f>IF(OR(履歴データ!$A$1102="",履歴データ!$A$1101=""),"",E1102-E1101)</f>
        <v/>
      </c>
      <c r="O1102" s="28" t="str">
        <f>IF(OR(履歴データ!$A$1102="",履歴データ!$A$1101=""),"",F1102-F1101)</f>
        <v/>
      </c>
      <c r="P1102" s="28" t="str">
        <f>IF(OR(履歴データ!$A$1102="",履歴データ!$A$1101=""),"",G1102-G1101)</f>
        <v/>
      </c>
      <c r="Q1102" s="29" t="str">
        <f>IF(OR(履歴データ!$A$1102="",履歴データ!$A$1101=""),"",H1102-H1101)</f>
        <v/>
      </c>
      <c r="R1102" s="29" t="str">
        <f>IF(OR(履歴データ!$A$1102="",履歴データ!$A$1101=""),"",I1102-I1101)</f>
        <v/>
      </c>
      <c r="S1102" s="28" t="str">
        <f>IF(OR(履歴データ!$A$1102="",履歴データ!$A$1101=""),"",(J1102-J1101)*100)</f>
        <v/>
      </c>
      <c r="T1102" s="11" t="str">
        <f>IF(OR(履歴データ!$A$1102="",履歴データ!$A$1101=""),"",-80000*K1102)</f>
        <v/>
      </c>
      <c r="U1102" s="11" t="str">
        <f>IF(OR(履歴データ!$A$1102="",履歴データ!$A$1101=""),"",60000*L1102)</f>
        <v/>
      </c>
      <c r="V1102" s="11" t="str">
        <f>IF(OR(履歴データ!$A$1102="",履歴データ!$A$1101=""),"",-50000*M1102)</f>
        <v/>
      </c>
      <c r="W1102" s="11" t="str">
        <f>IF(OR(履歴データ!$A$1102="",履歴データ!$A$1101=""),"",-40000*N1102)</f>
        <v/>
      </c>
      <c r="X1102" s="11" t="str">
        <f>IF(OR(履歴データ!$A$1102="",履歴データ!$A$1101=""),"",120*1000000*(-Q1102/H1101))</f>
        <v/>
      </c>
      <c r="Y1102" s="11" t="str">
        <f>IF(OR(履歴データ!$A$1102="",履歴データ!$A$1101=""),"",40000*(-S1102)+(-506.3)*R1102*1000)</f>
        <v/>
      </c>
      <c r="Z1102" s="11" t="str">
        <f>IF(OR(履歴データ!$A$1102="",履歴データ!$A$1101=""),"",-40000*O1102)</f>
        <v/>
      </c>
      <c r="AA1102" s="11" t="str">
        <f>IF(OR(履歴データ!$A$1102="",履歴データ!$A$1101=""),"",-40000*P1102)</f>
        <v/>
      </c>
      <c r="AB1102" s="11" t="str">
        <f>IF(履歴データ!$A$1102="","",123.3)</f>
        <v/>
      </c>
      <c r="AC1102" t="str">
        <f>IF(履歴データ!$A$1102="","",SUM(T1102:AA1102))</f>
        <v/>
      </c>
      <c r="AD1102" s="29" t="str">
        <f>IF(履歴データ!$A$1102="","",AC1102/1000000)</f>
        <v/>
      </c>
      <c r="AE1102" s="29">
        <f>IF(履歴データ!$A$1102="",AE1101,AE1101+AC1102/1000000)</f>
        <v>70.844544225831427</v>
      </c>
      <c r="AF1102" s="12" t="str">
        <f>IF(OR(履歴データ!$A$1102="",AE1101=0),"",(AE1102-AE1101)/AE1101)</f>
        <v/>
      </c>
      <c r="AG1102" s="29">
        <f t="shared" si="47"/>
        <v>102.17217746631495</v>
      </c>
      <c r="AH1102" s="12" t="str">
        <f>IF(OR(履歴データ!$A$1102="",AG1102=0),"",AE1102/AG1102-1)</f>
        <v/>
      </c>
    </row>
    <row r="1103" spans="1:34">
      <c r="A1103" s="10" t="str">
        <f>IF(履歴データ!$A$1103="","",履歴データ!$A$1103)</f>
        <v/>
      </c>
      <c r="B1103" s="28" t="str">
        <f>IF(履歴データ!$A$1103="","",(履歴データ!$D$1103-(履歴データ!$B$1103+履歴データ!$F$1103)/2)*100)</f>
        <v/>
      </c>
      <c r="C1103" s="28" t="str">
        <f>IF(履歴データ!$A$1103="","",(履歴データ!$H$1103-(履歴データ!$G$1103+履歴データ!$J$1103)/2)*100)</f>
        <v/>
      </c>
      <c r="D1103" s="28" t="str">
        <f>IF(履歴データ!$A$1103="","",(履歴データ!$D$1103-履歴データ!$H$1103)*100)</f>
        <v/>
      </c>
      <c r="E1103" s="28" t="str">
        <f>IF(履歴データ!$A$1103="","",(履歴データ!$D$1103-履歴データ!$C$1103)*100)</f>
        <v/>
      </c>
      <c r="F1103" s="28" t="str">
        <f>IF(履歴データ!$A$1103="","",(履歴データ!$R$1103-履歴データ!$D$1103)*100)</f>
        <v/>
      </c>
      <c r="G1103" s="28" t="str">
        <f>IF(履歴データ!$A$1103="","",(履歴データ!$S$1103-履歴データ!$R$1103)*100)</f>
        <v/>
      </c>
      <c r="H1103" s="29" t="str">
        <f>IF(履歴データ!$A$1103="","",履歴データ!$O$1103)</f>
        <v/>
      </c>
      <c r="I1103" s="29" t="str">
        <f>IF(履歴データ!$A$1103="","",履歴データ!$Q$1103)</f>
        <v/>
      </c>
      <c r="J1103" s="29" t="str">
        <f>IF(履歴データ!$A$1103="","",履歴データ!$D$1103)</f>
        <v/>
      </c>
      <c r="K1103" s="28" t="str">
        <f>IF(OR(履歴データ!$A$1103="",履歴データ!$A$1102=""),"",B1103-B1102)</f>
        <v/>
      </c>
      <c r="L1103" s="28" t="str">
        <f>IF(OR(履歴データ!$A$1103="",履歴データ!$A$1102=""),"",C1103-C1102)</f>
        <v/>
      </c>
      <c r="M1103" s="28" t="str">
        <f>IF(OR(履歴データ!$A$1103="",履歴データ!$A$1102=""),"",D1103-D1102)</f>
        <v/>
      </c>
      <c r="N1103" s="28" t="str">
        <f>IF(OR(履歴データ!$A$1103="",履歴データ!$A$1102=""),"",E1103-E1102)</f>
        <v/>
      </c>
      <c r="O1103" s="28" t="str">
        <f>IF(OR(履歴データ!$A$1103="",履歴データ!$A$1102=""),"",F1103-F1102)</f>
        <v/>
      </c>
      <c r="P1103" s="28" t="str">
        <f>IF(OR(履歴データ!$A$1103="",履歴データ!$A$1102=""),"",G1103-G1102)</f>
        <v/>
      </c>
      <c r="Q1103" s="29" t="str">
        <f>IF(OR(履歴データ!$A$1103="",履歴データ!$A$1102=""),"",H1103-H1102)</f>
        <v/>
      </c>
      <c r="R1103" s="29" t="str">
        <f>IF(OR(履歴データ!$A$1103="",履歴データ!$A$1102=""),"",I1103-I1102)</f>
        <v/>
      </c>
      <c r="S1103" s="28" t="str">
        <f>IF(OR(履歴データ!$A$1103="",履歴データ!$A$1102=""),"",(J1103-J1102)*100)</f>
        <v/>
      </c>
      <c r="T1103" s="11" t="str">
        <f>IF(OR(履歴データ!$A$1103="",履歴データ!$A$1102=""),"",-80000*K1103)</f>
        <v/>
      </c>
      <c r="U1103" s="11" t="str">
        <f>IF(OR(履歴データ!$A$1103="",履歴データ!$A$1102=""),"",60000*L1103)</f>
        <v/>
      </c>
      <c r="V1103" s="11" t="str">
        <f>IF(OR(履歴データ!$A$1103="",履歴データ!$A$1102=""),"",-50000*M1103)</f>
        <v/>
      </c>
      <c r="W1103" s="11" t="str">
        <f>IF(OR(履歴データ!$A$1103="",履歴データ!$A$1102=""),"",-40000*N1103)</f>
        <v/>
      </c>
      <c r="X1103" s="11" t="str">
        <f>IF(OR(履歴データ!$A$1103="",履歴データ!$A$1102=""),"",120*1000000*(-Q1103/H1102))</f>
        <v/>
      </c>
      <c r="Y1103" s="11" t="str">
        <f>IF(OR(履歴データ!$A$1103="",履歴データ!$A$1102=""),"",40000*(-S1103)+(-506.3)*R1103*1000)</f>
        <v/>
      </c>
      <c r="Z1103" s="11" t="str">
        <f>IF(OR(履歴データ!$A$1103="",履歴データ!$A$1102=""),"",-40000*O1103)</f>
        <v/>
      </c>
      <c r="AA1103" s="11" t="str">
        <f>IF(OR(履歴データ!$A$1103="",履歴データ!$A$1102=""),"",-40000*P1103)</f>
        <v/>
      </c>
      <c r="AB1103" s="11" t="str">
        <f>IF(履歴データ!$A$1103="","",123.3)</f>
        <v/>
      </c>
      <c r="AC1103" t="str">
        <f>IF(履歴データ!$A$1103="","",SUM(T1103:AA1103))</f>
        <v/>
      </c>
      <c r="AD1103" s="29" t="str">
        <f>IF(履歴データ!$A$1103="","",AC1103/1000000)</f>
        <v/>
      </c>
      <c r="AE1103" s="29">
        <f>IF(履歴データ!$A$1103="",AE1102,AE1102+AC1103/1000000)</f>
        <v>70.844544225831427</v>
      </c>
      <c r="AF1103" s="12" t="str">
        <f>IF(OR(履歴データ!$A$1103="",AE1102=0),"",(AE1103-AE1102)/AE1102)</f>
        <v/>
      </c>
      <c r="AG1103" s="29">
        <f t="shared" si="47"/>
        <v>102.17217746631495</v>
      </c>
      <c r="AH1103" s="12" t="str">
        <f>IF(OR(履歴データ!$A$1103="",AG1103=0),"",AE1103/AG1103-1)</f>
        <v/>
      </c>
    </row>
    <row r="1104" spans="1:34">
      <c r="A1104" s="10" t="str">
        <f>IF(履歴データ!$A$1104="","",履歴データ!$A$1104)</f>
        <v/>
      </c>
      <c r="B1104" s="28" t="str">
        <f>IF(履歴データ!$A$1104="","",(履歴データ!$D$1104-(履歴データ!$B$1104+履歴データ!$F$1104)/2)*100)</f>
        <v/>
      </c>
      <c r="C1104" s="28" t="str">
        <f>IF(履歴データ!$A$1104="","",(履歴データ!$H$1104-(履歴データ!$G$1104+履歴データ!$J$1104)/2)*100)</f>
        <v/>
      </c>
      <c r="D1104" s="28" t="str">
        <f>IF(履歴データ!$A$1104="","",(履歴データ!$D$1104-履歴データ!$H$1104)*100)</f>
        <v/>
      </c>
      <c r="E1104" s="28" t="str">
        <f>IF(履歴データ!$A$1104="","",(履歴データ!$D$1104-履歴データ!$C$1104)*100)</f>
        <v/>
      </c>
      <c r="F1104" s="28" t="str">
        <f>IF(履歴データ!$A$1104="","",(履歴データ!$R$1104-履歴データ!$D$1104)*100)</f>
        <v/>
      </c>
      <c r="G1104" s="28" t="str">
        <f>IF(履歴データ!$A$1104="","",(履歴データ!$S$1104-履歴データ!$R$1104)*100)</f>
        <v/>
      </c>
      <c r="H1104" s="29" t="str">
        <f>IF(履歴データ!$A$1104="","",履歴データ!$O$1104)</f>
        <v/>
      </c>
      <c r="I1104" s="29" t="str">
        <f>IF(履歴データ!$A$1104="","",履歴データ!$Q$1104)</f>
        <v/>
      </c>
      <c r="J1104" s="29" t="str">
        <f>IF(履歴データ!$A$1104="","",履歴データ!$D$1104)</f>
        <v/>
      </c>
      <c r="K1104" s="28" t="str">
        <f>IF(OR(履歴データ!$A$1104="",履歴データ!$A$1103=""),"",B1104-B1103)</f>
        <v/>
      </c>
      <c r="L1104" s="28" t="str">
        <f>IF(OR(履歴データ!$A$1104="",履歴データ!$A$1103=""),"",C1104-C1103)</f>
        <v/>
      </c>
      <c r="M1104" s="28" t="str">
        <f>IF(OR(履歴データ!$A$1104="",履歴データ!$A$1103=""),"",D1104-D1103)</f>
        <v/>
      </c>
      <c r="N1104" s="28" t="str">
        <f>IF(OR(履歴データ!$A$1104="",履歴データ!$A$1103=""),"",E1104-E1103)</f>
        <v/>
      </c>
      <c r="O1104" s="28" t="str">
        <f>IF(OR(履歴データ!$A$1104="",履歴データ!$A$1103=""),"",F1104-F1103)</f>
        <v/>
      </c>
      <c r="P1104" s="28" t="str">
        <f>IF(OR(履歴データ!$A$1104="",履歴データ!$A$1103=""),"",G1104-G1103)</f>
        <v/>
      </c>
      <c r="Q1104" s="29" t="str">
        <f>IF(OR(履歴データ!$A$1104="",履歴データ!$A$1103=""),"",H1104-H1103)</f>
        <v/>
      </c>
      <c r="R1104" s="29" t="str">
        <f>IF(OR(履歴データ!$A$1104="",履歴データ!$A$1103=""),"",I1104-I1103)</f>
        <v/>
      </c>
      <c r="S1104" s="28" t="str">
        <f>IF(OR(履歴データ!$A$1104="",履歴データ!$A$1103=""),"",(J1104-J1103)*100)</f>
        <v/>
      </c>
      <c r="T1104" s="11" t="str">
        <f>IF(OR(履歴データ!$A$1104="",履歴データ!$A$1103=""),"",-80000*K1104)</f>
        <v/>
      </c>
      <c r="U1104" s="11" t="str">
        <f>IF(OR(履歴データ!$A$1104="",履歴データ!$A$1103=""),"",60000*L1104)</f>
        <v/>
      </c>
      <c r="V1104" s="11" t="str">
        <f>IF(OR(履歴データ!$A$1104="",履歴データ!$A$1103=""),"",-50000*M1104)</f>
        <v/>
      </c>
      <c r="W1104" s="11" t="str">
        <f>IF(OR(履歴データ!$A$1104="",履歴データ!$A$1103=""),"",-40000*N1104)</f>
        <v/>
      </c>
      <c r="X1104" s="11" t="str">
        <f>IF(OR(履歴データ!$A$1104="",履歴データ!$A$1103=""),"",120*1000000*(-Q1104/H1103))</f>
        <v/>
      </c>
      <c r="Y1104" s="11" t="str">
        <f>IF(OR(履歴データ!$A$1104="",履歴データ!$A$1103=""),"",40000*(-S1104)+(-506.3)*R1104*1000)</f>
        <v/>
      </c>
      <c r="Z1104" s="11" t="str">
        <f>IF(OR(履歴データ!$A$1104="",履歴データ!$A$1103=""),"",-40000*O1104)</f>
        <v/>
      </c>
      <c r="AA1104" s="11" t="str">
        <f>IF(OR(履歴データ!$A$1104="",履歴データ!$A$1103=""),"",-40000*P1104)</f>
        <v/>
      </c>
      <c r="AB1104" s="11" t="str">
        <f>IF(履歴データ!$A$1104="","",123.3)</f>
        <v/>
      </c>
      <c r="AC1104" t="str">
        <f>IF(履歴データ!$A$1104="","",SUM(T1104:AA1104))</f>
        <v/>
      </c>
      <c r="AD1104" s="29" t="str">
        <f>IF(履歴データ!$A$1104="","",AC1104/1000000)</f>
        <v/>
      </c>
      <c r="AE1104" s="29">
        <f>IF(履歴データ!$A$1104="",AE1103,AE1103+AC1104/1000000)</f>
        <v>70.844544225831427</v>
      </c>
      <c r="AF1104" s="12" t="str">
        <f>IF(OR(履歴データ!$A$1104="",AE1103=0),"",(AE1104-AE1103)/AE1103)</f>
        <v/>
      </c>
      <c r="AG1104" s="29">
        <f t="shared" si="47"/>
        <v>102.17217746631495</v>
      </c>
      <c r="AH1104" s="12" t="str">
        <f>IF(OR(履歴データ!$A$1104="",AG1104=0),"",AE1104/AG1104-1)</f>
        <v/>
      </c>
    </row>
    <row r="1105" spans="1:34">
      <c r="A1105" s="10" t="str">
        <f>IF(履歴データ!$A$1105="","",履歴データ!$A$1105)</f>
        <v/>
      </c>
      <c r="B1105" s="28" t="str">
        <f>IF(履歴データ!$A$1105="","",(履歴データ!$D$1105-(履歴データ!$B$1105+履歴データ!$F$1105)/2)*100)</f>
        <v/>
      </c>
      <c r="C1105" s="28" t="str">
        <f>IF(履歴データ!$A$1105="","",(履歴データ!$H$1105-(履歴データ!$G$1105+履歴データ!$J$1105)/2)*100)</f>
        <v/>
      </c>
      <c r="D1105" s="28" t="str">
        <f>IF(履歴データ!$A$1105="","",(履歴データ!$D$1105-履歴データ!$H$1105)*100)</f>
        <v/>
      </c>
      <c r="E1105" s="28" t="str">
        <f>IF(履歴データ!$A$1105="","",(履歴データ!$D$1105-履歴データ!$C$1105)*100)</f>
        <v/>
      </c>
      <c r="F1105" s="28" t="str">
        <f>IF(履歴データ!$A$1105="","",(履歴データ!$R$1105-履歴データ!$D$1105)*100)</f>
        <v/>
      </c>
      <c r="G1105" s="28" t="str">
        <f>IF(履歴データ!$A$1105="","",(履歴データ!$S$1105-履歴データ!$R$1105)*100)</f>
        <v/>
      </c>
      <c r="H1105" s="29" t="str">
        <f>IF(履歴データ!$A$1105="","",履歴データ!$O$1105)</f>
        <v/>
      </c>
      <c r="I1105" s="29" t="str">
        <f>IF(履歴データ!$A$1105="","",履歴データ!$Q$1105)</f>
        <v/>
      </c>
      <c r="J1105" s="29" t="str">
        <f>IF(履歴データ!$A$1105="","",履歴データ!$D$1105)</f>
        <v/>
      </c>
      <c r="K1105" s="28" t="str">
        <f>IF(OR(履歴データ!$A$1105="",履歴データ!$A$1104=""),"",B1105-B1104)</f>
        <v/>
      </c>
      <c r="L1105" s="28" t="str">
        <f>IF(OR(履歴データ!$A$1105="",履歴データ!$A$1104=""),"",C1105-C1104)</f>
        <v/>
      </c>
      <c r="M1105" s="28" t="str">
        <f>IF(OR(履歴データ!$A$1105="",履歴データ!$A$1104=""),"",D1105-D1104)</f>
        <v/>
      </c>
      <c r="N1105" s="28" t="str">
        <f>IF(OR(履歴データ!$A$1105="",履歴データ!$A$1104=""),"",E1105-E1104)</f>
        <v/>
      </c>
      <c r="O1105" s="28" t="str">
        <f>IF(OR(履歴データ!$A$1105="",履歴データ!$A$1104=""),"",F1105-F1104)</f>
        <v/>
      </c>
      <c r="P1105" s="28" t="str">
        <f>IF(OR(履歴データ!$A$1105="",履歴データ!$A$1104=""),"",G1105-G1104)</f>
        <v/>
      </c>
      <c r="Q1105" s="29" t="str">
        <f>IF(OR(履歴データ!$A$1105="",履歴データ!$A$1104=""),"",H1105-H1104)</f>
        <v/>
      </c>
      <c r="R1105" s="29" t="str">
        <f>IF(OR(履歴データ!$A$1105="",履歴データ!$A$1104=""),"",I1105-I1104)</f>
        <v/>
      </c>
      <c r="S1105" s="28" t="str">
        <f>IF(OR(履歴データ!$A$1105="",履歴データ!$A$1104=""),"",(J1105-J1104)*100)</f>
        <v/>
      </c>
      <c r="T1105" s="11" t="str">
        <f>IF(OR(履歴データ!$A$1105="",履歴データ!$A$1104=""),"",-80000*K1105)</f>
        <v/>
      </c>
      <c r="U1105" s="11" t="str">
        <f>IF(OR(履歴データ!$A$1105="",履歴データ!$A$1104=""),"",60000*L1105)</f>
        <v/>
      </c>
      <c r="V1105" s="11" t="str">
        <f>IF(OR(履歴データ!$A$1105="",履歴データ!$A$1104=""),"",-50000*M1105)</f>
        <v/>
      </c>
      <c r="W1105" s="11" t="str">
        <f>IF(OR(履歴データ!$A$1105="",履歴データ!$A$1104=""),"",-40000*N1105)</f>
        <v/>
      </c>
      <c r="X1105" s="11" t="str">
        <f>IF(OR(履歴データ!$A$1105="",履歴データ!$A$1104=""),"",120*1000000*(-Q1105/H1104))</f>
        <v/>
      </c>
      <c r="Y1105" s="11" t="str">
        <f>IF(OR(履歴データ!$A$1105="",履歴データ!$A$1104=""),"",40000*(-S1105)+(-506.3)*R1105*1000)</f>
        <v/>
      </c>
      <c r="Z1105" s="11" t="str">
        <f>IF(OR(履歴データ!$A$1105="",履歴データ!$A$1104=""),"",-40000*O1105)</f>
        <v/>
      </c>
      <c r="AA1105" s="11" t="str">
        <f>IF(OR(履歴データ!$A$1105="",履歴データ!$A$1104=""),"",-40000*P1105)</f>
        <v/>
      </c>
      <c r="AB1105" s="11" t="str">
        <f>IF(履歴データ!$A$1105="","",123.3)</f>
        <v/>
      </c>
      <c r="AC1105" t="str">
        <f>IF(履歴データ!$A$1105="","",SUM(T1105:AA1105))</f>
        <v/>
      </c>
      <c r="AD1105" s="29" t="str">
        <f>IF(履歴データ!$A$1105="","",AC1105/1000000)</f>
        <v/>
      </c>
      <c r="AE1105" s="29">
        <f>IF(履歴データ!$A$1105="",AE1104,AE1104+AC1105/1000000)</f>
        <v>70.844544225831427</v>
      </c>
      <c r="AF1105" s="12" t="str">
        <f>IF(OR(履歴データ!$A$1105="",AE1104=0),"",(AE1105-AE1104)/AE1104)</f>
        <v/>
      </c>
      <c r="AG1105" s="29">
        <f t="shared" si="47"/>
        <v>102.17217746631495</v>
      </c>
      <c r="AH1105" s="12" t="str">
        <f>IF(OR(履歴データ!$A$1105="",AG1105=0),"",AE1105/AG1105-1)</f>
        <v/>
      </c>
    </row>
    <row r="1106" spans="1:34">
      <c r="A1106" s="10" t="str">
        <f>IF(履歴データ!$A$1106="","",履歴データ!$A$1106)</f>
        <v/>
      </c>
      <c r="B1106" s="28" t="str">
        <f>IF(履歴データ!$A$1106="","",(履歴データ!$D$1106-(履歴データ!$B$1106+履歴データ!$F$1106)/2)*100)</f>
        <v/>
      </c>
      <c r="C1106" s="28" t="str">
        <f>IF(履歴データ!$A$1106="","",(履歴データ!$H$1106-(履歴データ!$G$1106+履歴データ!$J$1106)/2)*100)</f>
        <v/>
      </c>
      <c r="D1106" s="28" t="str">
        <f>IF(履歴データ!$A$1106="","",(履歴データ!$D$1106-履歴データ!$H$1106)*100)</f>
        <v/>
      </c>
      <c r="E1106" s="28" t="str">
        <f>IF(履歴データ!$A$1106="","",(履歴データ!$D$1106-履歴データ!$C$1106)*100)</f>
        <v/>
      </c>
      <c r="F1106" s="28" t="str">
        <f>IF(履歴データ!$A$1106="","",(履歴データ!$R$1106-履歴データ!$D$1106)*100)</f>
        <v/>
      </c>
      <c r="G1106" s="28" t="str">
        <f>IF(履歴データ!$A$1106="","",(履歴データ!$S$1106-履歴データ!$R$1106)*100)</f>
        <v/>
      </c>
      <c r="H1106" s="29" t="str">
        <f>IF(履歴データ!$A$1106="","",履歴データ!$O$1106)</f>
        <v/>
      </c>
      <c r="I1106" s="29" t="str">
        <f>IF(履歴データ!$A$1106="","",履歴データ!$Q$1106)</f>
        <v/>
      </c>
      <c r="J1106" s="29" t="str">
        <f>IF(履歴データ!$A$1106="","",履歴データ!$D$1106)</f>
        <v/>
      </c>
      <c r="K1106" s="28" t="str">
        <f>IF(OR(履歴データ!$A$1106="",履歴データ!$A$1105=""),"",B1106-B1105)</f>
        <v/>
      </c>
      <c r="L1106" s="28" t="str">
        <f>IF(OR(履歴データ!$A$1106="",履歴データ!$A$1105=""),"",C1106-C1105)</f>
        <v/>
      </c>
      <c r="M1106" s="28" t="str">
        <f>IF(OR(履歴データ!$A$1106="",履歴データ!$A$1105=""),"",D1106-D1105)</f>
        <v/>
      </c>
      <c r="N1106" s="28" t="str">
        <f>IF(OR(履歴データ!$A$1106="",履歴データ!$A$1105=""),"",E1106-E1105)</f>
        <v/>
      </c>
      <c r="O1106" s="28" t="str">
        <f>IF(OR(履歴データ!$A$1106="",履歴データ!$A$1105=""),"",F1106-F1105)</f>
        <v/>
      </c>
      <c r="P1106" s="28" t="str">
        <f>IF(OR(履歴データ!$A$1106="",履歴データ!$A$1105=""),"",G1106-G1105)</f>
        <v/>
      </c>
      <c r="Q1106" s="29" t="str">
        <f>IF(OR(履歴データ!$A$1106="",履歴データ!$A$1105=""),"",H1106-H1105)</f>
        <v/>
      </c>
      <c r="R1106" s="29" t="str">
        <f>IF(OR(履歴データ!$A$1106="",履歴データ!$A$1105=""),"",I1106-I1105)</f>
        <v/>
      </c>
      <c r="S1106" s="28" t="str">
        <f>IF(OR(履歴データ!$A$1106="",履歴データ!$A$1105=""),"",(J1106-J1105)*100)</f>
        <v/>
      </c>
      <c r="T1106" s="11" t="str">
        <f>IF(OR(履歴データ!$A$1106="",履歴データ!$A$1105=""),"",-80000*K1106)</f>
        <v/>
      </c>
      <c r="U1106" s="11" t="str">
        <f>IF(OR(履歴データ!$A$1106="",履歴データ!$A$1105=""),"",60000*L1106)</f>
        <v/>
      </c>
      <c r="V1106" s="11" t="str">
        <f>IF(OR(履歴データ!$A$1106="",履歴データ!$A$1105=""),"",-50000*M1106)</f>
        <v/>
      </c>
      <c r="W1106" s="11" t="str">
        <f>IF(OR(履歴データ!$A$1106="",履歴データ!$A$1105=""),"",-40000*N1106)</f>
        <v/>
      </c>
      <c r="X1106" s="11" t="str">
        <f>IF(OR(履歴データ!$A$1106="",履歴データ!$A$1105=""),"",120*1000000*(-Q1106/H1105))</f>
        <v/>
      </c>
      <c r="Y1106" s="11" t="str">
        <f>IF(OR(履歴データ!$A$1106="",履歴データ!$A$1105=""),"",40000*(-S1106)+(-506.3)*R1106*1000)</f>
        <v/>
      </c>
      <c r="Z1106" s="11" t="str">
        <f>IF(OR(履歴データ!$A$1106="",履歴データ!$A$1105=""),"",-40000*O1106)</f>
        <v/>
      </c>
      <c r="AA1106" s="11" t="str">
        <f>IF(OR(履歴データ!$A$1106="",履歴データ!$A$1105=""),"",-40000*P1106)</f>
        <v/>
      </c>
      <c r="AB1106" s="11" t="str">
        <f>IF(履歴データ!$A$1106="","",123.3)</f>
        <v/>
      </c>
      <c r="AC1106" t="str">
        <f>IF(履歴データ!$A$1106="","",SUM(T1106:AA1106))</f>
        <v/>
      </c>
      <c r="AD1106" s="29" t="str">
        <f>IF(履歴データ!$A$1106="","",AC1106/1000000)</f>
        <v/>
      </c>
      <c r="AE1106" s="29">
        <f>IF(履歴データ!$A$1106="",AE1105,AE1105+AC1106/1000000)</f>
        <v>70.844544225831427</v>
      </c>
      <c r="AF1106" s="12" t="str">
        <f>IF(OR(履歴データ!$A$1106="",AE1105=0),"",(AE1106-AE1105)/AE1105)</f>
        <v/>
      </c>
      <c r="AG1106" s="29">
        <f t="shared" si="47"/>
        <v>102.17217746631495</v>
      </c>
      <c r="AH1106" s="12" t="str">
        <f>IF(OR(履歴データ!$A$1106="",AG1106=0),"",AE1106/AG1106-1)</f>
        <v/>
      </c>
    </row>
    <row r="1107" spans="1:34">
      <c r="A1107" s="10" t="str">
        <f>IF(履歴データ!$A$1107="","",履歴データ!$A$1107)</f>
        <v/>
      </c>
      <c r="B1107" s="28" t="str">
        <f>IF(履歴データ!$A$1107="","",(履歴データ!$D$1107-(履歴データ!$B$1107+履歴データ!$F$1107)/2)*100)</f>
        <v/>
      </c>
      <c r="C1107" s="28" t="str">
        <f>IF(履歴データ!$A$1107="","",(履歴データ!$H$1107-(履歴データ!$G$1107+履歴データ!$J$1107)/2)*100)</f>
        <v/>
      </c>
      <c r="D1107" s="28" t="str">
        <f>IF(履歴データ!$A$1107="","",(履歴データ!$D$1107-履歴データ!$H$1107)*100)</f>
        <v/>
      </c>
      <c r="E1107" s="28" t="str">
        <f>IF(履歴データ!$A$1107="","",(履歴データ!$D$1107-履歴データ!$C$1107)*100)</f>
        <v/>
      </c>
      <c r="F1107" s="28" t="str">
        <f>IF(履歴データ!$A$1107="","",(履歴データ!$R$1107-履歴データ!$D$1107)*100)</f>
        <v/>
      </c>
      <c r="G1107" s="28" t="str">
        <f>IF(履歴データ!$A$1107="","",(履歴データ!$S$1107-履歴データ!$R$1107)*100)</f>
        <v/>
      </c>
      <c r="H1107" s="29" t="str">
        <f>IF(履歴データ!$A$1107="","",履歴データ!$O$1107)</f>
        <v/>
      </c>
      <c r="I1107" s="29" t="str">
        <f>IF(履歴データ!$A$1107="","",履歴データ!$Q$1107)</f>
        <v/>
      </c>
      <c r="J1107" s="29" t="str">
        <f>IF(履歴データ!$A$1107="","",履歴データ!$D$1107)</f>
        <v/>
      </c>
      <c r="K1107" s="28" t="str">
        <f>IF(OR(履歴データ!$A$1107="",履歴データ!$A$1106=""),"",B1107-B1106)</f>
        <v/>
      </c>
      <c r="L1107" s="28" t="str">
        <f>IF(OR(履歴データ!$A$1107="",履歴データ!$A$1106=""),"",C1107-C1106)</f>
        <v/>
      </c>
      <c r="M1107" s="28" t="str">
        <f>IF(OR(履歴データ!$A$1107="",履歴データ!$A$1106=""),"",D1107-D1106)</f>
        <v/>
      </c>
      <c r="N1107" s="28" t="str">
        <f>IF(OR(履歴データ!$A$1107="",履歴データ!$A$1106=""),"",E1107-E1106)</f>
        <v/>
      </c>
      <c r="O1107" s="28" t="str">
        <f>IF(OR(履歴データ!$A$1107="",履歴データ!$A$1106=""),"",F1107-F1106)</f>
        <v/>
      </c>
      <c r="P1107" s="28" t="str">
        <f>IF(OR(履歴データ!$A$1107="",履歴データ!$A$1106=""),"",G1107-G1106)</f>
        <v/>
      </c>
      <c r="Q1107" s="29" t="str">
        <f>IF(OR(履歴データ!$A$1107="",履歴データ!$A$1106=""),"",H1107-H1106)</f>
        <v/>
      </c>
      <c r="R1107" s="29" t="str">
        <f>IF(OR(履歴データ!$A$1107="",履歴データ!$A$1106=""),"",I1107-I1106)</f>
        <v/>
      </c>
      <c r="S1107" s="28" t="str">
        <f>IF(OR(履歴データ!$A$1107="",履歴データ!$A$1106=""),"",(J1107-J1106)*100)</f>
        <v/>
      </c>
      <c r="T1107" s="11" t="str">
        <f>IF(OR(履歴データ!$A$1107="",履歴データ!$A$1106=""),"",-80000*K1107)</f>
        <v/>
      </c>
      <c r="U1107" s="11" t="str">
        <f>IF(OR(履歴データ!$A$1107="",履歴データ!$A$1106=""),"",60000*L1107)</f>
        <v/>
      </c>
      <c r="V1107" s="11" t="str">
        <f>IF(OR(履歴データ!$A$1107="",履歴データ!$A$1106=""),"",-50000*M1107)</f>
        <v/>
      </c>
      <c r="W1107" s="11" t="str">
        <f>IF(OR(履歴データ!$A$1107="",履歴データ!$A$1106=""),"",-40000*N1107)</f>
        <v/>
      </c>
      <c r="X1107" s="11" t="str">
        <f>IF(OR(履歴データ!$A$1107="",履歴データ!$A$1106=""),"",120*1000000*(-Q1107/H1106))</f>
        <v/>
      </c>
      <c r="Y1107" s="11" t="str">
        <f>IF(OR(履歴データ!$A$1107="",履歴データ!$A$1106=""),"",40000*(-S1107)+(-506.3)*R1107*1000)</f>
        <v/>
      </c>
      <c r="Z1107" s="11" t="str">
        <f>IF(OR(履歴データ!$A$1107="",履歴データ!$A$1106=""),"",-40000*O1107)</f>
        <v/>
      </c>
      <c r="AA1107" s="11" t="str">
        <f>IF(OR(履歴データ!$A$1107="",履歴データ!$A$1106=""),"",-40000*P1107)</f>
        <v/>
      </c>
      <c r="AB1107" s="11" t="str">
        <f>IF(履歴データ!$A$1107="","",123.3)</f>
        <v/>
      </c>
      <c r="AC1107" t="str">
        <f>IF(履歴データ!$A$1107="","",SUM(T1107:AA1107))</f>
        <v/>
      </c>
      <c r="AD1107" s="29" t="str">
        <f>IF(履歴データ!$A$1107="","",AC1107/1000000)</f>
        <v/>
      </c>
      <c r="AE1107" s="29">
        <f>IF(履歴データ!$A$1107="",AE1106,AE1106+AC1107/1000000)</f>
        <v>70.844544225831427</v>
      </c>
      <c r="AF1107" s="12" t="str">
        <f>IF(OR(履歴データ!$A$1107="",AE1106=0),"",(AE1107-AE1106)/AE1106)</f>
        <v/>
      </c>
      <c r="AG1107" s="29">
        <f t="shared" si="47"/>
        <v>102.17217746631495</v>
      </c>
      <c r="AH1107" s="12" t="str">
        <f>IF(OR(履歴データ!$A$1107="",AG1107=0),"",AE1107/AG1107-1)</f>
        <v/>
      </c>
    </row>
    <row r="1108" spans="1:34">
      <c r="A1108" s="10" t="str">
        <f>IF(履歴データ!$A$1108="","",履歴データ!$A$1108)</f>
        <v/>
      </c>
      <c r="B1108" s="28" t="str">
        <f>IF(履歴データ!$A$1108="","",(履歴データ!$D$1108-(履歴データ!$B$1108+履歴データ!$F$1108)/2)*100)</f>
        <v/>
      </c>
      <c r="C1108" s="28" t="str">
        <f>IF(履歴データ!$A$1108="","",(履歴データ!$H$1108-(履歴データ!$G$1108+履歴データ!$J$1108)/2)*100)</f>
        <v/>
      </c>
      <c r="D1108" s="28" t="str">
        <f>IF(履歴データ!$A$1108="","",(履歴データ!$D$1108-履歴データ!$H$1108)*100)</f>
        <v/>
      </c>
      <c r="E1108" s="28" t="str">
        <f>IF(履歴データ!$A$1108="","",(履歴データ!$D$1108-履歴データ!$C$1108)*100)</f>
        <v/>
      </c>
      <c r="F1108" s="28" t="str">
        <f>IF(履歴データ!$A$1108="","",(履歴データ!$R$1108-履歴データ!$D$1108)*100)</f>
        <v/>
      </c>
      <c r="G1108" s="28" t="str">
        <f>IF(履歴データ!$A$1108="","",(履歴データ!$S$1108-履歴データ!$R$1108)*100)</f>
        <v/>
      </c>
      <c r="H1108" s="29" t="str">
        <f>IF(履歴データ!$A$1108="","",履歴データ!$O$1108)</f>
        <v/>
      </c>
      <c r="I1108" s="29" t="str">
        <f>IF(履歴データ!$A$1108="","",履歴データ!$Q$1108)</f>
        <v/>
      </c>
      <c r="J1108" s="29" t="str">
        <f>IF(履歴データ!$A$1108="","",履歴データ!$D$1108)</f>
        <v/>
      </c>
      <c r="K1108" s="28" t="str">
        <f>IF(OR(履歴データ!$A$1108="",履歴データ!$A$1107=""),"",B1108-B1107)</f>
        <v/>
      </c>
      <c r="L1108" s="28" t="str">
        <f>IF(OR(履歴データ!$A$1108="",履歴データ!$A$1107=""),"",C1108-C1107)</f>
        <v/>
      </c>
      <c r="M1108" s="28" t="str">
        <f>IF(OR(履歴データ!$A$1108="",履歴データ!$A$1107=""),"",D1108-D1107)</f>
        <v/>
      </c>
      <c r="N1108" s="28" t="str">
        <f>IF(OR(履歴データ!$A$1108="",履歴データ!$A$1107=""),"",E1108-E1107)</f>
        <v/>
      </c>
      <c r="O1108" s="28" t="str">
        <f>IF(OR(履歴データ!$A$1108="",履歴データ!$A$1107=""),"",F1108-F1107)</f>
        <v/>
      </c>
      <c r="P1108" s="28" t="str">
        <f>IF(OR(履歴データ!$A$1108="",履歴データ!$A$1107=""),"",G1108-G1107)</f>
        <v/>
      </c>
      <c r="Q1108" s="29" t="str">
        <f>IF(OR(履歴データ!$A$1108="",履歴データ!$A$1107=""),"",H1108-H1107)</f>
        <v/>
      </c>
      <c r="R1108" s="29" t="str">
        <f>IF(OR(履歴データ!$A$1108="",履歴データ!$A$1107=""),"",I1108-I1107)</f>
        <v/>
      </c>
      <c r="S1108" s="28" t="str">
        <f>IF(OR(履歴データ!$A$1108="",履歴データ!$A$1107=""),"",(J1108-J1107)*100)</f>
        <v/>
      </c>
      <c r="T1108" s="11" t="str">
        <f>IF(OR(履歴データ!$A$1108="",履歴データ!$A$1107=""),"",-80000*K1108)</f>
        <v/>
      </c>
      <c r="U1108" s="11" t="str">
        <f>IF(OR(履歴データ!$A$1108="",履歴データ!$A$1107=""),"",60000*L1108)</f>
        <v/>
      </c>
      <c r="V1108" s="11" t="str">
        <f>IF(OR(履歴データ!$A$1108="",履歴データ!$A$1107=""),"",-50000*M1108)</f>
        <v/>
      </c>
      <c r="W1108" s="11" t="str">
        <f>IF(OR(履歴データ!$A$1108="",履歴データ!$A$1107=""),"",-40000*N1108)</f>
        <v/>
      </c>
      <c r="X1108" s="11" t="str">
        <f>IF(OR(履歴データ!$A$1108="",履歴データ!$A$1107=""),"",120*1000000*(-Q1108/H1107))</f>
        <v/>
      </c>
      <c r="Y1108" s="11" t="str">
        <f>IF(OR(履歴データ!$A$1108="",履歴データ!$A$1107=""),"",40000*(-S1108)+(-506.3)*R1108*1000)</f>
        <v/>
      </c>
      <c r="Z1108" s="11" t="str">
        <f>IF(OR(履歴データ!$A$1108="",履歴データ!$A$1107=""),"",-40000*O1108)</f>
        <v/>
      </c>
      <c r="AA1108" s="11" t="str">
        <f>IF(OR(履歴データ!$A$1108="",履歴データ!$A$1107=""),"",-40000*P1108)</f>
        <v/>
      </c>
      <c r="AB1108" s="11" t="str">
        <f>IF(履歴データ!$A$1108="","",123.3)</f>
        <v/>
      </c>
      <c r="AC1108" t="str">
        <f>IF(履歴データ!$A$1108="","",SUM(T1108:AA1108))</f>
        <v/>
      </c>
      <c r="AD1108" s="29" t="str">
        <f>IF(履歴データ!$A$1108="","",AC1108/1000000)</f>
        <v/>
      </c>
      <c r="AE1108" s="29">
        <f>IF(履歴データ!$A$1108="",AE1107,AE1107+AC1108/1000000)</f>
        <v>70.844544225831427</v>
      </c>
      <c r="AF1108" s="12" t="str">
        <f>IF(OR(履歴データ!$A$1108="",AE1107=0),"",(AE1108-AE1107)/AE1107)</f>
        <v/>
      </c>
      <c r="AG1108" s="29">
        <f t="shared" si="47"/>
        <v>102.17217746631495</v>
      </c>
      <c r="AH1108" s="12" t="str">
        <f>IF(OR(履歴データ!$A$1108="",AG1108=0),"",AE1108/AG1108-1)</f>
        <v/>
      </c>
    </row>
    <row r="1109" spans="1:34">
      <c r="A1109" s="10" t="str">
        <f>IF(履歴データ!$A$1109="","",履歴データ!$A$1109)</f>
        <v/>
      </c>
      <c r="B1109" s="28" t="str">
        <f>IF(履歴データ!$A$1109="","",(履歴データ!$D$1109-(履歴データ!$B$1109+履歴データ!$F$1109)/2)*100)</f>
        <v/>
      </c>
      <c r="C1109" s="28" t="str">
        <f>IF(履歴データ!$A$1109="","",(履歴データ!$H$1109-(履歴データ!$G$1109+履歴データ!$J$1109)/2)*100)</f>
        <v/>
      </c>
      <c r="D1109" s="28" t="str">
        <f>IF(履歴データ!$A$1109="","",(履歴データ!$D$1109-履歴データ!$H$1109)*100)</f>
        <v/>
      </c>
      <c r="E1109" s="28" t="str">
        <f>IF(履歴データ!$A$1109="","",(履歴データ!$D$1109-履歴データ!$C$1109)*100)</f>
        <v/>
      </c>
      <c r="F1109" s="28" t="str">
        <f>IF(履歴データ!$A$1109="","",(履歴データ!$R$1109-履歴データ!$D$1109)*100)</f>
        <v/>
      </c>
      <c r="G1109" s="28" t="str">
        <f>IF(履歴データ!$A$1109="","",(履歴データ!$S$1109-履歴データ!$R$1109)*100)</f>
        <v/>
      </c>
      <c r="H1109" s="29" t="str">
        <f>IF(履歴データ!$A$1109="","",履歴データ!$O$1109)</f>
        <v/>
      </c>
      <c r="I1109" s="29" t="str">
        <f>IF(履歴データ!$A$1109="","",履歴データ!$Q$1109)</f>
        <v/>
      </c>
      <c r="J1109" s="29" t="str">
        <f>IF(履歴データ!$A$1109="","",履歴データ!$D$1109)</f>
        <v/>
      </c>
      <c r="K1109" s="28" t="str">
        <f>IF(OR(履歴データ!$A$1109="",履歴データ!$A$1108=""),"",B1109-B1108)</f>
        <v/>
      </c>
      <c r="L1109" s="28" t="str">
        <f>IF(OR(履歴データ!$A$1109="",履歴データ!$A$1108=""),"",C1109-C1108)</f>
        <v/>
      </c>
      <c r="M1109" s="28" t="str">
        <f>IF(OR(履歴データ!$A$1109="",履歴データ!$A$1108=""),"",D1109-D1108)</f>
        <v/>
      </c>
      <c r="N1109" s="28" t="str">
        <f>IF(OR(履歴データ!$A$1109="",履歴データ!$A$1108=""),"",E1109-E1108)</f>
        <v/>
      </c>
      <c r="O1109" s="28" t="str">
        <f>IF(OR(履歴データ!$A$1109="",履歴データ!$A$1108=""),"",F1109-F1108)</f>
        <v/>
      </c>
      <c r="P1109" s="28" t="str">
        <f>IF(OR(履歴データ!$A$1109="",履歴データ!$A$1108=""),"",G1109-G1108)</f>
        <v/>
      </c>
      <c r="Q1109" s="29" t="str">
        <f>IF(OR(履歴データ!$A$1109="",履歴データ!$A$1108=""),"",H1109-H1108)</f>
        <v/>
      </c>
      <c r="R1109" s="29" t="str">
        <f>IF(OR(履歴データ!$A$1109="",履歴データ!$A$1108=""),"",I1109-I1108)</f>
        <v/>
      </c>
      <c r="S1109" s="28" t="str">
        <f>IF(OR(履歴データ!$A$1109="",履歴データ!$A$1108=""),"",(J1109-J1108)*100)</f>
        <v/>
      </c>
      <c r="T1109" s="11" t="str">
        <f>IF(OR(履歴データ!$A$1109="",履歴データ!$A$1108=""),"",-80000*K1109)</f>
        <v/>
      </c>
      <c r="U1109" s="11" t="str">
        <f>IF(OR(履歴データ!$A$1109="",履歴データ!$A$1108=""),"",60000*L1109)</f>
        <v/>
      </c>
      <c r="V1109" s="11" t="str">
        <f>IF(OR(履歴データ!$A$1109="",履歴データ!$A$1108=""),"",-50000*M1109)</f>
        <v/>
      </c>
      <c r="W1109" s="11" t="str">
        <f>IF(OR(履歴データ!$A$1109="",履歴データ!$A$1108=""),"",-40000*N1109)</f>
        <v/>
      </c>
      <c r="X1109" s="11" t="str">
        <f>IF(OR(履歴データ!$A$1109="",履歴データ!$A$1108=""),"",120*1000000*(-Q1109/H1108))</f>
        <v/>
      </c>
      <c r="Y1109" s="11" t="str">
        <f>IF(OR(履歴データ!$A$1109="",履歴データ!$A$1108=""),"",40000*(-S1109)+(-506.3)*R1109*1000)</f>
        <v/>
      </c>
      <c r="Z1109" s="11" t="str">
        <f>IF(OR(履歴データ!$A$1109="",履歴データ!$A$1108=""),"",-40000*O1109)</f>
        <v/>
      </c>
      <c r="AA1109" s="11" t="str">
        <f>IF(OR(履歴データ!$A$1109="",履歴データ!$A$1108=""),"",-40000*P1109)</f>
        <v/>
      </c>
      <c r="AB1109" s="11" t="str">
        <f>IF(履歴データ!$A$1109="","",123.3)</f>
        <v/>
      </c>
      <c r="AC1109" t="str">
        <f>IF(履歴データ!$A$1109="","",SUM(T1109:AA1109))</f>
        <v/>
      </c>
      <c r="AD1109" s="29" t="str">
        <f>IF(履歴データ!$A$1109="","",AC1109/1000000)</f>
        <v/>
      </c>
      <c r="AE1109" s="29">
        <f>IF(履歴データ!$A$1109="",AE1108,AE1108+AC1109/1000000)</f>
        <v>70.844544225831427</v>
      </c>
      <c r="AF1109" s="12" t="str">
        <f>IF(OR(履歴データ!$A$1109="",AE1108=0),"",(AE1109-AE1108)/AE1108)</f>
        <v/>
      </c>
      <c r="AG1109" s="29">
        <f t="shared" si="47"/>
        <v>102.17217746631495</v>
      </c>
      <c r="AH1109" s="12" t="str">
        <f>IF(OR(履歴データ!$A$1109="",AG1109=0),"",AE1109/AG1109-1)</f>
        <v/>
      </c>
    </row>
    <row r="1110" spans="1:34">
      <c r="A1110" s="10" t="str">
        <f>IF(履歴データ!$A$1110="","",履歴データ!$A$1110)</f>
        <v/>
      </c>
      <c r="B1110" s="28" t="str">
        <f>IF(履歴データ!$A$1110="","",(履歴データ!$D$1110-(履歴データ!$B$1110+履歴データ!$F$1110)/2)*100)</f>
        <v/>
      </c>
      <c r="C1110" s="28" t="str">
        <f>IF(履歴データ!$A$1110="","",(履歴データ!$H$1110-(履歴データ!$G$1110+履歴データ!$J$1110)/2)*100)</f>
        <v/>
      </c>
      <c r="D1110" s="28" t="str">
        <f>IF(履歴データ!$A$1110="","",(履歴データ!$D$1110-履歴データ!$H$1110)*100)</f>
        <v/>
      </c>
      <c r="E1110" s="28" t="str">
        <f>IF(履歴データ!$A$1110="","",(履歴データ!$D$1110-履歴データ!$C$1110)*100)</f>
        <v/>
      </c>
      <c r="F1110" s="28" t="str">
        <f>IF(履歴データ!$A$1110="","",(履歴データ!$R$1110-履歴データ!$D$1110)*100)</f>
        <v/>
      </c>
      <c r="G1110" s="28" t="str">
        <f>IF(履歴データ!$A$1110="","",(履歴データ!$S$1110-履歴データ!$R$1110)*100)</f>
        <v/>
      </c>
      <c r="H1110" s="29" t="str">
        <f>IF(履歴データ!$A$1110="","",履歴データ!$O$1110)</f>
        <v/>
      </c>
      <c r="I1110" s="29" t="str">
        <f>IF(履歴データ!$A$1110="","",履歴データ!$Q$1110)</f>
        <v/>
      </c>
      <c r="J1110" s="29" t="str">
        <f>IF(履歴データ!$A$1110="","",履歴データ!$D$1110)</f>
        <v/>
      </c>
      <c r="K1110" s="28" t="str">
        <f>IF(OR(履歴データ!$A$1110="",履歴データ!$A$1109=""),"",B1110-B1109)</f>
        <v/>
      </c>
      <c r="L1110" s="28" t="str">
        <f>IF(OR(履歴データ!$A$1110="",履歴データ!$A$1109=""),"",C1110-C1109)</f>
        <v/>
      </c>
      <c r="M1110" s="28" t="str">
        <f>IF(OR(履歴データ!$A$1110="",履歴データ!$A$1109=""),"",D1110-D1109)</f>
        <v/>
      </c>
      <c r="N1110" s="28" t="str">
        <f>IF(OR(履歴データ!$A$1110="",履歴データ!$A$1109=""),"",E1110-E1109)</f>
        <v/>
      </c>
      <c r="O1110" s="28" t="str">
        <f>IF(OR(履歴データ!$A$1110="",履歴データ!$A$1109=""),"",F1110-F1109)</f>
        <v/>
      </c>
      <c r="P1110" s="28" t="str">
        <f>IF(OR(履歴データ!$A$1110="",履歴データ!$A$1109=""),"",G1110-G1109)</f>
        <v/>
      </c>
      <c r="Q1110" s="29" t="str">
        <f>IF(OR(履歴データ!$A$1110="",履歴データ!$A$1109=""),"",H1110-H1109)</f>
        <v/>
      </c>
      <c r="R1110" s="29" t="str">
        <f>IF(OR(履歴データ!$A$1110="",履歴データ!$A$1109=""),"",I1110-I1109)</f>
        <v/>
      </c>
      <c r="S1110" s="28" t="str">
        <f>IF(OR(履歴データ!$A$1110="",履歴データ!$A$1109=""),"",(J1110-J1109)*100)</f>
        <v/>
      </c>
      <c r="T1110" s="11" t="str">
        <f>IF(OR(履歴データ!$A$1110="",履歴データ!$A$1109=""),"",-80000*K1110)</f>
        <v/>
      </c>
      <c r="U1110" s="11" t="str">
        <f>IF(OR(履歴データ!$A$1110="",履歴データ!$A$1109=""),"",60000*L1110)</f>
        <v/>
      </c>
      <c r="V1110" s="11" t="str">
        <f>IF(OR(履歴データ!$A$1110="",履歴データ!$A$1109=""),"",-50000*M1110)</f>
        <v/>
      </c>
      <c r="W1110" s="11" t="str">
        <f>IF(OR(履歴データ!$A$1110="",履歴データ!$A$1109=""),"",-40000*N1110)</f>
        <v/>
      </c>
      <c r="X1110" s="11" t="str">
        <f>IF(OR(履歴データ!$A$1110="",履歴データ!$A$1109=""),"",120*1000000*(-Q1110/H1109))</f>
        <v/>
      </c>
      <c r="Y1110" s="11" t="str">
        <f>IF(OR(履歴データ!$A$1110="",履歴データ!$A$1109=""),"",40000*(-S1110)+(-506.3)*R1110*1000)</f>
        <v/>
      </c>
      <c r="Z1110" s="11" t="str">
        <f>IF(OR(履歴データ!$A$1110="",履歴データ!$A$1109=""),"",-40000*O1110)</f>
        <v/>
      </c>
      <c r="AA1110" s="11" t="str">
        <f>IF(OR(履歴データ!$A$1110="",履歴データ!$A$1109=""),"",-40000*P1110)</f>
        <v/>
      </c>
      <c r="AB1110" s="11" t="str">
        <f>IF(履歴データ!$A$1110="","",123.3)</f>
        <v/>
      </c>
      <c r="AC1110" t="str">
        <f>IF(履歴データ!$A$1110="","",SUM(T1110:AA1110))</f>
        <v/>
      </c>
      <c r="AD1110" s="29" t="str">
        <f>IF(履歴データ!$A$1110="","",AC1110/1000000)</f>
        <v/>
      </c>
      <c r="AE1110" s="29">
        <f>IF(履歴データ!$A$1110="",AE1109,AE1109+AC1110/1000000)</f>
        <v>70.844544225831427</v>
      </c>
      <c r="AF1110" s="12" t="str">
        <f>IF(OR(履歴データ!$A$1110="",AE1109=0),"",(AE1110-AE1109)/AE1109)</f>
        <v/>
      </c>
      <c r="AG1110" s="29">
        <f t="shared" si="47"/>
        <v>102.17217746631495</v>
      </c>
      <c r="AH1110" s="12" t="str">
        <f>IF(OR(履歴データ!$A$1110="",AG1110=0),"",AE1110/AG1110-1)</f>
        <v/>
      </c>
    </row>
    <row r="1111" spans="1:34">
      <c r="A1111" s="10" t="str">
        <f>IF(履歴データ!$A$1111="","",履歴データ!$A$1111)</f>
        <v/>
      </c>
      <c r="B1111" s="28" t="str">
        <f>IF(履歴データ!$A$1111="","",(履歴データ!$D$1111-(履歴データ!$B$1111+履歴データ!$F$1111)/2)*100)</f>
        <v/>
      </c>
      <c r="C1111" s="28" t="str">
        <f>IF(履歴データ!$A$1111="","",(履歴データ!$H$1111-(履歴データ!$G$1111+履歴データ!$J$1111)/2)*100)</f>
        <v/>
      </c>
      <c r="D1111" s="28" t="str">
        <f>IF(履歴データ!$A$1111="","",(履歴データ!$D$1111-履歴データ!$H$1111)*100)</f>
        <v/>
      </c>
      <c r="E1111" s="28" t="str">
        <f>IF(履歴データ!$A$1111="","",(履歴データ!$D$1111-履歴データ!$C$1111)*100)</f>
        <v/>
      </c>
      <c r="F1111" s="28" t="str">
        <f>IF(履歴データ!$A$1111="","",(履歴データ!$R$1111-履歴データ!$D$1111)*100)</f>
        <v/>
      </c>
      <c r="G1111" s="28" t="str">
        <f>IF(履歴データ!$A$1111="","",(履歴データ!$S$1111-履歴データ!$R$1111)*100)</f>
        <v/>
      </c>
      <c r="H1111" s="29" t="str">
        <f>IF(履歴データ!$A$1111="","",履歴データ!$O$1111)</f>
        <v/>
      </c>
      <c r="I1111" s="29" t="str">
        <f>IF(履歴データ!$A$1111="","",履歴データ!$Q$1111)</f>
        <v/>
      </c>
      <c r="J1111" s="29" t="str">
        <f>IF(履歴データ!$A$1111="","",履歴データ!$D$1111)</f>
        <v/>
      </c>
      <c r="K1111" s="28" t="str">
        <f>IF(OR(履歴データ!$A$1111="",履歴データ!$A$1110=""),"",B1111-B1110)</f>
        <v/>
      </c>
      <c r="L1111" s="28" t="str">
        <f>IF(OR(履歴データ!$A$1111="",履歴データ!$A$1110=""),"",C1111-C1110)</f>
        <v/>
      </c>
      <c r="M1111" s="28" t="str">
        <f>IF(OR(履歴データ!$A$1111="",履歴データ!$A$1110=""),"",D1111-D1110)</f>
        <v/>
      </c>
      <c r="N1111" s="28" t="str">
        <f>IF(OR(履歴データ!$A$1111="",履歴データ!$A$1110=""),"",E1111-E1110)</f>
        <v/>
      </c>
      <c r="O1111" s="28" t="str">
        <f>IF(OR(履歴データ!$A$1111="",履歴データ!$A$1110=""),"",F1111-F1110)</f>
        <v/>
      </c>
      <c r="P1111" s="28" t="str">
        <f>IF(OR(履歴データ!$A$1111="",履歴データ!$A$1110=""),"",G1111-G1110)</f>
        <v/>
      </c>
      <c r="Q1111" s="29" t="str">
        <f>IF(OR(履歴データ!$A$1111="",履歴データ!$A$1110=""),"",H1111-H1110)</f>
        <v/>
      </c>
      <c r="R1111" s="29" t="str">
        <f>IF(OR(履歴データ!$A$1111="",履歴データ!$A$1110=""),"",I1111-I1110)</f>
        <v/>
      </c>
      <c r="S1111" s="28" t="str">
        <f>IF(OR(履歴データ!$A$1111="",履歴データ!$A$1110=""),"",(J1111-J1110)*100)</f>
        <v/>
      </c>
      <c r="T1111" s="11" t="str">
        <f>IF(OR(履歴データ!$A$1111="",履歴データ!$A$1110=""),"",-80000*K1111)</f>
        <v/>
      </c>
      <c r="U1111" s="11" t="str">
        <f>IF(OR(履歴データ!$A$1111="",履歴データ!$A$1110=""),"",60000*L1111)</f>
        <v/>
      </c>
      <c r="V1111" s="11" t="str">
        <f>IF(OR(履歴データ!$A$1111="",履歴データ!$A$1110=""),"",-50000*M1111)</f>
        <v/>
      </c>
      <c r="W1111" s="11" t="str">
        <f>IF(OR(履歴データ!$A$1111="",履歴データ!$A$1110=""),"",-40000*N1111)</f>
        <v/>
      </c>
      <c r="X1111" s="11" t="str">
        <f>IF(OR(履歴データ!$A$1111="",履歴データ!$A$1110=""),"",120*1000000*(-Q1111/H1110))</f>
        <v/>
      </c>
      <c r="Y1111" s="11" t="str">
        <f>IF(OR(履歴データ!$A$1111="",履歴データ!$A$1110=""),"",40000*(-S1111)+(-506.3)*R1111*1000)</f>
        <v/>
      </c>
      <c r="Z1111" s="11" t="str">
        <f>IF(OR(履歴データ!$A$1111="",履歴データ!$A$1110=""),"",-40000*O1111)</f>
        <v/>
      </c>
      <c r="AA1111" s="11" t="str">
        <f>IF(OR(履歴データ!$A$1111="",履歴データ!$A$1110=""),"",-40000*P1111)</f>
        <v/>
      </c>
      <c r="AB1111" s="11" t="str">
        <f>IF(履歴データ!$A$1111="","",123.3)</f>
        <v/>
      </c>
      <c r="AC1111" t="str">
        <f>IF(履歴データ!$A$1111="","",SUM(T1111:AA1111))</f>
        <v/>
      </c>
      <c r="AD1111" s="29" t="str">
        <f>IF(履歴データ!$A$1111="","",AC1111/1000000)</f>
        <v/>
      </c>
      <c r="AE1111" s="29">
        <f>IF(履歴データ!$A$1111="",AE1110,AE1110+AC1111/1000000)</f>
        <v>70.844544225831427</v>
      </c>
      <c r="AF1111" s="12" t="str">
        <f>IF(OR(履歴データ!$A$1111="",AE1110=0),"",(AE1111-AE1110)/AE1110)</f>
        <v/>
      </c>
      <c r="AG1111" s="29">
        <f t="shared" si="47"/>
        <v>102.17217746631495</v>
      </c>
      <c r="AH1111" s="12" t="str">
        <f>IF(OR(履歴データ!$A$1111="",AG1111=0),"",AE1111/AG1111-1)</f>
        <v/>
      </c>
    </row>
    <row r="1112" spans="1:34">
      <c r="A1112" s="10" t="str">
        <f>IF(履歴データ!$A$1112="","",履歴データ!$A$1112)</f>
        <v/>
      </c>
      <c r="B1112" s="28" t="str">
        <f>IF(履歴データ!$A$1112="","",(履歴データ!$D$1112-(履歴データ!$B$1112+履歴データ!$F$1112)/2)*100)</f>
        <v/>
      </c>
      <c r="C1112" s="28" t="str">
        <f>IF(履歴データ!$A$1112="","",(履歴データ!$H$1112-(履歴データ!$G$1112+履歴データ!$J$1112)/2)*100)</f>
        <v/>
      </c>
      <c r="D1112" s="28" t="str">
        <f>IF(履歴データ!$A$1112="","",(履歴データ!$D$1112-履歴データ!$H$1112)*100)</f>
        <v/>
      </c>
      <c r="E1112" s="28" t="str">
        <f>IF(履歴データ!$A$1112="","",(履歴データ!$D$1112-履歴データ!$C$1112)*100)</f>
        <v/>
      </c>
      <c r="F1112" s="28" t="str">
        <f>IF(履歴データ!$A$1112="","",(履歴データ!$R$1112-履歴データ!$D$1112)*100)</f>
        <v/>
      </c>
      <c r="G1112" s="28" t="str">
        <f>IF(履歴データ!$A$1112="","",(履歴データ!$S$1112-履歴データ!$R$1112)*100)</f>
        <v/>
      </c>
      <c r="H1112" s="29" t="str">
        <f>IF(履歴データ!$A$1112="","",履歴データ!$O$1112)</f>
        <v/>
      </c>
      <c r="I1112" s="29" t="str">
        <f>IF(履歴データ!$A$1112="","",履歴データ!$Q$1112)</f>
        <v/>
      </c>
      <c r="J1112" s="29" t="str">
        <f>IF(履歴データ!$A$1112="","",履歴データ!$D$1112)</f>
        <v/>
      </c>
      <c r="K1112" s="28" t="str">
        <f>IF(OR(履歴データ!$A$1112="",履歴データ!$A$1111=""),"",B1112-B1111)</f>
        <v/>
      </c>
      <c r="L1112" s="28" t="str">
        <f>IF(OR(履歴データ!$A$1112="",履歴データ!$A$1111=""),"",C1112-C1111)</f>
        <v/>
      </c>
      <c r="M1112" s="28" t="str">
        <f>IF(OR(履歴データ!$A$1112="",履歴データ!$A$1111=""),"",D1112-D1111)</f>
        <v/>
      </c>
      <c r="N1112" s="28" t="str">
        <f>IF(OR(履歴データ!$A$1112="",履歴データ!$A$1111=""),"",E1112-E1111)</f>
        <v/>
      </c>
      <c r="O1112" s="28" t="str">
        <f>IF(OR(履歴データ!$A$1112="",履歴データ!$A$1111=""),"",F1112-F1111)</f>
        <v/>
      </c>
      <c r="P1112" s="28" t="str">
        <f>IF(OR(履歴データ!$A$1112="",履歴データ!$A$1111=""),"",G1112-G1111)</f>
        <v/>
      </c>
      <c r="Q1112" s="29" t="str">
        <f>IF(OR(履歴データ!$A$1112="",履歴データ!$A$1111=""),"",H1112-H1111)</f>
        <v/>
      </c>
      <c r="R1112" s="29" t="str">
        <f>IF(OR(履歴データ!$A$1112="",履歴データ!$A$1111=""),"",I1112-I1111)</f>
        <v/>
      </c>
      <c r="S1112" s="28" t="str">
        <f>IF(OR(履歴データ!$A$1112="",履歴データ!$A$1111=""),"",(J1112-J1111)*100)</f>
        <v/>
      </c>
      <c r="T1112" s="11" t="str">
        <f>IF(OR(履歴データ!$A$1112="",履歴データ!$A$1111=""),"",-80000*K1112)</f>
        <v/>
      </c>
      <c r="U1112" s="11" t="str">
        <f>IF(OR(履歴データ!$A$1112="",履歴データ!$A$1111=""),"",60000*L1112)</f>
        <v/>
      </c>
      <c r="V1112" s="11" t="str">
        <f>IF(OR(履歴データ!$A$1112="",履歴データ!$A$1111=""),"",-50000*M1112)</f>
        <v/>
      </c>
      <c r="W1112" s="11" t="str">
        <f>IF(OR(履歴データ!$A$1112="",履歴データ!$A$1111=""),"",-40000*N1112)</f>
        <v/>
      </c>
      <c r="X1112" s="11" t="str">
        <f>IF(OR(履歴データ!$A$1112="",履歴データ!$A$1111=""),"",120*1000000*(-Q1112/H1111))</f>
        <v/>
      </c>
      <c r="Y1112" s="11" t="str">
        <f>IF(OR(履歴データ!$A$1112="",履歴データ!$A$1111=""),"",40000*(-S1112)+(-506.3)*R1112*1000)</f>
        <v/>
      </c>
      <c r="Z1112" s="11" t="str">
        <f>IF(OR(履歴データ!$A$1112="",履歴データ!$A$1111=""),"",-40000*O1112)</f>
        <v/>
      </c>
      <c r="AA1112" s="11" t="str">
        <f>IF(OR(履歴データ!$A$1112="",履歴データ!$A$1111=""),"",-40000*P1112)</f>
        <v/>
      </c>
      <c r="AB1112" s="11" t="str">
        <f>IF(履歴データ!$A$1112="","",123.3)</f>
        <v/>
      </c>
      <c r="AC1112" t="str">
        <f>IF(履歴データ!$A$1112="","",SUM(T1112:AA1112))</f>
        <v/>
      </c>
      <c r="AD1112" s="29" t="str">
        <f>IF(履歴データ!$A$1112="","",AC1112/1000000)</f>
        <v/>
      </c>
      <c r="AE1112" s="29">
        <f>IF(履歴データ!$A$1112="",AE1111,AE1111+AC1112/1000000)</f>
        <v>70.844544225831427</v>
      </c>
      <c r="AF1112" s="12" t="str">
        <f>IF(OR(履歴データ!$A$1112="",AE1111=0),"",(AE1112-AE1111)/AE1111)</f>
        <v/>
      </c>
      <c r="AG1112" s="29">
        <f t="shared" si="47"/>
        <v>102.17217746631495</v>
      </c>
      <c r="AH1112" s="12" t="str">
        <f>IF(OR(履歴データ!$A$1112="",AG1112=0),"",AE1112/AG1112-1)</f>
        <v/>
      </c>
    </row>
    <row r="1113" spans="1:34">
      <c r="A1113" s="10" t="str">
        <f>IF(履歴データ!$A$1113="","",履歴データ!$A$1113)</f>
        <v/>
      </c>
      <c r="B1113" s="28" t="str">
        <f>IF(履歴データ!$A$1113="","",(履歴データ!$D$1113-(履歴データ!$B$1113+履歴データ!$F$1113)/2)*100)</f>
        <v/>
      </c>
      <c r="C1113" s="28" t="str">
        <f>IF(履歴データ!$A$1113="","",(履歴データ!$H$1113-(履歴データ!$G$1113+履歴データ!$J$1113)/2)*100)</f>
        <v/>
      </c>
      <c r="D1113" s="28" t="str">
        <f>IF(履歴データ!$A$1113="","",(履歴データ!$D$1113-履歴データ!$H$1113)*100)</f>
        <v/>
      </c>
      <c r="E1113" s="28" t="str">
        <f>IF(履歴データ!$A$1113="","",(履歴データ!$D$1113-履歴データ!$C$1113)*100)</f>
        <v/>
      </c>
      <c r="F1113" s="28" t="str">
        <f>IF(履歴データ!$A$1113="","",(履歴データ!$R$1113-履歴データ!$D$1113)*100)</f>
        <v/>
      </c>
      <c r="G1113" s="28" t="str">
        <f>IF(履歴データ!$A$1113="","",(履歴データ!$S$1113-履歴データ!$R$1113)*100)</f>
        <v/>
      </c>
      <c r="H1113" s="29" t="str">
        <f>IF(履歴データ!$A$1113="","",履歴データ!$O$1113)</f>
        <v/>
      </c>
      <c r="I1113" s="29" t="str">
        <f>IF(履歴データ!$A$1113="","",履歴データ!$Q$1113)</f>
        <v/>
      </c>
      <c r="J1113" s="29" t="str">
        <f>IF(履歴データ!$A$1113="","",履歴データ!$D$1113)</f>
        <v/>
      </c>
      <c r="K1113" s="28" t="str">
        <f>IF(OR(履歴データ!$A$1113="",履歴データ!$A$1112=""),"",B1113-B1112)</f>
        <v/>
      </c>
      <c r="L1113" s="28" t="str">
        <f>IF(OR(履歴データ!$A$1113="",履歴データ!$A$1112=""),"",C1113-C1112)</f>
        <v/>
      </c>
      <c r="M1113" s="28" t="str">
        <f>IF(OR(履歴データ!$A$1113="",履歴データ!$A$1112=""),"",D1113-D1112)</f>
        <v/>
      </c>
      <c r="N1113" s="28" t="str">
        <f>IF(OR(履歴データ!$A$1113="",履歴データ!$A$1112=""),"",E1113-E1112)</f>
        <v/>
      </c>
      <c r="O1113" s="28" t="str">
        <f>IF(OR(履歴データ!$A$1113="",履歴データ!$A$1112=""),"",F1113-F1112)</f>
        <v/>
      </c>
      <c r="P1113" s="28" t="str">
        <f>IF(OR(履歴データ!$A$1113="",履歴データ!$A$1112=""),"",G1113-G1112)</f>
        <v/>
      </c>
      <c r="Q1113" s="29" t="str">
        <f>IF(OR(履歴データ!$A$1113="",履歴データ!$A$1112=""),"",H1113-H1112)</f>
        <v/>
      </c>
      <c r="R1113" s="29" t="str">
        <f>IF(OR(履歴データ!$A$1113="",履歴データ!$A$1112=""),"",I1113-I1112)</f>
        <v/>
      </c>
      <c r="S1113" s="28" t="str">
        <f>IF(OR(履歴データ!$A$1113="",履歴データ!$A$1112=""),"",(J1113-J1112)*100)</f>
        <v/>
      </c>
      <c r="T1113" s="11" t="str">
        <f>IF(OR(履歴データ!$A$1113="",履歴データ!$A$1112=""),"",-80000*K1113)</f>
        <v/>
      </c>
      <c r="U1113" s="11" t="str">
        <f>IF(OR(履歴データ!$A$1113="",履歴データ!$A$1112=""),"",60000*L1113)</f>
        <v/>
      </c>
      <c r="V1113" s="11" t="str">
        <f>IF(OR(履歴データ!$A$1113="",履歴データ!$A$1112=""),"",-50000*M1113)</f>
        <v/>
      </c>
      <c r="W1113" s="11" t="str">
        <f>IF(OR(履歴データ!$A$1113="",履歴データ!$A$1112=""),"",-40000*N1113)</f>
        <v/>
      </c>
      <c r="X1113" s="11" t="str">
        <f>IF(OR(履歴データ!$A$1113="",履歴データ!$A$1112=""),"",120*1000000*(-Q1113/H1112))</f>
        <v/>
      </c>
      <c r="Y1113" s="11" t="str">
        <f>IF(OR(履歴データ!$A$1113="",履歴データ!$A$1112=""),"",40000*(-S1113)+(-506.3)*R1113*1000)</f>
        <v/>
      </c>
      <c r="Z1113" s="11" t="str">
        <f>IF(OR(履歴データ!$A$1113="",履歴データ!$A$1112=""),"",-40000*O1113)</f>
        <v/>
      </c>
      <c r="AA1113" s="11" t="str">
        <f>IF(OR(履歴データ!$A$1113="",履歴データ!$A$1112=""),"",-40000*P1113)</f>
        <v/>
      </c>
      <c r="AB1113" s="11" t="str">
        <f>IF(履歴データ!$A$1113="","",123.3)</f>
        <v/>
      </c>
      <c r="AC1113" t="str">
        <f>IF(履歴データ!$A$1113="","",SUM(T1113:AA1113))</f>
        <v/>
      </c>
      <c r="AD1113" s="29" t="str">
        <f>IF(履歴データ!$A$1113="","",AC1113/1000000)</f>
        <v/>
      </c>
      <c r="AE1113" s="29">
        <f>IF(履歴データ!$A$1113="",AE1112,AE1112+AC1113/1000000)</f>
        <v>70.844544225831427</v>
      </c>
      <c r="AF1113" s="12" t="str">
        <f>IF(OR(履歴データ!$A$1113="",AE1112=0),"",(AE1113-AE1112)/AE1112)</f>
        <v/>
      </c>
      <c r="AG1113" s="29">
        <f t="shared" si="47"/>
        <v>102.17217746631495</v>
      </c>
      <c r="AH1113" s="12" t="str">
        <f>IF(OR(履歴データ!$A$1113="",AG1113=0),"",AE1113/AG1113-1)</f>
        <v/>
      </c>
    </row>
    <row r="1114" spans="1:34">
      <c r="A1114" s="10" t="str">
        <f>IF(履歴データ!$A$1114="","",履歴データ!$A$1114)</f>
        <v/>
      </c>
      <c r="B1114" s="28" t="str">
        <f>IF(履歴データ!$A$1114="","",(履歴データ!$D$1114-(履歴データ!$B$1114+履歴データ!$F$1114)/2)*100)</f>
        <v/>
      </c>
      <c r="C1114" s="28" t="str">
        <f>IF(履歴データ!$A$1114="","",(履歴データ!$H$1114-(履歴データ!$G$1114+履歴データ!$J$1114)/2)*100)</f>
        <v/>
      </c>
      <c r="D1114" s="28" t="str">
        <f>IF(履歴データ!$A$1114="","",(履歴データ!$D$1114-履歴データ!$H$1114)*100)</f>
        <v/>
      </c>
      <c r="E1114" s="28" t="str">
        <f>IF(履歴データ!$A$1114="","",(履歴データ!$D$1114-履歴データ!$C$1114)*100)</f>
        <v/>
      </c>
      <c r="F1114" s="28" t="str">
        <f>IF(履歴データ!$A$1114="","",(履歴データ!$R$1114-履歴データ!$D$1114)*100)</f>
        <v/>
      </c>
      <c r="G1114" s="28" t="str">
        <f>IF(履歴データ!$A$1114="","",(履歴データ!$S$1114-履歴データ!$R$1114)*100)</f>
        <v/>
      </c>
      <c r="H1114" s="29" t="str">
        <f>IF(履歴データ!$A$1114="","",履歴データ!$O$1114)</f>
        <v/>
      </c>
      <c r="I1114" s="29" t="str">
        <f>IF(履歴データ!$A$1114="","",履歴データ!$Q$1114)</f>
        <v/>
      </c>
      <c r="J1114" s="29" t="str">
        <f>IF(履歴データ!$A$1114="","",履歴データ!$D$1114)</f>
        <v/>
      </c>
      <c r="K1114" s="28" t="str">
        <f>IF(OR(履歴データ!$A$1114="",履歴データ!$A$1113=""),"",B1114-B1113)</f>
        <v/>
      </c>
      <c r="L1114" s="28" t="str">
        <f>IF(OR(履歴データ!$A$1114="",履歴データ!$A$1113=""),"",C1114-C1113)</f>
        <v/>
      </c>
      <c r="M1114" s="28" t="str">
        <f>IF(OR(履歴データ!$A$1114="",履歴データ!$A$1113=""),"",D1114-D1113)</f>
        <v/>
      </c>
      <c r="N1114" s="28" t="str">
        <f>IF(OR(履歴データ!$A$1114="",履歴データ!$A$1113=""),"",E1114-E1113)</f>
        <v/>
      </c>
      <c r="O1114" s="28" t="str">
        <f>IF(OR(履歴データ!$A$1114="",履歴データ!$A$1113=""),"",F1114-F1113)</f>
        <v/>
      </c>
      <c r="P1114" s="28" t="str">
        <f>IF(OR(履歴データ!$A$1114="",履歴データ!$A$1113=""),"",G1114-G1113)</f>
        <v/>
      </c>
      <c r="Q1114" s="29" t="str">
        <f>IF(OR(履歴データ!$A$1114="",履歴データ!$A$1113=""),"",H1114-H1113)</f>
        <v/>
      </c>
      <c r="R1114" s="29" t="str">
        <f>IF(OR(履歴データ!$A$1114="",履歴データ!$A$1113=""),"",I1114-I1113)</f>
        <v/>
      </c>
      <c r="S1114" s="28" t="str">
        <f>IF(OR(履歴データ!$A$1114="",履歴データ!$A$1113=""),"",(J1114-J1113)*100)</f>
        <v/>
      </c>
      <c r="T1114" s="11" t="str">
        <f>IF(OR(履歴データ!$A$1114="",履歴データ!$A$1113=""),"",-80000*K1114)</f>
        <v/>
      </c>
      <c r="U1114" s="11" t="str">
        <f>IF(OR(履歴データ!$A$1114="",履歴データ!$A$1113=""),"",60000*L1114)</f>
        <v/>
      </c>
      <c r="V1114" s="11" t="str">
        <f>IF(OR(履歴データ!$A$1114="",履歴データ!$A$1113=""),"",-50000*M1114)</f>
        <v/>
      </c>
      <c r="W1114" s="11" t="str">
        <f>IF(OR(履歴データ!$A$1114="",履歴データ!$A$1113=""),"",-40000*N1114)</f>
        <v/>
      </c>
      <c r="X1114" s="11" t="str">
        <f>IF(OR(履歴データ!$A$1114="",履歴データ!$A$1113=""),"",120*1000000*(-Q1114/H1113))</f>
        <v/>
      </c>
      <c r="Y1114" s="11" t="str">
        <f>IF(OR(履歴データ!$A$1114="",履歴データ!$A$1113=""),"",40000*(-S1114)+(-506.3)*R1114*1000)</f>
        <v/>
      </c>
      <c r="Z1114" s="11" t="str">
        <f>IF(OR(履歴データ!$A$1114="",履歴データ!$A$1113=""),"",-40000*O1114)</f>
        <v/>
      </c>
      <c r="AA1114" s="11" t="str">
        <f>IF(OR(履歴データ!$A$1114="",履歴データ!$A$1113=""),"",-40000*P1114)</f>
        <v/>
      </c>
      <c r="AB1114" s="11" t="str">
        <f>IF(履歴データ!$A$1114="","",123.3)</f>
        <v/>
      </c>
      <c r="AC1114" t="str">
        <f>IF(履歴データ!$A$1114="","",SUM(T1114:AA1114))</f>
        <v/>
      </c>
      <c r="AD1114" s="29" t="str">
        <f>IF(履歴データ!$A$1114="","",AC1114/1000000)</f>
        <v/>
      </c>
      <c r="AE1114" s="29">
        <f>IF(履歴データ!$A$1114="",AE1113,AE1113+AC1114/1000000)</f>
        <v>70.844544225831427</v>
      </c>
      <c r="AF1114" s="12" t="str">
        <f>IF(OR(履歴データ!$A$1114="",AE1113=0),"",(AE1114-AE1113)/AE1113)</f>
        <v/>
      </c>
      <c r="AG1114" s="29">
        <f t="shared" si="47"/>
        <v>102.17217746631495</v>
      </c>
      <c r="AH1114" s="12" t="str">
        <f>IF(OR(履歴データ!$A$1114="",AG1114=0),"",AE1114/AG1114-1)</f>
        <v/>
      </c>
    </row>
    <row r="1115" spans="1:34">
      <c r="A1115" s="10" t="str">
        <f>IF(履歴データ!$A$1115="","",履歴データ!$A$1115)</f>
        <v/>
      </c>
      <c r="B1115" s="28" t="str">
        <f>IF(履歴データ!$A$1115="","",(履歴データ!$D$1115-(履歴データ!$B$1115+履歴データ!$F$1115)/2)*100)</f>
        <v/>
      </c>
      <c r="C1115" s="28" t="str">
        <f>IF(履歴データ!$A$1115="","",(履歴データ!$H$1115-(履歴データ!$G$1115+履歴データ!$J$1115)/2)*100)</f>
        <v/>
      </c>
      <c r="D1115" s="28" t="str">
        <f>IF(履歴データ!$A$1115="","",(履歴データ!$D$1115-履歴データ!$H$1115)*100)</f>
        <v/>
      </c>
      <c r="E1115" s="28" t="str">
        <f>IF(履歴データ!$A$1115="","",(履歴データ!$D$1115-履歴データ!$C$1115)*100)</f>
        <v/>
      </c>
      <c r="F1115" s="28" t="str">
        <f>IF(履歴データ!$A$1115="","",(履歴データ!$R$1115-履歴データ!$D$1115)*100)</f>
        <v/>
      </c>
      <c r="G1115" s="28" t="str">
        <f>IF(履歴データ!$A$1115="","",(履歴データ!$S$1115-履歴データ!$R$1115)*100)</f>
        <v/>
      </c>
      <c r="H1115" s="29" t="str">
        <f>IF(履歴データ!$A$1115="","",履歴データ!$O$1115)</f>
        <v/>
      </c>
      <c r="I1115" s="29" t="str">
        <f>IF(履歴データ!$A$1115="","",履歴データ!$Q$1115)</f>
        <v/>
      </c>
      <c r="J1115" s="29" t="str">
        <f>IF(履歴データ!$A$1115="","",履歴データ!$D$1115)</f>
        <v/>
      </c>
      <c r="K1115" s="28" t="str">
        <f>IF(OR(履歴データ!$A$1115="",履歴データ!$A$1114=""),"",B1115-B1114)</f>
        <v/>
      </c>
      <c r="L1115" s="28" t="str">
        <f>IF(OR(履歴データ!$A$1115="",履歴データ!$A$1114=""),"",C1115-C1114)</f>
        <v/>
      </c>
      <c r="M1115" s="28" t="str">
        <f>IF(OR(履歴データ!$A$1115="",履歴データ!$A$1114=""),"",D1115-D1114)</f>
        <v/>
      </c>
      <c r="N1115" s="28" t="str">
        <f>IF(OR(履歴データ!$A$1115="",履歴データ!$A$1114=""),"",E1115-E1114)</f>
        <v/>
      </c>
      <c r="O1115" s="28" t="str">
        <f>IF(OR(履歴データ!$A$1115="",履歴データ!$A$1114=""),"",F1115-F1114)</f>
        <v/>
      </c>
      <c r="P1115" s="28" t="str">
        <f>IF(OR(履歴データ!$A$1115="",履歴データ!$A$1114=""),"",G1115-G1114)</f>
        <v/>
      </c>
      <c r="Q1115" s="29" t="str">
        <f>IF(OR(履歴データ!$A$1115="",履歴データ!$A$1114=""),"",H1115-H1114)</f>
        <v/>
      </c>
      <c r="R1115" s="29" t="str">
        <f>IF(OR(履歴データ!$A$1115="",履歴データ!$A$1114=""),"",I1115-I1114)</f>
        <v/>
      </c>
      <c r="S1115" s="28" t="str">
        <f>IF(OR(履歴データ!$A$1115="",履歴データ!$A$1114=""),"",(J1115-J1114)*100)</f>
        <v/>
      </c>
      <c r="T1115" s="11" t="str">
        <f>IF(OR(履歴データ!$A$1115="",履歴データ!$A$1114=""),"",-80000*K1115)</f>
        <v/>
      </c>
      <c r="U1115" s="11" t="str">
        <f>IF(OR(履歴データ!$A$1115="",履歴データ!$A$1114=""),"",60000*L1115)</f>
        <v/>
      </c>
      <c r="V1115" s="11" t="str">
        <f>IF(OR(履歴データ!$A$1115="",履歴データ!$A$1114=""),"",-50000*M1115)</f>
        <v/>
      </c>
      <c r="W1115" s="11" t="str">
        <f>IF(OR(履歴データ!$A$1115="",履歴データ!$A$1114=""),"",-40000*N1115)</f>
        <v/>
      </c>
      <c r="X1115" s="11" t="str">
        <f>IF(OR(履歴データ!$A$1115="",履歴データ!$A$1114=""),"",120*1000000*(-Q1115/H1114))</f>
        <v/>
      </c>
      <c r="Y1115" s="11" t="str">
        <f>IF(OR(履歴データ!$A$1115="",履歴データ!$A$1114=""),"",40000*(-S1115)+(-506.3)*R1115*1000)</f>
        <v/>
      </c>
      <c r="Z1115" s="11" t="str">
        <f>IF(OR(履歴データ!$A$1115="",履歴データ!$A$1114=""),"",-40000*O1115)</f>
        <v/>
      </c>
      <c r="AA1115" s="11" t="str">
        <f>IF(OR(履歴データ!$A$1115="",履歴データ!$A$1114=""),"",-40000*P1115)</f>
        <v/>
      </c>
      <c r="AB1115" s="11" t="str">
        <f>IF(履歴データ!$A$1115="","",123.3)</f>
        <v/>
      </c>
      <c r="AC1115" t="str">
        <f>IF(履歴データ!$A$1115="","",SUM(T1115:AA1115))</f>
        <v/>
      </c>
      <c r="AD1115" s="29" t="str">
        <f>IF(履歴データ!$A$1115="","",AC1115/1000000)</f>
        <v/>
      </c>
      <c r="AE1115" s="29">
        <f>IF(履歴データ!$A$1115="",AE1114,AE1114+AC1115/1000000)</f>
        <v>70.844544225831427</v>
      </c>
      <c r="AF1115" s="12" t="str">
        <f>IF(OR(履歴データ!$A$1115="",AE1114=0),"",(AE1115-AE1114)/AE1114)</f>
        <v/>
      </c>
      <c r="AG1115" s="29">
        <f t="shared" si="47"/>
        <v>102.17217746631495</v>
      </c>
      <c r="AH1115" s="12" t="str">
        <f>IF(OR(履歴データ!$A$1115="",AG1115=0),"",AE1115/AG1115-1)</f>
        <v/>
      </c>
    </row>
    <row r="1116" spans="1:34">
      <c r="A1116" s="10" t="str">
        <f>IF(履歴データ!$A$1116="","",履歴データ!$A$1116)</f>
        <v/>
      </c>
      <c r="B1116" s="28" t="str">
        <f>IF(履歴データ!$A$1116="","",(履歴データ!$D$1116-(履歴データ!$B$1116+履歴データ!$F$1116)/2)*100)</f>
        <v/>
      </c>
      <c r="C1116" s="28" t="str">
        <f>IF(履歴データ!$A$1116="","",(履歴データ!$H$1116-(履歴データ!$G$1116+履歴データ!$J$1116)/2)*100)</f>
        <v/>
      </c>
      <c r="D1116" s="28" t="str">
        <f>IF(履歴データ!$A$1116="","",(履歴データ!$D$1116-履歴データ!$H$1116)*100)</f>
        <v/>
      </c>
      <c r="E1116" s="28" t="str">
        <f>IF(履歴データ!$A$1116="","",(履歴データ!$D$1116-履歴データ!$C$1116)*100)</f>
        <v/>
      </c>
      <c r="F1116" s="28" t="str">
        <f>IF(履歴データ!$A$1116="","",(履歴データ!$R$1116-履歴データ!$D$1116)*100)</f>
        <v/>
      </c>
      <c r="G1116" s="28" t="str">
        <f>IF(履歴データ!$A$1116="","",(履歴データ!$S$1116-履歴データ!$R$1116)*100)</f>
        <v/>
      </c>
      <c r="H1116" s="29" t="str">
        <f>IF(履歴データ!$A$1116="","",履歴データ!$O$1116)</f>
        <v/>
      </c>
      <c r="I1116" s="29" t="str">
        <f>IF(履歴データ!$A$1116="","",履歴データ!$Q$1116)</f>
        <v/>
      </c>
      <c r="J1116" s="29" t="str">
        <f>IF(履歴データ!$A$1116="","",履歴データ!$D$1116)</f>
        <v/>
      </c>
      <c r="K1116" s="28" t="str">
        <f>IF(OR(履歴データ!$A$1116="",履歴データ!$A$1115=""),"",B1116-B1115)</f>
        <v/>
      </c>
      <c r="L1116" s="28" t="str">
        <f>IF(OR(履歴データ!$A$1116="",履歴データ!$A$1115=""),"",C1116-C1115)</f>
        <v/>
      </c>
      <c r="M1116" s="28" t="str">
        <f>IF(OR(履歴データ!$A$1116="",履歴データ!$A$1115=""),"",D1116-D1115)</f>
        <v/>
      </c>
      <c r="N1116" s="28" t="str">
        <f>IF(OR(履歴データ!$A$1116="",履歴データ!$A$1115=""),"",E1116-E1115)</f>
        <v/>
      </c>
      <c r="O1116" s="28" t="str">
        <f>IF(OR(履歴データ!$A$1116="",履歴データ!$A$1115=""),"",F1116-F1115)</f>
        <v/>
      </c>
      <c r="P1116" s="28" t="str">
        <f>IF(OR(履歴データ!$A$1116="",履歴データ!$A$1115=""),"",G1116-G1115)</f>
        <v/>
      </c>
      <c r="Q1116" s="29" t="str">
        <f>IF(OR(履歴データ!$A$1116="",履歴データ!$A$1115=""),"",H1116-H1115)</f>
        <v/>
      </c>
      <c r="R1116" s="29" t="str">
        <f>IF(OR(履歴データ!$A$1116="",履歴データ!$A$1115=""),"",I1116-I1115)</f>
        <v/>
      </c>
      <c r="S1116" s="28" t="str">
        <f>IF(OR(履歴データ!$A$1116="",履歴データ!$A$1115=""),"",(J1116-J1115)*100)</f>
        <v/>
      </c>
      <c r="T1116" s="11" t="str">
        <f>IF(OR(履歴データ!$A$1116="",履歴データ!$A$1115=""),"",-80000*K1116)</f>
        <v/>
      </c>
      <c r="U1116" s="11" t="str">
        <f>IF(OR(履歴データ!$A$1116="",履歴データ!$A$1115=""),"",60000*L1116)</f>
        <v/>
      </c>
      <c r="V1116" s="11" t="str">
        <f>IF(OR(履歴データ!$A$1116="",履歴データ!$A$1115=""),"",-50000*M1116)</f>
        <v/>
      </c>
      <c r="W1116" s="11" t="str">
        <f>IF(OR(履歴データ!$A$1116="",履歴データ!$A$1115=""),"",-40000*N1116)</f>
        <v/>
      </c>
      <c r="X1116" s="11" t="str">
        <f>IF(OR(履歴データ!$A$1116="",履歴データ!$A$1115=""),"",120*1000000*(-Q1116/H1115))</f>
        <v/>
      </c>
      <c r="Y1116" s="11" t="str">
        <f>IF(OR(履歴データ!$A$1116="",履歴データ!$A$1115=""),"",40000*(-S1116)+(-506.3)*R1116*1000)</f>
        <v/>
      </c>
      <c r="Z1116" s="11" t="str">
        <f>IF(OR(履歴データ!$A$1116="",履歴データ!$A$1115=""),"",-40000*O1116)</f>
        <v/>
      </c>
      <c r="AA1116" s="11" t="str">
        <f>IF(OR(履歴データ!$A$1116="",履歴データ!$A$1115=""),"",-40000*P1116)</f>
        <v/>
      </c>
      <c r="AB1116" s="11" t="str">
        <f>IF(履歴データ!$A$1116="","",123.3)</f>
        <v/>
      </c>
      <c r="AC1116" t="str">
        <f>IF(履歴データ!$A$1116="","",SUM(T1116:AA1116))</f>
        <v/>
      </c>
      <c r="AD1116" s="29" t="str">
        <f>IF(履歴データ!$A$1116="","",AC1116/1000000)</f>
        <v/>
      </c>
      <c r="AE1116" s="29">
        <f>IF(履歴データ!$A$1116="",AE1115,AE1115+AC1116/1000000)</f>
        <v>70.844544225831427</v>
      </c>
      <c r="AF1116" s="12" t="str">
        <f>IF(OR(履歴データ!$A$1116="",AE1115=0),"",(AE1116-AE1115)/AE1115)</f>
        <v/>
      </c>
      <c r="AG1116" s="29">
        <f t="shared" si="47"/>
        <v>102.17217746631495</v>
      </c>
      <c r="AH1116" s="12" t="str">
        <f>IF(OR(履歴データ!$A$1116="",AG1116=0),"",AE1116/AG1116-1)</f>
        <v/>
      </c>
    </row>
    <row r="1117" spans="1:34">
      <c r="A1117" s="10" t="str">
        <f>IF(履歴データ!$A$1117="","",履歴データ!$A$1117)</f>
        <v/>
      </c>
      <c r="B1117" s="28" t="str">
        <f>IF(履歴データ!$A$1117="","",(履歴データ!$D$1117-(履歴データ!$B$1117+履歴データ!$F$1117)/2)*100)</f>
        <v/>
      </c>
      <c r="C1117" s="28" t="str">
        <f>IF(履歴データ!$A$1117="","",(履歴データ!$H$1117-(履歴データ!$G$1117+履歴データ!$J$1117)/2)*100)</f>
        <v/>
      </c>
      <c r="D1117" s="28" t="str">
        <f>IF(履歴データ!$A$1117="","",(履歴データ!$D$1117-履歴データ!$H$1117)*100)</f>
        <v/>
      </c>
      <c r="E1117" s="28" t="str">
        <f>IF(履歴データ!$A$1117="","",(履歴データ!$D$1117-履歴データ!$C$1117)*100)</f>
        <v/>
      </c>
      <c r="F1117" s="28" t="str">
        <f>IF(履歴データ!$A$1117="","",(履歴データ!$R$1117-履歴データ!$D$1117)*100)</f>
        <v/>
      </c>
      <c r="G1117" s="28" t="str">
        <f>IF(履歴データ!$A$1117="","",(履歴データ!$S$1117-履歴データ!$R$1117)*100)</f>
        <v/>
      </c>
      <c r="H1117" s="29" t="str">
        <f>IF(履歴データ!$A$1117="","",履歴データ!$O$1117)</f>
        <v/>
      </c>
      <c r="I1117" s="29" t="str">
        <f>IF(履歴データ!$A$1117="","",履歴データ!$Q$1117)</f>
        <v/>
      </c>
      <c r="J1117" s="29" t="str">
        <f>IF(履歴データ!$A$1117="","",履歴データ!$D$1117)</f>
        <v/>
      </c>
      <c r="K1117" s="28" t="str">
        <f>IF(OR(履歴データ!$A$1117="",履歴データ!$A$1116=""),"",B1117-B1116)</f>
        <v/>
      </c>
      <c r="L1117" s="28" t="str">
        <f>IF(OR(履歴データ!$A$1117="",履歴データ!$A$1116=""),"",C1117-C1116)</f>
        <v/>
      </c>
      <c r="M1117" s="28" t="str">
        <f>IF(OR(履歴データ!$A$1117="",履歴データ!$A$1116=""),"",D1117-D1116)</f>
        <v/>
      </c>
      <c r="N1117" s="28" t="str">
        <f>IF(OR(履歴データ!$A$1117="",履歴データ!$A$1116=""),"",E1117-E1116)</f>
        <v/>
      </c>
      <c r="O1117" s="28" t="str">
        <f>IF(OR(履歴データ!$A$1117="",履歴データ!$A$1116=""),"",F1117-F1116)</f>
        <v/>
      </c>
      <c r="P1117" s="28" t="str">
        <f>IF(OR(履歴データ!$A$1117="",履歴データ!$A$1116=""),"",G1117-G1116)</f>
        <v/>
      </c>
      <c r="Q1117" s="29" t="str">
        <f>IF(OR(履歴データ!$A$1117="",履歴データ!$A$1116=""),"",H1117-H1116)</f>
        <v/>
      </c>
      <c r="R1117" s="29" t="str">
        <f>IF(OR(履歴データ!$A$1117="",履歴データ!$A$1116=""),"",I1117-I1116)</f>
        <v/>
      </c>
      <c r="S1117" s="28" t="str">
        <f>IF(OR(履歴データ!$A$1117="",履歴データ!$A$1116=""),"",(J1117-J1116)*100)</f>
        <v/>
      </c>
      <c r="T1117" s="11" t="str">
        <f>IF(OR(履歴データ!$A$1117="",履歴データ!$A$1116=""),"",-80000*K1117)</f>
        <v/>
      </c>
      <c r="U1117" s="11" t="str">
        <f>IF(OR(履歴データ!$A$1117="",履歴データ!$A$1116=""),"",60000*L1117)</f>
        <v/>
      </c>
      <c r="V1117" s="11" t="str">
        <f>IF(OR(履歴データ!$A$1117="",履歴データ!$A$1116=""),"",-50000*M1117)</f>
        <v/>
      </c>
      <c r="W1117" s="11" t="str">
        <f>IF(OR(履歴データ!$A$1117="",履歴データ!$A$1116=""),"",-40000*N1117)</f>
        <v/>
      </c>
      <c r="X1117" s="11" t="str">
        <f>IF(OR(履歴データ!$A$1117="",履歴データ!$A$1116=""),"",120*1000000*(-Q1117/H1116))</f>
        <v/>
      </c>
      <c r="Y1117" s="11" t="str">
        <f>IF(OR(履歴データ!$A$1117="",履歴データ!$A$1116=""),"",40000*(-S1117)+(-506.3)*R1117*1000)</f>
        <v/>
      </c>
      <c r="Z1117" s="11" t="str">
        <f>IF(OR(履歴データ!$A$1117="",履歴データ!$A$1116=""),"",-40000*O1117)</f>
        <v/>
      </c>
      <c r="AA1117" s="11" t="str">
        <f>IF(OR(履歴データ!$A$1117="",履歴データ!$A$1116=""),"",-40000*P1117)</f>
        <v/>
      </c>
      <c r="AB1117" s="11" t="str">
        <f>IF(履歴データ!$A$1117="","",123.3)</f>
        <v/>
      </c>
      <c r="AC1117" t="str">
        <f>IF(履歴データ!$A$1117="","",SUM(T1117:AA1117))</f>
        <v/>
      </c>
      <c r="AD1117" s="29" t="str">
        <f>IF(履歴データ!$A$1117="","",AC1117/1000000)</f>
        <v/>
      </c>
      <c r="AE1117" s="29">
        <f>IF(履歴データ!$A$1117="",AE1116,AE1116+AC1117/1000000)</f>
        <v>70.844544225831427</v>
      </c>
      <c r="AF1117" s="12" t="str">
        <f>IF(OR(履歴データ!$A$1117="",AE1116=0),"",(AE1117-AE1116)/AE1116)</f>
        <v/>
      </c>
      <c r="AG1117" s="29">
        <f t="shared" si="47"/>
        <v>102.17217746631495</v>
      </c>
      <c r="AH1117" s="12" t="str">
        <f>IF(OR(履歴データ!$A$1117="",AG1117=0),"",AE1117/AG1117-1)</f>
        <v/>
      </c>
    </row>
    <row r="1118" spans="1:34">
      <c r="A1118" s="10" t="str">
        <f>IF(履歴データ!$A$1118="","",履歴データ!$A$1118)</f>
        <v/>
      </c>
      <c r="B1118" s="28" t="str">
        <f>IF(履歴データ!$A$1118="","",(履歴データ!$D$1118-(履歴データ!$B$1118+履歴データ!$F$1118)/2)*100)</f>
        <v/>
      </c>
      <c r="C1118" s="28" t="str">
        <f>IF(履歴データ!$A$1118="","",(履歴データ!$H$1118-(履歴データ!$G$1118+履歴データ!$J$1118)/2)*100)</f>
        <v/>
      </c>
      <c r="D1118" s="28" t="str">
        <f>IF(履歴データ!$A$1118="","",(履歴データ!$D$1118-履歴データ!$H$1118)*100)</f>
        <v/>
      </c>
      <c r="E1118" s="28" t="str">
        <f>IF(履歴データ!$A$1118="","",(履歴データ!$D$1118-履歴データ!$C$1118)*100)</f>
        <v/>
      </c>
      <c r="F1118" s="28" t="str">
        <f>IF(履歴データ!$A$1118="","",(履歴データ!$R$1118-履歴データ!$D$1118)*100)</f>
        <v/>
      </c>
      <c r="G1118" s="28" t="str">
        <f>IF(履歴データ!$A$1118="","",(履歴データ!$S$1118-履歴データ!$R$1118)*100)</f>
        <v/>
      </c>
      <c r="H1118" s="29" t="str">
        <f>IF(履歴データ!$A$1118="","",履歴データ!$O$1118)</f>
        <v/>
      </c>
      <c r="I1118" s="29" t="str">
        <f>IF(履歴データ!$A$1118="","",履歴データ!$Q$1118)</f>
        <v/>
      </c>
      <c r="J1118" s="29" t="str">
        <f>IF(履歴データ!$A$1118="","",履歴データ!$D$1118)</f>
        <v/>
      </c>
      <c r="K1118" s="28" t="str">
        <f>IF(OR(履歴データ!$A$1118="",履歴データ!$A$1117=""),"",B1118-B1117)</f>
        <v/>
      </c>
      <c r="L1118" s="28" t="str">
        <f>IF(OR(履歴データ!$A$1118="",履歴データ!$A$1117=""),"",C1118-C1117)</f>
        <v/>
      </c>
      <c r="M1118" s="28" t="str">
        <f>IF(OR(履歴データ!$A$1118="",履歴データ!$A$1117=""),"",D1118-D1117)</f>
        <v/>
      </c>
      <c r="N1118" s="28" t="str">
        <f>IF(OR(履歴データ!$A$1118="",履歴データ!$A$1117=""),"",E1118-E1117)</f>
        <v/>
      </c>
      <c r="O1118" s="28" t="str">
        <f>IF(OR(履歴データ!$A$1118="",履歴データ!$A$1117=""),"",F1118-F1117)</f>
        <v/>
      </c>
      <c r="P1118" s="28" t="str">
        <f>IF(OR(履歴データ!$A$1118="",履歴データ!$A$1117=""),"",G1118-G1117)</f>
        <v/>
      </c>
      <c r="Q1118" s="29" t="str">
        <f>IF(OR(履歴データ!$A$1118="",履歴データ!$A$1117=""),"",H1118-H1117)</f>
        <v/>
      </c>
      <c r="R1118" s="29" t="str">
        <f>IF(OR(履歴データ!$A$1118="",履歴データ!$A$1117=""),"",I1118-I1117)</f>
        <v/>
      </c>
      <c r="S1118" s="28" t="str">
        <f>IF(OR(履歴データ!$A$1118="",履歴データ!$A$1117=""),"",(J1118-J1117)*100)</f>
        <v/>
      </c>
      <c r="T1118" s="11" t="str">
        <f>IF(OR(履歴データ!$A$1118="",履歴データ!$A$1117=""),"",-80000*K1118)</f>
        <v/>
      </c>
      <c r="U1118" s="11" t="str">
        <f>IF(OR(履歴データ!$A$1118="",履歴データ!$A$1117=""),"",60000*L1118)</f>
        <v/>
      </c>
      <c r="V1118" s="11" t="str">
        <f>IF(OR(履歴データ!$A$1118="",履歴データ!$A$1117=""),"",-50000*M1118)</f>
        <v/>
      </c>
      <c r="W1118" s="11" t="str">
        <f>IF(OR(履歴データ!$A$1118="",履歴データ!$A$1117=""),"",-40000*N1118)</f>
        <v/>
      </c>
      <c r="X1118" s="11" t="str">
        <f>IF(OR(履歴データ!$A$1118="",履歴データ!$A$1117=""),"",120*1000000*(-Q1118/H1117))</f>
        <v/>
      </c>
      <c r="Y1118" s="11" t="str">
        <f>IF(OR(履歴データ!$A$1118="",履歴データ!$A$1117=""),"",40000*(-S1118)+(-506.3)*R1118*1000)</f>
        <v/>
      </c>
      <c r="Z1118" s="11" t="str">
        <f>IF(OR(履歴データ!$A$1118="",履歴データ!$A$1117=""),"",-40000*O1118)</f>
        <v/>
      </c>
      <c r="AA1118" s="11" t="str">
        <f>IF(OR(履歴データ!$A$1118="",履歴データ!$A$1117=""),"",-40000*P1118)</f>
        <v/>
      </c>
      <c r="AB1118" s="11" t="str">
        <f>IF(履歴データ!$A$1118="","",123.3)</f>
        <v/>
      </c>
      <c r="AC1118" t="str">
        <f>IF(履歴データ!$A$1118="","",SUM(T1118:AA1118))</f>
        <v/>
      </c>
      <c r="AD1118" s="29" t="str">
        <f>IF(履歴データ!$A$1118="","",AC1118/1000000)</f>
        <v/>
      </c>
      <c r="AE1118" s="29">
        <f>IF(履歴データ!$A$1118="",AE1117,AE1117+AC1118/1000000)</f>
        <v>70.844544225831427</v>
      </c>
      <c r="AF1118" s="12" t="str">
        <f>IF(OR(履歴データ!$A$1118="",AE1117=0),"",(AE1118-AE1117)/AE1117)</f>
        <v/>
      </c>
      <c r="AG1118" s="29">
        <f t="shared" si="47"/>
        <v>102.17217746631495</v>
      </c>
      <c r="AH1118" s="12" t="str">
        <f>IF(OR(履歴データ!$A$1118="",AG1118=0),"",AE1118/AG1118-1)</f>
        <v/>
      </c>
    </row>
    <row r="1119" spans="1:34">
      <c r="A1119" s="10" t="str">
        <f>IF(履歴データ!$A$1119="","",履歴データ!$A$1119)</f>
        <v/>
      </c>
      <c r="B1119" s="28" t="str">
        <f>IF(履歴データ!$A$1119="","",(履歴データ!$D$1119-(履歴データ!$B$1119+履歴データ!$F$1119)/2)*100)</f>
        <v/>
      </c>
      <c r="C1119" s="28" t="str">
        <f>IF(履歴データ!$A$1119="","",(履歴データ!$H$1119-(履歴データ!$G$1119+履歴データ!$J$1119)/2)*100)</f>
        <v/>
      </c>
      <c r="D1119" s="28" t="str">
        <f>IF(履歴データ!$A$1119="","",(履歴データ!$D$1119-履歴データ!$H$1119)*100)</f>
        <v/>
      </c>
      <c r="E1119" s="28" t="str">
        <f>IF(履歴データ!$A$1119="","",(履歴データ!$D$1119-履歴データ!$C$1119)*100)</f>
        <v/>
      </c>
      <c r="F1119" s="28" t="str">
        <f>IF(履歴データ!$A$1119="","",(履歴データ!$R$1119-履歴データ!$D$1119)*100)</f>
        <v/>
      </c>
      <c r="G1119" s="28" t="str">
        <f>IF(履歴データ!$A$1119="","",(履歴データ!$S$1119-履歴データ!$R$1119)*100)</f>
        <v/>
      </c>
      <c r="H1119" s="29" t="str">
        <f>IF(履歴データ!$A$1119="","",履歴データ!$O$1119)</f>
        <v/>
      </c>
      <c r="I1119" s="29" t="str">
        <f>IF(履歴データ!$A$1119="","",履歴データ!$Q$1119)</f>
        <v/>
      </c>
      <c r="J1119" s="29" t="str">
        <f>IF(履歴データ!$A$1119="","",履歴データ!$D$1119)</f>
        <v/>
      </c>
      <c r="K1119" s="28" t="str">
        <f>IF(OR(履歴データ!$A$1119="",履歴データ!$A$1118=""),"",B1119-B1118)</f>
        <v/>
      </c>
      <c r="L1119" s="28" t="str">
        <f>IF(OR(履歴データ!$A$1119="",履歴データ!$A$1118=""),"",C1119-C1118)</f>
        <v/>
      </c>
      <c r="M1119" s="28" t="str">
        <f>IF(OR(履歴データ!$A$1119="",履歴データ!$A$1118=""),"",D1119-D1118)</f>
        <v/>
      </c>
      <c r="N1119" s="28" t="str">
        <f>IF(OR(履歴データ!$A$1119="",履歴データ!$A$1118=""),"",E1119-E1118)</f>
        <v/>
      </c>
      <c r="O1119" s="28" t="str">
        <f>IF(OR(履歴データ!$A$1119="",履歴データ!$A$1118=""),"",F1119-F1118)</f>
        <v/>
      </c>
      <c r="P1119" s="28" t="str">
        <f>IF(OR(履歴データ!$A$1119="",履歴データ!$A$1118=""),"",G1119-G1118)</f>
        <v/>
      </c>
      <c r="Q1119" s="29" t="str">
        <f>IF(OR(履歴データ!$A$1119="",履歴データ!$A$1118=""),"",H1119-H1118)</f>
        <v/>
      </c>
      <c r="R1119" s="29" t="str">
        <f>IF(OR(履歴データ!$A$1119="",履歴データ!$A$1118=""),"",I1119-I1118)</f>
        <v/>
      </c>
      <c r="S1119" s="28" t="str">
        <f>IF(OR(履歴データ!$A$1119="",履歴データ!$A$1118=""),"",(J1119-J1118)*100)</f>
        <v/>
      </c>
      <c r="T1119" s="11" t="str">
        <f>IF(OR(履歴データ!$A$1119="",履歴データ!$A$1118=""),"",-80000*K1119)</f>
        <v/>
      </c>
      <c r="U1119" s="11" t="str">
        <f>IF(OR(履歴データ!$A$1119="",履歴データ!$A$1118=""),"",60000*L1119)</f>
        <v/>
      </c>
      <c r="V1119" s="11" t="str">
        <f>IF(OR(履歴データ!$A$1119="",履歴データ!$A$1118=""),"",-50000*M1119)</f>
        <v/>
      </c>
      <c r="W1119" s="11" t="str">
        <f>IF(OR(履歴データ!$A$1119="",履歴データ!$A$1118=""),"",-40000*N1119)</f>
        <v/>
      </c>
      <c r="X1119" s="11" t="str">
        <f>IF(OR(履歴データ!$A$1119="",履歴データ!$A$1118=""),"",120*1000000*(-Q1119/H1118))</f>
        <v/>
      </c>
      <c r="Y1119" s="11" t="str">
        <f>IF(OR(履歴データ!$A$1119="",履歴データ!$A$1118=""),"",40000*(-S1119)+(-506.3)*R1119*1000)</f>
        <v/>
      </c>
      <c r="Z1119" s="11" t="str">
        <f>IF(OR(履歴データ!$A$1119="",履歴データ!$A$1118=""),"",-40000*O1119)</f>
        <v/>
      </c>
      <c r="AA1119" s="11" t="str">
        <f>IF(OR(履歴データ!$A$1119="",履歴データ!$A$1118=""),"",-40000*P1119)</f>
        <v/>
      </c>
      <c r="AB1119" s="11" t="str">
        <f>IF(履歴データ!$A$1119="","",123.3)</f>
        <v/>
      </c>
      <c r="AC1119" t="str">
        <f>IF(履歴データ!$A$1119="","",SUM(T1119:AA1119))</f>
        <v/>
      </c>
      <c r="AD1119" s="29" t="str">
        <f>IF(履歴データ!$A$1119="","",AC1119/1000000)</f>
        <v/>
      </c>
      <c r="AE1119" s="29">
        <f>IF(履歴データ!$A$1119="",AE1118,AE1118+AC1119/1000000)</f>
        <v>70.844544225831427</v>
      </c>
      <c r="AF1119" s="12" t="str">
        <f>IF(OR(履歴データ!$A$1119="",AE1118=0),"",(AE1119-AE1118)/AE1118)</f>
        <v/>
      </c>
      <c r="AG1119" s="29">
        <f t="shared" si="47"/>
        <v>102.17217746631495</v>
      </c>
      <c r="AH1119" s="12" t="str">
        <f>IF(OR(履歴データ!$A$1119="",AG1119=0),"",AE1119/AG1119-1)</f>
        <v/>
      </c>
    </row>
    <row r="1120" spans="1:34">
      <c r="A1120" s="10" t="str">
        <f>IF(履歴データ!$A$1120="","",履歴データ!$A$1120)</f>
        <v/>
      </c>
      <c r="B1120" s="28" t="str">
        <f>IF(履歴データ!$A$1120="","",(履歴データ!$D$1120-(履歴データ!$B$1120+履歴データ!$F$1120)/2)*100)</f>
        <v/>
      </c>
      <c r="C1120" s="28" t="str">
        <f>IF(履歴データ!$A$1120="","",(履歴データ!$H$1120-(履歴データ!$G$1120+履歴データ!$J$1120)/2)*100)</f>
        <v/>
      </c>
      <c r="D1120" s="28" t="str">
        <f>IF(履歴データ!$A$1120="","",(履歴データ!$D$1120-履歴データ!$H$1120)*100)</f>
        <v/>
      </c>
      <c r="E1120" s="28" t="str">
        <f>IF(履歴データ!$A$1120="","",(履歴データ!$D$1120-履歴データ!$C$1120)*100)</f>
        <v/>
      </c>
      <c r="F1120" s="28" t="str">
        <f>IF(履歴データ!$A$1120="","",(履歴データ!$R$1120-履歴データ!$D$1120)*100)</f>
        <v/>
      </c>
      <c r="G1120" s="28" t="str">
        <f>IF(履歴データ!$A$1120="","",(履歴データ!$S$1120-履歴データ!$R$1120)*100)</f>
        <v/>
      </c>
      <c r="H1120" s="29" t="str">
        <f>IF(履歴データ!$A$1120="","",履歴データ!$O$1120)</f>
        <v/>
      </c>
      <c r="I1120" s="29" t="str">
        <f>IF(履歴データ!$A$1120="","",履歴データ!$Q$1120)</f>
        <v/>
      </c>
      <c r="J1120" s="29" t="str">
        <f>IF(履歴データ!$A$1120="","",履歴データ!$D$1120)</f>
        <v/>
      </c>
      <c r="K1120" s="28" t="str">
        <f>IF(OR(履歴データ!$A$1120="",履歴データ!$A$1119=""),"",B1120-B1119)</f>
        <v/>
      </c>
      <c r="L1120" s="28" t="str">
        <f>IF(OR(履歴データ!$A$1120="",履歴データ!$A$1119=""),"",C1120-C1119)</f>
        <v/>
      </c>
      <c r="M1120" s="28" t="str">
        <f>IF(OR(履歴データ!$A$1120="",履歴データ!$A$1119=""),"",D1120-D1119)</f>
        <v/>
      </c>
      <c r="N1120" s="28" t="str">
        <f>IF(OR(履歴データ!$A$1120="",履歴データ!$A$1119=""),"",E1120-E1119)</f>
        <v/>
      </c>
      <c r="O1120" s="28" t="str">
        <f>IF(OR(履歴データ!$A$1120="",履歴データ!$A$1119=""),"",F1120-F1119)</f>
        <v/>
      </c>
      <c r="P1120" s="28" t="str">
        <f>IF(OR(履歴データ!$A$1120="",履歴データ!$A$1119=""),"",G1120-G1119)</f>
        <v/>
      </c>
      <c r="Q1120" s="29" t="str">
        <f>IF(OR(履歴データ!$A$1120="",履歴データ!$A$1119=""),"",H1120-H1119)</f>
        <v/>
      </c>
      <c r="R1120" s="29" t="str">
        <f>IF(OR(履歴データ!$A$1120="",履歴データ!$A$1119=""),"",I1120-I1119)</f>
        <v/>
      </c>
      <c r="S1120" s="28" t="str">
        <f>IF(OR(履歴データ!$A$1120="",履歴データ!$A$1119=""),"",(J1120-J1119)*100)</f>
        <v/>
      </c>
      <c r="T1120" s="11" t="str">
        <f>IF(OR(履歴データ!$A$1120="",履歴データ!$A$1119=""),"",-80000*K1120)</f>
        <v/>
      </c>
      <c r="U1120" s="11" t="str">
        <f>IF(OR(履歴データ!$A$1120="",履歴データ!$A$1119=""),"",60000*L1120)</f>
        <v/>
      </c>
      <c r="V1120" s="11" t="str">
        <f>IF(OR(履歴データ!$A$1120="",履歴データ!$A$1119=""),"",-50000*M1120)</f>
        <v/>
      </c>
      <c r="W1120" s="11" t="str">
        <f>IF(OR(履歴データ!$A$1120="",履歴データ!$A$1119=""),"",-40000*N1120)</f>
        <v/>
      </c>
      <c r="X1120" s="11" t="str">
        <f>IF(OR(履歴データ!$A$1120="",履歴データ!$A$1119=""),"",120*1000000*(-Q1120/H1119))</f>
        <v/>
      </c>
      <c r="Y1120" s="11" t="str">
        <f>IF(OR(履歴データ!$A$1120="",履歴データ!$A$1119=""),"",40000*(-S1120)+(-506.3)*R1120*1000)</f>
        <v/>
      </c>
      <c r="Z1120" s="11" t="str">
        <f>IF(OR(履歴データ!$A$1120="",履歴データ!$A$1119=""),"",-40000*O1120)</f>
        <v/>
      </c>
      <c r="AA1120" s="11" t="str">
        <f>IF(OR(履歴データ!$A$1120="",履歴データ!$A$1119=""),"",-40000*P1120)</f>
        <v/>
      </c>
      <c r="AB1120" s="11" t="str">
        <f>IF(履歴データ!$A$1120="","",123.3)</f>
        <v/>
      </c>
      <c r="AC1120" t="str">
        <f>IF(履歴データ!$A$1120="","",SUM(T1120:AA1120))</f>
        <v/>
      </c>
      <c r="AD1120" s="29" t="str">
        <f>IF(履歴データ!$A$1120="","",AC1120/1000000)</f>
        <v/>
      </c>
      <c r="AE1120" s="29">
        <f>IF(履歴データ!$A$1120="",AE1119,AE1119+AC1120/1000000)</f>
        <v>70.844544225831427</v>
      </c>
      <c r="AF1120" s="12" t="str">
        <f>IF(OR(履歴データ!$A$1120="",AE1119=0),"",(AE1120-AE1119)/AE1119)</f>
        <v/>
      </c>
      <c r="AG1120" s="29">
        <f t="shared" si="47"/>
        <v>102.17217746631495</v>
      </c>
      <c r="AH1120" s="12" t="str">
        <f>IF(OR(履歴データ!$A$1120="",AG1120=0),"",AE1120/AG1120-1)</f>
        <v/>
      </c>
    </row>
    <row r="1121" spans="1:34">
      <c r="A1121" s="10" t="str">
        <f>IF(履歴データ!$A$1121="","",履歴データ!$A$1121)</f>
        <v/>
      </c>
      <c r="B1121" s="28" t="str">
        <f>IF(履歴データ!$A$1121="","",(履歴データ!$D$1121-(履歴データ!$B$1121+履歴データ!$F$1121)/2)*100)</f>
        <v/>
      </c>
      <c r="C1121" s="28" t="str">
        <f>IF(履歴データ!$A$1121="","",(履歴データ!$H$1121-(履歴データ!$G$1121+履歴データ!$J$1121)/2)*100)</f>
        <v/>
      </c>
      <c r="D1121" s="28" t="str">
        <f>IF(履歴データ!$A$1121="","",(履歴データ!$D$1121-履歴データ!$H$1121)*100)</f>
        <v/>
      </c>
      <c r="E1121" s="28" t="str">
        <f>IF(履歴データ!$A$1121="","",(履歴データ!$D$1121-履歴データ!$C$1121)*100)</f>
        <v/>
      </c>
      <c r="F1121" s="28" t="str">
        <f>IF(履歴データ!$A$1121="","",(履歴データ!$R$1121-履歴データ!$D$1121)*100)</f>
        <v/>
      </c>
      <c r="G1121" s="28" t="str">
        <f>IF(履歴データ!$A$1121="","",(履歴データ!$S$1121-履歴データ!$R$1121)*100)</f>
        <v/>
      </c>
      <c r="H1121" s="29" t="str">
        <f>IF(履歴データ!$A$1121="","",履歴データ!$O$1121)</f>
        <v/>
      </c>
      <c r="I1121" s="29" t="str">
        <f>IF(履歴データ!$A$1121="","",履歴データ!$Q$1121)</f>
        <v/>
      </c>
      <c r="J1121" s="29" t="str">
        <f>IF(履歴データ!$A$1121="","",履歴データ!$D$1121)</f>
        <v/>
      </c>
      <c r="K1121" s="28" t="str">
        <f>IF(OR(履歴データ!$A$1121="",履歴データ!$A$1120=""),"",B1121-B1120)</f>
        <v/>
      </c>
      <c r="L1121" s="28" t="str">
        <f>IF(OR(履歴データ!$A$1121="",履歴データ!$A$1120=""),"",C1121-C1120)</f>
        <v/>
      </c>
      <c r="M1121" s="28" t="str">
        <f>IF(OR(履歴データ!$A$1121="",履歴データ!$A$1120=""),"",D1121-D1120)</f>
        <v/>
      </c>
      <c r="N1121" s="28" t="str">
        <f>IF(OR(履歴データ!$A$1121="",履歴データ!$A$1120=""),"",E1121-E1120)</f>
        <v/>
      </c>
      <c r="O1121" s="28" t="str">
        <f>IF(OR(履歴データ!$A$1121="",履歴データ!$A$1120=""),"",F1121-F1120)</f>
        <v/>
      </c>
      <c r="P1121" s="28" t="str">
        <f>IF(OR(履歴データ!$A$1121="",履歴データ!$A$1120=""),"",G1121-G1120)</f>
        <v/>
      </c>
      <c r="Q1121" s="29" t="str">
        <f>IF(OR(履歴データ!$A$1121="",履歴データ!$A$1120=""),"",H1121-H1120)</f>
        <v/>
      </c>
      <c r="R1121" s="29" t="str">
        <f>IF(OR(履歴データ!$A$1121="",履歴データ!$A$1120=""),"",I1121-I1120)</f>
        <v/>
      </c>
      <c r="S1121" s="28" t="str">
        <f>IF(OR(履歴データ!$A$1121="",履歴データ!$A$1120=""),"",(J1121-J1120)*100)</f>
        <v/>
      </c>
      <c r="T1121" s="11" t="str">
        <f>IF(OR(履歴データ!$A$1121="",履歴データ!$A$1120=""),"",-80000*K1121)</f>
        <v/>
      </c>
      <c r="U1121" s="11" t="str">
        <f>IF(OR(履歴データ!$A$1121="",履歴データ!$A$1120=""),"",60000*L1121)</f>
        <v/>
      </c>
      <c r="V1121" s="11" t="str">
        <f>IF(OR(履歴データ!$A$1121="",履歴データ!$A$1120=""),"",-50000*M1121)</f>
        <v/>
      </c>
      <c r="W1121" s="11" t="str">
        <f>IF(OR(履歴データ!$A$1121="",履歴データ!$A$1120=""),"",-40000*N1121)</f>
        <v/>
      </c>
      <c r="X1121" s="11" t="str">
        <f>IF(OR(履歴データ!$A$1121="",履歴データ!$A$1120=""),"",120*1000000*(-Q1121/H1120))</f>
        <v/>
      </c>
      <c r="Y1121" s="11" t="str">
        <f>IF(OR(履歴データ!$A$1121="",履歴データ!$A$1120=""),"",40000*(-S1121)+(-506.3)*R1121*1000)</f>
        <v/>
      </c>
      <c r="Z1121" s="11" t="str">
        <f>IF(OR(履歴データ!$A$1121="",履歴データ!$A$1120=""),"",-40000*O1121)</f>
        <v/>
      </c>
      <c r="AA1121" s="11" t="str">
        <f>IF(OR(履歴データ!$A$1121="",履歴データ!$A$1120=""),"",-40000*P1121)</f>
        <v/>
      </c>
      <c r="AB1121" s="11" t="str">
        <f>IF(履歴データ!$A$1121="","",123.3)</f>
        <v/>
      </c>
      <c r="AC1121" t="str">
        <f>IF(履歴データ!$A$1121="","",SUM(T1121:AA1121))</f>
        <v/>
      </c>
      <c r="AD1121" s="29" t="str">
        <f>IF(履歴データ!$A$1121="","",AC1121/1000000)</f>
        <v/>
      </c>
      <c r="AE1121" s="29">
        <f>IF(履歴データ!$A$1121="",AE1120,AE1120+AC1121/1000000)</f>
        <v>70.844544225831427</v>
      </c>
      <c r="AF1121" s="12" t="str">
        <f>IF(OR(履歴データ!$A$1121="",AE1120=0),"",(AE1121-AE1120)/AE1120)</f>
        <v/>
      </c>
      <c r="AG1121" s="29">
        <f t="shared" si="47"/>
        <v>102.17217746631495</v>
      </c>
      <c r="AH1121" s="12" t="str">
        <f>IF(OR(履歴データ!$A$1121="",AG1121=0),"",AE1121/AG1121-1)</f>
        <v/>
      </c>
    </row>
    <row r="1122" spans="1:34">
      <c r="A1122" s="10" t="str">
        <f>IF(履歴データ!$A$1122="","",履歴データ!$A$1122)</f>
        <v/>
      </c>
      <c r="B1122" s="28" t="str">
        <f>IF(履歴データ!$A$1122="","",(履歴データ!$D$1122-(履歴データ!$B$1122+履歴データ!$F$1122)/2)*100)</f>
        <v/>
      </c>
      <c r="C1122" s="28" t="str">
        <f>IF(履歴データ!$A$1122="","",(履歴データ!$H$1122-(履歴データ!$G$1122+履歴データ!$J$1122)/2)*100)</f>
        <v/>
      </c>
      <c r="D1122" s="28" t="str">
        <f>IF(履歴データ!$A$1122="","",(履歴データ!$D$1122-履歴データ!$H$1122)*100)</f>
        <v/>
      </c>
      <c r="E1122" s="28" t="str">
        <f>IF(履歴データ!$A$1122="","",(履歴データ!$D$1122-履歴データ!$C$1122)*100)</f>
        <v/>
      </c>
      <c r="F1122" s="28" t="str">
        <f>IF(履歴データ!$A$1122="","",(履歴データ!$R$1122-履歴データ!$D$1122)*100)</f>
        <v/>
      </c>
      <c r="G1122" s="28" t="str">
        <f>IF(履歴データ!$A$1122="","",(履歴データ!$S$1122-履歴データ!$R$1122)*100)</f>
        <v/>
      </c>
      <c r="H1122" s="29" t="str">
        <f>IF(履歴データ!$A$1122="","",履歴データ!$O$1122)</f>
        <v/>
      </c>
      <c r="I1122" s="29" t="str">
        <f>IF(履歴データ!$A$1122="","",履歴データ!$Q$1122)</f>
        <v/>
      </c>
      <c r="J1122" s="29" t="str">
        <f>IF(履歴データ!$A$1122="","",履歴データ!$D$1122)</f>
        <v/>
      </c>
      <c r="K1122" s="28" t="str">
        <f>IF(OR(履歴データ!$A$1122="",履歴データ!$A$1121=""),"",B1122-B1121)</f>
        <v/>
      </c>
      <c r="L1122" s="28" t="str">
        <f>IF(OR(履歴データ!$A$1122="",履歴データ!$A$1121=""),"",C1122-C1121)</f>
        <v/>
      </c>
      <c r="M1122" s="28" t="str">
        <f>IF(OR(履歴データ!$A$1122="",履歴データ!$A$1121=""),"",D1122-D1121)</f>
        <v/>
      </c>
      <c r="N1122" s="28" t="str">
        <f>IF(OR(履歴データ!$A$1122="",履歴データ!$A$1121=""),"",E1122-E1121)</f>
        <v/>
      </c>
      <c r="O1122" s="28" t="str">
        <f>IF(OR(履歴データ!$A$1122="",履歴データ!$A$1121=""),"",F1122-F1121)</f>
        <v/>
      </c>
      <c r="P1122" s="28" t="str">
        <f>IF(OR(履歴データ!$A$1122="",履歴データ!$A$1121=""),"",G1122-G1121)</f>
        <v/>
      </c>
      <c r="Q1122" s="29" t="str">
        <f>IF(OR(履歴データ!$A$1122="",履歴データ!$A$1121=""),"",H1122-H1121)</f>
        <v/>
      </c>
      <c r="R1122" s="29" t="str">
        <f>IF(OR(履歴データ!$A$1122="",履歴データ!$A$1121=""),"",I1122-I1121)</f>
        <v/>
      </c>
      <c r="S1122" s="28" t="str">
        <f>IF(OR(履歴データ!$A$1122="",履歴データ!$A$1121=""),"",(J1122-J1121)*100)</f>
        <v/>
      </c>
      <c r="T1122" s="11" t="str">
        <f>IF(OR(履歴データ!$A$1122="",履歴データ!$A$1121=""),"",-80000*K1122)</f>
        <v/>
      </c>
      <c r="U1122" s="11" t="str">
        <f>IF(OR(履歴データ!$A$1122="",履歴データ!$A$1121=""),"",60000*L1122)</f>
        <v/>
      </c>
      <c r="V1122" s="11" t="str">
        <f>IF(OR(履歴データ!$A$1122="",履歴データ!$A$1121=""),"",-50000*M1122)</f>
        <v/>
      </c>
      <c r="W1122" s="11" t="str">
        <f>IF(OR(履歴データ!$A$1122="",履歴データ!$A$1121=""),"",-40000*N1122)</f>
        <v/>
      </c>
      <c r="X1122" s="11" t="str">
        <f>IF(OR(履歴データ!$A$1122="",履歴データ!$A$1121=""),"",120*1000000*(-Q1122/H1121))</f>
        <v/>
      </c>
      <c r="Y1122" s="11" t="str">
        <f>IF(OR(履歴データ!$A$1122="",履歴データ!$A$1121=""),"",40000*(-S1122)+(-506.3)*R1122*1000)</f>
        <v/>
      </c>
      <c r="Z1122" s="11" t="str">
        <f>IF(OR(履歴データ!$A$1122="",履歴データ!$A$1121=""),"",-40000*O1122)</f>
        <v/>
      </c>
      <c r="AA1122" s="11" t="str">
        <f>IF(OR(履歴データ!$A$1122="",履歴データ!$A$1121=""),"",-40000*P1122)</f>
        <v/>
      </c>
      <c r="AB1122" s="11" t="str">
        <f>IF(履歴データ!$A$1122="","",123.3)</f>
        <v/>
      </c>
      <c r="AC1122" t="str">
        <f>IF(履歴データ!$A$1122="","",SUM(T1122:AA1122))</f>
        <v/>
      </c>
      <c r="AD1122" s="29" t="str">
        <f>IF(履歴データ!$A$1122="","",AC1122/1000000)</f>
        <v/>
      </c>
      <c r="AE1122" s="29">
        <f>IF(履歴データ!$A$1122="",AE1121,AE1121+AC1122/1000000)</f>
        <v>70.844544225831427</v>
      </c>
      <c r="AF1122" s="12" t="str">
        <f>IF(OR(履歴データ!$A$1122="",AE1121=0),"",(AE1122-AE1121)/AE1121)</f>
        <v/>
      </c>
      <c r="AG1122" s="29">
        <f t="shared" si="47"/>
        <v>102.17217746631495</v>
      </c>
      <c r="AH1122" s="12" t="str">
        <f>IF(OR(履歴データ!$A$1122="",AG1122=0),"",AE1122/AG1122-1)</f>
        <v/>
      </c>
    </row>
    <row r="1123" spans="1:34">
      <c r="A1123" s="10" t="str">
        <f>IF(履歴データ!$A$1123="","",履歴データ!$A$1123)</f>
        <v/>
      </c>
      <c r="B1123" s="28" t="str">
        <f>IF(履歴データ!$A$1123="","",(履歴データ!$D$1123-(履歴データ!$B$1123+履歴データ!$F$1123)/2)*100)</f>
        <v/>
      </c>
      <c r="C1123" s="28" t="str">
        <f>IF(履歴データ!$A$1123="","",(履歴データ!$H$1123-(履歴データ!$G$1123+履歴データ!$J$1123)/2)*100)</f>
        <v/>
      </c>
      <c r="D1123" s="28" t="str">
        <f>IF(履歴データ!$A$1123="","",(履歴データ!$D$1123-履歴データ!$H$1123)*100)</f>
        <v/>
      </c>
      <c r="E1123" s="28" t="str">
        <f>IF(履歴データ!$A$1123="","",(履歴データ!$D$1123-履歴データ!$C$1123)*100)</f>
        <v/>
      </c>
      <c r="F1123" s="28" t="str">
        <f>IF(履歴データ!$A$1123="","",(履歴データ!$R$1123-履歴データ!$D$1123)*100)</f>
        <v/>
      </c>
      <c r="G1123" s="28" t="str">
        <f>IF(履歴データ!$A$1123="","",(履歴データ!$S$1123-履歴データ!$R$1123)*100)</f>
        <v/>
      </c>
      <c r="H1123" s="29" t="str">
        <f>IF(履歴データ!$A$1123="","",履歴データ!$O$1123)</f>
        <v/>
      </c>
      <c r="I1123" s="29" t="str">
        <f>IF(履歴データ!$A$1123="","",履歴データ!$Q$1123)</f>
        <v/>
      </c>
      <c r="J1123" s="29" t="str">
        <f>IF(履歴データ!$A$1123="","",履歴データ!$D$1123)</f>
        <v/>
      </c>
      <c r="K1123" s="28" t="str">
        <f>IF(OR(履歴データ!$A$1123="",履歴データ!$A$1122=""),"",B1123-B1122)</f>
        <v/>
      </c>
      <c r="L1123" s="28" t="str">
        <f>IF(OR(履歴データ!$A$1123="",履歴データ!$A$1122=""),"",C1123-C1122)</f>
        <v/>
      </c>
      <c r="M1123" s="28" t="str">
        <f>IF(OR(履歴データ!$A$1123="",履歴データ!$A$1122=""),"",D1123-D1122)</f>
        <v/>
      </c>
      <c r="N1123" s="28" t="str">
        <f>IF(OR(履歴データ!$A$1123="",履歴データ!$A$1122=""),"",E1123-E1122)</f>
        <v/>
      </c>
      <c r="O1123" s="28" t="str">
        <f>IF(OR(履歴データ!$A$1123="",履歴データ!$A$1122=""),"",F1123-F1122)</f>
        <v/>
      </c>
      <c r="P1123" s="28" t="str">
        <f>IF(OR(履歴データ!$A$1123="",履歴データ!$A$1122=""),"",G1123-G1122)</f>
        <v/>
      </c>
      <c r="Q1123" s="29" t="str">
        <f>IF(OR(履歴データ!$A$1123="",履歴データ!$A$1122=""),"",H1123-H1122)</f>
        <v/>
      </c>
      <c r="R1123" s="29" t="str">
        <f>IF(OR(履歴データ!$A$1123="",履歴データ!$A$1122=""),"",I1123-I1122)</f>
        <v/>
      </c>
      <c r="S1123" s="28" t="str">
        <f>IF(OR(履歴データ!$A$1123="",履歴データ!$A$1122=""),"",(J1123-J1122)*100)</f>
        <v/>
      </c>
      <c r="T1123" s="11" t="str">
        <f>IF(OR(履歴データ!$A$1123="",履歴データ!$A$1122=""),"",-80000*K1123)</f>
        <v/>
      </c>
      <c r="U1123" s="11" t="str">
        <f>IF(OR(履歴データ!$A$1123="",履歴データ!$A$1122=""),"",60000*L1123)</f>
        <v/>
      </c>
      <c r="V1123" s="11" t="str">
        <f>IF(OR(履歴データ!$A$1123="",履歴データ!$A$1122=""),"",-50000*M1123)</f>
        <v/>
      </c>
      <c r="W1123" s="11" t="str">
        <f>IF(OR(履歴データ!$A$1123="",履歴データ!$A$1122=""),"",-40000*N1123)</f>
        <v/>
      </c>
      <c r="X1123" s="11" t="str">
        <f>IF(OR(履歴データ!$A$1123="",履歴データ!$A$1122=""),"",120*1000000*(-Q1123/H1122))</f>
        <v/>
      </c>
      <c r="Y1123" s="11" t="str">
        <f>IF(OR(履歴データ!$A$1123="",履歴データ!$A$1122=""),"",40000*(-S1123)+(-506.3)*R1123*1000)</f>
        <v/>
      </c>
      <c r="Z1123" s="11" t="str">
        <f>IF(OR(履歴データ!$A$1123="",履歴データ!$A$1122=""),"",-40000*O1123)</f>
        <v/>
      </c>
      <c r="AA1123" s="11" t="str">
        <f>IF(OR(履歴データ!$A$1123="",履歴データ!$A$1122=""),"",-40000*P1123)</f>
        <v/>
      </c>
      <c r="AB1123" s="11" t="str">
        <f>IF(履歴データ!$A$1123="","",123.3)</f>
        <v/>
      </c>
      <c r="AC1123" t="str">
        <f>IF(履歴データ!$A$1123="","",SUM(T1123:AA1123))</f>
        <v/>
      </c>
      <c r="AD1123" s="29" t="str">
        <f>IF(履歴データ!$A$1123="","",AC1123/1000000)</f>
        <v/>
      </c>
      <c r="AE1123" s="29">
        <f>IF(履歴データ!$A$1123="",AE1122,AE1122+AC1123/1000000)</f>
        <v>70.844544225831427</v>
      </c>
      <c r="AF1123" s="12" t="str">
        <f>IF(OR(履歴データ!$A$1123="",AE1122=0),"",(AE1123-AE1122)/AE1122)</f>
        <v/>
      </c>
      <c r="AG1123" s="29">
        <f t="shared" si="47"/>
        <v>102.17217746631495</v>
      </c>
      <c r="AH1123" s="12" t="str">
        <f>IF(OR(履歴データ!$A$1123="",AG1123=0),"",AE1123/AG1123-1)</f>
        <v/>
      </c>
    </row>
    <row r="1124" spans="1:34">
      <c r="A1124" s="10" t="str">
        <f>IF(履歴データ!$A$1124="","",履歴データ!$A$1124)</f>
        <v/>
      </c>
      <c r="B1124" s="28" t="str">
        <f>IF(履歴データ!$A$1124="","",(履歴データ!$D$1124-(履歴データ!$B$1124+履歴データ!$F$1124)/2)*100)</f>
        <v/>
      </c>
      <c r="C1124" s="28" t="str">
        <f>IF(履歴データ!$A$1124="","",(履歴データ!$H$1124-(履歴データ!$G$1124+履歴データ!$J$1124)/2)*100)</f>
        <v/>
      </c>
      <c r="D1124" s="28" t="str">
        <f>IF(履歴データ!$A$1124="","",(履歴データ!$D$1124-履歴データ!$H$1124)*100)</f>
        <v/>
      </c>
      <c r="E1124" s="28" t="str">
        <f>IF(履歴データ!$A$1124="","",(履歴データ!$D$1124-履歴データ!$C$1124)*100)</f>
        <v/>
      </c>
      <c r="F1124" s="28" t="str">
        <f>IF(履歴データ!$A$1124="","",(履歴データ!$R$1124-履歴データ!$D$1124)*100)</f>
        <v/>
      </c>
      <c r="G1124" s="28" t="str">
        <f>IF(履歴データ!$A$1124="","",(履歴データ!$S$1124-履歴データ!$R$1124)*100)</f>
        <v/>
      </c>
      <c r="H1124" s="29" t="str">
        <f>IF(履歴データ!$A$1124="","",履歴データ!$O$1124)</f>
        <v/>
      </c>
      <c r="I1124" s="29" t="str">
        <f>IF(履歴データ!$A$1124="","",履歴データ!$Q$1124)</f>
        <v/>
      </c>
      <c r="J1124" s="29" t="str">
        <f>IF(履歴データ!$A$1124="","",履歴データ!$D$1124)</f>
        <v/>
      </c>
      <c r="K1124" s="28" t="str">
        <f>IF(OR(履歴データ!$A$1124="",履歴データ!$A$1123=""),"",B1124-B1123)</f>
        <v/>
      </c>
      <c r="L1124" s="28" t="str">
        <f>IF(OR(履歴データ!$A$1124="",履歴データ!$A$1123=""),"",C1124-C1123)</f>
        <v/>
      </c>
      <c r="M1124" s="28" t="str">
        <f>IF(OR(履歴データ!$A$1124="",履歴データ!$A$1123=""),"",D1124-D1123)</f>
        <v/>
      </c>
      <c r="N1124" s="28" t="str">
        <f>IF(OR(履歴データ!$A$1124="",履歴データ!$A$1123=""),"",E1124-E1123)</f>
        <v/>
      </c>
      <c r="O1124" s="28" t="str">
        <f>IF(OR(履歴データ!$A$1124="",履歴データ!$A$1123=""),"",F1124-F1123)</f>
        <v/>
      </c>
      <c r="P1124" s="28" t="str">
        <f>IF(OR(履歴データ!$A$1124="",履歴データ!$A$1123=""),"",G1124-G1123)</f>
        <v/>
      </c>
      <c r="Q1124" s="29" t="str">
        <f>IF(OR(履歴データ!$A$1124="",履歴データ!$A$1123=""),"",H1124-H1123)</f>
        <v/>
      </c>
      <c r="R1124" s="29" t="str">
        <f>IF(OR(履歴データ!$A$1124="",履歴データ!$A$1123=""),"",I1124-I1123)</f>
        <v/>
      </c>
      <c r="S1124" s="28" t="str">
        <f>IF(OR(履歴データ!$A$1124="",履歴データ!$A$1123=""),"",(J1124-J1123)*100)</f>
        <v/>
      </c>
      <c r="T1124" s="11" t="str">
        <f>IF(OR(履歴データ!$A$1124="",履歴データ!$A$1123=""),"",-80000*K1124)</f>
        <v/>
      </c>
      <c r="U1124" s="11" t="str">
        <f>IF(OR(履歴データ!$A$1124="",履歴データ!$A$1123=""),"",60000*L1124)</f>
        <v/>
      </c>
      <c r="V1124" s="11" t="str">
        <f>IF(OR(履歴データ!$A$1124="",履歴データ!$A$1123=""),"",-50000*M1124)</f>
        <v/>
      </c>
      <c r="W1124" s="11" t="str">
        <f>IF(OR(履歴データ!$A$1124="",履歴データ!$A$1123=""),"",-40000*N1124)</f>
        <v/>
      </c>
      <c r="X1124" s="11" t="str">
        <f>IF(OR(履歴データ!$A$1124="",履歴データ!$A$1123=""),"",120*1000000*(-Q1124/H1123))</f>
        <v/>
      </c>
      <c r="Y1124" s="11" t="str">
        <f>IF(OR(履歴データ!$A$1124="",履歴データ!$A$1123=""),"",40000*(-S1124)+(-506.3)*R1124*1000)</f>
        <v/>
      </c>
      <c r="Z1124" s="11" t="str">
        <f>IF(OR(履歴データ!$A$1124="",履歴データ!$A$1123=""),"",-40000*O1124)</f>
        <v/>
      </c>
      <c r="AA1124" s="11" t="str">
        <f>IF(OR(履歴データ!$A$1124="",履歴データ!$A$1123=""),"",-40000*P1124)</f>
        <v/>
      </c>
      <c r="AB1124" s="11" t="str">
        <f>IF(履歴データ!$A$1124="","",123.3)</f>
        <v/>
      </c>
      <c r="AC1124" t="str">
        <f>IF(履歴データ!$A$1124="","",SUM(T1124:AA1124))</f>
        <v/>
      </c>
      <c r="AD1124" s="29" t="str">
        <f>IF(履歴データ!$A$1124="","",AC1124/1000000)</f>
        <v/>
      </c>
      <c r="AE1124" s="29">
        <f>IF(履歴データ!$A$1124="",AE1123,AE1123+AC1124/1000000)</f>
        <v>70.844544225831427</v>
      </c>
      <c r="AF1124" s="12" t="str">
        <f>IF(OR(履歴データ!$A$1124="",AE1123=0),"",(AE1124-AE1123)/AE1123)</f>
        <v/>
      </c>
      <c r="AG1124" s="29">
        <f t="shared" si="47"/>
        <v>102.17217746631495</v>
      </c>
      <c r="AH1124" s="12" t="str">
        <f>IF(OR(履歴データ!$A$1124="",AG1124=0),"",AE1124/AG1124-1)</f>
        <v/>
      </c>
    </row>
    <row r="1125" spans="1:34">
      <c r="A1125" s="10" t="str">
        <f>IF(履歴データ!$A$1125="","",履歴データ!$A$1125)</f>
        <v/>
      </c>
      <c r="B1125" s="28" t="str">
        <f>IF(履歴データ!$A$1125="","",(履歴データ!$D$1125-(履歴データ!$B$1125+履歴データ!$F$1125)/2)*100)</f>
        <v/>
      </c>
      <c r="C1125" s="28" t="str">
        <f>IF(履歴データ!$A$1125="","",(履歴データ!$H$1125-(履歴データ!$G$1125+履歴データ!$J$1125)/2)*100)</f>
        <v/>
      </c>
      <c r="D1125" s="28" t="str">
        <f>IF(履歴データ!$A$1125="","",(履歴データ!$D$1125-履歴データ!$H$1125)*100)</f>
        <v/>
      </c>
      <c r="E1125" s="28" t="str">
        <f>IF(履歴データ!$A$1125="","",(履歴データ!$D$1125-履歴データ!$C$1125)*100)</f>
        <v/>
      </c>
      <c r="F1125" s="28" t="str">
        <f>IF(履歴データ!$A$1125="","",(履歴データ!$R$1125-履歴データ!$D$1125)*100)</f>
        <v/>
      </c>
      <c r="G1125" s="28" t="str">
        <f>IF(履歴データ!$A$1125="","",(履歴データ!$S$1125-履歴データ!$R$1125)*100)</f>
        <v/>
      </c>
      <c r="H1125" s="29" t="str">
        <f>IF(履歴データ!$A$1125="","",履歴データ!$O$1125)</f>
        <v/>
      </c>
      <c r="I1125" s="29" t="str">
        <f>IF(履歴データ!$A$1125="","",履歴データ!$Q$1125)</f>
        <v/>
      </c>
      <c r="J1125" s="29" t="str">
        <f>IF(履歴データ!$A$1125="","",履歴データ!$D$1125)</f>
        <v/>
      </c>
      <c r="K1125" s="28" t="str">
        <f>IF(OR(履歴データ!$A$1125="",履歴データ!$A$1124=""),"",B1125-B1124)</f>
        <v/>
      </c>
      <c r="L1125" s="28" t="str">
        <f>IF(OR(履歴データ!$A$1125="",履歴データ!$A$1124=""),"",C1125-C1124)</f>
        <v/>
      </c>
      <c r="M1125" s="28" t="str">
        <f>IF(OR(履歴データ!$A$1125="",履歴データ!$A$1124=""),"",D1125-D1124)</f>
        <v/>
      </c>
      <c r="N1125" s="28" t="str">
        <f>IF(OR(履歴データ!$A$1125="",履歴データ!$A$1124=""),"",E1125-E1124)</f>
        <v/>
      </c>
      <c r="O1125" s="28" t="str">
        <f>IF(OR(履歴データ!$A$1125="",履歴データ!$A$1124=""),"",F1125-F1124)</f>
        <v/>
      </c>
      <c r="P1125" s="28" t="str">
        <f>IF(OR(履歴データ!$A$1125="",履歴データ!$A$1124=""),"",G1125-G1124)</f>
        <v/>
      </c>
      <c r="Q1125" s="29" t="str">
        <f>IF(OR(履歴データ!$A$1125="",履歴データ!$A$1124=""),"",H1125-H1124)</f>
        <v/>
      </c>
      <c r="R1125" s="29" t="str">
        <f>IF(OR(履歴データ!$A$1125="",履歴データ!$A$1124=""),"",I1125-I1124)</f>
        <v/>
      </c>
      <c r="S1125" s="28" t="str">
        <f>IF(OR(履歴データ!$A$1125="",履歴データ!$A$1124=""),"",(J1125-J1124)*100)</f>
        <v/>
      </c>
      <c r="T1125" s="11" t="str">
        <f>IF(OR(履歴データ!$A$1125="",履歴データ!$A$1124=""),"",-80000*K1125)</f>
        <v/>
      </c>
      <c r="U1125" s="11" t="str">
        <f>IF(OR(履歴データ!$A$1125="",履歴データ!$A$1124=""),"",60000*L1125)</f>
        <v/>
      </c>
      <c r="V1125" s="11" t="str">
        <f>IF(OR(履歴データ!$A$1125="",履歴データ!$A$1124=""),"",-50000*M1125)</f>
        <v/>
      </c>
      <c r="W1125" s="11" t="str">
        <f>IF(OR(履歴データ!$A$1125="",履歴データ!$A$1124=""),"",-40000*N1125)</f>
        <v/>
      </c>
      <c r="X1125" s="11" t="str">
        <f>IF(OR(履歴データ!$A$1125="",履歴データ!$A$1124=""),"",120*1000000*(-Q1125/H1124))</f>
        <v/>
      </c>
      <c r="Y1125" s="11" t="str">
        <f>IF(OR(履歴データ!$A$1125="",履歴データ!$A$1124=""),"",40000*(-S1125)+(-506.3)*R1125*1000)</f>
        <v/>
      </c>
      <c r="Z1125" s="11" t="str">
        <f>IF(OR(履歴データ!$A$1125="",履歴データ!$A$1124=""),"",-40000*O1125)</f>
        <v/>
      </c>
      <c r="AA1125" s="11" t="str">
        <f>IF(OR(履歴データ!$A$1125="",履歴データ!$A$1124=""),"",-40000*P1125)</f>
        <v/>
      </c>
      <c r="AB1125" s="11" t="str">
        <f>IF(履歴データ!$A$1125="","",123.3)</f>
        <v/>
      </c>
      <c r="AC1125" t="str">
        <f>IF(履歴データ!$A$1125="","",SUM(T1125:AA1125))</f>
        <v/>
      </c>
      <c r="AD1125" s="29" t="str">
        <f>IF(履歴データ!$A$1125="","",AC1125/1000000)</f>
        <v/>
      </c>
      <c r="AE1125" s="29">
        <f>IF(履歴データ!$A$1125="",AE1124,AE1124+AC1125/1000000)</f>
        <v>70.844544225831427</v>
      </c>
      <c r="AF1125" s="12" t="str">
        <f>IF(OR(履歴データ!$A$1125="",AE1124=0),"",(AE1125-AE1124)/AE1124)</f>
        <v/>
      </c>
      <c r="AG1125" s="29">
        <f t="shared" si="47"/>
        <v>102.17217746631495</v>
      </c>
      <c r="AH1125" s="12" t="str">
        <f>IF(OR(履歴データ!$A$1125="",AG1125=0),"",AE1125/AG1125-1)</f>
        <v/>
      </c>
    </row>
    <row r="1126" spans="1:34">
      <c r="A1126" s="10" t="str">
        <f>IF(履歴データ!$A$1126="","",履歴データ!$A$1126)</f>
        <v/>
      </c>
      <c r="B1126" s="28" t="str">
        <f>IF(履歴データ!$A$1126="","",(履歴データ!$D$1126-(履歴データ!$B$1126+履歴データ!$F$1126)/2)*100)</f>
        <v/>
      </c>
      <c r="C1126" s="28" t="str">
        <f>IF(履歴データ!$A$1126="","",(履歴データ!$H$1126-(履歴データ!$G$1126+履歴データ!$J$1126)/2)*100)</f>
        <v/>
      </c>
      <c r="D1126" s="28" t="str">
        <f>IF(履歴データ!$A$1126="","",(履歴データ!$D$1126-履歴データ!$H$1126)*100)</f>
        <v/>
      </c>
      <c r="E1126" s="28" t="str">
        <f>IF(履歴データ!$A$1126="","",(履歴データ!$D$1126-履歴データ!$C$1126)*100)</f>
        <v/>
      </c>
      <c r="F1126" s="28" t="str">
        <f>IF(履歴データ!$A$1126="","",(履歴データ!$R$1126-履歴データ!$D$1126)*100)</f>
        <v/>
      </c>
      <c r="G1126" s="28" t="str">
        <f>IF(履歴データ!$A$1126="","",(履歴データ!$S$1126-履歴データ!$R$1126)*100)</f>
        <v/>
      </c>
      <c r="H1126" s="29" t="str">
        <f>IF(履歴データ!$A$1126="","",履歴データ!$O$1126)</f>
        <v/>
      </c>
      <c r="I1126" s="29" t="str">
        <f>IF(履歴データ!$A$1126="","",履歴データ!$Q$1126)</f>
        <v/>
      </c>
      <c r="J1126" s="29" t="str">
        <f>IF(履歴データ!$A$1126="","",履歴データ!$D$1126)</f>
        <v/>
      </c>
      <c r="K1126" s="28" t="str">
        <f>IF(OR(履歴データ!$A$1126="",履歴データ!$A$1125=""),"",B1126-B1125)</f>
        <v/>
      </c>
      <c r="L1126" s="28" t="str">
        <f>IF(OR(履歴データ!$A$1126="",履歴データ!$A$1125=""),"",C1126-C1125)</f>
        <v/>
      </c>
      <c r="M1126" s="28" t="str">
        <f>IF(OR(履歴データ!$A$1126="",履歴データ!$A$1125=""),"",D1126-D1125)</f>
        <v/>
      </c>
      <c r="N1126" s="28" t="str">
        <f>IF(OR(履歴データ!$A$1126="",履歴データ!$A$1125=""),"",E1126-E1125)</f>
        <v/>
      </c>
      <c r="O1126" s="28" t="str">
        <f>IF(OR(履歴データ!$A$1126="",履歴データ!$A$1125=""),"",F1126-F1125)</f>
        <v/>
      </c>
      <c r="P1126" s="28" t="str">
        <f>IF(OR(履歴データ!$A$1126="",履歴データ!$A$1125=""),"",G1126-G1125)</f>
        <v/>
      </c>
      <c r="Q1126" s="29" t="str">
        <f>IF(OR(履歴データ!$A$1126="",履歴データ!$A$1125=""),"",H1126-H1125)</f>
        <v/>
      </c>
      <c r="R1126" s="29" t="str">
        <f>IF(OR(履歴データ!$A$1126="",履歴データ!$A$1125=""),"",I1126-I1125)</f>
        <v/>
      </c>
      <c r="S1126" s="28" t="str">
        <f>IF(OR(履歴データ!$A$1126="",履歴データ!$A$1125=""),"",(J1126-J1125)*100)</f>
        <v/>
      </c>
      <c r="T1126" s="11" t="str">
        <f>IF(OR(履歴データ!$A$1126="",履歴データ!$A$1125=""),"",-80000*K1126)</f>
        <v/>
      </c>
      <c r="U1126" s="11" t="str">
        <f>IF(OR(履歴データ!$A$1126="",履歴データ!$A$1125=""),"",60000*L1126)</f>
        <v/>
      </c>
      <c r="V1126" s="11" t="str">
        <f>IF(OR(履歴データ!$A$1126="",履歴データ!$A$1125=""),"",-50000*M1126)</f>
        <v/>
      </c>
      <c r="W1126" s="11" t="str">
        <f>IF(OR(履歴データ!$A$1126="",履歴データ!$A$1125=""),"",-40000*N1126)</f>
        <v/>
      </c>
      <c r="X1126" s="11" t="str">
        <f>IF(OR(履歴データ!$A$1126="",履歴データ!$A$1125=""),"",120*1000000*(-Q1126/H1125))</f>
        <v/>
      </c>
      <c r="Y1126" s="11" t="str">
        <f>IF(OR(履歴データ!$A$1126="",履歴データ!$A$1125=""),"",40000*(-S1126)+(-506.3)*R1126*1000)</f>
        <v/>
      </c>
      <c r="Z1126" s="11" t="str">
        <f>IF(OR(履歴データ!$A$1126="",履歴データ!$A$1125=""),"",-40000*O1126)</f>
        <v/>
      </c>
      <c r="AA1126" s="11" t="str">
        <f>IF(OR(履歴データ!$A$1126="",履歴データ!$A$1125=""),"",-40000*P1126)</f>
        <v/>
      </c>
      <c r="AB1126" s="11" t="str">
        <f>IF(履歴データ!$A$1126="","",123.3)</f>
        <v/>
      </c>
      <c r="AC1126" t="str">
        <f>IF(履歴データ!$A$1126="","",SUM(T1126:AA1126))</f>
        <v/>
      </c>
      <c r="AD1126" s="29" t="str">
        <f>IF(履歴データ!$A$1126="","",AC1126/1000000)</f>
        <v/>
      </c>
      <c r="AE1126" s="29">
        <f>IF(履歴データ!$A$1126="",AE1125,AE1125+AC1126/1000000)</f>
        <v>70.844544225831427</v>
      </c>
      <c r="AF1126" s="12" t="str">
        <f>IF(OR(履歴データ!$A$1126="",AE1125=0),"",(AE1126-AE1125)/AE1125)</f>
        <v/>
      </c>
      <c r="AG1126" s="29">
        <f t="shared" si="47"/>
        <v>102.17217746631495</v>
      </c>
      <c r="AH1126" s="12" t="str">
        <f>IF(OR(履歴データ!$A$1126="",AG1126=0),"",AE1126/AG1126-1)</f>
        <v/>
      </c>
    </row>
    <row r="1127" spans="1:34">
      <c r="A1127" s="10" t="str">
        <f>IF(履歴データ!$A$1127="","",履歴データ!$A$1127)</f>
        <v/>
      </c>
      <c r="B1127" s="28" t="str">
        <f>IF(履歴データ!$A$1127="","",(履歴データ!$D$1127-(履歴データ!$B$1127+履歴データ!$F$1127)/2)*100)</f>
        <v/>
      </c>
      <c r="C1127" s="28" t="str">
        <f>IF(履歴データ!$A$1127="","",(履歴データ!$H$1127-(履歴データ!$G$1127+履歴データ!$J$1127)/2)*100)</f>
        <v/>
      </c>
      <c r="D1127" s="28" t="str">
        <f>IF(履歴データ!$A$1127="","",(履歴データ!$D$1127-履歴データ!$H$1127)*100)</f>
        <v/>
      </c>
      <c r="E1127" s="28" t="str">
        <f>IF(履歴データ!$A$1127="","",(履歴データ!$D$1127-履歴データ!$C$1127)*100)</f>
        <v/>
      </c>
      <c r="F1127" s="28" t="str">
        <f>IF(履歴データ!$A$1127="","",(履歴データ!$R$1127-履歴データ!$D$1127)*100)</f>
        <v/>
      </c>
      <c r="G1127" s="28" t="str">
        <f>IF(履歴データ!$A$1127="","",(履歴データ!$S$1127-履歴データ!$R$1127)*100)</f>
        <v/>
      </c>
      <c r="H1127" s="29" t="str">
        <f>IF(履歴データ!$A$1127="","",履歴データ!$O$1127)</f>
        <v/>
      </c>
      <c r="I1127" s="29" t="str">
        <f>IF(履歴データ!$A$1127="","",履歴データ!$Q$1127)</f>
        <v/>
      </c>
      <c r="J1127" s="29" t="str">
        <f>IF(履歴データ!$A$1127="","",履歴データ!$D$1127)</f>
        <v/>
      </c>
      <c r="K1127" s="28" t="str">
        <f>IF(OR(履歴データ!$A$1127="",履歴データ!$A$1126=""),"",B1127-B1126)</f>
        <v/>
      </c>
      <c r="L1127" s="28" t="str">
        <f>IF(OR(履歴データ!$A$1127="",履歴データ!$A$1126=""),"",C1127-C1126)</f>
        <v/>
      </c>
      <c r="M1127" s="28" t="str">
        <f>IF(OR(履歴データ!$A$1127="",履歴データ!$A$1126=""),"",D1127-D1126)</f>
        <v/>
      </c>
      <c r="N1127" s="28" t="str">
        <f>IF(OR(履歴データ!$A$1127="",履歴データ!$A$1126=""),"",E1127-E1126)</f>
        <v/>
      </c>
      <c r="O1127" s="28" t="str">
        <f>IF(OR(履歴データ!$A$1127="",履歴データ!$A$1126=""),"",F1127-F1126)</f>
        <v/>
      </c>
      <c r="P1127" s="28" t="str">
        <f>IF(OR(履歴データ!$A$1127="",履歴データ!$A$1126=""),"",G1127-G1126)</f>
        <v/>
      </c>
      <c r="Q1127" s="29" t="str">
        <f>IF(OR(履歴データ!$A$1127="",履歴データ!$A$1126=""),"",H1127-H1126)</f>
        <v/>
      </c>
      <c r="R1127" s="29" t="str">
        <f>IF(OR(履歴データ!$A$1127="",履歴データ!$A$1126=""),"",I1127-I1126)</f>
        <v/>
      </c>
      <c r="S1127" s="28" t="str">
        <f>IF(OR(履歴データ!$A$1127="",履歴データ!$A$1126=""),"",(J1127-J1126)*100)</f>
        <v/>
      </c>
      <c r="T1127" s="11" t="str">
        <f>IF(OR(履歴データ!$A$1127="",履歴データ!$A$1126=""),"",-80000*K1127)</f>
        <v/>
      </c>
      <c r="U1127" s="11" t="str">
        <f>IF(OR(履歴データ!$A$1127="",履歴データ!$A$1126=""),"",60000*L1127)</f>
        <v/>
      </c>
      <c r="V1127" s="11" t="str">
        <f>IF(OR(履歴データ!$A$1127="",履歴データ!$A$1126=""),"",-50000*M1127)</f>
        <v/>
      </c>
      <c r="W1127" s="11" t="str">
        <f>IF(OR(履歴データ!$A$1127="",履歴データ!$A$1126=""),"",-40000*N1127)</f>
        <v/>
      </c>
      <c r="X1127" s="11" t="str">
        <f>IF(OR(履歴データ!$A$1127="",履歴データ!$A$1126=""),"",120*1000000*(-Q1127/H1126))</f>
        <v/>
      </c>
      <c r="Y1127" s="11" t="str">
        <f>IF(OR(履歴データ!$A$1127="",履歴データ!$A$1126=""),"",40000*(-S1127)+(-506.3)*R1127*1000)</f>
        <v/>
      </c>
      <c r="Z1127" s="11" t="str">
        <f>IF(OR(履歴データ!$A$1127="",履歴データ!$A$1126=""),"",-40000*O1127)</f>
        <v/>
      </c>
      <c r="AA1127" s="11" t="str">
        <f>IF(OR(履歴データ!$A$1127="",履歴データ!$A$1126=""),"",-40000*P1127)</f>
        <v/>
      </c>
      <c r="AB1127" s="11" t="str">
        <f>IF(履歴データ!$A$1127="","",123.3)</f>
        <v/>
      </c>
      <c r="AC1127" t="str">
        <f>IF(履歴データ!$A$1127="","",SUM(T1127:AA1127))</f>
        <v/>
      </c>
      <c r="AD1127" s="29" t="str">
        <f>IF(履歴データ!$A$1127="","",AC1127/1000000)</f>
        <v/>
      </c>
      <c r="AE1127" s="29">
        <f>IF(履歴データ!$A$1127="",AE1126,AE1126+AC1127/1000000)</f>
        <v>70.844544225831427</v>
      </c>
      <c r="AF1127" s="12" t="str">
        <f>IF(OR(履歴データ!$A$1127="",AE1126=0),"",(AE1127-AE1126)/AE1126)</f>
        <v/>
      </c>
      <c r="AG1127" s="29">
        <f t="shared" si="47"/>
        <v>102.17217746631495</v>
      </c>
      <c r="AH1127" s="12" t="str">
        <f>IF(OR(履歴データ!$A$1127="",AG1127=0),"",AE1127/AG1127-1)</f>
        <v/>
      </c>
    </row>
    <row r="1128" spans="1:34">
      <c r="A1128" s="10" t="str">
        <f>IF(履歴データ!$A$1128="","",履歴データ!$A$1128)</f>
        <v/>
      </c>
      <c r="B1128" s="28" t="str">
        <f>IF(履歴データ!$A$1128="","",(履歴データ!$D$1128-(履歴データ!$B$1128+履歴データ!$F$1128)/2)*100)</f>
        <v/>
      </c>
      <c r="C1128" s="28" t="str">
        <f>IF(履歴データ!$A$1128="","",(履歴データ!$H$1128-(履歴データ!$G$1128+履歴データ!$J$1128)/2)*100)</f>
        <v/>
      </c>
      <c r="D1128" s="28" t="str">
        <f>IF(履歴データ!$A$1128="","",(履歴データ!$D$1128-履歴データ!$H$1128)*100)</f>
        <v/>
      </c>
      <c r="E1128" s="28" t="str">
        <f>IF(履歴データ!$A$1128="","",(履歴データ!$D$1128-履歴データ!$C$1128)*100)</f>
        <v/>
      </c>
      <c r="F1128" s="28" t="str">
        <f>IF(履歴データ!$A$1128="","",(履歴データ!$R$1128-履歴データ!$D$1128)*100)</f>
        <v/>
      </c>
      <c r="G1128" s="28" t="str">
        <f>IF(履歴データ!$A$1128="","",(履歴データ!$S$1128-履歴データ!$R$1128)*100)</f>
        <v/>
      </c>
      <c r="H1128" s="29" t="str">
        <f>IF(履歴データ!$A$1128="","",履歴データ!$O$1128)</f>
        <v/>
      </c>
      <c r="I1128" s="29" t="str">
        <f>IF(履歴データ!$A$1128="","",履歴データ!$Q$1128)</f>
        <v/>
      </c>
      <c r="J1128" s="29" t="str">
        <f>IF(履歴データ!$A$1128="","",履歴データ!$D$1128)</f>
        <v/>
      </c>
      <c r="K1128" s="28" t="str">
        <f>IF(OR(履歴データ!$A$1128="",履歴データ!$A$1127=""),"",B1128-B1127)</f>
        <v/>
      </c>
      <c r="L1128" s="28" t="str">
        <f>IF(OR(履歴データ!$A$1128="",履歴データ!$A$1127=""),"",C1128-C1127)</f>
        <v/>
      </c>
      <c r="M1128" s="28" t="str">
        <f>IF(OR(履歴データ!$A$1128="",履歴データ!$A$1127=""),"",D1128-D1127)</f>
        <v/>
      </c>
      <c r="N1128" s="28" t="str">
        <f>IF(OR(履歴データ!$A$1128="",履歴データ!$A$1127=""),"",E1128-E1127)</f>
        <v/>
      </c>
      <c r="O1128" s="28" t="str">
        <f>IF(OR(履歴データ!$A$1128="",履歴データ!$A$1127=""),"",F1128-F1127)</f>
        <v/>
      </c>
      <c r="P1128" s="28" t="str">
        <f>IF(OR(履歴データ!$A$1128="",履歴データ!$A$1127=""),"",G1128-G1127)</f>
        <v/>
      </c>
      <c r="Q1128" s="29" t="str">
        <f>IF(OR(履歴データ!$A$1128="",履歴データ!$A$1127=""),"",H1128-H1127)</f>
        <v/>
      </c>
      <c r="R1128" s="29" t="str">
        <f>IF(OR(履歴データ!$A$1128="",履歴データ!$A$1127=""),"",I1128-I1127)</f>
        <v/>
      </c>
      <c r="S1128" s="28" t="str">
        <f>IF(OR(履歴データ!$A$1128="",履歴データ!$A$1127=""),"",(J1128-J1127)*100)</f>
        <v/>
      </c>
      <c r="T1128" s="11" t="str">
        <f>IF(OR(履歴データ!$A$1128="",履歴データ!$A$1127=""),"",-80000*K1128)</f>
        <v/>
      </c>
      <c r="U1128" s="11" t="str">
        <f>IF(OR(履歴データ!$A$1128="",履歴データ!$A$1127=""),"",60000*L1128)</f>
        <v/>
      </c>
      <c r="V1128" s="11" t="str">
        <f>IF(OR(履歴データ!$A$1128="",履歴データ!$A$1127=""),"",-50000*M1128)</f>
        <v/>
      </c>
      <c r="W1128" s="11" t="str">
        <f>IF(OR(履歴データ!$A$1128="",履歴データ!$A$1127=""),"",-40000*N1128)</f>
        <v/>
      </c>
      <c r="X1128" s="11" t="str">
        <f>IF(OR(履歴データ!$A$1128="",履歴データ!$A$1127=""),"",120*1000000*(-Q1128/H1127))</f>
        <v/>
      </c>
      <c r="Y1128" s="11" t="str">
        <f>IF(OR(履歴データ!$A$1128="",履歴データ!$A$1127=""),"",40000*(-S1128)+(-506.3)*R1128*1000)</f>
        <v/>
      </c>
      <c r="Z1128" s="11" t="str">
        <f>IF(OR(履歴データ!$A$1128="",履歴データ!$A$1127=""),"",-40000*O1128)</f>
        <v/>
      </c>
      <c r="AA1128" s="11" t="str">
        <f>IF(OR(履歴データ!$A$1128="",履歴データ!$A$1127=""),"",-40000*P1128)</f>
        <v/>
      </c>
      <c r="AB1128" s="11" t="str">
        <f>IF(履歴データ!$A$1128="","",123.3)</f>
        <v/>
      </c>
      <c r="AC1128" t="str">
        <f>IF(履歴データ!$A$1128="","",SUM(T1128:AA1128))</f>
        <v/>
      </c>
      <c r="AD1128" s="29" t="str">
        <f>IF(履歴データ!$A$1128="","",AC1128/1000000)</f>
        <v/>
      </c>
      <c r="AE1128" s="29">
        <f>IF(履歴データ!$A$1128="",AE1127,AE1127+AC1128/1000000)</f>
        <v>70.844544225831427</v>
      </c>
      <c r="AF1128" s="12" t="str">
        <f>IF(OR(履歴データ!$A$1128="",AE1127=0),"",(AE1128-AE1127)/AE1127)</f>
        <v/>
      </c>
      <c r="AG1128" s="29">
        <f t="shared" si="47"/>
        <v>102.17217746631495</v>
      </c>
      <c r="AH1128" s="12" t="str">
        <f>IF(OR(履歴データ!$A$1128="",AG1128=0),"",AE1128/AG1128-1)</f>
        <v/>
      </c>
    </row>
    <row r="1129" spans="1:34">
      <c r="A1129" s="10" t="str">
        <f>IF(履歴データ!$A$1129="","",履歴データ!$A$1129)</f>
        <v/>
      </c>
      <c r="B1129" s="28" t="str">
        <f>IF(履歴データ!$A$1129="","",(履歴データ!$D$1129-(履歴データ!$B$1129+履歴データ!$F$1129)/2)*100)</f>
        <v/>
      </c>
      <c r="C1129" s="28" t="str">
        <f>IF(履歴データ!$A$1129="","",(履歴データ!$H$1129-(履歴データ!$G$1129+履歴データ!$J$1129)/2)*100)</f>
        <v/>
      </c>
      <c r="D1129" s="28" t="str">
        <f>IF(履歴データ!$A$1129="","",(履歴データ!$D$1129-履歴データ!$H$1129)*100)</f>
        <v/>
      </c>
      <c r="E1129" s="28" t="str">
        <f>IF(履歴データ!$A$1129="","",(履歴データ!$D$1129-履歴データ!$C$1129)*100)</f>
        <v/>
      </c>
      <c r="F1129" s="28" t="str">
        <f>IF(履歴データ!$A$1129="","",(履歴データ!$R$1129-履歴データ!$D$1129)*100)</f>
        <v/>
      </c>
      <c r="G1129" s="28" t="str">
        <f>IF(履歴データ!$A$1129="","",(履歴データ!$S$1129-履歴データ!$R$1129)*100)</f>
        <v/>
      </c>
      <c r="H1129" s="29" t="str">
        <f>IF(履歴データ!$A$1129="","",履歴データ!$O$1129)</f>
        <v/>
      </c>
      <c r="I1129" s="29" t="str">
        <f>IF(履歴データ!$A$1129="","",履歴データ!$Q$1129)</f>
        <v/>
      </c>
      <c r="J1129" s="29" t="str">
        <f>IF(履歴データ!$A$1129="","",履歴データ!$D$1129)</f>
        <v/>
      </c>
      <c r="K1129" s="28" t="str">
        <f>IF(OR(履歴データ!$A$1129="",履歴データ!$A$1128=""),"",B1129-B1128)</f>
        <v/>
      </c>
      <c r="L1129" s="28" t="str">
        <f>IF(OR(履歴データ!$A$1129="",履歴データ!$A$1128=""),"",C1129-C1128)</f>
        <v/>
      </c>
      <c r="M1129" s="28" t="str">
        <f>IF(OR(履歴データ!$A$1129="",履歴データ!$A$1128=""),"",D1129-D1128)</f>
        <v/>
      </c>
      <c r="N1129" s="28" t="str">
        <f>IF(OR(履歴データ!$A$1129="",履歴データ!$A$1128=""),"",E1129-E1128)</f>
        <v/>
      </c>
      <c r="O1129" s="28" t="str">
        <f>IF(OR(履歴データ!$A$1129="",履歴データ!$A$1128=""),"",F1129-F1128)</f>
        <v/>
      </c>
      <c r="P1129" s="28" t="str">
        <f>IF(OR(履歴データ!$A$1129="",履歴データ!$A$1128=""),"",G1129-G1128)</f>
        <v/>
      </c>
      <c r="Q1129" s="29" t="str">
        <f>IF(OR(履歴データ!$A$1129="",履歴データ!$A$1128=""),"",H1129-H1128)</f>
        <v/>
      </c>
      <c r="R1129" s="29" t="str">
        <f>IF(OR(履歴データ!$A$1129="",履歴データ!$A$1128=""),"",I1129-I1128)</f>
        <v/>
      </c>
      <c r="S1129" s="28" t="str">
        <f>IF(OR(履歴データ!$A$1129="",履歴データ!$A$1128=""),"",(J1129-J1128)*100)</f>
        <v/>
      </c>
      <c r="T1129" s="11" t="str">
        <f>IF(OR(履歴データ!$A$1129="",履歴データ!$A$1128=""),"",-80000*K1129)</f>
        <v/>
      </c>
      <c r="U1129" s="11" t="str">
        <f>IF(OR(履歴データ!$A$1129="",履歴データ!$A$1128=""),"",60000*L1129)</f>
        <v/>
      </c>
      <c r="V1129" s="11" t="str">
        <f>IF(OR(履歴データ!$A$1129="",履歴データ!$A$1128=""),"",-50000*M1129)</f>
        <v/>
      </c>
      <c r="W1129" s="11" t="str">
        <f>IF(OR(履歴データ!$A$1129="",履歴データ!$A$1128=""),"",-40000*N1129)</f>
        <v/>
      </c>
      <c r="X1129" s="11" t="str">
        <f>IF(OR(履歴データ!$A$1129="",履歴データ!$A$1128=""),"",120*1000000*(-Q1129/H1128))</f>
        <v/>
      </c>
      <c r="Y1129" s="11" t="str">
        <f>IF(OR(履歴データ!$A$1129="",履歴データ!$A$1128=""),"",40000*(-S1129)+(-506.3)*R1129*1000)</f>
        <v/>
      </c>
      <c r="Z1129" s="11" t="str">
        <f>IF(OR(履歴データ!$A$1129="",履歴データ!$A$1128=""),"",-40000*O1129)</f>
        <v/>
      </c>
      <c r="AA1129" s="11" t="str">
        <f>IF(OR(履歴データ!$A$1129="",履歴データ!$A$1128=""),"",-40000*P1129)</f>
        <v/>
      </c>
      <c r="AB1129" s="11" t="str">
        <f>IF(履歴データ!$A$1129="","",123.3)</f>
        <v/>
      </c>
      <c r="AC1129" t="str">
        <f>IF(履歴データ!$A$1129="","",SUM(T1129:AA1129))</f>
        <v/>
      </c>
      <c r="AD1129" s="29" t="str">
        <f>IF(履歴データ!$A$1129="","",AC1129/1000000)</f>
        <v/>
      </c>
      <c r="AE1129" s="29">
        <f>IF(履歴データ!$A$1129="",AE1128,AE1128+AC1129/1000000)</f>
        <v>70.844544225831427</v>
      </c>
      <c r="AF1129" s="12" t="str">
        <f>IF(OR(履歴データ!$A$1129="",AE1128=0),"",(AE1129-AE1128)/AE1128)</f>
        <v/>
      </c>
      <c r="AG1129" s="29">
        <f t="shared" si="47"/>
        <v>102.17217746631495</v>
      </c>
      <c r="AH1129" s="12" t="str">
        <f>IF(OR(履歴データ!$A$1129="",AG1129=0),"",AE1129/AG1129-1)</f>
        <v/>
      </c>
    </row>
    <row r="1130" spans="1:34">
      <c r="A1130" s="10" t="str">
        <f>IF(履歴データ!$A$1130="","",履歴データ!$A$1130)</f>
        <v/>
      </c>
      <c r="B1130" s="28" t="str">
        <f>IF(履歴データ!$A$1130="","",(履歴データ!$D$1130-(履歴データ!$B$1130+履歴データ!$F$1130)/2)*100)</f>
        <v/>
      </c>
      <c r="C1130" s="28" t="str">
        <f>IF(履歴データ!$A$1130="","",(履歴データ!$H$1130-(履歴データ!$G$1130+履歴データ!$J$1130)/2)*100)</f>
        <v/>
      </c>
      <c r="D1130" s="28" t="str">
        <f>IF(履歴データ!$A$1130="","",(履歴データ!$D$1130-履歴データ!$H$1130)*100)</f>
        <v/>
      </c>
      <c r="E1130" s="28" t="str">
        <f>IF(履歴データ!$A$1130="","",(履歴データ!$D$1130-履歴データ!$C$1130)*100)</f>
        <v/>
      </c>
      <c r="F1130" s="28" t="str">
        <f>IF(履歴データ!$A$1130="","",(履歴データ!$R$1130-履歴データ!$D$1130)*100)</f>
        <v/>
      </c>
      <c r="G1130" s="28" t="str">
        <f>IF(履歴データ!$A$1130="","",(履歴データ!$S$1130-履歴データ!$R$1130)*100)</f>
        <v/>
      </c>
      <c r="H1130" s="29" t="str">
        <f>IF(履歴データ!$A$1130="","",履歴データ!$O$1130)</f>
        <v/>
      </c>
      <c r="I1130" s="29" t="str">
        <f>IF(履歴データ!$A$1130="","",履歴データ!$Q$1130)</f>
        <v/>
      </c>
      <c r="J1130" s="29" t="str">
        <f>IF(履歴データ!$A$1130="","",履歴データ!$D$1130)</f>
        <v/>
      </c>
      <c r="K1130" s="28" t="str">
        <f>IF(OR(履歴データ!$A$1130="",履歴データ!$A$1129=""),"",B1130-B1129)</f>
        <v/>
      </c>
      <c r="L1130" s="28" t="str">
        <f>IF(OR(履歴データ!$A$1130="",履歴データ!$A$1129=""),"",C1130-C1129)</f>
        <v/>
      </c>
      <c r="M1130" s="28" t="str">
        <f>IF(OR(履歴データ!$A$1130="",履歴データ!$A$1129=""),"",D1130-D1129)</f>
        <v/>
      </c>
      <c r="N1130" s="28" t="str">
        <f>IF(OR(履歴データ!$A$1130="",履歴データ!$A$1129=""),"",E1130-E1129)</f>
        <v/>
      </c>
      <c r="O1130" s="28" t="str">
        <f>IF(OR(履歴データ!$A$1130="",履歴データ!$A$1129=""),"",F1130-F1129)</f>
        <v/>
      </c>
      <c r="P1130" s="28" t="str">
        <f>IF(OR(履歴データ!$A$1130="",履歴データ!$A$1129=""),"",G1130-G1129)</f>
        <v/>
      </c>
      <c r="Q1130" s="29" t="str">
        <f>IF(OR(履歴データ!$A$1130="",履歴データ!$A$1129=""),"",H1130-H1129)</f>
        <v/>
      </c>
      <c r="R1130" s="29" t="str">
        <f>IF(OR(履歴データ!$A$1130="",履歴データ!$A$1129=""),"",I1130-I1129)</f>
        <v/>
      </c>
      <c r="S1130" s="28" t="str">
        <f>IF(OR(履歴データ!$A$1130="",履歴データ!$A$1129=""),"",(J1130-J1129)*100)</f>
        <v/>
      </c>
      <c r="T1130" s="11" t="str">
        <f>IF(OR(履歴データ!$A$1130="",履歴データ!$A$1129=""),"",-80000*K1130)</f>
        <v/>
      </c>
      <c r="U1130" s="11" t="str">
        <f>IF(OR(履歴データ!$A$1130="",履歴データ!$A$1129=""),"",60000*L1130)</f>
        <v/>
      </c>
      <c r="V1130" s="11" t="str">
        <f>IF(OR(履歴データ!$A$1130="",履歴データ!$A$1129=""),"",-50000*M1130)</f>
        <v/>
      </c>
      <c r="W1130" s="11" t="str">
        <f>IF(OR(履歴データ!$A$1130="",履歴データ!$A$1129=""),"",-40000*N1130)</f>
        <v/>
      </c>
      <c r="X1130" s="11" t="str">
        <f>IF(OR(履歴データ!$A$1130="",履歴データ!$A$1129=""),"",120*1000000*(-Q1130/H1129))</f>
        <v/>
      </c>
      <c r="Y1130" s="11" t="str">
        <f>IF(OR(履歴データ!$A$1130="",履歴データ!$A$1129=""),"",40000*(-S1130)+(-506.3)*R1130*1000)</f>
        <v/>
      </c>
      <c r="Z1130" s="11" t="str">
        <f>IF(OR(履歴データ!$A$1130="",履歴データ!$A$1129=""),"",-40000*O1130)</f>
        <v/>
      </c>
      <c r="AA1130" s="11" t="str">
        <f>IF(OR(履歴データ!$A$1130="",履歴データ!$A$1129=""),"",-40000*P1130)</f>
        <v/>
      </c>
      <c r="AB1130" s="11" t="str">
        <f>IF(履歴データ!$A$1130="","",123.3)</f>
        <v/>
      </c>
      <c r="AC1130" t="str">
        <f>IF(履歴データ!$A$1130="","",SUM(T1130:AA1130))</f>
        <v/>
      </c>
      <c r="AD1130" s="29" t="str">
        <f>IF(履歴データ!$A$1130="","",AC1130/1000000)</f>
        <v/>
      </c>
      <c r="AE1130" s="29">
        <f>IF(履歴データ!$A$1130="",AE1129,AE1129+AC1130/1000000)</f>
        <v>70.844544225831427</v>
      </c>
      <c r="AF1130" s="12" t="str">
        <f>IF(OR(履歴データ!$A$1130="",AE1129=0),"",(AE1130-AE1129)/AE1129)</f>
        <v/>
      </c>
      <c r="AG1130" s="29">
        <f t="shared" si="47"/>
        <v>102.17217746631495</v>
      </c>
      <c r="AH1130" s="12" t="str">
        <f>IF(OR(履歴データ!$A$1130="",AG1130=0),"",AE1130/AG1130-1)</f>
        <v/>
      </c>
    </row>
    <row r="1131" spans="1:34">
      <c r="A1131" s="10" t="str">
        <f>IF(履歴データ!$A$1131="","",履歴データ!$A$1131)</f>
        <v/>
      </c>
      <c r="B1131" s="28" t="str">
        <f>IF(履歴データ!$A$1131="","",(履歴データ!$D$1131-(履歴データ!$B$1131+履歴データ!$F$1131)/2)*100)</f>
        <v/>
      </c>
      <c r="C1131" s="28" t="str">
        <f>IF(履歴データ!$A$1131="","",(履歴データ!$H$1131-(履歴データ!$G$1131+履歴データ!$J$1131)/2)*100)</f>
        <v/>
      </c>
      <c r="D1131" s="28" t="str">
        <f>IF(履歴データ!$A$1131="","",(履歴データ!$D$1131-履歴データ!$H$1131)*100)</f>
        <v/>
      </c>
      <c r="E1131" s="28" t="str">
        <f>IF(履歴データ!$A$1131="","",(履歴データ!$D$1131-履歴データ!$C$1131)*100)</f>
        <v/>
      </c>
      <c r="F1131" s="28" t="str">
        <f>IF(履歴データ!$A$1131="","",(履歴データ!$R$1131-履歴データ!$D$1131)*100)</f>
        <v/>
      </c>
      <c r="G1131" s="28" t="str">
        <f>IF(履歴データ!$A$1131="","",(履歴データ!$S$1131-履歴データ!$R$1131)*100)</f>
        <v/>
      </c>
      <c r="H1131" s="29" t="str">
        <f>IF(履歴データ!$A$1131="","",履歴データ!$O$1131)</f>
        <v/>
      </c>
      <c r="I1131" s="29" t="str">
        <f>IF(履歴データ!$A$1131="","",履歴データ!$Q$1131)</f>
        <v/>
      </c>
      <c r="J1131" s="29" t="str">
        <f>IF(履歴データ!$A$1131="","",履歴データ!$D$1131)</f>
        <v/>
      </c>
      <c r="K1131" s="28" t="str">
        <f>IF(OR(履歴データ!$A$1131="",履歴データ!$A$1130=""),"",B1131-B1130)</f>
        <v/>
      </c>
      <c r="L1131" s="28" t="str">
        <f>IF(OR(履歴データ!$A$1131="",履歴データ!$A$1130=""),"",C1131-C1130)</f>
        <v/>
      </c>
      <c r="M1131" s="28" t="str">
        <f>IF(OR(履歴データ!$A$1131="",履歴データ!$A$1130=""),"",D1131-D1130)</f>
        <v/>
      </c>
      <c r="N1131" s="28" t="str">
        <f>IF(OR(履歴データ!$A$1131="",履歴データ!$A$1130=""),"",E1131-E1130)</f>
        <v/>
      </c>
      <c r="O1131" s="28" t="str">
        <f>IF(OR(履歴データ!$A$1131="",履歴データ!$A$1130=""),"",F1131-F1130)</f>
        <v/>
      </c>
      <c r="P1131" s="28" t="str">
        <f>IF(OR(履歴データ!$A$1131="",履歴データ!$A$1130=""),"",G1131-G1130)</f>
        <v/>
      </c>
      <c r="Q1131" s="29" t="str">
        <f>IF(OR(履歴データ!$A$1131="",履歴データ!$A$1130=""),"",H1131-H1130)</f>
        <v/>
      </c>
      <c r="R1131" s="29" t="str">
        <f>IF(OR(履歴データ!$A$1131="",履歴データ!$A$1130=""),"",I1131-I1130)</f>
        <v/>
      </c>
      <c r="S1131" s="28" t="str">
        <f>IF(OR(履歴データ!$A$1131="",履歴データ!$A$1130=""),"",(J1131-J1130)*100)</f>
        <v/>
      </c>
      <c r="T1131" s="11" t="str">
        <f>IF(OR(履歴データ!$A$1131="",履歴データ!$A$1130=""),"",-80000*K1131)</f>
        <v/>
      </c>
      <c r="U1131" s="11" t="str">
        <f>IF(OR(履歴データ!$A$1131="",履歴データ!$A$1130=""),"",60000*L1131)</f>
        <v/>
      </c>
      <c r="V1131" s="11" t="str">
        <f>IF(OR(履歴データ!$A$1131="",履歴データ!$A$1130=""),"",-50000*M1131)</f>
        <v/>
      </c>
      <c r="W1131" s="11" t="str">
        <f>IF(OR(履歴データ!$A$1131="",履歴データ!$A$1130=""),"",-40000*N1131)</f>
        <v/>
      </c>
      <c r="X1131" s="11" t="str">
        <f>IF(OR(履歴データ!$A$1131="",履歴データ!$A$1130=""),"",120*1000000*(-Q1131/H1130))</f>
        <v/>
      </c>
      <c r="Y1131" s="11" t="str">
        <f>IF(OR(履歴データ!$A$1131="",履歴データ!$A$1130=""),"",40000*(-S1131)+(-506.3)*R1131*1000)</f>
        <v/>
      </c>
      <c r="Z1131" s="11" t="str">
        <f>IF(OR(履歴データ!$A$1131="",履歴データ!$A$1130=""),"",-40000*O1131)</f>
        <v/>
      </c>
      <c r="AA1131" s="11" t="str">
        <f>IF(OR(履歴データ!$A$1131="",履歴データ!$A$1130=""),"",-40000*P1131)</f>
        <v/>
      </c>
      <c r="AB1131" s="11" t="str">
        <f>IF(履歴データ!$A$1131="","",123.3)</f>
        <v/>
      </c>
      <c r="AC1131" t="str">
        <f>IF(履歴データ!$A$1131="","",SUM(T1131:AA1131))</f>
        <v/>
      </c>
      <c r="AD1131" s="29" t="str">
        <f>IF(履歴データ!$A$1131="","",AC1131/1000000)</f>
        <v/>
      </c>
      <c r="AE1131" s="29">
        <f>IF(履歴データ!$A$1131="",AE1130,AE1130+AC1131/1000000)</f>
        <v>70.844544225831427</v>
      </c>
      <c r="AF1131" s="12" t="str">
        <f>IF(OR(履歴データ!$A$1131="",AE1130=0),"",(AE1131-AE1130)/AE1130)</f>
        <v/>
      </c>
      <c r="AG1131" s="29">
        <f t="shared" si="47"/>
        <v>102.17217746631495</v>
      </c>
      <c r="AH1131" s="12" t="str">
        <f>IF(OR(履歴データ!$A$1131="",AG1131=0),"",AE1131/AG1131-1)</f>
        <v/>
      </c>
    </row>
    <row r="1132" spans="1:34">
      <c r="A1132" s="10" t="str">
        <f>IF(履歴データ!$A$1132="","",履歴データ!$A$1132)</f>
        <v/>
      </c>
      <c r="B1132" s="28" t="str">
        <f>IF(履歴データ!$A$1132="","",(履歴データ!$D$1132-(履歴データ!$B$1132+履歴データ!$F$1132)/2)*100)</f>
        <v/>
      </c>
      <c r="C1132" s="28" t="str">
        <f>IF(履歴データ!$A$1132="","",(履歴データ!$H$1132-(履歴データ!$G$1132+履歴データ!$J$1132)/2)*100)</f>
        <v/>
      </c>
      <c r="D1132" s="28" t="str">
        <f>IF(履歴データ!$A$1132="","",(履歴データ!$D$1132-履歴データ!$H$1132)*100)</f>
        <v/>
      </c>
      <c r="E1132" s="28" t="str">
        <f>IF(履歴データ!$A$1132="","",(履歴データ!$D$1132-履歴データ!$C$1132)*100)</f>
        <v/>
      </c>
      <c r="F1132" s="28" t="str">
        <f>IF(履歴データ!$A$1132="","",(履歴データ!$R$1132-履歴データ!$D$1132)*100)</f>
        <v/>
      </c>
      <c r="G1132" s="28" t="str">
        <f>IF(履歴データ!$A$1132="","",(履歴データ!$S$1132-履歴データ!$R$1132)*100)</f>
        <v/>
      </c>
      <c r="H1132" s="29" t="str">
        <f>IF(履歴データ!$A$1132="","",履歴データ!$O$1132)</f>
        <v/>
      </c>
      <c r="I1132" s="29" t="str">
        <f>IF(履歴データ!$A$1132="","",履歴データ!$Q$1132)</f>
        <v/>
      </c>
      <c r="J1132" s="29" t="str">
        <f>IF(履歴データ!$A$1132="","",履歴データ!$D$1132)</f>
        <v/>
      </c>
      <c r="K1132" s="28" t="str">
        <f>IF(OR(履歴データ!$A$1132="",履歴データ!$A$1131=""),"",B1132-B1131)</f>
        <v/>
      </c>
      <c r="L1132" s="28" t="str">
        <f>IF(OR(履歴データ!$A$1132="",履歴データ!$A$1131=""),"",C1132-C1131)</f>
        <v/>
      </c>
      <c r="M1132" s="28" t="str">
        <f>IF(OR(履歴データ!$A$1132="",履歴データ!$A$1131=""),"",D1132-D1131)</f>
        <v/>
      </c>
      <c r="N1132" s="28" t="str">
        <f>IF(OR(履歴データ!$A$1132="",履歴データ!$A$1131=""),"",E1132-E1131)</f>
        <v/>
      </c>
      <c r="O1132" s="28" t="str">
        <f>IF(OR(履歴データ!$A$1132="",履歴データ!$A$1131=""),"",F1132-F1131)</f>
        <v/>
      </c>
      <c r="P1132" s="28" t="str">
        <f>IF(OR(履歴データ!$A$1132="",履歴データ!$A$1131=""),"",G1132-G1131)</f>
        <v/>
      </c>
      <c r="Q1132" s="29" t="str">
        <f>IF(OR(履歴データ!$A$1132="",履歴データ!$A$1131=""),"",H1132-H1131)</f>
        <v/>
      </c>
      <c r="R1132" s="29" t="str">
        <f>IF(OR(履歴データ!$A$1132="",履歴データ!$A$1131=""),"",I1132-I1131)</f>
        <v/>
      </c>
      <c r="S1132" s="28" t="str">
        <f>IF(OR(履歴データ!$A$1132="",履歴データ!$A$1131=""),"",(J1132-J1131)*100)</f>
        <v/>
      </c>
      <c r="T1132" s="11" t="str">
        <f>IF(OR(履歴データ!$A$1132="",履歴データ!$A$1131=""),"",-80000*K1132)</f>
        <v/>
      </c>
      <c r="U1132" s="11" t="str">
        <f>IF(OR(履歴データ!$A$1132="",履歴データ!$A$1131=""),"",60000*L1132)</f>
        <v/>
      </c>
      <c r="V1132" s="11" t="str">
        <f>IF(OR(履歴データ!$A$1132="",履歴データ!$A$1131=""),"",-50000*M1132)</f>
        <v/>
      </c>
      <c r="W1132" s="11" t="str">
        <f>IF(OR(履歴データ!$A$1132="",履歴データ!$A$1131=""),"",-40000*N1132)</f>
        <v/>
      </c>
      <c r="X1132" s="11" t="str">
        <f>IF(OR(履歴データ!$A$1132="",履歴データ!$A$1131=""),"",120*1000000*(-Q1132/H1131))</f>
        <v/>
      </c>
      <c r="Y1132" s="11" t="str">
        <f>IF(OR(履歴データ!$A$1132="",履歴データ!$A$1131=""),"",40000*(-S1132)+(-506.3)*R1132*1000)</f>
        <v/>
      </c>
      <c r="Z1132" s="11" t="str">
        <f>IF(OR(履歴データ!$A$1132="",履歴データ!$A$1131=""),"",-40000*O1132)</f>
        <v/>
      </c>
      <c r="AA1132" s="11" t="str">
        <f>IF(OR(履歴データ!$A$1132="",履歴データ!$A$1131=""),"",-40000*P1132)</f>
        <v/>
      </c>
      <c r="AB1132" s="11" t="str">
        <f>IF(履歴データ!$A$1132="","",123.3)</f>
        <v/>
      </c>
      <c r="AC1132" t="str">
        <f>IF(履歴データ!$A$1132="","",SUM(T1132:AA1132))</f>
        <v/>
      </c>
      <c r="AD1132" s="29" t="str">
        <f>IF(履歴データ!$A$1132="","",AC1132/1000000)</f>
        <v/>
      </c>
      <c r="AE1132" s="29">
        <f>IF(履歴データ!$A$1132="",AE1131,AE1131+AC1132/1000000)</f>
        <v>70.844544225831427</v>
      </c>
      <c r="AF1132" s="12" t="str">
        <f>IF(OR(履歴データ!$A$1132="",AE1131=0),"",(AE1132-AE1131)/AE1131)</f>
        <v/>
      </c>
      <c r="AG1132" s="29">
        <f t="shared" si="47"/>
        <v>102.17217746631495</v>
      </c>
      <c r="AH1132" s="12" t="str">
        <f>IF(OR(履歴データ!$A$1132="",AG1132=0),"",AE1132/AG1132-1)</f>
        <v/>
      </c>
    </row>
    <row r="1133" spans="1:34">
      <c r="A1133" s="10" t="str">
        <f>IF(履歴データ!$A$1133="","",履歴データ!$A$1133)</f>
        <v/>
      </c>
      <c r="B1133" s="28" t="str">
        <f>IF(履歴データ!$A$1133="","",(履歴データ!$D$1133-(履歴データ!$B$1133+履歴データ!$F$1133)/2)*100)</f>
        <v/>
      </c>
      <c r="C1133" s="28" t="str">
        <f>IF(履歴データ!$A$1133="","",(履歴データ!$H$1133-(履歴データ!$G$1133+履歴データ!$J$1133)/2)*100)</f>
        <v/>
      </c>
      <c r="D1133" s="28" t="str">
        <f>IF(履歴データ!$A$1133="","",(履歴データ!$D$1133-履歴データ!$H$1133)*100)</f>
        <v/>
      </c>
      <c r="E1133" s="28" t="str">
        <f>IF(履歴データ!$A$1133="","",(履歴データ!$D$1133-履歴データ!$C$1133)*100)</f>
        <v/>
      </c>
      <c r="F1133" s="28" t="str">
        <f>IF(履歴データ!$A$1133="","",(履歴データ!$R$1133-履歴データ!$D$1133)*100)</f>
        <v/>
      </c>
      <c r="G1133" s="28" t="str">
        <f>IF(履歴データ!$A$1133="","",(履歴データ!$S$1133-履歴データ!$R$1133)*100)</f>
        <v/>
      </c>
      <c r="H1133" s="29" t="str">
        <f>IF(履歴データ!$A$1133="","",履歴データ!$O$1133)</f>
        <v/>
      </c>
      <c r="I1133" s="29" t="str">
        <f>IF(履歴データ!$A$1133="","",履歴データ!$Q$1133)</f>
        <v/>
      </c>
      <c r="J1133" s="29" t="str">
        <f>IF(履歴データ!$A$1133="","",履歴データ!$D$1133)</f>
        <v/>
      </c>
      <c r="K1133" s="28" t="str">
        <f>IF(OR(履歴データ!$A$1133="",履歴データ!$A$1132=""),"",B1133-B1132)</f>
        <v/>
      </c>
      <c r="L1133" s="28" t="str">
        <f>IF(OR(履歴データ!$A$1133="",履歴データ!$A$1132=""),"",C1133-C1132)</f>
        <v/>
      </c>
      <c r="M1133" s="28" t="str">
        <f>IF(OR(履歴データ!$A$1133="",履歴データ!$A$1132=""),"",D1133-D1132)</f>
        <v/>
      </c>
      <c r="N1133" s="28" t="str">
        <f>IF(OR(履歴データ!$A$1133="",履歴データ!$A$1132=""),"",E1133-E1132)</f>
        <v/>
      </c>
      <c r="O1133" s="28" t="str">
        <f>IF(OR(履歴データ!$A$1133="",履歴データ!$A$1132=""),"",F1133-F1132)</f>
        <v/>
      </c>
      <c r="P1133" s="28" t="str">
        <f>IF(OR(履歴データ!$A$1133="",履歴データ!$A$1132=""),"",G1133-G1132)</f>
        <v/>
      </c>
      <c r="Q1133" s="29" t="str">
        <f>IF(OR(履歴データ!$A$1133="",履歴データ!$A$1132=""),"",H1133-H1132)</f>
        <v/>
      </c>
      <c r="R1133" s="29" t="str">
        <f>IF(OR(履歴データ!$A$1133="",履歴データ!$A$1132=""),"",I1133-I1132)</f>
        <v/>
      </c>
      <c r="S1133" s="28" t="str">
        <f>IF(OR(履歴データ!$A$1133="",履歴データ!$A$1132=""),"",(J1133-J1132)*100)</f>
        <v/>
      </c>
      <c r="T1133" s="11" t="str">
        <f>IF(OR(履歴データ!$A$1133="",履歴データ!$A$1132=""),"",-80000*K1133)</f>
        <v/>
      </c>
      <c r="U1133" s="11" t="str">
        <f>IF(OR(履歴データ!$A$1133="",履歴データ!$A$1132=""),"",60000*L1133)</f>
        <v/>
      </c>
      <c r="V1133" s="11" t="str">
        <f>IF(OR(履歴データ!$A$1133="",履歴データ!$A$1132=""),"",-50000*M1133)</f>
        <v/>
      </c>
      <c r="W1133" s="11" t="str">
        <f>IF(OR(履歴データ!$A$1133="",履歴データ!$A$1132=""),"",-40000*N1133)</f>
        <v/>
      </c>
      <c r="X1133" s="11" t="str">
        <f>IF(OR(履歴データ!$A$1133="",履歴データ!$A$1132=""),"",120*1000000*(-Q1133/H1132))</f>
        <v/>
      </c>
      <c r="Y1133" s="11" t="str">
        <f>IF(OR(履歴データ!$A$1133="",履歴データ!$A$1132=""),"",40000*(-S1133)+(-506.3)*R1133*1000)</f>
        <v/>
      </c>
      <c r="Z1133" s="11" t="str">
        <f>IF(OR(履歴データ!$A$1133="",履歴データ!$A$1132=""),"",-40000*O1133)</f>
        <v/>
      </c>
      <c r="AA1133" s="11" t="str">
        <f>IF(OR(履歴データ!$A$1133="",履歴データ!$A$1132=""),"",-40000*P1133)</f>
        <v/>
      </c>
      <c r="AB1133" s="11" t="str">
        <f>IF(履歴データ!$A$1133="","",123.3)</f>
        <v/>
      </c>
      <c r="AC1133" t="str">
        <f>IF(履歴データ!$A$1133="","",SUM(T1133:AA1133))</f>
        <v/>
      </c>
      <c r="AD1133" s="29" t="str">
        <f>IF(履歴データ!$A$1133="","",AC1133/1000000)</f>
        <v/>
      </c>
      <c r="AE1133" s="29">
        <f>IF(履歴データ!$A$1133="",AE1132,AE1132+AC1133/1000000)</f>
        <v>70.844544225831427</v>
      </c>
      <c r="AF1133" s="12" t="str">
        <f>IF(OR(履歴データ!$A$1133="",AE1132=0),"",(AE1133-AE1132)/AE1132)</f>
        <v/>
      </c>
      <c r="AG1133" s="29">
        <f t="shared" si="47"/>
        <v>102.17217746631495</v>
      </c>
      <c r="AH1133" s="12" t="str">
        <f>IF(OR(履歴データ!$A$1133="",AG1133=0),"",AE1133/AG1133-1)</f>
        <v/>
      </c>
    </row>
    <row r="1134" spans="1:34">
      <c r="A1134" s="10" t="str">
        <f>IF(履歴データ!$A$1134="","",履歴データ!$A$1134)</f>
        <v/>
      </c>
      <c r="B1134" s="28" t="str">
        <f>IF(履歴データ!$A$1134="","",(履歴データ!$D$1134-(履歴データ!$B$1134+履歴データ!$F$1134)/2)*100)</f>
        <v/>
      </c>
      <c r="C1134" s="28" t="str">
        <f>IF(履歴データ!$A$1134="","",(履歴データ!$H$1134-(履歴データ!$G$1134+履歴データ!$J$1134)/2)*100)</f>
        <v/>
      </c>
      <c r="D1134" s="28" t="str">
        <f>IF(履歴データ!$A$1134="","",(履歴データ!$D$1134-履歴データ!$H$1134)*100)</f>
        <v/>
      </c>
      <c r="E1134" s="28" t="str">
        <f>IF(履歴データ!$A$1134="","",(履歴データ!$D$1134-履歴データ!$C$1134)*100)</f>
        <v/>
      </c>
      <c r="F1134" s="28" t="str">
        <f>IF(履歴データ!$A$1134="","",(履歴データ!$R$1134-履歴データ!$D$1134)*100)</f>
        <v/>
      </c>
      <c r="G1134" s="28" t="str">
        <f>IF(履歴データ!$A$1134="","",(履歴データ!$S$1134-履歴データ!$R$1134)*100)</f>
        <v/>
      </c>
      <c r="H1134" s="29" t="str">
        <f>IF(履歴データ!$A$1134="","",履歴データ!$O$1134)</f>
        <v/>
      </c>
      <c r="I1134" s="29" t="str">
        <f>IF(履歴データ!$A$1134="","",履歴データ!$Q$1134)</f>
        <v/>
      </c>
      <c r="J1134" s="29" t="str">
        <f>IF(履歴データ!$A$1134="","",履歴データ!$D$1134)</f>
        <v/>
      </c>
      <c r="K1134" s="28" t="str">
        <f>IF(OR(履歴データ!$A$1134="",履歴データ!$A$1133=""),"",B1134-B1133)</f>
        <v/>
      </c>
      <c r="L1134" s="28" t="str">
        <f>IF(OR(履歴データ!$A$1134="",履歴データ!$A$1133=""),"",C1134-C1133)</f>
        <v/>
      </c>
      <c r="M1134" s="28" t="str">
        <f>IF(OR(履歴データ!$A$1134="",履歴データ!$A$1133=""),"",D1134-D1133)</f>
        <v/>
      </c>
      <c r="N1134" s="28" t="str">
        <f>IF(OR(履歴データ!$A$1134="",履歴データ!$A$1133=""),"",E1134-E1133)</f>
        <v/>
      </c>
      <c r="O1134" s="28" t="str">
        <f>IF(OR(履歴データ!$A$1134="",履歴データ!$A$1133=""),"",F1134-F1133)</f>
        <v/>
      </c>
      <c r="P1134" s="28" t="str">
        <f>IF(OR(履歴データ!$A$1134="",履歴データ!$A$1133=""),"",G1134-G1133)</f>
        <v/>
      </c>
      <c r="Q1134" s="29" t="str">
        <f>IF(OR(履歴データ!$A$1134="",履歴データ!$A$1133=""),"",H1134-H1133)</f>
        <v/>
      </c>
      <c r="R1134" s="29" t="str">
        <f>IF(OR(履歴データ!$A$1134="",履歴データ!$A$1133=""),"",I1134-I1133)</f>
        <v/>
      </c>
      <c r="S1134" s="28" t="str">
        <f>IF(OR(履歴データ!$A$1134="",履歴データ!$A$1133=""),"",(J1134-J1133)*100)</f>
        <v/>
      </c>
      <c r="T1134" s="11" t="str">
        <f>IF(OR(履歴データ!$A$1134="",履歴データ!$A$1133=""),"",-80000*K1134)</f>
        <v/>
      </c>
      <c r="U1134" s="11" t="str">
        <f>IF(OR(履歴データ!$A$1134="",履歴データ!$A$1133=""),"",60000*L1134)</f>
        <v/>
      </c>
      <c r="V1134" s="11" t="str">
        <f>IF(OR(履歴データ!$A$1134="",履歴データ!$A$1133=""),"",-50000*M1134)</f>
        <v/>
      </c>
      <c r="W1134" s="11" t="str">
        <f>IF(OR(履歴データ!$A$1134="",履歴データ!$A$1133=""),"",-40000*N1134)</f>
        <v/>
      </c>
      <c r="X1134" s="11" t="str">
        <f>IF(OR(履歴データ!$A$1134="",履歴データ!$A$1133=""),"",120*1000000*(-Q1134/H1133))</f>
        <v/>
      </c>
      <c r="Y1134" s="11" t="str">
        <f>IF(OR(履歴データ!$A$1134="",履歴データ!$A$1133=""),"",40000*(-S1134)+(-506.3)*R1134*1000)</f>
        <v/>
      </c>
      <c r="Z1134" s="11" t="str">
        <f>IF(OR(履歴データ!$A$1134="",履歴データ!$A$1133=""),"",-40000*O1134)</f>
        <v/>
      </c>
      <c r="AA1134" s="11" t="str">
        <f>IF(OR(履歴データ!$A$1134="",履歴データ!$A$1133=""),"",-40000*P1134)</f>
        <v/>
      </c>
      <c r="AB1134" s="11" t="str">
        <f>IF(履歴データ!$A$1134="","",123.3)</f>
        <v/>
      </c>
      <c r="AC1134" t="str">
        <f>IF(履歴データ!$A$1134="","",SUM(T1134:AA1134))</f>
        <v/>
      </c>
      <c r="AD1134" s="29" t="str">
        <f>IF(履歴データ!$A$1134="","",AC1134/1000000)</f>
        <v/>
      </c>
      <c r="AE1134" s="29">
        <f>IF(履歴データ!$A$1134="",AE1133,AE1133+AC1134/1000000)</f>
        <v>70.844544225831427</v>
      </c>
      <c r="AF1134" s="12" t="str">
        <f>IF(OR(履歴データ!$A$1134="",AE1133=0),"",(AE1134-AE1133)/AE1133)</f>
        <v/>
      </c>
      <c r="AG1134" s="29">
        <f t="shared" si="47"/>
        <v>102.17217746631495</v>
      </c>
      <c r="AH1134" s="12" t="str">
        <f>IF(OR(履歴データ!$A$1134="",AG1134=0),"",AE1134/AG1134-1)</f>
        <v/>
      </c>
    </row>
    <row r="1135" spans="1:34">
      <c r="A1135" s="10" t="str">
        <f>IF(履歴データ!$A$1135="","",履歴データ!$A$1135)</f>
        <v/>
      </c>
      <c r="B1135" s="28" t="str">
        <f>IF(履歴データ!$A$1135="","",(履歴データ!$D$1135-(履歴データ!$B$1135+履歴データ!$F$1135)/2)*100)</f>
        <v/>
      </c>
      <c r="C1135" s="28" t="str">
        <f>IF(履歴データ!$A$1135="","",(履歴データ!$H$1135-(履歴データ!$G$1135+履歴データ!$J$1135)/2)*100)</f>
        <v/>
      </c>
      <c r="D1135" s="28" t="str">
        <f>IF(履歴データ!$A$1135="","",(履歴データ!$D$1135-履歴データ!$H$1135)*100)</f>
        <v/>
      </c>
      <c r="E1135" s="28" t="str">
        <f>IF(履歴データ!$A$1135="","",(履歴データ!$D$1135-履歴データ!$C$1135)*100)</f>
        <v/>
      </c>
      <c r="F1135" s="28" t="str">
        <f>IF(履歴データ!$A$1135="","",(履歴データ!$R$1135-履歴データ!$D$1135)*100)</f>
        <v/>
      </c>
      <c r="G1135" s="28" t="str">
        <f>IF(履歴データ!$A$1135="","",(履歴データ!$S$1135-履歴データ!$R$1135)*100)</f>
        <v/>
      </c>
      <c r="H1135" s="29" t="str">
        <f>IF(履歴データ!$A$1135="","",履歴データ!$O$1135)</f>
        <v/>
      </c>
      <c r="I1135" s="29" t="str">
        <f>IF(履歴データ!$A$1135="","",履歴データ!$Q$1135)</f>
        <v/>
      </c>
      <c r="J1135" s="29" t="str">
        <f>IF(履歴データ!$A$1135="","",履歴データ!$D$1135)</f>
        <v/>
      </c>
      <c r="K1135" s="28" t="str">
        <f>IF(OR(履歴データ!$A$1135="",履歴データ!$A$1134=""),"",B1135-B1134)</f>
        <v/>
      </c>
      <c r="L1135" s="28" t="str">
        <f>IF(OR(履歴データ!$A$1135="",履歴データ!$A$1134=""),"",C1135-C1134)</f>
        <v/>
      </c>
      <c r="M1135" s="28" t="str">
        <f>IF(OR(履歴データ!$A$1135="",履歴データ!$A$1134=""),"",D1135-D1134)</f>
        <v/>
      </c>
      <c r="N1135" s="28" t="str">
        <f>IF(OR(履歴データ!$A$1135="",履歴データ!$A$1134=""),"",E1135-E1134)</f>
        <v/>
      </c>
      <c r="O1135" s="28" t="str">
        <f>IF(OR(履歴データ!$A$1135="",履歴データ!$A$1134=""),"",F1135-F1134)</f>
        <v/>
      </c>
      <c r="P1135" s="28" t="str">
        <f>IF(OR(履歴データ!$A$1135="",履歴データ!$A$1134=""),"",G1135-G1134)</f>
        <v/>
      </c>
      <c r="Q1135" s="29" t="str">
        <f>IF(OR(履歴データ!$A$1135="",履歴データ!$A$1134=""),"",H1135-H1134)</f>
        <v/>
      </c>
      <c r="R1135" s="29" t="str">
        <f>IF(OR(履歴データ!$A$1135="",履歴データ!$A$1134=""),"",I1135-I1134)</f>
        <v/>
      </c>
      <c r="S1135" s="28" t="str">
        <f>IF(OR(履歴データ!$A$1135="",履歴データ!$A$1134=""),"",(J1135-J1134)*100)</f>
        <v/>
      </c>
      <c r="T1135" s="11" t="str">
        <f>IF(OR(履歴データ!$A$1135="",履歴データ!$A$1134=""),"",-80000*K1135)</f>
        <v/>
      </c>
      <c r="U1135" s="11" t="str">
        <f>IF(OR(履歴データ!$A$1135="",履歴データ!$A$1134=""),"",60000*L1135)</f>
        <v/>
      </c>
      <c r="V1135" s="11" t="str">
        <f>IF(OR(履歴データ!$A$1135="",履歴データ!$A$1134=""),"",-50000*M1135)</f>
        <v/>
      </c>
      <c r="W1135" s="11" t="str">
        <f>IF(OR(履歴データ!$A$1135="",履歴データ!$A$1134=""),"",-40000*N1135)</f>
        <v/>
      </c>
      <c r="X1135" s="11" t="str">
        <f>IF(OR(履歴データ!$A$1135="",履歴データ!$A$1134=""),"",120*1000000*(-Q1135/H1134))</f>
        <v/>
      </c>
      <c r="Y1135" s="11" t="str">
        <f>IF(OR(履歴データ!$A$1135="",履歴データ!$A$1134=""),"",40000*(-S1135)+(-506.3)*R1135*1000)</f>
        <v/>
      </c>
      <c r="Z1135" s="11" t="str">
        <f>IF(OR(履歴データ!$A$1135="",履歴データ!$A$1134=""),"",-40000*O1135)</f>
        <v/>
      </c>
      <c r="AA1135" s="11" t="str">
        <f>IF(OR(履歴データ!$A$1135="",履歴データ!$A$1134=""),"",-40000*P1135)</f>
        <v/>
      </c>
      <c r="AB1135" s="11" t="str">
        <f>IF(履歴データ!$A$1135="","",123.3)</f>
        <v/>
      </c>
      <c r="AC1135" t="str">
        <f>IF(履歴データ!$A$1135="","",SUM(T1135:AA1135))</f>
        <v/>
      </c>
      <c r="AD1135" s="29" t="str">
        <f>IF(履歴データ!$A$1135="","",AC1135/1000000)</f>
        <v/>
      </c>
      <c r="AE1135" s="29">
        <f>IF(履歴データ!$A$1135="",AE1134,AE1134+AC1135/1000000)</f>
        <v>70.844544225831427</v>
      </c>
      <c r="AF1135" s="12" t="str">
        <f>IF(OR(履歴データ!$A$1135="",AE1134=0),"",(AE1135-AE1134)/AE1134)</f>
        <v/>
      </c>
      <c r="AG1135" s="29">
        <f t="shared" si="47"/>
        <v>102.17217746631495</v>
      </c>
      <c r="AH1135" s="12" t="str">
        <f>IF(OR(履歴データ!$A$1135="",AG1135=0),"",AE1135/AG1135-1)</f>
        <v/>
      </c>
    </row>
    <row r="1136" spans="1:34">
      <c r="A1136" s="10" t="str">
        <f>IF(履歴データ!$A$1136="","",履歴データ!$A$1136)</f>
        <v/>
      </c>
      <c r="B1136" s="28" t="str">
        <f>IF(履歴データ!$A$1136="","",(履歴データ!$D$1136-(履歴データ!$B$1136+履歴データ!$F$1136)/2)*100)</f>
        <v/>
      </c>
      <c r="C1136" s="28" t="str">
        <f>IF(履歴データ!$A$1136="","",(履歴データ!$H$1136-(履歴データ!$G$1136+履歴データ!$J$1136)/2)*100)</f>
        <v/>
      </c>
      <c r="D1136" s="28" t="str">
        <f>IF(履歴データ!$A$1136="","",(履歴データ!$D$1136-履歴データ!$H$1136)*100)</f>
        <v/>
      </c>
      <c r="E1136" s="28" t="str">
        <f>IF(履歴データ!$A$1136="","",(履歴データ!$D$1136-履歴データ!$C$1136)*100)</f>
        <v/>
      </c>
      <c r="F1136" s="28" t="str">
        <f>IF(履歴データ!$A$1136="","",(履歴データ!$R$1136-履歴データ!$D$1136)*100)</f>
        <v/>
      </c>
      <c r="G1136" s="28" t="str">
        <f>IF(履歴データ!$A$1136="","",(履歴データ!$S$1136-履歴データ!$R$1136)*100)</f>
        <v/>
      </c>
      <c r="H1136" s="29" t="str">
        <f>IF(履歴データ!$A$1136="","",履歴データ!$O$1136)</f>
        <v/>
      </c>
      <c r="I1136" s="29" t="str">
        <f>IF(履歴データ!$A$1136="","",履歴データ!$Q$1136)</f>
        <v/>
      </c>
      <c r="J1136" s="29" t="str">
        <f>IF(履歴データ!$A$1136="","",履歴データ!$D$1136)</f>
        <v/>
      </c>
      <c r="K1136" s="28" t="str">
        <f>IF(OR(履歴データ!$A$1136="",履歴データ!$A$1135=""),"",B1136-B1135)</f>
        <v/>
      </c>
      <c r="L1136" s="28" t="str">
        <f>IF(OR(履歴データ!$A$1136="",履歴データ!$A$1135=""),"",C1136-C1135)</f>
        <v/>
      </c>
      <c r="M1136" s="28" t="str">
        <f>IF(OR(履歴データ!$A$1136="",履歴データ!$A$1135=""),"",D1136-D1135)</f>
        <v/>
      </c>
      <c r="N1136" s="28" t="str">
        <f>IF(OR(履歴データ!$A$1136="",履歴データ!$A$1135=""),"",E1136-E1135)</f>
        <v/>
      </c>
      <c r="O1136" s="28" t="str">
        <f>IF(OR(履歴データ!$A$1136="",履歴データ!$A$1135=""),"",F1136-F1135)</f>
        <v/>
      </c>
      <c r="P1136" s="28" t="str">
        <f>IF(OR(履歴データ!$A$1136="",履歴データ!$A$1135=""),"",G1136-G1135)</f>
        <v/>
      </c>
      <c r="Q1136" s="29" t="str">
        <f>IF(OR(履歴データ!$A$1136="",履歴データ!$A$1135=""),"",H1136-H1135)</f>
        <v/>
      </c>
      <c r="R1136" s="29" t="str">
        <f>IF(OR(履歴データ!$A$1136="",履歴データ!$A$1135=""),"",I1136-I1135)</f>
        <v/>
      </c>
      <c r="S1136" s="28" t="str">
        <f>IF(OR(履歴データ!$A$1136="",履歴データ!$A$1135=""),"",(J1136-J1135)*100)</f>
        <v/>
      </c>
      <c r="T1136" s="11" t="str">
        <f>IF(OR(履歴データ!$A$1136="",履歴データ!$A$1135=""),"",-80000*K1136)</f>
        <v/>
      </c>
      <c r="U1136" s="11" t="str">
        <f>IF(OR(履歴データ!$A$1136="",履歴データ!$A$1135=""),"",60000*L1136)</f>
        <v/>
      </c>
      <c r="V1136" s="11" t="str">
        <f>IF(OR(履歴データ!$A$1136="",履歴データ!$A$1135=""),"",-50000*M1136)</f>
        <v/>
      </c>
      <c r="W1136" s="11" t="str">
        <f>IF(OR(履歴データ!$A$1136="",履歴データ!$A$1135=""),"",-40000*N1136)</f>
        <v/>
      </c>
      <c r="X1136" s="11" t="str">
        <f>IF(OR(履歴データ!$A$1136="",履歴データ!$A$1135=""),"",120*1000000*(-Q1136/H1135))</f>
        <v/>
      </c>
      <c r="Y1136" s="11" t="str">
        <f>IF(OR(履歴データ!$A$1136="",履歴データ!$A$1135=""),"",40000*(-S1136)+(-506.3)*R1136*1000)</f>
        <v/>
      </c>
      <c r="Z1136" s="11" t="str">
        <f>IF(OR(履歴データ!$A$1136="",履歴データ!$A$1135=""),"",-40000*O1136)</f>
        <v/>
      </c>
      <c r="AA1136" s="11" t="str">
        <f>IF(OR(履歴データ!$A$1136="",履歴データ!$A$1135=""),"",-40000*P1136)</f>
        <v/>
      </c>
      <c r="AB1136" s="11" t="str">
        <f>IF(履歴データ!$A$1136="","",123.3)</f>
        <v/>
      </c>
      <c r="AC1136" t="str">
        <f>IF(履歴データ!$A$1136="","",SUM(T1136:AA1136))</f>
        <v/>
      </c>
      <c r="AD1136" s="29" t="str">
        <f>IF(履歴データ!$A$1136="","",AC1136/1000000)</f>
        <v/>
      </c>
      <c r="AE1136" s="29">
        <f>IF(履歴データ!$A$1136="",AE1135,AE1135+AC1136/1000000)</f>
        <v>70.844544225831427</v>
      </c>
      <c r="AF1136" s="12" t="str">
        <f>IF(OR(履歴データ!$A$1136="",AE1135=0),"",(AE1136-AE1135)/AE1135)</f>
        <v/>
      </c>
      <c r="AG1136" s="29">
        <f t="shared" si="47"/>
        <v>102.17217746631495</v>
      </c>
      <c r="AH1136" s="12" t="str">
        <f>IF(OR(履歴データ!$A$1136="",AG1136=0),"",AE1136/AG1136-1)</f>
        <v/>
      </c>
    </row>
    <row r="1137" spans="1:34">
      <c r="A1137" s="10" t="str">
        <f>IF(履歴データ!$A$1137="","",履歴データ!$A$1137)</f>
        <v/>
      </c>
      <c r="B1137" s="28" t="str">
        <f>IF(履歴データ!$A$1137="","",(履歴データ!$D$1137-(履歴データ!$B$1137+履歴データ!$F$1137)/2)*100)</f>
        <v/>
      </c>
      <c r="C1137" s="28" t="str">
        <f>IF(履歴データ!$A$1137="","",(履歴データ!$H$1137-(履歴データ!$G$1137+履歴データ!$J$1137)/2)*100)</f>
        <v/>
      </c>
      <c r="D1137" s="28" t="str">
        <f>IF(履歴データ!$A$1137="","",(履歴データ!$D$1137-履歴データ!$H$1137)*100)</f>
        <v/>
      </c>
      <c r="E1137" s="28" t="str">
        <f>IF(履歴データ!$A$1137="","",(履歴データ!$D$1137-履歴データ!$C$1137)*100)</f>
        <v/>
      </c>
      <c r="F1137" s="28" t="str">
        <f>IF(履歴データ!$A$1137="","",(履歴データ!$R$1137-履歴データ!$D$1137)*100)</f>
        <v/>
      </c>
      <c r="G1137" s="28" t="str">
        <f>IF(履歴データ!$A$1137="","",(履歴データ!$S$1137-履歴データ!$R$1137)*100)</f>
        <v/>
      </c>
      <c r="H1137" s="29" t="str">
        <f>IF(履歴データ!$A$1137="","",履歴データ!$O$1137)</f>
        <v/>
      </c>
      <c r="I1137" s="29" t="str">
        <f>IF(履歴データ!$A$1137="","",履歴データ!$Q$1137)</f>
        <v/>
      </c>
      <c r="J1137" s="29" t="str">
        <f>IF(履歴データ!$A$1137="","",履歴データ!$D$1137)</f>
        <v/>
      </c>
      <c r="K1137" s="28" t="str">
        <f>IF(OR(履歴データ!$A$1137="",履歴データ!$A$1136=""),"",B1137-B1136)</f>
        <v/>
      </c>
      <c r="L1137" s="28" t="str">
        <f>IF(OR(履歴データ!$A$1137="",履歴データ!$A$1136=""),"",C1137-C1136)</f>
        <v/>
      </c>
      <c r="M1137" s="28" t="str">
        <f>IF(OR(履歴データ!$A$1137="",履歴データ!$A$1136=""),"",D1137-D1136)</f>
        <v/>
      </c>
      <c r="N1137" s="28" t="str">
        <f>IF(OR(履歴データ!$A$1137="",履歴データ!$A$1136=""),"",E1137-E1136)</f>
        <v/>
      </c>
      <c r="O1137" s="28" t="str">
        <f>IF(OR(履歴データ!$A$1137="",履歴データ!$A$1136=""),"",F1137-F1136)</f>
        <v/>
      </c>
      <c r="P1137" s="28" t="str">
        <f>IF(OR(履歴データ!$A$1137="",履歴データ!$A$1136=""),"",G1137-G1136)</f>
        <v/>
      </c>
      <c r="Q1137" s="29" t="str">
        <f>IF(OR(履歴データ!$A$1137="",履歴データ!$A$1136=""),"",H1137-H1136)</f>
        <v/>
      </c>
      <c r="R1137" s="29" t="str">
        <f>IF(OR(履歴データ!$A$1137="",履歴データ!$A$1136=""),"",I1137-I1136)</f>
        <v/>
      </c>
      <c r="S1137" s="28" t="str">
        <f>IF(OR(履歴データ!$A$1137="",履歴データ!$A$1136=""),"",(J1137-J1136)*100)</f>
        <v/>
      </c>
      <c r="T1137" s="11" t="str">
        <f>IF(OR(履歴データ!$A$1137="",履歴データ!$A$1136=""),"",-80000*K1137)</f>
        <v/>
      </c>
      <c r="U1137" s="11" t="str">
        <f>IF(OR(履歴データ!$A$1137="",履歴データ!$A$1136=""),"",60000*L1137)</f>
        <v/>
      </c>
      <c r="V1137" s="11" t="str">
        <f>IF(OR(履歴データ!$A$1137="",履歴データ!$A$1136=""),"",-50000*M1137)</f>
        <v/>
      </c>
      <c r="W1137" s="11" t="str">
        <f>IF(OR(履歴データ!$A$1137="",履歴データ!$A$1136=""),"",-40000*N1137)</f>
        <v/>
      </c>
      <c r="X1137" s="11" t="str">
        <f>IF(OR(履歴データ!$A$1137="",履歴データ!$A$1136=""),"",120*1000000*(-Q1137/H1136))</f>
        <v/>
      </c>
      <c r="Y1137" s="11" t="str">
        <f>IF(OR(履歴データ!$A$1137="",履歴データ!$A$1136=""),"",40000*(-S1137)+(-506.3)*R1137*1000)</f>
        <v/>
      </c>
      <c r="Z1137" s="11" t="str">
        <f>IF(OR(履歴データ!$A$1137="",履歴データ!$A$1136=""),"",-40000*O1137)</f>
        <v/>
      </c>
      <c r="AA1137" s="11" t="str">
        <f>IF(OR(履歴データ!$A$1137="",履歴データ!$A$1136=""),"",-40000*P1137)</f>
        <v/>
      </c>
      <c r="AB1137" s="11" t="str">
        <f>IF(履歴データ!$A$1137="","",123.3)</f>
        <v/>
      </c>
      <c r="AC1137" t="str">
        <f>IF(履歴データ!$A$1137="","",SUM(T1137:AA1137))</f>
        <v/>
      </c>
      <c r="AD1137" s="29" t="str">
        <f>IF(履歴データ!$A$1137="","",AC1137/1000000)</f>
        <v/>
      </c>
      <c r="AE1137" s="29">
        <f>IF(履歴データ!$A$1137="",AE1136,AE1136+AC1137/1000000)</f>
        <v>70.844544225831427</v>
      </c>
      <c r="AF1137" s="12" t="str">
        <f>IF(OR(履歴データ!$A$1137="",AE1136=0),"",(AE1137-AE1136)/AE1136)</f>
        <v/>
      </c>
      <c r="AG1137" s="29">
        <f t="shared" si="47"/>
        <v>102.17217746631495</v>
      </c>
      <c r="AH1137" s="12" t="str">
        <f>IF(OR(履歴データ!$A$1137="",AG1137=0),"",AE1137/AG1137-1)</f>
        <v/>
      </c>
    </row>
    <row r="1138" spans="1:34">
      <c r="A1138" s="10" t="str">
        <f>IF(履歴データ!$A$1138="","",履歴データ!$A$1138)</f>
        <v/>
      </c>
      <c r="B1138" s="28" t="str">
        <f>IF(履歴データ!$A$1138="","",(履歴データ!$D$1138-(履歴データ!$B$1138+履歴データ!$F$1138)/2)*100)</f>
        <v/>
      </c>
      <c r="C1138" s="28" t="str">
        <f>IF(履歴データ!$A$1138="","",(履歴データ!$H$1138-(履歴データ!$G$1138+履歴データ!$J$1138)/2)*100)</f>
        <v/>
      </c>
      <c r="D1138" s="28" t="str">
        <f>IF(履歴データ!$A$1138="","",(履歴データ!$D$1138-履歴データ!$H$1138)*100)</f>
        <v/>
      </c>
      <c r="E1138" s="28" t="str">
        <f>IF(履歴データ!$A$1138="","",(履歴データ!$D$1138-履歴データ!$C$1138)*100)</f>
        <v/>
      </c>
      <c r="F1138" s="28" t="str">
        <f>IF(履歴データ!$A$1138="","",(履歴データ!$R$1138-履歴データ!$D$1138)*100)</f>
        <v/>
      </c>
      <c r="G1138" s="28" t="str">
        <f>IF(履歴データ!$A$1138="","",(履歴データ!$S$1138-履歴データ!$R$1138)*100)</f>
        <v/>
      </c>
      <c r="H1138" s="29" t="str">
        <f>IF(履歴データ!$A$1138="","",履歴データ!$O$1138)</f>
        <v/>
      </c>
      <c r="I1138" s="29" t="str">
        <f>IF(履歴データ!$A$1138="","",履歴データ!$Q$1138)</f>
        <v/>
      </c>
      <c r="J1138" s="29" t="str">
        <f>IF(履歴データ!$A$1138="","",履歴データ!$D$1138)</f>
        <v/>
      </c>
      <c r="K1138" s="28" t="str">
        <f>IF(OR(履歴データ!$A$1138="",履歴データ!$A$1137=""),"",B1138-B1137)</f>
        <v/>
      </c>
      <c r="L1138" s="28" t="str">
        <f>IF(OR(履歴データ!$A$1138="",履歴データ!$A$1137=""),"",C1138-C1137)</f>
        <v/>
      </c>
      <c r="M1138" s="28" t="str">
        <f>IF(OR(履歴データ!$A$1138="",履歴データ!$A$1137=""),"",D1138-D1137)</f>
        <v/>
      </c>
      <c r="N1138" s="28" t="str">
        <f>IF(OR(履歴データ!$A$1138="",履歴データ!$A$1137=""),"",E1138-E1137)</f>
        <v/>
      </c>
      <c r="O1138" s="28" t="str">
        <f>IF(OR(履歴データ!$A$1138="",履歴データ!$A$1137=""),"",F1138-F1137)</f>
        <v/>
      </c>
      <c r="P1138" s="28" t="str">
        <f>IF(OR(履歴データ!$A$1138="",履歴データ!$A$1137=""),"",G1138-G1137)</f>
        <v/>
      </c>
      <c r="Q1138" s="29" t="str">
        <f>IF(OR(履歴データ!$A$1138="",履歴データ!$A$1137=""),"",H1138-H1137)</f>
        <v/>
      </c>
      <c r="R1138" s="29" t="str">
        <f>IF(OR(履歴データ!$A$1138="",履歴データ!$A$1137=""),"",I1138-I1137)</f>
        <v/>
      </c>
      <c r="S1138" s="28" t="str">
        <f>IF(OR(履歴データ!$A$1138="",履歴データ!$A$1137=""),"",(J1138-J1137)*100)</f>
        <v/>
      </c>
      <c r="T1138" s="11" t="str">
        <f>IF(OR(履歴データ!$A$1138="",履歴データ!$A$1137=""),"",-80000*K1138)</f>
        <v/>
      </c>
      <c r="U1138" s="11" t="str">
        <f>IF(OR(履歴データ!$A$1138="",履歴データ!$A$1137=""),"",60000*L1138)</f>
        <v/>
      </c>
      <c r="V1138" s="11" t="str">
        <f>IF(OR(履歴データ!$A$1138="",履歴データ!$A$1137=""),"",-50000*M1138)</f>
        <v/>
      </c>
      <c r="W1138" s="11" t="str">
        <f>IF(OR(履歴データ!$A$1138="",履歴データ!$A$1137=""),"",-40000*N1138)</f>
        <v/>
      </c>
      <c r="X1138" s="11" t="str">
        <f>IF(OR(履歴データ!$A$1138="",履歴データ!$A$1137=""),"",120*1000000*(-Q1138/H1137))</f>
        <v/>
      </c>
      <c r="Y1138" s="11" t="str">
        <f>IF(OR(履歴データ!$A$1138="",履歴データ!$A$1137=""),"",40000*(-S1138)+(-506.3)*R1138*1000)</f>
        <v/>
      </c>
      <c r="Z1138" s="11" t="str">
        <f>IF(OR(履歴データ!$A$1138="",履歴データ!$A$1137=""),"",-40000*O1138)</f>
        <v/>
      </c>
      <c r="AA1138" s="11" t="str">
        <f>IF(OR(履歴データ!$A$1138="",履歴データ!$A$1137=""),"",-40000*P1138)</f>
        <v/>
      </c>
      <c r="AB1138" s="11" t="str">
        <f>IF(履歴データ!$A$1138="","",123.3)</f>
        <v/>
      </c>
      <c r="AC1138" t="str">
        <f>IF(履歴データ!$A$1138="","",SUM(T1138:AA1138))</f>
        <v/>
      </c>
      <c r="AD1138" s="29" t="str">
        <f>IF(履歴データ!$A$1138="","",AC1138/1000000)</f>
        <v/>
      </c>
      <c r="AE1138" s="29">
        <f>IF(履歴データ!$A$1138="",AE1137,AE1137+AC1138/1000000)</f>
        <v>70.844544225831427</v>
      </c>
      <c r="AF1138" s="12" t="str">
        <f>IF(OR(履歴データ!$A$1138="",AE1137=0),"",(AE1138-AE1137)/AE1137)</f>
        <v/>
      </c>
      <c r="AG1138" s="29">
        <f t="shared" si="47"/>
        <v>102.17217746631495</v>
      </c>
      <c r="AH1138" s="12" t="str">
        <f>IF(OR(履歴データ!$A$1138="",AG1138=0),"",AE1138/AG1138-1)</f>
        <v/>
      </c>
    </row>
    <row r="1139" spans="1:34">
      <c r="A1139" s="10" t="str">
        <f>IF(履歴データ!$A$1139="","",履歴データ!$A$1139)</f>
        <v/>
      </c>
      <c r="B1139" s="28" t="str">
        <f>IF(履歴データ!$A$1139="","",(履歴データ!$D$1139-(履歴データ!$B$1139+履歴データ!$F$1139)/2)*100)</f>
        <v/>
      </c>
      <c r="C1139" s="28" t="str">
        <f>IF(履歴データ!$A$1139="","",(履歴データ!$H$1139-(履歴データ!$G$1139+履歴データ!$J$1139)/2)*100)</f>
        <v/>
      </c>
      <c r="D1139" s="28" t="str">
        <f>IF(履歴データ!$A$1139="","",(履歴データ!$D$1139-履歴データ!$H$1139)*100)</f>
        <v/>
      </c>
      <c r="E1139" s="28" t="str">
        <f>IF(履歴データ!$A$1139="","",(履歴データ!$D$1139-履歴データ!$C$1139)*100)</f>
        <v/>
      </c>
      <c r="F1139" s="28" t="str">
        <f>IF(履歴データ!$A$1139="","",(履歴データ!$R$1139-履歴データ!$D$1139)*100)</f>
        <v/>
      </c>
      <c r="G1139" s="28" t="str">
        <f>IF(履歴データ!$A$1139="","",(履歴データ!$S$1139-履歴データ!$R$1139)*100)</f>
        <v/>
      </c>
      <c r="H1139" s="29" t="str">
        <f>IF(履歴データ!$A$1139="","",履歴データ!$O$1139)</f>
        <v/>
      </c>
      <c r="I1139" s="29" t="str">
        <f>IF(履歴データ!$A$1139="","",履歴データ!$Q$1139)</f>
        <v/>
      </c>
      <c r="J1139" s="29" t="str">
        <f>IF(履歴データ!$A$1139="","",履歴データ!$D$1139)</f>
        <v/>
      </c>
      <c r="K1139" s="28" t="str">
        <f>IF(OR(履歴データ!$A$1139="",履歴データ!$A$1138=""),"",B1139-B1138)</f>
        <v/>
      </c>
      <c r="L1139" s="28" t="str">
        <f>IF(OR(履歴データ!$A$1139="",履歴データ!$A$1138=""),"",C1139-C1138)</f>
        <v/>
      </c>
      <c r="M1139" s="28" t="str">
        <f>IF(OR(履歴データ!$A$1139="",履歴データ!$A$1138=""),"",D1139-D1138)</f>
        <v/>
      </c>
      <c r="N1139" s="28" t="str">
        <f>IF(OR(履歴データ!$A$1139="",履歴データ!$A$1138=""),"",E1139-E1138)</f>
        <v/>
      </c>
      <c r="O1139" s="28" t="str">
        <f>IF(OR(履歴データ!$A$1139="",履歴データ!$A$1138=""),"",F1139-F1138)</f>
        <v/>
      </c>
      <c r="P1139" s="28" t="str">
        <f>IF(OR(履歴データ!$A$1139="",履歴データ!$A$1138=""),"",G1139-G1138)</f>
        <v/>
      </c>
      <c r="Q1139" s="29" t="str">
        <f>IF(OR(履歴データ!$A$1139="",履歴データ!$A$1138=""),"",H1139-H1138)</f>
        <v/>
      </c>
      <c r="R1139" s="29" t="str">
        <f>IF(OR(履歴データ!$A$1139="",履歴データ!$A$1138=""),"",I1139-I1138)</f>
        <v/>
      </c>
      <c r="S1139" s="28" t="str">
        <f>IF(OR(履歴データ!$A$1139="",履歴データ!$A$1138=""),"",(J1139-J1138)*100)</f>
        <v/>
      </c>
      <c r="T1139" s="11" t="str">
        <f>IF(OR(履歴データ!$A$1139="",履歴データ!$A$1138=""),"",-80000*K1139)</f>
        <v/>
      </c>
      <c r="U1139" s="11" t="str">
        <f>IF(OR(履歴データ!$A$1139="",履歴データ!$A$1138=""),"",60000*L1139)</f>
        <v/>
      </c>
      <c r="V1139" s="11" t="str">
        <f>IF(OR(履歴データ!$A$1139="",履歴データ!$A$1138=""),"",-50000*M1139)</f>
        <v/>
      </c>
      <c r="W1139" s="11" t="str">
        <f>IF(OR(履歴データ!$A$1139="",履歴データ!$A$1138=""),"",-40000*N1139)</f>
        <v/>
      </c>
      <c r="X1139" s="11" t="str">
        <f>IF(OR(履歴データ!$A$1139="",履歴データ!$A$1138=""),"",120*1000000*(-Q1139/H1138))</f>
        <v/>
      </c>
      <c r="Y1139" s="11" t="str">
        <f>IF(OR(履歴データ!$A$1139="",履歴データ!$A$1138=""),"",40000*(-S1139)+(-506.3)*R1139*1000)</f>
        <v/>
      </c>
      <c r="Z1139" s="11" t="str">
        <f>IF(OR(履歴データ!$A$1139="",履歴データ!$A$1138=""),"",-40000*O1139)</f>
        <v/>
      </c>
      <c r="AA1139" s="11" t="str">
        <f>IF(OR(履歴データ!$A$1139="",履歴データ!$A$1138=""),"",-40000*P1139)</f>
        <v/>
      </c>
      <c r="AB1139" s="11" t="str">
        <f>IF(履歴データ!$A$1139="","",123.3)</f>
        <v/>
      </c>
      <c r="AC1139" t="str">
        <f>IF(履歴データ!$A$1139="","",SUM(T1139:AA1139))</f>
        <v/>
      </c>
      <c r="AD1139" s="29" t="str">
        <f>IF(履歴データ!$A$1139="","",AC1139/1000000)</f>
        <v/>
      </c>
      <c r="AE1139" s="29">
        <f>IF(履歴データ!$A$1139="",AE1138,AE1138+AC1139/1000000)</f>
        <v>70.844544225831427</v>
      </c>
      <c r="AF1139" s="12" t="str">
        <f>IF(OR(履歴データ!$A$1139="",AE1138=0),"",(AE1139-AE1138)/AE1138)</f>
        <v/>
      </c>
      <c r="AG1139" s="29">
        <f t="shared" si="47"/>
        <v>102.17217746631495</v>
      </c>
      <c r="AH1139" s="12" t="str">
        <f>IF(OR(履歴データ!$A$1139="",AG1139=0),"",AE1139/AG1139-1)</f>
        <v/>
      </c>
    </row>
    <row r="1140" spans="1:34">
      <c r="A1140" s="10" t="str">
        <f>IF(履歴データ!$A$1140="","",履歴データ!$A$1140)</f>
        <v/>
      </c>
      <c r="B1140" s="28" t="str">
        <f>IF(履歴データ!$A$1140="","",(履歴データ!$D$1140-(履歴データ!$B$1140+履歴データ!$F$1140)/2)*100)</f>
        <v/>
      </c>
      <c r="C1140" s="28" t="str">
        <f>IF(履歴データ!$A$1140="","",(履歴データ!$H$1140-(履歴データ!$G$1140+履歴データ!$J$1140)/2)*100)</f>
        <v/>
      </c>
      <c r="D1140" s="28" t="str">
        <f>IF(履歴データ!$A$1140="","",(履歴データ!$D$1140-履歴データ!$H$1140)*100)</f>
        <v/>
      </c>
      <c r="E1140" s="28" t="str">
        <f>IF(履歴データ!$A$1140="","",(履歴データ!$D$1140-履歴データ!$C$1140)*100)</f>
        <v/>
      </c>
      <c r="F1140" s="28" t="str">
        <f>IF(履歴データ!$A$1140="","",(履歴データ!$R$1140-履歴データ!$D$1140)*100)</f>
        <v/>
      </c>
      <c r="G1140" s="28" t="str">
        <f>IF(履歴データ!$A$1140="","",(履歴データ!$S$1140-履歴データ!$R$1140)*100)</f>
        <v/>
      </c>
      <c r="H1140" s="29" t="str">
        <f>IF(履歴データ!$A$1140="","",履歴データ!$O$1140)</f>
        <v/>
      </c>
      <c r="I1140" s="29" t="str">
        <f>IF(履歴データ!$A$1140="","",履歴データ!$Q$1140)</f>
        <v/>
      </c>
      <c r="J1140" s="29" t="str">
        <f>IF(履歴データ!$A$1140="","",履歴データ!$D$1140)</f>
        <v/>
      </c>
      <c r="K1140" s="28" t="str">
        <f>IF(OR(履歴データ!$A$1140="",履歴データ!$A$1139=""),"",B1140-B1139)</f>
        <v/>
      </c>
      <c r="L1140" s="28" t="str">
        <f>IF(OR(履歴データ!$A$1140="",履歴データ!$A$1139=""),"",C1140-C1139)</f>
        <v/>
      </c>
      <c r="M1140" s="28" t="str">
        <f>IF(OR(履歴データ!$A$1140="",履歴データ!$A$1139=""),"",D1140-D1139)</f>
        <v/>
      </c>
      <c r="N1140" s="28" t="str">
        <f>IF(OR(履歴データ!$A$1140="",履歴データ!$A$1139=""),"",E1140-E1139)</f>
        <v/>
      </c>
      <c r="O1140" s="28" t="str">
        <f>IF(OR(履歴データ!$A$1140="",履歴データ!$A$1139=""),"",F1140-F1139)</f>
        <v/>
      </c>
      <c r="P1140" s="28" t="str">
        <f>IF(OR(履歴データ!$A$1140="",履歴データ!$A$1139=""),"",G1140-G1139)</f>
        <v/>
      </c>
      <c r="Q1140" s="29" t="str">
        <f>IF(OR(履歴データ!$A$1140="",履歴データ!$A$1139=""),"",H1140-H1139)</f>
        <v/>
      </c>
      <c r="R1140" s="29" t="str">
        <f>IF(OR(履歴データ!$A$1140="",履歴データ!$A$1139=""),"",I1140-I1139)</f>
        <v/>
      </c>
      <c r="S1140" s="28" t="str">
        <f>IF(OR(履歴データ!$A$1140="",履歴データ!$A$1139=""),"",(J1140-J1139)*100)</f>
        <v/>
      </c>
      <c r="T1140" s="11" t="str">
        <f>IF(OR(履歴データ!$A$1140="",履歴データ!$A$1139=""),"",-80000*K1140)</f>
        <v/>
      </c>
      <c r="U1140" s="11" t="str">
        <f>IF(OR(履歴データ!$A$1140="",履歴データ!$A$1139=""),"",60000*L1140)</f>
        <v/>
      </c>
      <c r="V1140" s="11" t="str">
        <f>IF(OR(履歴データ!$A$1140="",履歴データ!$A$1139=""),"",-50000*M1140)</f>
        <v/>
      </c>
      <c r="W1140" s="11" t="str">
        <f>IF(OR(履歴データ!$A$1140="",履歴データ!$A$1139=""),"",-40000*N1140)</f>
        <v/>
      </c>
      <c r="X1140" s="11" t="str">
        <f>IF(OR(履歴データ!$A$1140="",履歴データ!$A$1139=""),"",120*1000000*(-Q1140/H1139))</f>
        <v/>
      </c>
      <c r="Y1140" s="11" t="str">
        <f>IF(OR(履歴データ!$A$1140="",履歴データ!$A$1139=""),"",40000*(-S1140)+(-506.3)*R1140*1000)</f>
        <v/>
      </c>
      <c r="Z1140" s="11" t="str">
        <f>IF(OR(履歴データ!$A$1140="",履歴データ!$A$1139=""),"",-40000*O1140)</f>
        <v/>
      </c>
      <c r="AA1140" s="11" t="str">
        <f>IF(OR(履歴データ!$A$1140="",履歴データ!$A$1139=""),"",-40000*P1140)</f>
        <v/>
      </c>
      <c r="AB1140" s="11" t="str">
        <f>IF(履歴データ!$A$1140="","",123.3)</f>
        <v/>
      </c>
      <c r="AC1140" t="str">
        <f>IF(履歴データ!$A$1140="","",SUM(T1140:AA1140))</f>
        <v/>
      </c>
      <c r="AD1140" s="29" t="str">
        <f>IF(履歴データ!$A$1140="","",AC1140/1000000)</f>
        <v/>
      </c>
      <c r="AE1140" s="29">
        <f>IF(履歴データ!$A$1140="",AE1139,AE1139+AC1140/1000000)</f>
        <v>70.844544225831427</v>
      </c>
      <c r="AF1140" s="12" t="str">
        <f>IF(OR(履歴データ!$A$1140="",AE1139=0),"",(AE1140-AE1139)/AE1139)</f>
        <v/>
      </c>
      <c r="AG1140" s="29">
        <f t="shared" si="47"/>
        <v>102.17217746631495</v>
      </c>
      <c r="AH1140" s="12" t="str">
        <f>IF(OR(履歴データ!$A$1140="",AG1140=0),"",AE1140/AG1140-1)</f>
        <v/>
      </c>
    </row>
    <row r="1141" spans="1:34">
      <c r="A1141" s="10" t="str">
        <f>IF(履歴データ!$A$1141="","",履歴データ!$A$1141)</f>
        <v/>
      </c>
      <c r="B1141" s="28" t="str">
        <f>IF(履歴データ!$A$1141="","",(履歴データ!$D$1141-(履歴データ!$B$1141+履歴データ!$F$1141)/2)*100)</f>
        <v/>
      </c>
      <c r="C1141" s="28" t="str">
        <f>IF(履歴データ!$A$1141="","",(履歴データ!$H$1141-(履歴データ!$G$1141+履歴データ!$J$1141)/2)*100)</f>
        <v/>
      </c>
      <c r="D1141" s="28" t="str">
        <f>IF(履歴データ!$A$1141="","",(履歴データ!$D$1141-履歴データ!$H$1141)*100)</f>
        <v/>
      </c>
      <c r="E1141" s="28" t="str">
        <f>IF(履歴データ!$A$1141="","",(履歴データ!$D$1141-履歴データ!$C$1141)*100)</f>
        <v/>
      </c>
      <c r="F1141" s="28" t="str">
        <f>IF(履歴データ!$A$1141="","",(履歴データ!$R$1141-履歴データ!$D$1141)*100)</f>
        <v/>
      </c>
      <c r="G1141" s="28" t="str">
        <f>IF(履歴データ!$A$1141="","",(履歴データ!$S$1141-履歴データ!$R$1141)*100)</f>
        <v/>
      </c>
      <c r="H1141" s="29" t="str">
        <f>IF(履歴データ!$A$1141="","",履歴データ!$O$1141)</f>
        <v/>
      </c>
      <c r="I1141" s="29" t="str">
        <f>IF(履歴データ!$A$1141="","",履歴データ!$Q$1141)</f>
        <v/>
      </c>
      <c r="J1141" s="29" t="str">
        <f>IF(履歴データ!$A$1141="","",履歴データ!$D$1141)</f>
        <v/>
      </c>
      <c r="K1141" s="28" t="str">
        <f>IF(OR(履歴データ!$A$1141="",履歴データ!$A$1140=""),"",B1141-B1140)</f>
        <v/>
      </c>
      <c r="L1141" s="28" t="str">
        <f>IF(OR(履歴データ!$A$1141="",履歴データ!$A$1140=""),"",C1141-C1140)</f>
        <v/>
      </c>
      <c r="M1141" s="28" t="str">
        <f>IF(OR(履歴データ!$A$1141="",履歴データ!$A$1140=""),"",D1141-D1140)</f>
        <v/>
      </c>
      <c r="N1141" s="28" t="str">
        <f>IF(OR(履歴データ!$A$1141="",履歴データ!$A$1140=""),"",E1141-E1140)</f>
        <v/>
      </c>
      <c r="O1141" s="28" t="str">
        <f>IF(OR(履歴データ!$A$1141="",履歴データ!$A$1140=""),"",F1141-F1140)</f>
        <v/>
      </c>
      <c r="P1141" s="28" t="str">
        <f>IF(OR(履歴データ!$A$1141="",履歴データ!$A$1140=""),"",G1141-G1140)</f>
        <v/>
      </c>
      <c r="Q1141" s="29" t="str">
        <f>IF(OR(履歴データ!$A$1141="",履歴データ!$A$1140=""),"",H1141-H1140)</f>
        <v/>
      </c>
      <c r="R1141" s="29" t="str">
        <f>IF(OR(履歴データ!$A$1141="",履歴データ!$A$1140=""),"",I1141-I1140)</f>
        <v/>
      </c>
      <c r="S1141" s="28" t="str">
        <f>IF(OR(履歴データ!$A$1141="",履歴データ!$A$1140=""),"",(J1141-J1140)*100)</f>
        <v/>
      </c>
      <c r="T1141" s="11" t="str">
        <f>IF(OR(履歴データ!$A$1141="",履歴データ!$A$1140=""),"",-80000*K1141)</f>
        <v/>
      </c>
      <c r="U1141" s="11" t="str">
        <f>IF(OR(履歴データ!$A$1141="",履歴データ!$A$1140=""),"",60000*L1141)</f>
        <v/>
      </c>
      <c r="V1141" s="11" t="str">
        <f>IF(OR(履歴データ!$A$1141="",履歴データ!$A$1140=""),"",-50000*M1141)</f>
        <v/>
      </c>
      <c r="W1141" s="11" t="str">
        <f>IF(OR(履歴データ!$A$1141="",履歴データ!$A$1140=""),"",-40000*N1141)</f>
        <v/>
      </c>
      <c r="X1141" s="11" t="str">
        <f>IF(OR(履歴データ!$A$1141="",履歴データ!$A$1140=""),"",120*1000000*(-Q1141/H1140))</f>
        <v/>
      </c>
      <c r="Y1141" s="11" t="str">
        <f>IF(OR(履歴データ!$A$1141="",履歴データ!$A$1140=""),"",40000*(-S1141)+(-506.3)*R1141*1000)</f>
        <v/>
      </c>
      <c r="Z1141" s="11" t="str">
        <f>IF(OR(履歴データ!$A$1141="",履歴データ!$A$1140=""),"",-40000*O1141)</f>
        <v/>
      </c>
      <c r="AA1141" s="11" t="str">
        <f>IF(OR(履歴データ!$A$1141="",履歴データ!$A$1140=""),"",-40000*P1141)</f>
        <v/>
      </c>
      <c r="AB1141" s="11" t="str">
        <f>IF(履歴データ!$A$1141="","",123.3)</f>
        <v/>
      </c>
      <c r="AC1141" t="str">
        <f>IF(履歴データ!$A$1141="","",SUM(T1141:AA1141))</f>
        <v/>
      </c>
      <c r="AD1141" s="29" t="str">
        <f>IF(履歴データ!$A$1141="","",AC1141/1000000)</f>
        <v/>
      </c>
      <c r="AE1141" s="29">
        <f>IF(履歴データ!$A$1141="",AE1140,AE1140+AC1141/1000000)</f>
        <v>70.844544225831427</v>
      </c>
      <c r="AF1141" s="12" t="str">
        <f>IF(OR(履歴データ!$A$1141="",AE1140=0),"",(AE1141-AE1140)/AE1140)</f>
        <v/>
      </c>
      <c r="AG1141" s="29">
        <f t="shared" si="47"/>
        <v>102.17217746631495</v>
      </c>
      <c r="AH1141" s="12" t="str">
        <f>IF(OR(履歴データ!$A$1141="",AG1141=0),"",AE1141/AG1141-1)</f>
        <v/>
      </c>
    </row>
    <row r="1142" spans="1:34">
      <c r="A1142" s="10" t="str">
        <f>IF(履歴データ!$A$1142="","",履歴データ!$A$1142)</f>
        <v/>
      </c>
      <c r="B1142" s="28" t="str">
        <f>IF(履歴データ!$A$1142="","",(履歴データ!$D$1142-(履歴データ!$B$1142+履歴データ!$F$1142)/2)*100)</f>
        <v/>
      </c>
      <c r="C1142" s="28" t="str">
        <f>IF(履歴データ!$A$1142="","",(履歴データ!$H$1142-(履歴データ!$G$1142+履歴データ!$J$1142)/2)*100)</f>
        <v/>
      </c>
      <c r="D1142" s="28" t="str">
        <f>IF(履歴データ!$A$1142="","",(履歴データ!$D$1142-履歴データ!$H$1142)*100)</f>
        <v/>
      </c>
      <c r="E1142" s="28" t="str">
        <f>IF(履歴データ!$A$1142="","",(履歴データ!$D$1142-履歴データ!$C$1142)*100)</f>
        <v/>
      </c>
      <c r="F1142" s="28" t="str">
        <f>IF(履歴データ!$A$1142="","",(履歴データ!$R$1142-履歴データ!$D$1142)*100)</f>
        <v/>
      </c>
      <c r="G1142" s="28" t="str">
        <f>IF(履歴データ!$A$1142="","",(履歴データ!$S$1142-履歴データ!$R$1142)*100)</f>
        <v/>
      </c>
      <c r="H1142" s="29" t="str">
        <f>IF(履歴データ!$A$1142="","",履歴データ!$O$1142)</f>
        <v/>
      </c>
      <c r="I1142" s="29" t="str">
        <f>IF(履歴データ!$A$1142="","",履歴データ!$Q$1142)</f>
        <v/>
      </c>
      <c r="J1142" s="29" t="str">
        <f>IF(履歴データ!$A$1142="","",履歴データ!$D$1142)</f>
        <v/>
      </c>
      <c r="K1142" s="28" t="str">
        <f>IF(OR(履歴データ!$A$1142="",履歴データ!$A$1141=""),"",B1142-B1141)</f>
        <v/>
      </c>
      <c r="L1142" s="28" t="str">
        <f>IF(OR(履歴データ!$A$1142="",履歴データ!$A$1141=""),"",C1142-C1141)</f>
        <v/>
      </c>
      <c r="M1142" s="28" t="str">
        <f>IF(OR(履歴データ!$A$1142="",履歴データ!$A$1141=""),"",D1142-D1141)</f>
        <v/>
      </c>
      <c r="N1142" s="28" t="str">
        <f>IF(OR(履歴データ!$A$1142="",履歴データ!$A$1141=""),"",E1142-E1141)</f>
        <v/>
      </c>
      <c r="O1142" s="28" t="str">
        <f>IF(OR(履歴データ!$A$1142="",履歴データ!$A$1141=""),"",F1142-F1141)</f>
        <v/>
      </c>
      <c r="P1142" s="28" t="str">
        <f>IF(OR(履歴データ!$A$1142="",履歴データ!$A$1141=""),"",G1142-G1141)</f>
        <v/>
      </c>
      <c r="Q1142" s="29" t="str">
        <f>IF(OR(履歴データ!$A$1142="",履歴データ!$A$1141=""),"",H1142-H1141)</f>
        <v/>
      </c>
      <c r="R1142" s="29" t="str">
        <f>IF(OR(履歴データ!$A$1142="",履歴データ!$A$1141=""),"",I1142-I1141)</f>
        <v/>
      </c>
      <c r="S1142" s="28" t="str">
        <f>IF(OR(履歴データ!$A$1142="",履歴データ!$A$1141=""),"",(J1142-J1141)*100)</f>
        <v/>
      </c>
      <c r="T1142" s="11" t="str">
        <f>IF(OR(履歴データ!$A$1142="",履歴データ!$A$1141=""),"",-80000*K1142)</f>
        <v/>
      </c>
      <c r="U1142" s="11" t="str">
        <f>IF(OR(履歴データ!$A$1142="",履歴データ!$A$1141=""),"",60000*L1142)</f>
        <v/>
      </c>
      <c r="V1142" s="11" t="str">
        <f>IF(OR(履歴データ!$A$1142="",履歴データ!$A$1141=""),"",-50000*M1142)</f>
        <v/>
      </c>
      <c r="W1142" s="11" t="str">
        <f>IF(OR(履歴データ!$A$1142="",履歴データ!$A$1141=""),"",-40000*N1142)</f>
        <v/>
      </c>
      <c r="X1142" s="11" t="str">
        <f>IF(OR(履歴データ!$A$1142="",履歴データ!$A$1141=""),"",120*1000000*(-Q1142/H1141))</f>
        <v/>
      </c>
      <c r="Y1142" s="11" t="str">
        <f>IF(OR(履歴データ!$A$1142="",履歴データ!$A$1141=""),"",40000*(-S1142)+(-506.3)*R1142*1000)</f>
        <v/>
      </c>
      <c r="Z1142" s="11" t="str">
        <f>IF(OR(履歴データ!$A$1142="",履歴データ!$A$1141=""),"",-40000*O1142)</f>
        <v/>
      </c>
      <c r="AA1142" s="11" t="str">
        <f>IF(OR(履歴データ!$A$1142="",履歴データ!$A$1141=""),"",-40000*P1142)</f>
        <v/>
      </c>
      <c r="AB1142" s="11" t="str">
        <f>IF(履歴データ!$A$1142="","",123.3)</f>
        <v/>
      </c>
      <c r="AC1142" t="str">
        <f>IF(履歴データ!$A$1142="","",SUM(T1142:AA1142))</f>
        <v/>
      </c>
      <c r="AD1142" s="29" t="str">
        <f>IF(履歴データ!$A$1142="","",AC1142/1000000)</f>
        <v/>
      </c>
      <c r="AE1142" s="29">
        <f>IF(履歴データ!$A$1142="",AE1141,AE1141+AC1142/1000000)</f>
        <v>70.844544225831427</v>
      </c>
      <c r="AF1142" s="12" t="str">
        <f>IF(OR(履歴データ!$A$1142="",AE1141=0),"",(AE1142-AE1141)/AE1141)</f>
        <v/>
      </c>
      <c r="AG1142" s="29">
        <f t="shared" si="47"/>
        <v>102.17217746631495</v>
      </c>
      <c r="AH1142" s="12" t="str">
        <f>IF(OR(履歴データ!$A$1142="",AG1142=0),"",AE1142/AG1142-1)</f>
        <v/>
      </c>
    </row>
    <row r="1143" spans="1:34">
      <c r="A1143" s="10" t="str">
        <f>IF(履歴データ!$A$1143="","",履歴データ!$A$1143)</f>
        <v/>
      </c>
      <c r="B1143" s="28" t="str">
        <f>IF(履歴データ!$A$1143="","",(履歴データ!$D$1143-(履歴データ!$B$1143+履歴データ!$F$1143)/2)*100)</f>
        <v/>
      </c>
      <c r="C1143" s="28" t="str">
        <f>IF(履歴データ!$A$1143="","",(履歴データ!$H$1143-(履歴データ!$G$1143+履歴データ!$J$1143)/2)*100)</f>
        <v/>
      </c>
      <c r="D1143" s="28" t="str">
        <f>IF(履歴データ!$A$1143="","",(履歴データ!$D$1143-履歴データ!$H$1143)*100)</f>
        <v/>
      </c>
      <c r="E1143" s="28" t="str">
        <f>IF(履歴データ!$A$1143="","",(履歴データ!$D$1143-履歴データ!$C$1143)*100)</f>
        <v/>
      </c>
      <c r="F1143" s="28" t="str">
        <f>IF(履歴データ!$A$1143="","",(履歴データ!$R$1143-履歴データ!$D$1143)*100)</f>
        <v/>
      </c>
      <c r="G1143" s="28" t="str">
        <f>IF(履歴データ!$A$1143="","",(履歴データ!$S$1143-履歴データ!$R$1143)*100)</f>
        <v/>
      </c>
      <c r="H1143" s="29" t="str">
        <f>IF(履歴データ!$A$1143="","",履歴データ!$O$1143)</f>
        <v/>
      </c>
      <c r="I1143" s="29" t="str">
        <f>IF(履歴データ!$A$1143="","",履歴データ!$Q$1143)</f>
        <v/>
      </c>
      <c r="J1143" s="29" t="str">
        <f>IF(履歴データ!$A$1143="","",履歴データ!$D$1143)</f>
        <v/>
      </c>
      <c r="K1143" s="28" t="str">
        <f>IF(OR(履歴データ!$A$1143="",履歴データ!$A$1142=""),"",B1143-B1142)</f>
        <v/>
      </c>
      <c r="L1143" s="28" t="str">
        <f>IF(OR(履歴データ!$A$1143="",履歴データ!$A$1142=""),"",C1143-C1142)</f>
        <v/>
      </c>
      <c r="M1143" s="28" t="str">
        <f>IF(OR(履歴データ!$A$1143="",履歴データ!$A$1142=""),"",D1143-D1142)</f>
        <v/>
      </c>
      <c r="N1143" s="28" t="str">
        <f>IF(OR(履歴データ!$A$1143="",履歴データ!$A$1142=""),"",E1143-E1142)</f>
        <v/>
      </c>
      <c r="O1143" s="28" t="str">
        <f>IF(OR(履歴データ!$A$1143="",履歴データ!$A$1142=""),"",F1143-F1142)</f>
        <v/>
      </c>
      <c r="P1143" s="28" t="str">
        <f>IF(OR(履歴データ!$A$1143="",履歴データ!$A$1142=""),"",G1143-G1142)</f>
        <v/>
      </c>
      <c r="Q1143" s="29" t="str">
        <f>IF(OR(履歴データ!$A$1143="",履歴データ!$A$1142=""),"",H1143-H1142)</f>
        <v/>
      </c>
      <c r="R1143" s="29" t="str">
        <f>IF(OR(履歴データ!$A$1143="",履歴データ!$A$1142=""),"",I1143-I1142)</f>
        <v/>
      </c>
      <c r="S1143" s="28" t="str">
        <f>IF(OR(履歴データ!$A$1143="",履歴データ!$A$1142=""),"",(J1143-J1142)*100)</f>
        <v/>
      </c>
      <c r="T1143" s="11" t="str">
        <f>IF(OR(履歴データ!$A$1143="",履歴データ!$A$1142=""),"",-80000*K1143)</f>
        <v/>
      </c>
      <c r="U1143" s="11" t="str">
        <f>IF(OR(履歴データ!$A$1143="",履歴データ!$A$1142=""),"",60000*L1143)</f>
        <v/>
      </c>
      <c r="V1143" s="11" t="str">
        <f>IF(OR(履歴データ!$A$1143="",履歴データ!$A$1142=""),"",-50000*M1143)</f>
        <v/>
      </c>
      <c r="W1143" s="11" t="str">
        <f>IF(OR(履歴データ!$A$1143="",履歴データ!$A$1142=""),"",-40000*N1143)</f>
        <v/>
      </c>
      <c r="X1143" s="11" t="str">
        <f>IF(OR(履歴データ!$A$1143="",履歴データ!$A$1142=""),"",120*1000000*(-Q1143/H1142))</f>
        <v/>
      </c>
      <c r="Y1143" s="11" t="str">
        <f>IF(OR(履歴データ!$A$1143="",履歴データ!$A$1142=""),"",40000*(-S1143)+(-506.3)*R1143*1000)</f>
        <v/>
      </c>
      <c r="Z1143" s="11" t="str">
        <f>IF(OR(履歴データ!$A$1143="",履歴データ!$A$1142=""),"",-40000*O1143)</f>
        <v/>
      </c>
      <c r="AA1143" s="11" t="str">
        <f>IF(OR(履歴データ!$A$1143="",履歴データ!$A$1142=""),"",-40000*P1143)</f>
        <v/>
      </c>
      <c r="AB1143" s="11" t="str">
        <f>IF(履歴データ!$A$1143="","",123.3)</f>
        <v/>
      </c>
      <c r="AC1143" t="str">
        <f>IF(履歴データ!$A$1143="","",SUM(T1143:AA1143))</f>
        <v/>
      </c>
      <c r="AD1143" s="29" t="str">
        <f>IF(履歴データ!$A$1143="","",AC1143/1000000)</f>
        <v/>
      </c>
      <c r="AE1143" s="29">
        <f>IF(履歴データ!$A$1143="",AE1142,AE1142+AC1143/1000000)</f>
        <v>70.844544225831427</v>
      </c>
      <c r="AF1143" s="12" t="str">
        <f>IF(OR(履歴データ!$A$1143="",AE1142=0),"",(AE1143-AE1142)/AE1142)</f>
        <v/>
      </c>
      <c r="AG1143" s="29">
        <f t="shared" si="47"/>
        <v>102.17217746631495</v>
      </c>
      <c r="AH1143" s="12" t="str">
        <f>IF(OR(履歴データ!$A$1143="",AG1143=0),"",AE1143/AG1143-1)</f>
        <v/>
      </c>
    </row>
    <row r="1144" spans="1:34">
      <c r="A1144" s="10" t="str">
        <f>IF(履歴データ!$A$1144="","",履歴データ!$A$1144)</f>
        <v/>
      </c>
      <c r="B1144" s="28" t="str">
        <f>IF(履歴データ!$A$1144="","",(履歴データ!$D$1144-(履歴データ!$B$1144+履歴データ!$F$1144)/2)*100)</f>
        <v/>
      </c>
      <c r="C1144" s="28" t="str">
        <f>IF(履歴データ!$A$1144="","",(履歴データ!$H$1144-(履歴データ!$G$1144+履歴データ!$J$1144)/2)*100)</f>
        <v/>
      </c>
      <c r="D1144" s="28" t="str">
        <f>IF(履歴データ!$A$1144="","",(履歴データ!$D$1144-履歴データ!$H$1144)*100)</f>
        <v/>
      </c>
      <c r="E1144" s="28" t="str">
        <f>IF(履歴データ!$A$1144="","",(履歴データ!$D$1144-履歴データ!$C$1144)*100)</f>
        <v/>
      </c>
      <c r="F1144" s="28" t="str">
        <f>IF(履歴データ!$A$1144="","",(履歴データ!$R$1144-履歴データ!$D$1144)*100)</f>
        <v/>
      </c>
      <c r="G1144" s="28" t="str">
        <f>IF(履歴データ!$A$1144="","",(履歴データ!$S$1144-履歴データ!$R$1144)*100)</f>
        <v/>
      </c>
      <c r="H1144" s="29" t="str">
        <f>IF(履歴データ!$A$1144="","",履歴データ!$O$1144)</f>
        <v/>
      </c>
      <c r="I1144" s="29" t="str">
        <f>IF(履歴データ!$A$1144="","",履歴データ!$Q$1144)</f>
        <v/>
      </c>
      <c r="J1144" s="29" t="str">
        <f>IF(履歴データ!$A$1144="","",履歴データ!$D$1144)</f>
        <v/>
      </c>
      <c r="K1144" s="28" t="str">
        <f>IF(OR(履歴データ!$A$1144="",履歴データ!$A$1143=""),"",B1144-B1143)</f>
        <v/>
      </c>
      <c r="L1144" s="28" t="str">
        <f>IF(OR(履歴データ!$A$1144="",履歴データ!$A$1143=""),"",C1144-C1143)</f>
        <v/>
      </c>
      <c r="M1144" s="28" t="str">
        <f>IF(OR(履歴データ!$A$1144="",履歴データ!$A$1143=""),"",D1144-D1143)</f>
        <v/>
      </c>
      <c r="N1144" s="28" t="str">
        <f>IF(OR(履歴データ!$A$1144="",履歴データ!$A$1143=""),"",E1144-E1143)</f>
        <v/>
      </c>
      <c r="O1144" s="28" t="str">
        <f>IF(OR(履歴データ!$A$1144="",履歴データ!$A$1143=""),"",F1144-F1143)</f>
        <v/>
      </c>
      <c r="P1144" s="28" t="str">
        <f>IF(OR(履歴データ!$A$1144="",履歴データ!$A$1143=""),"",G1144-G1143)</f>
        <v/>
      </c>
      <c r="Q1144" s="29" t="str">
        <f>IF(OR(履歴データ!$A$1144="",履歴データ!$A$1143=""),"",H1144-H1143)</f>
        <v/>
      </c>
      <c r="R1144" s="29" t="str">
        <f>IF(OR(履歴データ!$A$1144="",履歴データ!$A$1143=""),"",I1144-I1143)</f>
        <v/>
      </c>
      <c r="S1144" s="28" t="str">
        <f>IF(OR(履歴データ!$A$1144="",履歴データ!$A$1143=""),"",(J1144-J1143)*100)</f>
        <v/>
      </c>
      <c r="T1144" s="11" t="str">
        <f>IF(OR(履歴データ!$A$1144="",履歴データ!$A$1143=""),"",-80000*K1144)</f>
        <v/>
      </c>
      <c r="U1144" s="11" t="str">
        <f>IF(OR(履歴データ!$A$1144="",履歴データ!$A$1143=""),"",60000*L1144)</f>
        <v/>
      </c>
      <c r="V1144" s="11" t="str">
        <f>IF(OR(履歴データ!$A$1144="",履歴データ!$A$1143=""),"",-50000*M1144)</f>
        <v/>
      </c>
      <c r="W1144" s="11" t="str">
        <f>IF(OR(履歴データ!$A$1144="",履歴データ!$A$1143=""),"",-40000*N1144)</f>
        <v/>
      </c>
      <c r="X1144" s="11" t="str">
        <f>IF(OR(履歴データ!$A$1144="",履歴データ!$A$1143=""),"",120*1000000*(-Q1144/H1143))</f>
        <v/>
      </c>
      <c r="Y1144" s="11" t="str">
        <f>IF(OR(履歴データ!$A$1144="",履歴データ!$A$1143=""),"",40000*(-S1144)+(-506.3)*R1144*1000)</f>
        <v/>
      </c>
      <c r="Z1144" s="11" t="str">
        <f>IF(OR(履歴データ!$A$1144="",履歴データ!$A$1143=""),"",-40000*O1144)</f>
        <v/>
      </c>
      <c r="AA1144" s="11" t="str">
        <f>IF(OR(履歴データ!$A$1144="",履歴データ!$A$1143=""),"",-40000*P1144)</f>
        <v/>
      </c>
      <c r="AB1144" s="11" t="str">
        <f>IF(履歴データ!$A$1144="","",123.3)</f>
        <v/>
      </c>
      <c r="AC1144" t="str">
        <f>IF(履歴データ!$A$1144="","",SUM(T1144:AA1144))</f>
        <v/>
      </c>
      <c r="AD1144" s="29" t="str">
        <f>IF(履歴データ!$A$1144="","",AC1144/1000000)</f>
        <v/>
      </c>
      <c r="AE1144" s="29">
        <f>IF(履歴データ!$A$1144="",AE1143,AE1143+AC1144/1000000)</f>
        <v>70.844544225831427</v>
      </c>
      <c r="AF1144" s="12" t="str">
        <f>IF(OR(履歴データ!$A$1144="",AE1143=0),"",(AE1144-AE1143)/AE1143)</f>
        <v/>
      </c>
      <c r="AG1144" s="29">
        <f t="shared" si="47"/>
        <v>102.17217746631495</v>
      </c>
      <c r="AH1144" s="12" t="str">
        <f>IF(OR(履歴データ!$A$1144="",AG1144=0),"",AE1144/AG1144-1)</f>
        <v/>
      </c>
    </row>
    <row r="1145" spans="1:34">
      <c r="A1145" s="10" t="str">
        <f>IF(履歴データ!$A$1145="","",履歴データ!$A$1145)</f>
        <v/>
      </c>
      <c r="B1145" s="28" t="str">
        <f>IF(履歴データ!$A$1145="","",(履歴データ!$D$1145-(履歴データ!$B$1145+履歴データ!$F$1145)/2)*100)</f>
        <v/>
      </c>
      <c r="C1145" s="28" t="str">
        <f>IF(履歴データ!$A$1145="","",(履歴データ!$H$1145-(履歴データ!$G$1145+履歴データ!$J$1145)/2)*100)</f>
        <v/>
      </c>
      <c r="D1145" s="28" t="str">
        <f>IF(履歴データ!$A$1145="","",(履歴データ!$D$1145-履歴データ!$H$1145)*100)</f>
        <v/>
      </c>
      <c r="E1145" s="28" t="str">
        <f>IF(履歴データ!$A$1145="","",(履歴データ!$D$1145-履歴データ!$C$1145)*100)</f>
        <v/>
      </c>
      <c r="F1145" s="28" t="str">
        <f>IF(履歴データ!$A$1145="","",(履歴データ!$R$1145-履歴データ!$D$1145)*100)</f>
        <v/>
      </c>
      <c r="G1145" s="28" t="str">
        <f>IF(履歴データ!$A$1145="","",(履歴データ!$S$1145-履歴データ!$R$1145)*100)</f>
        <v/>
      </c>
      <c r="H1145" s="29" t="str">
        <f>IF(履歴データ!$A$1145="","",履歴データ!$O$1145)</f>
        <v/>
      </c>
      <c r="I1145" s="29" t="str">
        <f>IF(履歴データ!$A$1145="","",履歴データ!$Q$1145)</f>
        <v/>
      </c>
      <c r="J1145" s="29" t="str">
        <f>IF(履歴データ!$A$1145="","",履歴データ!$D$1145)</f>
        <v/>
      </c>
      <c r="K1145" s="28" t="str">
        <f>IF(OR(履歴データ!$A$1145="",履歴データ!$A$1144=""),"",B1145-B1144)</f>
        <v/>
      </c>
      <c r="L1145" s="28" t="str">
        <f>IF(OR(履歴データ!$A$1145="",履歴データ!$A$1144=""),"",C1145-C1144)</f>
        <v/>
      </c>
      <c r="M1145" s="28" t="str">
        <f>IF(OR(履歴データ!$A$1145="",履歴データ!$A$1144=""),"",D1145-D1144)</f>
        <v/>
      </c>
      <c r="N1145" s="28" t="str">
        <f>IF(OR(履歴データ!$A$1145="",履歴データ!$A$1144=""),"",E1145-E1144)</f>
        <v/>
      </c>
      <c r="O1145" s="28" t="str">
        <f>IF(OR(履歴データ!$A$1145="",履歴データ!$A$1144=""),"",F1145-F1144)</f>
        <v/>
      </c>
      <c r="P1145" s="28" t="str">
        <f>IF(OR(履歴データ!$A$1145="",履歴データ!$A$1144=""),"",G1145-G1144)</f>
        <v/>
      </c>
      <c r="Q1145" s="29" t="str">
        <f>IF(OR(履歴データ!$A$1145="",履歴データ!$A$1144=""),"",H1145-H1144)</f>
        <v/>
      </c>
      <c r="R1145" s="29" t="str">
        <f>IF(OR(履歴データ!$A$1145="",履歴データ!$A$1144=""),"",I1145-I1144)</f>
        <v/>
      </c>
      <c r="S1145" s="28" t="str">
        <f>IF(OR(履歴データ!$A$1145="",履歴データ!$A$1144=""),"",(J1145-J1144)*100)</f>
        <v/>
      </c>
      <c r="T1145" s="11" t="str">
        <f>IF(OR(履歴データ!$A$1145="",履歴データ!$A$1144=""),"",-80000*K1145)</f>
        <v/>
      </c>
      <c r="U1145" s="11" t="str">
        <f>IF(OR(履歴データ!$A$1145="",履歴データ!$A$1144=""),"",60000*L1145)</f>
        <v/>
      </c>
      <c r="V1145" s="11" t="str">
        <f>IF(OR(履歴データ!$A$1145="",履歴データ!$A$1144=""),"",-50000*M1145)</f>
        <v/>
      </c>
      <c r="W1145" s="11" t="str">
        <f>IF(OR(履歴データ!$A$1145="",履歴データ!$A$1144=""),"",-40000*N1145)</f>
        <v/>
      </c>
      <c r="X1145" s="11" t="str">
        <f>IF(OR(履歴データ!$A$1145="",履歴データ!$A$1144=""),"",120*1000000*(-Q1145/H1144))</f>
        <v/>
      </c>
      <c r="Y1145" s="11" t="str">
        <f>IF(OR(履歴データ!$A$1145="",履歴データ!$A$1144=""),"",40000*(-S1145)+(-506.3)*R1145*1000)</f>
        <v/>
      </c>
      <c r="Z1145" s="11" t="str">
        <f>IF(OR(履歴データ!$A$1145="",履歴データ!$A$1144=""),"",-40000*O1145)</f>
        <v/>
      </c>
      <c r="AA1145" s="11" t="str">
        <f>IF(OR(履歴データ!$A$1145="",履歴データ!$A$1144=""),"",-40000*P1145)</f>
        <v/>
      </c>
      <c r="AB1145" s="11" t="str">
        <f>IF(履歴データ!$A$1145="","",123.3)</f>
        <v/>
      </c>
      <c r="AC1145" t="str">
        <f>IF(履歴データ!$A$1145="","",SUM(T1145:AA1145))</f>
        <v/>
      </c>
      <c r="AD1145" s="29" t="str">
        <f>IF(履歴データ!$A$1145="","",AC1145/1000000)</f>
        <v/>
      </c>
      <c r="AE1145" s="29">
        <f>IF(履歴データ!$A$1145="",AE1144,AE1144+AC1145/1000000)</f>
        <v>70.844544225831427</v>
      </c>
      <c r="AF1145" s="12" t="str">
        <f>IF(OR(履歴データ!$A$1145="",AE1144=0),"",(AE1145-AE1144)/AE1144)</f>
        <v/>
      </c>
      <c r="AG1145" s="29">
        <f t="shared" si="47"/>
        <v>102.17217746631495</v>
      </c>
      <c r="AH1145" s="12" t="str">
        <f>IF(OR(履歴データ!$A$1145="",AG1145=0),"",AE1145/AG1145-1)</f>
        <v/>
      </c>
    </row>
    <row r="1146" spans="1:34">
      <c r="A1146" s="10" t="str">
        <f>IF(履歴データ!$A$1146="","",履歴データ!$A$1146)</f>
        <v/>
      </c>
      <c r="B1146" s="28" t="str">
        <f>IF(履歴データ!$A$1146="","",(履歴データ!$D$1146-(履歴データ!$B$1146+履歴データ!$F$1146)/2)*100)</f>
        <v/>
      </c>
      <c r="C1146" s="28" t="str">
        <f>IF(履歴データ!$A$1146="","",(履歴データ!$H$1146-(履歴データ!$G$1146+履歴データ!$J$1146)/2)*100)</f>
        <v/>
      </c>
      <c r="D1146" s="28" t="str">
        <f>IF(履歴データ!$A$1146="","",(履歴データ!$D$1146-履歴データ!$H$1146)*100)</f>
        <v/>
      </c>
      <c r="E1146" s="28" t="str">
        <f>IF(履歴データ!$A$1146="","",(履歴データ!$D$1146-履歴データ!$C$1146)*100)</f>
        <v/>
      </c>
      <c r="F1146" s="28" t="str">
        <f>IF(履歴データ!$A$1146="","",(履歴データ!$R$1146-履歴データ!$D$1146)*100)</f>
        <v/>
      </c>
      <c r="G1146" s="28" t="str">
        <f>IF(履歴データ!$A$1146="","",(履歴データ!$S$1146-履歴データ!$R$1146)*100)</f>
        <v/>
      </c>
      <c r="H1146" s="29" t="str">
        <f>IF(履歴データ!$A$1146="","",履歴データ!$O$1146)</f>
        <v/>
      </c>
      <c r="I1146" s="29" t="str">
        <f>IF(履歴データ!$A$1146="","",履歴データ!$Q$1146)</f>
        <v/>
      </c>
      <c r="J1146" s="29" t="str">
        <f>IF(履歴データ!$A$1146="","",履歴データ!$D$1146)</f>
        <v/>
      </c>
      <c r="K1146" s="28" t="str">
        <f>IF(OR(履歴データ!$A$1146="",履歴データ!$A$1145=""),"",B1146-B1145)</f>
        <v/>
      </c>
      <c r="L1146" s="28" t="str">
        <f>IF(OR(履歴データ!$A$1146="",履歴データ!$A$1145=""),"",C1146-C1145)</f>
        <v/>
      </c>
      <c r="M1146" s="28" t="str">
        <f>IF(OR(履歴データ!$A$1146="",履歴データ!$A$1145=""),"",D1146-D1145)</f>
        <v/>
      </c>
      <c r="N1146" s="28" t="str">
        <f>IF(OR(履歴データ!$A$1146="",履歴データ!$A$1145=""),"",E1146-E1145)</f>
        <v/>
      </c>
      <c r="O1146" s="28" t="str">
        <f>IF(OR(履歴データ!$A$1146="",履歴データ!$A$1145=""),"",F1146-F1145)</f>
        <v/>
      </c>
      <c r="P1146" s="28" t="str">
        <f>IF(OR(履歴データ!$A$1146="",履歴データ!$A$1145=""),"",G1146-G1145)</f>
        <v/>
      </c>
      <c r="Q1146" s="29" t="str">
        <f>IF(OR(履歴データ!$A$1146="",履歴データ!$A$1145=""),"",H1146-H1145)</f>
        <v/>
      </c>
      <c r="R1146" s="29" t="str">
        <f>IF(OR(履歴データ!$A$1146="",履歴データ!$A$1145=""),"",I1146-I1145)</f>
        <v/>
      </c>
      <c r="S1146" s="28" t="str">
        <f>IF(OR(履歴データ!$A$1146="",履歴データ!$A$1145=""),"",(J1146-J1145)*100)</f>
        <v/>
      </c>
      <c r="T1146" s="11" t="str">
        <f>IF(OR(履歴データ!$A$1146="",履歴データ!$A$1145=""),"",-80000*K1146)</f>
        <v/>
      </c>
      <c r="U1146" s="11" t="str">
        <f>IF(OR(履歴データ!$A$1146="",履歴データ!$A$1145=""),"",60000*L1146)</f>
        <v/>
      </c>
      <c r="V1146" s="11" t="str">
        <f>IF(OR(履歴データ!$A$1146="",履歴データ!$A$1145=""),"",-50000*M1146)</f>
        <v/>
      </c>
      <c r="W1146" s="11" t="str">
        <f>IF(OR(履歴データ!$A$1146="",履歴データ!$A$1145=""),"",-40000*N1146)</f>
        <v/>
      </c>
      <c r="X1146" s="11" t="str">
        <f>IF(OR(履歴データ!$A$1146="",履歴データ!$A$1145=""),"",120*1000000*(-Q1146/H1145))</f>
        <v/>
      </c>
      <c r="Y1146" s="11" t="str">
        <f>IF(OR(履歴データ!$A$1146="",履歴データ!$A$1145=""),"",40000*(-S1146)+(-506.3)*R1146*1000)</f>
        <v/>
      </c>
      <c r="Z1146" s="11" t="str">
        <f>IF(OR(履歴データ!$A$1146="",履歴データ!$A$1145=""),"",-40000*O1146)</f>
        <v/>
      </c>
      <c r="AA1146" s="11" t="str">
        <f>IF(OR(履歴データ!$A$1146="",履歴データ!$A$1145=""),"",-40000*P1146)</f>
        <v/>
      </c>
      <c r="AB1146" s="11" t="str">
        <f>IF(履歴データ!$A$1146="","",123.3)</f>
        <v/>
      </c>
      <c r="AC1146" t="str">
        <f>IF(履歴データ!$A$1146="","",SUM(T1146:AA1146))</f>
        <v/>
      </c>
      <c r="AD1146" s="29" t="str">
        <f>IF(履歴データ!$A$1146="","",AC1146/1000000)</f>
        <v/>
      </c>
      <c r="AE1146" s="29">
        <f>IF(履歴データ!$A$1146="",AE1145,AE1145+AC1146/1000000)</f>
        <v>70.844544225831427</v>
      </c>
      <c r="AF1146" s="12" t="str">
        <f>IF(OR(履歴データ!$A$1146="",AE1145=0),"",(AE1146-AE1145)/AE1145)</f>
        <v/>
      </c>
      <c r="AG1146" s="29">
        <f t="shared" si="47"/>
        <v>102.17217746631495</v>
      </c>
      <c r="AH1146" s="12" t="str">
        <f>IF(OR(履歴データ!$A$1146="",AG1146=0),"",AE1146/AG1146-1)</f>
        <v/>
      </c>
    </row>
    <row r="1147" spans="1:34">
      <c r="A1147" s="10" t="str">
        <f>IF(履歴データ!$A$1147="","",履歴データ!$A$1147)</f>
        <v/>
      </c>
      <c r="B1147" s="28" t="str">
        <f>IF(履歴データ!$A$1147="","",(履歴データ!$D$1147-(履歴データ!$B$1147+履歴データ!$F$1147)/2)*100)</f>
        <v/>
      </c>
      <c r="C1147" s="28" t="str">
        <f>IF(履歴データ!$A$1147="","",(履歴データ!$H$1147-(履歴データ!$G$1147+履歴データ!$J$1147)/2)*100)</f>
        <v/>
      </c>
      <c r="D1147" s="28" t="str">
        <f>IF(履歴データ!$A$1147="","",(履歴データ!$D$1147-履歴データ!$H$1147)*100)</f>
        <v/>
      </c>
      <c r="E1147" s="28" t="str">
        <f>IF(履歴データ!$A$1147="","",(履歴データ!$D$1147-履歴データ!$C$1147)*100)</f>
        <v/>
      </c>
      <c r="F1147" s="28" t="str">
        <f>IF(履歴データ!$A$1147="","",(履歴データ!$R$1147-履歴データ!$D$1147)*100)</f>
        <v/>
      </c>
      <c r="G1147" s="28" t="str">
        <f>IF(履歴データ!$A$1147="","",(履歴データ!$S$1147-履歴データ!$R$1147)*100)</f>
        <v/>
      </c>
      <c r="H1147" s="29" t="str">
        <f>IF(履歴データ!$A$1147="","",履歴データ!$O$1147)</f>
        <v/>
      </c>
      <c r="I1147" s="29" t="str">
        <f>IF(履歴データ!$A$1147="","",履歴データ!$Q$1147)</f>
        <v/>
      </c>
      <c r="J1147" s="29" t="str">
        <f>IF(履歴データ!$A$1147="","",履歴データ!$D$1147)</f>
        <v/>
      </c>
      <c r="K1147" s="28" t="str">
        <f>IF(OR(履歴データ!$A$1147="",履歴データ!$A$1146=""),"",B1147-B1146)</f>
        <v/>
      </c>
      <c r="L1147" s="28" t="str">
        <f>IF(OR(履歴データ!$A$1147="",履歴データ!$A$1146=""),"",C1147-C1146)</f>
        <v/>
      </c>
      <c r="M1147" s="28" t="str">
        <f>IF(OR(履歴データ!$A$1147="",履歴データ!$A$1146=""),"",D1147-D1146)</f>
        <v/>
      </c>
      <c r="N1147" s="28" t="str">
        <f>IF(OR(履歴データ!$A$1147="",履歴データ!$A$1146=""),"",E1147-E1146)</f>
        <v/>
      </c>
      <c r="O1147" s="28" t="str">
        <f>IF(OR(履歴データ!$A$1147="",履歴データ!$A$1146=""),"",F1147-F1146)</f>
        <v/>
      </c>
      <c r="P1147" s="28" t="str">
        <f>IF(OR(履歴データ!$A$1147="",履歴データ!$A$1146=""),"",G1147-G1146)</f>
        <v/>
      </c>
      <c r="Q1147" s="29" t="str">
        <f>IF(OR(履歴データ!$A$1147="",履歴データ!$A$1146=""),"",H1147-H1146)</f>
        <v/>
      </c>
      <c r="R1147" s="29" t="str">
        <f>IF(OR(履歴データ!$A$1147="",履歴データ!$A$1146=""),"",I1147-I1146)</f>
        <v/>
      </c>
      <c r="S1147" s="28" t="str">
        <f>IF(OR(履歴データ!$A$1147="",履歴データ!$A$1146=""),"",(J1147-J1146)*100)</f>
        <v/>
      </c>
      <c r="T1147" s="11" t="str">
        <f>IF(OR(履歴データ!$A$1147="",履歴データ!$A$1146=""),"",-80000*K1147)</f>
        <v/>
      </c>
      <c r="U1147" s="11" t="str">
        <f>IF(OR(履歴データ!$A$1147="",履歴データ!$A$1146=""),"",60000*L1147)</f>
        <v/>
      </c>
      <c r="V1147" s="11" t="str">
        <f>IF(OR(履歴データ!$A$1147="",履歴データ!$A$1146=""),"",-50000*M1147)</f>
        <v/>
      </c>
      <c r="W1147" s="11" t="str">
        <f>IF(OR(履歴データ!$A$1147="",履歴データ!$A$1146=""),"",-40000*N1147)</f>
        <v/>
      </c>
      <c r="X1147" s="11" t="str">
        <f>IF(OR(履歴データ!$A$1147="",履歴データ!$A$1146=""),"",120*1000000*(-Q1147/H1146))</f>
        <v/>
      </c>
      <c r="Y1147" s="11" t="str">
        <f>IF(OR(履歴データ!$A$1147="",履歴データ!$A$1146=""),"",40000*(-S1147)+(-506.3)*R1147*1000)</f>
        <v/>
      </c>
      <c r="Z1147" s="11" t="str">
        <f>IF(OR(履歴データ!$A$1147="",履歴データ!$A$1146=""),"",-40000*O1147)</f>
        <v/>
      </c>
      <c r="AA1147" s="11" t="str">
        <f>IF(OR(履歴データ!$A$1147="",履歴データ!$A$1146=""),"",-40000*P1147)</f>
        <v/>
      </c>
      <c r="AB1147" s="11" t="str">
        <f>IF(履歴データ!$A$1147="","",123.3)</f>
        <v/>
      </c>
      <c r="AC1147" t="str">
        <f>IF(履歴データ!$A$1147="","",SUM(T1147:AA1147))</f>
        <v/>
      </c>
      <c r="AD1147" s="29" t="str">
        <f>IF(履歴データ!$A$1147="","",AC1147/1000000)</f>
        <v/>
      </c>
      <c r="AE1147" s="29">
        <f>IF(履歴データ!$A$1147="",AE1146,AE1146+AC1147/1000000)</f>
        <v>70.844544225831427</v>
      </c>
      <c r="AF1147" s="12" t="str">
        <f>IF(OR(履歴データ!$A$1147="",AE1146=0),"",(AE1147-AE1146)/AE1146)</f>
        <v/>
      </c>
      <c r="AG1147" s="29">
        <f t="shared" si="47"/>
        <v>102.17217746631495</v>
      </c>
      <c r="AH1147" s="12" t="str">
        <f>IF(OR(履歴データ!$A$1147="",AG1147=0),"",AE1147/AG1147-1)</f>
        <v/>
      </c>
    </row>
    <row r="1148" spans="1:34">
      <c r="A1148" s="10" t="str">
        <f>IF(履歴データ!$A$1148="","",履歴データ!$A$1148)</f>
        <v/>
      </c>
      <c r="B1148" s="28" t="str">
        <f>IF(履歴データ!$A$1148="","",(履歴データ!$D$1148-(履歴データ!$B$1148+履歴データ!$F$1148)/2)*100)</f>
        <v/>
      </c>
      <c r="C1148" s="28" t="str">
        <f>IF(履歴データ!$A$1148="","",(履歴データ!$H$1148-(履歴データ!$G$1148+履歴データ!$J$1148)/2)*100)</f>
        <v/>
      </c>
      <c r="D1148" s="28" t="str">
        <f>IF(履歴データ!$A$1148="","",(履歴データ!$D$1148-履歴データ!$H$1148)*100)</f>
        <v/>
      </c>
      <c r="E1148" s="28" t="str">
        <f>IF(履歴データ!$A$1148="","",(履歴データ!$D$1148-履歴データ!$C$1148)*100)</f>
        <v/>
      </c>
      <c r="F1148" s="28" t="str">
        <f>IF(履歴データ!$A$1148="","",(履歴データ!$R$1148-履歴データ!$D$1148)*100)</f>
        <v/>
      </c>
      <c r="G1148" s="28" t="str">
        <f>IF(履歴データ!$A$1148="","",(履歴データ!$S$1148-履歴データ!$R$1148)*100)</f>
        <v/>
      </c>
      <c r="H1148" s="29" t="str">
        <f>IF(履歴データ!$A$1148="","",履歴データ!$O$1148)</f>
        <v/>
      </c>
      <c r="I1148" s="29" t="str">
        <f>IF(履歴データ!$A$1148="","",履歴データ!$Q$1148)</f>
        <v/>
      </c>
      <c r="J1148" s="29" t="str">
        <f>IF(履歴データ!$A$1148="","",履歴データ!$D$1148)</f>
        <v/>
      </c>
      <c r="K1148" s="28" t="str">
        <f>IF(OR(履歴データ!$A$1148="",履歴データ!$A$1147=""),"",B1148-B1147)</f>
        <v/>
      </c>
      <c r="L1148" s="28" t="str">
        <f>IF(OR(履歴データ!$A$1148="",履歴データ!$A$1147=""),"",C1148-C1147)</f>
        <v/>
      </c>
      <c r="M1148" s="28" t="str">
        <f>IF(OR(履歴データ!$A$1148="",履歴データ!$A$1147=""),"",D1148-D1147)</f>
        <v/>
      </c>
      <c r="N1148" s="28" t="str">
        <f>IF(OR(履歴データ!$A$1148="",履歴データ!$A$1147=""),"",E1148-E1147)</f>
        <v/>
      </c>
      <c r="O1148" s="28" t="str">
        <f>IF(OR(履歴データ!$A$1148="",履歴データ!$A$1147=""),"",F1148-F1147)</f>
        <v/>
      </c>
      <c r="P1148" s="28" t="str">
        <f>IF(OR(履歴データ!$A$1148="",履歴データ!$A$1147=""),"",G1148-G1147)</f>
        <v/>
      </c>
      <c r="Q1148" s="29" t="str">
        <f>IF(OR(履歴データ!$A$1148="",履歴データ!$A$1147=""),"",H1148-H1147)</f>
        <v/>
      </c>
      <c r="R1148" s="29" t="str">
        <f>IF(OR(履歴データ!$A$1148="",履歴データ!$A$1147=""),"",I1148-I1147)</f>
        <v/>
      </c>
      <c r="S1148" s="28" t="str">
        <f>IF(OR(履歴データ!$A$1148="",履歴データ!$A$1147=""),"",(J1148-J1147)*100)</f>
        <v/>
      </c>
      <c r="T1148" s="11" t="str">
        <f>IF(OR(履歴データ!$A$1148="",履歴データ!$A$1147=""),"",-80000*K1148)</f>
        <v/>
      </c>
      <c r="U1148" s="11" t="str">
        <f>IF(OR(履歴データ!$A$1148="",履歴データ!$A$1147=""),"",60000*L1148)</f>
        <v/>
      </c>
      <c r="V1148" s="11" t="str">
        <f>IF(OR(履歴データ!$A$1148="",履歴データ!$A$1147=""),"",-50000*M1148)</f>
        <v/>
      </c>
      <c r="W1148" s="11" t="str">
        <f>IF(OR(履歴データ!$A$1148="",履歴データ!$A$1147=""),"",-40000*N1148)</f>
        <v/>
      </c>
      <c r="X1148" s="11" t="str">
        <f>IF(OR(履歴データ!$A$1148="",履歴データ!$A$1147=""),"",120*1000000*(-Q1148/H1147))</f>
        <v/>
      </c>
      <c r="Y1148" s="11" t="str">
        <f>IF(OR(履歴データ!$A$1148="",履歴データ!$A$1147=""),"",40000*(-S1148)+(-506.3)*R1148*1000)</f>
        <v/>
      </c>
      <c r="Z1148" s="11" t="str">
        <f>IF(OR(履歴データ!$A$1148="",履歴データ!$A$1147=""),"",-40000*O1148)</f>
        <v/>
      </c>
      <c r="AA1148" s="11" t="str">
        <f>IF(OR(履歴データ!$A$1148="",履歴データ!$A$1147=""),"",-40000*P1148)</f>
        <v/>
      </c>
      <c r="AB1148" s="11" t="str">
        <f>IF(履歴データ!$A$1148="","",123.3)</f>
        <v/>
      </c>
      <c r="AC1148" t="str">
        <f>IF(履歴データ!$A$1148="","",SUM(T1148:AA1148))</f>
        <v/>
      </c>
      <c r="AD1148" s="29" t="str">
        <f>IF(履歴データ!$A$1148="","",AC1148/1000000)</f>
        <v/>
      </c>
      <c r="AE1148" s="29">
        <f>IF(履歴データ!$A$1148="",AE1147,AE1147+AC1148/1000000)</f>
        <v>70.844544225831427</v>
      </c>
      <c r="AF1148" s="12" t="str">
        <f>IF(OR(履歴データ!$A$1148="",AE1147=0),"",(AE1148-AE1147)/AE1147)</f>
        <v/>
      </c>
      <c r="AG1148" s="29">
        <f t="shared" si="47"/>
        <v>102.17217746631495</v>
      </c>
      <c r="AH1148" s="12" t="str">
        <f>IF(OR(履歴データ!$A$1148="",AG1148=0),"",AE1148/AG1148-1)</f>
        <v/>
      </c>
    </row>
    <row r="1149" spans="1:34">
      <c r="A1149" s="10" t="str">
        <f>IF(履歴データ!$A$1149="","",履歴データ!$A$1149)</f>
        <v/>
      </c>
      <c r="B1149" s="28" t="str">
        <f>IF(履歴データ!$A$1149="","",(履歴データ!$D$1149-(履歴データ!$B$1149+履歴データ!$F$1149)/2)*100)</f>
        <v/>
      </c>
      <c r="C1149" s="28" t="str">
        <f>IF(履歴データ!$A$1149="","",(履歴データ!$H$1149-(履歴データ!$G$1149+履歴データ!$J$1149)/2)*100)</f>
        <v/>
      </c>
      <c r="D1149" s="28" t="str">
        <f>IF(履歴データ!$A$1149="","",(履歴データ!$D$1149-履歴データ!$H$1149)*100)</f>
        <v/>
      </c>
      <c r="E1149" s="28" t="str">
        <f>IF(履歴データ!$A$1149="","",(履歴データ!$D$1149-履歴データ!$C$1149)*100)</f>
        <v/>
      </c>
      <c r="F1149" s="28" t="str">
        <f>IF(履歴データ!$A$1149="","",(履歴データ!$R$1149-履歴データ!$D$1149)*100)</f>
        <v/>
      </c>
      <c r="G1149" s="28" t="str">
        <f>IF(履歴データ!$A$1149="","",(履歴データ!$S$1149-履歴データ!$R$1149)*100)</f>
        <v/>
      </c>
      <c r="H1149" s="29" t="str">
        <f>IF(履歴データ!$A$1149="","",履歴データ!$O$1149)</f>
        <v/>
      </c>
      <c r="I1149" s="29" t="str">
        <f>IF(履歴データ!$A$1149="","",履歴データ!$Q$1149)</f>
        <v/>
      </c>
      <c r="J1149" s="29" t="str">
        <f>IF(履歴データ!$A$1149="","",履歴データ!$D$1149)</f>
        <v/>
      </c>
      <c r="K1149" s="28" t="str">
        <f>IF(OR(履歴データ!$A$1149="",履歴データ!$A$1148=""),"",B1149-B1148)</f>
        <v/>
      </c>
      <c r="L1149" s="28" t="str">
        <f>IF(OR(履歴データ!$A$1149="",履歴データ!$A$1148=""),"",C1149-C1148)</f>
        <v/>
      </c>
      <c r="M1149" s="28" t="str">
        <f>IF(OR(履歴データ!$A$1149="",履歴データ!$A$1148=""),"",D1149-D1148)</f>
        <v/>
      </c>
      <c r="N1149" s="28" t="str">
        <f>IF(OR(履歴データ!$A$1149="",履歴データ!$A$1148=""),"",E1149-E1148)</f>
        <v/>
      </c>
      <c r="O1149" s="28" t="str">
        <f>IF(OR(履歴データ!$A$1149="",履歴データ!$A$1148=""),"",F1149-F1148)</f>
        <v/>
      </c>
      <c r="P1149" s="28" t="str">
        <f>IF(OR(履歴データ!$A$1149="",履歴データ!$A$1148=""),"",G1149-G1148)</f>
        <v/>
      </c>
      <c r="Q1149" s="29" t="str">
        <f>IF(OR(履歴データ!$A$1149="",履歴データ!$A$1148=""),"",H1149-H1148)</f>
        <v/>
      </c>
      <c r="R1149" s="29" t="str">
        <f>IF(OR(履歴データ!$A$1149="",履歴データ!$A$1148=""),"",I1149-I1148)</f>
        <v/>
      </c>
      <c r="S1149" s="28" t="str">
        <f>IF(OR(履歴データ!$A$1149="",履歴データ!$A$1148=""),"",(J1149-J1148)*100)</f>
        <v/>
      </c>
      <c r="T1149" s="11" t="str">
        <f>IF(OR(履歴データ!$A$1149="",履歴データ!$A$1148=""),"",-80000*K1149)</f>
        <v/>
      </c>
      <c r="U1149" s="11" t="str">
        <f>IF(OR(履歴データ!$A$1149="",履歴データ!$A$1148=""),"",60000*L1149)</f>
        <v/>
      </c>
      <c r="V1149" s="11" t="str">
        <f>IF(OR(履歴データ!$A$1149="",履歴データ!$A$1148=""),"",-50000*M1149)</f>
        <v/>
      </c>
      <c r="W1149" s="11" t="str">
        <f>IF(OR(履歴データ!$A$1149="",履歴データ!$A$1148=""),"",-40000*N1149)</f>
        <v/>
      </c>
      <c r="X1149" s="11" t="str">
        <f>IF(OR(履歴データ!$A$1149="",履歴データ!$A$1148=""),"",120*1000000*(-Q1149/H1148))</f>
        <v/>
      </c>
      <c r="Y1149" s="11" t="str">
        <f>IF(OR(履歴データ!$A$1149="",履歴データ!$A$1148=""),"",40000*(-S1149)+(-506.3)*R1149*1000)</f>
        <v/>
      </c>
      <c r="Z1149" s="11" t="str">
        <f>IF(OR(履歴データ!$A$1149="",履歴データ!$A$1148=""),"",-40000*O1149)</f>
        <v/>
      </c>
      <c r="AA1149" s="11" t="str">
        <f>IF(OR(履歴データ!$A$1149="",履歴データ!$A$1148=""),"",-40000*P1149)</f>
        <v/>
      </c>
      <c r="AB1149" s="11" t="str">
        <f>IF(履歴データ!$A$1149="","",123.3)</f>
        <v/>
      </c>
      <c r="AC1149" t="str">
        <f>IF(履歴データ!$A$1149="","",SUM(T1149:AA1149))</f>
        <v/>
      </c>
      <c r="AD1149" s="29" t="str">
        <f>IF(履歴データ!$A$1149="","",AC1149/1000000)</f>
        <v/>
      </c>
      <c r="AE1149" s="29">
        <f>IF(履歴データ!$A$1149="",AE1148,AE1148+AC1149/1000000)</f>
        <v>70.844544225831427</v>
      </c>
      <c r="AF1149" s="12" t="str">
        <f>IF(OR(履歴データ!$A$1149="",AE1148=0),"",(AE1149-AE1148)/AE1148)</f>
        <v/>
      </c>
      <c r="AG1149" s="29">
        <f t="shared" si="47"/>
        <v>102.17217746631495</v>
      </c>
      <c r="AH1149" s="12" t="str">
        <f>IF(OR(履歴データ!$A$1149="",AG1149=0),"",AE1149/AG1149-1)</f>
        <v/>
      </c>
    </row>
    <row r="1150" spans="1:34">
      <c r="A1150" s="10" t="str">
        <f>IF(履歴データ!$A$1150="","",履歴データ!$A$1150)</f>
        <v/>
      </c>
      <c r="B1150" s="28" t="str">
        <f>IF(履歴データ!$A$1150="","",(履歴データ!$D$1150-(履歴データ!$B$1150+履歴データ!$F$1150)/2)*100)</f>
        <v/>
      </c>
      <c r="C1150" s="28" t="str">
        <f>IF(履歴データ!$A$1150="","",(履歴データ!$H$1150-(履歴データ!$G$1150+履歴データ!$J$1150)/2)*100)</f>
        <v/>
      </c>
      <c r="D1150" s="28" t="str">
        <f>IF(履歴データ!$A$1150="","",(履歴データ!$D$1150-履歴データ!$H$1150)*100)</f>
        <v/>
      </c>
      <c r="E1150" s="28" t="str">
        <f>IF(履歴データ!$A$1150="","",(履歴データ!$D$1150-履歴データ!$C$1150)*100)</f>
        <v/>
      </c>
      <c r="F1150" s="28" t="str">
        <f>IF(履歴データ!$A$1150="","",(履歴データ!$R$1150-履歴データ!$D$1150)*100)</f>
        <v/>
      </c>
      <c r="G1150" s="28" t="str">
        <f>IF(履歴データ!$A$1150="","",(履歴データ!$S$1150-履歴データ!$R$1150)*100)</f>
        <v/>
      </c>
      <c r="H1150" s="29" t="str">
        <f>IF(履歴データ!$A$1150="","",履歴データ!$O$1150)</f>
        <v/>
      </c>
      <c r="I1150" s="29" t="str">
        <f>IF(履歴データ!$A$1150="","",履歴データ!$Q$1150)</f>
        <v/>
      </c>
      <c r="J1150" s="29" t="str">
        <f>IF(履歴データ!$A$1150="","",履歴データ!$D$1150)</f>
        <v/>
      </c>
      <c r="K1150" s="28" t="str">
        <f>IF(OR(履歴データ!$A$1150="",履歴データ!$A$1149=""),"",B1150-B1149)</f>
        <v/>
      </c>
      <c r="L1150" s="28" t="str">
        <f>IF(OR(履歴データ!$A$1150="",履歴データ!$A$1149=""),"",C1150-C1149)</f>
        <v/>
      </c>
      <c r="M1150" s="28" t="str">
        <f>IF(OR(履歴データ!$A$1150="",履歴データ!$A$1149=""),"",D1150-D1149)</f>
        <v/>
      </c>
      <c r="N1150" s="28" t="str">
        <f>IF(OR(履歴データ!$A$1150="",履歴データ!$A$1149=""),"",E1150-E1149)</f>
        <v/>
      </c>
      <c r="O1150" s="28" t="str">
        <f>IF(OR(履歴データ!$A$1150="",履歴データ!$A$1149=""),"",F1150-F1149)</f>
        <v/>
      </c>
      <c r="P1150" s="28" t="str">
        <f>IF(OR(履歴データ!$A$1150="",履歴データ!$A$1149=""),"",G1150-G1149)</f>
        <v/>
      </c>
      <c r="Q1150" s="29" t="str">
        <f>IF(OR(履歴データ!$A$1150="",履歴データ!$A$1149=""),"",H1150-H1149)</f>
        <v/>
      </c>
      <c r="R1150" s="29" t="str">
        <f>IF(OR(履歴データ!$A$1150="",履歴データ!$A$1149=""),"",I1150-I1149)</f>
        <v/>
      </c>
      <c r="S1150" s="28" t="str">
        <f>IF(OR(履歴データ!$A$1150="",履歴データ!$A$1149=""),"",(J1150-J1149)*100)</f>
        <v/>
      </c>
      <c r="T1150" s="11" t="str">
        <f>IF(OR(履歴データ!$A$1150="",履歴データ!$A$1149=""),"",-80000*K1150)</f>
        <v/>
      </c>
      <c r="U1150" s="11" t="str">
        <f>IF(OR(履歴データ!$A$1150="",履歴データ!$A$1149=""),"",60000*L1150)</f>
        <v/>
      </c>
      <c r="V1150" s="11" t="str">
        <f>IF(OR(履歴データ!$A$1150="",履歴データ!$A$1149=""),"",-50000*M1150)</f>
        <v/>
      </c>
      <c r="W1150" s="11" t="str">
        <f>IF(OR(履歴データ!$A$1150="",履歴データ!$A$1149=""),"",-40000*N1150)</f>
        <v/>
      </c>
      <c r="X1150" s="11" t="str">
        <f>IF(OR(履歴データ!$A$1150="",履歴データ!$A$1149=""),"",120*1000000*(-Q1150/H1149))</f>
        <v/>
      </c>
      <c r="Y1150" s="11" t="str">
        <f>IF(OR(履歴データ!$A$1150="",履歴データ!$A$1149=""),"",40000*(-S1150)+(-506.3)*R1150*1000)</f>
        <v/>
      </c>
      <c r="Z1150" s="11" t="str">
        <f>IF(OR(履歴データ!$A$1150="",履歴データ!$A$1149=""),"",-40000*O1150)</f>
        <v/>
      </c>
      <c r="AA1150" s="11" t="str">
        <f>IF(OR(履歴データ!$A$1150="",履歴データ!$A$1149=""),"",-40000*P1150)</f>
        <v/>
      </c>
      <c r="AB1150" s="11" t="str">
        <f>IF(履歴データ!$A$1150="","",123.3)</f>
        <v/>
      </c>
      <c r="AC1150" t="str">
        <f>IF(履歴データ!$A$1150="","",SUM(T1150:AA1150))</f>
        <v/>
      </c>
      <c r="AD1150" s="29" t="str">
        <f>IF(履歴データ!$A$1150="","",AC1150/1000000)</f>
        <v/>
      </c>
      <c r="AE1150" s="29">
        <f>IF(履歴データ!$A$1150="",AE1149,AE1149+AC1150/1000000)</f>
        <v>70.844544225831427</v>
      </c>
      <c r="AF1150" s="12" t="str">
        <f>IF(OR(履歴データ!$A$1150="",AE1149=0),"",(AE1150-AE1149)/AE1149)</f>
        <v/>
      </c>
      <c r="AG1150" s="29">
        <f t="shared" si="47"/>
        <v>102.17217746631495</v>
      </c>
      <c r="AH1150" s="12" t="str">
        <f>IF(OR(履歴データ!$A$1150="",AG1150=0),"",AE1150/AG1150-1)</f>
        <v/>
      </c>
    </row>
    <row r="1151" spans="1:34">
      <c r="A1151" s="10" t="str">
        <f>IF(履歴データ!$A$1151="","",履歴データ!$A$1151)</f>
        <v/>
      </c>
      <c r="B1151" s="28" t="str">
        <f>IF(履歴データ!$A$1151="","",(履歴データ!$D$1151-(履歴データ!$B$1151+履歴データ!$F$1151)/2)*100)</f>
        <v/>
      </c>
      <c r="C1151" s="28" t="str">
        <f>IF(履歴データ!$A$1151="","",(履歴データ!$H$1151-(履歴データ!$G$1151+履歴データ!$J$1151)/2)*100)</f>
        <v/>
      </c>
      <c r="D1151" s="28" t="str">
        <f>IF(履歴データ!$A$1151="","",(履歴データ!$D$1151-履歴データ!$H$1151)*100)</f>
        <v/>
      </c>
      <c r="E1151" s="28" t="str">
        <f>IF(履歴データ!$A$1151="","",(履歴データ!$D$1151-履歴データ!$C$1151)*100)</f>
        <v/>
      </c>
      <c r="F1151" s="28" t="str">
        <f>IF(履歴データ!$A$1151="","",(履歴データ!$R$1151-履歴データ!$D$1151)*100)</f>
        <v/>
      </c>
      <c r="G1151" s="28" t="str">
        <f>IF(履歴データ!$A$1151="","",(履歴データ!$S$1151-履歴データ!$R$1151)*100)</f>
        <v/>
      </c>
      <c r="H1151" s="29" t="str">
        <f>IF(履歴データ!$A$1151="","",履歴データ!$O$1151)</f>
        <v/>
      </c>
      <c r="I1151" s="29" t="str">
        <f>IF(履歴データ!$A$1151="","",履歴データ!$Q$1151)</f>
        <v/>
      </c>
      <c r="J1151" s="29" t="str">
        <f>IF(履歴データ!$A$1151="","",履歴データ!$D$1151)</f>
        <v/>
      </c>
      <c r="K1151" s="28" t="str">
        <f>IF(OR(履歴データ!$A$1151="",履歴データ!$A$1150=""),"",B1151-B1150)</f>
        <v/>
      </c>
      <c r="L1151" s="28" t="str">
        <f>IF(OR(履歴データ!$A$1151="",履歴データ!$A$1150=""),"",C1151-C1150)</f>
        <v/>
      </c>
      <c r="M1151" s="28" t="str">
        <f>IF(OR(履歴データ!$A$1151="",履歴データ!$A$1150=""),"",D1151-D1150)</f>
        <v/>
      </c>
      <c r="N1151" s="28" t="str">
        <f>IF(OR(履歴データ!$A$1151="",履歴データ!$A$1150=""),"",E1151-E1150)</f>
        <v/>
      </c>
      <c r="O1151" s="28" t="str">
        <f>IF(OR(履歴データ!$A$1151="",履歴データ!$A$1150=""),"",F1151-F1150)</f>
        <v/>
      </c>
      <c r="P1151" s="28" t="str">
        <f>IF(OR(履歴データ!$A$1151="",履歴データ!$A$1150=""),"",G1151-G1150)</f>
        <v/>
      </c>
      <c r="Q1151" s="29" t="str">
        <f>IF(OR(履歴データ!$A$1151="",履歴データ!$A$1150=""),"",H1151-H1150)</f>
        <v/>
      </c>
      <c r="R1151" s="29" t="str">
        <f>IF(OR(履歴データ!$A$1151="",履歴データ!$A$1150=""),"",I1151-I1150)</f>
        <v/>
      </c>
      <c r="S1151" s="28" t="str">
        <f>IF(OR(履歴データ!$A$1151="",履歴データ!$A$1150=""),"",(J1151-J1150)*100)</f>
        <v/>
      </c>
      <c r="T1151" s="11" t="str">
        <f>IF(OR(履歴データ!$A$1151="",履歴データ!$A$1150=""),"",-80000*K1151)</f>
        <v/>
      </c>
      <c r="U1151" s="11" t="str">
        <f>IF(OR(履歴データ!$A$1151="",履歴データ!$A$1150=""),"",60000*L1151)</f>
        <v/>
      </c>
      <c r="V1151" s="11" t="str">
        <f>IF(OR(履歴データ!$A$1151="",履歴データ!$A$1150=""),"",-50000*M1151)</f>
        <v/>
      </c>
      <c r="W1151" s="11" t="str">
        <f>IF(OR(履歴データ!$A$1151="",履歴データ!$A$1150=""),"",-40000*N1151)</f>
        <v/>
      </c>
      <c r="X1151" s="11" t="str">
        <f>IF(OR(履歴データ!$A$1151="",履歴データ!$A$1150=""),"",120*1000000*(-Q1151/H1150))</f>
        <v/>
      </c>
      <c r="Y1151" s="11" t="str">
        <f>IF(OR(履歴データ!$A$1151="",履歴データ!$A$1150=""),"",40000*(-S1151)+(-506.3)*R1151*1000)</f>
        <v/>
      </c>
      <c r="Z1151" s="11" t="str">
        <f>IF(OR(履歴データ!$A$1151="",履歴データ!$A$1150=""),"",-40000*O1151)</f>
        <v/>
      </c>
      <c r="AA1151" s="11" t="str">
        <f>IF(OR(履歴データ!$A$1151="",履歴データ!$A$1150=""),"",-40000*P1151)</f>
        <v/>
      </c>
      <c r="AB1151" s="11" t="str">
        <f>IF(履歴データ!$A$1151="","",123.3)</f>
        <v/>
      </c>
      <c r="AC1151" t="str">
        <f>IF(履歴データ!$A$1151="","",SUM(T1151:AA1151))</f>
        <v/>
      </c>
      <c r="AD1151" s="29" t="str">
        <f>IF(履歴データ!$A$1151="","",AC1151/1000000)</f>
        <v/>
      </c>
      <c r="AE1151" s="29">
        <f>IF(履歴データ!$A$1151="",AE1150,AE1150+AC1151/1000000)</f>
        <v>70.844544225831427</v>
      </c>
      <c r="AF1151" s="12" t="str">
        <f>IF(OR(履歴データ!$A$1151="",AE1150=0),"",(AE1151-AE1150)/AE1150)</f>
        <v/>
      </c>
      <c r="AG1151" s="29">
        <f t="shared" si="47"/>
        <v>102.17217746631495</v>
      </c>
      <c r="AH1151" s="12" t="str">
        <f>IF(OR(履歴データ!$A$1151="",AG1151=0),"",AE1151/AG1151-1)</f>
        <v/>
      </c>
    </row>
    <row r="1152" spans="1:34">
      <c r="A1152" s="10" t="str">
        <f>IF(履歴データ!$A$1152="","",履歴データ!$A$1152)</f>
        <v/>
      </c>
      <c r="B1152" s="28" t="str">
        <f>IF(履歴データ!$A$1152="","",(履歴データ!$D$1152-(履歴データ!$B$1152+履歴データ!$F$1152)/2)*100)</f>
        <v/>
      </c>
      <c r="C1152" s="28" t="str">
        <f>IF(履歴データ!$A$1152="","",(履歴データ!$H$1152-(履歴データ!$G$1152+履歴データ!$J$1152)/2)*100)</f>
        <v/>
      </c>
      <c r="D1152" s="28" t="str">
        <f>IF(履歴データ!$A$1152="","",(履歴データ!$D$1152-履歴データ!$H$1152)*100)</f>
        <v/>
      </c>
      <c r="E1152" s="28" t="str">
        <f>IF(履歴データ!$A$1152="","",(履歴データ!$D$1152-履歴データ!$C$1152)*100)</f>
        <v/>
      </c>
      <c r="F1152" s="28" t="str">
        <f>IF(履歴データ!$A$1152="","",(履歴データ!$R$1152-履歴データ!$D$1152)*100)</f>
        <v/>
      </c>
      <c r="G1152" s="28" t="str">
        <f>IF(履歴データ!$A$1152="","",(履歴データ!$S$1152-履歴データ!$R$1152)*100)</f>
        <v/>
      </c>
      <c r="H1152" s="29" t="str">
        <f>IF(履歴データ!$A$1152="","",履歴データ!$O$1152)</f>
        <v/>
      </c>
      <c r="I1152" s="29" t="str">
        <f>IF(履歴データ!$A$1152="","",履歴データ!$Q$1152)</f>
        <v/>
      </c>
      <c r="J1152" s="29" t="str">
        <f>IF(履歴データ!$A$1152="","",履歴データ!$D$1152)</f>
        <v/>
      </c>
      <c r="K1152" s="28" t="str">
        <f>IF(OR(履歴データ!$A$1152="",履歴データ!$A$1151=""),"",B1152-B1151)</f>
        <v/>
      </c>
      <c r="L1152" s="28" t="str">
        <f>IF(OR(履歴データ!$A$1152="",履歴データ!$A$1151=""),"",C1152-C1151)</f>
        <v/>
      </c>
      <c r="M1152" s="28" t="str">
        <f>IF(OR(履歴データ!$A$1152="",履歴データ!$A$1151=""),"",D1152-D1151)</f>
        <v/>
      </c>
      <c r="N1152" s="28" t="str">
        <f>IF(OR(履歴データ!$A$1152="",履歴データ!$A$1151=""),"",E1152-E1151)</f>
        <v/>
      </c>
      <c r="O1152" s="28" t="str">
        <f>IF(OR(履歴データ!$A$1152="",履歴データ!$A$1151=""),"",F1152-F1151)</f>
        <v/>
      </c>
      <c r="P1152" s="28" t="str">
        <f>IF(OR(履歴データ!$A$1152="",履歴データ!$A$1151=""),"",G1152-G1151)</f>
        <v/>
      </c>
      <c r="Q1152" s="29" t="str">
        <f>IF(OR(履歴データ!$A$1152="",履歴データ!$A$1151=""),"",H1152-H1151)</f>
        <v/>
      </c>
      <c r="R1152" s="29" t="str">
        <f>IF(OR(履歴データ!$A$1152="",履歴データ!$A$1151=""),"",I1152-I1151)</f>
        <v/>
      </c>
      <c r="S1152" s="28" t="str">
        <f>IF(OR(履歴データ!$A$1152="",履歴データ!$A$1151=""),"",(J1152-J1151)*100)</f>
        <v/>
      </c>
      <c r="T1152" s="11" t="str">
        <f>IF(OR(履歴データ!$A$1152="",履歴データ!$A$1151=""),"",-80000*K1152)</f>
        <v/>
      </c>
      <c r="U1152" s="11" t="str">
        <f>IF(OR(履歴データ!$A$1152="",履歴データ!$A$1151=""),"",60000*L1152)</f>
        <v/>
      </c>
      <c r="V1152" s="11" t="str">
        <f>IF(OR(履歴データ!$A$1152="",履歴データ!$A$1151=""),"",-50000*M1152)</f>
        <v/>
      </c>
      <c r="W1152" s="11" t="str">
        <f>IF(OR(履歴データ!$A$1152="",履歴データ!$A$1151=""),"",-40000*N1152)</f>
        <v/>
      </c>
      <c r="X1152" s="11" t="str">
        <f>IF(OR(履歴データ!$A$1152="",履歴データ!$A$1151=""),"",120*1000000*(-Q1152/H1151))</f>
        <v/>
      </c>
      <c r="Y1152" s="11" t="str">
        <f>IF(OR(履歴データ!$A$1152="",履歴データ!$A$1151=""),"",40000*(-S1152)+(-506.3)*R1152*1000)</f>
        <v/>
      </c>
      <c r="Z1152" s="11" t="str">
        <f>IF(OR(履歴データ!$A$1152="",履歴データ!$A$1151=""),"",-40000*O1152)</f>
        <v/>
      </c>
      <c r="AA1152" s="11" t="str">
        <f>IF(OR(履歴データ!$A$1152="",履歴データ!$A$1151=""),"",-40000*P1152)</f>
        <v/>
      </c>
      <c r="AB1152" s="11" t="str">
        <f>IF(履歴データ!$A$1152="","",123.3)</f>
        <v/>
      </c>
      <c r="AC1152" t="str">
        <f>IF(履歴データ!$A$1152="","",SUM(T1152:AA1152))</f>
        <v/>
      </c>
      <c r="AD1152" s="29" t="str">
        <f>IF(履歴データ!$A$1152="","",AC1152/1000000)</f>
        <v/>
      </c>
      <c r="AE1152" s="29">
        <f>IF(履歴データ!$A$1152="",AE1151,AE1151+AC1152/1000000)</f>
        <v>70.844544225831427</v>
      </c>
      <c r="AF1152" s="12" t="str">
        <f>IF(OR(履歴データ!$A$1152="",AE1151=0),"",(AE1152-AE1151)/AE1151)</f>
        <v/>
      </c>
      <c r="AG1152" s="29">
        <f t="shared" si="47"/>
        <v>102.17217746631495</v>
      </c>
      <c r="AH1152" s="12" t="str">
        <f>IF(OR(履歴データ!$A$1152="",AG1152=0),"",AE1152/AG1152-1)</f>
        <v/>
      </c>
    </row>
    <row r="1153" spans="1:34">
      <c r="A1153" s="10" t="str">
        <f>IF(履歴データ!$A$1153="","",履歴データ!$A$1153)</f>
        <v/>
      </c>
      <c r="B1153" s="28" t="str">
        <f>IF(履歴データ!$A$1153="","",(履歴データ!$D$1153-(履歴データ!$B$1153+履歴データ!$F$1153)/2)*100)</f>
        <v/>
      </c>
      <c r="C1153" s="28" t="str">
        <f>IF(履歴データ!$A$1153="","",(履歴データ!$H$1153-(履歴データ!$G$1153+履歴データ!$J$1153)/2)*100)</f>
        <v/>
      </c>
      <c r="D1153" s="28" t="str">
        <f>IF(履歴データ!$A$1153="","",(履歴データ!$D$1153-履歴データ!$H$1153)*100)</f>
        <v/>
      </c>
      <c r="E1153" s="28" t="str">
        <f>IF(履歴データ!$A$1153="","",(履歴データ!$D$1153-履歴データ!$C$1153)*100)</f>
        <v/>
      </c>
      <c r="F1153" s="28" t="str">
        <f>IF(履歴データ!$A$1153="","",(履歴データ!$R$1153-履歴データ!$D$1153)*100)</f>
        <v/>
      </c>
      <c r="G1153" s="28" t="str">
        <f>IF(履歴データ!$A$1153="","",(履歴データ!$S$1153-履歴データ!$R$1153)*100)</f>
        <v/>
      </c>
      <c r="H1153" s="29" t="str">
        <f>IF(履歴データ!$A$1153="","",履歴データ!$O$1153)</f>
        <v/>
      </c>
      <c r="I1153" s="29" t="str">
        <f>IF(履歴データ!$A$1153="","",履歴データ!$Q$1153)</f>
        <v/>
      </c>
      <c r="J1153" s="29" t="str">
        <f>IF(履歴データ!$A$1153="","",履歴データ!$D$1153)</f>
        <v/>
      </c>
      <c r="K1153" s="28" t="str">
        <f>IF(OR(履歴データ!$A$1153="",履歴データ!$A$1152=""),"",B1153-B1152)</f>
        <v/>
      </c>
      <c r="L1153" s="28" t="str">
        <f>IF(OR(履歴データ!$A$1153="",履歴データ!$A$1152=""),"",C1153-C1152)</f>
        <v/>
      </c>
      <c r="M1153" s="28" t="str">
        <f>IF(OR(履歴データ!$A$1153="",履歴データ!$A$1152=""),"",D1153-D1152)</f>
        <v/>
      </c>
      <c r="N1153" s="28" t="str">
        <f>IF(OR(履歴データ!$A$1153="",履歴データ!$A$1152=""),"",E1153-E1152)</f>
        <v/>
      </c>
      <c r="O1153" s="28" t="str">
        <f>IF(OR(履歴データ!$A$1153="",履歴データ!$A$1152=""),"",F1153-F1152)</f>
        <v/>
      </c>
      <c r="P1153" s="28" t="str">
        <f>IF(OR(履歴データ!$A$1153="",履歴データ!$A$1152=""),"",G1153-G1152)</f>
        <v/>
      </c>
      <c r="Q1153" s="29" t="str">
        <f>IF(OR(履歴データ!$A$1153="",履歴データ!$A$1152=""),"",H1153-H1152)</f>
        <v/>
      </c>
      <c r="R1153" s="29" t="str">
        <f>IF(OR(履歴データ!$A$1153="",履歴データ!$A$1152=""),"",I1153-I1152)</f>
        <v/>
      </c>
      <c r="S1153" s="28" t="str">
        <f>IF(OR(履歴データ!$A$1153="",履歴データ!$A$1152=""),"",(J1153-J1152)*100)</f>
        <v/>
      </c>
      <c r="T1153" s="11" t="str">
        <f>IF(OR(履歴データ!$A$1153="",履歴データ!$A$1152=""),"",-80000*K1153)</f>
        <v/>
      </c>
      <c r="U1153" s="11" t="str">
        <f>IF(OR(履歴データ!$A$1153="",履歴データ!$A$1152=""),"",60000*L1153)</f>
        <v/>
      </c>
      <c r="V1153" s="11" t="str">
        <f>IF(OR(履歴データ!$A$1153="",履歴データ!$A$1152=""),"",-50000*M1153)</f>
        <v/>
      </c>
      <c r="W1153" s="11" t="str">
        <f>IF(OR(履歴データ!$A$1153="",履歴データ!$A$1152=""),"",-40000*N1153)</f>
        <v/>
      </c>
      <c r="X1153" s="11" t="str">
        <f>IF(OR(履歴データ!$A$1153="",履歴データ!$A$1152=""),"",120*1000000*(-Q1153/H1152))</f>
        <v/>
      </c>
      <c r="Y1153" s="11" t="str">
        <f>IF(OR(履歴データ!$A$1153="",履歴データ!$A$1152=""),"",40000*(-S1153)+(-506.3)*R1153*1000)</f>
        <v/>
      </c>
      <c r="Z1153" s="11" t="str">
        <f>IF(OR(履歴データ!$A$1153="",履歴データ!$A$1152=""),"",-40000*O1153)</f>
        <v/>
      </c>
      <c r="AA1153" s="11" t="str">
        <f>IF(OR(履歴データ!$A$1153="",履歴データ!$A$1152=""),"",-40000*P1153)</f>
        <v/>
      </c>
      <c r="AB1153" s="11" t="str">
        <f>IF(履歴データ!$A$1153="","",123.3)</f>
        <v/>
      </c>
      <c r="AC1153" t="str">
        <f>IF(履歴データ!$A$1153="","",SUM(T1153:AA1153))</f>
        <v/>
      </c>
      <c r="AD1153" s="29" t="str">
        <f>IF(履歴データ!$A$1153="","",AC1153/1000000)</f>
        <v/>
      </c>
      <c r="AE1153" s="29">
        <f>IF(履歴データ!$A$1153="",AE1152,AE1152+AC1153/1000000)</f>
        <v>70.844544225831427</v>
      </c>
      <c r="AF1153" s="12" t="str">
        <f>IF(OR(履歴データ!$A$1153="",AE1152=0),"",(AE1153-AE1152)/AE1152)</f>
        <v/>
      </c>
      <c r="AG1153" s="29">
        <f t="shared" si="47"/>
        <v>102.17217746631495</v>
      </c>
      <c r="AH1153" s="12" t="str">
        <f>IF(OR(履歴データ!$A$1153="",AG1153=0),"",AE1153/AG1153-1)</f>
        <v/>
      </c>
    </row>
    <row r="1154" spans="1:34">
      <c r="A1154" s="10" t="str">
        <f>IF(履歴データ!$A$1154="","",履歴データ!$A$1154)</f>
        <v/>
      </c>
      <c r="B1154" s="28" t="str">
        <f>IF(履歴データ!$A$1154="","",(履歴データ!$D$1154-(履歴データ!$B$1154+履歴データ!$F$1154)/2)*100)</f>
        <v/>
      </c>
      <c r="C1154" s="28" t="str">
        <f>IF(履歴データ!$A$1154="","",(履歴データ!$H$1154-(履歴データ!$G$1154+履歴データ!$J$1154)/2)*100)</f>
        <v/>
      </c>
      <c r="D1154" s="28" t="str">
        <f>IF(履歴データ!$A$1154="","",(履歴データ!$D$1154-履歴データ!$H$1154)*100)</f>
        <v/>
      </c>
      <c r="E1154" s="28" t="str">
        <f>IF(履歴データ!$A$1154="","",(履歴データ!$D$1154-履歴データ!$C$1154)*100)</f>
        <v/>
      </c>
      <c r="F1154" s="28" t="str">
        <f>IF(履歴データ!$A$1154="","",(履歴データ!$R$1154-履歴データ!$D$1154)*100)</f>
        <v/>
      </c>
      <c r="G1154" s="28" t="str">
        <f>IF(履歴データ!$A$1154="","",(履歴データ!$S$1154-履歴データ!$R$1154)*100)</f>
        <v/>
      </c>
      <c r="H1154" s="29" t="str">
        <f>IF(履歴データ!$A$1154="","",履歴データ!$O$1154)</f>
        <v/>
      </c>
      <c r="I1154" s="29" t="str">
        <f>IF(履歴データ!$A$1154="","",履歴データ!$Q$1154)</f>
        <v/>
      </c>
      <c r="J1154" s="29" t="str">
        <f>IF(履歴データ!$A$1154="","",履歴データ!$D$1154)</f>
        <v/>
      </c>
      <c r="K1154" s="28" t="str">
        <f>IF(OR(履歴データ!$A$1154="",履歴データ!$A$1153=""),"",B1154-B1153)</f>
        <v/>
      </c>
      <c r="L1154" s="28" t="str">
        <f>IF(OR(履歴データ!$A$1154="",履歴データ!$A$1153=""),"",C1154-C1153)</f>
        <v/>
      </c>
      <c r="M1154" s="28" t="str">
        <f>IF(OR(履歴データ!$A$1154="",履歴データ!$A$1153=""),"",D1154-D1153)</f>
        <v/>
      </c>
      <c r="N1154" s="28" t="str">
        <f>IF(OR(履歴データ!$A$1154="",履歴データ!$A$1153=""),"",E1154-E1153)</f>
        <v/>
      </c>
      <c r="O1154" s="28" t="str">
        <f>IF(OR(履歴データ!$A$1154="",履歴データ!$A$1153=""),"",F1154-F1153)</f>
        <v/>
      </c>
      <c r="P1154" s="28" t="str">
        <f>IF(OR(履歴データ!$A$1154="",履歴データ!$A$1153=""),"",G1154-G1153)</f>
        <v/>
      </c>
      <c r="Q1154" s="29" t="str">
        <f>IF(OR(履歴データ!$A$1154="",履歴データ!$A$1153=""),"",H1154-H1153)</f>
        <v/>
      </c>
      <c r="R1154" s="29" t="str">
        <f>IF(OR(履歴データ!$A$1154="",履歴データ!$A$1153=""),"",I1154-I1153)</f>
        <v/>
      </c>
      <c r="S1154" s="28" t="str">
        <f>IF(OR(履歴データ!$A$1154="",履歴データ!$A$1153=""),"",(J1154-J1153)*100)</f>
        <v/>
      </c>
      <c r="T1154" s="11" t="str">
        <f>IF(OR(履歴データ!$A$1154="",履歴データ!$A$1153=""),"",-80000*K1154)</f>
        <v/>
      </c>
      <c r="U1154" s="11" t="str">
        <f>IF(OR(履歴データ!$A$1154="",履歴データ!$A$1153=""),"",60000*L1154)</f>
        <v/>
      </c>
      <c r="V1154" s="11" t="str">
        <f>IF(OR(履歴データ!$A$1154="",履歴データ!$A$1153=""),"",-50000*M1154)</f>
        <v/>
      </c>
      <c r="W1154" s="11" t="str">
        <f>IF(OR(履歴データ!$A$1154="",履歴データ!$A$1153=""),"",-40000*N1154)</f>
        <v/>
      </c>
      <c r="X1154" s="11" t="str">
        <f>IF(OR(履歴データ!$A$1154="",履歴データ!$A$1153=""),"",120*1000000*(-Q1154/H1153))</f>
        <v/>
      </c>
      <c r="Y1154" s="11" t="str">
        <f>IF(OR(履歴データ!$A$1154="",履歴データ!$A$1153=""),"",40000*(-S1154)+(-506.3)*R1154*1000)</f>
        <v/>
      </c>
      <c r="Z1154" s="11" t="str">
        <f>IF(OR(履歴データ!$A$1154="",履歴データ!$A$1153=""),"",-40000*O1154)</f>
        <v/>
      </c>
      <c r="AA1154" s="11" t="str">
        <f>IF(OR(履歴データ!$A$1154="",履歴データ!$A$1153=""),"",-40000*P1154)</f>
        <v/>
      </c>
      <c r="AB1154" s="11" t="str">
        <f>IF(履歴データ!$A$1154="","",123.3)</f>
        <v/>
      </c>
      <c r="AC1154" t="str">
        <f>IF(履歴データ!$A$1154="","",SUM(T1154:AA1154))</f>
        <v/>
      </c>
      <c r="AD1154" s="29" t="str">
        <f>IF(履歴データ!$A$1154="","",AC1154/1000000)</f>
        <v/>
      </c>
      <c r="AE1154" s="29">
        <f>IF(履歴データ!$A$1154="",AE1153,AE1153+AC1154/1000000)</f>
        <v>70.844544225831427</v>
      </c>
      <c r="AF1154" s="12" t="str">
        <f>IF(OR(履歴データ!$A$1154="",AE1153=0),"",(AE1154-AE1153)/AE1153)</f>
        <v/>
      </c>
      <c r="AG1154" s="29">
        <f t="shared" si="47"/>
        <v>102.17217746631495</v>
      </c>
      <c r="AH1154" s="12" t="str">
        <f>IF(OR(履歴データ!$A$1154="",AG1154=0),"",AE1154/AG1154-1)</f>
        <v/>
      </c>
    </row>
    <row r="1155" spans="1:34">
      <c r="A1155" s="10" t="str">
        <f>IF(履歴データ!$A$1155="","",履歴データ!$A$1155)</f>
        <v/>
      </c>
      <c r="B1155" s="28" t="str">
        <f>IF(履歴データ!$A$1155="","",(履歴データ!$D$1155-(履歴データ!$B$1155+履歴データ!$F$1155)/2)*100)</f>
        <v/>
      </c>
      <c r="C1155" s="28" t="str">
        <f>IF(履歴データ!$A$1155="","",(履歴データ!$H$1155-(履歴データ!$G$1155+履歴データ!$J$1155)/2)*100)</f>
        <v/>
      </c>
      <c r="D1155" s="28" t="str">
        <f>IF(履歴データ!$A$1155="","",(履歴データ!$D$1155-履歴データ!$H$1155)*100)</f>
        <v/>
      </c>
      <c r="E1155" s="28" t="str">
        <f>IF(履歴データ!$A$1155="","",(履歴データ!$D$1155-履歴データ!$C$1155)*100)</f>
        <v/>
      </c>
      <c r="F1155" s="28" t="str">
        <f>IF(履歴データ!$A$1155="","",(履歴データ!$R$1155-履歴データ!$D$1155)*100)</f>
        <v/>
      </c>
      <c r="G1155" s="28" t="str">
        <f>IF(履歴データ!$A$1155="","",(履歴データ!$S$1155-履歴データ!$R$1155)*100)</f>
        <v/>
      </c>
      <c r="H1155" s="29" t="str">
        <f>IF(履歴データ!$A$1155="","",履歴データ!$O$1155)</f>
        <v/>
      </c>
      <c r="I1155" s="29" t="str">
        <f>IF(履歴データ!$A$1155="","",履歴データ!$Q$1155)</f>
        <v/>
      </c>
      <c r="J1155" s="29" t="str">
        <f>IF(履歴データ!$A$1155="","",履歴データ!$D$1155)</f>
        <v/>
      </c>
      <c r="K1155" s="28" t="str">
        <f>IF(OR(履歴データ!$A$1155="",履歴データ!$A$1154=""),"",B1155-B1154)</f>
        <v/>
      </c>
      <c r="L1155" s="28" t="str">
        <f>IF(OR(履歴データ!$A$1155="",履歴データ!$A$1154=""),"",C1155-C1154)</f>
        <v/>
      </c>
      <c r="M1155" s="28" t="str">
        <f>IF(OR(履歴データ!$A$1155="",履歴データ!$A$1154=""),"",D1155-D1154)</f>
        <v/>
      </c>
      <c r="N1155" s="28" t="str">
        <f>IF(OR(履歴データ!$A$1155="",履歴データ!$A$1154=""),"",E1155-E1154)</f>
        <v/>
      </c>
      <c r="O1155" s="28" t="str">
        <f>IF(OR(履歴データ!$A$1155="",履歴データ!$A$1154=""),"",F1155-F1154)</f>
        <v/>
      </c>
      <c r="P1155" s="28" t="str">
        <f>IF(OR(履歴データ!$A$1155="",履歴データ!$A$1154=""),"",G1155-G1154)</f>
        <v/>
      </c>
      <c r="Q1155" s="29" t="str">
        <f>IF(OR(履歴データ!$A$1155="",履歴データ!$A$1154=""),"",H1155-H1154)</f>
        <v/>
      </c>
      <c r="R1155" s="29" t="str">
        <f>IF(OR(履歴データ!$A$1155="",履歴データ!$A$1154=""),"",I1155-I1154)</f>
        <v/>
      </c>
      <c r="S1155" s="28" t="str">
        <f>IF(OR(履歴データ!$A$1155="",履歴データ!$A$1154=""),"",(J1155-J1154)*100)</f>
        <v/>
      </c>
      <c r="T1155" s="11" t="str">
        <f>IF(OR(履歴データ!$A$1155="",履歴データ!$A$1154=""),"",-80000*K1155)</f>
        <v/>
      </c>
      <c r="U1155" s="11" t="str">
        <f>IF(OR(履歴データ!$A$1155="",履歴データ!$A$1154=""),"",60000*L1155)</f>
        <v/>
      </c>
      <c r="V1155" s="11" t="str">
        <f>IF(OR(履歴データ!$A$1155="",履歴データ!$A$1154=""),"",-50000*M1155)</f>
        <v/>
      </c>
      <c r="W1155" s="11" t="str">
        <f>IF(OR(履歴データ!$A$1155="",履歴データ!$A$1154=""),"",-40000*N1155)</f>
        <v/>
      </c>
      <c r="X1155" s="11" t="str">
        <f>IF(OR(履歴データ!$A$1155="",履歴データ!$A$1154=""),"",120*1000000*(-Q1155/H1154))</f>
        <v/>
      </c>
      <c r="Y1155" s="11" t="str">
        <f>IF(OR(履歴データ!$A$1155="",履歴データ!$A$1154=""),"",40000*(-S1155)+(-506.3)*R1155*1000)</f>
        <v/>
      </c>
      <c r="Z1155" s="11" t="str">
        <f>IF(OR(履歴データ!$A$1155="",履歴データ!$A$1154=""),"",-40000*O1155)</f>
        <v/>
      </c>
      <c r="AA1155" s="11" t="str">
        <f>IF(OR(履歴データ!$A$1155="",履歴データ!$A$1154=""),"",-40000*P1155)</f>
        <v/>
      </c>
      <c r="AB1155" s="11" t="str">
        <f>IF(履歴データ!$A$1155="","",123.3)</f>
        <v/>
      </c>
      <c r="AC1155" t="str">
        <f>IF(履歴データ!$A$1155="","",SUM(T1155:AA1155))</f>
        <v/>
      </c>
      <c r="AD1155" s="29" t="str">
        <f>IF(履歴データ!$A$1155="","",AC1155/1000000)</f>
        <v/>
      </c>
      <c r="AE1155" s="29">
        <f>IF(履歴データ!$A$1155="",AE1154,AE1154+AC1155/1000000)</f>
        <v>70.844544225831427</v>
      </c>
      <c r="AF1155" s="12" t="str">
        <f>IF(OR(履歴データ!$A$1155="",AE1154=0),"",(AE1155-AE1154)/AE1154)</f>
        <v/>
      </c>
      <c r="AG1155" s="29">
        <f t="shared" ref="AG1155:AG1218" si="48">MAX(AG1154,AE1155)</f>
        <v>102.17217746631495</v>
      </c>
      <c r="AH1155" s="12" t="str">
        <f>IF(OR(履歴データ!$A$1155="",AG1155=0),"",AE1155/AG1155-1)</f>
        <v/>
      </c>
    </row>
    <row r="1156" spans="1:34">
      <c r="A1156" s="10" t="str">
        <f>IF(履歴データ!$A$1156="","",履歴データ!$A$1156)</f>
        <v/>
      </c>
      <c r="B1156" s="28" t="str">
        <f>IF(履歴データ!$A$1156="","",(履歴データ!$D$1156-(履歴データ!$B$1156+履歴データ!$F$1156)/2)*100)</f>
        <v/>
      </c>
      <c r="C1156" s="28" t="str">
        <f>IF(履歴データ!$A$1156="","",(履歴データ!$H$1156-(履歴データ!$G$1156+履歴データ!$J$1156)/2)*100)</f>
        <v/>
      </c>
      <c r="D1156" s="28" t="str">
        <f>IF(履歴データ!$A$1156="","",(履歴データ!$D$1156-履歴データ!$H$1156)*100)</f>
        <v/>
      </c>
      <c r="E1156" s="28" t="str">
        <f>IF(履歴データ!$A$1156="","",(履歴データ!$D$1156-履歴データ!$C$1156)*100)</f>
        <v/>
      </c>
      <c r="F1156" s="28" t="str">
        <f>IF(履歴データ!$A$1156="","",(履歴データ!$R$1156-履歴データ!$D$1156)*100)</f>
        <v/>
      </c>
      <c r="G1156" s="28" t="str">
        <f>IF(履歴データ!$A$1156="","",(履歴データ!$S$1156-履歴データ!$R$1156)*100)</f>
        <v/>
      </c>
      <c r="H1156" s="29" t="str">
        <f>IF(履歴データ!$A$1156="","",履歴データ!$O$1156)</f>
        <v/>
      </c>
      <c r="I1156" s="29" t="str">
        <f>IF(履歴データ!$A$1156="","",履歴データ!$Q$1156)</f>
        <v/>
      </c>
      <c r="J1156" s="29" t="str">
        <f>IF(履歴データ!$A$1156="","",履歴データ!$D$1156)</f>
        <v/>
      </c>
      <c r="K1156" s="28" t="str">
        <f>IF(OR(履歴データ!$A$1156="",履歴データ!$A$1155=""),"",B1156-B1155)</f>
        <v/>
      </c>
      <c r="L1156" s="28" t="str">
        <f>IF(OR(履歴データ!$A$1156="",履歴データ!$A$1155=""),"",C1156-C1155)</f>
        <v/>
      </c>
      <c r="M1156" s="28" t="str">
        <f>IF(OR(履歴データ!$A$1156="",履歴データ!$A$1155=""),"",D1156-D1155)</f>
        <v/>
      </c>
      <c r="N1156" s="28" t="str">
        <f>IF(OR(履歴データ!$A$1156="",履歴データ!$A$1155=""),"",E1156-E1155)</f>
        <v/>
      </c>
      <c r="O1156" s="28" t="str">
        <f>IF(OR(履歴データ!$A$1156="",履歴データ!$A$1155=""),"",F1156-F1155)</f>
        <v/>
      </c>
      <c r="P1156" s="28" t="str">
        <f>IF(OR(履歴データ!$A$1156="",履歴データ!$A$1155=""),"",G1156-G1155)</f>
        <v/>
      </c>
      <c r="Q1156" s="29" t="str">
        <f>IF(OR(履歴データ!$A$1156="",履歴データ!$A$1155=""),"",H1156-H1155)</f>
        <v/>
      </c>
      <c r="R1156" s="29" t="str">
        <f>IF(OR(履歴データ!$A$1156="",履歴データ!$A$1155=""),"",I1156-I1155)</f>
        <v/>
      </c>
      <c r="S1156" s="28" t="str">
        <f>IF(OR(履歴データ!$A$1156="",履歴データ!$A$1155=""),"",(J1156-J1155)*100)</f>
        <v/>
      </c>
      <c r="T1156" s="11" t="str">
        <f>IF(OR(履歴データ!$A$1156="",履歴データ!$A$1155=""),"",-80000*K1156)</f>
        <v/>
      </c>
      <c r="U1156" s="11" t="str">
        <f>IF(OR(履歴データ!$A$1156="",履歴データ!$A$1155=""),"",60000*L1156)</f>
        <v/>
      </c>
      <c r="V1156" s="11" t="str">
        <f>IF(OR(履歴データ!$A$1156="",履歴データ!$A$1155=""),"",-50000*M1156)</f>
        <v/>
      </c>
      <c r="W1156" s="11" t="str">
        <f>IF(OR(履歴データ!$A$1156="",履歴データ!$A$1155=""),"",-40000*N1156)</f>
        <v/>
      </c>
      <c r="X1156" s="11" t="str">
        <f>IF(OR(履歴データ!$A$1156="",履歴データ!$A$1155=""),"",120*1000000*(-Q1156/H1155))</f>
        <v/>
      </c>
      <c r="Y1156" s="11" t="str">
        <f>IF(OR(履歴データ!$A$1156="",履歴データ!$A$1155=""),"",40000*(-S1156)+(-506.3)*R1156*1000)</f>
        <v/>
      </c>
      <c r="Z1156" s="11" t="str">
        <f>IF(OR(履歴データ!$A$1156="",履歴データ!$A$1155=""),"",-40000*O1156)</f>
        <v/>
      </c>
      <c r="AA1156" s="11" t="str">
        <f>IF(OR(履歴データ!$A$1156="",履歴データ!$A$1155=""),"",-40000*P1156)</f>
        <v/>
      </c>
      <c r="AB1156" s="11" t="str">
        <f>IF(履歴データ!$A$1156="","",123.3)</f>
        <v/>
      </c>
      <c r="AC1156" t="str">
        <f>IF(履歴データ!$A$1156="","",SUM(T1156:AA1156))</f>
        <v/>
      </c>
      <c r="AD1156" s="29" t="str">
        <f>IF(履歴データ!$A$1156="","",AC1156/1000000)</f>
        <v/>
      </c>
      <c r="AE1156" s="29">
        <f>IF(履歴データ!$A$1156="",AE1155,AE1155+AC1156/1000000)</f>
        <v>70.844544225831427</v>
      </c>
      <c r="AF1156" s="12" t="str">
        <f>IF(OR(履歴データ!$A$1156="",AE1155=0),"",(AE1156-AE1155)/AE1155)</f>
        <v/>
      </c>
      <c r="AG1156" s="29">
        <f t="shared" si="48"/>
        <v>102.17217746631495</v>
      </c>
      <c r="AH1156" s="12" t="str">
        <f>IF(OR(履歴データ!$A$1156="",AG1156=0),"",AE1156/AG1156-1)</f>
        <v/>
      </c>
    </row>
    <row r="1157" spans="1:34">
      <c r="A1157" s="10" t="str">
        <f>IF(履歴データ!$A$1157="","",履歴データ!$A$1157)</f>
        <v/>
      </c>
      <c r="B1157" s="28" t="str">
        <f>IF(履歴データ!$A$1157="","",(履歴データ!$D$1157-(履歴データ!$B$1157+履歴データ!$F$1157)/2)*100)</f>
        <v/>
      </c>
      <c r="C1157" s="28" t="str">
        <f>IF(履歴データ!$A$1157="","",(履歴データ!$H$1157-(履歴データ!$G$1157+履歴データ!$J$1157)/2)*100)</f>
        <v/>
      </c>
      <c r="D1157" s="28" t="str">
        <f>IF(履歴データ!$A$1157="","",(履歴データ!$D$1157-履歴データ!$H$1157)*100)</f>
        <v/>
      </c>
      <c r="E1157" s="28" t="str">
        <f>IF(履歴データ!$A$1157="","",(履歴データ!$D$1157-履歴データ!$C$1157)*100)</f>
        <v/>
      </c>
      <c r="F1157" s="28" t="str">
        <f>IF(履歴データ!$A$1157="","",(履歴データ!$R$1157-履歴データ!$D$1157)*100)</f>
        <v/>
      </c>
      <c r="G1157" s="28" t="str">
        <f>IF(履歴データ!$A$1157="","",(履歴データ!$S$1157-履歴データ!$R$1157)*100)</f>
        <v/>
      </c>
      <c r="H1157" s="29" t="str">
        <f>IF(履歴データ!$A$1157="","",履歴データ!$O$1157)</f>
        <v/>
      </c>
      <c r="I1157" s="29" t="str">
        <f>IF(履歴データ!$A$1157="","",履歴データ!$Q$1157)</f>
        <v/>
      </c>
      <c r="J1157" s="29" t="str">
        <f>IF(履歴データ!$A$1157="","",履歴データ!$D$1157)</f>
        <v/>
      </c>
      <c r="K1157" s="28" t="str">
        <f>IF(OR(履歴データ!$A$1157="",履歴データ!$A$1156=""),"",B1157-B1156)</f>
        <v/>
      </c>
      <c r="L1157" s="28" t="str">
        <f>IF(OR(履歴データ!$A$1157="",履歴データ!$A$1156=""),"",C1157-C1156)</f>
        <v/>
      </c>
      <c r="M1157" s="28" t="str">
        <f>IF(OR(履歴データ!$A$1157="",履歴データ!$A$1156=""),"",D1157-D1156)</f>
        <v/>
      </c>
      <c r="N1157" s="28" t="str">
        <f>IF(OR(履歴データ!$A$1157="",履歴データ!$A$1156=""),"",E1157-E1156)</f>
        <v/>
      </c>
      <c r="O1157" s="28" t="str">
        <f>IF(OR(履歴データ!$A$1157="",履歴データ!$A$1156=""),"",F1157-F1156)</f>
        <v/>
      </c>
      <c r="P1157" s="28" t="str">
        <f>IF(OR(履歴データ!$A$1157="",履歴データ!$A$1156=""),"",G1157-G1156)</f>
        <v/>
      </c>
      <c r="Q1157" s="29" t="str">
        <f>IF(OR(履歴データ!$A$1157="",履歴データ!$A$1156=""),"",H1157-H1156)</f>
        <v/>
      </c>
      <c r="R1157" s="29" t="str">
        <f>IF(OR(履歴データ!$A$1157="",履歴データ!$A$1156=""),"",I1157-I1156)</f>
        <v/>
      </c>
      <c r="S1157" s="28" t="str">
        <f>IF(OR(履歴データ!$A$1157="",履歴データ!$A$1156=""),"",(J1157-J1156)*100)</f>
        <v/>
      </c>
      <c r="T1157" s="11" t="str">
        <f>IF(OR(履歴データ!$A$1157="",履歴データ!$A$1156=""),"",-80000*K1157)</f>
        <v/>
      </c>
      <c r="U1157" s="11" t="str">
        <f>IF(OR(履歴データ!$A$1157="",履歴データ!$A$1156=""),"",60000*L1157)</f>
        <v/>
      </c>
      <c r="V1157" s="11" t="str">
        <f>IF(OR(履歴データ!$A$1157="",履歴データ!$A$1156=""),"",-50000*M1157)</f>
        <v/>
      </c>
      <c r="W1157" s="11" t="str">
        <f>IF(OR(履歴データ!$A$1157="",履歴データ!$A$1156=""),"",-40000*N1157)</f>
        <v/>
      </c>
      <c r="X1157" s="11" t="str">
        <f>IF(OR(履歴データ!$A$1157="",履歴データ!$A$1156=""),"",120*1000000*(-Q1157/H1156))</f>
        <v/>
      </c>
      <c r="Y1157" s="11" t="str">
        <f>IF(OR(履歴データ!$A$1157="",履歴データ!$A$1156=""),"",40000*(-S1157)+(-506.3)*R1157*1000)</f>
        <v/>
      </c>
      <c r="Z1157" s="11" t="str">
        <f>IF(OR(履歴データ!$A$1157="",履歴データ!$A$1156=""),"",-40000*O1157)</f>
        <v/>
      </c>
      <c r="AA1157" s="11" t="str">
        <f>IF(OR(履歴データ!$A$1157="",履歴データ!$A$1156=""),"",-40000*P1157)</f>
        <v/>
      </c>
      <c r="AB1157" s="11" t="str">
        <f>IF(履歴データ!$A$1157="","",123.3)</f>
        <v/>
      </c>
      <c r="AC1157" t="str">
        <f>IF(履歴データ!$A$1157="","",SUM(T1157:AA1157))</f>
        <v/>
      </c>
      <c r="AD1157" s="29" t="str">
        <f>IF(履歴データ!$A$1157="","",AC1157/1000000)</f>
        <v/>
      </c>
      <c r="AE1157" s="29">
        <f>IF(履歴データ!$A$1157="",AE1156,AE1156+AC1157/1000000)</f>
        <v>70.844544225831427</v>
      </c>
      <c r="AF1157" s="12" t="str">
        <f>IF(OR(履歴データ!$A$1157="",AE1156=0),"",(AE1157-AE1156)/AE1156)</f>
        <v/>
      </c>
      <c r="AG1157" s="29">
        <f t="shared" si="48"/>
        <v>102.17217746631495</v>
      </c>
      <c r="AH1157" s="12" t="str">
        <f>IF(OR(履歴データ!$A$1157="",AG1157=0),"",AE1157/AG1157-1)</f>
        <v/>
      </c>
    </row>
    <row r="1158" spans="1:34">
      <c r="A1158" s="10" t="str">
        <f>IF(履歴データ!$A$1158="","",履歴データ!$A$1158)</f>
        <v/>
      </c>
      <c r="B1158" s="28" t="str">
        <f>IF(履歴データ!$A$1158="","",(履歴データ!$D$1158-(履歴データ!$B$1158+履歴データ!$F$1158)/2)*100)</f>
        <v/>
      </c>
      <c r="C1158" s="28" t="str">
        <f>IF(履歴データ!$A$1158="","",(履歴データ!$H$1158-(履歴データ!$G$1158+履歴データ!$J$1158)/2)*100)</f>
        <v/>
      </c>
      <c r="D1158" s="28" t="str">
        <f>IF(履歴データ!$A$1158="","",(履歴データ!$D$1158-履歴データ!$H$1158)*100)</f>
        <v/>
      </c>
      <c r="E1158" s="28" t="str">
        <f>IF(履歴データ!$A$1158="","",(履歴データ!$D$1158-履歴データ!$C$1158)*100)</f>
        <v/>
      </c>
      <c r="F1158" s="28" t="str">
        <f>IF(履歴データ!$A$1158="","",(履歴データ!$R$1158-履歴データ!$D$1158)*100)</f>
        <v/>
      </c>
      <c r="G1158" s="28" t="str">
        <f>IF(履歴データ!$A$1158="","",(履歴データ!$S$1158-履歴データ!$R$1158)*100)</f>
        <v/>
      </c>
      <c r="H1158" s="29" t="str">
        <f>IF(履歴データ!$A$1158="","",履歴データ!$O$1158)</f>
        <v/>
      </c>
      <c r="I1158" s="29" t="str">
        <f>IF(履歴データ!$A$1158="","",履歴データ!$Q$1158)</f>
        <v/>
      </c>
      <c r="J1158" s="29" t="str">
        <f>IF(履歴データ!$A$1158="","",履歴データ!$D$1158)</f>
        <v/>
      </c>
      <c r="K1158" s="28" t="str">
        <f>IF(OR(履歴データ!$A$1158="",履歴データ!$A$1157=""),"",B1158-B1157)</f>
        <v/>
      </c>
      <c r="L1158" s="28" t="str">
        <f>IF(OR(履歴データ!$A$1158="",履歴データ!$A$1157=""),"",C1158-C1157)</f>
        <v/>
      </c>
      <c r="M1158" s="28" t="str">
        <f>IF(OR(履歴データ!$A$1158="",履歴データ!$A$1157=""),"",D1158-D1157)</f>
        <v/>
      </c>
      <c r="N1158" s="28" t="str">
        <f>IF(OR(履歴データ!$A$1158="",履歴データ!$A$1157=""),"",E1158-E1157)</f>
        <v/>
      </c>
      <c r="O1158" s="28" t="str">
        <f>IF(OR(履歴データ!$A$1158="",履歴データ!$A$1157=""),"",F1158-F1157)</f>
        <v/>
      </c>
      <c r="P1158" s="28" t="str">
        <f>IF(OR(履歴データ!$A$1158="",履歴データ!$A$1157=""),"",G1158-G1157)</f>
        <v/>
      </c>
      <c r="Q1158" s="29" t="str">
        <f>IF(OR(履歴データ!$A$1158="",履歴データ!$A$1157=""),"",H1158-H1157)</f>
        <v/>
      </c>
      <c r="R1158" s="29" t="str">
        <f>IF(OR(履歴データ!$A$1158="",履歴データ!$A$1157=""),"",I1158-I1157)</f>
        <v/>
      </c>
      <c r="S1158" s="28" t="str">
        <f>IF(OR(履歴データ!$A$1158="",履歴データ!$A$1157=""),"",(J1158-J1157)*100)</f>
        <v/>
      </c>
      <c r="T1158" s="11" t="str">
        <f>IF(OR(履歴データ!$A$1158="",履歴データ!$A$1157=""),"",-80000*K1158)</f>
        <v/>
      </c>
      <c r="U1158" s="11" t="str">
        <f>IF(OR(履歴データ!$A$1158="",履歴データ!$A$1157=""),"",60000*L1158)</f>
        <v/>
      </c>
      <c r="V1158" s="11" t="str">
        <f>IF(OR(履歴データ!$A$1158="",履歴データ!$A$1157=""),"",-50000*M1158)</f>
        <v/>
      </c>
      <c r="W1158" s="11" t="str">
        <f>IF(OR(履歴データ!$A$1158="",履歴データ!$A$1157=""),"",-40000*N1158)</f>
        <v/>
      </c>
      <c r="X1158" s="11" t="str">
        <f>IF(OR(履歴データ!$A$1158="",履歴データ!$A$1157=""),"",120*1000000*(-Q1158/H1157))</f>
        <v/>
      </c>
      <c r="Y1158" s="11" t="str">
        <f>IF(OR(履歴データ!$A$1158="",履歴データ!$A$1157=""),"",40000*(-S1158)+(-506.3)*R1158*1000)</f>
        <v/>
      </c>
      <c r="Z1158" s="11" t="str">
        <f>IF(OR(履歴データ!$A$1158="",履歴データ!$A$1157=""),"",-40000*O1158)</f>
        <v/>
      </c>
      <c r="AA1158" s="11" t="str">
        <f>IF(OR(履歴データ!$A$1158="",履歴データ!$A$1157=""),"",-40000*P1158)</f>
        <v/>
      </c>
      <c r="AB1158" s="11" t="str">
        <f>IF(履歴データ!$A$1158="","",123.3)</f>
        <v/>
      </c>
      <c r="AC1158" t="str">
        <f>IF(履歴データ!$A$1158="","",SUM(T1158:AA1158))</f>
        <v/>
      </c>
      <c r="AD1158" s="29" t="str">
        <f>IF(履歴データ!$A$1158="","",AC1158/1000000)</f>
        <v/>
      </c>
      <c r="AE1158" s="29">
        <f>IF(履歴データ!$A$1158="",AE1157,AE1157+AC1158/1000000)</f>
        <v>70.844544225831427</v>
      </c>
      <c r="AF1158" s="12" t="str">
        <f>IF(OR(履歴データ!$A$1158="",AE1157=0),"",(AE1158-AE1157)/AE1157)</f>
        <v/>
      </c>
      <c r="AG1158" s="29">
        <f t="shared" si="48"/>
        <v>102.17217746631495</v>
      </c>
      <c r="AH1158" s="12" t="str">
        <f>IF(OR(履歴データ!$A$1158="",AG1158=0),"",AE1158/AG1158-1)</f>
        <v/>
      </c>
    </row>
    <row r="1159" spans="1:34">
      <c r="A1159" s="10" t="str">
        <f>IF(履歴データ!$A$1159="","",履歴データ!$A$1159)</f>
        <v/>
      </c>
      <c r="B1159" s="28" t="str">
        <f>IF(履歴データ!$A$1159="","",(履歴データ!$D$1159-(履歴データ!$B$1159+履歴データ!$F$1159)/2)*100)</f>
        <v/>
      </c>
      <c r="C1159" s="28" t="str">
        <f>IF(履歴データ!$A$1159="","",(履歴データ!$H$1159-(履歴データ!$G$1159+履歴データ!$J$1159)/2)*100)</f>
        <v/>
      </c>
      <c r="D1159" s="28" t="str">
        <f>IF(履歴データ!$A$1159="","",(履歴データ!$D$1159-履歴データ!$H$1159)*100)</f>
        <v/>
      </c>
      <c r="E1159" s="28" t="str">
        <f>IF(履歴データ!$A$1159="","",(履歴データ!$D$1159-履歴データ!$C$1159)*100)</f>
        <v/>
      </c>
      <c r="F1159" s="28" t="str">
        <f>IF(履歴データ!$A$1159="","",(履歴データ!$R$1159-履歴データ!$D$1159)*100)</f>
        <v/>
      </c>
      <c r="G1159" s="28" t="str">
        <f>IF(履歴データ!$A$1159="","",(履歴データ!$S$1159-履歴データ!$R$1159)*100)</f>
        <v/>
      </c>
      <c r="H1159" s="29" t="str">
        <f>IF(履歴データ!$A$1159="","",履歴データ!$O$1159)</f>
        <v/>
      </c>
      <c r="I1159" s="29" t="str">
        <f>IF(履歴データ!$A$1159="","",履歴データ!$Q$1159)</f>
        <v/>
      </c>
      <c r="J1159" s="29" t="str">
        <f>IF(履歴データ!$A$1159="","",履歴データ!$D$1159)</f>
        <v/>
      </c>
      <c r="K1159" s="28" t="str">
        <f>IF(OR(履歴データ!$A$1159="",履歴データ!$A$1158=""),"",B1159-B1158)</f>
        <v/>
      </c>
      <c r="L1159" s="28" t="str">
        <f>IF(OR(履歴データ!$A$1159="",履歴データ!$A$1158=""),"",C1159-C1158)</f>
        <v/>
      </c>
      <c r="M1159" s="28" t="str">
        <f>IF(OR(履歴データ!$A$1159="",履歴データ!$A$1158=""),"",D1159-D1158)</f>
        <v/>
      </c>
      <c r="N1159" s="28" t="str">
        <f>IF(OR(履歴データ!$A$1159="",履歴データ!$A$1158=""),"",E1159-E1158)</f>
        <v/>
      </c>
      <c r="O1159" s="28" t="str">
        <f>IF(OR(履歴データ!$A$1159="",履歴データ!$A$1158=""),"",F1159-F1158)</f>
        <v/>
      </c>
      <c r="P1159" s="28" t="str">
        <f>IF(OR(履歴データ!$A$1159="",履歴データ!$A$1158=""),"",G1159-G1158)</f>
        <v/>
      </c>
      <c r="Q1159" s="29" t="str">
        <f>IF(OR(履歴データ!$A$1159="",履歴データ!$A$1158=""),"",H1159-H1158)</f>
        <v/>
      </c>
      <c r="R1159" s="29" t="str">
        <f>IF(OR(履歴データ!$A$1159="",履歴データ!$A$1158=""),"",I1159-I1158)</f>
        <v/>
      </c>
      <c r="S1159" s="28" t="str">
        <f>IF(OR(履歴データ!$A$1159="",履歴データ!$A$1158=""),"",(J1159-J1158)*100)</f>
        <v/>
      </c>
      <c r="T1159" s="11" t="str">
        <f>IF(OR(履歴データ!$A$1159="",履歴データ!$A$1158=""),"",-80000*K1159)</f>
        <v/>
      </c>
      <c r="U1159" s="11" t="str">
        <f>IF(OR(履歴データ!$A$1159="",履歴データ!$A$1158=""),"",60000*L1159)</f>
        <v/>
      </c>
      <c r="V1159" s="11" t="str">
        <f>IF(OR(履歴データ!$A$1159="",履歴データ!$A$1158=""),"",-50000*M1159)</f>
        <v/>
      </c>
      <c r="W1159" s="11" t="str">
        <f>IF(OR(履歴データ!$A$1159="",履歴データ!$A$1158=""),"",-40000*N1159)</f>
        <v/>
      </c>
      <c r="X1159" s="11" t="str">
        <f>IF(OR(履歴データ!$A$1159="",履歴データ!$A$1158=""),"",120*1000000*(-Q1159/H1158))</f>
        <v/>
      </c>
      <c r="Y1159" s="11" t="str">
        <f>IF(OR(履歴データ!$A$1159="",履歴データ!$A$1158=""),"",40000*(-S1159)+(-506.3)*R1159*1000)</f>
        <v/>
      </c>
      <c r="Z1159" s="11" t="str">
        <f>IF(OR(履歴データ!$A$1159="",履歴データ!$A$1158=""),"",-40000*O1159)</f>
        <v/>
      </c>
      <c r="AA1159" s="11" t="str">
        <f>IF(OR(履歴データ!$A$1159="",履歴データ!$A$1158=""),"",-40000*P1159)</f>
        <v/>
      </c>
      <c r="AB1159" s="11" t="str">
        <f>IF(履歴データ!$A$1159="","",123.3)</f>
        <v/>
      </c>
      <c r="AC1159" t="str">
        <f>IF(履歴データ!$A$1159="","",SUM(T1159:AA1159))</f>
        <v/>
      </c>
      <c r="AD1159" s="29" t="str">
        <f>IF(履歴データ!$A$1159="","",AC1159/1000000)</f>
        <v/>
      </c>
      <c r="AE1159" s="29">
        <f>IF(履歴データ!$A$1159="",AE1158,AE1158+AC1159/1000000)</f>
        <v>70.844544225831427</v>
      </c>
      <c r="AF1159" s="12" t="str">
        <f>IF(OR(履歴データ!$A$1159="",AE1158=0),"",(AE1159-AE1158)/AE1158)</f>
        <v/>
      </c>
      <c r="AG1159" s="29">
        <f t="shared" si="48"/>
        <v>102.17217746631495</v>
      </c>
      <c r="AH1159" s="12" t="str">
        <f>IF(OR(履歴データ!$A$1159="",AG1159=0),"",AE1159/AG1159-1)</f>
        <v/>
      </c>
    </row>
    <row r="1160" spans="1:34">
      <c r="A1160" s="10" t="str">
        <f>IF(履歴データ!$A$1160="","",履歴データ!$A$1160)</f>
        <v/>
      </c>
      <c r="B1160" s="28" t="str">
        <f>IF(履歴データ!$A$1160="","",(履歴データ!$D$1160-(履歴データ!$B$1160+履歴データ!$F$1160)/2)*100)</f>
        <v/>
      </c>
      <c r="C1160" s="28" t="str">
        <f>IF(履歴データ!$A$1160="","",(履歴データ!$H$1160-(履歴データ!$G$1160+履歴データ!$J$1160)/2)*100)</f>
        <v/>
      </c>
      <c r="D1160" s="28" t="str">
        <f>IF(履歴データ!$A$1160="","",(履歴データ!$D$1160-履歴データ!$H$1160)*100)</f>
        <v/>
      </c>
      <c r="E1160" s="28" t="str">
        <f>IF(履歴データ!$A$1160="","",(履歴データ!$D$1160-履歴データ!$C$1160)*100)</f>
        <v/>
      </c>
      <c r="F1160" s="28" t="str">
        <f>IF(履歴データ!$A$1160="","",(履歴データ!$R$1160-履歴データ!$D$1160)*100)</f>
        <v/>
      </c>
      <c r="G1160" s="28" t="str">
        <f>IF(履歴データ!$A$1160="","",(履歴データ!$S$1160-履歴データ!$R$1160)*100)</f>
        <v/>
      </c>
      <c r="H1160" s="29" t="str">
        <f>IF(履歴データ!$A$1160="","",履歴データ!$O$1160)</f>
        <v/>
      </c>
      <c r="I1160" s="29" t="str">
        <f>IF(履歴データ!$A$1160="","",履歴データ!$Q$1160)</f>
        <v/>
      </c>
      <c r="J1160" s="29" t="str">
        <f>IF(履歴データ!$A$1160="","",履歴データ!$D$1160)</f>
        <v/>
      </c>
      <c r="K1160" s="28" t="str">
        <f>IF(OR(履歴データ!$A$1160="",履歴データ!$A$1159=""),"",B1160-B1159)</f>
        <v/>
      </c>
      <c r="L1160" s="28" t="str">
        <f>IF(OR(履歴データ!$A$1160="",履歴データ!$A$1159=""),"",C1160-C1159)</f>
        <v/>
      </c>
      <c r="M1160" s="28" t="str">
        <f>IF(OR(履歴データ!$A$1160="",履歴データ!$A$1159=""),"",D1160-D1159)</f>
        <v/>
      </c>
      <c r="N1160" s="28" t="str">
        <f>IF(OR(履歴データ!$A$1160="",履歴データ!$A$1159=""),"",E1160-E1159)</f>
        <v/>
      </c>
      <c r="O1160" s="28" t="str">
        <f>IF(OR(履歴データ!$A$1160="",履歴データ!$A$1159=""),"",F1160-F1159)</f>
        <v/>
      </c>
      <c r="P1160" s="28" t="str">
        <f>IF(OR(履歴データ!$A$1160="",履歴データ!$A$1159=""),"",G1160-G1159)</f>
        <v/>
      </c>
      <c r="Q1160" s="29" t="str">
        <f>IF(OR(履歴データ!$A$1160="",履歴データ!$A$1159=""),"",H1160-H1159)</f>
        <v/>
      </c>
      <c r="R1160" s="29" t="str">
        <f>IF(OR(履歴データ!$A$1160="",履歴データ!$A$1159=""),"",I1160-I1159)</f>
        <v/>
      </c>
      <c r="S1160" s="28" t="str">
        <f>IF(OR(履歴データ!$A$1160="",履歴データ!$A$1159=""),"",(J1160-J1159)*100)</f>
        <v/>
      </c>
      <c r="T1160" s="11" t="str">
        <f>IF(OR(履歴データ!$A$1160="",履歴データ!$A$1159=""),"",-80000*K1160)</f>
        <v/>
      </c>
      <c r="U1160" s="11" t="str">
        <f>IF(OR(履歴データ!$A$1160="",履歴データ!$A$1159=""),"",60000*L1160)</f>
        <v/>
      </c>
      <c r="V1160" s="11" t="str">
        <f>IF(OR(履歴データ!$A$1160="",履歴データ!$A$1159=""),"",-50000*M1160)</f>
        <v/>
      </c>
      <c r="W1160" s="11" t="str">
        <f>IF(OR(履歴データ!$A$1160="",履歴データ!$A$1159=""),"",-40000*N1160)</f>
        <v/>
      </c>
      <c r="X1160" s="11" t="str">
        <f>IF(OR(履歴データ!$A$1160="",履歴データ!$A$1159=""),"",120*1000000*(-Q1160/H1159))</f>
        <v/>
      </c>
      <c r="Y1160" s="11" t="str">
        <f>IF(OR(履歴データ!$A$1160="",履歴データ!$A$1159=""),"",40000*(-S1160)+(-506.3)*R1160*1000)</f>
        <v/>
      </c>
      <c r="Z1160" s="11" t="str">
        <f>IF(OR(履歴データ!$A$1160="",履歴データ!$A$1159=""),"",-40000*O1160)</f>
        <v/>
      </c>
      <c r="AA1160" s="11" t="str">
        <f>IF(OR(履歴データ!$A$1160="",履歴データ!$A$1159=""),"",-40000*P1160)</f>
        <v/>
      </c>
      <c r="AB1160" s="11" t="str">
        <f>IF(履歴データ!$A$1160="","",123.3)</f>
        <v/>
      </c>
      <c r="AC1160" t="str">
        <f>IF(履歴データ!$A$1160="","",SUM(T1160:AA1160))</f>
        <v/>
      </c>
      <c r="AD1160" s="29" t="str">
        <f>IF(履歴データ!$A$1160="","",AC1160/1000000)</f>
        <v/>
      </c>
      <c r="AE1160" s="29">
        <f>IF(履歴データ!$A$1160="",AE1159,AE1159+AC1160/1000000)</f>
        <v>70.844544225831427</v>
      </c>
      <c r="AF1160" s="12" t="str">
        <f>IF(OR(履歴データ!$A$1160="",AE1159=0),"",(AE1160-AE1159)/AE1159)</f>
        <v/>
      </c>
      <c r="AG1160" s="29">
        <f t="shared" si="48"/>
        <v>102.17217746631495</v>
      </c>
      <c r="AH1160" s="12" t="str">
        <f>IF(OR(履歴データ!$A$1160="",AG1160=0),"",AE1160/AG1160-1)</f>
        <v/>
      </c>
    </row>
    <row r="1161" spans="1:34">
      <c r="A1161" s="10" t="str">
        <f>IF(履歴データ!$A$1161="","",履歴データ!$A$1161)</f>
        <v/>
      </c>
      <c r="B1161" s="28" t="str">
        <f>IF(履歴データ!$A$1161="","",(履歴データ!$D$1161-(履歴データ!$B$1161+履歴データ!$F$1161)/2)*100)</f>
        <v/>
      </c>
      <c r="C1161" s="28" t="str">
        <f>IF(履歴データ!$A$1161="","",(履歴データ!$H$1161-(履歴データ!$G$1161+履歴データ!$J$1161)/2)*100)</f>
        <v/>
      </c>
      <c r="D1161" s="28" t="str">
        <f>IF(履歴データ!$A$1161="","",(履歴データ!$D$1161-履歴データ!$H$1161)*100)</f>
        <v/>
      </c>
      <c r="E1161" s="28" t="str">
        <f>IF(履歴データ!$A$1161="","",(履歴データ!$D$1161-履歴データ!$C$1161)*100)</f>
        <v/>
      </c>
      <c r="F1161" s="28" t="str">
        <f>IF(履歴データ!$A$1161="","",(履歴データ!$R$1161-履歴データ!$D$1161)*100)</f>
        <v/>
      </c>
      <c r="G1161" s="28" t="str">
        <f>IF(履歴データ!$A$1161="","",(履歴データ!$S$1161-履歴データ!$R$1161)*100)</f>
        <v/>
      </c>
      <c r="H1161" s="29" t="str">
        <f>IF(履歴データ!$A$1161="","",履歴データ!$O$1161)</f>
        <v/>
      </c>
      <c r="I1161" s="29" t="str">
        <f>IF(履歴データ!$A$1161="","",履歴データ!$Q$1161)</f>
        <v/>
      </c>
      <c r="J1161" s="29" t="str">
        <f>IF(履歴データ!$A$1161="","",履歴データ!$D$1161)</f>
        <v/>
      </c>
      <c r="K1161" s="28" t="str">
        <f>IF(OR(履歴データ!$A$1161="",履歴データ!$A$1160=""),"",B1161-B1160)</f>
        <v/>
      </c>
      <c r="L1161" s="28" t="str">
        <f>IF(OR(履歴データ!$A$1161="",履歴データ!$A$1160=""),"",C1161-C1160)</f>
        <v/>
      </c>
      <c r="M1161" s="28" t="str">
        <f>IF(OR(履歴データ!$A$1161="",履歴データ!$A$1160=""),"",D1161-D1160)</f>
        <v/>
      </c>
      <c r="N1161" s="28" t="str">
        <f>IF(OR(履歴データ!$A$1161="",履歴データ!$A$1160=""),"",E1161-E1160)</f>
        <v/>
      </c>
      <c r="O1161" s="28" t="str">
        <f>IF(OR(履歴データ!$A$1161="",履歴データ!$A$1160=""),"",F1161-F1160)</f>
        <v/>
      </c>
      <c r="P1161" s="28" t="str">
        <f>IF(OR(履歴データ!$A$1161="",履歴データ!$A$1160=""),"",G1161-G1160)</f>
        <v/>
      </c>
      <c r="Q1161" s="29" t="str">
        <f>IF(OR(履歴データ!$A$1161="",履歴データ!$A$1160=""),"",H1161-H1160)</f>
        <v/>
      </c>
      <c r="R1161" s="29" t="str">
        <f>IF(OR(履歴データ!$A$1161="",履歴データ!$A$1160=""),"",I1161-I1160)</f>
        <v/>
      </c>
      <c r="S1161" s="28" t="str">
        <f>IF(OR(履歴データ!$A$1161="",履歴データ!$A$1160=""),"",(J1161-J1160)*100)</f>
        <v/>
      </c>
      <c r="T1161" s="11" t="str">
        <f>IF(OR(履歴データ!$A$1161="",履歴データ!$A$1160=""),"",-80000*K1161)</f>
        <v/>
      </c>
      <c r="U1161" s="11" t="str">
        <f>IF(OR(履歴データ!$A$1161="",履歴データ!$A$1160=""),"",60000*L1161)</f>
        <v/>
      </c>
      <c r="V1161" s="11" t="str">
        <f>IF(OR(履歴データ!$A$1161="",履歴データ!$A$1160=""),"",-50000*M1161)</f>
        <v/>
      </c>
      <c r="W1161" s="11" t="str">
        <f>IF(OR(履歴データ!$A$1161="",履歴データ!$A$1160=""),"",-40000*N1161)</f>
        <v/>
      </c>
      <c r="X1161" s="11" t="str">
        <f>IF(OR(履歴データ!$A$1161="",履歴データ!$A$1160=""),"",120*1000000*(-Q1161/H1160))</f>
        <v/>
      </c>
      <c r="Y1161" s="11" t="str">
        <f>IF(OR(履歴データ!$A$1161="",履歴データ!$A$1160=""),"",40000*(-S1161)+(-506.3)*R1161*1000)</f>
        <v/>
      </c>
      <c r="Z1161" s="11" t="str">
        <f>IF(OR(履歴データ!$A$1161="",履歴データ!$A$1160=""),"",-40000*O1161)</f>
        <v/>
      </c>
      <c r="AA1161" s="11" t="str">
        <f>IF(OR(履歴データ!$A$1161="",履歴データ!$A$1160=""),"",-40000*P1161)</f>
        <v/>
      </c>
      <c r="AB1161" s="11" t="str">
        <f>IF(履歴データ!$A$1161="","",123.3)</f>
        <v/>
      </c>
      <c r="AC1161" t="str">
        <f>IF(履歴データ!$A$1161="","",SUM(T1161:AA1161))</f>
        <v/>
      </c>
      <c r="AD1161" s="29" t="str">
        <f>IF(履歴データ!$A$1161="","",AC1161/1000000)</f>
        <v/>
      </c>
      <c r="AE1161" s="29">
        <f>IF(履歴データ!$A$1161="",AE1160,AE1160+AC1161/1000000)</f>
        <v>70.844544225831427</v>
      </c>
      <c r="AF1161" s="12" t="str">
        <f>IF(OR(履歴データ!$A$1161="",AE1160=0),"",(AE1161-AE1160)/AE1160)</f>
        <v/>
      </c>
      <c r="AG1161" s="29">
        <f t="shared" si="48"/>
        <v>102.17217746631495</v>
      </c>
      <c r="AH1161" s="12" t="str">
        <f>IF(OR(履歴データ!$A$1161="",AG1161=0),"",AE1161/AG1161-1)</f>
        <v/>
      </c>
    </row>
    <row r="1162" spans="1:34">
      <c r="A1162" s="10" t="str">
        <f>IF(履歴データ!$A$1162="","",履歴データ!$A$1162)</f>
        <v/>
      </c>
      <c r="B1162" s="28" t="str">
        <f>IF(履歴データ!$A$1162="","",(履歴データ!$D$1162-(履歴データ!$B$1162+履歴データ!$F$1162)/2)*100)</f>
        <v/>
      </c>
      <c r="C1162" s="28" t="str">
        <f>IF(履歴データ!$A$1162="","",(履歴データ!$H$1162-(履歴データ!$G$1162+履歴データ!$J$1162)/2)*100)</f>
        <v/>
      </c>
      <c r="D1162" s="28" t="str">
        <f>IF(履歴データ!$A$1162="","",(履歴データ!$D$1162-履歴データ!$H$1162)*100)</f>
        <v/>
      </c>
      <c r="E1162" s="28" t="str">
        <f>IF(履歴データ!$A$1162="","",(履歴データ!$D$1162-履歴データ!$C$1162)*100)</f>
        <v/>
      </c>
      <c r="F1162" s="28" t="str">
        <f>IF(履歴データ!$A$1162="","",(履歴データ!$R$1162-履歴データ!$D$1162)*100)</f>
        <v/>
      </c>
      <c r="G1162" s="28" t="str">
        <f>IF(履歴データ!$A$1162="","",(履歴データ!$S$1162-履歴データ!$R$1162)*100)</f>
        <v/>
      </c>
      <c r="H1162" s="29" t="str">
        <f>IF(履歴データ!$A$1162="","",履歴データ!$O$1162)</f>
        <v/>
      </c>
      <c r="I1162" s="29" t="str">
        <f>IF(履歴データ!$A$1162="","",履歴データ!$Q$1162)</f>
        <v/>
      </c>
      <c r="J1162" s="29" t="str">
        <f>IF(履歴データ!$A$1162="","",履歴データ!$D$1162)</f>
        <v/>
      </c>
      <c r="K1162" s="28" t="str">
        <f>IF(OR(履歴データ!$A$1162="",履歴データ!$A$1161=""),"",B1162-B1161)</f>
        <v/>
      </c>
      <c r="L1162" s="28" t="str">
        <f>IF(OR(履歴データ!$A$1162="",履歴データ!$A$1161=""),"",C1162-C1161)</f>
        <v/>
      </c>
      <c r="M1162" s="28" t="str">
        <f>IF(OR(履歴データ!$A$1162="",履歴データ!$A$1161=""),"",D1162-D1161)</f>
        <v/>
      </c>
      <c r="N1162" s="28" t="str">
        <f>IF(OR(履歴データ!$A$1162="",履歴データ!$A$1161=""),"",E1162-E1161)</f>
        <v/>
      </c>
      <c r="O1162" s="28" t="str">
        <f>IF(OR(履歴データ!$A$1162="",履歴データ!$A$1161=""),"",F1162-F1161)</f>
        <v/>
      </c>
      <c r="P1162" s="28" t="str">
        <f>IF(OR(履歴データ!$A$1162="",履歴データ!$A$1161=""),"",G1162-G1161)</f>
        <v/>
      </c>
      <c r="Q1162" s="29" t="str">
        <f>IF(OR(履歴データ!$A$1162="",履歴データ!$A$1161=""),"",H1162-H1161)</f>
        <v/>
      </c>
      <c r="R1162" s="29" t="str">
        <f>IF(OR(履歴データ!$A$1162="",履歴データ!$A$1161=""),"",I1162-I1161)</f>
        <v/>
      </c>
      <c r="S1162" s="28" t="str">
        <f>IF(OR(履歴データ!$A$1162="",履歴データ!$A$1161=""),"",(J1162-J1161)*100)</f>
        <v/>
      </c>
      <c r="T1162" s="11" t="str">
        <f>IF(OR(履歴データ!$A$1162="",履歴データ!$A$1161=""),"",-80000*K1162)</f>
        <v/>
      </c>
      <c r="U1162" s="11" t="str">
        <f>IF(OR(履歴データ!$A$1162="",履歴データ!$A$1161=""),"",60000*L1162)</f>
        <v/>
      </c>
      <c r="V1162" s="11" t="str">
        <f>IF(OR(履歴データ!$A$1162="",履歴データ!$A$1161=""),"",-50000*M1162)</f>
        <v/>
      </c>
      <c r="W1162" s="11" t="str">
        <f>IF(OR(履歴データ!$A$1162="",履歴データ!$A$1161=""),"",-40000*N1162)</f>
        <v/>
      </c>
      <c r="X1162" s="11" t="str">
        <f>IF(OR(履歴データ!$A$1162="",履歴データ!$A$1161=""),"",120*1000000*(-Q1162/H1161))</f>
        <v/>
      </c>
      <c r="Y1162" s="11" t="str">
        <f>IF(OR(履歴データ!$A$1162="",履歴データ!$A$1161=""),"",40000*(-S1162)+(-506.3)*R1162*1000)</f>
        <v/>
      </c>
      <c r="Z1162" s="11" t="str">
        <f>IF(OR(履歴データ!$A$1162="",履歴データ!$A$1161=""),"",-40000*O1162)</f>
        <v/>
      </c>
      <c r="AA1162" s="11" t="str">
        <f>IF(OR(履歴データ!$A$1162="",履歴データ!$A$1161=""),"",-40000*P1162)</f>
        <v/>
      </c>
      <c r="AB1162" s="11" t="str">
        <f>IF(履歴データ!$A$1162="","",123.3)</f>
        <v/>
      </c>
      <c r="AC1162" t="str">
        <f>IF(履歴データ!$A$1162="","",SUM(T1162:AA1162))</f>
        <v/>
      </c>
      <c r="AD1162" s="29" t="str">
        <f>IF(履歴データ!$A$1162="","",AC1162/1000000)</f>
        <v/>
      </c>
      <c r="AE1162" s="29">
        <f>IF(履歴データ!$A$1162="",AE1161,AE1161+AC1162/1000000)</f>
        <v>70.844544225831427</v>
      </c>
      <c r="AF1162" s="12" t="str">
        <f>IF(OR(履歴データ!$A$1162="",AE1161=0),"",(AE1162-AE1161)/AE1161)</f>
        <v/>
      </c>
      <c r="AG1162" s="29">
        <f t="shared" si="48"/>
        <v>102.17217746631495</v>
      </c>
      <c r="AH1162" s="12" t="str">
        <f>IF(OR(履歴データ!$A$1162="",AG1162=0),"",AE1162/AG1162-1)</f>
        <v/>
      </c>
    </row>
    <row r="1163" spans="1:34">
      <c r="A1163" s="10" t="str">
        <f>IF(履歴データ!$A$1163="","",履歴データ!$A$1163)</f>
        <v/>
      </c>
      <c r="B1163" s="28" t="str">
        <f>IF(履歴データ!$A$1163="","",(履歴データ!$D$1163-(履歴データ!$B$1163+履歴データ!$F$1163)/2)*100)</f>
        <v/>
      </c>
      <c r="C1163" s="28" t="str">
        <f>IF(履歴データ!$A$1163="","",(履歴データ!$H$1163-(履歴データ!$G$1163+履歴データ!$J$1163)/2)*100)</f>
        <v/>
      </c>
      <c r="D1163" s="28" t="str">
        <f>IF(履歴データ!$A$1163="","",(履歴データ!$D$1163-履歴データ!$H$1163)*100)</f>
        <v/>
      </c>
      <c r="E1163" s="28" t="str">
        <f>IF(履歴データ!$A$1163="","",(履歴データ!$D$1163-履歴データ!$C$1163)*100)</f>
        <v/>
      </c>
      <c r="F1163" s="28" t="str">
        <f>IF(履歴データ!$A$1163="","",(履歴データ!$R$1163-履歴データ!$D$1163)*100)</f>
        <v/>
      </c>
      <c r="G1163" s="28" t="str">
        <f>IF(履歴データ!$A$1163="","",(履歴データ!$S$1163-履歴データ!$R$1163)*100)</f>
        <v/>
      </c>
      <c r="H1163" s="29" t="str">
        <f>IF(履歴データ!$A$1163="","",履歴データ!$O$1163)</f>
        <v/>
      </c>
      <c r="I1163" s="29" t="str">
        <f>IF(履歴データ!$A$1163="","",履歴データ!$Q$1163)</f>
        <v/>
      </c>
      <c r="J1163" s="29" t="str">
        <f>IF(履歴データ!$A$1163="","",履歴データ!$D$1163)</f>
        <v/>
      </c>
      <c r="K1163" s="28" t="str">
        <f>IF(OR(履歴データ!$A$1163="",履歴データ!$A$1162=""),"",B1163-B1162)</f>
        <v/>
      </c>
      <c r="L1163" s="28" t="str">
        <f>IF(OR(履歴データ!$A$1163="",履歴データ!$A$1162=""),"",C1163-C1162)</f>
        <v/>
      </c>
      <c r="M1163" s="28" t="str">
        <f>IF(OR(履歴データ!$A$1163="",履歴データ!$A$1162=""),"",D1163-D1162)</f>
        <v/>
      </c>
      <c r="N1163" s="28" t="str">
        <f>IF(OR(履歴データ!$A$1163="",履歴データ!$A$1162=""),"",E1163-E1162)</f>
        <v/>
      </c>
      <c r="O1163" s="28" t="str">
        <f>IF(OR(履歴データ!$A$1163="",履歴データ!$A$1162=""),"",F1163-F1162)</f>
        <v/>
      </c>
      <c r="P1163" s="28" t="str">
        <f>IF(OR(履歴データ!$A$1163="",履歴データ!$A$1162=""),"",G1163-G1162)</f>
        <v/>
      </c>
      <c r="Q1163" s="29" t="str">
        <f>IF(OR(履歴データ!$A$1163="",履歴データ!$A$1162=""),"",H1163-H1162)</f>
        <v/>
      </c>
      <c r="R1163" s="29" t="str">
        <f>IF(OR(履歴データ!$A$1163="",履歴データ!$A$1162=""),"",I1163-I1162)</f>
        <v/>
      </c>
      <c r="S1163" s="28" t="str">
        <f>IF(OR(履歴データ!$A$1163="",履歴データ!$A$1162=""),"",(J1163-J1162)*100)</f>
        <v/>
      </c>
      <c r="T1163" s="11" t="str">
        <f>IF(OR(履歴データ!$A$1163="",履歴データ!$A$1162=""),"",-80000*K1163)</f>
        <v/>
      </c>
      <c r="U1163" s="11" t="str">
        <f>IF(OR(履歴データ!$A$1163="",履歴データ!$A$1162=""),"",60000*L1163)</f>
        <v/>
      </c>
      <c r="V1163" s="11" t="str">
        <f>IF(OR(履歴データ!$A$1163="",履歴データ!$A$1162=""),"",-50000*M1163)</f>
        <v/>
      </c>
      <c r="W1163" s="11" t="str">
        <f>IF(OR(履歴データ!$A$1163="",履歴データ!$A$1162=""),"",-40000*N1163)</f>
        <v/>
      </c>
      <c r="X1163" s="11" t="str">
        <f>IF(OR(履歴データ!$A$1163="",履歴データ!$A$1162=""),"",120*1000000*(-Q1163/H1162))</f>
        <v/>
      </c>
      <c r="Y1163" s="11" t="str">
        <f>IF(OR(履歴データ!$A$1163="",履歴データ!$A$1162=""),"",40000*(-S1163)+(-506.3)*R1163*1000)</f>
        <v/>
      </c>
      <c r="Z1163" s="11" t="str">
        <f>IF(OR(履歴データ!$A$1163="",履歴データ!$A$1162=""),"",-40000*O1163)</f>
        <v/>
      </c>
      <c r="AA1163" s="11" t="str">
        <f>IF(OR(履歴データ!$A$1163="",履歴データ!$A$1162=""),"",-40000*P1163)</f>
        <v/>
      </c>
      <c r="AB1163" s="11" t="str">
        <f>IF(履歴データ!$A$1163="","",123.3)</f>
        <v/>
      </c>
      <c r="AC1163" t="str">
        <f>IF(履歴データ!$A$1163="","",SUM(T1163:AA1163))</f>
        <v/>
      </c>
      <c r="AD1163" s="29" t="str">
        <f>IF(履歴データ!$A$1163="","",AC1163/1000000)</f>
        <v/>
      </c>
      <c r="AE1163" s="29">
        <f>IF(履歴データ!$A$1163="",AE1162,AE1162+AC1163/1000000)</f>
        <v>70.844544225831427</v>
      </c>
      <c r="AF1163" s="12" t="str">
        <f>IF(OR(履歴データ!$A$1163="",AE1162=0),"",(AE1163-AE1162)/AE1162)</f>
        <v/>
      </c>
      <c r="AG1163" s="29">
        <f t="shared" si="48"/>
        <v>102.17217746631495</v>
      </c>
      <c r="AH1163" s="12" t="str">
        <f>IF(OR(履歴データ!$A$1163="",AG1163=0),"",AE1163/AG1163-1)</f>
        <v/>
      </c>
    </row>
    <row r="1164" spans="1:34">
      <c r="A1164" s="10" t="str">
        <f>IF(履歴データ!$A$1164="","",履歴データ!$A$1164)</f>
        <v/>
      </c>
      <c r="B1164" s="28" t="str">
        <f>IF(履歴データ!$A$1164="","",(履歴データ!$D$1164-(履歴データ!$B$1164+履歴データ!$F$1164)/2)*100)</f>
        <v/>
      </c>
      <c r="C1164" s="28" t="str">
        <f>IF(履歴データ!$A$1164="","",(履歴データ!$H$1164-(履歴データ!$G$1164+履歴データ!$J$1164)/2)*100)</f>
        <v/>
      </c>
      <c r="D1164" s="28" t="str">
        <f>IF(履歴データ!$A$1164="","",(履歴データ!$D$1164-履歴データ!$H$1164)*100)</f>
        <v/>
      </c>
      <c r="E1164" s="28" t="str">
        <f>IF(履歴データ!$A$1164="","",(履歴データ!$D$1164-履歴データ!$C$1164)*100)</f>
        <v/>
      </c>
      <c r="F1164" s="28" t="str">
        <f>IF(履歴データ!$A$1164="","",(履歴データ!$R$1164-履歴データ!$D$1164)*100)</f>
        <v/>
      </c>
      <c r="G1164" s="28" t="str">
        <f>IF(履歴データ!$A$1164="","",(履歴データ!$S$1164-履歴データ!$R$1164)*100)</f>
        <v/>
      </c>
      <c r="H1164" s="29" t="str">
        <f>IF(履歴データ!$A$1164="","",履歴データ!$O$1164)</f>
        <v/>
      </c>
      <c r="I1164" s="29" t="str">
        <f>IF(履歴データ!$A$1164="","",履歴データ!$Q$1164)</f>
        <v/>
      </c>
      <c r="J1164" s="29" t="str">
        <f>IF(履歴データ!$A$1164="","",履歴データ!$D$1164)</f>
        <v/>
      </c>
      <c r="K1164" s="28" t="str">
        <f>IF(OR(履歴データ!$A$1164="",履歴データ!$A$1163=""),"",B1164-B1163)</f>
        <v/>
      </c>
      <c r="L1164" s="28" t="str">
        <f>IF(OR(履歴データ!$A$1164="",履歴データ!$A$1163=""),"",C1164-C1163)</f>
        <v/>
      </c>
      <c r="M1164" s="28" t="str">
        <f>IF(OR(履歴データ!$A$1164="",履歴データ!$A$1163=""),"",D1164-D1163)</f>
        <v/>
      </c>
      <c r="N1164" s="28" t="str">
        <f>IF(OR(履歴データ!$A$1164="",履歴データ!$A$1163=""),"",E1164-E1163)</f>
        <v/>
      </c>
      <c r="O1164" s="28" t="str">
        <f>IF(OR(履歴データ!$A$1164="",履歴データ!$A$1163=""),"",F1164-F1163)</f>
        <v/>
      </c>
      <c r="P1164" s="28" t="str">
        <f>IF(OR(履歴データ!$A$1164="",履歴データ!$A$1163=""),"",G1164-G1163)</f>
        <v/>
      </c>
      <c r="Q1164" s="29" t="str">
        <f>IF(OR(履歴データ!$A$1164="",履歴データ!$A$1163=""),"",H1164-H1163)</f>
        <v/>
      </c>
      <c r="R1164" s="29" t="str">
        <f>IF(OR(履歴データ!$A$1164="",履歴データ!$A$1163=""),"",I1164-I1163)</f>
        <v/>
      </c>
      <c r="S1164" s="28" t="str">
        <f>IF(OR(履歴データ!$A$1164="",履歴データ!$A$1163=""),"",(J1164-J1163)*100)</f>
        <v/>
      </c>
      <c r="T1164" s="11" t="str">
        <f>IF(OR(履歴データ!$A$1164="",履歴データ!$A$1163=""),"",-80000*K1164)</f>
        <v/>
      </c>
      <c r="U1164" s="11" t="str">
        <f>IF(OR(履歴データ!$A$1164="",履歴データ!$A$1163=""),"",60000*L1164)</f>
        <v/>
      </c>
      <c r="V1164" s="11" t="str">
        <f>IF(OR(履歴データ!$A$1164="",履歴データ!$A$1163=""),"",-50000*M1164)</f>
        <v/>
      </c>
      <c r="W1164" s="11" t="str">
        <f>IF(OR(履歴データ!$A$1164="",履歴データ!$A$1163=""),"",-40000*N1164)</f>
        <v/>
      </c>
      <c r="X1164" s="11" t="str">
        <f>IF(OR(履歴データ!$A$1164="",履歴データ!$A$1163=""),"",120*1000000*(-Q1164/H1163))</f>
        <v/>
      </c>
      <c r="Y1164" s="11" t="str">
        <f>IF(OR(履歴データ!$A$1164="",履歴データ!$A$1163=""),"",40000*(-S1164)+(-506.3)*R1164*1000)</f>
        <v/>
      </c>
      <c r="Z1164" s="11" t="str">
        <f>IF(OR(履歴データ!$A$1164="",履歴データ!$A$1163=""),"",-40000*O1164)</f>
        <v/>
      </c>
      <c r="AA1164" s="11" t="str">
        <f>IF(OR(履歴データ!$A$1164="",履歴データ!$A$1163=""),"",-40000*P1164)</f>
        <v/>
      </c>
      <c r="AB1164" s="11" t="str">
        <f>IF(履歴データ!$A$1164="","",123.3)</f>
        <v/>
      </c>
      <c r="AC1164" t="str">
        <f>IF(履歴データ!$A$1164="","",SUM(T1164:AA1164))</f>
        <v/>
      </c>
      <c r="AD1164" s="29" t="str">
        <f>IF(履歴データ!$A$1164="","",AC1164/1000000)</f>
        <v/>
      </c>
      <c r="AE1164" s="29">
        <f>IF(履歴データ!$A$1164="",AE1163,AE1163+AC1164/1000000)</f>
        <v>70.844544225831427</v>
      </c>
      <c r="AF1164" s="12" t="str">
        <f>IF(OR(履歴データ!$A$1164="",AE1163=0),"",(AE1164-AE1163)/AE1163)</f>
        <v/>
      </c>
      <c r="AG1164" s="29">
        <f t="shared" si="48"/>
        <v>102.17217746631495</v>
      </c>
      <c r="AH1164" s="12" t="str">
        <f>IF(OR(履歴データ!$A$1164="",AG1164=0),"",AE1164/AG1164-1)</f>
        <v/>
      </c>
    </row>
    <row r="1165" spans="1:34">
      <c r="A1165" s="10" t="str">
        <f>IF(履歴データ!$A$1165="","",履歴データ!$A$1165)</f>
        <v/>
      </c>
      <c r="B1165" s="28" t="str">
        <f>IF(履歴データ!$A$1165="","",(履歴データ!$D$1165-(履歴データ!$B$1165+履歴データ!$F$1165)/2)*100)</f>
        <v/>
      </c>
      <c r="C1165" s="28" t="str">
        <f>IF(履歴データ!$A$1165="","",(履歴データ!$H$1165-(履歴データ!$G$1165+履歴データ!$J$1165)/2)*100)</f>
        <v/>
      </c>
      <c r="D1165" s="28" t="str">
        <f>IF(履歴データ!$A$1165="","",(履歴データ!$D$1165-履歴データ!$H$1165)*100)</f>
        <v/>
      </c>
      <c r="E1165" s="28" t="str">
        <f>IF(履歴データ!$A$1165="","",(履歴データ!$D$1165-履歴データ!$C$1165)*100)</f>
        <v/>
      </c>
      <c r="F1165" s="28" t="str">
        <f>IF(履歴データ!$A$1165="","",(履歴データ!$R$1165-履歴データ!$D$1165)*100)</f>
        <v/>
      </c>
      <c r="G1165" s="28" t="str">
        <f>IF(履歴データ!$A$1165="","",(履歴データ!$S$1165-履歴データ!$R$1165)*100)</f>
        <v/>
      </c>
      <c r="H1165" s="29" t="str">
        <f>IF(履歴データ!$A$1165="","",履歴データ!$O$1165)</f>
        <v/>
      </c>
      <c r="I1165" s="29" t="str">
        <f>IF(履歴データ!$A$1165="","",履歴データ!$Q$1165)</f>
        <v/>
      </c>
      <c r="J1165" s="29" t="str">
        <f>IF(履歴データ!$A$1165="","",履歴データ!$D$1165)</f>
        <v/>
      </c>
      <c r="K1165" s="28" t="str">
        <f>IF(OR(履歴データ!$A$1165="",履歴データ!$A$1164=""),"",B1165-B1164)</f>
        <v/>
      </c>
      <c r="L1165" s="28" t="str">
        <f>IF(OR(履歴データ!$A$1165="",履歴データ!$A$1164=""),"",C1165-C1164)</f>
        <v/>
      </c>
      <c r="M1165" s="28" t="str">
        <f>IF(OR(履歴データ!$A$1165="",履歴データ!$A$1164=""),"",D1165-D1164)</f>
        <v/>
      </c>
      <c r="N1165" s="28" t="str">
        <f>IF(OR(履歴データ!$A$1165="",履歴データ!$A$1164=""),"",E1165-E1164)</f>
        <v/>
      </c>
      <c r="O1165" s="28" t="str">
        <f>IF(OR(履歴データ!$A$1165="",履歴データ!$A$1164=""),"",F1165-F1164)</f>
        <v/>
      </c>
      <c r="P1165" s="28" t="str">
        <f>IF(OR(履歴データ!$A$1165="",履歴データ!$A$1164=""),"",G1165-G1164)</f>
        <v/>
      </c>
      <c r="Q1165" s="29" t="str">
        <f>IF(OR(履歴データ!$A$1165="",履歴データ!$A$1164=""),"",H1165-H1164)</f>
        <v/>
      </c>
      <c r="R1165" s="29" t="str">
        <f>IF(OR(履歴データ!$A$1165="",履歴データ!$A$1164=""),"",I1165-I1164)</f>
        <v/>
      </c>
      <c r="S1165" s="28" t="str">
        <f>IF(OR(履歴データ!$A$1165="",履歴データ!$A$1164=""),"",(J1165-J1164)*100)</f>
        <v/>
      </c>
      <c r="T1165" s="11" t="str">
        <f>IF(OR(履歴データ!$A$1165="",履歴データ!$A$1164=""),"",-80000*K1165)</f>
        <v/>
      </c>
      <c r="U1165" s="11" t="str">
        <f>IF(OR(履歴データ!$A$1165="",履歴データ!$A$1164=""),"",60000*L1165)</f>
        <v/>
      </c>
      <c r="V1165" s="11" t="str">
        <f>IF(OR(履歴データ!$A$1165="",履歴データ!$A$1164=""),"",-50000*M1165)</f>
        <v/>
      </c>
      <c r="W1165" s="11" t="str">
        <f>IF(OR(履歴データ!$A$1165="",履歴データ!$A$1164=""),"",-40000*N1165)</f>
        <v/>
      </c>
      <c r="X1165" s="11" t="str">
        <f>IF(OR(履歴データ!$A$1165="",履歴データ!$A$1164=""),"",120*1000000*(-Q1165/H1164))</f>
        <v/>
      </c>
      <c r="Y1165" s="11" t="str">
        <f>IF(OR(履歴データ!$A$1165="",履歴データ!$A$1164=""),"",40000*(-S1165)+(-506.3)*R1165*1000)</f>
        <v/>
      </c>
      <c r="Z1165" s="11" t="str">
        <f>IF(OR(履歴データ!$A$1165="",履歴データ!$A$1164=""),"",-40000*O1165)</f>
        <v/>
      </c>
      <c r="AA1165" s="11" t="str">
        <f>IF(OR(履歴データ!$A$1165="",履歴データ!$A$1164=""),"",-40000*P1165)</f>
        <v/>
      </c>
      <c r="AB1165" s="11" t="str">
        <f>IF(履歴データ!$A$1165="","",123.3)</f>
        <v/>
      </c>
      <c r="AC1165" t="str">
        <f>IF(履歴データ!$A$1165="","",SUM(T1165:AA1165))</f>
        <v/>
      </c>
      <c r="AD1165" s="29" t="str">
        <f>IF(履歴データ!$A$1165="","",AC1165/1000000)</f>
        <v/>
      </c>
      <c r="AE1165" s="29">
        <f>IF(履歴データ!$A$1165="",AE1164,AE1164+AC1165/1000000)</f>
        <v>70.844544225831427</v>
      </c>
      <c r="AF1165" s="12" t="str">
        <f>IF(OR(履歴データ!$A$1165="",AE1164=0),"",(AE1165-AE1164)/AE1164)</f>
        <v/>
      </c>
      <c r="AG1165" s="29">
        <f t="shared" si="48"/>
        <v>102.17217746631495</v>
      </c>
      <c r="AH1165" s="12" t="str">
        <f>IF(OR(履歴データ!$A$1165="",AG1165=0),"",AE1165/AG1165-1)</f>
        <v/>
      </c>
    </row>
    <row r="1166" spans="1:34">
      <c r="A1166" s="10" t="str">
        <f>IF(履歴データ!$A$1166="","",履歴データ!$A$1166)</f>
        <v/>
      </c>
      <c r="B1166" s="28" t="str">
        <f>IF(履歴データ!$A$1166="","",(履歴データ!$D$1166-(履歴データ!$B$1166+履歴データ!$F$1166)/2)*100)</f>
        <v/>
      </c>
      <c r="C1166" s="28" t="str">
        <f>IF(履歴データ!$A$1166="","",(履歴データ!$H$1166-(履歴データ!$G$1166+履歴データ!$J$1166)/2)*100)</f>
        <v/>
      </c>
      <c r="D1166" s="28" t="str">
        <f>IF(履歴データ!$A$1166="","",(履歴データ!$D$1166-履歴データ!$H$1166)*100)</f>
        <v/>
      </c>
      <c r="E1166" s="28" t="str">
        <f>IF(履歴データ!$A$1166="","",(履歴データ!$D$1166-履歴データ!$C$1166)*100)</f>
        <v/>
      </c>
      <c r="F1166" s="28" t="str">
        <f>IF(履歴データ!$A$1166="","",(履歴データ!$R$1166-履歴データ!$D$1166)*100)</f>
        <v/>
      </c>
      <c r="G1166" s="28" t="str">
        <f>IF(履歴データ!$A$1166="","",(履歴データ!$S$1166-履歴データ!$R$1166)*100)</f>
        <v/>
      </c>
      <c r="H1166" s="29" t="str">
        <f>IF(履歴データ!$A$1166="","",履歴データ!$O$1166)</f>
        <v/>
      </c>
      <c r="I1166" s="29" t="str">
        <f>IF(履歴データ!$A$1166="","",履歴データ!$Q$1166)</f>
        <v/>
      </c>
      <c r="J1166" s="29" t="str">
        <f>IF(履歴データ!$A$1166="","",履歴データ!$D$1166)</f>
        <v/>
      </c>
      <c r="K1166" s="28" t="str">
        <f>IF(OR(履歴データ!$A$1166="",履歴データ!$A$1165=""),"",B1166-B1165)</f>
        <v/>
      </c>
      <c r="L1166" s="28" t="str">
        <f>IF(OR(履歴データ!$A$1166="",履歴データ!$A$1165=""),"",C1166-C1165)</f>
        <v/>
      </c>
      <c r="M1166" s="28" t="str">
        <f>IF(OR(履歴データ!$A$1166="",履歴データ!$A$1165=""),"",D1166-D1165)</f>
        <v/>
      </c>
      <c r="N1166" s="28" t="str">
        <f>IF(OR(履歴データ!$A$1166="",履歴データ!$A$1165=""),"",E1166-E1165)</f>
        <v/>
      </c>
      <c r="O1166" s="28" t="str">
        <f>IF(OR(履歴データ!$A$1166="",履歴データ!$A$1165=""),"",F1166-F1165)</f>
        <v/>
      </c>
      <c r="P1166" s="28" t="str">
        <f>IF(OR(履歴データ!$A$1166="",履歴データ!$A$1165=""),"",G1166-G1165)</f>
        <v/>
      </c>
      <c r="Q1166" s="29" t="str">
        <f>IF(OR(履歴データ!$A$1166="",履歴データ!$A$1165=""),"",H1166-H1165)</f>
        <v/>
      </c>
      <c r="R1166" s="29" t="str">
        <f>IF(OR(履歴データ!$A$1166="",履歴データ!$A$1165=""),"",I1166-I1165)</f>
        <v/>
      </c>
      <c r="S1166" s="28" t="str">
        <f>IF(OR(履歴データ!$A$1166="",履歴データ!$A$1165=""),"",(J1166-J1165)*100)</f>
        <v/>
      </c>
      <c r="T1166" s="11" t="str">
        <f>IF(OR(履歴データ!$A$1166="",履歴データ!$A$1165=""),"",-80000*K1166)</f>
        <v/>
      </c>
      <c r="U1166" s="11" t="str">
        <f>IF(OR(履歴データ!$A$1166="",履歴データ!$A$1165=""),"",60000*L1166)</f>
        <v/>
      </c>
      <c r="V1166" s="11" t="str">
        <f>IF(OR(履歴データ!$A$1166="",履歴データ!$A$1165=""),"",-50000*M1166)</f>
        <v/>
      </c>
      <c r="W1166" s="11" t="str">
        <f>IF(OR(履歴データ!$A$1166="",履歴データ!$A$1165=""),"",-40000*N1166)</f>
        <v/>
      </c>
      <c r="X1166" s="11" t="str">
        <f>IF(OR(履歴データ!$A$1166="",履歴データ!$A$1165=""),"",120*1000000*(-Q1166/H1165))</f>
        <v/>
      </c>
      <c r="Y1166" s="11" t="str">
        <f>IF(OR(履歴データ!$A$1166="",履歴データ!$A$1165=""),"",40000*(-S1166)+(-506.3)*R1166*1000)</f>
        <v/>
      </c>
      <c r="Z1166" s="11" t="str">
        <f>IF(OR(履歴データ!$A$1166="",履歴データ!$A$1165=""),"",-40000*O1166)</f>
        <v/>
      </c>
      <c r="AA1166" s="11" t="str">
        <f>IF(OR(履歴データ!$A$1166="",履歴データ!$A$1165=""),"",-40000*P1166)</f>
        <v/>
      </c>
      <c r="AB1166" s="11" t="str">
        <f>IF(履歴データ!$A$1166="","",123.3)</f>
        <v/>
      </c>
      <c r="AC1166" t="str">
        <f>IF(履歴データ!$A$1166="","",SUM(T1166:AA1166))</f>
        <v/>
      </c>
      <c r="AD1166" s="29" t="str">
        <f>IF(履歴データ!$A$1166="","",AC1166/1000000)</f>
        <v/>
      </c>
      <c r="AE1166" s="29">
        <f>IF(履歴データ!$A$1166="",AE1165,AE1165+AC1166/1000000)</f>
        <v>70.844544225831427</v>
      </c>
      <c r="AF1166" s="12" t="str">
        <f>IF(OR(履歴データ!$A$1166="",AE1165=0),"",(AE1166-AE1165)/AE1165)</f>
        <v/>
      </c>
      <c r="AG1166" s="29">
        <f t="shared" si="48"/>
        <v>102.17217746631495</v>
      </c>
      <c r="AH1166" s="12" t="str">
        <f>IF(OR(履歴データ!$A$1166="",AG1166=0),"",AE1166/AG1166-1)</f>
        <v/>
      </c>
    </row>
    <row r="1167" spans="1:34">
      <c r="A1167" s="10" t="str">
        <f>IF(履歴データ!$A$1167="","",履歴データ!$A$1167)</f>
        <v/>
      </c>
      <c r="B1167" s="28" t="str">
        <f>IF(履歴データ!$A$1167="","",(履歴データ!$D$1167-(履歴データ!$B$1167+履歴データ!$F$1167)/2)*100)</f>
        <v/>
      </c>
      <c r="C1167" s="28" t="str">
        <f>IF(履歴データ!$A$1167="","",(履歴データ!$H$1167-(履歴データ!$G$1167+履歴データ!$J$1167)/2)*100)</f>
        <v/>
      </c>
      <c r="D1167" s="28" t="str">
        <f>IF(履歴データ!$A$1167="","",(履歴データ!$D$1167-履歴データ!$H$1167)*100)</f>
        <v/>
      </c>
      <c r="E1167" s="28" t="str">
        <f>IF(履歴データ!$A$1167="","",(履歴データ!$D$1167-履歴データ!$C$1167)*100)</f>
        <v/>
      </c>
      <c r="F1167" s="28" t="str">
        <f>IF(履歴データ!$A$1167="","",(履歴データ!$R$1167-履歴データ!$D$1167)*100)</f>
        <v/>
      </c>
      <c r="G1167" s="28" t="str">
        <f>IF(履歴データ!$A$1167="","",(履歴データ!$S$1167-履歴データ!$R$1167)*100)</f>
        <v/>
      </c>
      <c r="H1167" s="29" t="str">
        <f>IF(履歴データ!$A$1167="","",履歴データ!$O$1167)</f>
        <v/>
      </c>
      <c r="I1167" s="29" t="str">
        <f>IF(履歴データ!$A$1167="","",履歴データ!$Q$1167)</f>
        <v/>
      </c>
      <c r="J1167" s="29" t="str">
        <f>IF(履歴データ!$A$1167="","",履歴データ!$D$1167)</f>
        <v/>
      </c>
      <c r="K1167" s="28" t="str">
        <f>IF(OR(履歴データ!$A$1167="",履歴データ!$A$1166=""),"",B1167-B1166)</f>
        <v/>
      </c>
      <c r="L1167" s="28" t="str">
        <f>IF(OR(履歴データ!$A$1167="",履歴データ!$A$1166=""),"",C1167-C1166)</f>
        <v/>
      </c>
      <c r="M1167" s="28" t="str">
        <f>IF(OR(履歴データ!$A$1167="",履歴データ!$A$1166=""),"",D1167-D1166)</f>
        <v/>
      </c>
      <c r="N1167" s="28" t="str">
        <f>IF(OR(履歴データ!$A$1167="",履歴データ!$A$1166=""),"",E1167-E1166)</f>
        <v/>
      </c>
      <c r="O1167" s="28" t="str">
        <f>IF(OR(履歴データ!$A$1167="",履歴データ!$A$1166=""),"",F1167-F1166)</f>
        <v/>
      </c>
      <c r="P1167" s="28" t="str">
        <f>IF(OR(履歴データ!$A$1167="",履歴データ!$A$1166=""),"",G1167-G1166)</f>
        <v/>
      </c>
      <c r="Q1167" s="29" t="str">
        <f>IF(OR(履歴データ!$A$1167="",履歴データ!$A$1166=""),"",H1167-H1166)</f>
        <v/>
      </c>
      <c r="R1167" s="29" t="str">
        <f>IF(OR(履歴データ!$A$1167="",履歴データ!$A$1166=""),"",I1167-I1166)</f>
        <v/>
      </c>
      <c r="S1167" s="28" t="str">
        <f>IF(OR(履歴データ!$A$1167="",履歴データ!$A$1166=""),"",(J1167-J1166)*100)</f>
        <v/>
      </c>
      <c r="T1167" s="11" t="str">
        <f>IF(OR(履歴データ!$A$1167="",履歴データ!$A$1166=""),"",-80000*K1167)</f>
        <v/>
      </c>
      <c r="U1167" s="11" t="str">
        <f>IF(OR(履歴データ!$A$1167="",履歴データ!$A$1166=""),"",60000*L1167)</f>
        <v/>
      </c>
      <c r="V1167" s="11" t="str">
        <f>IF(OR(履歴データ!$A$1167="",履歴データ!$A$1166=""),"",-50000*M1167)</f>
        <v/>
      </c>
      <c r="W1167" s="11" t="str">
        <f>IF(OR(履歴データ!$A$1167="",履歴データ!$A$1166=""),"",-40000*N1167)</f>
        <v/>
      </c>
      <c r="X1167" s="11" t="str">
        <f>IF(OR(履歴データ!$A$1167="",履歴データ!$A$1166=""),"",120*1000000*(-Q1167/H1166))</f>
        <v/>
      </c>
      <c r="Y1167" s="11" t="str">
        <f>IF(OR(履歴データ!$A$1167="",履歴データ!$A$1166=""),"",40000*(-S1167)+(-506.3)*R1167*1000)</f>
        <v/>
      </c>
      <c r="Z1167" s="11" t="str">
        <f>IF(OR(履歴データ!$A$1167="",履歴データ!$A$1166=""),"",-40000*O1167)</f>
        <v/>
      </c>
      <c r="AA1167" s="11" t="str">
        <f>IF(OR(履歴データ!$A$1167="",履歴データ!$A$1166=""),"",-40000*P1167)</f>
        <v/>
      </c>
      <c r="AB1167" s="11" t="str">
        <f>IF(履歴データ!$A$1167="","",123.3)</f>
        <v/>
      </c>
      <c r="AC1167" t="str">
        <f>IF(履歴データ!$A$1167="","",SUM(T1167:AA1167))</f>
        <v/>
      </c>
      <c r="AD1167" s="29" t="str">
        <f>IF(履歴データ!$A$1167="","",AC1167/1000000)</f>
        <v/>
      </c>
      <c r="AE1167" s="29">
        <f>IF(履歴データ!$A$1167="",AE1166,AE1166+AC1167/1000000)</f>
        <v>70.844544225831427</v>
      </c>
      <c r="AF1167" s="12" t="str">
        <f>IF(OR(履歴データ!$A$1167="",AE1166=0),"",(AE1167-AE1166)/AE1166)</f>
        <v/>
      </c>
      <c r="AG1167" s="29">
        <f t="shared" si="48"/>
        <v>102.17217746631495</v>
      </c>
      <c r="AH1167" s="12" t="str">
        <f>IF(OR(履歴データ!$A$1167="",AG1167=0),"",AE1167/AG1167-1)</f>
        <v/>
      </c>
    </row>
    <row r="1168" spans="1:34">
      <c r="A1168" s="10" t="str">
        <f>IF(履歴データ!$A$1168="","",履歴データ!$A$1168)</f>
        <v/>
      </c>
      <c r="B1168" s="28" t="str">
        <f>IF(履歴データ!$A$1168="","",(履歴データ!$D$1168-(履歴データ!$B$1168+履歴データ!$F$1168)/2)*100)</f>
        <v/>
      </c>
      <c r="C1168" s="28" t="str">
        <f>IF(履歴データ!$A$1168="","",(履歴データ!$H$1168-(履歴データ!$G$1168+履歴データ!$J$1168)/2)*100)</f>
        <v/>
      </c>
      <c r="D1168" s="28" t="str">
        <f>IF(履歴データ!$A$1168="","",(履歴データ!$D$1168-履歴データ!$H$1168)*100)</f>
        <v/>
      </c>
      <c r="E1168" s="28" t="str">
        <f>IF(履歴データ!$A$1168="","",(履歴データ!$D$1168-履歴データ!$C$1168)*100)</f>
        <v/>
      </c>
      <c r="F1168" s="28" t="str">
        <f>IF(履歴データ!$A$1168="","",(履歴データ!$R$1168-履歴データ!$D$1168)*100)</f>
        <v/>
      </c>
      <c r="G1168" s="28" t="str">
        <f>IF(履歴データ!$A$1168="","",(履歴データ!$S$1168-履歴データ!$R$1168)*100)</f>
        <v/>
      </c>
      <c r="H1168" s="29" t="str">
        <f>IF(履歴データ!$A$1168="","",履歴データ!$O$1168)</f>
        <v/>
      </c>
      <c r="I1168" s="29" t="str">
        <f>IF(履歴データ!$A$1168="","",履歴データ!$Q$1168)</f>
        <v/>
      </c>
      <c r="J1168" s="29" t="str">
        <f>IF(履歴データ!$A$1168="","",履歴データ!$D$1168)</f>
        <v/>
      </c>
      <c r="K1168" s="28" t="str">
        <f>IF(OR(履歴データ!$A$1168="",履歴データ!$A$1167=""),"",B1168-B1167)</f>
        <v/>
      </c>
      <c r="L1168" s="28" t="str">
        <f>IF(OR(履歴データ!$A$1168="",履歴データ!$A$1167=""),"",C1168-C1167)</f>
        <v/>
      </c>
      <c r="M1168" s="28" t="str">
        <f>IF(OR(履歴データ!$A$1168="",履歴データ!$A$1167=""),"",D1168-D1167)</f>
        <v/>
      </c>
      <c r="N1168" s="28" t="str">
        <f>IF(OR(履歴データ!$A$1168="",履歴データ!$A$1167=""),"",E1168-E1167)</f>
        <v/>
      </c>
      <c r="O1168" s="28" t="str">
        <f>IF(OR(履歴データ!$A$1168="",履歴データ!$A$1167=""),"",F1168-F1167)</f>
        <v/>
      </c>
      <c r="P1168" s="28" t="str">
        <f>IF(OR(履歴データ!$A$1168="",履歴データ!$A$1167=""),"",G1168-G1167)</f>
        <v/>
      </c>
      <c r="Q1168" s="29" t="str">
        <f>IF(OR(履歴データ!$A$1168="",履歴データ!$A$1167=""),"",H1168-H1167)</f>
        <v/>
      </c>
      <c r="R1168" s="29" t="str">
        <f>IF(OR(履歴データ!$A$1168="",履歴データ!$A$1167=""),"",I1168-I1167)</f>
        <v/>
      </c>
      <c r="S1168" s="28" t="str">
        <f>IF(OR(履歴データ!$A$1168="",履歴データ!$A$1167=""),"",(J1168-J1167)*100)</f>
        <v/>
      </c>
      <c r="T1168" s="11" t="str">
        <f>IF(OR(履歴データ!$A$1168="",履歴データ!$A$1167=""),"",-80000*K1168)</f>
        <v/>
      </c>
      <c r="U1168" s="11" t="str">
        <f>IF(OR(履歴データ!$A$1168="",履歴データ!$A$1167=""),"",60000*L1168)</f>
        <v/>
      </c>
      <c r="V1168" s="11" t="str">
        <f>IF(OR(履歴データ!$A$1168="",履歴データ!$A$1167=""),"",-50000*M1168)</f>
        <v/>
      </c>
      <c r="W1168" s="11" t="str">
        <f>IF(OR(履歴データ!$A$1168="",履歴データ!$A$1167=""),"",-40000*N1168)</f>
        <v/>
      </c>
      <c r="X1168" s="11" t="str">
        <f>IF(OR(履歴データ!$A$1168="",履歴データ!$A$1167=""),"",120*1000000*(-Q1168/H1167))</f>
        <v/>
      </c>
      <c r="Y1168" s="11" t="str">
        <f>IF(OR(履歴データ!$A$1168="",履歴データ!$A$1167=""),"",40000*(-S1168)+(-506.3)*R1168*1000)</f>
        <v/>
      </c>
      <c r="Z1168" s="11" t="str">
        <f>IF(OR(履歴データ!$A$1168="",履歴データ!$A$1167=""),"",-40000*O1168)</f>
        <v/>
      </c>
      <c r="AA1168" s="11" t="str">
        <f>IF(OR(履歴データ!$A$1168="",履歴データ!$A$1167=""),"",-40000*P1168)</f>
        <v/>
      </c>
      <c r="AB1168" s="11" t="str">
        <f>IF(履歴データ!$A$1168="","",123.3)</f>
        <v/>
      </c>
      <c r="AC1168" t="str">
        <f>IF(履歴データ!$A$1168="","",SUM(T1168:AA1168))</f>
        <v/>
      </c>
      <c r="AD1168" s="29" t="str">
        <f>IF(履歴データ!$A$1168="","",AC1168/1000000)</f>
        <v/>
      </c>
      <c r="AE1168" s="29">
        <f>IF(履歴データ!$A$1168="",AE1167,AE1167+AC1168/1000000)</f>
        <v>70.844544225831427</v>
      </c>
      <c r="AF1168" s="12" t="str">
        <f>IF(OR(履歴データ!$A$1168="",AE1167=0),"",(AE1168-AE1167)/AE1167)</f>
        <v/>
      </c>
      <c r="AG1168" s="29">
        <f t="shared" si="48"/>
        <v>102.17217746631495</v>
      </c>
      <c r="AH1168" s="12" t="str">
        <f>IF(OR(履歴データ!$A$1168="",AG1168=0),"",AE1168/AG1168-1)</f>
        <v/>
      </c>
    </row>
    <row r="1169" spans="1:34">
      <c r="A1169" s="10" t="str">
        <f>IF(履歴データ!$A$1169="","",履歴データ!$A$1169)</f>
        <v/>
      </c>
      <c r="B1169" s="28" t="str">
        <f>IF(履歴データ!$A$1169="","",(履歴データ!$D$1169-(履歴データ!$B$1169+履歴データ!$F$1169)/2)*100)</f>
        <v/>
      </c>
      <c r="C1169" s="28" t="str">
        <f>IF(履歴データ!$A$1169="","",(履歴データ!$H$1169-(履歴データ!$G$1169+履歴データ!$J$1169)/2)*100)</f>
        <v/>
      </c>
      <c r="D1169" s="28" t="str">
        <f>IF(履歴データ!$A$1169="","",(履歴データ!$D$1169-履歴データ!$H$1169)*100)</f>
        <v/>
      </c>
      <c r="E1169" s="28" t="str">
        <f>IF(履歴データ!$A$1169="","",(履歴データ!$D$1169-履歴データ!$C$1169)*100)</f>
        <v/>
      </c>
      <c r="F1169" s="28" t="str">
        <f>IF(履歴データ!$A$1169="","",(履歴データ!$R$1169-履歴データ!$D$1169)*100)</f>
        <v/>
      </c>
      <c r="G1169" s="28" t="str">
        <f>IF(履歴データ!$A$1169="","",(履歴データ!$S$1169-履歴データ!$R$1169)*100)</f>
        <v/>
      </c>
      <c r="H1169" s="29" t="str">
        <f>IF(履歴データ!$A$1169="","",履歴データ!$O$1169)</f>
        <v/>
      </c>
      <c r="I1169" s="29" t="str">
        <f>IF(履歴データ!$A$1169="","",履歴データ!$Q$1169)</f>
        <v/>
      </c>
      <c r="J1169" s="29" t="str">
        <f>IF(履歴データ!$A$1169="","",履歴データ!$D$1169)</f>
        <v/>
      </c>
      <c r="K1169" s="28" t="str">
        <f>IF(OR(履歴データ!$A$1169="",履歴データ!$A$1168=""),"",B1169-B1168)</f>
        <v/>
      </c>
      <c r="L1169" s="28" t="str">
        <f>IF(OR(履歴データ!$A$1169="",履歴データ!$A$1168=""),"",C1169-C1168)</f>
        <v/>
      </c>
      <c r="M1169" s="28" t="str">
        <f>IF(OR(履歴データ!$A$1169="",履歴データ!$A$1168=""),"",D1169-D1168)</f>
        <v/>
      </c>
      <c r="N1169" s="28" t="str">
        <f>IF(OR(履歴データ!$A$1169="",履歴データ!$A$1168=""),"",E1169-E1168)</f>
        <v/>
      </c>
      <c r="O1169" s="28" t="str">
        <f>IF(OR(履歴データ!$A$1169="",履歴データ!$A$1168=""),"",F1169-F1168)</f>
        <v/>
      </c>
      <c r="P1169" s="28" t="str">
        <f>IF(OR(履歴データ!$A$1169="",履歴データ!$A$1168=""),"",G1169-G1168)</f>
        <v/>
      </c>
      <c r="Q1169" s="29" t="str">
        <f>IF(OR(履歴データ!$A$1169="",履歴データ!$A$1168=""),"",H1169-H1168)</f>
        <v/>
      </c>
      <c r="R1169" s="29" t="str">
        <f>IF(OR(履歴データ!$A$1169="",履歴データ!$A$1168=""),"",I1169-I1168)</f>
        <v/>
      </c>
      <c r="S1169" s="28" t="str">
        <f>IF(OR(履歴データ!$A$1169="",履歴データ!$A$1168=""),"",(J1169-J1168)*100)</f>
        <v/>
      </c>
      <c r="T1169" s="11" t="str">
        <f>IF(OR(履歴データ!$A$1169="",履歴データ!$A$1168=""),"",-80000*K1169)</f>
        <v/>
      </c>
      <c r="U1169" s="11" t="str">
        <f>IF(OR(履歴データ!$A$1169="",履歴データ!$A$1168=""),"",60000*L1169)</f>
        <v/>
      </c>
      <c r="V1169" s="11" t="str">
        <f>IF(OR(履歴データ!$A$1169="",履歴データ!$A$1168=""),"",-50000*M1169)</f>
        <v/>
      </c>
      <c r="W1169" s="11" t="str">
        <f>IF(OR(履歴データ!$A$1169="",履歴データ!$A$1168=""),"",-40000*N1169)</f>
        <v/>
      </c>
      <c r="X1169" s="11" t="str">
        <f>IF(OR(履歴データ!$A$1169="",履歴データ!$A$1168=""),"",120*1000000*(-Q1169/H1168))</f>
        <v/>
      </c>
      <c r="Y1169" s="11" t="str">
        <f>IF(OR(履歴データ!$A$1169="",履歴データ!$A$1168=""),"",40000*(-S1169)+(-506.3)*R1169*1000)</f>
        <v/>
      </c>
      <c r="Z1169" s="11" t="str">
        <f>IF(OR(履歴データ!$A$1169="",履歴データ!$A$1168=""),"",-40000*O1169)</f>
        <v/>
      </c>
      <c r="AA1169" s="11" t="str">
        <f>IF(OR(履歴データ!$A$1169="",履歴データ!$A$1168=""),"",-40000*P1169)</f>
        <v/>
      </c>
      <c r="AB1169" s="11" t="str">
        <f>IF(履歴データ!$A$1169="","",123.3)</f>
        <v/>
      </c>
      <c r="AC1169" t="str">
        <f>IF(履歴データ!$A$1169="","",SUM(T1169:AA1169))</f>
        <v/>
      </c>
      <c r="AD1169" s="29" t="str">
        <f>IF(履歴データ!$A$1169="","",AC1169/1000000)</f>
        <v/>
      </c>
      <c r="AE1169" s="29">
        <f>IF(履歴データ!$A$1169="",AE1168,AE1168+AC1169/1000000)</f>
        <v>70.844544225831427</v>
      </c>
      <c r="AF1169" s="12" t="str">
        <f>IF(OR(履歴データ!$A$1169="",AE1168=0),"",(AE1169-AE1168)/AE1168)</f>
        <v/>
      </c>
      <c r="AG1169" s="29">
        <f t="shared" si="48"/>
        <v>102.17217746631495</v>
      </c>
      <c r="AH1169" s="12" t="str">
        <f>IF(OR(履歴データ!$A$1169="",AG1169=0),"",AE1169/AG1169-1)</f>
        <v/>
      </c>
    </row>
    <row r="1170" spans="1:34">
      <c r="A1170" s="10" t="str">
        <f>IF(履歴データ!$A$1170="","",履歴データ!$A$1170)</f>
        <v/>
      </c>
      <c r="B1170" s="28" t="str">
        <f>IF(履歴データ!$A$1170="","",(履歴データ!$D$1170-(履歴データ!$B$1170+履歴データ!$F$1170)/2)*100)</f>
        <v/>
      </c>
      <c r="C1170" s="28" t="str">
        <f>IF(履歴データ!$A$1170="","",(履歴データ!$H$1170-(履歴データ!$G$1170+履歴データ!$J$1170)/2)*100)</f>
        <v/>
      </c>
      <c r="D1170" s="28" t="str">
        <f>IF(履歴データ!$A$1170="","",(履歴データ!$D$1170-履歴データ!$H$1170)*100)</f>
        <v/>
      </c>
      <c r="E1170" s="28" t="str">
        <f>IF(履歴データ!$A$1170="","",(履歴データ!$D$1170-履歴データ!$C$1170)*100)</f>
        <v/>
      </c>
      <c r="F1170" s="28" t="str">
        <f>IF(履歴データ!$A$1170="","",(履歴データ!$R$1170-履歴データ!$D$1170)*100)</f>
        <v/>
      </c>
      <c r="G1170" s="28" t="str">
        <f>IF(履歴データ!$A$1170="","",(履歴データ!$S$1170-履歴データ!$R$1170)*100)</f>
        <v/>
      </c>
      <c r="H1170" s="29" t="str">
        <f>IF(履歴データ!$A$1170="","",履歴データ!$O$1170)</f>
        <v/>
      </c>
      <c r="I1170" s="29" t="str">
        <f>IF(履歴データ!$A$1170="","",履歴データ!$Q$1170)</f>
        <v/>
      </c>
      <c r="J1170" s="29" t="str">
        <f>IF(履歴データ!$A$1170="","",履歴データ!$D$1170)</f>
        <v/>
      </c>
      <c r="K1170" s="28" t="str">
        <f>IF(OR(履歴データ!$A$1170="",履歴データ!$A$1169=""),"",B1170-B1169)</f>
        <v/>
      </c>
      <c r="L1170" s="28" t="str">
        <f>IF(OR(履歴データ!$A$1170="",履歴データ!$A$1169=""),"",C1170-C1169)</f>
        <v/>
      </c>
      <c r="M1170" s="28" t="str">
        <f>IF(OR(履歴データ!$A$1170="",履歴データ!$A$1169=""),"",D1170-D1169)</f>
        <v/>
      </c>
      <c r="N1170" s="28" t="str">
        <f>IF(OR(履歴データ!$A$1170="",履歴データ!$A$1169=""),"",E1170-E1169)</f>
        <v/>
      </c>
      <c r="O1170" s="28" t="str">
        <f>IF(OR(履歴データ!$A$1170="",履歴データ!$A$1169=""),"",F1170-F1169)</f>
        <v/>
      </c>
      <c r="P1170" s="28" t="str">
        <f>IF(OR(履歴データ!$A$1170="",履歴データ!$A$1169=""),"",G1170-G1169)</f>
        <v/>
      </c>
      <c r="Q1170" s="29" t="str">
        <f>IF(OR(履歴データ!$A$1170="",履歴データ!$A$1169=""),"",H1170-H1169)</f>
        <v/>
      </c>
      <c r="R1170" s="29" t="str">
        <f>IF(OR(履歴データ!$A$1170="",履歴データ!$A$1169=""),"",I1170-I1169)</f>
        <v/>
      </c>
      <c r="S1170" s="28" t="str">
        <f>IF(OR(履歴データ!$A$1170="",履歴データ!$A$1169=""),"",(J1170-J1169)*100)</f>
        <v/>
      </c>
      <c r="T1170" s="11" t="str">
        <f>IF(OR(履歴データ!$A$1170="",履歴データ!$A$1169=""),"",-80000*K1170)</f>
        <v/>
      </c>
      <c r="U1170" s="11" t="str">
        <f>IF(OR(履歴データ!$A$1170="",履歴データ!$A$1169=""),"",60000*L1170)</f>
        <v/>
      </c>
      <c r="V1170" s="11" t="str">
        <f>IF(OR(履歴データ!$A$1170="",履歴データ!$A$1169=""),"",-50000*M1170)</f>
        <v/>
      </c>
      <c r="W1170" s="11" t="str">
        <f>IF(OR(履歴データ!$A$1170="",履歴データ!$A$1169=""),"",-40000*N1170)</f>
        <v/>
      </c>
      <c r="X1170" s="11" t="str">
        <f>IF(OR(履歴データ!$A$1170="",履歴データ!$A$1169=""),"",120*1000000*(-Q1170/H1169))</f>
        <v/>
      </c>
      <c r="Y1170" s="11" t="str">
        <f>IF(OR(履歴データ!$A$1170="",履歴データ!$A$1169=""),"",40000*(-S1170)+(-506.3)*R1170*1000)</f>
        <v/>
      </c>
      <c r="Z1170" s="11" t="str">
        <f>IF(OR(履歴データ!$A$1170="",履歴データ!$A$1169=""),"",-40000*O1170)</f>
        <v/>
      </c>
      <c r="AA1170" s="11" t="str">
        <f>IF(OR(履歴データ!$A$1170="",履歴データ!$A$1169=""),"",-40000*P1170)</f>
        <v/>
      </c>
      <c r="AB1170" s="11" t="str">
        <f>IF(履歴データ!$A$1170="","",123.3)</f>
        <v/>
      </c>
      <c r="AC1170" t="str">
        <f>IF(履歴データ!$A$1170="","",SUM(T1170:AA1170))</f>
        <v/>
      </c>
      <c r="AD1170" s="29" t="str">
        <f>IF(履歴データ!$A$1170="","",AC1170/1000000)</f>
        <v/>
      </c>
      <c r="AE1170" s="29">
        <f>IF(履歴データ!$A$1170="",AE1169,AE1169+AC1170/1000000)</f>
        <v>70.844544225831427</v>
      </c>
      <c r="AF1170" s="12" t="str">
        <f>IF(OR(履歴データ!$A$1170="",AE1169=0),"",(AE1170-AE1169)/AE1169)</f>
        <v/>
      </c>
      <c r="AG1170" s="29">
        <f t="shared" si="48"/>
        <v>102.17217746631495</v>
      </c>
      <c r="AH1170" s="12" t="str">
        <f>IF(OR(履歴データ!$A$1170="",AG1170=0),"",AE1170/AG1170-1)</f>
        <v/>
      </c>
    </row>
    <row r="1171" spans="1:34">
      <c r="A1171" s="10" t="str">
        <f>IF(履歴データ!$A$1171="","",履歴データ!$A$1171)</f>
        <v/>
      </c>
      <c r="B1171" s="28" t="str">
        <f>IF(履歴データ!$A$1171="","",(履歴データ!$D$1171-(履歴データ!$B$1171+履歴データ!$F$1171)/2)*100)</f>
        <v/>
      </c>
      <c r="C1171" s="28" t="str">
        <f>IF(履歴データ!$A$1171="","",(履歴データ!$H$1171-(履歴データ!$G$1171+履歴データ!$J$1171)/2)*100)</f>
        <v/>
      </c>
      <c r="D1171" s="28" t="str">
        <f>IF(履歴データ!$A$1171="","",(履歴データ!$D$1171-履歴データ!$H$1171)*100)</f>
        <v/>
      </c>
      <c r="E1171" s="28" t="str">
        <f>IF(履歴データ!$A$1171="","",(履歴データ!$D$1171-履歴データ!$C$1171)*100)</f>
        <v/>
      </c>
      <c r="F1171" s="28" t="str">
        <f>IF(履歴データ!$A$1171="","",(履歴データ!$R$1171-履歴データ!$D$1171)*100)</f>
        <v/>
      </c>
      <c r="G1171" s="28" t="str">
        <f>IF(履歴データ!$A$1171="","",(履歴データ!$S$1171-履歴データ!$R$1171)*100)</f>
        <v/>
      </c>
      <c r="H1171" s="29" t="str">
        <f>IF(履歴データ!$A$1171="","",履歴データ!$O$1171)</f>
        <v/>
      </c>
      <c r="I1171" s="29" t="str">
        <f>IF(履歴データ!$A$1171="","",履歴データ!$Q$1171)</f>
        <v/>
      </c>
      <c r="J1171" s="29" t="str">
        <f>IF(履歴データ!$A$1171="","",履歴データ!$D$1171)</f>
        <v/>
      </c>
      <c r="K1171" s="28" t="str">
        <f>IF(OR(履歴データ!$A$1171="",履歴データ!$A$1170=""),"",B1171-B1170)</f>
        <v/>
      </c>
      <c r="L1171" s="28" t="str">
        <f>IF(OR(履歴データ!$A$1171="",履歴データ!$A$1170=""),"",C1171-C1170)</f>
        <v/>
      </c>
      <c r="M1171" s="28" t="str">
        <f>IF(OR(履歴データ!$A$1171="",履歴データ!$A$1170=""),"",D1171-D1170)</f>
        <v/>
      </c>
      <c r="N1171" s="28" t="str">
        <f>IF(OR(履歴データ!$A$1171="",履歴データ!$A$1170=""),"",E1171-E1170)</f>
        <v/>
      </c>
      <c r="O1171" s="28" t="str">
        <f>IF(OR(履歴データ!$A$1171="",履歴データ!$A$1170=""),"",F1171-F1170)</f>
        <v/>
      </c>
      <c r="P1171" s="28" t="str">
        <f>IF(OR(履歴データ!$A$1171="",履歴データ!$A$1170=""),"",G1171-G1170)</f>
        <v/>
      </c>
      <c r="Q1171" s="29" t="str">
        <f>IF(OR(履歴データ!$A$1171="",履歴データ!$A$1170=""),"",H1171-H1170)</f>
        <v/>
      </c>
      <c r="R1171" s="29" t="str">
        <f>IF(OR(履歴データ!$A$1171="",履歴データ!$A$1170=""),"",I1171-I1170)</f>
        <v/>
      </c>
      <c r="S1171" s="28" t="str">
        <f>IF(OR(履歴データ!$A$1171="",履歴データ!$A$1170=""),"",(J1171-J1170)*100)</f>
        <v/>
      </c>
      <c r="T1171" s="11" t="str">
        <f>IF(OR(履歴データ!$A$1171="",履歴データ!$A$1170=""),"",-80000*K1171)</f>
        <v/>
      </c>
      <c r="U1171" s="11" t="str">
        <f>IF(OR(履歴データ!$A$1171="",履歴データ!$A$1170=""),"",60000*L1171)</f>
        <v/>
      </c>
      <c r="V1171" s="11" t="str">
        <f>IF(OR(履歴データ!$A$1171="",履歴データ!$A$1170=""),"",-50000*M1171)</f>
        <v/>
      </c>
      <c r="W1171" s="11" t="str">
        <f>IF(OR(履歴データ!$A$1171="",履歴データ!$A$1170=""),"",-40000*N1171)</f>
        <v/>
      </c>
      <c r="X1171" s="11" t="str">
        <f>IF(OR(履歴データ!$A$1171="",履歴データ!$A$1170=""),"",120*1000000*(-Q1171/H1170))</f>
        <v/>
      </c>
      <c r="Y1171" s="11" t="str">
        <f>IF(OR(履歴データ!$A$1171="",履歴データ!$A$1170=""),"",40000*(-S1171)+(-506.3)*R1171*1000)</f>
        <v/>
      </c>
      <c r="Z1171" s="11" t="str">
        <f>IF(OR(履歴データ!$A$1171="",履歴データ!$A$1170=""),"",-40000*O1171)</f>
        <v/>
      </c>
      <c r="AA1171" s="11" t="str">
        <f>IF(OR(履歴データ!$A$1171="",履歴データ!$A$1170=""),"",-40000*P1171)</f>
        <v/>
      </c>
      <c r="AB1171" s="11" t="str">
        <f>IF(履歴データ!$A$1171="","",123.3)</f>
        <v/>
      </c>
      <c r="AC1171" t="str">
        <f>IF(履歴データ!$A$1171="","",SUM(T1171:AA1171))</f>
        <v/>
      </c>
      <c r="AD1171" s="29" t="str">
        <f>IF(履歴データ!$A$1171="","",AC1171/1000000)</f>
        <v/>
      </c>
      <c r="AE1171" s="29">
        <f>IF(履歴データ!$A$1171="",AE1170,AE1170+AC1171/1000000)</f>
        <v>70.844544225831427</v>
      </c>
      <c r="AF1171" s="12" t="str">
        <f>IF(OR(履歴データ!$A$1171="",AE1170=0),"",(AE1171-AE1170)/AE1170)</f>
        <v/>
      </c>
      <c r="AG1171" s="29">
        <f t="shared" si="48"/>
        <v>102.17217746631495</v>
      </c>
      <c r="AH1171" s="12" t="str">
        <f>IF(OR(履歴データ!$A$1171="",AG1171=0),"",AE1171/AG1171-1)</f>
        <v/>
      </c>
    </row>
    <row r="1172" spans="1:34">
      <c r="A1172" s="10" t="str">
        <f>IF(履歴データ!$A$1172="","",履歴データ!$A$1172)</f>
        <v/>
      </c>
      <c r="B1172" s="28" t="str">
        <f>IF(履歴データ!$A$1172="","",(履歴データ!$D$1172-(履歴データ!$B$1172+履歴データ!$F$1172)/2)*100)</f>
        <v/>
      </c>
      <c r="C1172" s="28" t="str">
        <f>IF(履歴データ!$A$1172="","",(履歴データ!$H$1172-(履歴データ!$G$1172+履歴データ!$J$1172)/2)*100)</f>
        <v/>
      </c>
      <c r="D1172" s="28" t="str">
        <f>IF(履歴データ!$A$1172="","",(履歴データ!$D$1172-履歴データ!$H$1172)*100)</f>
        <v/>
      </c>
      <c r="E1172" s="28" t="str">
        <f>IF(履歴データ!$A$1172="","",(履歴データ!$D$1172-履歴データ!$C$1172)*100)</f>
        <v/>
      </c>
      <c r="F1172" s="28" t="str">
        <f>IF(履歴データ!$A$1172="","",(履歴データ!$R$1172-履歴データ!$D$1172)*100)</f>
        <v/>
      </c>
      <c r="G1172" s="28" t="str">
        <f>IF(履歴データ!$A$1172="","",(履歴データ!$S$1172-履歴データ!$R$1172)*100)</f>
        <v/>
      </c>
      <c r="H1172" s="29" t="str">
        <f>IF(履歴データ!$A$1172="","",履歴データ!$O$1172)</f>
        <v/>
      </c>
      <c r="I1172" s="29" t="str">
        <f>IF(履歴データ!$A$1172="","",履歴データ!$Q$1172)</f>
        <v/>
      </c>
      <c r="J1172" s="29" t="str">
        <f>IF(履歴データ!$A$1172="","",履歴データ!$D$1172)</f>
        <v/>
      </c>
      <c r="K1172" s="28" t="str">
        <f>IF(OR(履歴データ!$A$1172="",履歴データ!$A$1171=""),"",B1172-B1171)</f>
        <v/>
      </c>
      <c r="L1172" s="28" t="str">
        <f>IF(OR(履歴データ!$A$1172="",履歴データ!$A$1171=""),"",C1172-C1171)</f>
        <v/>
      </c>
      <c r="M1172" s="28" t="str">
        <f>IF(OR(履歴データ!$A$1172="",履歴データ!$A$1171=""),"",D1172-D1171)</f>
        <v/>
      </c>
      <c r="N1172" s="28" t="str">
        <f>IF(OR(履歴データ!$A$1172="",履歴データ!$A$1171=""),"",E1172-E1171)</f>
        <v/>
      </c>
      <c r="O1172" s="28" t="str">
        <f>IF(OR(履歴データ!$A$1172="",履歴データ!$A$1171=""),"",F1172-F1171)</f>
        <v/>
      </c>
      <c r="P1172" s="28" t="str">
        <f>IF(OR(履歴データ!$A$1172="",履歴データ!$A$1171=""),"",G1172-G1171)</f>
        <v/>
      </c>
      <c r="Q1172" s="29" t="str">
        <f>IF(OR(履歴データ!$A$1172="",履歴データ!$A$1171=""),"",H1172-H1171)</f>
        <v/>
      </c>
      <c r="R1172" s="29" t="str">
        <f>IF(OR(履歴データ!$A$1172="",履歴データ!$A$1171=""),"",I1172-I1171)</f>
        <v/>
      </c>
      <c r="S1172" s="28" t="str">
        <f>IF(OR(履歴データ!$A$1172="",履歴データ!$A$1171=""),"",(J1172-J1171)*100)</f>
        <v/>
      </c>
      <c r="T1172" s="11" t="str">
        <f>IF(OR(履歴データ!$A$1172="",履歴データ!$A$1171=""),"",-80000*K1172)</f>
        <v/>
      </c>
      <c r="U1172" s="11" t="str">
        <f>IF(OR(履歴データ!$A$1172="",履歴データ!$A$1171=""),"",60000*L1172)</f>
        <v/>
      </c>
      <c r="V1172" s="11" t="str">
        <f>IF(OR(履歴データ!$A$1172="",履歴データ!$A$1171=""),"",-50000*M1172)</f>
        <v/>
      </c>
      <c r="W1172" s="11" t="str">
        <f>IF(OR(履歴データ!$A$1172="",履歴データ!$A$1171=""),"",-40000*N1172)</f>
        <v/>
      </c>
      <c r="X1172" s="11" t="str">
        <f>IF(OR(履歴データ!$A$1172="",履歴データ!$A$1171=""),"",120*1000000*(-Q1172/H1171))</f>
        <v/>
      </c>
      <c r="Y1172" s="11" t="str">
        <f>IF(OR(履歴データ!$A$1172="",履歴データ!$A$1171=""),"",40000*(-S1172)+(-506.3)*R1172*1000)</f>
        <v/>
      </c>
      <c r="Z1172" s="11" t="str">
        <f>IF(OR(履歴データ!$A$1172="",履歴データ!$A$1171=""),"",-40000*O1172)</f>
        <v/>
      </c>
      <c r="AA1172" s="11" t="str">
        <f>IF(OR(履歴データ!$A$1172="",履歴データ!$A$1171=""),"",-40000*P1172)</f>
        <v/>
      </c>
      <c r="AB1172" s="11" t="str">
        <f>IF(履歴データ!$A$1172="","",123.3)</f>
        <v/>
      </c>
      <c r="AC1172" t="str">
        <f>IF(履歴データ!$A$1172="","",SUM(T1172:AA1172))</f>
        <v/>
      </c>
      <c r="AD1172" s="29" t="str">
        <f>IF(履歴データ!$A$1172="","",AC1172/1000000)</f>
        <v/>
      </c>
      <c r="AE1172" s="29">
        <f>IF(履歴データ!$A$1172="",AE1171,AE1171+AC1172/1000000)</f>
        <v>70.844544225831427</v>
      </c>
      <c r="AF1172" s="12" t="str">
        <f>IF(OR(履歴データ!$A$1172="",AE1171=0),"",(AE1172-AE1171)/AE1171)</f>
        <v/>
      </c>
      <c r="AG1172" s="29">
        <f t="shared" si="48"/>
        <v>102.17217746631495</v>
      </c>
      <c r="AH1172" s="12" t="str">
        <f>IF(OR(履歴データ!$A$1172="",AG1172=0),"",AE1172/AG1172-1)</f>
        <v/>
      </c>
    </row>
    <row r="1173" spans="1:34">
      <c r="A1173" s="10" t="str">
        <f>IF(履歴データ!$A$1173="","",履歴データ!$A$1173)</f>
        <v/>
      </c>
      <c r="B1173" s="28" t="str">
        <f>IF(履歴データ!$A$1173="","",(履歴データ!$D$1173-(履歴データ!$B$1173+履歴データ!$F$1173)/2)*100)</f>
        <v/>
      </c>
      <c r="C1173" s="28" t="str">
        <f>IF(履歴データ!$A$1173="","",(履歴データ!$H$1173-(履歴データ!$G$1173+履歴データ!$J$1173)/2)*100)</f>
        <v/>
      </c>
      <c r="D1173" s="28" t="str">
        <f>IF(履歴データ!$A$1173="","",(履歴データ!$D$1173-履歴データ!$H$1173)*100)</f>
        <v/>
      </c>
      <c r="E1173" s="28" t="str">
        <f>IF(履歴データ!$A$1173="","",(履歴データ!$D$1173-履歴データ!$C$1173)*100)</f>
        <v/>
      </c>
      <c r="F1173" s="28" t="str">
        <f>IF(履歴データ!$A$1173="","",(履歴データ!$R$1173-履歴データ!$D$1173)*100)</f>
        <v/>
      </c>
      <c r="G1173" s="28" t="str">
        <f>IF(履歴データ!$A$1173="","",(履歴データ!$S$1173-履歴データ!$R$1173)*100)</f>
        <v/>
      </c>
      <c r="H1173" s="29" t="str">
        <f>IF(履歴データ!$A$1173="","",履歴データ!$O$1173)</f>
        <v/>
      </c>
      <c r="I1173" s="29" t="str">
        <f>IF(履歴データ!$A$1173="","",履歴データ!$Q$1173)</f>
        <v/>
      </c>
      <c r="J1173" s="29" t="str">
        <f>IF(履歴データ!$A$1173="","",履歴データ!$D$1173)</f>
        <v/>
      </c>
      <c r="K1173" s="28" t="str">
        <f>IF(OR(履歴データ!$A$1173="",履歴データ!$A$1172=""),"",B1173-B1172)</f>
        <v/>
      </c>
      <c r="L1173" s="28" t="str">
        <f>IF(OR(履歴データ!$A$1173="",履歴データ!$A$1172=""),"",C1173-C1172)</f>
        <v/>
      </c>
      <c r="M1173" s="28" t="str">
        <f>IF(OR(履歴データ!$A$1173="",履歴データ!$A$1172=""),"",D1173-D1172)</f>
        <v/>
      </c>
      <c r="N1173" s="28" t="str">
        <f>IF(OR(履歴データ!$A$1173="",履歴データ!$A$1172=""),"",E1173-E1172)</f>
        <v/>
      </c>
      <c r="O1173" s="28" t="str">
        <f>IF(OR(履歴データ!$A$1173="",履歴データ!$A$1172=""),"",F1173-F1172)</f>
        <v/>
      </c>
      <c r="P1173" s="28" t="str">
        <f>IF(OR(履歴データ!$A$1173="",履歴データ!$A$1172=""),"",G1173-G1172)</f>
        <v/>
      </c>
      <c r="Q1173" s="29" t="str">
        <f>IF(OR(履歴データ!$A$1173="",履歴データ!$A$1172=""),"",H1173-H1172)</f>
        <v/>
      </c>
      <c r="R1173" s="29" t="str">
        <f>IF(OR(履歴データ!$A$1173="",履歴データ!$A$1172=""),"",I1173-I1172)</f>
        <v/>
      </c>
      <c r="S1173" s="28" t="str">
        <f>IF(OR(履歴データ!$A$1173="",履歴データ!$A$1172=""),"",(J1173-J1172)*100)</f>
        <v/>
      </c>
      <c r="T1173" s="11" t="str">
        <f>IF(OR(履歴データ!$A$1173="",履歴データ!$A$1172=""),"",-80000*K1173)</f>
        <v/>
      </c>
      <c r="U1173" s="11" t="str">
        <f>IF(OR(履歴データ!$A$1173="",履歴データ!$A$1172=""),"",60000*L1173)</f>
        <v/>
      </c>
      <c r="V1173" s="11" t="str">
        <f>IF(OR(履歴データ!$A$1173="",履歴データ!$A$1172=""),"",-50000*M1173)</f>
        <v/>
      </c>
      <c r="W1173" s="11" t="str">
        <f>IF(OR(履歴データ!$A$1173="",履歴データ!$A$1172=""),"",-40000*N1173)</f>
        <v/>
      </c>
      <c r="X1173" s="11" t="str">
        <f>IF(OR(履歴データ!$A$1173="",履歴データ!$A$1172=""),"",120*1000000*(-Q1173/H1172))</f>
        <v/>
      </c>
      <c r="Y1173" s="11" t="str">
        <f>IF(OR(履歴データ!$A$1173="",履歴データ!$A$1172=""),"",40000*(-S1173)+(-506.3)*R1173*1000)</f>
        <v/>
      </c>
      <c r="Z1173" s="11" t="str">
        <f>IF(OR(履歴データ!$A$1173="",履歴データ!$A$1172=""),"",-40000*O1173)</f>
        <v/>
      </c>
      <c r="AA1173" s="11" t="str">
        <f>IF(OR(履歴データ!$A$1173="",履歴データ!$A$1172=""),"",-40000*P1173)</f>
        <v/>
      </c>
      <c r="AB1173" s="11" t="str">
        <f>IF(履歴データ!$A$1173="","",123.3)</f>
        <v/>
      </c>
      <c r="AC1173" t="str">
        <f>IF(履歴データ!$A$1173="","",SUM(T1173:AA1173))</f>
        <v/>
      </c>
      <c r="AD1173" s="29" t="str">
        <f>IF(履歴データ!$A$1173="","",AC1173/1000000)</f>
        <v/>
      </c>
      <c r="AE1173" s="29">
        <f>IF(履歴データ!$A$1173="",AE1172,AE1172+AC1173/1000000)</f>
        <v>70.844544225831427</v>
      </c>
      <c r="AF1173" s="12" t="str">
        <f>IF(OR(履歴データ!$A$1173="",AE1172=0),"",(AE1173-AE1172)/AE1172)</f>
        <v/>
      </c>
      <c r="AG1173" s="29">
        <f t="shared" si="48"/>
        <v>102.17217746631495</v>
      </c>
      <c r="AH1173" s="12" t="str">
        <f>IF(OR(履歴データ!$A$1173="",AG1173=0),"",AE1173/AG1173-1)</f>
        <v/>
      </c>
    </row>
    <row r="1174" spans="1:34">
      <c r="A1174" s="10" t="str">
        <f>IF(履歴データ!$A$1174="","",履歴データ!$A$1174)</f>
        <v/>
      </c>
      <c r="B1174" s="28" t="str">
        <f>IF(履歴データ!$A$1174="","",(履歴データ!$D$1174-(履歴データ!$B$1174+履歴データ!$F$1174)/2)*100)</f>
        <v/>
      </c>
      <c r="C1174" s="28" t="str">
        <f>IF(履歴データ!$A$1174="","",(履歴データ!$H$1174-(履歴データ!$G$1174+履歴データ!$J$1174)/2)*100)</f>
        <v/>
      </c>
      <c r="D1174" s="28" t="str">
        <f>IF(履歴データ!$A$1174="","",(履歴データ!$D$1174-履歴データ!$H$1174)*100)</f>
        <v/>
      </c>
      <c r="E1174" s="28" t="str">
        <f>IF(履歴データ!$A$1174="","",(履歴データ!$D$1174-履歴データ!$C$1174)*100)</f>
        <v/>
      </c>
      <c r="F1174" s="28" t="str">
        <f>IF(履歴データ!$A$1174="","",(履歴データ!$R$1174-履歴データ!$D$1174)*100)</f>
        <v/>
      </c>
      <c r="G1174" s="28" t="str">
        <f>IF(履歴データ!$A$1174="","",(履歴データ!$S$1174-履歴データ!$R$1174)*100)</f>
        <v/>
      </c>
      <c r="H1174" s="29" t="str">
        <f>IF(履歴データ!$A$1174="","",履歴データ!$O$1174)</f>
        <v/>
      </c>
      <c r="I1174" s="29" t="str">
        <f>IF(履歴データ!$A$1174="","",履歴データ!$Q$1174)</f>
        <v/>
      </c>
      <c r="J1174" s="29" t="str">
        <f>IF(履歴データ!$A$1174="","",履歴データ!$D$1174)</f>
        <v/>
      </c>
      <c r="K1174" s="28" t="str">
        <f>IF(OR(履歴データ!$A$1174="",履歴データ!$A$1173=""),"",B1174-B1173)</f>
        <v/>
      </c>
      <c r="L1174" s="28" t="str">
        <f>IF(OR(履歴データ!$A$1174="",履歴データ!$A$1173=""),"",C1174-C1173)</f>
        <v/>
      </c>
      <c r="M1174" s="28" t="str">
        <f>IF(OR(履歴データ!$A$1174="",履歴データ!$A$1173=""),"",D1174-D1173)</f>
        <v/>
      </c>
      <c r="N1174" s="28" t="str">
        <f>IF(OR(履歴データ!$A$1174="",履歴データ!$A$1173=""),"",E1174-E1173)</f>
        <v/>
      </c>
      <c r="O1174" s="28" t="str">
        <f>IF(OR(履歴データ!$A$1174="",履歴データ!$A$1173=""),"",F1174-F1173)</f>
        <v/>
      </c>
      <c r="P1174" s="28" t="str">
        <f>IF(OR(履歴データ!$A$1174="",履歴データ!$A$1173=""),"",G1174-G1173)</f>
        <v/>
      </c>
      <c r="Q1174" s="29" t="str">
        <f>IF(OR(履歴データ!$A$1174="",履歴データ!$A$1173=""),"",H1174-H1173)</f>
        <v/>
      </c>
      <c r="R1174" s="29" t="str">
        <f>IF(OR(履歴データ!$A$1174="",履歴データ!$A$1173=""),"",I1174-I1173)</f>
        <v/>
      </c>
      <c r="S1174" s="28" t="str">
        <f>IF(OR(履歴データ!$A$1174="",履歴データ!$A$1173=""),"",(J1174-J1173)*100)</f>
        <v/>
      </c>
      <c r="T1174" s="11" t="str">
        <f>IF(OR(履歴データ!$A$1174="",履歴データ!$A$1173=""),"",-80000*K1174)</f>
        <v/>
      </c>
      <c r="U1174" s="11" t="str">
        <f>IF(OR(履歴データ!$A$1174="",履歴データ!$A$1173=""),"",60000*L1174)</f>
        <v/>
      </c>
      <c r="V1174" s="11" t="str">
        <f>IF(OR(履歴データ!$A$1174="",履歴データ!$A$1173=""),"",-50000*M1174)</f>
        <v/>
      </c>
      <c r="W1174" s="11" t="str">
        <f>IF(OR(履歴データ!$A$1174="",履歴データ!$A$1173=""),"",-40000*N1174)</f>
        <v/>
      </c>
      <c r="X1174" s="11" t="str">
        <f>IF(OR(履歴データ!$A$1174="",履歴データ!$A$1173=""),"",120*1000000*(-Q1174/H1173))</f>
        <v/>
      </c>
      <c r="Y1174" s="11" t="str">
        <f>IF(OR(履歴データ!$A$1174="",履歴データ!$A$1173=""),"",40000*(-S1174)+(-506.3)*R1174*1000)</f>
        <v/>
      </c>
      <c r="Z1174" s="11" t="str">
        <f>IF(OR(履歴データ!$A$1174="",履歴データ!$A$1173=""),"",-40000*O1174)</f>
        <v/>
      </c>
      <c r="AA1174" s="11" t="str">
        <f>IF(OR(履歴データ!$A$1174="",履歴データ!$A$1173=""),"",-40000*P1174)</f>
        <v/>
      </c>
      <c r="AB1174" s="11" t="str">
        <f>IF(履歴データ!$A$1174="","",123.3)</f>
        <v/>
      </c>
      <c r="AC1174" t="str">
        <f>IF(履歴データ!$A$1174="","",SUM(T1174:AA1174))</f>
        <v/>
      </c>
      <c r="AD1174" s="29" t="str">
        <f>IF(履歴データ!$A$1174="","",AC1174/1000000)</f>
        <v/>
      </c>
      <c r="AE1174" s="29">
        <f>IF(履歴データ!$A$1174="",AE1173,AE1173+AC1174/1000000)</f>
        <v>70.844544225831427</v>
      </c>
      <c r="AF1174" s="12" t="str">
        <f>IF(OR(履歴データ!$A$1174="",AE1173=0),"",(AE1174-AE1173)/AE1173)</f>
        <v/>
      </c>
      <c r="AG1174" s="29">
        <f t="shared" si="48"/>
        <v>102.17217746631495</v>
      </c>
      <c r="AH1174" s="12" t="str">
        <f>IF(OR(履歴データ!$A$1174="",AG1174=0),"",AE1174/AG1174-1)</f>
        <v/>
      </c>
    </row>
    <row r="1175" spans="1:34">
      <c r="A1175" s="10" t="str">
        <f>IF(履歴データ!$A$1175="","",履歴データ!$A$1175)</f>
        <v/>
      </c>
      <c r="B1175" s="28" t="str">
        <f>IF(履歴データ!$A$1175="","",(履歴データ!$D$1175-(履歴データ!$B$1175+履歴データ!$F$1175)/2)*100)</f>
        <v/>
      </c>
      <c r="C1175" s="28" t="str">
        <f>IF(履歴データ!$A$1175="","",(履歴データ!$H$1175-(履歴データ!$G$1175+履歴データ!$J$1175)/2)*100)</f>
        <v/>
      </c>
      <c r="D1175" s="28" t="str">
        <f>IF(履歴データ!$A$1175="","",(履歴データ!$D$1175-履歴データ!$H$1175)*100)</f>
        <v/>
      </c>
      <c r="E1175" s="28" t="str">
        <f>IF(履歴データ!$A$1175="","",(履歴データ!$D$1175-履歴データ!$C$1175)*100)</f>
        <v/>
      </c>
      <c r="F1175" s="28" t="str">
        <f>IF(履歴データ!$A$1175="","",(履歴データ!$R$1175-履歴データ!$D$1175)*100)</f>
        <v/>
      </c>
      <c r="G1175" s="28" t="str">
        <f>IF(履歴データ!$A$1175="","",(履歴データ!$S$1175-履歴データ!$R$1175)*100)</f>
        <v/>
      </c>
      <c r="H1175" s="29" t="str">
        <f>IF(履歴データ!$A$1175="","",履歴データ!$O$1175)</f>
        <v/>
      </c>
      <c r="I1175" s="29" t="str">
        <f>IF(履歴データ!$A$1175="","",履歴データ!$Q$1175)</f>
        <v/>
      </c>
      <c r="J1175" s="29" t="str">
        <f>IF(履歴データ!$A$1175="","",履歴データ!$D$1175)</f>
        <v/>
      </c>
      <c r="K1175" s="28" t="str">
        <f>IF(OR(履歴データ!$A$1175="",履歴データ!$A$1174=""),"",B1175-B1174)</f>
        <v/>
      </c>
      <c r="L1175" s="28" t="str">
        <f>IF(OR(履歴データ!$A$1175="",履歴データ!$A$1174=""),"",C1175-C1174)</f>
        <v/>
      </c>
      <c r="M1175" s="28" t="str">
        <f>IF(OR(履歴データ!$A$1175="",履歴データ!$A$1174=""),"",D1175-D1174)</f>
        <v/>
      </c>
      <c r="N1175" s="28" t="str">
        <f>IF(OR(履歴データ!$A$1175="",履歴データ!$A$1174=""),"",E1175-E1174)</f>
        <v/>
      </c>
      <c r="O1175" s="28" t="str">
        <f>IF(OR(履歴データ!$A$1175="",履歴データ!$A$1174=""),"",F1175-F1174)</f>
        <v/>
      </c>
      <c r="P1175" s="28" t="str">
        <f>IF(OR(履歴データ!$A$1175="",履歴データ!$A$1174=""),"",G1175-G1174)</f>
        <v/>
      </c>
      <c r="Q1175" s="29" t="str">
        <f>IF(OR(履歴データ!$A$1175="",履歴データ!$A$1174=""),"",H1175-H1174)</f>
        <v/>
      </c>
      <c r="R1175" s="29" t="str">
        <f>IF(OR(履歴データ!$A$1175="",履歴データ!$A$1174=""),"",I1175-I1174)</f>
        <v/>
      </c>
      <c r="S1175" s="28" t="str">
        <f>IF(OR(履歴データ!$A$1175="",履歴データ!$A$1174=""),"",(J1175-J1174)*100)</f>
        <v/>
      </c>
      <c r="T1175" s="11" t="str">
        <f>IF(OR(履歴データ!$A$1175="",履歴データ!$A$1174=""),"",-80000*K1175)</f>
        <v/>
      </c>
      <c r="U1175" s="11" t="str">
        <f>IF(OR(履歴データ!$A$1175="",履歴データ!$A$1174=""),"",60000*L1175)</f>
        <v/>
      </c>
      <c r="V1175" s="11" t="str">
        <f>IF(OR(履歴データ!$A$1175="",履歴データ!$A$1174=""),"",-50000*M1175)</f>
        <v/>
      </c>
      <c r="W1175" s="11" t="str">
        <f>IF(OR(履歴データ!$A$1175="",履歴データ!$A$1174=""),"",-40000*N1175)</f>
        <v/>
      </c>
      <c r="X1175" s="11" t="str">
        <f>IF(OR(履歴データ!$A$1175="",履歴データ!$A$1174=""),"",120*1000000*(-Q1175/H1174))</f>
        <v/>
      </c>
      <c r="Y1175" s="11" t="str">
        <f>IF(OR(履歴データ!$A$1175="",履歴データ!$A$1174=""),"",40000*(-S1175)+(-506.3)*R1175*1000)</f>
        <v/>
      </c>
      <c r="Z1175" s="11" t="str">
        <f>IF(OR(履歴データ!$A$1175="",履歴データ!$A$1174=""),"",-40000*O1175)</f>
        <v/>
      </c>
      <c r="AA1175" s="11" t="str">
        <f>IF(OR(履歴データ!$A$1175="",履歴データ!$A$1174=""),"",-40000*P1175)</f>
        <v/>
      </c>
      <c r="AB1175" s="11" t="str">
        <f>IF(履歴データ!$A$1175="","",123.3)</f>
        <v/>
      </c>
      <c r="AC1175" t="str">
        <f>IF(履歴データ!$A$1175="","",SUM(T1175:AA1175))</f>
        <v/>
      </c>
      <c r="AD1175" s="29" t="str">
        <f>IF(履歴データ!$A$1175="","",AC1175/1000000)</f>
        <v/>
      </c>
      <c r="AE1175" s="29">
        <f>IF(履歴データ!$A$1175="",AE1174,AE1174+AC1175/1000000)</f>
        <v>70.844544225831427</v>
      </c>
      <c r="AF1175" s="12" t="str">
        <f>IF(OR(履歴データ!$A$1175="",AE1174=0),"",(AE1175-AE1174)/AE1174)</f>
        <v/>
      </c>
      <c r="AG1175" s="29">
        <f t="shared" si="48"/>
        <v>102.17217746631495</v>
      </c>
      <c r="AH1175" s="12" t="str">
        <f>IF(OR(履歴データ!$A$1175="",AG1175=0),"",AE1175/AG1175-1)</f>
        <v/>
      </c>
    </row>
    <row r="1176" spans="1:34">
      <c r="A1176" s="10" t="str">
        <f>IF(履歴データ!$A$1176="","",履歴データ!$A$1176)</f>
        <v/>
      </c>
      <c r="B1176" s="28" t="str">
        <f>IF(履歴データ!$A$1176="","",(履歴データ!$D$1176-(履歴データ!$B$1176+履歴データ!$F$1176)/2)*100)</f>
        <v/>
      </c>
      <c r="C1176" s="28" t="str">
        <f>IF(履歴データ!$A$1176="","",(履歴データ!$H$1176-(履歴データ!$G$1176+履歴データ!$J$1176)/2)*100)</f>
        <v/>
      </c>
      <c r="D1176" s="28" t="str">
        <f>IF(履歴データ!$A$1176="","",(履歴データ!$D$1176-履歴データ!$H$1176)*100)</f>
        <v/>
      </c>
      <c r="E1176" s="28" t="str">
        <f>IF(履歴データ!$A$1176="","",(履歴データ!$D$1176-履歴データ!$C$1176)*100)</f>
        <v/>
      </c>
      <c r="F1176" s="28" t="str">
        <f>IF(履歴データ!$A$1176="","",(履歴データ!$R$1176-履歴データ!$D$1176)*100)</f>
        <v/>
      </c>
      <c r="G1176" s="28" t="str">
        <f>IF(履歴データ!$A$1176="","",(履歴データ!$S$1176-履歴データ!$R$1176)*100)</f>
        <v/>
      </c>
      <c r="H1176" s="29" t="str">
        <f>IF(履歴データ!$A$1176="","",履歴データ!$O$1176)</f>
        <v/>
      </c>
      <c r="I1176" s="29" t="str">
        <f>IF(履歴データ!$A$1176="","",履歴データ!$Q$1176)</f>
        <v/>
      </c>
      <c r="J1176" s="29" t="str">
        <f>IF(履歴データ!$A$1176="","",履歴データ!$D$1176)</f>
        <v/>
      </c>
      <c r="K1176" s="28" t="str">
        <f>IF(OR(履歴データ!$A$1176="",履歴データ!$A$1175=""),"",B1176-B1175)</f>
        <v/>
      </c>
      <c r="L1176" s="28" t="str">
        <f>IF(OR(履歴データ!$A$1176="",履歴データ!$A$1175=""),"",C1176-C1175)</f>
        <v/>
      </c>
      <c r="M1176" s="28" t="str">
        <f>IF(OR(履歴データ!$A$1176="",履歴データ!$A$1175=""),"",D1176-D1175)</f>
        <v/>
      </c>
      <c r="N1176" s="28" t="str">
        <f>IF(OR(履歴データ!$A$1176="",履歴データ!$A$1175=""),"",E1176-E1175)</f>
        <v/>
      </c>
      <c r="O1176" s="28" t="str">
        <f>IF(OR(履歴データ!$A$1176="",履歴データ!$A$1175=""),"",F1176-F1175)</f>
        <v/>
      </c>
      <c r="P1176" s="28" t="str">
        <f>IF(OR(履歴データ!$A$1176="",履歴データ!$A$1175=""),"",G1176-G1175)</f>
        <v/>
      </c>
      <c r="Q1176" s="29" t="str">
        <f>IF(OR(履歴データ!$A$1176="",履歴データ!$A$1175=""),"",H1176-H1175)</f>
        <v/>
      </c>
      <c r="R1176" s="29" t="str">
        <f>IF(OR(履歴データ!$A$1176="",履歴データ!$A$1175=""),"",I1176-I1175)</f>
        <v/>
      </c>
      <c r="S1176" s="28" t="str">
        <f>IF(OR(履歴データ!$A$1176="",履歴データ!$A$1175=""),"",(J1176-J1175)*100)</f>
        <v/>
      </c>
      <c r="T1176" s="11" t="str">
        <f>IF(OR(履歴データ!$A$1176="",履歴データ!$A$1175=""),"",-80000*K1176)</f>
        <v/>
      </c>
      <c r="U1176" s="11" t="str">
        <f>IF(OR(履歴データ!$A$1176="",履歴データ!$A$1175=""),"",60000*L1176)</f>
        <v/>
      </c>
      <c r="V1176" s="11" t="str">
        <f>IF(OR(履歴データ!$A$1176="",履歴データ!$A$1175=""),"",-50000*M1176)</f>
        <v/>
      </c>
      <c r="W1176" s="11" t="str">
        <f>IF(OR(履歴データ!$A$1176="",履歴データ!$A$1175=""),"",-40000*N1176)</f>
        <v/>
      </c>
      <c r="X1176" s="11" t="str">
        <f>IF(OR(履歴データ!$A$1176="",履歴データ!$A$1175=""),"",120*1000000*(-Q1176/H1175))</f>
        <v/>
      </c>
      <c r="Y1176" s="11" t="str">
        <f>IF(OR(履歴データ!$A$1176="",履歴データ!$A$1175=""),"",40000*(-S1176)+(-506.3)*R1176*1000)</f>
        <v/>
      </c>
      <c r="Z1176" s="11" t="str">
        <f>IF(OR(履歴データ!$A$1176="",履歴データ!$A$1175=""),"",-40000*O1176)</f>
        <v/>
      </c>
      <c r="AA1176" s="11" t="str">
        <f>IF(OR(履歴データ!$A$1176="",履歴データ!$A$1175=""),"",-40000*P1176)</f>
        <v/>
      </c>
      <c r="AB1176" s="11" t="str">
        <f>IF(履歴データ!$A$1176="","",123.3)</f>
        <v/>
      </c>
      <c r="AC1176" t="str">
        <f>IF(履歴データ!$A$1176="","",SUM(T1176:AA1176))</f>
        <v/>
      </c>
      <c r="AD1176" s="29" t="str">
        <f>IF(履歴データ!$A$1176="","",AC1176/1000000)</f>
        <v/>
      </c>
      <c r="AE1176" s="29">
        <f>IF(履歴データ!$A$1176="",AE1175,AE1175+AC1176/1000000)</f>
        <v>70.844544225831427</v>
      </c>
      <c r="AF1176" s="12" t="str">
        <f>IF(OR(履歴データ!$A$1176="",AE1175=0),"",(AE1176-AE1175)/AE1175)</f>
        <v/>
      </c>
      <c r="AG1176" s="29">
        <f t="shared" si="48"/>
        <v>102.17217746631495</v>
      </c>
      <c r="AH1176" s="12" t="str">
        <f>IF(OR(履歴データ!$A$1176="",AG1176=0),"",AE1176/AG1176-1)</f>
        <v/>
      </c>
    </row>
    <row r="1177" spans="1:34">
      <c r="A1177" s="10" t="str">
        <f>IF(履歴データ!$A$1177="","",履歴データ!$A$1177)</f>
        <v/>
      </c>
      <c r="B1177" s="28" t="str">
        <f>IF(履歴データ!$A$1177="","",(履歴データ!$D$1177-(履歴データ!$B$1177+履歴データ!$F$1177)/2)*100)</f>
        <v/>
      </c>
      <c r="C1177" s="28" t="str">
        <f>IF(履歴データ!$A$1177="","",(履歴データ!$H$1177-(履歴データ!$G$1177+履歴データ!$J$1177)/2)*100)</f>
        <v/>
      </c>
      <c r="D1177" s="28" t="str">
        <f>IF(履歴データ!$A$1177="","",(履歴データ!$D$1177-履歴データ!$H$1177)*100)</f>
        <v/>
      </c>
      <c r="E1177" s="28" t="str">
        <f>IF(履歴データ!$A$1177="","",(履歴データ!$D$1177-履歴データ!$C$1177)*100)</f>
        <v/>
      </c>
      <c r="F1177" s="28" t="str">
        <f>IF(履歴データ!$A$1177="","",(履歴データ!$R$1177-履歴データ!$D$1177)*100)</f>
        <v/>
      </c>
      <c r="G1177" s="28" t="str">
        <f>IF(履歴データ!$A$1177="","",(履歴データ!$S$1177-履歴データ!$R$1177)*100)</f>
        <v/>
      </c>
      <c r="H1177" s="29" t="str">
        <f>IF(履歴データ!$A$1177="","",履歴データ!$O$1177)</f>
        <v/>
      </c>
      <c r="I1177" s="29" t="str">
        <f>IF(履歴データ!$A$1177="","",履歴データ!$Q$1177)</f>
        <v/>
      </c>
      <c r="J1177" s="29" t="str">
        <f>IF(履歴データ!$A$1177="","",履歴データ!$D$1177)</f>
        <v/>
      </c>
      <c r="K1177" s="28" t="str">
        <f>IF(OR(履歴データ!$A$1177="",履歴データ!$A$1176=""),"",B1177-B1176)</f>
        <v/>
      </c>
      <c r="L1177" s="28" t="str">
        <f>IF(OR(履歴データ!$A$1177="",履歴データ!$A$1176=""),"",C1177-C1176)</f>
        <v/>
      </c>
      <c r="M1177" s="28" t="str">
        <f>IF(OR(履歴データ!$A$1177="",履歴データ!$A$1176=""),"",D1177-D1176)</f>
        <v/>
      </c>
      <c r="N1177" s="28" t="str">
        <f>IF(OR(履歴データ!$A$1177="",履歴データ!$A$1176=""),"",E1177-E1176)</f>
        <v/>
      </c>
      <c r="O1177" s="28" t="str">
        <f>IF(OR(履歴データ!$A$1177="",履歴データ!$A$1176=""),"",F1177-F1176)</f>
        <v/>
      </c>
      <c r="P1177" s="28" t="str">
        <f>IF(OR(履歴データ!$A$1177="",履歴データ!$A$1176=""),"",G1177-G1176)</f>
        <v/>
      </c>
      <c r="Q1177" s="29" t="str">
        <f>IF(OR(履歴データ!$A$1177="",履歴データ!$A$1176=""),"",H1177-H1176)</f>
        <v/>
      </c>
      <c r="R1177" s="29" t="str">
        <f>IF(OR(履歴データ!$A$1177="",履歴データ!$A$1176=""),"",I1177-I1176)</f>
        <v/>
      </c>
      <c r="S1177" s="28" t="str">
        <f>IF(OR(履歴データ!$A$1177="",履歴データ!$A$1176=""),"",(J1177-J1176)*100)</f>
        <v/>
      </c>
      <c r="T1177" s="11" t="str">
        <f>IF(OR(履歴データ!$A$1177="",履歴データ!$A$1176=""),"",-80000*K1177)</f>
        <v/>
      </c>
      <c r="U1177" s="11" t="str">
        <f>IF(OR(履歴データ!$A$1177="",履歴データ!$A$1176=""),"",60000*L1177)</f>
        <v/>
      </c>
      <c r="V1177" s="11" t="str">
        <f>IF(OR(履歴データ!$A$1177="",履歴データ!$A$1176=""),"",-50000*M1177)</f>
        <v/>
      </c>
      <c r="W1177" s="11" t="str">
        <f>IF(OR(履歴データ!$A$1177="",履歴データ!$A$1176=""),"",-40000*N1177)</f>
        <v/>
      </c>
      <c r="X1177" s="11" t="str">
        <f>IF(OR(履歴データ!$A$1177="",履歴データ!$A$1176=""),"",120*1000000*(-Q1177/H1176))</f>
        <v/>
      </c>
      <c r="Y1177" s="11" t="str">
        <f>IF(OR(履歴データ!$A$1177="",履歴データ!$A$1176=""),"",40000*(-S1177)+(-506.3)*R1177*1000)</f>
        <v/>
      </c>
      <c r="Z1177" s="11" t="str">
        <f>IF(OR(履歴データ!$A$1177="",履歴データ!$A$1176=""),"",-40000*O1177)</f>
        <v/>
      </c>
      <c r="AA1177" s="11" t="str">
        <f>IF(OR(履歴データ!$A$1177="",履歴データ!$A$1176=""),"",-40000*P1177)</f>
        <v/>
      </c>
      <c r="AB1177" s="11" t="str">
        <f>IF(履歴データ!$A$1177="","",123.3)</f>
        <v/>
      </c>
      <c r="AC1177" t="str">
        <f>IF(履歴データ!$A$1177="","",SUM(T1177:AA1177))</f>
        <v/>
      </c>
      <c r="AD1177" s="29" t="str">
        <f>IF(履歴データ!$A$1177="","",AC1177/1000000)</f>
        <v/>
      </c>
      <c r="AE1177" s="29">
        <f>IF(履歴データ!$A$1177="",AE1176,AE1176+AC1177/1000000)</f>
        <v>70.844544225831427</v>
      </c>
      <c r="AF1177" s="12" t="str">
        <f>IF(OR(履歴データ!$A$1177="",AE1176=0),"",(AE1177-AE1176)/AE1176)</f>
        <v/>
      </c>
      <c r="AG1177" s="29">
        <f t="shared" si="48"/>
        <v>102.17217746631495</v>
      </c>
      <c r="AH1177" s="12" t="str">
        <f>IF(OR(履歴データ!$A$1177="",AG1177=0),"",AE1177/AG1177-1)</f>
        <v/>
      </c>
    </row>
    <row r="1178" spans="1:34">
      <c r="A1178" s="10" t="str">
        <f>IF(履歴データ!$A$1178="","",履歴データ!$A$1178)</f>
        <v/>
      </c>
      <c r="B1178" s="28" t="str">
        <f>IF(履歴データ!$A$1178="","",(履歴データ!$D$1178-(履歴データ!$B$1178+履歴データ!$F$1178)/2)*100)</f>
        <v/>
      </c>
      <c r="C1178" s="28" t="str">
        <f>IF(履歴データ!$A$1178="","",(履歴データ!$H$1178-(履歴データ!$G$1178+履歴データ!$J$1178)/2)*100)</f>
        <v/>
      </c>
      <c r="D1178" s="28" t="str">
        <f>IF(履歴データ!$A$1178="","",(履歴データ!$D$1178-履歴データ!$H$1178)*100)</f>
        <v/>
      </c>
      <c r="E1178" s="28" t="str">
        <f>IF(履歴データ!$A$1178="","",(履歴データ!$D$1178-履歴データ!$C$1178)*100)</f>
        <v/>
      </c>
      <c r="F1178" s="28" t="str">
        <f>IF(履歴データ!$A$1178="","",(履歴データ!$R$1178-履歴データ!$D$1178)*100)</f>
        <v/>
      </c>
      <c r="G1178" s="28" t="str">
        <f>IF(履歴データ!$A$1178="","",(履歴データ!$S$1178-履歴データ!$R$1178)*100)</f>
        <v/>
      </c>
      <c r="H1178" s="29" t="str">
        <f>IF(履歴データ!$A$1178="","",履歴データ!$O$1178)</f>
        <v/>
      </c>
      <c r="I1178" s="29" t="str">
        <f>IF(履歴データ!$A$1178="","",履歴データ!$Q$1178)</f>
        <v/>
      </c>
      <c r="J1178" s="29" t="str">
        <f>IF(履歴データ!$A$1178="","",履歴データ!$D$1178)</f>
        <v/>
      </c>
      <c r="K1178" s="28" t="str">
        <f>IF(OR(履歴データ!$A$1178="",履歴データ!$A$1177=""),"",B1178-B1177)</f>
        <v/>
      </c>
      <c r="L1178" s="28" t="str">
        <f>IF(OR(履歴データ!$A$1178="",履歴データ!$A$1177=""),"",C1178-C1177)</f>
        <v/>
      </c>
      <c r="M1178" s="28" t="str">
        <f>IF(OR(履歴データ!$A$1178="",履歴データ!$A$1177=""),"",D1178-D1177)</f>
        <v/>
      </c>
      <c r="N1178" s="28" t="str">
        <f>IF(OR(履歴データ!$A$1178="",履歴データ!$A$1177=""),"",E1178-E1177)</f>
        <v/>
      </c>
      <c r="O1178" s="28" t="str">
        <f>IF(OR(履歴データ!$A$1178="",履歴データ!$A$1177=""),"",F1178-F1177)</f>
        <v/>
      </c>
      <c r="P1178" s="28" t="str">
        <f>IF(OR(履歴データ!$A$1178="",履歴データ!$A$1177=""),"",G1178-G1177)</f>
        <v/>
      </c>
      <c r="Q1178" s="29" t="str">
        <f>IF(OR(履歴データ!$A$1178="",履歴データ!$A$1177=""),"",H1178-H1177)</f>
        <v/>
      </c>
      <c r="R1178" s="29" t="str">
        <f>IF(OR(履歴データ!$A$1178="",履歴データ!$A$1177=""),"",I1178-I1177)</f>
        <v/>
      </c>
      <c r="S1178" s="28" t="str">
        <f>IF(OR(履歴データ!$A$1178="",履歴データ!$A$1177=""),"",(J1178-J1177)*100)</f>
        <v/>
      </c>
      <c r="T1178" s="11" t="str">
        <f>IF(OR(履歴データ!$A$1178="",履歴データ!$A$1177=""),"",-80000*K1178)</f>
        <v/>
      </c>
      <c r="U1178" s="11" t="str">
        <f>IF(OR(履歴データ!$A$1178="",履歴データ!$A$1177=""),"",60000*L1178)</f>
        <v/>
      </c>
      <c r="V1178" s="11" t="str">
        <f>IF(OR(履歴データ!$A$1178="",履歴データ!$A$1177=""),"",-50000*M1178)</f>
        <v/>
      </c>
      <c r="W1178" s="11" t="str">
        <f>IF(OR(履歴データ!$A$1178="",履歴データ!$A$1177=""),"",-40000*N1178)</f>
        <v/>
      </c>
      <c r="X1178" s="11" t="str">
        <f>IF(OR(履歴データ!$A$1178="",履歴データ!$A$1177=""),"",120*1000000*(-Q1178/H1177))</f>
        <v/>
      </c>
      <c r="Y1178" s="11" t="str">
        <f>IF(OR(履歴データ!$A$1178="",履歴データ!$A$1177=""),"",40000*(-S1178)+(-506.3)*R1178*1000)</f>
        <v/>
      </c>
      <c r="Z1178" s="11" t="str">
        <f>IF(OR(履歴データ!$A$1178="",履歴データ!$A$1177=""),"",-40000*O1178)</f>
        <v/>
      </c>
      <c r="AA1178" s="11" t="str">
        <f>IF(OR(履歴データ!$A$1178="",履歴データ!$A$1177=""),"",-40000*P1178)</f>
        <v/>
      </c>
      <c r="AB1178" s="11" t="str">
        <f>IF(履歴データ!$A$1178="","",123.3)</f>
        <v/>
      </c>
      <c r="AC1178" t="str">
        <f>IF(履歴データ!$A$1178="","",SUM(T1178:AA1178))</f>
        <v/>
      </c>
      <c r="AD1178" s="29" t="str">
        <f>IF(履歴データ!$A$1178="","",AC1178/1000000)</f>
        <v/>
      </c>
      <c r="AE1178" s="29">
        <f>IF(履歴データ!$A$1178="",AE1177,AE1177+AC1178/1000000)</f>
        <v>70.844544225831427</v>
      </c>
      <c r="AF1178" s="12" t="str">
        <f>IF(OR(履歴データ!$A$1178="",AE1177=0),"",(AE1178-AE1177)/AE1177)</f>
        <v/>
      </c>
      <c r="AG1178" s="29">
        <f t="shared" si="48"/>
        <v>102.17217746631495</v>
      </c>
      <c r="AH1178" s="12" t="str">
        <f>IF(OR(履歴データ!$A$1178="",AG1178=0),"",AE1178/AG1178-1)</f>
        <v/>
      </c>
    </row>
    <row r="1179" spans="1:34">
      <c r="A1179" s="10" t="str">
        <f>IF(履歴データ!$A$1179="","",履歴データ!$A$1179)</f>
        <v/>
      </c>
      <c r="B1179" s="28" t="str">
        <f>IF(履歴データ!$A$1179="","",(履歴データ!$D$1179-(履歴データ!$B$1179+履歴データ!$F$1179)/2)*100)</f>
        <v/>
      </c>
      <c r="C1179" s="28" t="str">
        <f>IF(履歴データ!$A$1179="","",(履歴データ!$H$1179-(履歴データ!$G$1179+履歴データ!$J$1179)/2)*100)</f>
        <v/>
      </c>
      <c r="D1179" s="28" t="str">
        <f>IF(履歴データ!$A$1179="","",(履歴データ!$D$1179-履歴データ!$H$1179)*100)</f>
        <v/>
      </c>
      <c r="E1179" s="28" t="str">
        <f>IF(履歴データ!$A$1179="","",(履歴データ!$D$1179-履歴データ!$C$1179)*100)</f>
        <v/>
      </c>
      <c r="F1179" s="28" t="str">
        <f>IF(履歴データ!$A$1179="","",(履歴データ!$R$1179-履歴データ!$D$1179)*100)</f>
        <v/>
      </c>
      <c r="G1179" s="28" t="str">
        <f>IF(履歴データ!$A$1179="","",(履歴データ!$S$1179-履歴データ!$R$1179)*100)</f>
        <v/>
      </c>
      <c r="H1179" s="29" t="str">
        <f>IF(履歴データ!$A$1179="","",履歴データ!$O$1179)</f>
        <v/>
      </c>
      <c r="I1179" s="29" t="str">
        <f>IF(履歴データ!$A$1179="","",履歴データ!$Q$1179)</f>
        <v/>
      </c>
      <c r="J1179" s="29" t="str">
        <f>IF(履歴データ!$A$1179="","",履歴データ!$D$1179)</f>
        <v/>
      </c>
      <c r="K1179" s="28" t="str">
        <f>IF(OR(履歴データ!$A$1179="",履歴データ!$A$1178=""),"",B1179-B1178)</f>
        <v/>
      </c>
      <c r="L1179" s="28" t="str">
        <f>IF(OR(履歴データ!$A$1179="",履歴データ!$A$1178=""),"",C1179-C1178)</f>
        <v/>
      </c>
      <c r="M1179" s="28" t="str">
        <f>IF(OR(履歴データ!$A$1179="",履歴データ!$A$1178=""),"",D1179-D1178)</f>
        <v/>
      </c>
      <c r="N1179" s="28" t="str">
        <f>IF(OR(履歴データ!$A$1179="",履歴データ!$A$1178=""),"",E1179-E1178)</f>
        <v/>
      </c>
      <c r="O1179" s="28" t="str">
        <f>IF(OR(履歴データ!$A$1179="",履歴データ!$A$1178=""),"",F1179-F1178)</f>
        <v/>
      </c>
      <c r="P1179" s="28" t="str">
        <f>IF(OR(履歴データ!$A$1179="",履歴データ!$A$1178=""),"",G1179-G1178)</f>
        <v/>
      </c>
      <c r="Q1179" s="29" t="str">
        <f>IF(OR(履歴データ!$A$1179="",履歴データ!$A$1178=""),"",H1179-H1178)</f>
        <v/>
      </c>
      <c r="R1179" s="29" t="str">
        <f>IF(OR(履歴データ!$A$1179="",履歴データ!$A$1178=""),"",I1179-I1178)</f>
        <v/>
      </c>
      <c r="S1179" s="28" t="str">
        <f>IF(OR(履歴データ!$A$1179="",履歴データ!$A$1178=""),"",(J1179-J1178)*100)</f>
        <v/>
      </c>
      <c r="T1179" s="11" t="str">
        <f>IF(OR(履歴データ!$A$1179="",履歴データ!$A$1178=""),"",-80000*K1179)</f>
        <v/>
      </c>
      <c r="U1179" s="11" t="str">
        <f>IF(OR(履歴データ!$A$1179="",履歴データ!$A$1178=""),"",60000*L1179)</f>
        <v/>
      </c>
      <c r="V1179" s="11" t="str">
        <f>IF(OR(履歴データ!$A$1179="",履歴データ!$A$1178=""),"",-50000*M1179)</f>
        <v/>
      </c>
      <c r="W1179" s="11" t="str">
        <f>IF(OR(履歴データ!$A$1179="",履歴データ!$A$1178=""),"",-40000*N1179)</f>
        <v/>
      </c>
      <c r="X1179" s="11" t="str">
        <f>IF(OR(履歴データ!$A$1179="",履歴データ!$A$1178=""),"",120*1000000*(-Q1179/H1178))</f>
        <v/>
      </c>
      <c r="Y1179" s="11" t="str">
        <f>IF(OR(履歴データ!$A$1179="",履歴データ!$A$1178=""),"",40000*(-S1179)+(-506.3)*R1179*1000)</f>
        <v/>
      </c>
      <c r="Z1179" s="11" t="str">
        <f>IF(OR(履歴データ!$A$1179="",履歴データ!$A$1178=""),"",-40000*O1179)</f>
        <v/>
      </c>
      <c r="AA1179" s="11" t="str">
        <f>IF(OR(履歴データ!$A$1179="",履歴データ!$A$1178=""),"",-40000*P1179)</f>
        <v/>
      </c>
      <c r="AB1179" s="11" t="str">
        <f>IF(履歴データ!$A$1179="","",123.3)</f>
        <v/>
      </c>
      <c r="AC1179" t="str">
        <f>IF(履歴データ!$A$1179="","",SUM(T1179:AA1179))</f>
        <v/>
      </c>
      <c r="AD1179" s="29" t="str">
        <f>IF(履歴データ!$A$1179="","",AC1179/1000000)</f>
        <v/>
      </c>
      <c r="AE1179" s="29">
        <f>IF(履歴データ!$A$1179="",AE1178,AE1178+AC1179/1000000)</f>
        <v>70.844544225831427</v>
      </c>
      <c r="AF1179" s="12" t="str">
        <f>IF(OR(履歴データ!$A$1179="",AE1178=0),"",(AE1179-AE1178)/AE1178)</f>
        <v/>
      </c>
      <c r="AG1179" s="29">
        <f t="shared" si="48"/>
        <v>102.17217746631495</v>
      </c>
      <c r="AH1179" s="12" t="str">
        <f>IF(OR(履歴データ!$A$1179="",AG1179=0),"",AE1179/AG1179-1)</f>
        <v/>
      </c>
    </row>
    <row r="1180" spans="1:34">
      <c r="A1180" s="10" t="str">
        <f>IF(履歴データ!$A$1180="","",履歴データ!$A$1180)</f>
        <v/>
      </c>
      <c r="B1180" s="28" t="str">
        <f>IF(履歴データ!$A$1180="","",(履歴データ!$D$1180-(履歴データ!$B$1180+履歴データ!$F$1180)/2)*100)</f>
        <v/>
      </c>
      <c r="C1180" s="28" t="str">
        <f>IF(履歴データ!$A$1180="","",(履歴データ!$H$1180-(履歴データ!$G$1180+履歴データ!$J$1180)/2)*100)</f>
        <v/>
      </c>
      <c r="D1180" s="28" t="str">
        <f>IF(履歴データ!$A$1180="","",(履歴データ!$D$1180-履歴データ!$H$1180)*100)</f>
        <v/>
      </c>
      <c r="E1180" s="28" t="str">
        <f>IF(履歴データ!$A$1180="","",(履歴データ!$D$1180-履歴データ!$C$1180)*100)</f>
        <v/>
      </c>
      <c r="F1180" s="28" t="str">
        <f>IF(履歴データ!$A$1180="","",(履歴データ!$R$1180-履歴データ!$D$1180)*100)</f>
        <v/>
      </c>
      <c r="G1180" s="28" t="str">
        <f>IF(履歴データ!$A$1180="","",(履歴データ!$S$1180-履歴データ!$R$1180)*100)</f>
        <v/>
      </c>
      <c r="H1180" s="29" t="str">
        <f>IF(履歴データ!$A$1180="","",履歴データ!$O$1180)</f>
        <v/>
      </c>
      <c r="I1180" s="29" t="str">
        <f>IF(履歴データ!$A$1180="","",履歴データ!$Q$1180)</f>
        <v/>
      </c>
      <c r="J1180" s="29" t="str">
        <f>IF(履歴データ!$A$1180="","",履歴データ!$D$1180)</f>
        <v/>
      </c>
      <c r="K1180" s="28" t="str">
        <f>IF(OR(履歴データ!$A$1180="",履歴データ!$A$1179=""),"",B1180-B1179)</f>
        <v/>
      </c>
      <c r="L1180" s="28" t="str">
        <f>IF(OR(履歴データ!$A$1180="",履歴データ!$A$1179=""),"",C1180-C1179)</f>
        <v/>
      </c>
      <c r="M1180" s="28" t="str">
        <f>IF(OR(履歴データ!$A$1180="",履歴データ!$A$1179=""),"",D1180-D1179)</f>
        <v/>
      </c>
      <c r="N1180" s="28" t="str">
        <f>IF(OR(履歴データ!$A$1180="",履歴データ!$A$1179=""),"",E1180-E1179)</f>
        <v/>
      </c>
      <c r="O1180" s="28" t="str">
        <f>IF(OR(履歴データ!$A$1180="",履歴データ!$A$1179=""),"",F1180-F1179)</f>
        <v/>
      </c>
      <c r="P1180" s="28" t="str">
        <f>IF(OR(履歴データ!$A$1180="",履歴データ!$A$1179=""),"",G1180-G1179)</f>
        <v/>
      </c>
      <c r="Q1180" s="29" t="str">
        <f>IF(OR(履歴データ!$A$1180="",履歴データ!$A$1179=""),"",H1180-H1179)</f>
        <v/>
      </c>
      <c r="R1180" s="29" t="str">
        <f>IF(OR(履歴データ!$A$1180="",履歴データ!$A$1179=""),"",I1180-I1179)</f>
        <v/>
      </c>
      <c r="S1180" s="28" t="str">
        <f>IF(OR(履歴データ!$A$1180="",履歴データ!$A$1179=""),"",(J1180-J1179)*100)</f>
        <v/>
      </c>
      <c r="T1180" s="11" t="str">
        <f>IF(OR(履歴データ!$A$1180="",履歴データ!$A$1179=""),"",-80000*K1180)</f>
        <v/>
      </c>
      <c r="U1180" s="11" t="str">
        <f>IF(OR(履歴データ!$A$1180="",履歴データ!$A$1179=""),"",60000*L1180)</f>
        <v/>
      </c>
      <c r="V1180" s="11" t="str">
        <f>IF(OR(履歴データ!$A$1180="",履歴データ!$A$1179=""),"",-50000*M1180)</f>
        <v/>
      </c>
      <c r="W1180" s="11" t="str">
        <f>IF(OR(履歴データ!$A$1180="",履歴データ!$A$1179=""),"",-40000*N1180)</f>
        <v/>
      </c>
      <c r="X1180" s="11" t="str">
        <f>IF(OR(履歴データ!$A$1180="",履歴データ!$A$1179=""),"",120*1000000*(-Q1180/H1179))</f>
        <v/>
      </c>
      <c r="Y1180" s="11" t="str">
        <f>IF(OR(履歴データ!$A$1180="",履歴データ!$A$1179=""),"",40000*(-S1180)+(-506.3)*R1180*1000)</f>
        <v/>
      </c>
      <c r="Z1180" s="11" t="str">
        <f>IF(OR(履歴データ!$A$1180="",履歴データ!$A$1179=""),"",-40000*O1180)</f>
        <v/>
      </c>
      <c r="AA1180" s="11" t="str">
        <f>IF(OR(履歴データ!$A$1180="",履歴データ!$A$1179=""),"",-40000*P1180)</f>
        <v/>
      </c>
      <c r="AB1180" s="11" t="str">
        <f>IF(履歴データ!$A$1180="","",123.3)</f>
        <v/>
      </c>
      <c r="AC1180" t="str">
        <f>IF(履歴データ!$A$1180="","",SUM(T1180:AA1180))</f>
        <v/>
      </c>
      <c r="AD1180" s="29" t="str">
        <f>IF(履歴データ!$A$1180="","",AC1180/1000000)</f>
        <v/>
      </c>
      <c r="AE1180" s="29">
        <f>IF(履歴データ!$A$1180="",AE1179,AE1179+AC1180/1000000)</f>
        <v>70.844544225831427</v>
      </c>
      <c r="AF1180" s="12" t="str">
        <f>IF(OR(履歴データ!$A$1180="",AE1179=0),"",(AE1180-AE1179)/AE1179)</f>
        <v/>
      </c>
      <c r="AG1180" s="29">
        <f t="shared" si="48"/>
        <v>102.17217746631495</v>
      </c>
      <c r="AH1180" s="12" t="str">
        <f>IF(OR(履歴データ!$A$1180="",AG1180=0),"",AE1180/AG1180-1)</f>
        <v/>
      </c>
    </row>
    <row r="1181" spans="1:34">
      <c r="A1181" s="10" t="str">
        <f>IF(履歴データ!$A$1181="","",履歴データ!$A$1181)</f>
        <v/>
      </c>
      <c r="B1181" s="28" t="str">
        <f>IF(履歴データ!$A$1181="","",(履歴データ!$D$1181-(履歴データ!$B$1181+履歴データ!$F$1181)/2)*100)</f>
        <v/>
      </c>
      <c r="C1181" s="28" t="str">
        <f>IF(履歴データ!$A$1181="","",(履歴データ!$H$1181-(履歴データ!$G$1181+履歴データ!$J$1181)/2)*100)</f>
        <v/>
      </c>
      <c r="D1181" s="28" t="str">
        <f>IF(履歴データ!$A$1181="","",(履歴データ!$D$1181-履歴データ!$H$1181)*100)</f>
        <v/>
      </c>
      <c r="E1181" s="28" t="str">
        <f>IF(履歴データ!$A$1181="","",(履歴データ!$D$1181-履歴データ!$C$1181)*100)</f>
        <v/>
      </c>
      <c r="F1181" s="28" t="str">
        <f>IF(履歴データ!$A$1181="","",(履歴データ!$R$1181-履歴データ!$D$1181)*100)</f>
        <v/>
      </c>
      <c r="G1181" s="28" t="str">
        <f>IF(履歴データ!$A$1181="","",(履歴データ!$S$1181-履歴データ!$R$1181)*100)</f>
        <v/>
      </c>
      <c r="H1181" s="29" t="str">
        <f>IF(履歴データ!$A$1181="","",履歴データ!$O$1181)</f>
        <v/>
      </c>
      <c r="I1181" s="29" t="str">
        <f>IF(履歴データ!$A$1181="","",履歴データ!$Q$1181)</f>
        <v/>
      </c>
      <c r="J1181" s="29" t="str">
        <f>IF(履歴データ!$A$1181="","",履歴データ!$D$1181)</f>
        <v/>
      </c>
      <c r="K1181" s="28" t="str">
        <f>IF(OR(履歴データ!$A$1181="",履歴データ!$A$1180=""),"",B1181-B1180)</f>
        <v/>
      </c>
      <c r="L1181" s="28" t="str">
        <f>IF(OR(履歴データ!$A$1181="",履歴データ!$A$1180=""),"",C1181-C1180)</f>
        <v/>
      </c>
      <c r="M1181" s="28" t="str">
        <f>IF(OR(履歴データ!$A$1181="",履歴データ!$A$1180=""),"",D1181-D1180)</f>
        <v/>
      </c>
      <c r="N1181" s="28" t="str">
        <f>IF(OR(履歴データ!$A$1181="",履歴データ!$A$1180=""),"",E1181-E1180)</f>
        <v/>
      </c>
      <c r="O1181" s="28" t="str">
        <f>IF(OR(履歴データ!$A$1181="",履歴データ!$A$1180=""),"",F1181-F1180)</f>
        <v/>
      </c>
      <c r="P1181" s="28" t="str">
        <f>IF(OR(履歴データ!$A$1181="",履歴データ!$A$1180=""),"",G1181-G1180)</f>
        <v/>
      </c>
      <c r="Q1181" s="29" t="str">
        <f>IF(OR(履歴データ!$A$1181="",履歴データ!$A$1180=""),"",H1181-H1180)</f>
        <v/>
      </c>
      <c r="R1181" s="29" t="str">
        <f>IF(OR(履歴データ!$A$1181="",履歴データ!$A$1180=""),"",I1181-I1180)</f>
        <v/>
      </c>
      <c r="S1181" s="28" t="str">
        <f>IF(OR(履歴データ!$A$1181="",履歴データ!$A$1180=""),"",(J1181-J1180)*100)</f>
        <v/>
      </c>
      <c r="T1181" s="11" t="str">
        <f>IF(OR(履歴データ!$A$1181="",履歴データ!$A$1180=""),"",-80000*K1181)</f>
        <v/>
      </c>
      <c r="U1181" s="11" t="str">
        <f>IF(OR(履歴データ!$A$1181="",履歴データ!$A$1180=""),"",60000*L1181)</f>
        <v/>
      </c>
      <c r="V1181" s="11" t="str">
        <f>IF(OR(履歴データ!$A$1181="",履歴データ!$A$1180=""),"",-50000*M1181)</f>
        <v/>
      </c>
      <c r="W1181" s="11" t="str">
        <f>IF(OR(履歴データ!$A$1181="",履歴データ!$A$1180=""),"",-40000*N1181)</f>
        <v/>
      </c>
      <c r="X1181" s="11" t="str">
        <f>IF(OR(履歴データ!$A$1181="",履歴データ!$A$1180=""),"",120*1000000*(-Q1181/H1180))</f>
        <v/>
      </c>
      <c r="Y1181" s="11" t="str">
        <f>IF(OR(履歴データ!$A$1181="",履歴データ!$A$1180=""),"",40000*(-S1181)+(-506.3)*R1181*1000)</f>
        <v/>
      </c>
      <c r="Z1181" s="11" t="str">
        <f>IF(OR(履歴データ!$A$1181="",履歴データ!$A$1180=""),"",-40000*O1181)</f>
        <v/>
      </c>
      <c r="AA1181" s="11" t="str">
        <f>IF(OR(履歴データ!$A$1181="",履歴データ!$A$1180=""),"",-40000*P1181)</f>
        <v/>
      </c>
      <c r="AB1181" s="11" t="str">
        <f>IF(履歴データ!$A$1181="","",123.3)</f>
        <v/>
      </c>
      <c r="AC1181" t="str">
        <f>IF(履歴データ!$A$1181="","",SUM(T1181:AA1181))</f>
        <v/>
      </c>
      <c r="AD1181" s="29" t="str">
        <f>IF(履歴データ!$A$1181="","",AC1181/1000000)</f>
        <v/>
      </c>
      <c r="AE1181" s="29">
        <f>IF(履歴データ!$A$1181="",AE1180,AE1180+AC1181/1000000)</f>
        <v>70.844544225831427</v>
      </c>
      <c r="AF1181" s="12" t="str">
        <f>IF(OR(履歴データ!$A$1181="",AE1180=0),"",(AE1181-AE1180)/AE1180)</f>
        <v/>
      </c>
      <c r="AG1181" s="29">
        <f t="shared" si="48"/>
        <v>102.17217746631495</v>
      </c>
      <c r="AH1181" s="12" t="str">
        <f>IF(OR(履歴データ!$A$1181="",AG1181=0),"",AE1181/AG1181-1)</f>
        <v/>
      </c>
    </row>
    <row r="1182" spans="1:34">
      <c r="A1182" s="10" t="str">
        <f>IF(履歴データ!$A$1182="","",履歴データ!$A$1182)</f>
        <v/>
      </c>
      <c r="B1182" s="28" t="str">
        <f>IF(履歴データ!$A$1182="","",(履歴データ!$D$1182-(履歴データ!$B$1182+履歴データ!$F$1182)/2)*100)</f>
        <v/>
      </c>
      <c r="C1182" s="28" t="str">
        <f>IF(履歴データ!$A$1182="","",(履歴データ!$H$1182-(履歴データ!$G$1182+履歴データ!$J$1182)/2)*100)</f>
        <v/>
      </c>
      <c r="D1182" s="28" t="str">
        <f>IF(履歴データ!$A$1182="","",(履歴データ!$D$1182-履歴データ!$H$1182)*100)</f>
        <v/>
      </c>
      <c r="E1182" s="28" t="str">
        <f>IF(履歴データ!$A$1182="","",(履歴データ!$D$1182-履歴データ!$C$1182)*100)</f>
        <v/>
      </c>
      <c r="F1182" s="28" t="str">
        <f>IF(履歴データ!$A$1182="","",(履歴データ!$R$1182-履歴データ!$D$1182)*100)</f>
        <v/>
      </c>
      <c r="G1182" s="28" t="str">
        <f>IF(履歴データ!$A$1182="","",(履歴データ!$S$1182-履歴データ!$R$1182)*100)</f>
        <v/>
      </c>
      <c r="H1182" s="29" t="str">
        <f>IF(履歴データ!$A$1182="","",履歴データ!$O$1182)</f>
        <v/>
      </c>
      <c r="I1182" s="29" t="str">
        <f>IF(履歴データ!$A$1182="","",履歴データ!$Q$1182)</f>
        <v/>
      </c>
      <c r="J1182" s="29" t="str">
        <f>IF(履歴データ!$A$1182="","",履歴データ!$D$1182)</f>
        <v/>
      </c>
      <c r="K1182" s="28" t="str">
        <f>IF(OR(履歴データ!$A$1182="",履歴データ!$A$1181=""),"",B1182-B1181)</f>
        <v/>
      </c>
      <c r="L1182" s="28" t="str">
        <f>IF(OR(履歴データ!$A$1182="",履歴データ!$A$1181=""),"",C1182-C1181)</f>
        <v/>
      </c>
      <c r="M1182" s="28" t="str">
        <f>IF(OR(履歴データ!$A$1182="",履歴データ!$A$1181=""),"",D1182-D1181)</f>
        <v/>
      </c>
      <c r="N1182" s="28" t="str">
        <f>IF(OR(履歴データ!$A$1182="",履歴データ!$A$1181=""),"",E1182-E1181)</f>
        <v/>
      </c>
      <c r="O1182" s="28" t="str">
        <f>IF(OR(履歴データ!$A$1182="",履歴データ!$A$1181=""),"",F1182-F1181)</f>
        <v/>
      </c>
      <c r="P1182" s="28" t="str">
        <f>IF(OR(履歴データ!$A$1182="",履歴データ!$A$1181=""),"",G1182-G1181)</f>
        <v/>
      </c>
      <c r="Q1182" s="29" t="str">
        <f>IF(OR(履歴データ!$A$1182="",履歴データ!$A$1181=""),"",H1182-H1181)</f>
        <v/>
      </c>
      <c r="R1182" s="29" t="str">
        <f>IF(OR(履歴データ!$A$1182="",履歴データ!$A$1181=""),"",I1182-I1181)</f>
        <v/>
      </c>
      <c r="S1182" s="28" t="str">
        <f>IF(OR(履歴データ!$A$1182="",履歴データ!$A$1181=""),"",(J1182-J1181)*100)</f>
        <v/>
      </c>
      <c r="T1182" s="11" t="str">
        <f>IF(OR(履歴データ!$A$1182="",履歴データ!$A$1181=""),"",-80000*K1182)</f>
        <v/>
      </c>
      <c r="U1182" s="11" t="str">
        <f>IF(OR(履歴データ!$A$1182="",履歴データ!$A$1181=""),"",60000*L1182)</f>
        <v/>
      </c>
      <c r="V1182" s="11" t="str">
        <f>IF(OR(履歴データ!$A$1182="",履歴データ!$A$1181=""),"",-50000*M1182)</f>
        <v/>
      </c>
      <c r="W1182" s="11" t="str">
        <f>IF(OR(履歴データ!$A$1182="",履歴データ!$A$1181=""),"",-40000*N1182)</f>
        <v/>
      </c>
      <c r="X1182" s="11" t="str">
        <f>IF(OR(履歴データ!$A$1182="",履歴データ!$A$1181=""),"",120*1000000*(-Q1182/H1181))</f>
        <v/>
      </c>
      <c r="Y1182" s="11" t="str">
        <f>IF(OR(履歴データ!$A$1182="",履歴データ!$A$1181=""),"",40000*(-S1182)+(-506.3)*R1182*1000)</f>
        <v/>
      </c>
      <c r="Z1182" s="11" t="str">
        <f>IF(OR(履歴データ!$A$1182="",履歴データ!$A$1181=""),"",-40000*O1182)</f>
        <v/>
      </c>
      <c r="AA1182" s="11" t="str">
        <f>IF(OR(履歴データ!$A$1182="",履歴データ!$A$1181=""),"",-40000*P1182)</f>
        <v/>
      </c>
      <c r="AB1182" s="11" t="str">
        <f>IF(履歴データ!$A$1182="","",123.3)</f>
        <v/>
      </c>
      <c r="AC1182" t="str">
        <f>IF(履歴データ!$A$1182="","",SUM(T1182:AA1182))</f>
        <v/>
      </c>
      <c r="AD1182" s="29" t="str">
        <f>IF(履歴データ!$A$1182="","",AC1182/1000000)</f>
        <v/>
      </c>
      <c r="AE1182" s="29">
        <f>IF(履歴データ!$A$1182="",AE1181,AE1181+AC1182/1000000)</f>
        <v>70.844544225831427</v>
      </c>
      <c r="AF1182" s="12" t="str">
        <f>IF(OR(履歴データ!$A$1182="",AE1181=0),"",(AE1182-AE1181)/AE1181)</f>
        <v/>
      </c>
      <c r="AG1182" s="29">
        <f t="shared" si="48"/>
        <v>102.17217746631495</v>
      </c>
      <c r="AH1182" s="12" t="str">
        <f>IF(OR(履歴データ!$A$1182="",AG1182=0),"",AE1182/AG1182-1)</f>
        <v/>
      </c>
    </row>
    <row r="1183" spans="1:34">
      <c r="A1183" s="10" t="str">
        <f>IF(履歴データ!$A$1183="","",履歴データ!$A$1183)</f>
        <v/>
      </c>
      <c r="B1183" s="28" t="str">
        <f>IF(履歴データ!$A$1183="","",(履歴データ!$D$1183-(履歴データ!$B$1183+履歴データ!$F$1183)/2)*100)</f>
        <v/>
      </c>
      <c r="C1183" s="28" t="str">
        <f>IF(履歴データ!$A$1183="","",(履歴データ!$H$1183-(履歴データ!$G$1183+履歴データ!$J$1183)/2)*100)</f>
        <v/>
      </c>
      <c r="D1183" s="28" t="str">
        <f>IF(履歴データ!$A$1183="","",(履歴データ!$D$1183-履歴データ!$H$1183)*100)</f>
        <v/>
      </c>
      <c r="E1183" s="28" t="str">
        <f>IF(履歴データ!$A$1183="","",(履歴データ!$D$1183-履歴データ!$C$1183)*100)</f>
        <v/>
      </c>
      <c r="F1183" s="28" t="str">
        <f>IF(履歴データ!$A$1183="","",(履歴データ!$R$1183-履歴データ!$D$1183)*100)</f>
        <v/>
      </c>
      <c r="G1183" s="28" t="str">
        <f>IF(履歴データ!$A$1183="","",(履歴データ!$S$1183-履歴データ!$R$1183)*100)</f>
        <v/>
      </c>
      <c r="H1183" s="29" t="str">
        <f>IF(履歴データ!$A$1183="","",履歴データ!$O$1183)</f>
        <v/>
      </c>
      <c r="I1183" s="29" t="str">
        <f>IF(履歴データ!$A$1183="","",履歴データ!$Q$1183)</f>
        <v/>
      </c>
      <c r="J1183" s="29" t="str">
        <f>IF(履歴データ!$A$1183="","",履歴データ!$D$1183)</f>
        <v/>
      </c>
      <c r="K1183" s="28" t="str">
        <f>IF(OR(履歴データ!$A$1183="",履歴データ!$A$1182=""),"",B1183-B1182)</f>
        <v/>
      </c>
      <c r="L1183" s="28" t="str">
        <f>IF(OR(履歴データ!$A$1183="",履歴データ!$A$1182=""),"",C1183-C1182)</f>
        <v/>
      </c>
      <c r="M1183" s="28" t="str">
        <f>IF(OR(履歴データ!$A$1183="",履歴データ!$A$1182=""),"",D1183-D1182)</f>
        <v/>
      </c>
      <c r="N1183" s="28" t="str">
        <f>IF(OR(履歴データ!$A$1183="",履歴データ!$A$1182=""),"",E1183-E1182)</f>
        <v/>
      </c>
      <c r="O1183" s="28" t="str">
        <f>IF(OR(履歴データ!$A$1183="",履歴データ!$A$1182=""),"",F1183-F1182)</f>
        <v/>
      </c>
      <c r="P1183" s="28" t="str">
        <f>IF(OR(履歴データ!$A$1183="",履歴データ!$A$1182=""),"",G1183-G1182)</f>
        <v/>
      </c>
      <c r="Q1183" s="29" t="str">
        <f>IF(OR(履歴データ!$A$1183="",履歴データ!$A$1182=""),"",H1183-H1182)</f>
        <v/>
      </c>
      <c r="R1183" s="29" t="str">
        <f>IF(OR(履歴データ!$A$1183="",履歴データ!$A$1182=""),"",I1183-I1182)</f>
        <v/>
      </c>
      <c r="S1183" s="28" t="str">
        <f>IF(OR(履歴データ!$A$1183="",履歴データ!$A$1182=""),"",(J1183-J1182)*100)</f>
        <v/>
      </c>
      <c r="T1183" s="11" t="str">
        <f>IF(OR(履歴データ!$A$1183="",履歴データ!$A$1182=""),"",-80000*K1183)</f>
        <v/>
      </c>
      <c r="U1183" s="11" t="str">
        <f>IF(OR(履歴データ!$A$1183="",履歴データ!$A$1182=""),"",60000*L1183)</f>
        <v/>
      </c>
      <c r="V1183" s="11" t="str">
        <f>IF(OR(履歴データ!$A$1183="",履歴データ!$A$1182=""),"",-50000*M1183)</f>
        <v/>
      </c>
      <c r="W1183" s="11" t="str">
        <f>IF(OR(履歴データ!$A$1183="",履歴データ!$A$1182=""),"",-40000*N1183)</f>
        <v/>
      </c>
      <c r="X1183" s="11" t="str">
        <f>IF(OR(履歴データ!$A$1183="",履歴データ!$A$1182=""),"",120*1000000*(-Q1183/H1182))</f>
        <v/>
      </c>
      <c r="Y1183" s="11" t="str">
        <f>IF(OR(履歴データ!$A$1183="",履歴データ!$A$1182=""),"",40000*(-S1183)+(-506.3)*R1183*1000)</f>
        <v/>
      </c>
      <c r="Z1183" s="11" t="str">
        <f>IF(OR(履歴データ!$A$1183="",履歴データ!$A$1182=""),"",-40000*O1183)</f>
        <v/>
      </c>
      <c r="AA1183" s="11" t="str">
        <f>IF(OR(履歴データ!$A$1183="",履歴データ!$A$1182=""),"",-40000*P1183)</f>
        <v/>
      </c>
      <c r="AB1183" s="11" t="str">
        <f>IF(履歴データ!$A$1183="","",123.3)</f>
        <v/>
      </c>
      <c r="AC1183" t="str">
        <f>IF(履歴データ!$A$1183="","",SUM(T1183:AA1183))</f>
        <v/>
      </c>
      <c r="AD1183" s="29" t="str">
        <f>IF(履歴データ!$A$1183="","",AC1183/1000000)</f>
        <v/>
      </c>
      <c r="AE1183" s="29">
        <f>IF(履歴データ!$A$1183="",AE1182,AE1182+AC1183/1000000)</f>
        <v>70.844544225831427</v>
      </c>
      <c r="AF1183" s="12" t="str">
        <f>IF(OR(履歴データ!$A$1183="",AE1182=0),"",(AE1183-AE1182)/AE1182)</f>
        <v/>
      </c>
      <c r="AG1183" s="29">
        <f t="shared" si="48"/>
        <v>102.17217746631495</v>
      </c>
      <c r="AH1183" s="12" t="str">
        <f>IF(OR(履歴データ!$A$1183="",AG1183=0),"",AE1183/AG1183-1)</f>
        <v/>
      </c>
    </row>
    <row r="1184" spans="1:34">
      <c r="A1184" s="10" t="str">
        <f>IF(履歴データ!$A$1184="","",履歴データ!$A$1184)</f>
        <v/>
      </c>
      <c r="B1184" s="28" t="str">
        <f>IF(履歴データ!$A$1184="","",(履歴データ!$D$1184-(履歴データ!$B$1184+履歴データ!$F$1184)/2)*100)</f>
        <v/>
      </c>
      <c r="C1184" s="28" t="str">
        <f>IF(履歴データ!$A$1184="","",(履歴データ!$H$1184-(履歴データ!$G$1184+履歴データ!$J$1184)/2)*100)</f>
        <v/>
      </c>
      <c r="D1184" s="28" t="str">
        <f>IF(履歴データ!$A$1184="","",(履歴データ!$D$1184-履歴データ!$H$1184)*100)</f>
        <v/>
      </c>
      <c r="E1184" s="28" t="str">
        <f>IF(履歴データ!$A$1184="","",(履歴データ!$D$1184-履歴データ!$C$1184)*100)</f>
        <v/>
      </c>
      <c r="F1184" s="28" t="str">
        <f>IF(履歴データ!$A$1184="","",(履歴データ!$R$1184-履歴データ!$D$1184)*100)</f>
        <v/>
      </c>
      <c r="G1184" s="28" t="str">
        <f>IF(履歴データ!$A$1184="","",(履歴データ!$S$1184-履歴データ!$R$1184)*100)</f>
        <v/>
      </c>
      <c r="H1184" s="29" t="str">
        <f>IF(履歴データ!$A$1184="","",履歴データ!$O$1184)</f>
        <v/>
      </c>
      <c r="I1184" s="29" t="str">
        <f>IF(履歴データ!$A$1184="","",履歴データ!$Q$1184)</f>
        <v/>
      </c>
      <c r="J1184" s="29" t="str">
        <f>IF(履歴データ!$A$1184="","",履歴データ!$D$1184)</f>
        <v/>
      </c>
      <c r="K1184" s="28" t="str">
        <f>IF(OR(履歴データ!$A$1184="",履歴データ!$A$1183=""),"",B1184-B1183)</f>
        <v/>
      </c>
      <c r="L1184" s="28" t="str">
        <f>IF(OR(履歴データ!$A$1184="",履歴データ!$A$1183=""),"",C1184-C1183)</f>
        <v/>
      </c>
      <c r="M1184" s="28" t="str">
        <f>IF(OR(履歴データ!$A$1184="",履歴データ!$A$1183=""),"",D1184-D1183)</f>
        <v/>
      </c>
      <c r="N1184" s="28" t="str">
        <f>IF(OR(履歴データ!$A$1184="",履歴データ!$A$1183=""),"",E1184-E1183)</f>
        <v/>
      </c>
      <c r="O1184" s="28" t="str">
        <f>IF(OR(履歴データ!$A$1184="",履歴データ!$A$1183=""),"",F1184-F1183)</f>
        <v/>
      </c>
      <c r="P1184" s="28" t="str">
        <f>IF(OR(履歴データ!$A$1184="",履歴データ!$A$1183=""),"",G1184-G1183)</f>
        <v/>
      </c>
      <c r="Q1184" s="29" t="str">
        <f>IF(OR(履歴データ!$A$1184="",履歴データ!$A$1183=""),"",H1184-H1183)</f>
        <v/>
      </c>
      <c r="R1184" s="29" t="str">
        <f>IF(OR(履歴データ!$A$1184="",履歴データ!$A$1183=""),"",I1184-I1183)</f>
        <v/>
      </c>
      <c r="S1184" s="28" t="str">
        <f>IF(OR(履歴データ!$A$1184="",履歴データ!$A$1183=""),"",(J1184-J1183)*100)</f>
        <v/>
      </c>
      <c r="T1184" s="11" t="str">
        <f>IF(OR(履歴データ!$A$1184="",履歴データ!$A$1183=""),"",-80000*K1184)</f>
        <v/>
      </c>
      <c r="U1184" s="11" t="str">
        <f>IF(OR(履歴データ!$A$1184="",履歴データ!$A$1183=""),"",60000*L1184)</f>
        <v/>
      </c>
      <c r="V1184" s="11" t="str">
        <f>IF(OR(履歴データ!$A$1184="",履歴データ!$A$1183=""),"",-50000*M1184)</f>
        <v/>
      </c>
      <c r="W1184" s="11" t="str">
        <f>IF(OR(履歴データ!$A$1184="",履歴データ!$A$1183=""),"",-40000*N1184)</f>
        <v/>
      </c>
      <c r="X1184" s="11" t="str">
        <f>IF(OR(履歴データ!$A$1184="",履歴データ!$A$1183=""),"",120*1000000*(-Q1184/H1183))</f>
        <v/>
      </c>
      <c r="Y1184" s="11" t="str">
        <f>IF(OR(履歴データ!$A$1184="",履歴データ!$A$1183=""),"",40000*(-S1184)+(-506.3)*R1184*1000)</f>
        <v/>
      </c>
      <c r="Z1184" s="11" t="str">
        <f>IF(OR(履歴データ!$A$1184="",履歴データ!$A$1183=""),"",-40000*O1184)</f>
        <v/>
      </c>
      <c r="AA1184" s="11" t="str">
        <f>IF(OR(履歴データ!$A$1184="",履歴データ!$A$1183=""),"",-40000*P1184)</f>
        <v/>
      </c>
      <c r="AB1184" s="11" t="str">
        <f>IF(履歴データ!$A$1184="","",123.3)</f>
        <v/>
      </c>
      <c r="AC1184" t="str">
        <f>IF(履歴データ!$A$1184="","",SUM(T1184:AA1184))</f>
        <v/>
      </c>
      <c r="AD1184" s="29" t="str">
        <f>IF(履歴データ!$A$1184="","",AC1184/1000000)</f>
        <v/>
      </c>
      <c r="AE1184" s="29">
        <f>IF(履歴データ!$A$1184="",AE1183,AE1183+AC1184/1000000)</f>
        <v>70.844544225831427</v>
      </c>
      <c r="AF1184" s="12" t="str">
        <f>IF(OR(履歴データ!$A$1184="",AE1183=0),"",(AE1184-AE1183)/AE1183)</f>
        <v/>
      </c>
      <c r="AG1184" s="29">
        <f t="shared" si="48"/>
        <v>102.17217746631495</v>
      </c>
      <c r="AH1184" s="12" t="str">
        <f>IF(OR(履歴データ!$A$1184="",AG1184=0),"",AE1184/AG1184-1)</f>
        <v/>
      </c>
    </row>
    <row r="1185" spans="1:34">
      <c r="A1185" s="10" t="str">
        <f>IF(履歴データ!$A$1185="","",履歴データ!$A$1185)</f>
        <v/>
      </c>
      <c r="B1185" s="28" t="str">
        <f>IF(履歴データ!$A$1185="","",(履歴データ!$D$1185-(履歴データ!$B$1185+履歴データ!$F$1185)/2)*100)</f>
        <v/>
      </c>
      <c r="C1185" s="28" t="str">
        <f>IF(履歴データ!$A$1185="","",(履歴データ!$H$1185-(履歴データ!$G$1185+履歴データ!$J$1185)/2)*100)</f>
        <v/>
      </c>
      <c r="D1185" s="28" t="str">
        <f>IF(履歴データ!$A$1185="","",(履歴データ!$D$1185-履歴データ!$H$1185)*100)</f>
        <v/>
      </c>
      <c r="E1185" s="28" t="str">
        <f>IF(履歴データ!$A$1185="","",(履歴データ!$D$1185-履歴データ!$C$1185)*100)</f>
        <v/>
      </c>
      <c r="F1185" s="28" t="str">
        <f>IF(履歴データ!$A$1185="","",(履歴データ!$R$1185-履歴データ!$D$1185)*100)</f>
        <v/>
      </c>
      <c r="G1185" s="28" t="str">
        <f>IF(履歴データ!$A$1185="","",(履歴データ!$S$1185-履歴データ!$R$1185)*100)</f>
        <v/>
      </c>
      <c r="H1185" s="29" t="str">
        <f>IF(履歴データ!$A$1185="","",履歴データ!$O$1185)</f>
        <v/>
      </c>
      <c r="I1185" s="29" t="str">
        <f>IF(履歴データ!$A$1185="","",履歴データ!$Q$1185)</f>
        <v/>
      </c>
      <c r="J1185" s="29" t="str">
        <f>IF(履歴データ!$A$1185="","",履歴データ!$D$1185)</f>
        <v/>
      </c>
      <c r="K1185" s="28" t="str">
        <f>IF(OR(履歴データ!$A$1185="",履歴データ!$A$1184=""),"",B1185-B1184)</f>
        <v/>
      </c>
      <c r="L1185" s="28" t="str">
        <f>IF(OR(履歴データ!$A$1185="",履歴データ!$A$1184=""),"",C1185-C1184)</f>
        <v/>
      </c>
      <c r="M1185" s="28" t="str">
        <f>IF(OR(履歴データ!$A$1185="",履歴データ!$A$1184=""),"",D1185-D1184)</f>
        <v/>
      </c>
      <c r="N1185" s="28" t="str">
        <f>IF(OR(履歴データ!$A$1185="",履歴データ!$A$1184=""),"",E1185-E1184)</f>
        <v/>
      </c>
      <c r="O1185" s="28" t="str">
        <f>IF(OR(履歴データ!$A$1185="",履歴データ!$A$1184=""),"",F1185-F1184)</f>
        <v/>
      </c>
      <c r="P1185" s="28" t="str">
        <f>IF(OR(履歴データ!$A$1185="",履歴データ!$A$1184=""),"",G1185-G1184)</f>
        <v/>
      </c>
      <c r="Q1185" s="29" t="str">
        <f>IF(OR(履歴データ!$A$1185="",履歴データ!$A$1184=""),"",H1185-H1184)</f>
        <v/>
      </c>
      <c r="R1185" s="29" t="str">
        <f>IF(OR(履歴データ!$A$1185="",履歴データ!$A$1184=""),"",I1185-I1184)</f>
        <v/>
      </c>
      <c r="S1185" s="28" t="str">
        <f>IF(OR(履歴データ!$A$1185="",履歴データ!$A$1184=""),"",(J1185-J1184)*100)</f>
        <v/>
      </c>
      <c r="T1185" s="11" t="str">
        <f>IF(OR(履歴データ!$A$1185="",履歴データ!$A$1184=""),"",-80000*K1185)</f>
        <v/>
      </c>
      <c r="U1185" s="11" t="str">
        <f>IF(OR(履歴データ!$A$1185="",履歴データ!$A$1184=""),"",60000*L1185)</f>
        <v/>
      </c>
      <c r="V1185" s="11" t="str">
        <f>IF(OR(履歴データ!$A$1185="",履歴データ!$A$1184=""),"",-50000*M1185)</f>
        <v/>
      </c>
      <c r="W1185" s="11" t="str">
        <f>IF(OR(履歴データ!$A$1185="",履歴データ!$A$1184=""),"",-40000*N1185)</f>
        <v/>
      </c>
      <c r="X1185" s="11" t="str">
        <f>IF(OR(履歴データ!$A$1185="",履歴データ!$A$1184=""),"",120*1000000*(-Q1185/H1184))</f>
        <v/>
      </c>
      <c r="Y1185" s="11" t="str">
        <f>IF(OR(履歴データ!$A$1185="",履歴データ!$A$1184=""),"",40000*(-S1185)+(-506.3)*R1185*1000)</f>
        <v/>
      </c>
      <c r="Z1185" s="11" t="str">
        <f>IF(OR(履歴データ!$A$1185="",履歴データ!$A$1184=""),"",-40000*O1185)</f>
        <v/>
      </c>
      <c r="AA1185" s="11" t="str">
        <f>IF(OR(履歴データ!$A$1185="",履歴データ!$A$1184=""),"",-40000*P1185)</f>
        <v/>
      </c>
      <c r="AB1185" s="11" t="str">
        <f>IF(履歴データ!$A$1185="","",123.3)</f>
        <v/>
      </c>
      <c r="AC1185" t="str">
        <f>IF(履歴データ!$A$1185="","",SUM(T1185:AA1185))</f>
        <v/>
      </c>
      <c r="AD1185" s="29" t="str">
        <f>IF(履歴データ!$A$1185="","",AC1185/1000000)</f>
        <v/>
      </c>
      <c r="AE1185" s="29">
        <f>IF(履歴データ!$A$1185="",AE1184,AE1184+AC1185/1000000)</f>
        <v>70.844544225831427</v>
      </c>
      <c r="AF1185" s="12" t="str">
        <f>IF(OR(履歴データ!$A$1185="",AE1184=0),"",(AE1185-AE1184)/AE1184)</f>
        <v/>
      </c>
      <c r="AG1185" s="29">
        <f t="shared" si="48"/>
        <v>102.17217746631495</v>
      </c>
      <c r="AH1185" s="12" t="str">
        <f>IF(OR(履歴データ!$A$1185="",AG1185=0),"",AE1185/AG1185-1)</f>
        <v/>
      </c>
    </row>
    <row r="1186" spans="1:34">
      <c r="A1186" s="10" t="str">
        <f>IF(履歴データ!$A$1186="","",履歴データ!$A$1186)</f>
        <v/>
      </c>
      <c r="B1186" s="28" t="str">
        <f>IF(履歴データ!$A$1186="","",(履歴データ!$D$1186-(履歴データ!$B$1186+履歴データ!$F$1186)/2)*100)</f>
        <v/>
      </c>
      <c r="C1186" s="28" t="str">
        <f>IF(履歴データ!$A$1186="","",(履歴データ!$H$1186-(履歴データ!$G$1186+履歴データ!$J$1186)/2)*100)</f>
        <v/>
      </c>
      <c r="D1186" s="28" t="str">
        <f>IF(履歴データ!$A$1186="","",(履歴データ!$D$1186-履歴データ!$H$1186)*100)</f>
        <v/>
      </c>
      <c r="E1186" s="28" t="str">
        <f>IF(履歴データ!$A$1186="","",(履歴データ!$D$1186-履歴データ!$C$1186)*100)</f>
        <v/>
      </c>
      <c r="F1186" s="28" t="str">
        <f>IF(履歴データ!$A$1186="","",(履歴データ!$R$1186-履歴データ!$D$1186)*100)</f>
        <v/>
      </c>
      <c r="G1186" s="28" t="str">
        <f>IF(履歴データ!$A$1186="","",(履歴データ!$S$1186-履歴データ!$R$1186)*100)</f>
        <v/>
      </c>
      <c r="H1186" s="29" t="str">
        <f>IF(履歴データ!$A$1186="","",履歴データ!$O$1186)</f>
        <v/>
      </c>
      <c r="I1186" s="29" t="str">
        <f>IF(履歴データ!$A$1186="","",履歴データ!$Q$1186)</f>
        <v/>
      </c>
      <c r="J1186" s="29" t="str">
        <f>IF(履歴データ!$A$1186="","",履歴データ!$D$1186)</f>
        <v/>
      </c>
      <c r="K1186" s="28" t="str">
        <f>IF(OR(履歴データ!$A$1186="",履歴データ!$A$1185=""),"",B1186-B1185)</f>
        <v/>
      </c>
      <c r="L1186" s="28" t="str">
        <f>IF(OR(履歴データ!$A$1186="",履歴データ!$A$1185=""),"",C1186-C1185)</f>
        <v/>
      </c>
      <c r="M1186" s="28" t="str">
        <f>IF(OR(履歴データ!$A$1186="",履歴データ!$A$1185=""),"",D1186-D1185)</f>
        <v/>
      </c>
      <c r="N1186" s="28" t="str">
        <f>IF(OR(履歴データ!$A$1186="",履歴データ!$A$1185=""),"",E1186-E1185)</f>
        <v/>
      </c>
      <c r="O1186" s="28" t="str">
        <f>IF(OR(履歴データ!$A$1186="",履歴データ!$A$1185=""),"",F1186-F1185)</f>
        <v/>
      </c>
      <c r="P1186" s="28" t="str">
        <f>IF(OR(履歴データ!$A$1186="",履歴データ!$A$1185=""),"",G1186-G1185)</f>
        <v/>
      </c>
      <c r="Q1186" s="29" t="str">
        <f>IF(OR(履歴データ!$A$1186="",履歴データ!$A$1185=""),"",H1186-H1185)</f>
        <v/>
      </c>
      <c r="R1186" s="29" t="str">
        <f>IF(OR(履歴データ!$A$1186="",履歴データ!$A$1185=""),"",I1186-I1185)</f>
        <v/>
      </c>
      <c r="S1186" s="28" t="str">
        <f>IF(OR(履歴データ!$A$1186="",履歴データ!$A$1185=""),"",(J1186-J1185)*100)</f>
        <v/>
      </c>
      <c r="T1186" s="11" t="str">
        <f>IF(OR(履歴データ!$A$1186="",履歴データ!$A$1185=""),"",-80000*K1186)</f>
        <v/>
      </c>
      <c r="U1186" s="11" t="str">
        <f>IF(OR(履歴データ!$A$1186="",履歴データ!$A$1185=""),"",60000*L1186)</f>
        <v/>
      </c>
      <c r="V1186" s="11" t="str">
        <f>IF(OR(履歴データ!$A$1186="",履歴データ!$A$1185=""),"",-50000*M1186)</f>
        <v/>
      </c>
      <c r="W1186" s="11" t="str">
        <f>IF(OR(履歴データ!$A$1186="",履歴データ!$A$1185=""),"",-40000*N1186)</f>
        <v/>
      </c>
      <c r="X1186" s="11" t="str">
        <f>IF(OR(履歴データ!$A$1186="",履歴データ!$A$1185=""),"",120*1000000*(-Q1186/H1185))</f>
        <v/>
      </c>
      <c r="Y1186" s="11" t="str">
        <f>IF(OR(履歴データ!$A$1186="",履歴データ!$A$1185=""),"",40000*(-S1186)+(-506.3)*R1186*1000)</f>
        <v/>
      </c>
      <c r="Z1186" s="11" t="str">
        <f>IF(OR(履歴データ!$A$1186="",履歴データ!$A$1185=""),"",-40000*O1186)</f>
        <v/>
      </c>
      <c r="AA1186" s="11" t="str">
        <f>IF(OR(履歴データ!$A$1186="",履歴データ!$A$1185=""),"",-40000*P1186)</f>
        <v/>
      </c>
      <c r="AB1186" s="11" t="str">
        <f>IF(履歴データ!$A$1186="","",123.3)</f>
        <v/>
      </c>
      <c r="AC1186" t="str">
        <f>IF(履歴データ!$A$1186="","",SUM(T1186:AA1186))</f>
        <v/>
      </c>
      <c r="AD1186" s="29" t="str">
        <f>IF(履歴データ!$A$1186="","",AC1186/1000000)</f>
        <v/>
      </c>
      <c r="AE1186" s="29">
        <f>IF(履歴データ!$A$1186="",AE1185,AE1185+AC1186/1000000)</f>
        <v>70.844544225831427</v>
      </c>
      <c r="AF1186" s="12" t="str">
        <f>IF(OR(履歴データ!$A$1186="",AE1185=0),"",(AE1186-AE1185)/AE1185)</f>
        <v/>
      </c>
      <c r="AG1186" s="29">
        <f t="shared" si="48"/>
        <v>102.17217746631495</v>
      </c>
      <c r="AH1186" s="12" t="str">
        <f>IF(OR(履歴データ!$A$1186="",AG1186=0),"",AE1186/AG1186-1)</f>
        <v/>
      </c>
    </row>
    <row r="1187" spans="1:34">
      <c r="A1187" s="10" t="str">
        <f>IF(履歴データ!$A$1187="","",履歴データ!$A$1187)</f>
        <v/>
      </c>
      <c r="B1187" s="28" t="str">
        <f>IF(履歴データ!$A$1187="","",(履歴データ!$D$1187-(履歴データ!$B$1187+履歴データ!$F$1187)/2)*100)</f>
        <v/>
      </c>
      <c r="C1187" s="28" t="str">
        <f>IF(履歴データ!$A$1187="","",(履歴データ!$H$1187-(履歴データ!$G$1187+履歴データ!$J$1187)/2)*100)</f>
        <v/>
      </c>
      <c r="D1187" s="28" t="str">
        <f>IF(履歴データ!$A$1187="","",(履歴データ!$D$1187-履歴データ!$H$1187)*100)</f>
        <v/>
      </c>
      <c r="E1187" s="28" t="str">
        <f>IF(履歴データ!$A$1187="","",(履歴データ!$D$1187-履歴データ!$C$1187)*100)</f>
        <v/>
      </c>
      <c r="F1187" s="28" t="str">
        <f>IF(履歴データ!$A$1187="","",(履歴データ!$R$1187-履歴データ!$D$1187)*100)</f>
        <v/>
      </c>
      <c r="G1187" s="28" t="str">
        <f>IF(履歴データ!$A$1187="","",(履歴データ!$S$1187-履歴データ!$R$1187)*100)</f>
        <v/>
      </c>
      <c r="H1187" s="29" t="str">
        <f>IF(履歴データ!$A$1187="","",履歴データ!$O$1187)</f>
        <v/>
      </c>
      <c r="I1187" s="29" t="str">
        <f>IF(履歴データ!$A$1187="","",履歴データ!$Q$1187)</f>
        <v/>
      </c>
      <c r="J1187" s="29" t="str">
        <f>IF(履歴データ!$A$1187="","",履歴データ!$D$1187)</f>
        <v/>
      </c>
      <c r="K1187" s="28" t="str">
        <f>IF(OR(履歴データ!$A$1187="",履歴データ!$A$1186=""),"",B1187-B1186)</f>
        <v/>
      </c>
      <c r="L1187" s="28" t="str">
        <f>IF(OR(履歴データ!$A$1187="",履歴データ!$A$1186=""),"",C1187-C1186)</f>
        <v/>
      </c>
      <c r="M1187" s="28" t="str">
        <f>IF(OR(履歴データ!$A$1187="",履歴データ!$A$1186=""),"",D1187-D1186)</f>
        <v/>
      </c>
      <c r="N1187" s="28" t="str">
        <f>IF(OR(履歴データ!$A$1187="",履歴データ!$A$1186=""),"",E1187-E1186)</f>
        <v/>
      </c>
      <c r="O1187" s="28" t="str">
        <f>IF(OR(履歴データ!$A$1187="",履歴データ!$A$1186=""),"",F1187-F1186)</f>
        <v/>
      </c>
      <c r="P1187" s="28" t="str">
        <f>IF(OR(履歴データ!$A$1187="",履歴データ!$A$1186=""),"",G1187-G1186)</f>
        <v/>
      </c>
      <c r="Q1187" s="29" t="str">
        <f>IF(OR(履歴データ!$A$1187="",履歴データ!$A$1186=""),"",H1187-H1186)</f>
        <v/>
      </c>
      <c r="R1187" s="29" t="str">
        <f>IF(OR(履歴データ!$A$1187="",履歴データ!$A$1186=""),"",I1187-I1186)</f>
        <v/>
      </c>
      <c r="S1187" s="28" t="str">
        <f>IF(OR(履歴データ!$A$1187="",履歴データ!$A$1186=""),"",(J1187-J1186)*100)</f>
        <v/>
      </c>
      <c r="T1187" s="11" t="str">
        <f>IF(OR(履歴データ!$A$1187="",履歴データ!$A$1186=""),"",-80000*K1187)</f>
        <v/>
      </c>
      <c r="U1187" s="11" t="str">
        <f>IF(OR(履歴データ!$A$1187="",履歴データ!$A$1186=""),"",60000*L1187)</f>
        <v/>
      </c>
      <c r="V1187" s="11" t="str">
        <f>IF(OR(履歴データ!$A$1187="",履歴データ!$A$1186=""),"",-50000*M1187)</f>
        <v/>
      </c>
      <c r="W1187" s="11" t="str">
        <f>IF(OR(履歴データ!$A$1187="",履歴データ!$A$1186=""),"",-40000*N1187)</f>
        <v/>
      </c>
      <c r="X1187" s="11" t="str">
        <f>IF(OR(履歴データ!$A$1187="",履歴データ!$A$1186=""),"",120*1000000*(-Q1187/H1186))</f>
        <v/>
      </c>
      <c r="Y1187" s="11" t="str">
        <f>IF(OR(履歴データ!$A$1187="",履歴データ!$A$1186=""),"",40000*(-S1187)+(-506.3)*R1187*1000)</f>
        <v/>
      </c>
      <c r="Z1187" s="11" t="str">
        <f>IF(OR(履歴データ!$A$1187="",履歴データ!$A$1186=""),"",-40000*O1187)</f>
        <v/>
      </c>
      <c r="AA1187" s="11" t="str">
        <f>IF(OR(履歴データ!$A$1187="",履歴データ!$A$1186=""),"",-40000*P1187)</f>
        <v/>
      </c>
      <c r="AB1187" s="11" t="str">
        <f>IF(履歴データ!$A$1187="","",123.3)</f>
        <v/>
      </c>
      <c r="AC1187" t="str">
        <f>IF(履歴データ!$A$1187="","",SUM(T1187:AA1187))</f>
        <v/>
      </c>
      <c r="AD1187" s="29" t="str">
        <f>IF(履歴データ!$A$1187="","",AC1187/1000000)</f>
        <v/>
      </c>
      <c r="AE1187" s="29">
        <f>IF(履歴データ!$A$1187="",AE1186,AE1186+AC1187/1000000)</f>
        <v>70.844544225831427</v>
      </c>
      <c r="AF1187" s="12" t="str">
        <f>IF(OR(履歴データ!$A$1187="",AE1186=0),"",(AE1187-AE1186)/AE1186)</f>
        <v/>
      </c>
      <c r="AG1187" s="29">
        <f t="shared" si="48"/>
        <v>102.17217746631495</v>
      </c>
      <c r="AH1187" s="12" t="str">
        <f>IF(OR(履歴データ!$A$1187="",AG1187=0),"",AE1187/AG1187-1)</f>
        <v/>
      </c>
    </row>
    <row r="1188" spans="1:34">
      <c r="A1188" s="10" t="str">
        <f>IF(履歴データ!$A$1188="","",履歴データ!$A$1188)</f>
        <v/>
      </c>
      <c r="B1188" s="28" t="str">
        <f>IF(履歴データ!$A$1188="","",(履歴データ!$D$1188-(履歴データ!$B$1188+履歴データ!$F$1188)/2)*100)</f>
        <v/>
      </c>
      <c r="C1188" s="28" t="str">
        <f>IF(履歴データ!$A$1188="","",(履歴データ!$H$1188-(履歴データ!$G$1188+履歴データ!$J$1188)/2)*100)</f>
        <v/>
      </c>
      <c r="D1188" s="28" t="str">
        <f>IF(履歴データ!$A$1188="","",(履歴データ!$D$1188-履歴データ!$H$1188)*100)</f>
        <v/>
      </c>
      <c r="E1188" s="28" t="str">
        <f>IF(履歴データ!$A$1188="","",(履歴データ!$D$1188-履歴データ!$C$1188)*100)</f>
        <v/>
      </c>
      <c r="F1188" s="28" t="str">
        <f>IF(履歴データ!$A$1188="","",(履歴データ!$R$1188-履歴データ!$D$1188)*100)</f>
        <v/>
      </c>
      <c r="G1188" s="28" t="str">
        <f>IF(履歴データ!$A$1188="","",(履歴データ!$S$1188-履歴データ!$R$1188)*100)</f>
        <v/>
      </c>
      <c r="H1188" s="29" t="str">
        <f>IF(履歴データ!$A$1188="","",履歴データ!$O$1188)</f>
        <v/>
      </c>
      <c r="I1188" s="29" t="str">
        <f>IF(履歴データ!$A$1188="","",履歴データ!$Q$1188)</f>
        <v/>
      </c>
      <c r="J1188" s="29" t="str">
        <f>IF(履歴データ!$A$1188="","",履歴データ!$D$1188)</f>
        <v/>
      </c>
      <c r="K1188" s="28" t="str">
        <f>IF(OR(履歴データ!$A$1188="",履歴データ!$A$1187=""),"",B1188-B1187)</f>
        <v/>
      </c>
      <c r="L1188" s="28" t="str">
        <f>IF(OR(履歴データ!$A$1188="",履歴データ!$A$1187=""),"",C1188-C1187)</f>
        <v/>
      </c>
      <c r="M1188" s="28" t="str">
        <f>IF(OR(履歴データ!$A$1188="",履歴データ!$A$1187=""),"",D1188-D1187)</f>
        <v/>
      </c>
      <c r="N1188" s="28" t="str">
        <f>IF(OR(履歴データ!$A$1188="",履歴データ!$A$1187=""),"",E1188-E1187)</f>
        <v/>
      </c>
      <c r="O1188" s="28" t="str">
        <f>IF(OR(履歴データ!$A$1188="",履歴データ!$A$1187=""),"",F1188-F1187)</f>
        <v/>
      </c>
      <c r="P1188" s="28" t="str">
        <f>IF(OR(履歴データ!$A$1188="",履歴データ!$A$1187=""),"",G1188-G1187)</f>
        <v/>
      </c>
      <c r="Q1188" s="29" t="str">
        <f>IF(OR(履歴データ!$A$1188="",履歴データ!$A$1187=""),"",H1188-H1187)</f>
        <v/>
      </c>
      <c r="R1188" s="29" t="str">
        <f>IF(OR(履歴データ!$A$1188="",履歴データ!$A$1187=""),"",I1188-I1187)</f>
        <v/>
      </c>
      <c r="S1188" s="28" t="str">
        <f>IF(OR(履歴データ!$A$1188="",履歴データ!$A$1187=""),"",(J1188-J1187)*100)</f>
        <v/>
      </c>
      <c r="T1188" s="11" t="str">
        <f>IF(OR(履歴データ!$A$1188="",履歴データ!$A$1187=""),"",-80000*K1188)</f>
        <v/>
      </c>
      <c r="U1188" s="11" t="str">
        <f>IF(OR(履歴データ!$A$1188="",履歴データ!$A$1187=""),"",60000*L1188)</f>
        <v/>
      </c>
      <c r="V1188" s="11" t="str">
        <f>IF(OR(履歴データ!$A$1188="",履歴データ!$A$1187=""),"",-50000*M1188)</f>
        <v/>
      </c>
      <c r="W1188" s="11" t="str">
        <f>IF(OR(履歴データ!$A$1188="",履歴データ!$A$1187=""),"",-40000*N1188)</f>
        <v/>
      </c>
      <c r="X1188" s="11" t="str">
        <f>IF(OR(履歴データ!$A$1188="",履歴データ!$A$1187=""),"",120*1000000*(-Q1188/H1187))</f>
        <v/>
      </c>
      <c r="Y1188" s="11" t="str">
        <f>IF(OR(履歴データ!$A$1188="",履歴データ!$A$1187=""),"",40000*(-S1188)+(-506.3)*R1188*1000)</f>
        <v/>
      </c>
      <c r="Z1188" s="11" t="str">
        <f>IF(OR(履歴データ!$A$1188="",履歴データ!$A$1187=""),"",-40000*O1188)</f>
        <v/>
      </c>
      <c r="AA1188" s="11" t="str">
        <f>IF(OR(履歴データ!$A$1188="",履歴データ!$A$1187=""),"",-40000*P1188)</f>
        <v/>
      </c>
      <c r="AB1188" s="11" t="str">
        <f>IF(履歴データ!$A$1188="","",123.3)</f>
        <v/>
      </c>
      <c r="AC1188" t="str">
        <f>IF(履歴データ!$A$1188="","",SUM(T1188:AA1188))</f>
        <v/>
      </c>
      <c r="AD1188" s="29" t="str">
        <f>IF(履歴データ!$A$1188="","",AC1188/1000000)</f>
        <v/>
      </c>
      <c r="AE1188" s="29">
        <f>IF(履歴データ!$A$1188="",AE1187,AE1187+AC1188/1000000)</f>
        <v>70.844544225831427</v>
      </c>
      <c r="AF1188" s="12" t="str">
        <f>IF(OR(履歴データ!$A$1188="",AE1187=0),"",(AE1188-AE1187)/AE1187)</f>
        <v/>
      </c>
      <c r="AG1188" s="29">
        <f t="shared" si="48"/>
        <v>102.17217746631495</v>
      </c>
      <c r="AH1188" s="12" t="str">
        <f>IF(OR(履歴データ!$A$1188="",AG1188=0),"",AE1188/AG1188-1)</f>
        <v/>
      </c>
    </row>
    <row r="1189" spans="1:34">
      <c r="A1189" s="10" t="str">
        <f>IF(履歴データ!$A$1189="","",履歴データ!$A$1189)</f>
        <v/>
      </c>
      <c r="B1189" s="28" t="str">
        <f>IF(履歴データ!$A$1189="","",(履歴データ!$D$1189-(履歴データ!$B$1189+履歴データ!$F$1189)/2)*100)</f>
        <v/>
      </c>
      <c r="C1189" s="28" t="str">
        <f>IF(履歴データ!$A$1189="","",(履歴データ!$H$1189-(履歴データ!$G$1189+履歴データ!$J$1189)/2)*100)</f>
        <v/>
      </c>
      <c r="D1189" s="28" t="str">
        <f>IF(履歴データ!$A$1189="","",(履歴データ!$D$1189-履歴データ!$H$1189)*100)</f>
        <v/>
      </c>
      <c r="E1189" s="28" t="str">
        <f>IF(履歴データ!$A$1189="","",(履歴データ!$D$1189-履歴データ!$C$1189)*100)</f>
        <v/>
      </c>
      <c r="F1189" s="28" t="str">
        <f>IF(履歴データ!$A$1189="","",(履歴データ!$R$1189-履歴データ!$D$1189)*100)</f>
        <v/>
      </c>
      <c r="G1189" s="28" t="str">
        <f>IF(履歴データ!$A$1189="","",(履歴データ!$S$1189-履歴データ!$R$1189)*100)</f>
        <v/>
      </c>
      <c r="H1189" s="29" t="str">
        <f>IF(履歴データ!$A$1189="","",履歴データ!$O$1189)</f>
        <v/>
      </c>
      <c r="I1189" s="29" t="str">
        <f>IF(履歴データ!$A$1189="","",履歴データ!$Q$1189)</f>
        <v/>
      </c>
      <c r="J1189" s="29" t="str">
        <f>IF(履歴データ!$A$1189="","",履歴データ!$D$1189)</f>
        <v/>
      </c>
      <c r="K1189" s="28" t="str">
        <f>IF(OR(履歴データ!$A$1189="",履歴データ!$A$1188=""),"",B1189-B1188)</f>
        <v/>
      </c>
      <c r="L1189" s="28" t="str">
        <f>IF(OR(履歴データ!$A$1189="",履歴データ!$A$1188=""),"",C1189-C1188)</f>
        <v/>
      </c>
      <c r="M1189" s="28" t="str">
        <f>IF(OR(履歴データ!$A$1189="",履歴データ!$A$1188=""),"",D1189-D1188)</f>
        <v/>
      </c>
      <c r="N1189" s="28" t="str">
        <f>IF(OR(履歴データ!$A$1189="",履歴データ!$A$1188=""),"",E1189-E1188)</f>
        <v/>
      </c>
      <c r="O1189" s="28" t="str">
        <f>IF(OR(履歴データ!$A$1189="",履歴データ!$A$1188=""),"",F1189-F1188)</f>
        <v/>
      </c>
      <c r="P1189" s="28" t="str">
        <f>IF(OR(履歴データ!$A$1189="",履歴データ!$A$1188=""),"",G1189-G1188)</f>
        <v/>
      </c>
      <c r="Q1189" s="29" t="str">
        <f>IF(OR(履歴データ!$A$1189="",履歴データ!$A$1188=""),"",H1189-H1188)</f>
        <v/>
      </c>
      <c r="R1189" s="29" t="str">
        <f>IF(OR(履歴データ!$A$1189="",履歴データ!$A$1188=""),"",I1189-I1188)</f>
        <v/>
      </c>
      <c r="S1189" s="28" t="str">
        <f>IF(OR(履歴データ!$A$1189="",履歴データ!$A$1188=""),"",(J1189-J1188)*100)</f>
        <v/>
      </c>
      <c r="T1189" s="11" t="str">
        <f>IF(OR(履歴データ!$A$1189="",履歴データ!$A$1188=""),"",-80000*K1189)</f>
        <v/>
      </c>
      <c r="U1189" s="11" t="str">
        <f>IF(OR(履歴データ!$A$1189="",履歴データ!$A$1188=""),"",60000*L1189)</f>
        <v/>
      </c>
      <c r="V1189" s="11" t="str">
        <f>IF(OR(履歴データ!$A$1189="",履歴データ!$A$1188=""),"",-50000*M1189)</f>
        <v/>
      </c>
      <c r="W1189" s="11" t="str">
        <f>IF(OR(履歴データ!$A$1189="",履歴データ!$A$1188=""),"",-40000*N1189)</f>
        <v/>
      </c>
      <c r="X1189" s="11" t="str">
        <f>IF(OR(履歴データ!$A$1189="",履歴データ!$A$1188=""),"",120*1000000*(-Q1189/H1188))</f>
        <v/>
      </c>
      <c r="Y1189" s="11" t="str">
        <f>IF(OR(履歴データ!$A$1189="",履歴データ!$A$1188=""),"",40000*(-S1189)+(-506.3)*R1189*1000)</f>
        <v/>
      </c>
      <c r="Z1189" s="11" t="str">
        <f>IF(OR(履歴データ!$A$1189="",履歴データ!$A$1188=""),"",-40000*O1189)</f>
        <v/>
      </c>
      <c r="AA1189" s="11" t="str">
        <f>IF(OR(履歴データ!$A$1189="",履歴データ!$A$1188=""),"",-40000*P1189)</f>
        <v/>
      </c>
      <c r="AB1189" s="11" t="str">
        <f>IF(履歴データ!$A$1189="","",123.3)</f>
        <v/>
      </c>
      <c r="AC1189" t="str">
        <f>IF(履歴データ!$A$1189="","",SUM(T1189:AA1189))</f>
        <v/>
      </c>
      <c r="AD1189" s="29" t="str">
        <f>IF(履歴データ!$A$1189="","",AC1189/1000000)</f>
        <v/>
      </c>
      <c r="AE1189" s="29">
        <f>IF(履歴データ!$A$1189="",AE1188,AE1188+AC1189/1000000)</f>
        <v>70.844544225831427</v>
      </c>
      <c r="AF1189" s="12" t="str">
        <f>IF(OR(履歴データ!$A$1189="",AE1188=0),"",(AE1189-AE1188)/AE1188)</f>
        <v/>
      </c>
      <c r="AG1189" s="29">
        <f t="shared" si="48"/>
        <v>102.17217746631495</v>
      </c>
      <c r="AH1189" s="12" t="str">
        <f>IF(OR(履歴データ!$A$1189="",AG1189=0),"",AE1189/AG1189-1)</f>
        <v/>
      </c>
    </row>
    <row r="1190" spans="1:34">
      <c r="A1190" s="10" t="str">
        <f>IF(履歴データ!$A$1190="","",履歴データ!$A$1190)</f>
        <v/>
      </c>
      <c r="B1190" s="28" t="str">
        <f>IF(履歴データ!$A$1190="","",(履歴データ!$D$1190-(履歴データ!$B$1190+履歴データ!$F$1190)/2)*100)</f>
        <v/>
      </c>
      <c r="C1190" s="28" t="str">
        <f>IF(履歴データ!$A$1190="","",(履歴データ!$H$1190-(履歴データ!$G$1190+履歴データ!$J$1190)/2)*100)</f>
        <v/>
      </c>
      <c r="D1190" s="28" t="str">
        <f>IF(履歴データ!$A$1190="","",(履歴データ!$D$1190-履歴データ!$H$1190)*100)</f>
        <v/>
      </c>
      <c r="E1190" s="28" t="str">
        <f>IF(履歴データ!$A$1190="","",(履歴データ!$D$1190-履歴データ!$C$1190)*100)</f>
        <v/>
      </c>
      <c r="F1190" s="28" t="str">
        <f>IF(履歴データ!$A$1190="","",(履歴データ!$R$1190-履歴データ!$D$1190)*100)</f>
        <v/>
      </c>
      <c r="G1190" s="28" t="str">
        <f>IF(履歴データ!$A$1190="","",(履歴データ!$S$1190-履歴データ!$R$1190)*100)</f>
        <v/>
      </c>
      <c r="H1190" s="29" t="str">
        <f>IF(履歴データ!$A$1190="","",履歴データ!$O$1190)</f>
        <v/>
      </c>
      <c r="I1190" s="29" t="str">
        <f>IF(履歴データ!$A$1190="","",履歴データ!$Q$1190)</f>
        <v/>
      </c>
      <c r="J1190" s="29" t="str">
        <f>IF(履歴データ!$A$1190="","",履歴データ!$D$1190)</f>
        <v/>
      </c>
      <c r="K1190" s="28" t="str">
        <f>IF(OR(履歴データ!$A$1190="",履歴データ!$A$1189=""),"",B1190-B1189)</f>
        <v/>
      </c>
      <c r="L1190" s="28" t="str">
        <f>IF(OR(履歴データ!$A$1190="",履歴データ!$A$1189=""),"",C1190-C1189)</f>
        <v/>
      </c>
      <c r="M1190" s="28" t="str">
        <f>IF(OR(履歴データ!$A$1190="",履歴データ!$A$1189=""),"",D1190-D1189)</f>
        <v/>
      </c>
      <c r="N1190" s="28" t="str">
        <f>IF(OR(履歴データ!$A$1190="",履歴データ!$A$1189=""),"",E1190-E1189)</f>
        <v/>
      </c>
      <c r="O1190" s="28" t="str">
        <f>IF(OR(履歴データ!$A$1190="",履歴データ!$A$1189=""),"",F1190-F1189)</f>
        <v/>
      </c>
      <c r="P1190" s="28" t="str">
        <f>IF(OR(履歴データ!$A$1190="",履歴データ!$A$1189=""),"",G1190-G1189)</f>
        <v/>
      </c>
      <c r="Q1190" s="29" t="str">
        <f>IF(OR(履歴データ!$A$1190="",履歴データ!$A$1189=""),"",H1190-H1189)</f>
        <v/>
      </c>
      <c r="R1190" s="29" t="str">
        <f>IF(OR(履歴データ!$A$1190="",履歴データ!$A$1189=""),"",I1190-I1189)</f>
        <v/>
      </c>
      <c r="S1190" s="28" t="str">
        <f>IF(OR(履歴データ!$A$1190="",履歴データ!$A$1189=""),"",(J1190-J1189)*100)</f>
        <v/>
      </c>
      <c r="T1190" s="11" t="str">
        <f>IF(OR(履歴データ!$A$1190="",履歴データ!$A$1189=""),"",-80000*K1190)</f>
        <v/>
      </c>
      <c r="U1190" s="11" t="str">
        <f>IF(OR(履歴データ!$A$1190="",履歴データ!$A$1189=""),"",60000*L1190)</f>
        <v/>
      </c>
      <c r="V1190" s="11" t="str">
        <f>IF(OR(履歴データ!$A$1190="",履歴データ!$A$1189=""),"",-50000*M1190)</f>
        <v/>
      </c>
      <c r="W1190" s="11" t="str">
        <f>IF(OR(履歴データ!$A$1190="",履歴データ!$A$1189=""),"",-40000*N1190)</f>
        <v/>
      </c>
      <c r="X1190" s="11" t="str">
        <f>IF(OR(履歴データ!$A$1190="",履歴データ!$A$1189=""),"",120*1000000*(-Q1190/H1189))</f>
        <v/>
      </c>
      <c r="Y1190" s="11" t="str">
        <f>IF(OR(履歴データ!$A$1190="",履歴データ!$A$1189=""),"",40000*(-S1190)+(-506.3)*R1190*1000)</f>
        <v/>
      </c>
      <c r="Z1190" s="11" t="str">
        <f>IF(OR(履歴データ!$A$1190="",履歴データ!$A$1189=""),"",-40000*O1190)</f>
        <v/>
      </c>
      <c r="AA1190" s="11" t="str">
        <f>IF(OR(履歴データ!$A$1190="",履歴データ!$A$1189=""),"",-40000*P1190)</f>
        <v/>
      </c>
      <c r="AB1190" s="11" t="str">
        <f>IF(履歴データ!$A$1190="","",123.3)</f>
        <v/>
      </c>
      <c r="AC1190" t="str">
        <f>IF(履歴データ!$A$1190="","",SUM(T1190:AA1190))</f>
        <v/>
      </c>
      <c r="AD1190" s="29" t="str">
        <f>IF(履歴データ!$A$1190="","",AC1190/1000000)</f>
        <v/>
      </c>
      <c r="AE1190" s="29">
        <f>IF(履歴データ!$A$1190="",AE1189,AE1189+AC1190/1000000)</f>
        <v>70.844544225831427</v>
      </c>
      <c r="AF1190" s="12" t="str">
        <f>IF(OR(履歴データ!$A$1190="",AE1189=0),"",(AE1190-AE1189)/AE1189)</f>
        <v/>
      </c>
      <c r="AG1190" s="29">
        <f t="shared" si="48"/>
        <v>102.17217746631495</v>
      </c>
      <c r="AH1190" s="12" t="str">
        <f>IF(OR(履歴データ!$A$1190="",AG1190=0),"",AE1190/AG1190-1)</f>
        <v/>
      </c>
    </row>
    <row r="1191" spans="1:34">
      <c r="A1191" s="10" t="str">
        <f>IF(履歴データ!$A$1191="","",履歴データ!$A$1191)</f>
        <v/>
      </c>
      <c r="B1191" s="28" t="str">
        <f>IF(履歴データ!$A$1191="","",(履歴データ!$D$1191-(履歴データ!$B$1191+履歴データ!$F$1191)/2)*100)</f>
        <v/>
      </c>
      <c r="C1191" s="28" t="str">
        <f>IF(履歴データ!$A$1191="","",(履歴データ!$H$1191-(履歴データ!$G$1191+履歴データ!$J$1191)/2)*100)</f>
        <v/>
      </c>
      <c r="D1191" s="28" t="str">
        <f>IF(履歴データ!$A$1191="","",(履歴データ!$D$1191-履歴データ!$H$1191)*100)</f>
        <v/>
      </c>
      <c r="E1191" s="28" t="str">
        <f>IF(履歴データ!$A$1191="","",(履歴データ!$D$1191-履歴データ!$C$1191)*100)</f>
        <v/>
      </c>
      <c r="F1191" s="28" t="str">
        <f>IF(履歴データ!$A$1191="","",(履歴データ!$R$1191-履歴データ!$D$1191)*100)</f>
        <v/>
      </c>
      <c r="G1191" s="28" t="str">
        <f>IF(履歴データ!$A$1191="","",(履歴データ!$S$1191-履歴データ!$R$1191)*100)</f>
        <v/>
      </c>
      <c r="H1191" s="29" t="str">
        <f>IF(履歴データ!$A$1191="","",履歴データ!$O$1191)</f>
        <v/>
      </c>
      <c r="I1191" s="29" t="str">
        <f>IF(履歴データ!$A$1191="","",履歴データ!$Q$1191)</f>
        <v/>
      </c>
      <c r="J1191" s="29" t="str">
        <f>IF(履歴データ!$A$1191="","",履歴データ!$D$1191)</f>
        <v/>
      </c>
      <c r="K1191" s="28" t="str">
        <f>IF(OR(履歴データ!$A$1191="",履歴データ!$A$1190=""),"",B1191-B1190)</f>
        <v/>
      </c>
      <c r="L1191" s="28" t="str">
        <f>IF(OR(履歴データ!$A$1191="",履歴データ!$A$1190=""),"",C1191-C1190)</f>
        <v/>
      </c>
      <c r="M1191" s="28" t="str">
        <f>IF(OR(履歴データ!$A$1191="",履歴データ!$A$1190=""),"",D1191-D1190)</f>
        <v/>
      </c>
      <c r="N1191" s="28" t="str">
        <f>IF(OR(履歴データ!$A$1191="",履歴データ!$A$1190=""),"",E1191-E1190)</f>
        <v/>
      </c>
      <c r="O1191" s="28" t="str">
        <f>IF(OR(履歴データ!$A$1191="",履歴データ!$A$1190=""),"",F1191-F1190)</f>
        <v/>
      </c>
      <c r="P1191" s="28" t="str">
        <f>IF(OR(履歴データ!$A$1191="",履歴データ!$A$1190=""),"",G1191-G1190)</f>
        <v/>
      </c>
      <c r="Q1191" s="29" t="str">
        <f>IF(OR(履歴データ!$A$1191="",履歴データ!$A$1190=""),"",H1191-H1190)</f>
        <v/>
      </c>
      <c r="R1191" s="29" t="str">
        <f>IF(OR(履歴データ!$A$1191="",履歴データ!$A$1190=""),"",I1191-I1190)</f>
        <v/>
      </c>
      <c r="S1191" s="28" t="str">
        <f>IF(OR(履歴データ!$A$1191="",履歴データ!$A$1190=""),"",(J1191-J1190)*100)</f>
        <v/>
      </c>
      <c r="T1191" s="11" t="str">
        <f>IF(OR(履歴データ!$A$1191="",履歴データ!$A$1190=""),"",-80000*K1191)</f>
        <v/>
      </c>
      <c r="U1191" s="11" t="str">
        <f>IF(OR(履歴データ!$A$1191="",履歴データ!$A$1190=""),"",60000*L1191)</f>
        <v/>
      </c>
      <c r="V1191" s="11" t="str">
        <f>IF(OR(履歴データ!$A$1191="",履歴データ!$A$1190=""),"",-50000*M1191)</f>
        <v/>
      </c>
      <c r="W1191" s="11" t="str">
        <f>IF(OR(履歴データ!$A$1191="",履歴データ!$A$1190=""),"",-40000*N1191)</f>
        <v/>
      </c>
      <c r="X1191" s="11" t="str">
        <f>IF(OR(履歴データ!$A$1191="",履歴データ!$A$1190=""),"",120*1000000*(-Q1191/H1190))</f>
        <v/>
      </c>
      <c r="Y1191" s="11" t="str">
        <f>IF(OR(履歴データ!$A$1191="",履歴データ!$A$1190=""),"",40000*(-S1191)+(-506.3)*R1191*1000)</f>
        <v/>
      </c>
      <c r="Z1191" s="11" t="str">
        <f>IF(OR(履歴データ!$A$1191="",履歴データ!$A$1190=""),"",-40000*O1191)</f>
        <v/>
      </c>
      <c r="AA1191" s="11" t="str">
        <f>IF(OR(履歴データ!$A$1191="",履歴データ!$A$1190=""),"",-40000*P1191)</f>
        <v/>
      </c>
      <c r="AB1191" s="11" t="str">
        <f>IF(履歴データ!$A$1191="","",123.3)</f>
        <v/>
      </c>
      <c r="AC1191" t="str">
        <f>IF(履歴データ!$A$1191="","",SUM(T1191:AA1191))</f>
        <v/>
      </c>
      <c r="AD1191" s="29" t="str">
        <f>IF(履歴データ!$A$1191="","",AC1191/1000000)</f>
        <v/>
      </c>
      <c r="AE1191" s="29">
        <f>IF(履歴データ!$A$1191="",AE1190,AE1190+AC1191/1000000)</f>
        <v>70.844544225831427</v>
      </c>
      <c r="AF1191" s="12" t="str">
        <f>IF(OR(履歴データ!$A$1191="",AE1190=0),"",(AE1191-AE1190)/AE1190)</f>
        <v/>
      </c>
      <c r="AG1191" s="29">
        <f t="shared" si="48"/>
        <v>102.17217746631495</v>
      </c>
      <c r="AH1191" s="12" t="str">
        <f>IF(OR(履歴データ!$A$1191="",AG1191=0),"",AE1191/AG1191-1)</f>
        <v/>
      </c>
    </row>
    <row r="1192" spans="1:34">
      <c r="A1192" s="10" t="str">
        <f>IF(履歴データ!$A$1192="","",履歴データ!$A$1192)</f>
        <v/>
      </c>
      <c r="B1192" s="28" t="str">
        <f>IF(履歴データ!$A$1192="","",(履歴データ!$D$1192-(履歴データ!$B$1192+履歴データ!$F$1192)/2)*100)</f>
        <v/>
      </c>
      <c r="C1192" s="28" t="str">
        <f>IF(履歴データ!$A$1192="","",(履歴データ!$H$1192-(履歴データ!$G$1192+履歴データ!$J$1192)/2)*100)</f>
        <v/>
      </c>
      <c r="D1192" s="28" t="str">
        <f>IF(履歴データ!$A$1192="","",(履歴データ!$D$1192-履歴データ!$H$1192)*100)</f>
        <v/>
      </c>
      <c r="E1192" s="28" t="str">
        <f>IF(履歴データ!$A$1192="","",(履歴データ!$D$1192-履歴データ!$C$1192)*100)</f>
        <v/>
      </c>
      <c r="F1192" s="28" t="str">
        <f>IF(履歴データ!$A$1192="","",(履歴データ!$R$1192-履歴データ!$D$1192)*100)</f>
        <v/>
      </c>
      <c r="G1192" s="28" t="str">
        <f>IF(履歴データ!$A$1192="","",(履歴データ!$S$1192-履歴データ!$R$1192)*100)</f>
        <v/>
      </c>
      <c r="H1192" s="29" t="str">
        <f>IF(履歴データ!$A$1192="","",履歴データ!$O$1192)</f>
        <v/>
      </c>
      <c r="I1192" s="29" t="str">
        <f>IF(履歴データ!$A$1192="","",履歴データ!$Q$1192)</f>
        <v/>
      </c>
      <c r="J1192" s="29" t="str">
        <f>IF(履歴データ!$A$1192="","",履歴データ!$D$1192)</f>
        <v/>
      </c>
      <c r="K1192" s="28" t="str">
        <f>IF(OR(履歴データ!$A$1192="",履歴データ!$A$1191=""),"",B1192-B1191)</f>
        <v/>
      </c>
      <c r="L1192" s="28" t="str">
        <f>IF(OR(履歴データ!$A$1192="",履歴データ!$A$1191=""),"",C1192-C1191)</f>
        <v/>
      </c>
      <c r="M1192" s="28" t="str">
        <f>IF(OR(履歴データ!$A$1192="",履歴データ!$A$1191=""),"",D1192-D1191)</f>
        <v/>
      </c>
      <c r="N1192" s="28" t="str">
        <f>IF(OR(履歴データ!$A$1192="",履歴データ!$A$1191=""),"",E1192-E1191)</f>
        <v/>
      </c>
      <c r="O1192" s="28" t="str">
        <f>IF(OR(履歴データ!$A$1192="",履歴データ!$A$1191=""),"",F1192-F1191)</f>
        <v/>
      </c>
      <c r="P1192" s="28" t="str">
        <f>IF(OR(履歴データ!$A$1192="",履歴データ!$A$1191=""),"",G1192-G1191)</f>
        <v/>
      </c>
      <c r="Q1192" s="29" t="str">
        <f>IF(OR(履歴データ!$A$1192="",履歴データ!$A$1191=""),"",H1192-H1191)</f>
        <v/>
      </c>
      <c r="R1192" s="29" t="str">
        <f>IF(OR(履歴データ!$A$1192="",履歴データ!$A$1191=""),"",I1192-I1191)</f>
        <v/>
      </c>
      <c r="S1192" s="28" t="str">
        <f>IF(OR(履歴データ!$A$1192="",履歴データ!$A$1191=""),"",(J1192-J1191)*100)</f>
        <v/>
      </c>
      <c r="T1192" s="11" t="str">
        <f>IF(OR(履歴データ!$A$1192="",履歴データ!$A$1191=""),"",-80000*K1192)</f>
        <v/>
      </c>
      <c r="U1192" s="11" t="str">
        <f>IF(OR(履歴データ!$A$1192="",履歴データ!$A$1191=""),"",60000*L1192)</f>
        <v/>
      </c>
      <c r="V1192" s="11" t="str">
        <f>IF(OR(履歴データ!$A$1192="",履歴データ!$A$1191=""),"",-50000*M1192)</f>
        <v/>
      </c>
      <c r="W1192" s="11" t="str">
        <f>IF(OR(履歴データ!$A$1192="",履歴データ!$A$1191=""),"",-40000*N1192)</f>
        <v/>
      </c>
      <c r="X1192" s="11" t="str">
        <f>IF(OR(履歴データ!$A$1192="",履歴データ!$A$1191=""),"",120*1000000*(-Q1192/H1191))</f>
        <v/>
      </c>
      <c r="Y1192" s="11" t="str">
        <f>IF(OR(履歴データ!$A$1192="",履歴データ!$A$1191=""),"",40000*(-S1192)+(-506.3)*R1192*1000)</f>
        <v/>
      </c>
      <c r="Z1192" s="11" t="str">
        <f>IF(OR(履歴データ!$A$1192="",履歴データ!$A$1191=""),"",-40000*O1192)</f>
        <v/>
      </c>
      <c r="AA1192" s="11" t="str">
        <f>IF(OR(履歴データ!$A$1192="",履歴データ!$A$1191=""),"",-40000*P1192)</f>
        <v/>
      </c>
      <c r="AB1192" s="11" t="str">
        <f>IF(履歴データ!$A$1192="","",123.3)</f>
        <v/>
      </c>
      <c r="AC1192" t="str">
        <f>IF(履歴データ!$A$1192="","",SUM(T1192:AA1192))</f>
        <v/>
      </c>
      <c r="AD1192" s="29" t="str">
        <f>IF(履歴データ!$A$1192="","",AC1192/1000000)</f>
        <v/>
      </c>
      <c r="AE1192" s="29">
        <f>IF(履歴データ!$A$1192="",AE1191,AE1191+AC1192/1000000)</f>
        <v>70.844544225831427</v>
      </c>
      <c r="AF1192" s="12" t="str">
        <f>IF(OR(履歴データ!$A$1192="",AE1191=0),"",(AE1192-AE1191)/AE1191)</f>
        <v/>
      </c>
      <c r="AG1192" s="29">
        <f t="shared" si="48"/>
        <v>102.17217746631495</v>
      </c>
      <c r="AH1192" s="12" t="str">
        <f>IF(OR(履歴データ!$A$1192="",AG1192=0),"",AE1192/AG1192-1)</f>
        <v/>
      </c>
    </row>
    <row r="1193" spans="1:34">
      <c r="A1193" s="10" t="str">
        <f>IF(履歴データ!$A$1193="","",履歴データ!$A$1193)</f>
        <v/>
      </c>
      <c r="B1193" s="28" t="str">
        <f>IF(履歴データ!$A$1193="","",(履歴データ!$D$1193-(履歴データ!$B$1193+履歴データ!$F$1193)/2)*100)</f>
        <v/>
      </c>
      <c r="C1193" s="28" t="str">
        <f>IF(履歴データ!$A$1193="","",(履歴データ!$H$1193-(履歴データ!$G$1193+履歴データ!$J$1193)/2)*100)</f>
        <v/>
      </c>
      <c r="D1193" s="28" t="str">
        <f>IF(履歴データ!$A$1193="","",(履歴データ!$D$1193-履歴データ!$H$1193)*100)</f>
        <v/>
      </c>
      <c r="E1193" s="28" t="str">
        <f>IF(履歴データ!$A$1193="","",(履歴データ!$D$1193-履歴データ!$C$1193)*100)</f>
        <v/>
      </c>
      <c r="F1193" s="28" t="str">
        <f>IF(履歴データ!$A$1193="","",(履歴データ!$R$1193-履歴データ!$D$1193)*100)</f>
        <v/>
      </c>
      <c r="G1193" s="28" t="str">
        <f>IF(履歴データ!$A$1193="","",(履歴データ!$S$1193-履歴データ!$R$1193)*100)</f>
        <v/>
      </c>
      <c r="H1193" s="29" t="str">
        <f>IF(履歴データ!$A$1193="","",履歴データ!$O$1193)</f>
        <v/>
      </c>
      <c r="I1193" s="29" t="str">
        <f>IF(履歴データ!$A$1193="","",履歴データ!$Q$1193)</f>
        <v/>
      </c>
      <c r="J1193" s="29" t="str">
        <f>IF(履歴データ!$A$1193="","",履歴データ!$D$1193)</f>
        <v/>
      </c>
      <c r="K1193" s="28" t="str">
        <f>IF(OR(履歴データ!$A$1193="",履歴データ!$A$1192=""),"",B1193-B1192)</f>
        <v/>
      </c>
      <c r="L1193" s="28" t="str">
        <f>IF(OR(履歴データ!$A$1193="",履歴データ!$A$1192=""),"",C1193-C1192)</f>
        <v/>
      </c>
      <c r="M1193" s="28" t="str">
        <f>IF(OR(履歴データ!$A$1193="",履歴データ!$A$1192=""),"",D1193-D1192)</f>
        <v/>
      </c>
      <c r="N1193" s="28" t="str">
        <f>IF(OR(履歴データ!$A$1193="",履歴データ!$A$1192=""),"",E1193-E1192)</f>
        <v/>
      </c>
      <c r="O1193" s="28" t="str">
        <f>IF(OR(履歴データ!$A$1193="",履歴データ!$A$1192=""),"",F1193-F1192)</f>
        <v/>
      </c>
      <c r="P1193" s="28" t="str">
        <f>IF(OR(履歴データ!$A$1193="",履歴データ!$A$1192=""),"",G1193-G1192)</f>
        <v/>
      </c>
      <c r="Q1193" s="29" t="str">
        <f>IF(OR(履歴データ!$A$1193="",履歴データ!$A$1192=""),"",H1193-H1192)</f>
        <v/>
      </c>
      <c r="R1193" s="29" t="str">
        <f>IF(OR(履歴データ!$A$1193="",履歴データ!$A$1192=""),"",I1193-I1192)</f>
        <v/>
      </c>
      <c r="S1193" s="28" t="str">
        <f>IF(OR(履歴データ!$A$1193="",履歴データ!$A$1192=""),"",(J1193-J1192)*100)</f>
        <v/>
      </c>
      <c r="T1193" s="11" t="str">
        <f>IF(OR(履歴データ!$A$1193="",履歴データ!$A$1192=""),"",-80000*K1193)</f>
        <v/>
      </c>
      <c r="U1193" s="11" t="str">
        <f>IF(OR(履歴データ!$A$1193="",履歴データ!$A$1192=""),"",60000*L1193)</f>
        <v/>
      </c>
      <c r="V1193" s="11" t="str">
        <f>IF(OR(履歴データ!$A$1193="",履歴データ!$A$1192=""),"",-50000*M1193)</f>
        <v/>
      </c>
      <c r="W1193" s="11" t="str">
        <f>IF(OR(履歴データ!$A$1193="",履歴データ!$A$1192=""),"",-40000*N1193)</f>
        <v/>
      </c>
      <c r="X1193" s="11" t="str">
        <f>IF(OR(履歴データ!$A$1193="",履歴データ!$A$1192=""),"",120*1000000*(-Q1193/H1192))</f>
        <v/>
      </c>
      <c r="Y1193" s="11" t="str">
        <f>IF(OR(履歴データ!$A$1193="",履歴データ!$A$1192=""),"",40000*(-S1193)+(-506.3)*R1193*1000)</f>
        <v/>
      </c>
      <c r="Z1193" s="11" t="str">
        <f>IF(OR(履歴データ!$A$1193="",履歴データ!$A$1192=""),"",-40000*O1193)</f>
        <v/>
      </c>
      <c r="AA1193" s="11" t="str">
        <f>IF(OR(履歴データ!$A$1193="",履歴データ!$A$1192=""),"",-40000*P1193)</f>
        <v/>
      </c>
      <c r="AB1193" s="11" t="str">
        <f>IF(履歴データ!$A$1193="","",123.3)</f>
        <v/>
      </c>
      <c r="AC1193" t="str">
        <f>IF(履歴データ!$A$1193="","",SUM(T1193:AA1193))</f>
        <v/>
      </c>
      <c r="AD1193" s="29" t="str">
        <f>IF(履歴データ!$A$1193="","",AC1193/1000000)</f>
        <v/>
      </c>
      <c r="AE1193" s="29">
        <f>IF(履歴データ!$A$1193="",AE1192,AE1192+AC1193/1000000)</f>
        <v>70.844544225831427</v>
      </c>
      <c r="AF1193" s="12" t="str">
        <f>IF(OR(履歴データ!$A$1193="",AE1192=0),"",(AE1193-AE1192)/AE1192)</f>
        <v/>
      </c>
      <c r="AG1193" s="29">
        <f t="shared" si="48"/>
        <v>102.17217746631495</v>
      </c>
      <c r="AH1193" s="12" t="str">
        <f>IF(OR(履歴データ!$A$1193="",AG1193=0),"",AE1193/AG1193-1)</f>
        <v/>
      </c>
    </row>
    <row r="1194" spans="1:34">
      <c r="A1194" s="10" t="str">
        <f>IF(履歴データ!$A$1194="","",履歴データ!$A$1194)</f>
        <v/>
      </c>
      <c r="B1194" s="28" t="str">
        <f>IF(履歴データ!$A$1194="","",(履歴データ!$D$1194-(履歴データ!$B$1194+履歴データ!$F$1194)/2)*100)</f>
        <v/>
      </c>
      <c r="C1194" s="28" t="str">
        <f>IF(履歴データ!$A$1194="","",(履歴データ!$H$1194-(履歴データ!$G$1194+履歴データ!$J$1194)/2)*100)</f>
        <v/>
      </c>
      <c r="D1194" s="28" t="str">
        <f>IF(履歴データ!$A$1194="","",(履歴データ!$D$1194-履歴データ!$H$1194)*100)</f>
        <v/>
      </c>
      <c r="E1194" s="28" t="str">
        <f>IF(履歴データ!$A$1194="","",(履歴データ!$D$1194-履歴データ!$C$1194)*100)</f>
        <v/>
      </c>
      <c r="F1194" s="28" t="str">
        <f>IF(履歴データ!$A$1194="","",(履歴データ!$R$1194-履歴データ!$D$1194)*100)</f>
        <v/>
      </c>
      <c r="G1194" s="28" t="str">
        <f>IF(履歴データ!$A$1194="","",(履歴データ!$S$1194-履歴データ!$R$1194)*100)</f>
        <v/>
      </c>
      <c r="H1194" s="29" t="str">
        <f>IF(履歴データ!$A$1194="","",履歴データ!$O$1194)</f>
        <v/>
      </c>
      <c r="I1194" s="29" t="str">
        <f>IF(履歴データ!$A$1194="","",履歴データ!$Q$1194)</f>
        <v/>
      </c>
      <c r="J1194" s="29" t="str">
        <f>IF(履歴データ!$A$1194="","",履歴データ!$D$1194)</f>
        <v/>
      </c>
      <c r="K1194" s="28" t="str">
        <f>IF(OR(履歴データ!$A$1194="",履歴データ!$A$1193=""),"",B1194-B1193)</f>
        <v/>
      </c>
      <c r="L1194" s="28" t="str">
        <f>IF(OR(履歴データ!$A$1194="",履歴データ!$A$1193=""),"",C1194-C1193)</f>
        <v/>
      </c>
      <c r="M1194" s="28" t="str">
        <f>IF(OR(履歴データ!$A$1194="",履歴データ!$A$1193=""),"",D1194-D1193)</f>
        <v/>
      </c>
      <c r="N1194" s="28" t="str">
        <f>IF(OR(履歴データ!$A$1194="",履歴データ!$A$1193=""),"",E1194-E1193)</f>
        <v/>
      </c>
      <c r="O1194" s="28" t="str">
        <f>IF(OR(履歴データ!$A$1194="",履歴データ!$A$1193=""),"",F1194-F1193)</f>
        <v/>
      </c>
      <c r="P1194" s="28" t="str">
        <f>IF(OR(履歴データ!$A$1194="",履歴データ!$A$1193=""),"",G1194-G1193)</f>
        <v/>
      </c>
      <c r="Q1194" s="29" t="str">
        <f>IF(OR(履歴データ!$A$1194="",履歴データ!$A$1193=""),"",H1194-H1193)</f>
        <v/>
      </c>
      <c r="R1194" s="29" t="str">
        <f>IF(OR(履歴データ!$A$1194="",履歴データ!$A$1193=""),"",I1194-I1193)</f>
        <v/>
      </c>
      <c r="S1194" s="28" t="str">
        <f>IF(OR(履歴データ!$A$1194="",履歴データ!$A$1193=""),"",(J1194-J1193)*100)</f>
        <v/>
      </c>
      <c r="T1194" s="11" t="str">
        <f>IF(OR(履歴データ!$A$1194="",履歴データ!$A$1193=""),"",-80000*K1194)</f>
        <v/>
      </c>
      <c r="U1194" s="11" t="str">
        <f>IF(OR(履歴データ!$A$1194="",履歴データ!$A$1193=""),"",60000*L1194)</f>
        <v/>
      </c>
      <c r="V1194" s="11" t="str">
        <f>IF(OR(履歴データ!$A$1194="",履歴データ!$A$1193=""),"",-50000*M1194)</f>
        <v/>
      </c>
      <c r="W1194" s="11" t="str">
        <f>IF(OR(履歴データ!$A$1194="",履歴データ!$A$1193=""),"",-40000*N1194)</f>
        <v/>
      </c>
      <c r="X1194" s="11" t="str">
        <f>IF(OR(履歴データ!$A$1194="",履歴データ!$A$1193=""),"",120*1000000*(-Q1194/H1193))</f>
        <v/>
      </c>
      <c r="Y1194" s="11" t="str">
        <f>IF(OR(履歴データ!$A$1194="",履歴データ!$A$1193=""),"",40000*(-S1194)+(-506.3)*R1194*1000)</f>
        <v/>
      </c>
      <c r="Z1194" s="11" t="str">
        <f>IF(OR(履歴データ!$A$1194="",履歴データ!$A$1193=""),"",-40000*O1194)</f>
        <v/>
      </c>
      <c r="AA1194" s="11" t="str">
        <f>IF(OR(履歴データ!$A$1194="",履歴データ!$A$1193=""),"",-40000*P1194)</f>
        <v/>
      </c>
      <c r="AB1194" s="11" t="str">
        <f>IF(履歴データ!$A$1194="","",123.3)</f>
        <v/>
      </c>
      <c r="AC1194" t="str">
        <f>IF(履歴データ!$A$1194="","",SUM(T1194:AA1194))</f>
        <v/>
      </c>
      <c r="AD1194" s="29" t="str">
        <f>IF(履歴データ!$A$1194="","",AC1194/1000000)</f>
        <v/>
      </c>
      <c r="AE1194" s="29">
        <f>IF(履歴データ!$A$1194="",AE1193,AE1193+AC1194/1000000)</f>
        <v>70.844544225831427</v>
      </c>
      <c r="AF1194" s="12" t="str">
        <f>IF(OR(履歴データ!$A$1194="",AE1193=0),"",(AE1194-AE1193)/AE1193)</f>
        <v/>
      </c>
      <c r="AG1194" s="29">
        <f t="shared" si="48"/>
        <v>102.17217746631495</v>
      </c>
      <c r="AH1194" s="12" t="str">
        <f>IF(OR(履歴データ!$A$1194="",AG1194=0),"",AE1194/AG1194-1)</f>
        <v/>
      </c>
    </row>
    <row r="1195" spans="1:34">
      <c r="A1195" s="10" t="str">
        <f>IF(履歴データ!$A$1195="","",履歴データ!$A$1195)</f>
        <v/>
      </c>
      <c r="B1195" s="28" t="str">
        <f>IF(履歴データ!$A$1195="","",(履歴データ!$D$1195-(履歴データ!$B$1195+履歴データ!$F$1195)/2)*100)</f>
        <v/>
      </c>
      <c r="C1195" s="28" t="str">
        <f>IF(履歴データ!$A$1195="","",(履歴データ!$H$1195-(履歴データ!$G$1195+履歴データ!$J$1195)/2)*100)</f>
        <v/>
      </c>
      <c r="D1195" s="28" t="str">
        <f>IF(履歴データ!$A$1195="","",(履歴データ!$D$1195-履歴データ!$H$1195)*100)</f>
        <v/>
      </c>
      <c r="E1195" s="28" t="str">
        <f>IF(履歴データ!$A$1195="","",(履歴データ!$D$1195-履歴データ!$C$1195)*100)</f>
        <v/>
      </c>
      <c r="F1195" s="28" t="str">
        <f>IF(履歴データ!$A$1195="","",(履歴データ!$R$1195-履歴データ!$D$1195)*100)</f>
        <v/>
      </c>
      <c r="G1195" s="28" t="str">
        <f>IF(履歴データ!$A$1195="","",(履歴データ!$S$1195-履歴データ!$R$1195)*100)</f>
        <v/>
      </c>
      <c r="H1195" s="29" t="str">
        <f>IF(履歴データ!$A$1195="","",履歴データ!$O$1195)</f>
        <v/>
      </c>
      <c r="I1195" s="29" t="str">
        <f>IF(履歴データ!$A$1195="","",履歴データ!$Q$1195)</f>
        <v/>
      </c>
      <c r="J1195" s="29" t="str">
        <f>IF(履歴データ!$A$1195="","",履歴データ!$D$1195)</f>
        <v/>
      </c>
      <c r="K1195" s="28" t="str">
        <f>IF(OR(履歴データ!$A$1195="",履歴データ!$A$1194=""),"",B1195-B1194)</f>
        <v/>
      </c>
      <c r="L1195" s="28" t="str">
        <f>IF(OR(履歴データ!$A$1195="",履歴データ!$A$1194=""),"",C1195-C1194)</f>
        <v/>
      </c>
      <c r="M1195" s="28" t="str">
        <f>IF(OR(履歴データ!$A$1195="",履歴データ!$A$1194=""),"",D1195-D1194)</f>
        <v/>
      </c>
      <c r="N1195" s="28" t="str">
        <f>IF(OR(履歴データ!$A$1195="",履歴データ!$A$1194=""),"",E1195-E1194)</f>
        <v/>
      </c>
      <c r="O1195" s="28" t="str">
        <f>IF(OR(履歴データ!$A$1195="",履歴データ!$A$1194=""),"",F1195-F1194)</f>
        <v/>
      </c>
      <c r="P1195" s="28" t="str">
        <f>IF(OR(履歴データ!$A$1195="",履歴データ!$A$1194=""),"",G1195-G1194)</f>
        <v/>
      </c>
      <c r="Q1195" s="29" t="str">
        <f>IF(OR(履歴データ!$A$1195="",履歴データ!$A$1194=""),"",H1195-H1194)</f>
        <v/>
      </c>
      <c r="R1195" s="29" t="str">
        <f>IF(OR(履歴データ!$A$1195="",履歴データ!$A$1194=""),"",I1195-I1194)</f>
        <v/>
      </c>
      <c r="S1195" s="28" t="str">
        <f>IF(OR(履歴データ!$A$1195="",履歴データ!$A$1194=""),"",(J1195-J1194)*100)</f>
        <v/>
      </c>
      <c r="T1195" s="11" t="str">
        <f>IF(OR(履歴データ!$A$1195="",履歴データ!$A$1194=""),"",-80000*K1195)</f>
        <v/>
      </c>
      <c r="U1195" s="11" t="str">
        <f>IF(OR(履歴データ!$A$1195="",履歴データ!$A$1194=""),"",60000*L1195)</f>
        <v/>
      </c>
      <c r="V1195" s="11" t="str">
        <f>IF(OR(履歴データ!$A$1195="",履歴データ!$A$1194=""),"",-50000*M1195)</f>
        <v/>
      </c>
      <c r="W1195" s="11" t="str">
        <f>IF(OR(履歴データ!$A$1195="",履歴データ!$A$1194=""),"",-40000*N1195)</f>
        <v/>
      </c>
      <c r="X1195" s="11" t="str">
        <f>IF(OR(履歴データ!$A$1195="",履歴データ!$A$1194=""),"",120*1000000*(-Q1195/H1194))</f>
        <v/>
      </c>
      <c r="Y1195" s="11" t="str">
        <f>IF(OR(履歴データ!$A$1195="",履歴データ!$A$1194=""),"",40000*(-S1195)+(-506.3)*R1195*1000)</f>
        <v/>
      </c>
      <c r="Z1195" s="11" t="str">
        <f>IF(OR(履歴データ!$A$1195="",履歴データ!$A$1194=""),"",-40000*O1195)</f>
        <v/>
      </c>
      <c r="AA1195" s="11" t="str">
        <f>IF(OR(履歴データ!$A$1195="",履歴データ!$A$1194=""),"",-40000*P1195)</f>
        <v/>
      </c>
      <c r="AB1195" s="11" t="str">
        <f>IF(履歴データ!$A$1195="","",123.3)</f>
        <v/>
      </c>
      <c r="AC1195" t="str">
        <f>IF(履歴データ!$A$1195="","",SUM(T1195:AA1195))</f>
        <v/>
      </c>
      <c r="AD1195" s="29" t="str">
        <f>IF(履歴データ!$A$1195="","",AC1195/1000000)</f>
        <v/>
      </c>
      <c r="AE1195" s="29">
        <f>IF(履歴データ!$A$1195="",AE1194,AE1194+AC1195/1000000)</f>
        <v>70.844544225831427</v>
      </c>
      <c r="AF1195" s="12" t="str">
        <f>IF(OR(履歴データ!$A$1195="",AE1194=0),"",(AE1195-AE1194)/AE1194)</f>
        <v/>
      </c>
      <c r="AG1195" s="29">
        <f t="shared" si="48"/>
        <v>102.17217746631495</v>
      </c>
      <c r="AH1195" s="12" t="str">
        <f>IF(OR(履歴データ!$A$1195="",AG1195=0),"",AE1195/AG1195-1)</f>
        <v/>
      </c>
    </row>
    <row r="1196" spans="1:34">
      <c r="A1196" s="10" t="str">
        <f>IF(履歴データ!$A$1196="","",履歴データ!$A$1196)</f>
        <v/>
      </c>
      <c r="B1196" s="28" t="str">
        <f>IF(履歴データ!$A$1196="","",(履歴データ!$D$1196-(履歴データ!$B$1196+履歴データ!$F$1196)/2)*100)</f>
        <v/>
      </c>
      <c r="C1196" s="28" t="str">
        <f>IF(履歴データ!$A$1196="","",(履歴データ!$H$1196-(履歴データ!$G$1196+履歴データ!$J$1196)/2)*100)</f>
        <v/>
      </c>
      <c r="D1196" s="28" t="str">
        <f>IF(履歴データ!$A$1196="","",(履歴データ!$D$1196-履歴データ!$H$1196)*100)</f>
        <v/>
      </c>
      <c r="E1196" s="28" t="str">
        <f>IF(履歴データ!$A$1196="","",(履歴データ!$D$1196-履歴データ!$C$1196)*100)</f>
        <v/>
      </c>
      <c r="F1196" s="28" t="str">
        <f>IF(履歴データ!$A$1196="","",(履歴データ!$R$1196-履歴データ!$D$1196)*100)</f>
        <v/>
      </c>
      <c r="G1196" s="28" t="str">
        <f>IF(履歴データ!$A$1196="","",(履歴データ!$S$1196-履歴データ!$R$1196)*100)</f>
        <v/>
      </c>
      <c r="H1196" s="29" t="str">
        <f>IF(履歴データ!$A$1196="","",履歴データ!$O$1196)</f>
        <v/>
      </c>
      <c r="I1196" s="29" t="str">
        <f>IF(履歴データ!$A$1196="","",履歴データ!$Q$1196)</f>
        <v/>
      </c>
      <c r="J1196" s="29" t="str">
        <f>IF(履歴データ!$A$1196="","",履歴データ!$D$1196)</f>
        <v/>
      </c>
      <c r="K1196" s="28" t="str">
        <f>IF(OR(履歴データ!$A$1196="",履歴データ!$A$1195=""),"",B1196-B1195)</f>
        <v/>
      </c>
      <c r="L1196" s="28" t="str">
        <f>IF(OR(履歴データ!$A$1196="",履歴データ!$A$1195=""),"",C1196-C1195)</f>
        <v/>
      </c>
      <c r="M1196" s="28" t="str">
        <f>IF(OR(履歴データ!$A$1196="",履歴データ!$A$1195=""),"",D1196-D1195)</f>
        <v/>
      </c>
      <c r="N1196" s="28" t="str">
        <f>IF(OR(履歴データ!$A$1196="",履歴データ!$A$1195=""),"",E1196-E1195)</f>
        <v/>
      </c>
      <c r="O1196" s="28" t="str">
        <f>IF(OR(履歴データ!$A$1196="",履歴データ!$A$1195=""),"",F1196-F1195)</f>
        <v/>
      </c>
      <c r="P1196" s="28" t="str">
        <f>IF(OR(履歴データ!$A$1196="",履歴データ!$A$1195=""),"",G1196-G1195)</f>
        <v/>
      </c>
      <c r="Q1196" s="29" t="str">
        <f>IF(OR(履歴データ!$A$1196="",履歴データ!$A$1195=""),"",H1196-H1195)</f>
        <v/>
      </c>
      <c r="R1196" s="29" t="str">
        <f>IF(OR(履歴データ!$A$1196="",履歴データ!$A$1195=""),"",I1196-I1195)</f>
        <v/>
      </c>
      <c r="S1196" s="28" t="str">
        <f>IF(OR(履歴データ!$A$1196="",履歴データ!$A$1195=""),"",(J1196-J1195)*100)</f>
        <v/>
      </c>
      <c r="T1196" s="11" t="str">
        <f>IF(OR(履歴データ!$A$1196="",履歴データ!$A$1195=""),"",-80000*K1196)</f>
        <v/>
      </c>
      <c r="U1196" s="11" t="str">
        <f>IF(OR(履歴データ!$A$1196="",履歴データ!$A$1195=""),"",60000*L1196)</f>
        <v/>
      </c>
      <c r="V1196" s="11" t="str">
        <f>IF(OR(履歴データ!$A$1196="",履歴データ!$A$1195=""),"",-50000*M1196)</f>
        <v/>
      </c>
      <c r="W1196" s="11" t="str">
        <f>IF(OR(履歴データ!$A$1196="",履歴データ!$A$1195=""),"",-40000*N1196)</f>
        <v/>
      </c>
      <c r="X1196" s="11" t="str">
        <f>IF(OR(履歴データ!$A$1196="",履歴データ!$A$1195=""),"",120*1000000*(-Q1196/H1195))</f>
        <v/>
      </c>
      <c r="Y1196" s="11" t="str">
        <f>IF(OR(履歴データ!$A$1196="",履歴データ!$A$1195=""),"",40000*(-S1196)+(-506.3)*R1196*1000)</f>
        <v/>
      </c>
      <c r="Z1196" s="11" t="str">
        <f>IF(OR(履歴データ!$A$1196="",履歴データ!$A$1195=""),"",-40000*O1196)</f>
        <v/>
      </c>
      <c r="AA1196" s="11" t="str">
        <f>IF(OR(履歴データ!$A$1196="",履歴データ!$A$1195=""),"",-40000*P1196)</f>
        <v/>
      </c>
      <c r="AB1196" s="11" t="str">
        <f>IF(履歴データ!$A$1196="","",123.3)</f>
        <v/>
      </c>
      <c r="AC1196" t="str">
        <f>IF(履歴データ!$A$1196="","",SUM(T1196:AA1196))</f>
        <v/>
      </c>
      <c r="AD1196" s="29" t="str">
        <f>IF(履歴データ!$A$1196="","",AC1196/1000000)</f>
        <v/>
      </c>
      <c r="AE1196" s="29">
        <f>IF(履歴データ!$A$1196="",AE1195,AE1195+AC1196/1000000)</f>
        <v>70.844544225831427</v>
      </c>
      <c r="AF1196" s="12" t="str">
        <f>IF(OR(履歴データ!$A$1196="",AE1195=0),"",(AE1196-AE1195)/AE1195)</f>
        <v/>
      </c>
      <c r="AG1196" s="29">
        <f t="shared" si="48"/>
        <v>102.17217746631495</v>
      </c>
      <c r="AH1196" s="12" t="str">
        <f>IF(OR(履歴データ!$A$1196="",AG1196=0),"",AE1196/AG1196-1)</f>
        <v/>
      </c>
    </row>
    <row r="1197" spans="1:34">
      <c r="A1197" s="10" t="str">
        <f>IF(履歴データ!$A$1197="","",履歴データ!$A$1197)</f>
        <v/>
      </c>
      <c r="B1197" s="28" t="str">
        <f>IF(履歴データ!$A$1197="","",(履歴データ!$D$1197-(履歴データ!$B$1197+履歴データ!$F$1197)/2)*100)</f>
        <v/>
      </c>
      <c r="C1197" s="28" t="str">
        <f>IF(履歴データ!$A$1197="","",(履歴データ!$H$1197-(履歴データ!$G$1197+履歴データ!$J$1197)/2)*100)</f>
        <v/>
      </c>
      <c r="D1197" s="28" t="str">
        <f>IF(履歴データ!$A$1197="","",(履歴データ!$D$1197-履歴データ!$H$1197)*100)</f>
        <v/>
      </c>
      <c r="E1197" s="28" t="str">
        <f>IF(履歴データ!$A$1197="","",(履歴データ!$D$1197-履歴データ!$C$1197)*100)</f>
        <v/>
      </c>
      <c r="F1197" s="28" t="str">
        <f>IF(履歴データ!$A$1197="","",(履歴データ!$R$1197-履歴データ!$D$1197)*100)</f>
        <v/>
      </c>
      <c r="G1197" s="28" t="str">
        <f>IF(履歴データ!$A$1197="","",(履歴データ!$S$1197-履歴データ!$R$1197)*100)</f>
        <v/>
      </c>
      <c r="H1197" s="29" t="str">
        <f>IF(履歴データ!$A$1197="","",履歴データ!$O$1197)</f>
        <v/>
      </c>
      <c r="I1197" s="29" t="str">
        <f>IF(履歴データ!$A$1197="","",履歴データ!$Q$1197)</f>
        <v/>
      </c>
      <c r="J1197" s="29" t="str">
        <f>IF(履歴データ!$A$1197="","",履歴データ!$D$1197)</f>
        <v/>
      </c>
      <c r="K1197" s="28" t="str">
        <f>IF(OR(履歴データ!$A$1197="",履歴データ!$A$1196=""),"",B1197-B1196)</f>
        <v/>
      </c>
      <c r="L1197" s="28" t="str">
        <f>IF(OR(履歴データ!$A$1197="",履歴データ!$A$1196=""),"",C1197-C1196)</f>
        <v/>
      </c>
      <c r="M1197" s="28" t="str">
        <f>IF(OR(履歴データ!$A$1197="",履歴データ!$A$1196=""),"",D1197-D1196)</f>
        <v/>
      </c>
      <c r="N1197" s="28" t="str">
        <f>IF(OR(履歴データ!$A$1197="",履歴データ!$A$1196=""),"",E1197-E1196)</f>
        <v/>
      </c>
      <c r="O1197" s="28" t="str">
        <f>IF(OR(履歴データ!$A$1197="",履歴データ!$A$1196=""),"",F1197-F1196)</f>
        <v/>
      </c>
      <c r="P1197" s="28" t="str">
        <f>IF(OR(履歴データ!$A$1197="",履歴データ!$A$1196=""),"",G1197-G1196)</f>
        <v/>
      </c>
      <c r="Q1197" s="29" t="str">
        <f>IF(OR(履歴データ!$A$1197="",履歴データ!$A$1196=""),"",H1197-H1196)</f>
        <v/>
      </c>
      <c r="R1197" s="29" t="str">
        <f>IF(OR(履歴データ!$A$1197="",履歴データ!$A$1196=""),"",I1197-I1196)</f>
        <v/>
      </c>
      <c r="S1197" s="28" t="str">
        <f>IF(OR(履歴データ!$A$1197="",履歴データ!$A$1196=""),"",(J1197-J1196)*100)</f>
        <v/>
      </c>
      <c r="T1197" s="11" t="str">
        <f>IF(OR(履歴データ!$A$1197="",履歴データ!$A$1196=""),"",-80000*K1197)</f>
        <v/>
      </c>
      <c r="U1197" s="11" t="str">
        <f>IF(OR(履歴データ!$A$1197="",履歴データ!$A$1196=""),"",60000*L1197)</f>
        <v/>
      </c>
      <c r="V1197" s="11" t="str">
        <f>IF(OR(履歴データ!$A$1197="",履歴データ!$A$1196=""),"",-50000*M1197)</f>
        <v/>
      </c>
      <c r="W1197" s="11" t="str">
        <f>IF(OR(履歴データ!$A$1197="",履歴データ!$A$1196=""),"",-40000*N1197)</f>
        <v/>
      </c>
      <c r="X1197" s="11" t="str">
        <f>IF(OR(履歴データ!$A$1197="",履歴データ!$A$1196=""),"",120*1000000*(-Q1197/H1196))</f>
        <v/>
      </c>
      <c r="Y1197" s="11" t="str">
        <f>IF(OR(履歴データ!$A$1197="",履歴データ!$A$1196=""),"",40000*(-S1197)+(-506.3)*R1197*1000)</f>
        <v/>
      </c>
      <c r="Z1197" s="11" t="str">
        <f>IF(OR(履歴データ!$A$1197="",履歴データ!$A$1196=""),"",-40000*O1197)</f>
        <v/>
      </c>
      <c r="AA1197" s="11" t="str">
        <f>IF(OR(履歴データ!$A$1197="",履歴データ!$A$1196=""),"",-40000*P1197)</f>
        <v/>
      </c>
      <c r="AB1197" s="11" t="str">
        <f>IF(履歴データ!$A$1197="","",123.3)</f>
        <v/>
      </c>
      <c r="AC1197" t="str">
        <f>IF(履歴データ!$A$1197="","",SUM(T1197:AA1197))</f>
        <v/>
      </c>
      <c r="AD1197" s="29" t="str">
        <f>IF(履歴データ!$A$1197="","",AC1197/1000000)</f>
        <v/>
      </c>
      <c r="AE1197" s="29">
        <f>IF(履歴データ!$A$1197="",AE1196,AE1196+AC1197/1000000)</f>
        <v>70.844544225831427</v>
      </c>
      <c r="AF1197" s="12" t="str">
        <f>IF(OR(履歴データ!$A$1197="",AE1196=0),"",(AE1197-AE1196)/AE1196)</f>
        <v/>
      </c>
      <c r="AG1197" s="29">
        <f t="shared" si="48"/>
        <v>102.17217746631495</v>
      </c>
      <c r="AH1197" s="12" t="str">
        <f>IF(OR(履歴データ!$A$1197="",AG1197=0),"",AE1197/AG1197-1)</f>
        <v/>
      </c>
    </row>
    <row r="1198" spans="1:34">
      <c r="A1198" s="10" t="str">
        <f>IF(履歴データ!$A$1198="","",履歴データ!$A$1198)</f>
        <v/>
      </c>
      <c r="B1198" s="28" t="str">
        <f>IF(履歴データ!$A$1198="","",(履歴データ!$D$1198-(履歴データ!$B$1198+履歴データ!$F$1198)/2)*100)</f>
        <v/>
      </c>
      <c r="C1198" s="28" t="str">
        <f>IF(履歴データ!$A$1198="","",(履歴データ!$H$1198-(履歴データ!$G$1198+履歴データ!$J$1198)/2)*100)</f>
        <v/>
      </c>
      <c r="D1198" s="28" t="str">
        <f>IF(履歴データ!$A$1198="","",(履歴データ!$D$1198-履歴データ!$H$1198)*100)</f>
        <v/>
      </c>
      <c r="E1198" s="28" t="str">
        <f>IF(履歴データ!$A$1198="","",(履歴データ!$D$1198-履歴データ!$C$1198)*100)</f>
        <v/>
      </c>
      <c r="F1198" s="28" t="str">
        <f>IF(履歴データ!$A$1198="","",(履歴データ!$R$1198-履歴データ!$D$1198)*100)</f>
        <v/>
      </c>
      <c r="G1198" s="28" t="str">
        <f>IF(履歴データ!$A$1198="","",(履歴データ!$S$1198-履歴データ!$R$1198)*100)</f>
        <v/>
      </c>
      <c r="H1198" s="29" t="str">
        <f>IF(履歴データ!$A$1198="","",履歴データ!$O$1198)</f>
        <v/>
      </c>
      <c r="I1198" s="29" t="str">
        <f>IF(履歴データ!$A$1198="","",履歴データ!$Q$1198)</f>
        <v/>
      </c>
      <c r="J1198" s="29" t="str">
        <f>IF(履歴データ!$A$1198="","",履歴データ!$D$1198)</f>
        <v/>
      </c>
      <c r="K1198" s="28" t="str">
        <f>IF(OR(履歴データ!$A$1198="",履歴データ!$A$1197=""),"",B1198-B1197)</f>
        <v/>
      </c>
      <c r="L1198" s="28" t="str">
        <f>IF(OR(履歴データ!$A$1198="",履歴データ!$A$1197=""),"",C1198-C1197)</f>
        <v/>
      </c>
      <c r="M1198" s="28" t="str">
        <f>IF(OR(履歴データ!$A$1198="",履歴データ!$A$1197=""),"",D1198-D1197)</f>
        <v/>
      </c>
      <c r="N1198" s="28" t="str">
        <f>IF(OR(履歴データ!$A$1198="",履歴データ!$A$1197=""),"",E1198-E1197)</f>
        <v/>
      </c>
      <c r="O1198" s="28" t="str">
        <f>IF(OR(履歴データ!$A$1198="",履歴データ!$A$1197=""),"",F1198-F1197)</f>
        <v/>
      </c>
      <c r="P1198" s="28" t="str">
        <f>IF(OR(履歴データ!$A$1198="",履歴データ!$A$1197=""),"",G1198-G1197)</f>
        <v/>
      </c>
      <c r="Q1198" s="29" t="str">
        <f>IF(OR(履歴データ!$A$1198="",履歴データ!$A$1197=""),"",H1198-H1197)</f>
        <v/>
      </c>
      <c r="R1198" s="29" t="str">
        <f>IF(OR(履歴データ!$A$1198="",履歴データ!$A$1197=""),"",I1198-I1197)</f>
        <v/>
      </c>
      <c r="S1198" s="28" t="str">
        <f>IF(OR(履歴データ!$A$1198="",履歴データ!$A$1197=""),"",(J1198-J1197)*100)</f>
        <v/>
      </c>
      <c r="T1198" s="11" t="str">
        <f>IF(OR(履歴データ!$A$1198="",履歴データ!$A$1197=""),"",-80000*K1198)</f>
        <v/>
      </c>
      <c r="U1198" s="11" t="str">
        <f>IF(OR(履歴データ!$A$1198="",履歴データ!$A$1197=""),"",60000*L1198)</f>
        <v/>
      </c>
      <c r="V1198" s="11" t="str">
        <f>IF(OR(履歴データ!$A$1198="",履歴データ!$A$1197=""),"",-50000*M1198)</f>
        <v/>
      </c>
      <c r="W1198" s="11" t="str">
        <f>IF(OR(履歴データ!$A$1198="",履歴データ!$A$1197=""),"",-40000*N1198)</f>
        <v/>
      </c>
      <c r="X1198" s="11" t="str">
        <f>IF(OR(履歴データ!$A$1198="",履歴データ!$A$1197=""),"",120*1000000*(-Q1198/H1197))</f>
        <v/>
      </c>
      <c r="Y1198" s="11" t="str">
        <f>IF(OR(履歴データ!$A$1198="",履歴データ!$A$1197=""),"",40000*(-S1198)+(-506.3)*R1198*1000)</f>
        <v/>
      </c>
      <c r="Z1198" s="11" t="str">
        <f>IF(OR(履歴データ!$A$1198="",履歴データ!$A$1197=""),"",-40000*O1198)</f>
        <v/>
      </c>
      <c r="AA1198" s="11" t="str">
        <f>IF(OR(履歴データ!$A$1198="",履歴データ!$A$1197=""),"",-40000*P1198)</f>
        <v/>
      </c>
      <c r="AB1198" s="11" t="str">
        <f>IF(履歴データ!$A$1198="","",123.3)</f>
        <v/>
      </c>
      <c r="AC1198" t="str">
        <f>IF(履歴データ!$A$1198="","",SUM(T1198:AA1198))</f>
        <v/>
      </c>
      <c r="AD1198" s="29" t="str">
        <f>IF(履歴データ!$A$1198="","",AC1198/1000000)</f>
        <v/>
      </c>
      <c r="AE1198" s="29">
        <f>IF(履歴データ!$A$1198="",AE1197,AE1197+AC1198/1000000)</f>
        <v>70.844544225831427</v>
      </c>
      <c r="AF1198" s="12" t="str">
        <f>IF(OR(履歴データ!$A$1198="",AE1197=0),"",(AE1198-AE1197)/AE1197)</f>
        <v/>
      </c>
      <c r="AG1198" s="29">
        <f t="shared" si="48"/>
        <v>102.17217746631495</v>
      </c>
      <c r="AH1198" s="12" t="str">
        <f>IF(OR(履歴データ!$A$1198="",AG1198=0),"",AE1198/AG1198-1)</f>
        <v/>
      </c>
    </row>
    <row r="1199" spans="1:34">
      <c r="A1199" s="10" t="str">
        <f>IF(履歴データ!$A$1199="","",履歴データ!$A$1199)</f>
        <v/>
      </c>
      <c r="B1199" s="28" t="str">
        <f>IF(履歴データ!$A$1199="","",(履歴データ!$D$1199-(履歴データ!$B$1199+履歴データ!$F$1199)/2)*100)</f>
        <v/>
      </c>
      <c r="C1199" s="28" t="str">
        <f>IF(履歴データ!$A$1199="","",(履歴データ!$H$1199-(履歴データ!$G$1199+履歴データ!$J$1199)/2)*100)</f>
        <v/>
      </c>
      <c r="D1199" s="28" t="str">
        <f>IF(履歴データ!$A$1199="","",(履歴データ!$D$1199-履歴データ!$H$1199)*100)</f>
        <v/>
      </c>
      <c r="E1199" s="28" t="str">
        <f>IF(履歴データ!$A$1199="","",(履歴データ!$D$1199-履歴データ!$C$1199)*100)</f>
        <v/>
      </c>
      <c r="F1199" s="28" t="str">
        <f>IF(履歴データ!$A$1199="","",(履歴データ!$R$1199-履歴データ!$D$1199)*100)</f>
        <v/>
      </c>
      <c r="G1199" s="28" t="str">
        <f>IF(履歴データ!$A$1199="","",(履歴データ!$S$1199-履歴データ!$R$1199)*100)</f>
        <v/>
      </c>
      <c r="H1199" s="29" t="str">
        <f>IF(履歴データ!$A$1199="","",履歴データ!$O$1199)</f>
        <v/>
      </c>
      <c r="I1199" s="29" t="str">
        <f>IF(履歴データ!$A$1199="","",履歴データ!$Q$1199)</f>
        <v/>
      </c>
      <c r="J1199" s="29" t="str">
        <f>IF(履歴データ!$A$1199="","",履歴データ!$D$1199)</f>
        <v/>
      </c>
      <c r="K1199" s="28" t="str">
        <f>IF(OR(履歴データ!$A$1199="",履歴データ!$A$1198=""),"",B1199-B1198)</f>
        <v/>
      </c>
      <c r="L1199" s="28" t="str">
        <f>IF(OR(履歴データ!$A$1199="",履歴データ!$A$1198=""),"",C1199-C1198)</f>
        <v/>
      </c>
      <c r="M1199" s="28" t="str">
        <f>IF(OR(履歴データ!$A$1199="",履歴データ!$A$1198=""),"",D1199-D1198)</f>
        <v/>
      </c>
      <c r="N1199" s="28" t="str">
        <f>IF(OR(履歴データ!$A$1199="",履歴データ!$A$1198=""),"",E1199-E1198)</f>
        <v/>
      </c>
      <c r="O1199" s="28" t="str">
        <f>IF(OR(履歴データ!$A$1199="",履歴データ!$A$1198=""),"",F1199-F1198)</f>
        <v/>
      </c>
      <c r="P1199" s="28" t="str">
        <f>IF(OR(履歴データ!$A$1199="",履歴データ!$A$1198=""),"",G1199-G1198)</f>
        <v/>
      </c>
      <c r="Q1199" s="29" t="str">
        <f>IF(OR(履歴データ!$A$1199="",履歴データ!$A$1198=""),"",H1199-H1198)</f>
        <v/>
      </c>
      <c r="R1199" s="29" t="str">
        <f>IF(OR(履歴データ!$A$1199="",履歴データ!$A$1198=""),"",I1199-I1198)</f>
        <v/>
      </c>
      <c r="S1199" s="28" t="str">
        <f>IF(OR(履歴データ!$A$1199="",履歴データ!$A$1198=""),"",(J1199-J1198)*100)</f>
        <v/>
      </c>
      <c r="T1199" s="11" t="str">
        <f>IF(OR(履歴データ!$A$1199="",履歴データ!$A$1198=""),"",-80000*K1199)</f>
        <v/>
      </c>
      <c r="U1199" s="11" t="str">
        <f>IF(OR(履歴データ!$A$1199="",履歴データ!$A$1198=""),"",60000*L1199)</f>
        <v/>
      </c>
      <c r="V1199" s="11" t="str">
        <f>IF(OR(履歴データ!$A$1199="",履歴データ!$A$1198=""),"",-50000*M1199)</f>
        <v/>
      </c>
      <c r="W1199" s="11" t="str">
        <f>IF(OR(履歴データ!$A$1199="",履歴データ!$A$1198=""),"",-40000*N1199)</f>
        <v/>
      </c>
      <c r="X1199" s="11" t="str">
        <f>IF(OR(履歴データ!$A$1199="",履歴データ!$A$1198=""),"",120*1000000*(-Q1199/H1198))</f>
        <v/>
      </c>
      <c r="Y1199" s="11" t="str">
        <f>IF(OR(履歴データ!$A$1199="",履歴データ!$A$1198=""),"",40000*(-S1199)+(-506.3)*R1199*1000)</f>
        <v/>
      </c>
      <c r="Z1199" s="11" t="str">
        <f>IF(OR(履歴データ!$A$1199="",履歴データ!$A$1198=""),"",-40000*O1199)</f>
        <v/>
      </c>
      <c r="AA1199" s="11" t="str">
        <f>IF(OR(履歴データ!$A$1199="",履歴データ!$A$1198=""),"",-40000*P1199)</f>
        <v/>
      </c>
      <c r="AB1199" s="11" t="str">
        <f>IF(履歴データ!$A$1199="","",123.3)</f>
        <v/>
      </c>
      <c r="AC1199" t="str">
        <f>IF(履歴データ!$A$1199="","",SUM(T1199:AA1199))</f>
        <v/>
      </c>
      <c r="AD1199" s="29" t="str">
        <f>IF(履歴データ!$A$1199="","",AC1199/1000000)</f>
        <v/>
      </c>
      <c r="AE1199" s="29">
        <f>IF(履歴データ!$A$1199="",AE1198,AE1198+AC1199/1000000)</f>
        <v>70.844544225831427</v>
      </c>
      <c r="AF1199" s="12" t="str">
        <f>IF(OR(履歴データ!$A$1199="",AE1198=0),"",(AE1199-AE1198)/AE1198)</f>
        <v/>
      </c>
      <c r="AG1199" s="29">
        <f t="shared" si="48"/>
        <v>102.17217746631495</v>
      </c>
      <c r="AH1199" s="12" t="str">
        <f>IF(OR(履歴データ!$A$1199="",AG1199=0),"",AE1199/AG1199-1)</f>
        <v/>
      </c>
    </row>
    <row r="1200" spans="1:34">
      <c r="A1200" s="10" t="str">
        <f>IF(履歴データ!$A$1200="","",履歴データ!$A$1200)</f>
        <v/>
      </c>
      <c r="B1200" s="28" t="str">
        <f>IF(履歴データ!$A$1200="","",(履歴データ!$D$1200-(履歴データ!$B$1200+履歴データ!$F$1200)/2)*100)</f>
        <v/>
      </c>
      <c r="C1200" s="28" t="str">
        <f>IF(履歴データ!$A$1200="","",(履歴データ!$H$1200-(履歴データ!$G$1200+履歴データ!$J$1200)/2)*100)</f>
        <v/>
      </c>
      <c r="D1200" s="28" t="str">
        <f>IF(履歴データ!$A$1200="","",(履歴データ!$D$1200-履歴データ!$H$1200)*100)</f>
        <v/>
      </c>
      <c r="E1200" s="28" t="str">
        <f>IF(履歴データ!$A$1200="","",(履歴データ!$D$1200-履歴データ!$C$1200)*100)</f>
        <v/>
      </c>
      <c r="F1200" s="28" t="str">
        <f>IF(履歴データ!$A$1200="","",(履歴データ!$R$1200-履歴データ!$D$1200)*100)</f>
        <v/>
      </c>
      <c r="G1200" s="28" t="str">
        <f>IF(履歴データ!$A$1200="","",(履歴データ!$S$1200-履歴データ!$R$1200)*100)</f>
        <v/>
      </c>
      <c r="H1200" s="29" t="str">
        <f>IF(履歴データ!$A$1200="","",履歴データ!$O$1200)</f>
        <v/>
      </c>
      <c r="I1200" s="29" t="str">
        <f>IF(履歴データ!$A$1200="","",履歴データ!$Q$1200)</f>
        <v/>
      </c>
      <c r="J1200" s="29" t="str">
        <f>IF(履歴データ!$A$1200="","",履歴データ!$D$1200)</f>
        <v/>
      </c>
      <c r="K1200" s="28" t="str">
        <f>IF(OR(履歴データ!$A$1200="",履歴データ!$A$1199=""),"",B1200-B1199)</f>
        <v/>
      </c>
      <c r="L1200" s="28" t="str">
        <f>IF(OR(履歴データ!$A$1200="",履歴データ!$A$1199=""),"",C1200-C1199)</f>
        <v/>
      </c>
      <c r="M1200" s="28" t="str">
        <f>IF(OR(履歴データ!$A$1200="",履歴データ!$A$1199=""),"",D1200-D1199)</f>
        <v/>
      </c>
      <c r="N1200" s="28" t="str">
        <f>IF(OR(履歴データ!$A$1200="",履歴データ!$A$1199=""),"",E1200-E1199)</f>
        <v/>
      </c>
      <c r="O1200" s="28" t="str">
        <f>IF(OR(履歴データ!$A$1200="",履歴データ!$A$1199=""),"",F1200-F1199)</f>
        <v/>
      </c>
      <c r="P1200" s="28" t="str">
        <f>IF(OR(履歴データ!$A$1200="",履歴データ!$A$1199=""),"",G1200-G1199)</f>
        <v/>
      </c>
      <c r="Q1200" s="29" t="str">
        <f>IF(OR(履歴データ!$A$1200="",履歴データ!$A$1199=""),"",H1200-H1199)</f>
        <v/>
      </c>
      <c r="R1200" s="29" t="str">
        <f>IF(OR(履歴データ!$A$1200="",履歴データ!$A$1199=""),"",I1200-I1199)</f>
        <v/>
      </c>
      <c r="S1200" s="28" t="str">
        <f>IF(OR(履歴データ!$A$1200="",履歴データ!$A$1199=""),"",(J1200-J1199)*100)</f>
        <v/>
      </c>
      <c r="T1200" s="11" t="str">
        <f>IF(OR(履歴データ!$A$1200="",履歴データ!$A$1199=""),"",-80000*K1200)</f>
        <v/>
      </c>
      <c r="U1200" s="11" t="str">
        <f>IF(OR(履歴データ!$A$1200="",履歴データ!$A$1199=""),"",60000*L1200)</f>
        <v/>
      </c>
      <c r="V1200" s="11" t="str">
        <f>IF(OR(履歴データ!$A$1200="",履歴データ!$A$1199=""),"",-50000*M1200)</f>
        <v/>
      </c>
      <c r="W1200" s="11" t="str">
        <f>IF(OR(履歴データ!$A$1200="",履歴データ!$A$1199=""),"",-40000*N1200)</f>
        <v/>
      </c>
      <c r="X1200" s="11" t="str">
        <f>IF(OR(履歴データ!$A$1200="",履歴データ!$A$1199=""),"",120*1000000*(-Q1200/H1199))</f>
        <v/>
      </c>
      <c r="Y1200" s="11" t="str">
        <f>IF(OR(履歴データ!$A$1200="",履歴データ!$A$1199=""),"",40000*(-S1200)+(-506.3)*R1200*1000)</f>
        <v/>
      </c>
      <c r="Z1200" s="11" t="str">
        <f>IF(OR(履歴データ!$A$1200="",履歴データ!$A$1199=""),"",-40000*O1200)</f>
        <v/>
      </c>
      <c r="AA1200" s="11" t="str">
        <f>IF(OR(履歴データ!$A$1200="",履歴データ!$A$1199=""),"",-40000*P1200)</f>
        <v/>
      </c>
      <c r="AB1200" s="11" t="str">
        <f>IF(履歴データ!$A$1200="","",123.3)</f>
        <v/>
      </c>
      <c r="AC1200" t="str">
        <f>IF(履歴データ!$A$1200="","",SUM(T1200:AA1200))</f>
        <v/>
      </c>
      <c r="AD1200" s="29" t="str">
        <f>IF(履歴データ!$A$1200="","",AC1200/1000000)</f>
        <v/>
      </c>
      <c r="AE1200" s="29">
        <f>IF(履歴データ!$A$1200="",AE1199,AE1199+AC1200/1000000)</f>
        <v>70.844544225831427</v>
      </c>
      <c r="AF1200" s="12" t="str">
        <f>IF(OR(履歴データ!$A$1200="",AE1199=0),"",(AE1200-AE1199)/AE1199)</f>
        <v/>
      </c>
      <c r="AG1200" s="29">
        <f t="shared" si="48"/>
        <v>102.17217746631495</v>
      </c>
      <c r="AH1200" s="12" t="str">
        <f>IF(OR(履歴データ!$A$1200="",AG1200=0),"",AE1200/AG1200-1)</f>
        <v/>
      </c>
    </row>
    <row r="1201" spans="1:34">
      <c r="A1201" s="10" t="str">
        <f>IF(履歴データ!$A$1201="","",履歴データ!$A$1201)</f>
        <v/>
      </c>
      <c r="B1201" s="28" t="str">
        <f>IF(履歴データ!$A$1201="","",(履歴データ!$D$1201-(履歴データ!$B$1201+履歴データ!$F$1201)/2)*100)</f>
        <v/>
      </c>
      <c r="C1201" s="28" t="str">
        <f>IF(履歴データ!$A$1201="","",(履歴データ!$H$1201-(履歴データ!$G$1201+履歴データ!$J$1201)/2)*100)</f>
        <v/>
      </c>
      <c r="D1201" s="28" t="str">
        <f>IF(履歴データ!$A$1201="","",(履歴データ!$D$1201-履歴データ!$H$1201)*100)</f>
        <v/>
      </c>
      <c r="E1201" s="28" t="str">
        <f>IF(履歴データ!$A$1201="","",(履歴データ!$D$1201-履歴データ!$C$1201)*100)</f>
        <v/>
      </c>
      <c r="F1201" s="28" t="str">
        <f>IF(履歴データ!$A$1201="","",(履歴データ!$R$1201-履歴データ!$D$1201)*100)</f>
        <v/>
      </c>
      <c r="G1201" s="28" t="str">
        <f>IF(履歴データ!$A$1201="","",(履歴データ!$S$1201-履歴データ!$R$1201)*100)</f>
        <v/>
      </c>
      <c r="H1201" s="29" t="str">
        <f>IF(履歴データ!$A$1201="","",履歴データ!$O$1201)</f>
        <v/>
      </c>
      <c r="I1201" s="29" t="str">
        <f>IF(履歴データ!$A$1201="","",履歴データ!$Q$1201)</f>
        <v/>
      </c>
      <c r="J1201" s="29" t="str">
        <f>IF(履歴データ!$A$1201="","",履歴データ!$D$1201)</f>
        <v/>
      </c>
      <c r="K1201" s="28" t="str">
        <f>IF(OR(履歴データ!$A$1201="",履歴データ!$A$1200=""),"",B1201-B1200)</f>
        <v/>
      </c>
      <c r="L1201" s="28" t="str">
        <f>IF(OR(履歴データ!$A$1201="",履歴データ!$A$1200=""),"",C1201-C1200)</f>
        <v/>
      </c>
      <c r="M1201" s="28" t="str">
        <f>IF(OR(履歴データ!$A$1201="",履歴データ!$A$1200=""),"",D1201-D1200)</f>
        <v/>
      </c>
      <c r="N1201" s="28" t="str">
        <f>IF(OR(履歴データ!$A$1201="",履歴データ!$A$1200=""),"",E1201-E1200)</f>
        <v/>
      </c>
      <c r="O1201" s="28" t="str">
        <f>IF(OR(履歴データ!$A$1201="",履歴データ!$A$1200=""),"",F1201-F1200)</f>
        <v/>
      </c>
      <c r="P1201" s="28" t="str">
        <f>IF(OR(履歴データ!$A$1201="",履歴データ!$A$1200=""),"",G1201-G1200)</f>
        <v/>
      </c>
      <c r="Q1201" s="29" t="str">
        <f>IF(OR(履歴データ!$A$1201="",履歴データ!$A$1200=""),"",H1201-H1200)</f>
        <v/>
      </c>
      <c r="R1201" s="29" t="str">
        <f>IF(OR(履歴データ!$A$1201="",履歴データ!$A$1200=""),"",I1201-I1200)</f>
        <v/>
      </c>
      <c r="S1201" s="28" t="str">
        <f>IF(OR(履歴データ!$A$1201="",履歴データ!$A$1200=""),"",(J1201-J1200)*100)</f>
        <v/>
      </c>
      <c r="T1201" s="11" t="str">
        <f>IF(OR(履歴データ!$A$1201="",履歴データ!$A$1200=""),"",-80000*K1201)</f>
        <v/>
      </c>
      <c r="U1201" s="11" t="str">
        <f>IF(OR(履歴データ!$A$1201="",履歴データ!$A$1200=""),"",60000*L1201)</f>
        <v/>
      </c>
      <c r="V1201" s="11" t="str">
        <f>IF(OR(履歴データ!$A$1201="",履歴データ!$A$1200=""),"",-50000*M1201)</f>
        <v/>
      </c>
      <c r="W1201" s="11" t="str">
        <f>IF(OR(履歴データ!$A$1201="",履歴データ!$A$1200=""),"",-40000*N1201)</f>
        <v/>
      </c>
      <c r="X1201" s="11" t="str">
        <f>IF(OR(履歴データ!$A$1201="",履歴データ!$A$1200=""),"",120*1000000*(-Q1201/H1200))</f>
        <v/>
      </c>
      <c r="Y1201" s="11" t="str">
        <f>IF(OR(履歴データ!$A$1201="",履歴データ!$A$1200=""),"",40000*(-S1201)+(-506.3)*R1201*1000)</f>
        <v/>
      </c>
      <c r="Z1201" s="11" t="str">
        <f>IF(OR(履歴データ!$A$1201="",履歴データ!$A$1200=""),"",-40000*O1201)</f>
        <v/>
      </c>
      <c r="AA1201" s="11" t="str">
        <f>IF(OR(履歴データ!$A$1201="",履歴データ!$A$1200=""),"",-40000*P1201)</f>
        <v/>
      </c>
      <c r="AB1201" s="11" t="str">
        <f>IF(履歴データ!$A$1201="","",123.3)</f>
        <v/>
      </c>
      <c r="AC1201" t="str">
        <f>IF(履歴データ!$A$1201="","",SUM(T1201:AA1201))</f>
        <v/>
      </c>
      <c r="AD1201" s="29" t="str">
        <f>IF(履歴データ!$A$1201="","",AC1201/1000000)</f>
        <v/>
      </c>
      <c r="AE1201" s="29">
        <f>IF(履歴データ!$A$1201="",AE1200,AE1200+AC1201/1000000)</f>
        <v>70.844544225831427</v>
      </c>
      <c r="AF1201" s="12" t="str">
        <f>IF(OR(履歴データ!$A$1201="",AE1200=0),"",(AE1201-AE1200)/AE1200)</f>
        <v/>
      </c>
      <c r="AG1201" s="29">
        <f t="shared" si="48"/>
        <v>102.17217746631495</v>
      </c>
      <c r="AH1201" s="12" t="str">
        <f>IF(OR(履歴データ!$A$1201="",AG1201=0),"",AE1201/AG1201-1)</f>
        <v/>
      </c>
    </row>
    <row r="1202" spans="1:34">
      <c r="A1202" s="10" t="str">
        <f>IF(履歴データ!$A$1202="","",履歴データ!$A$1202)</f>
        <v/>
      </c>
      <c r="B1202" s="28" t="str">
        <f>IF(履歴データ!$A$1202="","",(履歴データ!$D$1202-(履歴データ!$B$1202+履歴データ!$F$1202)/2)*100)</f>
        <v/>
      </c>
      <c r="C1202" s="28" t="str">
        <f>IF(履歴データ!$A$1202="","",(履歴データ!$H$1202-(履歴データ!$G$1202+履歴データ!$J$1202)/2)*100)</f>
        <v/>
      </c>
      <c r="D1202" s="28" t="str">
        <f>IF(履歴データ!$A$1202="","",(履歴データ!$D$1202-履歴データ!$H$1202)*100)</f>
        <v/>
      </c>
      <c r="E1202" s="28" t="str">
        <f>IF(履歴データ!$A$1202="","",(履歴データ!$D$1202-履歴データ!$C$1202)*100)</f>
        <v/>
      </c>
      <c r="F1202" s="28" t="str">
        <f>IF(履歴データ!$A$1202="","",(履歴データ!$R$1202-履歴データ!$D$1202)*100)</f>
        <v/>
      </c>
      <c r="G1202" s="28" t="str">
        <f>IF(履歴データ!$A$1202="","",(履歴データ!$S$1202-履歴データ!$R$1202)*100)</f>
        <v/>
      </c>
      <c r="H1202" s="29" t="str">
        <f>IF(履歴データ!$A$1202="","",履歴データ!$O$1202)</f>
        <v/>
      </c>
      <c r="I1202" s="29" t="str">
        <f>IF(履歴データ!$A$1202="","",履歴データ!$Q$1202)</f>
        <v/>
      </c>
      <c r="J1202" s="29" t="str">
        <f>IF(履歴データ!$A$1202="","",履歴データ!$D$1202)</f>
        <v/>
      </c>
      <c r="K1202" s="28" t="str">
        <f>IF(OR(履歴データ!$A$1202="",履歴データ!$A$1201=""),"",B1202-B1201)</f>
        <v/>
      </c>
      <c r="L1202" s="28" t="str">
        <f>IF(OR(履歴データ!$A$1202="",履歴データ!$A$1201=""),"",C1202-C1201)</f>
        <v/>
      </c>
      <c r="M1202" s="28" t="str">
        <f>IF(OR(履歴データ!$A$1202="",履歴データ!$A$1201=""),"",D1202-D1201)</f>
        <v/>
      </c>
      <c r="N1202" s="28" t="str">
        <f>IF(OR(履歴データ!$A$1202="",履歴データ!$A$1201=""),"",E1202-E1201)</f>
        <v/>
      </c>
      <c r="O1202" s="28" t="str">
        <f>IF(OR(履歴データ!$A$1202="",履歴データ!$A$1201=""),"",F1202-F1201)</f>
        <v/>
      </c>
      <c r="P1202" s="28" t="str">
        <f>IF(OR(履歴データ!$A$1202="",履歴データ!$A$1201=""),"",G1202-G1201)</f>
        <v/>
      </c>
      <c r="Q1202" s="29" t="str">
        <f>IF(OR(履歴データ!$A$1202="",履歴データ!$A$1201=""),"",H1202-H1201)</f>
        <v/>
      </c>
      <c r="R1202" s="29" t="str">
        <f>IF(OR(履歴データ!$A$1202="",履歴データ!$A$1201=""),"",I1202-I1201)</f>
        <v/>
      </c>
      <c r="S1202" s="28" t="str">
        <f>IF(OR(履歴データ!$A$1202="",履歴データ!$A$1201=""),"",(J1202-J1201)*100)</f>
        <v/>
      </c>
      <c r="T1202" s="11" t="str">
        <f>IF(OR(履歴データ!$A$1202="",履歴データ!$A$1201=""),"",-80000*K1202)</f>
        <v/>
      </c>
      <c r="U1202" s="11" t="str">
        <f>IF(OR(履歴データ!$A$1202="",履歴データ!$A$1201=""),"",60000*L1202)</f>
        <v/>
      </c>
      <c r="V1202" s="11" t="str">
        <f>IF(OR(履歴データ!$A$1202="",履歴データ!$A$1201=""),"",-50000*M1202)</f>
        <v/>
      </c>
      <c r="W1202" s="11" t="str">
        <f>IF(OR(履歴データ!$A$1202="",履歴データ!$A$1201=""),"",-40000*N1202)</f>
        <v/>
      </c>
      <c r="X1202" s="11" t="str">
        <f>IF(OR(履歴データ!$A$1202="",履歴データ!$A$1201=""),"",120*1000000*(-Q1202/H1201))</f>
        <v/>
      </c>
      <c r="Y1202" s="11" t="str">
        <f>IF(OR(履歴データ!$A$1202="",履歴データ!$A$1201=""),"",40000*(-S1202)+(-506.3)*R1202*1000)</f>
        <v/>
      </c>
      <c r="Z1202" s="11" t="str">
        <f>IF(OR(履歴データ!$A$1202="",履歴データ!$A$1201=""),"",-40000*O1202)</f>
        <v/>
      </c>
      <c r="AA1202" s="11" t="str">
        <f>IF(OR(履歴データ!$A$1202="",履歴データ!$A$1201=""),"",-40000*P1202)</f>
        <v/>
      </c>
      <c r="AB1202" s="11" t="str">
        <f>IF(履歴データ!$A$1202="","",123.3)</f>
        <v/>
      </c>
      <c r="AC1202" t="str">
        <f>IF(履歴データ!$A$1202="","",SUM(T1202:AA1202))</f>
        <v/>
      </c>
      <c r="AD1202" s="29" t="str">
        <f>IF(履歴データ!$A$1202="","",AC1202/1000000)</f>
        <v/>
      </c>
      <c r="AE1202" s="29">
        <f>IF(履歴データ!$A$1202="",AE1201,AE1201+AC1202/1000000)</f>
        <v>70.844544225831427</v>
      </c>
      <c r="AF1202" s="12" t="str">
        <f>IF(OR(履歴データ!$A$1202="",AE1201=0),"",(AE1202-AE1201)/AE1201)</f>
        <v/>
      </c>
      <c r="AG1202" s="29">
        <f t="shared" si="48"/>
        <v>102.17217746631495</v>
      </c>
      <c r="AH1202" s="12" t="str">
        <f>IF(OR(履歴データ!$A$1202="",AG1202=0),"",AE1202/AG1202-1)</f>
        <v/>
      </c>
    </row>
    <row r="1203" spans="1:34">
      <c r="A1203" s="10" t="str">
        <f>IF(履歴データ!$A$1203="","",履歴データ!$A$1203)</f>
        <v/>
      </c>
      <c r="B1203" s="28" t="str">
        <f>IF(履歴データ!$A$1203="","",(履歴データ!$D$1203-(履歴データ!$B$1203+履歴データ!$F$1203)/2)*100)</f>
        <v/>
      </c>
      <c r="C1203" s="28" t="str">
        <f>IF(履歴データ!$A$1203="","",(履歴データ!$H$1203-(履歴データ!$G$1203+履歴データ!$J$1203)/2)*100)</f>
        <v/>
      </c>
      <c r="D1203" s="28" t="str">
        <f>IF(履歴データ!$A$1203="","",(履歴データ!$D$1203-履歴データ!$H$1203)*100)</f>
        <v/>
      </c>
      <c r="E1203" s="28" t="str">
        <f>IF(履歴データ!$A$1203="","",(履歴データ!$D$1203-履歴データ!$C$1203)*100)</f>
        <v/>
      </c>
      <c r="F1203" s="28" t="str">
        <f>IF(履歴データ!$A$1203="","",(履歴データ!$R$1203-履歴データ!$D$1203)*100)</f>
        <v/>
      </c>
      <c r="G1203" s="28" t="str">
        <f>IF(履歴データ!$A$1203="","",(履歴データ!$S$1203-履歴データ!$R$1203)*100)</f>
        <v/>
      </c>
      <c r="H1203" s="29" t="str">
        <f>IF(履歴データ!$A$1203="","",履歴データ!$O$1203)</f>
        <v/>
      </c>
      <c r="I1203" s="29" t="str">
        <f>IF(履歴データ!$A$1203="","",履歴データ!$Q$1203)</f>
        <v/>
      </c>
      <c r="J1203" s="29" t="str">
        <f>IF(履歴データ!$A$1203="","",履歴データ!$D$1203)</f>
        <v/>
      </c>
      <c r="K1203" s="28" t="str">
        <f>IF(OR(履歴データ!$A$1203="",履歴データ!$A$1202=""),"",B1203-B1202)</f>
        <v/>
      </c>
      <c r="L1203" s="28" t="str">
        <f>IF(OR(履歴データ!$A$1203="",履歴データ!$A$1202=""),"",C1203-C1202)</f>
        <v/>
      </c>
      <c r="M1203" s="28" t="str">
        <f>IF(OR(履歴データ!$A$1203="",履歴データ!$A$1202=""),"",D1203-D1202)</f>
        <v/>
      </c>
      <c r="N1203" s="28" t="str">
        <f>IF(OR(履歴データ!$A$1203="",履歴データ!$A$1202=""),"",E1203-E1202)</f>
        <v/>
      </c>
      <c r="O1203" s="28" t="str">
        <f>IF(OR(履歴データ!$A$1203="",履歴データ!$A$1202=""),"",F1203-F1202)</f>
        <v/>
      </c>
      <c r="P1203" s="28" t="str">
        <f>IF(OR(履歴データ!$A$1203="",履歴データ!$A$1202=""),"",G1203-G1202)</f>
        <v/>
      </c>
      <c r="Q1203" s="29" t="str">
        <f>IF(OR(履歴データ!$A$1203="",履歴データ!$A$1202=""),"",H1203-H1202)</f>
        <v/>
      </c>
      <c r="R1203" s="29" t="str">
        <f>IF(OR(履歴データ!$A$1203="",履歴データ!$A$1202=""),"",I1203-I1202)</f>
        <v/>
      </c>
      <c r="S1203" s="28" t="str">
        <f>IF(OR(履歴データ!$A$1203="",履歴データ!$A$1202=""),"",(J1203-J1202)*100)</f>
        <v/>
      </c>
      <c r="T1203" s="11" t="str">
        <f>IF(OR(履歴データ!$A$1203="",履歴データ!$A$1202=""),"",-80000*K1203)</f>
        <v/>
      </c>
      <c r="U1203" s="11" t="str">
        <f>IF(OR(履歴データ!$A$1203="",履歴データ!$A$1202=""),"",60000*L1203)</f>
        <v/>
      </c>
      <c r="V1203" s="11" t="str">
        <f>IF(OR(履歴データ!$A$1203="",履歴データ!$A$1202=""),"",-50000*M1203)</f>
        <v/>
      </c>
      <c r="W1203" s="11" t="str">
        <f>IF(OR(履歴データ!$A$1203="",履歴データ!$A$1202=""),"",-40000*N1203)</f>
        <v/>
      </c>
      <c r="X1203" s="11" t="str">
        <f>IF(OR(履歴データ!$A$1203="",履歴データ!$A$1202=""),"",120*1000000*(-Q1203/H1202))</f>
        <v/>
      </c>
      <c r="Y1203" s="11" t="str">
        <f>IF(OR(履歴データ!$A$1203="",履歴データ!$A$1202=""),"",40000*(-S1203)+(-506.3)*R1203*1000)</f>
        <v/>
      </c>
      <c r="Z1203" s="11" t="str">
        <f>IF(OR(履歴データ!$A$1203="",履歴データ!$A$1202=""),"",-40000*O1203)</f>
        <v/>
      </c>
      <c r="AA1203" s="11" t="str">
        <f>IF(OR(履歴データ!$A$1203="",履歴データ!$A$1202=""),"",-40000*P1203)</f>
        <v/>
      </c>
      <c r="AB1203" s="11" t="str">
        <f>IF(履歴データ!$A$1203="","",123.3)</f>
        <v/>
      </c>
      <c r="AC1203" t="str">
        <f>IF(履歴データ!$A$1203="","",SUM(T1203:AA1203))</f>
        <v/>
      </c>
      <c r="AD1203" s="29" t="str">
        <f>IF(履歴データ!$A$1203="","",AC1203/1000000)</f>
        <v/>
      </c>
      <c r="AE1203" s="29">
        <f>IF(履歴データ!$A$1203="",AE1202,AE1202+AC1203/1000000)</f>
        <v>70.844544225831427</v>
      </c>
      <c r="AF1203" s="12" t="str">
        <f>IF(OR(履歴データ!$A$1203="",AE1202=0),"",(AE1203-AE1202)/AE1202)</f>
        <v/>
      </c>
      <c r="AG1203" s="29">
        <f t="shared" si="48"/>
        <v>102.17217746631495</v>
      </c>
      <c r="AH1203" s="12" t="str">
        <f>IF(OR(履歴データ!$A$1203="",AG1203=0),"",AE1203/AG1203-1)</f>
        <v/>
      </c>
    </row>
    <row r="1204" spans="1:34">
      <c r="A1204" s="10" t="str">
        <f>IF(履歴データ!$A$1204="","",履歴データ!$A$1204)</f>
        <v/>
      </c>
      <c r="B1204" s="28" t="str">
        <f>IF(履歴データ!$A$1204="","",(履歴データ!$D$1204-(履歴データ!$B$1204+履歴データ!$F$1204)/2)*100)</f>
        <v/>
      </c>
      <c r="C1204" s="28" t="str">
        <f>IF(履歴データ!$A$1204="","",(履歴データ!$H$1204-(履歴データ!$G$1204+履歴データ!$J$1204)/2)*100)</f>
        <v/>
      </c>
      <c r="D1204" s="28" t="str">
        <f>IF(履歴データ!$A$1204="","",(履歴データ!$D$1204-履歴データ!$H$1204)*100)</f>
        <v/>
      </c>
      <c r="E1204" s="28" t="str">
        <f>IF(履歴データ!$A$1204="","",(履歴データ!$D$1204-履歴データ!$C$1204)*100)</f>
        <v/>
      </c>
      <c r="F1204" s="28" t="str">
        <f>IF(履歴データ!$A$1204="","",(履歴データ!$R$1204-履歴データ!$D$1204)*100)</f>
        <v/>
      </c>
      <c r="G1204" s="28" t="str">
        <f>IF(履歴データ!$A$1204="","",(履歴データ!$S$1204-履歴データ!$R$1204)*100)</f>
        <v/>
      </c>
      <c r="H1204" s="29" t="str">
        <f>IF(履歴データ!$A$1204="","",履歴データ!$O$1204)</f>
        <v/>
      </c>
      <c r="I1204" s="29" t="str">
        <f>IF(履歴データ!$A$1204="","",履歴データ!$Q$1204)</f>
        <v/>
      </c>
      <c r="J1204" s="29" t="str">
        <f>IF(履歴データ!$A$1204="","",履歴データ!$D$1204)</f>
        <v/>
      </c>
      <c r="K1204" s="28" t="str">
        <f>IF(OR(履歴データ!$A$1204="",履歴データ!$A$1203=""),"",B1204-B1203)</f>
        <v/>
      </c>
      <c r="L1204" s="28" t="str">
        <f>IF(OR(履歴データ!$A$1204="",履歴データ!$A$1203=""),"",C1204-C1203)</f>
        <v/>
      </c>
      <c r="M1204" s="28" t="str">
        <f>IF(OR(履歴データ!$A$1204="",履歴データ!$A$1203=""),"",D1204-D1203)</f>
        <v/>
      </c>
      <c r="N1204" s="28" t="str">
        <f>IF(OR(履歴データ!$A$1204="",履歴データ!$A$1203=""),"",E1204-E1203)</f>
        <v/>
      </c>
      <c r="O1204" s="28" t="str">
        <f>IF(OR(履歴データ!$A$1204="",履歴データ!$A$1203=""),"",F1204-F1203)</f>
        <v/>
      </c>
      <c r="P1204" s="28" t="str">
        <f>IF(OR(履歴データ!$A$1204="",履歴データ!$A$1203=""),"",G1204-G1203)</f>
        <v/>
      </c>
      <c r="Q1204" s="29" t="str">
        <f>IF(OR(履歴データ!$A$1204="",履歴データ!$A$1203=""),"",H1204-H1203)</f>
        <v/>
      </c>
      <c r="R1204" s="29" t="str">
        <f>IF(OR(履歴データ!$A$1204="",履歴データ!$A$1203=""),"",I1204-I1203)</f>
        <v/>
      </c>
      <c r="S1204" s="28" t="str">
        <f>IF(OR(履歴データ!$A$1204="",履歴データ!$A$1203=""),"",(J1204-J1203)*100)</f>
        <v/>
      </c>
      <c r="T1204" s="11" t="str">
        <f>IF(OR(履歴データ!$A$1204="",履歴データ!$A$1203=""),"",-80000*K1204)</f>
        <v/>
      </c>
      <c r="U1204" s="11" t="str">
        <f>IF(OR(履歴データ!$A$1204="",履歴データ!$A$1203=""),"",60000*L1204)</f>
        <v/>
      </c>
      <c r="V1204" s="11" t="str">
        <f>IF(OR(履歴データ!$A$1204="",履歴データ!$A$1203=""),"",-50000*M1204)</f>
        <v/>
      </c>
      <c r="W1204" s="11" t="str">
        <f>IF(OR(履歴データ!$A$1204="",履歴データ!$A$1203=""),"",-40000*N1204)</f>
        <v/>
      </c>
      <c r="X1204" s="11" t="str">
        <f>IF(OR(履歴データ!$A$1204="",履歴データ!$A$1203=""),"",120*1000000*(-Q1204/H1203))</f>
        <v/>
      </c>
      <c r="Y1204" s="11" t="str">
        <f>IF(OR(履歴データ!$A$1204="",履歴データ!$A$1203=""),"",40000*(-S1204)+(-506.3)*R1204*1000)</f>
        <v/>
      </c>
      <c r="Z1204" s="11" t="str">
        <f>IF(OR(履歴データ!$A$1204="",履歴データ!$A$1203=""),"",-40000*O1204)</f>
        <v/>
      </c>
      <c r="AA1204" s="11" t="str">
        <f>IF(OR(履歴データ!$A$1204="",履歴データ!$A$1203=""),"",-40000*P1204)</f>
        <v/>
      </c>
      <c r="AB1204" s="11" t="str">
        <f>IF(履歴データ!$A$1204="","",123.3)</f>
        <v/>
      </c>
      <c r="AC1204" t="str">
        <f>IF(履歴データ!$A$1204="","",SUM(T1204:AA1204))</f>
        <v/>
      </c>
      <c r="AD1204" s="29" t="str">
        <f>IF(履歴データ!$A$1204="","",AC1204/1000000)</f>
        <v/>
      </c>
      <c r="AE1204" s="29">
        <f>IF(履歴データ!$A$1204="",AE1203,AE1203+AC1204/1000000)</f>
        <v>70.844544225831427</v>
      </c>
      <c r="AF1204" s="12" t="str">
        <f>IF(OR(履歴データ!$A$1204="",AE1203=0),"",(AE1204-AE1203)/AE1203)</f>
        <v/>
      </c>
      <c r="AG1204" s="29">
        <f t="shared" si="48"/>
        <v>102.17217746631495</v>
      </c>
      <c r="AH1204" s="12" t="str">
        <f>IF(OR(履歴データ!$A$1204="",AG1204=0),"",AE1204/AG1204-1)</f>
        <v/>
      </c>
    </row>
    <row r="1205" spans="1:34">
      <c r="A1205" s="10" t="str">
        <f>IF(履歴データ!$A$1205="","",履歴データ!$A$1205)</f>
        <v/>
      </c>
      <c r="B1205" s="28" t="str">
        <f>IF(履歴データ!$A$1205="","",(履歴データ!$D$1205-(履歴データ!$B$1205+履歴データ!$F$1205)/2)*100)</f>
        <v/>
      </c>
      <c r="C1205" s="28" t="str">
        <f>IF(履歴データ!$A$1205="","",(履歴データ!$H$1205-(履歴データ!$G$1205+履歴データ!$J$1205)/2)*100)</f>
        <v/>
      </c>
      <c r="D1205" s="28" t="str">
        <f>IF(履歴データ!$A$1205="","",(履歴データ!$D$1205-履歴データ!$H$1205)*100)</f>
        <v/>
      </c>
      <c r="E1205" s="28" t="str">
        <f>IF(履歴データ!$A$1205="","",(履歴データ!$D$1205-履歴データ!$C$1205)*100)</f>
        <v/>
      </c>
      <c r="F1205" s="28" t="str">
        <f>IF(履歴データ!$A$1205="","",(履歴データ!$R$1205-履歴データ!$D$1205)*100)</f>
        <v/>
      </c>
      <c r="G1205" s="28" t="str">
        <f>IF(履歴データ!$A$1205="","",(履歴データ!$S$1205-履歴データ!$R$1205)*100)</f>
        <v/>
      </c>
      <c r="H1205" s="29" t="str">
        <f>IF(履歴データ!$A$1205="","",履歴データ!$O$1205)</f>
        <v/>
      </c>
      <c r="I1205" s="29" t="str">
        <f>IF(履歴データ!$A$1205="","",履歴データ!$Q$1205)</f>
        <v/>
      </c>
      <c r="J1205" s="29" t="str">
        <f>IF(履歴データ!$A$1205="","",履歴データ!$D$1205)</f>
        <v/>
      </c>
      <c r="K1205" s="28" t="str">
        <f>IF(OR(履歴データ!$A$1205="",履歴データ!$A$1204=""),"",B1205-B1204)</f>
        <v/>
      </c>
      <c r="L1205" s="28" t="str">
        <f>IF(OR(履歴データ!$A$1205="",履歴データ!$A$1204=""),"",C1205-C1204)</f>
        <v/>
      </c>
      <c r="M1205" s="28" t="str">
        <f>IF(OR(履歴データ!$A$1205="",履歴データ!$A$1204=""),"",D1205-D1204)</f>
        <v/>
      </c>
      <c r="N1205" s="28" t="str">
        <f>IF(OR(履歴データ!$A$1205="",履歴データ!$A$1204=""),"",E1205-E1204)</f>
        <v/>
      </c>
      <c r="O1205" s="28" t="str">
        <f>IF(OR(履歴データ!$A$1205="",履歴データ!$A$1204=""),"",F1205-F1204)</f>
        <v/>
      </c>
      <c r="P1205" s="28" t="str">
        <f>IF(OR(履歴データ!$A$1205="",履歴データ!$A$1204=""),"",G1205-G1204)</f>
        <v/>
      </c>
      <c r="Q1205" s="29" t="str">
        <f>IF(OR(履歴データ!$A$1205="",履歴データ!$A$1204=""),"",H1205-H1204)</f>
        <v/>
      </c>
      <c r="R1205" s="29" t="str">
        <f>IF(OR(履歴データ!$A$1205="",履歴データ!$A$1204=""),"",I1205-I1204)</f>
        <v/>
      </c>
      <c r="S1205" s="28" t="str">
        <f>IF(OR(履歴データ!$A$1205="",履歴データ!$A$1204=""),"",(J1205-J1204)*100)</f>
        <v/>
      </c>
      <c r="T1205" s="11" t="str">
        <f>IF(OR(履歴データ!$A$1205="",履歴データ!$A$1204=""),"",-80000*K1205)</f>
        <v/>
      </c>
      <c r="U1205" s="11" t="str">
        <f>IF(OR(履歴データ!$A$1205="",履歴データ!$A$1204=""),"",60000*L1205)</f>
        <v/>
      </c>
      <c r="V1205" s="11" t="str">
        <f>IF(OR(履歴データ!$A$1205="",履歴データ!$A$1204=""),"",-50000*M1205)</f>
        <v/>
      </c>
      <c r="W1205" s="11" t="str">
        <f>IF(OR(履歴データ!$A$1205="",履歴データ!$A$1204=""),"",-40000*N1205)</f>
        <v/>
      </c>
      <c r="X1205" s="11" t="str">
        <f>IF(OR(履歴データ!$A$1205="",履歴データ!$A$1204=""),"",120*1000000*(-Q1205/H1204))</f>
        <v/>
      </c>
      <c r="Y1205" s="11" t="str">
        <f>IF(OR(履歴データ!$A$1205="",履歴データ!$A$1204=""),"",40000*(-S1205)+(-506.3)*R1205*1000)</f>
        <v/>
      </c>
      <c r="Z1205" s="11" t="str">
        <f>IF(OR(履歴データ!$A$1205="",履歴データ!$A$1204=""),"",-40000*O1205)</f>
        <v/>
      </c>
      <c r="AA1205" s="11" t="str">
        <f>IF(OR(履歴データ!$A$1205="",履歴データ!$A$1204=""),"",-40000*P1205)</f>
        <v/>
      </c>
      <c r="AB1205" s="11" t="str">
        <f>IF(履歴データ!$A$1205="","",123.3)</f>
        <v/>
      </c>
      <c r="AC1205" t="str">
        <f>IF(履歴データ!$A$1205="","",SUM(T1205:AA1205))</f>
        <v/>
      </c>
      <c r="AD1205" s="29" t="str">
        <f>IF(履歴データ!$A$1205="","",AC1205/1000000)</f>
        <v/>
      </c>
      <c r="AE1205" s="29">
        <f>IF(履歴データ!$A$1205="",AE1204,AE1204+AC1205/1000000)</f>
        <v>70.844544225831427</v>
      </c>
      <c r="AF1205" s="12" t="str">
        <f>IF(OR(履歴データ!$A$1205="",AE1204=0),"",(AE1205-AE1204)/AE1204)</f>
        <v/>
      </c>
      <c r="AG1205" s="29">
        <f t="shared" si="48"/>
        <v>102.17217746631495</v>
      </c>
      <c r="AH1205" s="12" t="str">
        <f>IF(OR(履歴データ!$A$1205="",AG1205=0),"",AE1205/AG1205-1)</f>
        <v/>
      </c>
    </row>
    <row r="1206" spans="1:34">
      <c r="A1206" s="10" t="str">
        <f>IF(履歴データ!$A$1206="","",履歴データ!$A$1206)</f>
        <v/>
      </c>
      <c r="B1206" s="28" t="str">
        <f>IF(履歴データ!$A$1206="","",(履歴データ!$D$1206-(履歴データ!$B$1206+履歴データ!$F$1206)/2)*100)</f>
        <v/>
      </c>
      <c r="C1206" s="28" t="str">
        <f>IF(履歴データ!$A$1206="","",(履歴データ!$H$1206-(履歴データ!$G$1206+履歴データ!$J$1206)/2)*100)</f>
        <v/>
      </c>
      <c r="D1206" s="28" t="str">
        <f>IF(履歴データ!$A$1206="","",(履歴データ!$D$1206-履歴データ!$H$1206)*100)</f>
        <v/>
      </c>
      <c r="E1206" s="28" t="str">
        <f>IF(履歴データ!$A$1206="","",(履歴データ!$D$1206-履歴データ!$C$1206)*100)</f>
        <v/>
      </c>
      <c r="F1206" s="28" t="str">
        <f>IF(履歴データ!$A$1206="","",(履歴データ!$R$1206-履歴データ!$D$1206)*100)</f>
        <v/>
      </c>
      <c r="G1206" s="28" t="str">
        <f>IF(履歴データ!$A$1206="","",(履歴データ!$S$1206-履歴データ!$R$1206)*100)</f>
        <v/>
      </c>
      <c r="H1206" s="29" t="str">
        <f>IF(履歴データ!$A$1206="","",履歴データ!$O$1206)</f>
        <v/>
      </c>
      <c r="I1206" s="29" t="str">
        <f>IF(履歴データ!$A$1206="","",履歴データ!$Q$1206)</f>
        <v/>
      </c>
      <c r="J1206" s="29" t="str">
        <f>IF(履歴データ!$A$1206="","",履歴データ!$D$1206)</f>
        <v/>
      </c>
      <c r="K1206" s="28" t="str">
        <f>IF(OR(履歴データ!$A$1206="",履歴データ!$A$1205=""),"",B1206-B1205)</f>
        <v/>
      </c>
      <c r="L1206" s="28" t="str">
        <f>IF(OR(履歴データ!$A$1206="",履歴データ!$A$1205=""),"",C1206-C1205)</f>
        <v/>
      </c>
      <c r="M1206" s="28" t="str">
        <f>IF(OR(履歴データ!$A$1206="",履歴データ!$A$1205=""),"",D1206-D1205)</f>
        <v/>
      </c>
      <c r="N1206" s="28" t="str">
        <f>IF(OR(履歴データ!$A$1206="",履歴データ!$A$1205=""),"",E1206-E1205)</f>
        <v/>
      </c>
      <c r="O1206" s="28" t="str">
        <f>IF(OR(履歴データ!$A$1206="",履歴データ!$A$1205=""),"",F1206-F1205)</f>
        <v/>
      </c>
      <c r="P1206" s="28" t="str">
        <f>IF(OR(履歴データ!$A$1206="",履歴データ!$A$1205=""),"",G1206-G1205)</f>
        <v/>
      </c>
      <c r="Q1206" s="29" t="str">
        <f>IF(OR(履歴データ!$A$1206="",履歴データ!$A$1205=""),"",H1206-H1205)</f>
        <v/>
      </c>
      <c r="R1206" s="29" t="str">
        <f>IF(OR(履歴データ!$A$1206="",履歴データ!$A$1205=""),"",I1206-I1205)</f>
        <v/>
      </c>
      <c r="S1206" s="28" t="str">
        <f>IF(OR(履歴データ!$A$1206="",履歴データ!$A$1205=""),"",(J1206-J1205)*100)</f>
        <v/>
      </c>
      <c r="T1206" s="11" t="str">
        <f>IF(OR(履歴データ!$A$1206="",履歴データ!$A$1205=""),"",-80000*K1206)</f>
        <v/>
      </c>
      <c r="U1206" s="11" t="str">
        <f>IF(OR(履歴データ!$A$1206="",履歴データ!$A$1205=""),"",60000*L1206)</f>
        <v/>
      </c>
      <c r="V1206" s="11" t="str">
        <f>IF(OR(履歴データ!$A$1206="",履歴データ!$A$1205=""),"",-50000*M1206)</f>
        <v/>
      </c>
      <c r="W1206" s="11" t="str">
        <f>IF(OR(履歴データ!$A$1206="",履歴データ!$A$1205=""),"",-40000*N1206)</f>
        <v/>
      </c>
      <c r="X1206" s="11" t="str">
        <f>IF(OR(履歴データ!$A$1206="",履歴データ!$A$1205=""),"",120*1000000*(-Q1206/H1205))</f>
        <v/>
      </c>
      <c r="Y1206" s="11" t="str">
        <f>IF(OR(履歴データ!$A$1206="",履歴データ!$A$1205=""),"",40000*(-S1206)+(-506.3)*R1206*1000)</f>
        <v/>
      </c>
      <c r="Z1206" s="11" t="str">
        <f>IF(OR(履歴データ!$A$1206="",履歴データ!$A$1205=""),"",-40000*O1206)</f>
        <v/>
      </c>
      <c r="AA1206" s="11" t="str">
        <f>IF(OR(履歴データ!$A$1206="",履歴データ!$A$1205=""),"",-40000*P1206)</f>
        <v/>
      </c>
      <c r="AB1206" s="11" t="str">
        <f>IF(履歴データ!$A$1206="","",123.3)</f>
        <v/>
      </c>
      <c r="AC1206" t="str">
        <f>IF(履歴データ!$A$1206="","",SUM(T1206:AA1206))</f>
        <v/>
      </c>
      <c r="AD1206" s="29" t="str">
        <f>IF(履歴データ!$A$1206="","",AC1206/1000000)</f>
        <v/>
      </c>
      <c r="AE1206" s="29">
        <f>IF(履歴データ!$A$1206="",AE1205,AE1205+AC1206/1000000)</f>
        <v>70.844544225831427</v>
      </c>
      <c r="AF1206" s="12" t="str">
        <f>IF(OR(履歴データ!$A$1206="",AE1205=0),"",(AE1206-AE1205)/AE1205)</f>
        <v/>
      </c>
      <c r="AG1206" s="29">
        <f t="shared" si="48"/>
        <v>102.17217746631495</v>
      </c>
      <c r="AH1206" s="12" t="str">
        <f>IF(OR(履歴データ!$A$1206="",AG1206=0),"",AE1206/AG1206-1)</f>
        <v/>
      </c>
    </row>
    <row r="1207" spans="1:34">
      <c r="A1207" s="10" t="str">
        <f>IF(履歴データ!$A$1207="","",履歴データ!$A$1207)</f>
        <v/>
      </c>
      <c r="B1207" s="28" t="str">
        <f>IF(履歴データ!$A$1207="","",(履歴データ!$D$1207-(履歴データ!$B$1207+履歴データ!$F$1207)/2)*100)</f>
        <v/>
      </c>
      <c r="C1207" s="28" t="str">
        <f>IF(履歴データ!$A$1207="","",(履歴データ!$H$1207-(履歴データ!$G$1207+履歴データ!$J$1207)/2)*100)</f>
        <v/>
      </c>
      <c r="D1207" s="28" t="str">
        <f>IF(履歴データ!$A$1207="","",(履歴データ!$D$1207-履歴データ!$H$1207)*100)</f>
        <v/>
      </c>
      <c r="E1207" s="28" t="str">
        <f>IF(履歴データ!$A$1207="","",(履歴データ!$D$1207-履歴データ!$C$1207)*100)</f>
        <v/>
      </c>
      <c r="F1207" s="28" t="str">
        <f>IF(履歴データ!$A$1207="","",(履歴データ!$R$1207-履歴データ!$D$1207)*100)</f>
        <v/>
      </c>
      <c r="G1207" s="28" t="str">
        <f>IF(履歴データ!$A$1207="","",(履歴データ!$S$1207-履歴データ!$R$1207)*100)</f>
        <v/>
      </c>
      <c r="H1207" s="29" t="str">
        <f>IF(履歴データ!$A$1207="","",履歴データ!$O$1207)</f>
        <v/>
      </c>
      <c r="I1207" s="29" t="str">
        <f>IF(履歴データ!$A$1207="","",履歴データ!$Q$1207)</f>
        <v/>
      </c>
      <c r="J1207" s="29" t="str">
        <f>IF(履歴データ!$A$1207="","",履歴データ!$D$1207)</f>
        <v/>
      </c>
      <c r="K1207" s="28" t="str">
        <f>IF(OR(履歴データ!$A$1207="",履歴データ!$A$1206=""),"",B1207-B1206)</f>
        <v/>
      </c>
      <c r="L1207" s="28" t="str">
        <f>IF(OR(履歴データ!$A$1207="",履歴データ!$A$1206=""),"",C1207-C1206)</f>
        <v/>
      </c>
      <c r="M1207" s="28" t="str">
        <f>IF(OR(履歴データ!$A$1207="",履歴データ!$A$1206=""),"",D1207-D1206)</f>
        <v/>
      </c>
      <c r="N1207" s="28" t="str">
        <f>IF(OR(履歴データ!$A$1207="",履歴データ!$A$1206=""),"",E1207-E1206)</f>
        <v/>
      </c>
      <c r="O1207" s="28" t="str">
        <f>IF(OR(履歴データ!$A$1207="",履歴データ!$A$1206=""),"",F1207-F1206)</f>
        <v/>
      </c>
      <c r="P1207" s="28" t="str">
        <f>IF(OR(履歴データ!$A$1207="",履歴データ!$A$1206=""),"",G1207-G1206)</f>
        <v/>
      </c>
      <c r="Q1207" s="29" t="str">
        <f>IF(OR(履歴データ!$A$1207="",履歴データ!$A$1206=""),"",H1207-H1206)</f>
        <v/>
      </c>
      <c r="R1207" s="29" t="str">
        <f>IF(OR(履歴データ!$A$1207="",履歴データ!$A$1206=""),"",I1207-I1206)</f>
        <v/>
      </c>
      <c r="S1207" s="28" t="str">
        <f>IF(OR(履歴データ!$A$1207="",履歴データ!$A$1206=""),"",(J1207-J1206)*100)</f>
        <v/>
      </c>
      <c r="T1207" s="11" t="str">
        <f>IF(OR(履歴データ!$A$1207="",履歴データ!$A$1206=""),"",-80000*K1207)</f>
        <v/>
      </c>
      <c r="U1207" s="11" t="str">
        <f>IF(OR(履歴データ!$A$1207="",履歴データ!$A$1206=""),"",60000*L1207)</f>
        <v/>
      </c>
      <c r="V1207" s="11" t="str">
        <f>IF(OR(履歴データ!$A$1207="",履歴データ!$A$1206=""),"",-50000*M1207)</f>
        <v/>
      </c>
      <c r="W1207" s="11" t="str">
        <f>IF(OR(履歴データ!$A$1207="",履歴データ!$A$1206=""),"",-40000*N1207)</f>
        <v/>
      </c>
      <c r="X1207" s="11" t="str">
        <f>IF(OR(履歴データ!$A$1207="",履歴データ!$A$1206=""),"",120*1000000*(-Q1207/H1206))</f>
        <v/>
      </c>
      <c r="Y1207" s="11" t="str">
        <f>IF(OR(履歴データ!$A$1207="",履歴データ!$A$1206=""),"",40000*(-S1207)+(-506.3)*R1207*1000)</f>
        <v/>
      </c>
      <c r="Z1207" s="11" t="str">
        <f>IF(OR(履歴データ!$A$1207="",履歴データ!$A$1206=""),"",-40000*O1207)</f>
        <v/>
      </c>
      <c r="AA1207" s="11" t="str">
        <f>IF(OR(履歴データ!$A$1207="",履歴データ!$A$1206=""),"",-40000*P1207)</f>
        <v/>
      </c>
      <c r="AB1207" s="11" t="str">
        <f>IF(履歴データ!$A$1207="","",123.3)</f>
        <v/>
      </c>
      <c r="AC1207" t="str">
        <f>IF(履歴データ!$A$1207="","",SUM(T1207:AA1207))</f>
        <v/>
      </c>
      <c r="AD1207" s="29" t="str">
        <f>IF(履歴データ!$A$1207="","",AC1207/1000000)</f>
        <v/>
      </c>
      <c r="AE1207" s="29">
        <f>IF(履歴データ!$A$1207="",AE1206,AE1206+AC1207/1000000)</f>
        <v>70.844544225831427</v>
      </c>
      <c r="AF1207" s="12" t="str">
        <f>IF(OR(履歴データ!$A$1207="",AE1206=0),"",(AE1207-AE1206)/AE1206)</f>
        <v/>
      </c>
      <c r="AG1207" s="29">
        <f t="shared" si="48"/>
        <v>102.17217746631495</v>
      </c>
      <c r="AH1207" s="12" t="str">
        <f>IF(OR(履歴データ!$A$1207="",AG1207=0),"",AE1207/AG1207-1)</f>
        <v/>
      </c>
    </row>
    <row r="1208" spans="1:34">
      <c r="A1208" s="10" t="str">
        <f>IF(履歴データ!$A$1208="","",履歴データ!$A$1208)</f>
        <v/>
      </c>
      <c r="B1208" s="28" t="str">
        <f>IF(履歴データ!$A$1208="","",(履歴データ!$D$1208-(履歴データ!$B$1208+履歴データ!$F$1208)/2)*100)</f>
        <v/>
      </c>
      <c r="C1208" s="28" t="str">
        <f>IF(履歴データ!$A$1208="","",(履歴データ!$H$1208-(履歴データ!$G$1208+履歴データ!$J$1208)/2)*100)</f>
        <v/>
      </c>
      <c r="D1208" s="28" t="str">
        <f>IF(履歴データ!$A$1208="","",(履歴データ!$D$1208-履歴データ!$H$1208)*100)</f>
        <v/>
      </c>
      <c r="E1208" s="28" t="str">
        <f>IF(履歴データ!$A$1208="","",(履歴データ!$D$1208-履歴データ!$C$1208)*100)</f>
        <v/>
      </c>
      <c r="F1208" s="28" t="str">
        <f>IF(履歴データ!$A$1208="","",(履歴データ!$R$1208-履歴データ!$D$1208)*100)</f>
        <v/>
      </c>
      <c r="G1208" s="28" t="str">
        <f>IF(履歴データ!$A$1208="","",(履歴データ!$S$1208-履歴データ!$R$1208)*100)</f>
        <v/>
      </c>
      <c r="H1208" s="29" t="str">
        <f>IF(履歴データ!$A$1208="","",履歴データ!$O$1208)</f>
        <v/>
      </c>
      <c r="I1208" s="29" t="str">
        <f>IF(履歴データ!$A$1208="","",履歴データ!$Q$1208)</f>
        <v/>
      </c>
      <c r="J1208" s="29" t="str">
        <f>IF(履歴データ!$A$1208="","",履歴データ!$D$1208)</f>
        <v/>
      </c>
      <c r="K1208" s="28" t="str">
        <f>IF(OR(履歴データ!$A$1208="",履歴データ!$A$1207=""),"",B1208-B1207)</f>
        <v/>
      </c>
      <c r="L1208" s="28" t="str">
        <f>IF(OR(履歴データ!$A$1208="",履歴データ!$A$1207=""),"",C1208-C1207)</f>
        <v/>
      </c>
      <c r="M1208" s="28" t="str">
        <f>IF(OR(履歴データ!$A$1208="",履歴データ!$A$1207=""),"",D1208-D1207)</f>
        <v/>
      </c>
      <c r="N1208" s="28" t="str">
        <f>IF(OR(履歴データ!$A$1208="",履歴データ!$A$1207=""),"",E1208-E1207)</f>
        <v/>
      </c>
      <c r="O1208" s="28" t="str">
        <f>IF(OR(履歴データ!$A$1208="",履歴データ!$A$1207=""),"",F1208-F1207)</f>
        <v/>
      </c>
      <c r="P1208" s="28" t="str">
        <f>IF(OR(履歴データ!$A$1208="",履歴データ!$A$1207=""),"",G1208-G1207)</f>
        <v/>
      </c>
      <c r="Q1208" s="29" t="str">
        <f>IF(OR(履歴データ!$A$1208="",履歴データ!$A$1207=""),"",H1208-H1207)</f>
        <v/>
      </c>
      <c r="R1208" s="29" t="str">
        <f>IF(OR(履歴データ!$A$1208="",履歴データ!$A$1207=""),"",I1208-I1207)</f>
        <v/>
      </c>
      <c r="S1208" s="28" t="str">
        <f>IF(OR(履歴データ!$A$1208="",履歴データ!$A$1207=""),"",(J1208-J1207)*100)</f>
        <v/>
      </c>
      <c r="T1208" s="11" t="str">
        <f>IF(OR(履歴データ!$A$1208="",履歴データ!$A$1207=""),"",-80000*K1208)</f>
        <v/>
      </c>
      <c r="U1208" s="11" t="str">
        <f>IF(OR(履歴データ!$A$1208="",履歴データ!$A$1207=""),"",60000*L1208)</f>
        <v/>
      </c>
      <c r="V1208" s="11" t="str">
        <f>IF(OR(履歴データ!$A$1208="",履歴データ!$A$1207=""),"",-50000*M1208)</f>
        <v/>
      </c>
      <c r="W1208" s="11" t="str">
        <f>IF(OR(履歴データ!$A$1208="",履歴データ!$A$1207=""),"",-40000*N1208)</f>
        <v/>
      </c>
      <c r="X1208" s="11" t="str">
        <f>IF(OR(履歴データ!$A$1208="",履歴データ!$A$1207=""),"",120*1000000*(-Q1208/H1207))</f>
        <v/>
      </c>
      <c r="Y1208" s="11" t="str">
        <f>IF(OR(履歴データ!$A$1208="",履歴データ!$A$1207=""),"",40000*(-S1208)+(-506.3)*R1208*1000)</f>
        <v/>
      </c>
      <c r="Z1208" s="11" t="str">
        <f>IF(OR(履歴データ!$A$1208="",履歴データ!$A$1207=""),"",-40000*O1208)</f>
        <v/>
      </c>
      <c r="AA1208" s="11" t="str">
        <f>IF(OR(履歴データ!$A$1208="",履歴データ!$A$1207=""),"",-40000*P1208)</f>
        <v/>
      </c>
      <c r="AB1208" s="11" t="str">
        <f>IF(履歴データ!$A$1208="","",123.3)</f>
        <v/>
      </c>
      <c r="AC1208" t="str">
        <f>IF(履歴データ!$A$1208="","",SUM(T1208:AA1208))</f>
        <v/>
      </c>
      <c r="AD1208" s="29" t="str">
        <f>IF(履歴データ!$A$1208="","",AC1208/1000000)</f>
        <v/>
      </c>
      <c r="AE1208" s="29">
        <f>IF(履歴データ!$A$1208="",AE1207,AE1207+AC1208/1000000)</f>
        <v>70.844544225831427</v>
      </c>
      <c r="AF1208" s="12" t="str">
        <f>IF(OR(履歴データ!$A$1208="",AE1207=0),"",(AE1208-AE1207)/AE1207)</f>
        <v/>
      </c>
      <c r="AG1208" s="29">
        <f t="shared" si="48"/>
        <v>102.17217746631495</v>
      </c>
      <c r="AH1208" s="12" t="str">
        <f>IF(OR(履歴データ!$A$1208="",AG1208=0),"",AE1208/AG1208-1)</f>
        <v/>
      </c>
    </row>
    <row r="1209" spans="1:34">
      <c r="A1209" s="10" t="str">
        <f>IF(履歴データ!$A$1209="","",履歴データ!$A$1209)</f>
        <v/>
      </c>
      <c r="B1209" s="28" t="str">
        <f>IF(履歴データ!$A$1209="","",(履歴データ!$D$1209-(履歴データ!$B$1209+履歴データ!$F$1209)/2)*100)</f>
        <v/>
      </c>
      <c r="C1209" s="28" t="str">
        <f>IF(履歴データ!$A$1209="","",(履歴データ!$H$1209-(履歴データ!$G$1209+履歴データ!$J$1209)/2)*100)</f>
        <v/>
      </c>
      <c r="D1209" s="28" t="str">
        <f>IF(履歴データ!$A$1209="","",(履歴データ!$D$1209-履歴データ!$H$1209)*100)</f>
        <v/>
      </c>
      <c r="E1209" s="28" t="str">
        <f>IF(履歴データ!$A$1209="","",(履歴データ!$D$1209-履歴データ!$C$1209)*100)</f>
        <v/>
      </c>
      <c r="F1209" s="28" t="str">
        <f>IF(履歴データ!$A$1209="","",(履歴データ!$R$1209-履歴データ!$D$1209)*100)</f>
        <v/>
      </c>
      <c r="G1209" s="28" t="str">
        <f>IF(履歴データ!$A$1209="","",(履歴データ!$S$1209-履歴データ!$R$1209)*100)</f>
        <v/>
      </c>
      <c r="H1209" s="29" t="str">
        <f>IF(履歴データ!$A$1209="","",履歴データ!$O$1209)</f>
        <v/>
      </c>
      <c r="I1209" s="29" t="str">
        <f>IF(履歴データ!$A$1209="","",履歴データ!$Q$1209)</f>
        <v/>
      </c>
      <c r="J1209" s="29" t="str">
        <f>IF(履歴データ!$A$1209="","",履歴データ!$D$1209)</f>
        <v/>
      </c>
      <c r="K1209" s="28" t="str">
        <f>IF(OR(履歴データ!$A$1209="",履歴データ!$A$1208=""),"",B1209-B1208)</f>
        <v/>
      </c>
      <c r="L1209" s="28" t="str">
        <f>IF(OR(履歴データ!$A$1209="",履歴データ!$A$1208=""),"",C1209-C1208)</f>
        <v/>
      </c>
      <c r="M1209" s="28" t="str">
        <f>IF(OR(履歴データ!$A$1209="",履歴データ!$A$1208=""),"",D1209-D1208)</f>
        <v/>
      </c>
      <c r="N1209" s="28" t="str">
        <f>IF(OR(履歴データ!$A$1209="",履歴データ!$A$1208=""),"",E1209-E1208)</f>
        <v/>
      </c>
      <c r="O1209" s="28" t="str">
        <f>IF(OR(履歴データ!$A$1209="",履歴データ!$A$1208=""),"",F1209-F1208)</f>
        <v/>
      </c>
      <c r="P1209" s="28" t="str">
        <f>IF(OR(履歴データ!$A$1209="",履歴データ!$A$1208=""),"",G1209-G1208)</f>
        <v/>
      </c>
      <c r="Q1209" s="29" t="str">
        <f>IF(OR(履歴データ!$A$1209="",履歴データ!$A$1208=""),"",H1209-H1208)</f>
        <v/>
      </c>
      <c r="R1209" s="29" t="str">
        <f>IF(OR(履歴データ!$A$1209="",履歴データ!$A$1208=""),"",I1209-I1208)</f>
        <v/>
      </c>
      <c r="S1209" s="28" t="str">
        <f>IF(OR(履歴データ!$A$1209="",履歴データ!$A$1208=""),"",(J1209-J1208)*100)</f>
        <v/>
      </c>
      <c r="T1209" s="11" t="str">
        <f>IF(OR(履歴データ!$A$1209="",履歴データ!$A$1208=""),"",-80000*K1209)</f>
        <v/>
      </c>
      <c r="U1209" s="11" t="str">
        <f>IF(OR(履歴データ!$A$1209="",履歴データ!$A$1208=""),"",60000*L1209)</f>
        <v/>
      </c>
      <c r="V1209" s="11" t="str">
        <f>IF(OR(履歴データ!$A$1209="",履歴データ!$A$1208=""),"",-50000*M1209)</f>
        <v/>
      </c>
      <c r="W1209" s="11" t="str">
        <f>IF(OR(履歴データ!$A$1209="",履歴データ!$A$1208=""),"",-40000*N1209)</f>
        <v/>
      </c>
      <c r="X1209" s="11" t="str">
        <f>IF(OR(履歴データ!$A$1209="",履歴データ!$A$1208=""),"",120*1000000*(-Q1209/H1208))</f>
        <v/>
      </c>
      <c r="Y1209" s="11" t="str">
        <f>IF(OR(履歴データ!$A$1209="",履歴データ!$A$1208=""),"",40000*(-S1209)+(-506.3)*R1209*1000)</f>
        <v/>
      </c>
      <c r="Z1209" s="11" t="str">
        <f>IF(OR(履歴データ!$A$1209="",履歴データ!$A$1208=""),"",-40000*O1209)</f>
        <v/>
      </c>
      <c r="AA1209" s="11" t="str">
        <f>IF(OR(履歴データ!$A$1209="",履歴データ!$A$1208=""),"",-40000*P1209)</f>
        <v/>
      </c>
      <c r="AB1209" s="11" t="str">
        <f>IF(履歴データ!$A$1209="","",123.3)</f>
        <v/>
      </c>
      <c r="AC1209" t="str">
        <f>IF(履歴データ!$A$1209="","",SUM(T1209:AA1209))</f>
        <v/>
      </c>
      <c r="AD1209" s="29" t="str">
        <f>IF(履歴データ!$A$1209="","",AC1209/1000000)</f>
        <v/>
      </c>
      <c r="AE1209" s="29">
        <f>IF(履歴データ!$A$1209="",AE1208,AE1208+AC1209/1000000)</f>
        <v>70.844544225831427</v>
      </c>
      <c r="AF1209" s="12" t="str">
        <f>IF(OR(履歴データ!$A$1209="",AE1208=0),"",(AE1209-AE1208)/AE1208)</f>
        <v/>
      </c>
      <c r="AG1209" s="29">
        <f t="shared" si="48"/>
        <v>102.17217746631495</v>
      </c>
      <c r="AH1209" s="12" t="str">
        <f>IF(OR(履歴データ!$A$1209="",AG1209=0),"",AE1209/AG1209-1)</f>
        <v/>
      </c>
    </row>
    <row r="1210" spans="1:34">
      <c r="A1210" s="10" t="str">
        <f>IF(履歴データ!$A$1210="","",履歴データ!$A$1210)</f>
        <v/>
      </c>
      <c r="B1210" s="28" t="str">
        <f>IF(履歴データ!$A$1210="","",(履歴データ!$D$1210-(履歴データ!$B$1210+履歴データ!$F$1210)/2)*100)</f>
        <v/>
      </c>
      <c r="C1210" s="28" t="str">
        <f>IF(履歴データ!$A$1210="","",(履歴データ!$H$1210-(履歴データ!$G$1210+履歴データ!$J$1210)/2)*100)</f>
        <v/>
      </c>
      <c r="D1210" s="28" t="str">
        <f>IF(履歴データ!$A$1210="","",(履歴データ!$D$1210-履歴データ!$H$1210)*100)</f>
        <v/>
      </c>
      <c r="E1210" s="28" t="str">
        <f>IF(履歴データ!$A$1210="","",(履歴データ!$D$1210-履歴データ!$C$1210)*100)</f>
        <v/>
      </c>
      <c r="F1210" s="28" t="str">
        <f>IF(履歴データ!$A$1210="","",(履歴データ!$R$1210-履歴データ!$D$1210)*100)</f>
        <v/>
      </c>
      <c r="G1210" s="28" t="str">
        <f>IF(履歴データ!$A$1210="","",(履歴データ!$S$1210-履歴データ!$R$1210)*100)</f>
        <v/>
      </c>
      <c r="H1210" s="29" t="str">
        <f>IF(履歴データ!$A$1210="","",履歴データ!$O$1210)</f>
        <v/>
      </c>
      <c r="I1210" s="29" t="str">
        <f>IF(履歴データ!$A$1210="","",履歴データ!$Q$1210)</f>
        <v/>
      </c>
      <c r="J1210" s="29" t="str">
        <f>IF(履歴データ!$A$1210="","",履歴データ!$D$1210)</f>
        <v/>
      </c>
      <c r="K1210" s="28" t="str">
        <f>IF(OR(履歴データ!$A$1210="",履歴データ!$A$1209=""),"",B1210-B1209)</f>
        <v/>
      </c>
      <c r="L1210" s="28" t="str">
        <f>IF(OR(履歴データ!$A$1210="",履歴データ!$A$1209=""),"",C1210-C1209)</f>
        <v/>
      </c>
      <c r="M1210" s="28" t="str">
        <f>IF(OR(履歴データ!$A$1210="",履歴データ!$A$1209=""),"",D1210-D1209)</f>
        <v/>
      </c>
      <c r="N1210" s="28" t="str">
        <f>IF(OR(履歴データ!$A$1210="",履歴データ!$A$1209=""),"",E1210-E1209)</f>
        <v/>
      </c>
      <c r="O1210" s="28" t="str">
        <f>IF(OR(履歴データ!$A$1210="",履歴データ!$A$1209=""),"",F1210-F1209)</f>
        <v/>
      </c>
      <c r="P1210" s="28" t="str">
        <f>IF(OR(履歴データ!$A$1210="",履歴データ!$A$1209=""),"",G1210-G1209)</f>
        <v/>
      </c>
      <c r="Q1210" s="29" t="str">
        <f>IF(OR(履歴データ!$A$1210="",履歴データ!$A$1209=""),"",H1210-H1209)</f>
        <v/>
      </c>
      <c r="R1210" s="29" t="str">
        <f>IF(OR(履歴データ!$A$1210="",履歴データ!$A$1209=""),"",I1210-I1209)</f>
        <v/>
      </c>
      <c r="S1210" s="28" t="str">
        <f>IF(OR(履歴データ!$A$1210="",履歴データ!$A$1209=""),"",(J1210-J1209)*100)</f>
        <v/>
      </c>
      <c r="T1210" s="11" t="str">
        <f>IF(OR(履歴データ!$A$1210="",履歴データ!$A$1209=""),"",-80000*K1210)</f>
        <v/>
      </c>
      <c r="U1210" s="11" t="str">
        <f>IF(OR(履歴データ!$A$1210="",履歴データ!$A$1209=""),"",60000*L1210)</f>
        <v/>
      </c>
      <c r="V1210" s="11" t="str">
        <f>IF(OR(履歴データ!$A$1210="",履歴データ!$A$1209=""),"",-50000*M1210)</f>
        <v/>
      </c>
      <c r="W1210" s="11" t="str">
        <f>IF(OR(履歴データ!$A$1210="",履歴データ!$A$1209=""),"",-40000*N1210)</f>
        <v/>
      </c>
      <c r="X1210" s="11" t="str">
        <f>IF(OR(履歴データ!$A$1210="",履歴データ!$A$1209=""),"",120*1000000*(-Q1210/H1209))</f>
        <v/>
      </c>
      <c r="Y1210" s="11" t="str">
        <f>IF(OR(履歴データ!$A$1210="",履歴データ!$A$1209=""),"",40000*(-S1210)+(-506.3)*R1210*1000)</f>
        <v/>
      </c>
      <c r="Z1210" s="11" t="str">
        <f>IF(OR(履歴データ!$A$1210="",履歴データ!$A$1209=""),"",-40000*O1210)</f>
        <v/>
      </c>
      <c r="AA1210" s="11" t="str">
        <f>IF(OR(履歴データ!$A$1210="",履歴データ!$A$1209=""),"",-40000*P1210)</f>
        <v/>
      </c>
      <c r="AB1210" s="11" t="str">
        <f>IF(履歴データ!$A$1210="","",123.3)</f>
        <v/>
      </c>
      <c r="AC1210" t="str">
        <f>IF(履歴データ!$A$1210="","",SUM(T1210:AA1210))</f>
        <v/>
      </c>
      <c r="AD1210" s="29" t="str">
        <f>IF(履歴データ!$A$1210="","",AC1210/1000000)</f>
        <v/>
      </c>
      <c r="AE1210" s="29">
        <f>IF(履歴データ!$A$1210="",AE1209,AE1209+AC1210/1000000)</f>
        <v>70.844544225831427</v>
      </c>
      <c r="AF1210" s="12" t="str">
        <f>IF(OR(履歴データ!$A$1210="",AE1209=0),"",(AE1210-AE1209)/AE1209)</f>
        <v/>
      </c>
      <c r="AG1210" s="29">
        <f t="shared" si="48"/>
        <v>102.17217746631495</v>
      </c>
      <c r="AH1210" s="12" t="str">
        <f>IF(OR(履歴データ!$A$1210="",AG1210=0),"",AE1210/AG1210-1)</f>
        <v/>
      </c>
    </row>
    <row r="1211" spans="1:34">
      <c r="A1211" s="10" t="str">
        <f>IF(履歴データ!$A$1211="","",履歴データ!$A$1211)</f>
        <v/>
      </c>
      <c r="B1211" s="28" t="str">
        <f>IF(履歴データ!$A$1211="","",(履歴データ!$D$1211-(履歴データ!$B$1211+履歴データ!$F$1211)/2)*100)</f>
        <v/>
      </c>
      <c r="C1211" s="28" t="str">
        <f>IF(履歴データ!$A$1211="","",(履歴データ!$H$1211-(履歴データ!$G$1211+履歴データ!$J$1211)/2)*100)</f>
        <v/>
      </c>
      <c r="D1211" s="28" t="str">
        <f>IF(履歴データ!$A$1211="","",(履歴データ!$D$1211-履歴データ!$H$1211)*100)</f>
        <v/>
      </c>
      <c r="E1211" s="28" t="str">
        <f>IF(履歴データ!$A$1211="","",(履歴データ!$D$1211-履歴データ!$C$1211)*100)</f>
        <v/>
      </c>
      <c r="F1211" s="28" t="str">
        <f>IF(履歴データ!$A$1211="","",(履歴データ!$R$1211-履歴データ!$D$1211)*100)</f>
        <v/>
      </c>
      <c r="G1211" s="28" t="str">
        <f>IF(履歴データ!$A$1211="","",(履歴データ!$S$1211-履歴データ!$R$1211)*100)</f>
        <v/>
      </c>
      <c r="H1211" s="29" t="str">
        <f>IF(履歴データ!$A$1211="","",履歴データ!$O$1211)</f>
        <v/>
      </c>
      <c r="I1211" s="29" t="str">
        <f>IF(履歴データ!$A$1211="","",履歴データ!$Q$1211)</f>
        <v/>
      </c>
      <c r="J1211" s="29" t="str">
        <f>IF(履歴データ!$A$1211="","",履歴データ!$D$1211)</f>
        <v/>
      </c>
      <c r="K1211" s="28" t="str">
        <f>IF(OR(履歴データ!$A$1211="",履歴データ!$A$1210=""),"",B1211-B1210)</f>
        <v/>
      </c>
      <c r="L1211" s="28" t="str">
        <f>IF(OR(履歴データ!$A$1211="",履歴データ!$A$1210=""),"",C1211-C1210)</f>
        <v/>
      </c>
      <c r="M1211" s="28" t="str">
        <f>IF(OR(履歴データ!$A$1211="",履歴データ!$A$1210=""),"",D1211-D1210)</f>
        <v/>
      </c>
      <c r="N1211" s="28" t="str">
        <f>IF(OR(履歴データ!$A$1211="",履歴データ!$A$1210=""),"",E1211-E1210)</f>
        <v/>
      </c>
      <c r="O1211" s="28" t="str">
        <f>IF(OR(履歴データ!$A$1211="",履歴データ!$A$1210=""),"",F1211-F1210)</f>
        <v/>
      </c>
      <c r="P1211" s="28" t="str">
        <f>IF(OR(履歴データ!$A$1211="",履歴データ!$A$1210=""),"",G1211-G1210)</f>
        <v/>
      </c>
      <c r="Q1211" s="29" t="str">
        <f>IF(OR(履歴データ!$A$1211="",履歴データ!$A$1210=""),"",H1211-H1210)</f>
        <v/>
      </c>
      <c r="R1211" s="29" t="str">
        <f>IF(OR(履歴データ!$A$1211="",履歴データ!$A$1210=""),"",I1211-I1210)</f>
        <v/>
      </c>
      <c r="S1211" s="28" t="str">
        <f>IF(OR(履歴データ!$A$1211="",履歴データ!$A$1210=""),"",(J1211-J1210)*100)</f>
        <v/>
      </c>
      <c r="T1211" s="11" t="str">
        <f>IF(OR(履歴データ!$A$1211="",履歴データ!$A$1210=""),"",-80000*K1211)</f>
        <v/>
      </c>
      <c r="U1211" s="11" t="str">
        <f>IF(OR(履歴データ!$A$1211="",履歴データ!$A$1210=""),"",60000*L1211)</f>
        <v/>
      </c>
      <c r="V1211" s="11" t="str">
        <f>IF(OR(履歴データ!$A$1211="",履歴データ!$A$1210=""),"",-50000*M1211)</f>
        <v/>
      </c>
      <c r="W1211" s="11" t="str">
        <f>IF(OR(履歴データ!$A$1211="",履歴データ!$A$1210=""),"",-40000*N1211)</f>
        <v/>
      </c>
      <c r="X1211" s="11" t="str">
        <f>IF(OR(履歴データ!$A$1211="",履歴データ!$A$1210=""),"",120*1000000*(-Q1211/H1210))</f>
        <v/>
      </c>
      <c r="Y1211" s="11" t="str">
        <f>IF(OR(履歴データ!$A$1211="",履歴データ!$A$1210=""),"",40000*(-S1211)+(-506.3)*R1211*1000)</f>
        <v/>
      </c>
      <c r="Z1211" s="11" t="str">
        <f>IF(OR(履歴データ!$A$1211="",履歴データ!$A$1210=""),"",-40000*O1211)</f>
        <v/>
      </c>
      <c r="AA1211" s="11" t="str">
        <f>IF(OR(履歴データ!$A$1211="",履歴データ!$A$1210=""),"",-40000*P1211)</f>
        <v/>
      </c>
      <c r="AB1211" s="11" t="str">
        <f>IF(履歴データ!$A$1211="","",123.3)</f>
        <v/>
      </c>
      <c r="AC1211" t="str">
        <f>IF(履歴データ!$A$1211="","",SUM(T1211:AA1211))</f>
        <v/>
      </c>
      <c r="AD1211" s="29" t="str">
        <f>IF(履歴データ!$A$1211="","",AC1211/1000000)</f>
        <v/>
      </c>
      <c r="AE1211" s="29">
        <f>IF(履歴データ!$A$1211="",AE1210,AE1210+AC1211/1000000)</f>
        <v>70.844544225831427</v>
      </c>
      <c r="AF1211" s="12" t="str">
        <f>IF(OR(履歴データ!$A$1211="",AE1210=0),"",(AE1211-AE1210)/AE1210)</f>
        <v/>
      </c>
      <c r="AG1211" s="29">
        <f t="shared" si="48"/>
        <v>102.17217746631495</v>
      </c>
      <c r="AH1211" s="12" t="str">
        <f>IF(OR(履歴データ!$A$1211="",AG1211=0),"",AE1211/AG1211-1)</f>
        <v/>
      </c>
    </row>
    <row r="1212" spans="1:34">
      <c r="A1212" s="10" t="str">
        <f>IF(履歴データ!$A$1212="","",履歴データ!$A$1212)</f>
        <v/>
      </c>
      <c r="B1212" s="28" t="str">
        <f>IF(履歴データ!$A$1212="","",(履歴データ!$D$1212-(履歴データ!$B$1212+履歴データ!$F$1212)/2)*100)</f>
        <v/>
      </c>
      <c r="C1212" s="28" t="str">
        <f>IF(履歴データ!$A$1212="","",(履歴データ!$H$1212-(履歴データ!$G$1212+履歴データ!$J$1212)/2)*100)</f>
        <v/>
      </c>
      <c r="D1212" s="28" t="str">
        <f>IF(履歴データ!$A$1212="","",(履歴データ!$D$1212-履歴データ!$H$1212)*100)</f>
        <v/>
      </c>
      <c r="E1212" s="28" t="str">
        <f>IF(履歴データ!$A$1212="","",(履歴データ!$D$1212-履歴データ!$C$1212)*100)</f>
        <v/>
      </c>
      <c r="F1212" s="28" t="str">
        <f>IF(履歴データ!$A$1212="","",(履歴データ!$R$1212-履歴データ!$D$1212)*100)</f>
        <v/>
      </c>
      <c r="G1212" s="28" t="str">
        <f>IF(履歴データ!$A$1212="","",(履歴データ!$S$1212-履歴データ!$R$1212)*100)</f>
        <v/>
      </c>
      <c r="H1212" s="29" t="str">
        <f>IF(履歴データ!$A$1212="","",履歴データ!$O$1212)</f>
        <v/>
      </c>
      <c r="I1212" s="29" t="str">
        <f>IF(履歴データ!$A$1212="","",履歴データ!$Q$1212)</f>
        <v/>
      </c>
      <c r="J1212" s="29" t="str">
        <f>IF(履歴データ!$A$1212="","",履歴データ!$D$1212)</f>
        <v/>
      </c>
      <c r="K1212" s="28" t="str">
        <f>IF(OR(履歴データ!$A$1212="",履歴データ!$A$1211=""),"",B1212-B1211)</f>
        <v/>
      </c>
      <c r="L1212" s="28" t="str">
        <f>IF(OR(履歴データ!$A$1212="",履歴データ!$A$1211=""),"",C1212-C1211)</f>
        <v/>
      </c>
      <c r="M1212" s="28" t="str">
        <f>IF(OR(履歴データ!$A$1212="",履歴データ!$A$1211=""),"",D1212-D1211)</f>
        <v/>
      </c>
      <c r="N1212" s="28" t="str">
        <f>IF(OR(履歴データ!$A$1212="",履歴データ!$A$1211=""),"",E1212-E1211)</f>
        <v/>
      </c>
      <c r="O1212" s="28" t="str">
        <f>IF(OR(履歴データ!$A$1212="",履歴データ!$A$1211=""),"",F1212-F1211)</f>
        <v/>
      </c>
      <c r="P1212" s="28" t="str">
        <f>IF(OR(履歴データ!$A$1212="",履歴データ!$A$1211=""),"",G1212-G1211)</f>
        <v/>
      </c>
      <c r="Q1212" s="29" t="str">
        <f>IF(OR(履歴データ!$A$1212="",履歴データ!$A$1211=""),"",H1212-H1211)</f>
        <v/>
      </c>
      <c r="R1212" s="29" t="str">
        <f>IF(OR(履歴データ!$A$1212="",履歴データ!$A$1211=""),"",I1212-I1211)</f>
        <v/>
      </c>
      <c r="S1212" s="28" t="str">
        <f>IF(OR(履歴データ!$A$1212="",履歴データ!$A$1211=""),"",(J1212-J1211)*100)</f>
        <v/>
      </c>
      <c r="T1212" s="11" t="str">
        <f>IF(OR(履歴データ!$A$1212="",履歴データ!$A$1211=""),"",-80000*K1212)</f>
        <v/>
      </c>
      <c r="U1212" s="11" t="str">
        <f>IF(OR(履歴データ!$A$1212="",履歴データ!$A$1211=""),"",60000*L1212)</f>
        <v/>
      </c>
      <c r="V1212" s="11" t="str">
        <f>IF(OR(履歴データ!$A$1212="",履歴データ!$A$1211=""),"",-50000*M1212)</f>
        <v/>
      </c>
      <c r="W1212" s="11" t="str">
        <f>IF(OR(履歴データ!$A$1212="",履歴データ!$A$1211=""),"",-40000*N1212)</f>
        <v/>
      </c>
      <c r="X1212" s="11" t="str">
        <f>IF(OR(履歴データ!$A$1212="",履歴データ!$A$1211=""),"",120*1000000*(-Q1212/H1211))</f>
        <v/>
      </c>
      <c r="Y1212" s="11" t="str">
        <f>IF(OR(履歴データ!$A$1212="",履歴データ!$A$1211=""),"",40000*(-S1212)+(-506.3)*R1212*1000)</f>
        <v/>
      </c>
      <c r="Z1212" s="11" t="str">
        <f>IF(OR(履歴データ!$A$1212="",履歴データ!$A$1211=""),"",-40000*O1212)</f>
        <v/>
      </c>
      <c r="AA1212" s="11" t="str">
        <f>IF(OR(履歴データ!$A$1212="",履歴データ!$A$1211=""),"",-40000*P1212)</f>
        <v/>
      </c>
      <c r="AB1212" s="11" t="str">
        <f>IF(履歴データ!$A$1212="","",123.3)</f>
        <v/>
      </c>
      <c r="AC1212" t="str">
        <f>IF(履歴データ!$A$1212="","",SUM(T1212:AA1212))</f>
        <v/>
      </c>
      <c r="AD1212" s="29" t="str">
        <f>IF(履歴データ!$A$1212="","",AC1212/1000000)</f>
        <v/>
      </c>
      <c r="AE1212" s="29">
        <f>IF(履歴データ!$A$1212="",AE1211,AE1211+AC1212/1000000)</f>
        <v>70.844544225831427</v>
      </c>
      <c r="AF1212" s="12" t="str">
        <f>IF(OR(履歴データ!$A$1212="",AE1211=0),"",(AE1212-AE1211)/AE1211)</f>
        <v/>
      </c>
      <c r="AG1212" s="29">
        <f t="shared" si="48"/>
        <v>102.17217746631495</v>
      </c>
      <c r="AH1212" s="12" t="str">
        <f>IF(OR(履歴データ!$A$1212="",AG1212=0),"",AE1212/AG1212-1)</f>
        <v/>
      </c>
    </row>
    <row r="1213" spans="1:34">
      <c r="A1213" s="10" t="str">
        <f>IF(履歴データ!$A$1213="","",履歴データ!$A$1213)</f>
        <v/>
      </c>
      <c r="B1213" s="28" t="str">
        <f>IF(履歴データ!$A$1213="","",(履歴データ!$D$1213-(履歴データ!$B$1213+履歴データ!$F$1213)/2)*100)</f>
        <v/>
      </c>
      <c r="C1213" s="28" t="str">
        <f>IF(履歴データ!$A$1213="","",(履歴データ!$H$1213-(履歴データ!$G$1213+履歴データ!$J$1213)/2)*100)</f>
        <v/>
      </c>
      <c r="D1213" s="28" t="str">
        <f>IF(履歴データ!$A$1213="","",(履歴データ!$D$1213-履歴データ!$H$1213)*100)</f>
        <v/>
      </c>
      <c r="E1213" s="28" t="str">
        <f>IF(履歴データ!$A$1213="","",(履歴データ!$D$1213-履歴データ!$C$1213)*100)</f>
        <v/>
      </c>
      <c r="F1213" s="28" t="str">
        <f>IF(履歴データ!$A$1213="","",(履歴データ!$R$1213-履歴データ!$D$1213)*100)</f>
        <v/>
      </c>
      <c r="G1213" s="28" t="str">
        <f>IF(履歴データ!$A$1213="","",(履歴データ!$S$1213-履歴データ!$R$1213)*100)</f>
        <v/>
      </c>
      <c r="H1213" s="29" t="str">
        <f>IF(履歴データ!$A$1213="","",履歴データ!$O$1213)</f>
        <v/>
      </c>
      <c r="I1213" s="29" t="str">
        <f>IF(履歴データ!$A$1213="","",履歴データ!$Q$1213)</f>
        <v/>
      </c>
      <c r="J1213" s="29" t="str">
        <f>IF(履歴データ!$A$1213="","",履歴データ!$D$1213)</f>
        <v/>
      </c>
      <c r="K1213" s="28" t="str">
        <f>IF(OR(履歴データ!$A$1213="",履歴データ!$A$1212=""),"",B1213-B1212)</f>
        <v/>
      </c>
      <c r="L1213" s="28" t="str">
        <f>IF(OR(履歴データ!$A$1213="",履歴データ!$A$1212=""),"",C1213-C1212)</f>
        <v/>
      </c>
      <c r="M1213" s="28" t="str">
        <f>IF(OR(履歴データ!$A$1213="",履歴データ!$A$1212=""),"",D1213-D1212)</f>
        <v/>
      </c>
      <c r="N1213" s="28" t="str">
        <f>IF(OR(履歴データ!$A$1213="",履歴データ!$A$1212=""),"",E1213-E1212)</f>
        <v/>
      </c>
      <c r="O1213" s="28" t="str">
        <f>IF(OR(履歴データ!$A$1213="",履歴データ!$A$1212=""),"",F1213-F1212)</f>
        <v/>
      </c>
      <c r="P1213" s="28" t="str">
        <f>IF(OR(履歴データ!$A$1213="",履歴データ!$A$1212=""),"",G1213-G1212)</f>
        <v/>
      </c>
      <c r="Q1213" s="29" t="str">
        <f>IF(OR(履歴データ!$A$1213="",履歴データ!$A$1212=""),"",H1213-H1212)</f>
        <v/>
      </c>
      <c r="R1213" s="29" t="str">
        <f>IF(OR(履歴データ!$A$1213="",履歴データ!$A$1212=""),"",I1213-I1212)</f>
        <v/>
      </c>
      <c r="S1213" s="28" t="str">
        <f>IF(OR(履歴データ!$A$1213="",履歴データ!$A$1212=""),"",(J1213-J1212)*100)</f>
        <v/>
      </c>
      <c r="T1213" s="11" t="str">
        <f>IF(OR(履歴データ!$A$1213="",履歴データ!$A$1212=""),"",-80000*K1213)</f>
        <v/>
      </c>
      <c r="U1213" s="11" t="str">
        <f>IF(OR(履歴データ!$A$1213="",履歴データ!$A$1212=""),"",60000*L1213)</f>
        <v/>
      </c>
      <c r="V1213" s="11" t="str">
        <f>IF(OR(履歴データ!$A$1213="",履歴データ!$A$1212=""),"",-50000*M1213)</f>
        <v/>
      </c>
      <c r="W1213" s="11" t="str">
        <f>IF(OR(履歴データ!$A$1213="",履歴データ!$A$1212=""),"",-40000*N1213)</f>
        <v/>
      </c>
      <c r="X1213" s="11" t="str">
        <f>IF(OR(履歴データ!$A$1213="",履歴データ!$A$1212=""),"",120*1000000*(-Q1213/H1212))</f>
        <v/>
      </c>
      <c r="Y1213" s="11" t="str">
        <f>IF(OR(履歴データ!$A$1213="",履歴データ!$A$1212=""),"",40000*(-S1213)+(-506.3)*R1213*1000)</f>
        <v/>
      </c>
      <c r="Z1213" s="11" t="str">
        <f>IF(OR(履歴データ!$A$1213="",履歴データ!$A$1212=""),"",-40000*O1213)</f>
        <v/>
      </c>
      <c r="AA1213" s="11" t="str">
        <f>IF(OR(履歴データ!$A$1213="",履歴データ!$A$1212=""),"",-40000*P1213)</f>
        <v/>
      </c>
      <c r="AB1213" s="11" t="str">
        <f>IF(履歴データ!$A$1213="","",123.3)</f>
        <v/>
      </c>
      <c r="AC1213" t="str">
        <f>IF(履歴データ!$A$1213="","",SUM(T1213:AA1213))</f>
        <v/>
      </c>
      <c r="AD1213" s="29" t="str">
        <f>IF(履歴データ!$A$1213="","",AC1213/1000000)</f>
        <v/>
      </c>
      <c r="AE1213" s="29">
        <f>IF(履歴データ!$A$1213="",AE1212,AE1212+AC1213/1000000)</f>
        <v>70.844544225831427</v>
      </c>
      <c r="AF1213" s="12" t="str">
        <f>IF(OR(履歴データ!$A$1213="",AE1212=0),"",(AE1213-AE1212)/AE1212)</f>
        <v/>
      </c>
      <c r="AG1213" s="29">
        <f t="shared" si="48"/>
        <v>102.17217746631495</v>
      </c>
      <c r="AH1213" s="12" t="str">
        <f>IF(OR(履歴データ!$A$1213="",AG1213=0),"",AE1213/AG1213-1)</f>
        <v/>
      </c>
    </row>
    <row r="1214" spans="1:34">
      <c r="A1214" s="10" t="str">
        <f>IF(履歴データ!$A$1214="","",履歴データ!$A$1214)</f>
        <v/>
      </c>
      <c r="B1214" s="28" t="str">
        <f>IF(履歴データ!$A$1214="","",(履歴データ!$D$1214-(履歴データ!$B$1214+履歴データ!$F$1214)/2)*100)</f>
        <v/>
      </c>
      <c r="C1214" s="28" t="str">
        <f>IF(履歴データ!$A$1214="","",(履歴データ!$H$1214-(履歴データ!$G$1214+履歴データ!$J$1214)/2)*100)</f>
        <v/>
      </c>
      <c r="D1214" s="28" t="str">
        <f>IF(履歴データ!$A$1214="","",(履歴データ!$D$1214-履歴データ!$H$1214)*100)</f>
        <v/>
      </c>
      <c r="E1214" s="28" t="str">
        <f>IF(履歴データ!$A$1214="","",(履歴データ!$D$1214-履歴データ!$C$1214)*100)</f>
        <v/>
      </c>
      <c r="F1214" s="28" t="str">
        <f>IF(履歴データ!$A$1214="","",(履歴データ!$R$1214-履歴データ!$D$1214)*100)</f>
        <v/>
      </c>
      <c r="G1214" s="28" t="str">
        <f>IF(履歴データ!$A$1214="","",(履歴データ!$S$1214-履歴データ!$R$1214)*100)</f>
        <v/>
      </c>
      <c r="H1214" s="29" t="str">
        <f>IF(履歴データ!$A$1214="","",履歴データ!$O$1214)</f>
        <v/>
      </c>
      <c r="I1214" s="29" t="str">
        <f>IF(履歴データ!$A$1214="","",履歴データ!$Q$1214)</f>
        <v/>
      </c>
      <c r="J1214" s="29" t="str">
        <f>IF(履歴データ!$A$1214="","",履歴データ!$D$1214)</f>
        <v/>
      </c>
      <c r="K1214" s="28" t="str">
        <f>IF(OR(履歴データ!$A$1214="",履歴データ!$A$1213=""),"",B1214-B1213)</f>
        <v/>
      </c>
      <c r="L1214" s="28" t="str">
        <f>IF(OR(履歴データ!$A$1214="",履歴データ!$A$1213=""),"",C1214-C1213)</f>
        <v/>
      </c>
      <c r="M1214" s="28" t="str">
        <f>IF(OR(履歴データ!$A$1214="",履歴データ!$A$1213=""),"",D1214-D1213)</f>
        <v/>
      </c>
      <c r="N1214" s="28" t="str">
        <f>IF(OR(履歴データ!$A$1214="",履歴データ!$A$1213=""),"",E1214-E1213)</f>
        <v/>
      </c>
      <c r="O1214" s="28" t="str">
        <f>IF(OR(履歴データ!$A$1214="",履歴データ!$A$1213=""),"",F1214-F1213)</f>
        <v/>
      </c>
      <c r="P1214" s="28" t="str">
        <f>IF(OR(履歴データ!$A$1214="",履歴データ!$A$1213=""),"",G1214-G1213)</f>
        <v/>
      </c>
      <c r="Q1214" s="29" t="str">
        <f>IF(OR(履歴データ!$A$1214="",履歴データ!$A$1213=""),"",H1214-H1213)</f>
        <v/>
      </c>
      <c r="R1214" s="29" t="str">
        <f>IF(OR(履歴データ!$A$1214="",履歴データ!$A$1213=""),"",I1214-I1213)</f>
        <v/>
      </c>
      <c r="S1214" s="28" t="str">
        <f>IF(OR(履歴データ!$A$1214="",履歴データ!$A$1213=""),"",(J1214-J1213)*100)</f>
        <v/>
      </c>
      <c r="T1214" s="11" t="str">
        <f>IF(OR(履歴データ!$A$1214="",履歴データ!$A$1213=""),"",-80000*K1214)</f>
        <v/>
      </c>
      <c r="U1214" s="11" t="str">
        <f>IF(OR(履歴データ!$A$1214="",履歴データ!$A$1213=""),"",60000*L1214)</f>
        <v/>
      </c>
      <c r="V1214" s="11" t="str">
        <f>IF(OR(履歴データ!$A$1214="",履歴データ!$A$1213=""),"",-50000*M1214)</f>
        <v/>
      </c>
      <c r="W1214" s="11" t="str">
        <f>IF(OR(履歴データ!$A$1214="",履歴データ!$A$1213=""),"",-40000*N1214)</f>
        <v/>
      </c>
      <c r="X1214" s="11" t="str">
        <f>IF(OR(履歴データ!$A$1214="",履歴データ!$A$1213=""),"",120*1000000*(-Q1214/H1213))</f>
        <v/>
      </c>
      <c r="Y1214" s="11" t="str">
        <f>IF(OR(履歴データ!$A$1214="",履歴データ!$A$1213=""),"",40000*(-S1214)+(-506.3)*R1214*1000)</f>
        <v/>
      </c>
      <c r="Z1214" s="11" t="str">
        <f>IF(OR(履歴データ!$A$1214="",履歴データ!$A$1213=""),"",-40000*O1214)</f>
        <v/>
      </c>
      <c r="AA1214" s="11" t="str">
        <f>IF(OR(履歴データ!$A$1214="",履歴データ!$A$1213=""),"",-40000*P1214)</f>
        <v/>
      </c>
      <c r="AB1214" s="11" t="str">
        <f>IF(履歴データ!$A$1214="","",123.3)</f>
        <v/>
      </c>
      <c r="AC1214" t="str">
        <f>IF(履歴データ!$A$1214="","",SUM(T1214:AA1214))</f>
        <v/>
      </c>
      <c r="AD1214" s="29" t="str">
        <f>IF(履歴データ!$A$1214="","",AC1214/1000000)</f>
        <v/>
      </c>
      <c r="AE1214" s="29">
        <f>IF(履歴データ!$A$1214="",AE1213,AE1213+AC1214/1000000)</f>
        <v>70.844544225831427</v>
      </c>
      <c r="AF1214" s="12" t="str">
        <f>IF(OR(履歴データ!$A$1214="",AE1213=0),"",(AE1214-AE1213)/AE1213)</f>
        <v/>
      </c>
      <c r="AG1214" s="29">
        <f t="shared" si="48"/>
        <v>102.17217746631495</v>
      </c>
      <c r="AH1214" s="12" t="str">
        <f>IF(OR(履歴データ!$A$1214="",AG1214=0),"",AE1214/AG1214-1)</f>
        <v/>
      </c>
    </row>
    <row r="1215" spans="1:34">
      <c r="A1215" s="10" t="str">
        <f>IF(履歴データ!$A$1215="","",履歴データ!$A$1215)</f>
        <v/>
      </c>
      <c r="B1215" s="28" t="str">
        <f>IF(履歴データ!$A$1215="","",(履歴データ!$D$1215-(履歴データ!$B$1215+履歴データ!$F$1215)/2)*100)</f>
        <v/>
      </c>
      <c r="C1215" s="28" t="str">
        <f>IF(履歴データ!$A$1215="","",(履歴データ!$H$1215-(履歴データ!$G$1215+履歴データ!$J$1215)/2)*100)</f>
        <v/>
      </c>
      <c r="D1215" s="28" t="str">
        <f>IF(履歴データ!$A$1215="","",(履歴データ!$D$1215-履歴データ!$H$1215)*100)</f>
        <v/>
      </c>
      <c r="E1215" s="28" t="str">
        <f>IF(履歴データ!$A$1215="","",(履歴データ!$D$1215-履歴データ!$C$1215)*100)</f>
        <v/>
      </c>
      <c r="F1215" s="28" t="str">
        <f>IF(履歴データ!$A$1215="","",(履歴データ!$R$1215-履歴データ!$D$1215)*100)</f>
        <v/>
      </c>
      <c r="G1215" s="28" t="str">
        <f>IF(履歴データ!$A$1215="","",(履歴データ!$S$1215-履歴データ!$R$1215)*100)</f>
        <v/>
      </c>
      <c r="H1215" s="29" t="str">
        <f>IF(履歴データ!$A$1215="","",履歴データ!$O$1215)</f>
        <v/>
      </c>
      <c r="I1215" s="29" t="str">
        <f>IF(履歴データ!$A$1215="","",履歴データ!$Q$1215)</f>
        <v/>
      </c>
      <c r="J1215" s="29" t="str">
        <f>IF(履歴データ!$A$1215="","",履歴データ!$D$1215)</f>
        <v/>
      </c>
      <c r="K1215" s="28" t="str">
        <f>IF(OR(履歴データ!$A$1215="",履歴データ!$A$1214=""),"",B1215-B1214)</f>
        <v/>
      </c>
      <c r="L1215" s="28" t="str">
        <f>IF(OR(履歴データ!$A$1215="",履歴データ!$A$1214=""),"",C1215-C1214)</f>
        <v/>
      </c>
      <c r="M1215" s="28" t="str">
        <f>IF(OR(履歴データ!$A$1215="",履歴データ!$A$1214=""),"",D1215-D1214)</f>
        <v/>
      </c>
      <c r="N1215" s="28" t="str">
        <f>IF(OR(履歴データ!$A$1215="",履歴データ!$A$1214=""),"",E1215-E1214)</f>
        <v/>
      </c>
      <c r="O1215" s="28" t="str">
        <f>IF(OR(履歴データ!$A$1215="",履歴データ!$A$1214=""),"",F1215-F1214)</f>
        <v/>
      </c>
      <c r="P1215" s="28" t="str">
        <f>IF(OR(履歴データ!$A$1215="",履歴データ!$A$1214=""),"",G1215-G1214)</f>
        <v/>
      </c>
      <c r="Q1215" s="29" t="str">
        <f>IF(OR(履歴データ!$A$1215="",履歴データ!$A$1214=""),"",H1215-H1214)</f>
        <v/>
      </c>
      <c r="R1215" s="29" t="str">
        <f>IF(OR(履歴データ!$A$1215="",履歴データ!$A$1214=""),"",I1215-I1214)</f>
        <v/>
      </c>
      <c r="S1215" s="28" t="str">
        <f>IF(OR(履歴データ!$A$1215="",履歴データ!$A$1214=""),"",(J1215-J1214)*100)</f>
        <v/>
      </c>
      <c r="T1215" s="11" t="str">
        <f>IF(OR(履歴データ!$A$1215="",履歴データ!$A$1214=""),"",-80000*K1215)</f>
        <v/>
      </c>
      <c r="U1215" s="11" t="str">
        <f>IF(OR(履歴データ!$A$1215="",履歴データ!$A$1214=""),"",60000*L1215)</f>
        <v/>
      </c>
      <c r="V1215" s="11" t="str">
        <f>IF(OR(履歴データ!$A$1215="",履歴データ!$A$1214=""),"",-50000*M1215)</f>
        <v/>
      </c>
      <c r="W1215" s="11" t="str">
        <f>IF(OR(履歴データ!$A$1215="",履歴データ!$A$1214=""),"",-40000*N1215)</f>
        <v/>
      </c>
      <c r="X1215" s="11" t="str">
        <f>IF(OR(履歴データ!$A$1215="",履歴データ!$A$1214=""),"",120*1000000*(-Q1215/H1214))</f>
        <v/>
      </c>
      <c r="Y1215" s="11" t="str">
        <f>IF(OR(履歴データ!$A$1215="",履歴データ!$A$1214=""),"",40000*(-S1215)+(-506.3)*R1215*1000)</f>
        <v/>
      </c>
      <c r="Z1215" s="11" t="str">
        <f>IF(OR(履歴データ!$A$1215="",履歴データ!$A$1214=""),"",-40000*O1215)</f>
        <v/>
      </c>
      <c r="AA1215" s="11" t="str">
        <f>IF(OR(履歴データ!$A$1215="",履歴データ!$A$1214=""),"",-40000*P1215)</f>
        <v/>
      </c>
      <c r="AB1215" s="11" t="str">
        <f>IF(履歴データ!$A$1215="","",123.3)</f>
        <v/>
      </c>
      <c r="AC1215" t="str">
        <f>IF(履歴データ!$A$1215="","",SUM(T1215:AA1215))</f>
        <v/>
      </c>
      <c r="AD1215" s="29" t="str">
        <f>IF(履歴データ!$A$1215="","",AC1215/1000000)</f>
        <v/>
      </c>
      <c r="AE1215" s="29">
        <f>IF(履歴データ!$A$1215="",AE1214,AE1214+AC1215/1000000)</f>
        <v>70.844544225831427</v>
      </c>
      <c r="AF1215" s="12" t="str">
        <f>IF(OR(履歴データ!$A$1215="",AE1214=0),"",(AE1215-AE1214)/AE1214)</f>
        <v/>
      </c>
      <c r="AG1215" s="29">
        <f t="shared" si="48"/>
        <v>102.17217746631495</v>
      </c>
      <c r="AH1215" s="12" t="str">
        <f>IF(OR(履歴データ!$A$1215="",AG1215=0),"",AE1215/AG1215-1)</f>
        <v/>
      </c>
    </row>
    <row r="1216" spans="1:34">
      <c r="A1216" s="10" t="str">
        <f>IF(履歴データ!$A$1216="","",履歴データ!$A$1216)</f>
        <v/>
      </c>
      <c r="B1216" s="28" t="str">
        <f>IF(履歴データ!$A$1216="","",(履歴データ!$D$1216-(履歴データ!$B$1216+履歴データ!$F$1216)/2)*100)</f>
        <v/>
      </c>
      <c r="C1216" s="28" t="str">
        <f>IF(履歴データ!$A$1216="","",(履歴データ!$H$1216-(履歴データ!$G$1216+履歴データ!$J$1216)/2)*100)</f>
        <v/>
      </c>
      <c r="D1216" s="28" t="str">
        <f>IF(履歴データ!$A$1216="","",(履歴データ!$D$1216-履歴データ!$H$1216)*100)</f>
        <v/>
      </c>
      <c r="E1216" s="28" t="str">
        <f>IF(履歴データ!$A$1216="","",(履歴データ!$D$1216-履歴データ!$C$1216)*100)</f>
        <v/>
      </c>
      <c r="F1216" s="28" t="str">
        <f>IF(履歴データ!$A$1216="","",(履歴データ!$R$1216-履歴データ!$D$1216)*100)</f>
        <v/>
      </c>
      <c r="G1216" s="28" t="str">
        <f>IF(履歴データ!$A$1216="","",(履歴データ!$S$1216-履歴データ!$R$1216)*100)</f>
        <v/>
      </c>
      <c r="H1216" s="29" t="str">
        <f>IF(履歴データ!$A$1216="","",履歴データ!$O$1216)</f>
        <v/>
      </c>
      <c r="I1216" s="29" t="str">
        <f>IF(履歴データ!$A$1216="","",履歴データ!$Q$1216)</f>
        <v/>
      </c>
      <c r="J1216" s="29" t="str">
        <f>IF(履歴データ!$A$1216="","",履歴データ!$D$1216)</f>
        <v/>
      </c>
      <c r="K1216" s="28" t="str">
        <f>IF(OR(履歴データ!$A$1216="",履歴データ!$A$1215=""),"",B1216-B1215)</f>
        <v/>
      </c>
      <c r="L1216" s="28" t="str">
        <f>IF(OR(履歴データ!$A$1216="",履歴データ!$A$1215=""),"",C1216-C1215)</f>
        <v/>
      </c>
      <c r="M1216" s="28" t="str">
        <f>IF(OR(履歴データ!$A$1216="",履歴データ!$A$1215=""),"",D1216-D1215)</f>
        <v/>
      </c>
      <c r="N1216" s="28" t="str">
        <f>IF(OR(履歴データ!$A$1216="",履歴データ!$A$1215=""),"",E1216-E1215)</f>
        <v/>
      </c>
      <c r="O1216" s="28" t="str">
        <f>IF(OR(履歴データ!$A$1216="",履歴データ!$A$1215=""),"",F1216-F1215)</f>
        <v/>
      </c>
      <c r="P1216" s="28" t="str">
        <f>IF(OR(履歴データ!$A$1216="",履歴データ!$A$1215=""),"",G1216-G1215)</f>
        <v/>
      </c>
      <c r="Q1216" s="29" t="str">
        <f>IF(OR(履歴データ!$A$1216="",履歴データ!$A$1215=""),"",H1216-H1215)</f>
        <v/>
      </c>
      <c r="R1216" s="29" t="str">
        <f>IF(OR(履歴データ!$A$1216="",履歴データ!$A$1215=""),"",I1216-I1215)</f>
        <v/>
      </c>
      <c r="S1216" s="28" t="str">
        <f>IF(OR(履歴データ!$A$1216="",履歴データ!$A$1215=""),"",(J1216-J1215)*100)</f>
        <v/>
      </c>
      <c r="T1216" s="11" t="str">
        <f>IF(OR(履歴データ!$A$1216="",履歴データ!$A$1215=""),"",-80000*K1216)</f>
        <v/>
      </c>
      <c r="U1216" s="11" t="str">
        <f>IF(OR(履歴データ!$A$1216="",履歴データ!$A$1215=""),"",60000*L1216)</f>
        <v/>
      </c>
      <c r="V1216" s="11" t="str">
        <f>IF(OR(履歴データ!$A$1216="",履歴データ!$A$1215=""),"",-50000*M1216)</f>
        <v/>
      </c>
      <c r="W1216" s="11" t="str">
        <f>IF(OR(履歴データ!$A$1216="",履歴データ!$A$1215=""),"",-40000*N1216)</f>
        <v/>
      </c>
      <c r="X1216" s="11" t="str">
        <f>IF(OR(履歴データ!$A$1216="",履歴データ!$A$1215=""),"",120*1000000*(-Q1216/H1215))</f>
        <v/>
      </c>
      <c r="Y1216" s="11" t="str">
        <f>IF(OR(履歴データ!$A$1216="",履歴データ!$A$1215=""),"",40000*(-S1216)+(-506.3)*R1216*1000)</f>
        <v/>
      </c>
      <c r="Z1216" s="11" t="str">
        <f>IF(OR(履歴データ!$A$1216="",履歴データ!$A$1215=""),"",-40000*O1216)</f>
        <v/>
      </c>
      <c r="AA1216" s="11" t="str">
        <f>IF(OR(履歴データ!$A$1216="",履歴データ!$A$1215=""),"",-40000*P1216)</f>
        <v/>
      </c>
      <c r="AB1216" s="11" t="str">
        <f>IF(履歴データ!$A$1216="","",123.3)</f>
        <v/>
      </c>
      <c r="AC1216" t="str">
        <f>IF(履歴データ!$A$1216="","",SUM(T1216:AA1216))</f>
        <v/>
      </c>
      <c r="AD1216" s="29" t="str">
        <f>IF(履歴データ!$A$1216="","",AC1216/1000000)</f>
        <v/>
      </c>
      <c r="AE1216" s="29">
        <f>IF(履歴データ!$A$1216="",AE1215,AE1215+AC1216/1000000)</f>
        <v>70.844544225831427</v>
      </c>
      <c r="AF1216" s="12" t="str">
        <f>IF(OR(履歴データ!$A$1216="",AE1215=0),"",(AE1216-AE1215)/AE1215)</f>
        <v/>
      </c>
      <c r="AG1216" s="29">
        <f t="shared" si="48"/>
        <v>102.17217746631495</v>
      </c>
      <c r="AH1216" s="12" t="str">
        <f>IF(OR(履歴データ!$A$1216="",AG1216=0),"",AE1216/AG1216-1)</f>
        <v/>
      </c>
    </row>
    <row r="1217" spans="1:34">
      <c r="A1217" s="10" t="str">
        <f>IF(履歴データ!$A$1217="","",履歴データ!$A$1217)</f>
        <v/>
      </c>
      <c r="B1217" s="28" t="str">
        <f>IF(履歴データ!$A$1217="","",(履歴データ!$D$1217-(履歴データ!$B$1217+履歴データ!$F$1217)/2)*100)</f>
        <v/>
      </c>
      <c r="C1217" s="28" t="str">
        <f>IF(履歴データ!$A$1217="","",(履歴データ!$H$1217-(履歴データ!$G$1217+履歴データ!$J$1217)/2)*100)</f>
        <v/>
      </c>
      <c r="D1217" s="28" t="str">
        <f>IF(履歴データ!$A$1217="","",(履歴データ!$D$1217-履歴データ!$H$1217)*100)</f>
        <v/>
      </c>
      <c r="E1217" s="28" t="str">
        <f>IF(履歴データ!$A$1217="","",(履歴データ!$D$1217-履歴データ!$C$1217)*100)</f>
        <v/>
      </c>
      <c r="F1217" s="28" t="str">
        <f>IF(履歴データ!$A$1217="","",(履歴データ!$R$1217-履歴データ!$D$1217)*100)</f>
        <v/>
      </c>
      <c r="G1217" s="28" t="str">
        <f>IF(履歴データ!$A$1217="","",(履歴データ!$S$1217-履歴データ!$R$1217)*100)</f>
        <v/>
      </c>
      <c r="H1217" s="29" t="str">
        <f>IF(履歴データ!$A$1217="","",履歴データ!$O$1217)</f>
        <v/>
      </c>
      <c r="I1217" s="29" t="str">
        <f>IF(履歴データ!$A$1217="","",履歴データ!$Q$1217)</f>
        <v/>
      </c>
      <c r="J1217" s="29" t="str">
        <f>IF(履歴データ!$A$1217="","",履歴データ!$D$1217)</f>
        <v/>
      </c>
      <c r="K1217" s="28" t="str">
        <f>IF(OR(履歴データ!$A$1217="",履歴データ!$A$1216=""),"",B1217-B1216)</f>
        <v/>
      </c>
      <c r="L1217" s="28" t="str">
        <f>IF(OR(履歴データ!$A$1217="",履歴データ!$A$1216=""),"",C1217-C1216)</f>
        <v/>
      </c>
      <c r="M1217" s="28" t="str">
        <f>IF(OR(履歴データ!$A$1217="",履歴データ!$A$1216=""),"",D1217-D1216)</f>
        <v/>
      </c>
      <c r="N1217" s="28" t="str">
        <f>IF(OR(履歴データ!$A$1217="",履歴データ!$A$1216=""),"",E1217-E1216)</f>
        <v/>
      </c>
      <c r="O1217" s="28" t="str">
        <f>IF(OR(履歴データ!$A$1217="",履歴データ!$A$1216=""),"",F1217-F1216)</f>
        <v/>
      </c>
      <c r="P1217" s="28" t="str">
        <f>IF(OR(履歴データ!$A$1217="",履歴データ!$A$1216=""),"",G1217-G1216)</f>
        <v/>
      </c>
      <c r="Q1217" s="29" t="str">
        <f>IF(OR(履歴データ!$A$1217="",履歴データ!$A$1216=""),"",H1217-H1216)</f>
        <v/>
      </c>
      <c r="R1217" s="29" t="str">
        <f>IF(OR(履歴データ!$A$1217="",履歴データ!$A$1216=""),"",I1217-I1216)</f>
        <v/>
      </c>
      <c r="S1217" s="28" t="str">
        <f>IF(OR(履歴データ!$A$1217="",履歴データ!$A$1216=""),"",(J1217-J1216)*100)</f>
        <v/>
      </c>
      <c r="T1217" s="11" t="str">
        <f>IF(OR(履歴データ!$A$1217="",履歴データ!$A$1216=""),"",-80000*K1217)</f>
        <v/>
      </c>
      <c r="U1217" s="11" t="str">
        <f>IF(OR(履歴データ!$A$1217="",履歴データ!$A$1216=""),"",60000*L1217)</f>
        <v/>
      </c>
      <c r="V1217" s="11" t="str">
        <f>IF(OR(履歴データ!$A$1217="",履歴データ!$A$1216=""),"",-50000*M1217)</f>
        <v/>
      </c>
      <c r="W1217" s="11" t="str">
        <f>IF(OR(履歴データ!$A$1217="",履歴データ!$A$1216=""),"",-40000*N1217)</f>
        <v/>
      </c>
      <c r="X1217" s="11" t="str">
        <f>IF(OR(履歴データ!$A$1217="",履歴データ!$A$1216=""),"",120*1000000*(-Q1217/H1216))</f>
        <v/>
      </c>
      <c r="Y1217" s="11" t="str">
        <f>IF(OR(履歴データ!$A$1217="",履歴データ!$A$1216=""),"",40000*(-S1217)+(-506.3)*R1217*1000)</f>
        <v/>
      </c>
      <c r="Z1217" s="11" t="str">
        <f>IF(OR(履歴データ!$A$1217="",履歴データ!$A$1216=""),"",-40000*O1217)</f>
        <v/>
      </c>
      <c r="AA1217" s="11" t="str">
        <f>IF(OR(履歴データ!$A$1217="",履歴データ!$A$1216=""),"",-40000*P1217)</f>
        <v/>
      </c>
      <c r="AB1217" s="11" t="str">
        <f>IF(履歴データ!$A$1217="","",123.3)</f>
        <v/>
      </c>
      <c r="AC1217" t="str">
        <f>IF(履歴データ!$A$1217="","",SUM(T1217:AA1217))</f>
        <v/>
      </c>
      <c r="AD1217" s="29" t="str">
        <f>IF(履歴データ!$A$1217="","",AC1217/1000000)</f>
        <v/>
      </c>
      <c r="AE1217" s="29">
        <f>IF(履歴データ!$A$1217="",AE1216,AE1216+AC1217/1000000)</f>
        <v>70.844544225831427</v>
      </c>
      <c r="AF1217" s="12" t="str">
        <f>IF(OR(履歴データ!$A$1217="",AE1216=0),"",(AE1217-AE1216)/AE1216)</f>
        <v/>
      </c>
      <c r="AG1217" s="29">
        <f t="shared" si="48"/>
        <v>102.17217746631495</v>
      </c>
      <c r="AH1217" s="12" t="str">
        <f>IF(OR(履歴データ!$A$1217="",AG1217=0),"",AE1217/AG1217-1)</f>
        <v/>
      </c>
    </row>
    <row r="1218" spans="1:34">
      <c r="A1218" s="10" t="str">
        <f>IF(履歴データ!$A$1218="","",履歴データ!$A$1218)</f>
        <v/>
      </c>
      <c r="B1218" s="28" t="str">
        <f>IF(履歴データ!$A$1218="","",(履歴データ!$D$1218-(履歴データ!$B$1218+履歴データ!$F$1218)/2)*100)</f>
        <v/>
      </c>
      <c r="C1218" s="28" t="str">
        <f>IF(履歴データ!$A$1218="","",(履歴データ!$H$1218-(履歴データ!$G$1218+履歴データ!$J$1218)/2)*100)</f>
        <v/>
      </c>
      <c r="D1218" s="28" t="str">
        <f>IF(履歴データ!$A$1218="","",(履歴データ!$D$1218-履歴データ!$H$1218)*100)</f>
        <v/>
      </c>
      <c r="E1218" s="28" t="str">
        <f>IF(履歴データ!$A$1218="","",(履歴データ!$D$1218-履歴データ!$C$1218)*100)</f>
        <v/>
      </c>
      <c r="F1218" s="28" t="str">
        <f>IF(履歴データ!$A$1218="","",(履歴データ!$R$1218-履歴データ!$D$1218)*100)</f>
        <v/>
      </c>
      <c r="G1218" s="28" t="str">
        <f>IF(履歴データ!$A$1218="","",(履歴データ!$S$1218-履歴データ!$R$1218)*100)</f>
        <v/>
      </c>
      <c r="H1218" s="29" t="str">
        <f>IF(履歴データ!$A$1218="","",履歴データ!$O$1218)</f>
        <v/>
      </c>
      <c r="I1218" s="29" t="str">
        <f>IF(履歴データ!$A$1218="","",履歴データ!$Q$1218)</f>
        <v/>
      </c>
      <c r="J1218" s="29" t="str">
        <f>IF(履歴データ!$A$1218="","",履歴データ!$D$1218)</f>
        <v/>
      </c>
      <c r="K1218" s="28" t="str">
        <f>IF(OR(履歴データ!$A$1218="",履歴データ!$A$1217=""),"",B1218-B1217)</f>
        <v/>
      </c>
      <c r="L1218" s="28" t="str">
        <f>IF(OR(履歴データ!$A$1218="",履歴データ!$A$1217=""),"",C1218-C1217)</f>
        <v/>
      </c>
      <c r="M1218" s="28" t="str">
        <f>IF(OR(履歴データ!$A$1218="",履歴データ!$A$1217=""),"",D1218-D1217)</f>
        <v/>
      </c>
      <c r="N1218" s="28" t="str">
        <f>IF(OR(履歴データ!$A$1218="",履歴データ!$A$1217=""),"",E1218-E1217)</f>
        <v/>
      </c>
      <c r="O1218" s="28" t="str">
        <f>IF(OR(履歴データ!$A$1218="",履歴データ!$A$1217=""),"",F1218-F1217)</f>
        <v/>
      </c>
      <c r="P1218" s="28" t="str">
        <f>IF(OR(履歴データ!$A$1218="",履歴データ!$A$1217=""),"",G1218-G1217)</f>
        <v/>
      </c>
      <c r="Q1218" s="29" t="str">
        <f>IF(OR(履歴データ!$A$1218="",履歴データ!$A$1217=""),"",H1218-H1217)</f>
        <v/>
      </c>
      <c r="R1218" s="29" t="str">
        <f>IF(OR(履歴データ!$A$1218="",履歴データ!$A$1217=""),"",I1218-I1217)</f>
        <v/>
      </c>
      <c r="S1218" s="28" t="str">
        <f>IF(OR(履歴データ!$A$1218="",履歴データ!$A$1217=""),"",(J1218-J1217)*100)</f>
        <v/>
      </c>
      <c r="T1218" s="11" t="str">
        <f>IF(OR(履歴データ!$A$1218="",履歴データ!$A$1217=""),"",-80000*K1218)</f>
        <v/>
      </c>
      <c r="U1218" s="11" t="str">
        <f>IF(OR(履歴データ!$A$1218="",履歴データ!$A$1217=""),"",60000*L1218)</f>
        <v/>
      </c>
      <c r="V1218" s="11" t="str">
        <f>IF(OR(履歴データ!$A$1218="",履歴データ!$A$1217=""),"",-50000*M1218)</f>
        <v/>
      </c>
      <c r="W1218" s="11" t="str">
        <f>IF(OR(履歴データ!$A$1218="",履歴データ!$A$1217=""),"",-40000*N1218)</f>
        <v/>
      </c>
      <c r="X1218" s="11" t="str">
        <f>IF(OR(履歴データ!$A$1218="",履歴データ!$A$1217=""),"",120*1000000*(-Q1218/H1217))</f>
        <v/>
      </c>
      <c r="Y1218" s="11" t="str">
        <f>IF(OR(履歴データ!$A$1218="",履歴データ!$A$1217=""),"",40000*(-S1218)+(-506.3)*R1218*1000)</f>
        <v/>
      </c>
      <c r="Z1218" s="11" t="str">
        <f>IF(OR(履歴データ!$A$1218="",履歴データ!$A$1217=""),"",-40000*O1218)</f>
        <v/>
      </c>
      <c r="AA1218" s="11" t="str">
        <f>IF(OR(履歴データ!$A$1218="",履歴データ!$A$1217=""),"",-40000*P1218)</f>
        <v/>
      </c>
      <c r="AB1218" s="11" t="str">
        <f>IF(履歴データ!$A$1218="","",123.3)</f>
        <v/>
      </c>
      <c r="AC1218" t="str">
        <f>IF(履歴データ!$A$1218="","",SUM(T1218:AA1218))</f>
        <v/>
      </c>
      <c r="AD1218" s="29" t="str">
        <f>IF(履歴データ!$A$1218="","",AC1218/1000000)</f>
        <v/>
      </c>
      <c r="AE1218" s="29">
        <f>IF(履歴データ!$A$1218="",AE1217,AE1217+AC1218/1000000)</f>
        <v>70.844544225831427</v>
      </c>
      <c r="AF1218" s="12" t="str">
        <f>IF(OR(履歴データ!$A$1218="",AE1217=0),"",(AE1218-AE1217)/AE1217)</f>
        <v/>
      </c>
      <c r="AG1218" s="29">
        <f t="shared" si="48"/>
        <v>102.17217746631495</v>
      </c>
      <c r="AH1218" s="12" t="str">
        <f>IF(OR(履歴データ!$A$1218="",AG1218=0),"",AE1218/AG1218-1)</f>
        <v/>
      </c>
    </row>
    <row r="1219" spans="1:34">
      <c r="A1219" s="10" t="str">
        <f>IF(履歴データ!$A$1219="","",履歴データ!$A$1219)</f>
        <v/>
      </c>
      <c r="B1219" s="28" t="str">
        <f>IF(履歴データ!$A$1219="","",(履歴データ!$D$1219-(履歴データ!$B$1219+履歴データ!$F$1219)/2)*100)</f>
        <v/>
      </c>
      <c r="C1219" s="28" t="str">
        <f>IF(履歴データ!$A$1219="","",(履歴データ!$H$1219-(履歴データ!$G$1219+履歴データ!$J$1219)/2)*100)</f>
        <v/>
      </c>
      <c r="D1219" s="28" t="str">
        <f>IF(履歴データ!$A$1219="","",(履歴データ!$D$1219-履歴データ!$H$1219)*100)</f>
        <v/>
      </c>
      <c r="E1219" s="28" t="str">
        <f>IF(履歴データ!$A$1219="","",(履歴データ!$D$1219-履歴データ!$C$1219)*100)</f>
        <v/>
      </c>
      <c r="F1219" s="28" t="str">
        <f>IF(履歴データ!$A$1219="","",(履歴データ!$R$1219-履歴データ!$D$1219)*100)</f>
        <v/>
      </c>
      <c r="G1219" s="28" t="str">
        <f>IF(履歴データ!$A$1219="","",(履歴データ!$S$1219-履歴データ!$R$1219)*100)</f>
        <v/>
      </c>
      <c r="H1219" s="29" t="str">
        <f>IF(履歴データ!$A$1219="","",履歴データ!$O$1219)</f>
        <v/>
      </c>
      <c r="I1219" s="29" t="str">
        <f>IF(履歴データ!$A$1219="","",履歴データ!$Q$1219)</f>
        <v/>
      </c>
      <c r="J1219" s="29" t="str">
        <f>IF(履歴データ!$A$1219="","",履歴データ!$D$1219)</f>
        <v/>
      </c>
      <c r="K1219" s="28" t="str">
        <f>IF(OR(履歴データ!$A$1219="",履歴データ!$A$1218=""),"",B1219-B1218)</f>
        <v/>
      </c>
      <c r="L1219" s="28" t="str">
        <f>IF(OR(履歴データ!$A$1219="",履歴データ!$A$1218=""),"",C1219-C1218)</f>
        <v/>
      </c>
      <c r="M1219" s="28" t="str">
        <f>IF(OR(履歴データ!$A$1219="",履歴データ!$A$1218=""),"",D1219-D1218)</f>
        <v/>
      </c>
      <c r="N1219" s="28" t="str">
        <f>IF(OR(履歴データ!$A$1219="",履歴データ!$A$1218=""),"",E1219-E1218)</f>
        <v/>
      </c>
      <c r="O1219" s="28" t="str">
        <f>IF(OR(履歴データ!$A$1219="",履歴データ!$A$1218=""),"",F1219-F1218)</f>
        <v/>
      </c>
      <c r="P1219" s="28" t="str">
        <f>IF(OR(履歴データ!$A$1219="",履歴データ!$A$1218=""),"",G1219-G1218)</f>
        <v/>
      </c>
      <c r="Q1219" s="29" t="str">
        <f>IF(OR(履歴データ!$A$1219="",履歴データ!$A$1218=""),"",H1219-H1218)</f>
        <v/>
      </c>
      <c r="R1219" s="29" t="str">
        <f>IF(OR(履歴データ!$A$1219="",履歴データ!$A$1218=""),"",I1219-I1218)</f>
        <v/>
      </c>
      <c r="S1219" s="28" t="str">
        <f>IF(OR(履歴データ!$A$1219="",履歴データ!$A$1218=""),"",(J1219-J1218)*100)</f>
        <v/>
      </c>
      <c r="T1219" s="11" t="str">
        <f>IF(OR(履歴データ!$A$1219="",履歴データ!$A$1218=""),"",-80000*K1219)</f>
        <v/>
      </c>
      <c r="U1219" s="11" t="str">
        <f>IF(OR(履歴データ!$A$1219="",履歴データ!$A$1218=""),"",60000*L1219)</f>
        <v/>
      </c>
      <c r="V1219" s="11" t="str">
        <f>IF(OR(履歴データ!$A$1219="",履歴データ!$A$1218=""),"",-50000*M1219)</f>
        <v/>
      </c>
      <c r="W1219" s="11" t="str">
        <f>IF(OR(履歴データ!$A$1219="",履歴データ!$A$1218=""),"",-40000*N1219)</f>
        <v/>
      </c>
      <c r="X1219" s="11" t="str">
        <f>IF(OR(履歴データ!$A$1219="",履歴データ!$A$1218=""),"",120*1000000*(-Q1219/H1218))</f>
        <v/>
      </c>
      <c r="Y1219" s="11" t="str">
        <f>IF(OR(履歴データ!$A$1219="",履歴データ!$A$1218=""),"",40000*(-S1219)+(-506.3)*R1219*1000)</f>
        <v/>
      </c>
      <c r="Z1219" s="11" t="str">
        <f>IF(OR(履歴データ!$A$1219="",履歴データ!$A$1218=""),"",-40000*O1219)</f>
        <v/>
      </c>
      <c r="AA1219" s="11" t="str">
        <f>IF(OR(履歴データ!$A$1219="",履歴データ!$A$1218=""),"",-40000*P1219)</f>
        <v/>
      </c>
      <c r="AB1219" s="11" t="str">
        <f>IF(履歴データ!$A$1219="","",123.3)</f>
        <v/>
      </c>
      <c r="AC1219" t="str">
        <f>IF(履歴データ!$A$1219="","",SUM(T1219:AA1219))</f>
        <v/>
      </c>
      <c r="AD1219" s="29" t="str">
        <f>IF(履歴データ!$A$1219="","",AC1219/1000000)</f>
        <v/>
      </c>
      <c r="AE1219" s="29">
        <f>IF(履歴データ!$A$1219="",AE1218,AE1218+AC1219/1000000)</f>
        <v>70.844544225831427</v>
      </c>
      <c r="AF1219" s="12" t="str">
        <f>IF(OR(履歴データ!$A$1219="",AE1218=0),"",(AE1219-AE1218)/AE1218)</f>
        <v/>
      </c>
      <c r="AG1219" s="29">
        <f t="shared" ref="AG1219:AG1282" si="49">MAX(AG1218,AE1219)</f>
        <v>102.17217746631495</v>
      </c>
      <c r="AH1219" s="12" t="str">
        <f>IF(OR(履歴データ!$A$1219="",AG1219=0),"",AE1219/AG1219-1)</f>
        <v/>
      </c>
    </row>
    <row r="1220" spans="1:34">
      <c r="A1220" s="10" t="str">
        <f>IF(履歴データ!$A$1220="","",履歴データ!$A$1220)</f>
        <v/>
      </c>
      <c r="B1220" s="28" t="str">
        <f>IF(履歴データ!$A$1220="","",(履歴データ!$D$1220-(履歴データ!$B$1220+履歴データ!$F$1220)/2)*100)</f>
        <v/>
      </c>
      <c r="C1220" s="28" t="str">
        <f>IF(履歴データ!$A$1220="","",(履歴データ!$H$1220-(履歴データ!$G$1220+履歴データ!$J$1220)/2)*100)</f>
        <v/>
      </c>
      <c r="D1220" s="28" t="str">
        <f>IF(履歴データ!$A$1220="","",(履歴データ!$D$1220-履歴データ!$H$1220)*100)</f>
        <v/>
      </c>
      <c r="E1220" s="28" t="str">
        <f>IF(履歴データ!$A$1220="","",(履歴データ!$D$1220-履歴データ!$C$1220)*100)</f>
        <v/>
      </c>
      <c r="F1220" s="28" t="str">
        <f>IF(履歴データ!$A$1220="","",(履歴データ!$R$1220-履歴データ!$D$1220)*100)</f>
        <v/>
      </c>
      <c r="G1220" s="28" t="str">
        <f>IF(履歴データ!$A$1220="","",(履歴データ!$S$1220-履歴データ!$R$1220)*100)</f>
        <v/>
      </c>
      <c r="H1220" s="29" t="str">
        <f>IF(履歴データ!$A$1220="","",履歴データ!$O$1220)</f>
        <v/>
      </c>
      <c r="I1220" s="29" t="str">
        <f>IF(履歴データ!$A$1220="","",履歴データ!$Q$1220)</f>
        <v/>
      </c>
      <c r="J1220" s="29" t="str">
        <f>IF(履歴データ!$A$1220="","",履歴データ!$D$1220)</f>
        <v/>
      </c>
      <c r="K1220" s="28" t="str">
        <f>IF(OR(履歴データ!$A$1220="",履歴データ!$A$1219=""),"",B1220-B1219)</f>
        <v/>
      </c>
      <c r="L1220" s="28" t="str">
        <f>IF(OR(履歴データ!$A$1220="",履歴データ!$A$1219=""),"",C1220-C1219)</f>
        <v/>
      </c>
      <c r="M1220" s="28" t="str">
        <f>IF(OR(履歴データ!$A$1220="",履歴データ!$A$1219=""),"",D1220-D1219)</f>
        <v/>
      </c>
      <c r="N1220" s="28" t="str">
        <f>IF(OR(履歴データ!$A$1220="",履歴データ!$A$1219=""),"",E1220-E1219)</f>
        <v/>
      </c>
      <c r="O1220" s="28" t="str">
        <f>IF(OR(履歴データ!$A$1220="",履歴データ!$A$1219=""),"",F1220-F1219)</f>
        <v/>
      </c>
      <c r="P1220" s="28" t="str">
        <f>IF(OR(履歴データ!$A$1220="",履歴データ!$A$1219=""),"",G1220-G1219)</f>
        <v/>
      </c>
      <c r="Q1220" s="29" t="str">
        <f>IF(OR(履歴データ!$A$1220="",履歴データ!$A$1219=""),"",H1220-H1219)</f>
        <v/>
      </c>
      <c r="R1220" s="29" t="str">
        <f>IF(OR(履歴データ!$A$1220="",履歴データ!$A$1219=""),"",I1220-I1219)</f>
        <v/>
      </c>
      <c r="S1220" s="28" t="str">
        <f>IF(OR(履歴データ!$A$1220="",履歴データ!$A$1219=""),"",(J1220-J1219)*100)</f>
        <v/>
      </c>
      <c r="T1220" s="11" t="str">
        <f>IF(OR(履歴データ!$A$1220="",履歴データ!$A$1219=""),"",-80000*K1220)</f>
        <v/>
      </c>
      <c r="U1220" s="11" t="str">
        <f>IF(OR(履歴データ!$A$1220="",履歴データ!$A$1219=""),"",60000*L1220)</f>
        <v/>
      </c>
      <c r="V1220" s="11" t="str">
        <f>IF(OR(履歴データ!$A$1220="",履歴データ!$A$1219=""),"",-50000*M1220)</f>
        <v/>
      </c>
      <c r="W1220" s="11" t="str">
        <f>IF(OR(履歴データ!$A$1220="",履歴データ!$A$1219=""),"",-40000*N1220)</f>
        <v/>
      </c>
      <c r="X1220" s="11" t="str">
        <f>IF(OR(履歴データ!$A$1220="",履歴データ!$A$1219=""),"",120*1000000*(-Q1220/H1219))</f>
        <v/>
      </c>
      <c r="Y1220" s="11" t="str">
        <f>IF(OR(履歴データ!$A$1220="",履歴データ!$A$1219=""),"",40000*(-S1220)+(-506.3)*R1220*1000)</f>
        <v/>
      </c>
      <c r="Z1220" s="11" t="str">
        <f>IF(OR(履歴データ!$A$1220="",履歴データ!$A$1219=""),"",-40000*O1220)</f>
        <v/>
      </c>
      <c r="AA1220" s="11" t="str">
        <f>IF(OR(履歴データ!$A$1220="",履歴データ!$A$1219=""),"",-40000*P1220)</f>
        <v/>
      </c>
      <c r="AB1220" s="11" t="str">
        <f>IF(履歴データ!$A$1220="","",123.3)</f>
        <v/>
      </c>
      <c r="AC1220" t="str">
        <f>IF(履歴データ!$A$1220="","",SUM(T1220:AA1220))</f>
        <v/>
      </c>
      <c r="AD1220" s="29" t="str">
        <f>IF(履歴データ!$A$1220="","",AC1220/1000000)</f>
        <v/>
      </c>
      <c r="AE1220" s="29">
        <f>IF(履歴データ!$A$1220="",AE1219,AE1219+AC1220/1000000)</f>
        <v>70.844544225831427</v>
      </c>
      <c r="AF1220" s="12" t="str">
        <f>IF(OR(履歴データ!$A$1220="",AE1219=0),"",(AE1220-AE1219)/AE1219)</f>
        <v/>
      </c>
      <c r="AG1220" s="29">
        <f t="shared" si="49"/>
        <v>102.17217746631495</v>
      </c>
      <c r="AH1220" s="12" t="str">
        <f>IF(OR(履歴データ!$A$1220="",AG1220=0),"",AE1220/AG1220-1)</f>
        <v/>
      </c>
    </row>
    <row r="1221" spans="1:34">
      <c r="A1221" s="10" t="str">
        <f>IF(履歴データ!$A$1221="","",履歴データ!$A$1221)</f>
        <v/>
      </c>
      <c r="B1221" s="28" t="str">
        <f>IF(履歴データ!$A$1221="","",(履歴データ!$D$1221-(履歴データ!$B$1221+履歴データ!$F$1221)/2)*100)</f>
        <v/>
      </c>
      <c r="C1221" s="28" t="str">
        <f>IF(履歴データ!$A$1221="","",(履歴データ!$H$1221-(履歴データ!$G$1221+履歴データ!$J$1221)/2)*100)</f>
        <v/>
      </c>
      <c r="D1221" s="28" t="str">
        <f>IF(履歴データ!$A$1221="","",(履歴データ!$D$1221-履歴データ!$H$1221)*100)</f>
        <v/>
      </c>
      <c r="E1221" s="28" t="str">
        <f>IF(履歴データ!$A$1221="","",(履歴データ!$D$1221-履歴データ!$C$1221)*100)</f>
        <v/>
      </c>
      <c r="F1221" s="28" t="str">
        <f>IF(履歴データ!$A$1221="","",(履歴データ!$R$1221-履歴データ!$D$1221)*100)</f>
        <v/>
      </c>
      <c r="G1221" s="28" t="str">
        <f>IF(履歴データ!$A$1221="","",(履歴データ!$S$1221-履歴データ!$R$1221)*100)</f>
        <v/>
      </c>
      <c r="H1221" s="29" t="str">
        <f>IF(履歴データ!$A$1221="","",履歴データ!$O$1221)</f>
        <v/>
      </c>
      <c r="I1221" s="29" t="str">
        <f>IF(履歴データ!$A$1221="","",履歴データ!$Q$1221)</f>
        <v/>
      </c>
      <c r="J1221" s="29" t="str">
        <f>IF(履歴データ!$A$1221="","",履歴データ!$D$1221)</f>
        <v/>
      </c>
      <c r="K1221" s="28" t="str">
        <f>IF(OR(履歴データ!$A$1221="",履歴データ!$A$1220=""),"",B1221-B1220)</f>
        <v/>
      </c>
      <c r="L1221" s="28" t="str">
        <f>IF(OR(履歴データ!$A$1221="",履歴データ!$A$1220=""),"",C1221-C1220)</f>
        <v/>
      </c>
      <c r="M1221" s="28" t="str">
        <f>IF(OR(履歴データ!$A$1221="",履歴データ!$A$1220=""),"",D1221-D1220)</f>
        <v/>
      </c>
      <c r="N1221" s="28" t="str">
        <f>IF(OR(履歴データ!$A$1221="",履歴データ!$A$1220=""),"",E1221-E1220)</f>
        <v/>
      </c>
      <c r="O1221" s="28" t="str">
        <f>IF(OR(履歴データ!$A$1221="",履歴データ!$A$1220=""),"",F1221-F1220)</f>
        <v/>
      </c>
      <c r="P1221" s="28" t="str">
        <f>IF(OR(履歴データ!$A$1221="",履歴データ!$A$1220=""),"",G1221-G1220)</f>
        <v/>
      </c>
      <c r="Q1221" s="29" t="str">
        <f>IF(OR(履歴データ!$A$1221="",履歴データ!$A$1220=""),"",H1221-H1220)</f>
        <v/>
      </c>
      <c r="R1221" s="29" t="str">
        <f>IF(OR(履歴データ!$A$1221="",履歴データ!$A$1220=""),"",I1221-I1220)</f>
        <v/>
      </c>
      <c r="S1221" s="28" t="str">
        <f>IF(OR(履歴データ!$A$1221="",履歴データ!$A$1220=""),"",(J1221-J1220)*100)</f>
        <v/>
      </c>
      <c r="T1221" s="11" t="str">
        <f>IF(OR(履歴データ!$A$1221="",履歴データ!$A$1220=""),"",-80000*K1221)</f>
        <v/>
      </c>
      <c r="U1221" s="11" t="str">
        <f>IF(OR(履歴データ!$A$1221="",履歴データ!$A$1220=""),"",60000*L1221)</f>
        <v/>
      </c>
      <c r="V1221" s="11" t="str">
        <f>IF(OR(履歴データ!$A$1221="",履歴データ!$A$1220=""),"",-50000*M1221)</f>
        <v/>
      </c>
      <c r="W1221" s="11" t="str">
        <f>IF(OR(履歴データ!$A$1221="",履歴データ!$A$1220=""),"",-40000*N1221)</f>
        <v/>
      </c>
      <c r="X1221" s="11" t="str">
        <f>IF(OR(履歴データ!$A$1221="",履歴データ!$A$1220=""),"",120*1000000*(-Q1221/H1220))</f>
        <v/>
      </c>
      <c r="Y1221" s="11" t="str">
        <f>IF(OR(履歴データ!$A$1221="",履歴データ!$A$1220=""),"",40000*(-S1221)+(-506.3)*R1221*1000)</f>
        <v/>
      </c>
      <c r="Z1221" s="11" t="str">
        <f>IF(OR(履歴データ!$A$1221="",履歴データ!$A$1220=""),"",-40000*O1221)</f>
        <v/>
      </c>
      <c r="AA1221" s="11" t="str">
        <f>IF(OR(履歴データ!$A$1221="",履歴データ!$A$1220=""),"",-40000*P1221)</f>
        <v/>
      </c>
      <c r="AB1221" s="11" t="str">
        <f>IF(履歴データ!$A$1221="","",123.3)</f>
        <v/>
      </c>
      <c r="AC1221" t="str">
        <f>IF(履歴データ!$A$1221="","",SUM(T1221:AA1221))</f>
        <v/>
      </c>
      <c r="AD1221" s="29" t="str">
        <f>IF(履歴データ!$A$1221="","",AC1221/1000000)</f>
        <v/>
      </c>
      <c r="AE1221" s="29">
        <f>IF(履歴データ!$A$1221="",AE1220,AE1220+AC1221/1000000)</f>
        <v>70.844544225831427</v>
      </c>
      <c r="AF1221" s="12" t="str">
        <f>IF(OR(履歴データ!$A$1221="",AE1220=0),"",(AE1221-AE1220)/AE1220)</f>
        <v/>
      </c>
      <c r="AG1221" s="29">
        <f t="shared" si="49"/>
        <v>102.17217746631495</v>
      </c>
      <c r="AH1221" s="12" t="str">
        <f>IF(OR(履歴データ!$A$1221="",AG1221=0),"",AE1221/AG1221-1)</f>
        <v/>
      </c>
    </row>
    <row r="1222" spans="1:34">
      <c r="A1222" s="10" t="str">
        <f>IF(履歴データ!$A$1222="","",履歴データ!$A$1222)</f>
        <v/>
      </c>
      <c r="B1222" s="28" t="str">
        <f>IF(履歴データ!$A$1222="","",(履歴データ!$D$1222-(履歴データ!$B$1222+履歴データ!$F$1222)/2)*100)</f>
        <v/>
      </c>
      <c r="C1222" s="28" t="str">
        <f>IF(履歴データ!$A$1222="","",(履歴データ!$H$1222-(履歴データ!$G$1222+履歴データ!$J$1222)/2)*100)</f>
        <v/>
      </c>
      <c r="D1222" s="28" t="str">
        <f>IF(履歴データ!$A$1222="","",(履歴データ!$D$1222-履歴データ!$H$1222)*100)</f>
        <v/>
      </c>
      <c r="E1222" s="28" t="str">
        <f>IF(履歴データ!$A$1222="","",(履歴データ!$D$1222-履歴データ!$C$1222)*100)</f>
        <v/>
      </c>
      <c r="F1222" s="28" t="str">
        <f>IF(履歴データ!$A$1222="","",(履歴データ!$R$1222-履歴データ!$D$1222)*100)</f>
        <v/>
      </c>
      <c r="G1222" s="28" t="str">
        <f>IF(履歴データ!$A$1222="","",(履歴データ!$S$1222-履歴データ!$R$1222)*100)</f>
        <v/>
      </c>
      <c r="H1222" s="29" t="str">
        <f>IF(履歴データ!$A$1222="","",履歴データ!$O$1222)</f>
        <v/>
      </c>
      <c r="I1222" s="29" t="str">
        <f>IF(履歴データ!$A$1222="","",履歴データ!$Q$1222)</f>
        <v/>
      </c>
      <c r="J1222" s="29" t="str">
        <f>IF(履歴データ!$A$1222="","",履歴データ!$D$1222)</f>
        <v/>
      </c>
      <c r="K1222" s="28" t="str">
        <f>IF(OR(履歴データ!$A$1222="",履歴データ!$A$1221=""),"",B1222-B1221)</f>
        <v/>
      </c>
      <c r="L1222" s="28" t="str">
        <f>IF(OR(履歴データ!$A$1222="",履歴データ!$A$1221=""),"",C1222-C1221)</f>
        <v/>
      </c>
      <c r="M1222" s="28" t="str">
        <f>IF(OR(履歴データ!$A$1222="",履歴データ!$A$1221=""),"",D1222-D1221)</f>
        <v/>
      </c>
      <c r="N1222" s="28" t="str">
        <f>IF(OR(履歴データ!$A$1222="",履歴データ!$A$1221=""),"",E1222-E1221)</f>
        <v/>
      </c>
      <c r="O1222" s="28" t="str">
        <f>IF(OR(履歴データ!$A$1222="",履歴データ!$A$1221=""),"",F1222-F1221)</f>
        <v/>
      </c>
      <c r="P1222" s="28" t="str">
        <f>IF(OR(履歴データ!$A$1222="",履歴データ!$A$1221=""),"",G1222-G1221)</f>
        <v/>
      </c>
      <c r="Q1222" s="29" t="str">
        <f>IF(OR(履歴データ!$A$1222="",履歴データ!$A$1221=""),"",H1222-H1221)</f>
        <v/>
      </c>
      <c r="R1222" s="29" t="str">
        <f>IF(OR(履歴データ!$A$1222="",履歴データ!$A$1221=""),"",I1222-I1221)</f>
        <v/>
      </c>
      <c r="S1222" s="28" t="str">
        <f>IF(OR(履歴データ!$A$1222="",履歴データ!$A$1221=""),"",(J1222-J1221)*100)</f>
        <v/>
      </c>
      <c r="T1222" s="11" t="str">
        <f>IF(OR(履歴データ!$A$1222="",履歴データ!$A$1221=""),"",-80000*K1222)</f>
        <v/>
      </c>
      <c r="U1222" s="11" t="str">
        <f>IF(OR(履歴データ!$A$1222="",履歴データ!$A$1221=""),"",60000*L1222)</f>
        <v/>
      </c>
      <c r="V1222" s="11" t="str">
        <f>IF(OR(履歴データ!$A$1222="",履歴データ!$A$1221=""),"",-50000*M1222)</f>
        <v/>
      </c>
      <c r="W1222" s="11" t="str">
        <f>IF(OR(履歴データ!$A$1222="",履歴データ!$A$1221=""),"",-40000*N1222)</f>
        <v/>
      </c>
      <c r="X1222" s="11" t="str">
        <f>IF(OR(履歴データ!$A$1222="",履歴データ!$A$1221=""),"",120*1000000*(-Q1222/H1221))</f>
        <v/>
      </c>
      <c r="Y1222" s="11" t="str">
        <f>IF(OR(履歴データ!$A$1222="",履歴データ!$A$1221=""),"",40000*(-S1222)+(-506.3)*R1222*1000)</f>
        <v/>
      </c>
      <c r="Z1222" s="11" t="str">
        <f>IF(OR(履歴データ!$A$1222="",履歴データ!$A$1221=""),"",-40000*O1222)</f>
        <v/>
      </c>
      <c r="AA1222" s="11" t="str">
        <f>IF(OR(履歴データ!$A$1222="",履歴データ!$A$1221=""),"",-40000*P1222)</f>
        <v/>
      </c>
      <c r="AB1222" s="11" t="str">
        <f>IF(履歴データ!$A$1222="","",123.3)</f>
        <v/>
      </c>
      <c r="AC1222" t="str">
        <f>IF(履歴データ!$A$1222="","",SUM(T1222:AA1222))</f>
        <v/>
      </c>
      <c r="AD1222" s="29" t="str">
        <f>IF(履歴データ!$A$1222="","",AC1222/1000000)</f>
        <v/>
      </c>
      <c r="AE1222" s="29">
        <f>IF(履歴データ!$A$1222="",AE1221,AE1221+AC1222/1000000)</f>
        <v>70.844544225831427</v>
      </c>
      <c r="AF1222" s="12" t="str">
        <f>IF(OR(履歴データ!$A$1222="",AE1221=0),"",(AE1222-AE1221)/AE1221)</f>
        <v/>
      </c>
      <c r="AG1222" s="29">
        <f t="shared" si="49"/>
        <v>102.17217746631495</v>
      </c>
      <c r="AH1222" s="12" t="str">
        <f>IF(OR(履歴データ!$A$1222="",AG1222=0),"",AE1222/AG1222-1)</f>
        <v/>
      </c>
    </row>
    <row r="1223" spans="1:34">
      <c r="A1223" s="10" t="str">
        <f>IF(履歴データ!$A$1223="","",履歴データ!$A$1223)</f>
        <v/>
      </c>
      <c r="B1223" s="28" t="str">
        <f>IF(履歴データ!$A$1223="","",(履歴データ!$D$1223-(履歴データ!$B$1223+履歴データ!$F$1223)/2)*100)</f>
        <v/>
      </c>
      <c r="C1223" s="28" t="str">
        <f>IF(履歴データ!$A$1223="","",(履歴データ!$H$1223-(履歴データ!$G$1223+履歴データ!$J$1223)/2)*100)</f>
        <v/>
      </c>
      <c r="D1223" s="28" t="str">
        <f>IF(履歴データ!$A$1223="","",(履歴データ!$D$1223-履歴データ!$H$1223)*100)</f>
        <v/>
      </c>
      <c r="E1223" s="28" t="str">
        <f>IF(履歴データ!$A$1223="","",(履歴データ!$D$1223-履歴データ!$C$1223)*100)</f>
        <v/>
      </c>
      <c r="F1223" s="28" t="str">
        <f>IF(履歴データ!$A$1223="","",(履歴データ!$R$1223-履歴データ!$D$1223)*100)</f>
        <v/>
      </c>
      <c r="G1223" s="28" t="str">
        <f>IF(履歴データ!$A$1223="","",(履歴データ!$S$1223-履歴データ!$R$1223)*100)</f>
        <v/>
      </c>
      <c r="H1223" s="29" t="str">
        <f>IF(履歴データ!$A$1223="","",履歴データ!$O$1223)</f>
        <v/>
      </c>
      <c r="I1223" s="29" t="str">
        <f>IF(履歴データ!$A$1223="","",履歴データ!$Q$1223)</f>
        <v/>
      </c>
      <c r="J1223" s="29" t="str">
        <f>IF(履歴データ!$A$1223="","",履歴データ!$D$1223)</f>
        <v/>
      </c>
      <c r="K1223" s="28" t="str">
        <f>IF(OR(履歴データ!$A$1223="",履歴データ!$A$1222=""),"",B1223-B1222)</f>
        <v/>
      </c>
      <c r="L1223" s="28" t="str">
        <f>IF(OR(履歴データ!$A$1223="",履歴データ!$A$1222=""),"",C1223-C1222)</f>
        <v/>
      </c>
      <c r="M1223" s="28" t="str">
        <f>IF(OR(履歴データ!$A$1223="",履歴データ!$A$1222=""),"",D1223-D1222)</f>
        <v/>
      </c>
      <c r="N1223" s="28" t="str">
        <f>IF(OR(履歴データ!$A$1223="",履歴データ!$A$1222=""),"",E1223-E1222)</f>
        <v/>
      </c>
      <c r="O1223" s="28" t="str">
        <f>IF(OR(履歴データ!$A$1223="",履歴データ!$A$1222=""),"",F1223-F1222)</f>
        <v/>
      </c>
      <c r="P1223" s="28" t="str">
        <f>IF(OR(履歴データ!$A$1223="",履歴データ!$A$1222=""),"",G1223-G1222)</f>
        <v/>
      </c>
      <c r="Q1223" s="29" t="str">
        <f>IF(OR(履歴データ!$A$1223="",履歴データ!$A$1222=""),"",H1223-H1222)</f>
        <v/>
      </c>
      <c r="R1223" s="29" t="str">
        <f>IF(OR(履歴データ!$A$1223="",履歴データ!$A$1222=""),"",I1223-I1222)</f>
        <v/>
      </c>
      <c r="S1223" s="28" t="str">
        <f>IF(OR(履歴データ!$A$1223="",履歴データ!$A$1222=""),"",(J1223-J1222)*100)</f>
        <v/>
      </c>
      <c r="T1223" s="11" t="str">
        <f>IF(OR(履歴データ!$A$1223="",履歴データ!$A$1222=""),"",-80000*K1223)</f>
        <v/>
      </c>
      <c r="U1223" s="11" t="str">
        <f>IF(OR(履歴データ!$A$1223="",履歴データ!$A$1222=""),"",60000*L1223)</f>
        <v/>
      </c>
      <c r="V1223" s="11" t="str">
        <f>IF(OR(履歴データ!$A$1223="",履歴データ!$A$1222=""),"",-50000*M1223)</f>
        <v/>
      </c>
      <c r="W1223" s="11" t="str">
        <f>IF(OR(履歴データ!$A$1223="",履歴データ!$A$1222=""),"",-40000*N1223)</f>
        <v/>
      </c>
      <c r="X1223" s="11" t="str">
        <f>IF(OR(履歴データ!$A$1223="",履歴データ!$A$1222=""),"",120*1000000*(-Q1223/H1222))</f>
        <v/>
      </c>
      <c r="Y1223" s="11" t="str">
        <f>IF(OR(履歴データ!$A$1223="",履歴データ!$A$1222=""),"",40000*(-S1223)+(-506.3)*R1223*1000)</f>
        <v/>
      </c>
      <c r="Z1223" s="11" t="str">
        <f>IF(OR(履歴データ!$A$1223="",履歴データ!$A$1222=""),"",-40000*O1223)</f>
        <v/>
      </c>
      <c r="AA1223" s="11" t="str">
        <f>IF(OR(履歴データ!$A$1223="",履歴データ!$A$1222=""),"",-40000*P1223)</f>
        <v/>
      </c>
      <c r="AB1223" s="11" t="str">
        <f>IF(履歴データ!$A$1223="","",123.3)</f>
        <v/>
      </c>
      <c r="AC1223" t="str">
        <f>IF(履歴データ!$A$1223="","",SUM(T1223:AA1223))</f>
        <v/>
      </c>
      <c r="AD1223" s="29" t="str">
        <f>IF(履歴データ!$A$1223="","",AC1223/1000000)</f>
        <v/>
      </c>
      <c r="AE1223" s="29">
        <f>IF(履歴データ!$A$1223="",AE1222,AE1222+AC1223/1000000)</f>
        <v>70.844544225831427</v>
      </c>
      <c r="AF1223" s="12" t="str">
        <f>IF(OR(履歴データ!$A$1223="",AE1222=0),"",(AE1223-AE1222)/AE1222)</f>
        <v/>
      </c>
      <c r="AG1223" s="29">
        <f t="shared" si="49"/>
        <v>102.17217746631495</v>
      </c>
      <c r="AH1223" s="12" t="str">
        <f>IF(OR(履歴データ!$A$1223="",AG1223=0),"",AE1223/AG1223-1)</f>
        <v/>
      </c>
    </row>
    <row r="1224" spans="1:34">
      <c r="A1224" s="10" t="str">
        <f>IF(履歴データ!$A$1224="","",履歴データ!$A$1224)</f>
        <v/>
      </c>
      <c r="B1224" s="28" t="str">
        <f>IF(履歴データ!$A$1224="","",(履歴データ!$D$1224-(履歴データ!$B$1224+履歴データ!$F$1224)/2)*100)</f>
        <v/>
      </c>
      <c r="C1224" s="28" t="str">
        <f>IF(履歴データ!$A$1224="","",(履歴データ!$H$1224-(履歴データ!$G$1224+履歴データ!$J$1224)/2)*100)</f>
        <v/>
      </c>
      <c r="D1224" s="28" t="str">
        <f>IF(履歴データ!$A$1224="","",(履歴データ!$D$1224-履歴データ!$H$1224)*100)</f>
        <v/>
      </c>
      <c r="E1224" s="28" t="str">
        <f>IF(履歴データ!$A$1224="","",(履歴データ!$D$1224-履歴データ!$C$1224)*100)</f>
        <v/>
      </c>
      <c r="F1224" s="28" t="str">
        <f>IF(履歴データ!$A$1224="","",(履歴データ!$R$1224-履歴データ!$D$1224)*100)</f>
        <v/>
      </c>
      <c r="G1224" s="28" t="str">
        <f>IF(履歴データ!$A$1224="","",(履歴データ!$S$1224-履歴データ!$R$1224)*100)</f>
        <v/>
      </c>
      <c r="H1224" s="29" t="str">
        <f>IF(履歴データ!$A$1224="","",履歴データ!$O$1224)</f>
        <v/>
      </c>
      <c r="I1224" s="29" t="str">
        <f>IF(履歴データ!$A$1224="","",履歴データ!$Q$1224)</f>
        <v/>
      </c>
      <c r="J1224" s="29" t="str">
        <f>IF(履歴データ!$A$1224="","",履歴データ!$D$1224)</f>
        <v/>
      </c>
      <c r="K1224" s="28" t="str">
        <f>IF(OR(履歴データ!$A$1224="",履歴データ!$A$1223=""),"",B1224-B1223)</f>
        <v/>
      </c>
      <c r="L1224" s="28" t="str">
        <f>IF(OR(履歴データ!$A$1224="",履歴データ!$A$1223=""),"",C1224-C1223)</f>
        <v/>
      </c>
      <c r="M1224" s="28" t="str">
        <f>IF(OR(履歴データ!$A$1224="",履歴データ!$A$1223=""),"",D1224-D1223)</f>
        <v/>
      </c>
      <c r="N1224" s="28" t="str">
        <f>IF(OR(履歴データ!$A$1224="",履歴データ!$A$1223=""),"",E1224-E1223)</f>
        <v/>
      </c>
      <c r="O1224" s="28" t="str">
        <f>IF(OR(履歴データ!$A$1224="",履歴データ!$A$1223=""),"",F1224-F1223)</f>
        <v/>
      </c>
      <c r="P1224" s="28" t="str">
        <f>IF(OR(履歴データ!$A$1224="",履歴データ!$A$1223=""),"",G1224-G1223)</f>
        <v/>
      </c>
      <c r="Q1224" s="29" t="str">
        <f>IF(OR(履歴データ!$A$1224="",履歴データ!$A$1223=""),"",H1224-H1223)</f>
        <v/>
      </c>
      <c r="R1224" s="29" t="str">
        <f>IF(OR(履歴データ!$A$1224="",履歴データ!$A$1223=""),"",I1224-I1223)</f>
        <v/>
      </c>
      <c r="S1224" s="28" t="str">
        <f>IF(OR(履歴データ!$A$1224="",履歴データ!$A$1223=""),"",(J1224-J1223)*100)</f>
        <v/>
      </c>
      <c r="T1224" s="11" t="str">
        <f>IF(OR(履歴データ!$A$1224="",履歴データ!$A$1223=""),"",-80000*K1224)</f>
        <v/>
      </c>
      <c r="U1224" s="11" t="str">
        <f>IF(OR(履歴データ!$A$1224="",履歴データ!$A$1223=""),"",60000*L1224)</f>
        <v/>
      </c>
      <c r="V1224" s="11" t="str">
        <f>IF(OR(履歴データ!$A$1224="",履歴データ!$A$1223=""),"",-50000*M1224)</f>
        <v/>
      </c>
      <c r="W1224" s="11" t="str">
        <f>IF(OR(履歴データ!$A$1224="",履歴データ!$A$1223=""),"",-40000*N1224)</f>
        <v/>
      </c>
      <c r="X1224" s="11" t="str">
        <f>IF(OR(履歴データ!$A$1224="",履歴データ!$A$1223=""),"",120*1000000*(-Q1224/H1223))</f>
        <v/>
      </c>
      <c r="Y1224" s="11" t="str">
        <f>IF(OR(履歴データ!$A$1224="",履歴データ!$A$1223=""),"",40000*(-S1224)+(-506.3)*R1224*1000)</f>
        <v/>
      </c>
      <c r="Z1224" s="11" t="str">
        <f>IF(OR(履歴データ!$A$1224="",履歴データ!$A$1223=""),"",-40000*O1224)</f>
        <v/>
      </c>
      <c r="AA1224" s="11" t="str">
        <f>IF(OR(履歴データ!$A$1224="",履歴データ!$A$1223=""),"",-40000*P1224)</f>
        <v/>
      </c>
      <c r="AB1224" s="11" t="str">
        <f>IF(履歴データ!$A$1224="","",123.3)</f>
        <v/>
      </c>
      <c r="AC1224" t="str">
        <f>IF(履歴データ!$A$1224="","",SUM(T1224:AA1224))</f>
        <v/>
      </c>
      <c r="AD1224" s="29" t="str">
        <f>IF(履歴データ!$A$1224="","",AC1224/1000000)</f>
        <v/>
      </c>
      <c r="AE1224" s="29">
        <f>IF(履歴データ!$A$1224="",AE1223,AE1223+AC1224/1000000)</f>
        <v>70.844544225831427</v>
      </c>
      <c r="AF1224" s="12" t="str">
        <f>IF(OR(履歴データ!$A$1224="",AE1223=0),"",(AE1224-AE1223)/AE1223)</f>
        <v/>
      </c>
      <c r="AG1224" s="29">
        <f t="shared" si="49"/>
        <v>102.17217746631495</v>
      </c>
      <c r="AH1224" s="12" t="str">
        <f>IF(OR(履歴データ!$A$1224="",AG1224=0),"",AE1224/AG1224-1)</f>
        <v/>
      </c>
    </row>
    <row r="1225" spans="1:34">
      <c r="A1225" s="10" t="str">
        <f>IF(履歴データ!$A$1225="","",履歴データ!$A$1225)</f>
        <v/>
      </c>
      <c r="B1225" s="28" t="str">
        <f>IF(履歴データ!$A$1225="","",(履歴データ!$D$1225-(履歴データ!$B$1225+履歴データ!$F$1225)/2)*100)</f>
        <v/>
      </c>
      <c r="C1225" s="28" t="str">
        <f>IF(履歴データ!$A$1225="","",(履歴データ!$H$1225-(履歴データ!$G$1225+履歴データ!$J$1225)/2)*100)</f>
        <v/>
      </c>
      <c r="D1225" s="28" t="str">
        <f>IF(履歴データ!$A$1225="","",(履歴データ!$D$1225-履歴データ!$H$1225)*100)</f>
        <v/>
      </c>
      <c r="E1225" s="28" t="str">
        <f>IF(履歴データ!$A$1225="","",(履歴データ!$D$1225-履歴データ!$C$1225)*100)</f>
        <v/>
      </c>
      <c r="F1225" s="28" t="str">
        <f>IF(履歴データ!$A$1225="","",(履歴データ!$R$1225-履歴データ!$D$1225)*100)</f>
        <v/>
      </c>
      <c r="G1225" s="28" t="str">
        <f>IF(履歴データ!$A$1225="","",(履歴データ!$S$1225-履歴データ!$R$1225)*100)</f>
        <v/>
      </c>
      <c r="H1225" s="29" t="str">
        <f>IF(履歴データ!$A$1225="","",履歴データ!$O$1225)</f>
        <v/>
      </c>
      <c r="I1225" s="29" t="str">
        <f>IF(履歴データ!$A$1225="","",履歴データ!$Q$1225)</f>
        <v/>
      </c>
      <c r="J1225" s="29" t="str">
        <f>IF(履歴データ!$A$1225="","",履歴データ!$D$1225)</f>
        <v/>
      </c>
      <c r="K1225" s="28" t="str">
        <f>IF(OR(履歴データ!$A$1225="",履歴データ!$A$1224=""),"",B1225-B1224)</f>
        <v/>
      </c>
      <c r="L1225" s="28" t="str">
        <f>IF(OR(履歴データ!$A$1225="",履歴データ!$A$1224=""),"",C1225-C1224)</f>
        <v/>
      </c>
      <c r="M1225" s="28" t="str">
        <f>IF(OR(履歴データ!$A$1225="",履歴データ!$A$1224=""),"",D1225-D1224)</f>
        <v/>
      </c>
      <c r="N1225" s="28" t="str">
        <f>IF(OR(履歴データ!$A$1225="",履歴データ!$A$1224=""),"",E1225-E1224)</f>
        <v/>
      </c>
      <c r="O1225" s="28" t="str">
        <f>IF(OR(履歴データ!$A$1225="",履歴データ!$A$1224=""),"",F1225-F1224)</f>
        <v/>
      </c>
      <c r="P1225" s="28" t="str">
        <f>IF(OR(履歴データ!$A$1225="",履歴データ!$A$1224=""),"",G1225-G1224)</f>
        <v/>
      </c>
      <c r="Q1225" s="29" t="str">
        <f>IF(OR(履歴データ!$A$1225="",履歴データ!$A$1224=""),"",H1225-H1224)</f>
        <v/>
      </c>
      <c r="R1225" s="29" t="str">
        <f>IF(OR(履歴データ!$A$1225="",履歴データ!$A$1224=""),"",I1225-I1224)</f>
        <v/>
      </c>
      <c r="S1225" s="28" t="str">
        <f>IF(OR(履歴データ!$A$1225="",履歴データ!$A$1224=""),"",(J1225-J1224)*100)</f>
        <v/>
      </c>
      <c r="T1225" s="11" t="str">
        <f>IF(OR(履歴データ!$A$1225="",履歴データ!$A$1224=""),"",-80000*K1225)</f>
        <v/>
      </c>
      <c r="U1225" s="11" t="str">
        <f>IF(OR(履歴データ!$A$1225="",履歴データ!$A$1224=""),"",60000*L1225)</f>
        <v/>
      </c>
      <c r="V1225" s="11" t="str">
        <f>IF(OR(履歴データ!$A$1225="",履歴データ!$A$1224=""),"",-50000*M1225)</f>
        <v/>
      </c>
      <c r="W1225" s="11" t="str">
        <f>IF(OR(履歴データ!$A$1225="",履歴データ!$A$1224=""),"",-40000*N1225)</f>
        <v/>
      </c>
      <c r="X1225" s="11" t="str">
        <f>IF(OR(履歴データ!$A$1225="",履歴データ!$A$1224=""),"",120*1000000*(-Q1225/H1224))</f>
        <v/>
      </c>
      <c r="Y1225" s="11" t="str">
        <f>IF(OR(履歴データ!$A$1225="",履歴データ!$A$1224=""),"",40000*(-S1225)+(-506.3)*R1225*1000)</f>
        <v/>
      </c>
      <c r="Z1225" s="11" t="str">
        <f>IF(OR(履歴データ!$A$1225="",履歴データ!$A$1224=""),"",-40000*O1225)</f>
        <v/>
      </c>
      <c r="AA1225" s="11" t="str">
        <f>IF(OR(履歴データ!$A$1225="",履歴データ!$A$1224=""),"",-40000*P1225)</f>
        <v/>
      </c>
      <c r="AB1225" s="11" t="str">
        <f>IF(履歴データ!$A$1225="","",123.3)</f>
        <v/>
      </c>
      <c r="AC1225" t="str">
        <f>IF(履歴データ!$A$1225="","",SUM(T1225:AA1225))</f>
        <v/>
      </c>
      <c r="AD1225" s="29" t="str">
        <f>IF(履歴データ!$A$1225="","",AC1225/1000000)</f>
        <v/>
      </c>
      <c r="AE1225" s="29">
        <f>IF(履歴データ!$A$1225="",AE1224,AE1224+AC1225/1000000)</f>
        <v>70.844544225831427</v>
      </c>
      <c r="AF1225" s="12" t="str">
        <f>IF(OR(履歴データ!$A$1225="",AE1224=0),"",(AE1225-AE1224)/AE1224)</f>
        <v/>
      </c>
      <c r="AG1225" s="29">
        <f t="shared" si="49"/>
        <v>102.17217746631495</v>
      </c>
      <c r="AH1225" s="12" t="str">
        <f>IF(OR(履歴データ!$A$1225="",AG1225=0),"",AE1225/AG1225-1)</f>
        <v/>
      </c>
    </row>
    <row r="1226" spans="1:34">
      <c r="A1226" s="10" t="str">
        <f>IF(履歴データ!$A$1226="","",履歴データ!$A$1226)</f>
        <v/>
      </c>
      <c r="B1226" s="28" t="str">
        <f>IF(履歴データ!$A$1226="","",(履歴データ!$D$1226-(履歴データ!$B$1226+履歴データ!$F$1226)/2)*100)</f>
        <v/>
      </c>
      <c r="C1226" s="28" t="str">
        <f>IF(履歴データ!$A$1226="","",(履歴データ!$H$1226-(履歴データ!$G$1226+履歴データ!$J$1226)/2)*100)</f>
        <v/>
      </c>
      <c r="D1226" s="28" t="str">
        <f>IF(履歴データ!$A$1226="","",(履歴データ!$D$1226-履歴データ!$H$1226)*100)</f>
        <v/>
      </c>
      <c r="E1226" s="28" t="str">
        <f>IF(履歴データ!$A$1226="","",(履歴データ!$D$1226-履歴データ!$C$1226)*100)</f>
        <v/>
      </c>
      <c r="F1226" s="28" t="str">
        <f>IF(履歴データ!$A$1226="","",(履歴データ!$R$1226-履歴データ!$D$1226)*100)</f>
        <v/>
      </c>
      <c r="G1226" s="28" t="str">
        <f>IF(履歴データ!$A$1226="","",(履歴データ!$S$1226-履歴データ!$R$1226)*100)</f>
        <v/>
      </c>
      <c r="H1226" s="29" t="str">
        <f>IF(履歴データ!$A$1226="","",履歴データ!$O$1226)</f>
        <v/>
      </c>
      <c r="I1226" s="29" t="str">
        <f>IF(履歴データ!$A$1226="","",履歴データ!$Q$1226)</f>
        <v/>
      </c>
      <c r="J1226" s="29" t="str">
        <f>IF(履歴データ!$A$1226="","",履歴データ!$D$1226)</f>
        <v/>
      </c>
      <c r="K1226" s="28" t="str">
        <f>IF(OR(履歴データ!$A$1226="",履歴データ!$A$1225=""),"",B1226-B1225)</f>
        <v/>
      </c>
      <c r="L1226" s="28" t="str">
        <f>IF(OR(履歴データ!$A$1226="",履歴データ!$A$1225=""),"",C1226-C1225)</f>
        <v/>
      </c>
      <c r="M1226" s="28" t="str">
        <f>IF(OR(履歴データ!$A$1226="",履歴データ!$A$1225=""),"",D1226-D1225)</f>
        <v/>
      </c>
      <c r="N1226" s="28" t="str">
        <f>IF(OR(履歴データ!$A$1226="",履歴データ!$A$1225=""),"",E1226-E1225)</f>
        <v/>
      </c>
      <c r="O1226" s="28" t="str">
        <f>IF(OR(履歴データ!$A$1226="",履歴データ!$A$1225=""),"",F1226-F1225)</f>
        <v/>
      </c>
      <c r="P1226" s="28" t="str">
        <f>IF(OR(履歴データ!$A$1226="",履歴データ!$A$1225=""),"",G1226-G1225)</f>
        <v/>
      </c>
      <c r="Q1226" s="29" t="str">
        <f>IF(OR(履歴データ!$A$1226="",履歴データ!$A$1225=""),"",H1226-H1225)</f>
        <v/>
      </c>
      <c r="R1226" s="29" t="str">
        <f>IF(OR(履歴データ!$A$1226="",履歴データ!$A$1225=""),"",I1226-I1225)</f>
        <v/>
      </c>
      <c r="S1226" s="28" t="str">
        <f>IF(OR(履歴データ!$A$1226="",履歴データ!$A$1225=""),"",(J1226-J1225)*100)</f>
        <v/>
      </c>
      <c r="T1226" s="11" t="str">
        <f>IF(OR(履歴データ!$A$1226="",履歴データ!$A$1225=""),"",-80000*K1226)</f>
        <v/>
      </c>
      <c r="U1226" s="11" t="str">
        <f>IF(OR(履歴データ!$A$1226="",履歴データ!$A$1225=""),"",60000*L1226)</f>
        <v/>
      </c>
      <c r="V1226" s="11" t="str">
        <f>IF(OR(履歴データ!$A$1226="",履歴データ!$A$1225=""),"",-50000*M1226)</f>
        <v/>
      </c>
      <c r="W1226" s="11" t="str">
        <f>IF(OR(履歴データ!$A$1226="",履歴データ!$A$1225=""),"",-40000*N1226)</f>
        <v/>
      </c>
      <c r="X1226" s="11" t="str">
        <f>IF(OR(履歴データ!$A$1226="",履歴データ!$A$1225=""),"",120*1000000*(-Q1226/H1225))</f>
        <v/>
      </c>
      <c r="Y1226" s="11" t="str">
        <f>IF(OR(履歴データ!$A$1226="",履歴データ!$A$1225=""),"",40000*(-S1226)+(-506.3)*R1226*1000)</f>
        <v/>
      </c>
      <c r="Z1226" s="11" t="str">
        <f>IF(OR(履歴データ!$A$1226="",履歴データ!$A$1225=""),"",-40000*O1226)</f>
        <v/>
      </c>
      <c r="AA1226" s="11" t="str">
        <f>IF(OR(履歴データ!$A$1226="",履歴データ!$A$1225=""),"",-40000*P1226)</f>
        <v/>
      </c>
      <c r="AB1226" s="11" t="str">
        <f>IF(履歴データ!$A$1226="","",123.3)</f>
        <v/>
      </c>
      <c r="AC1226" t="str">
        <f>IF(履歴データ!$A$1226="","",SUM(T1226:AA1226))</f>
        <v/>
      </c>
      <c r="AD1226" s="29" t="str">
        <f>IF(履歴データ!$A$1226="","",AC1226/1000000)</f>
        <v/>
      </c>
      <c r="AE1226" s="29">
        <f>IF(履歴データ!$A$1226="",AE1225,AE1225+AC1226/1000000)</f>
        <v>70.844544225831427</v>
      </c>
      <c r="AF1226" s="12" t="str">
        <f>IF(OR(履歴データ!$A$1226="",AE1225=0),"",(AE1226-AE1225)/AE1225)</f>
        <v/>
      </c>
      <c r="AG1226" s="29">
        <f t="shared" si="49"/>
        <v>102.17217746631495</v>
      </c>
      <c r="AH1226" s="12" t="str">
        <f>IF(OR(履歴データ!$A$1226="",AG1226=0),"",AE1226/AG1226-1)</f>
        <v/>
      </c>
    </row>
    <row r="1227" spans="1:34">
      <c r="A1227" s="10" t="str">
        <f>IF(履歴データ!$A$1227="","",履歴データ!$A$1227)</f>
        <v/>
      </c>
      <c r="B1227" s="28" t="str">
        <f>IF(履歴データ!$A$1227="","",(履歴データ!$D$1227-(履歴データ!$B$1227+履歴データ!$F$1227)/2)*100)</f>
        <v/>
      </c>
      <c r="C1227" s="28" t="str">
        <f>IF(履歴データ!$A$1227="","",(履歴データ!$H$1227-(履歴データ!$G$1227+履歴データ!$J$1227)/2)*100)</f>
        <v/>
      </c>
      <c r="D1227" s="28" t="str">
        <f>IF(履歴データ!$A$1227="","",(履歴データ!$D$1227-履歴データ!$H$1227)*100)</f>
        <v/>
      </c>
      <c r="E1227" s="28" t="str">
        <f>IF(履歴データ!$A$1227="","",(履歴データ!$D$1227-履歴データ!$C$1227)*100)</f>
        <v/>
      </c>
      <c r="F1227" s="28" t="str">
        <f>IF(履歴データ!$A$1227="","",(履歴データ!$R$1227-履歴データ!$D$1227)*100)</f>
        <v/>
      </c>
      <c r="G1227" s="28" t="str">
        <f>IF(履歴データ!$A$1227="","",(履歴データ!$S$1227-履歴データ!$R$1227)*100)</f>
        <v/>
      </c>
      <c r="H1227" s="29" t="str">
        <f>IF(履歴データ!$A$1227="","",履歴データ!$O$1227)</f>
        <v/>
      </c>
      <c r="I1227" s="29" t="str">
        <f>IF(履歴データ!$A$1227="","",履歴データ!$Q$1227)</f>
        <v/>
      </c>
      <c r="J1227" s="29" t="str">
        <f>IF(履歴データ!$A$1227="","",履歴データ!$D$1227)</f>
        <v/>
      </c>
      <c r="K1227" s="28" t="str">
        <f>IF(OR(履歴データ!$A$1227="",履歴データ!$A$1226=""),"",B1227-B1226)</f>
        <v/>
      </c>
      <c r="L1227" s="28" t="str">
        <f>IF(OR(履歴データ!$A$1227="",履歴データ!$A$1226=""),"",C1227-C1226)</f>
        <v/>
      </c>
      <c r="M1227" s="28" t="str">
        <f>IF(OR(履歴データ!$A$1227="",履歴データ!$A$1226=""),"",D1227-D1226)</f>
        <v/>
      </c>
      <c r="N1227" s="28" t="str">
        <f>IF(OR(履歴データ!$A$1227="",履歴データ!$A$1226=""),"",E1227-E1226)</f>
        <v/>
      </c>
      <c r="O1227" s="28" t="str">
        <f>IF(OR(履歴データ!$A$1227="",履歴データ!$A$1226=""),"",F1227-F1226)</f>
        <v/>
      </c>
      <c r="P1227" s="28" t="str">
        <f>IF(OR(履歴データ!$A$1227="",履歴データ!$A$1226=""),"",G1227-G1226)</f>
        <v/>
      </c>
      <c r="Q1227" s="29" t="str">
        <f>IF(OR(履歴データ!$A$1227="",履歴データ!$A$1226=""),"",H1227-H1226)</f>
        <v/>
      </c>
      <c r="R1227" s="29" t="str">
        <f>IF(OR(履歴データ!$A$1227="",履歴データ!$A$1226=""),"",I1227-I1226)</f>
        <v/>
      </c>
      <c r="S1227" s="28" t="str">
        <f>IF(OR(履歴データ!$A$1227="",履歴データ!$A$1226=""),"",(J1227-J1226)*100)</f>
        <v/>
      </c>
      <c r="T1227" s="11" t="str">
        <f>IF(OR(履歴データ!$A$1227="",履歴データ!$A$1226=""),"",-80000*K1227)</f>
        <v/>
      </c>
      <c r="U1227" s="11" t="str">
        <f>IF(OR(履歴データ!$A$1227="",履歴データ!$A$1226=""),"",60000*L1227)</f>
        <v/>
      </c>
      <c r="V1227" s="11" t="str">
        <f>IF(OR(履歴データ!$A$1227="",履歴データ!$A$1226=""),"",-50000*M1227)</f>
        <v/>
      </c>
      <c r="W1227" s="11" t="str">
        <f>IF(OR(履歴データ!$A$1227="",履歴データ!$A$1226=""),"",-40000*N1227)</f>
        <v/>
      </c>
      <c r="X1227" s="11" t="str">
        <f>IF(OR(履歴データ!$A$1227="",履歴データ!$A$1226=""),"",120*1000000*(-Q1227/H1226))</f>
        <v/>
      </c>
      <c r="Y1227" s="11" t="str">
        <f>IF(OR(履歴データ!$A$1227="",履歴データ!$A$1226=""),"",40000*(-S1227)+(-506.3)*R1227*1000)</f>
        <v/>
      </c>
      <c r="Z1227" s="11" t="str">
        <f>IF(OR(履歴データ!$A$1227="",履歴データ!$A$1226=""),"",-40000*O1227)</f>
        <v/>
      </c>
      <c r="AA1227" s="11" t="str">
        <f>IF(OR(履歴データ!$A$1227="",履歴データ!$A$1226=""),"",-40000*P1227)</f>
        <v/>
      </c>
      <c r="AB1227" s="11" t="str">
        <f>IF(履歴データ!$A$1227="","",123.3)</f>
        <v/>
      </c>
      <c r="AC1227" t="str">
        <f>IF(履歴データ!$A$1227="","",SUM(T1227:AA1227))</f>
        <v/>
      </c>
      <c r="AD1227" s="29" t="str">
        <f>IF(履歴データ!$A$1227="","",AC1227/1000000)</f>
        <v/>
      </c>
      <c r="AE1227" s="29">
        <f>IF(履歴データ!$A$1227="",AE1226,AE1226+AC1227/1000000)</f>
        <v>70.844544225831427</v>
      </c>
      <c r="AF1227" s="12" t="str">
        <f>IF(OR(履歴データ!$A$1227="",AE1226=0),"",(AE1227-AE1226)/AE1226)</f>
        <v/>
      </c>
      <c r="AG1227" s="29">
        <f t="shared" si="49"/>
        <v>102.17217746631495</v>
      </c>
      <c r="AH1227" s="12" t="str">
        <f>IF(OR(履歴データ!$A$1227="",AG1227=0),"",AE1227/AG1227-1)</f>
        <v/>
      </c>
    </row>
    <row r="1228" spans="1:34">
      <c r="A1228" s="10" t="str">
        <f>IF(履歴データ!$A$1228="","",履歴データ!$A$1228)</f>
        <v/>
      </c>
      <c r="B1228" s="28" t="str">
        <f>IF(履歴データ!$A$1228="","",(履歴データ!$D$1228-(履歴データ!$B$1228+履歴データ!$F$1228)/2)*100)</f>
        <v/>
      </c>
      <c r="C1228" s="28" t="str">
        <f>IF(履歴データ!$A$1228="","",(履歴データ!$H$1228-(履歴データ!$G$1228+履歴データ!$J$1228)/2)*100)</f>
        <v/>
      </c>
      <c r="D1228" s="28" t="str">
        <f>IF(履歴データ!$A$1228="","",(履歴データ!$D$1228-履歴データ!$H$1228)*100)</f>
        <v/>
      </c>
      <c r="E1228" s="28" t="str">
        <f>IF(履歴データ!$A$1228="","",(履歴データ!$D$1228-履歴データ!$C$1228)*100)</f>
        <v/>
      </c>
      <c r="F1228" s="28" t="str">
        <f>IF(履歴データ!$A$1228="","",(履歴データ!$R$1228-履歴データ!$D$1228)*100)</f>
        <v/>
      </c>
      <c r="G1228" s="28" t="str">
        <f>IF(履歴データ!$A$1228="","",(履歴データ!$S$1228-履歴データ!$R$1228)*100)</f>
        <v/>
      </c>
      <c r="H1228" s="29" t="str">
        <f>IF(履歴データ!$A$1228="","",履歴データ!$O$1228)</f>
        <v/>
      </c>
      <c r="I1228" s="29" t="str">
        <f>IF(履歴データ!$A$1228="","",履歴データ!$Q$1228)</f>
        <v/>
      </c>
      <c r="J1228" s="29" t="str">
        <f>IF(履歴データ!$A$1228="","",履歴データ!$D$1228)</f>
        <v/>
      </c>
      <c r="K1228" s="28" t="str">
        <f>IF(OR(履歴データ!$A$1228="",履歴データ!$A$1227=""),"",B1228-B1227)</f>
        <v/>
      </c>
      <c r="L1228" s="28" t="str">
        <f>IF(OR(履歴データ!$A$1228="",履歴データ!$A$1227=""),"",C1228-C1227)</f>
        <v/>
      </c>
      <c r="M1228" s="28" t="str">
        <f>IF(OR(履歴データ!$A$1228="",履歴データ!$A$1227=""),"",D1228-D1227)</f>
        <v/>
      </c>
      <c r="N1228" s="28" t="str">
        <f>IF(OR(履歴データ!$A$1228="",履歴データ!$A$1227=""),"",E1228-E1227)</f>
        <v/>
      </c>
      <c r="O1228" s="28" t="str">
        <f>IF(OR(履歴データ!$A$1228="",履歴データ!$A$1227=""),"",F1228-F1227)</f>
        <v/>
      </c>
      <c r="P1228" s="28" t="str">
        <f>IF(OR(履歴データ!$A$1228="",履歴データ!$A$1227=""),"",G1228-G1227)</f>
        <v/>
      </c>
      <c r="Q1228" s="29" t="str">
        <f>IF(OR(履歴データ!$A$1228="",履歴データ!$A$1227=""),"",H1228-H1227)</f>
        <v/>
      </c>
      <c r="R1228" s="29" t="str">
        <f>IF(OR(履歴データ!$A$1228="",履歴データ!$A$1227=""),"",I1228-I1227)</f>
        <v/>
      </c>
      <c r="S1228" s="28" t="str">
        <f>IF(OR(履歴データ!$A$1228="",履歴データ!$A$1227=""),"",(J1228-J1227)*100)</f>
        <v/>
      </c>
      <c r="T1228" s="11" t="str">
        <f>IF(OR(履歴データ!$A$1228="",履歴データ!$A$1227=""),"",-80000*K1228)</f>
        <v/>
      </c>
      <c r="U1228" s="11" t="str">
        <f>IF(OR(履歴データ!$A$1228="",履歴データ!$A$1227=""),"",60000*L1228)</f>
        <v/>
      </c>
      <c r="V1228" s="11" t="str">
        <f>IF(OR(履歴データ!$A$1228="",履歴データ!$A$1227=""),"",-50000*M1228)</f>
        <v/>
      </c>
      <c r="W1228" s="11" t="str">
        <f>IF(OR(履歴データ!$A$1228="",履歴データ!$A$1227=""),"",-40000*N1228)</f>
        <v/>
      </c>
      <c r="X1228" s="11" t="str">
        <f>IF(OR(履歴データ!$A$1228="",履歴データ!$A$1227=""),"",120*1000000*(-Q1228/H1227))</f>
        <v/>
      </c>
      <c r="Y1228" s="11" t="str">
        <f>IF(OR(履歴データ!$A$1228="",履歴データ!$A$1227=""),"",40000*(-S1228)+(-506.3)*R1228*1000)</f>
        <v/>
      </c>
      <c r="Z1228" s="11" t="str">
        <f>IF(OR(履歴データ!$A$1228="",履歴データ!$A$1227=""),"",-40000*O1228)</f>
        <v/>
      </c>
      <c r="AA1228" s="11" t="str">
        <f>IF(OR(履歴データ!$A$1228="",履歴データ!$A$1227=""),"",-40000*P1228)</f>
        <v/>
      </c>
      <c r="AB1228" s="11" t="str">
        <f>IF(履歴データ!$A$1228="","",123.3)</f>
        <v/>
      </c>
      <c r="AC1228" t="str">
        <f>IF(履歴データ!$A$1228="","",SUM(T1228:AA1228))</f>
        <v/>
      </c>
      <c r="AD1228" s="29" t="str">
        <f>IF(履歴データ!$A$1228="","",AC1228/1000000)</f>
        <v/>
      </c>
      <c r="AE1228" s="29">
        <f>IF(履歴データ!$A$1228="",AE1227,AE1227+AC1228/1000000)</f>
        <v>70.844544225831427</v>
      </c>
      <c r="AF1228" s="12" t="str">
        <f>IF(OR(履歴データ!$A$1228="",AE1227=0),"",(AE1228-AE1227)/AE1227)</f>
        <v/>
      </c>
      <c r="AG1228" s="29">
        <f t="shared" si="49"/>
        <v>102.17217746631495</v>
      </c>
      <c r="AH1228" s="12" t="str">
        <f>IF(OR(履歴データ!$A$1228="",AG1228=0),"",AE1228/AG1228-1)</f>
        <v/>
      </c>
    </row>
    <row r="1229" spans="1:34">
      <c r="A1229" s="10" t="str">
        <f>IF(履歴データ!$A$1229="","",履歴データ!$A$1229)</f>
        <v/>
      </c>
      <c r="B1229" s="28" t="str">
        <f>IF(履歴データ!$A$1229="","",(履歴データ!$D$1229-(履歴データ!$B$1229+履歴データ!$F$1229)/2)*100)</f>
        <v/>
      </c>
      <c r="C1229" s="28" t="str">
        <f>IF(履歴データ!$A$1229="","",(履歴データ!$H$1229-(履歴データ!$G$1229+履歴データ!$J$1229)/2)*100)</f>
        <v/>
      </c>
      <c r="D1229" s="28" t="str">
        <f>IF(履歴データ!$A$1229="","",(履歴データ!$D$1229-履歴データ!$H$1229)*100)</f>
        <v/>
      </c>
      <c r="E1229" s="28" t="str">
        <f>IF(履歴データ!$A$1229="","",(履歴データ!$D$1229-履歴データ!$C$1229)*100)</f>
        <v/>
      </c>
      <c r="F1229" s="28" t="str">
        <f>IF(履歴データ!$A$1229="","",(履歴データ!$R$1229-履歴データ!$D$1229)*100)</f>
        <v/>
      </c>
      <c r="G1229" s="28" t="str">
        <f>IF(履歴データ!$A$1229="","",(履歴データ!$S$1229-履歴データ!$R$1229)*100)</f>
        <v/>
      </c>
      <c r="H1229" s="29" t="str">
        <f>IF(履歴データ!$A$1229="","",履歴データ!$O$1229)</f>
        <v/>
      </c>
      <c r="I1229" s="29" t="str">
        <f>IF(履歴データ!$A$1229="","",履歴データ!$Q$1229)</f>
        <v/>
      </c>
      <c r="J1229" s="29" t="str">
        <f>IF(履歴データ!$A$1229="","",履歴データ!$D$1229)</f>
        <v/>
      </c>
      <c r="K1229" s="28" t="str">
        <f>IF(OR(履歴データ!$A$1229="",履歴データ!$A$1228=""),"",B1229-B1228)</f>
        <v/>
      </c>
      <c r="L1229" s="28" t="str">
        <f>IF(OR(履歴データ!$A$1229="",履歴データ!$A$1228=""),"",C1229-C1228)</f>
        <v/>
      </c>
      <c r="M1229" s="28" t="str">
        <f>IF(OR(履歴データ!$A$1229="",履歴データ!$A$1228=""),"",D1229-D1228)</f>
        <v/>
      </c>
      <c r="N1229" s="28" t="str">
        <f>IF(OR(履歴データ!$A$1229="",履歴データ!$A$1228=""),"",E1229-E1228)</f>
        <v/>
      </c>
      <c r="O1229" s="28" t="str">
        <f>IF(OR(履歴データ!$A$1229="",履歴データ!$A$1228=""),"",F1229-F1228)</f>
        <v/>
      </c>
      <c r="P1229" s="28" t="str">
        <f>IF(OR(履歴データ!$A$1229="",履歴データ!$A$1228=""),"",G1229-G1228)</f>
        <v/>
      </c>
      <c r="Q1229" s="29" t="str">
        <f>IF(OR(履歴データ!$A$1229="",履歴データ!$A$1228=""),"",H1229-H1228)</f>
        <v/>
      </c>
      <c r="R1229" s="29" t="str">
        <f>IF(OR(履歴データ!$A$1229="",履歴データ!$A$1228=""),"",I1229-I1228)</f>
        <v/>
      </c>
      <c r="S1229" s="28" t="str">
        <f>IF(OR(履歴データ!$A$1229="",履歴データ!$A$1228=""),"",(J1229-J1228)*100)</f>
        <v/>
      </c>
      <c r="T1229" s="11" t="str">
        <f>IF(OR(履歴データ!$A$1229="",履歴データ!$A$1228=""),"",-80000*K1229)</f>
        <v/>
      </c>
      <c r="U1229" s="11" t="str">
        <f>IF(OR(履歴データ!$A$1229="",履歴データ!$A$1228=""),"",60000*L1229)</f>
        <v/>
      </c>
      <c r="V1229" s="11" t="str">
        <f>IF(OR(履歴データ!$A$1229="",履歴データ!$A$1228=""),"",-50000*M1229)</f>
        <v/>
      </c>
      <c r="W1229" s="11" t="str">
        <f>IF(OR(履歴データ!$A$1229="",履歴データ!$A$1228=""),"",-40000*N1229)</f>
        <v/>
      </c>
      <c r="X1229" s="11" t="str">
        <f>IF(OR(履歴データ!$A$1229="",履歴データ!$A$1228=""),"",120*1000000*(-Q1229/H1228))</f>
        <v/>
      </c>
      <c r="Y1229" s="11" t="str">
        <f>IF(OR(履歴データ!$A$1229="",履歴データ!$A$1228=""),"",40000*(-S1229)+(-506.3)*R1229*1000)</f>
        <v/>
      </c>
      <c r="Z1229" s="11" t="str">
        <f>IF(OR(履歴データ!$A$1229="",履歴データ!$A$1228=""),"",-40000*O1229)</f>
        <v/>
      </c>
      <c r="AA1229" s="11" t="str">
        <f>IF(OR(履歴データ!$A$1229="",履歴データ!$A$1228=""),"",-40000*P1229)</f>
        <v/>
      </c>
      <c r="AB1229" s="11" t="str">
        <f>IF(履歴データ!$A$1229="","",123.3)</f>
        <v/>
      </c>
      <c r="AC1229" t="str">
        <f>IF(履歴データ!$A$1229="","",SUM(T1229:AA1229))</f>
        <v/>
      </c>
      <c r="AD1229" s="29" t="str">
        <f>IF(履歴データ!$A$1229="","",AC1229/1000000)</f>
        <v/>
      </c>
      <c r="AE1229" s="29">
        <f>IF(履歴データ!$A$1229="",AE1228,AE1228+AC1229/1000000)</f>
        <v>70.844544225831427</v>
      </c>
      <c r="AF1229" s="12" t="str">
        <f>IF(OR(履歴データ!$A$1229="",AE1228=0),"",(AE1229-AE1228)/AE1228)</f>
        <v/>
      </c>
      <c r="AG1229" s="29">
        <f t="shared" si="49"/>
        <v>102.17217746631495</v>
      </c>
      <c r="AH1229" s="12" t="str">
        <f>IF(OR(履歴データ!$A$1229="",AG1229=0),"",AE1229/AG1229-1)</f>
        <v/>
      </c>
    </row>
    <row r="1230" spans="1:34">
      <c r="A1230" s="10" t="str">
        <f>IF(履歴データ!$A$1230="","",履歴データ!$A$1230)</f>
        <v/>
      </c>
      <c r="B1230" s="28" t="str">
        <f>IF(履歴データ!$A$1230="","",(履歴データ!$D$1230-(履歴データ!$B$1230+履歴データ!$F$1230)/2)*100)</f>
        <v/>
      </c>
      <c r="C1230" s="28" t="str">
        <f>IF(履歴データ!$A$1230="","",(履歴データ!$H$1230-(履歴データ!$G$1230+履歴データ!$J$1230)/2)*100)</f>
        <v/>
      </c>
      <c r="D1230" s="28" t="str">
        <f>IF(履歴データ!$A$1230="","",(履歴データ!$D$1230-履歴データ!$H$1230)*100)</f>
        <v/>
      </c>
      <c r="E1230" s="28" t="str">
        <f>IF(履歴データ!$A$1230="","",(履歴データ!$D$1230-履歴データ!$C$1230)*100)</f>
        <v/>
      </c>
      <c r="F1230" s="28" t="str">
        <f>IF(履歴データ!$A$1230="","",(履歴データ!$R$1230-履歴データ!$D$1230)*100)</f>
        <v/>
      </c>
      <c r="G1230" s="28" t="str">
        <f>IF(履歴データ!$A$1230="","",(履歴データ!$S$1230-履歴データ!$R$1230)*100)</f>
        <v/>
      </c>
      <c r="H1230" s="29" t="str">
        <f>IF(履歴データ!$A$1230="","",履歴データ!$O$1230)</f>
        <v/>
      </c>
      <c r="I1230" s="29" t="str">
        <f>IF(履歴データ!$A$1230="","",履歴データ!$Q$1230)</f>
        <v/>
      </c>
      <c r="J1230" s="29" t="str">
        <f>IF(履歴データ!$A$1230="","",履歴データ!$D$1230)</f>
        <v/>
      </c>
      <c r="K1230" s="28" t="str">
        <f>IF(OR(履歴データ!$A$1230="",履歴データ!$A$1229=""),"",B1230-B1229)</f>
        <v/>
      </c>
      <c r="L1230" s="28" t="str">
        <f>IF(OR(履歴データ!$A$1230="",履歴データ!$A$1229=""),"",C1230-C1229)</f>
        <v/>
      </c>
      <c r="M1230" s="28" t="str">
        <f>IF(OR(履歴データ!$A$1230="",履歴データ!$A$1229=""),"",D1230-D1229)</f>
        <v/>
      </c>
      <c r="N1230" s="28" t="str">
        <f>IF(OR(履歴データ!$A$1230="",履歴データ!$A$1229=""),"",E1230-E1229)</f>
        <v/>
      </c>
      <c r="O1230" s="28" t="str">
        <f>IF(OR(履歴データ!$A$1230="",履歴データ!$A$1229=""),"",F1230-F1229)</f>
        <v/>
      </c>
      <c r="P1230" s="28" t="str">
        <f>IF(OR(履歴データ!$A$1230="",履歴データ!$A$1229=""),"",G1230-G1229)</f>
        <v/>
      </c>
      <c r="Q1230" s="29" t="str">
        <f>IF(OR(履歴データ!$A$1230="",履歴データ!$A$1229=""),"",H1230-H1229)</f>
        <v/>
      </c>
      <c r="R1230" s="29" t="str">
        <f>IF(OR(履歴データ!$A$1230="",履歴データ!$A$1229=""),"",I1230-I1229)</f>
        <v/>
      </c>
      <c r="S1230" s="28" t="str">
        <f>IF(OR(履歴データ!$A$1230="",履歴データ!$A$1229=""),"",(J1230-J1229)*100)</f>
        <v/>
      </c>
      <c r="T1230" s="11" t="str">
        <f>IF(OR(履歴データ!$A$1230="",履歴データ!$A$1229=""),"",-80000*K1230)</f>
        <v/>
      </c>
      <c r="U1230" s="11" t="str">
        <f>IF(OR(履歴データ!$A$1230="",履歴データ!$A$1229=""),"",60000*L1230)</f>
        <v/>
      </c>
      <c r="V1230" s="11" t="str">
        <f>IF(OR(履歴データ!$A$1230="",履歴データ!$A$1229=""),"",-50000*M1230)</f>
        <v/>
      </c>
      <c r="W1230" s="11" t="str">
        <f>IF(OR(履歴データ!$A$1230="",履歴データ!$A$1229=""),"",-40000*N1230)</f>
        <v/>
      </c>
      <c r="X1230" s="11" t="str">
        <f>IF(OR(履歴データ!$A$1230="",履歴データ!$A$1229=""),"",120*1000000*(-Q1230/H1229))</f>
        <v/>
      </c>
      <c r="Y1230" s="11" t="str">
        <f>IF(OR(履歴データ!$A$1230="",履歴データ!$A$1229=""),"",40000*(-S1230)+(-506.3)*R1230*1000)</f>
        <v/>
      </c>
      <c r="Z1230" s="11" t="str">
        <f>IF(OR(履歴データ!$A$1230="",履歴データ!$A$1229=""),"",-40000*O1230)</f>
        <v/>
      </c>
      <c r="AA1230" s="11" t="str">
        <f>IF(OR(履歴データ!$A$1230="",履歴データ!$A$1229=""),"",-40000*P1230)</f>
        <v/>
      </c>
      <c r="AB1230" s="11" t="str">
        <f>IF(履歴データ!$A$1230="","",123.3)</f>
        <v/>
      </c>
      <c r="AC1230" t="str">
        <f>IF(履歴データ!$A$1230="","",SUM(T1230:AA1230))</f>
        <v/>
      </c>
      <c r="AD1230" s="29" t="str">
        <f>IF(履歴データ!$A$1230="","",AC1230/1000000)</f>
        <v/>
      </c>
      <c r="AE1230" s="29">
        <f>IF(履歴データ!$A$1230="",AE1229,AE1229+AC1230/1000000)</f>
        <v>70.844544225831427</v>
      </c>
      <c r="AF1230" s="12" t="str">
        <f>IF(OR(履歴データ!$A$1230="",AE1229=0),"",(AE1230-AE1229)/AE1229)</f>
        <v/>
      </c>
      <c r="AG1230" s="29">
        <f t="shared" si="49"/>
        <v>102.17217746631495</v>
      </c>
      <c r="AH1230" s="12" t="str">
        <f>IF(OR(履歴データ!$A$1230="",AG1230=0),"",AE1230/AG1230-1)</f>
        <v/>
      </c>
    </row>
    <row r="1231" spans="1:34">
      <c r="A1231" s="10" t="str">
        <f>IF(履歴データ!$A$1231="","",履歴データ!$A$1231)</f>
        <v/>
      </c>
      <c r="B1231" s="28" t="str">
        <f>IF(履歴データ!$A$1231="","",(履歴データ!$D$1231-(履歴データ!$B$1231+履歴データ!$F$1231)/2)*100)</f>
        <v/>
      </c>
      <c r="C1231" s="28" t="str">
        <f>IF(履歴データ!$A$1231="","",(履歴データ!$H$1231-(履歴データ!$G$1231+履歴データ!$J$1231)/2)*100)</f>
        <v/>
      </c>
      <c r="D1231" s="28" t="str">
        <f>IF(履歴データ!$A$1231="","",(履歴データ!$D$1231-履歴データ!$H$1231)*100)</f>
        <v/>
      </c>
      <c r="E1231" s="28" t="str">
        <f>IF(履歴データ!$A$1231="","",(履歴データ!$D$1231-履歴データ!$C$1231)*100)</f>
        <v/>
      </c>
      <c r="F1231" s="28" t="str">
        <f>IF(履歴データ!$A$1231="","",(履歴データ!$R$1231-履歴データ!$D$1231)*100)</f>
        <v/>
      </c>
      <c r="G1231" s="28" t="str">
        <f>IF(履歴データ!$A$1231="","",(履歴データ!$S$1231-履歴データ!$R$1231)*100)</f>
        <v/>
      </c>
      <c r="H1231" s="29" t="str">
        <f>IF(履歴データ!$A$1231="","",履歴データ!$O$1231)</f>
        <v/>
      </c>
      <c r="I1231" s="29" t="str">
        <f>IF(履歴データ!$A$1231="","",履歴データ!$Q$1231)</f>
        <v/>
      </c>
      <c r="J1231" s="29" t="str">
        <f>IF(履歴データ!$A$1231="","",履歴データ!$D$1231)</f>
        <v/>
      </c>
      <c r="K1231" s="28" t="str">
        <f>IF(OR(履歴データ!$A$1231="",履歴データ!$A$1230=""),"",B1231-B1230)</f>
        <v/>
      </c>
      <c r="L1231" s="28" t="str">
        <f>IF(OR(履歴データ!$A$1231="",履歴データ!$A$1230=""),"",C1231-C1230)</f>
        <v/>
      </c>
      <c r="M1231" s="28" t="str">
        <f>IF(OR(履歴データ!$A$1231="",履歴データ!$A$1230=""),"",D1231-D1230)</f>
        <v/>
      </c>
      <c r="N1231" s="28" t="str">
        <f>IF(OR(履歴データ!$A$1231="",履歴データ!$A$1230=""),"",E1231-E1230)</f>
        <v/>
      </c>
      <c r="O1231" s="28" t="str">
        <f>IF(OR(履歴データ!$A$1231="",履歴データ!$A$1230=""),"",F1231-F1230)</f>
        <v/>
      </c>
      <c r="P1231" s="28" t="str">
        <f>IF(OR(履歴データ!$A$1231="",履歴データ!$A$1230=""),"",G1231-G1230)</f>
        <v/>
      </c>
      <c r="Q1231" s="29" t="str">
        <f>IF(OR(履歴データ!$A$1231="",履歴データ!$A$1230=""),"",H1231-H1230)</f>
        <v/>
      </c>
      <c r="R1231" s="29" t="str">
        <f>IF(OR(履歴データ!$A$1231="",履歴データ!$A$1230=""),"",I1231-I1230)</f>
        <v/>
      </c>
      <c r="S1231" s="28" t="str">
        <f>IF(OR(履歴データ!$A$1231="",履歴データ!$A$1230=""),"",(J1231-J1230)*100)</f>
        <v/>
      </c>
      <c r="T1231" s="11" t="str">
        <f>IF(OR(履歴データ!$A$1231="",履歴データ!$A$1230=""),"",-80000*K1231)</f>
        <v/>
      </c>
      <c r="U1231" s="11" t="str">
        <f>IF(OR(履歴データ!$A$1231="",履歴データ!$A$1230=""),"",60000*L1231)</f>
        <v/>
      </c>
      <c r="V1231" s="11" t="str">
        <f>IF(OR(履歴データ!$A$1231="",履歴データ!$A$1230=""),"",-50000*M1231)</f>
        <v/>
      </c>
      <c r="W1231" s="11" t="str">
        <f>IF(OR(履歴データ!$A$1231="",履歴データ!$A$1230=""),"",-40000*N1231)</f>
        <v/>
      </c>
      <c r="X1231" s="11" t="str">
        <f>IF(OR(履歴データ!$A$1231="",履歴データ!$A$1230=""),"",120*1000000*(-Q1231/H1230))</f>
        <v/>
      </c>
      <c r="Y1231" s="11" t="str">
        <f>IF(OR(履歴データ!$A$1231="",履歴データ!$A$1230=""),"",40000*(-S1231)+(-506.3)*R1231*1000)</f>
        <v/>
      </c>
      <c r="Z1231" s="11" t="str">
        <f>IF(OR(履歴データ!$A$1231="",履歴データ!$A$1230=""),"",-40000*O1231)</f>
        <v/>
      </c>
      <c r="AA1231" s="11" t="str">
        <f>IF(OR(履歴データ!$A$1231="",履歴データ!$A$1230=""),"",-40000*P1231)</f>
        <v/>
      </c>
      <c r="AB1231" s="11" t="str">
        <f>IF(履歴データ!$A$1231="","",123.3)</f>
        <v/>
      </c>
      <c r="AC1231" t="str">
        <f>IF(履歴データ!$A$1231="","",SUM(T1231:AA1231))</f>
        <v/>
      </c>
      <c r="AD1231" s="29" t="str">
        <f>IF(履歴データ!$A$1231="","",AC1231/1000000)</f>
        <v/>
      </c>
      <c r="AE1231" s="29">
        <f>IF(履歴データ!$A$1231="",AE1230,AE1230+AC1231/1000000)</f>
        <v>70.844544225831427</v>
      </c>
      <c r="AF1231" s="12" t="str">
        <f>IF(OR(履歴データ!$A$1231="",AE1230=0),"",(AE1231-AE1230)/AE1230)</f>
        <v/>
      </c>
      <c r="AG1231" s="29">
        <f t="shared" si="49"/>
        <v>102.17217746631495</v>
      </c>
      <c r="AH1231" s="12" t="str">
        <f>IF(OR(履歴データ!$A$1231="",AG1231=0),"",AE1231/AG1231-1)</f>
        <v/>
      </c>
    </row>
    <row r="1232" spans="1:34">
      <c r="A1232" s="10" t="str">
        <f>IF(履歴データ!$A$1232="","",履歴データ!$A$1232)</f>
        <v/>
      </c>
      <c r="B1232" s="28" t="str">
        <f>IF(履歴データ!$A$1232="","",(履歴データ!$D$1232-(履歴データ!$B$1232+履歴データ!$F$1232)/2)*100)</f>
        <v/>
      </c>
      <c r="C1232" s="28" t="str">
        <f>IF(履歴データ!$A$1232="","",(履歴データ!$H$1232-(履歴データ!$G$1232+履歴データ!$J$1232)/2)*100)</f>
        <v/>
      </c>
      <c r="D1232" s="28" t="str">
        <f>IF(履歴データ!$A$1232="","",(履歴データ!$D$1232-履歴データ!$H$1232)*100)</f>
        <v/>
      </c>
      <c r="E1232" s="28" t="str">
        <f>IF(履歴データ!$A$1232="","",(履歴データ!$D$1232-履歴データ!$C$1232)*100)</f>
        <v/>
      </c>
      <c r="F1232" s="28" t="str">
        <f>IF(履歴データ!$A$1232="","",(履歴データ!$R$1232-履歴データ!$D$1232)*100)</f>
        <v/>
      </c>
      <c r="G1232" s="28" t="str">
        <f>IF(履歴データ!$A$1232="","",(履歴データ!$S$1232-履歴データ!$R$1232)*100)</f>
        <v/>
      </c>
      <c r="H1232" s="29" t="str">
        <f>IF(履歴データ!$A$1232="","",履歴データ!$O$1232)</f>
        <v/>
      </c>
      <c r="I1232" s="29" t="str">
        <f>IF(履歴データ!$A$1232="","",履歴データ!$Q$1232)</f>
        <v/>
      </c>
      <c r="J1232" s="29" t="str">
        <f>IF(履歴データ!$A$1232="","",履歴データ!$D$1232)</f>
        <v/>
      </c>
      <c r="K1232" s="28" t="str">
        <f>IF(OR(履歴データ!$A$1232="",履歴データ!$A$1231=""),"",B1232-B1231)</f>
        <v/>
      </c>
      <c r="L1232" s="28" t="str">
        <f>IF(OR(履歴データ!$A$1232="",履歴データ!$A$1231=""),"",C1232-C1231)</f>
        <v/>
      </c>
      <c r="M1232" s="28" t="str">
        <f>IF(OR(履歴データ!$A$1232="",履歴データ!$A$1231=""),"",D1232-D1231)</f>
        <v/>
      </c>
      <c r="N1232" s="28" t="str">
        <f>IF(OR(履歴データ!$A$1232="",履歴データ!$A$1231=""),"",E1232-E1231)</f>
        <v/>
      </c>
      <c r="O1232" s="28" t="str">
        <f>IF(OR(履歴データ!$A$1232="",履歴データ!$A$1231=""),"",F1232-F1231)</f>
        <v/>
      </c>
      <c r="P1232" s="28" t="str">
        <f>IF(OR(履歴データ!$A$1232="",履歴データ!$A$1231=""),"",G1232-G1231)</f>
        <v/>
      </c>
      <c r="Q1232" s="29" t="str">
        <f>IF(OR(履歴データ!$A$1232="",履歴データ!$A$1231=""),"",H1232-H1231)</f>
        <v/>
      </c>
      <c r="R1232" s="29" t="str">
        <f>IF(OR(履歴データ!$A$1232="",履歴データ!$A$1231=""),"",I1232-I1231)</f>
        <v/>
      </c>
      <c r="S1232" s="28" t="str">
        <f>IF(OR(履歴データ!$A$1232="",履歴データ!$A$1231=""),"",(J1232-J1231)*100)</f>
        <v/>
      </c>
      <c r="T1232" s="11" t="str">
        <f>IF(OR(履歴データ!$A$1232="",履歴データ!$A$1231=""),"",-80000*K1232)</f>
        <v/>
      </c>
      <c r="U1232" s="11" t="str">
        <f>IF(OR(履歴データ!$A$1232="",履歴データ!$A$1231=""),"",60000*L1232)</f>
        <v/>
      </c>
      <c r="V1232" s="11" t="str">
        <f>IF(OR(履歴データ!$A$1232="",履歴データ!$A$1231=""),"",-50000*M1232)</f>
        <v/>
      </c>
      <c r="W1232" s="11" t="str">
        <f>IF(OR(履歴データ!$A$1232="",履歴データ!$A$1231=""),"",-40000*N1232)</f>
        <v/>
      </c>
      <c r="X1232" s="11" t="str">
        <f>IF(OR(履歴データ!$A$1232="",履歴データ!$A$1231=""),"",120*1000000*(-Q1232/H1231))</f>
        <v/>
      </c>
      <c r="Y1232" s="11" t="str">
        <f>IF(OR(履歴データ!$A$1232="",履歴データ!$A$1231=""),"",40000*(-S1232)+(-506.3)*R1232*1000)</f>
        <v/>
      </c>
      <c r="Z1232" s="11" t="str">
        <f>IF(OR(履歴データ!$A$1232="",履歴データ!$A$1231=""),"",-40000*O1232)</f>
        <v/>
      </c>
      <c r="AA1232" s="11" t="str">
        <f>IF(OR(履歴データ!$A$1232="",履歴データ!$A$1231=""),"",-40000*P1232)</f>
        <v/>
      </c>
      <c r="AB1232" s="11" t="str">
        <f>IF(履歴データ!$A$1232="","",123.3)</f>
        <v/>
      </c>
      <c r="AC1232" t="str">
        <f>IF(履歴データ!$A$1232="","",SUM(T1232:AA1232))</f>
        <v/>
      </c>
      <c r="AD1232" s="29" t="str">
        <f>IF(履歴データ!$A$1232="","",AC1232/1000000)</f>
        <v/>
      </c>
      <c r="AE1232" s="29">
        <f>IF(履歴データ!$A$1232="",AE1231,AE1231+AC1232/1000000)</f>
        <v>70.844544225831427</v>
      </c>
      <c r="AF1232" s="12" t="str">
        <f>IF(OR(履歴データ!$A$1232="",AE1231=0),"",(AE1232-AE1231)/AE1231)</f>
        <v/>
      </c>
      <c r="AG1232" s="29">
        <f t="shared" si="49"/>
        <v>102.17217746631495</v>
      </c>
      <c r="AH1232" s="12" t="str">
        <f>IF(OR(履歴データ!$A$1232="",AG1232=0),"",AE1232/AG1232-1)</f>
        <v/>
      </c>
    </row>
    <row r="1233" spans="1:34">
      <c r="A1233" s="10" t="str">
        <f>IF(履歴データ!$A$1233="","",履歴データ!$A$1233)</f>
        <v/>
      </c>
      <c r="B1233" s="28" t="str">
        <f>IF(履歴データ!$A$1233="","",(履歴データ!$D$1233-(履歴データ!$B$1233+履歴データ!$F$1233)/2)*100)</f>
        <v/>
      </c>
      <c r="C1233" s="28" t="str">
        <f>IF(履歴データ!$A$1233="","",(履歴データ!$H$1233-(履歴データ!$G$1233+履歴データ!$J$1233)/2)*100)</f>
        <v/>
      </c>
      <c r="D1233" s="28" t="str">
        <f>IF(履歴データ!$A$1233="","",(履歴データ!$D$1233-履歴データ!$H$1233)*100)</f>
        <v/>
      </c>
      <c r="E1233" s="28" t="str">
        <f>IF(履歴データ!$A$1233="","",(履歴データ!$D$1233-履歴データ!$C$1233)*100)</f>
        <v/>
      </c>
      <c r="F1233" s="28" t="str">
        <f>IF(履歴データ!$A$1233="","",(履歴データ!$R$1233-履歴データ!$D$1233)*100)</f>
        <v/>
      </c>
      <c r="G1233" s="28" t="str">
        <f>IF(履歴データ!$A$1233="","",(履歴データ!$S$1233-履歴データ!$R$1233)*100)</f>
        <v/>
      </c>
      <c r="H1233" s="29" t="str">
        <f>IF(履歴データ!$A$1233="","",履歴データ!$O$1233)</f>
        <v/>
      </c>
      <c r="I1233" s="29" t="str">
        <f>IF(履歴データ!$A$1233="","",履歴データ!$Q$1233)</f>
        <v/>
      </c>
      <c r="J1233" s="29" t="str">
        <f>IF(履歴データ!$A$1233="","",履歴データ!$D$1233)</f>
        <v/>
      </c>
      <c r="K1233" s="28" t="str">
        <f>IF(OR(履歴データ!$A$1233="",履歴データ!$A$1232=""),"",B1233-B1232)</f>
        <v/>
      </c>
      <c r="L1233" s="28" t="str">
        <f>IF(OR(履歴データ!$A$1233="",履歴データ!$A$1232=""),"",C1233-C1232)</f>
        <v/>
      </c>
      <c r="M1233" s="28" t="str">
        <f>IF(OR(履歴データ!$A$1233="",履歴データ!$A$1232=""),"",D1233-D1232)</f>
        <v/>
      </c>
      <c r="N1233" s="28" t="str">
        <f>IF(OR(履歴データ!$A$1233="",履歴データ!$A$1232=""),"",E1233-E1232)</f>
        <v/>
      </c>
      <c r="O1233" s="28" t="str">
        <f>IF(OR(履歴データ!$A$1233="",履歴データ!$A$1232=""),"",F1233-F1232)</f>
        <v/>
      </c>
      <c r="P1233" s="28" t="str">
        <f>IF(OR(履歴データ!$A$1233="",履歴データ!$A$1232=""),"",G1233-G1232)</f>
        <v/>
      </c>
      <c r="Q1233" s="29" t="str">
        <f>IF(OR(履歴データ!$A$1233="",履歴データ!$A$1232=""),"",H1233-H1232)</f>
        <v/>
      </c>
      <c r="R1233" s="29" t="str">
        <f>IF(OR(履歴データ!$A$1233="",履歴データ!$A$1232=""),"",I1233-I1232)</f>
        <v/>
      </c>
      <c r="S1233" s="28" t="str">
        <f>IF(OR(履歴データ!$A$1233="",履歴データ!$A$1232=""),"",(J1233-J1232)*100)</f>
        <v/>
      </c>
      <c r="T1233" s="11" t="str">
        <f>IF(OR(履歴データ!$A$1233="",履歴データ!$A$1232=""),"",-80000*K1233)</f>
        <v/>
      </c>
      <c r="U1233" s="11" t="str">
        <f>IF(OR(履歴データ!$A$1233="",履歴データ!$A$1232=""),"",60000*L1233)</f>
        <v/>
      </c>
      <c r="V1233" s="11" t="str">
        <f>IF(OR(履歴データ!$A$1233="",履歴データ!$A$1232=""),"",-50000*M1233)</f>
        <v/>
      </c>
      <c r="W1233" s="11" t="str">
        <f>IF(OR(履歴データ!$A$1233="",履歴データ!$A$1232=""),"",-40000*N1233)</f>
        <v/>
      </c>
      <c r="X1233" s="11" t="str">
        <f>IF(OR(履歴データ!$A$1233="",履歴データ!$A$1232=""),"",120*1000000*(-Q1233/H1232))</f>
        <v/>
      </c>
      <c r="Y1233" s="11" t="str">
        <f>IF(OR(履歴データ!$A$1233="",履歴データ!$A$1232=""),"",40000*(-S1233)+(-506.3)*R1233*1000)</f>
        <v/>
      </c>
      <c r="Z1233" s="11" t="str">
        <f>IF(OR(履歴データ!$A$1233="",履歴データ!$A$1232=""),"",-40000*O1233)</f>
        <v/>
      </c>
      <c r="AA1233" s="11" t="str">
        <f>IF(OR(履歴データ!$A$1233="",履歴データ!$A$1232=""),"",-40000*P1233)</f>
        <v/>
      </c>
      <c r="AB1233" s="11" t="str">
        <f>IF(履歴データ!$A$1233="","",123.3)</f>
        <v/>
      </c>
      <c r="AC1233" t="str">
        <f>IF(履歴データ!$A$1233="","",SUM(T1233:AA1233))</f>
        <v/>
      </c>
      <c r="AD1233" s="29" t="str">
        <f>IF(履歴データ!$A$1233="","",AC1233/1000000)</f>
        <v/>
      </c>
      <c r="AE1233" s="29">
        <f>IF(履歴データ!$A$1233="",AE1232,AE1232+AC1233/1000000)</f>
        <v>70.844544225831427</v>
      </c>
      <c r="AF1233" s="12" t="str">
        <f>IF(OR(履歴データ!$A$1233="",AE1232=0),"",(AE1233-AE1232)/AE1232)</f>
        <v/>
      </c>
      <c r="AG1233" s="29">
        <f t="shared" si="49"/>
        <v>102.17217746631495</v>
      </c>
      <c r="AH1233" s="12" t="str">
        <f>IF(OR(履歴データ!$A$1233="",AG1233=0),"",AE1233/AG1233-1)</f>
        <v/>
      </c>
    </row>
    <row r="1234" spans="1:34">
      <c r="A1234" s="10" t="str">
        <f>IF(履歴データ!$A$1234="","",履歴データ!$A$1234)</f>
        <v/>
      </c>
      <c r="B1234" s="28" t="str">
        <f>IF(履歴データ!$A$1234="","",(履歴データ!$D$1234-(履歴データ!$B$1234+履歴データ!$F$1234)/2)*100)</f>
        <v/>
      </c>
      <c r="C1234" s="28" t="str">
        <f>IF(履歴データ!$A$1234="","",(履歴データ!$H$1234-(履歴データ!$G$1234+履歴データ!$J$1234)/2)*100)</f>
        <v/>
      </c>
      <c r="D1234" s="28" t="str">
        <f>IF(履歴データ!$A$1234="","",(履歴データ!$D$1234-履歴データ!$H$1234)*100)</f>
        <v/>
      </c>
      <c r="E1234" s="28" t="str">
        <f>IF(履歴データ!$A$1234="","",(履歴データ!$D$1234-履歴データ!$C$1234)*100)</f>
        <v/>
      </c>
      <c r="F1234" s="28" t="str">
        <f>IF(履歴データ!$A$1234="","",(履歴データ!$R$1234-履歴データ!$D$1234)*100)</f>
        <v/>
      </c>
      <c r="G1234" s="28" t="str">
        <f>IF(履歴データ!$A$1234="","",(履歴データ!$S$1234-履歴データ!$R$1234)*100)</f>
        <v/>
      </c>
      <c r="H1234" s="29" t="str">
        <f>IF(履歴データ!$A$1234="","",履歴データ!$O$1234)</f>
        <v/>
      </c>
      <c r="I1234" s="29" t="str">
        <f>IF(履歴データ!$A$1234="","",履歴データ!$Q$1234)</f>
        <v/>
      </c>
      <c r="J1234" s="29" t="str">
        <f>IF(履歴データ!$A$1234="","",履歴データ!$D$1234)</f>
        <v/>
      </c>
      <c r="K1234" s="28" t="str">
        <f>IF(OR(履歴データ!$A$1234="",履歴データ!$A$1233=""),"",B1234-B1233)</f>
        <v/>
      </c>
      <c r="L1234" s="28" t="str">
        <f>IF(OR(履歴データ!$A$1234="",履歴データ!$A$1233=""),"",C1234-C1233)</f>
        <v/>
      </c>
      <c r="M1234" s="28" t="str">
        <f>IF(OR(履歴データ!$A$1234="",履歴データ!$A$1233=""),"",D1234-D1233)</f>
        <v/>
      </c>
      <c r="N1234" s="28" t="str">
        <f>IF(OR(履歴データ!$A$1234="",履歴データ!$A$1233=""),"",E1234-E1233)</f>
        <v/>
      </c>
      <c r="O1234" s="28" t="str">
        <f>IF(OR(履歴データ!$A$1234="",履歴データ!$A$1233=""),"",F1234-F1233)</f>
        <v/>
      </c>
      <c r="P1234" s="28" t="str">
        <f>IF(OR(履歴データ!$A$1234="",履歴データ!$A$1233=""),"",G1234-G1233)</f>
        <v/>
      </c>
      <c r="Q1234" s="29" t="str">
        <f>IF(OR(履歴データ!$A$1234="",履歴データ!$A$1233=""),"",H1234-H1233)</f>
        <v/>
      </c>
      <c r="R1234" s="29" t="str">
        <f>IF(OR(履歴データ!$A$1234="",履歴データ!$A$1233=""),"",I1234-I1233)</f>
        <v/>
      </c>
      <c r="S1234" s="28" t="str">
        <f>IF(OR(履歴データ!$A$1234="",履歴データ!$A$1233=""),"",(J1234-J1233)*100)</f>
        <v/>
      </c>
      <c r="T1234" s="11" t="str">
        <f>IF(OR(履歴データ!$A$1234="",履歴データ!$A$1233=""),"",-80000*K1234)</f>
        <v/>
      </c>
      <c r="U1234" s="11" t="str">
        <f>IF(OR(履歴データ!$A$1234="",履歴データ!$A$1233=""),"",60000*L1234)</f>
        <v/>
      </c>
      <c r="V1234" s="11" t="str">
        <f>IF(OR(履歴データ!$A$1234="",履歴データ!$A$1233=""),"",-50000*M1234)</f>
        <v/>
      </c>
      <c r="W1234" s="11" t="str">
        <f>IF(OR(履歴データ!$A$1234="",履歴データ!$A$1233=""),"",-40000*N1234)</f>
        <v/>
      </c>
      <c r="X1234" s="11" t="str">
        <f>IF(OR(履歴データ!$A$1234="",履歴データ!$A$1233=""),"",120*1000000*(-Q1234/H1233))</f>
        <v/>
      </c>
      <c r="Y1234" s="11" t="str">
        <f>IF(OR(履歴データ!$A$1234="",履歴データ!$A$1233=""),"",40000*(-S1234)+(-506.3)*R1234*1000)</f>
        <v/>
      </c>
      <c r="Z1234" s="11" t="str">
        <f>IF(OR(履歴データ!$A$1234="",履歴データ!$A$1233=""),"",-40000*O1234)</f>
        <v/>
      </c>
      <c r="AA1234" s="11" t="str">
        <f>IF(OR(履歴データ!$A$1234="",履歴データ!$A$1233=""),"",-40000*P1234)</f>
        <v/>
      </c>
      <c r="AB1234" s="11" t="str">
        <f>IF(履歴データ!$A$1234="","",123.3)</f>
        <v/>
      </c>
      <c r="AC1234" t="str">
        <f>IF(履歴データ!$A$1234="","",SUM(T1234:AA1234))</f>
        <v/>
      </c>
      <c r="AD1234" s="29" t="str">
        <f>IF(履歴データ!$A$1234="","",AC1234/1000000)</f>
        <v/>
      </c>
      <c r="AE1234" s="29">
        <f>IF(履歴データ!$A$1234="",AE1233,AE1233+AC1234/1000000)</f>
        <v>70.844544225831427</v>
      </c>
      <c r="AF1234" s="12" t="str">
        <f>IF(OR(履歴データ!$A$1234="",AE1233=0),"",(AE1234-AE1233)/AE1233)</f>
        <v/>
      </c>
      <c r="AG1234" s="29">
        <f t="shared" si="49"/>
        <v>102.17217746631495</v>
      </c>
      <c r="AH1234" s="12" t="str">
        <f>IF(OR(履歴データ!$A$1234="",AG1234=0),"",AE1234/AG1234-1)</f>
        <v/>
      </c>
    </row>
    <row r="1235" spans="1:34">
      <c r="A1235" s="10" t="str">
        <f>IF(履歴データ!$A$1235="","",履歴データ!$A$1235)</f>
        <v/>
      </c>
      <c r="B1235" s="28" t="str">
        <f>IF(履歴データ!$A$1235="","",(履歴データ!$D$1235-(履歴データ!$B$1235+履歴データ!$F$1235)/2)*100)</f>
        <v/>
      </c>
      <c r="C1235" s="28" t="str">
        <f>IF(履歴データ!$A$1235="","",(履歴データ!$H$1235-(履歴データ!$G$1235+履歴データ!$J$1235)/2)*100)</f>
        <v/>
      </c>
      <c r="D1235" s="28" t="str">
        <f>IF(履歴データ!$A$1235="","",(履歴データ!$D$1235-履歴データ!$H$1235)*100)</f>
        <v/>
      </c>
      <c r="E1235" s="28" t="str">
        <f>IF(履歴データ!$A$1235="","",(履歴データ!$D$1235-履歴データ!$C$1235)*100)</f>
        <v/>
      </c>
      <c r="F1235" s="28" t="str">
        <f>IF(履歴データ!$A$1235="","",(履歴データ!$R$1235-履歴データ!$D$1235)*100)</f>
        <v/>
      </c>
      <c r="G1235" s="28" t="str">
        <f>IF(履歴データ!$A$1235="","",(履歴データ!$S$1235-履歴データ!$R$1235)*100)</f>
        <v/>
      </c>
      <c r="H1235" s="29" t="str">
        <f>IF(履歴データ!$A$1235="","",履歴データ!$O$1235)</f>
        <v/>
      </c>
      <c r="I1235" s="29" t="str">
        <f>IF(履歴データ!$A$1235="","",履歴データ!$Q$1235)</f>
        <v/>
      </c>
      <c r="J1235" s="29" t="str">
        <f>IF(履歴データ!$A$1235="","",履歴データ!$D$1235)</f>
        <v/>
      </c>
      <c r="K1235" s="28" t="str">
        <f>IF(OR(履歴データ!$A$1235="",履歴データ!$A$1234=""),"",B1235-B1234)</f>
        <v/>
      </c>
      <c r="L1235" s="28" t="str">
        <f>IF(OR(履歴データ!$A$1235="",履歴データ!$A$1234=""),"",C1235-C1234)</f>
        <v/>
      </c>
      <c r="M1235" s="28" t="str">
        <f>IF(OR(履歴データ!$A$1235="",履歴データ!$A$1234=""),"",D1235-D1234)</f>
        <v/>
      </c>
      <c r="N1235" s="28" t="str">
        <f>IF(OR(履歴データ!$A$1235="",履歴データ!$A$1234=""),"",E1235-E1234)</f>
        <v/>
      </c>
      <c r="O1235" s="28" t="str">
        <f>IF(OR(履歴データ!$A$1235="",履歴データ!$A$1234=""),"",F1235-F1234)</f>
        <v/>
      </c>
      <c r="P1235" s="28" t="str">
        <f>IF(OR(履歴データ!$A$1235="",履歴データ!$A$1234=""),"",G1235-G1234)</f>
        <v/>
      </c>
      <c r="Q1235" s="29" t="str">
        <f>IF(OR(履歴データ!$A$1235="",履歴データ!$A$1234=""),"",H1235-H1234)</f>
        <v/>
      </c>
      <c r="R1235" s="29" t="str">
        <f>IF(OR(履歴データ!$A$1235="",履歴データ!$A$1234=""),"",I1235-I1234)</f>
        <v/>
      </c>
      <c r="S1235" s="28" t="str">
        <f>IF(OR(履歴データ!$A$1235="",履歴データ!$A$1234=""),"",(J1235-J1234)*100)</f>
        <v/>
      </c>
      <c r="T1235" s="11" t="str">
        <f>IF(OR(履歴データ!$A$1235="",履歴データ!$A$1234=""),"",-80000*K1235)</f>
        <v/>
      </c>
      <c r="U1235" s="11" t="str">
        <f>IF(OR(履歴データ!$A$1235="",履歴データ!$A$1234=""),"",60000*L1235)</f>
        <v/>
      </c>
      <c r="V1235" s="11" t="str">
        <f>IF(OR(履歴データ!$A$1235="",履歴データ!$A$1234=""),"",-50000*M1235)</f>
        <v/>
      </c>
      <c r="W1235" s="11" t="str">
        <f>IF(OR(履歴データ!$A$1235="",履歴データ!$A$1234=""),"",-40000*N1235)</f>
        <v/>
      </c>
      <c r="X1235" s="11" t="str">
        <f>IF(OR(履歴データ!$A$1235="",履歴データ!$A$1234=""),"",120*1000000*(-Q1235/H1234))</f>
        <v/>
      </c>
      <c r="Y1235" s="11" t="str">
        <f>IF(OR(履歴データ!$A$1235="",履歴データ!$A$1234=""),"",40000*(-S1235)+(-506.3)*R1235*1000)</f>
        <v/>
      </c>
      <c r="Z1235" s="11" t="str">
        <f>IF(OR(履歴データ!$A$1235="",履歴データ!$A$1234=""),"",-40000*O1235)</f>
        <v/>
      </c>
      <c r="AA1235" s="11" t="str">
        <f>IF(OR(履歴データ!$A$1235="",履歴データ!$A$1234=""),"",-40000*P1235)</f>
        <v/>
      </c>
      <c r="AB1235" s="11" t="str">
        <f>IF(履歴データ!$A$1235="","",123.3)</f>
        <v/>
      </c>
      <c r="AC1235" t="str">
        <f>IF(履歴データ!$A$1235="","",SUM(T1235:AA1235))</f>
        <v/>
      </c>
      <c r="AD1235" s="29" t="str">
        <f>IF(履歴データ!$A$1235="","",AC1235/1000000)</f>
        <v/>
      </c>
      <c r="AE1235" s="29">
        <f>IF(履歴データ!$A$1235="",AE1234,AE1234+AC1235/1000000)</f>
        <v>70.844544225831427</v>
      </c>
      <c r="AF1235" s="12" t="str">
        <f>IF(OR(履歴データ!$A$1235="",AE1234=0),"",(AE1235-AE1234)/AE1234)</f>
        <v/>
      </c>
      <c r="AG1235" s="29">
        <f t="shared" si="49"/>
        <v>102.17217746631495</v>
      </c>
      <c r="AH1235" s="12" t="str">
        <f>IF(OR(履歴データ!$A$1235="",AG1235=0),"",AE1235/AG1235-1)</f>
        <v/>
      </c>
    </row>
    <row r="1236" spans="1:34">
      <c r="A1236" s="10" t="str">
        <f>IF(履歴データ!$A$1236="","",履歴データ!$A$1236)</f>
        <v/>
      </c>
      <c r="B1236" s="28" t="str">
        <f>IF(履歴データ!$A$1236="","",(履歴データ!$D$1236-(履歴データ!$B$1236+履歴データ!$F$1236)/2)*100)</f>
        <v/>
      </c>
      <c r="C1236" s="28" t="str">
        <f>IF(履歴データ!$A$1236="","",(履歴データ!$H$1236-(履歴データ!$G$1236+履歴データ!$J$1236)/2)*100)</f>
        <v/>
      </c>
      <c r="D1236" s="28" t="str">
        <f>IF(履歴データ!$A$1236="","",(履歴データ!$D$1236-履歴データ!$H$1236)*100)</f>
        <v/>
      </c>
      <c r="E1236" s="28" t="str">
        <f>IF(履歴データ!$A$1236="","",(履歴データ!$D$1236-履歴データ!$C$1236)*100)</f>
        <v/>
      </c>
      <c r="F1236" s="28" t="str">
        <f>IF(履歴データ!$A$1236="","",(履歴データ!$R$1236-履歴データ!$D$1236)*100)</f>
        <v/>
      </c>
      <c r="G1236" s="28" t="str">
        <f>IF(履歴データ!$A$1236="","",(履歴データ!$S$1236-履歴データ!$R$1236)*100)</f>
        <v/>
      </c>
      <c r="H1236" s="29" t="str">
        <f>IF(履歴データ!$A$1236="","",履歴データ!$O$1236)</f>
        <v/>
      </c>
      <c r="I1236" s="29" t="str">
        <f>IF(履歴データ!$A$1236="","",履歴データ!$Q$1236)</f>
        <v/>
      </c>
      <c r="J1236" s="29" t="str">
        <f>IF(履歴データ!$A$1236="","",履歴データ!$D$1236)</f>
        <v/>
      </c>
      <c r="K1236" s="28" t="str">
        <f>IF(OR(履歴データ!$A$1236="",履歴データ!$A$1235=""),"",B1236-B1235)</f>
        <v/>
      </c>
      <c r="L1236" s="28" t="str">
        <f>IF(OR(履歴データ!$A$1236="",履歴データ!$A$1235=""),"",C1236-C1235)</f>
        <v/>
      </c>
      <c r="M1236" s="28" t="str">
        <f>IF(OR(履歴データ!$A$1236="",履歴データ!$A$1235=""),"",D1236-D1235)</f>
        <v/>
      </c>
      <c r="N1236" s="28" t="str">
        <f>IF(OR(履歴データ!$A$1236="",履歴データ!$A$1235=""),"",E1236-E1235)</f>
        <v/>
      </c>
      <c r="O1236" s="28" t="str">
        <f>IF(OR(履歴データ!$A$1236="",履歴データ!$A$1235=""),"",F1236-F1235)</f>
        <v/>
      </c>
      <c r="P1236" s="28" t="str">
        <f>IF(OR(履歴データ!$A$1236="",履歴データ!$A$1235=""),"",G1236-G1235)</f>
        <v/>
      </c>
      <c r="Q1236" s="29" t="str">
        <f>IF(OR(履歴データ!$A$1236="",履歴データ!$A$1235=""),"",H1236-H1235)</f>
        <v/>
      </c>
      <c r="R1236" s="29" t="str">
        <f>IF(OR(履歴データ!$A$1236="",履歴データ!$A$1235=""),"",I1236-I1235)</f>
        <v/>
      </c>
      <c r="S1236" s="28" t="str">
        <f>IF(OR(履歴データ!$A$1236="",履歴データ!$A$1235=""),"",(J1236-J1235)*100)</f>
        <v/>
      </c>
      <c r="T1236" s="11" t="str">
        <f>IF(OR(履歴データ!$A$1236="",履歴データ!$A$1235=""),"",-80000*K1236)</f>
        <v/>
      </c>
      <c r="U1236" s="11" t="str">
        <f>IF(OR(履歴データ!$A$1236="",履歴データ!$A$1235=""),"",60000*L1236)</f>
        <v/>
      </c>
      <c r="V1236" s="11" t="str">
        <f>IF(OR(履歴データ!$A$1236="",履歴データ!$A$1235=""),"",-50000*M1236)</f>
        <v/>
      </c>
      <c r="W1236" s="11" t="str">
        <f>IF(OR(履歴データ!$A$1236="",履歴データ!$A$1235=""),"",-40000*N1236)</f>
        <v/>
      </c>
      <c r="X1236" s="11" t="str">
        <f>IF(OR(履歴データ!$A$1236="",履歴データ!$A$1235=""),"",120*1000000*(-Q1236/H1235))</f>
        <v/>
      </c>
      <c r="Y1236" s="11" t="str">
        <f>IF(OR(履歴データ!$A$1236="",履歴データ!$A$1235=""),"",40000*(-S1236)+(-506.3)*R1236*1000)</f>
        <v/>
      </c>
      <c r="Z1236" s="11" t="str">
        <f>IF(OR(履歴データ!$A$1236="",履歴データ!$A$1235=""),"",-40000*O1236)</f>
        <v/>
      </c>
      <c r="AA1236" s="11" t="str">
        <f>IF(OR(履歴データ!$A$1236="",履歴データ!$A$1235=""),"",-40000*P1236)</f>
        <v/>
      </c>
      <c r="AB1236" s="11" t="str">
        <f>IF(履歴データ!$A$1236="","",123.3)</f>
        <v/>
      </c>
      <c r="AC1236" t="str">
        <f>IF(履歴データ!$A$1236="","",SUM(T1236:AA1236))</f>
        <v/>
      </c>
      <c r="AD1236" s="29" t="str">
        <f>IF(履歴データ!$A$1236="","",AC1236/1000000)</f>
        <v/>
      </c>
      <c r="AE1236" s="29">
        <f>IF(履歴データ!$A$1236="",AE1235,AE1235+AC1236/1000000)</f>
        <v>70.844544225831427</v>
      </c>
      <c r="AF1236" s="12" t="str">
        <f>IF(OR(履歴データ!$A$1236="",AE1235=0),"",(AE1236-AE1235)/AE1235)</f>
        <v/>
      </c>
      <c r="AG1236" s="29">
        <f t="shared" si="49"/>
        <v>102.17217746631495</v>
      </c>
      <c r="AH1236" s="12" t="str">
        <f>IF(OR(履歴データ!$A$1236="",AG1236=0),"",AE1236/AG1236-1)</f>
        <v/>
      </c>
    </row>
    <row r="1237" spans="1:34">
      <c r="A1237" s="10" t="str">
        <f>IF(履歴データ!$A$1237="","",履歴データ!$A$1237)</f>
        <v/>
      </c>
      <c r="B1237" s="28" t="str">
        <f>IF(履歴データ!$A$1237="","",(履歴データ!$D$1237-(履歴データ!$B$1237+履歴データ!$F$1237)/2)*100)</f>
        <v/>
      </c>
      <c r="C1237" s="28" t="str">
        <f>IF(履歴データ!$A$1237="","",(履歴データ!$H$1237-(履歴データ!$G$1237+履歴データ!$J$1237)/2)*100)</f>
        <v/>
      </c>
      <c r="D1237" s="28" t="str">
        <f>IF(履歴データ!$A$1237="","",(履歴データ!$D$1237-履歴データ!$H$1237)*100)</f>
        <v/>
      </c>
      <c r="E1237" s="28" t="str">
        <f>IF(履歴データ!$A$1237="","",(履歴データ!$D$1237-履歴データ!$C$1237)*100)</f>
        <v/>
      </c>
      <c r="F1237" s="28" t="str">
        <f>IF(履歴データ!$A$1237="","",(履歴データ!$R$1237-履歴データ!$D$1237)*100)</f>
        <v/>
      </c>
      <c r="G1237" s="28" t="str">
        <f>IF(履歴データ!$A$1237="","",(履歴データ!$S$1237-履歴データ!$R$1237)*100)</f>
        <v/>
      </c>
      <c r="H1237" s="29" t="str">
        <f>IF(履歴データ!$A$1237="","",履歴データ!$O$1237)</f>
        <v/>
      </c>
      <c r="I1237" s="29" t="str">
        <f>IF(履歴データ!$A$1237="","",履歴データ!$Q$1237)</f>
        <v/>
      </c>
      <c r="J1237" s="29" t="str">
        <f>IF(履歴データ!$A$1237="","",履歴データ!$D$1237)</f>
        <v/>
      </c>
      <c r="K1237" s="28" t="str">
        <f>IF(OR(履歴データ!$A$1237="",履歴データ!$A$1236=""),"",B1237-B1236)</f>
        <v/>
      </c>
      <c r="L1237" s="28" t="str">
        <f>IF(OR(履歴データ!$A$1237="",履歴データ!$A$1236=""),"",C1237-C1236)</f>
        <v/>
      </c>
      <c r="M1237" s="28" t="str">
        <f>IF(OR(履歴データ!$A$1237="",履歴データ!$A$1236=""),"",D1237-D1236)</f>
        <v/>
      </c>
      <c r="N1237" s="28" t="str">
        <f>IF(OR(履歴データ!$A$1237="",履歴データ!$A$1236=""),"",E1237-E1236)</f>
        <v/>
      </c>
      <c r="O1237" s="28" t="str">
        <f>IF(OR(履歴データ!$A$1237="",履歴データ!$A$1236=""),"",F1237-F1236)</f>
        <v/>
      </c>
      <c r="P1237" s="28" t="str">
        <f>IF(OR(履歴データ!$A$1237="",履歴データ!$A$1236=""),"",G1237-G1236)</f>
        <v/>
      </c>
      <c r="Q1237" s="29" t="str">
        <f>IF(OR(履歴データ!$A$1237="",履歴データ!$A$1236=""),"",H1237-H1236)</f>
        <v/>
      </c>
      <c r="R1237" s="29" t="str">
        <f>IF(OR(履歴データ!$A$1237="",履歴データ!$A$1236=""),"",I1237-I1236)</f>
        <v/>
      </c>
      <c r="S1237" s="28" t="str">
        <f>IF(OR(履歴データ!$A$1237="",履歴データ!$A$1236=""),"",(J1237-J1236)*100)</f>
        <v/>
      </c>
      <c r="T1237" s="11" t="str">
        <f>IF(OR(履歴データ!$A$1237="",履歴データ!$A$1236=""),"",-80000*K1237)</f>
        <v/>
      </c>
      <c r="U1237" s="11" t="str">
        <f>IF(OR(履歴データ!$A$1237="",履歴データ!$A$1236=""),"",60000*L1237)</f>
        <v/>
      </c>
      <c r="V1237" s="11" t="str">
        <f>IF(OR(履歴データ!$A$1237="",履歴データ!$A$1236=""),"",-50000*M1237)</f>
        <v/>
      </c>
      <c r="W1237" s="11" t="str">
        <f>IF(OR(履歴データ!$A$1237="",履歴データ!$A$1236=""),"",-40000*N1237)</f>
        <v/>
      </c>
      <c r="X1237" s="11" t="str">
        <f>IF(OR(履歴データ!$A$1237="",履歴データ!$A$1236=""),"",120*1000000*(-Q1237/H1236))</f>
        <v/>
      </c>
      <c r="Y1237" s="11" t="str">
        <f>IF(OR(履歴データ!$A$1237="",履歴データ!$A$1236=""),"",40000*(-S1237)+(-506.3)*R1237*1000)</f>
        <v/>
      </c>
      <c r="Z1237" s="11" t="str">
        <f>IF(OR(履歴データ!$A$1237="",履歴データ!$A$1236=""),"",-40000*O1237)</f>
        <v/>
      </c>
      <c r="AA1237" s="11" t="str">
        <f>IF(OR(履歴データ!$A$1237="",履歴データ!$A$1236=""),"",-40000*P1237)</f>
        <v/>
      </c>
      <c r="AB1237" s="11" t="str">
        <f>IF(履歴データ!$A$1237="","",123.3)</f>
        <v/>
      </c>
      <c r="AC1237" t="str">
        <f>IF(履歴データ!$A$1237="","",SUM(T1237:AA1237))</f>
        <v/>
      </c>
      <c r="AD1237" s="29" t="str">
        <f>IF(履歴データ!$A$1237="","",AC1237/1000000)</f>
        <v/>
      </c>
      <c r="AE1237" s="29">
        <f>IF(履歴データ!$A$1237="",AE1236,AE1236+AC1237/1000000)</f>
        <v>70.844544225831427</v>
      </c>
      <c r="AF1237" s="12" t="str">
        <f>IF(OR(履歴データ!$A$1237="",AE1236=0),"",(AE1237-AE1236)/AE1236)</f>
        <v/>
      </c>
      <c r="AG1237" s="29">
        <f t="shared" si="49"/>
        <v>102.17217746631495</v>
      </c>
      <c r="AH1237" s="12" t="str">
        <f>IF(OR(履歴データ!$A$1237="",AG1237=0),"",AE1237/AG1237-1)</f>
        <v/>
      </c>
    </row>
    <row r="1238" spans="1:34">
      <c r="A1238" s="10" t="str">
        <f>IF(履歴データ!$A$1238="","",履歴データ!$A$1238)</f>
        <v/>
      </c>
      <c r="B1238" s="28" t="str">
        <f>IF(履歴データ!$A$1238="","",(履歴データ!$D$1238-(履歴データ!$B$1238+履歴データ!$F$1238)/2)*100)</f>
        <v/>
      </c>
      <c r="C1238" s="28" t="str">
        <f>IF(履歴データ!$A$1238="","",(履歴データ!$H$1238-(履歴データ!$G$1238+履歴データ!$J$1238)/2)*100)</f>
        <v/>
      </c>
      <c r="D1238" s="28" t="str">
        <f>IF(履歴データ!$A$1238="","",(履歴データ!$D$1238-履歴データ!$H$1238)*100)</f>
        <v/>
      </c>
      <c r="E1238" s="28" t="str">
        <f>IF(履歴データ!$A$1238="","",(履歴データ!$D$1238-履歴データ!$C$1238)*100)</f>
        <v/>
      </c>
      <c r="F1238" s="28" t="str">
        <f>IF(履歴データ!$A$1238="","",(履歴データ!$R$1238-履歴データ!$D$1238)*100)</f>
        <v/>
      </c>
      <c r="G1238" s="28" t="str">
        <f>IF(履歴データ!$A$1238="","",(履歴データ!$S$1238-履歴データ!$R$1238)*100)</f>
        <v/>
      </c>
      <c r="H1238" s="29" t="str">
        <f>IF(履歴データ!$A$1238="","",履歴データ!$O$1238)</f>
        <v/>
      </c>
      <c r="I1238" s="29" t="str">
        <f>IF(履歴データ!$A$1238="","",履歴データ!$Q$1238)</f>
        <v/>
      </c>
      <c r="J1238" s="29" t="str">
        <f>IF(履歴データ!$A$1238="","",履歴データ!$D$1238)</f>
        <v/>
      </c>
      <c r="K1238" s="28" t="str">
        <f>IF(OR(履歴データ!$A$1238="",履歴データ!$A$1237=""),"",B1238-B1237)</f>
        <v/>
      </c>
      <c r="L1238" s="28" t="str">
        <f>IF(OR(履歴データ!$A$1238="",履歴データ!$A$1237=""),"",C1238-C1237)</f>
        <v/>
      </c>
      <c r="M1238" s="28" t="str">
        <f>IF(OR(履歴データ!$A$1238="",履歴データ!$A$1237=""),"",D1238-D1237)</f>
        <v/>
      </c>
      <c r="N1238" s="28" t="str">
        <f>IF(OR(履歴データ!$A$1238="",履歴データ!$A$1237=""),"",E1238-E1237)</f>
        <v/>
      </c>
      <c r="O1238" s="28" t="str">
        <f>IF(OR(履歴データ!$A$1238="",履歴データ!$A$1237=""),"",F1238-F1237)</f>
        <v/>
      </c>
      <c r="P1238" s="28" t="str">
        <f>IF(OR(履歴データ!$A$1238="",履歴データ!$A$1237=""),"",G1238-G1237)</f>
        <v/>
      </c>
      <c r="Q1238" s="29" t="str">
        <f>IF(OR(履歴データ!$A$1238="",履歴データ!$A$1237=""),"",H1238-H1237)</f>
        <v/>
      </c>
      <c r="R1238" s="29" t="str">
        <f>IF(OR(履歴データ!$A$1238="",履歴データ!$A$1237=""),"",I1238-I1237)</f>
        <v/>
      </c>
      <c r="S1238" s="28" t="str">
        <f>IF(OR(履歴データ!$A$1238="",履歴データ!$A$1237=""),"",(J1238-J1237)*100)</f>
        <v/>
      </c>
      <c r="T1238" s="11" t="str">
        <f>IF(OR(履歴データ!$A$1238="",履歴データ!$A$1237=""),"",-80000*K1238)</f>
        <v/>
      </c>
      <c r="U1238" s="11" t="str">
        <f>IF(OR(履歴データ!$A$1238="",履歴データ!$A$1237=""),"",60000*L1238)</f>
        <v/>
      </c>
      <c r="V1238" s="11" t="str">
        <f>IF(OR(履歴データ!$A$1238="",履歴データ!$A$1237=""),"",-50000*M1238)</f>
        <v/>
      </c>
      <c r="W1238" s="11" t="str">
        <f>IF(OR(履歴データ!$A$1238="",履歴データ!$A$1237=""),"",-40000*N1238)</f>
        <v/>
      </c>
      <c r="X1238" s="11" t="str">
        <f>IF(OR(履歴データ!$A$1238="",履歴データ!$A$1237=""),"",120*1000000*(-Q1238/H1237))</f>
        <v/>
      </c>
      <c r="Y1238" s="11" t="str">
        <f>IF(OR(履歴データ!$A$1238="",履歴データ!$A$1237=""),"",40000*(-S1238)+(-506.3)*R1238*1000)</f>
        <v/>
      </c>
      <c r="Z1238" s="11" t="str">
        <f>IF(OR(履歴データ!$A$1238="",履歴データ!$A$1237=""),"",-40000*O1238)</f>
        <v/>
      </c>
      <c r="AA1238" s="11" t="str">
        <f>IF(OR(履歴データ!$A$1238="",履歴データ!$A$1237=""),"",-40000*P1238)</f>
        <v/>
      </c>
      <c r="AB1238" s="11" t="str">
        <f>IF(履歴データ!$A$1238="","",123.3)</f>
        <v/>
      </c>
      <c r="AC1238" t="str">
        <f>IF(履歴データ!$A$1238="","",SUM(T1238:AA1238))</f>
        <v/>
      </c>
      <c r="AD1238" s="29" t="str">
        <f>IF(履歴データ!$A$1238="","",AC1238/1000000)</f>
        <v/>
      </c>
      <c r="AE1238" s="29">
        <f>IF(履歴データ!$A$1238="",AE1237,AE1237+AC1238/1000000)</f>
        <v>70.844544225831427</v>
      </c>
      <c r="AF1238" s="12" t="str">
        <f>IF(OR(履歴データ!$A$1238="",AE1237=0),"",(AE1238-AE1237)/AE1237)</f>
        <v/>
      </c>
      <c r="AG1238" s="29">
        <f t="shared" si="49"/>
        <v>102.17217746631495</v>
      </c>
      <c r="AH1238" s="12" t="str">
        <f>IF(OR(履歴データ!$A$1238="",AG1238=0),"",AE1238/AG1238-1)</f>
        <v/>
      </c>
    </row>
    <row r="1239" spans="1:34">
      <c r="A1239" s="10" t="str">
        <f>IF(履歴データ!$A$1239="","",履歴データ!$A$1239)</f>
        <v/>
      </c>
      <c r="B1239" s="28" t="str">
        <f>IF(履歴データ!$A$1239="","",(履歴データ!$D$1239-(履歴データ!$B$1239+履歴データ!$F$1239)/2)*100)</f>
        <v/>
      </c>
      <c r="C1239" s="28" t="str">
        <f>IF(履歴データ!$A$1239="","",(履歴データ!$H$1239-(履歴データ!$G$1239+履歴データ!$J$1239)/2)*100)</f>
        <v/>
      </c>
      <c r="D1239" s="28" t="str">
        <f>IF(履歴データ!$A$1239="","",(履歴データ!$D$1239-履歴データ!$H$1239)*100)</f>
        <v/>
      </c>
      <c r="E1239" s="28" t="str">
        <f>IF(履歴データ!$A$1239="","",(履歴データ!$D$1239-履歴データ!$C$1239)*100)</f>
        <v/>
      </c>
      <c r="F1239" s="28" t="str">
        <f>IF(履歴データ!$A$1239="","",(履歴データ!$R$1239-履歴データ!$D$1239)*100)</f>
        <v/>
      </c>
      <c r="G1239" s="28" t="str">
        <f>IF(履歴データ!$A$1239="","",(履歴データ!$S$1239-履歴データ!$R$1239)*100)</f>
        <v/>
      </c>
      <c r="H1239" s="29" t="str">
        <f>IF(履歴データ!$A$1239="","",履歴データ!$O$1239)</f>
        <v/>
      </c>
      <c r="I1239" s="29" t="str">
        <f>IF(履歴データ!$A$1239="","",履歴データ!$Q$1239)</f>
        <v/>
      </c>
      <c r="J1239" s="29" t="str">
        <f>IF(履歴データ!$A$1239="","",履歴データ!$D$1239)</f>
        <v/>
      </c>
      <c r="K1239" s="28" t="str">
        <f>IF(OR(履歴データ!$A$1239="",履歴データ!$A$1238=""),"",B1239-B1238)</f>
        <v/>
      </c>
      <c r="L1239" s="28" t="str">
        <f>IF(OR(履歴データ!$A$1239="",履歴データ!$A$1238=""),"",C1239-C1238)</f>
        <v/>
      </c>
      <c r="M1239" s="28" t="str">
        <f>IF(OR(履歴データ!$A$1239="",履歴データ!$A$1238=""),"",D1239-D1238)</f>
        <v/>
      </c>
      <c r="N1239" s="28" t="str">
        <f>IF(OR(履歴データ!$A$1239="",履歴データ!$A$1238=""),"",E1239-E1238)</f>
        <v/>
      </c>
      <c r="O1239" s="28" t="str">
        <f>IF(OR(履歴データ!$A$1239="",履歴データ!$A$1238=""),"",F1239-F1238)</f>
        <v/>
      </c>
      <c r="P1239" s="28" t="str">
        <f>IF(OR(履歴データ!$A$1239="",履歴データ!$A$1238=""),"",G1239-G1238)</f>
        <v/>
      </c>
      <c r="Q1239" s="29" t="str">
        <f>IF(OR(履歴データ!$A$1239="",履歴データ!$A$1238=""),"",H1239-H1238)</f>
        <v/>
      </c>
      <c r="R1239" s="29" t="str">
        <f>IF(OR(履歴データ!$A$1239="",履歴データ!$A$1238=""),"",I1239-I1238)</f>
        <v/>
      </c>
      <c r="S1239" s="28" t="str">
        <f>IF(OR(履歴データ!$A$1239="",履歴データ!$A$1238=""),"",(J1239-J1238)*100)</f>
        <v/>
      </c>
      <c r="T1239" s="11" t="str">
        <f>IF(OR(履歴データ!$A$1239="",履歴データ!$A$1238=""),"",-80000*K1239)</f>
        <v/>
      </c>
      <c r="U1239" s="11" t="str">
        <f>IF(OR(履歴データ!$A$1239="",履歴データ!$A$1238=""),"",60000*L1239)</f>
        <v/>
      </c>
      <c r="V1239" s="11" t="str">
        <f>IF(OR(履歴データ!$A$1239="",履歴データ!$A$1238=""),"",-50000*M1239)</f>
        <v/>
      </c>
      <c r="W1239" s="11" t="str">
        <f>IF(OR(履歴データ!$A$1239="",履歴データ!$A$1238=""),"",-40000*N1239)</f>
        <v/>
      </c>
      <c r="X1239" s="11" t="str">
        <f>IF(OR(履歴データ!$A$1239="",履歴データ!$A$1238=""),"",120*1000000*(-Q1239/H1238))</f>
        <v/>
      </c>
      <c r="Y1239" s="11" t="str">
        <f>IF(OR(履歴データ!$A$1239="",履歴データ!$A$1238=""),"",40000*(-S1239)+(-506.3)*R1239*1000)</f>
        <v/>
      </c>
      <c r="Z1239" s="11" t="str">
        <f>IF(OR(履歴データ!$A$1239="",履歴データ!$A$1238=""),"",-40000*O1239)</f>
        <v/>
      </c>
      <c r="AA1239" s="11" t="str">
        <f>IF(OR(履歴データ!$A$1239="",履歴データ!$A$1238=""),"",-40000*P1239)</f>
        <v/>
      </c>
      <c r="AB1239" s="11" t="str">
        <f>IF(履歴データ!$A$1239="","",123.3)</f>
        <v/>
      </c>
      <c r="AC1239" t="str">
        <f>IF(履歴データ!$A$1239="","",SUM(T1239:AA1239))</f>
        <v/>
      </c>
      <c r="AD1239" s="29" t="str">
        <f>IF(履歴データ!$A$1239="","",AC1239/1000000)</f>
        <v/>
      </c>
      <c r="AE1239" s="29">
        <f>IF(履歴データ!$A$1239="",AE1238,AE1238+AC1239/1000000)</f>
        <v>70.844544225831427</v>
      </c>
      <c r="AF1239" s="12" t="str">
        <f>IF(OR(履歴データ!$A$1239="",AE1238=0),"",(AE1239-AE1238)/AE1238)</f>
        <v/>
      </c>
      <c r="AG1239" s="29">
        <f t="shared" si="49"/>
        <v>102.17217746631495</v>
      </c>
      <c r="AH1239" s="12" t="str">
        <f>IF(OR(履歴データ!$A$1239="",AG1239=0),"",AE1239/AG1239-1)</f>
        <v/>
      </c>
    </row>
    <row r="1240" spans="1:34">
      <c r="A1240" s="10" t="str">
        <f>IF(履歴データ!$A$1240="","",履歴データ!$A$1240)</f>
        <v/>
      </c>
      <c r="B1240" s="28" t="str">
        <f>IF(履歴データ!$A$1240="","",(履歴データ!$D$1240-(履歴データ!$B$1240+履歴データ!$F$1240)/2)*100)</f>
        <v/>
      </c>
      <c r="C1240" s="28" t="str">
        <f>IF(履歴データ!$A$1240="","",(履歴データ!$H$1240-(履歴データ!$G$1240+履歴データ!$J$1240)/2)*100)</f>
        <v/>
      </c>
      <c r="D1240" s="28" t="str">
        <f>IF(履歴データ!$A$1240="","",(履歴データ!$D$1240-履歴データ!$H$1240)*100)</f>
        <v/>
      </c>
      <c r="E1240" s="28" t="str">
        <f>IF(履歴データ!$A$1240="","",(履歴データ!$D$1240-履歴データ!$C$1240)*100)</f>
        <v/>
      </c>
      <c r="F1240" s="28" t="str">
        <f>IF(履歴データ!$A$1240="","",(履歴データ!$R$1240-履歴データ!$D$1240)*100)</f>
        <v/>
      </c>
      <c r="G1240" s="28" t="str">
        <f>IF(履歴データ!$A$1240="","",(履歴データ!$S$1240-履歴データ!$R$1240)*100)</f>
        <v/>
      </c>
      <c r="H1240" s="29" t="str">
        <f>IF(履歴データ!$A$1240="","",履歴データ!$O$1240)</f>
        <v/>
      </c>
      <c r="I1240" s="29" t="str">
        <f>IF(履歴データ!$A$1240="","",履歴データ!$Q$1240)</f>
        <v/>
      </c>
      <c r="J1240" s="29" t="str">
        <f>IF(履歴データ!$A$1240="","",履歴データ!$D$1240)</f>
        <v/>
      </c>
      <c r="K1240" s="28" t="str">
        <f>IF(OR(履歴データ!$A$1240="",履歴データ!$A$1239=""),"",B1240-B1239)</f>
        <v/>
      </c>
      <c r="L1240" s="28" t="str">
        <f>IF(OR(履歴データ!$A$1240="",履歴データ!$A$1239=""),"",C1240-C1239)</f>
        <v/>
      </c>
      <c r="M1240" s="28" t="str">
        <f>IF(OR(履歴データ!$A$1240="",履歴データ!$A$1239=""),"",D1240-D1239)</f>
        <v/>
      </c>
      <c r="N1240" s="28" t="str">
        <f>IF(OR(履歴データ!$A$1240="",履歴データ!$A$1239=""),"",E1240-E1239)</f>
        <v/>
      </c>
      <c r="O1240" s="28" t="str">
        <f>IF(OR(履歴データ!$A$1240="",履歴データ!$A$1239=""),"",F1240-F1239)</f>
        <v/>
      </c>
      <c r="P1240" s="28" t="str">
        <f>IF(OR(履歴データ!$A$1240="",履歴データ!$A$1239=""),"",G1240-G1239)</f>
        <v/>
      </c>
      <c r="Q1240" s="29" t="str">
        <f>IF(OR(履歴データ!$A$1240="",履歴データ!$A$1239=""),"",H1240-H1239)</f>
        <v/>
      </c>
      <c r="R1240" s="29" t="str">
        <f>IF(OR(履歴データ!$A$1240="",履歴データ!$A$1239=""),"",I1240-I1239)</f>
        <v/>
      </c>
      <c r="S1240" s="28" t="str">
        <f>IF(OR(履歴データ!$A$1240="",履歴データ!$A$1239=""),"",(J1240-J1239)*100)</f>
        <v/>
      </c>
      <c r="T1240" s="11" t="str">
        <f>IF(OR(履歴データ!$A$1240="",履歴データ!$A$1239=""),"",-80000*K1240)</f>
        <v/>
      </c>
      <c r="U1240" s="11" t="str">
        <f>IF(OR(履歴データ!$A$1240="",履歴データ!$A$1239=""),"",60000*L1240)</f>
        <v/>
      </c>
      <c r="V1240" s="11" t="str">
        <f>IF(OR(履歴データ!$A$1240="",履歴データ!$A$1239=""),"",-50000*M1240)</f>
        <v/>
      </c>
      <c r="W1240" s="11" t="str">
        <f>IF(OR(履歴データ!$A$1240="",履歴データ!$A$1239=""),"",-40000*N1240)</f>
        <v/>
      </c>
      <c r="X1240" s="11" t="str">
        <f>IF(OR(履歴データ!$A$1240="",履歴データ!$A$1239=""),"",120*1000000*(-Q1240/H1239))</f>
        <v/>
      </c>
      <c r="Y1240" s="11" t="str">
        <f>IF(OR(履歴データ!$A$1240="",履歴データ!$A$1239=""),"",40000*(-S1240)+(-506.3)*R1240*1000)</f>
        <v/>
      </c>
      <c r="Z1240" s="11" t="str">
        <f>IF(OR(履歴データ!$A$1240="",履歴データ!$A$1239=""),"",-40000*O1240)</f>
        <v/>
      </c>
      <c r="AA1240" s="11" t="str">
        <f>IF(OR(履歴データ!$A$1240="",履歴データ!$A$1239=""),"",-40000*P1240)</f>
        <v/>
      </c>
      <c r="AB1240" s="11" t="str">
        <f>IF(履歴データ!$A$1240="","",123.3)</f>
        <v/>
      </c>
      <c r="AC1240" t="str">
        <f>IF(履歴データ!$A$1240="","",SUM(T1240:AA1240))</f>
        <v/>
      </c>
      <c r="AD1240" s="29" t="str">
        <f>IF(履歴データ!$A$1240="","",AC1240/1000000)</f>
        <v/>
      </c>
      <c r="AE1240" s="29">
        <f>IF(履歴データ!$A$1240="",AE1239,AE1239+AC1240/1000000)</f>
        <v>70.844544225831427</v>
      </c>
      <c r="AF1240" s="12" t="str">
        <f>IF(OR(履歴データ!$A$1240="",AE1239=0),"",(AE1240-AE1239)/AE1239)</f>
        <v/>
      </c>
      <c r="AG1240" s="29">
        <f t="shared" si="49"/>
        <v>102.17217746631495</v>
      </c>
      <c r="AH1240" s="12" t="str">
        <f>IF(OR(履歴データ!$A$1240="",AG1240=0),"",AE1240/AG1240-1)</f>
        <v/>
      </c>
    </row>
    <row r="1241" spans="1:34">
      <c r="A1241" s="10" t="str">
        <f>IF(履歴データ!$A$1241="","",履歴データ!$A$1241)</f>
        <v/>
      </c>
      <c r="B1241" s="28" t="str">
        <f>IF(履歴データ!$A$1241="","",(履歴データ!$D$1241-(履歴データ!$B$1241+履歴データ!$F$1241)/2)*100)</f>
        <v/>
      </c>
      <c r="C1241" s="28" t="str">
        <f>IF(履歴データ!$A$1241="","",(履歴データ!$H$1241-(履歴データ!$G$1241+履歴データ!$J$1241)/2)*100)</f>
        <v/>
      </c>
      <c r="D1241" s="28" t="str">
        <f>IF(履歴データ!$A$1241="","",(履歴データ!$D$1241-履歴データ!$H$1241)*100)</f>
        <v/>
      </c>
      <c r="E1241" s="28" t="str">
        <f>IF(履歴データ!$A$1241="","",(履歴データ!$D$1241-履歴データ!$C$1241)*100)</f>
        <v/>
      </c>
      <c r="F1241" s="28" t="str">
        <f>IF(履歴データ!$A$1241="","",(履歴データ!$R$1241-履歴データ!$D$1241)*100)</f>
        <v/>
      </c>
      <c r="G1241" s="28" t="str">
        <f>IF(履歴データ!$A$1241="","",(履歴データ!$S$1241-履歴データ!$R$1241)*100)</f>
        <v/>
      </c>
      <c r="H1241" s="29" t="str">
        <f>IF(履歴データ!$A$1241="","",履歴データ!$O$1241)</f>
        <v/>
      </c>
      <c r="I1241" s="29" t="str">
        <f>IF(履歴データ!$A$1241="","",履歴データ!$Q$1241)</f>
        <v/>
      </c>
      <c r="J1241" s="29" t="str">
        <f>IF(履歴データ!$A$1241="","",履歴データ!$D$1241)</f>
        <v/>
      </c>
      <c r="K1241" s="28" t="str">
        <f>IF(OR(履歴データ!$A$1241="",履歴データ!$A$1240=""),"",B1241-B1240)</f>
        <v/>
      </c>
      <c r="L1241" s="28" t="str">
        <f>IF(OR(履歴データ!$A$1241="",履歴データ!$A$1240=""),"",C1241-C1240)</f>
        <v/>
      </c>
      <c r="M1241" s="28" t="str">
        <f>IF(OR(履歴データ!$A$1241="",履歴データ!$A$1240=""),"",D1241-D1240)</f>
        <v/>
      </c>
      <c r="N1241" s="28" t="str">
        <f>IF(OR(履歴データ!$A$1241="",履歴データ!$A$1240=""),"",E1241-E1240)</f>
        <v/>
      </c>
      <c r="O1241" s="28" t="str">
        <f>IF(OR(履歴データ!$A$1241="",履歴データ!$A$1240=""),"",F1241-F1240)</f>
        <v/>
      </c>
      <c r="P1241" s="28" t="str">
        <f>IF(OR(履歴データ!$A$1241="",履歴データ!$A$1240=""),"",G1241-G1240)</f>
        <v/>
      </c>
      <c r="Q1241" s="29" t="str">
        <f>IF(OR(履歴データ!$A$1241="",履歴データ!$A$1240=""),"",H1241-H1240)</f>
        <v/>
      </c>
      <c r="R1241" s="29" t="str">
        <f>IF(OR(履歴データ!$A$1241="",履歴データ!$A$1240=""),"",I1241-I1240)</f>
        <v/>
      </c>
      <c r="S1241" s="28" t="str">
        <f>IF(OR(履歴データ!$A$1241="",履歴データ!$A$1240=""),"",(J1241-J1240)*100)</f>
        <v/>
      </c>
      <c r="T1241" s="11" t="str">
        <f>IF(OR(履歴データ!$A$1241="",履歴データ!$A$1240=""),"",-80000*K1241)</f>
        <v/>
      </c>
      <c r="U1241" s="11" t="str">
        <f>IF(OR(履歴データ!$A$1241="",履歴データ!$A$1240=""),"",60000*L1241)</f>
        <v/>
      </c>
      <c r="V1241" s="11" t="str">
        <f>IF(OR(履歴データ!$A$1241="",履歴データ!$A$1240=""),"",-50000*M1241)</f>
        <v/>
      </c>
      <c r="W1241" s="11" t="str">
        <f>IF(OR(履歴データ!$A$1241="",履歴データ!$A$1240=""),"",-40000*N1241)</f>
        <v/>
      </c>
      <c r="X1241" s="11" t="str">
        <f>IF(OR(履歴データ!$A$1241="",履歴データ!$A$1240=""),"",120*1000000*(-Q1241/H1240))</f>
        <v/>
      </c>
      <c r="Y1241" s="11" t="str">
        <f>IF(OR(履歴データ!$A$1241="",履歴データ!$A$1240=""),"",40000*(-S1241)+(-506.3)*R1241*1000)</f>
        <v/>
      </c>
      <c r="Z1241" s="11" t="str">
        <f>IF(OR(履歴データ!$A$1241="",履歴データ!$A$1240=""),"",-40000*O1241)</f>
        <v/>
      </c>
      <c r="AA1241" s="11" t="str">
        <f>IF(OR(履歴データ!$A$1241="",履歴データ!$A$1240=""),"",-40000*P1241)</f>
        <v/>
      </c>
      <c r="AB1241" s="11" t="str">
        <f>IF(履歴データ!$A$1241="","",123.3)</f>
        <v/>
      </c>
      <c r="AC1241" t="str">
        <f>IF(履歴データ!$A$1241="","",SUM(T1241:AA1241))</f>
        <v/>
      </c>
      <c r="AD1241" s="29" t="str">
        <f>IF(履歴データ!$A$1241="","",AC1241/1000000)</f>
        <v/>
      </c>
      <c r="AE1241" s="29">
        <f>IF(履歴データ!$A$1241="",AE1240,AE1240+AC1241/1000000)</f>
        <v>70.844544225831427</v>
      </c>
      <c r="AF1241" s="12" t="str">
        <f>IF(OR(履歴データ!$A$1241="",AE1240=0),"",(AE1241-AE1240)/AE1240)</f>
        <v/>
      </c>
      <c r="AG1241" s="29">
        <f t="shared" si="49"/>
        <v>102.17217746631495</v>
      </c>
      <c r="AH1241" s="12" t="str">
        <f>IF(OR(履歴データ!$A$1241="",AG1241=0),"",AE1241/AG1241-1)</f>
        <v/>
      </c>
    </row>
    <row r="1242" spans="1:34">
      <c r="A1242" s="10" t="str">
        <f>IF(履歴データ!$A$1242="","",履歴データ!$A$1242)</f>
        <v/>
      </c>
      <c r="B1242" s="28" t="str">
        <f>IF(履歴データ!$A$1242="","",(履歴データ!$D$1242-(履歴データ!$B$1242+履歴データ!$F$1242)/2)*100)</f>
        <v/>
      </c>
      <c r="C1242" s="28" t="str">
        <f>IF(履歴データ!$A$1242="","",(履歴データ!$H$1242-(履歴データ!$G$1242+履歴データ!$J$1242)/2)*100)</f>
        <v/>
      </c>
      <c r="D1242" s="28" t="str">
        <f>IF(履歴データ!$A$1242="","",(履歴データ!$D$1242-履歴データ!$H$1242)*100)</f>
        <v/>
      </c>
      <c r="E1242" s="28" t="str">
        <f>IF(履歴データ!$A$1242="","",(履歴データ!$D$1242-履歴データ!$C$1242)*100)</f>
        <v/>
      </c>
      <c r="F1242" s="28" t="str">
        <f>IF(履歴データ!$A$1242="","",(履歴データ!$R$1242-履歴データ!$D$1242)*100)</f>
        <v/>
      </c>
      <c r="G1242" s="28" t="str">
        <f>IF(履歴データ!$A$1242="","",(履歴データ!$S$1242-履歴データ!$R$1242)*100)</f>
        <v/>
      </c>
      <c r="H1242" s="29" t="str">
        <f>IF(履歴データ!$A$1242="","",履歴データ!$O$1242)</f>
        <v/>
      </c>
      <c r="I1242" s="29" t="str">
        <f>IF(履歴データ!$A$1242="","",履歴データ!$Q$1242)</f>
        <v/>
      </c>
      <c r="J1242" s="29" t="str">
        <f>IF(履歴データ!$A$1242="","",履歴データ!$D$1242)</f>
        <v/>
      </c>
      <c r="K1242" s="28" t="str">
        <f>IF(OR(履歴データ!$A$1242="",履歴データ!$A$1241=""),"",B1242-B1241)</f>
        <v/>
      </c>
      <c r="L1242" s="28" t="str">
        <f>IF(OR(履歴データ!$A$1242="",履歴データ!$A$1241=""),"",C1242-C1241)</f>
        <v/>
      </c>
      <c r="M1242" s="28" t="str">
        <f>IF(OR(履歴データ!$A$1242="",履歴データ!$A$1241=""),"",D1242-D1241)</f>
        <v/>
      </c>
      <c r="N1242" s="28" t="str">
        <f>IF(OR(履歴データ!$A$1242="",履歴データ!$A$1241=""),"",E1242-E1241)</f>
        <v/>
      </c>
      <c r="O1242" s="28" t="str">
        <f>IF(OR(履歴データ!$A$1242="",履歴データ!$A$1241=""),"",F1242-F1241)</f>
        <v/>
      </c>
      <c r="P1242" s="28" t="str">
        <f>IF(OR(履歴データ!$A$1242="",履歴データ!$A$1241=""),"",G1242-G1241)</f>
        <v/>
      </c>
      <c r="Q1242" s="29" t="str">
        <f>IF(OR(履歴データ!$A$1242="",履歴データ!$A$1241=""),"",H1242-H1241)</f>
        <v/>
      </c>
      <c r="R1242" s="29" t="str">
        <f>IF(OR(履歴データ!$A$1242="",履歴データ!$A$1241=""),"",I1242-I1241)</f>
        <v/>
      </c>
      <c r="S1242" s="28" t="str">
        <f>IF(OR(履歴データ!$A$1242="",履歴データ!$A$1241=""),"",(J1242-J1241)*100)</f>
        <v/>
      </c>
      <c r="T1242" s="11" t="str">
        <f>IF(OR(履歴データ!$A$1242="",履歴データ!$A$1241=""),"",-80000*K1242)</f>
        <v/>
      </c>
      <c r="U1242" s="11" t="str">
        <f>IF(OR(履歴データ!$A$1242="",履歴データ!$A$1241=""),"",60000*L1242)</f>
        <v/>
      </c>
      <c r="V1242" s="11" t="str">
        <f>IF(OR(履歴データ!$A$1242="",履歴データ!$A$1241=""),"",-50000*M1242)</f>
        <v/>
      </c>
      <c r="W1242" s="11" t="str">
        <f>IF(OR(履歴データ!$A$1242="",履歴データ!$A$1241=""),"",-40000*N1242)</f>
        <v/>
      </c>
      <c r="X1242" s="11" t="str">
        <f>IF(OR(履歴データ!$A$1242="",履歴データ!$A$1241=""),"",120*1000000*(-Q1242/H1241))</f>
        <v/>
      </c>
      <c r="Y1242" s="11" t="str">
        <f>IF(OR(履歴データ!$A$1242="",履歴データ!$A$1241=""),"",40000*(-S1242)+(-506.3)*R1242*1000)</f>
        <v/>
      </c>
      <c r="Z1242" s="11" t="str">
        <f>IF(OR(履歴データ!$A$1242="",履歴データ!$A$1241=""),"",-40000*O1242)</f>
        <v/>
      </c>
      <c r="AA1242" s="11" t="str">
        <f>IF(OR(履歴データ!$A$1242="",履歴データ!$A$1241=""),"",-40000*P1242)</f>
        <v/>
      </c>
      <c r="AB1242" s="11" t="str">
        <f>IF(履歴データ!$A$1242="","",123.3)</f>
        <v/>
      </c>
      <c r="AC1242" t="str">
        <f>IF(履歴データ!$A$1242="","",SUM(T1242:AA1242))</f>
        <v/>
      </c>
      <c r="AD1242" s="29" t="str">
        <f>IF(履歴データ!$A$1242="","",AC1242/1000000)</f>
        <v/>
      </c>
      <c r="AE1242" s="29">
        <f>IF(履歴データ!$A$1242="",AE1241,AE1241+AC1242/1000000)</f>
        <v>70.844544225831427</v>
      </c>
      <c r="AF1242" s="12" t="str">
        <f>IF(OR(履歴データ!$A$1242="",AE1241=0),"",(AE1242-AE1241)/AE1241)</f>
        <v/>
      </c>
      <c r="AG1242" s="29">
        <f t="shared" si="49"/>
        <v>102.17217746631495</v>
      </c>
      <c r="AH1242" s="12" t="str">
        <f>IF(OR(履歴データ!$A$1242="",AG1242=0),"",AE1242/AG1242-1)</f>
        <v/>
      </c>
    </row>
    <row r="1243" spans="1:34">
      <c r="A1243" s="10" t="str">
        <f>IF(履歴データ!$A$1243="","",履歴データ!$A$1243)</f>
        <v/>
      </c>
      <c r="B1243" s="28" t="str">
        <f>IF(履歴データ!$A$1243="","",(履歴データ!$D$1243-(履歴データ!$B$1243+履歴データ!$F$1243)/2)*100)</f>
        <v/>
      </c>
      <c r="C1243" s="28" t="str">
        <f>IF(履歴データ!$A$1243="","",(履歴データ!$H$1243-(履歴データ!$G$1243+履歴データ!$J$1243)/2)*100)</f>
        <v/>
      </c>
      <c r="D1243" s="28" t="str">
        <f>IF(履歴データ!$A$1243="","",(履歴データ!$D$1243-履歴データ!$H$1243)*100)</f>
        <v/>
      </c>
      <c r="E1243" s="28" t="str">
        <f>IF(履歴データ!$A$1243="","",(履歴データ!$D$1243-履歴データ!$C$1243)*100)</f>
        <v/>
      </c>
      <c r="F1243" s="28" t="str">
        <f>IF(履歴データ!$A$1243="","",(履歴データ!$R$1243-履歴データ!$D$1243)*100)</f>
        <v/>
      </c>
      <c r="G1243" s="28" t="str">
        <f>IF(履歴データ!$A$1243="","",(履歴データ!$S$1243-履歴データ!$R$1243)*100)</f>
        <v/>
      </c>
      <c r="H1243" s="29" t="str">
        <f>IF(履歴データ!$A$1243="","",履歴データ!$O$1243)</f>
        <v/>
      </c>
      <c r="I1243" s="29" t="str">
        <f>IF(履歴データ!$A$1243="","",履歴データ!$Q$1243)</f>
        <v/>
      </c>
      <c r="J1243" s="29" t="str">
        <f>IF(履歴データ!$A$1243="","",履歴データ!$D$1243)</f>
        <v/>
      </c>
      <c r="K1243" s="28" t="str">
        <f>IF(OR(履歴データ!$A$1243="",履歴データ!$A$1242=""),"",B1243-B1242)</f>
        <v/>
      </c>
      <c r="L1243" s="28" t="str">
        <f>IF(OR(履歴データ!$A$1243="",履歴データ!$A$1242=""),"",C1243-C1242)</f>
        <v/>
      </c>
      <c r="M1243" s="28" t="str">
        <f>IF(OR(履歴データ!$A$1243="",履歴データ!$A$1242=""),"",D1243-D1242)</f>
        <v/>
      </c>
      <c r="N1243" s="28" t="str">
        <f>IF(OR(履歴データ!$A$1243="",履歴データ!$A$1242=""),"",E1243-E1242)</f>
        <v/>
      </c>
      <c r="O1243" s="28" t="str">
        <f>IF(OR(履歴データ!$A$1243="",履歴データ!$A$1242=""),"",F1243-F1242)</f>
        <v/>
      </c>
      <c r="P1243" s="28" t="str">
        <f>IF(OR(履歴データ!$A$1243="",履歴データ!$A$1242=""),"",G1243-G1242)</f>
        <v/>
      </c>
      <c r="Q1243" s="29" t="str">
        <f>IF(OR(履歴データ!$A$1243="",履歴データ!$A$1242=""),"",H1243-H1242)</f>
        <v/>
      </c>
      <c r="R1243" s="29" t="str">
        <f>IF(OR(履歴データ!$A$1243="",履歴データ!$A$1242=""),"",I1243-I1242)</f>
        <v/>
      </c>
      <c r="S1243" s="28" t="str">
        <f>IF(OR(履歴データ!$A$1243="",履歴データ!$A$1242=""),"",(J1243-J1242)*100)</f>
        <v/>
      </c>
      <c r="T1243" s="11" t="str">
        <f>IF(OR(履歴データ!$A$1243="",履歴データ!$A$1242=""),"",-80000*K1243)</f>
        <v/>
      </c>
      <c r="U1243" s="11" t="str">
        <f>IF(OR(履歴データ!$A$1243="",履歴データ!$A$1242=""),"",60000*L1243)</f>
        <v/>
      </c>
      <c r="V1243" s="11" t="str">
        <f>IF(OR(履歴データ!$A$1243="",履歴データ!$A$1242=""),"",-50000*M1243)</f>
        <v/>
      </c>
      <c r="W1243" s="11" t="str">
        <f>IF(OR(履歴データ!$A$1243="",履歴データ!$A$1242=""),"",-40000*N1243)</f>
        <v/>
      </c>
      <c r="X1243" s="11" t="str">
        <f>IF(OR(履歴データ!$A$1243="",履歴データ!$A$1242=""),"",120*1000000*(-Q1243/H1242))</f>
        <v/>
      </c>
      <c r="Y1243" s="11" t="str">
        <f>IF(OR(履歴データ!$A$1243="",履歴データ!$A$1242=""),"",40000*(-S1243)+(-506.3)*R1243*1000)</f>
        <v/>
      </c>
      <c r="Z1243" s="11" t="str">
        <f>IF(OR(履歴データ!$A$1243="",履歴データ!$A$1242=""),"",-40000*O1243)</f>
        <v/>
      </c>
      <c r="AA1243" s="11" t="str">
        <f>IF(OR(履歴データ!$A$1243="",履歴データ!$A$1242=""),"",-40000*P1243)</f>
        <v/>
      </c>
      <c r="AB1243" s="11" t="str">
        <f>IF(履歴データ!$A$1243="","",123.3)</f>
        <v/>
      </c>
      <c r="AC1243" t="str">
        <f>IF(履歴データ!$A$1243="","",SUM(T1243:AA1243))</f>
        <v/>
      </c>
      <c r="AD1243" s="29" t="str">
        <f>IF(履歴データ!$A$1243="","",AC1243/1000000)</f>
        <v/>
      </c>
      <c r="AE1243" s="29">
        <f>IF(履歴データ!$A$1243="",AE1242,AE1242+AC1243/1000000)</f>
        <v>70.844544225831427</v>
      </c>
      <c r="AF1243" s="12" t="str">
        <f>IF(OR(履歴データ!$A$1243="",AE1242=0),"",(AE1243-AE1242)/AE1242)</f>
        <v/>
      </c>
      <c r="AG1243" s="29">
        <f t="shared" si="49"/>
        <v>102.17217746631495</v>
      </c>
      <c r="AH1243" s="12" t="str">
        <f>IF(OR(履歴データ!$A$1243="",AG1243=0),"",AE1243/AG1243-1)</f>
        <v/>
      </c>
    </row>
    <row r="1244" spans="1:34">
      <c r="A1244" s="10" t="str">
        <f>IF(履歴データ!$A$1244="","",履歴データ!$A$1244)</f>
        <v/>
      </c>
      <c r="B1244" s="28" t="str">
        <f>IF(履歴データ!$A$1244="","",(履歴データ!$D$1244-(履歴データ!$B$1244+履歴データ!$F$1244)/2)*100)</f>
        <v/>
      </c>
      <c r="C1244" s="28" t="str">
        <f>IF(履歴データ!$A$1244="","",(履歴データ!$H$1244-(履歴データ!$G$1244+履歴データ!$J$1244)/2)*100)</f>
        <v/>
      </c>
      <c r="D1244" s="28" t="str">
        <f>IF(履歴データ!$A$1244="","",(履歴データ!$D$1244-履歴データ!$H$1244)*100)</f>
        <v/>
      </c>
      <c r="E1244" s="28" t="str">
        <f>IF(履歴データ!$A$1244="","",(履歴データ!$D$1244-履歴データ!$C$1244)*100)</f>
        <v/>
      </c>
      <c r="F1244" s="28" t="str">
        <f>IF(履歴データ!$A$1244="","",(履歴データ!$R$1244-履歴データ!$D$1244)*100)</f>
        <v/>
      </c>
      <c r="G1244" s="28" t="str">
        <f>IF(履歴データ!$A$1244="","",(履歴データ!$S$1244-履歴データ!$R$1244)*100)</f>
        <v/>
      </c>
      <c r="H1244" s="29" t="str">
        <f>IF(履歴データ!$A$1244="","",履歴データ!$O$1244)</f>
        <v/>
      </c>
      <c r="I1244" s="29" t="str">
        <f>IF(履歴データ!$A$1244="","",履歴データ!$Q$1244)</f>
        <v/>
      </c>
      <c r="J1244" s="29" t="str">
        <f>IF(履歴データ!$A$1244="","",履歴データ!$D$1244)</f>
        <v/>
      </c>
      <c r="K1244" s="28" t="str">
        <f>IF(OR(履歴データ!$A$1244="",履歴データ!$A$1243=""),"",B1244-B1243)</f>
        <v/>
      </c>
      <c r="L1244" s="28" t="str">
        <f>IF(OR(履歴データ!$A$1244="",履歴データ!$A$1243=""),"",C1244-C1243)</f>
        <v/>
      </c>
      <c r="M1244" s="28" t="str">
        <f>IF(OR(履歴データ!$A$1244="",履歴データ!$A$1243=""),"",D1244-D1243)</f>
        <v/>
      </c>
      <c r="N1244" s="28" t="str">
        <f>IF(OR(履歴データ!$A$1244="",履歴データ!$A$1243=""),"",E1244-E1243)</f>
        <v/>
      </c>
      <c r="O1244" s="28" t="str">
        <f>IF(OR(履歴データ!$A$1244="",履歴データ!$A$1243=""),"",F1244-F1243)</f>
        <v/>
      </c>
      <c r="P1244" s="28" t="str">
        <f>IF(OR(履歴データ!$A$1244="",履歴データ!$A$1243=""),"",G1244-G1243)</f>
        <v/>
      </c>
      <c r="Q1244" s="29" t="str">
        <f>IF(OR(履歴データ!$A$1244="",履歴データ!$A$1243=""),"",H1244-H1243)</f>
        <v/>
      </c>
      <c r="R1244" s="29" t="str">
        <f>IF(OR(履歴データ!$A$1244="",履歴データ!$A$1243=""),"",I1244-I1243)</f>
        <v/>
      </c>
      <c r="S1244" s="28" t="str">
        <f>IF(OR(履歴データ!$A$1244="",履歴データ!$A$1243=""),"",(J1244-J1243)*100)</f>
        <v/>
      </c>
      <c r="T1244" s="11" t="str">
        <f>IF(OR(履歴データ!$A$1244="",履歴データ!$A$1243=""),"",-80000*K1244)</f>
        <v/>
      </c>
      <c r="U1244" s="11" t="str">
        <f>IF(OR(履歴データ!$A$1244="",履歴データ!$A$1243=""),"",60000*L1244)</f>
        <v/>
      </c>
      <c r="V1244" s="11" t="str">
        <f>IF(OR(履歴データ!$A$1244="",履歴データ!$A$1243=""),"",-50000*M1244)</f>
        <v/>
      </c>
      <c r="W1244" s="11" t="str">
        <f>IF(OR(履歴データ!$A$1244="",履歴データ!$A$1243=""),"",-40000*N1244)</f>
        <v/>
      </c>
      <c r="X1244" s="11" t="str">
        <f>IF(OR(履歴データ!$A$1244="",履歴データ!$A$1243=""),"",120*1000000*(-Q1244/H1243))</f>
        <v/>
      </c>
      <c r="Y1244" s="11" t="str">
        <f>IF(OR(履歴データ!$A$1244="",履歴データ!$A$1243=""),"",40000*(-S1244)+(-506.3)*R1244*1000)</f>
        <v/>
      </c>
      <c r="Z1244" s="11" t="str">
        <f>IF(OR(履歴データ!$A$1244="",履歴データ!$A$1243=""),"",-40000*O1244)</f>
        <v/>
      </c>
      <c r="AA1244" s="11" t="str">
        <f>IF(OR(履歴データ!$A$1244="",履歴データ!$A$1243=""),"",-40000*P1244)</f>
        <v/>
      </c>
      <c r="AB1244" s="11" t="str">
        <f>IF(履歴データ!$A$1244="","",123.3)</f>
        <v/>
      </c>
      <c r="AC1244" t="str">
        <f>IF(履歴データ!$A$1244="","",SUM(T1244:AA1244))</f>
        <v/>
      </c>
      <c r="AD1244" s="29" t="str">
        <f>IF(履歴データ!$A$1244="","",AC1244/1000000)</f>
        <v/>
      </c>
      <c r="AE1244" s="29">
        <f>IF(履歴データ!$A$1244="",AE1243,AE1243+AC1244/1000000)</f>
        <v>70.844544225831427</v>
      </c>
      <c r="AF1244" s="12" t="str">
        <f>IF(OR(履歴データ!$A$1244="",AE1243=0),"",(AE1244-AE1243)/AE1243)</f>
        <v/>
      </c>
      <c r="AG1244" s="29">
        <f t="shared" si="49"/>
        <v>102.17217746631495</v>
      </c>
      <c r="AH1244" s="12" t="str">
        <f>IF(OR(履歴データ!$A$1244="",AG1244=0),"",AE1244/AG1244-1)</f>
        <v/>
      </c>
    </row>
    <row r="1245" spans="1:34">
      <c r="A1245" s="10" t="str">
        <f>IF(履歴データ!$A$1245="","",履歴データ!$A$1245)</f>
        <v/>
      </c>
      <c r="B1245" s="28" t="str">
        <f>IF(履歴データ!$A$1245="","",(履歴データ!$D$1245-(履歴データ!$B$1245+履歴データ!$F$1245)/2)*100)</f>
        <v/>
      </c>
      <c r="C1245" s="28" t="str">
        <f>IF(履歴データ!$A$1245="","",(履歴データ!$H$1245-(履歴データ!$G$1245+履歴データ!$J$1245)/2)*100)</f>
        <v/>
      </c>
      <c r="D1245" s="28" t="str">
        <f>IF(履歴データ!$A$1245="","",(履歴データ!$D$1245-履歴データ!$H$1245)*100)</f>
        <v/>
      </c>
      <c r="E1245" s="28" t="str">
        <f>IF(履歴データ!$A$1245="","",(履歴データ!$D$1245-履歴データ!$C$1245)*100)</f>
        <v/>
      </c>
      <c r="F1245" s="28" t="str">
        <f>IF(履歴データ!$A$1245="","",(履歴データ!$R$1245-履歴データ!$D$1245)*100)</f>
        <v/>
      </c>
      <c r="G1245" s="28" t="str">
        <f>IF(履歴データ!$A$1245="","",(履歴データ!$S$1245-履歴データ!$R$1245)*100)</f>
        <v/>
      </c>
      <c r="H1245" s="29" t="str">
        <f>IF(履歴データ!$A$1245="","",履歴データ!$O$1245)</f>
        <v/>
      </c>
      <c r="I1245" s="29" t="str">
        <f>IF(履歴データ!$A$1245="","",履歴データ!$Q$1245)</f>
        <v/>
      </c>
      <c r="J1245" s="29" t="str">
        <f>IF(履歴データ!$A$1245="","",履歴データ!$D$1245)</f>
        <v/>
      </c>
      <c r="K1245" s="28" t="str">
        <f>IF(OR(履歴データ!$A$1245="",履歴データ!$A$1244=""),"",B1245-B1244)</f>
        <v/>
      </c>
      <c r="L1245" s="28" t="str">
        <f>IF(OR(履歴データ!$A$1245="",履歴データ!$A$1244=""),"",C1245-C1244)</f>
        <v/>
      </c>
      <c r="M1245" s="28" t="str">
        <f>IF(OR(履歴データ!$A$1245="",履歴データ!$A$1244=""),"",D1245-D1244)</f>
        <v/>
      </c>
      <c r="N1245" s="28" t="str">
        <f>IF(OR(履歴データ!$A$1245="",履歴データ!$A$1244=""),"",E1245-E1244)</f>
        <v/>
      </c>
      <c r="O1245" s="28" t="str">
        <f>IF(OR(履歴データ!$A$1245="",履歴データ!$A$1244=""),"",F1245-F1244)</f>
        <v/>
      </c>
      <c r="P1245" s="28" t="str">
        <f>IF(OR(履歴データ!$A$1245="",履歴データ!$A$1244=""),"",G1245-G1244)</f>
        <v/>
      </c>
      <c r="Q1245" s="29" t="str">
        <f>IF(OR(履歴データ!$A$1245="",履歴データ!$A$1244=""),"",H1245-H1244)</f>
        <v/>
      </c>
      <c r="R1245" s="29" t="str">
        <f>IF(OR(履歴データ!$A$1245="",履歴データ!$A$1244=""),"",I1245-I1244)</f>
        <v/>
      </c>
      <c r="S1245" s="28" t="str">
        <f>IF(OR(履歴データ!$A$1245="",履歴データ!$A$1244=""),"",(J1245-J1244)*100)</f>
        <v/>
      </c>
      <c r="T1245" s="11" t="str">
        <f>IF(OR(履歴データ!$A$1245="",履歴データ!$A$1244=""),"",-80000*K1245)</f>
        <v/>
      </c>
      <c r="U1245" s="11" t="str">
        <f>IF(OR(履歴データ!$A$1245="",履歴データ!$A$1244=""),"",60000*L1245)</f>
        <v/>
      </c>
      <c r="V1245" s="11" t="str">
        <f>IF(OR(履歴データ!$A$1245="",履歴データ!$A$1244=""),"",-50000*M1245)</f>
        <v/>
      </c>
      <c r="W1245" s="11" t="str">
        <f>IF(OR(履歴データ!$A$1245="",履歴データ!$A$1244=""),"",-40000*N1245)</f>
        <v/>
      </c>
      <c r="X1245" s="11" t="str">
        <f>IF(OR(履歴データ!$A$1245="",履歴データ!$A$1244=""),"",120*1000000*(-Q1245/H1244))</f>
        <v/>
      </c>
      <c r="Y1245" s="11" t="str">
        <f>IF(OR(履歴データ!$A$1245="",履歴データ!$A$1244=""),"",40000*(-S1245)+(-506.3)*R1245*1000)</f>
        <v/>
      </c>
      <c r="Z1245" s="11" t="str">
        <f>IF(OR(履歴データ!$A$1245="",履歴データ!$A$1244=""),"",-40000*O1245)</f>
        <v/>
      </c>
      <c r="AA1245" s="11" t="str">
        <f>IF(OR(履歴データ!$A$1245="",履歴データ!$A$1244=""),"",-40000*P1245)</f>
        <v/>
      </c>
      <c r="AB1245" s="11" t="str">
        <f>IF(履歴データ!$A$1245="","",123.3)</f>
        <v/>
      </c>
      <c r="AC1245" t="str">
        <f>IF(履歴データ!$A$1245="","",SUM(T1245:AA1245))</f>
        <v/>
      </c>
      <c r="AD1245" s="29" t="str">
        <f>IF(履歴データ!$A$1245="","",AC1245/1000000)</f>
        <v/>
      </c>
      <c r="AE1245" s="29">
        <f>IF(履歴データ!$A$1245="",AE1244,AE1244+AC1245/1000000)</f>
        <v>70.844544225831427</v>
      </c>
      <c r="AF1245" s="12" t="str">
        <f>IF(OR(履歴データ!$A$1245="",AE1244=0),"",(AE1245-AE1244)/AE1244)</f>
        <v/>
      </c>
      <c r="AG1245" s="29">
        <f t="shared" si="49"/>
        <v>102.17217746631495</v>
      </c>
      <c r="AH1245" s="12" t="str">
        <f>IF(OR(履歴データ!$A$1245="",AG1245=0),"",AE1245/AG1245-1)</f>
        <v/>
      </c>
    </row>
    <row r="1246" spans="1:34">
      <c r="A1246" s="10" t="str">
        <f>IF(履歴データ!$A$1246="","",履歴データ!$A$1246)</f>
        <v/>
      </c>
      <c r="B1246" s="28" t="str">
        <f>IF(履歴データ!$A$1246="","",(履歴データ!$D$1246-(履歴データ!$B$1246+履歴データ!$F$1246)/2)*100)</f>
        <v/>
      </c>
      <c r="C1246" s="28" t="str">
        <f>IF(履歴データ!$A$1246="","",(履歴データ!$H$1246-(履歴データ!$G$1246+履歴データ!$J$1246)/2)*100)</f>
        <v/>
      </c>
      <c r="D1246" s="28" t="str">
        <f>IF(履歴データ!$A$1246="","",(履歴データ!$D$1246-履歴データ!$H$1246)*100)</f>
        <v/>
      </c>
      <c r="E1246" s="28" t="str">
        <f>IF(履歴データ!$A$1246="","",(履歴データ!$D$1246-履歴データ!$C$1246)*100)</f>
        <v/>
      </c>
      <c r="F1246" s="28" t="str">
        <f>IF(履歴データ!$A$1246="","",(履歴データ!$R$1246-履歴データ!$D$1246)*100)</f>
        <v/>
      </c>
      <c r="G1246" s="28" t="str">
        <f>IF(履歴データ!$A$1246="","",(履歴データ!$S$1246-履歴データ!$R$1246)*100)</f>
        <v/>
      </c>
      <c r="H1246" s="29" t="str">
        <f>IF(履歴データ!$A$1246="","",履歴データ!$O$1246)</f>
        <v/>
      </c>
      <c r="I1246" s="29" t="str">
        <f>IF(履歴データ!$A$1246="","",履歴データ!$Q$1246)</f>
        <v/>
      </c>
      <c r="J1246" s="29" t="str">
        <f>IF(履歴データ!$A$1246="","",履歴データ!$D$1246)</f>
        <v/>
      </c>
      <c r="K1246" s="28" t="str">
        <f>IF(OR(履歴データ!$A$1246="",履歴データ!$A$1245=""),"",B1246-B1245)</f>
        <v/>
      </c>
      <c r="L1246" s="28" t="str">
        <f>IF(OR(履歴データ!$A$1246="",履歴データ!$A$1245=""),"",C1246-C1245)</f>
        <v/>
      </c>
      <c r="M1246" s="28" t="str">
        <f>IF(OR(履歴データ!$A$1246="",履歴データ!$A$1245=""),"",D1246-D1245)</f>
        <v/>
      </c>
      <c r="N1246" s="28" t="str">
        <f>IF(OR(履歴データ!$A$1246="",履歴データ!$A$1245=""),"",E1246-E1245)</f>
        <v/>
      </c>
      <c r="O1246" s="28" t="str">
        <f>IF(OR(履歴データ!$A$1246="",履歴データ!$A$1245=""),"",F1246-F1245)</f>
        <v/>
      </c>
      <c r="P1246" s="28" t="str">
        <f>IF(OR(履歴データ!$A$1246="",履歴データ!$A$1245=""),"",G1246-G1245)</f>
        <v/>
      </c>
      <c r="Q1246" s="29" t="str">
        <f>IF(OR(履歴データ!$A$1246="",履歴データ!$A$1245=""),"",H1246-H1245)</f>
        <v/>
      </c>
      <c r="R1246" s="29" t="str">
        <f>IF(OR(履歴データ!$A$1246="",履歴データ!$A$1245=""),"",I1246-I1245)</f>
        <v/>
      </c>
      <c r="S1246" s="28" t="str">
        <f>IF(OR(履歴データ!$A$1246="",履歴データ!$A$1245=""),"",(J1246-J1245)*100)</f>
        <v/>
      </c>
      <c r="T1246" s="11" t="str">
        <f>IF(OR(履歴データ!$A$1246="",履歴データ!$A$1245=""),"",-80000*K1246)</f>
        <v/>
      </c>
      <c r="U1246" s="11" t="str">
        <f>IF(OR(履歴データ!$A$1246="",履歴データ!$A$1245=""),"",60000*L1246)</f>
        <v/>
      </c>
      <c r="V1246" s="11" t="str">
        <f>IF(OR(履歴データ!$A$1246="",履歴データ!$A$1245=""),"",-50000*M1246)</f>
        <v/>
      </c>
      <c r="W1246" s="11" t="str">
        <f>IF(OR(履歴データ!$A$1246="",履歴データ!$A$1245=""),"",-40000*N1246)</f>
        <v/>
      </c>
      <c r="X1246" s="11" t="str">
        <f>IF(OR(履歴データ!$A$1246="",履歴データ!$A$1245=""),"",120*1000000*(-Q1246/H1245))</f>
        <v/>
      </c>
      <c r="Y1246" s="11" t="str">
        <f>IF(OR(履歴データ!$A$1246="",履歴データ!$A$1245=""),"",40000*(-S1246)+(-506.3)*R1246*1000)</f>
        <v/>
      </c>
      <c r="Z1246" s="11" t="str">
        <f>IF(OR(履歴データ!$A$1246="",履歴データ!$A$1245=""),"",-40000*O1246)</f>
        <v/>
      </c>
      <c r="AA1246" s="11" t="str">
        <f>IF(OR(履歴データ!$A$1246="",履歴データ!$A$1245=""),"",-40000*P1246)</f>
        <v/>
      </c>
      <c r="AB1246" s="11" t="str">
        <f>IF(履歴データ!$A$1246="","",123.3)</f>
        <v/>
      </c>
      <c r="AC1246" t="str">
        <f>IF(履歴データ!$A$1246="","",SUM(T1246:AA1246))</f>
        <v/>
      </c>
      <c r="AD1246" s="29" t="str">
        <f>IF(履歴データ!$A$1246="","",AC1246/1000000)</f>
        <v/>
      </c>
      <c r="AE1246" s="29">
        <f>IF(履歴データ!$A$1246="",AE1245,AE1245+AC1246/1000000)</f>
        <v>70.844544225831427</v>
      </c>
      <c r="AF1246" s="12" t="str">
        <f>IF(OR(履歴データ!$A$1246="",AE1245=0),"",(AE1246-AE1245)/AE1245)</f>
        <v/>
      </c>
      <c r="AG1246" s="29">
        <f t="shared" si="49"/>
        <v>102.17217746631495</v>
      </c>
      <c r="AH1246" s="12" t="str">
        <f>IF(OR(履歴データ!$A$1246="",AG1246=0),"",AE1246/AG1246-1)</f>
        <v/>
      </c>
    </row>
    <row r="1247" spans="1:34">
      <c r="A1247" s="10" t="str">
        <f>IF(履歴データ!$A$1247="","",履歴データ!$A$1247)</f>
        <v/>
      </c>
      <c r="B1247" s="28" t="str">
        <f>IF(履歴データ!$A$1247="","",(履歴データ!$D$1247-(履歴データ!$B$1247+履歴データ!$F$1247)/2)*100)</f>
        <v/>
      </c>
      <c r="C1247" s="28" t="str">
        <f>IF(履歴データ!$A$1247="","",(履歴データ!$H$1247-(履歴データ!$G$1247+履歴データ!$J$1247)/2)*100)</f>
        <v/>
      </c>
      <c r="D1247" s="28" t="str">
        <f>IF(履歴データ!$A$1247="","",(履歴データ!$D$1247-履歴データ!$H$1247)*100)</f>
        <v/>
      </c>
      <c r="E1247" s="28" t="str">
        <f>IF(履歴データ!$A$1247="","",(履歴データ!$D$1247-履歴データ!$C$1247)*100)</f>
        <v/>
      </c>
      <c r="F1247" s="28" t="str">
        <f>IF(履歴データ!$A$1247="","",(履歴データ!$R$1247-履歴データ!$D$1247)*100)</f>
        <v/>
      </c>
      <c r="G1247" s="28" t="str">
        <f>IF(履歴データ!$A$1247="","",(履歴データ!$S$1247-履歴データ!$R$1247)*100)</f>
        <v/>
      </c>
      <c r="H1247" s="29" t="str">
        <f>IF(履歴データ!$A$1247="","",履歴データ!$O$1247)</f>
        <v/>
      </c>
      <c r="I1247" s="29" t="str">
        <f>IF(履歴データ!$A$1247="","",履歴データ!$Q$1247)</f>
        <v/>
      </c>
      <c r="J1247" s="29" t="str">
        <f>IF(履歴データ!$A$1247="","",履歴データ!$D$1247)</f>
        <v/>
      </c>
      <c r="K1247" s="28" t="str">
        <f>IF(OR(履歴データ!$A$1247="",履歴データ!$A$1246=""),"",B1247-B1246)</f>
        <v/>
      </c>
      <c r="L1247" s="28" t="str">
        <f>IF(OR(履歴データ!$A$1247="",履歴データ!$A$1246=""),"",C1247-C1246)</f>
        <v/>
      </c>
      <c r="M1247" s="28" t="str">
        <f>IF(OR(履歴データ!$A$1247="",履歴データ!$A$1246=""),"",D1247-D1246)</f>
        <v/>
      </c>
      <c r="N1247" s="28" t="str">
        <f>IF(OR(履歴データ!$A$1247="",履歴データ!$A$1246=""),"",E1247-E1246)</f>
        <v/>
      </c>
      <c r="O1247" s="28" t="str">
        <f>IF(OR(履歴データ!$A$1247="",履歴データ!$A$1246=""),"",F1247-F1246)</f>
        <v/>
      </c>
      <c r="P1247" s="28" t="str">
        <f>IF(OR(履歴データ!$A$1247="",履歴データ!$A$1246=""),"",G1247-G1246)</f>
        <v/>
      </c>
      <c r="Q1247" s="29" t="str">
        <f>IF(OR(履歴データ!$A$1247="",履歴データ!$A$1246=""),"",H1247-H1246)</f>
        <v/>
      </c>
      <c r="R1247" s="29" t="str">
        <f>IF(OR(履歴データ!$A$1247="",履歴データ!$A$1246=""),"",I1247-I1246)</f>
        <v/>
      </c>
      <c r="S1247" s="28" t="str">
        <f>IF(OR(履歴データ!$A$1247="",履歴データ!$A$1246=""),"",(J1247-J1246)*100)</f>
        <v/>
      </c>
      <c r="T1247" s="11" t="str">
        <f>IF(OR(履歴データ!$A$1247="",履歴データ!$A$1246=""),"",-80000*K1247)</f>
        <v/>
      </c>
      <c r="U1247" s="11" t="str">
        <f>IF(OR(履歴データ!$A$1247="",履歴データ!$A$1246=""),"",60000*L1247)</f>
        <v/>
      </c>
      <c r="V1247" s="11" t="str">
        <f>IF(OR(履歴データ!$A$1247="",履歴データ!$A$1246=""),"",-50000*M1247)</f>
        <v/>
      </c>
      <c r="W1247" s="11" t="str">
        <f>IF(OR(履歴データ!$A$1247="",履歴データ!$A$1246=""),"",-40000*N1247)</f>
        <v/>
      </c>
      <c r="X1247" s="11" t="str">
        <f>IF(OR(履歴データ!$A$1247="",履歴データ!$A$1246=""),"",120*1000000*(-Q1247/H1246))</f>
        <v/>
      </c>
      <c r="Y1247" s="11" t="str">
        <f>IF(OR(履歴データ!$A$1247="",履歴データ!$A$1246=""),"",40000*(-S1247)+(-506.3)*R1247*1000)</f>
        <v/>
      </c>
      <c r="Z1247" s="11" t="str">
        <f>IF(OR(履歴データ!$A$1247="",履歴データ!$A$1246=""),"",-40000*O1247)</f>
        <v/>
      </c>
      <c r="AA1247" s="11" t="str">
        <f>IF(OR(履歴データ!$A$1247="",履歴データ!$A$1246=""),"",-40000*P1247)</f>
        <v/>
      </c>
      <c r="AB1247" s="11" t="str">
        <f>IF(履歴データ!$A$1247="","",123.3)</f>
        <v/>
      </c>
      <c r="AC1247" t="str">
        <f>IF(履歴データ!$A$1247="","",SUM(T1247:AA1247))</f>
        <v/>
      </c>
      <c r="AD1247" s="29" t="str">
        <f>IF(履歴データ!$A$1247="","",AC1247/1000000)</f>
        <v/>
      </c>
      <c r="AE1247" s="29">
        <f>IF(履歴データ!$A$1247="",AE1246,AE1246+AC1247/1000000)</f>
        <v>70.844544225831427</v>
      </c>
      <c r="AF1247" s="12" t="str">
        <f>IF(OR(履歴データ!$A$1247="",AE1246=0),"",(AE1247-AE1246)/AE1246)</f>
        <v/>
      </c>
      <c r="AG1247" s="29">
        <f t="shared" si="49"/>
        <v>102.17217746631495</v>
      </c>
      <c r="AH1247" s="12" t="str">
        <f>IF(OR(履歴データ!$A$1247="",AG1247=0),"",AE1247/AG1247-1)</f>
        <v/>
      </c>
    </row>
    <row r="1248" spans="1:34">
      <c r="A1248" s="10" t="str">
        <f>IF(履歴データ!$A$1248="","",履歴データ!$A$1248)</f>
        <v/>
      </c>
      <c r="B1248" s="28" t="str">
        <f>IF(履歴データ!$A$1248="","",(履歴データ!$D$1248-(履歴データ!$B$1248+履歴データ!$F$1248)/2)*100)</f>
        <v/>
      </c>
      <c r="C1248" s="28" t="str">
        <f>IF(履歴データ!$A$1248="","",(履歴データ!$H$1248-(履歴データ!$G$1248+履歴データ!$J$1248)/2)*100)</f>
        <v/>
      </c>
      <c r="D1248" s="28" t="str">
        <f>IF(履歴データ!$A$1248="","",(履歴データ!$D$1248-履歴データ!$H$1248)*100)</f>
        <v/>
      </c>
      <c r="E1248" s="28" t="str">
        <f>IF(履歴データ!$A$1248="","",(履歴データ!$D$1248-履歴データ!$C$1248)*100)</f>
        <v/>
      </c>
      <c r="F1248" s="28" t="str">
        <f>IF(履歴データ!$A$1248="","",(履歴データ!$R$1248-履歴データ!$D$1248)*100)</f>
        <v/>
      </c>
      <c r="G1248" s="28" t="str">
        <f>IF(履歴データ!$A$1248="","",(履歴データ!$S$1248-履歴データ!$R$1248)*100)</f>
        <v/>
      </c>
      <c r="H1248" s="29" t="str">
        <f>IF(履歴データ!$A$1248="","",履歴データ!$O$1248)</f>
        <v/>
      </c>
      <c r="I1248" s="29" t="str">
        <f>IF(履歴データ!$A$1248="","",履歴データ!$Q$1248)</f>
        <v/>
      </c>
      <c r="J1248" s="29" t="str">
        <f>IF(履歴データ!$A$1248="","",履歴データ!$D$1248)</f>
        <v/>
      </c>
      <c r="K1248" s="28" t="str">
        <f>IF(OR(履歴データ!$A$1248="",履歴データ!$A$1247=""),"",B1248-B1247)</f>
        <v/>
      </c>
      <c r="L1248" s="28" t="str">
        <f>IF(OR(履歴データ!$A$1248="",履歴データ!$A$1247=""),"",C1248-C1247)</f>
        <v/>
      </c>
      <c r="M1248" s="28" t="str">
        <f>IF(OR(履歴データ!$A$1248="",履歴データ!$A$1247=""),"",D1248-D1247)</f>
        <v/>
      </c>
      <c r="N1248" s="28" t="str">
        <f>IF(OR(履歴データ!$A$1248="",履歴データ!$A$1247=""),"",E1248-E1247)</f>
        <v/>
      </c>
      <c r="O1248" s="28" t="str">
        <f>IF(OR(履歴データ!$A$1248="",履歴データ!$A$1247=""),"",F1248-F1247)</f>
        <v/>
      </c>
      <c r="P1248" s="28" t="str">
        <f>IF(OR(履歴データ!$A$1248="",履歴データ!$A$1247=""),"",G1248-G1247)</f>
        <v/>
      </c>
      <c r="Q1248" s="29" t="str">
        <f>IF(OR(履歴データ!$A$1248="",履歴データ!$A$1247=""),"",H1248-H1247)</f>
        <v/>
      </c>
      <c r="R1248" s="29" t="str">
        <f>IF(OR(履歴データ!$A$1248="",履歴データ!$A$1247=""),"",I1248-I1247)</f>
        <v/>
      </c>
      <c r="S1248" s="28" t="str">
        <f>IF(OR(履歴データ!$A$1248="",履歴データ!$A$1247=""),"",(J1248-J1247)*100)</f>
        <v/>
      </c>
      <c r="T1248" s="11" t="str">
        <f>IF(OR(履歴データ!$A$1248="",履歴データ!$A$1247=""),"",-80000*K1248)</f>
        <v/>
      </c>
      <c r="U1248" s="11" t="str">
        <f>IF(OR(履歴データ!$A$1248="",履歴データ!$A$1247=""),"",60000*L1248)</f>
        <v/>
      </c>
      <c r="V1248" s="11" t="str">
        <f>IF(OR(履歴データ!$A$1248="",履歴データ!$A$1247=""),"",-50000*M1248)</f>
        <v/>
      </c>
      <c r="W1248" s="11" t="str">
        <f>IF(OR(履歴データ!$A$1248="",履歴データ!$A$1247=""),"",-40000*N1248)</f>
        <v/>
      </c>
      <c r="X1248" s="11" t="str">
        <f>IF(OR(履歴データ!$A$1248="",履歴データ!$A$1247=""),"",120*1000000*(-Q1248/H1247))</f>
        <v/>
      </c>
      <c r="Y1248" s="11" t="str">
        <f>IF(OR(履歴データ!$A$1248="",履歴データ!$A$1247=""),"",40000*(-S1248)+(-506.3)*R1248*1000)</f>
        <v/>
      </c>
      <c r="Z1248" s="11" t="str">
        <f>IF(OR(履歴データ!$A$1248="",履歴データ!$A$1247=""),"",-40000*O1248)</f>
        <v/>
      </c>
      <c r="AA1248" s="11" t="str">
        <f>IF(OR(履歴データ!$A$1248="",履歴データ!$A$1247=""),"",-40000*P1248)</f>
        <v/>
      </c>
      <c r="AB1248" s="11" t="str">
        <f>IF(履歴データ!$A$1248="","",123.3)</f>
        <v/>
      </c>
      <c r="AC1248" t="str">
        <f>IF(履歴データ!$A$1248="","",SUM(T1248:AA1248))</f>
        <v/>
      </c>
      <c r="AD1248" s="29" t="str">
        <f>IF(履歴データ!$A$1248="","",AC1248/1000000)</f>
        <v/>
      </c>
      <c r="AE1248" s="29">
        <f>IF(履歴データ!$A$1248="",AE1247,AE1247+AC1248/1000000)</f>
        <v>70.844544225831427</v>
      </c>
      <c r="AF1248" s="12" t="str">
        <f>IF(OR(履歴データ!$A$1248="",AE1247=0),"",(AE1248-AE1247)/AE1247)</f>
        <v/>
      </c>
      <c r="AG1248" s="29">
        <f t="shared" si="49"/>
        <v>102.17217746631495</v>
      </c>
      <c r="AH1248" s="12" t="str">
        <f>IF(OR(履歴データ!$A$1248="",AG1248=0),"",AE1248/AG1248-1)</f>
        <v/>
      </c>
    </row>
    <row r="1249" spans="1:34">
      <c r="A1249" s="10" t="str">
        <f>IF(履歴データ!$A$1249="","",履歴データ!$A$1249)</f>
        <v/>
      </c>
      <c r="B1249" s="28" t="str">
        <f>IF(履歴データ!$A$1249="","",(履歴データ!$D$1249-(履歴データ!$B$1249+履歴データ!$F$1249)/2)*100)</f>
        <v/>
      </c>
      <c r="C1249" s="28" t="str">
        <f>IF(履歴データ!$A$1249="","",(履歴データ!$H$1249-(履歴データ!$G$1249+履歴データ!$J$1249)/2)*100)</f>
        <v/>
      </c>
      <c r="D1249" s="28" t="str">
        <f>IF(履歴データ!$A$1249="","",(履歴データ!$D$1249-履歴データ!$H$1249)*100)</f>
        <v/>
      </c>
      <c r="E1249" s="28" t="str">
        <f>IF(履歴データ!$A$1249="","",(履歴データ!$D$1249-履歴データ!$C$1249)*100)</f>
        <v/>
      </c>
      <c r="F1249" s="28" t="str">
        <f>IF(履歴データ!$A$1249="","",(履歴データ!$R$1249-履歴データ!$D$1249)*100)</f>
        <v/>
      </c>
      <c r="G1249" s="28" t="str">
        <f>IF(履歴データ!$A$1249="","",(履歴データ!$S$1249-履歴データ!$R$1249)*100)</f>
        <v/>
      </c>
      <c r="H1249" s="29" t="str">
        <f>IF(履歴データ!$A$1249="","",履歴データ!$O$1249)</f>
        <v/>
      </c>
      <c r="I1249" s="29" t="str">
        <f>IF(履歴データ!$A$1249="","",履歴データ!$Q$1249)</f>
        <v/>
      </c>
      <c r="J1249" s="29" t="str">
        <f>IF(履歴データ!$A$1249="","",履歴データ!$D$1249)</f>
        <v/>
      </c>
      <c r="K1249" s="28" t="str">
        <f>IF(OR(履歴データ!$A$1249="",履歴データ!$A$1248=""),"",B1249-B1248)</f>
        <v/>
      </c>
      <c r="L1249" s="28" t="str">
        <f>IF(OR(履歴データ!$A$1249="",履歴データ!$A$1248=""),"",C1249-C1248)</f>
        <v/>
      </c>
      <c r="M1249" s="28" t="str">
        <f>IF(OR(履歴データ!$A$1249="",履歴データ!$A$1248=""),"",D1249-D1248)</f>
        <v/>
      </c>
      <c r="N1249" s="28" t="str">
        <f>IF(OR(履歴データ!$A$1249="",履歴データ!$A$1248=""),"",E1249-E1248)</f>
        <v/>
      </c>
      <c r="O1249" s="28" t="str">
        <f>IF(OR(履歴データ!$A$1249="",履歴データ!$A$1248=""),"",F1249-F1248)</f>
        <v/>
      </c>
      <c r="P1249" s="28" t="str">
        <f>IF(OR(履歴データ!$A$1249="",履歴データ!$A$1248=""),"",G1249-G1248)</f>
        <v/>
      </c>
      <c r="Q1249" s="29" t="str">
        <f>IF(OR(履歴データ!$A$1249="",履歴データ!$A$1248=""),"",H1249-H1248)</f>
        <v/>
      </c>
      <c r="R1249" s="29" t="str">
        <f>IF(OR(履歴データ!$A$1249="",履歴データ!$A$1248=""),"",I1249-I1248)</f>
        <v/>
      </c>
      <c r="S1249" s="28" t="str">
        <f>IF(OR(履歴データ!$A$1249="",履歴データ!$A$1248=""),"",(J1249-J1248)*100)</f>
        <v/>
      </c>
      <c r="T1249" s="11" t="str">
        <f>IF(OR(履歴データ!$A$1249="",履歴データ!$A$1248=""),"",-80000*K1249)</f>
        <v/>
      </c>
      <c r="U1249" s="11" t="str">
        <f>IF(OR(履歴データ!$A$1249="",履歴データ!$A$1248=""),"",60000*L1249)</f>
        <v/>
      </c>
      <c r="V1249" s="11" t="str">
        <f>IF(OR(履歴データ!$A$1249="",履歴データ!$A$1248=""),"",-50000*M1249)</f>
        <v/>
      </c>
      <c r="W1249" s="11" t="str">
        <f>IF(OR(履歴データ!$A$1249="",履歴データ!$A$1248=""),"",-40000*N1249)</f>
        <v/>
      </c>
      <c r="X1249" s="11" t="str">
        <f>IF(OR(履歴データ!$A$1249="",履歴データ!$A$1248=""),"",120*1000000*(-Q1249/H1248))</f>
        <v/>
      </c>
      <c r="Y1249" s="11" t="str">
        <f>IF(OR(履歴データ!$A$1249="",履歴データ!$A$1248=""),"",40000*(-S1249)+(-506.3)*R1249*1000)</f>
        <v/>
      </c>
      <c r="Z1249" s="11" t="str">
        <f>IF(OR(履歴データ!$A$1249="",履歴データ!$A$1248=""),"",-40000*O1249)</f>
        <v/>
      </c>
      <c r="AA1249" s="11" t="str">
        <f>IF(OR(履歴データ!$A$1249="",履歴データ!$A$1248=""),"",-40000*P1249)</f>
        <v/>
      </c>
      <c r="AB1249" s="11" t="str">
        <f>IF(履歴データ!$A$1249="","",123.3)</f>
        <v/>
      </c>
      <c r="AC1249" t="str">
        <f>IF(履歴データ!$A$1249="","",SUM(T1249:AA1249))</f>
        <v/>
      </c>
      <c r="AD1249" s="29" t="str">
        <f>IF(履歴データ!$A$1249="","",AC1249/1000000)</f>
        <v/>
      </c>
      <c r="AE1249" s="29">
        <f>IF(履歴データ!$A$1249="",AE1248,AE1248+AC1249/1000000)</f>
        <v>70.844544225831427</v>
      </c>
      <c r="AF1249" s="12" t="str">
        <f>IF(OR(履歴データ!$A$1249="",AE1248=0),"",(AE1249-AE1248)/AE1248)</f>
        <v/>
      </c>
      <c r="AG1249" s="29">
        <f t="shared" si="49"/>
        <v>102.17217746631495</v>
      </c>
      <c r="AH1249" s="12" t="str">
        <f>IF(OR(履歴データ!$A$1249="",AG1249=0),"",AE1249/AG1249-1)</f>
        <v/>
      </c>
    </row>
    <row r="1250" spans="1:34">
      <c r="A1250" s="10" t="str">
        <f>IF(履歴データ!$A$1250="","",履歴データ!$A$1250)</f>
        <v/>
      </c>
      <c r="B1250" s="28" t="str">
        <f>IF(履歴データ!$A$1250="","",(履歴データ!$D$1250-(履歴データ!$B$1250+履歴データ!$F$1250)/2)*100)</f>
        <v/>
      </c>
      <c r="C1250" s="28" t="str">
        <f>IF(履歴データ!$A$1250="","",(履歴データ!$H$1250-(履歴データ!$G$1250+履歴データ!$J$1250)/2)*100)</f>
        <v/>
      </c>
      <c r="D1250" s="28" t="str">
        <f>IF(履歴データ!$A$1250="","",(履歴データ!$D$1250-履歴データ!$H$1250)*100)</f>
        <v/>
      </c>
      <c r="E1250" s="28" t="str">
        <f>IF(履歴データ!$A$1250="","",(履歴データ!$D$1250-履歴データ!$C$1250)*100)</f>
        <v/>
      </c>
      <c r="F1250" s="28" t="str">
        <f>IF(履歴データ!$A$1250="","",(履歴データ!$R$1250-履歴データ!$D$1250)*100)</f>
        <v/>
      </c>
      <c r="G1250" s="28" t="str">
        <f>IF(履歴データ!$A$1250="","",(履歴データ!$S$1250-履歴データ!$R$1250)*100)</f>
        <v/>
      </c>
      <c r="H1250" s="29" t="str">
        <f>IF(履歴データ!$A$1250="","",履歴データ!$O$1250)</f>
        <v/>
      </c>
      <c r="I1250" s="29" t="str">
        <f>IF(履歴データ!$A$1250="","",履歴データ!$Q$1250)</f>
        <v/>
      </c>
      <c r="J1250" s="29" t="str">
        <f>IF(履歴データ!$A$1250="","",履歴データ!$D$1250)</f>
        <v/>
      </c>
      <c r="K1250" s="28" t="str">
        <f>IF(OR(履歴データ!$A$1250="",履歴データ!$A$1249=""),"",B1250-B1249)</f>
        <v/>
      </c>
      <c r="L1250" s="28" t="str">
        <f>IF(OR(履歴データ!$A$1250="",履歴データ!$A$1249=""),"",C1250-C1249)</f>
        <v/>
      </c>
      <c r="M1250" s="28" t="str">
        <f>IF(OR(履歴データ!$A$1250="",履歴データ!$A$1249=""),"",D1250-D1249)</f>
        <v/>
      </c>
      <c r="N1250" s="28" t="str">
        <f>IF(OR(履歴データ!$A$1250="",履歴データ!$A$1249=""),"",E1250-E1249)</f>
        <v/>
      </c>
      <c r="O1250" s="28" t="str">
        <f>IF(OR(履歴データ!$A$1250="",履歴データ!$A$1249=""),"",F1250-F1249)</f>
        <v/>
      </c>
      <c r="P1250" s="28" t="str">
        <f>IF(OR(履歴データ!$A$1250="",履歴データ!$A$1249=""),"",G1250-G1249)</f>
        <v/>
      </c>
      <c r="Q1250" s="29" t="str">
        <f>IF(OR(履歴データ!$A$1250="",履歴データ!$A$1249=""),"",H1250-H1249)</f>
        <v/>
      </c>
      <c r="R1250" s="29" t="str">
        <f>IF(OR(履歴データ!$A$1250="",履歴データ!$A$1249=""),"",I1250-I1249)</f>
        <v/>
      </c>
      <c r="S1250" s="28" t="str">
        <f>IF(OR(履歴データ!$A$1250="",履歴データ!$A$1249=""),"",(J1250-J1249)*100)</f>
        <v/>
      </c>
      <c r="T1250" s="11" t="str">
        <f>IF(OR(履歴データ!$A$1250="",履歴データ!$A$1249=""),"",-80000*K1250)</f>
        <v/>
      </c>
      <c r="U1250" s="11" t="str">
        <f>IF(OR(履歴データ!$A$1250="",履歴データ!$A$1249=""),"",60000*L1250)</f>
        <v/>
      </c>
      <c r="V1250" s="11" t="str">
        <f>IF(OR(履歴データ!$A$1250="",履歴データ!$A$1249=""),"",-50000*M1250)</f>
        <v/>
      </c>
      <c r="W1250" s="11" t="str">
        <f>IF(OR(履歴データ!$A$1250="",履歴データ!$A$1249=""),"",-40000*N1250)</f>
        <v/>
      </c>
      <c r="X1250" s="11" t="str">
        <f>IF(OR(履歴データ!$A$1250="",履歴データ!$A$1249=""),"",120*1000000*(-Q1250/H1249))</f>
        <v/>
      </c>
      <c r="Y1250" s="11" t="str">
        <f>IF(OR(履歴データ!$A$1250="",履歴データ!$A$1249=""),"",40000*(-S1250)+(-506.3)*R1250*1000)</f>
        <v/>
      </c>
      <c r="Z1250" s="11" t="str">
        <f>IF(OR(履歴データ!$A$1250="",履歴データ!$A$1249=""),"",-40000*O1250)</f>
        <v/>
      </c>
      <c r="AA1250" s="11" t="str">
        <f>IF(OR(履歴データ!$A$1250="",履歴データ!$A$1249=""),"",-40000*P1250)</f>
        <v/>
      </c>
      <c r="AB1250" s="11" t="str">
        <f>IF(履歴データ!$A$1250="","",123.3)</f>
        <v/>
      </c>
      <c r="AC1250" t="str">
        <f>IF(履歴データ!$A$1250="","",SUM(T1250:AA1250))</f>
        <v/>
      </c>
      <c r="AD1250" s="29" t="str">
        <f>IF(履歴データ!$A$1250="","",AC1250/1000000)</f>
        <v/>
      </c>
      <c r="AE1250" s="29">
        <f>IF(履歴データ!$A$1250="",AE1249,AE1249+AC1250/1000000)</f>
        <v>70.844544225831427</v>
      </c>
      <c r="AF1250" s="12" t="str">
        <f>IF(OR(履歴データ!$A$1250="",AE1249=0),"",(AE1250-AE1249)/AE1249)</f>
        <v/>
      </c>
      <c r="AG1250" s="29">
        <f t="shared" si="49"/>
        <v>102.17217746631495</v>
      </c>
      <c r="AH1250" s="12" t="str">
        <f>IF(OR(履歴データ!$A$1250="",AG1250=0),"",AE1250/AG1250-1)</f>
        <v/>
      </c>
    </row>
    <row r="1251" spans="1:34">
      <c r="A1251" s="10" t="str">
        <f>IF(履歴データ!$A$1251="","",履歴データ!$A$1251)</f>
        <v/>
      </c>
      <c r="B1251" s="28" t="str">
        <f>IF(履歴データ!$A$1251="","",(履歴データ!$D$1251-(履歴データ!$B$1251+履歴データ!$F$1251)/2)*100)</f>
        <v/>
      </c>
      <c r="C1251" s="28" t="str">
        <f>IF(履歴データ!$A$1251="","",(履歴データ!$H$1251-(履歴データ!$G$1251+履歴データ!$J$1251)/2)*100)</f>
        <v/>
      </c>
      <c r="D1251" s="28" t="str">
        <f>IF(履歴データ!$A$1251="","",(履歴データ!$D$1251-履歴データ!$H$1251)*100)</f>
        <v/>
      </c>
      <c r="E1251" s="28" t="str">
        <f>IF(履歴データ!$A$1251="","",(履歴データ!$D$1251-履歴データ!$C$1251)*100)</f>
        <v/>
      </c>
      <c r="F1251" s="28" t="str">
        <f>IF(履歴データ!$A$1251="","",(履歴データ!$R$1251-履歴データ!$D$1251)*100)</f>
        <v/>
      </c>
      <c r="G1251" s="28" t="str">
        <f>IF(履歴データ!$A$1251="","",(履歴データ!$S$1251-履歴データ!$R$1251)*100)</f>
        <v/>
      </c>
      <c r="H1251" s="29" t="str">
        <f>IF(履歴データ!$A$1251="","",履歴データ!$O$1251)</f>
        <v/>
      </c>
      <c r="I1251" s="29" t="str">
        <f>IF(履歴データ!$A$1251="","",履歴データ!$Q$1251)</f>
        <v/>
      </c>
      <c r="J1251" s="29" t="str">
        <f>IF(履歴データ!$A$1251="","",履歴データ!$D$1251)</f>
        <v/>
      </c>
      <c r="K1251" s="28" t="str">
        <f>IF(OR(履歴データ!$A$1251="",履歴データ!$A$1250=""),"",B1251-B1250)</f>
        <v/>
      </c>
      <c r="L1251" s="28" t="str">
        <f>IF(OR(履歴データ!$A$1251="",履歴データ!$A$1250=""),"",C1251-C1250)</f>
        <v/>
      </c>
      <c r="M1251" s="28" t="str">
        <f>IF(OR(履歴データ!$A$1251="",履歴データ!$A$1250=""),"",D1251-D1250)</f>
        <v/>
      </c>
      <c r="N1251" s="28" t="str">
        <f>IF(OR(履歴データ!$A$1251="",履歴データ!$A$1250=""),"",E1251-E1250)</f>
        <v/>
      </c>
      <c r="O1251" s="28" t="str">
        <f>IF(OR(履歴データ!$A$1251="",履歴データ!$A$1250=""),"",F1251-F1250)</f>
        <v/>
      </c>
      <c r="P1251" s="28" t="str">
        <f>IF(OR(履歴データ!$A$1251="",履歴データ!$A$1250=""),"",G1251-G1250)</f>
        <v/>
      </c>
      <c r="Q1251" s="29" t="str">
        <f>IF(OR(履歴データ!$A$1251="",履歴データ!$A$1250=""),"",H1251-H1250)</f>
        <v/>
      </c>
      <c r="R1251" s="29" t="str">
        <f>IF(OR(履歴データ!$A$1251="",履歴データ!$A$1250=""),"",I1251-I1250)</f>
        <v/>
      </c>
      <c r="S1251" s="28" t="str">
        <f>IF(OR(履歴データ!$A$1251="",履歴データ!$A$1250=""),"",(J1251-J1250)*100)</f>
        <v/>
      </c>
      <c r="T1251" s="11" t="str">
        <f>IF(OR(履歴データ!$A$1251="",履歴データ!$A$1250=""),"",-80000*K1251)</f>
        <v/>
      </c>
      <c r="U1251" s="11" t="str">
        <f>IF(OR(履歴データ!$A$1251="",履歴データ!$A$1250=""),"",60000*L1251)</f>
        <v/>
      </c>
      <c r="V1251" s="11" t="str">
        <f>IF(OR(履歴データ!$A$1251="",履歴データ!$A$1250=""),"",-50000*M1251)</f>
        <v/>
      </c>
      <c r="W1251" s="11" t="str">
        <f>IF(OR(履歴データ!$A$1251="",履歴データ!$A$1250=""),"",-40000*N1251)</f>
        <v/>
      </c>
      <c r="X1251" s="11" t="str">
        <f>IF(OR(履歴データ!$A$1251="",履歴データ!$A$1250=""),"",120*1000000*(-Q1251/H1250))</f>
        <v/>
      </c>
      <c r="Y1251" s="11" t="str">
        <f>IF(OR(履歴データ!$A$1251="",履歴データ!$A$1250=""),"",40000*(-S1251)+(-506.3)*R1251*1000)</f>
        <v/>
      </c>
      <c r="Z1251" s="11" t="str">
        <f>IF(OR(履歴データ!$A$1251="",履歴データ!$A$1250=""),"",-40000*O1251)</f>
        <v/>
      </c>
      <c r="AA1251" s="11" t="str">
        <f>IF(OR(履歴データ!$A$1251="",履歴データ!$A$1250=""),"",-40000*P1251)</f>
        <v/>
      </c>
      <c r="AB1251" s="11" t="str">
        <f>IF(履歴データ!$A$1251="","",123.3)</f>
        <v/>
      </c>
      <c r="AC1251" t="str">
        <f>IF(履歴データ!$A$1251="","",SUM(T1251:AA1251))</f>
        <v/>
      </c>
      <c r="AD1251" s="29" t="str">
        <f>IF(履歴データ!$A$1251="","",AC1251/1000000)</f>
        <v/>
      </c>
      <c r="AE1251" s="29">
        <f>IF(履歴データ!$A$1251="",AE1250,AE1250+AC1251/1000000)</f>
        <v>70.844544225831427</v>
      </c>
      <c r="AF1251" s="12" t="str">
        <f>IF(OR(履歴データ!$A$1251="",AE1250=0),"",(AE1251-AE1250)/AE1250)</f>
        <v/>
      </c>
      <c r="AG1251" s="29">
        <f t="shared" si="49"/>
        <v>102.17217746631495</v>
      </c>
      <c r="AH1251" s="12" t="str">
        <f>IF(OR(履歴データ!$A$1251="",AG1251=0),"",AE1251/AG1251-1)</f>
        <v/>
      </c>
    </row>
    <row r="1252" spans="1:34">
      <c r="A1252" s="10" t="str">
        <f>IF(履歴データ!$A$1252="","",履歴データ!$A$1252)</f>
        <v/>
      </c>
      <c r="B1252" s="28" t="str">
        <f>IF(履歴データ!$A$1252="","",(履歴データ!$D$1252-(履歴データ!$B$1252+履歴データ!$F$1252)/2)*100)</f>
        <v/>
      </c>
      <c r="C1252" s="28" t="str">
        <f>IF(履歴データ!$A$1252="","",(履歴データ!$H$1252-(履歴データ!$G$1252+履歴データ!$J$1252)/2)*100)</f>
        <v/>
      </c>
      <c r="D1252" s="28" t="str">
        <f>IF(履歴データ!$A$1252="","",(履歴データ!$D$1252-履歴データ!$H$1252)*100)</f>
        <v/>
      </c>
      <c r="E1252" s="28" t="str">
        <f>IF(履歴データ!$A$1252="","",(履歴データ!$D$1252-履歴データ!$C$1252)*100)</f>
        <v/>
      </c>
      <c r="F1252" s="28" t="str">
        <f>IF(履歴データ!$A$1252="","",(履歴データ!$R$1252-履歴データ!$D$1252)*100)</f>
        <v/>
      </c>
      <c r="G1252" s="28" t="str">
        <f>IF(履歴データ!$A$1252="","",(履歴データ!$S$1252-履歴データ!$R$1252)*100)</f>
        <v/>
      </c>
      <c r="H1252" s="29" t="str">
        <f>IF(履歴データ!$A$1252="","",履歴データ!$O$1252)</f>
        <v/>
      </c>
      <c r="I1252" s="29" t="str">
        <f>IF(履歴データ!$A$1252="","",履歴データ!$Q$1252)</f>
        <v/>
      </c>
      <c r="J1252" s="29" t="str">
        <f>IF(履歴データ!$A$1252="","",履歴データ!$D$1252)</f>
        <v/>
      </c>
      <c r="K1252" s="28" t="str">
        <f>IF(OR(履歴データ!$A$1252="",履歴データ!$A$1251=""),"",B1252-B1251)</f>
        <v/>
      </c>
      <c r="L1252" s="28" t="str">
        <f>IF(OR(履歴データ!$A$1252="",履歴データ!$A$1251=""),"",C1252-C1251)</f>
        <v/>
      </c>
      <c r="M1252" s="28" t="str">
        <f>IF(OR(履歴データ!$A$1252="",履歴データ!$A$1251=""),"",D1252-D1251)</f>
        <v/>
      </c>
      <c r="N1252" s="28" t="str">
        <f>IF(OR(履歴データ!$A$1252="",履歴データ!$A$1251=""),"",E1252-E1251)</f>
        <v/>
      </c>
      <c r="O1252" s="28" t="str">
        <f>IF(OR(履歴データ!$A$1252="",履歴データ!$A$1251=""),"",F1252-F1251)</f>
        <v/>
      </c>
      <c r="P1252" s="28" t="str">
        <f>IF(OR(履歴データ!$A$1252="",履歴データ!$A$1251=""),"",G1252-G1251)</f>
        <v/>
      </c>
      <c r="Q1252" s="29" t="str">
        <f>IF(OR(履歴データ!$A$1252="",履歴データ!$A$1251=""),"",H1252-H1251)</f>
        <v/>
      </c>
      <c r="R1252" s="29" t="str">
        <f>IF(OR(履歴データ!$A$1252="",履歴データ!$A$1251=""),"",I1252-I1251)</f>
        <v/>
      </c>
      <c r="S1252" s="28" t="str">
        <f>IF(OR(履歴データ!$A$1252="",履歴データ!$A$1251=""),"",(J1252-J1251)*100)</f>
        <v/>
      </c>
      <c r="T1252" s="11" t="str">
        <f>IF(OR(履歴データ!$A$1252="",履歴データ!$A$1251=""),"",-80000*K1252)</f>
        <v/>
      </c>
      <c r="U1252" s="11" t="str">
        <f>IF(OR(履歴データ!$A$1252="",履歴データ!$A$1251=""),"",60000*L1252)</f>
        <v/>
      </c>
      <c r="V1252" s="11" t="str">
        <f>IF(OR(履歴データ!$A$1252="",履歴データ!$A$1251=""),"",-50000*M1252)</f>
        <v/>
      </c>
      <c r="W1252" s="11" t="str">
        <f>IF(OR(履歴データ!$A$1252="",履歴データ!$A$1251=""),"",-40000*N1252)</f>
        <v/>
      </c>
      <c r="X1252" s="11" t="str">
        <f>IF(OR(履歴データ!$A$1252="",履歴データ!$A$1251=""),"",120*1000000*(-Q1252/H1251))</f>
        <v/>
      </c>
      <c r="Y1252" s="11" t="str">
        <f>IF(OR(履歴データ!$A$1252="",履歴データ!$A$1251=""),"",40000*(-S1252)+(-506.3)*R1252*1000)</f>
        <v/>
      </c>
      <c r="Z1252" s="11" t="str">
        <f>IF(OR(履歴データ!$A$1252="",履歴データ!$A$1251=""),"",-40000*O1252)</f>
        <v/>
      </c>
      <c r="AA1252" s="11" t="str">
        <f>IF(OR(履歴データ!$A$1252="",履歴データ!$A$1251=""),"",-40000*P1252)</f>
        <v/>
      </c>
      <c r="AB1252" s="11" t="str">
        <f>IF(履歴データ!$A$1252="","",123.3)</f>
        <v/>
      </c>
      <c r="AC1252" t="str">
        <f>IF(履歴データ!$A$1252="","",SUM(T1252:AA1252))</f>
        <v/>
      </c>
      <c r="AD1252" s="29" t="str">
        <f>IF(履歴データ!$A$1252="","",AC1252/1000000)</f>
        <v/>
      </c>
      <c r="AE1252" s="29">
        <f>IF(履歴データ!$A$1252="",AE1251,AE1251+AC1252/1000000)</f>
        <v>70.844544225831427</v>
      </c>
      <c r="AF1252" s="12" t="str">
        <f>IF(OR(履歴データ!$A$1252="",AE1251=0),"",(AE1252-AE1251)/AE1251)</f>
        <v/>
      </c>
      <c r="AG1252" s="29">
        <f t="shared" si="49"/>
        <v>102.17217746631495</v>
      </c>
      <c r="AH1252" s="12" t="str">
        <f>IF(OR(履歴データ!$A$1252="",AG1252=0),"",AE1252/AG1252-1)</f>
        <v/>
      </c>
    </row>
    <row r="1253" spans="1:34">
      <c r="A1253" s="10" t="str">
        <f>IF(履歴データ!$A$1253="","",履歴データ!$A$1253)</f>
        <v/>
      </c>
      <c r="B1253" s="28" t="str">
        <f>IF(履歴データ!$A$1253="","",(履歴データ!$D$1253-(履歴データ!$B$1253+履歴データ!$F$1253)/2)*100)</f>
        <v/>
      </c>
      <c r="C1253" s="28" t="str">
        <f>IF(履歴データ!$A$1253="","",(履歴データ!$H$1253-(履歴データ!$G$1253+履歴データ!$J$1253)/2)*100)</f>
        <v/>
      </c>
      <c r="D1253" s="28" t="str">
        <f>IF(履歴データ!$A$1253="","",(履歴データ!$D$1253-履歴データ!$H$1253)*100)</f>
        <v/>
      </c>
      <c r="E1253" s="28" t="str">
        <f>IF(履歴データ!$A$1253="","",(履歴データ!$D$1253-履歴データ!$C$1253)*100)</f>
        <v/>
      </c>
      <c r="F1253" s="28" t="str">
        <f>IF(履歴データ!$A$1253="","",(履歴データ!$R$1253-履歴データ!$D$1253)*100)</f>
        <v/>
      </c>
      <c r="G1253" s="28" t="str">
        <f>IF(履歴データ!$A$1253="","",(履歴データ!$S$1253-履歴データ!$R$1253)*100)</f>
        <v/>
      </c>
      <c r="H1253" s="29" t="str">
        <f>IF(履歴データ!$A$1253="","",履歴データ!$O$1253)</f>
        <v/>
      </c>
      <c r="I1253" s="29" t="str">
        <f>IF(履歴データ!$A$1253="","",履歴データ!$Q$1253)</f>
        <v/>
      </c>
      <c r="J1253" s="29" t="str">
        <f>IF(履歴データ!$A$1253="","",履歴データ!$D$1253)</f>
        <v/>
      </c>
      <c r="K1253" s="28" t="str">
        <f>IF(OR(履歴データ!$A$1253="",履歴データ!$A$1252=""),"",B1253-B1252)</f>
        <v/>
      </c>
      <c r="L1253" s="28" t="str">
        <f>IF(OR(履歴データ!$A$1253="",履歴データ!$A$1252=""),"",C1253-C1252)</f>
        <v/>
      </c>
      <c r="M1253" s="28" t="str">
        <f>IF(OR(履歴データ!$A$1253="",履歴データ!$A$1252=""),"",D1253-D1252)</f>
        <v/>
      </c>
      <c r="N1253" s="28" t="str">
        <f>IF(OR(履歴データ!$A$1253="",履歴データ!$A$1252=""),"",E1253-E1252)</f>
        <v/>
      </c>
      <c r="O1253" s="28" t="str">
        <f>IF(OR(履歴データ!$A$1253="",履歴データ!$A$1252=""),"",F1253-F1252)</f>
        <v/>
      </c>
      <c r="P1253" s="28" t="str">
        <f>IF(OR(履歴データ!$A$1253="",履歴データ!$A$1252=""),"",G1253-G1252)</f>
        <v/>
      </c>
      <c r="Q1253" s="29" t="str">
        <f>IF(OR(履歴データ!$A$1253="",履歴データ!$A$1252=""),"",H1253-H1252)</f>
        <v/>
      </c>
      <c r="R1253" s="29" t="str">
        <f>IF(OR(履歴データ!$A$1253="",履歴データ!$A$1252=""),"",I1253-I1252)</f>
        <v/>
      </c>
      <c r="S1253" s="28" t="str">
        <f>IF(OR(履歴データ!$A$1253="",履歴データ!$A$1252=""),"",(J1253-J1252)*100)</f>
        <v/>
      </c>
      <c r="T1253" s="11" t="str">
        <f>IF(OR(履歴データ!$A$1253="",履歴データ!$A$1252=""),"",-80000*K1253)</f>
        <v/>
      </c>
      <c r="U1253" s="11" t="str">
        <f>IF(OR(履歴データ!$A$1253="",履歴データ!$A$1252=""),"",60000*L1253)</f>
        <v/>
      </c>
      <c r="V1253" s="11" t="str">
        <f>IF(OR(履歴データ!$A$1253="",履歴データ!$A$1252=""),"",-50000*M1253)</f>
        <v/>
      </c>
      <c r="W1253" s="11" t="str">
        <f>IF(OR(履歴データ!$A$1253="",履歴データ!$A$1252=""),"",-40000*N1253)</f>
        <v/>
      </c>
      <c r="X1253" s="11" t="str">
        <f>IF(OR(履歴データ!$A$1253="",履歴データ!$A$1252=""),"",120*1000000*(-Q1253/H1252))</f>
        <v/>
      </c>
      <c r="Y1253" s="11" t="str">
        <f>IF(OR(履歴データ!$A$1253="",履歴データ!$A$1252=""),"",40000*(-S1253)+(-506.3)*R1253*1000)</f>
        <v/>
      </c>
      <c r="Z1253" s="11" t="str">
        <f>IF(OR(履歴データ!$A$1253="",履歴データ!$A$1252=""),"",-40000*O1253)</f>
        <v/>
      </c>
      <c r="AA1253" s="11" t="str">
        <f>IF(OR(履歴データ!$A$1253="",履歴データ!$A$1252=""),"",-40000*P1253)</f>
        <v/>
      </c>
      <c r="AB1253" s="11" t="str">
        <f>IF(履歴データ!$A$1253="","",123.3)</f>
        <v/>
      </c>
      <c r="AC1253" t="str">
        <f>IF(履歴データ!$A$1253="","",SUM(T1253:AA1253))</f>
        <v/>
      </c>
      <c r="AD1253" s="29" t="str">
        <f>IF(履歴データ!$A$1253="","",AC1253/1000000)</f>
        <v/>
      </c>
      <c r="AE1253" s="29">
        <f>IF(履歴データ!$A$1253="",AE1252,AE1252+AC1253/1000000)</f>
        <v>70.844544225831427</v>
      </c>
      <c r="AF1253" s="12" t="str">
        <f>IF(OR(履歴データ!$A$1253="",AE1252=0),"",(AE1253-AE1252)/AE1252)</f>
        <v/>
      </c>
      <c r="AG1253" s="29">
        <f t="shared" si="49"/>
        <v>102.17217746631495</v>
      </c>
      <c r="AH1253" s="12" t="str">
        <f>IF(OR(履歴データ!$A$1253="",AG1253=0),"",AE1253/AG1253-1)</f>
        <v/>
      </c>
    </row>
    <row r="1254" spans="1:34">
      <c r="A1254" s="10" t="str">
        <f>IF(履歴データ!$A$1254="","",履歴データ!$A$1254)</f>
        <v/>
      </c>
      <c r="B1254" s="28" t="str">
        <f>IF(履歴データ!$A$1254="","",(履歴データ!$D$1254-(履歴データ!$B$1254+履歴データ!$F$1254)/2)*100)</f>
        <v/>
      </c>
      <c r="C1254" s="28" t="str">
        <f>IF(履歴データ!$A$1254="","",(履歴データ!$H$1254-(履歴データ!$G$1254+履歴データ!$J$1254)/2)*100)</f>
        <v/>
      </c>
      <c r="D1254" s="28" t="str">
        <f>IF(履歴データ!$A$1254="","",(履歴データ!$D$1254-履歴データ!$H$1254)*100)</f>
        <v/>
      </c>
      <c r="E1254" s="28" t="str">
        <f>IF(履歴データ!$A$1254="","",(履歴データ!$D$1254-履歴データ!$C$1254)*100)</f>
        <v/>
      </c>
      <c r="F1254" s="28" t="str">
        <f>IF(履歴データ!$A$1254="","",(履歴データ!$R$1254-履歴データ!$D$1254)*100)</f>
        <v/>
      </c>
      <c r="G1254" s="28" t="str">
        <f>IF(履歴データ!$A$1254="","",(履歴データ!$S$1254-履歴データ!$R$1254)*100)</f>
        <v/>
      </c>
      <c r="H1254" s="29" t="str">
        <f>IF(履歴データ!$A$1254="","",履歴データ!$O$1254)</f>
        <v/>
      </c>
      <c r="I1254" s="29" t="str">
        <f>IF(履歴データ!$A$1254="","",履歴データ!$Q$1254)</f>
        <v/>
      </c>
      <c r="J1254" s="29" t="str">
        <f>IF(履歴データ!$A$1254="","",履歴データ!$D$1254)</f>
        <v/>
      </c>
      <c r="K1254" s="28" t="str">
        <f>IF(OR(履歴データ!$A$1254="",履歴データ!$A$1253=""),"",B1254-B1253)</f>
        <v/>
      </c>
      <c r="L1254" s="28" t="str">
        <f>IF(OR(履歴データ!$A$1254="",履歴データ!$A$1253=""),"",C1254-C1253)</f>
        <v/>
      </c>
      <c r="M1254" s="28" t="str">
        <f>IF(OR(履歴データ!$A$1254="",履歴データ!$A$1253=""),"",D1254-D1253)</f>
        <v/>
      </c>
      <c r="N1254" s="28" t="str">
        <f>IF(OR(履歴データ!$A$1254="",履歴データ!$A$1253=""),"",E1254-E1253)</f>
        <v/>
      </c>
      <c r="O1254" s="28" t="str">
        <f>IF(OR(履歴データ!$A$1254="",履歴データ!$A$1253=""),"",F1254-F1253)</f>
        <v/>
      </c>
      <c r="P1254" s="28" t="str">
        <f>IF(OR(履歴データ!$A$1254="",履歴データ!$A$1253=""),"",G1254-G1253)</f>
        <v/>
      </c>
      <c r="Q1254" s="29" t="str">
        <f>IF(OR(履歴データ!$A$1254="",履歴データ!$A$1253=""),"",H1254-H1253)</f>
        <v/>
      </c>
      <c r="R1254" s="29" t="str">
        <f>IF(OR(履歴データ!$A$1254="",履歴データ!$A$1253=""),"",I1254-I1253)</f>
        <v/>
      </c>
      <c r="S1254" s="28" t="str">
        <f>IF(OR(履歴データ!$A$1254="",履歴データ!$A$1253=""),"",(J1254-J1253)*100)</f>
        <v/>
      </c>
      <c r="T1254" s="11" t="str">
        <f>IF(OR(履歴データ!$A$1254="",履歴データ!$A$1253=""),"",-80000*K1254)</f>
        <v/>
      </c>
      <c r="U1254" s="11" t="str">
        <f>IF(OR(履歴データ!$A$1254="",履歴データ!$A$1253=""),"",60000*L1254)</f>
        <v/>
      </c>
      <c r="V1254" s="11" t="str">
        <f>IF(OR(履歴データ!$A$1254="",履歴データ!$A$1253=""),"",-50000*M1254)</f>
        <v/>
      </c>
      <c r="W1254" s="11" t="str">
        <f>IF(OR(履歴データ!$A$1254="",履歴データ!$A$1253=""),"",-40000*N1254)</f>
        <v/>
      </c>
      <c r="X1254" s="11" t="str">
        <f>IF(OR(履歴データ!$A$1254="",履歴データ!$A$1253=""),"",120*1000000*(-Q1254/H1253))</f>
        <v/>
      </c>
      <c r="Y1254" s="11" t="str">
        <f>IF(OR(履歴データ!$A$1254="",履歴データ!$A$1253=""),"",40000*(-S1254)+(-506.3)*R1254*1000)</f>
        <v/>
      </c>
      <c r="Z1254" s="11" t="str">
        <f>IF(OR(履歴データ!$A$1254="",履歴データ!$A$1253=""),"",-40000*O1254)</f>
        <v/>
      </c>
      <c r="AA1254" s="11" t="str">
        <f>IF(OR(履歴データ!$A$1254="",履歴データ!$A$1253=""),"",-40000*P1254)</f>
        <v/>
      </c>
      <c r="AB1254" s="11" t="str">
        <f>IF(履歴データ!$A$1254="","",123.3)</f>
        <v/>
      </c>
      <c r="AC1254" t="str">
        <f>IF(履歴データ!$A$1254="","",SUM(T1254:AA1254))</f>
        <v/>
      </c>
      <c r="AD1254" s="29" t="str">
        <f>IF(履歴データ!$A$1254="","",AC1254/1000000)</f>
        <v/>
      </c>
      <c r="AE1254" s="29">
        <f>IF(履歴データ!$A$1254="",AE1253,AE1253+AC1254/1000000)</f>
        <v>70.844544225831427</v>
      </c>
      <c r="AF1254" s="12" t="str">
        <f>IF(OR(履歴データ!$A$1254="",AE1253=0),"",(AE1254-AE1253)/AE1253)</f>
        <v/>
      </c>
      <c r="AG1254" s="29">
        <f t="shared" si="49"/>
        <v>102.17217746631495</v>
      </c>
      <c r="AH1254" s="12" t="str">
        <f>IF(OR(履歴データ!$A$1254="",AG1254=0),"",AE1254/AG1254-1)</f>
        <v/>
      </c>
    </row>
    <row r="1255" spans="1:34">
      <c r="A1255" s="10" t="str">
        <f>IF(履歴データ!$A$1255="","",履歴データ!$A$1255)</f>
        <v/>
      </c>
      <c r="B1255" s="28" t="str">
        <f>IF(履歴データ!$A$1255="","",(履歴データ!$D$1255-(履歴データ!$B$1255+履歴データ!$F$1255)/2)*100)</f>
        <v/>
      </c>
      <c r="C1255" s="28" t="str">
        <f>IF(履歴データ!$A$1255="","",(履歴データ!$H$1255-(履歴データ!$G$1255+履歴データ!$J$1255)/2)*100)</f>
        <v/>
      </c>
      <c r="D1255" s="28" t="str">
        <f>IF(履歴データ!$A$1255="","",(履歴データ!$D$1255-履歴データ!$H$1255)*100)</f>
        <v/>
      </c>
      <c r="E1255" s="28" t="str">
        <f>IF(履歴データ!$A$1255="","",(履歴データ!$D$1255-履歴データ!$C$1255)*100)</f>
        <v/>
      </c>
      <c r="F1255" s="28" t="str">
        <f>IF(履歴データ!$A$1255="","",(履歴データ!$R$1255-履歴データ!$D$1255)*100)</f>
        <v/>
      </c>
      <c r="G1255" s="28" t="str">
        <f>IF(履歴データ!$A$1255="","",(履歴データ!$S$1255-履歴データ!$R$1255)*100)</f>
        <v/>
      </c>
      <c r="H1255" s="29" t="str">
        <f>IF(履歴データ!$A$1255="","",履歴データ!$O$1255)</f>
        <v/>
      </c>
      <c r="I1255" s="29" t="str">
        <f>IF(履歴データ!$A$1255="","",履歴データ!$Q$1255)</f>
        <v/>
      </c>
      <c r="J1255" s="29" t="str">
        <f>IF(履歴データ!$A$1255="","",履歴データ!$D$1255)</f>
        <v/>
      </c>
      <c r="K1255" s="28" t="str">
        <f>IF(OR(履歴データ!$A$1255="",履歴データ!$A$1254=""),"",B1255-B1254)</f>
        <v/>
      </c>
      <c r="L1255" s="28" t="str">
        <f>IF(OR(履歴データ!$A$1255="",履歴データ!$A$1254=""),"",C1255-C1254)</f>
        <v/>
      </c>
      <c r="M1255" s="28" t="str">
        <f>IF(OR(履歴データ!$A$1255="",履歴データ!$A$1254=""),"",D1255-D1254)</f>
        <v/>
      </c>
      <c r="N1255" s="28" t="str">
        <f>IF(OR(履歴データ!$A$1255="",履歴データ!$A$1254=""),"",E1255-E1254)</f>
        <v/>
      </c>
      <c r="O1255" s="28" t="str">
        <f>IF(OR(履歴データ!$A$1255="",履歴データ!$A$1254=""),"",F1255-F1254)</f>
        <v/>
      </c>
      <c r="P1255" s="28" t="str">
        <f>IF(OR(履歴データ!$A$1255="",履歴データ!$A$1254=""),"",G1255-G1254)</f>
        <v/>
      </c>
      <c r="Q1255" s="29" t="str">
        <f>IF(OR(履歴データ!$A$1255="",履歴データ!$A$1254=""),"",H1255-H1254)</f>
        <v/>
      </c>
      <c r="R1255" s="29" t="str">
        <f>IF(OR(履歴データ!$A$1255="",履歴データ!$A$1254=""),"",I1255-I1254)</f>
        <v/>
      </c>
      <c r="S1255" s="28" t="str">
        <f>IF(OR(履歴データ!$A$1255="",履歴データ!$A$1254=""),"",(J1255-J1254)*100)</f>
        <v/>
      </c>
      <c r="T1255" s="11" t="str">
        <f>IF(OR(履歴データ!$A$1255="",履歴データ!$A$1254=""),"",-80000*K1255)</f>
        <v/>
      </c>
      <c r="U1255" s="11" t="str">
        <f>IF(OR(履歴データ!$A$1255="",履歴データ!$A$1254=""),"",60000*L1255)</f>
        <v/>
      </c>
      <c r="V1255" s="11" t="str">
        <f>IF(OR(履歴データ!$A$1255="",履歴データ!$A$1254=""),"",-50000*M1255)</f>
        <v/>
      </c>
      <c r="W1255" s="11" t="str">
        <f>IF(OR(履歴データ!$A$1255="",履歴データ!$A$1254=""),"",-40000*N1255)</f>
        <v/>
      </c>
      <c r="X1255" s="11" t="str">
        <f>IF(OR(履歴データ!$A$1255="",履歴データ!$A$1254=""),"",120*1000000*(-Q1255/H1254))</f>
        <v/>
      </c>
      <c r="Y1255" s="11" t="str">
        <f>IF(OR(履歴データ!$A$1255="",履歴データ!$A$1254=""),"",40000*(-S1255)+(-506.3)*R1255*1000)</f>
        <v/>
      </c>
      <c r="Z1255" s="11" t="str">
        <f>IF(OR(履歴データ!$A$1255="",履歴データ!$A$1254=""),"",-40000*O1255)</f>
        <v/>
      </c>
      <c r="AA1255" s="11" t="str">
        <f>IF(OR(履歴データ!$A$1255="",履歴データ!$A$1254=""),"",-40000*P1255)</f>
        <v/>
      </c>
      <c r="AB1255" s="11" t="str">
        <f>IF(履歴データ!$A$1255="","",123.3)</f>
        <v/>
      </c>
      <c r="AC1255" t="str">
        <f>IF(履歴データ!$A$1255="","",SUM(T1255:AA1255))</f>
        <v/>
      </c>
      <c r="AD1255" s="29" t="str">
        <f>IF(履歴データ!$A$1255="","",AC1255/1000000)</f>
        <v/>
      </c>
      <c r="AE1255" s="29">
        <f>IF(履歴データ!$A$1255="",AE1254,AE1254+AC1255/1000000)</f>
        <v>70.844544225831427</v>
      </c>
      <c r="AF1255" s="12" t="str">
        <f>IF(OR(履歴データ!$A$1255="",AE1254=0),"",(AE1255-AE1254)/AE1254)</f>
        <v/>
      </c>
      <c r="AG1255" s="29">
        <f t="shared" si="49"/>
        <v>102.17217746631495</v>
      </c>
      <c r="AH1255" s="12" t="str">
        <f>IF(OR(履歴データ!$A$1255="",AG1255=0),"",AE1255/AG1255-1)</f>
        <v/>
      </c>
    </row>
    <row r="1256" spans="1:34">
      <c r="A1256" s="10" t="str">
        <f>IF(履歴データ!$A$1256="","",履歴データ!$A$1256)</f>
        <v/>
      </c>
      <c r="B1256" s="28" t="str">
        <f>IF(履歴データ!$A$1256="","",(履歴データ!$D$1256-(履歴データ!$B$1256+履歴データ!$F$1256)/2)*100)</f>
        <v/>
      </c>
      <c r="C1256" s="28" t="str">
        <f>IF(履歴データ!$A$1256="","",(履歴データ!$H$1256-(履歴データ!$G$1256+履歴データ!$J$1256)/2)*100)</f>
        <v/>
      </c>
      <c r="D1256" s="28" t="str">
        <f>IF(履歴データ!$A$1256="","",(履歴データ!$D$1256-履歴データ!$H$1256)*100)</f>
        <v/>
      </c>
      <c r="E1256" s="28" t="str">
        <f>IF(履歴データ!$A$1256="","",(履歴データ!$D$1256-履歴データ!$C$1256)*100)</f>
        <v/>
      </c>
      <c r="F1256" s="28" t="str">
        <f>IF(履歴データ!$A$1256="","",(履歴データ!$R$1256-履歴データ!$D$1256)*100)</f>
        <v/>
      </c>
      <c r="G1256" s="28" t="str">
        <f>IF(履歴データ!$A$1256="","",(履歴データ!$S$1256-履歴データ!$R$1256)*100)</f>
        <v/>
      </c>
      <c r="H1256" s="29" t="str">
        <f>IF(履歴データ!$A$1256="","",履歴データ!$O$1256)</f>
        <v/>
      </c>
      <c r="I1256" s="29" t="str">
        <f>IF(履歴データ!$A$1256="","",履歴データ!$Q$1256)</f>
        <v/>
      </c>
      <c r="J1256" s="29" t="str">
        <f>IF(履歴データ!$A$1256="","",履歴データ!$D$1256)</f>
        <v/>
      </c>
      <c r="K1256" s="28" t="str">
        <f>IF(OR(履歴データ!$A$1256="",履歴データ!$A$1255=""),"",B1256-B1255)</f>
        <v/>
      </c>
      <c r="L1256" s="28" t="str">
        <f>IF(OR(履歴データ!$A$1256="",履歴データ!$A$1255=""),"",C1256-C1255)</f>
        <v/>
      </c>
      <c r="M1256" s="28" t="str">
        <f>IF(OR(履歴データ!$A$1256="",履歴データ!$A$1255=""),"",D1256-D1255)</f>
        <v/>
      </c>
      <c r="N1256" s="28" t="str">
        <f>IF(OR(履歴データ!$A$1256="",履歴データ!$A$1255=""),"",E1256-E1255)</f>
        <v/>
      </c>
      <c r="O1256" s="28" t="str">
        <f>IF(OR(履歴データ!$A$1256="",履歴データ!$A$1255=""),"",F1256-F1255)</f>
        <v/>
      </c>
      <c r="P1256" s="28" t="str">
        <f>IF(OR(履歴データ!$A$1256="",履歴データ!$A$1255=""),"",G1256-G1255)</f>
        <v/>
      </c>
      <c r="Q1256" s="29" t="str">
        <f>IF(OR(履歴データ!$A$1256="",履歴データ!$A$1255=""),"",H1256-H1255)</f>
        <v/>
      </c>
      <c r="R1256" s="29" t="str">
        <f>IF(OR(履歴データ!$A$1256="",履歴データ!$A$1255=""),"",I1256-I1255)</f>
        <v/>
      </c>
      <c r="S1256" s="28" t="str">
        <f>IF(OR(履歴データ!$A$1256="",履歴データ!$A$1255=""),"",(J1256-J1255)*100)</f>
        <v/>
      </c>
      <c r="T1256" s="11" t="str">
        <f>IF(OR(履歴データ!$A$1256="",履歴データ!$A$1255=""),"",-80000*K1256)</f>
        <v/>
      </c>
      <c r="U1256" s="11" t="str">
        <f>IF(OR(履歴データ!$A$1256="",履歴データ!$A$1255=""),"",60000*L1256)</f>
        <v/>
      </c>
      <c r="V1256" s="11" t="str">
        <f>IF(OR(履歴データ!$A$1256="",履歴データ!$A$1255=""),"",-50000*M1256)</f>
        <v/>
      </c>
      <c r="W1256" s="11" t="str">
        <f>IF(OR(履歴データ!$A$1256="",履歴データ!$A$1255=""),"",-40000*N1256)</f>
        <v/>
      </c>
      <c r="X1256" s="11" t="str">
        <f>IF(OR(履歴データ!$A$1256="",履歴データ!$A$1255=""),"",120*1000000*(-Q1256/H1255))</f>
        <v/>
      </c>
      <c r="Y1256" s="11" t="str">
        <f>IF(OR(履歴データ!$A$1256="",履歴データ!$A$1255=""),"",40000*(-S1256)+(-506.3)*R1256*1000)</f>
        <v/>
      </c>
      <c r="Z1256" s="11" t="str">
        <f>IF(OR(履歴データ!$A$1256="",履歴データ!$A$1255=""),"",-40000*O1256)</f>
        <v/>
      </c>
      <c r="AA1256" s="11" t="str">
        <f>IF(OR(履歴データ!$A$1256="",履歴データ!$A$1255=""),"",-40000*P1256)</f>
        <v/>
      </c>
      <c r="AB1256" s="11" t="str">
        <f>IF(履歴データ!$A$1256="","",123.3)</f>
        <v/>
      </c>
      <c r="AC1256" t="str">
        <f>IF(履歴データ!$A$1256="","",SUM(T1256:AA1256))</f>
        <v/>
      </c>
      <c r="AD1256" s="29" t="str">
        <f>IF(履歴データ!$A$1256="","",AC1256/1000000)</f>
        <v/>
      </c>
      <c r="AE1256" s="29">
        <f>IF(履歴データ!$A$1256="",AE1255,AE1255+AC1256/1000000)</f>
        <v>70.844544225831427</v>
      </c>
      <c r="AF1256" s="12" t="str">
        <f>IF(OR(履歴データ!$A$1256="",AE1255=0),"",(AE1256-AE1255)/AE1255)</f>
        <v/>
      </c>
      <c r="AG1256" s="29">
        <f t="shared" si="49"/>
        <v>102.17217746631495</v>
      </c>
      <c r="AH1256" s="12" t="str">
        <f>IF(OR(履歴データ!$A$1256="",AG1256=0),"",AE1256/AG1256-1)</f>
        <v/>
      </c>
    </row>
    <row r="1257" spans="1:34">
      <c r="A1257" s="10" t="str">
        <f>IF(履歴データ!$A$1257="","",履歴データ!$A$1257)</f>
        <v/>
      </c>
      <c r="B1257" s="28" t="str">
        <f>IF(履歴データ!$A$1257="","",(履歴データ!$D$1257-(履歴データ!$B$1257+履歴データ!$F$1257)/2)*100)</f>
        <v/>
      </c>
      <c r="C1257" s="28" t="str">
        <f>IF(履歴データ!$A$1257="","",(履歴データ!$H$1257-(履歴データ!$G$1257+履歴データ!$J$1257)/2)*100)</f>
        <v/>
      </c>
      <c r="D1257" s="28" t="str">
        <f>IF(履歴データ!$A$1257="","",(履歴データ!$D$1257-履歴データ!$H$1257)*100)</f>
        <v/>
      </c>
      <c r="E1257" s="28" t="str">
        <f>IF(履歴データ!$A$1257="","",(履歴データ!$D$1257-履歴データ!$C$1257)*100)</f>
        <v/>
      </c>
      <c r="F1257" s="28" t="str">
        <f>IF(履歴データ!$A$1257="","",(履歴データ!$R$1257-履歴データ!$D$1257)*100)</f>
        <v/>
      </c>
      <c r="G1257" s="28" t="str">
        <f>IF(履歴データ!$A$1257="","",(履歴データ!$S$1257-履歴データ!$R$1257)*100)</f>
        <v/>
      </c>
      <c r="H1257" s="29" t="str">
        <f>IF(履歴データ!$A$1257="","",履歴データ!$O$1257)</f>
        <v/>
      </c>
      <c r="I1257" s="29" t="str">
        <f>IF(履歴データ!$A$1257="","",履歴データ!$Q$1257)</f>
        <v/>
      </c>
      <c r="J1257" s="29" t="str">
        <f>IF(履歴データ!$A$1257="","",履歴データ!$D$1257)</f>
        <v/>
      </c>
      <c r="K1257" s="28" t="str">
        <f>IF(OR(履歴データ!$A$1257="",履歴データ!$A$1256=""),"",B1257-B1256)</f>
        <v/>
      </c>
      <c r="L1257" s="28" t="str">
        <f>IF(OR(履歴データ!$A$1257="",履歴データ!$A$1256=""),"",C1257-C1256)</f>
        <v/>
      </c>
      <c r="M1257" s="28" t="str">
        <f>IF(OR(履歴データ!$A$1257="",履歴データ!$A$1256=""),"",D1257-D1256)</f>
        <v/>
      </c>
      <c r="N1257" s="28" t="str">
        <f>IF(OR(履歴データ!$A$1257="",履歴データ!$A$1256=""),"",E1257-E1256)</f>
        <v/>
      </c>
      <c r="O1257" s="28" t="str">
        <f>IF(OR(履歴データ!$A$1257="",履歴データ!$A$1256=""),"",F1257-F1256)</f>
        <v/>
      </c>
      <c r="P1257" s="28" t="str">
        <f>IF(OR(履歴データ!$A$1257="",履歴データ!$A$1256=""),"",G1257-G1256)</f>
        <v/>
      </c>
      <c r="Q1257" s="29" t="str">
        <f>IF(OR(履歴データ!$A$1257="",履歴データ!$A$1256=""),"",H1257-H1256)</f>
        <v/>
      </c>
      <c r="R1257" s="29" t="str">
        <f>IF(OR(履歴データ!$A$1257="",履歴データ!$A$1256=""),"",I1257-I1256)</f>
        <v/>
      </c>
      <c r="S1257" s="28" t="str">
        <f>IF(OR(履歴データ!$A$1257="",履歴データ!$A$1256=""),"",(J1257-J1256)*100)</f>
        <v/>
      </c>
      <c r="T1257" s="11" t="str">
        <f>IF(OR(履歴データ!$A$1257="",履歴データ!$A$1256=""),"",-80000*K1257)</f>
        <v/>
      </c>
      <c r="U1257" s="11" t="str">
        <f>IF(OR(履歴データ!$A$1257="",履歴データ!$A$1256=""),"",60000*L1257)</f>
        <v/>
      </c>
      <c r="V1257" s="11" t="str">
        <f>IF(OR(履歴データ!$A$1257="",履歴データ!$A$1256=""),"",-50000*M1257)</f>
        <v/>
      </c>
      <c r="W1257" s="11" t="str">
        <f>IF(OR(履歴データ!$A$1257="",履歴データ!$A$1256=""),"",-40000*N1257)</f>
        <v/>
      </c>
      <c r="X1257" s="11" t="str">
        <f>IF(OR(履歴データ!$A$1257="",履歴データ!$A$1256=""),"",120*1000000*(-Q1257/H1256))</f>
        <v/>
      </c>
      <c r="Y1257" s="11" t="str">
        <f>IF(OR(履歴データ!$A$1257="",履歴データ!$A$1256=""),"",40000*(-S1257)+(-506.3)*R1257*1000)</f>
        <v/>
      </c>
      <c r="Z1257" s="11" t="str">
        <f>IF(OR(履歴データ!$A$1257="",履歴データ!$A$1256=""),"",-40000*O1257)</f>
        <v/>
      </c>
      <c r="AA1257" s="11" t="str">
        <f>IF(OR(履歴データ!$A$1257="",履歴データ!$A$1256=""),"",-40000*P1257)</f>
        <v/>
      </c>
      <c r="AB1257" s="11" t="str">
        <f>IF(履歴データ!$A$1257="","",123.3)</f>
        <v/>
      </c>
      <c r="AC1257" t="str">
        <f>IF(履歴データ!$A$1257="","",SUM(T1257:AA1257))</f>
        <v/>
      </c>
      <c r="AD1257" s="29" t="str">
        <f>IF(履歴データ!$A$1257="","",AC1257/1000000)</f>
        <v/>
      </c>
      <c r="AE1257" s="29">
        <f>IF(履歴データ!$A$1257="",AE1256,AE1256+AC1257/1000000)</f>
        <v>70.844544225831427</v>
      </c>
      <c r="AF1257" s="12" t="str">
        <f>IF(OR(履歴データ!$A$1257="",AE1256=0),"",(AE1257-AE1256)/AE1256)</f>
        <v/>
      </c>
      <c r="AG1257" s="29">
        <f t="shared" si="49"/>
        <v>102.17217746631495</v>
      </c>
      <c r="AH1257" s="12" t="str">
        <f>IF(OR(履歴データ!$A$1257="",AG1257=0),"",AE1257/AG1257-1)</f>
        <v/>
      </c>
    </row>
    <row r="1258" spans="1:34">
      <c r="A1258" s="10" t="str">
        <f>IF(履歴データ!$A$1258="","",履歴データ!$A$1258)</f>
        <v/>
      </c>
      <c r="B1258" s="28" t="str">
        <f>IF(履歴データ!$A$1258="","",(履歴データ!$D$1258-(履歴データ!$B$1258+履歴データ!$F$1258)/2)*100)</f>
        <v/>
      </c>
      <c r="C1258" s="28" t="str">
        <f>IF(履歴データ!$A$1258="","",(履歴データ!$H$1258-(履歴データ!$G$1258+履歴データ!$J$1258)/2)*100)</f>
        <v/>
      </c>
      <c r="D1258" s="28" t="str">
        <f>IF(履歴データ!$A$1258="","",(履歴データ!$D$1258-履歴データ!$H$1258)*100)</f>
        <v/>
      </c>
      <c r="E1258" s="28" t="str">
        <f>IF(履歴データ!$A$1258="","",(履歴データ!$D$1258-履歴データ!$C$1258)*100)</f>
        <v/>
      </c>
      <c r="F1258" s="28" t="str">
        <f>IF(履歴データ!$A$1258="","",(履歴データ!$R$1258-履歴データ!$D$1258)*100)</f>
        <v/>
      </c>
      <c r="G1258" s="28" t="str">
        <f>IF(履歴データ!$A$1258="","",(履歴データ!$S$1258-履歴データ!$R$1258)*100)</f>
        <v/>
      </c>
      <c r="H1258" s="29" t="str">
        <f>IF(履歴データ!$A$1258="","",履歴データ!$O$1258)</f>
        <v/>
      </c>
      <c r="I1258" s="29" t="str">
        <f>IF(履歴データ!$A$1258="","",履歴データ!$Q$1258)</f>
        <v/>
      </c>
      <c r="J1258" s="29" t="str">
        <f>IF(履歴データ!$A$1258="","",履歴データ!$D$1258)</f>
        <v/>
      </c>
      <c r="K1258" s="28" t="str">
        <f>IF(OR(履歴データ!$A$1258="",履歴データ!$A$1257=""),"",B1258-B1257)</f>
        <v/>
      </c>
      <c r="L1258" s="28" t="str">
        <f>IF(OR(履歴データ!$A$1258="",履歴データ!$A$1257=""),"",C1258-C1257)</f>
        <v/>
      </c>
      <c r="M1258" s="28" t="str">
        <f>IF(OR(履歴データ!$A$1258="",履歴データ!$A$1257=""),"",D1258-D1257)</f>
        <v/>
      </c>
      <c r="N1258" s="28" t="str">
        <f>IF(OR(履歴データ!$A$1258="",履歴データ!$A$1257=""),"",E1258-E1257)</f>
        <v/>
      </c>
      <c r="O1258" s="28" t="str">
        <f>IF(OR(履歴データ!$A$1258="",履歴データ!$A$1257=""),"",F1258-F1257)</f>
        <v/>
      </c>
      <c r="P1258" s="28" t="str">
        <f>IF(OR(履歴データ!$A$1258="",履歴データ!$A$1257=""),"",G1258-G1257)</f>
        <v/>
      </c>
      <c r="Q1258" s="29" t="str">
        <f>IF(OR(履歴データ!$A$1258="",履歴データ!$A$1257=""),"",H1258-H1257)</f>
        <v/>
      </c>
      <c r="R1258" s="29" t="str">
        <f>IF(OR(履歴データ!$A$1258="",履歴データ!$A$1257=""),"",I1258-I1257)</f>
        <v/>
      </c>
      <c r="S1258" s="28" t="str">
        <f>IF(OR(履歴データ!$A$1258="",履歴データ!$A$1257=""),"",(J1258-J1257)*100)</f>
        <v/>
      </c>
      <c r="T1258" s="11" t="str">
        <f>IF(OR(履歴データ!$A$1258="",履歴データ!$A$1257=""),"",-80000*K1258)</f>
        <v/>
      </c>
      <c r="U1258" s="11" t="str">
        <f>IF(OR(履歴データ!$A$1258="",履歴データ!$A$1257=""),"",60000*L1258)</f>
        <v/>
      </c>
      <c r="V1258" s="11" t="str">
        <f>IF(OR(履歴データ!$A$1258="",履歴データ!$A$1257=""),"",-50000*M1258)</f>
        <v/>
      </c>
      <c r="W1258" s="11" t="str">
        <f>IF(OR(履歴データ!$A$1258="",履歴データ!$A$1257=""),"",-40000*N1258)</f>
        <v/>
      </c>
      <c r="X1258" s="11" t="str">
        <f>IF(OR(履歴データ!$A$1258="",履歴データ!$A$1257=""),"",120*1000000*(-Q1258/H1257))</f>
        <v/>
      </c>
      <c r="Y1258" s="11" t="str">
        <f>IF(OR(履歴データ!$A$1258="",履歴データ!$A$1257=""),"",40000*(-S1258)+(-506.3)*R1258*1000)</f>
        <v/>
      </c>
      <c r="Z1258" s="11" t="str">
        <f>IF(OR(履歴データ!$A$1258="",履歴データ!$A$1257=""),"",-40000*O1258)</f>
        <v/>
      </c>
      <c r="AA1258" s="11" t="str">
        <f>IF(OR(履歴データ!$A$1258="",履歴データ!$A$1257=""),"",-40000*P1258)</f>
        <v/>
      </c>
      <c r="AB1258" s="11" t="str">
        <f>IF(履歴データ!$A$1258="","",123.3)</f>
        <v/>
      </c>
      <c r="AC1258" t="str">
        <f>IF(履歴データ!$A$1258="","",SUM(T1258:AA1258))</f>
        <v/>
      </c>
      <c r="AD1258" s="29" t="str">
        <f>IF(履歴データ!$A$1258="","",AC1258/1000000)</f>
        <v/>
      </c>
      <c r="AE1258" s="29">
        <f>IF(履歴データ!$A$1258="",AE1257,AE1257+AC1258/1000000)</f>
        <v>70.844544225831427</v>
      </c>
      <c r="AF1258" s="12" t="str">
        <f>IF(OR(履歴データ!$A$1258="",AE1257=0),"",(AE1258-AE1257)/AE1257)</f>
        <v/>
      </c>
      <c r="AG1258" s="29">
        <f t="shared" si="49"/>
        <v>102.17217746631495</v>
      </c>
      <c r="AH1258" s="12" t="str">
        <f>IF(OR(履歴データ!$A$1258="",AG1258=0),"",AE1258/AG1258-1)</f>
        <v/>
      </c>
    </row>
    <row r="1259" spans="1:34">
      <c r="A1259" s="10" t="str">
        <f>IF(履歴データ!$A$1259="","",履歴データ!$A$1259)</f>
        <v/>
      </c>
      <c r="B1259" s="28" t="str">
        <f>IF(履歴データ!$A$1259="","",(履歴データ!$D$1259-(履歴データ!$B$1259+履歴データ!$F$1259)/2)*100)</f>
        <v/>
      </c>
      <c r="C1259" s="28" t="str">
        <f>IF(履歴データ!$A$1259="","",(履歴データ!$H$1259-(履歴データ!$G$1259+履歴データ!$J$1259)/2)*100)</f>
        <v/>
      </c>
      <c r="D1259" s="28" t="str">
        <f>IF(履歴データ!$A$1259="","",(履歴データ!$D$1259-履歴データ!$H$1259)*100)</f>
        <v/>
      </c>
      <c r="E1259" s="28" t="str">
        <f>IF(履歴データ!$A$1259="","",(履歴データ!$D$1259-履歴データ!$C$1259)*100)</f>
        <v/>
      </c>
      <c r="F1259" s="28" t="str">
        <f>IF(履歴データ!$A$1259="","",(履歴データ!$R$1259-履歴データ!$D$1259)*100)</f>
        <v/>
      </c>
      <c r="G1259" s="28" t="str">
        <f>IF(履歴データ!$A$1259="","",(履歴データ!$S$1259-履歴データ!$R$1259)*100)</f>
        <v/>
      </c>
      <c r="H1259" s="29" t="str">
        <f>IF(履歴データ!$A$1259="","",履歴データ!$O$1259)</f>
        <v/>
      </c>
      <c r="I1259" s="29" t="str">
        <f>IF(履歴データ!$A$1259="","",履歴データ!$Q$1259)</f>
        <v/>
      </c>
      <c r="J1259" s="29" t="str">
        <f>IF(履歴データ!$A$1259="","",履歴データ!$D$1259)</f>
        <v/>
      </c>
      <c r="K1259" s="28" t="str">
        <f>IF(OR(履歴データ!$A$1259="",履歴データ!$A$1258=""),"",B1259-B1258)</f>
        <v/>
      </c>
      <c r="L1259" s="28" t="str">
        <f>IF(OR(履歴データ!$A$1259="",履歴データ!$A$1258=""),"",C1259-C1258)</f>
        <v/>
      </c>
      <c r="M1259" s="28" t="str">
        <f>IF(OR(履歴データ!$A$1259="",履歴データ!$A$1258=""),"",D1259-D1258)</f>
        <v/>
      </c>
      <c r="N1259" s="28" t="str">
        <f>IF(OR(履歴データ!$A$1259="",履歴データ!$A$1258=""),"",E1259-E1258)</f>
        <v/>
      </c>
      <c r="O1259" s="28" t="str">
        <f>IF(OR(履歴データ!$A$1259="",履歴データ!$A$1258=""),"",F1259-F1258)</f>
        <v/>
      </c>
      <c r="P1259" s="28" t="str">
        <f>IF(OR(履歴データ!$A$1259="",履歴データ!$A$1258=""),"",G1259-G1258)</f>
        <v/>
      </c>
      <c r="Q1259" s="29" t="str">
        <f>IF(OR(履歴データ!$A$1259="",履歴データ!$A$1258=""),"",H1259-H1258)</f>
        <v/>
      </c>
      <c r="R1259" s="29" t="str">
        <f>IF(OR(履歴データ!$A$1259="",履歴データ!$A$1258=""),"",I1259-I1258)</f>
        <v/>
      </c>
      <c r="S1259" s="28" t="str">
        <f>IF(OR(履歴データ!$A$1259="",履歴データ!$A$1258=""),"",(J1259-J1258)*100)</f>
        <v/>
      </c>
      <c r="T1259" s="11" t="str">
        <f>IF(OR(履歴データ!$A$1259="",履歴データ!$A$1258=""),"",-80000*K1259)</f>
        <v/>
      </c>
      <c r="U1259" s="11" t="str">
        <f>IF(OR(履歴データ!$A$1259="",履歴データ!$A$1258=""),"",60000*L1259)</f>
        <v/>
      </c>
      <c r="V1259" s="11" t="str">
        <f>IF(OR(履歴データ!$A$1259="",履歴データ!$A$1258=""),"",-50000*M1259)</f>
        <v/>
      </c>
      <c r="W1259" s="11" t="str">
        <f>IF(OR(履歴データ!$A$1259="",履歴データ!$A$1258=""),"",-40000*N1259)</f>
        <v/>
      </c>
      <c r="X1259" s="11" t="str">
        <f>IF(OR(履歴データ!$A$1259="",履歴データ!$A$1258=""),"",120*1000000*(-Q1259/H1258))</f>
        <v/>
      </c>
      <c r="Y1259" s="11" t="str">
        <f>IF(OR(履歴データ!$A$1259="",履歴データ!$A$1258=""),"",40000*(-S1259)+(-506.3)*R1259*1000)</f>
        <v/>
      </c>
      <c r="Z1259" s="11" t="str">
        <f>IF(OR(履歴データ!$A$1259="",履歴データ!$A$1258=""),"",-40000*O1259)</f>
        <v/>
      </c>
      <c r="AA1259" s="11" t="str">
        <f>IF(OR(履歴データ!$A$1259="",履歴データ!$A$1258=""),"",-40000*P1259)</f>
        <v/>
      </c>
      <c r="AB1259" s="11" t="str">
        <f>IF(履歴データ!$A$1259="","",123.3)</f>
        <v/>
      </c>
      <c r="AC1259" t="str">
        <f>IF(履歴データ!$A$1259="","",SUM(T1259:AA1259))</f>
        <v/>
      </c>
      <c r="AD1259" s="29" t="str">
        <f>IF(履歴データ!$A$1259="","",AC1259/1000000)</f>
        <v/>
      </c>
      <c r="AE1259" s="29">
        <f>IF(履歴データ!$A$1259="",AE1258,AE1258+AC1259/1000000)</f>
        <v>70.844544225831427</v>
      </c>
      <c r="AF1259" s="12" t="str">
        <f>IF(OR(履歴データ!$A$1259="",AE1258=0),"",(AE1259-AE1258)/AE1258)</f>
        <v/>
      </c>
      <c r="AG1259" s="29">
        <f t="shared" si="49"/>
        <v>102.17217746631495</v>
      </c>
      <c r="AH1259" s="12" t="str">
        <f>IF(OR(履歴データ!$A$1259="",AG1259=0),"",AE1259/AG1259-1)</f>
        <v/>
      </c>
    </row>
    <row r="1260" spans="1:34">
      <c r="A1260" s="10" t="str">
        <f>IF(履歴データ!$A$1260="","",履歴データ!$A$1260)</f>
        <v/>
      </c>
      <c r="B1260" s="28" t="str">
        <f>IF(履歴データ!$A$1260="","",(履歴データ!$D$1260-(履歴データ!$B$1260+履歴データ!$F$1260)/2)*100)</f>
        <v/>
      </c>
      <c r="C1260" s="28" t="str">
        <f>IF(履歴データ!$A$1260="","",(履歴データ!$H$1260-(履歴データ!$G$1260+履歴データ!$J$1260)/2)*100)</f>
        <v/>
      </c>
      <c r="D1260" s="28" t="str">
        <f>IF(履歴データ!$A$1260="","",(履歴データ!$D$1260-履歴データ!$H$1260)*100)</f>
        <v/>
      </c>
      <c r="E1260" s="28" t="str">
        <f>IF(履歴データ!$A$1260="","",(履歴データ!$D$1260-履歴データ!$C$1260)*100)</f>
        <v/>
      </c>
      <c r="F1260" s="28" t="str">
        <f>IF(履歴データ!$A$1260="","",(履歴データ!$R$1260-履歴データ!$D$1260)*100)</f>
        <v/>
      </c>
      <c r="G1260" s="28" t="str">
        <f>IF(履歴データ!$A$1260="","",(履歴データ!$S$1260-履歴データ!$R$1260)*100)</f>
        <v/>
      </c>
      <c r="H1260" s="29" t="str">
        <f>IF(履歴データ!$A$1260="","",履歴データ!$O$1260)</f>
        <v/>
      </c>
      <c r="I1260" s="29" t="str">
        <f>IF(履歴データ!$A$1260="","",履歴データ!$Q$1260)</f>
        <v/>
      </c>
      <c r="J1260" s="29" t="str">
        <f>IF(履歴データ!$A$1260="","",履歴データ!$D$1260)</f>
        <v/>
      </c>
      <c r="K1260" s="28" t="str">
        <f>IF(OR(履歴データ!$A$1260="",履歴データ!$A$1259=""),"",B1260-B1259)</f>
        <v/>
      </c>
      <c r="L1260" s="28" t="str">
        <f>IF(OR(履歴データ!$A$1260="",履歴データ!$A$1259=""),"",C1260-C1259)</f>
        <v/>
      </c>
      <c r="M1260" s="28" t="str">
        <f>IF(OR(履歴データ!$A$1260="",履歴データ!$A$1259=""),"",D1260-D1259)</f>
        <v/>
      </c>
      <c r="N1260" s="28" t="str">
        <f>IF(OR(履歴データ!$A$1260="",履歴データ!$A$1259=""),"",E1260-E1259)</f>
        <v/>
      </c>
      <c r="O1260" s="28" t="str">
        <f>IF(OR(履歴データ!$A$1260="",履歴データ!$A$1259=""),"",F1260-F1259)</f>
        <v/>
      </c>
      <c r="P1260" s="28" t="str">
        <f>IF(OR(履歴データ!$A$1260="",履歴データ!$A$1259=""),"",G1260-G1259)</f>
        <v/>
      </c>
      <c r="Q1260" s="29" t="str">
        <f>IF(OR(履歴データ!$A$1260="",履歴データ!$A$1259=""),"",H1260-H1259)</f>
        <v/>
      </c>
      <c r="R1260" s="29" t="str">
        <f>IF(OR(履歴データ!$A$1260="",履歴データ!$A$1259=""),"",I1260-I1259)</f>
        <v/>
      </c>
      <c r="S1260" s="28" t="str">
        <f>IF(OR(履歴データ!$A$1260="",履歴データ!$A$1259=""),"",(J1260-J1259)*100)</f>
        <v/>
      </c>
      <c r="T1260" s="11" t="str">
        <f>IF(OR(履歴データ!$A$1260="",履歴データ!$A$1259=""),"",-80000*K1260)</f>
        <v/>
      </c>
      <c r="U1260" s="11" t="str">
        <f>IF(OR(履歴データ!$A$1260="",履歴データ!$A$1259=""),"",60000*L1260)</f>
        <v/>
      </c>
      <c r="V1260" s="11" t="str">
        <f>IF(OR(履歴データ!$A$1260="",履歴データ!$A$1259=""),"",-50000*M1260)</f>
        <v/>
      </c>
      <c r="W1260" s="11" t="str">
        <f>IF(OR(履歴データ!$A$1260="",履歴データ!$A$1259=""),"",-40000*N1260)</f>
        <v/>
      </c>
      <c r="X1260" s="11" t="str">
        <f>IF(OR(履歴データ!$A$1260="",履歴データ!$A$1259=""),"",120*1000000*(-Q1260/H1259))</f>
        <v/>
      </c>
      <c r="Y1260" s="11" t="str">
        <f>IF(OR(履歴データ!$A$1260="",履歴データ!$A$1259=""),"",40000*(-S1260)+(-506.3)*R1260*1000)</f>
        <v/>
      </c>
      <c r="Z1260" s="11" t="str">
        <f>IF(OR(履歴データ!$A$1260="",履歴データ!$A$1259=""),"",-40000*O1260)</f>
        <v/>
      </c>
      <c r="AA1260" s="11" t="str">
        <f>IF(OR(履歴データ!$A$1260="",履歴データ!$A$1259=""),"",-40000*P1260)</f>
        <v/>
      </c>
      <c r="AB1260" s="11" t="str">
        <f>IF(履歴データ!$A$1260="","",123.3)</f>
        <v/>
      </c>
      <c r="AC1260" t="str">
        <f>IF(履歴データ!$A$1260="","",SUM(T1260:AA1260))</f>
        <v/>
      </c>
      <c r="AD1260" s="29" t="str">
        <f>IF(履歴データ!$A$1260="","",AC1260/1000000)</f>
        <v/>
      </c>
      <c r="AE1260" s="29">
        <f>IF(履歴データ!$A$1260="",AE1259,AE1259+AC1260/1000000)</f>
        <v>70.844544225831427</v>
      </c>
      <c r="AF1260" s="12" t="str">
        <f>IF(OR(履歴データ!$A$1260="",AE1259=0),"",(AE1260-AE1259)/AE1259)</f>
        <v/>
      </c>
      <c r="AG1260" s="29">
        <f t="shared" si="49"/>
        <v>102.17217746631495</v>
      </c>
      <c r="AH1260" s="12" t="str">
        <f>IF(OR(履歴データ!$A$1260="",AG1260=0),"",AE1260/AG1260-1)</f>
        <v/>
      </c>
    </row>
    <row r="1261" spans="1:34">
      <c r="A1261" s="10" t="str">
        <f>IF(履歴データ!$A$1261="","",履歴データ!$A$1261)</f>
        <v/>
      </c>
      <c r="B1261" s="28" t="str">
        <f>IF(履歴データ!$A$1261="","",(履歴データ!$D$1261-(履歴データ!$B$1261+履歴データ!$F$1261)/2)*100)</f>
        <v/>
      </c>
      <c r="C1261" s="28" t="str">
        <f>IF(履歴データ!$A$1261="","",(履歴データ!$H$1261-(履歴データ!$G$1261+履歴データ!$J$1261)/2)*100)</f>
        <v/>
      </c>
      <c r="D1261" s="28" t="str">
        <f>IF(履歴データ!$A$1261="","",(履歴データ!$D$1261-履歴データ!$H$1261)*100)</f>
        <v/>
      </c>
      <c r="E1261" s="28" t="str">
        <f>IF(履歴データ!$A$1261="","",(履歴データ!$D$1261-履歴データ!$C$1261)*100)</f>
        <v/>
      </c>
      <c r="F1261" s="28" t="str">
        <f>IF(履歴データ!$A$1261="","",(履歴データ!$R$1261-履歴データ!$D$1261)*100)</f>
        <v/>
      </c>
      <c r="G1261" s="28" t="str">
        <f>IF(履歴データ!$A$1261="","",(履歴データ!$S$1261-履歴データ!$R$1261)*100)</f>
        <v/>
      </c>
      <c r="H1261" s="29" t="str">
        <f>IF(履歴データ!$A$1261="","",履歴データ!$O$1261)</f>
        <v/>
      </c>
      <c r="I1261" s="29" t="str">
        <f>IF(履歴データ!$A$1261="","",履歴データ!$Q$1261)</f>
        <v/>
      </c>
      <c r="J1261" s="29" t="str">
        <f>IF(履歴データ!$A$1261="","",履歴データ!$D$1261)</f>
        <v/>
      </c>
      <c r="K1261" s="28" t="str">
        <f>IF(OR(履歴データ!$A$1261="",履歴データ!$A$1260=""),"",B1261-B1260)</f>
        <v/>
      </c>
      <c r="L1261" s="28" t="str">
        <f>IF(OR(履歴データ!$A$1261="",履歴データ!$A$1260=""),"",C1261-C1260)</f>
        <v/>
      </c>
      <c r="M1261" s="28" t="str">
        <f>IF(OR(履歴データ!$A$1261="",履歴データ!$A$1260=""),"",D1261-D1260)</f>
        <v/>
      </c>
      <c r="N1261" s="28" t="str">
        <f>IF(OR(履歴データ!$A$1261="",履歴データ!$A$1260=""),"",E1261-E1260)</f>
        <v/>
      </c>
      <c r="O1261" s="28" t="str">
        <f>IF(OR(履歴データ!$A$1261="",履歴データ!$A$1260=""),"",F1261-F1260)</f>
        <v/>
      </c>
      <c r="P1261" s="28" t="str">
        <f>IF(OR(履歴データ!$A$1261="",履歴データ!$A$1260=""),"",G1261-G1260)</f>
        <v/>
      </c>
      <c r="Q1261" s="29" t="str">
        <f>IF(OR(履歴データ!$A$1261="",履歴データ!$A$1260=""),"",H1261-H1260)</f>
        <v/>
      </c>
      <c r="R1261" s="29" t="str">
        <f>IF(OR(履歴データ!$A$1261="",履歴データ!$A$1260=""),"",I1261-I1260)</f>
        <v/>
      </c>
      <c r="S1261" s="28" t="str">
        <f>IF(OR(履歴データ!$A$1261="",履歴データ!$A$1260=""),"",(J1261-J1260)*100)</f>
        <v/>
      </c>
      <c r="T1261" s="11" t="str">
        <f>IF(OR(履歴データ!$A$1261="",履歴データ!$A$1260=""),"",-80000*K1261)</f>
        <v/>
      </c>
      <c r="U1261" s="11" t="str">
        <f>IF(OR(履歴データ!$A$1261="",履歴データ!$A$1260=""),"",60000*L1261)</f>
        <v/>
      </c>
      <c r="V1261" s="11" t="str">
        <f>IF(OR(履歴データ!$A$1261="",履歴データ!$A$1260=""),"",-50000*M1261)</f>
        <v/>
      </c>
      <c r="W1261" s="11" t="str">
        <f>IF(OR(履歴データ!$A$1261="",履歴データ!$A$1260=""),"",-40000*N1261)</f>
        <v/>
      </c>
      <c r="X1261" s="11" t="str">
        <f>IF(OR(履歴データ!$A$1261="",履歴データ!$A$1260=""),"",120*1000000*(-Q1261/H1260))</f>
        <v/>
      </c>
      <c r="Y1261" s="11" t="str">
        <f>IF(OR(履歴データ!$A$1261="",履歴データ!$A$1260=""),"",40000*(-S1261)+(-506.3)*R1261*1000)</f>
        <v/>
      </c>
      <c r="Z1261" s="11" t="str">
        <f>IF(OR(履歴データ!$A$1261="",履歴データ!$A$1260=""),"",-40000*O1261)</f>
        <v/>
      </c>
      <c r="AA1261" s="11" t="str">
        <f>IF(OR(履歴データ!$A$1261="",履歴データ!$A$1260=""),"",-40000*P1261)</f>
        <v/>
      </c>
      <c r="AB1261" s="11" t="str">
        <f>IF(履歴データ!$A$1261="","",123.3)</f>
        <v/>
      </c>
      <c r="AC1261" t="str">
        <f>IF(履歴データ!$A$1261="","",SUM(T1261:AA1261))</f>
        <v/>
      </c>
      <c r="AD1261" s="29" t="str">
        <f>IF(履歴データ!$A$1261="","",AC1261/1000000)</f>
        <v/>
      </c>
      <c r="AE1261" s="29">
        <f>IF(履歴データ!$A$1261="",AE1260,AE1260+AC1261/1000000)</f>
        <v>70.844544225831427</v>
      </c>
      <c r="AF1261" s="12" t="str">
        <f>IF(OR(履歴データ!$A$1261="",AE1260=0),"",(AE1261-AE1260)/AE1260)</f>
        <v/>
      </c>
      <c r="AG1261" s="29">
        <f t="shared" si="49"/>
        <v>102.17217746631495</v>
      </c>
      <c r="AH1261" s="12" t="str">
        <f>IF(OR(履歴データ!$A$1261="",AG1261=0),"",AE1261/AG1261-1)</f>
        <v/>
      </c>
    </row>
    <row r="1262" spans="1:34">
      <c r="A1262" s="10" t="str">
        <f>IF(履歴データ!$A$1262="","",履歴データ!$A$1262)</f>
        <v/>
      </c>
      <c r="B1262" s="28" t="str">
        <f>IF(履歴データ!$A$1262="","",(履歴データ!$D$1262-(履歴データ!$B$1262+履歴データ!$F$1262)/2)*100)</f>
        <v/>
      </c>
      <c r="C1262" s="28" t="str">
        <f>IF(履歴データ!$A$1262="","",(履歴データ!$H$1262-(履歴データ!$G$1262+履歴データ!$J$1262)/2)*100)</f>
        <v/>
      </c>
      <c r="D1262" s="28" t="str">
        <f>IF(履歴データ!$A$1262="","",(履歴データ!$D$1262-履歴データ!$H$1262)*100)</f>
        <v/>
      </c>
      <c r="E1262" s="28" t="str">
        <f>IF(履歴データ!$A$1262="","",(履歴データ!$D$1262-履歴データ!$C$1262)*100)</f>
        <v/>
      </c>
      <c r="F1262" s="28" t="str">
        <f>IF(履歴データ!$A$1262="","",(履歴データ!$R$1262-履歴データ!$D$1262)*100)</f>
        <v/>
      </c>
      <c r="G1262" s="28" t="str">
        <f>IF(履歴データ!$A$1262="","",(履歴データ!$S$1262-履歴データ!$R$1262)*100)</f>
        <v/>
      </c>
      <c r="H1262" s="29" t="str">
        <f>IF(履歴データ!$A$1262="","",履歴データ!$O$1262)</f>
        <v/>
      </c>
      <c r="I1262" s="29" t="str">
        <f>IF(履歴データ!$A$1262="","",履歴データ!$Q$1262)</f>
        <v/>
      </c>
      <c r="J1262" s="29" t="str">
        <f>IF(履歴データ!$A$1262="","",履歴データ!$D$1262)</f>
        <v/>
      </c>
      <c r="K1262" s="28" t="str">
        <f>IF(OR(履歴データ!$A$1262="",履歴データ!$A$1261=""),"",B1262-B1261)</f>
        <v/>
      </c>
      <c r="L1262" s="28" t="str">
        <f>IF(OR(履歴データ!$A$1262="",履歴データ!$A$1261=""),"",C1262-C1261)</f>
        <v/>
      </c>
      <c r="M1262" s="28" t="str">
        <f>IF(OR(履歴データ!$A$1262="",履歴データ!$A$1261=""),"",D1262-D1261)</f>
        <v/>
      </c>
      <c r="N1262" s="28" t="str">
        <f>IF(OR(履歴データ!$A$1262="",履歴データ!$A$1261=""),"",E1262-E1261)</f>
        <v/>
      </c>
      <c r="O1262" s="28" t="str">
        <f>IF(OR(履歴データ!$A$1262="",履歴データ!$A$1261=""),"",F1262-F1261)</f>
        <v/>
      </c>
      <c r="P1262" s="28" t="str">
        <f>IF(OR(履歴データ!$A$1262="",履歴データ!$A$1261=""),"",G1262-G1261)</f>
        <v/>
      </c>
      <c r="Q1262" s="29" t="str">
        <f>IF(OR(履歴データ!$A$1262="",履歴データ!$A$1261=""),"",H1262-H1261)</f>
        <v/>
      </c>
      <c r="R1262" s="29" t="str">
        <f>IF(OR(履歴データ!$A$1262="",履歴データ!$A$1261=""),"",I1262-I1261)</f>
        <v/>
      </c>
      <c r="S1262" s="28" t="str">
        <f>IF(OR(履歴データ!$A$1262="",履歴データ!$A$1261=""),"",(J1262-J1261)*100)</f>
        <v/>
      </c>
      <c r="T1262" s="11" t="str">
        <f>IF(OR(履歴データ!$A$1262="",履歴データ!$A$1261=""),"",-80000*K1262)</f>
        <v/>
      </c>
      <c r="U1262" s="11" t="str">
        <f>IF(OR(履歴データ!$A$1262="",履歴データ!$A$1261=""),"",60000*L1262)</f>
        <v/>
      </c>
      <c r="V1262" s="11" t="str">
        <f>IF(OR(履歴データ!$A$1262="",履歴データ!$A$1261=""),"",-50000*M1262)</f>
        <v/>
      </c>
      <c r="W1262" s="11" t="str">
        <f>IF(OR(履歴データ!$A$1262="",履歴データ!$A$1261=""),"",-40000*N1262)</f>
        <v/>
      </c>
      <c r="X1262" s="11" t="str">
        <f>IF(OR(履歴データ!$A$1262="",履歴データ!$A$1261=""),"",120*1000000*(-Q1262/H1261))</f>
        <v/>
      </c>
      <c r="Y1262" s="11" t="str">
        <f>IF(OR(履歴データ!$A$1262="",履歴データ!$A$1261=""),"",40000*(-S1262)+(-506.3)*R1262*1000)</f>
        <v/>
      </c>
      <c r="Z1262" s="11" t="str">
        <f>IF(OR(履歴データ!$A$1262="",履歴データ!$A$1261=""),"",-40000*O1262)</f>
        <v/>
      </c>
      <c r="AA1262" s="11" t="str">
        <f>IF(OR(履歴データ!$A$1262="",履歴データ!$A$1261=""),"",-40000*P1262)</f>
        <v/>
      </c>
      <c r="AB1262" s="11" t="str">
        <f>IF(履歴データ!$A$1262="","",123.3)</f>
        <v/>
      </c>
      <c r="AC1262" t="str">
        <f>IF(履歴データ!$A$1262="","",SUM(T1262:AA1262))</f>
        <v/>
      </c>
      <c r="AD1262" s="29" t="str">
        <f>IF(履歴データ!$A$1262="","",AC1262/1000000)</f>
        <v/>
      </c>
      <c r="AE1262" s="29">
        <f>IF(履歴データ!$A$1262="",AE1261,AE1261+AC1262/1000000)</f>
        <v>70.844544225831427</v>
      </c>
      <c r="AF1262" s="12" t="str">
        <f>IF(OR(履歴データ!$A$1262="",AE1261=0),"",(AE1262-AE1261)/AE1261)</f>
        <v/>
      </c>
      <c r="AG1262" s="29">
        <f t="shared" si="49"/>
        <v>102.17217746631495</v>
      </c>
      <c r="AH1262" s="12" t="str">
        <f>IF(OR(履歴データ!$A$1262="",AG1262=0),"",AE1262/AG1262-1)</f>
        <v/>
      </c>
    </row>
    <row r="1263" spans="1:34">
      <c r="A1263" s="10" t="str">
        <f>IF(履歴データ!$A$1263="","",履歴データ!$A$1263)</f>
        <v/>
      </c>
      <c r="B1263" s="28" t="str">
        <f>IF(履歴データ!$A$1263="","",(履歴データ!$D$1263-(履歴データ!$B$1263+履歴データ!$F$1263)/2)*100)</f>
        <v/>
      </c>
      <c r="C1263" s="28" t="str">
        <f>IF(履歴データ!$A$1263="","",(履歴データ!$H$1263-(履歴データ!$G$1263+履歴データ!$J$1263)/2)*100)</f>
        <v/>
      </c>
      <c r="D1263" s="28" t="str">
        <f>IF(履歴データ!$A$1263="","",(履歴データ!$D$1263-履歴データ!$H$1263)*100)</f>
        <v/>
      </c>
      <c r="E1263" s="28" t="str">
        <f>IF(履歴データ!$A$1263="","",(履歴データ!$D$1263-履歴データ!$C$1263)*100)</f>
        <v/>
      </c>
      <c r="F1263" s="28" t="str">
        <f>IF(履歴データ!$A$1263="","",(履歴データ!$R$1263-履歴データ!$D$1263)*100)</f>
        <v/>
      </c>
      <c r="G1263" s="28" t="str">
        <f>IF(履歴データ!$A$1263="","",(履歴データ!$S$1263-履歴データ!$R$1263)*100)</f>
        <v/>
      </c>
      <c r="H1263" s="29" t="str">
        <f>IF(履歴データ!$A$1263="","",履歴データ!$O$1263)</f>
        <v/>
      </c>
      <c r="I1263" s="29" t="str">
        <f>IF(履歴データ!$A$1263="","",履歴データ!$Q$1263)</f>
        <v/>
      </c>
      <c r="J1263" s="29" t="str">
        <f>IF(履歴データ!$A$1263="","",履歴データ!$D$1263)</f>
        <v/>
      </c>
      <c r="K1263" s="28" t="str">
        <f>IF(OR(履歴データ!$A$1263="",履歴データ!$A$1262=""),"",B1263-B1262)</f>
        <v/>
      </c>
      <c r="L1263" s="28" t="str">
        <f>IF(OR(履歴データ!$A$1263="",履歴データ!$A$1262=""),"",C1263-C1262)</f>
        <v/>
      </c>
      <c r="M1263" s="28" t="str">
        <f>IF(OR(履歴データ!$A$1263="",履歴データ!$A$1262=""),"",D1263-D1262)</f>
        <v/>
      </c>
      <c r="N1263" s="28" t="str">
        <f>IF(OR(履歴データ!$A$1263="",履歴データ!$A$1262=""),"",E1263-E1262)</f>
        <v/>
      </c>
      <c r="O1263" s="28" t="str">
        <f>IF(OR(履歴データ!$A$1263="",履歴データ!$A$1262=""),"",F1263-F1262)</f>
        <v/>
      </c>
      <c r="P1263" s="28" t="str">
        <f>IF(OR(履歴データ!$A$1263="",履歴データ!$A$1262=""),"",G1263-G1262)</f>
        <v/>
      </c>
      <c r="Q1263" s="29" t="str">
        <f>IF(OR(履歴データ!$A$1263="",履歴データ!$A$1262=""),"",H1263-H1262)</f>
        <v/>
      </c>
      <c r="R1263" s="29" t="str">
        <f>IF(OR(履歴データ!$A$1263="",履歴データ!$A$1262=""),"",I1263-I1262)</f>
        <v/>
      </c>
      <c r="S1263" s="28" t="str">
        <f>IF(OR(履歴データ!$A$1263="",履歴データ!$A$1262=""),"",(J1263-J1262)*100)</f>
        <v/>
      </c>
      <c r="T1263" s="11" t="str">
        <f>IF(OR(履歴データ!$A$1263="",履歴データ!$A$1262=""),"",-80000*K1263)</f>
        <v/>
      </c>
      <c r="U1263" s="11" t="str">
        <f>IF(OR(履歴データ!$A$1263="",履歴データ!$A$1262=""),"",60000*L1263)</f>
        <v/>
      </c>
      <c r="V1263" s="11" t="str">
        <f>IF(OR(履歴データ!$A$1263="",履歴データ!$A$1262=""),"",-50000*M1263)</f>
        <v/>
      </c>
      <c r="W1263" s="11" t="str">
        <f>IF(OR(履歴データ!$A$1263="",履歴データ!$A$1262=""),"",-40000*N1263)</f>
        <v/>
      </c>
      <c r="X1263" s="11" t="str">
        <f>IF(OR(履歴データ!$A$1263="",履歴データ!$A$1262=""),"",120*1000000*(-Q1263/H1262))</f>
        <v/>
      </c>
      <c r="Y1263" s="11" t="str">
        <f>IF(OR(履歴データ!$A$1263="",履歴データ!$A$1262=""),"",40000*(-S1263)+(-506.3)*R1263*1000)</f>
        <v/>
      </c>
      <c r="Z1263" s="11" t="str">
        <f>IF(OR(履歴データ!$A$1263="",履歴データ!$A$1262=""),"",-40000*O1263)</f>
        <v/>
      </c>
      <c r="AA1263" s="11" t="str">
        <f>IF(OR(履歴データ!$A$1263="",履歴データ!$A$1262=""),"",-40000*P1263)</f>
        <v/>
      </c>
      <c r="AB1263" s="11" t="str">
        <f>IF(履歴データ!$A$1263="","",123.3)</f>
        <v/>
      </c>
      <c r="AC1263" t="str">
        <f>IF(履歴データ!$A$1263="","",SUM(T1263:AA1263))</f>
        <v/>
      </c>
      <c r="AD1263" s="29" t="str">
        <f>IF(履歴データ!$A$1263="","",AC1263/1000000)</f>
        <v/>
      </c>
      <c r="AE1263" s="29">
        <f>IF(履歴データ!$A$1263="",AE1262,AE1262+AC1263/1000000)</f>
        <v>70.844544225831427</v>
      </c>
      <c r="AF1263" s="12" t="str">
        <f>IF(OR(履歴データ!$A$1263="",AE1262=0),"",(AE1263-AE1262)/AE1262)</f>
        <v/>
      </c>
      <c r="AG1263" s="29">
        <f t="shared" si="49"/>
        <v>102.17217746631495</v>
      </c>
      <c r="AH1263" s="12" t="str">
        <f>IF(OR(履歴データ!$A$1263="",AG1263=0),"",AE1263/AG1263-1)</f>
        <v/>
      </c>
    </row>
    <row r="1264" spans="1:34">
      <c r="A1264" s="10" t="str">
        <f>IF(履歴データ!$A$1264="","",履歴データ!$A$1264)</f>
        <v/>
      </c>
      <c r="B1264" s="28" t="str">
        <f>IF(履歴データ!$A$1264="","",(履歴データ!$D$1264-(履歴データ!$B$1264+履歴データ!$F$1264)/2)*100)</f>
        <v/>
      </c>
      <c r="C1264" s="28" t="str">
        <f>IF(履歴データ!$A$1264="","",(履歴データ!$H$1264-(履歴データ!$G$1264+履歴データ!$J$1264)/2)*100)</f>
        <v/>
      </c>
      <c r="D1264" s="28" t="str">
        <f>IF(履歴データ!$A$1264="","",(履歴データ!$D$1264-履歴データ!$H$1264)*100)</f>
        <v/>
      </c>
      <c r="E1264" s="28" t="str">
        <f>IF(履歴データ!$A$1264="","",(履歴データ!$D$1264-履歴データ!$C$1264)*100)</f>
        <v/>
      </c>
      <c r="F1264" s="28" t="str">
        <f>IF(履歴データ!$A$1264="","",(履歴データ!$R$1264-履歴データ!$D$1264)*100)</f>
        <v/>
      </c>
      <c r="G1264" s="28" t="str">
        <f>IF(履歴データ!$A$1264="","",(履歴データ!$S$1264-履歴データ!$R$1264)*100)</f>
        <v/>
      </c>
      <c r="H1264" s="29" t="str">
        <f>IF(履歴データ!$A$1264="","",履歴データ!$O$1264)</f>
        <v/>
      </c>
      <c r="I1264" s="29" t="str">
        <f>IF(履歴データ!$A$1264="","",履歴データ!$Q$1264)</f>
        <v/>
      </c>
      <c r="J1264" s="29" t="str">
        <f>IF(履歴データ!$A$1264="","",履歴データ!$D$1264)</f>
        <v/>
      </c>
      <c r="K1264" s="28" t="str">
        <f>IF(OR(履歴データ!$A$1264="",履歴データ!$A$1263=""),"",B1264-B1263)</f>
        <v/>
      </c>
      <c r="L1264" s="28" t="str">
        <f>IF(OR(履歴データ!$A$1264="",履歴データ!$A$1263=""),"",C1264-C1263)</f>
        <v/>
      </c>
      <c r="M1264" s="28" t="str">
        <f>IF(OR(履歴データ!$A$1264="",履歴データ!$A$1263=""),"",D1264-D1263)</f>
        <v/>
      </c>
      <c r="N1264" s="28" t="str">
        <f>IF(OR(履歴データ!$A$1264="",履歴データ!$A$1263=""),"",E1264-E1263)</f>
        <v/>
      </c>
      <c r="O1264" s="28" t="str">
        <f>IF(OR(履歴データ!$A$1264="",履歴データ!$A$1263=""),"",F1264-F1263)</f>
        <v/>
      </c>
      <c r="P1264" s="28" t="str">
        <f>IF(OR(履歴データ!$A$1264="",履歴データ!$A$1263=""),"",G1264-G1263)</f>
        <v/>
      </c>
      <c r="Q1264" s="29" t="str">
        <f>IF(OR(履歴データ!$A$1264="",履歴データ!$A$1263=""),"",H1264-H1263)</f>
        <v/>
      </c>
      <c r="R1264" s="29" t="str">
        <f>IF(OR(履歴データ!$A$1264="",履歴データ!$A$1263=""),"",I1264-I1263)</f>
        <v/>
      </c>
      <c r="S1264" s="28" t="str">
        <f>IF(OR(履歴データ!$A$1264="",履歴データ!$A$1263=""),"",(J1264-J1263)*100)</f>
        <v/>
      </c>
      <c r="T1264" s="11" t="str">
        <f>IF(OR(履歴データ!$A$1264="",履歴データ!$A$1263=""),"",-80000*K1264)</f>
        <v/>
      </c>
      <c r="U1264" s="11" t="str">
        <f>IF(OR(履歴データ!$A$1264="",履歴データ!$A$1263=""),"",60000*L1264)</f>
        <v/>
      </c>
      <c r="V1264" s="11" t="str">
        <f>IF(OR(履歴データ!$A$1264="",履歴データ!$A$1263=""),"",-50000*M1264)</f>
        <v/>
      </c>
      <c r="W1264" s="11" t="str">
        <f>IF(OR(履歴データ!$A$1264="",履歴データ!$A$1263=""),"",-40000*N1264)</f>
        <v/>
      </c>
      <c r="X1264" s="11" t="str">
        <f>IF(OR(履歴データ!$A$1264="",履歴データ!$A$1263=""),"",120*1000000*(-Q1264/H1263))</f>
        <v/>
      </c>
      <c r="Y1264" s="11" t="str">
        <f>IF(OR(履歴データ!$A$1264="",履歴データ!$A$1263=""),"",40000*(-S1264)+(-506.3)*R1264*1000)</f>
        <v/>
      </c>
      <c r="Z1264" s="11" t="str">
        <f>IF(OR(履歴データ!$A$1264="",履歴データ!$A$1263=""),"",-40000*O1264)</f>
        <v/>
      </c>
      <c r="AA1264" s="11" t="str">
        <f>IF(OR(履歴データ!$A$1264="",履歴データ!$A$1263=""),"",-40000*P1264)</f>
        <v/>
      </c>
      <c r="AB1264" s="11" t="str">
        <f>IF(履歴データ!$A$1264="","",123.3)</f>
        <v/>
      </c>
      <c r="AC1264" t="str">
        <f>IF(履歴データ!$A$1264="","",SUM(T1264:AA1264))</f>
        <v/>
      </c>
      <c r="AD1264" s="29" t="str">
        <f>IF(履歴データ!$A$1264="","",AC1264/1000000)</f>
        <v/>
      </c>
      <c r="AE1264" s="29">
        <f>IF(履歴データ!$A$1264="",AE1263,AE1263+AC1264/1000000)</f>
        <v>70.844544225831427</v>
      </c>
      <c r="AF1264" s="12" t="str">
        <f>IF(OR(履歴データ!$A$1264="",AE1263=0),"",(AE1264-AE1263)/AE1263)</f>
        <v/>
      </c>
      <c r="AG1264" s="29">
        <f t="shared" si="49"/>
        <v>102.17217746631495</v>
      </c>
      <c r="AH1264" s="12" t="str">
        <f>IF(OR(履歴データ!$A$1264="",AG1264=0),"",AE1264/AG1264-1)</f>
        <v/>
      </c>
    </row>
    <row r="1265" spans="1:34">
      <c r="A1265" s="10" t="str">
        <f>IF(履歴データ!$A$1265="","",履歴データ!$A$1265)</f>
        <v/>
      </c>
      <c r="B1265" s="28" t="str">
        <f>IF(履歴データ!$A$1265="","",(履歴データ!$D$1265-(履歴データ!$B$1265+履歴データ!$F$1265)/2)*100)</f>
        <v/>
      </c>
      <c r="C1265" s="28" t="str">
        <f>IF(履歴データ!$A$1265="","",(履歴データ!$H$1265-(履歴データ!$G$1265+履歴データ!$J$1265)/2)*100)</f>
        <v/>
      </c>
      <c r="D1265" s="28" t="str">
        <f>IF(履歴データ!$A$1265="","",(履歴データ!$D$1265-履歴データ!$H$1265)*100)</f>
        <v/>
      </c>
      <c r="E1265" s="28" t="str">
        <f>IF(履歴データ!$A$1265="","",(履歴データ!$D$1265-履歴データ!$C$1265)*100)</f>
        <v/>
      </c>
      <c r="F1265" s="28" t="str">
        <f>IF(履歴データ!$A$1265="","",(履歴データ!$R$1265-履歴データ!$D$1265)*100)</f>
        <v/>
      </c>
      <c r="G1265" s="28" t="str">
        <f>IF(履歴データ!$A$1265="","",(履歴データ!$S$1265-履歴データ!$R$1265)*100)</f>
        <v/>
      </c>
      <c r="H1265" s="29" t="str">
        <f>IF(履歴データ!$A$1265="","",履歴データ!$O$1265)</f>
        <v/>
      </c>
      <c r="I1265" s="29" t="str">
        <f>IF(履歴データ!$A$1265="","",履歴データ!$Q$1265)</f>
        <v/>
      </c>
      <c r="J1265" s="29" t="str">
        <f>IF(履歴データ!$A$1265="","",履歴データ!$D$1265)</f>
        <v/>
      </c>
      <c r="K1265" s="28" t="str">
        <f>IF(OR(履歴データ!$A$1265="",履歴データ!$A$1264=""),"",B1265-B1264)</f>
        <v/>
      </c>
      <c r="L1265" s="28" t="str">
        <f>IF(OR(履歴データ!$A$1265="",履歴データ!$A$1264=""),"",C1265-C1264)</f>
        <v/>
      </c>
      <c r="M1265" s="28" t="str">
        <f>IF(OR(履歴データ!$A$1265="",履歴データ!$A$1264=""),"",D1265-D1264)</f>
        <v/>
      </c>
      <c r="N1265" s="28" t="str">
        <f>IF(OR(履歴データ!$A$1265="",履歴データ!$A$1264=""),"",E1265-E1264)</f>
        <v/>
      </c>
      <c r="O1265" s="28" t="str">
        <f>IF(OR(履歴データ!$A$1265="",履歴データ!$A$1264=""),"",F1265-F1264)</f>
        <v/>
      </c>
      <c r="P1265" s="28" t="str">
        <f>IF(OR(履歴データ!$A$1265="",履歴データ!$A$1264=""),"",G1265-G1264)</f>
        <v/>
      </c>
      <c r="Q1265" s="29" t="str">
        <f>IF(OR(履歴データ!$A$1265="",履歴データ!$A$1264=""),"",H1265-H1264)</f>
        <v/>
      </c>
      <c r="R1265" s="29" t="str">
        <f>IF(OR(履歴データ!$A$1265="",履歴データ!$A$1264=""),"",I1265-I1264)</f>
        <v/>
      </c>
      <c r="S1265" s="28" t="str">
        <f>IF(OR(履歴データ!$A$1265="",履歴データ!$A$1264=""),"",(J1265-J1264)*100)</f>
        <v/>
      </c>
      <c r="T1265" s="11" t="str">
        <f>IF(OR(履歴データ!$A$1265="",履歴データ!$A$1264=""),"",-80000*K1265)</f>
        <v/>
      </c>
      <c r="U1265" s="11" t="str">
        <f>IF(OR(履歴データ!$A$1265="",履歴データ!$A$1264=""),"",60000*L1265)</f>
        <v/>
      </c>
      <c r="V1265" s="11" t="str">
        <f>IF(OR(履歴データ!$A$1265="",履歴データ!$A$1264=""),"",-50000*M1265)</f>
        <v/>
      </c>
      <c r="W1265" s="11" t="str">
        <f>IF(OR(履歴データ!$A$1265="",履歴データ!$A$1264=""),"",-40000*N1265)</f>
        <v/>
      </c>
      <c r="X1265" s="11" t="str">
        <f>IF(OR(履歴データ!$A$1265="",履歴データ!$A$1264=""),"",120*1000000*(-Q1265/H1264))</f>
        <v/>
      </c>
      <c r="Y1265" s="11" t="str">
        <f>IF(OR(履歴データ!$A$1265="",履歴データ!$A$1264=""),"",40000*(-S1265)+(-506.3)*R1265*1000)</f>
        <v/>
      </c>
      <c r="Z1265" s="11" t="str">
        <f>IF(OR(履歴データ!$A$1265="",履歴データ!$A$1264=""),"",-40000*O1265)</f>
        <v/>
      </c>
      <c r="AA1265" s="11" t="str">
        <f>IF(OR(履歴データ!$A$1265="",履歴データ!$A$1264=""),"",-40000*P1265)</f>
        <v/>
      </c>
      <c r="AB1265" s="11" t="str">
        <f>IF(履歴データ!$A$1265="","",123.3)</f>
        <v/>
      </c>
      <c r="AC1265" t="str">
        <f>IF(履歴データ!$A$1265="","",SUM(T1265:AA1265))</f>
        <v/>
      </c>
      <c r="AD1265" s="29" t="str">
        <f>IF(履歴データ!$A$1265="","",AC1265/1000000)</f>
        <v/>
      </c>
      <c r="AE1265" s="29">
        <f>IF(履歴データ!$A$1265="",AE1264,AE1264+AC1265/1000000)</f>
        <v>70.844544225831427</v>
      </c>
      <c r="AF1265" s="12" t="str">
        <f>IF(OR(履歴データ!$A$1265="",AE1264=0),"",(AE1265-AE1264)/AE1264)</f>
        <v/>
      </c>
      <c r="AG1265" s="29">
        <f t="shared" si="49"/>
        <v>102.17217746631495</v>
      </c>
      <c r="AH1265" s="12" t="str">
        <f>IF(OR(履歴データ!$A$1265="",AG1265=0),"",AE1265/AG1265-1)</f>
        <v/>
      </c>
    </row>
    <row r="1266" spans="1:34">
      <c r="A1266" s="10" t="str">
        <f>IF(履歴データ!$A$1266="","",履歴データ!$A$1266)</f>
        <v/>
      </c>
      <c r="B1266" s="28" t="str">
        <f>IF(履歴データ!$A$1266="","",(履歴データ!$D$1266-(履歴データ!$B$1266+履歴データ!$F$1266)/2)*100)</f>
        <v/>
      </c>
      <c r="C1266" s="28" t="str">
        <f>IF(履歴データ!$A$1266="","",(履歴データ!$H$1266-(履歴データ!$G$1266+履歴データ!$J$1266)/2)*100)</f>
        <v/>
      </c>
      <c r="D1266" s="28" t="str">
        <f>IF(履歴データ!$A$1266="","",(履歴データ!$D$1266-履歴データ!$H$1266)*100)</f>
        <v/>
      </c>
      <c r="E1266" s="28" t="str">
        <f>IF(履歴データ!$A$1266="","",(履歴データ!$D$1266-履歴データ!$C$1266)*100)</f>
        <v/>
      </c>
      <c r="F1266" s="28" t="str">
        <f>IF(履歴データ!$A$1266="","",(履歴データ!$R$1266-履歴データ!$D$1266)*100)</f>
        <v/>
      </c>
      <c r="G1266" s="28" t="str">
        <f>IF(履歴データ!$A$1266="","",(履歴データ!$S$1266-履歴データ!$R$1266)*100)</f>
        <v/>
      </c>
      <c r="H1266" s="29" t="str">
        <f>IF(履歴データ!$A$1266="","",履歴データ!$O$1266)</f>
        <v/>
      </c>
      <c r="I1266" s="29" t="str">
        <f>IF(履歴データ!$A$1266="","",履歴データ!$Q$1266)</f>
        <v/>
      </c>
      <c r="J1266" s="29" t="str">
        <f>IF(履歴データ!$A$1266="","",履歴データ!$D$1266)</f>
        <v/>
      </c>
      <c r="K1266" s="28" t="str">
        <f>IF(OR(履歴データ!$A$1266="",履歴データ!$A$1265=""),"",B1266-B1265)</f>
        <v/>
      </c>
      <c r="L1266" s="28" t="str">
        <f>IF(OR(履歴データ!$A$1266="",履歴データ!$A$1265=""),"",C1266-C1265)</f>
        <v/>
      </c>
      <c r="M1266" s="28" t="str">
        <f>IF(OR(履歴データ!$A$1266="",履歴データ!$A$1265=""),"",D1266-D1265)</f>
        <v/>
      </c>
      <c r="N1266" s="28" t="str">
        <f>IF(OR(履歴データ!$A$1266="",履歴データ!$A$1265=""),"",E1266-E1265)</f>
        <v/>
      </c>
      <c r="O1266" s="28" t="str">
        <f>IF(OR(履歴データ!$A$1266="",履歴データ!$A$1265=""),"",F1266-F1265)</f>
        <v/>
      </c>
      <c r="P1266" s="28" t="str">
        <f>IF(OR(履歴データ!$A$1266="",履歴データ!$A$1265=""),"",G1266-G1265)</f>
        <v/>
      </c>
      <c r="Q1266" s="29" t="str">
        <f>IF(OR(履歴データ!$A$1266="",履歴データ!$A$1265=""),"",H1266-H1265)</f>
        <v/>
      </c>
      <c r="R1266" s="29" t="str">
        <f>IF(OR(履歴データ!$A$1266="",履歴データ!$A$1265=""),"",I1266-I1265)</f>
        <v/>
      </c>
      <c r="S1266" s="28" t="str">
        <f>IF(OR(履歴データ!$A$1266="",履歴データ!$A$1265=""),"",(J1266-J1265)*100)</f>
        <v/>
      </c>
      <c r="T1266" s="11" t="str">
        <f>IF(OR(履歴データ!$A$1266="",履歴データ!$A$1265=""),"",-80000*K1266)</f>
        <v/>
      </c>
      <c r="U1266" s="11" t="str">
        <f>IF(OR(履歴データ!$A$1266="",履歴データ!$A$1265=""),"",60000*L1266)</f>
        <v/>
      </c>
      <c r="V1266" s="11" t="str">
        <f>IF(OR(履歴データ!$A$1266="",履歴データ!$A$1265=""),"",-50000*M1266)</f>
        <v/>
      </c>
      <c r="W1266" s="11" t="str">
        <f>IF(OR(履歴データ!$A$1266="",履歴データ!$A$1265=""),"",-40000*N1266)</f>
        <v/>
      </c>
      <c r="X1266" s="11" t="str">
        <f>IF(OR(履歴データ!$A$1266="",履歴データ!$A$1265=""),"",120*1000000*(-Q1266/H1265))</f>
        <v/>
      </c>
      <c r="Y1266" s="11" t="str">
        <f>IF(OR(履歴データ!$A$1266="",履歴データ!$A$1265=""),"",40000*(-S1266)+(-506.3)*R1266*1000)</f>
        <v/>
      </c>
      <c r="Z1266" s="11" t="str">
        <f>IF(OR(履歴データ!$A$1266="",履歴データ!$A$1265=""),"",-40000*O1266)</f>
        <v/>
      </c>
      <c r="AA1266" s="11" t="str">
        <f>IF(OR(履歴データ!$A$1266="",履歴データ!$A$1265=""),"",-40000*P1266)</f>
        <v/>
      </c>
      <c r="AB1266" s="11" t="str">
        <f>IF(履歴データ!$A$1266="","",123.3)</f>
        <v/>
      </c>
      <c r="AC1266" t="str">
        <f>IF(履歴データ!$A$1266="","",SUM(T1266:AA1266))</f>
        <v/>
      </c>
      <c r="AD1266" s="29" t="str">
        <f>IF(履歴データ!$A$1266="","",AC1266/1000000)</f>
        <v/>
      </c>
      <c r="AE1266" s="29">
        <f>IF(履歴データ!$A$1266="",AE1265,AE1265+AC1266/1000000)</f>
        <v>70.844544225831427</v>
      </c>
      <c r="AF1266" s="12" t="str">
        <f>IF(OR(履歴データ!$A$1266="",AE1265=0),"",(AE1266-AE1265)/AE1265)</f>
        <v/>
      </c>
      <c r="AG1266" s="29">
        <f t="shared" si="49"/>
        <v>102.17217746631495</v>
      </c>
      <c r="AH1266" s="12" t="str">
        <f>IF(OR(履歴データ!$A$1266="",AG1266=0),"",AE1266/AG1266-1)</f>
        <v/>
      </c>
    </row>
    <row r="1267" spans="1:34">
      <c r="A1267" s="10" t="str">
        <f>IF(履歴データ!$A$1267="","",履歴データ!$A$1267)</f>
        <v/>
      </c>
      <c r="B1267" s="28" t="str">
        <f>IF(履歴データ!$A$1267="","",(履歴データ!$D$1267-(履歴データ!$B$1267+履歴データ!$F$1267)/2)*100)</f>
        <v/>
      </c>
      <c r="C1267" s="28" t="str">
        <f>IF(履歴データ!$A$1267="","",(履歴データ!$H$1267-(履歴データ!$G$1267+履歴データ!$J$1267)/2)*100)</f>
        <v/>
      </c>
      <c r="D1267" s="28" t="str">
        <f>IF(履歴データ!$A$1267="","",(履歴データ!$D$1267-履歴データ!$H$1267)*100)</f>
        <v/>
      </c>
      <c r="E1267" s="28" t="str">
        <f>IF(履歴データ!$A$1267="","",(履歴データ!$D$1267-履歴データ!$C$1267)*100)</f>
        <v/>
      </c>
      <c r="F1267" s="28" t="str">
        <f>IF(履歴データ!$A$1267="","",(履歴データ!$R$1267-履歴データ!$D$1267)*100)</f>
        <v/>
      </c>
      <c r="G1267" s="28" t="str">
        <f>IF(履歴データ!$A$1267="","",(履歴データ!$S$1267-履歴データ!$R$1267)*100)</f>
        <v/>
      </c>
      <c r="H1267" s="29" t="str">
        <f>IF(履歴データ!$A$1267="","",履歴データ!$O$1267)</f>
        <v/>
      </c>
      <c r="I1267" s="29" t="str">
        <f>IF(履歴データ!$A$1267="","",履歴データ!$Q$1267)</f>
        <v/>
      </c>
      <c r="J1267" s="29" t="str">
        <f>IF(履歴データ!$A$1267="","",履歴データ!$D$1267)</f>
        <v/>
      </c>
      <c r="K1267" s="28" t="str">
        <f>IF(OR(履歴データ!$A$1267="",履歴データ!$A$1266=""),"",B1267-B1266)</f>
        <v/>
      </c>
      <c r="L1267" s="28" t="str">
        <f>IF(OR(履歴データ!$A$1267="",履歴データ!$A$1266=""),"",C1267-C1266)</f>
        <v/>
      </c>
      <c r="M1267" s="28" t="str">
        <f>IF(OR(履歴データ!$A$1267="",履歴データ!$A$1266=""),"",D1267-D1266)</f>
        <v/>
      </c>
      <c r="N1267" s="28" t="str">
        <f>IF(OR(履歴データ!$A$1267="",履歴データ!$A$1266=""),"",E1267-E1266)</f>
        <v/>
      </c>
      <c r="O1267" s="28" t="str">
        <f>IF(OR(履歴データ!$A$1267="",履歴データ!$A$1266=""),"",F1267-F1266)</f>
        <v/>
      </c>
      <c r="P1267" s="28" t="str">
        <f>IF(OR(履歴データ!$A$1267="",履歴データ!$A$1266=""),"",G1267-G1266)</f>
        <v/>
      </c>
      <c r="Q1267" s="29" t="str">
        <f>IF(OR(履歴データ!$A$1267="",履歴データ!$A$1266=""),"",H1267-H1266)</f>
        <v/>
      </c>
      <c r="R1267" s="29" t="str">
        <f>IF(OR(履歴データ!$A$1267="",履歴データ!$A$1266=""),"",I1267-I1266)</f>
        <v/>
      </c>
      <c r="S1267" s="28" t="str">
        <f>IF(OR(履歴データ!$A$1267="",履歴データ!$A$1266=""),"",(J1267-J1266)*100)</f>
        <v/>
      </c>
      <c r="T1267" s="11" t="str">
        <f>IF(OR(履歴データ!$A$1267="",履歴データ!$A$1266=""),"",-80000*K1267)</f>
        <v/>
      </c>
      <c r="U1267" s="11" t="str">
        <f>IF(OR(履歴データ!$A$1267="",履歴データ!$A$1266=""),"",60000*L1267)</f>
        <v/>
      </c>
      <c r="V1267" s="11" t="str">
        <f>IF(OR(履歴データ!$A$1267="",履歴データ!$A$1266=""),"",-50000*M1267)</f>
        <v/>
      </c>
      <c r="W1267" s="11" t="str">
        <f>IF(OR(履歴データ!$A$1267="",履歴データ!$A$1266=""),"",-40000*N1267)</f>
        <v/>
      </c>
      <c r="X1267" s="11" t="str">
        <f>IF(OR(履歴データ!$A$1267="",履歴データ!$A$1266=""),"",120*1000000*(-Q1267/H1266))</f>
        <v/>
      </c>
      <c r="Y1267" s="11" t="str">
        <f>IF(OR(履歴データ!$A$1267="",履歴データ!$A$1266=""),"",40000*(-S1267)+(-506.3)*R1267*1000)</f>
        <v/>
      </c>
      <c r="Z1267" s="11" t="str">
        <f>IF(OR(履歴データ!$A$1267="",履歴データ!$A$1266=""),"",-40000*O1267)</f>
        <v/>
      </c>
      <c r="AA1267" s="11" t="str">
        <f>IF(OR(履歴データ!$A$1267="",履歴データ!$A$1266=""),"",-40000*P1267)</f>
        <v/>
      </c>
      <c r="AB1267" s="11" t="str">
        <f>IF(履歴データ!$A$1267="","",123.3)</f>
        <v/>
      </c>
      <c r="AC1267" t="str">
        <f>IF(履歴データ!$A$1267="","",SUM(T1267:AA1267))</f>
        <v/>
      </c>
      <c r="AD1267" s="29" t="str">
        <f>IF(履歴データ!$A$1267="","",AC1267/1000000)</f>
        <v/>
      </c>
      <c r="AE1267" s="29">
        <f>IF(履歴データ!$A$1267="",AE1266,AE1266+AC1267/1000000)</f>
        <v>70.844544225831427</v>
      </c>
      <c r="AF1267" s="12" t="str">
        <f>IF(OR(履歴データ!$A$1267="",AE1266=0),"",(AE1267-AE1266)/AE1266)</f>
        <v/>
      </c>
      <c r="AG1267" s="29">
        <f t="shared" si="49"/>
        <v>102.17217746631495</v>
      </c>
      <c r="AH1267" s="12" t="str">
        <f>IF(OR(履歴データ!$A$1267="",AG1267=0),"",AE1267/AG1267-1)</f>
        <v/>
      </c>
    </row>
    <row r="1268" spans="1:34">
      <c r="A1268" s="10" t="str">
        <f>IF(履歴データ!$A$1268="","",履歴データ!$A$1268)</f>
        <v/>
      </c>
      <c r="B1268" s="28" t="str">
        <f>IF(履歴データ!$A$1268="","",(履歴データ!$D$1268-(履歴データ!$B$1268+履歴データ!$F$1268)/2)*100)</f>
        <v/>
      </c>
      <c r="C1268" s="28" t="str">
        <f>IF(履歴データ!$A$1268="","",(履歴データ!$H$1268-(履歴データ!$G$1268+履歴データ!$J$1268)/2)*100)</f>
        <v/>
      </c>
      <c r="D1268" s="28" t="str">
        <f>IF(履歴データ!$A$1268="","",(履歴データ!$D$1268-履歴データ!$H$1268)*100)</f>
        <v/>
      </c>
      <c r="E1268" s="28" t="str">
        <f>IF(履歴データ!$A$1268="","",(履歴データ!$D$1268-履歴データ!$C$1268)*100)</f>
        <v/>
      </c>
      <c r="F1268" s="28" t="str">
        <f>IF(履歴データ!$A$1268="","",(履歴データ!$R$1268-履歴データ!$D$1268)*100)</f>
        <v/>
      </c>
      <c r="G1268" s="28" t="str">
        <f>IF(履歴データ!$A$1268="","",(履歴データ!$S$1268-履歴データ!$R$1268)*100)</f>
        <v/>
      </c>
      <c r="H1268" s="29" t="str">
        <f>IF(履歴データ!$A$1268="","",履歴データ!$O$1268)</f>
        <v/>
      </c>
      <c r="I1268" s="29" t="str">
        <f>IF(履歴データ!$A$1268="","",履歴データ!$Q$1268)</f>
        <v/>
      </c>
      <c r="J1268" s="29" t="str">
        <f>IF(履歴データ!$A$1268="","",履歴データ!$D$1268)</f>
        <v/>
      </c>
      <c r="K1268" s="28" t="str">
        <f>IF(OR(履歴データ!$A$1268="",履歴データ!$A$1267=""),"",B1268-B1267)</f>
        <v/>
      </c>
      <c r="L1268" s="28" t="str">
        <f>IF(OR(履歴データ!$A$1268="",履歴データ!$A$1267=""),"",C1268-C1267)</f>
        <v/>
      </c>
      <c r="M1268" s="28" t="str">
        <f>IF(OR(履歴データ!$A$1268="",履歴データ!$A$1267=""),"",D1268-D1267)</f>
        <v/>
      </c>
      <c r="N1268" s="28" t="str">
        <f>IF(OR(履歴データ!$A$1268="",履歴データ!$A$1267=""),"",E1268-E1267)</f>
        <v/>
      </c>
      <c r="O1268" s="28" t="str">
        <f>IF(OR(履歴データ!$A$1268="",履歴データ!$A$1267=""),"",F1268-F1267)</f>
        <v/>
      </c>
      <c r="P1268" s="28" t="str">
        <f>IF(OR(履歴データ!$A$1268="",履歴データ!$A$1267=""),"",G1268-G1267)</f>
        <v/>
      </c>
      <c r="Q1268" s="29" t="str">
        <f>IF(OR(履歴データ!$A$1268="",履歴データ!$A$1267=""),"",H1268-H1267)</f>
        <v/>
      </c>
      <c r="R1268" s="29" t="str">
        <f>IF(OR(履歴データ!$A$1268="",履歴データ!$A$1267=""),"",I1268-I1267)</f>
        <v/>
      </c>
      <c r="S1268" s="28" t="str">
        <f>IF(OR(履歴データ!$A$1268="",履歴データ!$A$1267=""),"",(J1268-J1267)*100)</f>
        <v/>
      </c>
      <c r="T1268" s="11" t="str">
        <f>IF(OR(履歴データ!$A$1268="",履歴データ!$A$1267=""),"",-80000*K1268)</f>
        <v/>
      </c>
      <c r="U1268" s="11" t="str">
        <f>IF(OR(履歴データ!$A$1268="",履歴データ!$A$1267=""),"",60000*L1268)</f>
        <v/>
      </c>
      <c r="V1268" s="11" t="str">
        <f>IF(OR(履歴データ!$A$1268="",履歴データ!$A$1267=""),"",-50000*M1268)</f>
        <v/>
      </c>
      <c r="W1268" s="11" t="str">
        <f>IF(OR(履歴データ!$A$1268="",履歴データ!$A$1267=""),"",-40000*N1268)</f>
        <v/>
      </c>
      <c r="X1268" s="11" t="str">
        <f>IF(OR(履歴データ!$A$1268="",履歴データ!$A$1267=""),"",120*1000000*(-Q1268/H1267))</f>
        <v/>
      </c>
      <c r="Y1268" s="11" t="str">
        <f>IF(OR(履歴データ!$A$1268="",履歴データ!$A$1267=""),"",40000*(-S1268)+(-506.3)*R1268*1000)</f>
        <v/>
      </c>
      <c r="Z1268" s="11" t="str">
        <f>IF(OR(履歴データ!$A$1268="",履歴データ!$A$1267=""),"",-40000*O1268)</f>
        <v/>
      </c>
      <c r="AA1268" s="11" t="str">
        <f>IF(OR(履歴データ!$A$1268="",履歴データ!$A$1267=""),"",-40000*P1268)</f>
        <v/>
      </c>
      <c r="AB1268" s="11" t="str">
        <f>IF(履歴データ!$A$1268="","",123.3)</f>
        <v/>
      </c>
      <c r="AC1268" t="str">
        <f>IF(履歴データ!$A$1268="","",SUM(T1268:AA1268))</f>
        <v/>
      </c>
      <c r="AD1268" s="29" t="str">
        <f>IF(履歴データ!$A$1268="","",AC1268/1000000)</f>
        <v/>
      </c>
      <c r="AE1268" s="29">
        <f>IF(履歴データ!$A$1268="",AE1267,AE1267+AC1268/1000000)</f>
        <v>70.844544225831427</v>
      </c>
      <c r="AF1268" s="12" t="str">
        <f>IF(OR(履歴データ!$A$1268="",AE1267=0),"",(AE1268-AE1267)/AE1267)</f>
        <v/>
      </c>
      <c r="AG1268" s="29">
        <f t="shared" si="49"/>
        <v>102.17217746631495</v>
      </c>
      <c r="AH1268" s="12" t="str">
        <f>IF(OR(履歴データ!$A$1268="",AG1268=0),"",AE1268/AG1268-1)</f>
        <v/>
      </c>
    </row>
    <row r="1269" spans="1:34">
      <c r="A1269" s="10" t="str">
        <f>IF(履歴データ!$A$1269="","",履歴データ!$A$1269)</f>
        <v/>
      </c>
      <c r="B1269" s="28" t="str">
        <f>IF(履歴データ!$A$1269="","",(履歴データ!$D$1269-(履歴データ!$B$1269+履歴データ!$F$1269)/2)*100)</f>
        <v/>
      </c>
      <c r="C1269" s="28" t="str">
        <f>IF(履歴データ!$A$1269="","",(履歴データ!$H$1269-(履歴データ!$G$1269+履歴データ!$J$1269)/2)*100)</f>
        <v/>
      </c>
      <c r="D1269" s="28" t="str">
        <f>IF(履歴データ!$A$1269="","",(履歴データ!$D$1269-履歴データ!$H$1269)*100)</f>
        <v/>
      </c>
      <c r="E1269" s="28" t="str">
        <f>IF(履歴データ!$A$1269="","",(履歴データ!$D$1269-履歴データ!$C$1269)*100)</f>
        <v/>
      </c>
      <c r="F1269" s="28" t="str">
        <f>IF(履歴データ!$A$1269="","",(履歴データ!$R$1269-履歴データ!$D$1269)*100)</f>
        <v/>
      </c>
      <c r="G1269" s="28" t="str">
        <f>IF(履歴データ!$A$1269="","",(履歴データ!$S$1269-履歴データ!$R$1269)*100)</f>
        <v/>
      </c>
      <c r="H1269" s="29" t="str">
        <f>IF(履歴データ!$A$1269="","",履歴データ!$O$1269)</f>
        <v/>
      </c>
      <c r="I1269" s="29" t="str">
        <f>IF(履歴データ!$A$1269="","",履歴データ!$Q$1269)</f>
        <v/>
      </c>
      <c r="J1269" s="29" t="str">
        <f>IF(履歴データ!$A$1269="","",履歴データ!$D$1269)</f>
        <v/>
      </c>
      <c r="K1269" s="28" t="str">
        <f>IF(OR(履歴データ!$A$1269="",履歴データ!$A$1268=""),"",B1269-B1268)</f>
        <v/>
      </c>
      <c r="L1269" s="28" t="str">
        <f>IF(OR(履歴データ!$A$1269="",履歴データ!$A$1268=""),"",C1269-C1268)</f>
        <v/>
      </c>
      <c r="M1269" s="28" t="str">
        <f>IF(OR(履歴データ!$A$1269="",履歴データ!$A$1268=""),"",D1269-D1268)</f>
        <v/>
      </c>
      <c r="N1269" s="28" t="str">
        <f>IF(OR(履歴データ!$A$1269="",履歴データ!$A$1268=""),"",E1269-E1268)</f>
        <v/>
      </c>
      <c r="O1269" s="28" t="str">
        <f>IF(OR(履歴データ!$A$1269="",履歴データ!$A$1268=""),"",F1269-F1268)</f>
        <v/>
      </c>
      <c r="P1269" s="28" t="str">
        <f>IF(OR(履歴データ!$A$1269="",履歴データ!$A$1268=""),"",G1269-G1268)</f>
        <v/>
      </c>
      <c r="Q1269" s="29" t="str">
        <f>IF(OR(履歴データ!$A$1269="",履歴データ!$A$1268=""),"",H1269-H1268)</f>
        <v/>
      </c>
      <c r="R1269" s="29" t="str">
        <f>IF(OR(履歴データ!$A$1269="",履歴データ!$A$1268=""),"",I1269-I1268)</f>
        <v/>
      </c>
      <c r="S1269" s="28" t="str">
        <f>IF(OR(履歴データ!$A$1269="",履歴データ!$A$1268=""),"",(J1269-J1268)*100)</f>
        <v/>
      </c>
      <c r="T1269" s="11" t="str">
        <f>IF(OR(履歴データ!$A$1269="",履歴データ!$A$1268=""),"",-80000*K1269)</f>
        <v/>
      </c>
      <c r="U1269" s="11" t="str">
        <f>IF(OR(履歴データ!$A$1269="",履歴データ!$A$1268=""),"",60000*L1269)</f>
        <v/>
      </c>
      <c r="V1269" s="11" t="str">
        <f>IF(OR(履歴データ!$A$1269="",履歴データ!$A$1268=""),"",-50000*M1269)</f>
        <v/>
      </c>
      <c r="W1269" s="11" t="str">
        <f>IF(OR(履歴データ!$A$1269="",履歴データ!$A$1268=""),"",-40000*N1269)</f>
        <v/>
      </c>
      <c r="X1269" s="11" t="str">
        <f>IF(OR(履歴データ!$A$1269="",履歴データ!$A$1268=""),"",120*1000000*(-Q1269/H1268))</f>
        <v/>
      </c>
      <c r="Y1269" s="11" t="str">
        <f>IF(OR(履歴データ!$A$1269="",履歴データ!$A$1268=""),"",40000*(-S1269)+(-506.3)*R1269*1000)</f>
        <v/>
      </c>
      <c r="Z1269" s="11" t="str">
        <f>IF(OR(履歴データ!$A$1269="",履歴データ!$A$1268=""),"",-40000*O1269)</f>
        <v/>
      </c>
      <c r="AA1269" s="11" t="str">
        <f>IF(OR(履歴データ!$A$1269="",履歴データ!$A$1268=""),"",-40000*P1269)</f>
        <v/>
      </c>
      <c r="AB1269" s="11" t="str">
        <f>IF(履歴データ!$A$1269="","",123.3)</f>
        <v/>
      </c>
      <c r="AC1269" t="str">
        <f>IF(履歴データ!$A$1269="","",SUM(T1269:AA1269))</f>
        <v/>
      </c>
      <c r="AD1269" s="29" t="str">
        <f>IF(履歴データ!$A$1269="","",AC1269/1000000)</f>
        <v/>
      </c>
      <c r="AE1269" s="29">
        <f>IF(履歴データ!$A$1269="",AE1268,AE1268+AC1269/1000000)</f>
        <v>70.844544225831427</v>
      </c>
      <c r="AF1269" s="12" t="str">
        <f>IF(OR(履歴データ!$A$1269="",AE1268=0),"",(AE1269-AE1268)/AE1268)</f>
        <v/>
      </c>
      <c r="AG1269" s="29">
        <f t="shared" si="49"/>
        <v>102.17217746631495</v>
      </c>
      <c r="AH1269" s="12" t="str">
        <f>IF(OR(履歴データ!$A$1269="",AG1269=0),"",AE1269/AG1269-1)</f>
        <v/>
      </c>
    </row>
    <row r="1270" spans="1:34">
      <c r="A1270" s="10" t="str">
        <f>IF(履歴データ!$A$1270="","",履歴データ!$A$1270)</f>
        <v/>
      </c>
      <c r="B1270" s="28" t="str">
        <f>IF(履歴データ!$A$1270="","",(履歴データ!$D$1270-(履歴データ!$B$1270+履歴データ!$F$1270)/2)*100)</f>
        <v/>
      </c>
      <c r="C1270" s="28" t="str">
        <f>IF(履歴データ!$A$1270="","",(履歴データ!$H$1270-(履歴データ!$G$1270+履歴データ!$J$1270)/2)*100)</f>
        <v/>
      </c>
      <c r="D1270" s="28" t="str">
        <f>IF(履歴データ!$A$1270="","",(履歴データ!$D$1270-履歴データ!$H$1270)*100)</f>
        <v/>
      </c>
      <c r="E1270" s="28" t="str">
        <f>IF(履歴データ!$A$1270="","",(履歴データ!$D$1270-履歴データ!$C$1270)*100)</f>
        <v/>
      </c>
      <c r="F1270" s="28" t="str">
        <f>IF(履歴データ!$A$1270="","",(履歴データ!$R$1270-履歴データ!$D$1270)*100)</f>
        <v/>
      </c>
      <c r="G1270" s="28" t="str">
        <f>IF(履歴データ!$A$1270="","",(履歴データ!$S$1270-履歴データ!$R$1270)*100)</f>
        <v/>
      </c>
      <c r="H1270" s="29" t="str">
        <f>IF(履歴データ!$A$1270="","",履歴データ!$O$1270)</f>
        <v/>
      </c>
      <c r="I1270" s="29" t="str">
        <f>IF(履歴データ!$A$1270="","",履歴データ!$Q$1270)</f>
        <v/>
      </c>
      <c r="J1270" s="29" t="str">
        <f>IF(履歴データ!$A$1270="","",履歴データ!$D$1270)</f>
        <v/>
      </c>
      <c r="K1270" s="28" t="str">
        <f>IF(OR(履歴データ!$A$1270="",履歴データ!$A$1269=""),"",B1270-B1269)</f>
        <v/>
      </c>
      <c r="L1270" s="28" t="str">
        <f>IF(OR(履歴データ!$A$1270="",履歴データ!$A$1269=""),"",C1270-C1269)</f>
        <v/>
      </c>
      <c r="M1270" s="28" t="str">
        <f>IF(OR(履歴データ!$A$1270="",履歴データ!$A$1269=""),"",D1270-D1269)</f>
        <v/>
      </c>
      <c r="N1270" s="28" t="str">
        <f>IF(OR(履歴データ!$A$1270="",履歴データ!$A$1269=""),"",E1270-E1269)</f>
        <v/>
      </c>
      <c r="O1270" s="28" t="str">
        <f>IF(OR(履歴データ!$A$1270="",履歴データ!$A$1269=""),"",F1270-F1269)</f>
        <v/>
      </c>
      <c r="P1270" s="28" t="str">
        <f>IF(OR(履歴データ!$A$1270="",履歴データ!$A$1269=""),"",G1270-G1269)</f>
        <v/>
      </c>
      <c r="Q1270" s="29" t="str">
        <f>IF(OR(履歴データ!$A$1270="",履歴データ!$A$1269=""),"",H1270-H1269)</f>
        <v/>
      </c>
      <c r="R1270" s="29" t="str">
        <f>IF(OR(履歴データ!$A$1270="",履歴データ!$A$1269=""),"",I1270-I1269)</f>
        <v/>
      </c>
      <c r="S1270" s="28" t="str">
        <f>IF(OR(履歴データ!$A$1270="",履歴データ!$A$1269=""),"",(J1270-J1269)*100)</f>
        <v/>
      </c>
      <c r="T1270" s="11" t="str">
        <f>IF(OR(履歴データ!$A$1270="",履歴データ!$A$1269=""),"",-80000*K1270)</f>
        <v/>
      </c>
      <c r="U1270" s="11" t="str">
        <f>IF(OR(履歴データ!$A$1270="",履歴データ!$A$1269=""),"",60000*L1270)</f>
        <v/>
      </c>
      <c r="V1270" s="11" t="str">
        <f>IF(OR(履歴データ!$A$1270="",履歴データ!$A$1269=""),"",-50000*M1270)</f>
        <v/>
      </c>
      <c r="W1270" s="11" t="str">
        <f>IF(OR(履歴データ!$A$1270="",履歴データ!$A$1269=""),"",-40000*N1270)</f>
        <v/>
      </c>
      <c r="X1270" s="11" t="str">
        <f>IF(OR(履歴データ!$A$1270="",履歴データ!$A$1269=""),"",120*1000000*(-Q1270/H1269))</f>
        <v/>
      </c>
      <c r="Y1270" s="11" t="str">
        <f>IF(OR(履歴データ!$A$1270="",履歴データ!$A$1269=""),"",40000*(-S1270)+(-506.3)*R1270*1000)</f>
        <v/>
      </c>
      <c r="Z1270" s="11" t="str">
        <f>IF(OR(履歴データ!$A$1270="",履歴データ!$A$1269=""),"",-40000*O1270)</f>
        <v/>
      </c>
      <c r="AA1270" s="11" t="str">
        <f>IF(OR(履歴データ!$A$1270="",履歴データ!$A$1269=""),"",-40000*P1270)</f>
        <v/>
      </c>
      <c r="AB1270" s="11" t="str">
        <f>IF(履歴データ!$A$1270="","",123.3)</f>
        <v/>
      </c>
      <c r="AC1270" t="str">
        <f>IF(履歴データ!$A$1270="","",SUM(T1270:AA1270))</f>
        <v/>
      </c>
      <c r="AD1270" s="29" t="str">
        <f>IF(履歴データ!$A$1270="","",AC1270/1000000)</f>
        <v/>
      </c>
      <c r="AE1270" s="29">
        <f>IF(履歴データ!$A$1270="",AE1269,AE1269+AC1270/1000000)</f>
        <v>70.844544225831427</v>
      </c>
      <c r="AF1270" s="12" t="str">
        <f>IF(OR(履歴データ!$A$1270="",AE1269=0),"",(AE1270-AE1269)/AE1269)</f>
        <v/>
      </c>
      <c r="AG1270" s="29">
        <f t="shared" si="49"/>
        <v>102.17217746631495</v>
      </c>
      <c r="AH1270" s="12" t="str">
        <f>IF(OR(履歴データ!$A$1270="",AG1270=0),"",AE1270/AG1270-1)</f>
        <v/>
      </c>
    </row>
    <row r="1271" spans="1:34">
      <c r="A1271" s="10" t="str">
        <f>IF(履歴データ!$A$1271="","",履歴データ!$A$1271)</f>
        <v/>
      </c>
      <c r="B1271" s="28" t="str">
        <f>IF(履歴データ!$A$1271="","",(履歴データ!$D$1271-(履歴データ!$B$1271+履歴データ!$F$1271)/2)*100)</f>
        <v/>
      </c>
      <c r="C1271" s="28" t="str">
        <f>IF(履歴データ!$A$1271="","",(履歴データ!$H$1271-(履歴データ!$G$1271+履歴データ!$J$1271)/2)*100)</f>
        <v/>
      </c>
      <c r="D1271" s="28" t="str">
        <f>IF(履歴データ!$A$1271="","",(履歴データ!$D$1271-履歴データ!$H$1271)*100)</f>
        <v/>
      </c>
      <c r="E1271" s="28" t="str">
        <f>IF(履歴データ!$A$1271="","",(履歴データ!$D$1271-履歴データ!$C$1271)*100)</f>
        <v/>
      </c>
      <c r="F1271" s="28" t="str">
        <f>IF(履歴データ!$A$1271="","",(履歴データ!$R$1271-履歴データ!$D$1271)*100)</f>
        <v/>
      </c>
      <c r="G1271" s="28" t="str">
        <f>IF(履歴データ!$A$1271="","",(履歴データ!$S$1271-履歴データ!$R$1271)*100)</f>
        <v/>
      </c>
      <c r="H1271" s="29" t="str">
        <f>IF(履歴データ!$A$1271="","",履歴データ!$O$1271)</f>
        <v/>
      </c>
      <c r="I1271" s="29" t="str">
        <f>IF(履歴データ!$A$1271="","",履歴データ!$Q$1271)</f>
        <v/>
      </c>
      <c r="J1271" s="29" t="str">
        <f>IF(履歴データ!$A$1271="","",履歴データ!$D$1271)</f>
        <v/>
      </c>
      <c r="K1271" s="28" t="str">
        <f>IF(OR(履歴データ!$A$1271="",履歴データ!$A$1270=""),"",B1271-B1270)</f>
        <v/>
      </c>
      <c r="L1271" s="28" t="str">
        <f>IF(OR(履歴データ!$A$1271="",履歴データ!$A$1270=""),"",C1271-C1270)</f>
        <v/>
      </c>
      <c r="M1271" s="28" t="str">
        <f>IF(OR(履歴データ!$A$1271="",履歴データ!$A$1270=""),"",D1271-D1270)</f>
        <v/>
      </c>
      <c r="N1271" s="28" t="str">
        <f>IF(OR(履歴データ!$A$1271="",履歴データ!$A$1270=""),"",E1271-E1270)</f>
        <v/>
      </c>
      <c r="O1271" s="28" t="str">
        <f>IF(OR(履歴データ!$A$1271="",履歴データ!$A$1270=""),"",F1271-F1270)</f>
        <v/>
      </c>
      <c r="P1271" s="28" t="str">
        <f>IF(OR(履歴データ!$A$1271="",履歴データ!$A$1270=""),"",G1271-G1270)</f>
        <v/>
      </c>
      <c r="Q1271" s="29" t="str">
        <f>IF(OR(履歴データ!$A$1271="",履歴データ!$A$1270=""),"",H1271-H1270)</f>
        <v/>
      </c>
      <c r="R1271" s="29" t="str">
        <f>IF(OR(履歴データ!$A$1271="",履歴データ!$A$1270=""),"",I1271-I1270)</f>
        <v/>
      </c>
      <c r="S1271" s="28" t="str">
        <f>IF(OR(履歴データ!$A$1271="",履歴データ!$A$1270=""),"",(J1271-J1270)*100)</f>
        <v/>
      </c>
      <c r="T1271" s="11" t="str">
        <f>IF(OR(履歴データ!$A$1271="",履歴データ!$A$1270=""),"",-80000*K1271)</f>
        <v/>
      </c>
      <c r="U1271" s="11" t="str">
        <f>IF(OR(履歴データ!$A$1271="",履歴データ!$A$1270=""),"",60000*L1271)</f>
        <v/>
      </c>
      <c r="V1271" s="11" t="str">
        <f>IF(OR(履歴データ!$A$1271="",履歴データ!$A$1270=""),"",-50000*M1271)</f>
        <v/>
      </c>
      <c r="W1271" s="11" t="str">
        <f>IF(OR(履歴データ!$A$1271="",履歴データ!$A$1270=""),"",-40000*N1271)</f>
        <v/>
      </c>
      <c r="X1271" s="11" t="str">
        <f>IF(OR(履歴データ!$A$1271="",履歴データ!$A$1270=""),"",120*1000000*(-Q1271/H1270))</f>
        <v/>
      </c>
      <c r="Y1271" s="11" t="str">
        <f>IF(OR(履歴データ!$A$1271="",履歴データ!$A$1270=""),"",40000*(-S1271)+(-506.3)*R1271*1000)</f>
        <v/>
      </c>
      <c r="Z1271" s="11" t="str">
        <f>IF(OR(履歴データ!$A$1271="",履歴データ!$A$1270=""),"",-40000*O1271)</f>
        <v/>
      </c>
      <c r="AA1271" s="11" t="str">
        <f>IF(OR(履歴データ!$A$1271="",履歴データ!$A$1270=""),"",-40000*P1271)</f>
        <v/>
      </c>
      <c r="AB1271" s="11" t="str">
        <f>IF(履歴データ!$A$1271="","",123.3)</f>
        <v/>
      </c>
      <c r="AC1271" t="str">
        <f>IF(履歴データ!$A$1271="","",SUM(T1271:AA1271))</f>
        <v/>
      </c>
      <c r="AD1271" s="29" t="str">
        <f>IF(履歴データ!$A$1271="","",AC1271/1000000)</f>
        <v/>
      </c>
      <c r="AE1271" s="29">
        <f>IF(履歴データ!$A$1271="",AE1270,AE1270+AC1271/1000000)</f>
        <v>70.844544225831427</v>
      </c>
      <c r="AF1271" s="12" t="str">
        <f>IF(OR(履歴データ!$A$1271="",AE1270=0),"",(AE1271-AE1270)/AE1270)</f>
        <v/>
      </c>
      <c r="AG1271" s="29">
        <f t="shared" si="49"/>
        <v>102.17217746631495</v>
      </c>
      <c r="AH1271" s="12" t="str">
        <f>IF(OR(履歴データ!$A$1271="",AG1271=0),"",AE1271/AG1271-1)</f>
        <v/>
      </c>
    </row>
    <row r="1272" spans="1:34">
      <c r="A1272" s="10" t="str">
        <f>IF(履歴データ!$A$1272="","",履歴データ!$A$1272)</f>
        <v/>
      </c>
      <c r="B1272" s="28" t="str">
        <f>IF(履歴データ!$A$1272="","",(履歴データ!$D$1272-(履歴データ!$B$1272+履歴データ!$F$1272)/2)*100)</f>
        <v/>
      </c>
      <c r="C1272" s="28" t="str">
        <f>IF(履歴データ!$A$1272="","",(履歴データ!$H$1272-(履歴データ!$G$1272+履歴データ!$J$1272)/2)*100)</f>
        <v/>
      </c>
      <c r="D1272" s="28" t="str">
        <f>IF(履歴データ!$A$1272="","",(履歴データ!$D$1272-履歴データ!$H$1272)*100)</f>
        <v/>
      </c>
      <c r="E1272" s="28" t="str">
        <f>IF(履歴データ!$A$1272="","",(履歴データ!$D$1272-履歴データ!$C$1272)*100)</f>
        <v/>
      </c>
      <c r="F1272" s="28" t="str">
        <f>IF(履歴データ!$A$1272="","",(履歴データ!$R$1272-履歴データ!$D$1272)*100)</f>
        <v/>
      </c>
      <c r="G1272" s="28" t="str">
        <f>IF(履歴データ!$A$1272="","",(履歴データ!$S$1272-履歴データ!$R$1272)*100)</f>
        <v/>
      </c>
      <c r="H1272" s="29" t="str">
        <f>IF(履歴データ!$A$1272="","",履歴データ!$O$1272)</f>
        <v/>
      </c>
      <c r="I1272" s="29" t="str">
        <f>IF(履歴データ!$A$1272="","",履歴データ!$Q$1272)</f>
        <v/>
      </c>
      <c r="J1272" s="29" t="str">
        <f>IF(履歴データ!$A$1272="","",履歴データ!$D$1272)</f>
        <v/>
      </c>
      <c r="K1272" s="28" t="str">
        <f>IF(OR(履歴データ!$A$1272="",履歴データ!$A$1271=""),"",B1272-B1271)</f>
        <v/>
      </c>
      <c r="L1272" s="28" t="str">
        <f>IF(OR(履歴データ!$A$1272="",履歴データ!$A$1271=""),"",C1272-C1271)</f>
        <v/>
      </c>
      <c r="M1272" s="28" t="str">
        <f>IF(OR(履歴データ!$A$1272="",履歴データ!$A$1271=""),"",D1272-D1271)</f>
        <v/>
      </c>
      <c r="N1272" s="28" t="str">
        <f>IF(OR(履歴データ!$A$1272="",履歴データ!$A$1271=""),"",E1272-E1271)</f>
        <v/>
      </c>
      <c r="O1272" s="28" t="str">
        <f>IF(OR(履歴データ!$A$1272="",履歴データ!$A$1271=""),"",F1272-F1271)</f>
        <v/>
      </c>
      <c r="P1272" s="28" t="str">
        <f>IF(OR(履歴データ!$A$1272="",履歴データ!$A$1271=""),"",G1272-G1271)</f>
        <v/>
      </c>
      <c r="Q1272" s="29" t="str">
        <f>IF(OR(履歴データ!$A$1272="",履歴データ!$A$1271=""),"",H1272-H1271)</f>
        <v/>
      </c>
      <c r="R1272" s="29" t="str">
        <f>IF(OR(履歴データ!$A$1272="",履歴データ!$A$1271=""),"",I1272-I1271)</f>
        <v/>
      </c>
      <c r="S1272" s="28" t="str">
        <f>IF(OR(履歴データ!$A$1272="",履歴データ!$A$1271=""),"",(J1272-J1271)*100)</f>
        <v/>
      </c>
      <c r="T1272" s="11" t="str">
        <f>IF(OR(履歴データ!$A$1272="",履歴データ!$A$1271=""),"",-80000*K1272)</f>
        <v/>
      </c>
      <c r="U1272" s="11" t="str">
        <f>IF(OR(履歴データ!$A$1272="",履歴データ!$A$1271=""),"",60000*L1272)</f>
        <v/>
      </c>
      <c r="V1272" s="11" t="str">
        <f>IF(OR(履歴データ!$A$1272="",履歴データ!$A$1271=""),"",-50000*M1272)</f>
        <v/>
      </c>
      <c r="W1272" s="11" t="str">
        <f>IF(OR(履歴データ!$A$1272="",履歴データ!$A$1271=""),"",-40000*N1272)</f>
        <v/>
      </c>
      <c r="X1272" s="11" t="str">
        <f>IF(OR(履歴データ!$A$1272="",履歴データ!$A$1271=""),"",120*1000000*(-Q1272/H1271))</f>
        <v/>
      </c>
      <c r="Y1272" s="11" t="str">
        <f>IF(OR(履歴データ!$A$1272="",履歴データ!$A$1271=""),"",40000*(-S1272)+(-506.3)*R1272*1000)</f>
        <v/>
      </c>
      <c r="Z1272" s="11" t="str">
        <f>IF(OR(履歴データ!$A$1272="",履歴データ!$A$1271=""),"",-40000*O1272)</f>
        <v/>
      </c>
      <c r="AA1272" s="11" t="str">
        <f>IF(OR(履歴データ!$A$1272="",履歴データ!$A$1271=""),"",-40000*P1272)</f>
        <v/>
      </c>
      <c r="AB1272" s="11" t="str">
        <f>IF(履歴データ!$A$1272="","",123.3)</f>
        <v/>
      </c>
      <c r="AC1272" t="str">
        <f>IF(履歴データ!$A$1272="","",SUM(T1272:AA1272))</f>
        <v/>
      </c>
      <c r="AD1272" s="29" t="str">
        <f>IF(履歴データ!$A$1272="","",AC1272/1000000)</f>
        <v/>
      </c>
      <c r="AE1272" s="29">
        <f>IF(履歴データ!$A$1272="",AE1271,AE1271+AC1272/1000000)</f>
        <v>70.844544225831427</v>
      </c>
      <c r="AF1272" s="12" t="str">
        <f>IF(OR(履歴データ!$A$1272="",AE1271=0),"",(AE1272-AE1271)/AE1271)</f>
        <v/>
      </c>
      <c r="AG1272" s="29">
        <f t="shared" si="49"/>
        <v>102.17217746631495</v>
      </c>
      <c r="AH1272" s="12" t="str">
        <f>IF(OR(履歴データ!$A$1272="",AG1272=0),"",AE1272/AG1272-1)</f>
        <v/>
      </c>
    </row>
    <row r="1273" spans="1:34">
      <c r="A1273" s="10" t="str">
        <f>IF(履歴データ!$A$1273="","",履歴データ!$A$1273)</f>
        <v/>
      </c>
      <c r="B1273" s="28" t="str">
        <f>IF(履歴データ!$A$1273="","",(履歴データ!$D$1273-(履歴データ!$B$1273+履歴データ!$F$1273)/2)*100)</f>
        <v/>
      </c>
      <c r="C1273" s="28" t="str">
        <f>IF(履歴データ!$A$1273="","",(履歴データ!$H$1273-(履歴データ!$G$1273+履歴データ!$J$1273)/2)*100)</f>
        <v/>
      </c>
      <c r="D1273" s="28" t="str">
        <f>IF(履歴データ!$A$1273="","",(履歴データ!$D$1273-履歴データ!$H$1273)*100)</f>
        <v/>
      </c>
      <c r="E1273" s="28" t="str">
        <f>IF(履歴データ!$A$1273="","",(履歴データ!$D$1273-履歴データ!$C$1273)*100)</f>
        <v/>
      </c>
      <c r="F1273" s="28" t="str">
        <f>IF(履歴データ!$A$1273="","",(履歴データ!$R$1273-履歴データ!$D$1273)*100)</f>
        <v/>
      </c>
      <c r="G1273" s="28" t="str">
        <f>IF(履歴データ!$A$1273="","",(履歴データ!$S$1273-履歴データ!$R$1273)*100)</f>
        <v/>
      </c>
      <c r="H1273" s="29" t="str">
        <f>IF(履歴データ!$A$1273="","",履歴データ!$O$1273)</f>
        <v/>
      </c>
      <c r="I1273" s="29" t="str">
        <f>IF(履歴データ!$A$1273="","",履歴データ!$Q$1273)</f>
        <v/>
      </c>
      <c r="J1273" s="29" t="str">
        <f>IF(履歴データ!$A$1273="","",履歴データ!$D$1273)</f>
        <v/>
      </c>
      <c r="K1273" s="28" t="str">
        <f>IF(OR(履歴データ!$A$1273="",履歴データ!$A$1272=""),"",B1273-B1272)</f>
        <v/>
      </c>
      <c r="L1273" s="28" t="str">
        <f>IF(OR(履歴データ!$A$1273="",履歴データ!$A$1272=""),"",C1273-C1272)</f>
        <v/>
      </c>
      <c r="M1273" s="28" t="str">
        <f>IF(OR(履歴データ!$A$1273="",履歴データ!$A$1272=""),"",D1273-D1272)</f>
        <v/>
      </c>
      <c r="N1273" s="28" t="str">
        <f>IF(OR(履歴データ!$A$1273="",履歴データ!$A$1272=""),"",E1273-E1272)</f>
        <v/>
      </c>
      <c r="O1273" s="28" t="str">
        <f>IF(OR(履歴データ!$A$1273="",履歴データ!$A$1272=""),"",F1273-F1272)</f>
        <v/>
      </c>
      <c r="P1273" s="28" t="str">
        <f>IF(OR(履歴データ!$A$1273="",履歴データ!$A$1272=""),"",G1273-G1272)</f>
        <v/>
      </c>
      <c r="Q1273" s="29" t="str">
        <f>IF(OR(履歴データ!$A$1273="",履歴データ!$A$1272=""),"",H1273-H1272)</f>
        <v/>
      </c>
      <c r="R1273" s="29" t="str">
        <f>IF(OR(履歴データ!$A$1273="",履歴データ!$A$1272=""),"",I1273-I1272)</f>
        <v/>
      </c>
      <c r="S1273" s="28" t="str">
        <f>IF(OR(履歴データ!$A$1273="",履歴データ!$A$1272=""),"",(J1273-J1272)*100)</f>
        <v/>
      </c>
      <c r="T1273" s="11" t="str">
        <f>IF(OR(履歴データ!$A$1273="",履歴データ!$A$1272=""),"",-80000*K1273)</f>
        <v/>
      </c>
      <c r="U1273" s="11" t="str">
        <f>IF(OR(履歴データ!$A$1273="",履歴データ!$A$1272=""),"",60000*L1273)</f>
        <v/>
      </c>
      <c r="V1273" s="11" t="str">
        <f>IF(OR(履歴データ!$A$1273="",履歴データ!$A$1272=""),"",-50000*M1273)</f>
        <v/>
      </c>
      <c r="W1273" s="11" t="str">
        <f>IF(OR(履歴データ!$A$1273="",履歴データ!$A$1272=""),"",-40000*N1273)</f>
        <v/>
      </c>
      <c r="X1273" s="11" t="str">
        <f>IF(OR(履歴データ!$A$1273="",履歴データ!$A$1272=""),"",120*1000000*(-Q1273/H1272))</f>
        <v/>
      </c>
      <c r="Y1273" s="11" t="str">
        <f>IF(OR(履歴データ!$A$1273="",履歴データ!$A$1272=""),"",40000*(-S1273)+(-506.3)*R1273*1000)</f>
        <v/>
      </c>
      <c r="Z1273" s="11" t="str">
        <f>IF(OR(履歴データ!$A$1273="",履歴データ!$A$1272=""),"",-40000*O1273)</f>
        <v/>
      </c>
      <c r="AA1273" s="11" t="str">
        <f>IF(OR(履歴データ!$A$1273="",履歴データ!$A$1272=""),"",-40000*P1273)</f>
        <v/>
      </c>
      <c r="AB1273" s="11" t="str">
        <f>IF(履歴データ!$A$1273="","",123.3)</f>
        <v/>
      </c>
      <c r="AC1273" t="str">
        <f>IF(履歴データ!$A$1273="","",SUM(T1273:AA1273))</f>
        <v/>
      </c>
      <c r="AD1273" s="29" t="str">
        <f>IF(履歴データ!$A$1273="","",AC1273/1000000)</f>
        <v/>
      </c>
      <c r="AE1273" s="29">
        <f>IF(履歴データ!$A$1273="",AE1272,AE1272+AC1273/1000000)</f>
        <v>70.844544225831427</v>
      </c>
      <c r="AF1273" s="12" t="str">
        <f>IF(OR(履歴データ!$A$1273="",AE1272=0),"",(AE1273-AE1272)/AE1272)</f>
        <v/>
      </c>
      <c r="AG1273" s="29">
        <f t="shared" si="49"/>
        <v>102.17217746631495</v>
      </c>
      <c r="AH1273" s="12" t="str">
        <f>IF(OR(履歴データ!$A$1273="",AG1273=0),"",AE1273/AG1273-1)</f>
        <v/>
      </c>
    </row>
    <row r="1274" spans="1:34">
      <c r="A1274" s="10" t="str">
        <f>IF(履歴データ!$A$1274="","",履歴データ!$A$1274)</f>
        <v/>
      </c>
      <c r="B1274" s="28" t="str">
        <f>IF(履歴データ!$A$1274="","",(履歴データ!$D$1274-(履歴データ!$B$1274+履歴データ!$F$1274)/2)*100)</f>
        <v/>
      </c>
      <c r="C1274" s="28" t="str">
        <f>IF(履歴データ!$A$1274="","",(履歴データ!$H$1274-(履歴データ!$G$1274+履歴データ!$J$1274)/2)*100)</f>
        <v/>
      </c>
      <c r="D1274" s="28" t="str">
        <f>IF(履歴データ!$A$1274="","",(履歴データ!$D$1274-履歴データ!$H$1274)*100)</f>
        <v/>
      </c>
      <c r="E1274" s="28" t="str">
        <f>IF(履歴データ!$A$1274="","",(履歴データ!$D$1274-履歴データ!$C$1274)*100)</f>
        <v/>
      </c>
      <c r="F1274" s="28" t="str">
        <f>IF(履歴データ!$A$1274="","",(履歴データ!$R$1274-履歴データ!$D$1274)*100)</f>
        <v/>
      </c>
      <c r="G1274" s="28" t="str">
        <f>IF(履歴データ!$A$1274="","",(履歴データ!$S$1274-履歴データ!$R$1274)*100)</f>
        <v/>
      </c>
      <c r="H1274" s="29" t="str">
        <f>IF(履歴データ!$A$1274="","",履歴データ!$O$1274)</f>
        <v/>
      </c>
      <c r="I1274" s="29" t="str">
        <f>IF(履歴データ!$A$1274="","",履歴データ!$Q$1274)</f>
        <v/>
      </c>
      <c r="J1274" s="29" t="str">
        <f>IF(履歴データ!$A$1274="","",履歴データ!$D$1274)</f>
        <v/>
      </c>
      <c r="K1274" s="28" t="str">
        <f>IF(OR(履歴データ!$A$1274="",履歴データ!$A$1273=""),"",B1274-B1273)</f>
        <v/>
      </c>
      <c r="L1274" s="28" t="str">
        <f>IF(OR(履歴データ!$A$1274="",履歴データ!$A$1273=""),"",C1274-C1273)</f>
        <v/>
      </c>
      <c r="M1274" s="28" t="str">
        <f>IF(OR(履歴データ!$A$1274="",履歴データ!$A$1273=""),"",D1274-D1273)</f>
        <v/>
      </c>
      <c r="N1274" s="28" t="str">
        <f>IF(OR(履歴データ!$A$1274="",履歴データ!$A$1273=""),"",E1274-E1273)</f>
        <v/>
      </c>
      <c r="O1274" s="28" t="str">
        <f>IF(OR(履歴データ!$A$1274="",履歴データ!$A$1273=""),"",F1274-F1273)</f>
        <v/>
      </c>
      <c r="P1274" s="28" t="str">
        <f>IF(OR(履歴データ!$A$1274="",履歴データ!$A$1273=""),"",G1274-G1273)</f>
        <v/>
      </c>
      <c r="Q1274" s="29" t="str">
        <f>IF(OR(履歴データ!$A$1274="",履歴データ!$A$1273=""),"",H1274-H1273)</f>
        <v/>
      </c>
      <c r="R1274" s="29" t="str">
        <f>IF(OR(履歴データ!$A$1274="",履歴データ!$A$1273=""),"",I1274-I1273)</f>
        <v/>
      </c>
      <c r="S1274" s="28" t="str">
        <f>IF(OR(履歴データ!$A$1274="",履歴データ!$A$1273=""),"",(J1274-J1273)*100)</f>
        <v/>
      </c>
      <c r="T1274" s="11" t="str">
        <f>IF(OR(履歴データ!$A$1274="",履歴データ!$A$1273=""),"",-80000*K1274)</f>
        <v/>
      </c>
      <c r="U1274" s="11" t="str">
        <f>IF(OR(履歴データ!$A$1274="",履歴データ!$A$1273=""),"",60000*L1274)</f>
        <v/>
      </c>
      <c r="V1274" s="11" t="str">
        <f>IF(OR(履歴データ!$A$1274="",履歴データ!$A$1273=""),"",-50000*M1274)</f>
        <v/>
      </c>
      <c r="W1274" s="11" t="str">
        <f>IF(OR(履歴データ!$A$1274="",履歴データ!$A$1273=""),"",-40000*N1274)</f>
        <v/>
      </c>
      <c r="X1274" s="11" t="str">
        <f>IF(OR(履歴データ!$A$1274="",履歴データ!$A$1273=""),"",120*1000000*(-Q1274/H1273))</f>
        <v/>
      </c>
      <c r="Y1274" s="11" t="str">
        <f>IF(OR(履歴データ!$A$1274="",履歴データ!$A$1273=""),"",40000*(-S1274)+(-506.3)*R1274*1000)</f>
        <v/>
      </c>
      <c r="Z1274" s="11" t="str">
        <f>IF(OR(履歴データ!$A$1274="",履歴データ!$A$1273=""),"",-40000*O1274)</f>
        <v/>
      </c>
      <c r="AA1274" s="11" t="str">
        <f>IF(OR(履歴データ!$A$1274="",履歴データ!$A$1273=""),"",-40000*P1274)</f>
        <v/>
      </c>
      <c r="AB1274" s="11" t="str">
        <f>IF(履歴データ!$A$1274="","",123.3)</f>
        <v/>
      </c>
      <c r="AC1274" t="str">
        <f>IF(履歴データ!$A$1274="","",SUM(T1274:AA1274))</f>
        <v/>
      </c>
      <c r="AD1274" s="29" t="str">
        <f>IF(履歴データ!$A$1274="","",AC1274/1000000)</f>
        <v/>
      </c>
      <c r="AE1274" s="29">
        <f>IF(履歴データ!$A$1274="",AE1273,AE1273+AC1274/1000000)</f>
        <v>70.844544225831427</v>
      </c>
      <c r="AF1274" s="12" t="str">
        <f>IF(OR(履歴データ!$A$1274="",AE1273=0),"",(AE1274-AE1273)/AE1273)</f>
        <v/>
      </c>
      <c r="AG1274" s="29">
        <f t="shared" si="49"/>
        <v>102.17217746631495</v>
      </c>
      <c r="AH1274" s="12" t="str">
        <f>IF(OR(履歴データ!$A$1274="",AG1274=0),"",AE1274/AG1274-1)</f>
        <v/>
      </c>
    </row>
    <row r="1275" spans="1:34">
      <c r="A1275" s="10" t="str">
        <f>IF(履歴データ!$A$1275="","",履歴データ!$A$1275)</f>
        <v/>
      </c>
      <c r="B1275" s="28" t="str">
        <f>IF(履歴データ!$A$1275="","",(履歴データ!$D$1275-(履歴データ!$B$1275+履歴データ!$F$1275)/2)*100)</f>
        <v/>
      </c>
      <c r="C1275" s="28" t="str">
        <f>IF(履歴データ!$A$1275="","",(履歴データ!$H$1275-(履歴データ!$G$1275+履歴データ!$J$1275)/2)*100)</f>
        <v/>
      </c>
      <c r="D1275" s="28" t="str">
        <f>IF(履歴データ!$A$1275="","",(履歴データ!$D$1275-履歴データ!$H$1275)*100)</f>
        <v/>
      </c>
      <c r="E1275" s="28" t="str">
        <f>IF(履歴データ!$A$1275="","",(履歴データ!$D$1275-履歴データ!$C$1275)*100)</f>
        <v/>
      </c>
      <c r="F1275" s="28" t="str">
        <f>IF(履歴データ!$A$1275="","",(履歴データ!$R$1275-履歴データ!$D$1275)*100)</f>
        <v/>
      </c>
      <c r="G1275" s="28" t="str">
        <f>IF(履歴データ!$A$1275="","",(履歴データ!$S$1275-履歴データ!$R$1275)*100)</f>
        <v/>
      </c>
      <c r="H1275" s="29" t="str">
        <f>IF(履歴データ!$A$1275="","",履歴データ!$O$1275)</f>
        <v/>
      </c>
      <c r="I1275" s="29" t="str">
        <f>IF(履歴データ!$A$1275="","",履歴データ!$Q$1275)</f>
        <v/>
      </c>
      <c r="J1275" s="29" t="str">
        <f>IF(履歴データ!$A$1275="","",履歴データ!$D$1275)</f>
        <v/>
      </c>
      <c r="K1275" s="28" t="str">
        <f>IF(OR(履歴データ!$A$1275="",履歴データ!$A$1274=""),"",B1275-B1274)</f>
        <v/>
      </c>
      <c r="L1275" s="28" t="str">
        <f>IF(OR(履歴データ!$A$1275="",履歴データ!$A$1274=""),"",C1275-C1274)</f>
        <v/>
      </c>
      <c r="M1275" s="28" t="str">
        <f>IF(OR(履歴データ!$A$1275="",履歴データ!$A$1274=""),"",D1275-D1274)</f>
        <v/>
      </c>
      <c r="N1275" s="28" t="str">
        <f>IF(OR(履歴データ!$A$1275="",履歴データ!$A$1274=""),"",E1275-E1274)</f>
        <v/>
      </c>
      <c r="O1275" s="28" t="str">
        <f>IF(OR(履歴データ!$A$1275="",履歴データ!$A$1274=""),"",F1275-F1274)</f>
        <v/>
      </c>
      <c r="P1275" s="28" t="str">
        <f>IF(OR(履歴データ!$A$1275="",履歴データ!$A$1274=""),"",G1275-G1274)</f>
        <v/>
      </c>
      <c r="Q1275" s="29" t="str">
        <f>IF(OR(履歴データ!$A$1275="",履歴データ!$A$1274=""),"",H1275-H1274)</f>
        <v/>
      </c>
      <c r="R1275" s="29" t="str">
        <f>IF(OR(履歴データ!$A$1275="",履歴データ!$A$1274=""),"",I1275-I1274)</f>
        <v/>
      </c>
      <c r="S1275" s="28" t="str">
        <f>IF(OR(履歴データ!$A$1275="",履歴データ!$A$1274=""),"",(J1275-J1274)*100)</f>
        <v/>
      </c>
      <c r="T1275" s="11" t="str">
        <f>IF(OR(履歴データ!$A$1275="",履歴データ!$A$1274=""),"",-80000*K1275)</f>
        <v/>
      </c>
      <c r="U1275" s="11" t="str">
        <f>IF(OR(履歴データ!$A$1275="",履歴データ!$A$1274=""),"",60000*L1275)</f>
        <v/>
      </c>
      <c r="V1275" s="11" t="str">
        <f>IF(OR(履歴データ!$A$1275="",履歴データ!$A$1274=""),"",-50000*M1275)</f>
        <v/>
      </c>
      <c r="W1275" s="11" t="str">
        <f>IF(OR(履歴データ!$A$1275="",履歴データ!$A$1274=""),"",-40000*N1275)</f>
        <v/>
      </c>
      <c r="X1275" s="11" t="str">
        <f>IF(OR(履歴データ!$A$1275="",履歴データ!$A$1274=""),"",120*1000000*(-Q1275/H1274))</f>
        <v/>
      </c>
      <c r="Y1275" s="11" t="str">
        <f>IF(OR(履歴データ!$A$1275="",履歴データ!$A$1274=""),"",40000*(-S1275)+(-506.3)*R1275*1000)</f>
        <v/>
      </c>
      <c r="Z1275" s="11" t="str">
        <f>IF(OR(履歴データ!$A$1275="",履歴データ!$A$1274=""),"",-40000*O1275)</f>
        <v/>
      </c>
      <c r="AA1275" s="11" t="str">
        <f>IF(OR(履歴データ!$A$1275="",履歴データ!$A$1274=""),"",-40000*P1275)</f>
        <v/>
      </c>
      <c r="AB1275" s="11" t="str">
        <f>IF(履歴データ!$A$1275="","",123.3)</f>
        <v/>
      </c>
      <c r="AC1275" t="str">
        <f>IF(履歴データ!$A$1275="","",SUM(T1275:AA1275))</f>
        <v/>
      </c>
      <c r="AD1275" s="29" t="str">
        <f>IF(履歴データ!$A$1275="","",AC1275/1000000)</f>
        <v/>
      </c>
      <c r="AE1275" s="29">
        <f>IF(履歴データ!$A$1275="",AE1274,AE1274+AC1275/1000000)</f>
        <v>70.844544225831427</v>
      </c>
      <c r="AF1275" s="12" t="str">
        <f>IF(OR(履歴データ!$A$1275="",AE1274=0),"",(AE1275-AE1274)/AE1274)</f>
        <v/>
      </c>
      <c r="AG1275" s="29">
        <f t="shared" si="49"/>
        <v>102.17217746631495</v>
      </c>
      <c r="AH1275" s="12" t="str">
        <f>IF(OR(履歴データ!$A$1275="",AG1275=0),"",AE1275/AG1275-1)</f>
        <v/>
      </c>
    </row>
    <row r="1276" spans="1:34">
      <c r="A1276" s="10" t="str">
        <f>IF(履歴データ!$A$1276="","",履歴データ!$A$1276)</f>
        <v/>
      </c>
      <c r="B1276" s="28" t="str">
        <f>IF(履歴データ!$A$1276="","",(履歴データ!$D$1276-(履歴データ!$B$1276+履歴データ!$F$1276)/2)*100)</f>
        <v/>
      </c>
      <c r="C1276" s="28" t="str">
        <f>IF(履歴データ!$A$1276="","",(履歴データ!$H$1276-(履歴データ!$G$1276+履歴データ!$J$1276)/2)*100)</f>
        <v/>
      </c>
      <c r="D1276" s="28" t="str">
        <f>IF(履歴データ!$A$1276="","",(履歴データ!$D$1276-履歴データ!$H$1276)*100)</f>
        <v/>
      </c>
      <c r="E1276" s="28" t="str">
        <f>IF(履歴データ!$A$1276="","",(履歴データ!$D$1276-履歴データ!$C$1276)*100)</f>
        <v/>
      </c>
      <c r="F1276" s="28" t="str">
        <f>IF(履歴データ!$A$1276="","",(履歴データ!$R$1276-履歴データ!$D$1276)*100)</f>
        <v/>
      </c>
      <c r="G1276" s="28" t="str">
        <f>IF(履歴データ!$A$1276="","",(履歴データ!$S$1276-履歴データ!$R$1276)*100)</f>
        <v/>
      </c>
      <c r="H1276" s="29" t="str">
        <f>IF(履歴データ!$A$1276="","",履歴データ!$O$1276)</f>
        <v/>
      </c>
      <c r="I1276" s="29" t="str">
        <f>IF(履歴データ!$A$1276="","",履歴データ!$Q$1276)</f>
        <v/>
      </c>
      <c r="J1276" s="29" t="str">
        <f>IF(履歴データ!$A$1276="","",履歴データ!$D$1276)</f>
        <v/>
      </c>
      <c r="K1276" s="28" t="str">
        <f>IF(OR(履歴データ!$A$1276="",履歴データ!$A$1275=""),"",B1276-B1275)</f>
        <v/>
      </c>
      <c r="L1276" s="28" t="str">
        <f>IF(OR(履歴データ!$A$1276="",履歴データ!$A$1275=""),"",C1276-C1275)</f>
        <v/>
      </c>
      <c r="M1276" s="28" t="str">
        <f>IF(OR(履歴データ!$A$1276="",履歴データ!$A$1275=""),"",D1276-D1275)</f>
        <v/>
      </c>
      <c r="N1276" s="28" t="str">
        <f>IF(OR(履歴データ!$A$1276="",履歴データ!$A$1275=""),"",E1276-E1275)</f>
        <v/>
      </c>
      <c r="O1276" s="28" t="str">
        <f>IF(OR(履歴データ!$A$1276="",履歴データ!$A$1275=""),"",F1276-F1275)</f>
        <v/>
      </c>
      <c r="P1276" s="28" t="str">
        <f>IF(OR(履歴データ!$A$1276="",履歴データ!$A$1275=""),"",G1276-G1275)</f>
        <v/>
      </c>
      <c r="Q1276" s="29" t="str">
        <f>IF(OR(履歴データ!$A$1276="",履歴データ!$A$1275=""),"",H1276-H1275)</f>
        <v/>
      </c>
      <c r="R1276" s="29" t="str">
        <f>IF(OR(履歴データ!$A$1276="",履歴データ!$A$1275=""),"",I1276-I1275)</f>
        <v/>
      </c>
      <c r="S1276" s="28" t="str">
        <f>IF(OR(履歴データ!$A$1276="",履歴データ!$A$1275=""),"",(J1276-J1275)*100)</f>
        <v/>
      </c>
      <c r="T1276" s="11" t="str">
        <f>IF(OR(履歴データ!$A$1276="",履歴データ!$A$1275=""),"",-80000*K1276)</f>
        <v/>
      </c>
      <c r="U1276" s="11" t="str">
        <f>IF(OR(履歴データ!$A$1276="",履歴データ!$A$1275=""),"",60000*L1276)</f>
        <v/>
      </c>
      <c r="V1276" s="11" t="str">
        <f>IF(OR(履歴データ!$A$1276="",履歴データ!$A$1275=""),"",-50000*M1276)</f>
        <v/>
      </c>
      <c r="W1276" s="11" t="str">
        <f>IF(OR(履歴データ!$A$1276="",履歴データ!$A$1275=""),"",-40000*N1276)</f>
        <v/>
      </c>
      <c r="X1276" s="11" t="str">
        <f>IF(OR(履歴データ!$A$1276="",履歴データ!$A$1275=""),"",120*1000000*(-Q1276/H1275))</f>
        <v/>
      </c>
      <c r="Y1276" s="11" t="str">
        <f>IF(OR(履歴データ!$A$1276="",履歴データ!$A$1275=""),"",40000*(-S1276)+(-506.3)*R1276*1000)</f>
        <v/>
      </c>
      <c r="Z1276" s="11" t="str">
        <f>IF(OR(履歴データ!$A$1276="",履歴データ!$A$1275=""),"",-40000*O1276)</f>
        <v/>
      </c>
      <c r="AA1276" s="11" t="str">
        <f>IF(OR(履歴データ!$A$1276="",履歴データ!$A$1275=""),"",-40000*P1276)</f>
        <v/>
      </c>
      <c r="AB1276" s="11" t="str">
        <f>IF(履歴データ!$A$1276="","",123.3)</f>
        <v/>
      </c>
      <c r="AC1276" t="str">
        <f>IF(履歴データ!$A$1276="","",SUM(T1276:AA1276))</f>
        <v/>
      </c>
      <c r="AD1276" s="29" t="str">
        <f>IF(履歴データ!$A$1276="","",AC1276/1000000)</f>
        <v/>
      </c>
      <c r="AE1276" s="29">
        <f>IF(履歴データ!$A$1276="",AE1275,AE1275+AC1276/1000000)</f>
        <v>70.844544225831427</v>
      </c>
      <c r="AF1276" s="12" t="str">
        <f>IF(OR(履歴データ!$A$1276="",AE1275=0),"",(AE1276-AE1275)/AE1275)</f>
        <v/>
      </c>
      <c r="AG1276" s="29">
        <f t="shared" si="49"/>
        <v>102.17217746631495</v>
      </c>
      <c r="AH1276" s="12" t="str">
        <f>IF(OR(履歴データ!$A$1276="",AG1276=0),"",AE1276/AG1276-1)</f>
        <v/>
      </c>
    </row>
    <row r="1277" spans="1:34">
      <c r="A1277" s="10" t="str">
        <f>IF(履歴データ!$A$1277="","",履歴データ!$A$1277)</f>
        <v/>
      </c>
      <c r="B1277" s="28" t="str">
        <f>IF(履歴データ!$A$1277="","",(履歴データ!$D$1277-(履歴データ!$B$1277+履歴データ!$F$1277)/2)*100)</f>
        <v/>
      </c>
      <c r="C1277" s="28" t="str">
        <f>IF(履歴データ!$A$1277="","",(履歴データ!$H$1277-(履歴データ!$G$1277+履歴データ!$J$1277)/2)*100)</f>
        <v/>
      </c>
      <c r="D1277" s="28" t="str">
        <f>IF(履歴データ!$A$1277="","",(履歴データ!$D$1277-履歴データ!$H$1277)*100)</f>
        <v/>
      </c>
      <c r="E1277" s="28" t="str">
        <f>IF(履歴データ!$A$1277="","",(履歴データ!$D$1277-履歴データ!$C$1277)*100)</f>
        <v/>
      </c>
      <c r="F1277" s="28" t="str">
        <f>IF(履歴データ!$A$1277="","",(履歴データ!$R$1277-履歴データ!$D$1277)*100)</f>
        <v/>
      </c>
      <c r="G1277" s="28" t="str">
        <f>IF(履歴データ!$A$1277="","",(履歴データ!$S$1277-履歴データ!$R$1277)*100)</f>
        <v/>
      </c>
      <c r="H1277" s="29" t="str">
        <f>IF(履歴データ!$A$1277="","",履歴データ!$O$1277)</f>
        <v/>
      </c>
      <c r="I1277" s="29" t="str">
        <f>IF(履歴データ!$A$1277="","",履歴データ!$Q$1277)</f>
        <v/>
      </c>
      <c r="J1277" s="29" t="str">
        <f>IF(履歴データ!$A$1277="","",履歴データ!$D$1277)</f>
        <v/>
      </c>
      <c r="K1277" s="28" t="str">
        <f>IF(OR(履歴データ!$A$1277="",履歴データ!$A$1276=""),"",B1277-B1276)</f>
        <v/>
      </c>
      <c r="L1277" s="28" t="str">
        <f>IF(OR(履歴データ!$A$1277="",履歴データ!$A$1276=""),"",C1277-C1276)</f>
        <v/>
      </c>
      <c r="M1277" s="28" t="str">
        <f>IF(OR(履歴データ!$A$1277="",履歴データ!$A$1276=""),"",D1277-D1276)</f>
        <v/>
      </c>
      <c r="N1277" s="28" t="str">
        <f>IF(OR(履歴データ!$A$1277="",履歴データ!$A$1276=""),"",E1277-E1276)</f>
        <v/>
      </c>
      <c r="O1277" s="28" t="str">
        <f>IF(OR(履歴データ!$A$1277="",履歴データ!$A$1276=""),"",F1277-F1276)</f>
        <v/>
      </c>
      <c r="P1277" s="28" t="str">
        <f>IF(OR(履歴データ!$A$1277="",履歴データ!$A$1276=""),"",G1277-G1276)</f>
        <v/>
      </c>
      <c r="Q1277" s="29" t="str">
        <f>IF(OR(履歴データ!$A$1277="",履歴データ!$A$1276=""),"",H1277-H1276)</f>
        <v/>
      </c>
      <c r="R1277" s="29" t="str">
        <f>IF(OR(履歴データ!$A$1277="",履歴データ!$A$1276=""),"",I1277-I1276)</f>
        <v/>
      </c>
      <c r="S1277" s="28" t="str">
        <f>IF(OR(履歴データ!$A$1277="",履歴データ!$A$1276=""),"",(J1277-J1276)*100)</f>
        <v/>
      </c>
      <c r="T1277" s="11" t="str">
        <f>IF(OR(履歴データ!$A$1277="",履歴データ!$A$1276=""),"",-80000*K1277)</f>
        <v/>
      </c>
      <c r="U1277" s="11" t="str">
        <f>IF(OR(履歴データ!$A$1277="",履歴データ!$A$1276=""),"",60000*L1277)</f>
        <v/>
      </c>
      <c r="V1277" s="11" t="str">
        <f>IF(OR(履歴データ!$A$1277="",履歴データ!$A$1276=""),"",-50000*M1277)</f>
        <v/>
      </c>
      <c r="W1277" s="11" t="str">
        <f>IF(OR(履歴データ!$A$1277="",履歴データ!$A$1276=""),"",-40000*N1277)</f>
        <v/>
      </c>
      <c r="X1277" s="11" t="str">
        <f>IF(OR(履歴データ!$A$1277="",履歴データ!$A$1276=""),"",120*1000000*(-Q1277/H1276))</f>
        <v/>
      </c>
      <c r="Y1277" s="11" t="str">
        <f>IF(OR(履歴データ!$A$1277="",履歴データ!$A$1276=""),"",40000*(-S1277)+(-506.3)*R1277*1000)</f>
        <v/>
      </c>
      <c r="Z1277" s="11" t="str">
        <f>IF(OR(履歴データ!$A$1277="",履歴データ!$A$1276=""),"",-40000*O1277)</f>
        <v/>
      </c>
      <c r="AA1277" s="11" t="str">
        <f>IF(OR(履歴データ!$A$1277="",履歴データ!$A$1276=""),"",-40000*P1277)</f>
        <v/>
      </c>
      <c r="AB1277" s="11" t="str">
        <f>IF(履歴データ!$A$1277="","",123.3)</f>
        <v/>
      </c>
      <c r="AC1277" t="str">
        <f>IF(履歴データ!$A$1277="","",SUM(T1277:AA1277))</f>
        <v/>
      </c>
      <c r="AD1277" s="29" t="str">
        <f>IF(履歴データ!$A$1277="","",AC1277/1000000)</f>
        <v/>
      </c>
      <c r="AE1277" s="29">
        <f>IF(履歴データ!$A$1277="",AE1276,AE1276+AC1277/1000000)</f>
        <v>70.844544225831427</v>
      </c>
      <c r="AF1277" s="12" t="str">
        <f>IF(OR(履歴データ!$A$1277="",AE1276=0),"",(AE1277-AE1276)/AE1276)</f>
        <v/>
      </c>
      <c r="AG1277" s="29">
        <f t="shared" si="49"/>
        <v>102.17217746631495</v>
      </c>
      <c r="AH1277" s="12" t="str">
        <f>IF(OR(履歴データ!$A$1277="",AG1277=0),"",AE1277/AG1277-1)</f>
        <v/>
      </c>
    </row>
    <row r="1278" spans="1:34">
      <c r="A1278" s="10" t="str">
        <f>IF(履歴データ!$A$1278="","",履歴データ!$A$1278)</f>
        <v/>
      </c>
      <c r="B1278" s="28" t="str">
        <f>IF(履歴データ!$A$1278="","",(履歴データ!$D$1278-(履歴データ!$B$1278+履歴データ!$F$1278)/2)*100)</f>
        <v/>
      </c>
      <c r="C1278" s="28" t="str">
        <f>IF(履歴データ!$A$1278="","",(履歴データ!$H$1278-(履歴データ!$G$1278+履歴データ!$J$1278)/2)*100)</f>
        <v/>
      </c>
      <c r="D1278" s="28" t="str">
        <f>IF(履歴データ!$A$1278="","",(履歴データ!$D$1278-履歴データ!$H$1278)*100)</f>
        <v/>
      </c>
      <c r="E1278" s="28" t="str">
        <f>IF(履歴データ!$A$1278="","",(履歴データ!$D$1278-履歴データ!$C$1278)*100)</f>
        <v/>
      </c>
      <c r="F1278" s="28" t="str">
        <f>IF(履歴データ!$A$1278="","",(履歴データ!$R$1278-履歴データ!$D$1278)*100)</f>
        <v/>
      </c>
      <c r="G1278" s="28" t="str">
        <f>IF(履歴データ!$A$1278="","",(履歴データ!$S$1278-履歴データ!$R$1278)*100)</f>
        <v/>
      </c>
      <c r="H1278" s="29" t="str">
        <f>IF(履歴データ!$A$1278="","",履歴データ!$O$1278)</f>
        <v/>
      </c>
      <c r="I1278" s="29" t="str">
        <f>IF(履歴データ!$A$1278="","",履歴データ!$Q$1278)</f>
        <v/>
      </c>
      <c r="J1278" s="29" t="str">
        <f>IF(履歴データ!$A$1278="","",履歴データ!$D$1278)</f>
        <v/>
      </c>
      <c r="K1278" s="28" t="str">
        <f>IF(OR(履歴データ!$A$1278="",履歴データ!$A$1277=""),"",B1278-B1277)</f>
        <v/>
      </c>
      <c r="L1278" s="28" t="str">
        <f>IF(OR(履歴データ!$A$1278="",履歴データ!$A$1277=""),"",C1278-C1277)</f>
        <v/>
      </c>
      <c r="M1278" s="28" t="str">
        <f>IF(OR(履歴データ!$A$1278="",履歴データ!$A$1277=""),"",D1278-D1277)</f>
        <v/>
      </c>
      <c r="N1278" s="28" t="str">
        <f>IF(OR(履歴データ!$A$1278="",履歴データ!$A$1277=""),"",E1278-E1277)</f>
        <v/>
      </c>
      <c r="O1278" s="28" t="str">
        <f>IF(OR(履歴データ!$A$1278="",履歴データ!$A$1277=""),"",F1278-F1277)</f>
        <v/>
      </c>
      <c r="P1278" s="28" t="str">
        <f>IF(OR(履歴データ!$A$1278="",履歴データ!$A$1277=""),"",G1278-G1277)</f>
        <v/>
      </c>
      <c r="Q1278" s="29" t="str">
        <f>IF(OR(履歴データ!$A$1278="",履歴データ!$A$1277=""),"",H1278-H1277)</f>
        <v/>
      </c>
      <c r="R1278" s="29" t="str">
        <f>IF(OR(履歴データ!$A$1278="",履歴データ!$A$1277=""),"",I1278-I1277)</f>
        <v/>
      </c>
      <c r="S1278" s="28" t="str">
        <f>IF(OR(履歴データ!$A$1278="",履歴データ!$A$1277=""),"",(J1278-J1277)*100)</f>
        <v/>
      </c>
      <c r="T1278" s="11" t="str">
        <f>IF(OR(履歴データ!$A$1278="",履歴データ!$A$1277=""),"",-80000*K1278)</f>
        <v/>
      </c>
      <c r="U1278" s="11" t="str">
        <f>IF(OR(履歴データ!$A$1278="",履歴データ!$A$1277=""),"",60000*L1278)</f>
        <v/>
      </c>
      <c r="V1278" s="11" t="str">
        <f>IF(OR(履歴データ!$A$1278="",履歴データ!$A$1277=""),"",-50000*M1278)</f>
        <v/>
      </c>
      <c r="W1278" s="11" t="str">
        <f>IF(OR(履歴データ!$A$1278="",履歴データ!$A$1277=""),"",-40000*N1278)</f>
        <v/>
      </c>
      <c r="X1278" s="11" t="str">
        <f>IF(OR(履歴データ!$A$1278="",履歴データ!$A$1277=""),"",120*1000000*(-Q1278/H1277))</f>
        <v/>
      </c>
      <c r="Y1278" s="11" t="str">
        <f>IF(OR(履歴データ!$A$1278="",履歴データ!$A$1277=""),"",40000*(-S1278)+(-506.3)*R1278*1000)</f>
        <v/>
      </c>
      <c r="Z1278" s="11" t="str">
        <f>IF(OR(履歴データ!$A$1278="",履歴データ!$A$1277=""),"",-40000*O1278)</f>
        <v/>
      </c>
      <c r="AA1278" s="11" t="str">
        <f>IF(OR(履歴データ!$A$1278="",履歴データ!$A$1277=""),"",-40000*P1278)</f>
        <v/>
      </c>
      <c r="AB1278" s="11" t="str">
        <f>IF(履歴データ!$A$1278="","",123.3)</f>
        <v/>
      </c>
      <c r="AC1278" t="str">
        <f>IF(履歴データ!$A$1278="","",SUM(T1278:AA1278))</f>
        <v/>
      </c>
      <c r="AD1278" s="29" t="str">
        <f>IF(履歴データ!$A$1278="","",AC1278/1000000)</f>
        <v/>
      </c>
      <c r="AE1278" s="29">
        <f>IF(履歴データ!$A$1278="",AE1277,AE1277+AC1278/1000000)</f>
        <v>70.844544225831427</v>
      </c>
      <c r="AF1278" s="12" t="str">
        <f>IF(OR(履歴データ!$A$1278="",AE1277=0),"",(AE1278-AE1277)/AE1277)</f>
        <v/>
      </c>
      <c r="AG1278" s="29">
        <f t="shared" si="49"/>
        <v>102.17217746631495</v>
      </c>
      <c r="AH1278" s="12" t="str">
        <f>IF(OR(履歴データ!$A$1278="",AG1278=0),"",AE1278/AG1278-1)</f>
        <v/>
      </c>
    </row>
    <row r="1279" spans="1:34">
      <c r="A1279" s="10" t="str">
        <f>IF(履歴データ!$A$1279="","",履歴データ!$A$1279)</f>
        <v/>
      </c>
      <c r="B1279" s="28" t="str">
        <f>IF(履歴データ!$A$1279="","",(履歴データ!$D$1279-(履歴データ!$B$1279+履歴データ!$F$1279)/2)*100)</f>
        <v/>
      </c>
      <c r="C1279" s="28" t="str">
        <f>IF(履歴データ!$A$1279="","",(履歴データ!$H$1279-(履歴データ!$G$1279+履歴データ!$J$1279)/2)*100)</f>
        <v/>
      </c>
      <c r="D1279" s="28" t="str">
        <f>IF(履歴データ!$A$1279="","",(履歴データ!$D$1279-履歴データ!$H$1279)*100)</f>
        <v/>
      </c>
      <c r="E1279" s="28" t="str">
        <f>IF(履歴データ!$A$1279="","",(履歴データ!$D$1279-履歴データ!$C$1279)*100)</f>
        <v/>
      </c>
      <c r="F1279" s="28" t="str">
        <f>IF(履歴データ!$A$1279="","",(履歴データ!$R$1279-履歴データ!$D$1279)*100)</f>
        <v/>
      </c>
      <c r="G1279" s="28" t="str">
        <f>IF(履歴データ!$A$1279="","",(履歴データ!$S$1279-履歴データ!$R$1279)*100)</f>
        <v/>
      </c>
      <c r="H1279" s="29" t="str">
        <f>IF(履歴データ!$A$1279="","",履歴データ!$O$1279)</f>
        <v/>
      </c>
      <c r="I1279" s="29" t="str">
        <f>IF(履歴データ!$A$1279="","",履歴データ!$Q$1279)</f>
        <v/>
      </c>
      <c r="J1279" s="29" t="str">
        <f>IF(履歴データ!$A$1279="","",履歴データ!$D$1279)</f>
        <v/>
      </c>
      <c r="K1279" s="28" t="str">
        <f>IF(OR(履歴データ!$A$1279="",履歴データ!$A$1278=""),"",B1279-B1278)</f>
        <v/>
      </c>
      <c r="L1279" s="28" t="str">
        <f>IF(OR(履歴データ!$A$1279="",履歴データ!$A$1278=""),"",C1279-C1278)</f>
        <v/>
      </c>
      <c r="M1279" s="28" t="str">
        <f>IF(OR(履歴データ!$A$1279="",履歴データ!$A$1278=""),"",D1279-D1278)</f>
        <v/>
      </c>
      <c r="N1279" s="28" t="str">
        <f>IF(OR(履歴データ!$A$1279="",履歴データ!$A$1278=""),"",E1279-E1278)</f>
        <v/>
      </c>
      <c r="O1279" s="28" t="str">
        <f>IF(OR(履歴データ!$A$1279="",履歴データ!$A$1278=""),"",F1279-F1278)</f>
        <v/>
      </c>
      <c r="P1279" s="28" t="str">
        <f>IF(OR(履歴データ!$A$1279="",履歴データ!$A$1278=""),"",G1279-G1278)</f>
        <v/>
      </c>
      <c r="Q1279" s="29" t="str">
        <f>IF(OR(履歴データ!$A$1279="",履歴データ!$A$1278=""),"",H1279-H1278)</f>
        <v/>
      </c>
      <c r="R1279" s="29" t="str">
        <f>IF(OR(履歴データ!$A$1279="",履歴データ!$A$1278=""),"",I1279-I1278)</f>
        <v/>
      </c>
      <c r="S1279" s="28" t="str">
        <f>IF(OR(履歴データ!$A$1279="",履歴データ!$A$1278=""),"",(J1279-J1278)*100)</f>
        <v/>
      </c>
      <c r="T1279" s="11" t="str">
        <f>IF(OR(履歴データ!$A$1279="",履歴データ!$A$1278=""),"",-80000*K1279)</f>
        <v/>
      </c>
      <c r="U1279" s="11" t="str">
        <f>IF(OR(履歴データ!$A$1279="",履歴データ!$A$1278=""),"",60000*L1279)</f>
        <v/>
      </c>
      <c r="V1279" s="11" t="str">
        <f>IF(OR(履歴データ!$A$1279="",履歴データ!$A$1278=""),"",-50000*M1279)</f>
        <v/>
      </c>
      <c r="W1279" s="11" t="str">
        <f>IF(OR(履歴データ!$A$1279="",履歴データ!$A$1278=""),"",-40000*N1279)</f>
        <v/>
      </c>
      <c r="X1279" s="11" t="str">
        <f>IF(OR(履歴データ!$A$1279="",履歴データ!$A$1278=""),"",120*1000000*(-Q1279/H1278))</f>
        <v/>
      </c>
      <c r="Y1279" s="11" t="str">
        <f>IF(OR(履歴データ!$A$1279="",履歴データ!$A$1278=""),"",40000*(-S1279)+(-506.3)*R1279*1000)</f>
        <v/>
      </c>
      <c r="Z1279" s="11" t="str">
        <f>IF(OR(履歴データ!$A$1279="",履歴データ!$A$1278=""),"",-40000*O1279)</f>
        <v/>
      </c>
      <c r="AA1279" s="11" t="str">
        <f>IF(OR(履歴データ!$A$1279="",履歴データ!$A$1278=""),"",-40000*P1279)</f>
        <v/>
      </c>
      <c r="AB1279" s="11" t="str">
        <f>IF(履歴データ!$A$1279="","",123.3)</f>
        <v/>
      </c>
      <c r="AC1279" t="str">
        <f>IF(履歴データ!$A$1279="","",SUM(T1279:AA1279))</f>
        <v/>
      </c>
      <c r="AD1279" s="29" t="str">
        <f>IF(履歴データ!$A$1279="","",AC1279/1000000)</f>
        <v/>
      </c>
      <c r="AE1279" s="29">
        <f>IF(履歴データ!$A$1279="",AE1278,AE1278+AC1279/1000000)</f>
        <v>70.844544225831427</v>
      </c>
      <c r="AF1279" s="12" t="str">
        <f>IF(OR(履歴データ!$A$1279="",AE1278=0),"",(AE1279-AE1278)/AE1278)</f>
        <v/>
      </c>
      <c r="AG1279" s="29">
        <f t="shared" si="49"/>
        <v>102.17217746631495</v>
      </c>
      <c r="AH1279" s="12" t="str">
        <f>IF(OR(履歴データ!$A$1279="",AG1279=0),"",AE1279/AG1279-1)</f>
        <v/>
      </c>
    </row>
    <row r="1280" spans="1:34">
      <c r="A1280" s="10" t="str">
        <f>IF(履歴データ!$A$1280="","",履歴データ!$A$1280)</f>
        <v/>
      </c>
      <c r="B1280" s="28" t="str">
        <f>IF(履歴データ!$A$1280="","",(履歴データ!$D$1280-(履歴データ!$B$1280+履歴データ!$F$1280)/2)*100)</f>
        <v/>
      </c>
      <c r="C1280" s="28" t="str">
        <f>IF(履歴データ!$A$1280="","",(履歴データ!$H$1280-(履歴データ!$G$1280+履歴データ!$J$1280)/2)*100)</f>
        <v/>
      </c>
      <c r="D1280" s="28" t="str">
        <f>IF(履歴データ!$A$1280="","",(履歴データ!$D$1280-履歴データ!$H$1280)*100)</f>
        <v/>
      </c>
      <c r="E1280" s="28" t="str">
        <f>IF(履歴データ!$A$1280="","",(履歴データ!$D$1280-履歴データ!$C$1280)*100)</f>
        <v/>
      </c>
      <c r="F1280" s="28" t="str">
        <f>IF(履歴データ!$A$1280="","",(履歴データ!$R$1280-履歴データ!$D$1280)*100)</f>
        <v/>
      </c>
      <c r="G1280" s="28" t="str">
        <f>IF(履歴データ!$A$1280="","",(履歴データ!$S$1280-履歴データ!$R$1280)*100)</f>
        <v/>
      </c>
      <c r="H1280" s="29" t="str">
        <f>IF(履歴データ!$A$1280="","",履歴データ!$O$1280)</f>
        <v/>
      </c>
      <c r="I1280" s="29" t="str">
        <f>IF(履歴データ!$A$1280="","",履歴データ!$Q$1280)</f>
        <v/>
      </c>
      <c r="J1280" s="29" t="str">
        <f>IF(履歴データ!$A$1280="","",履歴データ!$D$1280)</f>
        <v/>
      </c>
      <c r="K1280" s="28" t="str">
        <f>IF(OR(履歴データ!$A$1280="",履歴データ!$A$1279=""),"",B1280-B1279)</f>
        <v/>
      </c>
      <c r="L1280" s="28" t="str">
        <f>IF(OR(履歴データ!$A$1280="",履歴データ!$A$1279=""),"",C1280-C1279)</f>
        <v/>
      </c>
      <c r="M1280" s="28" t="str">
        <f>IF(OR(履歴データ!$A$1280="",履歴データ!$A$1279=""),"",D1280-D1279)</f>
        <v/>
      </c>
      <c r="N1280" s="28" t="str">
        <f>IF(OR(履歴データ!$A$1280="",履歴データ!$A$1279=""),"",E1280-E1279)</f>
        <v/>
      </c>
      <c r="O1280" s="28" t="str">
        <f>IF(OR(履歴データ!$A$1280="",履歴データ!$A$1279=""),"",F1280-F1279)</f>
        <v/>
      </c>
      <c r="P1280" s="28" t="str">
        <f>IF(OR(履歴データ!$A$1280="",履歴データ!$A$1279=""),"",G1280-G1279)</f>
        <v/>
      </c>
      <c r="Q1280" s="29" t="str">
        <f>IF(OR(履歴データ!$A$1280="",履歴データ!$A$1279=""),"",H1280-H1279)</f>
        <v/>
      </c>
      <c r="R1280" s="29" t="str">
        <f>IF(OR(履歴データ!$A$1280="",履歴データ!$A$1279=""),"",I1280-I1279)</f>
        <v/>
      </c>
      <c r="S1280" s="28" t="str">
        <f>IF(OR(履歴データ!$A$1280="",履歴データ!$A$1279=""),"",(J1280-J1279)*100)</f>
        <v/>
      </c>
      <c r="T1280" s="11" t="str">
        <f>IF(OR(履歴データ!$A$1280="",履歴データ!$A$1279=""),"",-80000*K1280)</f>
        <v/>
      </c>
      <c r="U1280" s="11" t="str">
        <f>IF(OR(履歴データ!$A$1280="",履歴データ!$A$1279=""),"",60000*L1280)</f>
        <v/>
      </c>
      <c r="V1280" s="11" t="str">
        <f>IF(OR(履歴データ!$A$1280="",履歴データ!$A$1279=""),"",-50000*M1280)</f>
        <v/>
      </c>
      <c r="W1280" s="11" t="str">
        <f>IF(OR(履歴データ!$A$1280="",履歴データ!$A$1279=""),"",-40000*N1280)</f>
        <v/>
      </c>
      <c r="X1280" s="11" t="str">
        <f>IF(OR(履歴データ!$A$1280="",履歴データ!$A$1279=""),"",120*1000000*(-Q1280/H1279))</f>
        <v/>
      </c>
      <c r="Y1280" s="11" t="str">
        <f>IF(OR(履歴データ!$A$1280="",履歴データ!$A$1279=""),"",40000*(-S1280)+(-506.3)*R1280*1000)</f>
        <v/>
      </c>
      <c r="Z1280" s="11" t="str">
        <f>IF(OR(履歴データ!$A$1280="",履歴データ!$A$1279=""),"",-40000*O1280)</f>
        <v/>
      </c>
      <c r="AA1280" s="11" t="str">
        <f>IF(OR(履歴データ!$A$1280="",履歴データ!$A$1279=""),"",-40000*P1280)</f>
        <v/>
      </c>
      <c r="AB1280" s="11" t="str">
        <f>IF(履歴データ!$A$1280="","",123.3)</f>
        <v/>
      </c>
      <c r="AC1280" t="str">
        <f>IF(履歴データ!$A$1280="","",SUM(T1280:AA1280))</f>
        <v/>
      </c>
      <c r="AD1280" s="29" t="str">
        <f>IF(履歴データ!$A$1280="","",AC1280/1000000)</f>
        <v/>
      </c>
      <c r="AE1280" s="29">
        <f>IF(履歴データ!$A$1280="",AE1279,AE1279+AC1280/1000000)</f>
        <v>70.844544225831427</v>
      </c>
      <c r="AF1280" s="12" t="str">
        <f>IF(OR(履歴データ!$A$1280="",AE1279=0),"",(AE1280-AE1279)/AE1279)</f>
        <v/>
      </c>
      <c r="AG1280" s="29">
        <f t="shared" si="49"/>
        <v>102.17217746631495</v>
      </c>
      <c r="AH1280" s="12" t="str">
        <f>IF(OR(履歴データ!$A$1280="",AG1280=0),"",AE1280/AG1280-1)</f>
        <v/>
      </c>
    </row>
    <row r="1281" spans="1:34">
      <c r="A1281" s="10" t="str">
        <f>IF(履歴データ!$A$1281="","",履歴データ!$A$1281)</f>
        <v/>
      </c>
      <c r="B1281" s="28" t="str">
        <f>IF(履歴データ!$A$1281="","",(履歴データ!$D$1281-(履歴データ!$B$1281+履歴データ!$F$1281)/2)*100)</f>
        <v/>
      </c>
      <c r="C1281" s="28" t="str">
        <f>IF(履歴データ!$A$1281="","",(履歴データ!$H$1281-(履歴データ!$G$1281+履歴データ!$J$1281)/2)*100)</f>
        <v/>
      </c>
      <c r="D1281" s="28" t="str">
        <f>IF(履歴データ!$A$1281="","",(履歴データ!$D$1281-履歴データ!$H$1281)*100)</f>
        <v/>
      </c>
      <c r="E1281" s="28" t="str">
        <f>IF(履歴データ!$A$1281="","",(履歴データ!$D$1281-履歴データ!$C$1281)*100)</f>
        <v/>
      </c>
      <c r="F1281" s="28" t="str">
        <f>IF(履歴データ!$A$1281="","",(履歴データ!$R$1281-履歴データ!$D$1281)*100)</f>
        <v/>
      </c>
      <c r="G1281" s="28" t="str">
        <f>IF(履歴データ!$A$1281="","",(履歴データ!$S$1281-履歴データ!$R$1281)*100)</f>
        <v/>
      </c>
      <c r="H1281" s="29" t="str">
        <f>IF(履歴データ!$A$1281="","",履歴データ!$O$1281)</f>
        <v/>
      </c>
      <c r="I1281" s="29" t="str">
        <f>IF(履歴データ!$A$1281="","",履歴データ!$Q$1281)</f>
        <v/>
      </c>
      <c r="J1281" s="29" t="str">
        <f>IF(履歴データ!$A$1281="","",履歴データ!$D$1281)</f>
        <v/>
      </c>
      <c r="K1281" s="28" t="str">
        <f>IF(OR(履歴データ!$A$1281="",履歴データ!$A$1280=""),"",B1281-B1280)</f>
        <v/>
      </c>
      <c r="L1281" s="28" t="str">
        <f>IF(OR(履歴データ!$A$1281="",履歴データ!$A$1280=""),"",C1281-C1280)</f>
        <v/>
      </c>
      <c r="M1281" s="28" t="str">
        <f>IF(OR(履歴データ!$A$1281="",履歴データ!$A$1280=""),"",D1281-D1280)</f>
        <v/>
      </c>
      <c r="N1281" s="28" t="str">
        <f>IF(OR(履歴データ!$A$1281="",履歴データ!$A$1280=""),"",E1281-E1280)</f>
        <v/>
      </c>
      <c r="O1281" s="28" t="str">
        <f>IF(OR(履歴データ!$A$1281="",履歴データ!$A$1280=""),"",F1281-F1280)</f>
        <v/>
      </c>
      <c r="P1281" s="28" t="str">
        <f>IF(OR(履歴データ!$A$1281="",履歴データ!$A$1280=""),"",G1281-G1280)</f>
        <v/>
      </c>
      <c r="Q1281" s="29" t="str">
        <f>IF(OR(履歴データ!$A$1281="",履歴データ!$A$1280=""),"",H1281-H1280)</f>
        <v/>
      </c>
      <c r="R1281" s="29" t="str">
        <f>IF(OR(履歴データ!$A$1281="",履歴データ!$A$1280=""),"",I1281-I1280)</f>
        <v/>
      </c>
      <c r="S1281" s="28" t="str">
        <f>IF(OR(履歴データ!$A$1281="",履歴データ!$A$1280=""),"",(J1281-J1280)*100)</f>
        <v/>
      </c>
      <c r="T1281" s="11" t="str">
        <f>IF(OR(履歴データ!$A$1281="",履歴データ!$A$1280=""),"",-80000*K1281)</f>
        <v/>
      </c>
      <c r="U1281" s="11" t="str">
        <f>IF(OR(履歴データ!$A$1281="",履歴データ!$A$1280=""),"",60000*L1281)</f>
        <v/>
      </c>
      <c r="V1281" s="11" t="str">
        <f>IF(OR(履歴データ!$A$1281="",履歴データ!$A$1280=""),"",-50000*M1281)</f>
        <v/>
      </c>
      <c r="W1281" s="11" t="str">
        <f>IF(OR(履歴データ!$A$1281="",履歴データ!$A$1280=""),"",-40000*N1281)</f>
        <v/>
      </c>
      <c r="X1281" s="11" t="str">
        <f>IF(OR(履歴データ!$A$1281="",履歴データ!$A$1280=""),"",120*1000000*(-Q1281/H1280))</f>
        <v/>
      </c>
      <c r="Y1281" s="11" t="str">
        <f>IF(OR(履歴データ!$A$1281="",履歴データ!$A$1280=""),"",40000*(-S1281)+(-506.3)*R1281*1000)</f>
        <v/>
      </c>
      <c r="Z1281" s="11" t="str">
        <f>IF(OR(履歴データ!$A$1281="",履歴データ!$A$1280=""),"",-40000*O1281)</f>
        <v/>
      </c>
      <c r="AA1281" s="11" t="str">
        <f>IF(OR(履歴データ!$A$1281="",履歴データ!$A$1280=""),"",-40000*P1281)</f>
        <v/>
      </c>
      <c r="AB1281" s="11" t="str">
        <f>IF(履歴データ!$A$1281="","",123.3)</f>
        <v/>
      </c>
      <c r="AC1281" t="str">
        <f>IF(履歴データ!$A$1281="","",SUM(T1281:AA1281))</f>
        <v/>
      </c>
      <c r="AD1281" s="29" t="str">
        <f>IF(履歴データ!$A$1281="","",AC1281/1000000)</f>
        <v/>
      </c>
      <c r="AE1281" s="29">
        <f>IF(履歴データ!$A$1281="",AE1280,AE1280+AC1281/1000000)</f>
        <v>70.844544225831427</v>
      </c>
      <c r="AF1281" s="12" t="str">
        <f>IF(OR(履歴データ!$A$1281="",AE1280=0),"",(AE1281-AE1280)/AE1280)</f>
        <v/>
      </c>
      <c r="AG1281" s="29">
        <f t="shared" si="49"/>
        <v>102.17217746631495</v>
      </c>
      <c r="AH1281" s="12" t="str">
        <f>IF(OR(履歴データ!$A$1281="",AG1281=0),"",AE1281/AG1281-1)</f>
        <v/>
      </c>
    </row>
    <row r="1282" spans="1:34">
      <c r="A1282" s="10" t="str">
        <f>IF(履歴データ!$A$1282="","",履歴データ!$A$1282)</f>
        <v/>
      </c>
      <c r="B1282" s="28" t="str">
        <f>IF(履歴データ!$A$1282="","",(履歴データ!$D$1282-(履歴データ!$B$1282+履歴データ!$F$1282)/2)*100)</f>
        <v/>
      </c>
      <c r="C1282" s="28" t="str">
        <f>IF(履歴データ!$A$1282="","",(履歴データ!$H$1282-(履歴データ!$G$1282+履歴データ!$J$1282)/2)*100)</f>
        <v/>
      </c>
      <c r="D1282" s="28" t="str">
        <f>IF(履歴データ!$A$1282="","",(履歴データ!$D$1282-履歴データ!$H$1282)*100)</f>
        <v/>
      </c>
      <c r="E1282" s="28" t="str">
        <f>IF(履歴データ!$A$1282="","",(履歴データ!$D$1282-履歴データ!$C$1282)*100)</f>
        <v/>
      </c>
      <c r="F1282" s="28" t="str">
        <f>IF(履歴データ!$A$1282="","",(履歴データ!$R$1282-履歴データ!$D$1282)*100)</f>
        <v/>
      </c>
      <c r="G1282" s="28" t="str">
        <f>IF(履歴データ!$A$1282="","",(履歴データ!$S$1282-履歴データ!$R$1282)*100)</f>
        <v/>
      </c>
      <c r="H1282" s="29" t="str">
        <f>IF(履歴データ!$A$1282="","",履歴データ!$O$1282)</f>
        <v/>
      </c>
      <c r="I1282" s="29" t="str">
        <f>IF(履歴データ!$A$1282="","",履歴データ!$Q$1282)</f>
        <v/>
      </c>
      <c r="J1282" s="29" t="str">
        <f>IF(履歴データ!$A$1282="","",履歴データ!$D$1282)</f>
        <v/>
      </c>
      <c r="K1282" s="28" t="str">
        <f>IF(OR(履歴データ!$A$1282="",履歴データ!$A$1281=""),"",B1282-B1281)</f>
        <v/>
      </c>
      <c r="L1282" s="28" t="str">
        <f>IF(OR(履歴データ!$A$1282="",履歴データ!$A$1281=""),"",C1282-C1281)</f>
        <v/>
      </c>
      <c r="M1282" s="28" t="str">
        <f>IF(OR(履歴データ!$A$1282="",履歴データ!$A$1281=""),"",D1282-D1281)</f>
        <v/>
      </c>
      <c r="N1282" s="28" t="str">
        <f>IF(OR(履歴データ!$A$1282="",履歴データ!$A$1281=""),"",E1282-E1281)</f>
        <v/>
      </c>
      <c r="O1282" s="28" t="str">
        <f>IF(OR(履歴データ!$A$1282="",履歴データ!$A$1281=""),"",F1282-F1281)</f>
        <v/>
      </c>
      <c r="P1282" s="28" t="str">
        <f>IF(OR(履歴データ!$A$1282="",履歴データ!$A$1281=""),"",G1282-G1281)</f>
        <v/>
      </c>
      <c r="Q1282" s="29" t="str">
        <f>IF(OR(履歴データ!$A$1282="",履歴データ!$A$1281=""),"",H1282-H1281)</f>
        <v/>
      </c>
      <c r="R1282" s="29" t="str">
        <f>IF(OR(履歴データ!$A$1282="",履歴データ!$A$1281=""),"",I1282-I1281)</f>
        <v/>
      </c>
      <c r="S1282" s="28" t="str">
        <f>IF(OR(履歴データ!$A$1282="",履歴データ!$A$1281=""),"",(J1282-J1281)*100)</f>
        <v/>
      </c>
      <c r="T1282" s="11" t="str">
        <f>IF(OR(履歴データ!$A$1282="",履歴データ!$A$1281=""),"",-80000*K1282)</f>
        <v/>
      </c>
      <c r="U1282" s="11" t="str">
        <f>IF(OR(履歴データ!$A$1282="",履歴データ!$A$1281=""),"",60000*L1282)</f>
        <v/>
      </c>
      <c r="V1282" s="11" t="str">
        <f>IF(OR(履歴データ!$A$1282="",履歴データ!$A$1281=""),"",-50000*M1282)</f>
        <v/>
      </c>
      <c r="W1282" s="11" t="str">
        <f>IF(OR(履歴データ!$A$1282="",履歴データ!$A$1281=""),"",-40000*N1282)</f>
        <v/>
      </c>
      <c r="X1282" s="11" t="str">
        <f>IF(OR(履歴データ!$A$1282="",履歴データ!$A$1281=""),"",120*1000000*(-Q1282/H1281))</f>
        <v/>
      </c>
      <c r="Y1282" s="11" t="str">
        <f>IF(OR(履歴データ!$A$1282="",履歴データ!$A$1281=""),"",40000*(-S1282)+(-506.3)*R1282*1000)</f>
        <v/>
      </c>
      <c r="Z1282" s="11" t="str">
        <f>IF(OR(履歴データ!$A$1282="",履歴データ!$A$1281=""),"",-40000*O1282)</f>
        <v/>
      </c>
      <c r="AA1282" s="11" t="str">
        <f>IF(OR(履歴データ!$A$1282="",履歴データ!$A$1281=""),"",-40000*P1282)</f>
        <v/>
      </c>
      <c r="AB1282" s="11" t="str">
        <f>IF(履歴データ!$A$1282="","",123.3)</f>
        <v/>
      </c>
      <c r="AC1282" t="str">
        <f>IF(履歴データ!$A$1282="","",SUM(T1282:AA1282))</f>
        <v/>
      </c>
      <c r="AD1282" s="29" t="str">
        <f>IF(履歴データ!$A$1282="","",AC1282/1000000)</f>
        <v/>
      </c>
      <c r="AE1282" s="29">
        <f>IF(履歴データ!$A$1282="",AE1281,AE1281+AC1282/1000000)</f>
        <v>70.844544225831427</v>
      </c>
      <c r="AF1282" s="12" t="str">
        <f>IF(OR(履歴データ!$A$1282="",AE1281=0),"",(AE1282-AE1281)/AE1281)</f>
        <v/>
      </c>
      <c r="AG1282" s="29">
        <f t="shared" si="49"/>
        <v>102.17217746631495</v>
      </c>
      <c r="AH1282" s="12" t="str">
        <f>IF(OR(履歴データ!$A$1282="",AG1282=0),"",AE1282/AG1282-1)</f>
        <v/>
      </c>
    </row>
    <row r="1283" spans="1:34">
      <c r="A1283" s="10" t="str">
        <f>IF(履歴データ!$A$1283="","",履歴データ!$A$1283)</f>
        <v/>
      </c>
      <c r="B1283" s="28" t="str">
        <f>IF(履歴データ!$A$1283="","",(履歴データ!$D$1283-(履歴データ!$B$1283+履歴データ!$F$1283)/2)*100)</f>
        <v/>
      </c>
      <c r="C1283" s="28" t="str">
        <f>IF(履歴データ!$A$1283="","",(履歴データ!$H$1283-(履歴データ!$G$1283+履歴データ!$J$1283)/2)*100)</f>
        <v/>
      </c>
      <c r="D1283" s="28" t="str">
        <f>IF(履歴データ!$A$1283="","",(履歴データ!$D$1283-履歴データ!$H$1283)*100)</f>
        <v/>
      </c>
      <c r="E1283" s="28" t="str">
        <f>IF(履歴データ!$A$1283="","",(履歴データ!$D$1283-履歴データ!$C$1283)*100)</f>
        <v/>
      </c>
      <c r="F1283" s="28" t="str">
        <f>IF(履歴データ!$A$1283="","",(履歴データ!$R$1283-履歴データ!$D$1283)*100)</f>
        <v/>
      </c>
      <c r="G1283" s="28" t="str">
        <f>IF(履歴データ!$A$1283="","",(履歴データ!$S$1283-履歴データ!$R$1283)*100)</f>
        <v/>
      </c>
      <c r="H1283" s="29" t="str">
        <f>IF(履歴データ!$A$1283="","",履歴データ!$O$1283)</f>
        <v/>
      </c>
      <c r="I1283" s="29" t="str">
        <f>IF(履歴データ!$A$1283="","",履歴データ!$Q$1283)</f>
        <v/>
      </c>
      <c r="J1283" s="29" t="str">
        <f>IF(履歴データ!$A$1283="","",履歴データ!$D$1283)</f>
        <v/>
      </c>
      <c r="K1283" s="28" t="str">
        <f>IF(OR(履歴データ!$A$1283="",履歴データ!$A$1282=""),"",B1283-B1282)</f>
        <v/>
      </c>
      <c r="L1283" s="28" t="str">
        <f>IF(OR(履歴データ!$A$1283="",履歴データ!$A$1282=""),"",C1283-C1282)</f>
        <v/>
      </c>
      <c r="M1283" s="28" t="str">
        <f>IF(OR(履歴データ!$A$1283="",履歴データ!$A$1282=""),"",D1283-D1282)</f>
        <v/>
      </c>
      <c r="N1283" s="28" t="str">
        <f>IF(OR(履歴データ!$A$1283="",履歴データ!$A$1282=""),"",E1283-E1282)</f>
        <v/>
      </c>
      <c r="O1283" s="28" t="str">
        <f>IF(OR(履歴データ!$A$1283="",履歴データ!$A$1282=""),"",F1283-F1282)</f>
        <v/>
      </c>
      <c r="P1283" s="28" t="str">
        <f>IF(OR(履歴データ!$A$1283="",履歴データ!$A$1282=""),"",G1283-G1282)</f>
        <v/>
      </c>
      <c r="Q1283" s="29" t="str">
        <f>IF(OR(履歴データ!$A$1283="",履歴データ!$A$1282=""),"",H1283-H1282)</f>
        <v/>
      </c>
      <c r="R1283" s="29" t="str">
        <f>IF(OR(履歴データ!$A$1283="",履歴データ!$A$1282=""),"",I1283-I1282)</f>
        <v/>
      </c>
      <c r="S1283" s="28" t="str">
        <f>IF(OR(履歴データ!$A$1283="",履歴データ!$A$1282=""),"",(J1283-J1282)*100)</f>
        <v/>
      </c>
      <c r="T1283" s="11" t="str">
        <f>IF(OR(履歴データ!$A$1283="",履歴データ!$A$1282=""),"",-80000*K1283)</f>
        <v/>
      </c>
      <c r="U1283" s="11" t="str">
        <f>IF(OR(履歴データ!$A$1283="",履歴データ!$A$1282=""),"",60000*L1283)</f>
        <v/>
      </c>
      <c r="V1283" s="11" t="str">
        <f>IF(OR(履歴データ!$A$1283="",履歴データ!$A$1282=""),"",-50000*M1283)</f>
        <v/>
      </c>
      <c r="W1283" s="11" t="str">
        <f>IF(OR(履歴データ!$A$1283="",履歴データ!$A$1282=""),"",-40000*N1283)</f>
        <v/>
      </c>
      <c r="X1283" s="11" t="str">
        <f>IF(OR(履歴データ!$A$1283="",履歴データ!$A$1282=""),"",120*1000000*(-Q1283/H1282))</f>
        <v/>
      </c>
      <c r="Y1283" s="11" t="str">
        <f>IF(OR(履歴データ!$A$1283="",履歴データ!$A$1282=""),"",40000*(-S1283)+(-506.3)*R1283*1000)</f>
        <v/>
      </c>
      <c r="Z1283" s="11" t="str">
        <f>IF(OR(履歴データ!$A$1283="",履歴データ!$A$1282=""),"",-40000*O1283)</f>
        <v/>
      </c>
      <c r="AA1283" s="11" t="str">
        <f>IF(OR(履歴データ!$A$1283="",履歴データ!$A$1282=""),"",-40000*P1283)</f>
        <v/>
      </c>
      <c r="AB1283" s="11" t="str">
        <f>IF(履歴データ!$A$1283="","",123.3)</f>
        <v/>
      </c>
      <c r="AC1283" t="str">
        <f>IF(履歴データ!$A$1283="","",SUM(T1283:AA1283))</f>
        <v/>
      </c>
      <c r="AD1283" s="29" t="str">
        <f>IF(履歴データ!$A$1283="","",AC1283/1000000)</f>
        <v/>
      </c>
      <c r="AE1283" s="29">
        <f>IF(履歴データ!$A$1283="",AE1282,AE1282+AC1283/1000000)</f>
        <v>70.844544225831427</v>
      </c>
      <c r="AF1283" s="12" t="str">
        <f>IF(OR(履歴データ!$A$1283="",AE1282=0),"",(AE1283-AE1282)/AE1282)</f>
        <v/>
      </c>
      <c r="AG1283" s="29">
        <f t="shared" ref="AG1283:AG1307" si="50">MAX(AG1282,AE1283)</f>
        <v>102.17217746631495</v>
      </c>
      <c r="AH1283" s="12" t="str">
        <f>IF(OR(履歴データ!$A$1283="",AG1283=0),"",AE1283/AG1283-1)</f>
        <v/>
      </c>
    </row>
    <row r="1284" spans="1:34">
      <c r="A1284" s="10" t="str">
        <f>IF(履歴データ!$A$1284="","",履歴データ!$A$1284)</f>
        <v/>
      </c>
      <c r="B1284" s="28" t="str">
        <f>IF(履歴データ!$A$1284="","",(履歴データ!$D$1284-(履歴データ!$B$1284+履歴データ!$F$1284)/2)*100)</f>
        <v/>
      </c>
      <c r="C1284" s="28" t="str">
        <f>IF(履歴データ!$A$1284="","",(履歴データ!$H$1284-(履歴データ!$G$1284+履歴データ!$J$1284)/2)*100)</f>
        <v/>
      </c>
      <c r="D1284" s="28" t="str">
        <f>IF(履歴データ!$A$1284="","",(履歴データ!$D$1284-履歴データ!$H$1284)*100)</f>
        <v/>
      </c>
      <c r="E1284" s="28" t="str">
        <f>IF(履歴データ!$A$1284="","",(履歴データ!$D$1284-履歴データ!$C$1284)*100)</f>
        <v/>
      </c>
      <c r="F1284" s="28" t="str">
        <f>IF(履歴データ!$A$1284="","",(履歴データ!$R$1284-履歴データ!$D$1284)*100)</f>
        <v/>
      </c>
      <c r="G1284" s="28" t="str">
        <f>IF(履歴データ!$A$1284="","",(履歴データ!$S$1284-履歴データ!$R$1284)*100)</f>
        <v/>
      </c>
      <c r="H1284" s="29" t="str">
        <f>IF(履歴データ!$A$1284="","",履歴データ!$O$1284)</f>
        <v/>
      </c>
      <c r="I1284" s="29" t="str">
        <f>IF(履歴データ!$A$1284="","",履歴データ!$Q$1284)</f>
        <v/>
      </c>
      <c r="J1284" s="29" t="str">
        <f>IF(履歴データ!$A$1284="","",履歴データ!$D$1284)</f>
        <v/>
      </c>
      <c r="K1284" s="28" t="str">
        <f>IF(OR(履歴データ!$A$1284="",履歴データ!$A$1283=""),"",B1284-B1283)</f>
        <v/>
      </c>
      <c r="L1284" s="28" t="str">
        <f>IF(OR(履歴データ!$A$1284="",履歴データ!$A$1283=""),"",C1284-C1283)</f>
        <v/>
      </c>
      <c r="M1284" s="28" t="str">
        <f>IF(OR(履歴データ!$A$1284="",履歴データ!$A$1283=""),"",D1284-D1283)</f>
        <v/>
      </c>
      <c r="N1284" s="28" t="str">
        <f>IF(OR(履歴データ!$A$1284="",履歴データ!$A$1283=""),"",E1284-E1283)</f>
        <v/>
      </c>
      <c r="O1284" s="28" t="str">
        <f>IF(OR(履歴データ!$A$1284="",履歴データ!$A$1283=""),"",F1284-F1283)</f>
        <v/>
      </c>
      <c r="P1284" s="28" t="str">
        <f>IF(OR(履歴データ!$A$1284="",履歴データ!$A$1283=""),"",G1284-G1283)</f>
        <v/>
      </c>
      <c r="Q1284" s="29" t="str">
        <f>IF(OR(履歴データ!$A$1284="",履歴データ!$A$1283=""),"",H1284-H1283)</f>
        <v/>
      </c>
      <c r="R1284" s="29" t="str">
        <f>IF(OR(履歴データ!$A$1284="",履歴データ!$A$1283=""),"",I1284-I1283)</f>
        <v/>
      </c>
      <c r="S1284" s="28" t="str">
        <f>IF(OR(履歴データ!$A$1284="",履歴データ!$A$1283=""),"",(J1284-J1283)*100)</f>
        <v/>
      </c>
      <c r="T1284" s="11" t="str">
        <f>IF(OR(履歴データ!$A$1284="",履歴データ!$A$1283=""),"",-80000*K1284)</f>
        <v/>
      </c>
      <c r="U1284" s="11" t="str">
        <f>IF(OR(履歴データ!$A$1284="",履歴データ!$A$1283=""),"",60000*L1284)</f>
        <v/>
      </c>
      <c r="V1284" s="11" t="str">
        <f>IF(OR(履歴データ!$A$1284="",履歴データ!$A$1283=""),"",-50000*M1284)</f>
        <v/>
      </c>
      <c r="W1284" s="11" t="str">
        <f>IF(OR(履歴データ!$A$1284="",履歴データ!$A$1283=""),"",-40000*N1284)</f>
        <v/>
      </c>
      <c r="X1284" s="11" t="str">
        <f>IF(OR(履歴データ!$A$1284="",履歴データ!$A$1283=""),"",120*1000000*(-Q1284/H1283))</f>
        <v/>
      </c>
      <c r="Y1284" s="11" t="str">
        <f>IF(OR(履歴データ!$A$1284="",履歴データ!$A$1283=""),"",40000*(-S1284)+(-506.3)*R1284*1000)</f>
        <v/>
      </c>
      <c r="Z1284" s="11" t="str">
        <f>IF(OR(履歴データ!$A$1284="",履歴データ!$A$1283=""),"",-40000*O1284)</f>
        <v/>
      </c>
      <c r="AA1284" s="11" t="str">
        <f>IF(OR(履歴データ!$A$1284="",履歴データ!$A$1283=""),"",-40000*P1284)</f>
        <v/>
      </c>
      <c r="AB1284" s="11" t="str">
        <f>IF(履歴データ!$A$1284="","",123.3)</f>
        <v/>
      </c>
      <c r="AC1284" t="str">
        <f>IF(履歴データ!$A$1284="","",SUM(T1284:AA1284))</f>
        <v/>
      </c>
      <c r="AD1284" s="29" t="str">
        <f>IF(履歴データ!$A$1284="","",AC1284/1000000)</f>
        <v/>
      </c>
      <c r="AE1284" s="29">
        <f>IF(履歴データ!$A$1284="",AE1283,AE1283+AC1284/1000000)</f>
        <v>70.844544225831427</v>
      </c>
      <c r="AF1284" s="12" t="str">
        <f>IF(OR(履歴データ!$A$1284="",AE1283=0),"",(AE1284-AE1283)/AE1283)</f>
        <v/>
      </c>
      <c r="AG1284" s="29">
        <f t="shared" si="50"/>
        <v>102.17217746631495</v>
      </c>
      <c r="AH1284" s="12" t="str">
        <f>IF(OR(履歴データ!$A$1284="",AG1284=0),"",AE1284/AG1284-1)</f>
        <v/>
      </c>
    </row>
    <row r="1285" spans="1:34">
      <c r="A1285" s="10" t="str">
        <f>IF(履歴データ!$A$1285="","",履歴データ!$A$1285)</f>
        <v/>
      </c>
      <c r="B1285" s="28" t="str">
        <f>IF(履歴データ!$A$1285="","",(履歴データ!$D$1285-(履歴データ!$B$1285+履歴データ!$F$1285)/2)*100)</f>
        <v/>
      </c>
      <c r="C1285" s="28" t="str">
        <f>IF(履歴データ!$A$1285="","",(履歴データ!$H$1285-(履歴データ!$G$1285+履歴データ!$J$1285)/2)*100)</f>
        <v/>
      </c>
      <c r="D1285" s="28" t="str">
        <f>IF(履歴データ!$A$1285="","",(履歴データ!$D$1285-履歴データ!$H$1285)*100)</f>
        <v/>
      </c>
      <c r="E1285" s="28" t="str">
        <f>IF(履歴データ!$A$1285="","",(履歴データ!$D$1285-履歴データ!$C$1285)*100)</f>
        <v/>
      </c>
      <c r="F1285" s="28" t="str">
        <f>IF(履歴データ!$A$1285="","",(履歴データ!$R$1285-履歴データ!$D$1285)*100)</f>
        <v/>
      </c>
      <c r="G1285" s="28" t="str">
        <f>IF(履歴データ!$A$1285="","",(履歴データ!$S$1285-履歴データ!$R$1285)*100)</f>
        <v/>
      </c>
      <c r="H1285" s="29" t="str">
        <f>IF(履歴データ!$A$1285="","",履歴データ!$O$1285)</f>
        <v/>
      </c>
      <c r="I1285" s="29" t="str">
        <f>IF(履歴データ!$A$1285="","",履歴データ!$Q$1285)</f>
        <v/>
      </c>
      <c r="J1285" s="29" t="str">
        <f>IF(履歴データ!$A$1285="","",履歴データ!$D$1285)</f>
        <v/>
      </c>
      <c r="K1285" s="28" t="str">
        <f>IF(OR(履歴データ!$A$1285="",履歴データ!$A$1284=""),"",B1285-B1284)</f>
        <v/>
      </c>
      <c r="L1285" s="28" t="str">
        <f>IF(OR(履歴データ!$A$1285="",履歴データ!$A$1284=""),"",C1285-C1284)</f>
        <v/>
      </c>
      <c r="M1285" s="28" t="str">
        <f>IF(OR(履歴データ!$A$1285="",履歴データ!$A$1284=""),"",D1285-D1284)</f>
        <v/>
      </c>
      <c r="N1285" s="28" t="str">
        <f>IF(OR(履歴データ!$A$1285="",履歴データ!$A$1284=""),"",E1285-E1284)</f>
        <v/>
      </c>
      <c r="O1285" s="28" t="str">
        <f>IF(OR(履歴データ!$A$1285="",履歴データ!$A$1284=""),"",F1285-F1284)</f>
        <v/>
      </c>
      <c r="P1285" s="28" t="str">
        <f>IF(OR(履歴データ!$A$1285="",履歴データ!$A$1284=""),"",G1285-G1284)</f>
        <v/>
      </c>
      <c r="Q1285" s="29" t="str">
        <f>IF(OR(履歴データ!$A$1285="",履歴データ!$A$1284=""),"",H1285-H1284)</f>
        <v/>
      </c>
      <c r="R1285" s="29" t="str">
        <f>IF(OR(履歴データ!$A$1285="",履歴データ!$A$1284=""),"",I1285-I1284)</f>
        <v/>
      </c>
      <c r="S1285" s="28" t="str">
        <f>IF(OR(履歴データ!$A$1285="",履歴データ!$A$1284=""),"",(J1285-J1284)*100)</f>
        <v/>
      </c>
      <c r="T1285" s="11" t="str">
        <f>IF(OR(履歴データ!$A$1285="",履歴データ!$A$1284=""),"",-80000*K1285)</f>
        <v/>
      </c>
      <c r="U1285" s="11" t="str">
        <f>IF(OR(履歴データ!$A$1285="",履歴データ!$A$1284=""),"",60000*L1285)</f>
        <v/>
      </c>
      <c r="V1285" s="11" t="str">
        <f>IF(OR(履歴データ!$A$1285="",履歴データ!$A$1284=""),"",-50000*M1285)</f>
        <v/>
      </c>
      <c r="W1285" s="11" t="str">
        <f>IF(OR(履歴データ!$A$1285="",履歴データ!$A$1284=""),"",-40000*N1285)</f>
        <v/>
      </c>
      <c r="X1285" s="11" t="str">
        <f>IF(OR(履歴データ!$A$1285="",履歴データ!$A$1284=""),"",120*1000000*(-Q1285/H1284))</f>
        <v/>
      </c>
      <c r="Y1285" s="11" t="str">
        <f>IF(OR(履歴データ!$A$1285="",履歴データ!$A$1284=""),"",40000*(-S1285)+(-506.3)*R1285*1000)</f>
        <v/>
      </c>
      <c r="Z1285" s="11" t="str">
        <f>IF(OR(履歴データ!$A$1285="",履歴データ!$A$1284=""),"",-40000*O1285)</f>
        <v/>
      </c>
      <c r="AA1285" s="11" t="str">
        <f>IF(OR(履歴データ!$A$1285="",履歴データ!$A$1284=""),"",-40000*P1285)</f>
        <v/>
      </c>
      <c r="AB1285" s="11" t="str">
        <f>IF(履歴データ!$A$1285="","",123.3)</f>
        <v/>
      </c>
      <c r="AC1285" t="str">
        <f>IF(履歴データ!$A$1285="","",SUM(T1285:AA1285))</f>
        <v/>
      </c>
      <c r="AD1285" s="29" t="str">
        <f>IF(履歴データ!$A$1285="","",AC1285/1000000)</f>
        <v/>
      </c>
      <c r="AE1285" s="29">
        <f>IF(履歴データ!$A$1285="",AE1284,AE1284+AC1285/1000000)</f>
        <v>70.844544225831427</v>
      </c>
      <c r="AF1285" s="12" t="str">
        <f>IF(OR(履歴データ!$A$1285="",AE1284=0),"",(AE1285-AE1284)/AE1284)</f>
        <v/>
      </c>
      <c r="AG1285" s="29">
        <f t="shared" si="50"/>
        <v>102.17217746631495</v>
      </c>
      <c r="AH1285" s="12" t="str">
        <f>IF(OR(履歴データ!$A$1285="",AG1285=0),"",AE1285/AG1285-1)</f>
        <v/>
      </c>
    </row>
    <row r="1286" spans="1:34">
      <c r="A1286" s="10" t="str">
        <f>IF(履歴データ!$A$1286="","",履歴データ!$A$1286)</f>
        <v/>
      </c>
      <c r="B1286" s="28" t="str">
        <f>IF(履歴データ!$A$1286="","",(履歴データ!$D$1286-(履歴データ!$B$1286+履歴データ!$F$1286)/2)*100)</f>
        <v/>
      </c>
      <c r="C1286" s="28" t="str">
        <f>IF(履歴データ!$A$1286="","",(履歴データ!$H$1286-(履歴データ!$G$1286+履歴データ!$J$1286)/2)*100)</f>
        <v/>
      </c>
      <c r="D1286" s="28" t="str">
        <f>IF(履歴データ!$A$1286="","",(履歴データ!$D$1286-履歴データ!$H$1286)*100)</f>
        <v/>
      </c>
      <c r="E1286" s="28" t="str">
        <f>IF(履歴データ!$A$1286="","",(履歴データ!$D$1286-履歴データ!$C$1286)*100)</f>
        <v/>
      </c>
      <c r="F1286" s="28" t="str">
        <f>IF(履歴データ!$A$1286="","",(履歴データ!$R$1286-履歴データ!$D$1286)*100)</f>
        <v/>
      </c>
      <c r="G1286" s="28" t="str">
        <f>IF(履歴データ!$A$1286="","",(履歴データ!$S$1286-履歴データ!$R$1286)*100)</f>
        <v/>
      </c>
      <c r="H1286" s="29" t="str">
        <f>IF(履歴データ!$A$1286="","",履歴データ!$O$1286)</f>
        <v/>
      </c>
      <c r="I1286" s="29" t="str">
        <f>IF(履歴データ!$A$1286="","",履歴データ!$Q$1286)</f>
        <v/>
      </c>
      <c r="J1286" s="29" t="str">
        <f>IF(履歴データ!$A$1286="","",履歴データ!$D$1286)</f>
        <v/>
      </c>
      <c r="K1286" s="28" t="str">
        <f>IF(OR(履歴データ!$A$1286="",履歴データ!$A$1285=""),"",B1286-B1285)</f>
        <v/>
      </c>
      <c r="L1286" s="28" t="str">
        <f>IF(OR(履歴データ!$A$1286="",履歴データ!$A$1285=""),"",C1286-C1285)</f>
        <v/>
      </c>
      <c r="M1286" s="28" t="str">
        <f>IF(OR(履歴データ!$A$1286="",履歴データ!$A$1285=""),"",D1286-D1285)</f>
        <v/>
      </c>
      <c r="N1286" s="28" t="str">
        <f>IF(OR(履歴データ!$A$1286="",履歴データ!$A$1285=""),"",E1286-E1285)</f>
        <v/>
      </c>
      <c r="O1286" s="28" t="str">
        <f>IF(OR(履歴データ!$A$1286="",履歴データ!$A$1285=""),"",F1286-F1285)</f>
        <v/>
      </c>
      <c r="P1286" s="28" t="str">
        <f>IF(OR(履歴データ!$A$1286="",履歴データ!$A$1285=""),"",G1286-G1285)</f>
        <v/>
      </c>
      <c r="Q1286" s="29" t="str">
        <f>IF(OR(履歴データ!$A$1286="",履歴データ!$A$1285=""),"",H1286-H1285)</f>
        <v/>
      </c>
      <c r="R1286" s="29" t="str">
        <f>IF(OR(履歴データ!$A$1286="",履歴データ!$A$1285=""),"",I1286-I1285)</f>
        <v/>
      </c>
      <c r="S1286" s="28" t="str">
        <f>IF(OR(履歴データ!$A$1286="",履歴データ!$A$1285=""),"",(J1286-J1285)*100)</f>
        <v/>
      </c>
      <c r="T1286" s="11" t="str">
        <f>IF(OR(履歴データ!$A$1286="",履歴データ!$A$1285=""),"",-80000*K1286)</f>
        <v/>
      </c>
      <c r="U1286" s="11" t="str">
        <f>IF(OR(履歴データ!$A$1286="",履歴データ!$A$1285=""),"",60000*L1286)</f>
        <v/>
      </c>
      <c r="V1286" s="11" t="str">
        <f>IF(OR(履歴データ!$A$1286="",履歴データ!$A$1285=""),"",-50000*M1286)</f>
        <v/>
      </c>
      <c r="W1286" s="11" t="str">
        <f>IF(OR(履歴データ!$A$1286="",履歴データ!$A$1285=""),"",-40000*N1286)</f>
        <v/>
      </c>
      <c r="X1286" s="11" t="str">
        <f>IF(OR(履歴データ!$A$1286="",履歴データ!$A$1285=""),"",120*1000000*(-Q1286/H1285))</f>
        <v/>
      </c>
      <c r="Y1286" s="11" t="str">
        <f>IF(OR(履歴データ!$A$1286="",履歴データ!$A$1285=""),"",40000*(-S1286)+(-506.3)*R1286*1000)</f>
        <v/>
      </c>
      <c r="Z1286" s="11" t="str">
        <f>IF(OR(履歴データ!$A$1286="",履歴データ!$A$1285=""),"",-40000*O1286)</f>
        <v/>
      </c>
      <c r="AA1286" s="11" t="str">
        <f>IF(OR(履歴データ!$A$1286="",履歴データ!$A$1285=""),"",-40000*P1286)</f>
        <v/>
      </c>
      <c r="AB1286" s="11" t="str">
        <f>IF(履歴データ!$A$1286="","",123.3)</f>
        <v/>
      </c>
      <c r="AC1286" t="str">
        <f>IF(履歴データ!$A$1286="","",SUM(T1286:AA1286))</f>
        <v/>
      </c>
      <c r="AD1286" s="29" t="str">
        <f>IF(履歴データ!$A$1286="","",AC1286/1000000)</f>
        <v/>
      </c>
      <c r="AE1286" s="29">
        <f>IF(履歴データ!$A$1286="",AE1285,AE1285+AC1286/1000000)</f>
        <v>70.844544225831427</v>
      </c>
      <c r="AF1286" s="12" t="str">
        <f>IF(OR(履歴データ!$A$1286="",AE1285=0),"",(AE1286-AE1285)/AE1285)</f>
        <v/>
      </c>
      <c r="AG1286" s="29">
        <f t="shared" si="50"/>
        <v>102.17217746631495</v>
      </c>
      <c r="AH1286" s="12" t="str">
        <f>IF(OR(履歴データ!$A$1286="",AG1286=0),"",AE1286/AG1286-1)</f>
        <v/>
      </c>
    </row>
    <row r="1287" spans="1:34">
      <c r="A1287" s="10" t="str">
        <f>IF(履歴データ!$A$1287="","",履歴データ!$A$1287)</f>
        <v/>
      </c>
      <c r="B1287" s="28" t="str">
        <f>IF(履歴データ!$A$1287="","",(履歴データ!$D$1287-(履歴データ!$B$1287+履歴データ!$F$1287)/2)*100)</f>
        <v/>
      </c>
      <c r="C1287" s="28" t="str">
        <f>IF(履歴データ!$A$1287="","",(履歴データ!$H$1287-(履歴データ!$G$1287+履歴データ!$J$1287)/2)*100)</f>
        <v/>
      </c>
      <c r="D1287" s="28" t="str">
        <f>IF(履歴データ!$A$1287="","",(履歴データ!$D$1287-履歴データ!$H$1287)*100)</f>
        <v/>
      </c>
      <c r="E1287" s="28" t="str">
        <f>IF(履歴データ!$A$1287="","",(履歴データ!$D$1287-履歴データ!$C$1287)*100)</f>
        <v/>
      </c>
      <c r="F1287" s="28" t="str">
        <f>IF(履歴データ!$A$1287="","",(履歴データ!$R$1287-履歴データ!$D$1287)*100)</f>
        <v/>
      </c>
      <c r="G1287" s="28" t="str">
        <f>IF(履歴データ!$A$1287="","",(履歴データ!$S$1287-履歴データ!$R$1287)*100)</f>
        <v/>
      </c>
      <c r="H1287" s="29" t="str">
        <f>IF(履歴データ!$A$1287="","",履歴データ!$O$1287)</f>
        <v/>
      </c>
      <c r="I1287" s="29" t="str">
        <f>IF(履歴データ!$A$1287="","",履歴データ!$Q$1287)</f>
        <v/>
      </c>
      <c r="J1287" s="29" t="str">
        <f>IF(履歴データ!$A$1287="","",履歴データ!$D$1287)</f>
        <v/>
      </c>
      <c r="K1287" s="28" t="str">
        <f>IF(OR(履歴データ!$A$1287="",履歴データ!$A$1286=""),"",B1287-B1286)</f>
        <v/>
      </c>
      <c r="L1287" s="28" t="str">
        <f>IF(OR(履歴データ!$A$1287="",履歴データ!$A$1286=""),"",C1287-C1286)</f>
        <v/>
      </c>
      <c r="M1287" s="28" t="str">
        <f>IF(OR(履歴データ!$A$1287="",履歴データ!$A$1286=""),"",D1287-D1286)</f>
        <v/>
      </c>
      <c r="N1287" s="28" t="str">
        <f>IF(OR(履歴データ!$A$1287="",履歴データ!$A$1286=""),"",E1287-E1286)</f>
        <v/>
      </c>
      <c r="O1287" s="28" t="str">
        <f>IF(OR(履歴データ!$A$1287="",履歴データ!$A$1286=""),"",F1287-F1286)</f>
        <v/>
      </c>
      <c r="P1287" s="28" t="str">
        <f>IF(OR(履歴データ!$A$1287="",履歴データ!$A$1286=""),"",G1287-G1286)</f>
        <v/>
      </c>
      <c r="Q1287" s="29" t="str">
        <f>IF(OR(履歴データ!$A$1287="",履歴データ!$A$1286=""),"",H1287-H1286)</f>
        <v/>
      </c>
      <c r="R1287" s="29" t="str">
        <f>IF(OR(履歴データ!$A$1287="",履歴データ!$A$1286=""),"",I1287-I1286)</f>
        <v/>
      </c>
      <c r="S1287" s="28" t="str">
        <f>IF(OR(履歴データ!$A$1287="",履歴データ!$A$1286=""),"",(J1287-J1286)*100)</f>
        <v/>
      </c>
      <c r="T1287" s="11" t="str">
        <f>IF(OR(履歴データ!$A$1287="",履歴データ!$A$1286=""),"",-80000*K1287)</f>
        <v/>
      </c>
      <c r="U1287" s="11" t="str">
        <f>IF(OR(履歴データ!$A$1287="",履歴データ!$A$1286=""),"",60000*L1287)</f>
        <v/>
      </c>
      <c r="V1287" s="11" t="str">
        <f>IF(OR(履歴データ!$A$1287="",履歴データ!$A$1286=""),"",-50000*M1287)</f>
        <v/>
      </c>
      <c r="W1287" s="11" t="str">
        <f>IF(OR(履歴データ!$A$1287="",履歴データ!$A$1286=""),"",-40000*N1287)</f>
        <v/>
      </c>
      <c r="X1287" s="11" t="str">
        <f>IF(OR(履歴データ!$A$1287="",履歴データ!$A$1286=""),"",120*1000000*(-Q1287/H1286))</f>
        <v/>
      </c>
      <c r="Y1287" s="11" t="str">
        <f>IF(OR(履歴データ!$A$1287="",履歴データ!$A$1286=""),"",40000*(-S1287)+(-506.3)*R1287*1000)</f>
        <v/>
      </c>
      <c r="Z1287" s="11" t="str">
        <f>IF(OR(履歴データ!$A$1287="",履歴データ!$A$1286=""),"",-40000*O1287)</f>
        <v/>
      </c>
      <c r="AA1287" s="11" t="str">
        <f>IF(OR(履歴データ!$A$1287="",履歴データ!$A$1286=""),"",-40000*P1287)</f>
        <v/>
      </c>
      <c r="AB1287" s="11" t="str">
        <f>IF(履歴データ!$A$1287="","",123.3)</f>
        <v/>
      </c>
      <c r="AC1287" t="str">
        <f>IF(履歴データ!$A$1287="","",SUM(T1287:AA1287))</f>
        <v/>
      </c>
      <c r="AD1287" s="29" t="str">
        <f>IF(履歴データ!$A$1287="","",AC1287/1000000)</f>
        <v/>
      </c>
      <c r="AE1287" s="29">
        <f>IF(履歴データ!$A$1287="",AE1286,AE1286+AC1287/1000000)</f>
        <v>70.844544225831427</v>
      </c>
      <c r="AF1287" s="12" t="str">
        <f>IF(OR(履歴データ!$A$1287="",AE1286=0),"",(AE1287-AE1286)/AE1286)</f>
        <v/>
      </c>
      <c r="AG1287" s="29">
        <f t="shared" si="50"/>
        <v>102.17217746631495</v>
      </c>
      <c r="AH1287" s="12" t="str">
        <f>IF(OR(履歴データ!$A$1287="",AG1287=0),"",AE1287/AG1287-1)</f>
        <v/>
      </c>
    </row>
    <row r="1288" spans="1:34">
      <c r="A1288" s="10" t="str">
        <f>IF(履歴データ!$A$1288="","",履歴データ!$A$1288)</f>
        <v/>
      </c>
      <c r="B1288" s="28" t="str">
        <f>IF(履歴データ!$A$1288="","",(履歴データ!$D$1288-(履歴データ!$B$1288+履歴データ!$F$1288)/2)*100)</f>
        <v/>
      </c>
      <c r="C1288" s="28" t="str">
        <f>IF(履歴データ!$A$1288="","",(履歴データ!$H$1288-(履歴データ!$G$1288+履歴データ!$J$1288)/2)*100)</f>
        <v/>
      </c>
      <c r="D1288" s="28" t="str">
        <f>IF(履歴データ!$A$1288="","",(履歴データ!$D$1288-履歴データ!$H$1288)*100)</f>
        <v/>
      </c>
      <c r="E1288" s="28" t="str">
        <f>IF(履歴データ!$A$1288="","",(履歴データ!$D$1288-履歴データ!$C$1288)*100)</f>
        <v/>
      </c>
      <c r="F1288" s="28" t="str">
        <f>IF(履歴データ!$A$1288="","",(履歴データ!$R$1288-履歴データ!$D$1288)*100)</f>
        <v/>
      </c>
      <c r="G1288" s="28" t="str">
        <f>IF(履歴データ!$A$1288="","",(履歴データ!$S$1288-履歴データ!$R$1288)*100)</f>
        <v/>
      </c>
      <c r="H1288" s="29" t="str">
        <f>IF(履歴データ!$A$1288="","",履歴データ!$O$1288)</f>
        <v/>
      </c>
      <c r="I1288" s="29" t="str">
        <f>IF(履歴データ!$A$1288="","",履歴データ!$Q$1288)</f>
        <v/>
      </c>
      <c r="J1288" s="29" t="str">
        <f>IF(履歴データ!$A$1288="","",履歴データ!$D$1288)</f>
        <v/>
      </c>
      <c r="K1288" s="28" t="str">
        <f>IF(OR(履歴データ!$A$1288="",履歴データ!$A$1287=""),"",B1288-B1287)</f>
        <v/>
      </c>
      <c r="L1288" s="28" t="str">
        <f>IF(OR(履歴データ!$A$1288="",履歴データ!$A$1287=""),"",C1288-C1287)</f>
        <v/>
      </c>
      <c r="M1288" s="28" t="str">
        <f>IF(OR(履歴データ!$A$1288="",履歴データ!$A$1287=""),"",D1288-D1287)</f>
        <v/>
      </c>
      <c r="N1288" s="28" t="str">
        <f>IF(OR(履歴データ!$A$1288="",履歴データ!$A$1287=""),"",E1288-E1287)</f>
        <v/>
      </c>
      <c r="O1288" s="28" t="str">
        <f>IF(OR(履歴データ!$A$1288="",履歴データ!$A$1287=""),"",F1288-F1287)</f>
        <v/>
      </c>
      <c r="P1288" s="28" t="str">
        <f>IF(OR(履歴データ!$A$1288="",履歴データ!$A$1287=""),"",G1288-G1287)</f>
        <v/>
      </c>
      <c r="Q1288" s="29" t="str">
        <f>IF(OR(履歴データ!$A$1288="",履歴データ!$A$1287=""),"",H1288-H1287)</f>
        <v/>
      </c>
      <c r="R1288" s="29" t="str">
        <f>IF(OR(履歴データ!$A$1288="",履歴データ!$A$1287=""),"",I1288-I1287)</f>
        <v/>
      </c>
      <c r="S1288" s="28" t="str">
        <f>IF(OR(履歴データ!$A$1288="",履歴データ!$A$1287=""),"",(J1288-J1287)*100)</f>
        <v/>
      </c>
      <c r="T1288" s="11" t="str">
        <f>IF(OR(履歴データ!$A$1288="",履歴データ!$A$1287=""),"",-80000*K1288)</f>
        <v/>
      </c>
      <c r="U1288" s="11" t="str">
        <f>IF(OR(履歴データ!$A$1288="",履歴データ!$A$1287=""),"",60000*L1288)</f>
        <v/>
      </c>
      <c r="V1288" s="11" t="str">
        <f>IF(OR(履歴データ!$A$1288="",履歴データ!$A$1287=""),"",-50000*M1288)</f>
        <v/>
      </c>
      <c r="W1288" s="11" t="str">
        <f>IF(OR(履歴データ!$A$1288="",履歴データ!$A$1287=""),"",-40000*N1288)</f>
        <v/>
      </c>
      <c r="X1288" s="11" t="str">
        <f>IF(OR(履歴データ!$A$1288="",履歴データ!$A$1287=""),"",120*1000000*(-Q1288/H1287))</f>
        <v/>
      </c>
      <c r="Y1288" s="11" t="str">
        <f>IF(OR(履歴データ!$A$1288="",履歴データ!$A$1287=""),"",40000*(-S1288)+(-506.3)*R1288*1000)</f>
        <v/>
      </c>
      <c r="Z1288" s="11" t="str">
        <f>IF(OR(履歴データ!$A$1288="",履歴データ!$A$1287=""),"",-40000*O1288)</f>
        <v/>
      </c>
      <c r="AA1288" s="11" t="str">
        <f>IF(OR(履歴データ!$A$1288="",履歴データ!$A$1287=""),"",-40000*P1288)</f>
        <v/>
      </c>
      <c r="AB1288" s="11" t="str">
        <f>IF(履歴データ!$A$1288="","",123.3)</f>
        <v/>
      </c>
      <c r="AC1288" t="str">
        <f>IF(履歴データ!$A$1288="","",SUM(T1288:AA1288))</f>
        <v/>
      </c>
      <c r="AD1288" s="29" t="str">
        <f>IF(履歴データ!$A$1288="","",AC1288/1000000)</f>
        <v/>
      </c>
      <c r="AE1288" s="29">
        <f>IF(履歴データ!$A$1288="",AE1287,AE1287+AC1288/1000000)</f>
        <v>70.844544225831427</v>
      </c>
      <c r="AF1288" s="12" t="str">
        <f>IF(OR(履歴データ!$A$1288="",AE1287=0),"",(AE1288-AE1287)/AE1287)</f>
        <v/>
      </c>
      <c r="AG1288" s="29">
        <f t="shared" si="50"/>
        <v>102.17217746631495</v>
      </c>
      <c r="AH1288" s="12" t="str">
        <f>IF(OR(履歴データ!$A$1288="",AG1288=0),"",AE1288/AG1288-1)</f>
        <v/>
      </c>
    </row>
    <row r="1289" spans="1:34">
      <c r="A1289" s="10" t="str">
        <f>IF(履歴データ!$A$1289="","",履歴データ!$A$1289)</f>
        <v/>
      </c>
      <c r="B1289" s="28" t="str">
        <f>IF(履歴データ!$A$1289="","",(履歴データ!$D$1289-(履歴データ!$B$1289+履歴データ!$F$1289)/2)*100)</f>
        <v/>
      </c>
      <c r="C1289" s="28" t="str">
        <f>IF(履歴データ!$A$1289="","",(履歴データ!$H$1289-(履歴データ!$G$1289+履歴データ!$J$1289)/2)*100)</f>
        <v/>
      </c>
      <c r="D1289" s="28" t="str">
        <f>IF(履歴データ!$A$1289="","",(履歴データ!$D$1289-履歴データ!$H$1289)*100)</f>
        <v/>
      </c>
      <c r="E1289" s="28" t="str">
        <f>IF(履歴データ!$A$1289="","",(履歴データ!$D$1289-履歴データ!$C$1289)*100)</f>
        <v/>
      </c>
      <c r="F1289" s="28" t="str">
        <f>IF(履歴データ!$A$1289="","",(履歴データ!$R$1289-履歴データ!$D$1289)*100)</f>
        <v/>
      </c>
      <c r="G1289" s="28" t="str">
        <f>IF(履歴データ!$A$1289="","",(履歴データ!$S$1289-履歴データ!$R$1289)*100)</f>
        <v/>
      </c>
      <c r="H1289" s="29" t="str">
        <f>IF(履歴データ!$A$1289="","",履歴データ!$O$1289)</f>
        <v/>
      </c>
      <c r="I1289" s="29" t="str">
        <f>IF(履歴データ!$A$1289="","",履歴データ!$Q$1289)</f>
        <v/>
      </c>
      <c r="J1289" s="29" t="str">
        <f>IF(履歴データ!$A$1289="","",履歴データ!$D$1289)</f>
        <v/>
      </c>
      <c r="K1289" s="28" t="str">
        <f>IF(OR(履歴データ!$A$1289="",履歴データ!$A$1288=""),"",B1289-B1288)</f>
        <v/>
      </c>
      <c r="L1289" s="28" t="str">
        <f>IF(OR(履歴データ!$A$1289="",履歴データ!$A$1288=""),"",C1289-C1288)</f>
        <v/>
      </c>
      <c r="M1289" s="28" t="str">
        <f>IF(OR(履歴データ!$A$1289="",履歴データ!$A$1288=""),"",D1289-D1288)</f>
        <v/>
      </c>
      <c r="N1289" s="28" t="str">
        <f>IF(OR(履歴データ!$A$1289="",履歴データ!$A$1288=""),"",E1289-E1288)</f>
        <v/>
      </c>
      <c r="O1289" s="28" t="str">
        <f>IF(OR(履歴データ!$A$1289="",履歴データ!$A$1288=""),"",F1289-F1288)</f>
        <v/>
      </c>
      <c r="P1289" s="28" t="str">
        <f>IF(OR(履歴データ!$A$1289="",履歴データ!$A$1288=""),"",G1289-G1288)</f>
        <v/>
      </c>
      <c r="Q1289" s="29" t="str">
        <f>IF(OR(履歴データ!$A$1289="",履歴データ!$A$1288=""),"",H1289-H1288)</f>
        <v/>
      </c>
      <c r="R1289" s="29" t="str">
        <f>IF(OR(履歴データ!$A$1289="",履歴データ!$A$1288=""),"",I1289-I1288)</f>
        <v/>
      </c>
      <c r="S1289" s="28" t="str">
        <f>IF(OR(履歴データ!$A$1289="",履歴データ!$A$1288=""),"",(J1289-J1288)*100)</f>
        <v/>
      </c>
      <c r="T1289" s="11" t="str">
        <f>IF(OR(履歴データ!$A$1289="",履歴データ!$A$1288=""),"",-80000*K1289)</f>
        <v/>
      </c>
      <c r="U1289" s="11" t="str">
        <f>IF(OR(履歴データ!$A$1289="",履歴データ!$A$1288=""),"",60000*L1289)</f>
        <v/>
      </c>
      <c r="V1289" s="11" t="str">
        <f>IF(OR(履歴データ!$A$1289="",履歴データ!$A$1288=""),"",-50000*M1289)</f>
        <v/>
      </c>
      <c r="W1289" s="11" t="str">
        <f>IF(OR(履歴データ!$A$1289="",履歴データ!$A$1288=""),"",-40000*N1289)</f>
        <v/>
      </c>
      <c r="X1289" s="11" t="str">
        <f>IF(OR(履歴データ!$A$1289="",履歴データ!$A$1288=""),"",120*1000000*(-Q1289/H1288))</f>
        <v/>
      </c>
      <c r="Y1289" s="11" t="str">
        <f>IF(OR(履歴データ!$A$1289="",履歴データ!$A$1288=""),"",40000*(-S1289)+(-506.3)*R1289*1000)</f>
        <v/>
      </c>
      <c r="Z1289" s="11" t="str">
        <f>IF(OR(履歴データ!$A$1289="",履歴データ!$A$1288=""),"",-40000*O1289)</f>
        <v/>
      </c>
      <c r="AA1289" s="11" t="str">
        <f>IF(OR(履歴データ!$A$1289="",履歴データ!$A$1288=""),"",-40000*P1289)</f>
        <v/>
      </c>
      <c r="AB1289" s="11" t="str">
        <f>IF(履歴データ!$A$1289="","",123.3)</f>
        <v/>
      </c>
      <c r="AC1289" t="str">
        <f>IF(履歴データ!$A$1289="","",SUM(T1289:AA1289))</f>
        <v/>
      </c>
      <c r="AD1289" s="29" t="str">
        <f>IF(履歴データ!$A$1289="","",AC1289/1000000)</f>
        <v/>
      </c>
      <c r="AE1289" s="29">
        <f>IF(履歴データ!$A$1289="",AE1288,AE1288+AC1289/1000000)</f>
        <v>70.844544225831427</v>
      </c>
      <c r="AF1289" s="12" t="str">
        <f>IF(OR(履歴データ!$A$1289="",AE1288=0),"",(AE1289-AE1288)/AE1288)</f>
        <v/>
      </c>
      <c r="AG1289" s="29">
        <f t="shared" si="50"/>
        <v>102.17217746631495</v>
      </c>
      <c r="AH1289" s="12" t="str">
        <f>IF(OR(履歴データ!$A$1289="",AG1289=0),"",AE1289/AG1289-1)</f>
        <v/>
      </c>
    </row>
    <row r="1290" spans="1:34">
      <c r="A1290" s="10" t="str">
        <f>IF(履歴データ!$A$1290="","",履歴データ!$A$1290)</f>
        <v/>
      </c>
      <c r="B1290" s="28" t="str">
        <f>IF(履歴データ!$A$1290="","",(履歴データ!$D$1290-(履歴データ!$B$1290+履歴データ!$F$1290)/2)*100)</f>
        <v/>
      </c>
      <c r="C1290" s="28" t="str">
        <f>IF(履歴データ!$A$1290="","",(履歴データ!$H$1290-(履歴データ!$G$1290+履歴データ!$J$1290)/2)*100)</f>
        <v/>
      </c>
      <c r="D1290" s="28" t="str">
        <f>IF(履歴データ!$A$1290="","",(履歴データ!$D$1290-履歴データ!$H$1290)*100)</f>
        <v/>
      </c>
      <c r="E1290" s="28" t="str">
        <f>IF(履歴データ!$A$1290="","",(履歴データ!$D$1290-履歴データ!$C$1290)*100)</f>
        <v/>
      </c>
      <c r="F1290" s="28" t="str">
        <f>IF(履歴データ!$A$1290="","",(履歴データ!$R$1290-履歴データ!$D$1290)*100)</f>
        <v/>
      </c>
      <c r="G1290" s="28" t="str">
        <f>IF(履歴データ!$A$1290="","",(履歴データ!$S$1290-履歴データ!$R$1290)*100)</f>
        <v/>
      </c>
      <c r="H1290" s="29" t="str">
        <f>IF(履歴データ!$A$1290="","",履歴データ!$O$1290)</f>
        <v/>
      </c>
      <c r="I1290" s="29" t="str">
        <f>IF(履歴データ!$A$1290="","",履歴データ!$Q$1290)</f>
        <v/>
      </c>
      <c r="J1290" s="29" t="str">
        <f>IF(履歴データ!$A$1290="","",履歴データ!$D$1290)</f>
        <v/>
      </c>
      <c r="K1290" s="28" t="str">
        <f>IF(OR(履歴データ!$A$1290="",履歴データ!$A$1289=""),"",B1290-B1289)</f>
        <v/>
      </c>
      <c r="L1290" s="28" t="str">
        <f>IF(OR(履歴データ!$A$1290="",履歴データ!$A$1289=""),"",C1290-C1289)</f>
        <v/>
      </c>
      <c r="M1290" s="28" t="str">
        <f>IF(OR(履歴データ!$A$1290="",履歴データ!$A$1289=""),"",D1290-D1289)</f>
        <v/>
      </c>
      <c r="N1290" s="28" t="str">
        <f>IF(OR(履歴データ!$A$1290="",履歴データ!$A$1289=""),"",E1290-E1289)</f>
        <v/>
      </c>
      <c r="O1290" s="28" t="str">
        <f>IF(OR(履歴データ!$A$1290="",履歴データ!$A$1289=""),"",F1290-F1289)</f>
        <v/>
      </c>
      <c r="P1290" s="28" t="str">
        <f>IF(OR(履歴データ!$A$1290="",履歴データ!$A$1289=""),"",G1290-G1289)</f>
        <v/>
      </c>
      <c r="Q1290" s="29" t="str">
        <f>IF(OR(履歴データ!$A$1290="",履歴データ!$A$1289=""),"",H1290-H1289)</f>
        <v/>
      </c>
      <c r="R1290" s="29" t="str">
        <f>IF(OR(履歴データ!$A$1290="",履歴データ!$A$1289=""),"",I1290-I1289)</f>
        <v/>
      </c>
      <c r="S1290" s="28" t="str">
        <f>IF(OR(履歴データ!$A$1290="",履歴データ!$A$1289=""),"",(J1290-J1289)*100)</f>
        <v/>
      </c>
      <c r="T1290" s="11" t="str">
        <f>IF(OR(履歴データ!$A$1290="",履歴データ!$A$1289=""),"",-80000*K1290)</f>
        <v/>
      </c>
      <c r="U1290" s="11" t="str">
        <f>IF(OR(履歴データ!$A$1290="",履歴データ!$A$1289=""),"",60000*L1290)</f>
        <v/>
      </c>
      <c r="V1290" s="11" t="str">
        <f>IF(OR(履歴データ!$A$1290="",履歴データ!$A$1289=""),"",-50000*M1290)</f>
        <v/>
      </c>
      <c r="W1290" s="11" t="str">
        <f>IF(OR(履歴データ!$A$1290="",履歴データ!$A$1289=""),"",-40000*N1290)</f>
        <v/>
      </c>
      <c r="X1290" s="11" t="str">
        <f>IF(OR(履歴データ!$A$1290="",履歴データ!$A$1289=""),"",120*1000000*(-Q1290/H1289))</f>
        <v/>
      </c>
      <c r="Y1290" s="11" t="str">
        <f>IF(OR(履歴データ!$A$1290="",履歴データ!$A$1289=""),"",40000*(-S1290)+(-506.3)*R1290*1000)</f>
        <v/>
      </c>
      <c r="Z1290" s="11" t="str">
        <f>IF(OR(履歴データ!$A$1290="",履歴データ!$A$1289=""),"",-40000*O1290)</f>
        <v/>
      </c>
      <c r="AA1290" s="11" t="str">
        <f>IF(OR(履歴データ!$A$1290="",履歴データ!$A$1289=""),"",-40000*P1290)</f>
        <v/>
      </c>
      <c r="AB1290" s="11" t="str">
        <f>IF(履歴データ!$A$1290="","",123.3)</f>
        <v/>
      </c>
      <c r="AC1290" t="str">
        <f>IF(履歴データ!$A$1290="","",SUM(T1290:AA1290))</f>
        <v/>
      </c>
      <c r="AD1290" s="29" t="str">
        <f>IF(履歴データ!$A$1290="","",AC1290/1000000)</f>
        <v/>
      </c>
      <c r="AE1290" s="29">
        <f>IF(履歴データ!$A$1290="",AE1289,AE1289+AC1290/1000000)</f>
        <v>70.844544225831427</v>
      </c>
      <c r="AF1290" s="12" t="str">
        <f>IF(OR(履歴データ!$A$1290="",AE1289=0),"",(AE1290-AE1289)/AE1289)</f>
        <v/>
      </c>
      <c r="AG1290" s="29">
        <f t="shared" si="50"/>
        <v>102.17217746631495</v>
      </c>
      <c r="AH1290" s="12" t="str">
        <f>IF(OR(履歴データ!$A$1290="",AG1290=0),"",AE1290/AG1290-1)</f>
        <v/>
      </c>
    </row>
    <row r="1291" spans="1:34">
      <c r="A1291" s="10" t="str">
        <f>IF(履歴データ!$A$1291="","",履歴データ!$A$1291)</f>
        <v/>
      </c>
      <c r="B1291" s="28" t="str">
        <f>IF(履歴データ!$A$1291="","",(履歴データ!$D$1291-(履歴データ!$B$1291+履歴データ!$F$1291)/2)*100)</f>
        <v/>
      </c>
      <c r="C1291" s="28" t="str">
        <f>IF(履歴データ!$A$1291="","",(履歴データ!$H$1291-(履歴データ!$G$1291+履歴データ!$J$1291)/2)*100)</f>
        <v/>
      </c>
      <c r="D1291" s="28" t="str">
        <f>IF(履歴データ!$A$1291="","",(履歴データ!$D$1291-履歴データ!$H$1291)*100)</f>
        <v/>
      </c>
      <c r="E1291" s="28" t="str">
        <f>IF(履歴データ!$A$1291="","",(履歴データ!$D$1291-履歴データ!$C$1291)*100)</f>
        <v/>
      </c>
      <c r="F1291" s="28" t="str">
        <f>IF(履歴データ!$A$1291="","",(履歴データ!$R$1291-履歴データ!$D$1291)*100)</f>
        <v/>
      </c>
      <c r="G1291" s="28" t="str">
        <f>IF(履歴データ!$A$1291="","",(履歴データ!$S$1291-履歴データ!$R$1291)*100)</f>
        <v/>
      </c>
      <c r="H1291" s="29" t="str">
        <f>IF(履歴データ!$A$1291="","",履歴データ!$O$1291)</f>
        <v/>
      </c>
      <c r="I1291" s="29" t="str">
        <f>IF(履歴データ!$A$1291="","",履歴データ!$Q$1291)</f>
        <v/>
      </c>
      <c r="J1291" s="29" t="str">
        <f>IF(履歴データ!$A$1291="","",履歴データ!$D$1291)</f>
        <v/>
      </c>
      <c r="K1291" s="28" t="str">
        <f>IF(OR(履歴データ!$A$1291="",履歴データ!$A$1290=""),"",B1291-B1290)</f>
        <v/>
      </c>
      <c r="L1291" s="28" t="str">
        <f>IF(OR(履歴データ!$A$1291="",履歴データ!$A$1290=""),"",C1291-C1290)</f>
        <v/>
      </c>
      <c r="M1291" s="28" t="str">
        <f>IF(OR(履歴データ!$A$1291="",履歴データ!$A$1290=""),"",D1291-D1290)</f>
        <v/>
      </c>
      <c r="N1291" s="28" t="str">
        <f>IF(OR(履歴データ!$A$1291="",履歴データ!$A$1290=""),"",E1291-E1290)</f>
        <v/>
      </c>
      <c r="O1291" s="28" t="str">
        <f>IF(OR(履歴データ!$A$1291="",履歴データ!$A$1290=""),"",F1291-F1290)</f>
        <v/>
      </c>
      <c r="P1291" s="28" t="str">
        <f>IF(OR(履歴データ!$A$1291="",履歴データ!$A$1290=""),"",G1291-G1290)</f>
        <v/>
      </c>
      <c r="Q1291" s="29" t="str">
        <f>IF(OR(履歴データ!$A$1291="",履歴データ!$A$1290=""),"",H1291-H1290)</f>
        <v/>
      </c>
      <c r="R1291" s="29" t="str">
        <f>IF(OR(履歴データ!$A$1291="",履歴データ!$A$1290=""),"",I1291-I1290)</f>
        <v/>
      </c>
      <c r="S1291" s="28" t="str">
        <f>IF(OR(履歴データ!$A$1291="",履歴データ!$A$1290=""),"",(J1291-J1290)*100)</f>
        <v/>
      </c>
      <c r="T1291" s="11" t="str">
        <f>IF(OR(履歴データ!$A$1291="",履歴データ!$A$1290=""),"",-80000*K1291)</f>
        <v/>
      </c>
      <c r="U1291" s="11" t="str">
        <f>IF(OR(履歴データ!$A$1291="",履歴データ!$A$1290=""),"",60000*L1291)</f>
        <v/>
      </c>
      <c r="V1291" s="11" t="str">
        <f>IF(OR(履歴データ!$A$1291="",履歴データ!$A$1290=""),"",-50000*M1291)</f>
        <v/>
      </c>
      <c r="W1291" s="11" t="str">
        <f>IF(OR(履歴データ!$A$1291="",履歴データ!$A$1290=""),"",-40000*N1291)</f>
        <v/>
      </c>
      <c r="X1291" s="11" t="str">
        <f>IF(OR(履歴データ!$A$1291="",履歴データ!$A$1290=""),"",120*1000000*(-Q1291/H1290))</f>
        <v/>
      </c>
      <c r="Y1291" s="11" t="str">
        <f>IF(OR(履歴データ!$A$1291="",履歴データ!$A$1290=""),"",40000*(-S1291)+(-506.3)*R1291*1000)</f>
        <v/>
      </c>
      <c r="Z1291" s="11" t="str">
        <f>IF(OR(履歴データ!$A$1291="",履歴データ!$A$1290=""),"",-40000*O1291)</f>
        <v/>
      </c>
      <c r="AA1291" s="11" t="str">
        <f>IF(OR(履歴データ!$A$1291="",履歴データ!$A$1290=""),"",-40000*P1291)</f>
        <v/>
      </c>
      <c r="AB1291" s="11" t="str">
        <f>IF(履歴データ!$A$1291="","",123.3)</f>
        <v/>
      </c>
      <c r="AC1291" t="str">
        <f>IF(履歴データ!$A$1291="","",SUM(T1291:AA1291))</f>
        <v/>
      </c>
      <c r="AD1291" s="29" t="str">
        <f>IF(履歴データ!$A$1291="","",AC1291/1000000)</f>
        <v/>
      </c>
      <c r="AE1291" s="29">
        <f>IF(履歴データ!$A$1291="",AE1290,AE1290+AC1291/1000000)</f>
        <v>70.844544225831427</v>
      </c>
      <c r="AF1291" s="12" t="str">
        <f>IF(OR(履歴データ!$A$1291="",AE1290=0),"",(AE1291-AE1290)/AE1290)</f>
        <v/>
      </c>
      <c r="AG1291" s="29">
        <f t="shared" si="50"/>
        <v>102.17217746631495</v>
      </c>
      <c r="AH1291" s="12" t="str">
        <f>IF(OR(履歴データ!$A$1291="",AG1291=0),"",AE1291/AG1291-1)</f>
        <v/>
      </c>
    </row>
    <row r="1292" spans="1:34">
      <c r="A1292" s="10" t="str">
        <f>IF(履歴データ!$A$1292="","",履歴データ!$A$1292)</f>
        <v/>
      </c>
      <c r="B1292" s="28" t="str">
        <f>IF(履歴データ!$A$1292="","",(履歴データ!$D$1292-(履歴データ!$B$1292+履歴データ!$F$1292)/2)*100)</f>
        <v/>
      </c>
      <c r="C1292" s="28" t="str">
        <f>IF(履歴データ!$A$1292="","",(履歴データ!$H$1292-(履歴データ!$G$1292+履歴データ!$J$1292)/2)*100)</f>
        <v/>
      </c>
      <c r="D1292" s="28" t="str">
        <f>IF(履歴データ!$A$1292="","",(履歴データ!$D$1292-履歴データ!$H$1292)*100)</f>
        <v/>
      </c>
      <c r="E1292" s="28" t="str">
        <f>IF(履歴データ!$A$1292="","",(履歴データ!$D$1292-履歴データ!$C$1292)*100)</f>
        <v/>
      </c>
      <c r="F1292" s="28" t="str">
        <f>IF(履歴データ!$A$1292="","",(履歴データ!$R$1292-履歴データ!$D$1292)*100)</f>
        <v/>
      </c>
      <c r="G1292" s="28" t="str">
        <f>IF(履歴データ!$A$1292="","",(履歴データ!$S$1292-履歴データ!$R$1292)*100)</f>
        <v/>
      </c>
      <c r="H1292" s="29" t="str">
        <f>IF(履歴データ!$A$1292="","",履歴データ!$O$1292)</f>
        <v/>
      </c>
      <c r="I1292" s="29" t="str">
        <f>IF(履歴データ!$A$1292="","",履歴データ!$Q$1292)</f>
        <v/>
      </c>
      <c r="J1292" s="29" t="str">
        <f>IF(履歴データ!$A$1292="","",履歴データ!$D$1292)</f>
        <v/>
      </c>
      <c r="K1292" s="28" t="str">
        <f>IF(OR(履歴データ!$A$1292="",履歴データ!$A$1291=""),"",B1292-B1291)</f>
        <v/>
      </c>
      <c r="L1292" s="28" t="str">
        <f>IF(OR(履歴データ!$A$1292="",履歴データ!$A$1291=""),"",C1292-C1291)</f>
        <v/>
      </c>
      <c r="M1292" s="28" t="str">
        <f>IF(OR(履歴データ!$A$1292="",履歴データ!$A$1291=""),"",D1292-D1291)</f>
        <v/>
      </c>
      <c r="N1292" s="28" t="str">
        <f>IF(OR(履歴データ!$A$1292="",履歴データ!$A$1291=""),"",E1292-E1291)</f>
        <v/>
      </c>
      <c r="O1292" s="28" t="str">
        <f>IF(OR(履歴データ!$A$1292="",履歴データ!$A$1291=""),"",F1292-F1291)</f>
        <v/>
      </c>
      <c r="P1292" s="28" t="str">
        <f>IF(OR(履歴データ!$A$1292="",履歴データ!$A$1291=""),"",G1292-G1291)</f>
        <v/>
      </c>
      <c r="Q1292" s="29" t="str">
        <f>IF(OR(履歴データ!$A$1292="",履歴データ!$A$1291=""),"",H1292-H1291)</f>
        <v/>
      </c>
      <c r="R1292" s="29" t="str">
        <f>IF(OR(履歴データ!$A$1292="",履歴データ!$A$1291=""),"",I1292-I1291)</f>
        <v/>
      </c>
      <c r="S1292" s="28" t="str">
        <f>IF(OR(履歴データ!$A$1292="",履歴データ!$A$1291=""),"",(J1292-J1291)*100)</f>
        <v/>
      </c>
      <c r="T1292" s="11" t="str">
        <f>IF(OR(履歴データ!$A$1292="",履歴データ!$A$1291=""),"",-80000*K1292)</f>
        <v/>
      </c>
      <c r="U1292" s="11" t="str">
        <f>IF(OR(履歴データ!$A$1292="",履歴データ!$A$1291=""),"",60000*L1292)</f>
        <v/>
      </c>
      <c r="V1292" s="11" t="str">
        <f>IF(OR(履歴データ!$A$1292="",履歴データ!$A$1291=""),"",-50000*M1292)</f>
        <v/>
      </c>
      <c r="W1292" s="11" t="str">
        <f>IF(OR(履歴データ!$A$1292="",履歴データ!$A$1291=""),"",-40000*N1292)</f>
        <v/>
      </c>
      <c r="X1292" s="11" t="str">
        <f>IF(OR(履歴データ!$A$1292="",履歴データ!$A$1291=""),"",120*1000000*(-Q1292/H1291))</f>
        <v/>
      </c>
      <c r="Y1292" s="11" t="str">
        <f>IF(OR(履歴データ!$A$1292="",履歴データ!$A$1291=""),"",40000*(-S1292)+(-506.3)*R1292*1000)</f>
        <v/>
      </c>
      <c r="Z1292" s="11" t="str">
        <f>IF(OR(履歴データ!$A$1292="",履歴データ!$A$1291=""),"",-40000*O1292)</f>
        <v/>
      </c>
      <c r="AA1292" s="11" t="str">
        <f>IF(OR(履歴データ!$A$1292="",履歴データ!$A$1291=""),"",-40000*P1292)</f>
        <v/>
      </c>
      <c r="AB1292" s="11" t="str">
        <f>IF(履歴データ!$A$1292="","",123.3)</f>
        <v/>
      </c>
      <c r="AC1292" t="str">
        <f>IF(履歴データ!$A$1292="","",SUM(T1292:AA1292))</f>
        <v/>
      </c>
      <c r="AD1292" s="29" t="str">
        <f>IF(履歴データ!$A$1292="","",AC1292/1000000)</f>
        <v/>
      </c>
      <c r="AE1292" s="29">
        <f>IF(履歴データ!$A$1292="",AE1291,AE1291+AC1292/1000000)</f>
        <v>70.844544225831427</v>
      </c>
      <c r="AF1292" s="12" t="str">
        <f>IF(OR(履歴データ!$A$1292="",AE1291=0),"",(AE1292-AE1291)/AE1291)</f>
        <v/>
      </c>
      <c r="AG1292" s="29">
        <f t="shared" si="50"/>
        <v>102.17217746631495</v>
      </c>
      <c r="AH1292" s="12" t="str">
        <f>IF(OR(履歴データ!$A$1292="",AG1292=0),"",AE1292/AG1292-1)</f>
        <v/>
      </c>
    </row>
    <row r="1293" spans="1:34">
      <c r="A1293" s="10" t="str">
        <f>IF(履歴データ!$A$1293="","",履歴データ!$A$1293)</f>
        <v/>
      </c>
      <c r="B1293" s="28" t="str">
        <f>IF(履歴データ!$A$1293="","",(履歴データ!$D$1293-(履歴データ!$B$1293+履歴データ!$F$1293)/2)*100)</f>
        <v/>
      </c>
      <c r="C1293" s="28" t="str">
        <f>IF(履歴データ!$A$1293="","",(履歴データ!$H$1293-(履歴データ!$G$1293+履歴データ!$J$1293)/2)*100)</f>
        <v/>
      </c>
      <c r="D1293" s="28" t="str">
        <f>IF(履歴データ!$A$1293="","",(履歴データ!$D$1293-履歴データ!$H$1293)*100)</f>
        <v/>
      </c>
      <c r="E1293" s="28" t="str">
        <f>IF(履歴データ!$A$1293="","",(履歴データ!$D$1293-履歴データ!$C$1293)*100)</f>
        <v/>
      </c>
      <c r="F1293" s="28" t="str">
        <f>IF(履歴データ!$A$1293="","",(履歴データ!$R$1293-履歴データ!$D$1293)*100)</f>
        <v/>
      </c>
      <c r="G1293" s="28" t="str">
        <f>IF(履歴データ!$A$1293="","",(履歴データ!$S$1293-履歴データ!$R$1293)*100)</f>
        <v/>
      </c>
      <c r="H1293" s="29" t="str">
        <f>IF(履歴データ!$A$1293="","",履歴データ!$O$1293)</f>
        <v/>
      </c>
      <c r="I1293" s="29" t="str">
        <f>IF(履歴データ!$A$1293="","",履歴データ!$Q$1293)</f>
        <v/>
      </c>
      <c r="J1293" s="29" t="str">
        <f>IF(履歴データ!$A$1293="","",履歴データ!$D$1293)</f>
        <v/>
      </c>
      <c r="K1293" s="28" t="str">
        <f>IF(OR(履歴データ!$A$1293="",履歴データ!$A$1292=""),"",B1293-B1292)</f>
        <v/>
      </c>
      <c r="L1293" s="28" t="str">
        <f>IF(OR(履歴データ!$A$1293="",履歴データ!$A$1292=""),"",C1293-C1292)</f>
        <v/>
      </c>
      <c r="M1293" s="28" t="str">
        <f>IF(OR(履歴データ!$A$1293="",履歴データ!$A$1292=""),"",D1293-D1292)</f>
        <v/>
      </c>
      <c r="N1293" s="28" t="str">
        <f>IF(OR(履歴データ!$A$1293="",履歴データ!$A$1292=""),"",E1293-E1292)</f>
        <v/>
      </c>
      <c r="O1293" s="28" t="str">
        <f>IF(OR(履歴データ!$A$1293="",履歴データ!$A$1292=""),"",F1293-F1292)</f>
        <v/>
      </c>
      <c r="P1293" s="28" t="str">
        <f>IF(OR(履歴データ!$A$1293="",履歴データ!$A$1292=""),"",G1293-G1292)</f>
        <v/>
      </c>
      <c r="Q1293" s="29" t="str">
        <f>IF(OR(履歴データ!$A$1293="",履歴データ!$A$1292=""),"",H1293-H1292)</f>
        <v/>
      </c>
      <c r="R1293" s="29" t="str">
        <f>IF(OR(履歴データ!$A$1293="",履歴データ!$A$1292=""),"",I1293-I1292)</f>
        <v/>
      </c>
      <c r="S1293" s="28" t="str">
        <f>IF(OR(履歴データ!$A$1293="",履歴データ!$A$1292=""),"",(J1293-J1292)*100)</f>
        <v/>
      </c>
      <c r="T1293" s="11" t="str">
        <f>IF(OR(履歴データ!$A$1293="",履歴データ!$A$1292=""),"",-80000*K1293)</f>
        <v/>
      </c>
      <c r="U1293" s="11" t="str">
        <f>IF(OR(履歴データ!$A$1293="",履歴データ!$A$1292=""),"",60000*L1293)</f>
        <v/>
      </c>
      <c r="V1293" s="11" t="str">
        <f>IF(OR(履歴データ!$A$1293="",履歴データ!$A$1292=""),"",-50000*M1293)</f>
        <v/>
      </c>
      <c r="W1293" s="11" t="str">
        <f>IF(OR(履歴データ!$A$1293="",履歴データ!$A$1292=""),"",-40000*N1293)</f>
        <v/>
      </c>
      <c r="X1293" s="11" t="str">
        <f>IF(OR(履歴データ!$A$1293="",履歴データ!$A$1292=""),"",120*1000000*(-Q1293/H1292))</f>
        <v/>
      </c>
      <c r="Y1293" s="11" t="str">
        <f>IF(OR(履歴データ!$A$1293="",履歴データ!$A$1292=""),"",40000*(-S1293)+(-506.3)*R1293*1000)</f>
        <v/>
      </c>
      <c r="Z1293" s="11" t="str">
        <f>IF(OR(履歴データ!$A$1293="",履歴データ!$A$1292=""),"",-40000*O1293)</f>
        <v/>
      </c>
      <c r="AA1293" s="11" t="str">
        <f>IF(OR(履歴データ!$A$1293="",履歴データ!$A$1292=""),"",-40000*P1293)</f>
        <v/>
      </c>
      <c r="AB1293" s="11" t="str">
        <f>IF(履歴データ!$A$1293="","",123.3)</f>
        <v/>
      </c>
      <c r="AC1293" t="str">
        <f>IF(履歴データ!$A$1293="","",SUM(T1293:AA1293))</f>
        <v/>
      </c>
      <c r="AD1293" s="29" t="str">
        <f>IF(履歴データ!$A$1293="","",AC1293/1000000)</f>
        <v/>
      </c>
      <c r="AE1293" s="29">
        <f>IF(履歴データ!$A$1293="",AE1292,AE1292+AC1293/1000000)</f>
        <v>70.844544225831427</v>
      </c>
      <c r="AF1293" s="12" t="str">
        <f>IF(OR(履歴データ!$A$1293="",AE1292=0),"",(AE1293-AE1292)/AE1292)</f>
        <v/>
      </c>
      <c r="AG1293" s="29">
        <f t="shared" si="50"/>
        <v>102.17217746631495</v>
      </c>
      <c r="AH1293" s="12" t="str">
        <f>IF(OR(履歴データ!$A$1293="",AG1293=0),"",AE1293/AG1293-1)</f>
        <v/>
      </c>
    </row>
    <row r="1294" spans="1:34">
      <c r="A1294" s="10" t="str">
        <f>IF(履歴データ!$A$1294="","",履歴データ!$A$1294)</f>
        <v/>
      </c>
      <c r="B1294" s="28" t="str">
        <f>IF(履歴データ!$A$1294="","",(履歴データ!$D$1294-(履歴データ!$B$1294+履歴データ!$F$1294)/2)*100)</f>
        <v/>
      </c>
      <c r="C1294" s="28" t="str">
        <f>IF(履歴データ!$A$1294="","",(履歴データ!$H$1294-(履歴データ!$G$1294+履歴データ!$J$1294)/2)*100)</f>
        <v/>
      </c>
      <c r="D1294" s="28" t="str">
        <f>IF(履歴データ!$A$1294="","",(履歴データ!$D$1294-履歴データ!$H$1294)*100)</f>
        <v/>
      </c>
      <c r="E1294" s="28" t="str">
        <f>IF(履歴データ!$A$1294="","",(履歴データ!$D$1294-履歴データ!$C$1294)*100)</f>
        <v/>
      </c>
      <c r="F1294" s="28" t="str">
        <f>IF(履歴データ!$A$1294="","",(履歴データ!$R$1294-履歴データ!$D$1294)*100)</f>
        <v/>
      </c>
      <c r="G1294" s="28" t="str">
        <f>IF(履歴データ!$A$1294="","",(履歴データ!$S$1294-履歴データ!$R$1294)*100)</f>
        <v/>
      </c>
      <c r="H1294" s="29" t="str">
        <f>IF(履歴データ!$A$1294="","",履歴データ!$O$1294)</f>
        <v/>
      </c>
      <c r="I1294" s="29" t="str">
        <f>IF(履歴データ!$A$1294="","",履歴データ!$Q$1294)</f>
        <v/>
      </c>
      <c r="J1294" s="29" t="str">
        <f>IF(履歴データ!$A$1294="","",履歴データ!$D$1294)</f>
        <v/>
      </c>
      <c r="K1294" s="28" t="str">
        <f>IF(OR(履歴データ!$A$1294="",履歴データ!$A$1293=""),"",B1294-B1293)</f>
        <v/>
      </c>
      <c r="L1294" s="28" t="str">
        <f>IF(OR(履歴データ!$A$1294="",履歴データ!$A$1293=""),"",C1294-C1293)</f>
        <v/>
      </c>
      <c r="M1294" s="28" t="str">
        <f>IF(OR(履歴データ!$A$1294="",履歴データ!$A$1293=""),"",D1294-D1293)</f>
        <v/>
      </c>
      <c r="N1294" s="28" t="str">
        <f>IF(OR(履歴データ!$A$1294="",履歴データ!$A$1293=""),"",E1294-E1293)</f>
        <v/>
      </c>
      <c r="O1294" s="28" t="str">
        <f>IF(OR(履歴データ!$A$1294="",履歴データ!$A$1293=""),"",F1294-F1293)</f>
        <v/>
      </c>
      <c r="P1294" s="28" t="str">
        <f>IF(OR(履歴データ!$A$1294="",履歴データ!$A$1293=""),"",G1294-G1293)</f>
        <v/>
      </c>
      <c r="Q1294" s="29" t="str">
        <f>IF(OR(履歴データ!$A$1294="",履歴データ!$A$1293=""),"",H1294-H1293)</f>
        <v/>
      </c>
      <c r="R1294" s="29" t="str">
        <f>IF(OR(履歴データ!$A$1294="",履歴データ!$A$1293=""),"",I1294-I1293)</f>
        <v/>
      </c>
      <c r="S1294" s="28" t="str">
        <f>IF(OR(履歴データ!$A$1294="",履歴データ!$A$1293=""),"",(J1294-J1293)*100)</f>
        <v/>
      </c>
      <c r="T1294" s="11" t="str">
        <f>IF(OR(履歴データ!$A$1294="",履歴データ!$A$1293=""),"",-80000*K1294)</f>
        <v/>
      </c>
      <c r="U1294" s="11" t="str">
        <f>IF(OR(履歴データ!$A$1294="",履歴データ!$A$1293=""),"",60000*L1294)</f>
        <v/>
      </c>
      <c r="V1294" s="11" t="str">
        <f>IF(OR(履歴データ!$A$1294="",履歴データ!$A$1293=""),"",-50000*M1294)</f>
        <v/>
      </c>
      <c r="W1294" s="11" t="str">
        <f>IF(OR(履歴データ!$A$1294="",履歴データ!$A$1293=""),"",-40000*N1294)</f>
        <v/>
      </c>
      <c r="X1294" s="11" t="str">
        <f>IF(OR(履歴データ!$A$1294="",履歴データ!$A$1293=""),"",120*1000000*(-Q1294/H1293))</f>
        <v/>
      </c>
      <c r="Y1294" s="11" t="str">
        <f>IF(OR(履歴データ!$A$1294="",履歴データ!$A$1293=""),"",40000*(-S1294)+(-506.3)*R1294*1000)</f>
        <v/>
      </c>
      <c r="Z1294" s="11" t="str">
        <f>IF(OR(履歴データ!$A$1294="",履歴データ!$A$1293=""),"",-40000*O1294)</f>
        <v/>
      </c>
      <c r="AA1294" s="11" t="str">
        <f>IF(OR(履歴データ!$A$1294="",履歴データ!$A$1293=""),"",-40000*P1294)</f>
        <v/>
      </c>
      <c r="AB1294" s="11" t="str">
        <f>IF(履歴データ!$A$1294="","",123.3)</f>
        <v/>
      </c>
      <c r="AC1294" t="str">
        <f>IF(履歴データ!$A$1294="","",SUM(T1294:AA1294))</f>
        <v/>
      </c>
      <c r="AD1294" s="29" t="str">
        <f>IF(履歴データ!$A$1294="","",AC1294/1000000)</f>
        <v/>
      </c>
      <c r="AE1294" s="29">
        <f>IF(履歴データ!$A$1294="",AE1293,AE1293+AC1294/1000000)</f>
        <v>70.844544225831427</v>
      </c>
      <c r="AF1294" s="12" t="str">
        <f>IF(OR(履歴データ!$A$1294="",AE1293=0),"",(AE1294-AE1293)/AE1293)</f>
        <v/>
      </c>
      <c r="AG1294" s="29">
        <f t="shared" si="50"/>
        <v>102.17217746631495</v>
      </c>
      <c r="AH1294" s="12" t="str">
        <f>IF(OR(履歴データ!$A$1294="",AG1294=0),"",AE1294/AG1294-1)</f>
        <v/>
      </c>
    </row>
    <row r="1295" spans="1:34">
      <c r="A1295" s="10" t="str">
        <f>IF(履歴データ!$A$1295="","",履歴データ!$A$1295)</f>
        <v/>
      </c>
      <c r="B1295" s="28" t="str">
        <f>IF(履歴データ!$A$1295="","",(履歴データ!$D$1295-(履歴データ!$B$1295+履歴データ!$F$1295)/2)*100)</f>
        <v/>
      </c>
      <c r="C1295" s="28" t="str">
        <f>IF(履歴データ!$A$1295="","",(履歴データ!$H$1295-(履歴データ!$G$1295+履歴データ!$J$1295)/2)*100)</f>
        <v/>
      </c>
      <c r="D1295" s="28" t="str">
        <f>IF(履歴データ!$A$1295="","",(履歴データ!$D$1295-履歴データ!$H$1295)*100)</f>
        <v/>
      </c>
      <c r="E1295" s="28" t="str">
        <f>IF(履歴データ!$A$1295="","",(履歴データ!$D$1295-履歴データ!$C$1295)*100)</f>
        <v/>
      </c>
      <c r="F1295" s="28" t="str">
        <f>IF(履歴データ!$A$1295="","",(履歴データ!$R$1295-履歴データ!$D$1295)*100)</f>
        <v/>
      </c>
      <c r="G1295" s="28" t="str">
        <f>IF(履歴データ!$A$1295="","",(履歴データ!$S$1295-履歴データ!$R$1295)*100)</f>
        <v/>
      </c>
      <c r="H1295" s="29" t="str">
        <f>IF(履歴データ!$A$1295="","",履歴データ!$O$1295)</f>
        <v/>
      </c>
      <c r="I1295" s="29" t="str">
        <f>IF(履歴データ!$A$1295="","",履歴データ!$Q$1295)</f>
        <v/>
      </c>
      <c r="J1295" s="29" t="str">
        <f>IF(履歴データ!$A$1295="","",履歴データ!$D$1295)</f>
        <v/>
      </c>
      <c r="K1295" s="28" t="str">
        <f>IF(OR(履歴データ!$A$1295="",履歴データ!$A$1294=""),"",B1295-B1294)</f>
        <v/>
      </c>
      <c r="L1295" s="28" t="str">
        <f>IF(OR(履歴データ!$A$1295="",履歴データ!$A$1294=""),"",C1295-C1294)</f>
        <v/>
      </c>
      <c r="M1295" s="28" t="str">
        <f>IF(OR(履歴データ!$A$1295="",履歴データ!$A$1294=""),"",D1295-D1294)</f>
        <v/>
      </c>
      <c r="N1295" s="28" t="str">
        <f>IF(OR(履歴データ!$A$1295="",履歴データ!$A$1294=""),"",E1295-E1294)</f>
        <v/>
      </c>
      <c r="O1295" s="28" t="str">
        <f>IF(OR(履歴データ!$A$1295="",履歴データ!$A$1294=""),"",F1295-F1294)</f>
        <v/>
      </c>
      <c r="P1295" s="28" t="str">
        <f>IF(OR(履歴データ!$A$1295="",履歴データ!$A$1294=""),"",G1295-G1294)</f>
        <v/>
      </c>
      <c r="Q1295" s="29" t="str">
        <f>IF(OR(履歴データ!$A$1295="",履歴データ!$A$1294=""),"",H1295-H1294)</f>
        <v/>
      </c>
      <c r="R1295" s="29" t="str">
        <f>IF(OR(履歴データ!$A$1295="",履歴データ!$A$1294=""),"",I1295-I1294)</f>
        <v/>
      </c>
      <c r="S1295" s="28" t="str">
        <f>IF(OR(履歴データ!$A$1295="",履歴データ!$A$1294=""),"",(J1295-J1294)*100)</f>
        <v/>
      </c>
      <c r="T1295" s="11" t="str">
        <f>IF(OR(履歴データ!$A$1295="",履歴データ!$A$1294=""),"",-80000*K1295)</f>
        <v/>
      </c>
      <c r="U1295" s="11" t="str">
        <f>IF(OR(履歴データ!$A$1295="",履歴データ!$A$1294=""),"",60000*L1295)</f>
        <v/>
      </c>
      <c r="V1295" s="11" t="str">
        <f>IF(OR(履歴データ!$A$1295="",履歴データ!$A$1294=""),"",-50000*M1295)</f>
        <v/>
      </c>
      <c r="W1295" s="11" t="str">
        <f>IF(OR(履歴データ!$A$1295="",履歴データ!$A$1294=""),"",-40000*N1295)</f>
        <v/>
      </c>
      <c r="X1295" s="11" t="str">
        <f>IF(OR(履歴データ!$A$1295="",履歴データ!$A$1294=""),"",120*1000000*(-Q1295/H1294))</f>
        <v/>
      </c>
      <c r="Y1295" s="11" t="str">
        <f>IF(OR(履歴データ!$A$1295="",履歴データ!$A$1294=""),"",40000*(-S1295)+(-506.3)*R1295*1000)</f>
        <v/>
      </c>
      <c r="Z1295" s="11" t="str">
        <f>IF(OR(履歴データ!$A$1295="",履歴データ!$A$1294=""),"",-40000*O1295)</f>
        <v/>
      </c>
      <c r="AA1295" s="11" t="str">
        <f>IF(OR(履歴データ!$A$1295="",履歴データ!$A$1294=""),"",-40000*P1295)</f>
        <v/>
      </c>
      <c r="AB1295" s="11" t="str">
        <f>IF(履歴データ!$A$1295="","",123.3)</f>
        <v/>
      </c>
      <c r="AC1295" t="str">
        <f>IF(履歴データ!$A$1295="","",SUM(T1295:AA1295))</f>
        <v/>
      </c>
      <c r="AD1295" s="29" t="str">
        <f>IF(履歴データ!$A$1295="","",AC1295/1000000)</f>
        <v/>
      </c>
      <c r="AE1295" s="29">
        <f>IF(履歴データ!$A$1295="",AE1294,AE1294+AC1295/1000000)</f>
        <v>70.844544225831427</v>
      </c>
      <c r="AF1295" s="12" t="str">
        <f>IF(OR(履歴データ!$A$1295="",AE1294=0),"",(AE1295-AE1294)/AE1294)</f>
        <v/>
      </c>
      <c r="AG1295" s="29">
        <f t="shared" si="50"/>
        <v>102.17217746631495</v>
      </c>
      <c r="AH1295" s="12" t="str">
        <f>IF(OR(履歴データ!$A$1295="",AG1295=0),"",AE1295/AG1295-1)</f>
        <v/>
      </c>
    </row>
    <row r="1296" spans="1:34">
      <c r="A1296" s="10" t="str">
        <f>IF(履歴データ!$A$1296="","",履歴データ!$A$1296)</f>
        <v/>
      </c>
      <c r="B1296" s="28" t="str">
        <f>IF(履歴データ!$A$1296="","",(履歴データ!$D$1296-(履歴データ!$B$1296+履歴データ!$F$1296)/2)*100)</f>
        <v/>
      </c>
      <c r="C1296" s="28" t="str">
        <f>IF(履歴データ!$A$1296="","",(履歴データ!$H$1296-(履歴データ!$G$1296+履歴データ!$J$1296)/2)*100)</f>
        <v/>
      </c>
      <c r="D1296" s="28" t="str">
        <f>IF(履歴データ!$A$1296="","",(履歴データ!$D$1296-履歴データ!$H$1296)*100)</f>
        <v/>
      </c>
      <c r="E1296" s="28" t="str">
        <f>IF(履歴データ!$A$1296="","",(履歴データ!$D$1296-履歴データ!$C$1296)*100)</f>
        <v/>
      </c>
      <c r="F1296" s="28" t="str">
        <f>IF(履歴データ!$A$1296="","",(履歴データ!$R$1296-履歴データ!$D$1296)*100)</f>
        <v/>
      </c>
      <c r="G1296" s="28" t="str">
        <f>IF(履歴データ!$A$1296="","",(履歴データ!$S$1296-履歴データ!$R$1296)*100)</f>
        <v/>
      </c>
      <c r="H1296" s="29" t="str">
        <f>IF(履歴データ!$A$1296="","",履歴データ!$O$1296)</f>
        <v/>
      </c>
      <c r="I1296" s="29" t="str">
        <f>IF(履歴データ!$A$1296="","",履歴データ!$Q$1296)</f>
        <v/>
      </c>
      <c r="J1296" s="29" t="str">
        <f>IF(履歴データ!$A$1296="","",履歴データ!$D$1296)</f>
        <v/>
      </c>
      <c r="K1296" s="28" t="str">
        <f>IF(OR(履歴データ!$A$1296="",履歴データ!$A$1295=""),"",B1296-B1295)</f>
        <v/>
      </c>
      <c r="L1296" s="28" t="str">
        <f>IF(OR(履歴データ!$A$1296="",履歴データ!$A$1295=""),"",C1296-C1295)</f>
        <v/>
      </c>
      <c r="M1296" s="28" t="str">
        <f>IF(OR(履歴データ!$A$1296="",履歴データ!$A$1295=""),"",D1296-D1295)</f>
        <v/>
      </c>
      <c r="N1296" s="28" t="str">
        <f>IF(OR(履歴データ!$A$1296="",履歴データ!$A$1295=""),"",E1296-E1295)</f>
        <v/>
      </c>
      <c r="O1296" s="28" t="str">
        <f>IF(OR(履歴データ!$A$1296="",履歴データ!$A$1295=""),"",F1296-F1295)</f>
        <v/>
      </c>
      <c r="P1296" s="28" t="str">
        <f>IF(OR(履歴データ!$A$1296="",履歴データ!$A$1295=""),"",G1296-G1295)</f>
        <v/>
      </c>
      <c r="Q1296" s="29" t="str">
        <f>IF(OR(履歴データ!$A$1296="",履歴データ!$A$1295=""),"",H1296-H1295)</f>
        <v/>
      </c>
      <c r="R1296" s="29" t="str">
        <f>IF(OR(履歴データ!$A$1296="",履歴データ!$A$1295=""),"",I1296-I1295)</f>
        <v/>
      </c>
      <c r="S1296" s="28" t="str">
        <f>IF(OR(履歴データ!$A$1296="",履歴データ!$A$1295=""),"",(J1296-J1295)*100)</f>
        <v/>
      </c>
      <c r="T1296" s="11" t="str">
        <f>IF(OR(履歴データ!$A$1296="",履歴データ!$A$1295=""),"",-80000*K1296)</f>
        <v/>
      </c>
      <c r="U1296" s="11" t="str">
        <f>IF(OR(履歴データ!$A$1296="",履歴データ!$A$1295=""),"",60000*L1296)</f>
        <v/>
      </c>
      <c r="V1296" s="11" t="str">
        <f>IF(OR(履歴データ!$A$1296="",履歴データ!$A$1295=""),"",-50000*M1296)</f>
        <v/>
      </c>
      <c r="W1296" s="11" t="str">
        <f>IF(OR(履歴データ!$A$1296="",履歴データ!$A$1295=""),"",-40000*N1296)</f>
        <v/>
      </c>
      <c r="X1296" s="11" t="str">
        <f>IF(OR(履歴データ!$A$1296="",履歴データ!$A$1295=""),"",120*1000000*(-Q1296/H1295))</f>
        <v/>
      </c>
      <c r="Y1296" s="11" t="str">
        <f>IF(OR(履歴データ!$A$1296="",履歴データ!$A$1295=""),"",40000*(-S1296)+(-506.3)*R1296*1000)</f>
        <v/>
      </c>
      <c r="Z1296" s="11" t="str">
        <f>IF(OR(履歴データ!$A$1296="",履歴データ!$A$1295=""),"",-40000*O1296)</f>
        <v/>
      </c>
      <c r="AA1296" s="11" t="str">
        <f>IF(OR(履歴データ!$A$1296="",履歴データ!$A$1295=""),"",-40000*P1296)</f>
        <v/>
      </c>
      <c r="AB1296" s="11" t="str">
        <f>IF(履歴データ!$A$1296="","",123.3)</f>
        <v/>
      </c>
      <c r="AC1296" t="str">
        <f>IF(履歴データ!$A$1296="","",SUM(T1296:AA1296))</f>
        <v/>
      </c>
      <c r="AD1296" s="29" t="str">
        <f>IF(履歴データ!$A$1296="","",AC1296/1000000)</f>
        <v/>
      </c>
      <c r="AE1296" s="29">
        <f>IF(履歴データ!$A$1296="",AE1295,AE1295+AC1296/1000000)</f>
        <v>70.844544225831427</v>
      </c>
      <c r="AF1296" s="12" t="str">
        <f>IF(OR(履歴データ!$A$1296="",AE1295=0),"",(AE1296-AE1295)/AE1295)</f>
        <v/>
      </c>
      <c r="AG1296" s="29">
        <f t="shared" si="50"/>
        <v>102.17217746631495</v>
      </c>
      <c r="AH1296" s="12" t="str">
        <f>IF(OR(履歴データ!$A$1296="",AG1296=0),"",AE1296/AG1296-1)</f>
        <v/>
      </c>
    </row>
    <row r="1297" spans="1:34">
      <c r="A1297" s="10" t="str">
        <f>IF(履歴データ!$A$1297="","",履歴データ!$A$1297)</f>
        <v/>
      </c>
      <c r="B1297" s="28" t="str">
        <f>IF(履歴データ!$A$1297="","",(履歴データ!$D$1297-(履歴データ!$B$1297+履歴データ!$F$1297)/2)*100)</f>
        <v/>
      </c>
      <c r="C1297" s="28" t="str">
        <f>IF(履歴データ!$A$1297="","",(履歴データ!$H$1297-(履歴データ!$G$1297+履歴データ!$J$1297)/2)*100)</f>
        <v/>
      </c>
      <c r="D1297" s="28" t="str">
        <f>IF(履歴データ!$A$1297="","",(履歴データ!$D$1297-履歴データ!$H$1297)*100)</f>
        <v/>
      </c>
      <c r="E1297" s="28" t="str">
        <f>IF(履歴データ!$A$1297="","",(履歴データ!$D$1297-履歴データ!$C$1297)*100)</f>
        <v/>
      </c>
      <c r="F1297" s="28" t="str">
        <f>IF(履歴データ!$A$1297="","",(履歴データ!$R$1297-履歴データ!$D$1297)*100)</f>
        <v/>
      </c>
      <c r="G1297" s="28" t="str">
        <f>IF(履歴データ!$A$1297="","",(履歴データ!$S$1297-履歴データ!$R$1297)*100)</f>
        <v/>
      </c>
      <c r="H1297" s="29" t="str">
        <f>IF(履歴データ!$A$1297="","",履歴データ!$O$1297)</f>
        <v/>
      </c>
      <c r="I1297" s="29" t="str">
        <f>IF(履歴データ!$A$1297="","",履歴データ!$Q$1297)</f>
        <v/>
      </c>
      <c r="J1297" s="29" t="str">
        <f>IF(履歴データ!$A$1297="","",履歴データ!$D$1297)</f>
        <v/>
      </c>
      <c r="K1297" s="28" t="str">
        <f>IF(OR(履歴データ!$A$1297="",履歴データ!$A$1296=""),"",B1297-B1296)</f>
        <v/>
      </c>
      <c r="L1297" s="28" t="str">
        <f>IF(OR(履歴データ!$A$1297="",履歴データ!$A$1296=""),"",C1297-C1296)</f>
        <v/>
      </c>
      <c r="M1297" s="28" t="str">
        <f>IF(OR(履歴データ!$A$1297="",履歴データ!$A$1296=""),"",D1297-D1296)</f>
        <v/>
      </c>
      <c r="N1297" s="28" t="str">
        <f>IF(OR(履歴データ!$A$1297="",履歴データ!$A$1296=""),"",E1297-E1296)</f>
        <v/>
      </c>
      <c r="O1297" s="28" t="str">
        <f>IF(OR(履歴データ!$A$1297="",履歴データ!$A$1296=""),"",F1297-F1296)</f>
        <v/>
      </c>
      <c r="P1297" s="28" t="str">
        <f>IF(OR(履歴データ!$A$1297="",履歴データ!$A$1296=""),"",G1297-G1296)</f>
        <v/>
      </c>
      <c r="Q1297" s="29" t="str">
        <f>IF(OR(履歴データ!$A$1297="",履歴データ!$A$1296=""),"",H1297-H1296)</f>
        <v/>
      </c>
      <c r="R1297" s="29" t="str">
        <f>IF(OR(履歴データ!$A$1297="",履歴データ!$A$1296=""),"",I1297-I1296)</f>
        <v/>
      </c>
      <c r="S1297" s="28" t="str">
        <f>IF(OR(履歴データ!$A$1297="",履歴データ!$A$1296=""),"",(J1297-J1296)*100)</f>
        <v/>
      </c>
      <c r="T1297" s="11" t="str">
        <f>IF(OR(履歴データ!$A$1297="",履歴データ!$A$1296=""),"",-80000*K1297)</f>
        <v/>
      </c>
      <c r="U1297" s="11" t="str">
        <f>IF(OR(履歴データ!$A$1297="",履歴データ!$A$1296=""),"",60000*L1297)</f>
        <v/>
      </c>
      <c r="V1297" s="11" t="str">
        <f>IF(OR(履歴データ!$A$1297="",履歴データ!$A$1296=""),"",-50000*M1297)</f>
        <v/>
      </c>
      <c r="W1297" s="11" t="str">
        <f>IF(OR(履歴データ!$A$1297="",履歴データ!$A$1296=""),"",-40000*N1297)</f>
        <v/>
      </c>
      <c r="X1297" s="11" t="str">
        <f>IF(OR(履歴データ!$A$1297="",履歴データ!$A$1296=""),"",120*1000000*(-Q1297/H1296))</f>
        <v/>
      </c>
      <c r="Y1297" s="11" t="str">
        <f>IF(OR(履歴データ!$A$1297="",履歴データ!$A$1296=""),"",40000*(-S1297)+(-506.3)*R1297*1000)</f>
        <v/>
      </c>
      <c r="Z1297" s="11" t="str">
        <f>IF(OR(履歴データ!$A$1297="",履歴データ!$A$1296=""),"",-40000*O1297)</f>
        <v/>
      </c>
      <c r="AA1297" s="11" t="str">
        <f>IF(OR(履歴データ!$A$1297="",履歴データ!$A$1296=""),"",-40000*P1297)</f>
        <v/>
      </c>
      <c r="AB1297" s="11" t="str">
        <f>IF(履歴データ!$A$1297="","",123.3)</f>
        <v/>
      </c>
      <c r="AC1297" t="str">
        <f>IF(履歴データ!$A$1297="","",SUM(T1297:AA1297))</f>
        <v/>
      </c>
      <c r="AD1297" s="29" t="str">
        <f>IF(履歴データ!$A$1297="","",AC1297/1000000)</f>
        <v/>
      </c>
      <c r="AE1297" s="29">
        <f>IF(履歴データ!$A$1297="",AE1296,AE1296+AC1297/1000000)</f>
        <v>70.844544225831427</v>
      </c>
      <c r="AF1297" s="12" t="str">
        <f>IF(OR(履歴データ!$A$1297="",AE1296=0),"",(AE1297-AE1296)/AE1296)</f>
        <v/>
      </c>
      <c r="AG1297" s="29">
        <f t="shared" si="50"/>
        <v>102.17217746631495</v>
      </c>
      <c r="AH1297" s="12" t="str">
        <f>IF(OR(履歴データ!$A$1297="",AG1297=0),"",AE1297/AG1297-1)</f>
        <v/>
      </c>
    </row>
    <row r="1298" spans="1:34">
      <c r="A1298" s="10" t="str">
        <f>IF(履歴データ!$A$1298="","",履歴データ!$A$1298)</f>
        <v/>
      </c>
      <c r="B1298" s="28" t="str">
        <f>IF(履歴データ!$A$1298="","",(履歴データ!$D$1298-(履歴データ!$B$1298+履歴データ!$F$1298)/2)*100)</f>
        <v/>
      </c>
      <c r="C1298" s="28" t="str">
        <f>IF(履歴データ!$A$1298="","",(履歴データ!$H$1298-(履歴データ!$G$1298+履歴データ!$J$1298)/2)*100)</f>
        <v/>
      </c>
      <c r="D1298" s="28" t="str">
        <f>IF(履歴データ!$A$1298="","",(履歴データ!$D$1298-履歴データ!$H$1298)*100)</f>
        <v/>
      </c>
      <c r="E1298" s="28" t="str">
        <f>IF(履歴データ!$A$1298="","",(履歴データ!$D$1298-履歴データ!$C$1298)*100)</f>
        <v/>
      </c>
      <c r="F1298" s="28" t="str">
        <f>IF(履歴データ!$A$1298="","",(履歴データ!$R$1298-履歴データ!$D$1298)*100)</f>
        <v/>
      </c>
      <c r="G1298" s="28" t="str">
        <f>IF(履歴データ!$A$1298="","",(履歴データ!$S$1298-履歴データ!$R$1298)*100)</f>
        <v/>
      </c>
      <c r="H1298" s="29" t="str">
        <f>IF(履歴データ!$A$1298="","",履歴データ!$O$1298)</f>
        <v/>
      </c>
      <c r="I1298" s="29" t="str">
        <f>IF(履歴データ!$A$1298="","",履歴データ!$Q$1298)</f>
        <v/>
      </c>
      <c r="J1298" s="29" t="str">
        <f>IF(履歴データ!$A$1298="","",履歴データ!$D$1298)</f>
        <v/>
      </c>
      <c r="K1298" s="28" t="str">
        <f>IF(OR(履歴データ!$A$1298="",履歴データ!$A$1297=""),"",B1298-B1297)</f>
        <v/>
      </c>
      <c r="L1298" s="28" t="str">
        <f>IF(OR(履歴データ!$A$1298="",履歴データ!$A$1297=""),"",C1298-C1297)</f>
        <v/>
      </c>
      <c r="M1298" s="28" t="str">
        <f>IF(OR(履歴データ!$A$1298="",履歴データ!$A$1297=""),"",D1298-D1297)</f>
        <v/>
      </c>
      <c r="N1298" s="28" t="str">
        <f>IF(OR(履歴データ!$A$1298="",履歴データ!$A$1297=""),"",E1298-E1297)</f>
        <v/>
      </c>
      <c r="O1298" s="28" t="str">
        <f>IF(OR(履歴データ!$A$1298="",履歴データ!$A$1297=""),"",F1298-F1297)</f>
        <v/>
      </c>
      <c r="P1298" s="28" t="str">
        <f>IF(OR(履歴データ!$A$1298="",履歴データ!$A$1297=""),"",G1298-G1297)</f>
        <v/>
      </c>
      <c r="Q1298" s="29" t="str">
        <f>IF(OR(履歴データ!$A$1298="",履歴データ!$A$1297=""),"",H1298-H1297)</f>
        <v/>
      </c>
      <c r="R1298" s="29" t="str">
        <f>IF(OR(履歴データ!$A$1298="",履歴データ!$A$1297=""),"",I1298-I1297)</f>
        <v/>
      </c>
      <c r="S1298" s="28" t="str">
        <f>IF(OR(履歴データ!$A$1298="",履歴データ!$A$1297=""),"",(J1298-J1297)*100)</f>
        <v/>
      </c>
      <c r="T1298" s="11" t="str">
        <f>IF(OR(履歴データ!$A$1298="",履歴データ!$A$1297=""),"",-80000*K1298)</f>
        <v/>
      </c>
      <c r="U1298" s="11" t="str">
        <f>IF(OR(履歴データ!$A$1298="",履歴データ!$A$1297=""),"",60000*L1298)</f>
        <v/>
      </c>
      <c r="V1298" s="11" t="str">
        <f>IF(OR(履歴データ!$A$1298="",履歴データ!$A$1297=""),"",-50000*M1298)</f>
        <v/>
      </c>
      <c r="W1298" s="11" t="str">
        <f>IF(OR(履歴データ!$A$1298="",履歴データ!$A$1297=""),"",-40000*N1298)</f>
        <v/>
      </c>
      <c r="X1298" s="11" t="str">
        <f>IF(OR(履歴データ!$A$1298="",履歴データ!$A$1297=""),"",120*1000000*(-Q1298/H1297))</f>
        <v/>
      </c>
      <c r="Y1298" s="11" t="str">
        <f>IF(OR(履歴データ!$A$1298="",履歴データ!$A$1297=""),"",40000*(-S1298)+(-506.3)*R1298*1000)</f>
        <v/>
      </c>
      <c r="Z1298" s="11" t="str">
        <f>IF(OR(履歴データ!$A$1298="",履歴データ!$A$1297=""),"",-40000*O1298)</f>
        <v/>
      </c>
      <c r="AA1298" s="11" t="str">
        <f>IF(OR(履歴データ!$A$1298="",履歴データ!$A$1297=""),"",-40000*P1298)</f>
        <v/>
      </c>
      <c r="AB1298" s="11" t="str">
        <f>IF(履歴データ!$A$1298="","",123.3)</f>
        <v/>
      </c>
      <c r="AC1298" t="str">
        <f>IF(履歴データ!$A$1298="","",SUM(T1298:AA1298))</f>
        <v/>
      </c>
      <c r="AD1298" s="29" t="str">
        <f>IF(履歴データ!$A$1298="","",AC1298/1000000)</f>
        <v/>
      </c>
      <c r="AE1298" s="29">
        <f>IF(履歴データ!$A$1298="",AE1297,AE1297+AC1298/1000000)</f>
        <v>70.844544225831427</v>
      </c>
      <c r="AF1298" s="12" t="str">
        <f>IF(OR(履歴データ!$A$1298="",AE1297=0),"",(AE1298-AE1297)/AE1297)</f>
        <v/>
      </c>
      <c r="AG1298" s="29">
        <f t="shared" si="50"/>
        <v>102.17217746631495</v>
      </c>
      <c r="AH1298" s="12" t="str">
        <f>IF(OR(履歴データ!$A$1298="",AG1298=0),"",AE1298/AG1298-1)</f>
        <v/>
      </c>
    </row>
    <row r="1299" spans="1:34">
      <c r="A1299" s="10" t="str">
        <f>IF(履歴データ!$A$1299="","",履歴データ!$A$1299)</f>
        <v/>
      </c>
      <c r="B1299" s="28" t="str">
        <f>IF(履歴データ!$A$1299="","",(履歴データ!$D$1299-(履歴データ!$B$1299+履歴データ!$F$1299)/2)*100)</f>
        <v/>
      </c>
      <c r="C1299" s="28" t="str">
        <f>IF(履歴データ!$A$1299="","",(履歴データ!$H$1299-(履歴データ!$G$1299+履歴データ!$J$1299)/2)*100)</f>
        <v/>
      </c>
      <c r="D1299" s="28" t="str">
        <f>IF(履歴データ!$A$1299="","",(履歴データ!$D$1299-履歴データ!$H$1299)*100)</f>
        <v/>
      </c>
      <c r="E1299" s="28" t="str">
        <f>IF(履歴データ!$A$1299="","",(履歴データ!$D$1299-履歴データ!$C$1299)*100)</f>
        <v/>
      </c>
      <c r="F1299" s="28" t="str">
        <f>IF(履歴データ!$A$1299="","",(履歴データ!$R$1299-履歴データ!$D$1299)*100)</f>
        <v/>
      </c>
      <c r="G1299" s="28" t="str">
        <f>IF(履歴データ!$A$1299="","",(履歴データ!$S$1299-履歴データ!$R$1299)*100)</f>
        <v/>
      </c>
      <c r="H1299" s="29" t="str">
        <f>IF(履歴データ!$A$1299="","",履歴データ!$O$1299)</f>
        <v/>
      </c>
      <c r="I1299" s="29" t="str">
        <f>IF(履歴データ!$A$1299="","",履歴データ!$Q$1299)</f>
        <v/>
      </c>
      <c r="J1299" s="29" t="str">
        <f>IF(履歴データ!$A$1299="","",履歴データ!$D$1299)</f>
        <v/>
      </c>
      <c r="K1299" s="28" t="str">
        <f>IF(OR(履歴データ!$A$1299="",履歴データ!$A$1298=""),"",B1299-B1298)</f>
        <v/>
      </c>
      <c r="L1299" s="28" t="str">
        <f>IF(OR(履歴データ!$A$1299="",履歴データ!$A$1298=""),"",C1299-C1298)</f>
        <v/>
      </c>
      <c r="M1299" s="28" t="str">
        <f>IF(OR(履歴データ!$A$1299="",履歴データ!$A$1298=""),"",D1299-D1298)</f>
        <v/>
      </c>
      <c r="N1299" s="28" t="str">
        <f>IF(OR(履歴データ!$A$1299="",履歴データ!$A$1298=""),"",E1299-E1298)</f>
        <v/>
      </c>
      <c r="O1299" s="28" t="str">
        <f>IF(OR(履歴データ!$A$1299="",履歴データ!$A$1298=""),"",F1299-F1298)</f>
        <v/>
      </c>
      <c r="P1299" s="28" t="str">
        <f>IF(OR(履歴データ!$A$1299="",履歴データ!$A$1298=""),"",G1299-G1298)</f>
        <v/>
      </c>
      <c r="Q1299" s="29" t="str">
        <f>IF(OR(履歴データ!$A$1299="",履歴データ!$A$1298=""),"",H1299-H1298)</f>
        <v/>
      </c>
      <c r="R1299" s="29" t="str">
        <f>IF(OR(履歴データ!$A$1299="",履歴データ!$A$1298=""),"",I1299-I1298)</f>
        <v/>
      </c>
      <c r="S1299" s="28" t="str">
        <f>IF(OR(履歴データ!$A$1299="",履歴データ!$A$1298=""),"",(J1299-J1298)*100)</f>
        <v/>
      </c>
      <c r="T1299" s="11" t="str">
        <f>IF(OR(履歴データ!$A$1299="",履歴データ!$A$1298=""),"",-80000*K1299)</f>
        <v/>
      </c>
      <c r="U1299" s="11" t="str">
        <f>IF(OR(履歴データ!$A$1299="",履歴データ!$A$1298=""),"",60000*L1299)</f>
        <v/>
      </c>
      <c r="V1299" s="11" t="str">
        <f>IF(OR(履歴データ!$A$1299="",履歴データ!$A$1298=""),"",-50000*M1299)</f>
        <v/>
      </c>
      <c r="W1299" s="11" t="str">
        <f>IF(OR(履歴データ!$A$1299="",履歴データ!$A$1298=""),"",-40000*N1299)</f>
        <v/>
      </c>
      <c r="X1299" s="11" t="str">
        <f>IF(OR(履歴データ!$A$1299="",履歴データ!$A$1298=""),"",120*1000000*(-Q1299/H1298))</f>
        <v/>
      </c>
      <c r="Y1299" s="11" t="str">
        <f>IF(OR(履歴データ!$A$1299="",履歴データ!$A$1298=""),"",40000*(-S1299)+(-506.3)*R1299*1000)</f>
        <v/>
      </c>
      <c r="Z1299" s="11" t="str">
        <f>IF(OR(履歴データ!$A$1299="",履歴データ!$A$1298=""),"",-40000*O1299)</f>
        <v/>
      </c>
      <c r="AA1299" s="11" t="str">
        <f>IF(OR(履歴データ!$A$1299="",履歴データ!$A$1298=""),"",-40000*P1299)</f>
        <v/>
      </c>
      <c r="AB1299" s="11" t="str">
        <f>IF(履歴データ!$A$1299="","",123.3)</f>
        <v/>
      </c>
      <c r="AC1299" t="str">
        <f>IF(履歴データ!$A$1299="","",SUM(T1299:AA1299))</f>
        <v/>
      </c>
      <c r="AD1299" s="29" t="str">
        <f>IF(履歴データ!$A$1299="","",AC1299/1000000)</f>
        <v/>
      </c>
      <c r="AE1299" s="29">
        <f>IF(履歴データ!$A$1299="",AE1298,AE1298+AC1299/1000000)</f>
        <v>70.844544225831427</v>
      </c>
      <c r="AF1299" s="12" t="str">
        <f>IF(OR(履歴データ!$A$1299="",AE1298=0),"",(AE1299-AE1298)/AE1298)</f>
        <v/>
      </c>
      <c r="AG1299" s="29">
        <f t="shared" si="50"/>
        <v>102.17217746631495</v>
      </c>
      <c r="AH1299" s="12" t="str">
        <f>IF(OR(履歴データ!$A$1299="",AG1299=0),"",AE1299/AG1299-1)</f>
        <v/>
      </c>
    </row>
    <row r="1300" spans="1:34">
      <c r="A1300" s="10" t="str">
        <f>IF(履歴データ!$A$1300="","",履歴データ!$A$1300)</f>
        <v/>
      </c>
      <c r="B1300" s="28" t="str">
        <f>IF(履歴データ!$A$1300="","",(履歴データ!$D$1300-(履歴データ!$B$1300+履歴データ!$F$1300)/2)*100)</f>
        <v/>
      </c>
      <c r="C1300" s="28" t="str">
        <f>IF(履歴データ!$A$1300="","",(履歴データ!$H$1300-(履歴データ!$G$1300+履歴データ!$J$1300)/2)*100)</f>
        <v/>
      </c>
      <c r="D1300" s="28" t="str">
        <f>IF(履歴データ!$A$1300="","",(履歴データ!$D$1300-履歴データ!$H$1300)*100)</f>
        <v/>
      </c>
      <c r="E1300" s="28" t="str">
        <f>IF(履歴データ!$A$1300="","",(履歴データ!$D$1300-履歴データ!$C$1300)*100)</f>
        <v/>
      </c>
      <c r="F1300" s="28" t="str">
        <f>IF(履歴データ!$A$1300="","",(履歴データ!$R$1300-履歴データ!$D$1300)*100)</f>
        <v/>
      </c>
      <c r="G1300" s="28" t="str">
        <f>IF(履歴データ!$A$1300="","",(履歴データ!$S$1300-履歴データ!$R$1300)*100)</f>
        <v/>
      </c>
      <c r="H1300" s="29" t="str">
        <f>IF(履歴データ!$A$1300="","",履歴データ!$O$1300)</f>
        <v/>
      </c>
      <c r="I1300" s="29" t="str">
        <f>IF(履歴データ!$A$1300="","",履歴データ!$Q$1300)</f>
        <v/>
      </c>
      <c r="J1300" s="29" t="str">
        <f>IF(履歴データ!$A$1300="","",履歴データ!$D$1300)</f>
        <v/>
      </c>
      <c r="K1300" s="28" t="str">
        <f>IF(OR(履歴データ!$A$1300="",履歴データ!$A$1299=""),"",B1300-B1299)</f>
        <v/>
      </c>
      <c r="L1300" s="28" t="str">
        <f>IF(OR(履歴データ!$A$1300="",履歴データ!$A$1299=""),"",C1300-C1299)</f>
        <v/>
      </c>
      <c r="M1300" s="28" t="str">
        <f>IF(OR(履歴データ!$A$1300="",履歴データ!$A$1299=""),"",D1300-D1299)</f>
        <v/>
      </c>
      <c r="N1300" s="28" t="str">
        <f>IF(OR(履歴データ!$A$1300="",履歴データ!$A$1299=""),"",E1300-E1299)</f>
        <v/>
      </c>
      <c r="O1300" s="28" t="str">
        <f>IF(OR(履歴データ!$A$1300="",履歴データ!$A$1299=""),"",F1300-F1299)</f>
        <v/>
      </c>
      <c r="P1300" s="28" t="str">
        <f>IF(OR(履歴データ!$A$1300="",履歴データ!$A$1299=""),"",G1300-G1299)</f>
        <v/>
      </c>
      <c r="Q1300" s="29" t="str">
        <f>IF(OR(履歴データ!$A$1300="",履歴データ!$A$1299=""),"",H1300-H1299)</f>
        <v/>
      </c>
      <c r="R1300" s="29" t="str">
        <f>IF(OR(履歴データ!$A$1300="",履歴データ!$A$1299=""),"",I1300-I1299)</f>
        <v/>
      </c>
      <c r="S1300" s="28" t="str">
        <f>IF(OR(履歴データ!$A$1300="",履歴データ!$A$1299=""),"",(J1300-J1299)*100)</f>
        <v/>
      </c>
      <c r="T1300" s="11" t="str">
        <f>IF(OR(履歴データ!$A$1300="",履歴データ!$A$1299=""),"",-80000*K1300)</f>
        <v/>
      </c>
      <c r="U1300" s="11" t="str">
        <f>IF(OR(履歴データ!$A$1300="",履歴データ!$A$1299=""),"",60000*L1300)</f>
        <v/>
      </c>
      <c r="V1300" s="11" t="str">
        <f>IF(OR(履歴データ!$A$1300="",履歴データ!$A$1299=""),"",-50000*M1300)</f>
        <v/>
      </c>
      <c r="W1300" s="11" t="str">
        <f>IF(OR(履歴データ!$A$1300="",履歴データ!$A$1299=""),"",-40000*N1300)</f>
        <v/>
      </c>
      <c r="X1300" s="11" t="str">
        <f>IF(OR(履歴データ!$A$1300="",履歴データ!$A$1299=""),"",120*1000000*(-Q1300/H1299))</f>
        <v/>
      </c>
      <c r="Y1300" s="11" t="str">
        <f>IF(OR(履歴データ!$A$1300="",履歴データ!$A$1299=""),"",40000*(-S1300)+(-506.3)*R1300*1000)</f>
        <v/>
      </c>
      <c r="Z1300" s="11" t="str">
        <f>IF(OR(履歴データ!$A$1300="",履歴データ!$A$1299=""),"",-40000*O1300)</f>
        <v/>
      </c>
      <c r="AA1300" s="11" t="str">
        <f>IF(OR(履歴データ!$A$1300="",履歴データ!$A$1299=""),"",-40000*P1300)</f>
        <v/>
      </c>
      <c r="AB1300" s="11" t="str">
        <f>IF(履歴データ!$A$1300="","",123.3)</f>
        <v/>
      </c>
      <c r="AC1300" t="str">
        <f>IF(履歴データ!$A$1300="","",SUM(T1300:AA1300))</f>
        <v/>
      </c>
      <c r="AD1300" s="29" t="str">
        <f>IF(履歴データ!$A$1300="","",AC1300/1000000)</f>
        <v/>
      </c>
      <c r="AE1300" s="29">
        <f>IF(履歴データ!$A$1300="",AE1299,AE1299+AC1300/1000000)</f>
        <v>70.844544225831427</v>
      </c>
      <c r="AF1300" s="12" t="str">
        <f>IF(OR(履歴データ!$A$1300="",AE1299=0),"",(AE1300-AE1299)/AE1299)</f>
        <v/>
      </c>
      <c r="AG1300" s="29">
        <f t="shared" si="50"/>
        <v>102.17217746631495</v>
      </c>
      <c r="AH1300" s="12" t="str">
        <f>IF(OR(履歴データ!$A$1300="",AG1300=0),"",AE1300/AG1300-1)</f>
        <v/>
      </c>
    </row>
    <row r="1301" spans="1:34">
      <c r="A1301" s="10" t="str">
        <f>IF(履歴データ!$A$1301="","",履歴データ!$A$1301)</f>
        <v/>
      </c>
      <c r="B1301" s="28" t="str">
        <f>IF(履歴データ!$A$1301="","",(履歴データ!$D$1301-(履歴データ!$B$1301+履歴データ!$F$1301)/2)*100)</f>
        <v/>
      </c>
      <c r="C1301" s="28" t="str">
        <f>IF(履歴データ!$A$1301="","",(履歴データ!$H$1301-(履歴データ!$G$1301+履歴データ!$J$1301)/2)*100)</f>
        <v/>
      </c>
      <c r="D1301" s="28" t="str">
        <f>IF(履歴データ!$A$1301="","",(履歴データ!$D$1301-履歴データ!$H$1301)*100)</f>
        <v/>
      </c>
      <c r="E1301" s="28" t="str">
        <f>IF(履歴データ!$A$1301="","",(履歴データ!$D$1301-履歴データ!$C$1301)*100)</f>
        <v/>
      </c>
      <c r="F1301" s="28" t="str">
        <f>IF(履歴データ!$A$1301="","",(履歴データ!$R$1301-履歴データ!$D$1301)*100)</f>
        <v/>
      </c>
      <c r="G1301" s="28" t="str">
        <f>IF(履歴データ!$A$1301="","",(履歴データ!$S$1301-履歴データ!$R$1301)*100)</f>
        <v/>
      </c>
      <c r="H1301" s="29" t="str">
        <f>IF(履歴データ!$A$1301="","",履歴データ!$O$1301)</f>
        <v/>
      </c>
      <c r="I1301" s="29" t="str">
        <f>IF(履歴データ!$A$1301="","",履歴データ!$Q$1301)</f>
        <v/>
      </c>
      <c r="J1301" s="29" t="str">
        <f>IF(履歴データ!$A$1301="","",履歴データ!$D$1301)</f>
        <v/>
      </c>
      <c r="K1301" s="28" t="str">
        <f>IF(OR(履歴データ!$A$1301="",履歴データ!$A$1300=""),"",B1301-B1300)</f>
        <v/>
      </c>
      <c r="L1301" s="28" t="str">
        <f>IF(OR(履歴データ!$A$1301="",履歴データ!$A$1300=""),"",C1301-C1300)</f>
        <v/>
      </c>
      <c r="M1301" s="28" t="str">
        <f>IF(OR(履歴データ!$A$1301="",履歴データ!$A$1300=""),"",D1301-D1300)</f>
        <v/>
      </c>
      <c r="N1301" s="28" t="str">
        <f>IF(OR(履歴データ!$A$1301="",履歴データ!$A$1300=""),"",E1301-E1300)</f>
        <v/>
      </c>
      <c r="O1301" s="28" t="str">
        <f>IF(OR(履歴データ!$A$1301="",履歴データ!$A$1300=""),"",F1301-F1300)</f>
        <v/>
      </c>
      <c r="P1301" s="28" t="str">
        <f>IF(OR(履歴データ!$A$1301="",履歴データ!$A$1300=""),"",G1301-G1300)</f>
        <v/>
      </c>
      <c r="Q1301" s="29" t="str">
        <f>IF(OR(履歴データ!$A$1301="",履歴データ!$A$1300=""),"",H1301-H1300)</f>
        <v/>
      </c>
      <c r="R1301" s="29" t="str">
        <f>IF(OR(履歴データ!$A$1301="",履歴データ!$A$1300=""),"",I1301-I1300)</f>
        <v/>
      </c>
      <c r="S1301" s="28" t="str">
        <f>IF(OR(履歴データ!$A$1301="",履歴データ!$A$1300=""),"",(J1301-J1300)*100)</f>
        <v/>
      </c>
      <c r="T1301" s="11" t="str">
        <f>IF(OR(履歴データ!$A$1301="",履歴データ!$A$1300=""),"",-80000*K1301)</f>
        <v/>
      </c>
      <c r="U1301" s="11" t="str">
        <f>IF(OR(履歴データ!$A$1301="",履歴データ!$A$1300=""),"",60000*L1301)</f>
        <v/>
      </c>
      <c r="V1301" s="11" t="str">
        <f>IF(OR(履歴データ!$A$1301="",履歴データ!$A$1300=""),"",-50000*M1301)</f>
        <v/>
      </c>
      <c r="W1301" s="11" t="str">
        <f>IF(OR(履歴データ!$A$1301="",履歴データ!$A$1300=""),"",-40000*N1301)</f>
        <v/>
      </c>
      <c r="X1301" s="11" t="str">
        <f>IF(OR(履歴データ!$A$1301="",履歴データ!$A$1300=""),"",120*1000000*(-Q1301/H1300))</f>
        <v/>
      </c>
      <c r="Y1301" s="11" t="str">
        <f>IF(OR(履歴データ!$A$1301="",履歴データ!$A$1300=""),"",40000*(-S1301)+(-506.3)*R1301*1000)</f>
        <v/>
      </c>
      <c r="Z1301" s="11" t="str">
        <f>IF(OR(履歴データ!$A$1301="",履歴データ!$A$1300=""),"",-40000*O1301)</f>
        <v/>
      </c>
      <c r="AA1301" s="11" t="str">
        <f>IF(OR(履歴データ!$A$1301="",履歴データ!$A$1300=""),"",-40000*P1301)</f>
        <v/>
      </c>
      <c r="AB1301" s="11" t="str">
        <f>IF(履歴データ!$A$1301="","",123.3)</f>
        <v/>
      </c>
      <c r="AC1301" t="str">
        <f>IF(履歴データ!$A$1301="","",SUM(T1301:AA1301))</f>
        <v/>
      </c>
      <c r="AD1301" s="29" t="str">
        <f>IF(履歴データ!$A$1301="","",AC1301/1000000)</f>
        <v/>
      </c>
      <c r="AE1301" s="29">
        <f>IF(履歴データ!$A$1301="",AE1300,AE1300+AC1301/1000000)</f>
        <v>70.844544225831427</v>
      </c>
      <c r="AF1301" s="12" t="str">
        <f>IF(OR(履歴データ!$A$1301="",AE1300=0),"",(AE1301-AE1300)/AE1300)</f>
        <v/>
      </c>
      <c r="AG1301" s="29">
        <f t="shared" si="50"/>
        <v>102.17217746631495</v>
      </c>
      <c r="AH1301" s="12" t="str">
        <f>IF(OR(履歴データ!$A$1301="",AG1301=0),"",AE1301/AG1301-1)</f>
        <v/>
      </c>
    </row>
    <row r="1302" spans="1:34">
      <c r="A1302" s="10" t="str">
        <f>IF(履歴データ!$A$1302="","",履歴データ!$A$1302)</f>
        <v/>
      </c>
      <c r="B1302" s="28" t="str">
        <f>IF(履歴データ!$A$1302="","",(履歴データ!$D$1302-(履歴データ!$B$1302+履歴データ!$F$1302)/2)*100)</f>
        <v/>
      </c>
      <c r="C1302" s="28" t="str">
        <f>IF(履歴データ!$A$1302="","",(履歴データ!$H$1302-(履歴データ!$G$1302+履歴データ!$J$1302)/2)*100)</f>
        <v/>
      </c>
      <c r="D1302" s="28" t="str">
        <f>IF(履歴データ!$A$1302="","",(履歴データ!$D$1302-履歴データ!$H$1302)*100)</f>
        <v/>
      </c>
      <c r="E1302" s="28" t="str">
        <f>IF(履歴データ!$A$1302="","",(履歴データ!$D$1302-履歴データ!$C$1302)*100)</f>
        <v/>
      </c>
      <c r="F1302" s="28" t="str">
        <f>IF(履歴データ!$A$1302="","",(履歴データ!$R$1302-履歴データ!$D$1302)*100)</f>
        <v/>
      </c>
      <c r="G1302" s="28" t="str">
        <f>IF(履歴データ!$A$1302="","",(履歴データ!$S$1302-履歴データ!$R$1302)*100)</f>
        <v/>
      </c>
      <c r="H1302" s="29" t="str">
        <f>IF(履歴データ!$A$1302="","",履歴データ!$O$1302)</f>
        <v/>
      </c>
      <c r="I1302" s="29" t="str">
        <f>IF(履歴データ!$A$1302="","",履歴データ!$Q$1302)</f>
        <v/>
      </c>
      <c r="J1302" s="29" t="str">
        <f>IF(履歴データ!$A$1302="","",履歴データ!$D$1302)</f>
        <v/>
      </c>
      <c r="K1302" s="28" t="str">
        <f>IF(OR(履歴データ!$A$1302="",履歴データ!$A$1301=""),"",B1302-B1301)</f>
        <v/>
      </c>
      <c r="L1302" s="28" t="str">
        <f>IF(OR(履歴データ!$A$1302="",履歴データ!$A$1301=""),"",C1302-C1301)</f>
        <v/>
      </c>
      <c r="M1302" s="28" t="str">
        <f>IF(OR(履歴データ!$A$1302="",履歴データ!$A$1301=""),"",D1302-D1301)</f>
        <v/>
      </c>
      <c r="N1302" s="28" t="str">
        <f>IF(OR(履歴データ!$A$1302="",履歴データ!$A$1301=""),"",E1302-E1301)</f>
        <v/>
      </c>
      <c r="O1302" s="28" t="str">
        <f>IF(OR(履歴データ!$A$1302="",履歴データ!$A$1301=""),"",F1302-F1301)</f>
        <v/>
      </c>
      <c r="P1302" s="28" t="str">
        <f>IF(OR(履歴データ!$A$1302="",履歴データ!$A$1301=""),"",G1302-G1301)</f>
        <v/>
      </c>
      <c r="Q1302" s="29" t="str">
        <f>IF(OR(履歴データ!$A$1302="",履歴データ!$A$1301=""),"",H1302-H1301)</f>
        <v/>
      </c>
      <c r="R1302" s="29" t="str">
        <f>IF(OR(履歴データ!$A$1302="",履歴データ!$A$1301=""),"",I1302-I1301)</f>
        <v/>
      </c>
      <c r="S1302" s="28" t="str">
        <f>IF(OR(履歴データ!$A$1302="",履歴データ!$A$1301=""),"",(J1302-J1301)*100)</f>
        <v/>
      </c>
      <c r="T1302" s="11" t="str">
        <f>IF(OR(履歴データ!$A$1302="",履歴データ!$A$1301=""),"",-80000*K1302)</f>
        <v/>
      </c>
      <c r="U1302" s="11" t="str">
        <f>IF(OR(履歴データ!$A$1302="",履歴データ!$A$1301=""),"",60000*L1302)</f>
        <v/>
      </c>
      <c r="V1302" s="11" t="str">
        <f>IF(OR(履歴データ!$A$1302="",履歴データ!$A$1301=""),"",-50000*M1302)</f>
        <v/>
      </c>
      <c r="W1302" s="11" t="str">
        <f>IF(OR(履歴データ!$A$1302="",履歴データ!$A$1301=""),"",-40000*N1302)</f>
        <v/>
      </c>
      <c r="X1302" s="11" t="str">
        <f>IF(OR(履歴データ!$A$1302="",履歴データ!$A$1301=""),"",120*1000000*(-Q1302/H1301))</f>
        <v/>
      </c>
      <c r="Y1302" s="11" t="str">
        <f>IF(OR(履歴データ!$A$1302="",履歴データ!$A$1301=""),"",40000*(-S1302)+(-506.3)*R1302*1000)</f>
        <v/>
      </c>
      <c r="Z1302" s="11" t="str">
        <f>IF(OR(履歴データ!$A$1302="",履歴データ!$A$1301=""),"",-40000*O1302)</f>
        <v/>
      </c>
      <c r="AA1302" s="11" t="str">
        <f>IF(OR(履歴データ!$A$1302="",履歴データ!$A$1301=""),"",-40000*P1302)</f>
        <v/>
      </c>
      <c r="AB1302" s="11" t="str">
        <f>IF(履歴データ!$A$1302="","",123.3)</f>
        <v/>
      </c>
      <c r="AC1302" t="str">
        <f>IF(履歴データ!$A$1302="","",SUM(T1302:AA1302))</f>
        <v/>
      </c>
      <c r="AD1302" s="29" t="str">
        <f>IF(履歴データ!$A$1302="","",AC1302/1000000)</f>
        <v/>
      </c>
      <c r="AE1302" s="29">
        <f>IF(履歴データ!$A$1302="",AE1301,AE1301+AC1302/1000000)</f>
        <v>70.844544225831427</v>
      </c>
      <c r="AF1302" s="12" t="str">
        <f>IF(OR(履歴データ!$A$1302="",AE1301=0),"",(AE1302-AE1301)/AE1301)</f>
        <v/>
      </c>
      <c r="AG1302" s="29">
        <f t="shared" si="50"/>
        <v>102.17217746631495</v>
      </c>
      <c r="AH1302" s="12" t="str">
        <f>IF(OR(履歴データ!$A$1302="",AG1302=0),"",AE1302/AG1302-1)</f>
        <v/>
      </c>
    </row>
    <row r="1303" spans="1:34">
      <c r="A1303" s="10" t="str">
        <f>IF(履歴データ!$A$1303="","",履歴データ!$A$1303)</f>
        <v/>
      </c>
      <c r="B1303" s="28" t="str">
        <f>IF(履歴データ!$A$1303="","",(履歴データ!$D$1303-(履歴データ!$B$1303+履歴データ!$F$1303)/2)*100)</f>
        <v/>
      </c>
      <c r="C1303" s="28" t="str">
        <f>IF(履歴データ!$A$1303="","",(履歴データ!$H$1303-(履歴データ!$G$1303+履歴データ!$J$1303)/2)*100)</f>
        <v/>
      </c>
      <c r="D1303" s="28" t="str">
        <f>IF(履歴データ!$A$1303="","",(履歴データ!$D$1303-履歴データ!$H$1303)*100)</f>
        <v/>
      </c>
      <c r="E1303" s="28" t="str">
        <f>IF(履歴データ!$A$1303="","",(履歴データ!$D$1303-履歴データ!$C$1303)*100)</f>
        <v/>
      </c>
      <c r="F1303" s="28" t="str">
        <f>IF(履歴データ!$A$1303="","",(履歴データ!$R$1303-履歴データ!$D$1303)*100)</f>
        <v/>
      </c>
      <c r="G1303" s="28" t="str">
        <f>IF(履歴データ!$A$1303="","",(履歴データ!$S$1303-履歴データ!$R$1303)*100)</f>
        <v/>
      </c>
      <c r="H1303" s="29" t="str">
        <f>IF(履歴データ!$A$1303="","",履歴データ!$O$1303)</f>
        <v/>
      </c>
      <c r="I1303" s="29" t="str">
        <f>IF(履歴データ!$A$1303="","",履歴データ!$Q$1303)</f>
        <v/>
      </c>
      <c r="J1303" s="29" t="str">
        <f>IF(履歴データ!$A$1303="","",履歴データ!$D$1303)</f>
        <v/>
      </c>
      <c r="K1303" s="28" t="str">
        <f>IF(OR(履歴データ!$A$1303="",履歴データ!$A$1302=""),"",B1303-B1302)</f>
        <v/>
      </c>
      <c r="L1303" s="28" t="str">
        <f>IF(OR(履歴データ!$A$1303="",履歴データ!$A$1302=""),"",C1303-C1302)</f>
        <v/>
      </c>
      <c r="M1303" s="28" t="str">
        <f>IF(OR(履歴データ!$A$1303="",履歴データ!$A$1302=""),"",D1303-D1302)</f>
        <v/>
      </c>
      <c r="N1303" s="28" t="str">
        <f>IF(OR(履歴データ!$A$1303="",履歴データ!$A$1302=""),"",E1303-E1302)</f>
        <v/>
      </c>
      <c r="O1303" s="28" t="str">
        <f>IF(OR(履歴データ!$A$1303="",履歴データ!$A$1302=""),"",F1303-F1302)</f>
        <v/>
      </c>
      <c r="P1303" s="28" t="str">
        <f>IF(OR(履歴データ!$A$1303="",履歴データ!$A$1302=""),"",G1303-G1302)</f>
        <v/>
      </c>
      <c r="Q1303" s="29" t="str">
        <f>IF(OR(履歴データ!$A$1303="",履歴データ!$A$1302=""),"",H1303-H1302)</f>
        <v/>
      </c>
      <c r="R1303" s="29" t="str">
        <f>IF(OR(履歴データ!$A$1303="",履歴データ!$A$1302=""),"",I1303-I1302)</f>
        <v/>
      </c>
      <c r="S1303" s="28" t="str">
        <f>IF(OR(履歴データ!$A$1303="",履歴データ!$A$1302=""),"",(J1303-J1302)*100)</f>
        <v/>
      </c>
      <c r="T1303" s="11" t="str">
        <f>IF(OR(履歴データ!$A$1303="",履歴データ!$A$1302=""),"",-80000*K1303)</f>
        <v/>
      </c>
      <c r="U1303" s="11" t="str">
        <f>IF(OR(履歴データ!$A$1303="",履歴データ!$A$1302=""),"",60000*L1303)</f>
        <v/>
      </c>
      <c r="V1303" s="11" t="str">
        <f>IF(OR(履歴データ!$A$1303="",履歴データ!$A$1302=""),"",-50000*M1303)</f>
        <v/>
      </c>
      <c r="W1303" s="11" t="str">
        <f>IF(OR(履歴データ!$A$1303="",履歴データ!$A$1302=""),"",-40000*N1303)</f>
        <v/>
      </c>
      <c r="X1303" s="11" t="str">
        <f>IF(OR(履歴データ!$A$1303="",履歴データ!$A$1302=""),"",120*1000000*(-Q1303/H1302))</f>
        <v/>
      </c>
      <c r="Y1303" s="11" t="str">
        <f>IF(OR(履歴データ!$A$1303="",履歴データ!$A$1302=""),"",40000*(-S1303)+(-506.3)*R1303*1000)</f>
        <v/>
      </c>
      <c r="Z1303" s="11" t="str">
        <f>IF(OR(履歴データ!$A$1303="",履歴データ!$A$1302=""),"",-40000*O1303)</f>
        <v/>
      </c>
      <c r="AA1303" s="11" t="str">
        <f>IF(OR(履歴データ!$A$1303="",履歴データ!$A$1302=""),"",-40000*P1303)</f>
        <v/>
      </c>
      <c r="AB1303" s="11" t="str">
        <f>IF(履歴データ!$A$1303="","",123.3)</f>
        <v/>
      </c>
      <c r="AC1303" t="str">
        <f>IF(履歴データ!$A$1303="","",SUM(T1303:AA1303))</f>
        <v/>
      </c>
      <c r="AD1303" s="29" t="str">
        <f>IF(履歴データ!$A$1303="","",AC1303/1000000)</f>
        <v/>
      </c>
      <c r="AE1303" s="29">
        <f>IF(履歴データ!$A$1303="",AE1302,AE1302+AC1303/1000000)</f>
        <v>70.844544225831427</v>
      </c>
      <c r="AF1303" s="12" t="str">
        <f>IF(OR(履歴データ!$A$1303="",AE1302=0),"",(AE1303-AE1302)/AE1302)</f>
        <v/>
      </c>
      <c r="AG1303" s="29">
        <f t="shared" si="50"/>
        <v>102.17217746631495</v>
      </c>
      <c r="AH1303" s="12" t="str">
        <f>IF(OR(履歴データ!$A$1303="",AG1303=0),"",AE1303/AG1303-1)</f>
        <v/>
      </c>
    </row>
    <row r="1304" spans="1:34">
      <c r="A1304" s="10" t="str">
        <f>IF(履歴データ!$A$1304="","",履歴データ!$A$1304)</f>
        <v/>
      </c>
      <c r="B1304" s="28" t="str">
        <f>IF(履歴データ!$A$1304="","",(履歴データ!$D$1304-(履歴データ!$B$1304+履歴データ!$F$1304)/2)*100)</f>
        <v/>
      </c>
      <c r="C1304" s="28" t="str">
        <f>IF(履歴データ!$A$1304="","",(履歴データ!$H$1304-(履歴データ!$G$1304+履歴データ!$J$1304)/2)*100)</f>
        <v/>
      </c>
      <c r="D1304" s="28" t="str">
        <f>IF(履歴データ!$A$1304="","",(履歴データ!$D$1304-履歴データ!$H$1304)*100)</f>
        <v/>
      </c>
      <c r="E1304" s="28" t="str">
        <f>IF(履歴データ!$A$1304="","",(履歴データ!$D$1304-履歴データ!$C$1304)*100)</f>
        <v/>
      </c>
      <c r="F1304" s="28" t="str">
        <f>IF(履歴データ!$A$1304="","",(履歴データ!$R$1304-履歴データ!$D$1304)*100)</f>
        <v/>
      </c>
      <c r="G1304" s="28" t="str">
        <f>IF(履歴データ!$A$1304="","",(履歴データ!$S$1304-履歴データ!$R$1304)*100)</f>
        <v/>
      </c>
      <c r="H1304" s="29" t="str">
        <f>IF(履歴データ!$A$1304="","",履歴データ!$O$1304)</f>
        <v/>
      </c>
      <c r="I1304" s="29" t="str">
        <f>IF(履歴データ!$A$1304="","",履歴データ!$Q$1304)</f>
        <v/>
      </c>
      <c r="J1304" s="29" t="str">
        <f>IF(履歴データ!$A$1304="","",履歴データ!$D$1304)</f>
        <v/>
      </c>
      <c r="K1304" s="28" t="str">
        <f>IF(OR(履歴データ!$A$1304="",履歴データ!$A$1303=""),"",B1304-B1303)</f>
        <v/>
      </c>
      <c r="L1304" s="28" t="str">
        <f>IF(OR(履歴データ!$A$1304="",履歴データ!$A$1303=""),"",C1304-C1303)</f>
        <v/>
      </c>
      <c r="M1304" s="28" t="str">
        <f>IF(OR(履歴データ!$A$1304="",履歴データ!$A$1303=""),"",D1304-D1303)</f>
        <v/>
      </c>
      <c r="N1304" s="28" t="str">
        <f>IF(OR(履歴データ!$A$1304="",履歴データ!$A$1303=""),"",E1304-E1303)</f>
        <v/>
      </c>
      <c r="O1304" s="28" t="str">
        <f>IF(OR(履歴データ!$A$1304="",履歴データ!$A$1303=""),"",F1304-F1303)</f>
        <v/>
      </c>
      <c r="P1304" s="28" t="str">
        <f>IF(OR(履歴データ!$A$1304="",履歴データ!$A$1303=""),"",G1304-G1303)</f>
        <v/>
      </c>
      <c r="Q1304" s="29" t="str">
        <f>IF(OR(履歴データ!$A$1304="",履歴データ!$A$1303=""),"",H1304-H1303)</f>
        <v/>
      </c>
      <c r="R1304" s="29" t="str">
        <f>IF(OR(履歴データ!$A$1304="",履歴データ!$A$1303=""),"",I1304-I1303)</f>
        <v/>
      </c>
      <c r="S1304" s="28" t="str">
        <f>IF(OR(履歴データ!$A$1304="",履歴データ!$A$1303=""),"",(J1304-J1303)*100)</f>
        <v/>
      </c>
      <c r="T1304" s="11" t="str">
        <f>IF(OR(履歴データ!$A$1304="",履歴データ!$A$1303=""),"",-80000*K1304)</f>
        <v/>
      </c>
      <c r="U1304" s="11" t="str">
        <f>IF(OR(履歴データ!$A$1304="",履歴データ!$A$1303=""),"",60000*L1304)</f>
        <v/>
      </c>
      <c r="V1304" s="11" t="str">
        <f>IF(OR(履歴データ!$A$1304="",履歴データ!$A$1303=""),"",-50000*M1304)</f>
        <v/>
      </c>
      <c r="W1304" s="11" t="str">
        <f>IF(OR(履歴データ!$A$1304="",履歴データ!$A$1303=""),"",-40000*N1304)</f>
        <v/>
      </c>
      <c r="X1304" s="11" t="str">
        <f>IF(OR(履歴データ!$A$1304="",履歴データ!$A$1303=""),"",120*1000000*(-Q1304/H1303))</f>
        <v/>
      </c>
      <c r="Y1304" s="11" t="str">
        <f>IF(OR(履歴データ!$A$1304="",履歴データ!$A$1303=""),"",40000*(-S1304)+(-506.3)*R1304*1000)</f>
        <v/>
      </c>
      <c r="Z1304" s="11" t="str">
        <f>IF(OR(履歴データ!$A$1304="",履歴データ!$A$1303=""),"",-40000*O1304)</f>
        <v/>
      </c>
      <c r="AA1304" s="11" t="str">
        <f>IF(OR(履歴データ!$A$1304="",履歴データ!$A$1303=""),"",-40000*P1304)</f>
        <v/>
      </c>
      <c r="AB1304" s="11" t="str">
        <f>IF(履歴データ!$A$1304="","",123.3)</f>
        <v/>
      </c>
      <c r="AC1304" t="str">
        <f>IF(履歴データ!$A$1304="","",SUM(T1304:AA1304))</f>
        <v/>
      </c>
      <c r="AD1304" s="29" t="str">
        <f>IF(履歴データ!$A$1304="","",AC1304/1000000)</f>
        <v/>
      </c>
      <c r="AE1304" s="29">
        <f>IF(履歴データ!$A$1304="",AE1303,AE1303+AC1304/1000000)</f>
        <v>70.844544225831427</v>
      </c>
      <c r="AF1304" s="12" t="str">
        <f>IF(OR(履歴データ!$A$1304="",AE1303=0),"",(AE1304-AE1303)/AE1303)</f>
        <v/>
      </c>
      <c r="AG1304" s="29">
        <f t="shared" si="50"/>
        <v>102.17217746631495</v>
      </c>
      <c r="AH1304" s="12" t="str">
        <f>IF(OR(履歴データ!$A$1304="",AG1304=0),"",AE1304/AG1304-1)</f>
        <v/>
      </c>
    </row>
    <row r="1305" spans="1:34">
      <c r="A1305" s="10" t="str">
        <f>IF(履歴データ!$A$1305="","",履歴データ!$A$1305)</f>
        <v/>
      </c>
      <c r="B1305" s="28" t="str">
        <f>IF(履歴データ!$A$1305="","",(履歴データ!$D$1305-(履歴データ!$B$1305+履歴データ!$F$1305)/2)*100)</f>
        <v/>
      </c>
      <c r="C1305" s="28" t="str">
        <f>IF(履歴データ!$A$1305="","",(履歴データ!$H$1305-(履歴データ!$G$1305+履歴データ!$J$1305)/2)*100)</f>
        <v/>
      </c>
      <c r="D1305" s="28" t="str">
        <f>IF(履歴データ!$A$1305="","",(履歴データ!$D$1305-履歴データ!$H$1305)*100)</f>
        <v/>
      </c>
      <c r="E1305" s="28" t="str">
        <f>IF(履歴データ!$A$1305="","",(履歴データ!$D$1305-履歴データ!$C$1305)*100)</f>
        <v/>
      </c>
      <c r="F1305" s="28" t="str">
        <f>IF(履歴データ!$A$1305="","",(履歴データ!$R$1305-履歴データ!$D$1305)*100)</f>
        <v/>
      </c>
      <c r="G1305" s="28" t="str">
        <f>IF(履歴データ!$A$1305="","",(履歴データ!$S$1305-履歴データ!$R$1305)*100)</f>
        <v/>
      </c>
      <c r="H1305" s="29" t="str">
        <f>IF(履歴データ!$A$1305="","",履歴データ!$O$1305)</f>
        <v/>
      </c>
      <c r="I1305" s="29" t="str">
        <f>IF(履歴データ!$A$1305="","",履歴データ!$Q$1305)</f>
        <v/>
      </c>
      <c r="J1305" s="29" t="str">
        <f>IF(履歴データ!$A$1305="","",履歴データ!$D$1305)</f>
        <v/>
      </c>
      <c r="K1305" s="28" t="str">
        <f>IF(OR(履歴データ!$A$1305="",履歴データ!$A$1304=""),"",B1305-B1304)</f>
        <v/>
      </c>
      <c r="L1305" s="28" t="str">
        <f>IF(OR(履歴データ!$A$1305="",履歴データ!$A$1304=""),"",C1305-C1304)</f>
        <v/>
      </c>
      <c r="M1305" s="28" t="str">
        <f>IF(OR(履歴データ!$A$1305="",履歴データ!$A$1304=""),"",D1305-D1304)</f>
        <v/>
      </c>
      <c r="N1305" s="28" t="str">
        <f>IF(OR(履歴データ!$A$1305="",履歴データ!$A$1304=""),"",E1305-E1304)</f>
        <v/>
      </c>
      <c r="O1305" s="28" t="str">
        <f>IF(OR(履歴データ!$A$1305="",履歴データ!$A$1304=""),"",F1305-F1304)</f>
        <v/>
      </c>
      <c r="P1305" s="28" t="str">
        <f>IF(OR(履歴データ!$A$1305="",履歴データ!$A$1304=""),"",G1305-G1304)</f>
        <v/>
      </c>
      <c r="Q1305" s="29" t="str">
        <f>IF(OR(履歴データ!$A$1305="",履歴データ!$A$1304=""),"",H1305-H1304)</f>
        <v/>
      </c>
      <c r="R1305" s="29" t="str">
        <f>IF(OR(履歴データ!$A$1305="",履歴データ!$A$1304=""),"",I1305-I1304)</f>
        <v/>
      </c>
      <c r="S1305" s="28" t="str">
        <f>IF(OR(履歴データ!$A$1305="",履歴データ!$A$1304=""),"",(J1305-J1304)*100)</f>
        <v/>
      </c>
      <c r="T1305" s="11" t="str">
        <f>IF(OR(履歴データ!$A$1305="",履歴データ!$A$1304=""),"",-80000*K1305)</f>
        <v/>
      </c>
      <c r="U1305" s="11" t="str">
        <f>IF(OR(履歴データ!$A$1305="",履歴データ!$A$1304=""),"",60000*L1305)</f>
        <v/>
      </c>
      <c r="V1305" s="11" t="str">
        <f>IF(OR(履歴データ!$A$1305="",履歴データ!$A$1304=""),"",-50000*M1305)</f>
        <v/>
      </c>
      <c r="W1305" s="11" t="str">
        <f>IF(OR(履歴データ!$A$1305="",履歴データ!$A$1304=""),"",-40000*N1305)</f>
        <v/>
      </c>
      <c r="X1305" s="11" t="str">
        <f>IF(OR(履歴データ!$A$1305="",履歴データ!$A$1304=""),"",120*1000000*(-Q1305/H1304))</f>
        <v/>
      </c>
      <c r="Y1305" s="11" t="str">
        <f>IF(OR(履歴データ!$A$1305="",履歴データ!$A$1304=""),"",40000*(-S1305)+(-506.3)*R1305*1000)</f>
        <v/>
      </c>
      <c r="Z1305" s="11" t="str">
        <f>IF(OR(履歴データ!$A$1305="",履歴データ!$A$1304=""),"",-40000*O1305)</f>
        <v/>
      </c>
      <c r="AA1305" s="11" t="str">
        <f>IF(OR(履歴データ!$A$1305="",履歴データ!$A$1304=""),"",-40000*P1305)</f>
        <v/>
      </c>
      <c r="AB1305" s="11" t="str">
        <f>IF(履歴データ!$A$1305="","",123.3)</f>
        <v/>
      </c>
      <c r="AC1305" t="str">
        <f>IF(履歴データ!$A$1305="","",SUM(T1305:AA1305))</f>
        <v/>
      </c>
      <c r="AD1305" s="29" t="str">
        <f>IF(履歴データ!$A$1305="","",AC1305/1000000)</f>
        <v/>
      </c>
      <c r="AE1305" s="29">
        <f>IF(履歴データ!$A$1305="",AE1304,AE1304+AC1305/1000000)</f>
        <v>70.844544225831427</v>
      </c>
      <c r="AF1305" s="12" t="str">
        <f>IF(OR(履歴データ!$A$1305="",AE1304=0),"",(AE1305-AE1304)/AE1304)</f>
        <v/>
      </c>
      <c r="AG1305" s="29">
        <f t="shared" si="50"/>
        <v>102.17217746631495</v>
      </c>
      <c r="AH1305" s="12" t="str">
        <f>IF(OR(履歴データ!$A$1305="",AG1305=0),"",AE1305/AG1305-1)</f>
        <v/>
      </c>
    </row>
    <row r="1306" spans="1:34">
      <c r="A1306" s="10" t="str">
        <f>IF(履歴データ!$A$1306="","",履歴データ!$A$1306)</f>
        <v/>
      </c>
      <c r="B1306" s="28" t="str">
        <f>IF(履歴データ!$A$1306="","",(履歴データ!$D$1306-(履歴データ!$B$1306+履歴データ!$F$1306)/2)*100)</f>
        <v/>
      </c>
      <c r="C1306" s="28" t="str">
        <f>IF(履歴データ!$A$1306="","",(履歴データ!$H$1306-(履歴データ!$G$1306+履歴データ!$J$1306)/2)*100)</f>
        <v/>
      </c>
      <c r="D1306" s="28" t="str">
        <f>IF(履歴データ!$A$1306="","",(履歴データ!$D$1306-履歴データ!$H$1306)*100)</f>
        <v/>
      </c>
      <c r="E1306" s="28" t="str">
        <f>IF(履歴データ!$A$1306="","",(履歴データ!$D$1306-履歴データ!$C$1306)*100)</f>
        <v/>
      </c>
      <c r="F1306" s="28" t="str">
        <f>IF(履歴データ!$A$1306="","",(履歴データ!$R$1306-履歴データ!$D$1306)*100)</f>
        <v/>
      </c>
      <c r="G1306" s="28" t="str">
        <f>IF(履歴データ!$A$1306="","",(履歴データ!$S$1306-履歴データ!$R$1306)*100)</f>
        <v/>
      </c>
      <c r="H1306" s="29" t="str">
        <f>IF(履歴データ!$A$1306="","",履歴データ!$O$1306)</f>
        <v/>
      </c>
      <c r="I1306" s="29" t="str">
        <f>IF(履歴データ!$A$1306="","",履歴データ!$Q$1306)</f>
        <v/>
      </c>
      <c r="J1306" s="29" t="str">
        <f>IF(履歴データ!$A$1306="","",履歴データ!$D$1306)</f>
        <v/>
      </c>
      <c r="K1306" s="28" t="str">
        <f>IF(OR(履歴データ!$A$1306="",履歴データ!$A$1305=""),"",B1306-B1305)</f>
        <v/>
      </c>
      <c r="L1306" s="28" t="str">
        <f>IF(OR(履歴データ!$A$1306="",履歴データ!$A$1305=""),"",C1306-C1305)</f>
        <v/>
      </c>
      <c r="M1306" s="28" t="str">
        <f>IF(OR(履歴データ!$A$1306="",履歴データ!$A$1305=""),"",D1306-D1305)</f>
        <v/>
      </c>
      <c r="N1306" s="28" t="str">
        <f>IF(OR(履歴データ!$A$1306="",履歴データ!$A$1305=""),"",E1306-E1305)</f>
        <v/>
      </c>
      <c r="O1306" s="28" t="str">
        <f>IF(OR(履歴データ!$A$1306="",履歴データ!$A$1305=""),"",F1306-F1305)</f>
        <v/>
      </c>
      <c r="P1306" s="28" t="str">
        <f>IF(OR(履歴データ!$A$1306="",履歴データ!$A$1305=""),"",G1306-G1305)</f>
        <v/>
      </c>
      <c r="Q1306" s="29" t="str">
        <f>IF(OR(履歴データ!$A$1306="",履歴データ!$A$1305=""),"",H1306-H1305)</f>
        <v/>
      </c>
      <c r="R1306" s="29" t="str">
        <f>IF(OR(履歴データ!$A$1306="",履歴データ!$A$1305=""),"",I1306-I1305)</f>
        <v/>
      </c>
      <c r="S1306" s="28" t="str">
        <f>IF(OR(履歴データ!$A$1306="",履歴データ!$A$1305=""),"",(J1306-J1305)*100)</f>
        <v/>
      </c>
      <c r="T1306" s="11" t="str">
        <f>IF(OR(履歴データ!$A$1306="",履歴データ!$A$1305=""),"",-80000*K1306)</f>
        <v/>
      </c>
      <c r="U1306" s="11" t="str">
        <f>IF(OR(履歴データ!$A$1306="",履歴データ!$A$1305=""),"",60000*L1306)</f>
        <v/>
      </c>
      <c r="V1306" s="11" t="str">
        <f>IF(OR(履歴データ!$A$1306="",履歴データ!$A$1305=""),"",-50000*M1306)</f>
        <v/>
      </c>
      <c r="W1306" s="11" t="str">
        <f>IF(OR(履歴データ!$A$1306="",履歴データ!$A$1305=""),"",-40000*N1306)</f>
        <v/>
      </c>
      <c r="X1306" s="11" t="str">
        <f>IF(OR(履歴データ!$A$1306="",履歴データ!$A$1305=""),"",120*1000000*(-Q1306/H1305))</f>
        <v/>
      </c>
      <c r="Y1306" s="11" t="str">
        <f>IF(OR(履歴データ!$A$1306="",履歴データ!$A$1305=""),"",40000*(-S1306)+(-506.3)*R1306*1000)</f>
        <v/>
      </c>
      <c r="Z1306" s="11" t="str">
        <f>IF(OR(履歴データ!$A$1306="",履歴データ!$A$1305=""),"",-40000*O1306)</f>
        <v/>
      </c>
      <c r="AA1306" s="11" t="str">
        <f>IF(OR(履歴データ!$A$1306="",履歴データ!$A$1305=""),"",-40000*P1306)</f>
        <v/>
      </c>
      <c r="AB1306" s="11" t="str">
        <f>IF(履歴データ!$A$1306="","",123.3)</f>
        <v/>
      </c>
      <c r="AC1306" t="str">
        <f>IF(履歴データ!$A$1306="","",SUM(T1306:AA1306))</f>
        <v/>
      </c>
      <c r="AD1306" s="29" t="str">
        <f>IF(履歴データ!$A$1306="","",AC1306/1000000)</f>
        <v/>
      </c>
      <c r="AE1306" s="29">
        <f>IF(履歴データ!$A$1306="",AE1305,AE1305+AC1306/1000000)</f>
        <v>70.844544225831427</v>
      </c>
      <c r="AF1306" s="12" t="str">
        <f>IF(OR(履歴データ!$A$1306="",AE1305=0),"",(AE1306-AE1305)/AE1305)</f>
        <v/>
      </c>
      <c r="AG1306" s="29">
        <f t="shared" si="50"/>
        <v>102.17217746631495</v>
      </c>
      <c r="AH1306" s="12" t="str">
        <f>IF(OR(履歴データ!$A$1306="",AG1306=0),"",AE1306/AG1306-1)</f>
        <v/>
      </c>
    </row>
    <row r="1307" spans="1:34">
      <c r="A1307" s="10" t="str">
        <f>IF(履歴データ!$A$1307="","",履歴データ!$A$1307)</f>
        <v/>
      </c>
      <c r="B1307" s="28" t="str">
        <f>IF(履歴データ!$A$1307="","",(履歴データ!$D$1307-(履歴データ!$B$1307+履歴データ!$F$1307)/2)*100)</f>
        <v/>
      </c>
      <c r="C1307" s="28" t="str">
        <f>IF(履歴データ!$A$1307="","",(履歴データ!$H$1307-(履歴データ!$G$1307+履歴データ!$J$1307)/2)*100)</f>
        <v/>
      </c>
      <c r="D1307" s="28" t="str">
        <f>IF(履歴データ!$A$1307="","",(履歴データ!$D$1307-履歴データ!$H$1307)*100)</f>
        <v/>
      </c>
      <c r="E1307" s="28" t="str">
        <f>IF(履歴データ!$A$1307="","",(履歴データ!$D$1307-履歴データ!$C$1307)*100)</f>
        <v/>
      </c>
      <c r="F1307" s="28" t="str">
        <f>IF(履歴データ!$A$1307="","",(履歴データ!$R$1307-履歴データ!$D$1307)*100)</f>
        <v/>
      </c>
      <c r="G1307" s="28" t="str">
        <f>IF(履歴データ!$A$1307="","",(履歴データ!$S$1307-履歴データ!$R$1307)*100)</f>
        <v/>
      </c>
      <c r="H1307" s="29" t="str">
        <f>IF(履歴データ!$A$1307="","",履歴データ!$O$1307)</f>
        <v/>
      </c>
      <c r="I1307" s="29" t="str">
        <f>IF(履歴データ!$A$1307="","",履歴データ!$Q$1307)</f>
        <v/>
      </c>
      <c r="J1307" s="29" t="str">
        <f>IF(履歴データ!$A$1307="","",履歴データ!$D$1307)</f>
        <v/>
      </c>
      <c r="K1307" s="28" t="str">
        <f>IF(OR(履歴データ!$A$1307="",履歴データ!$A$1306=""),"",B1307-B1306)</f>
        <v/>
      </c>
      <c r="L1307" s="28" t="str">
        <f>IF(OR(履歴データ!$A$1307="",履歴データ!$A$1306=""),"",C1307-C1306)</f>
        <v/>
      </c>
      <c r="M1307" s="28" t="str">
        <f>IF(OR(履歴データ!$A$1307="",履歴データ!$A$1306=""),"",D1307-D1306)</f>
        <v/>
      </c>
      <c r="N1307" s="28" t="str">
        <f>IF(OR(履歴データ!$A$1307="",履歴データ!$A$1306=""),"",E1307-E1306)</f>
        <v/>
      </c>
      <c r="O1307" s="28" t="str">
        <f>IF(OR(履歴データ!$A$1307="",履歴データ!$A$1306=""),"",F1307-F1306)</f>
        <v/>
      </c>
      <c r="P1307" s="28" t="str">
        <f>IF(OR(履歴データ!$A$1307="",履歴データ!$A$1306=""),"",G1307-G1306)</f>
        <v/>
      </c>
      <c r="Q1307" s="29" t="str">
        <f>IF(OR(履歴データ!$A$1307="",履歴データ!$A$1306=""),"",H1307-H1306)</f>
        <v/>
      </c>
      <c r="R1307" s="29" t="str">
        <f>IF(OR(履歴データ!$A$1307="",履歴データ!$A$1306=""),"",I1307-I1306)</f>
        <v/>
      </c>
      <c r="S1307" s="28" t="str">
        <f>IF(OR(履歴データ!$A$1307="",履歴データ!$A$1306=""),"",(J1307-J1306)*100)</f>
        <v/>
      </c>
      <c r="T1307" s="11" t="str">
        <f>IF(OR(履歴データ!$A$1307="",履歴データ!$A$1306=""),"",-80000*K1307)</f>
        <v/>
      </c>
      <c r="U1307" s="11" t="str">
        <f>IF(OR(履歴データ!$A$1307="",履歴データ!$A$1306=""),"",60000*L1307)</f>
        <v/>
      </c>
      <c r="V1307" s="11" t="str">
        <f>IF(OR(履歴データ!$A$1307="",履歴データ!$A$1306=""),"",-50000*M1307)</f>
        <v/>
      </c>
      <c r="W1307" s="11" t="str">
        <f>IF(OR(履歴データ!$A$1307="",履歴データ!$A$1306=""),"",-40000*N1307)</f>
        <v/>
      </c>
      <c r="X1307" s="11" t="str">
        <f>IF(OR(履歴データ!$A$1307="",履歴データ!$A$1306=""),"",120*1000000*(-Q1307/H1306))</f>
        <v/>
      </c>
      <c r="Y1307" s="11" t="str">
        <f>IF(OR(履歴データ!$A$1307="",履歴データ!$A$1306=""),"",40000*(-S1307)+(-506.3)*R1307*1000)</f>
        <v/>
      </c>
      <c r="Z1307" s="11" t="str">
        <f>IF(OR(履歴データ!$A$1307="",履歴データ!$A$1306=""),"",-40000*O1307)</f>
        <v/>
      </c>
      <c r="AA1307" s="11" t="str">
        <f>IF(OR(履歴データ!$A$1307="",履歴データ!$A$1306=""),"",-40000*P1307)</f>
        <v/>
      </c>
      <c r="AB1307" s="11" t="str">
        <f>IF(履歴データ!$A$1307="","",123.3)</f>
        <v/>
      </c>
      <c r="AC1307" t="str">
        <f>IF(履歴データ!$A$1307="","",SUM(T1307:AA1307))</f>
        <v/>
      </c>
      <c r="AD1307" s="29" t="str">
        <f>IF(履歴データ!$A$1307="","",AC1307/1000000)</f>
        <v/>
      </c>
      <c r="AE1307" s="29">
        <f>IF(履歴データ!$A$1307="",AE1306,AE1306+AC1307/1000000)</f>
        <v>70.844544225831427</v>
      </c>
      <c r="AF1307" s="12" t="str">
        <f>IF(OR(履歴データ!$A$1307="",AE1306=0),"",(AE1307-AE1306)/AE1306)</f>
        <v/>
      </c>
      <c r="AG1307" s="29">
        <f t="shared" si="50"/>
        <v>102.17217746631495</v>
      </c>
      <c r="AH1307" s="12" t="str">
        <f>IF(OR(履歴データ!$A$1307="",AG1307=0),"",AE1307/AG1307-1)</f>
        <v/>
      </c>
    </row>
    <row r="1308" spans="1:34" ht="277.8">
      <c r="A1308" s="31" t="s">
        <v>202</v>
      </c>
    </row>
  </sheetData>
  <phoneticPr fontId="1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8496B0"/>
  </sheetPr>
  <dimension ref="A1:T2003"/>
  <sheetViews>
    <sheetView showGridLines="0" workbookViewId="0">
      <pane xSplit="1" ySplit="1" topLeftCell="B2" activePane="bottomRight" state="frozenSplit"/>
      <selection pane="topRight"/>
      <selection pane="bottomLeft"/>
      <selection pane="bottomRight"/>
    </sheetView>
  </sheetViews>
  <sheetFormatPr defaultRowHeight="14.4"/>
  <cols>
    <col min="1" max="1" width="11.81640625" customWidth="1"/>
    <col min="2" max="19" width="9.26953125" customWidth="1"/>
  </cols>
  <sheetData>
    <row r="1" spans="1:20" ht="30">
      <c r="A1" s="65" t="s">
        <v>168</v>
      </c>
      <c r="B1" s="65" t="s">
        <v>203</v>
      </c>
      <c r="C1" s="65" t="s">
        <v>204</v>
      </c>
      <c r="D1" s="65" t="s">
        <v>205</v>
      </c>
      <c r="E1" s="65" t="s">
        <v>206</v>
      </c>
      <c r="F1" s="65" t="s">
        <v>207</v>
      </c>
      <c r="G1" s="65" t="s">
        <v>208</v>
      </c>
      <c r="H1" s="65" t="s">
        <v>209</v>
      </c>
      <c r="I1" s="65" t="s">
        <v>210</v>
      </c>
      <c r="J1" s="65" t="s">
        <v>211</v>
      </c>
      <c r="K1" s="65" t="s">
        <v>212</v>
      </c>
      <c r="L1" s="65" t="s">
        <v>213</v>
      </c>
      <c r="M1" s="65" t="s">
        <v>214</v>
      </c>
      <c r="N1" s="65" t="s">
        <v>215</v>
      </c>
      <c r="O1" s="65" t="s">
        <v>151</v>
      </c>
      <c r="P1" s="65" t="s">
        <v>216</v>
      </c>
      <c r="Q1" s="65" t="s">
        <v>175</v>
      </c>
      <c r="R1" s="65" t="s">
        <v>159</v>
      </c>
      <c r="S1" s="65" t="s">
        <v>162</v>
      </c>
      <c r="T1" s="56" t="s">
        <v>458</v>
      </c>
    </row>
    <row r="2" spans="1:20">
      <c r="A2" s="10">
        <v>44929</v>
      </c>
      <c r="B2" s="32">
        <v>4.4000000000000004</v>
      </c>
      <c r="C2" s="32">
        <v>3.94</v>
      </c>
      <c r="D2" s="32">
        <v>3.79</v>
      </c>
      <c r="E2" s="32">
        <v>4.0599999999999996</v>
      </c>
      <c r="F2" s="32">
        <v>3.88</v>
      </c>
      <c r="K2" s="32">
        <v>4.3099999999999996</v>
      </c>
      <c r="L2" s="32">
        <v>4.33</v>
      </c>
      <c r="M2" s="32">
        <v>4.26</v>
      </c>
      <c r="N2" s="32">
        <v>4.2699999999999996</v>
      </c>
      <c r="O2" s="32">
        <v>130.79400634765625</v>
      </c>
      <c r="P2" s="29">
        <v>1.0677714347839355</v>
      </c>
      <c r="Q2" s="29">
        <v>112.640625</v>
      </c>
      <c r="R2" s="32"/>
    </row>
    <row r="3" spans="1:20">
      <c r="A3" s="10">
        <v>44930</v>
      </c>
      <c r="B3" s="32">
        <v>4.3600000000000003</v>
      </c>
      <c r="C3" s="32">
        <v>3.85</v>
      </c>
      <c r="D3" s="32">
        <v>3.69</v>
      </c>
      <c r="E3" s="32">
        <v>3.97</v>
      </c>
      <c r="F3" s="32">
        <v>3.81</v>
      </c>
      <c r="G3" s="32">
        <v>2.5000000000000001E-2</v>
      </c>
      <c r="H3" s="32">
        <v>0.49099999999999999</v>
      </c>
      <c r="I3" s="32">
        <v>1.3280000000000001</v>
      </c>
      <c r="J3" s="32">
        <v>1.61</v>
      </c>
      <c r="K3" s="32">
        <v>4.3</v>
      </c>
      <c r="L3" s="32">
        <v>4.33</v>
      </c>
      <c r="M3" s="32">
        <v>4.2699999999999996</v>
      </c>
      <c r="N3" s="32">
        <v>4.2699999999999996</v>
      </c>
      <c r="O3" s="32">
        <v>131.24800109863281</v>
      </c>
      <c r="P3" s="29">
        <v>1.0546854734420776</v>
      </c>
      <c r="Q3" s="29">
        <v>113.1875</v>
      </c>
      <c r="R3" s="32">
        <v>2.2999999999999998</v>
      </c>
      <c r="S3" s="32">
        <v>0.48988642822265405</v>
      </c>
    </row>
    <row r="4" spans="1:20">
      <c r="A4" s="10">
        <v>44931</v>
      </c>
      <c r="B4" s="32">
        <v>4.45</v>
      </c>
      <c r="C4" s="32">
        <v>3.9</v>
      </c>
      <c r="D4" s="32">
        <v>3.71</v>
      </c>
      <c r="E4" s="32">
        <v>3.96</v>
      </c>
      <c r="F4" s="32">
        <v>3.78</v>
      </c>
      <c r="G4" s="32">
        <v>1.4999999999999999E-2</v>
      </c>
      <c r="H4" s="32">
        <v>0.50800000000000001</v>
      </c>
      <c r="I4" s="32">
        <v>1.2949999999999999</v>
      </c>
      <c r="J4" s="32">
        <v>1.5860000000000001</v>
      </c>
      <c r="K4" s="32">
        <v>4.3099999999999996</v>
      </c>
      <c r="L4" s="32">
        <v>4.33</v>
      </c>
      <c r="M4" s="32">
        <v>4.2699999999999996</v>
      </c>
      <c r="N4" s="32">
        <v>4.2699999999999996</v>
      </c>
      <c r="O4" s="32">
        <v>132.24600219726563</v>
      </c>
      <c r="P4" s="29">
        <v>1.0606365203857422</v>
      </c>
      <c r="Q4" s="29">
        <v>113.015625</v>
      </c>
      <c r="R4" s="32">
        <v>2.1429</v>
      </c>
      <c r="S4" s="32">
        <v>0.48462357177734106</v>
      </c>
    </row>
    <row r="5" spans="1:20">
      <c r="A5" s="10">
        <v>44932</v>
      </c>
      <c r="B5" s="32">
        <v>4.24</v>
      </c>
      <c r="C5" s="32">
        <v>3.69</v>
      </c>
      <c r="D5" s="32">
        <v>3.55</v>
      </c>
      <c r="E5" s="32">
        <v>3.84</v>
      </c>
      <c r="F5" s="32">
        <v>3.67</v>
      </c>
      <c r="G5" s="32">
        <v>1.0999999999999999E-2</v>
      </c>
      <c r="H5" s="32">
        <v>0.50800000000000001</v>
      </c>
      <c r="I5" s="32">
        <v>1.282</v>
      </c>
      <c r="J5" s="32">
        <v>1.573</v>
      </c>
      <c r="K5" s="32">
        <v>4.3099999999999996</v>
      </c>
      <c r="L5" s="32">
        <v>4.33</v>
      </c>
      <c r="M5" s="32">
        <v>4.2699999999999996</v>
      </c>
      <c r="N5" s="32">
        <v>4.2699999999999996</v>
      </c>
      <c r="O5" s="32">
        <v>133.3070068359375</v>
      </c>
      <c r="P5" s="29">
        <v>1.0522217750549316</v>
      </c>
      <c r="Q5" s="29">
        <v>114.21875</v>
      </c>
      <c r="R5" s="32">
        <v>2.1421000000000001</v>
      </c>
      <c r="S5" s="32">
        <v>0.48111642822265566</v>
      </c>
    </row>
    <row r="6" spans="1:20">
      <c r="A6" s="10">
        <v>44935</v>
      </c>
      <c r="B6" s="32">
        <v>4.1900000000000004</v>
      </c>
      <c r="C6" s="32">
        <v>3.66</v>
      </c>
      <c r="D6" s="32">
        <v>3.53</v>
      </c>
      <c r="E6" s="32">
        <v>3.83</v>
      </c>
      <c r="F6" s="32">
        <v>3.66</v>
      </c>
      <c r="G6" s="32">
        <v>1.0999999999999999E-2</v>
      </c>
      <c r="H6" s="32">
        <v>0.50800000000000001</v>
      </c>
      <c r="I6" s="32">
        <v>1.282</v>
      </c>
      <c r="J6" s="32">
        <v>1.573</v>
      </c>
      <c r="K6" s="32">
        <v>4.3099999999999996</v>
      </c>
      <c r="L6" s="32">
        <v>4.33</v>
      </c>
      <c r="M6" s="32">
        <v>4.2699999999999996</v>
      </c>
      <c r="N6" s="32">
        <v>4.2699999999999996</v>
      </c>
      <c r="O6" s="32">
        <v>131.86199951171875</v>
      </c>
      <c r="P6" s="29">
        <v>1.0656323432922363</v>
      </c>
      <c r="Q6" s="29">
        <v>114.625</v>
      </c>
      <c r="R6" s="32">
        <v>2.0880999999999998</v>
      </c>
      <c r="S6" s="32">
        <v>0.48111642822265566</v>
      </c>
    </row>
    <row r="7" spans="1:20">
      <c r="A7" s="10">
        <v>44936</v>
      </c>
      <c r="B7" s="32">
        <v>4.24</v>
      </c>
      <c r="C7" s="32">
        <v>3.72</v>
      </c>
      <c r="D7" s="32">
        <v>3.61</v>
      </c>
      <c r="E7" s="32">
        <v>3.91</v>
      </c>
      <c r="F7" s="32">
        <v>3.74</v>
      </c>
      <c r="G7" s="32">
        <v>2.5999999999999999E-2</v>
      </c>
      <c r="H7" s="32">
        <v>0.50900000000000001</v>
      </c>
      <c r="I7" s="32">
        <v>1.3260000000000001</v>
      </c>
      <c r="J7" s="32">
        <v>1.617</v>
      </c>
      <c r="K7" s="32">
        <v>4.3099999999999996</v>
      </c>
      <c r="L7" s="32">
        <v>4.33</v>
      </c>
      <c r="M7" s="32">
        <v>4.2699999999999996</v>
      </c>
      <c r="N7" s="32">
        <v>4.2699999999999996</v>
      </c>
      <c r="O7" s="32">
        <v>131.72900390625</v>
      </c>
      <c r="P7" s="29">
        <v>1.0733183622360229</v>
      </c>
      <c r="Q7" s="29">
        <v>114</v>
      </c>
      <c r="R7" s="32">
        <v>2.0590999999999999</v>
      </c>
      <c r="S7" s="32">
        <v>0.52496642822265471</v>
      </c>
    </row>
    <row r="8" spans="1:20">
      <c r="A8" s="10">
        <v>44937</v>
      </c>
      <c r="B8" s="32">
        <v>4.2</v>
      </c>
      <c r="C8" s="32">
        <v>3.66</v>
      </c>
      <c r="D8" s="32">
        <v>3.54</v>
      </c>
      <c r="E8" s="32">
        <v>3.84</v>
      </c>
      <c r="F8" s="32">
        <v>3.67</v>
      </c>
      <c r="G8" s="32">
        <v>2.5999999999999999E-2</v>
      </c>
      <c r="H8" s="32">
        <v>0.50900000000000001</v>
      </c>
      <c r="I8" s="32">
        <v>1.3160000000000001</v>
      </c>
      <c r="J8" s="32">
        <v>1.609</v>
      </c>
      <c r="K8" s="32">
        <v>4.3</v>
      </c>
      <c r="L8" s="32">
        <v>4.33</v>
      </c>
      <c r="M8" s="32">
        <v>4.2699999999999996</v>
      </c>
      <c r="N8" s="32">
        <v>4.2699999999999996</v>
      </c>
      <c r="O8" s="32">
        <v>132.10099792480469</v>
      </c>
      <c r="P8" s="29">
        <v>1.0738946199417114</v>
      </c>
      <c r="Q8" s="29">
        <v>114.4375</v>
      </c>
      <c r="R8" s="32">
        <v>2.1114999999999999</v>
      </c>
      <c r="S8" s="32">
        <v>0.52671999999999741</v>
      </c>
    </row>
    <row r="9" spans="1:20">
      <c r="A9" s="10">
        <v>44938</v>
      </c>
      <c r="B9" s="32">
        <v>4.12</v>
      </c>
      <c r="C9" s="32">
        <v>3.53</v>
      </c>
      <c r="D9" s="32">
        <v>3.43</v>
      </c>
      <c r="E9" s="32">
        <v>3.73</v>
      </c>
      <c r="F9" s="32">
        <v>3.56</v>
      </c>
      <c r="G9" s="32">
        <v>4.1000000000000002E-2</v>
      </c>
      <c r="H9" s="32">
        <v>0.50900000000000001</v>
      </c>
      <c r="I9" s="32">
        <v>1.38</v>
      </c>
      <c r="J9" s="32">
        <v>1.649</v>
      </c>
      <c r="K9" s="32">
        <v>4.3</v>
      </c>
      <c r="L9" s="32">
        <v>4.33</v>
      </c>
      <c r="M9" s="32">
        <v>4.2699999999999996</v>
      </c>
      <c r="N9" s="32">
        <v>4.2699999999999996</v>
      </c>
      <c r="O9" s="32">
        <v>131.90199279785156</v>
      </c>
      <c r="P9" s="29">
        <v>1.0766000747680664</v>
      </c>
      <c r="Q9" s="29">
        <v>115.234375</v>
      </c>
      <c r="R9" s="32">
        <v>1.9132</v>
      </c>
      <c r="S9" s="32">
        <v>0.56179999999999808</v>
      </c>
    </row>
    <row r="10" spans="1:20">
      <c r="A10" s="10">
        <v>44939</v>
      </c>
      <c r="B10" s="32">
        <v>4.22</v>
      </c>
      <c r="C10" s="32">
        <v>3.6</v>
      </c>
      <c r="D10" s="32">
        <v>3.49</v>
      </c>
      <c r="E10" s="32">
        <v>3.79</v>
      </c>
      <c r="F10" s="32">
        <v>3.61</v>
      </c>
      <c r="G10" s="32">
        <v>3.2000000000000001E-2</v>
      </c>
      <c r="H10" s="32">
        <v>0.50800000000000001</v>
      </c>
      <c r="I10" s="32">
        <v>1.365</v>
      </c>
      <c r="J10" s="32">
        <v>1.61</v>
      </c>
      <c r="K10" s="32">
        <v>4.3</v>
      </c>
      <c r="L10" s="32">
        <v>4.33</v>
      </c>
      <c r="M10" s="32">
        <v>4.2699999999999996</v>
      </c>
      <c r="N10" s="32">
        <v>4.2699999999999996</v>
      </c>
      <c r="O10" s="32">
        <v>129.1719970703125</v>
      </c>
      <c r="P10" s="29">
        <v>1.0860239267349243</v>
      </c>
      <c r="Q10" s="29">
        <v>114.765625</v>
      </c>
      <c r="R10" s="32">
        <v>1.8202</v>
      </c>
      <c r="S10" s="32">
        <v>0.60389642822265444</v>
      </c>
    </row>
    <row r="11" spans="1:20">
      <c r="A11" s="10">
        <v>44943</v>
      </c>
      <c r="B11" s="32">
        <v>4.18</v>
      </c>
      <c r="C11" s="32">
        <v>3.6</v>
      </c>
      <c r="D11" s="32">
        <v>3.53</v>
      </c>
      <c r="E11" s="32">
        <v>3.81</v>
      </c>
      <c r="F11" s="32">
        <v>3.64</v>
      </c>
      <c r="G11" s="32">
        <v>4.1000000000000002E-2</v>
      </c>
      <c r="H11" s="32">
        <v>0.51200000000000001</v>
      </c>
      <c r="I11" s="32">
        <v>1.3440000000000001</v>
      </c>
      <c r="J11" s="32">
        <v>1.546</v>
      </c>
      <c r="K11" s="32">
        <v>4.3099999999999996</v>
      </c>
      <c r="L11" s="32">
        <v>4.33</v>
      </c>
      <c r="M11" s="32">
        <v>4.28</v>
      </c>
      <c r="N11" s="32">
        <v>4.28</v>
      </c>
      <c r="O11" s="32">
        <v>128.32099914550781</v>
      </c>
      <c r="P11" s="29">
        <v>1.0830129384994507</v>
      </c>
      <c r="Q11" s="29">
        <v>114.671875</v>
      </c>
      <c r="R11" s="32">
        <v>1.847</v>
      </c>
      <c r="S11" s="32">
        <v>0.53548999999999936</v>
      </c>
    </row>
    <row r="12" spans="1:20">
      <c r="A12" s="10">
        <v>44944</v>
      </c>
      <c r="B12" s="32">
        <v>4.0599999999999996</v>
      </c>
      <c r="C12" s="32">
        <v>3.43</v>
      </c>
      <c r="D12" s="32">
        <v>3.37</v>
      </c>
      <c r="E12" s="32">
        <v>3.65</v>
      </c>
      <c r="F12" s="32">
        <v>3.54</v>
      </c>
      <c r="G12" s="32">
        <v>6.0000000000000001E-3</v>
      </c>
      <c r="H12" s="32">
        <v>0.43</v>
      </c>
      <c r="I12" s="32">
        <v>1.33</v>
      </c>
      <c r="J12" s="32">
        <v>1.534</v>
      </c>
      <c r="K12" s="32">
        <v>4.3</v>
      </c>
      <c r="L12" s="32">
        <v>4.33</v>
      </c>
      <c r="M12" s="32">
        <v>4.2699999999999996</v>
      </c>
      <c r="N12" s="32">
        <v>4.2699999999999996</v>
      </c>
      <c r="O12" s="32">
        <v>128.281005859375</v>
      </c>
      <c r="P12" s="29">
        <v>1.0793308019638062</v>
      </c>
      <c r="Q12" s="29">
        <v>115.90625</v>
      </c>
      <c r="R12" s="32">
        <v>1.8453999999999999</v>
      </c>
      <c r="S12" s="32">
        <v>0.47760821411132781</v>
      </c>
    </row>
    <row r="13" spans="1:20">
      <c r="A13" s="10">
        <v>44945</v>
      </c>
      <c r="B13" s="32">
        <v>4.09</v>
      </c>
      <c r="C13" s="32">
        <v>3.48</v>
      </c>
      <c r="D13" s="32">
        <v>3.39</v>
      </c>
      <c r="E13" s="32">
        <v>3.69</v>
      </c>
      <c r="F13" s="32">
        <v>3.57</v>
      </c>
      <c r="G13" s="32">
        <v>-1E-3</v>
      </c>
      <c r="H13" s="32">
        <v>0.42199999999999999</v>
      </c>
      <c r="I13" s="32">
        <v>1.3120000000000001</v>
      </c>
      <c r="J13" s="32">
        <v>1.5549999999999999</v>
      </c>
      <c r="K13" s="32">
        <v>4.3099999999999996</v>
      </c>
      <c r="L13" s="32">
        <v>4.33</v>
      </c>
      <c r="M13" s="32">
        <v>4.2699999999999996</v>
      </c>
      <c r="N13" s="32">
        <v>4.2699999999999996</v>
      </c>
      <c r="O13" s="32">
        <v>128.53900146484375</v>
      </c>
      <c r="P13" s="29">
        <v>1.0797853469848633</v>
      </c>
      <c r="Q13" s="29">
        <v>115.640625</v>
      </c>
      <c r="R13" s="32">
        <v>1.8164</v>
      </c>
      <c r="S13" s="32">
        <v>0.46532999999999802</v>
      </c>
    </row>
    <row r="14" spans="1:20">
      <c r="A14" s="10">
        <v>44946</v>
      </c>
      <c r="B14" s="32">
        <v>4.1399999999999997</v>
      </c>
      <c r="C14" s="32">
        <v>3.56</v>
      </c>
      <c r="D14" s="32">
        <v>3.48</v>
      </c>
      <c r="E14" s="32">
        <v>3.77</v>
      </c>
      <c r="F14" s="32">
        <v>3.66</v>
      </c>
      <c r="G14" s="32">
        <v>-4.0000000000000001E-3</v>
      </c>
      <c r="H14" s="32">
        <v>0.41799999999999998</v>
      </c>
      <c r="I14" s="32">
        <v>1.294</v>
      </c>
      <c r="J14" s="32">
        <v>1.56</v>
      </c>
      <c r="K14" s="32">
        <v>4.3</v>
      </c>
      <c r="L14" s="32">
        <v>4.33</v>
      </c>
      <c r="M14" s="32">
        <v>4.26</v>
      </c>
      <c r="N14" s="32">
        <v>4.26</v>
      </c>
      <c r="O14" s="32">
        <v>128.3699951171875</v>
      </c>
      <c r="P14" s="29">
        <v>1.0833883285522461</v>
      </c>
      <c r="Q14" s="29">
        <v>115.0625</v>
      </c>
      <c r="R14" s="32">
        <v>1.8839999999999999</v>
      </c>
      <c r="S14" s="32">
        <v>0.44428178588866984</v>
      </c>
    </row>
    <row r="15" spans="1:20">
      <c r="A15" s="10">
        <v>44949</v>
      </c>
      <c r="B15" s="32">
        <v>4.21</v>
      </c>
      <c r="C15" s="32">
        <v>3.61</v>
      </c>
      <c r="D15" s="32">
        <v>3.52</v>
      </c>
      <c r="E15" s="32">
        <v>3.8</v>
      </c>
      <c r="F15" s="32">
        <v>3.69</v>
      </c>
      <c r="G15" s="32">
        <v>-1.4999999999999999E-2</v>
      </c>
      <c r="H15" s="32">
        <v>0.39600000000000002</v>
      </c>
      <c r="I15" s="32">
        <v>1.272</v>
      </c>
      <c r="J15" s="32">
        <v>1.5609999999999999</v>
      </c>
      <c r="K15" s="32">
        <v>4.3</v>
      </c>
      <c r="L15" s="32">
        <v>4.33</v>
      </c>
      <c r="M15" s="32">
        <v>4.26</v>
      </c>
      <c r="N15" s="32">
        <v>4.26</v>
      </c>
      <c r="O15" s="32">
        <v>129.35400390625</v>
      </c>
      <c r="P15" s="29">
        <v>1.0865077972412109</v>
      </c>
      <c r="Q15" s="29">
        <v>114.6875</v>
      </c>
      <c r="R15" s="32">
        <v>2</v>
      </c>
      <c r="S15" s="32">
        <v>0.40569357177734133</v>
      </c>
    </row>
    <row r="16" spans="1:20">
      <c r="A16" s="10">
        <v>44950</v>
      </c>
      <c r="B16" s="32">
        <v>4.12</v>
      </c>
      <c r="C16" s="32">
        <v>3.58</v>
      </c>
      <c r="D16" s="32">
        <v>3.46</v>
      </c>
      <c r="E16" s="32">
        <v>3.73</v>
      </c>
      <c r="F16" s="32">
        <v>3.62</v>
      </c>
      <c r="G16" s="32">
        <v>-5.0000000000000001E-3</v>
      </c>
      <c r="H16" s="32">
        <v>0.42699999999999999</v>
      </c>
      <c r="I16" s="32">
        <v>1.2809999999999999</v>
      </c>
      <c r="J16" s="32">
        <v>1.542</v>
      </c>
      <c r="K16" s="32">
        <v>4.3</v>
      </c>
      <c r="L16" s="32">
        <v>4.33</v>
      </c>
      <c r="M16" s="32">
        <v>4.2699999999999996</v>
      </c>
      <c r="N16" s="32">
        <v>4.2699999999999996</v>
      </c>
      <c r="O16" s="32">
        <v>130.59700012207031</v>
      </c>
      <c r="P16" s="29">
        <v>1.0874292850494385</v>
      </c>
      <c r="Q16" s="29">
        <v>115.03125</v>
      </c>
      <c r="R16" s="32">
        <v>2.0007999999999999</v>
      </c>
      <c r="S16" s="32">
        <v>0.41095642822265432</v>
      </c>
    </row>
    <row r="17" spans="1:19">
      <c r="A17" s="10">
        <v>44951</v>
      </c>
      <c r="B17" s="32">
        <v>4.1100000000000003</v>
      </c>
      <c r="C17" s="32">
        <v>3.54</v>
      </c>
      <c r="D17" s="32">
        <v>3.46</v>
      </c>
      <c r="E17" s="32">
        <v>3.74</v>
      </c>
      <c r="F17" s="32">
        <v>3.62</v>
      </c>
      <c r="G17" s="32">
        <v>-0.01</v>
      </c>
      <c r="H17" s="32">
        <v>0.45700000000000002</v>
      </c>
      <c r="I17" s="32">
        <v>1.2989999999999999</v>
      </c>
      <c r="J17" s="32">
        <v>1.5349999999999999</v>
      </c>
      <c r="K17" s="32">
        <v>4.3099999999999996</v>
      </c>
      <c r="L17" s="32">
        <v>4.33</v>
      </c>
      <c r="M17" s="32">
        <v>4.2699999999999996</v>
      </c>
      <c r="N17" s="32">
        <v>4.2699999999999996</v>
      </c>
      <c r="O17" s="32">
        <v>130.23899841308594</v>
      </c>
      <c r="P17" s="29">
        <v>1.0888146162033081</v>
      </c>
      <c r="Q17" s="29">
        <v>115.140625</v>
      </c>
      <c r="R17" s="32">
        <v>1.8654999999999999</v>
      </c>
      <c r="S17" s="32">
        <v>0.39341642822265399</v>
      </c>
    </row>
    <row r="18" spans="1:19">
      <c r="A18" s="10">
        <v>44952</v>
      </c>
      <c r="B18" s="32">
        <v>4.17</v>
      </c>
      <c r="C18" s="32">
        <v>3.58</v>
      </c>
      <c r="D18" s="32">
        <v>3.49</v>
      </c>
      <c r="E18" s="32">
        <v>3.75</v>
      </c>
      <c r="F18" s="32">
        <v>3.62</v>
      </c>
      <c r="G18" s="32">
        <v>-8.9999999999999993E-3</v>
      </c>
      <c r="H18" s="32">
        <v>0.48299999999999998</v>
      </c>
      <c r="I18" s="32">
        <v>1.3129999999999999</v>
      </c>
      <c r="J18" s="32">
        <v>1.526</v>
      </c>
      <c r="K18" s="32">
        <v>4.3</v>
      </c>
      <c r="L18" s="32">
        <v>4.33</v>
      </c>
      <c r="M18" s="32">
        <v>4.2699999999999996</v>
      </c>
      <c r="N18" s="32">
        <v>4.2699999999999996</v>
      </c>
      <c r="O18" s="32">
        <v>129.23699951171875</v>
      </c>
      <c r="P18" s="29">
        <v>1.0922038555145264</v>
      </c>
      <c r="Q18" s="29">
        <v>114.859375</v>
      </c>
      <c r="R18" s="32">
        <v>1.9093</v>
      </c>
      <c r="S18" s="32">
        <v>0.40569357177734133</v>
      </c>
    </row>
    <row r="19" spans="1:19">
      <c r="A19" s="10">
        <v>44953</v>
      </c>
      <c r="B19" s="32">
        <v>4.1900000000000004</v>
      </c>
      <c r="C19" s="32">
        <v>3.62</v>
      </c>
      <c r="D19" s="32">
        <v>3.52</v>
      </c>
      <c r="E19" s="32">
        <v>3.77</v>
      </c>
      <c r="F19" s="32">
        <v>3.64</v>
      </c>
      <c r="G19" s="32">
        <v>1E-3</v>
      </c>
      <c r="H19" s="32">
        <v>0.497</v>
      </c>
      <c r="I19" s="32">
        <v>1.377</v>
      </c>
      <c r="J19" s="32">
        <v>1.5740000000000001</v>
      </c>
      <c r="K19" s="32">
        <v>4.3</v>
      </c>
      <c r="L19" s="32">
        <v>4.33</v>
      </c>
      <c r="M19" s="32">
        <v>4.2699999999999996</v>
      </c>
      <c r="N19" s="32">
        <v>4.2699999999999996</v>
      </c>
      <c r="O19" s="32">
        <v>129.80000305175781</v>
      </c>
      <c r="P19" s="29">
        <v>1.0894432067871094</v>
      </c>
      <c r="Q19" s="29">
        <v>114.609375</v>
      </c>
      <c r="R19" s="32">
        <v>2.0085000000000002</v>
      </c>
      <c r="S19" s="32">
        <v>0.4916400000000003</v>
      </c>
    </row>
    <row r="20" spans="1:19">
      <c r="A20" s="10">
        <v>44956</v>
      </c>
      <c r="B20" s="32">
        <v>4.25</v>
      </c>
      <c r="C20" s="32">
        <v>3.68</v>
      </c>
      <c r="D20" s="32">
        <v>3.55</v>
      </c>
      <c r="E20" s="32">
        <v>3.79</v>
      </c>
      <c r="F20" s="32">
        <v>3.66</v>
      </c>
      <c r="G20" s="32">
        <v>-4.0000000000000001E-3</v>
      </c>
      <c r="H20" s="32">
        <v>0.497</v>
      </c>
      <c r="I20" s="32">
        <v>1.3859999999999999</v>
      </c>
      <c r="J20" s="32">
        <v>1.5960000000000001</v>
      </c>
      <c r="K20" s="32">
        <v>4.3</v>
      </c>
      <c r="L20" s="32">
        <v>4.33</v>
      </c>
      <c r="M20" s="32">
        <v>4.2699999999999996</v>
      </c>
      <c r="N20" s="32">
        <v>4.2699999999999996</v>
      </c>
      <c r="O20" s="32">
        <v>129.85400390625</v>
      </c>
      <c r="P20" s="29">
        <v>1.0871455669403076</v>
      </c>
      <c r="Q20" s="29">
        <v>114.28125</v>
      </c>
      <c r="R20" s="32">
        <v>2.0792000000000002</v>
      </c>
      <c r="S20" s="32">
        <v>0.47059178588867212</v>
      </c>
    </row>
    <row r="21" spans="1:19">
      <c r="A21" s="10">
        <v>44957</v>
      </c>
      <c r="B21" s="32">
        <v>4.21</v>
      </c>
      <c r="C21" s="32">
        <v>3.63</v>
      </c>
      <c r="D21" s="32">
        <v>3.52</v>
      </c>
      <c r="E21" s="32">
        <v>3.78</v>
      </c>
      <c r="F21" s="32">
        <v>3.65</v>
      </c>
      <c r="G21" s="32">
        <v>-0.01</v>
      </c>
      <c r="H21" s="32">
        <v>0.51100000000000001</v>
      </c>
      <c r="I21" s="32">
        <v>1.387</v>
      </c>
      <c r="J21" s="32">
        <v>1.6</v>
      </c>
      <c r="K21" s="32">
        <v>4.3099999999999996</v>
      </c>
      <c r="L21" s="32">
        <v>4.33</v>
      </c>
      <c r="M21" s="32">
        <v>4.28</v>
      </c>
      <c r="N21" s="32">
        <v>4.28</v>
      </c>
      <c r="O21" s="32">
        <v>130.47900390625</v>
      </c>
      <c r="P21" s="29">
        <v>1.0850694179534912</v>
      </c>
      <c r="Q21" s="29">
        <v>114.515625</v>
      </c>
      <c r="R21" s="32">
        <v>2.1421999999999999</v>
      </c>
      <c r="S21" s="32">
        <v>0.52496642822265471</v>
      </c>
    </row>
    <row r="22" spans="1:19">
      <c r="A22" s="10">
        <v>44958</v>
      </c>
      <c r="B22" s="32">
        <v>4.09</v>
      </c>
      <c r="C22" s="32">
        <v>3.48</v>
      </c>
      <c r="D22" s="32">
        <v>3.39</v>
      </c>
      <c r="E22" s="32">
        <v>3.67</v>
      </c>
      <c r="F22" s="32">
        <v>3.55</v>
      </c>
      <c r="G22" s="32">
        <v>-0.02</v>
      </c>
      <c r="H22" s="32">
        <v>0.5</v>
      </c>
      <c r="I22" s="32">
        <v>1.35</v>
      </c>
      <c r="J22" s="32">
        <v>1.57</v>
      </c>
      <c r="K22" s="32">
        <v>4.3099999999999996</v>
      </c>
      <c r="L22" s="32">
        <v>4.33</v>
      </c>
      <c r="M22" s="32">
        <v>4.2699999999999996</v>
      </c>
      <c r="N22" s="32">
        <v>4.2699999999999996</v>
      </c>
      <c r="O22" s="32">
        <v>130.11000061035156</v>
      </c>
      <c r="P22" s="29">
        <v>1.0860947370529175</v>
      </c>
      <c r="Q22" s="29">
        <v>115.484375</v>
      </c>
      <c r="R22" s="32">
        <v>2.0493000000000001</v>
      </c>
      <c r="S22" s="32">
        <v>0.48111642822265566</v>
      </c>
    </row>
    <row r="23" spans="1:19">
      <c r="A23" s="10">
        <v>44959</v>
      </c>
      <c r="B23" s="32">
        <v>4.09</v>
      </c>
      <c r="C23" s="32">
        <v>3.49</v>
      </c>
      <c r="D23" s="32">
        <v>3.4</v>
      </c>
      <c r="E23" s="32">
        <v>3.67</v>
      </c>
      <c r="F23" s="32">
        <v>3.55</v>
      </c>
      <c r="G23" s="32">
        <v>-0.02</v>
      </c>
      <c r="H23" s="32">
        <v>0.51500000000000001</v>
      </c>
      <c r="I23" s="32">
        <v>1.3140000000000001</v>
      </c>
      <c r="J23" s="32">
        <v>1.5309999999999999</v>
      </c>
      <c r="K23" s="32">
        <v>4.5599999999999996</v>
      </c>
      <c r="L23" s="32">
        <v>4.58</v>
      </c>
      <c r="M23" s="32">
        <v>4.5199999999999996</v>
      </c>
      <c r="N23" s="32">
        <v>4.5199999999999996</v>
      </c>
      <c r="O23" s="32">
        <v>128.62199401855469</v>
      </c>
      <c r="P23" s="29">
        <v>1.1012852191925049</v>
      </c>
      <c r="Q23" s="29">
        <v>115.546875</v>
      </c>
      <c r="R23" s="32">
        <v>1.9797</v>
      </c>
      <c r="S23" s="32">
        <v>0.4390199999999993</v>
      </c>
    </row>
    <row r="24" spans="1:19">
      <c r="A24" s="10">
        <v>44960</v>
      </c>
      <c r="B24" s="32">
        <v>4.3</v>
      </c>
      <c r="C24" s="32">
        <v>3.67</v>
      </c>
      <c r="D24" s="32">
        <v>3.53</v>
      </c>
      <c r="E24" s="32">
        <v>3.77</v>
      </c>
      <c r="F24" s="32">
        <v>3.63</v>
      </c>
      <c r="G24" s="32">
        <v>-0.03</v>
      </c>
      <c r="H24" s="32">
        <v>0.503</v>
      </c>
      <c r="I24" s="32">
        <v>1.296</v>
      </c>
      <c r="J24" s="32">
        <v>1.5309999999999999</v>
      </c>
      <c r="K24" s="32">
        <v>4.55</v>
      </c>
      <c r="L24" s="32">
        <v>4.58</v>
      </c>
      <c r="M24" s="32">
        <v>4.5199999999999996</v>
      </c>
      <c r="N24" s="32">
        <v>4.5199999999999996</v>
      </c>
      <c r="O24" s="32">
        <v>128.74600219726563</v>
      </c>
      <c r="P24" s="29">
        <v>1.0905125141143799</v>
      </c>
      <c r="Q24" s="29">
        <v>114.421875</v>
      </c>
      <c r="R24" s="32">
        <v>1.6060000000000001</v>
      </c>
      <c r="S24" s="32">
        <v>0.43024999999999736</v>
      </c>
    </row>
    <row r="25" spans="1:19">
      <c r="A25" s="10">
        <v>44963</v>
      </c>
      <c r="B25" s="32">
        <v>4.4400000000000004</v>
      </c>
      <c r="C25" s="32">
        <v>3.81</v>
      </c>
      <c r="D25" s="32">
        <v>3.63</v>
      </c>
      <c r="E25" s="32">
        <v>3.82</v>
      </c>
      <c r="F25" s="32">
        <v>3.67</v>
      </c>
      <c r="G25" s="32">
        <v>-2.5000000000000001E-2</v>
      </c>
      <c r="H25" s="32">
        <v>0.51100000000000001</v>
      </c>
      <c r="I25" s="32">
        <v>1.3240000000000001</v>
      </c>
      <c r="J25" s="32">
        <v>1.5389999999999999</v>
      </c>
      <c r="K25" s="32">
        <v>4.55</v>
      </c>
      <c r="L25" s="32">
        <v>4.58</v>
      </c>
      <c r="M25" s="32">
        <v>4.5199999999999996</v>
      </c>
      <c r="N25" s="32">
        <v>4.5199999999999996</v>
      </c>
      <c r="O25" s="32">
        <v>132.00900268554688</v>
      </c>
      <c r="P25" s="29">
        <v>1.0790861845016479</v>
      </c>
      <c r="Q25" s="29">
        <v>113.5</v>
      </c>
      <c r="R25" s="32">
        <v>1.651</v>
      </c>
      <c r="S25" s="32">
        <v>0.45831357177734233</v>
      </c>
    </row>
    <row r="26" spans="1:19">
      <c r="A26" s="10">
        <v>44964</v>
      </c>
      <c r="B26" s="32">
        <v>4.47</v>
      </c>
      <c r="C26" s="32">
        <v>3.85</v>
      </c>
      <c r="D26" s="32">
        <v>3.67</v>
      </c>
      <c r="E26" s="32">
        <v>3.87</v>
      </c>
      <c r="F26" s="32">
        <v>3.72</v>
      </c>
      <c r="G26" s="32">
        <v>-2.9000000000000001E-2</v>
      </c>
      <c r="H26" s="32">
        <v>0.51100000000000001</v>
      </c>
      <c r="I26" s="32">
        <v>1.329</v>
      </c>
      <c r="J26" s="32">
        <v>1.5609999999999999</v>
      </c>
      <c r="K26" s="32">
        <v>4.55</v>
      </c>
      <c r="L26" s="32">
        <v>4.58</v>
      </c>
      <c r="M26" s="32">
        <v>4.5199999999999996</v>
      </c>
      <c r="N26" s="32">
        <v>4.5199999999999996</v>
      </c>
      <c r="O26" s="32">
        <v>132.62300109863281</v>
      </c>
      <c r="P26" s="29">
        <v>1.0730764865875244</v>
      </c>
      <c r="Q26" s="29">
        <v>113.234375</v>
      </c>
      <c r="R26" s="32">
        <v>1.8090999999999999</v>
      </c>
      <c r="S26" s="32">
        <v>0.45305178588867179</v>
      </c>
    </row>
    <row r="27" spans="1:19">
      <c r="A27" s="10">
        <v>44965</v>
      </c>
      <c r="B27" s="32">
        <v>4.45</v>
      </c>
      <c r="C27" s="32">
        <v>3.82</v>
      </c>
      <c r="D27" s="32">
        <v>3.63</v>
      </c>
      <c r="E27" s="32">
        <v>3.86</v>
      </c>
      <c r="F27" s="32">
        <v>3.7</v>
      </c>
      <c r="G27" s="32">
        <v>-2.9000000000000001E-2</v>
      </c>
      <c r="H27" s="32">
        <v>0.51100000000000001</v>
      </c>
      <c r="I27" s="32">
        <v>1.319</v>
      </c>
      <c r="J27" s="32">
        <v>1.544</v>
      </c>
      <c r="K27" s="32">
        <v>4.55</v>
      </c>
      <c r="L27" s="32">
        <v>4.58</v>
      </c>
      <c r="M27" s="32">
        <v>4.5199999999999996</v>
      </c>
      <c r="N27" s="32">
        <v>4.5199999999999996</v>
      </c>
      <c r="O27" s="32">
        <v>131.04200744628906</v>
      </c>
      <c r="P27" s="29">
        <v>1.0729728937149048</v>
      </c>
      <c r="Q27" s="29">
        <v>113.40625</v>
      </c>
      <c r="R27" s="32">
        <v>1.8935999999999999</v>
      </c>
      <c r="S27" s="32">
        <v>0.44603642822265499</v>
      </c>
    </row>
    <row r="28" spans="1:19">
      <c r="A28" s="10">
        <v>44966</v>
      </c>
      <c r="B28" s="32">
        <v>4.4800000000000004</v>
      </c>
      <c r="C28" s="32">
        <v>3.87</v>
      </c>
      <c r="D28" s="32">
        <v>3.67</v>
      </c>
      <c r="E28" s="32">
        <v>3.9</v>
      </c>
      <c r="F28" s="32">
        <v>3.75</v>
      </c>
      <c r="G28" s="32">
        <v>-3.5000000000000003E-2</v>
      </c>
      <c r="H28" s="32">
        <v>0.51100000000000001</v>
      </c>
      <c r="I28" s="32">
        <v>1.3240000000000001</v>
      </c>
      <c r="J28" s="32">
        <v>1.544</v>
      </c>
      <c r="K28" s="32">
        <v>4.55</v>
      </c>
      <c r="L28" s="32">
        <v>4.57</v>
      </c>
      <c r="M28" s="32">
        <v>4.5199999999999996</v>
      </c>
      <c r="N28" s="32">
        <v>4.5199999999999996</v>
      </c>
      <c r="O28" s="32">
        <v>131.38699340820313</v>
      </c>
      <c r="P28" s="29">
        <v>1.0715816020965576</v>
      </c>
      <c r="Q28" s="29">
        <v>113.03125</v>
      </c>
      <c r="R28" s="32">
        <v>1.9764999999999999</v>
      </c>
      <c r="S28" s="32">
        <v>0.46006821411132748</v>
      </c>
    </row>
    <row r="29" spans="1:19">
      <c r="A29" s="10">
        <v>44967</v>
      </c>
      <c r="B29" s="32">
        <v>4.5</v>
      </c>
      <c r="C29" s="32">
        <v>3.93</v>
      </c>
      <c r="D29" s="32">
        <v>3.74</v>
      </c>
      <c r="E29" s="32">
        <v>3.96</v>
      </c>
      <c r="F29" s="32">
        <v>3.83</v>
      </c>
      <c r="G29" s="32">
        <v>-4.4999999999999998E-2</v>
      </c>
      <c r="H29" s="32">
        <v>0.51400000000000001</v>
      </c>
      <c r="I29" s="32">
        <v>1.3460000000000001</v>
      </c>
      <c r="J29" s="32">
        <v>1.5620000000000001</v>
      </c>
      <c r="K29" s="32">
        <v>4.55</v>
      </c>
      <c r="L29" s="32">
        <v>4.58</v>
      </c>
      <c r="M29" s="32">
        <v>4.5199999999999996</v>
      </c>
      <c r="N29" s="32">
        <v>4.5199999999999996</v>
      </c>
      <c r="O29" s="32">
        <v>131.51899719238281</v>
      </c>
      <c r="P29" s="29">
        <v>1.0742292404174805</v>
      </c>
      <c r="Q29" s="29">
        <v>112.6875</v>
      </c>
      <c r="R29" s="32">
        <v>1.9661</v>
      </c>
      <c r="S29" s="32">
        <v>0.46357642822265532</v>
      </c>
    </row>
    <row r="30" spans="1:19">
      <c r="A30" s="10">
        <v>44970</v>
      </c>
      <c r="B30" s="32">
        <v>4.5199999999999996</v>
      </c>
      <c r="C30" s="32">
        <v>3.93</v>
      </c>
      <c r="D30" s="32">
        <v>3.72</v>
      </c>
      <c r="E30" s="32">
        <v>3.92</v>
      </c>
      <c r="F30" s="32">
        <v>3.79</v>
      </c>
      <c r="G30" s="32">
        <v>-5.5E-2</v>
      </c>
      <c r="H30" s="32">
        <v>0.52400000000000002</v>
      </c>
      <c r="I30" s="32">
        <v>1.3140000000000001</v>
      </c>
      <c r="J30" s="32">
        <v>1.5089999999999999</v>
      </c>
      <c r="K30" s="32">
        <v>4.55</v>
      </c>
      <c r="L30" s="32">
        <v>4.58</v>
      </c>
      <c r="M30" s="32">
        <v>4.5199999999999996</v>
      </c>
      <c r="N30" s="32">
        <v>4.5199999999999996</v>
      </c>
      <c r="O30" s="32">
        <v>131.55099487304688</v>
      </c>
      <c r="P30" s="29">
        <v>1.0677714347839355</v>
      </c>
      <c r="Q30" s="29">
        <v>112.78125</v>
      </c>
      <c r="R30" s="32">
        <v>2.0411999999999999</v>
      </c>
      <c r="S30" s="32">
        <v>0.44252821411132715</v>
      </c>
    </row>
    <row r="31" spans="1:19">
      <c r="A31" s="10">
        <v>44971</v>
      </c>
      <c r="B31" s="32">
        <v>4.5999999999999996</v>
      </c>
      <c r="C31" s="32">
        <v>4</v>
      </c>
      <c r="D31" s="32">
        <v>3.77</v>
      </c>
      <c r="E31" s="32">
        <v>3.94</v>
      </c>
      <c r="F31" s="32">
        <v>3.81</v>
      </c>
      <c r="G31" s="32">
        <v>-5.6000000000000001E-2</v>
      </c>
      <c r="H31" s="32">
        <v>0.52400000000000002</v>
      </c>
      <c r="I31" s="32">
        <v>1.3009999999999999</v>
      </c>
      <c r="J31" s="32">
        <v>1.5049999999999999</v>
      </c>
      <c r="K31" s="32">
        <v>4.55</v>
      </c>
      <c r="L31" s="32">
        <v>4.58</v>
      </c>
      <c r="M31" s="32">
        <v>4.5199999999999996</v>
      </c>
      <c r="N31" s="32">
        <v>4.5199999999999996</v>
      </c>
      <c r="O31" s="32">
        <v>132.33700561523438</v>
      </c>
      <c r="P31" s="29">
        <v>1.0730419158935547</v>
      </c>
      <c r="Q31" s="29">
        <v>112.328125</v>
      </c>
      <c r="R31" s="32">
        <v>2.0567000000000002</v>
      </c>
      <c r="S31" s="32">
        <v>0.43200357177734361</v>
      </c>
    </row>
    <row r="32" spans="1:19">
      <c r="A32" s="10">
        <v>44972</v>
      </c>
      <c r="B32" s="32">
        <v>4.62</v>
      </c>
      <c r="C32" s="32">
        <v>4.04</v>
      </c>
      <c r="D32" s="32">
        <v>3.81</v>
      </c>
      <c r="E32" s="32">
        <v>3.97</v>
      </c>
      <c r="F32" s="32">
        <v>3.85</v>
      </c>
      <c r="G32" s="32">
        <v>-5.0999999999999997E-2</v>
      </c>
      <c r="H32" s="32">
        <v>0.52500000000000002</v>
      </c>
      <c r="I32" s="32">
        <v>1.292</v>
      </c>
      <c r="J32" s="32">
        <v>1.482</v>
      </c>
      <c r="K32" s="32">
        <v>4.55</v>
      </c>
      <c r="L32" s="32">
        <v>4.58</v>
      </c>
      <c r="M32" s="32">
        <v>4.53</v>
      </c>
      <c r="N32" s="32">
        <v>4.53</v>
      </c>
      <c r="O32" s="32">
        <v>132.99099731445313</v>
      </c>
      <c r="P32" s="29">
        <v>1.0735719203948975</v>
      </c>
      <c r="Q32" s="29">
        <v>112.046875</v>
      </c>
      <c r="R32" s="32">
        <v>2.1560999999999999</v>
      </c>
      <c r="S32" s="32">
        <v>0.43200357177734361</v>
      </c>
    </row>
    <row r="33" spans="1:19">
      <c r="A33" s="10">
        <v>44973</v>
      </c>
      <c r="B33" s="32">
        <v>4.62</v>
      </c>
      <c r="C33" s="32">
        <v>4.0599999999999996</v>
      </c>
      <c r="D33" s="32">
        <v>3.86</v>
      </c>
      <c r="E33" s="32">
        <v>4.05</v>
      </c>
      <c r="F33" s="32">
        <v>3.92</v>
      </c>
      <c r="G33" s="32">
        <v>-4.7E-2</v>
      </c>
      <c r="H33" s="32">
        <v>0.52600000000000002</v>
      </c>
      <c r="I33" s="32">
        <v>1.3089999999999999</v>
      </c>
      <c r="J33" s="32">
        <v>1.486</v>
      </c>
      <c r="K33" s="32">
        <v>4.55</v>
      </c>
      <c r="L33" s="32">
        <v>4.58</v>
      </c>
      <c r="M33" s="32">
        <v>4.53</v>
      </c>
      <c r="N33" s="32">
        <v>4.53</v>
      </c>
      <c r="O33" s="32">
        <v>133.90299987792969</v>
      </c>
      <c r="P33" s="29">
        <v>1.0691757202148438</v>
      </c>
      <c r="Q33" s="29">
        <v>111.890625</v>
      </c>
      <c r="R33" s="32">
        <v>2.121</v>
      </c>
      <c r="S33" s="32">
        <v>0.44428178588866984</v>
      </c>
    </row>
    <row r="34" spans="1:19">
      <c r="A34" s="10">
        <v>44974</v>
      </c>
      <c r="B34" s="32">
        <v>4.5999999999999996</v>
      </c>
      <c r="C34" s="32">
        <v>4.03</v>
      </c>
      <c r="D34" s="32">
        <v>3.82</v>
      </c>
      <c r="E34" s="32">
        <v>4.01</v>
      </c>
      <c r="F34" s="32">
        <v>3.88</v>
      </c>
      <c r="G34" s="32">
        <v>-4.7E-2</v>
      </c>
      <c r="H34" s="32">
        <v>0.52800000000000002</v>
      </c>
      <c r="I34" s="32">
        <v>1.3240000000000001</v>
      </c>
      <c r="J34" s="32">
        <v>1.5029999999999999</v>
      </c>
      <c r="K34" s="32">
        <v>4.55</v>
      </c>
      <c r="L34" s="32">
        <v>4.58</v>
      </c>
      <c r="M34" s="32">
        <v>4.5199999999999996</v>
      </c>
      <c r="N34" s="32">
        <v>4.5199999999999996</v>
      </c>
      <c r="O34" s="32">
        <v>134.07400512695313</v>
      </c>
      <c r="P34" s="29">
        <v>1.0665756464004517</v>
      </c>
      <c r="Q34" s="29">
        <v>112</v>
      </c>
      <c r="R34" s="32">
        <v>2.0994999999999999</v>
      </c>
      <c r="S34" s="32">
        <v>0.45129821411132554</v>
      </c>
    </row>
    <row r="35" spans="1:19">
      <c r="A35" s="10">
        <v>44978</v>
      </c>
      <c r="B35" s="32">
        <v>4.67</v>
      </c>
      <c r="C35" s="32">
        <v>4.16</v>
      </c>
      <c r="D35" s="32">
        <v>3.95</v>
      </c>
      <c r="E35" s="32">
        <v>4.12</v>
      </c>
      <c r="F35" s="32">
        <v>3.98</v>
      </c>
      <c r="G35" s="32">
        <v>-2.9000000000000001E-2</v>
      </c>
      <c r="H35" s="32">
        <v>0.53100000000000003</v>
      </c>
      <c r="I35" s="32">
        <v>1.3280000000000001</v>
      </c>
      <c r="J35" s="32">
        <v>1.504</v>
      </c>
      <c r="K35" s="32">
        <v>4.55</v>
      </c>
      <c r="L35" s="32">
        <v>4.58</v>
      </c>
      <c r="M35" s="32">
        <v>4.5199999999999996</v>
      </c>
      <c r="N35" s="32">
        <v>4.5199999999999996</v>
      </c>
      <c r="O35" s="32">
        <v>134.33599853515625</v>
      </c>
      <c r="P35" s="29">
        <v>1.068261981010437</v>
      </c>
      <c r="Q35" s="29">
        <v>111.0625</v>
      </c>
      <c r="R35" s="32">
        <v>2.0834999999999999</v>
      </c>
      <c r="S35" s="32">
        <v>0.47409999999999997</v>
      </c>
    </row>
    <row r="36" spans="1:19">
      <c r="A36" s="10">
        <v>44979</v>
      </c>
      <c r="B36" s="32">
        <v>4.66</v>
      </c>
      <c r="C36" s="32">
        <v>4.13</v>
      </c>
      <c r="D36" s="32">
        <v>3.93</v>
      </c>
      <c r="E36" s="32">
        <v>4.09</v>
      </c>
      <c r="F36" s="32">
        <v>3.94</v>
      </c>
      <c r="G36" s="32">
        <v>-2.9000000000000001E-2</v>
      </c>
      <c r="H36" s="32">
        <v>0.53100000000000003</v>
      </c>
      <c r="I36" s="32">
        <v>1.3149999999999999</v>
      </c>
      <c r="J36" s="32">
        <v>1.4730000000000001</v>
      </c>
      <c r="K36" s="32">
        <v>4.55</v>
      </c>
      <c r="L36" s="32">
        <v>4.58</v>
      </c>
      <c r="M36" s="32">
        <v>4.5199999999999996</v>
      </c>
      <c r="N36" s="32">
        <v>4.5199999999999996</v>
      </c>
      <c r="O36" s="32">
        <v>134.97599792480469</v>
      </c>
      <c r="P36" s="29">
        <v>1.0652009248733521</v>
      </c>
      <c r="Q36" s="29">
        <v>111.203125</v>
      </c>
      <c r="R36" s="32">
        <v>2.3222999999999998</v>
      </c>
      <c r="S36" s="32">
        <v>0.46708357177734072</v>
      </c>
    </row>
    <row r="37" spans="1:19">
      <c r="A37" s="10">
        <v>44980</v>
      </c>
      <c r="B37" s="32">
        <v>4.66</v>
      </c>
      <c r="C37" s="32">
        <v>4.09</v>
      </c>
      <c r="D37" s="32">
        <v>3.88</v>
      </c>
      <c r="E37" s="32">
        <v>4.04</v>
      </c>
      <c r="F37" s="32">
        <v>3.88</v>
      </c>
      <c r="G37" s="32">
        <v>-2.9000000000000001E-2</v>
      </c>
      <c r="H37" s="32">
        <v>0.53100000000000003</v>
      </c>
      <c r="I37" s="32">
        <v>1.3149999999999999</v>
      </c>
      <c r="J37" s="32">
        <v>1.4730000000000001</v>
      </c>
      <c r="K37" s="32">
        <v>4.55</v>
      </c>
      <c r="L37" s="32">
        <v>4.58</v>
      </c>
      <c r="M37" s="32">
        <v>4.51</v>
      </c>
      <c r="N37" s="32">
        <v>4.51</v>
      </c>
      <c r="O37" s="32">
        <v>134.9320068359375</v>
      </c>
      <c r="P37" s="29">
        <v>1.0605803728103638</v>
      </c>
      <c r="Q37" s="29">
        <v>111.4375</v>
      </c>
      <c r="R37" s="32">
        <v>2.3001</v>
      </c>
      <c r="S37" s="32">
        <v>0.46708357177734072</v>
      </c>
    </row>
    <row r="38" spans="1:19">
      <c r="A38" s="10">
        <v>44981</v>
      </c>
      <c r="B38" s="32">
        <v>4.78</v>
      </c>
      <c r="C38" s="32">
        <v>4.1900000000000004</v>
      </c>
      <c r="D38" s="32">
        <v>3.95</v>
      </c>
      <c r="E38" s="32">
        <v>4.1100000000000003</v>
      </c>
      <c r="F38" s="32">
        <v>3.93</v>
      </c>
      <c r="G38" s="32">
        <v>-2.9000000000000001E-2</v>
      </c>
      <c r="H38" s="32">
        <v>0.53</v>
      </c>
      <c r="I38" s="32">
        <v>1.2929999999999999</v>
      </c>
      <c r="J38" s="32">
        <v>1.464</v>
      </c>
      <c r="K38" s="32">
        <v>4.55</v>
      </c>
      <c r="L38" s="32">
        <v>4.58</v>
      </c>
      <c r="M38" s="32">
        <v>4.51</v>
      </c>
      <c r="N38" s="32">
        <v>4.51</v>
      </c>
      <c r="O38" s="32">
        <v>134.62800598144531</v>
      </c>
      <c r="P38" s="29">
        <v>1.0598047971725464</v>
      </c>
      <c r="Q38" s="29">
        <v>110.921875</v>
      </c>
      <c r="R38" s="32">
        <v>2.2303999999999999</v>
      </c>
      <c r="S38" s="32">
        <v>0.44428178588866984</v>
      </c>
    </row>
    <row r="39" spans="1:19">
      <c r="A39" s="10">
        <v>44984</v>
      </c>
      <c r="B39" s="32">
        <v>4.78</v>
      </c>
      <c r="C39" s="32">
        <v>4.17</v>
      </c>
      <c r="D39" s="32">
        <v>3.92</v>
      </c>
      <c r="E39" s="32">
        <v>4.1100000000000003</v>
      </c>
      <c r="F39" s="32">
        <v>3.93</v>
      </c>
      <c r="G39" s="32">
        <v>-2.8000000000000001E-2</v>
      </c>
      <c r="H39" s="32">
        <v>0.53200000000000003</v>
      </c>
      <c r="I39" s="32">
        <v>1.2789999999999999</v>
      </c>
      <c r="J39" s="32">
        <v>1.4550000000000001</v>
      </c>
      <c r="K39" s="32">
        <v>4.55</v>
      </c>
      <c r="L39" s="32">
        <v>4.57</v>
      </c>
      <c r="M39" s="32">
        <v>4.51</v>
      </c>
      <c r="N39" s="32">
        <v>4.51</v>
      </c>
      <c r="O39" s="32">
        <v>136.39500427246094</v>
      </c>
      <c r="P39" s="29">
        <v>1.0554758310317993</v>
      </c>
      <c r="Q39" s="29">
        <v>111.140625</v>
      </c>
      <c r="R39" s="32">
        <v>2.2694999999999999</v>
      </c>
      <c r="S39" s="32">
        <v>0.4372664282226566</v>
      </c>
    </row>
    <row r="40" spans="1:19">
      <c r="A40" s="10">
        <v>44985</v>
      </c>
      <c r="B40" s="32">
        <v>4.8099999999999996</v>
      </c>
      <c r="C40" s="32">
        <v>4.18</v>
      </c>
      <c r="D40" s="32">
        <v>3.92</v>
      </c>
      <c r="E40" s="32">
        <v>4.0999999999999996</v>
      </c>
      <c r="F40" s="32">
        <v>3.93</v>
      </c>
      <c r="G40" s="32">
        <v>-2.5999999999999999E-2</v>
      </c>
      <c r="H40" s="32">
        <v>0.52400000000000002</v>
      </c>
      <c r="I40" s="32">
        <v>1.2090000000000001</v>
      </c>
      <c r="J40" s="32">
        <v>1.393</v>
      </c>
      <c r="K40" s="32">
        <v>4.55</v>
      </c>
      <c r="L40" s="32">
        <v>4.57</v>
      </c>
      <c r="M40" s="32">
        <v>4.5199999999999996</v>
      </c>
      <c r="N40" s="32">
        <v>4.5199999999999996</v>
      </c>
      <c r="O40" s="32">
        <v>136.31700134277344</v>
      </c>
      <c r="P40" s="29">
        <v>1.0611205101013184</v>
      </c>
      <c r="Q40" s="29">
        <v>111.171875</v>
      </c>
      <c r="R40" s="32">
        <v>2.3458000000000001</v>
      </c>
      <c r="S40" s="32">
        <v>0.40043178588867079</v>
      </c>
    </row>
    <row r="41" spans="1:19">
      <c r="A41" s="10">
        <v>44986</v>
      </c>
      <c r="B41" s="32">
        <v>4.8899999999999997</v>
      </c>
      <c r="C41" s="32">
        <v>4.2699999999999996</v>
      </c>
      <c r="D41" s="32">
        <v>4.01</v>
      </c>
      <c r="E41" s="32">
        <v>4.17</v>
      </c>
      <c r="F41" s="32">
        <v>3.97</v>
      </c>
      <c r="G41" s="32">
        <v>-3.5000000000000003E-2</v>
      </c>
      <c r="H41" s="32">
        <v>0.52500000000000002</v>
      </c>
      <c r="I41" s="32">
        <v>1.2050000000000001</v>
      </c>
      <c r="J41" s="32">
        <v>1.389</v>
      </c>
      <c r="K41" s="32">
        <v>4.55</v>
      </c>
      <c r="L41" s="32">
        <v>4.58</v>
      </c>
      <c r="M41" s="32">
        <v>4.5199999999999996</v>
      </c>
      <c r="N41" s="32">
        <v>4.5199999999999996</v>
      </c>
      <c r="O41" s="32">
        <v>136.34800720214844</v>
      </c>
      <c r="P41" s="29">
        <v>1.0577309131622314</v>
      </c>
      <c r="Q41" s="29">
        <v>110.5625</v>
      </c>
      <c r="R41" s="32">
        <v>2.4906999999999999</v>
      </c>
      <c r="S41" s="32">
        <v>0.35482821411132548</v>
      </c>
    </row>
    <row r="42" spans="1:19">
      <c r="A42" s="10">
        <v>44987</v>
      </c>
      <c r="B42" s="32">
        <v>4.8899999999999997</v>
      </c>
      <c r="C42" s="32">
        <v>4.32</v>
      </c>
      <c r="D42" s="32">
        <v>4.08</v>
      </c>
      <c r="E42" s="32">
        <v>4.24</v>
      </c>
      <c r="F42" s="32">
        <v>4.03</v>
      </c>
      <c r="G42" s="32">
        <v>-3.5000000000000003E-2</v>
      </c>
      <c r="H42" s="32">
        <v>0.52700000000000002</v>
      </c>
      <c r="I42" s="32">
        <v>1.232</v>
      </c>
      <c r="J42" s="32">
        <v>1.4159999999999999</v>
      </c>
      <c r="K42" s="32">
        <v>4.55</v>
      </c>
      <c r="L42" s="32">
        <v>4.57</v>
      </c>
      <c r="M42" s="32">
        <v>4.5199999999999996</v>
      </c>
      <c r="N42" s="32">
        <v>4.5199999999999996</v>
      </c>
      <c r="O42" s="32">
        <v>136.19400024414063</v>
      </c>
      <c r="P42" s="29">
        <v>1.0668942928314209</v>
      </c>
      <c r="Q42" s="29">
        <v>110.09375</v>
      </c>
      <c r="R42" s="32">
        <v>2.3794</v>
      </c>
      <c r="S42" s="32">
        <v>0.36885999999999797</v>
      </c>
    </row>
    <row r="43" spans="1:19">
      <c r="A43" s="10">
        <v>44988</v>
      </c>
      <c r="B43" s="32">
        <v>4.8600000000000003</v>
      </c>
      <c r="C43" s="32">
        <v>4.26</v>
      </c>
      <c r="D43" s="32">
        <v>3.97</v>
      </c>
      <c r="E43" s="32">
        <v>4.12</v>
      </c>
      <c r="F43" s="32">
        <v>3.9</v>
      </c>
      <c r="G43" s="32">
        <v>-0.04</v>
      </c>
      <c r="H43" s="32">
        <v>0.52700000000000002</v>
      </c>
      <c r="I43" s="32">
        <v>1.25</v>
      </c>
      <c r="J43" s="32">
        <v>1.4430000000000001</v>
      </c>
      <c r="K43" s="32">
        <v>4.55</v>
      </c>
      <c r="L43" s="32">
        <v>4.57</v>
      </c>
      <c r="M43" s="32">
        <v>4.51</v>
      </c>
      <c r="N43" s="32">
        <v>4.51</v>
      </c>
      <c r="O43" s="32">
        <v>136.70500183105469</v>
      </c>
      <c r="P43" s="29">
        <v>1.0599732398986816</v>
      </c>
      <c r="Q43" s="29">
        <v>110.65625</v>
      </c>
      <c r="R43" s="32">
        <v>2.4386999999999999</v>
      </c>
      <c r="S43" s="32">
        <v>0.27414357177734416</v>
      </c>
    </row>
    <row r="44" spans="1:19">
      <c r="A44" s="10">
        <v>44991</v>
      </c>
      <c r="B44" s="32">
        <v>4.8899999999999997</v>
      </c>
      <c r="C44" s="32">
        <v>4.2699999999999996</v>
      </c>
      <c r="D44" s="32">
        <v>3.98</v>
      </c>
      <c r="E44" s="32">
        <v>4.1399999999999997</v>
      </c>
      <c r="F44" s="32">
        <v>3.92</v>
      </c>
      <c r="G44" s="32">
        <v>-3.9E-2</v>
      </c>
      <c r="H44" s="32">
        <v>0.53</v>
      </c>
      <c r="I44" s="32">
        <v>1.2509999999999999</v>
      </c>
      <c r="J44" s="32">
        <v>1.4390000000000001</v>
      </c>
      <c r="K44" s="32">
        <v>4.55</v>
      </c>
      <c r="L44" s="32">
        <v>4.57</v>
      </c>
      <c r="M44" s="32">
        <v>4.51</v>
      </c>
      <c r="N44" s="32">
        <v>4.51</v>
      </c>
      <c r="O44" s="32">
        <v>135.86000061035156</v>
      </c>
      <c r="P44" s="29">
        <v>1.0626201629638672</v>
      </c>
      <c r="Q44" s="29">
        <v>110.5625</v>
      </c>
      <c r="R44" s="32">
        <v>2.4192999999999998</v>
      </c>
      <c r="S44" s="32">
        <v>0.44252821411132715</v>
      </c>
    </row>
    <row r="45" spans="1:19">
      <c r="A45" s="10">
        <v>44992</v>
      </c>
      <c r="B45" s="32">
        <v>5</v>
      </c>
      <c r="C45" s="32">
        <v>4.3099999999999996</v>
      </c>
      <c r="D45" s="32">
        <v>3.97</v>
      </c>
      <c r="E45" s="32">
        <v>4.1100000000000003</v>
      </c>
      <c r="F45" s="32">
        <v>3.88</v>
      </c>
      <c r="G45" s="32">
        <v>-3.9E-2</v>
      </c>
      <c r="H45" s="32">
        <v>0.52800000000000002</v>
      </c>
      <c r="I45" s="32">
        <v>1.2609999999999999</v>
      </c>
      <c r="J45" s="32">
        <v>1.448</v>
      </c>
      <c r="K45" s="32">
        <v>4.55</v>
      </c>
      <c r="L45" s="32">
        <v>4.57</v>
      </c>
      <c r="M45" s="32">
        <v>4.51</v>
      </c>
      <c r="N45" s="32">
        <v>4.51</v>
      </c>
      <c r="O45" s="32">
        <v>135.99899291992188</v>
      </c>
      <c r="P45" s="29">
        <v>1.0688328742980957</v>
      </c>
      <c r="Q45" s="29">
        <v>110.515625</v>
      </c>
      <c r="R45" s="32">
        <v>2.4045999999999998</v>
      </c>
      <c r="S45" s="32">
        <v>0.43200357177734361</v>
      </c>
    </row>
    <row r="46" spans="1:19">
      <c r="A46" s="10">
        <v>44993</v>
      </c>
      <c r="B46" s="32">
        <v>5.05</v>
      </c>
      <c r="C46" s="32">
        <v>4.34</v>
      </c>
      <c r="D46" s="32">
        <v>3.98</v>
      </c>
      <c r="E46" s="32">
        <v>4.1100000000000003</v>
      </c>
      <c r="F46" s="32">
        <v>3.88</v>
      </c>
      <c r="G46" s="32">
        <v>-0.04</v>
      </c>
      <c r="H46" s="32">
        <v>0.52900000000000003</v>
      </c>
      <c r="I46" s="32">
        <v>1.272</v>
      </c>
      <c r="J46" s="32">
        <v>1.4750000000000001</v>
      </c>
      <c r="K46" s="32">
        <v>4.55</v>
      </c>
      <c r="L46" s="32">
        <v>4.57</v>
      </c>
      <c r="M46" s="32">
        <v>4.51</v>
      </c>
      <c r="N46" s="32">
        <v>4.51</v>
      </c>
      <c r="O46" s="32">
        <v>137.39100646972656</v>
      </c>
      <c r="P46" s="29">
        <v>1.05507493019104</v>
      </c>
      <c r="Q46" s="29">
        <v>110.453125</v>
      </c>
      <c r="R46" s="32">
        <v>2.3098999999999998</v>
      </c>
      <c r="S46" s="32">
        <v>0.44603642822265499</v>
      </c>
    </row>
    <row r="47" spans="1:19">
      <c r="A47" s="10">
        <v>44994</v>
      </c>
      <c r="B47" s="32">
        <v>4.9000000000000004</v>
      </c>
      <c r="C47" s="32">
        <v>4.22</v>
      </c>
      <c r="D47" s="32">
        <v>3.93</v>
      </c>
      <c r="E47" s="32">
        <v>4.09</v>
      </c>
      <c r="F47" s="32">
        <v>3.88</v>
      </c>
      <c r="G47" s="32">
        <v>-1.9E-2</v>
      </c>
      <c r="H47" s="32">
        <v>0.53</v>
      </c>
      <c r="I47" s="32">
        <v>1.286</v>
      </c>
      <c r="J47" s="32">
        <v>1.4750000000000001</v>
      </c>
      <c r="K47" s="32">
        <v>4.55</v>
      </c>
      <c r="L47" s="32">
        <v>4.57</v>
      </c>
      <c r="M47" s="32">
        <v>4.51</v>
      </c>
      <c r="N47" s="32">
        <v>4.51</v>
      </c>
      <c r="O47" s="32">
        <v>137.22599792480469</v>
      </c>
      <c r="P47" s="29">
        <v>1.0549525022506714</v>
      </c>
      <c r="Q47" s="29">
        <v>111.015625</v>
      </c>
      <c r="R47" s="32">
        <v>2.2509000000000001</v>
      </c>
      <c r="S47" s="32">
        <v>0.45655999999999963</v>
      </c>
    </row>
    <row r="48" spans="1:19">
      <c r="A48" s="10">
        <v>44995</v>
      </c>
      <c r="B48" s="32">
        <v>4.5999999999999996</v>
      </c>
      <c r="C48" s="32">
        <v>3.96</v>
      </c>
      <c r="D48" s="32">
        <v>3.7</v>
      </c>
      <c r="E48" s="32">
        <v>3.9</v>
      </c>
      <c r="F48" s="32">
        <v>3.7</v>
      </c>
      <c r="G48" s="32">
        <v>-0.03</v>
      </c>
      <c r="H48" s="32">
        <v>0.42799999999999999</v>
      </c>
      <c r="I48" s="32">
        <v>1.2290000000000001</v>
      </c>
      <c r="J48" s="32">
        <v>1.423</v>
      </c>
      <c r="K48" s="32">
        <v>4.55</v>
      </c>
      <c r="L48" s="32">
        <v>4.57</v>
      </c>
      <c r="M48" s="32">
        <v>4.51</v>
      </c>
      <c r="N48" s="32">
        <v>4.51</v>
      </c>
      <c r="O48" s="32">
        <v>136.39500427246094</v>
      </c>
      <c r="P48" s="29">
        <v>1.0584698915481567</v>
      </c>
      <c r="Q48" s="29">
        <v>112.625</v>
      </c>
      <c r="R48" s="32">
        <v>2.2875000000000001</v>
      </c>
      <c r="S48" s="32">
        <v>0.40920178588866918</v>
      </c>
    </row>
    <row r="49" spans="1:19">
      <c r="A49" s="10">
        <v>44998</v>
      </c>
      <c r="B49" s="32">
        <v>4.03</v>
      </c>
      <c r="C49" s="32">
        <v>3.68</v>
      </c>
      <c r="D49" s="32">
        <v>3.55</v>
      </c>
      <c r="E49" s="32">
        <v>3.85</v>
      </c>
      <c r="F49" s="32">
        <v>3.7</v>
      </c>
      <c r="G49" s="32">
        <v>-2.5000000000000001E-2</v>
      </c>
      <c r="H49" s="32">
        <v>0.34200000000000003</v>
      </c>
      <c r="I49" s="32">
        <v>1.1419999999999999</v>
      </c>
      <c r="J49" s="32">
        <v>1.335</v>
      </c>
      <c r="K49" s="32">
        <v>4.55</v>
      </c>
      <c r="L49" s="32">
        <v>4.58</v>
      </c>
      <c r="M49" s="32">
        <v>4.5199999999999996</v>
      </c>
      <c r="N49" s="32">
        <v>4.5199999999999996</v>
      </c>
      <c r="O49" s="32">
        <v>134.97999572753906</v>
      </c>
      <c r="P49" s="29">
        <v>1.0683646202087402</v>
      </c>
      <c r="Q49" s="29">
        <v>114.140625</v>
      </c>
      <c r="R49" s="32">
        <v>2.2004000000000001</v>
      </c>
      <c r="S49" s="32">
        <v>0.30746999999999858</v>
      </c>
    </row>
    <row r="50" spans="1:19">
      <c r="A50" s="10">
        <v>44999</v>
      </c>
      <c r="B50" s="32">
        <v>4.2</v>
      </c>
      <c r="C50" s="32">
        <v>3.78</v>
      </c>
      <c r="D50" s="32">
        <v>3.64</v>
      </c>
      <c r="E50" s="32">
        <v>3.91</v>
      </c>
      <c r="F50" s="32">
        <v>3.77</v>
      </c>
      <c r="G50" s="32">
        <v>-0.04</v>
      </c>
      <c r="H50" s="32">
        <v>0.314</v>
      </c>
      <c r="I50" s="32">
        <v>1.0229999999999999</v>
      </c>
      <c r="J50" s="32">
        <v>1.206</v>
      </c>
      <c r="K50" s="32">
        <v>4.55</v>
      </c>
      <c r="L50" s="32">
        <v>4.58</v>
      </c>
      <c r="M50" s="32">
        <v>4.53</v>
      </c>
      <c r="N50" s="32">
        <v>4.53</v>
      </c>
      <c r="O50" s="32">
        <v>133.11399841308594</v>
      </c>
      <c r="P50" s="29">
        <v>1.0725010633468628</v>
      </c>
      <c r="Q50" s="29">
        <v>113.34375</v>
      </c>
      <c r="R50" s="32">
        <v>2.0133000000000001</v>
      </c>
      <c r="S50" s="32">
        <v>0.14610178588867129</v>
      </c>
    </row>
    <row r="51" spans="1:19">
      <c r="A51" s="10">
        <v>45000</v>
      </c>
      <c r="B51" s="32">
        <v>3.93</v>
      </c>
      <c r="C51" s="32">
        <v>3.59</v>
      </c>
      <c r="D51" s="32">
        <v>3.51</v>
      </c>
      <c r="E51" s="32">
        <v>3.82</v>
      </c>
      <c r="F51" s="32">
        <v>3.7</v>
      </c>
      <c r="G51" s="32">
        <v>-5.0999999999999997E-2</v>
      </c>
      <c r="H51" s="32">
        <v>0.36</v>
      </c>
      <c r="I51" s="32">
        <v>1.1100000000000001</v>
      </c>
      <c r="J51" s="32">
        <v>1.323</v>
      </c>
      <c r="K51" s="32">
        <v>4.58</v>
      </c>
      <c r="L51" s="32">
        <v>4.58</v>
      </c>
      <c r="M51" s="32">
        <v>4.55</v>
      </c>
      <c r="N51" s="32">
        <v>4.55</v>
      </c>
      <c r="O51" s="32">
        <v>134.39700317382813</v>
      </c>
      <c r="P51" s="29">
        <v>1.0727657079696655</v>
      </c>
      <c r="Q51" s="29">
        <v>114.53125</v>
      </c>
      <c r="R51" s="32">
        <v>2.1945000000000001</v>
      </c>
      <c r="S51" s="32">
        <v>0.21801642822265421</v>
      </c>
    </row>
    <row r="52" spans="1:19">
      <c r="A52" s="10">
        <v>45001</v>
      </c>
      <c r="B52" s="32">
        <v>4.1399999999999997</v>
      </c>
      <c r="C52" s="32">
        <v>3.72</v>
      </c>
      <c r="D52" s="32">
        <v>3.56</v>
      </c>
      <c r="E52" s="32">
        <v>3.87</v>
      </c>
      <c r="F52" s="32">
        <v>3.71</v>
      </c>
      <c r="G52" s="32">
        <v>-7.0000000000000007E-2</v>
      </c>
      <c r="H52" s="32">
        <v>0.32500000000000001</v>
      </c>
      <c r="I52" s="32">
        <v>1.0760000000000001</v>
      </c>
      <c r="J52" s="32">
        <v>1.3120000000000001</v>
      </c>
      <c r="K52" s="32">
        <v>4.57</v>
      </c>
      <c r="L52" s="32">
        <v>4.58</v>
      </c>
      <c r="M52" s="32">
        <v>4.55</v>
      </c>
      <c r="N52" s="32">
        <v>4.55</v>
      </c>
      <c r="O52" s="32">
        <v>132.92900085449219</v>
      </c>
      <c r="P52" s="29">
        <v>1.0583354234695435</v>
      </c>
      <c r="Q52" s="29">
        <v>113.65625</v>
      </c>
      <c r="R52" s="32">
        <v>1.9549000000000001</v>
      </c>
      <c r="S52" s="32">
        <v>0.18995178588867034</v>
      </c>
    </row>
    <row r="53" spans="1:19">
      <c r="A53" s="10">
        <v>45002</v>
      </c>
      <c r="B53" s="32">
        <v>3.81</v>
      </c>
      <c r="C53" s="32">
        <v>3.44</v>
      </c>
      <c r="D53" s="32">
        <v>3.39</v>
      </c>
      <c r="E53" s="32">
        <v>3.76</v>
      </c>
      <c r="F53" s="32">
        <v>3.6</v>
      </c>
      <c r="G53" s="32">
        <v>-7.4999999999999997E-2</v>
      </c>
      <c r="H53" s="32">
        <v>0.317</v>
      </c>
      <c r="I53" s="32">
        <v>1.095</v>
      </c>
      <c r="J53" s="32">
        <v>1.33</v>
      </c>
      <c r="K53" s="32">
        <v>4.55</v>
      </c>
      <c r="L53" s="32">
        <v>4.58</v>
      </c>
      <c r="M53" s="32">
        <v>4.53</v>
      </c>
      <c r="N53" s="32">
        <v>4.53</v>
      </c>
      <c r="O53" s="32">
        <v>133.36799621582031</v>
      </c>
      <c r="P53" s="29">
        <v>1.0614134073257446</v>
      </c>
      <c r="Q53" s="29">
        <v>115.125</v>
      </c>
      <c r="R53" s="32">
        <v>2.0581999999999998</v>
      </c>
      <c r="S53" s="32">
        <v>0.1864435717773425</v>
      </c>
    </row>
    <row r="54" spans="1:19">
      <c r="A54" s="10">
        <v>45005</v>
      </c>
      <c r="B54" s="32">
        <v>3.92</v>
      </c>
      <c r="C54" s="32">
        <v>3.56</v>
      </c>
      <c r="D54" s="32">
        <v>3.47</v>
      </c>
      <c r="E54" s="32">
        <v>3.83</v>
      </c>
      <c r="F54" s="32">
        <v>3.65</v>
      </c>
      <c r="G54" s="32">
        <v>-7.6999999999999999E-2</v>
      </c>
      <c r="H54" s="32">
        <v>0.28100000000000003</v>
      </c>
      <c r="I54" s="32">
        <v>1.024</v>
      </c>
      <c r="J54" s="32">
        <v>1.2769999999999999</v>
      </c>
      <c r="K54" s="32">
        <v>4.55</v>
      </c>
      <c r="L54" s="32">
        <v>4.58</v>
      </c>
      <c r="M54" s="32">
        <v>4.5199999999999996</v>
      </c>
      <c r="N54" s="32">
        <v>4.5199999999999996</v>
      </c>
      <c r="O54" s="32">
        <v>132.28399658203125</v>
      </c>
      <c r="P54" s="29">
        <v>1.0678855180740356</v>
      </c>
      <c r="Q54" s="29">
        <v>114.59375</v>
      </c>
      <c r="R54" s="32">
        <v>1.9335</v>
      </c>
      <c r="S54" s="32">
        <v>0.14083999999999719</v>
      </c>
    </row>
    <row r="55" spans="1:19">
      <c r="A55" s="10">
        <v>45006</v>
      </c>
      <c r="B55" s="32">
        <v>4.17</v>
      </c>
      <c r="C55" s="32">
        <v>3.73</v>
      </c>
      <c r="D55" s="32">
        <v>3.59</v>
      </c>
      <c r="E55" s="32">
        <v>3.9</v>
      </c>
      <c r="F55" s="32">
        <v>3.73</v>
      </c>
      <c r="G55" s="32">
        <v>-7.6999999999999999E-2</v>
      </c>
      <c r="H55" s="32">
        <v>0.28100000000000003</v>
      </c>
      <c r="I55" s="32">
        <v>1.024</v>
      </c>
      <c r="J55" s="32">
        <v>1.2769999999999999</v>
      </c>
      <c r="K55" s="32">
        <v>4.55</v>
      </c>
      <c r="L55" s="32">
        <v>4.58</v>
      </c>
      <c r="M55" s="32">
        <v>4.5199999999999996</v>
      </c>
      <c r="N55" s="32">
        <v>4.5199999999999996</v>
      </c>
      <c r="O55" s="32">
        <v>131.39199829101563</v>
      </c>
      <c r="P55" s="29">
        <v>1.0719147920608521</v>
      </c>
      <c r="Q55" s="29">
        <v>113.640625</v>
      </c>
      <c r="R55" s="32">
        <v>1.9273</v>
      </c>
      <c r="S55" s="32">
        <v>0.14083999999999719</v>
      </c>
    </row>
    <row r="56" spans="1:19">
      <c r="A56" s="10">
        <v>45007</v>
      </c>
      <c r="B56" s="32">
        <v>3.96</v>
      </c>
      <c r="C56" s="32">
        <v>3.54</v>
      </c>
      <c r="D56" s="32">
        <v>3.48</v>
      </c>
      <c r="E56" s="32">
        <v>3.83</v>
      </c>
      <c r="F56" s="32">
        <v>3.68</v>
      </c>
      <c r="G56" s="32">
        <v>-5.6000000000000001E-2</v>
      </c>
      <c r="H56" s="32">
        <v>0.378</v>
      </c>
      <c r="I56" s="32">
        <v>1.101</v>
      </c>
      <c r="J56" s="32">
        <v>1.34</v>
      </c>
      <c r="K56" s="32">
        <v>4.55</v>
      </c>
      <c r="L56" s="32">
        <v>4.58</v>
      </c>
      <c r="M56" s="32">
        <v>4.5199999999999996</v>
      </c>
      <c r="N56" s="32">
        <v>4.5199999999999996</v>
      </c>
      <c r="O56" s="32">
        <v>132.34800720214844</v>
      </c>
      <c r="P56" s="29">
        <v>1.0774236917495728</v>
      </c>
      <c r="Q56" s="29">
        <v>113.71875</v>
      </c>
      <c r="R56" s="32">
        <v>1.9439</v>
      </c>
      <c r="S56" s="32">
        <v>0.22678642822265616</v>
      </c>
    </row>
    <row r="57" spans="1:19">
      <c r="A57" s="10">
        <v>45008</v>
      </c>
      <c r="B57" s="32">
        <v>3.76</v>
      </c>
      <c r="C57" s="32">
        <v>3.39</v>
      </c>
      <c r="D57" s="32">
        <v>3.38</v>
      </c>
      <c r="E57" s="32">
        <v>3.78</v>
      </c>
      <c r="F57" s="32">
        <v>3.66</v>
      </c>
      <c r="G57" s="32">
        <v>-6.3E-2</v>
      </c>
      <c r="H57" s="32">
        <v>0.33900000000000002</v>
      </c>
      <c r="I57" s="32">
        <v>1.0920000000000001</v>
      </c>
      <c r="J57" s="32">
        <v>1.347</v>
      </c>
      <c r="K57" s="32">
        <v>4.8</v>
      </c>
      <c r="L57" s="32">
        <v>4.83</v>
      </c>
      <c r="M57" s="32">
        <v>4.7699999999999996</v>
      </c>
      <c r="N57" s="32">
        <v>4.7699999999999996</v>
      </c>
      <c r="O57" s="32">
        <v>131.17900085449219</v>
      </c>
      <c r="P57" s="29">
        <v>1.0870392322540283</v>
      </c>
      <c r="Q57" s="29">
        <v>115.984375</v>
      </c>
      <c r="R57" s="32">
        <v>2.0243000000000002</v>
      </c>
      <c r="S57" s="32">
        <v>0.19872178588867229</v>
      </c>
    </row>
    <row r="58" spans="1:19">
      <c r="A58" s="10">
        <v>45009</v>
      </c>
      <c r="B58" s="32">
        <v>3.76</v>
      </c>
      <c r="C58" s="32">
        <v>3.41</v>
      </c>
      <c r="D58" s="32">
        <v>3.38</v>
      </c>
      <c r="E58" s="32">
        <v>3.77</v>
      </c>
      <c r="F58" s="32">
        <v>3.64</v>
      </c>
      <c r="G58" s="32">
        <v>-6.7000000000000004E-2</v>
      </c>
      <c r="H58" s="32">
        <v>0.32100000000000001</v>
      </c>
      <c r="I58" s="32">
        <v>1.089</v>
      </c>
      <c r="J58" s="32">
        <v>1.357</v>
      </c>
      <c r="K58" s="32">
        <v>4.8</v>
      </c>
      <c r="L58" s="32">
        <v>4.83</v>
      </c>
      <c r="M58" s="32">
        <v>4.78</v>
      </c>
      <c r="N58" s="32">
        <v>4.78</v>
      </c>
      <c r="O58" s="32">
        <v>130.86500549316406</v>
      </c>
      <c r="P58" s="29">
        <v>1.0835057497024536</v>
      </c>
      <c r="Q58" s="29">
        <v>116.109375</v>
      </c>
      <c r="R58" s="32">
        <v>1.8453999999999999</v>
      </c>
      <c r="S58" s="32">
        <v>0.20573821411132798</v>
      </c>
    </row>
    <row r="59" spans="1:19">
      <c r="A59" s="10">
        <v>45012</v>
      </c>
      <c r="B59" s="32">
        <v>3.94</v>
      </c>
      <c r="C59" s="32">
        <v>3.59</v>
      </c>
      <c r="D59" s="32">
        <v>3.53</v>
      </c>
      <c r="E59" s="32">
        <v>3.9</v>
      </c>
      <c r="F59" s="32">
        <v>3.77</v>
      </c>
      <c r="G59" s="32">
        <v>-6.7000000000000004E-2</v>
      </c>
      <c r="H59" s="32">
        <v>0.33</v>
      </c>
      <c r="I59" s="32">
        <v>1.1080000000000001</v>
      </c>
      <c r="J59" s="32">
        <v>1.3759999999999999</v>
      </c>
      <c r="K59" s="32">
        <v>4.8099999999999996</v>
      </c>
      <c r="L59" s="32">
        <v>4.83</v>
      </c>
      <c r="M59" s="32">
        <v>4.79</v>
      </c>
      <c r="N59" s="32">
        <v>4.79</v>
      </c>
      <c r="O59" s="32">
        <v>131.23300170898438</v>
      </c>
      <c r="P59" s="29">
        <v>1.0807071924209595</v>
      </c>
      <c r="Q59" s="29">
        <v>114.984375</v>
      </c>
      <c r="R59" s="32">
        <v>1.8388</v>
      </c>
      <c r="S59" s="32">
        <v>0.18819821411132764</v>
      </c>
    </row>
    <row r="60" spans="1:19">
      <c r="A60" s="10">
        <v>45013</v>
      </c>
      <c r="B60" s="32">
        <v>4.0199999999999996</v>
      </c>
      <c r="C60" s="32">
        <v>3.63</v>
      </c>
      <c r="D60" s="32">
        <v>3.55</v>
      </c>
      <c r="E60" s="32">
        <v>3.9</v>
      </c>
      <c r="F60" s="32">
        <v>3.77</v>
      </c>
      <c r="G60" s="32">
        <v>-5.8999999999999997E-2</v>
      </c>
      <c r="H60" s="32">
        <v>0.33700000000000002</v>
      </c>
      <c r="I60" s="32">
        <v>1.0609999999999999</v>
      </c>
      <c r="J60" s="32">
        <v>1.292</v>
      </c>
      <c r="K60" s="32">
        <v>4.84</v>
      </c>
      <c r="L60" s="32">
        <v>4.83</v>
      </c>
      <c r="M60" s="32">
        <v>4.8</v>
      </c>
      <c r="N60" s="32">
        <v>4.8</v>
      </c>
      <c r="O60" s="32">
        <v>131.04600524902344</v>
      </c>
      <c r="P60" s="29">
        <v>1.0839520692825317</v>
      </c>
      <c r="Q60" s="29">
        <v>114.640625</v>
      </c>
      <c r="R60" s="32">
        <v>1.9454</v>
      </c>
      <c r="S60" s="32">
        <v>0.1794282141113257</v>
      </c>
    </row>
    <row r="61" spans="1:19">
      <c r="A61" s="10">
        <v>45014</v>
      </c>
      <c r="B61" s="32">
        <v>4.08</v>
      </c>
      <c r="C61" s="32">
        <v>3.67</v>
      </c>
      <c r="D61" s="32">
        <v>3.57</v>
      </c>
      <c r="E61" s="32">
        <v>3.91</v>
      </c>
      <c r="F61" s="32">
        <v>3.78</v>
      </c>
      <c r="G61" s="32">
        <v>-7.0000000000000007E-2</v>
      </c>
      <c r="H61" s="32">
        <v>0.33500000000000002</v>
      </c>
      <c r="I61" s="32">
        <v>1.0089999999999999</v>
      </c>
      <c r="J61" s="32">
        <v>1.2430000000000001</v>
      </c>
      <c r="K61" s="32">
        <v>4.83</v>
      </c>
      <c r="L61" s="32">
        <v>4.83</v>
      </c>
      <c r="M61" s="32">
        <v>4.79</v>
      </c>
      <c r="N61" s="32">
        <v>4.79</v>
      </c>
      <c r="O61" s="32">
        <v>132.57600402832031</v>
      </c>
      <c r="P61" s="29">
        <v>1.0843634605407715</v>
      </c>
      <c r="Q61" s="29">
        <v>114.53125</v>
      </c>
      <c r="R61" s="32">
        <v>2.02</v>
      </c>
      <c r="S61" s="32">
        <v>0.12856178588867095</v>
      </c>
    </row>
    <row r="62" spans="1:19">
      <c r="A62" s="10">
        <v>45015</v>
      </c>
      <c r="B62" s="32">
        <v>4.0999999999999996</v>
      </c>
      <c r="C62" s="32">
        <v>3.66</v>
      </c>
      <c r="D62" s="32">
        <v>3.55</v>
      </c>
      <c r="E62" s="32">
        <v>3.88</v>
      </c>
      <c r="F62" s="32">
        <v>3.74</v>
      </c>
      <c r="G62" s="32">
        <v>-6.0999999999999999E-2</v>
      </c>
      <c r="H62" s="32">
        <v>0.36199999999999999</v>
      </c>
      <c r="I62" s="32">
        <v>1.028</v>
      </c>
      <c r="J62" s="32">
        <v>1.258</v>
      </c>
      <c r="K62" s="32">
        <v>4.82</v>
      </c>
      <c r="L62" s="32">
        <v>4.83</v>
      </c>
      <c r="M62" s="32">
        <v>4.79</v>
      </c>
      <c r="N62" s="32">
        <v>4.79</v>
      </c>
      <c r="O62" s="32">
        <v>133.20100402832031</v>
      </c>
      <c r="P62" s="29">
        <v>1.0904649496078491</v>
      </c>
      <c r="Q62" s="29">
        <v>114.578125</v>
      </c>
      <c r="R62" s="32">
        <v>2.0175000000000001</v>
      </c>
      <c r="S62" s="32">
        <v>0.14083999999999719</v>
      </c>
    </row>
    <row r="63" spans="1:19">
      <c r="A63" s="10">
        <v>45016</v>
      </c>
      <c r="B63" s="32">
        <v>4.0599999999999996</v>
      </c>
      <c r="C63" s="32">
        <v>3.6</v>
      </c>
      <c r="D63" s="32">
        <v>3.48</v>
      </c>
      <c r="E63" s="32">
        <v>3.81</v>
      </c>
      <c r="F63" s="32">
        <v>3.67</v>
      </c>
      <c r="G63" s="32">
        <v>-6.0999999999999999E-2</v>
      </c>
      <c r="H63" s="32">
        <v>0.38900000000000001</v>
      </c>
      <c r="I63" s="32">
        <v>1.044</v>
      </c>
      <c r="J63" s="32">
        <v>1.274</v>
      </c>
      <c r="K63" s="32">
        <v>4.87</v>
      </c>
      <c r="L63" s="32">
        <v>4.83</v>
      </c>
      <c r="M63" s="32">
        <v>4.8</v>
      </c>
      <c r="N63" s="32">
        <v>4.8</v>
      </c>
      <c r="O63" s="32">
        <v>133.20100402832031</v>
      </c>
      <c r="P63" s="29">
        <v>1.0904649496078491</v>
      </c>
      <c r="Q63" s="29">
        <v>114.921875</v>
      </c>
      <c r="R63" s="32">
        <v>2.0661</v>
      </c>
      <c r="S63" s="32">
        <v>0.16364178588867162</v>
      </c>
    </row>
    <row r="64" spans="1:19">
      <c r="A64" s="10">
        <v>45019</v>
      </c>
      <c r="B64" s="32">
        <v>3.97</v>
      </c>
      <c r="C64" s="32">
        <v>3.52</v>
      </c>
      <c r="D64" s="32">
        <v>3.43</v>
      </c>
      <c r="E64" s="32">
        <v>3.78</v>
      </c>
      <c r="F64" s="32">
        <v>3.64</v>
      </c>
      <c r="G64" s="32">
        <v>-0.04</v>
      </c>
      <c r="H64" s="32">
        <v>0.42199999999999999</v>
      </c>
      <c r="I64" s="32">
        <v>1.1040000000000001</v>
      </c>
      <c r="J64" s="32">
        <v>1.335</v>
      </c>
      <c r="K64" s="32">
        <v>4.84</v>
      </c>
      <c r="L64" s="32">
        <v>4.83</v>
      </c>
      <c r="M64" s="32">
        <v>4.8</v>
      </c>
      <c r="N64" s="32">
        <v>4.8</v>
      </c>
      <c r="O64" s="32">
        <v>132.29899597167969</v>
      </c>
      <c r="P64" s="29">
        <v>1.0912265777587891</v>
      </c>
      <c r="Q64" s="29">
        <v>115.453125</v>
      </c>
      <c r="R64" s="32">
        <v>2.0379</v>
      </c>
      <c r="S64" s="32">
        <v>0.23730999999999725</v>
      </c>
    </row>
    <row r="65" spans="1:19">
      <c r="A65" s="10">
        <v>45020</v>
      </c>
      <c r="B65" s="32">
        <v>3.84</v>
      </c>
      <c r="C65" s="32">
        <v>3.39</v>
      </c>
      <c r="D65" s="32">
        <v>3.35</v>
      </c>
      <c r="E65" s="32">
        <v>3.72</v>
      </c>
      <c r="F65" s="32">
        <v>3.6</v>
      </c>
      <c r="G65" s="32">
        <v>-2.5000000000000001E-2</v>
      </c>
      <c r="H65" s="32">
        <v>0.47799999999999998</v>
      </c>
      <c r="I65" s="32">
        <v>1.1399999999999999</v>
      </c>
      <c r="J65" s="32">
        <v>1.38</v>
      </c>
      <c r="K65" s="32">
        <v>4.83</v>
      </c>
      <c r="L65" s="32">
        <v>4.83</v>
      </c>
      <c r="M65" s="32">
        <v>4.8</v>
      </c>
      <c r="N65" s="32">
        <v>4.8</v>
      </c>
      <c r="O65" s="32">
        <v>131.48500061035156</v>
      </c>
      <c r="P65" s="29">
        <v>1.0960105657577515</v>
      </c>
      <c r="Q65" s="29">
        <v>116.25</v>
      </c>
      <c r="R65" s="32">
        <v>1.9658</v>
      </c>
      <c r="S65" s="32">
        <v>0.21275357177734122</v>
      </c>
    </row>
    <row r="66" spans="1:19">
      <c r="A66" s="10">
        <v>45021</v>
      </c>
      <c r="B66" s="32">
        <v>3.79</v>
      </c>
      <c r="C66" s="32">
        <v>3.36</v>
      </c>
      <c r="D66" s="32">
        <v>3.3</v>
      </c>
      <c r="E66" s="32">
        <v>3.67</v>
      </c>
      <c r="F66" s="32">
        <v>3.56</v>
      </c>
      <c r="G66" s="32">
        <v>-0.03</v>
      </c>
      <c r="H66" s="32">
        <v>0.47299999999999998</v>
      </c>
      <c r="I66" s="32">
        <v>1.143</v>
      </c>
      <c r="J66" s="32">
        <v>1.377</v>
      </c>
      <c r="K66" s="32">
        <v>4.8099999999999996</v>
      </c>
      <c r="L66" s="32">
        <v>4.83</v>
      </c>
      <c r="M66" s="32">
        <v>4.79</v>
      </c>
      <c r="N66" s="32">
        <v>4.79</v>
      </c>
      <c r="O66" s="32">
        <v>130.93400573730469</v>
      </c>
      <c r="P66" s="29">
        <v>1.0903341770172119</v>
      </c>
      <c r="Q66" s="29">
        <v>116.578125</v>
      </c>
      <c r="R66" s="32">
        <v>2.0228999999999999</v>
      </c>
      <c r="S66" s="32">
        <v>0.24607999999999919</v>
      </c>
    </row>
    <row r="67" spans="1:19">
      <c r="A67" s="10">
        <v>45022</v>
      </c>
      <c r="B67" s="32">
        <v>3.82</v>
      </c>
      <c r="C67" s="32">
        <v>3.37</v>
      </c>
      <c r="D67" s="32">
        <v>3.3</v>
      </c>
      <c r="E67" s="32">
        <v>3.66</v>
      </c>
      <c r="F67" s="32">
        <v>3.54</v>
      </c>
      <c r="G67" s="32">
        <v>-4.4999999999999998E-2</v>
      </c>
      <c r="H67" s="32">
        <v>0.47199999999999998</v>
      </c>
      <c r="I67" s="32">
        <v>1.125</v>
      </c>
      <c r="J67" s="32">
        <v>1.3480000000000001</v>
      </c>
      <c r="K67" s="32">
        <v>4.8099999999999996</v>
      </c>
      <c r="L67" s="32">
        <v>4.83</v>
      </c>
      <c r="M67" s="32">
        <v>4.79</v>
      </c>
      <c r="N67" s="32">
        <v>4.79</v>
      </c>
      <c r="O67" s="32">
        <v>131.66900634765625</v>
      </c>
      <c r="P67" s="29">
        <v>1.0920130014419556</v>
      </c>
      <c r="Q67" s="29">
        <v>116.546875</v>
      </c>
      <c r="R67" s="32">
        <v>1.9302999999999999</v>
      </c>
      <c r="S67" s="32">
        <v>0.27238999999999791</v>
      </c>
    </row>
    <row r="68" spans="1:19">
      <c r="A68" s="10">
        <v>45023</v>
      </c>
      <c r="B68" s="32">
        <v>3.97</v>
      </c>
      <c r="C68" s="32">
        <v>3.49</v>
      </c>
      <c r="D68" s="32">
        <v>3.39</v>
      </c>
      <c r="E68" s="32">
        <v>3.73</v>
      </c>
      <c r="F68" s="32">
        <v>3.61</v>
      </c>
      <c r="G68" s="32">
        <v>-0.06</v>
      </c>
      <c r="H68" s="32">
        <v>0.46200000000000002</v>
      </c>
      <c r="I68" s="32">
        <v>1.0920000000000001</v>
      </c>
      <c r="J68" s="32">
        <v>1.3180000000000001</v>
      </c>
      <c r="L68" s="32">
        <v>4.83</v>
      </c>
      <c r="O68" s="32">
        <v>131.66900634765625</v>
      </c>
      <c r="P68" s="29">
        <v>1.0920130014419556</v>
      </c>
      <c r="Q68" s="29">
        <v>116.546875</v>
      </c>
      <c r="R68" s="32">
        <v>1.8987000000000001</v>
      </c>
      <c r="S68" s="32">
        <v>0.25484999999999758</v>
      </c>
    </row>
    <row r="69" spans="1:19">
      <c r="A69" s="10">
        <v>45026</v>
      </c>
      <c r="B69" s="32">
        <v>4</v>
      </c>
      <c r="C69" s="32">
        <v>3.52</v>
      </c>
      <c r="D69" s="32">
        <v>3.41</v>
      </c>
      <c r="E69" s="32">
        <v>3.74</v>
      </c>
      <c r="F69" s="32">
        <v>3.62</v>
      </c>
      <c r="G69" s="32">
        <v>-4.4999999999999998E-2</v>
      </c>
      <c r="H69" s="32">
        <v>0.46800000000000003</v>
      </c>
      <c r="I69" s="32">
        <v>1.0960000000000001</v>
      </c>
      <c r="J69" s="32">
        <v>1.3340000000000001</v>
      </c>
      <c r="K69" s="32">
        <v>4.8099999999999996</v>
      </c>
      <c r="L69" s="32">
        <v>4.83</v>
      </c>
      <c r="M69" s="32">
        <v>4.78</v>
      </c>
      <c r="N69" s="32">
        <v>4.78</v>
      </c>
      <c r="O69" s="32">
        <v>133.468994140625</v>
      </c>
      <c r="P69" s="29">
        <v>1.086932897567749</v>
      </c>
      <c r="Q69" s="29">
        <v>115.515625</v>
      </c>
      <c r="R69" s="32">
        <v>1.8987000000000001</v>
      </c>
      <c r="S69" s="32">
        <v>0.25660357177734383</v>
      </c>
    </row>
    <row r="70" spans="1:19">
      <c r="A70" s="10">
        <v>45027</v>
      </c>
      <c r="B70" s="32">
        <v>4.03</v>
      </c>
      <c r="C70" s="32">
        <v>3.54</v>
      </c>
      <c r="D70" s="32">
        <v>3.43</v>
      </c>
      <c r="E70" s="32">
        <v>3.75</v>
      </c>
      <c r="F70" s="32">
        <v>3.62</v>
      </c>
      <c r="G70" s="32">
        <v>-4.5999999999999999E-2</v>
      </c>
      <c r="H70" s="32">
        <v>0.45900000000000002</v>
      </c>
      <c r="I70" s="32">
        <v>1.0960000000000001</v>
      </c>
      <c r="J70" s="32">
        <v>1.335</v>
      </c>
      <c r="K70" s="32">
        <v>4.8</v>
      </c>
      <c r="L70" s="32">
        <v>4.83</v>
      </c>
      <c r="M70" s="32">
        <v>4.78</v>
      </c>
      <c r="N70" s="32">
        <v>4.78</v>
      </c>
      <c r="O70" s="32">
        <v>133.593994140625</v>
      </c>
      <c r="P70" s="29">
        <v>1.0917507410049438</v>
      </c>
      <c r="Q70" s="29">
        <v>115.375</v>
      </c>
      <c r="R70" s="32">
        <v>1.8987000000000001</v>
      </c>
      <c r="S70" s="32">
        <v>0.24783357177734189</v>
      </c>
    </row>
    <row r="71" spans="1:19">
      <c r="A71" s="10">
        <v>45028</v>
      </c>
      <c r="B71" s="32">
        <v>3.95</v>
      </c>
      <c r="C71" s="32">
        <v>3.46</v>
      </c>
      <c r="D71" s="32">
        <v>3.41</v>
      </c>
      <c r="E71" s="32">
        <v>3.75</v>
      </c>
      <c r="F71" s="32">
        <v>3.64</v>
      </c>
      <c r="G71" s="32">
        <v>-4.4999999999999998E-2</v>
      </c>
      <c r="H71" s="32">
        <v>0.46899999999999997</v>
      </c>
      <c r="I71" s="32">
        <v>1.105</v>
      </c>
      <c r="J71" s="32">
        <v>1.331</v>
      </c>
      <c r="K71" s="32">
        <v>4.8</v>
      </c>
      <c r="L71" s="32">
        <v>4.83</v>
      </c>
      <c r="M71" s="32">
        <v>4.7699999999999996</v>
      </c>
      <c r="N71" s="32">
        <v>4.7699999999999996</v>
      </c>
      <c r="O71" s="32">
        <v>133.08500671386719</v>
      </c>
      <c r="P71" s="29">
        <v>1.0999890565872192</v>
      </c>
      <c r="Q71" s="29">
        <v>115.703125</v>
      </c>
      <c r="R71" s="32">
        <v>2.0428000000000002</v>
      </c>
      <c r="S71" s="32">
        <v>0.25309642822265488</v>
      </c>
    </row>
    <row r="72" spans="1:19">
      <c r="A72" s="10">
        <v>45029</v>
      </c>
      <c r="B72" s="32">
        <v>3.96</v>
      </c>
      <c r="C72" s="32">
        <v>3.51</v>
      </c>
      <c r="D72" s="32">
        <v>3.45</v>
      </c>
      <c r="E72" s="32">
        <v>3.8</v>
      </c>
      <c r="F72" s="32">
        <v>3.69</v>
      </c>
      <c r="G72" s="32">
        <v>-0.05</v>
      </c>
      <c r="H72" s="32">
        <v>0.46500000000000002</v>
      </c>
      <c r="I72" s="32">
        <v>1.081</v>
      </c>
      <c r="J72" s="32">
        <v>1.3049999999999999</v>
      </c>
      <c r="K72" s="32">
        <v>4.8</v>
      </c>
      <c r="L72" s="32">
        <v>4.83</v>
      </c>
      <c r="M72" s="32">
        <v>4.7699999999999996</v>
      </c>
      <c r="N72" s="32">
        <v>4.7699999999999996</v>
      </c>
      <c r="O72" s="32">
        <v>132.48699951171875</v>
      </c>
      <c r="P72" s="29">
        <v>1.1054610013961792</v>
      </c>
      <c r="Q72" s="29">
        <v>115.453125</v>
      </c>
      <c r="R72" s="32">
        <v>2.0722</v>
      </c>
      <c r="S72" s="32">
        <v>0.21801642822265421</v>
      </c>
    </row>
    <row r="73" spans="1:19">
      <c r="A73" s="10">
        <v>45030</v>
      </c>
      <c r="B73" s="32">
        <v>4.08</v>
      </c>
      <c r="C73" s="32">
        <v>3.6</v>
      </c>
      <c r="D73" s="32">
        <v>3.52</v>
      </c>
      <c r="E73" s="32">
        <v>3.85</v>
      </c>
      <c r="F73" s="32">
        <v>3.74</v>
      </c>
      <c r="G73" s="32">
        <v>-0.04</v>
      </c>
      <c r="H73" s="32">
        <v>0.46500000000000002</v>
      </c>
      <c r="I73" s="32">
        <v>1.0960000000000001</v>
      </c>
      <c r="J73" s="32">
        <v>1.3129999999999999</v>
      </c>
      <c r="K73" s="32">
        <v>4.8</v>
      </c>
      <c r="L73" s="32">
        <v>4.83</v>
      </c>
      <c r="M73" s="32">
        <v>4.7699999999999996</v>
      </c>
      <c r="N73" s="32">
        <v>4.7699999999999996</v>
      </c>
      <c r="O73" s="32">
        <v>132.48699951171875</v>
      </c>
      <c r="P73" s="29">
        <v>1.1054610013961792</v>
      </c>
      <c r="Q73" s="29">
        <v>114.859375</v>
      </c>
      <c r="R73" s="32">
        <v>2.0406</v>
      </c>
      <c r="S73" s="32">
        <v>0.22853999999999886</v>
      </c>
    </row>
    <row r="74" spans="1:19">
      <c r="A74" s="10">
        <v>45033</v>
      </c>
      <c r="B74" s="32">
        <v>4.18</v>
      </c>
      <c r="C74" s="32">
        <v>3.69</v>
      </c>
      <c r="D74" s="32">
        <v>3.6</v>
      </c>
      <c r="E74" s="32">
        <v>3.92</v>
      </c>
      <c r="F74" s="32">
        <v>3.81</v>
      </c>
      <c r="G74" s="32">
        <v>-3.5000000000000003E-2</v>
      </c>
      <c r="H74" s="32">
        <v>0.48899999999999999</v>
      </c>
      <c r="I74" s="32">
        <v>1.1299999999999999</v>
      </c>
      <c r="J74" s="32">
        <v>1.343</v>
      </c>
      <c r="K74" s="32">
        <v>4.8</v>
      </c>
      <c r="L74" s="32">
        <v>4.83</v>
      </c>
      <c r="M74" s="32">
        <v>4.7699999999999996</v>
      </c>
      <c r="N74" s="32">
        <v>4.7699999999999996</v>
      </c>
      <c r="O74" s="32">
        <v>134.42500305175781</v>
      </c>
      <c r="P74" s="29">
        <v>1.0925379991531372</v>
      </c>
      <c r="Q74" s="29">
        <v>114.359375</v>
      </c>
      <c r="R74" s="32">
        <v>2.0838000000000001</v>
      </c>
      <c r="S74" s="32">
        <v>0.27414357177734416</v>
      </c>
    </row>
    <row r="75" spans="1:19">
      <c r="A75" s="10">
        <v>45034</v>
      </c>
      <c r="B75" s="32">
        <v>4.1900000000000004</v>
      </c>
      <c r="C75" s="32">
        <v>3.69</v>
      </c>
      <c r="D75" s="32">
        <v>3.58</v>
      </c>
      <c r="E75" s="32">
        <v>3.91</v>
      </c>
      <c r="F75" s="32">
        <v>3.79</v>
      </c>
      <c r="G75" s="32">
        <v>-0.04</v>
      </c>
      <c r="H75" s="32">
        <v>0.48</v>
      </c>
      <c r="I75" s="32">
        <v>1.1220000000000001</v>
      </c>
      <c r="J75" s="32">
        <v>1.343</v>
      </c>
      <c r="K75" s="32">
        <v>4.8</v>
      </c>
      <c r="L75" s="32">
        <v>4.83</v>
      </c>
      <c r="M75" s="32">
        <v>4.7699999999999996</v>
      </c>
      <c r="N75" s="32">
        <v>4.7699999999999996</v>
      </c>
      <c r="O75" s="32">
        <v>134.04400634765625</v>
      </c>
      <c r="P75" s="29">
        <v>1.0975382328033447</v>
      </c>
      <c r="Q75" s="29">
        <v>114.484375</v>
      </c>
      <c r="R75" s="32">
        <v>2.1440000000000001</v>
      </c>
      <c r="S75" s="32">
        <v>0.26361999999999952</v>
      </c>
    </row>
    <row r="76" spans="1:19">
      <c r="A76" s="10">
        <v>45035</v>
      </c>
      <c r="B76" s="32">
        <v>4.24</v>
      </c>
      <c r="C76" s="32">
        <v>3.71</v>
      </c>
      <c r="D76" s="32">
        <v>3.6</v>
      </c>
      <c r="E76" s="32">
        <v>3.9</v>
      </c>
      <c r="F76" s="32">
        <v>3.79</v>
      </c>
      <c r="G76" s="32">
        <v>-0.04</v>
      </c>
      <c r="H76" s="32">
        <v>0.48</v>
      </c>
      <c r="I76" s="32">
        <v>1.1100000000000001</v>
      </c>
      <c r="J76" s="32">
        <v>1.3260000000000001</v>
      </c>
      <c r="K76" s="32">
        <v>4.8</v>
      </c>
      <c r="L76" s="32">
        <v>4.83</v>
      </c>
      <c r="M76" s="32">
        <v>4.76</v>
      </c>
      <c r="N76" s="32">
        <v>4.76</v>
      </c>
      <c r="O76" s="32">
        <v>134.70399475097656</v>
      </c>
      <c r="P76" s="29">
        <v>1.095218300819397</v>
      </c>
      <c r="Q76" s="29">
        <v>114.1875</v>
      </c>
      <c r="R76" s="32">
        <v>2.1478000000000002</v>
      </c>
      <c r="S76" s="32">
        <v>0.26011178588867168</v>
      </c>
    </row>
    <row r="77" spans="1:19">
      <c r="A77" s="10">
        <v>45036</v>
      </c>
      <c r="B77" s="32">
        <v>4.1399999999999997</v>
      </c>
      <c r="C77" s="32">
        <v>3.63</v>
      </c>
      <c r="D77" s="32">
        <v>3.54</v>
      </c>
      <c r="E77" s="32">
        <v>3.87</v>
      </c>
      <c r="F77" s="32">
        <v>3.75</v>
      </c>
      <c r="G77" s="32">
        <v>-0.04</v>
      </c>
      <c r="H77" s="32">
        <v>0.48</v>
      </c>
      <c r="I77" s="32">
        <v>1.127</v>
      </c>
      <c r="J77" s="32">
        <v>1.353</v>
      </c>
      <c r="K77" s="32">
        <v>4.8</v>
      </c>
      <c r="L77" s="32">
        <v>4.83</v>
      </c>
      <c r="M77" s="32">
        <v>4.76</v>
      </c>
      <c r="N77" s="32">
        <v>4.76</v>
      </c>
      <c r="O77" s="32">
        <v>133.99600219726563</v>
      </c>
      <c r="P77" s="29">
        <v>1.0970927476882935</v>
      </c>
      <c r="Q77" s="29">
        <v>114.65625</v>
      </c>
      <c r="R77" s="32">
        <v>2.2071000000000001</v>
      </c>
      <c r="S77" s="32">
        <v>0.26361999999999952</v>
      </c>
    </row>
    <row r="78" spans="1:19">
      <c r="A78" s="10">
        <v>45037</v>
      </c>
      <c r="B78" s="32">
        <v>4.17</v>
      </c>
      <c r="C78" s="32">
        <v>3.66</v>
      </c>
      <c r="D78" s="32">
        <v>3.57</v>
      </c>
      <c r="E78" s="32">
        <v>3.9</v>
      </c>
      <c r="F78" s="32">
        <v>3.78</v>
      </c>
      <c r="G78" s="32">
        <v>-3.5000000000000003E-2</v>
      </c>
      <c r="H78" s="32">
        <v>0.47</v>
      </c>
      <c r="I78" s="32">
        <v>1.121</v>
      </c>
      <c r="J78" s="32">
        <v>1.3440000000000001</v>
      </c>
      <c r="K78" s="32">
        <v>4.8</v>
      </c>
      <c r="L78" s="32">
        <v>4.83</v>
      </c>
      <c r="M78" s="32">
        <v>4.76</v>
      </c>
      <c r="N78" s="32">
        <v>4.76</v>
      </c>
      <c r="O78" s="32">
        <v>133.99600219726563</v>
      </c>
      <c r="P78" s="29">
        <v>1.0970927476882935</v>
      </c>
      <c r="Q78" s="29">
        <v>114.46875</v>
      </c>
      <c r="R78" s="32">
        <v>2.1404000000000001</v>
      </c>
      <c r="S78" s="32">
        <v>0.26712821411132737</v>
      </c>
    </row>
    <row r="79" spans="1:19">
      <c r="A79" s="10">
        <v>45040</v>
      </c>
      <c r="B79" s="32">
        <v>4.12</v>
      </c>
      <c r="C79" s="32">
        <v>3.6</v>
      </c>
      <c r="D79" s="32">
        <v>3.52</v>
      </c>
      <c r="E79" s="32">
        <v>3.85</v>
      </c>
      <c r="F79" s="32">
        <v>3.73</v>
      </c>
      <c r="G79" s="32">
        <v>-3.7999999999999999E-2</v>
      </c>
      <c r="H79" s="32">
        <v>0.47599999999999998</v>
      </c>
      <c r="I79" s="32">
        <v>1.1319999999999999</v>
      </c>
      <c r="J79" s="32">
        <v>1.361</v>
      </c>
      <c r="K79" s="32">
        <v>4.8</v>
      </c>
      <c r="L79" s="32">
        <v>4.83</v>
      </c>
      <c r="M79" s="32">
        <v>4.7699999999999996</v>
      </c>
      <c r="N79" s="32">
        <v>4.7699999999999996</v>
      </c>
      <c r="O79" s="32">
        <v>134.08399963378906</v>
      </c>
      <c r="P79" s="29">
        <v>1.1059499979019165</v>
      </c>
      <c r="Q79" s="29">
        <v>114.875</v>
      </c>
      <c r="R79" s="32">
        <v>2.1356999999999999</v>
      </c>
      <c r="S79" s="32">
        <v>0.24257178588867134</v>
      </c>
    </row>
    <row r="80" spans="1:19">
      <c r="A80" s="10">
        <v>45041</v>
      </c>
      <c r="B80" s="32">
        <v>3.86</v>
      </c>
      <c r="C80" s="32">
        <v>3.43</v>
      </c>
      <c r="D80" s="32">
        <v>3.4</v>
      </c>
      <c r="E80" s="32">
        <v>3.77</v>
      </c>
      <c r="F80" s="32">
        <v>3.65</v>
      </c>
      <c r="G80" s="32">
        <v>-3.5000000000000003E-2</v>
      </c>
      <c r="H80" s="32">
        <v>0.48599999999999999</v>
      </c>
      <c r="I80" s="32">
        <v>1.117</v>
      </c>
      <c r="J80" s="32">
        <v>1.3480000000000001</v>
      </c>
      <c r="K80" s="32">
        <v>4.8</v>
      </c>
      <c r="L80" s="32">
        <v>4.83</v>
      </c>
      <c r="M80" s="32">
        <v>4.7699999999999996</v>
      </c>
      <c r="N80" s="32">
        <v>4.7699999999999996</v>
      </c>
      <c r="O80" s="32">
        <v>133.71099853515625</v>
      </c>
      <c r="P80" s="29">
        <v>1.0978394746780396</v>
      </c>
      <c r="Q80" s="29">
        <v>115.796875</v>
      </c>
      <c r="R80" s="32">
        <v>2.1315</v>
      </c>
      <c r="S80" s="32">
        <v>0.24432642822265649</v>
      </c>
    </row>
    <row r="81" spans="1:19">
      <c r="A81" s="10">
        <v>45042</v>
      </c>
      <c r="B81" s="32">
        <v>3.9</v>
      </c>
      <c r="C81" s="32">
        <v>3.46</v>
      </c>
      <c r="D81" s="32">
        <v>3.43</v>
      </c>
      <c r="E81" s="32">
        <v>3.81</v>
      </c>
      <c r="F81" s="32">
        <v>3.7</v>
      </c>
      <c r="G81" s="32">
        <v>-0.04</v>
      </c>
      <c r="H81" s="32">
        <v>0.46600000000000003</v>
      </c>
      <c r="I81" s="32">
        <v>1.0860000000000001</v>
      </c>
      <c r="J81" s="32">
        <v>1.325</v>
      </c>
      <c r="K81" s="32">
        <v>4.8</v>
      </c>
      <c r="L81" s="32">
        <v>4.83</v>
      </c>
      <c r="M81" s="32">
        <v>4.7699999999999996</v>
      </c>
      <c r="N81" s="32">
        <v>4.7699999999999996</v>
      </c>
      <c r="O81" s="32">
        <v>133.46499633789063</v>
      </c>
      <c r="P81" s="29">
        <v>1.1047282218933105</v>
      </c>
      <c r="Q81" s="29">
        <v>115.546875</v>
      </c>
      <c r="R81" s="32">
        <v>2.0081000000000002</v>
      </c>
      <c r="S81" s="32">
        <v>0.21626178588866907</v>
      </c>
    </row>
    <row r="82" spans="1:19">
      <c r="A82" s="10">
        <v>45043</v>
      </c>
      <c r="B82" s="32">
        <v>4.07</v>
      </c>
      <c r="C82" s="32">
        <v>3.6</v>
      </c>
      <c r="D82" s="32">
        <v>3.53</v>
      </c>
      <c r="E82" s="32">
        <v>3.88</v>
      </c>
      <c r="F82" s="32">
        <v>3.76</v>
      </c>
      <c r="G82" s="32">
        <v>-0.04</v>
      </c>
      <c r="H82" s="32">
        <v>0.46600000000000003</v>
      </c>
      <c r="I82" s="32">
        <v>1.0900000000000001</v>
      </c>
      <c r="J82" s="32">
        <v>1.3420000000000001</v>
      </c>
      <c r="K82" s="32">
        <v>4.8099999999999996</v>
      </c>
      <c r="L82" s="32">
        <v>4.83</v>
      </c>
      <c r="M82" s="32">
        <v>4.78</v>
      </c>
      <c r="N82" s="32">
        <v>4.78</v>
      </c>
      <c r="O82" s="32">
        <v>133.802001953125</v>
      </c>
      <c r="P82" s="29">
        <v>1.1032048463821411</v>
      </c>
      <c r="Q82" s="29">
        <v>114.734375</v>
      </c>
      <c r="R82" s="32">
        <v>1.9981</v>
      </c>
      <c r="S82" s="32">
        <v>0.21977000000000046</v>
      </c>
    </row>
    <row r="83" spans="1:19">
      <c r="A83" s="10">
        <v>45044</v>
      </c>
      <c r="B83" s="32">
        <v>4.04</v>
      </c>
      <c r="C83" s="32">
        <v>3.51</v>
      </c>
      <c r="D83" s="32">
        <v>3.44</v>
      </c>
      <c r="E83" s="32">
        <v>3.8</v>
      </c>
      <c r="F83" s="32">
        <v>3.67</v>
      </c>
      <c r="G83" s="32">
        <v>-4.4999999999999998E-2</v>
      </c>
      <c r="H83" s="32">
        <v>0.40300000000000002</v>
      </c>
      <c r="I83" s="32">
        <v>1.0029999999999999</v>
      </c>
      <c r="J83" s="32">
        <v>1.2470000000000001</v>
      </c>
      <c r="K83" s="32">
        <v>4.8099999999999996</v>
      </c>
      <c r="L83" s="32">
        <v>4.83</v>
      </c>
      <c r="M83" s="32">
        <v>4.79</v>
      </c>
      <c r="N83" s="32">
        <v>4.79</v>
      </c>
      <c r="O83" s="32">
        <v>133.802001953125</v>
      </c>
      <c r="P83" s="29">
        <v>1.1032048463821411</v>
      </c>
      <c r="Q83" s="29">
        <v>115.203125</v>
      </c>
      <c r="R83" s="32">
        <v>2.1261000000000001</v>
      </c>
      <c r="S83" s="32">
        <v>0.14083999999999719</v>
      </c>
    </row>
    <row r="84" spans="1:19">
      <c r="A84" s="10">
        <v>45047</v>
      </c>
      <c r="B84" s="32">
        <v>4.1399999999999997</v>
      </c>
      <c r="C84" s="32">
        <v>3.64</v>
      </c>
      <c r="D84" s="32">
        <v>3.59</v>
      </c>
      <c r="E84" s="32">
        <v>3.95</v>
      </c>
      <c r="F84" s="32">
        <v>3.84</v>
      </c>
      <c r="G84" s="32">
        <v>-4.4999999999999998E-2</v>
      </c>
      <c r="H84" s="32">
        <v>0.41299999999999998</v>
      </c>
      <c r="I84" s="32">
        <v>1.0269999999999999</v>
      </c>
      <c r="J84" s="32">
        <v>1.2789999999999999</v>
      </c>
      <c r="K84" s="32">
        <v>4.8099999999999996</v>
      </c>
      <c r="L84" s="32">
        <v>4.83</v>
      </c>
      <c r="M84" s="32">
        <v>4.78</v>
      </c>
      <c r="N84" s="32">
        <v>4.78</v>
      </c>
      <c r="O84" s="32">
        <v>137.52099609375</v>
      </c>
      <c r="P84" s="29">
        <v>1.0969241857528687</v>
      </c>
      <c r="Q84" s="29">
        <v>114.5</v>
      </c>
      <c r="R84" s="32">
        <v>2.0425</v>
      </c>
      <c r="S84" s="32">
        <v>0.1320699999999988</v>
      </c>
    </row>
    <row r="85" spans="1:19">
      <c r="A85" s="10">
        <v>45048</v>
      </c>
      <c r="B85" s="32">
        <v>3.97</v>
      </c>
      <c r="C85" s="32">
        <v>3.46</v>
      </c>
      <c r="D85" s="32">
        <v>3.44</v>
      </c>
      <c r="E85" s="32">
        <v>3.82</v>
      </c>
      <c r="F85" s="32">
        <v>3.72</v>
      </c>
      <c r="G85" s="32">
        <v>-3.5000000000000003E-2</v>
      </c>
      <c r="H85" s="32">
        <v>0.42799999999999999</v>
      </c>
      <c r="I85" s="32">
        <v>1.0409999999999999</v>
      </c>
      <c r="J85" s="32">
        <v>1.292</v>
      </c>
      <c r="K85" s="32">
        <v>4.8099999999999996</v>
      </c>
      <c r="L85" s="32">
        <v>4.83</v>
      </c>
      <c r="M85" s="32">
        <v>4.78</v>
      </c>
      <c r="N85" s="32">
        <v>4.78</v>
      </c>
      <c r="O85" s="32">
        <v>136.46600341796875</v>
      </c>
      <c r="P85" s="29">
        <v>1.1010911464691162</v>
      </c>
      <c r="Q85" s="29">
        <v>115.5625</v>
      </c>
      <c r="R85" s="32">
        <v>2.0425</v>
      </c>
      <c r="S85" s="32">
        <v>0.14785642822265643</v>
      </c>
    </row>
    <row r="86" spans="1:19">
      <c r="A86" s="10">
        <v>45049</v>
      </c>
      <c r="B86" s="32">
        <v>3.89</v>
      </c>
      <c r="C86" s="32">
        <v>3.37</v>
      </c>
      <c r="D86" s="32">
        <v>3.38</v>
      </c>
      <c r="E86" s="32">
        <v>3.79</v>
      </c>
      <c r="F86" s="32">
        <v>3.7</v>
      </c>
      <c r="G86" s="32">
        <v>-3.5000000000000003E-2</v>
      </c>
      <c r="H86" s="32">
        <v>0.42799999999999999</v>
      </c>
      <c r="I86" s="32">
        <v>1.0409999999999999</v>
      </c>
      <c r="J86" s="32">
        <v>1.292</v>
      </c>
      <c r="K86" s="32">
        <v>4.8099999999999996</v>
      </c>
      <c r="L86" s="32">
        <v>4.83</v>
      </c>
      <c r="M86" s="32">
        <v>4.79</v>
      </c>
      <c r="N86" s="32">
        <v>4.79</v>
      </c>
      <c r="O86" s="32">
        <v>134.54400634765625</v>
      </c>
      <c r="P86" s="29">
        <v>1.1068925857543945</v>
      </c>
      <c r="Q86" s="29">
        <v>115.90625</v>
      </c>
      <c r="R86" s="32">
        <v>1.9409000000000001</v>
      </c>
      <c r="S86" s="32">
        <v>0.14785642822265643</v>
      </c>
    </row>
    <row r="87" spans="1:19">
      <c r="A87" s="10">
        <v>45050</v>
      </c>
      <c r="B87" s="32">
        <v>3.75</v>
      </c>
      <c r="C87" s="32">
        <v>3.29</v>
      </c>
      <c r="D87" s="32">
        <v>3.37</v>
      </c>
      <c r="E87" s="32">
        <v>3.8</v>
      </c>
      <c r="F87" s="32">
        <v>3.73</v>
      </c>
      <c r="G87" s="32">
        <v>-3.5000000000000003E-2</v>
      </c>
      <c r="H87" s="32">
        <v>0.42799999999999999</v>
      </c>
      <c r="I87" s="32">
        <v>1.0409999999999999</v>
      </c>
      <c r="J87" s="32">
        <v>1.292</v>
      </c>
      <c r="K87" s="32">
        <v>5.0599999999999996</v>
      </c>
      <c r="L87" s="32">
        <v>5.08</v>
      </c>
      <c r="M87" s="32">
        <v>5.03</v>
      </c>
      <c r="N87" s="32">
        <v>5.03</v>
      </c>
      <c r="O87" s="32">
        <v>134.17900085449219</v>
      </c>
      <c r="P87" s="29">
        <v>1.1022927761077881</v>
      </c>
      <c r="Q87" s="29">
        <v>116.5625</v>
      </c>
      <c r="R87" s="32">
        <v>1.9279999999999999</v>
      </c>
      <c r="S87" s="32">
        <v>0.14785642822265643</v>
      </c>
    </row>
    <row r="88" spans="1:19">
      <c r="A88" s="10">
        <v>45051</v>
      </c>
      <c r="B88" s="32">
        <v>3.92</v>
      </c>
      <c r="C88" s="32">
        <v>3.41</v>
      </c>
      <c r="D88" s="32">
        <v>3.44</v>
      </c>
      <c r="E88" s="32">
        <v>3.85</v>
      </c>
      <c r="F88" s="32">
        <v>3.76</v>
      </c>
      <c r="G88" s="32">
        <v>-3.5000000000000003E-2</v>
      </c>
      <c r="H88" s="32">
        <v>0.42799999999999999</v>
      </c>
      <c r="I88" s="32">
        <v>1.0409999999999999</v>
      </c>
      <c r="J88" s="32">
        <v>1.292</v>
      </c>
      <c r="K88" s="32">
        <v>5.0599999999999996</v>
      </c>
      <c r="L88" s="32">
        <v>5.08</v>
      </c>
      <c r="M88" s="32">
        <v>5.03</v>
      </c>
      <c r="N88" s="32">
        <v>5.03</v>
      </c>
      <c r="O88" s="32">
        <v>134.17900085449219</v>
      </c>
      <c r="P88" s="29">
        <v>1.1022927761077881</v>
      </c>
      <c r="Q88" s="29">
        <v>115.71875</v>
      </c>
      <c r="R88" s="32">
        <v>1.9638</v>
      </c>
      <c r="S88" s="32">
        <v>0.14785642822265643</v>
      </c>
    </row>
    <row r="89" spans="1:19">
      <c r="A89" s="10">
        <v>45054</v>
      </c>
      <c r="B89" s="32">
        <v>4</v>
      </c>
      <c r="C89" s="32">
        <v>3.49</v>
      </c>
      <c r="D89" s="32">
        <v>3.52</v>
      </c>
      <c r="E89" s="32">
        <v>3.92</v>
      </c>
      <c r="F89" s="32">
        <v>3.84</v>
      </c>
      <c r="G89" s="32">
        <v>-3.5000000000000003E-2</v>
      </c>
      <c r="H89" s="32">
        <v>0.42399999999999999</v>
      </c>
      <c r="I89" s="32">
        <v>1.0369999999999999</v>
      </c>
      <c r="J89" s="32">
        <v>1.2789999999999999</v>
      </c>
      <c r="K89" s="32">
        <v>5.0599999999999996</v>
      </c>
      <c r="L89" s="32">
        <v>5.08</v>
      </c>
      <c r="M89" s="32">
        <v>5.03</v>
      </c>
      <c r="N89" s="32">
        <v>5.03</v>
      </c>
      <c r="O89" s="32">
        <v>135.072998046875</v>
      </c>
      <c r="P89" s="29">
        <v>1.0996140241622925</v>
      </c>
      <c r="Q89" s="29">
        <v>115.171875</v>
      </c>
      <c r="R89" s="32">
        <v>2.1078000000000001</v>
      </c>
      <c r="S89" s="32">
        <v>0.14960999999999913</v>
      </c>
    </row>
    <row r="90" spans="1:19">
      <c r="A90" s="10">
        <v>45055</v>
      </c>
      <c r="B90" s="32">
        <v>4.01</v>
      </c>
      <c r="C90" s="32">
        <v>3.51</v>
      </c>
      <c r="D90" s="32">
        <v>3.53</v>
      </c>
      <c r="E90" s="32">
        <v>3.94</v>
      </c>
      <c r="F90" s="32">
        <v>3.85</v>
      </c>
      <c r="G90" s="32">
        <v>-0.03</v>
      </c>
      <c r="H90" s="32">
        <v>0.435</v>
      </c>
      <c r="I90" s="32">
        <v>1.0509999999999999</v>
      </c>
      <c r="J90" s="32">
        <v>1.2869999999999999</v>
      </c>
      <c r="K90" s="32">
        <v>5.0599999999999996</v>
      </c>
      <c r="L90" s="32">
        <v>5.08</v>
      </c>
      <c r="M90" s="32">
        <v>5.03</v>
      </c>
      <c r="N90" s="32">
        <v>5.03</v>
      </c>
      <c r="O90" s="32">
        <v>135.28799438476563</v>
      </c>
      <c r="P90" s="29">
        <v>1.096467137336731</v>
      </c>
      <c r="Q90" s="29">
        <v>115.1875</v>
      </c>
      <c r="R90" s="32">
        <v>2.1078000000000001</v>
      </c>
      <c r="S90" s="32">
        <v>0.16539642822265677</v>
      </c>
    </row>
    <row r="91" spans="1:19">
      <c r="A91" s="10">
        <v>45056</v>
      </c>
      <c r="B91" s="32">
        <v>3.9</v>
      </c>
      <c r="C91" s="32">
        <v>3.37</v>
      </c>
      <c r="D91" s="32">
        <v>3.43</v>
      </c>
      <c r="E91" s="32">
        <v>3.88</v>
      </c>
      <c r="F91" s="32">
        <v>3.8</v>
      </c>
      <c r="G91" s="32">
        <v>-0.04</v>
      </c>
      <c r="H91" s="32">
        <v>0.42499999999999999</v>
      </c>
      <c r="I91" s="32">
        <v>1.0369999999999999</v>
      </c>
      <c r="J91" s="32">
        <v>1.278</v>
      </c>
      <c r="K91" s="32">
        <v>5.0599999999999996</v>
      </c>
      <c r="L91" s="32">
        <v>5.08</v>
      </c>
      <c r="M91" s="32">
        <v>5.0199999999999996</v>
      </c>
      <c r="N91" s="32">
        <v>5.0199999999999996</v>
      </c>
      <c r="O91" s="32">
        <v>134.08700561523438</v>
      </c>
      <c r="P91" s="29">
        <v>1.098406195640564</v>
      </c>
      <c r="Q91" s="29">
        <v>115.90625</v>
      </c>
      <c r="R91" s="32">
        <v>2.2242000000000002</v>
      </c>
      <c r="S91" s="32">
        <v>9.1728214111327588E-2</v>
      </c>
    </row>
    <row r="92" spans="1:19">
      <c r="A92" s="10">
        <v>45057</v>
      </c>
      <c r="B92" s="32">
        <v>3.89</v>
      </c>
      <c r="C92" s="32">
        <v>3.36</v>
      </c>
      <c r="D92" s="32">
        <v>3.39</v>
      </c>
      <c r="E92" s="32">
        <v>3.82</v>
      </c>
      <c r="F92" s="32">
        <v>3.73</v>
      </c>
      <c r="G92" s="32">
        <v>-4.4999999999999998E-2</v>
      </c>
      <c r="H92" s="32">
        <v>0.39900000000000002</v>
      </c>
      <c r="I92" s="32">
        <v>1</v>
      </c>
      <c r="J92" s="32">
        <v>1.2330000000000001</v>
      </c>
      <c r="K92" s="32">
        <v>5.05</v>
      </c>
      <c r="L92" s="32">
        <v>5.08</v>
      </c>
      <c r="M92" s="32">
        <v>5.0199999999999996</v>
      </c>
      <c r="N92" s="32">
        <v>5.0199999999999996</v>
      </c>
      <c r="O92" s="32">
        <v>134.49800109863281</v>
      </c>
      <c r="P92" s="29">
        <v>1.0912145376205444</v>
      </c>
      <c r="Q92" s="29">
        <v>116.046875</v>
      </c>
      <c r="R92" s="32">
        <v>2.1577999999999999</v>
      </c>
      <c r="S92" s="32">
        <v>-5.2100000000002922E-2</v>
      </c>
    </row>
    <row r="93" spans="1:19">
      <c r="A93" s="10">
        <v>45058</v>
      </c>
      <c r="B93" s="32">
        <v>3.98</v>
      </c>
      <c r="C93" s="32">
        <v>3.45</v>
      </c>
      <c r="D93" s="32">
        <v>3.46</v>
      </c>
      <c r="E93" s="32">
        <v>3.87</v>
      </c>
      <c r="F93" s="32">
        <v>3.78</v>
      </c>
      <c r="G93" s="32">
        <v>-5.5E-2</v>
      </c>
      <c r="H93" s="32">
        <v>0.39600000000000002</v>
      </c>
      <c r="I93" s="32">
        <v>1.02</v>
      </c>
      <c r="J93" s="32">
        <v>1.262</v>
      </c>
      <c r="K93" s="32">
        <v>5.05</v>
      </c>
      <c r="L93" s="32">
        <v>5.08</v>
      </c>
      <c r="M93" s="32">
        <v>5.0199999999999996</v>
      </c>
      <c r="N93" s="32">
        <v>5.0199999999999996</v>
      </c>
      <c r="O93" s="32">
        <v>134.49800109863281</v>
      </c>
      <c r="P93" s="29">
        <v>1.0912145376205444</v>
      </c>
      <c r="Q93" s="29">
        <v>115.4375</v>
      </c>
      <c r="R93" s="32">
        <v>2.0181</v>
      </c>
      <c r="S93" s="32">
        <v>0.10926821411132792</v>
      </c>
    </row>
    <row r="94" spans="1:19">
      <c r="A94" s="10">
        <v>45061</v>
      </c>
      <c r="B94" s="32">
        <v>3.99</v>
      </c>
      <c r="C94" s="32">
        <v>3.46</v>
      </c>
      <c r="D94" s="32">
        <v>3.5</v>
      </c>
      <c r="E94" s="32">
        <v>3.92</v>
      </c>
      <c r="F94" s="32">
        <v>3.84</v>
      </c>
      <c r="G94" s="32">
        <v>-4.9000000000000002E-2</v>
      </c>
      <c r="H94" s="32">
        <v>0.42099999999999999</v>
      </c>
      <c r="I94" s="32">
        <v>1.0329999999999999</v>
      </c>
      <c r="J94" s="32">
        <v>1.2769999999999999</v>
      </c>
      <c r="K94" s="32">
        <v>5.0599999999999996</v>
      </c>
      <c r="L94" s="32">
        <v>5.08</v>
      </c>
      <c r="M94" s="32">
        <v>5.0199999999999996</v>
      </c>
      <c r="N94" s="32">
        <v>5.0199999999999996</v>
      </c>
      <c r="O94" s="32">
        <v>136.04499816894531</v>
      </c>
      <c r="P94" s="29">
        <v>1.0873701572418213</v>
      </c>
      <c r="Q94" s="29">
        <v>115.234375</v>
      </c>
      <c r="R94" s="32">
        <v>2.0918999999999999</v>
      </c>
      <c r="S94" s="32">
        <v>0.14259357177734344</v>
      </c>
    </row>
    <row r="95" spans="1:19">
      <c r="A95" s="10">
        <v>45062</v>
      </c>
      <c r="B95" s="32">
        <v>4.0599999999999996</v>
      </c>
      <c r="C95" s="32">
        <v>3.52</v>
      </c>
      <c r="D95" s="32">
        <v>3.54</v>
      </c>
      <c r="E95" s="32">
        <v>3.96</v>
      </c>
      <c r="F95" s="32">
        <v>3.87</v>
      </c>
      <c r="G95" s="32">
        <v>-5.3999999999999999E-2</v>
      </c>
      <c r="H95" s="32">
        <v>0.40600000000000003</v>
      </c>
      <c r="I95" s="32">
        <v>1.02</v>
      </c>
      <c r="J95" s="32">
        <v>1.256</v>
      </c>
      <c r="K95" s="32">
        <v>5.05</v>
      </c>
      <c r="L95" s="32">
        <v>5.08</v>
      </c>
      <c r="M95" s="32">
        <v>5.0199999999999996</v>
      </c>
      <c r="N95" s="32">
        <v>5.0199999999999996</v>
      </c>
      <c r="O95" s="32">
        <v>136.42999267578125</v>
      </c>
      <c r="P95" s="29">
        <v>1.0865668058395386</v>
      </c>
      <c r="Q95" s="29">
        <v>114.921875</v>
      </c>
      <c r="R95" s="32">
        <v>2.1686000000000001</v>
      </c>
      <c r="S95" s="32">
        <v>0.11979178588866901</v>
      </c>
    </row>
    <row r="96" spans="1:19">
      <c r="A96" s="10">
        <v>45063</v>
      </c>
      <c r="B96" s="32">
        <v>4.12</v>
      </c>
      <c r="C96" s="32">
        <v>3.58</v>
      </c>
      <c r="D96" s="32">
        <v>3.57</v>
      </c>
      <c r="E96" s="32">
        <v>3.96</v>
      </c>
      <c r="F96" s="32">
        <v>3.88</v>
      </c>
      <c r="G96" s="32">
        <v>-6.6000000000000003E-2</v>
      </c>
      <c r="H96" s="32">
        <v>0.375</v>
      </c>
      <c r="I96" s="32">
        <v>0.97699999999999998</v>
      </c>
      <c r="J96" s="32">
        <v>1.224</v>
      </c>
      <c r="K96" s="32">
        <v>5.05</v>
      </c>
      <c r="L96" s="32">
        <v>5.08</v>
      </c>
      <c r="M96" s="32">
        <v>5.0199999999999996</v>
      </c>
      <c r="N96" s="32">
        <v>5.0199999999999996</v>
      </c>
      <c r="O96" s="32">
        <v>137.61399841308594</v>
      </c>
      <c r="P96" s="29">
        <v>1.0838346481323242</v>
      </c>
      <c r="Q96" s="29">
        <v>114.578125</v>
      </c>
      <c r="R96" s="32">
        <v>2.2042000000000002</v>
      </c>
      <c r="S96" s="32">
        <v>7.94499999999978E-2</v>
      </c>
    </row>
    <row r="97" spans="1:19">
      <c r="A97" s="10">
        <v>45064</v>
      </c>
      <c r="B97" s="32">
        <v>4.24</v>
      </c>
      <c r="C97" s="32">
        <v>3.69</v>
      </c>
      <c r="D97" s="32">
        <v>3.65</v>
      </c>
      <c r="E97" s="32">
        <v>4.0199999999999996</v>
      </c>
      <c r="F97" s="32">
        <v>3.91</v>
      </c>
      <c r="G97" s="32">
        <v>-6.0999999999999999E-2</v>
      </c>
      <c r="H97" s="32">
        <v>0.39500000000000002</v>
      </c>
      <c r="I97" s="32">
        <v>0.99099999999999999</v>
      </c>
      <c r="J97" s="32">
        <v>1.246</v>
      </c>
      <c r="K97" s="32">
        <v>5.05</v>
      </c>
      <c r="L97" s="32">
        <v>5.08</v>
      </c>
      <c r="M97" s="32">
        <v>5.0199999999999996</v>
      </c>
      <c r="N97" s="32">
        <v>5.0199999999999996</v>
      </c>
      <c r="O97" s="32">
        <v>138.6199951171875</v>
      </c>
      <c r="P97" s="29">
        <v>1.0775396823883057</v>
      </c>
      <c r="Q97" s="29">
        <v>113.921875</v>
      </c>
      <c r="R97" s="32">
        <v>2.2105000000000001</v>
      </c>
      <c r="S97" s="32">
        <v>0.10225178588867223</v>
      </c>
    </row>
    <row r="98" spans="1:19">
      <c r="A98" s="10">
        <v>45065</v>
      </c>
      <c r="B98" s="32">
        <v>4.28</v>
      </c>
      <c r="C98" s="32">
        <v>3.76</v>
      </c>
      <c r="D98" s="32">
        <v>3.7</v>
      </c>
      <c r="E98" s="32">
        <v>4.07</v>
      </c>
      <c r="F98" s="32">
        <v>3.95</v>
      </c>
      <c r="G98" s="32">
        <v>-6.0999999999999999E-2</v>
      </c>
      <c r="H98" s="32">
        <v>0.41499999999999998</v>
      </c>
      <c r="I98" s="32">
        <v>1.0049999999999999</v>
      </c>
      <c r="J98" s="32">
        <v>1.256</v>
      </c>
      <c r="K98" s="32">
        <v>5.05</v>
      </c>
      <c r="L98" s="32">
        <v>5.08</v>
      </c>
      <c r="M98" s="32">
        <v>5.0199999999999996</v>
      </c>
      <c r="N98" s="32">
        <v>5.0199999999999996</v>
      </c>
      <c r="O98" s="32">
        <v>138.6199951171875</v>
      </c>
      <c r="P98" s="29">
        <v>1.0775396823883057</v>
      </c>
      <c r="Q98" s="29">
        <v>113.5625</v>
      </c>
      <c r="R98" s="32">
        <v>2.3273999999999999</v>
      </c>
      <c r="S98" s="32">
        <v>0.11452999999999847</v>
      </c>
    </row>
    <row r="99" spans="1:19">
      <c r="A99" s="10">
        <v>45068</v>
      </c>
      <c r="B99" s="32">
        <v>4.29</v>
      </c>
      <c r="C99" s="32">
        <v>3.77</v>
      </c>
      <c r="D99" s="32">
        <v>3.72</v>
      </c>
      <c r="E99" s="32">
        <v>4.09</v>
      </c>
      <c r="F99" s="32">
        <v>3.97</v>
      </c>
      <c r="G99" s="32">
        <v>-6.6000000000000003E-2</v>
      </c>
      <c r="H99" s="32">
        <v>0.39700000000000002</v>
      </c>
      <c r="I99" s="32">
        <v>0.98199999999999998</v>
      </c>
      <c r="J99" s="32">
        <v>1.238</v>
      </c>
      <c r="K99" s="32">
        <v>5.05</v>
      </c>
      <c r="L99" s="32">
        <v>5.08</v>
      </c>
      <c r="M99" s="32">
        <v>5.0199999999999996</v>
      </c>
      <c r="N99" s="32">
        <v>5.0199999999999996</v>
      </c>
      <c r="O99" s="32">
        <v>138.6719970703125</v>
      </c>
      <c r="P99" s="29">
        <v>1.0811045169830322</v>
      </c>
      <c r="Q99" s="29">
        <v>113.46875</v>
      </c>
      <c r="R99" s="32">
        <v>2.2877000000000001</v>
      </c>
      <c r="S99" s="32">
        <v>0.10049821411132598</v>
      </c>
    </row>
    <row r="100" spans="1:19">
      <c r="A100" s="10">
        <v>45069</v>
      </c>
      <c r="B100" s="32">
        <v>4.26</v>
      </c>
      <c r="C100" s="32">
        <v>3.76</v>
      </c>
      <c r="D100" s="32">
        <v>3.7</v>
      </c>
      <c r="E100" s="32">
        <v>4.08</v>
      </c>
      <c r="F100" s="32">
        <v>3.96</v>
      </c>
      <c r="G100" s="32">
        <v>-6.0999999999999999E-2</v>
      </c>
      <c r="H100" s="32">
        <v>0.41</v>
      </c>
      <c r="I100" s="32">
        <v>1.004</v>
      </c>
      <c r="J100" s="32">
        <v>1.252</v>
      </c>
      <c r="K100" s="32">
        <v>5.05</v>
      </c>
      <c r="L100" s="32">
        <v>5.08</v>
      </c>
      <c r="M100" s="32">
        <v>5.0199999999999996</v>
      </c>
      <c r="N100" s="32">
        <v>5.0199999999999996</v>
      </c>
      <c r="O100" s="32">
        <v>138.59800720214844</v>
      </c>
      <c r="P100" s="29">
        <v>1.076971173286438</v>
      </c>
      <c r="Q100" s="29">
        <v>113.609375</v>
      </c>
      <c r="R100" s="32">
        <v>2.2928999999999999</v>
      </c>
      <c r="S100" s="32">
        <v>9.6989999999998133E-2</v>
      </c>
    </row>
    <row r="101" spans="1:19">
      <c r="A101" s="10">
        <v>45070</v>
      </c>
      <c r="B101" s="32">
        <v>4.3099999999999996</v>
      </c>
      <c r="C101" s="32">
        <v>3.75</v>
      </c>
      <c r="D101" s="32">
        <v>3.73</v>
      </c>
      <c r="E101" s="32">
        <v>4.0999999999999996</v>
      </c>
      <c r="F101" s="32">
        <v>3.97</v>
      </c>
      <c r="G101" s="32">
        <v>-6.6000000000000003E-2</v>
      </c>
      <c r="H101" s="32">
        <v>0.42099999999999999</v>
      </c>
      <c r="I101" s="32">
        <v>1.02</v>
      </c>
      <c r="J101" s="32">
        <v>1.2689999999999999</v>
      </c>
      <c r="K101" s="32">
        <v>5.05</v>
      </c>
      <c r="L101" s="32">
        <v>5.08</v>
      </c>
      <c r="M101" s="32">
        <v>5.03</v>
      </c>
      <c r="N101" s="32">
        <v>5.03</v>
      </c>
      <c r="O101" s="32">
        <v>139.28300476074219</v>
      </c>
      <c r="P101" s="29">
        <v>1.0757315158843994</v>
      </c>
      <c r="Q101" s="29">
        <v>113.421875</v>
      </c>
      <c r="R101" s="32">
        <v>2.3557999999999999</v>
      </c>
      <c r="S101" s="32">
        <v>0.10400642822265382</v>
      </c>
    </row>
    <row r="102" spans="1:19">
      <c r="A102" s="10">
        <v>45071</v>
      </c>
      <c r="B102" s="32">
        <v>4.5</v>
      </c>
      <c r="C102" s="32">
        <v>3.9</v>
      </c>
      <c r="D102" s="32">
        <v>3.83</v>
      </c>
      <c r="E102" s="32">
        <v>4.16</v>
      </c>
      <c r="F102" s="32">
        <v>4.01</v>
      </c>
      <c r="G102" s="32">
        <v>-6.6000000000000003E-2</v>
      </c>
      <c r="H102" s="32">
        <v>0.441</v>
      </c>
      <c r="I102" s="32">
        <v>1.0429999999999999</v>
      </c>
      <c r="J102" s="32">
        <v>1.292</v>
      </c>
      <c r="K102" s="32">
        <v>5.0599999999999996</v>
      </c>
      <c r="L102" s="32">
        <v>5.08</v>
      </c>
      <c r="M102" s="32">
        <v>5.05</v>
      </c>
      <c r="N102" s="32">
        <v>5.05</v>
      </c>
      <c r="O102" s="32">
        <v>140.01699829101563</v>
      </c>
      <c r="P102" s="29">
        <v>1.0724436044692993</v>
      </c>
      <c r="Q102" s="29">
        <v>112.625</v>
      </c>
      <c r="R102" s="32">
        <v>2.3008000000000002</v>
      </c>
      <c r="S102" s="32">
        <v>0.14434821411132859</v>
      </c>
    </row>
    <row r="103" spans="1:19">
      <c r="A103" s="10">
        <v>45072</v>
      </c>
      <c r="B103" s="32">
        <v>4.54</v>
      </c>
      <c r="C103" s="32">
        <v>3.92</v>
      </c>
      <c r="D103" s="32">
        <v>3.8</v>
      </c>
      <c r="E103" s="32">
        <v>4.13</v>
      </c>
      <c r="F103" s="32">
        <v>3.96</v>
      </c>
      <c r="G103" s="32">
        <v>-6.6000000000000003E-2</v>
      </c>
      <c r="H103" s="32">
        <v>0.432</v>
      </c>
      <c r="I103" s="32">
        <v>1.0249999999999999</v>
      </c>
      <c r="J103" s="32">
        <v>1.2649999999999999</v>
      </c>
      <c r="K103" s="32">
        <v>5.0599999999999996</v>
      </c>
      <c r="L103" s="32">
        <v>5.08</v>
      </c>
      <c r="M103" s="32">
        <v>5.05</v>
      </c>
      <c r="N103" s="32">
        <v>5.05</v>
      </c>
      <c r="O103" s="32">
        <v>140.01699829101563</v>
      </c>
      <c r="P103" s="29">
        <v>1.0724436044692993</v>
      </c>
      <c r="Q103" s="29">
        <v>112.40625</v>
      </c>
      <c r="R103" s="32">
        <v>2.3371</v>
      </c>
      <c r="S103" s="32">
        <v>0.11102178588867062</v>
      </c>
    </row>
    <row r="104" spans="1:19">
      <c r="A104" s="10">
        <v>45076</v>
      </c>
      <c r="B104" s="32">
        <v>4.46</v>
      </c>
      <c r="C104" s="32">
        <v>3.81</v>
      </c>
      <c r="D104" s="32">
        <v>3.69</v>
      </c>
      <c r="E104" s="32">
        <v>4.0599999999999996</v>
      </c>
      <c r="F104" s="32">
        <v>3.9</v>
      </c>
      <c r="G104" s="32">
        <v>-5.5E-2</v>
      </c>
      <c r="H104" s="32">
        <v>0.44800000000000001</v>
      </c>
      <c r="I104" s="32">
        <v>1.03</v>
      </c>
      <c r="J104" s="32">
        <v>1.264</v>
      </c>
      <c r="K104" s="32">
        <v>5.0599999999999996</v>
      </c>
      <c r="L104" s="32">
        <v>5.08</v>
      </c>
      <c r="M104" s="32">
        <v>5.04</v>
      </c>
      <c r="N104" s="32">
        <v>5.05</v>
      </c>
      <c r="O104" s="32">
        <v>139.79200744628906</v>
      </c>
      <c r="P104" s="29">
        <v>1.0733069181442261</v>
      </c>
      <c r="Q104" s="29">
        <v>113.171875</v>
      </c>
      <c r="R104" s="32">
        <v>2.4058000000000002</v>
      </c>
      <c r="S104" s="32">
        <v>0.15136357177734183</v>
      </c>
    </row>
    <row r="105" spans="1:19">
      <c r="A105" s="10">
        <v>45077</v>
      </c>
      <c r="B105" s="32">
        <v>4.4000000000000004</v>
      </c>
      <c r="C105" s="32">
        <v>3.74</v>
      </c>
      <c r="D105" s="32">
        <v>3.64</v>
      </c>
      <c r="E105" s="32">
        <v>4.01</v>
      </c>
      <c r="F105" s="32">
        <v>3.85</v>
      </c>
      <c r="G105" s="32">
        <v>-0.06</v>
      </c>
      <c r="H105" s="32">
        <v>0.44800000000000001</v>
      </c>
      <c r="I105" s="32">
        <v>1.03</v>
      </c>
      <c r="J105" s="32">
        <v>1.2729999999999999</v>
      </c>
      <c r="K105" s="32">
        <v>5.08</v>
      </c>
      <c r="L105" s="32">
        <v>5.08</v>
      </c>
      <c r="M105" s="32">
        <v>5.05</v>
      </c>
      <c r="N105" s="32">
        <v>5.05</v>
      </c>
      <c r="O105" s="32">
        <v>139.12699890136719</v>
      </c>
      <c r="P105" s="29">
        <v>1.0695186853408813</v>
      </c>
      <c r="Q105" s="29">
        <v>113.625</v>
      </c>
      <c r="R105" s="32">
        <v>2.2467000000000001</v>
      </c>
      <c r="S105" s="32">
        <v>0.12154642822265416</v>
      </c>
    </row>
    <row r="106" spans="1:19">
      <c r="A106" s="10">
        <v>45078</v>
      </c>
      <c r="B106" s="32">
        <v>4.33</v>
      </c>
      <c r="C106" s="32">
        <v>3.7</v>
      </c>
      <c r="D106" s="32">
        <v>3.61</v>
      </c>
      <c r="E106" s="32">
        <v>3.98</v>
      </c>
      <c r="F106" s="32">
        <v>3.84</v>
      </c>
      <c r="G106" s="32">
        <v>-6.5000000000000002E-2</v>
      </c>
      <c r="H106" s="32">
        <v>0.434</v>
      </c>
      <c r="I106" s="32">
        <v>1.03</v>
      </c>
      <c r="J106" s="32">
        <v>1.2769999999999999</v>
      </c>
      <c r="K106" s="32">
        <v>5.08</v>
      </c>
      <c r="L106" s="32">
        <v>5.08</v>
      </c>
      <c r="M106" s="32">
        <v>5.05</v>
      </c>
      <c r="N106" s="32">
        <v>5.05</v>
      </c>
      <c r="O106" s="32">
        <v>138.74800109863281</v>
      </c>
      <c r="P106" s="29">
        <v>1.0760787725448608</v>
      </c>
      <c r="Q106" s="29">
        <v>113.921875</v>
      </c>
      <c r="R106" s="32">
        <v>2.2240000000000002</v>
      </c>
      <c r="S106" s="32">
        <v>0.14259357177734344</v>
      </c>
    </row>
    <row r="107" spans="1:19">
      <c r="A107" s="10">
        <v>45079</v>
      </c>
      <c r="B107" s="32">
        <v>4.5</v>
      </c>
      <c r="C107" s="32">
        <v>3.84</v>
      </c>
      <c r="D107" s="32">
        <v>3.69</v>
      </c>
      <c r="E107" s="32">
        <v>4.03</v>
      </c>
      <c r="F107" s="32">
        <v>3.88</v>
      </c>
      <c r="G107" s="32">
        <v>-7.4999999999999997E-2</v>
      </c>
      <c r="H107" s="32">
        <v>0.43</v>
      </c>
      <c r="I107" s="32">
        <v>1.036</v>
      </c>
      <c r="J107" s="32">
        <v>1.286</v>
      </c>
      <c r="K107" s="32">
        <v>5.07</v>
      </c>
      <c r="L107" s="32">
        <v>5.08</v>
      </c>
      <c r="M107" s="32">
        <v>5.05</v>
      </c>
      <c r="N107" s="32">
        <v>5.05</v>
      </c>
      <c r="O107" s="32">
        <v>138.74800109863281</v>
      </c>
      <c r="P107" s="29">
        <v>1.0760787725448608</v>
      </c>
      <c r="Q107" s="29">
        <v>113.046875</v>
      </c>
      <c r="R107" s="32">
        <v>2.23</v>
      </c>
      <c r="S107" s="32">
        <v>0.11803821411132631</v>
      </c>
    </row>
    <row r="108" spans="1:19">
      <c r="A108" s="10">
        <v>45082</v>
      </c>
      <c r="B108" s="32">
        <v>4.46</v>
      </c>
      <c r="C108" s="32">
        <v>3.82</v>
      </c>
      <c r="D108" s="32">
        <v>3.69</v>
      </c>
      <c r="E108" s="32">
        <v>4.03</v>
      </c>
      <c r="F108" s="32">
        <v>3.89</v>
      </c>
      <c r="G108" s="32">
        <v>-6.5000000000000002E-2</v>
      </c>
      <c r="H108" s="32">
        <v>0.45</v>
      </c>
      <c r="I108" s="32">
        <v>1.05</v>
      </c>
      <c r="J108" s="32">
        <v>1.2869999999999999</v>
      </c>
      <c r="K108" s="32">
        <v>5.0599999999999996</v>
      </c>
      <c r="L108" s="32">
        <v>5.08</v>
      </c>
      <c r="M108" s="32">
        <v>5.05</v>
      </c>
      <c r="N108" s="32">
        <v>5.05</v>
      </c>
      <c r="O108" s="32">
        <v>139.38299560546875</v>
      </c>
      <c r="P108" s="29">
        <v>1.0711798667907715</v>
      </c>
      <c r="Q108" s="29">
        <v>113.109375</v>
      </c>
      <c r="R108" s="32">
        <v>2.2248000000000001</v>
      </c>
      <c r="S108" s="32">
        <v>0.15136357177734183</v>
      </c>
    </row>
    <row r="109" spans="1:19">
      <c r="A109" s="10">
        <v>45083</v>
      </c>
      <c r="B109" s="32">
        <v>4.51</v>
      </c>
      <c r="C109" s="32">
        <v>3.85</v>
      </c>
      <c r="D109" s="32">
        <v>3.7</v>
      </c>
      <c r="E109" s="32">
        <v>4.0199999999999996</v>
      </c>
      <c r="F109" s="32">
        <v>3.87</v>
      </c>
      <c r="G109" s="32">
        <v>-6.5000000000000002E-2</v>
      </c>
      <c r="H109" s="32">
        <v>0.44</v>
      </c>
      <c r="I109" s="32">
        <v>1.03</v>
      </c>
      <c r="J109" s="32">
        <v>1.2729999999999999</v>
      </c>
      <c r="K109" s="32">
        <v>5.05</v>
      </c>
      <c r="L109" s="32">
        <v>5.08</v>
      </c>
      <c r="M109" s="32">
        <v>5.03</v>
      </c>
      <c r="N109" s="32">
        <v>5.03</v>
      </c>
      <c r="O109" s="32">
        <v>139.52699279785156</v>
      </c>
      <c r="P109" s="29">
        <v>1.0698047876358032</v>
      </c>
      <c r="Q109" s="29">
        <v>113.03125</v>
      </c>
      <c r="R109" s="32">
        <v>2.2505999999999999</v>
      </c>
      <c r="S109" s="32">
        <v>0.13908642822265449</v>
      </c>
    </row>
    <row r="110" spans="1:19">
      <c r="A110" s="10">
        <v>45084</v>
      </c>
      <c r="B110" s="32">
        <v>4.5599999999999996</v>
      </c>
      <c r="C110" s="32">
        <v>3.93</v>
      </c>
      <c r="D110" s="32">
        <v>3.79</v>
      </c>
      <c r="E110" s="32">
        <v>4.12</v>
      </c>
      <c r="F110" s="32">
        <v>3.95</v>
      </c>
      <c r="G110" s="32">
        <v>-0.06</v>
      </c>
      <c r="H110" s="32">
        <v>0.434</v>
      </c>
      <c r="I110" s="32">
        <v>1.024</v>
      </c>
      <c r="J110" s="32">
        <v>1.2689999999999999</v>
      </c>
      <c r="K110" s="32">
        <v>5.05</v>
      </c>
      <c r="L110" s="32">
        <v>5.08</v>
      </c>
      <c r="M110" s="32">
        <v>5.03</v>
      </c>
      <c r="N110" s="32">
        <v>5.04</v>
      </c>
      <c r="O110" s="32">
        <v>139.89900207519531</v>
      </c>
      <c r="P110" s="29">
        <v>1.0707440376281738</v>
      </c>
      <c r="Q110" s="29">
        <v>112.53125</v>
      </c>
      <c r="R110" s="32">
        <v>2.2715999999999998</v>
      </c>
      <c r="S110" s="32">
        <v>0.10751357177734278</v>
      </c>
    </row>
    <row r="111" spans="1:19">
      <c r="A111" s="10">
        <v>45085</v>
      </c>
      <c r="B111" s="32">
        <v>4.5199999999999996</v>
      </c>
      <c r="C111" s="32">
        <v>3.87</v>
      </c>
      <c r="D111" s="32">
        <v>3.73</v>
      </c>
      <c r="E111" s="32">
        <v>4.05</v>
      </c>
      <c r="F111" s="32">
        <v>3.89</v>
      </c>
      <c r="G111" s="32">
        <v>-0.06</v>
      </c>
      <c r="H111" s="32">
        <v>0.45500000000000002</v>
      </c>
      <c r="I111" s="32">
        <v>1.0389999999999999</v>
      </c>
      <c r="J111" s="32">
        <v>1.2869999999999999</v>
      </c>
      <c r="K111" s="32">
        <v>5.05</v>
      </c>
      <c r="L111" s="32">
        <v>5.08</v>
      </c>
      <c r="M111" s="32">
        <v>5.03</v>
      </c>
      <c r="N111" s="32">
        <v>5.03</v>
      </c>
      <c r="O111" s="32">
        <v>138.86300659179688</v>
      </c>
      <c r="P111" s="29">
        <v>1.078271746635437</v>
      </c>
      <c r="Q111" s="29">
        <v>113.03125</v>
      </c>
      <c r="R111" s="32">
        <v>2.3866000000000001</v>
      </c>
      <c r="S111" s="32">
        <v>0.12330000000000041</v>
      </c>
    </row>
    <row r="112" spans="1:19">
      <c r="A112" s="10">
        <v>45086</v>
      </c>
      <c r="B112" s="32">
        <v>4.59</v>
      </c>
      <c r="C112" s="32">
        <v>3.92</v>
      </c>
      <c r="D112" s="32">
        <v>3.75</v>
      </c>
      <c r="E112" s="32">
        <v>4.05</v>
      </c>
      <c r="F112" s="32">
        <v>3.89</v>
      </c>
      <c r="G112" s="32">
        <v>-6.5000000000000002E-2</v>
      </c>
      <c r="H112" s="32">
        <v>0.45100000000000001</v>
      </c>
      <c r="I112" s="32">
        <v>1.03</v>
      </c>
      <c r="J112" s="32">
        <v>1.278</v>
      </c>
      <c r="K112" s="32">
        <v>5.05</v>
      </c>
      <c r="L112" s="32">
        <v>5.08</v>
      </c>
      <c r="M112" s="32">
        <v>5.0199999999999996</v>
      </c>
      <c r="N112" s="32">
        <v>5.03</v>
      </c>
      <c r="O112" s="32">
        <v>138.86300659179688</v>
      </c>
      <c r="P112" s="29">
        <v>1.078271746635437</v>
      </c>
      <c r="Q112" s="29">
        <v>112.65625</v>
      </c>
      <c r="R112" s="32">
        <v>2.3618000000000001</v>
      </c>
      <c r="S112" s="32">
        <v>0.11979178588866901</v>
      </c>
    </row>
    <row r="113" spans="1:19">
      <c r="A113" s="10">
        <v>45089</v>
      </c>
      <c r="B113" s="32">
        <v>4.55</v>
      </c>
      <c r="C113" s="32">
        <v>3.89</v>
      </c>
      <c r="D113" s="32">
        <v>3.73</v>
      </c>
      <c r="E113" s="32">
        <v>4.04</v>
      </c>
      <c r="F113" s="32">
        <v>3.87</v>
      </c>
      <c r="G113" s="32">
        <v>-7.0000000000000007E-2</v>
      </c>
      <c r="H113" s="32">
        <v>0.44600000000000001</v>
      </c>
      <c r="I113" s="32">
        <v>1.0349999999999999</v>
      </c>
      <c r="J113" s="32">
        <v>1.282</v>
      </c>
      <c r="K113" s="32">
        <v>5.05</v>
      </c>
      <c r="L113" s="32">
        <v>5.08</v>
      </c>
      <c r="M113" s="32">
        <v>5.0199999999999996</v>
      </c>
      <c r="N113" s="32">
        <v>5.03</v>
      </c>
      <c r="O113" s="32">
        <v>139.46000671386719</v>
      </c>
      <c r="P113" s="29">
        <v>1.0762988328933716</v>
      </c>
      <c r="Q113" s="29">
        <v>112.703125</v>
      </c>
      <c r="R113" s="32">
        <v>2.3683000000000001</v>
      </c>
      <c r="S113" s="32">
        <v>0.12330000000000041</v>
      </c>
    </row>
    <row r="114" spans="1:19">
      <c r="A114" s="10">
        <v>45090</v>
      </c>
      <c r="B114" s="32">
        <v>4.67</v>
      </c>
      <c r="C114" s="32">
        <v>4.01</v>
      </c>
      <c r="D114" s="32">
        <v>3.84</v>
      </c>
      <c r="E114" s="32">
        <v>4.12</v>
      </c>
      <c r="F114" s="32">
        <v>3.94</v>
      </c>
      <c r="G114" s="32">
        <v>-7.4999999999999997E-2</v>
      </c>
      <c r="H114" s="32">
        <v>0.438</v>
      </c>
      <c r="I114" s="32">
        <v>1.022</v>
      </c>
      <c r="J114" s="32">
        <v>1.26</v>
      </c>
      <c r="K114" s="32">
        <v>5.05</v>
      </c>
      <c r="L114" s="32">
        <v>5.08</v>
      </c>
      <c r="M114" s="32">
        <v>5.03</v>
      </c>
      <c r="N114" s="32">
        <v>5.03</v>
      </c>
      <c r="O114" s="32">
        <v>140.177001953125</v>
      </c>
      <c r="P114" s="29">
        <v>1.078934907913208</v>
      </c>
      <c r="Q114" s="29">
        <v>112.015625</v>
      </c>
      <c r="R114" s="32">
        <v>2.2650999999999999</v>
      </c>
      <c r="S114" s="32">
        <v>0.11628357177734117</v>
      </c>
    </row>
    <row r="115" spans="1:19">
      <c r="A115" s="10">
        <v>45091</v>
      </c>
      <c r="B115" s="32">
        <v>4.74</v>
      </c>
      <c r="C115" s="32">
        <v>4.0599999999999996</v>
      </c>
      <c r="D115" s="32">
        <v>3.83</v>
      </c>
      <c r="E115" s="32">
        <v>4.09</v>
      </c>
      <c r="F115" s="32">
        <v>3.9</v>
      </c>
      <c r="G115" s="32">
        <v>-7.0999999999999994E-2</v>
      </c>
      <c r="H115" s="32">
        <v>0.44700000000000001</v>
      </c>
      <c r="I115" s="32">
        <v>1.026</v>
      </c>
      <c r="J115" s="32">
        <v>1.2589999999999999</v>
      </c>
      <c r="K115" s="32">
        <v>5.05</v>
      </c>
      <c r="L115" s="32">
        <v>5.08</v>
      </c>
      <c r="M115" s="32">
        <v>5.03</v>
      </c>
      <c r="N115" s="32">
        <v>5.03</v>
      </c>
      <c r="O115" s="32">
        <v>139.97700500488281</v>
      </c>
      <c r="P115" s="29">
        <v>1.0843046903610229</v>
      </c>
      <c r="Q115" s="29">
        <v>112.203125</v>
      </c>
      <c r="R115" s="32">
        <v>2.3693</v>
      </c>
      <c r="S115" s="32">
        <v>0.12330000000000041</v>
      </c>
    </row>
    <row r="116" spans="1:19">
      <c r="A116" s="10">
        <v>45092</v>
      </c>
      <c r="B116" s="32">
        <v>4.62</v>
      </c>
      <c r="C116" s="32">
        <v>3.91</v>
      </c>
      <c r="D116" s="32">
        <v>3.72</v>
      </c>
      <c r="E116" s="32">
        <v>4.0199999999999996</v>
      </c>
      <c r="F116" s="32">
        <v>3.85</v>
      </c>
      <c r="G116" s="32">
        <v>-6.4000000000000001E-2</v>
      </c>
      <c r="H116" s="32">
        <v>0.44700000000000001</v>
      </c>
      <c r="I116" s="32">
        <v>1.02</v>
      </c>
      <c r="J116" s="32">
        <v>1.256</v>
      </c>
      <c r="K116" s="32">
        <v>5.0599999999999996</v>
      </c>
      <c r="L116" s="32">
        <v>5.07</v>
      </c>
      <c r="M116" s="32">
        <v>5.04</v>
      </c>
      <c r="N116" s="32">
        <v>5.04</v>
      </c>
      <c r="O116" s="32">
        <v>140.26800537109375</v>
      </c>
      <c r="P116" s="29">
        <v>1.0945948362350464</v>
      </c>
      <c r="Q116" s="29">
        <v>112.828125</v>
      </c>
      <c r="R116" s="32">
        <v>2.4165000000000001</v>
      </c>
      <c r="S116" s="32">
        <v>8.9973571777342443E-2</v>
      </c>
    </row>
    <row r="117" spans="1:19">
      <c r="A117" s="10">
        <v>45093</v>
      </c>
      <c r="B117" s="32">
        <v>4.7</v>
      </c>
      <c r="C117" s="32">
        <v>3.99</v>
      </c>
      <c r="D117" s="32">
        <v>3.77</v>
      </c>
      <c r="E117" s="32">
        <v>4.05</v>
      </c>
      <c r="F117" s="32">
        <v>3.86</v>
      </c>
      <c r="G117" s="32">
        <v>-6.5000000000000002E-2</v>
      </c>
      <c r="H117" s="32">
        <v>0.42199999999999999</v>
      </c>
      <c r="I117" s="32">
        <v>1.008</v>
      </c>
      <c r="J117" s="32">
        <v>1.252</v>
      </c>
      <c r="K117" s="32">
        <v>5.05</v>
      </c>
      <c r="L117" s="32">
        <v>5.08</v>
      </c>
      <c r="M117" s="32">
        <v>5.03</v>
      </c>
      <c r="N117" s="32">
        <v>5.04</v>
      </c>
      <c r="O117" s="32">
        <v>140.26800537109375</v>
      </c>
      <c r="P117" s="29">
        <v>1.0945948362350464</v>
      </c>
      <c r="Q117" s="29">
        <v>112.40625</v>
      </c>
      <c r="R117" s="32">
        <v>2.4531000000000001</v>
      </c>
      <c r="S117" s="32">
        <v>8.6466428222653491E-2</v>
      </c>
    </row>
    <row r="118" spans="1:19">
      <c r="A118" s="10">
        <v>45097</v>
      </c>
      <c r="B118" s="32">
        <v>4.68</v>
      </c>
      <c r="C118" s="32">
        <v>3.96</v>
      </c>
      <c r="D118" s="32">
        <v>3.74</v>
      </c>
      <c r="E118" s="32">
        <v>4.01</v>
      </c>
      <c r="F118" s="32">
        <v>3.83</v>
      </c>
      <c r="G118" s="32">
        <v>-6.6000000000000003E-2</v>
      </c>
      <c r="H118" s="32">
        <v>0.40600000000000003</v>
      </c>
      <c r="I118" s="32">
        <v>0.98499999999999999</v>
      </c>
      <c r="J118" s="32">
        <v>1.2250000000000001</v>
      </c>
      <c r="K118" s="32">
        <v>5.05</v>
      </c>
      <c r="L118" s="32">
        <v>5.07</v>
      </c>
      <c r="M118" s="32">
        <v>5.03</v>
      </c>
      <c r="N118" s="32">
        <v>5.03</v>
      </c>
      <c r="O118" s="32">
        <v>141.33500671386719</v>
      </c>
      <c r="P118" s="29">
        <v>1.0920368432998657</v>
      </c>
      <c r="Q118" s="29">
        <v>112.671875</v>
      </c>
      <c r="R118" s="32">
        <v>2.4525999999999999</v>
      </c>
      <c r="S118" s="32">
        <v>7.067999999999941E-2</v>
      </c>
    </row>
    <row r="119" spans="1:19">
      <c r="A119" s="10">
        <v>45098</v>
      </c>
      <c r="B119" s="32">
        <v>4.68</v>
      </c>
      <c r="C119" s="32">
        <v>3.95</v>
      </c>
      <c r="D119" s="32">
        <v>3.72</v>
      </c>
      <c r="E119" s="32">
        <v>3.99</v>
      </c>
      <c r="F119" s="32">
        <v>3.81</v>
      </c>
      <c r="G119" s="32">
        <v>-6.9000000000000006E-2</v>
      </c>
      <c r="H119" s="32">
        <v>0.39300000000000002</v>
      </c>
      <c r="I119" s="32">
        <v>0.99</v>
      </c>
      <c r="J119" s="32">
        <v>1.226</v>
      </c>
      <c r="K119" s="32">
        <v>5.05</v>
      </c>
      <c r="L119" s="32">
        <v>5.07</v>
      </c>
      <c r="M119" s="32">
        <v>5.03</v>
      </c>
      <c r="N119" s="32">
        <v>5.03</v>
      </c>
      <c r="O119" s="32">
        <v>141.68800354003906</v>
      </c>
      <c r="P119" s="29">
        <v>1.0992635488510132</v>
      </c>
      <c r="Q119" s="29">
        <v>112.46875</v>
      </c>
      <c r="R119" s="32">
        <v>2.3471000000000002</v>
      </c>
      <c r="S119" s="32">
        <v>6.1909999999997467E-2</v>
      </c>
    </row>
    <row r="120" spans="1:19">
      <c r="A120" s="10">
        <v>45099</v>
      </c>
      <c r="B120" s="32">
        <v>4.7699999999999996</v>
      </c>
      <c r="C120" s="32">
        <v>4.03</v>
      </c>
      <c r="D120" s="32">
        <v>3.8</v>
      </c>
      <c r="E120" s="32">
        <v>4.0599999999999996</v>
      </c>
      <c r="F120" s="32">
        <v>3.88</v>
      </c>
      <c r="G120" s="32">
        <v>-7.0999999999999994E-2</v>
      </c>
      <c r="H120" s="32">
        <v>0.39500000000000002</v>
      </c>
      <c r="I120" s="32">
        <v>0.995</v>
      </c>
      <c r="J120" s="32">
        <v>1.24</v>
      </c>
      <c r="K120" s="32">
        <v>5.05</v>
      </c>
      <c r="L120" s="32">
        <v>5.07</v>
      </c>
      <c r="M120" s="32">
        <v>5.03</v>
      </c>
      <c r="N120" s="32">
        <v>5.03</v>
      </c>
      <c r="O120" s="32">
        <v>143.02999877929688</v>
      </c>
      <c r="P120" s="29">
        <v>1.0958904027938843</v>
      </c>
      <c r="Q120" s="29">
        <v>112.734375</v>
      </c>
      <c r="R120" s="32">
        <v>2.3142</v>
      </c>
      <c r="S120" s="32">
        <v>7.4188214111327255E-2</v>
      </c>
    </row>
    <row r="121" spans="1:19">
      <c r="A121" s="10">
        <v>45100</v>
      </c>
      <c r="B121" s="32">
        <v>4.71</v>
      </c>
      <c r="C121" s="32">
        <v>3.99</v>
      </c>
      <c r="D121" s="32">
        <v>3.74</v>
      </c>
      <c r="E121" s="32">
        <v>4.01</v>
      </c>
      <c r="F121" s="32">
        <v>3.82</v>
      </c>
      <c r="G121" s="32">
        <v>-7.3999999999999996E-2</v>
      </c>
      <c r="H121" s="32">
        <v>0.39</v>
      </c>
      <c r="I121" s="32">
        <v>0.98599999999999999</v>
      </c>
      <c r="J121" s="32">
        <v>1.2350000000000001</v>
      </c>
      <c r="K121" s="32">
        <v>5.05</v>
      </c>
      <c r="L121" s="32">
        <v>5.07</v>
      </c>
      <c r="M121" s="32">
        <v>5.03</v>
      </c>
      <c r="N121" s="32">
        <v>5.03</v>
      </c>
      <c r="O121" s="32">
        <v>143.02999877929688</v>
      </c>
      <c r="P121" s="29">
        <v>1.0958904027938843</v>
      </c>
      <c r="Q121" s="29">
        <v>113.078125</v>
      </c>
      <c r="R121" s="32">
        <v>2.3893</v>
      </c>
      <c r="S121" s="32">
        <v>5.8401785888669622E-2</v>
      </c>
    </row>
    <row r="122" spans="1:19">
      <c r="A122" s="10">
        <v>45103</v>
      </c>
      <c r="B122" s="32">
        <v>4.6500000000000004</v>
      </c>
      <c r="C122" s="32">
        <v>3.96</v>
      </c>
      <c r="D122" s="32">
        <v>3.72</v>
      </c>
      <c r="E122" s="32">
        <v>4.01</v>
      </c>
      <c r="F122" s="32">
        <v>3.83</v>
      </c>
      <c r="G122" s="32">
        <v>-7.6999999999999999E-2</v>
      </c>
      <c r="H122" s="32">
        <v>0.378</v>
      </c>
      <c r="I122" s="32">
        <v>0.96299999999999997</v>
      </c>
      <c r="J122" s="32">
        <v>1.208</v>
      </c>
      <c r="K122" s="32">
        <v>5.05</v>
      </c>
      <c r="L122" s="32">
        <v>5.07</v>
      </c>
      <c r="M122" s="32">
        <v>5.03</v>
      </c>
      <c r="N122" s="32">
        <v>5.03</v>
      </c>
      <c r="O122" s="32">
        <v>143.46000671386719</v>
      </c>
      <c r="P122" s="29">
        <v>1.091048002243042</v>
      </c>
      <c r="Q122" s="29">
        <v>113.234375</v>
      </c>
      <c r="R122" s="32">
        <v>2.3068</v>
      </c>
      <c r="S122" s="32">
        <v>2.6830000000000354E-2</v>
      </c>
    </row>
    <row r="123" spans="1:19">
      <c r="A123" s="10">
        <v>45104</v>
      </c>
      <c r="B123" s="32">
        <v>4.74</v>
      </c>
      <c r="C123" s="32">
        <v>4.0199999999999996</v>
      </c>
      <c r="D123" s="32">
        <v>3.77</v>
      </c>
      <c r="E123" s="32">
        <v>4.03</v>
      </c>
      <c r="F123" s="32">
        <v>3.84</v>
      </c>
      <c r="G123" s="32">
        <v>-7.3999999999999996E-2</v>
      </c>
      <c r="H123" s="32">
        <v>0.39800000000000002</v>
      </c>
      <c r="I123" s="32">
        <v>0.97699999999999998</v>
      </c>
      <c r="J123" s="32">
        <v>1.2130000000000001</v>
      </c>
      <c r="K123" s="32">
        <v>5.05</v>
      </c>
      <c r="L123" s="32">
        <v>5.07</v>
      </c>
      <c r="M123" s="32">
        <v>5.04</v>
      </c>
      <c r="N123" s="32">
        <v>5.04</v>
      </c>
      <c r="O123" s="32">
        <v>143.88200378417969</v>
      </c>
      <c r="P123" s="29">
        <v>1.0957223176956177</v>
      </c>
      <c r="Q123" s="29">
        <v>112.828125</v>
      </c>
      <c r="R123" s="32">
        <v>2.2200000000000002</v>
      </c>
      <c r="S123" s="32">
        <v>4.7878214111328532E-2</v>
      </c>
    </row>
    <row r="124" spans="1:19">
      <c r="A124" s="10">
        <v>45105</v>
      </c>
      <c r="B124" s="32">
        <v>4.71</v>
      </c>
      <c r="C124" s="32">
        <v>3.97</v>
      </c>
      <c r="D124" s="32">
        <v>3.71</v>
      </c>
      <c r="E124" s="32">
        <v>4</v>
      </c>
      <c r="F124" s="32">
        <v>3.81</v>
      </c>
      <c r="G124" s="32">
        <v>-6.4000000000000001E-2</v>
      </c>
      <c r="H124" s="32">
        <v>0.41399999999999998</v>
      </c>
      <c r="I124" s="32">
        <v>0.98599999999999999</v>
      </c>
      <c r="J124" s="32">
        <v>1.226</v>
      </c>
      <c r="K124" s="32">
        <v>5.0599999999999996</v>
      </c>
      <c r="L124" s="32">
        <v>5.07</v>
      </c>
      <c r="M124" s="32">
        <v>5.04</v>
      </c>
      <c r="N124" s="32">
        <v>5.04</v>
      </c>
      <c r="O124" s="32">
        <v>144.38900756835938</v>
      </c>
      <c r="P124" s="29">
        <v>1.0915838479995728</v>
      </c>
      <c r="Q124" s="29">
        <v>113.25</v>
      </c>
      <c r="R124" s="32">
        <v>2.2604000000000002</v>
      </c>
      <c r="S124" s="32">
        <v>7.4188214111327255E-2</v>
      </c>
    </row>
    <row r="125" spans="1:19">
      <c r="A125" s="10">
        <v>45106</v>
      </c>
      <c r="B125" s="32">
        <v>4.87</v>
      </c>
      <c r="C125" s="32">
        <v>4.1399999999999997</v>
      </c>
      <c r="D125" s="32">
        <v>3.85</v>
      </c>
      <c r="E125" s="32">
        <v>4.1100000000000003</v>
      </c>
      <c r="F125" s="32">
        <v>3.92</v>
      </c>
      <c r="G125" s="32">
        <v>-7.0000000000000007E-2</v>
      </c>
      <c r="H125" s="32">
        <v>0.40899999999999997</v>
      </c>
      <c r="I125" s="32">
        <v>0.98199999999999998</v>
      </c>
      <c r="J125" s="32">
        <v>1.2310000000000001</v>
      </c>
      <c r="K125" s="32">
        <v>5.0599999999999996</v>
      </c>
      <c r="L125" s="32">
        <v>5.07</v>
      </c>
      <c r="M125" s="32">
        <v>5.05</v>
      </c>
      <c r="N125" s="32">
        <v>5.05</v>
      </c>
      <c r="O125" s="32">
        <v>144.77999877929688</v>
      </c>
      <c r="P125" s="29">
        <v>1.0868029594421387</v>
      </c>
      <c r="Q125" s="29">
        <v>112.125</v>
      </c>
      <c r="R125" s="32">
        <v>2.1528</v>
      </c>
      <c r="S125" s="32">
        <v>4.6123571777343386E-2</v>
      </c>
    </row>
    <row r="126" spans="1:19">
      <c r="A126" s="10">
        <v>45107</v>
      </c>
      <c r="B126" s="32">
        <v>4.87</v>
      </c>
      <c r="C126" s="32">
        <v>4.13</v>
      </c>
      <c r="D126" s="32">
        <v>3.81</v>
      </c>
      <c r="E126" s="32">
        <v>4.0599999999999996</v>
      </c>
      <c r="F126" s="32">
        <v>3.85</v>
      </c>
      <c r="G126" s="32">
        <v>-7.4999999999999997E-2</v>
      </c>
      <c r="H126" s="32">
        <v>0.42599999999999999</v>
      </c>
      <c r="I126" s="32">
        <v>1.014</v>
      </c>
      <c r="J126" s="32">
        <v>1.262</v>
      </c>
      <c r="K126" s="32">
        <v>5.09</v>
      </c>
      <c r="L126" s="32">
        <v>5.08</v>
      </c>
      <c r="M126" s="32">
        <v>5.05</v>
      </c>
      <c r="N126" s="32">
        <v>5.05</v>
      </c>
      <c r="O126" s="32">
        <v>144.77999877929688</v>
      </c>
      <c r="P126" s="29">
        <v>1.0868029594421387</v>
      </c>
      <c r="Q126" s="29">
        <v>112.265625</v>
      </c>
      <c r="R126" s="32">
        <v>2.2667999999999999</v>
      </c>
      <c r="S126" s="32">
        <v>6.0156428222654768E-2</v>
      </c>
    </row>
    <row r="127" spans="1:19">
      <c r="A127" s="10">
        <v>45110</v>
      </c>
      <c r="B127" s="32">
        <v>4.9400000000000004</v>
      </c>
      <c r="C127" s="32">
        <v>4.1900000000000004</v>
      </c>
      <c r="D127" s="32">
        <v>3.86</v>
      </c>
      <c r="E127" s="32">
        <v>4.08</v>
      </c>
      <c r="F127" s="32">
        <v>3.87</v>
      </c>
      <c r="G127" s="32">
        <v>-6.5000000000000002E-2</v>
      </c>
      <c r="H127" s="32">
        <v>0.432</v>
      </c>
      <c r="I127" s="32">
        <v>1.0149999999999999</v>
      </c>
      <c r="J127" s="32">
        <v>1.262</v>
      </c>
      <c r="K127" s="32">
        <v>5.0599999999999996</v>
      </c>
      <c r="L127" s="32">
        <v>5.08</v>
      </c>
      <c r="M127" s="32">
        <v>5.05</v>
      </c>
      <c r="N127" s="32">
        <v>5.05</v>
      </c>
      <c r="O127" s="32">
        <v>144.58399963378906</v>
      </c>
      <c r="P127" s="29">
        <v>1.0913099050521851</v>
      </c>
      <c r="Q127" s="29">
        <v>111.9375</v>
      </c>
      <c r="R127" s="32">
        <v>2.3206000000000002</v>
      </c>
      <c r="S127" s="32">
        <v>8.8219999999999743E-2</v>
      </c>
    </row>
    <row r="128" spans="1:19">
      <c r="A128" s="10">
        <v>45112</v>
      </c>
      <c r="B128" s="32">
        <v>4.9400000000000004</v>
      </c>
      <c r="C128" s="32">
        <v>4.25</v>
      </c>
      <c r="D128" s="32">
        <v>3.95</v>
      </c>
      <c r="E128" s="32">
        <v>4.17</v>
      </c>
      <c r="F128" s="32">
        <v>3.95</v>
      </c>
      <c r="G128" s="32">
        <v>-7.0000000000000007E-2</v>
      </c>
      <c r="H128" s="32">
        <v>0.38400000000000001</v>
      </c>
      <c r="I128" s="32">
        <v>0.98799999999999999</v>
      </c>
      <c r="J128" s="32">
        <v>1.2270000000000001</v>
      </c>
      <c r="K128" s="32">
        <v>5.0599999999999996</v>
      </c>
      <c r="L128" s="32">
        <v>5.08</v>
      </c>
      <c r="M128" s="32">
        <v>5.05</v>
      </c>
      <c r="N128" s="32">
        <v>5.05</v>
      </c>
      <c r="O128" s="32">
        <v>144.48899841308594</v>
      </c>
      <c r="P128" s="29">
        <v>1.0856584310531616</v>
      </c>
      <c r="Q128" s="29">
        <v>111.359375</v>
      </c>
      <c r="R128" s="32">
        <v>2.35</v>
      </c>
      <c r="S128" s="32">
        <v>4.4369999999997134E-2</v>
      </c>
    </row>
    <row r="129" spans="1:19">
      <c r="A129" s="10">
        <v>45113</v>
      </c>
      <c r="B129" s="32">
        <v>4.99</v>
      </c>
      <c r="C129" s="32">
        <v>4.37</v>
      </c>
      <c r="D129" s="32">
        <v>4.05</v>
      </c>
      <c r="E129" s="32">
        <v>4.2300000000000004</v>
      </c>
      <c r="F129" s="32">
        <v>4.01</v>
      </c>
      <c r="G129" s="32">
        <v>-0.06</v>
      </c>
      <c r="H129" s="32">
        <v>0.40899999999999997</v>
      </c>
      <c r="I129" s="32">
        <v>1.002</v>
      </c>
      <c r="J129" s="32">
        <v>1.2270000000000001</v>
      </c>
      <c r="K129" s="32">
        <v>5.0599999999999996</v>
      </c>
      <c r="L129" s="32">
        <v>5.08</v>
      </c>
      <c r="M129" s="32">
        <v>5.04</v>
      </c>
      <c r="N129" s="32">
        <v>5.04</v>
      </c>
      <c r="O129" s="32">
        <v>143.95100402832031</v>
      </c>
      <c r="P129" s="29">
        <v>1.0890636444091797</v>
      </c>
      <c r="Q129" s="29">
        <v>110.609375</v>
      </c>
      <c r="R129" s="32">
        <v>2.4636</v>
      </c>
      <c r="S129" s="32">
        <v>5.4893571777341776E-2</v>
      </c>
    </row>
    <row r="130" spans="1:19">
      <c r="A130" s="10">
        <v>45114</v>
      </c>
      <c r="B130" s="32">
        <v>4.9400000000000004</v>
      </c>
      <c r="C130" s="32">
        <v>4.3499999999999996</v>
      </c>
      <c r="D130" s="32">
        <v>4.0599999999999996</v>
      </c>
      <c r="E130" s="32">
        <v>4.2699999999999996</v>
      </c>
      <c r="F130" s="32">
        <v>4.05</v>
      </c>
      <c r="G130" s="32">
        <v>-3.9E-2</v>
      </c>
      <c r="H130" s="32">
        <v>0.439</v>
      </c>
      <c r="I130" s="32">
        <v>1.0429999999999999</v>
      </c>
      <c r="J130" s="32">
        <v>1.266</v>
      </c>
      <c r="K130" s="32">
        <v>5.0599999999999996</v>
      </c>
      <c r="L130" s="32">
        <v>5.08</v>
      </c>
      <c r="M130" s="32">
        <v>5.04</v>
      </c>
      <c r="N130" s="32">
        <v>5.04</v>
      </c>
      <c r="O130" s="32">
        <v>143.95100402832031</v>
      </c>
      <c r="P130" s="29">
        <v>1.0890636444091797</v>
      </c>
      <c r="Q130" s="29">
        <v>110.671875</v>
      </c>
      <c r="R130" s="32">
        <v>2.6282000000000001</v>
      </c>
      <c r="S130" s="32">
        <v>0.14259357177734344</v>
      </c>
    </row>
    <row r="131" spans="1:19">
      <c r="A131" s="10">
        <v>45117</v>
      </c>
      <c r="B131" s="32">
        <v>4.8499999999999996</v>
      </c>
      <c r="C131" s="32">
        <v>4.25</v>
      </c>
      <c r="D131" s="32">
        <v>4.01</v>
      </c>
      <c r="E131" s="32">
        <v>4.24</v>
      </c>
      <c r="F131" s="32">
        <v>4.05</v>
      </c>
      <c r="G131" s="32">
        <v>-2.9000000000000001E-2</v>
      </c>
      <c r="H131" s="32">
        <v>0.46800000000000003</v>
      </c>
      <c r="I131" s="32">
        <v>1.0980000000000001</v>
      </c>
      <c r="J131" s="32">
        <v>1.3089999999999999</v>
      </c>
      <c r="K131" s="32">
        <v>5.0599999999999996</v>
      </c>
      <c r="L131" s="32">
        <v>5.07</v>
      </c>
      <c r="M131" s="32">
        <v>5.04</v>
      </c>
      <c r="N131" s="32">
        <v>5.04</v>
      </c>
      <c r="O131" s="32">
        <v>141.2969970703125</v>
      </c>
      <c r="P131" s="29">
        <v>1.1005944013595581</v>
      </c>
      <c r="Q131" s="29">
        <v>111.140625</v>
      </c>
      <c r="R131" s="32">
        <v>2.6524999999999999</v>
      </c>
      <c r="S131" s="32">
        <v>0.20749178588867068</v>
      </c>
    </row>
    <row r="132" spans="1:19">
      <c r="A132" s="10">
        <v>45118</v>
      </c>
      <c r="B132" s="32">
        <v>4.88</v>
      </c>
      <c r="C132" s="32">
        <v>4.24</v>
      </c>
      <c r="D132" s="32">
        <v>3.99</v>
      </c>
      <c r="E132" s="32">
        <v>4.22</v>
      </c>
      <c r="F132" s="32">
        <v>4.03</v>
      </c>
      <c r="G132" s="32">
        <v>-3.9E-2</v>
      </c>
      <c r="H132" s="32">
        <v>0.45400000000000001</v>
      </c>
      <c r="I132" s="32">
        <v>1.075</v>
      </c>
      <c r="J132" s="32">
        <v>1.292</v>
      </c>
      <c r="K132" s="32">
        <v>5.0599999999999996</v>
      </c>
      <c r="L132" s="32">
        <v>5.08</v>
      </c>
      <c r="M132" s="32">
        <v>5.04</v>
      </c>
      <c r="N132" s="32">
        <v>5.04</v>
      </c>
      <c r="O132" s="32">
        <v>140.11799621582031</v>
      </c>
      <c r="P132" s="29">
        <v>1.101406455039978</v>
      </c>
      <c r="Q132" s="29">
        <v>111.265625</v>
      </c>
      <c r="R132" s="32">
        <v>2.6059999999999999</v>
      </c>
      <c r="S132" s="32">
        <v>0.18118178588867195</v>
      </c>
    </row>
    <row r="133" spans="1:19">
      <c r="A133" s="10">
        <v>45119</v>
      </c>
      <c r="B133" s="32">
        <v>4.72</v>
      </c>
      <c r="C133" s="32">
        <v>4.07</v>
      </c>
      <c r="D133" s="32">
        <v>3.86</v>
      </c>
      <c r="E133" s="32">
        <v>4.1399999999999997</v>
      </c>
      <c r="F133" s="32">
        <v>3.96</v>
      </c>
      <c r="G133" s="32">
        <v>-3.4000000000000002E-2</v>
      </c>
      <c r="H133" s="32">
        <v>0.48</v>
      </c>
      <c r="I133" s="32">
        <v>1.1100000000000001</v>
      </c>
      <c r="J133" s="32">
        <v>1.3220000000000001</v>
      </c>
      <c r="K133" s="32">
        <v>5.05</v>
      </c>
      <c r="L133" s="32">
        <v>5.08</v>
      </c>
      <c r="M133" s="32">
        <v>5.03</v>
      </c>
      <c r="N133" s="32">
        <v>5.04</v>
      </c>
      <c r="O133" s="32">
        <v>138.31500244140625</v>
      </c>
      <c r="P133" s="29">
        <v>1.1144545078277588</v>
      </c>
      <c r="Q133" s="29">
        <v>112.265625</v>
      </c>
      <c r="R133" s="32">
        <v>2.6947000000000001</v>
      </c>
      <c r="S133" s="32">
        <v>0.21099999999999852</v>
      </c>
    </row>
    <row r="134" spans="1:19">
      <c r="A134" s="10">
        <v>45120</v>
      </c>
      <c r="B134" s="32">
        <v>4.59</v>
      </c>
      <c r="C134" s="32">
        <v>3.93</v>
      </c>
      <c r="D134" s="32">
        <v>3.76</v>
      </c>
      <c r="E134" s="32">
        <v>4.07</v>
      </c>
      <c r="F134" s="32">
        <v>3.9</v>
      </c>
      <c r="G134" s="32">
        <v>-3.4000000000000002E-2</v>
      </c>
      <c r="H134" s="32">
        <v>0.47</v>
      </c>
      <c r="I134" s="32">
        <v>1.093</v>
      </c>
      <c r="J134" s="32">
        <v>1.331</v>
      </c>
      <c r="K134" s="32">
        <v>5.0599999999999996</v>
      </c>
      <c r="L134" s="32">
        <v>5.08</v>
      </c>
      <c r="M134" s="32">
        <v>5.04</v>
      </c>
      <c r="N134" s="32">
        <v>5.04</v>
      </c>
      <c r="O134" s="32">
        <v>138.07499694824219</v>
      </c>
      <c r="P134" s="29">
        <v>1.1223469972610474</v>
      </c>
      <c r="Q134" s="29">
        <v>113.046875</v>
      </c>
      <c r="R134" s="32">
        <v>2.5192999999999999</v>
      </c>
      <c r="S134" s="32">
        <v>0.22152357177734316</v>
      </c>
    </row>
    <row r="135" spans="1:19">
      <c r="A135" s="10">
        <v>45121</v>
      </c>
      <c r="B135" s="32">
        <v>4.74</v>
      </c>
      <c r="C135" s="32">
        <v>4.04</v>
      </c>
      <c r="D135" s="32">
        <v>3.83</v>
      </c>
      <c r="E135" s="32">
        <v>4.1100000000000003</v>
      </c>
      <c r="F135" s="32">
        <v>3.93</v>
      </c>
      <c r="G135" s="32">
        <v>-3.7999999999999999E-2</v>
      </c>
      <c r="H135" s="32">
        <v>0.48</v>
      </c>
      <c r="I135" s="32">
        <v>1.1200000000000001</v>
      </c>
      <c r="J135" s="32">
        <v>1.365</v>
      </c>
      <c r="K135" s="32">
        <v>5.05</v>
      </c>
      <c r="L135" s="32">
        <v>5.08</v>
      </c>
      <c r="M135" s="32">
        <v>5.03</v>
      </c>
      <c r="N135" s="32">
        <v>5.03</v>
      </c>
      <c r="O135" s="32">
        <v>138.07499694824219</v>
      </c>
      <c r="P135" s="29">
        <v>1.1223469972610474</v>
      </c>
      <c r="Q135" s="29">
        <v>112.5625</v>
      </c>
      <c r="R135" s="32">
        <v>2.4447000000000001</v>
      </c>
      <c r="S135" s="32">
        <v>0.21801642822265421</v>
      </c>
    </row>
    <row r="136" spans="1:19">
      <c r="A136" s="10">
        <v>45124</v>
      </c>
      <c r="B136" s="32">
        <v>4.74</v>
      </c>
      <c r="C136" s="32">
        <v>4.0199999999999996</v>
      </c>
      <c r="D136" s="32">
        <v>3.81</v>
      </c>
      <c r="E136" s="32">
        <v>4.0999999999999996</v>
      </c>
      <c r="F136" s="32">
        <v>3.94</v>
      </c>
      <c r="G136" s="32">
        <v>-3.7999999999999999E-2</v>
      </c>
      <c r="H136" s="32">
        <v>0.48</v>
      </c>
      <c r="I136" s="32">
        <v>1.1200000000000001</v>
      </c>
      <c r="J136" s="32">
        <v>1.365</v>
      </c>
      <c r="K136" s="32">
        <v>5.0599999999999996</v>
      </c>
      <c r="L136" s="32">
        <v>5.08</v>
      </c>
      <c r="M136" s="32">
        <v>5.03</v>
      </c>
      <c r="N136" s="32">
        <v>5.03</v>
      </c>
      <c r="O136" s="32">
        <v>138.72900390625</v>
      </c>
      <c r="P136" s="29">
        <v>1.1237596273422241</v>
      </c>
      <c r="Q136" s="29">
        <v>112.71875</v>
      </c>
      <c r="R136" s="32">
        <v>2.4241999999999999</v>
      </c>
      <c r="S136" s="32">
        <v>0.21801642822265421</v>
      </c>
    </row>
    <row r="137" spans="1:19">
      <c r="A137" s="10">
        <v>45125</v>
      </c>
      <c r="B137" s="32">
        <v>4.74</v>
      </c>
      <c r="C137" s="32">
        <v>4</v>
      </c>
      <c r="D137" s="32">
        <v>3.8</v>
      </c>
      <c r="E137" s="32">
        <v>4.08</v>
      </c>
      <c r="F137" s="32">
        <v>3.91</v>
      </c>
      <c r="G137" s="32">
        <v>-3.3000000000000002E-2</v>
      </c>
      <c r="H137" s="32">
        <v>0.48499999999999999</v>
      </c>
      <c r="I137" s="32">
        <v>1.139</v>
      </c>
      <c r="J137" s="32">
        <v>1.395</v>
      </c>
      <c r="K137" s="32">
        <v>5.0599999999999996</v>
      </c>
      <c r="L137" s="32">
        <v>5.08</v>
      </c>
      <c r="M137" s="32">
        <v>5.03</v>
      </c>
      <c r="N137" s="32">
        <v>5.04</v>
      </c>
      <c r="O137" s="32">
        <v>139.02699279785156</v>
      </c>
      <c r="P137" s="29">
        <v>1.1228890419006348</v>
      </c>
      <c r="Q137" s="29">
        <v>112.75</v>
      </c>
      <c r="R137" s="32">
        <v>2.3736999999999999</v>
      </c>
      <c r="S137" s="32">
        <v>0.23029357177734155</v>
      </c>
    </row>
    <row r="138" spans="1:19">
      <c r="A138" s="10">
        <v>45126</v>
      </c>
      <c r="B138" s="32">
        <v>4.74</v>
      </c>
      <c r="C138" s="32">
        <v>3.98</v>
      </c>
      <c r="D138" s="32">
        <v>3.75</v>
      </c>
      <c r="E138" s="32">
        <v>4.01</v>
      </c>
      <c r="F138" s="32">
        <v>3.84</v>
      </c>
      <c r="G138" s="32">
        <v>-3.6999999999999998E-2</v>
      </c>
      <c r="H138" s="32">
        <v>0.46600000000000003</v>
      </c>
      <c r="I138" s="32">
        <v>1.1080000000000001</v>
      </c>
      <c r="J138" s="32">
        <v>1.361</v>
      </c>
      <c r="K138" s="32">
        <v>5.05</v>
      </c>
      <c r="L138" s="32">
        <v>5.08</v>
      </c>
      <c r="M138" s="32">
        <v>5.03</v>
      </c>
      <c r="N138" s="32">
        <v>5.03</v>
      </c>
      <c r="O138" s="32">
        <v>139.59800720214844</v>
      </c>
      <c r="P138" s="29">
        <v>1.1205234527587891</v>
      </c>
      <c r="Q138" s="29">
        <v>113</v>
      </c>
      <c r="R138" s="32">
        <v>2.2383000000000002</v>
      </c>
      <c r="S138" s="32">
        <v>0.21275357177734122</v>
      </c>
    </row>
    <row r="139" spans="1:19">
      <c r="A139" s="10">
        <v>45127</v>
      </c>
      <c r="B139" s="32">
        <v>4.8</v>
      </c>
      <c r="C139" s="32">
        <v>4.08</v>
      </c>
      <c r="D139" s="32">
        <v>3.85</v>
      </c>
      <c r="E139" s="32">
        <v>4.0999999999999996</v>
      </c>
      <c r="F139" s="32">
        <v>3.91</v>
      </c>
      <c r="G139" s="32">
        <v>-3.6999999999999998E-2</v>
      </c>
      <c r="H139" s="32">
        <v>0.46500000000000002</v>
      </c>
      <c r="I139" s="32">
        <v>1.093</v>
      </c>
      <c r="J139" s="32">
        <v>1.339</v>
      </c>
      <c r="K139" s="32">
        <v>5.0599999999999996</v>
      </c>
      <c r="L139" s="32">
        <v>5.08</v>
      </c>
      <c r="M139" s="32">
        <v>5.03</v>
      </c>
      <c r="N139" s="32">
        <v>5.03</v>
      </c>
      <c r="O139" s="32">
        <v>139.86399841308594</v>
      </c>
      <c r="P139" s="29">
        <v>1.1137098073959351</v>
      </c>
      <c r="Q139" s="29">
        <v>112.140625</v>
      </c>
      <c r="R139" s="32">
        <v>2.1425000000000001</v>
      </c>
      <c r="S139" s="32">
        <v>0.20924642822265582</v>
      </c>
    </row>
    <row r="140" spans="1:19">
      <c r="A140" s="10">
        <v>45128</v>
      </c>
      <c r="B140" s="32">
        <v>4.82</v>
      </c>
      <c r="C140" s="32">
        <v>4.09</v>
      </c>
      <c r="D140" s="32">
        <v>3.84</v>
      </c>
      <c r="E140" s="32">
        <v>4.0999999999999996</v>
      </c>
      <c r="F140" s="32">
        <v>3.91</v>
      </c>
      <c r="G140" s="32">
        <v>-2.5999999999999999E-2</v>
      </c>
      <c r="H140" s="32">
        <v>0.48099999999999998</v>
      </c>
      <c r="I140" s="32">
        <v>1.107</v>
      </c>
      <c r="J140" s="32">
        <v>1.34</v>
      </c>
      <c r="K140" s="32">
        <v>5.05</v>
      </c>
      <c r="L140" s="32">
        <v>5.08</v>
      </c>
      <c r="M140" s="32">
        <v>5.03</v>
      </c>
      <c r="N140" s="32">
        <v>5.03</v>
      </c>
      <c r="O140" s="32">
        <v>139.86399841308594</v>
      </c>
      <c r="P140" s="29">
        <v>1.1137098073959351</v>
      </c>
      <c r="Q140" s="29">
        <v>112.234375</v>
      </c>
      <c r="R140" s="32">
        <v>2.2124999999999999</v>
      </c>
      <c r="S140" s="32">
        <v>0.1864435717773425</v>
      </c>
    </row>
    <row r="141" spans="1:19">
      <c r="A141" s="10">
        <v>45131</v>
      </c>
      <c r="B141" s="32">
        <v>4.8099999999999996</v>
      </c>
      <c r="C141" s="32">
        <v>4.13</v>
      </c>
      <c r="D141" s="32">
        <v>3.86</v>
      </c>
      <c r="E141" s="32">
        <v>4.1100000000000003</v>
      </c>
      <c r="F141" s="32">
        <v>3.92</v>
      </c>
      <c r="G141" s="32">
        <v>-3.5999999999999997E-2</v>
      </c>
      <c r="H141" s="32">
        <v>0.46100000000000002</v>
      </c>
      <c r="I141" s="32">
        <v>1.0609999999999999</v>
      </c>
      <c r="J141" s="32">
        <v>1.304</v>
      </c>
      <c r="K141" s="32">
        <v>5.05</v>
      </c>
      <c r="L141" s="32">
        <v>5.08</v>
      </c>
      <c r="M141" s="32">
        <v>5.03</v>
      </c>
      <c r="N141" s="32">
        <v>5.03</v>
      </c>
      <c r="O141" s="32">
        <v>141.52200317382813</v>
      </c>
      <c r="P141" s="29">
        <v>1.1063170433044434</v>
      </c>
      <c r="Q141" s="29">
        <v>112.0625</v>
      </c>
      <c r="R141" s="32">
        <v>2.2107999999999999</v>
      </c>
      <c r="S141" s="32">
        <v>0.16013357177734378</v>
      </c>
    </row>
    <row r="142" spans="1:19">
      <c r="A142" s="10">
        <v>45132</v>
      </c>
      <c r="B142" s="32">
        <v>4.8499999999999996</v>
      </c>
      <c r="C142" s="32">
        <v>4.1500000000000004</v>
      </c>
      <c r="D142" s="32">
        <v>3.91</v>
      </c>
      <c r="E142" s="32">
        <v>4.1399999999999997</v>
      </c>
      <c r="F142" s="32">
        <v>3.95</v>
      </c>
      <c r="G142" s="32">
        <v>-3.7999999999999999E-2</v>
      </c>
      <c r="H142" s="32">
        <v>0.46600000000000003</v>
      </c>
      <c r="I142" s="32">
        <v>1.071</v>
      </c>
      <c r="J142" s="32">
        <v>1.323</v>
      </c>
      <c r="K142" s="32">
        <v>5.0599999999999996</v>
      </c>
      <c r="L142" s="32">
        <v>5.08</v>
      </c>
      <c r="M142" s="32">
        <v>5.03</v>
      </c>
      <c r="N142" s="32">
        <v>5.03</v>
      </c>
      <c r="O142" s="32">
        <v>140.91299438476563</v>
      </c>
      <c r="P142" s="29">
        <v>1.1050456762313843</v>
      </c>
      <c r="Q142" s="29">
        <v>111.609375</v>
      </c>
      <c r="R142" s="32">
        <v>2.1888999999999998</v>
      </c>
      <c r="S142" s="32">
        <v>0.17065821411132731</v>
      </c>
    </row>
    <row r="143" spans="1:19">
      <c r="A143" s="10">
        <v>45133</v>
      </c>
      <c r="B143" s="32">
        <v>4.82</v>
      </c>
      <c r="C143" s="32">
        <v>4.09</v>
      </c>
      <c r="D143" s="32">
        <v>3.86</v>
      </c>
      <c r="E143" s="32">
        <v>4.12</v>
      </c>
      <c r="F143" s="32">
        <v>3.94</v>
      </c>
      <c r="G143" s="32">
        <v>-3.7999999999999999E-2</v>
      </c>
      <c r="H143" s="32">
        <v>0.45100000000000001</v>
      </c>
      <c r="I143" s="32">
        <v>1.0529999999999999</v>
      </c>
      <c r="J143" s="32">
        <v>1.3009999999999999</v>
      </c>
      <c r="K143" s="32">
        <v>5.0599999999999996</v>
      </c>
      <c r="L143" s="32">
        <v>5.08</v>
      </c>
      <c r="M143" s="32">
        <v>5.04</v>
      </c>
      <c r="N143" s="32">
        <v>5.04</v>
      </c>
      <c r="O143" s="32">
        <v>140.36700439453125</v>
      </c>
      <c r="P143" s="29">
        <v>1.1078368425369263</v>
      </c>
      <c r="Q143" s="29">
        <v>112.140625</v>
      </c>
      <c r="R143" s="32">
        <v>2.2848000000000002</v>
      </c>
      <c r="S143" s="32">
        <v>0.14960999999999913</v>
      </c>
    </row>
    <row r="144" spans="1:19">
      <c r="A144" s="10">
        <v>45134</v>
      </c>
      <c r="B144" s="32">
        <v>4.91</v>
      </c>
      <c r="C144" s="32">
        <v>4.24</v>
      </c>
      <c r="D144" s="32">
        <v>4.01</v>
      </c>
      <c r="E144" s="32">
        <v>4.26</v>
      </c>
      <c r="F144" s="32">
        <v>4.0599999999999996</v>
      </c>
      <c r="G144" s="32">
        <v>-0.04</v>
      </c>
      <c r="H144" s="32">
        <v>0.443</v>
      </c>
      <c r="I144" s="32">
        <v>1.05</v>
      </c>
      <c r="J144" s="32">
        <v>1.292</v>
      </c>
      <c r="K144" s="32">
        <v>5.31</v>
      </c>
      <c r="L144" s="32">
        <v>5.33</v>
      </c>
      <c r="M144" s="32">
        <v>5.28</v>
      </c>
      <c r="N144" s="32">
        <v>5.28</v>
      </c>
      <c r="O144" s="32">
        <v>138.86399841308594</v>
      </c>
      <c r="P144" s="29">
        <v>1.0978755950927734</v>
      </c>
      <c r="Q144" s="29">
        <v>111.015625</v>
      </c>
      <c r="R144" s="32">
        <v>2.3853</v>
      </c>
      <c r="S144" s="32">
        <v>0.13557821411132664</v>
      </c>
    </row>
    <row r="145" spans="1:19">
      <c r="A145" s="10">
        <v>45135</v>
      </c>
      <c r="B145" s="32">
        <v>4.87</v>
      </c>
      <c r="C145" s="32">
        <v>4.18</v>
      </c>
      <c r="D145" s="32">
        <v>3.96</v>
      </c>
      <c r="E145" s="32">
        <v>4.22</v>
      </c>
      <c r="F145" s="32">
        <v>4.03</v>
      </c>
      <c r="G145" s="32">
        <v>-1.4999999999999999E-2</v>
      </c>
      <c r="H145" s="32">
        <v>0.55100000000000005</v>
      </c>
      <c r="I145" s="32">
        <v>1.127</v>
      </c>
      <c r="J145" s="32">
        <v>1.3560000000000001</v>
      </c>
      <c r="K145" s="32">
        <v>5.3</v>
      </c>
      <c r="L145" s="32">
        <v>5.33</v>
      </c>
      <c r="M145" s="32">
        <v>5.28</v>
      </c>
      <c r="N145" s="32">
        <v>5.28</v>
      </c>
      <c r="O145" s="32">
        <v>138.86399841308594</v>
      </c>
      <c r="P145" s="29">
        <v>1.0978755950927734</v>
      </c>
      <c r="Q145" s="29">
        <v>111.34375</v>
      </c>
      <c r="R145" s="32">
        <v>2.3736000000000002</v>
      </c>
      <c r="S145" s="32">
        <v>0.25484999999999758</v>
      </c>
    </row>
    <row r="146" spans="1:19">
      <c r="A146" s="10">
        <v>45138</v>
      </c>
      <c r="B146" s="32">
        <v>4.88</v>
      </c>
      <c r="C146" s="32">
        <v>4.18</v>
      </c>
      <c r="D146" s="32">
        <v>3.97</v>
      </c>
      <c r="E146" s="32">
        <v>4.22</v>
      </c>
      <c r="F146" s="32">
        <v>4.0199999999999996</v>
      </c>
      <c r="G146" s="32">
        <v>0</v>
      </c>
      <c r="H146" s="32">
        <v>0.60499999999999998</v>
      </c>
      <c r="I146" s="32">
        <v>1.2230000000000001</v>
      </c>
      <c r="J146" s="32">
        <v>1.458</v>
      </c>
      <c r="K146" s="32">
        <v>5.31</v>
      </c>
      <c r="L146" s="32">
        <v>5.33</v>
      </c>
      <c r="M146" s="32">
        <v>5.28</v>
      </c>
      <c r="N146" s="32">
        <v>5.29</v>
      </c>
      <c r="O146" s="32">
        <v>142.322998046875</v>
      </c>
      <c r="P146" s="29">
        <v>1.0997591018676758</v>
      </c>
      <c r="Q146" s="29">
        <v>111.40625</v>
      </c>
      <c r="R146" s="32">
        <v>2.3449</v>
      </c>
      <c r="S146" s="32">
        <v>0.3337799999999973</v>
      </c>
    </row>
    <row r="147" spans="1:19">
      <c r="A147" s="10">
        <v>45139</v>
      </c>
      <c r="B147" s="32">
        <v>4.92</v>
      </c>
      <c r="C147" s="32">
        <v>4.24</v>
      </c>
      <c r="D147" s="32">
        <v>4.05</v>
      </c>
      <c r="E147" s="32">
        <v>4.3</v>
      </c>
      <c r="F147" s="32">
        <v>4.1100000000000003</v>
      </c>
      <c r="G147" s="32">
        <v>0</v>
      </c>
      <c r="H147" s="32">
        <v>0.59599999999999997</v>
      </c>
      <c r="I147" s="32">
        <v>1.246</v>
      </c>
      <c r="J147" s="32">
        <v>1.4910000000000001</v>
      </c>
      <c r="K147" s="32">
        <v>5.31</v>
      </c>
      <c r="L147" s="32">
        <v>5.33</v>
      </c>
      <c r="M147" s="32">
        <v>5.28</v>
      </c>
      <c r="N147" s="32">
        <v>5.28</v>
      </c>
      <c r="O147" s="32">
        <v>142.97000122070313</v>
      </c>
      <c r="P147" s="29">
        <v>1.1007881164550781</v>
      </c>
      <c r="Q147" s="29">
        <v>110.875</v>
      </c>
      <c r="R147" s="32">
        <v>2.3618000000000001</v>
      </c>
      <c r="S147" s="32">
        <v>0.38113821411132776</v>
      </c>
    </row>
    <row r="148" spans="1:19">
      <c r="A148" s="10">
        <v>45140</v>
      </c>
      <c r="B148" s="32">
        <v>4.88</v>
      </c>
      <c r="C148" s="32">
        <v>4.24</v>
      </c>
      <c r="D148" s="32">
        <v>4.08</v>
      </c>
      <c r="E148" s="32">
        <v>4.3499999999999996</v>
      </c>
      <c r="F148" s="32">
        <v>4.17</v>
      </c>
      <c r="G148" s="32">
        <v>0.01</v>
      </c>
      <c r="H148" s="32">
        <v>0.63</v>
      </c>
      <c r="I148" s="32">
        <v>1.2689999999999999</v>
      </c>
      <c r="J148" s="32">
        <v>1.5029999999999999</v>
      </c>
      <c r="K148" s="32">
        <v>5.3</v>
      </c>
      <c r="L148" s="32">
        <v>5.33</v>
      </c>
      <c r="M148" s="32">
        <v>5.28</v>
      </c>
      <c r="N148" s="32">
        <v>5.28</v>
      </c>
      <c r="O148" s="32">
        <v>143.343994140625</v>
      </c>
      <c r="P148" s="29">
        <v>1.0944151878356934</v>
      </c>
      <c r="Q148" s="29">
        <v>110.796875</v>
      </c>
      <c r="R148" s="32">
        <v>2.3744000000000001</v>
      </c>
      <c r="S148" s="32">
        <v>0.39867821411132809</v>
      </c>
    </row>
    <row r="149" spans="1:19">
      <c r="A149" s="10">
        <v>45141</v>
      </c>
      <c r="B149" s="32">
        <v>4.9000000000000004</v>
      </c>
      <c r="C149" s="32">
        <v>4.3</v>
      </c>
      <c r="D149" s="32">
        <v>4.2</v>
      </c>
      <c r="E149" s="32">
        <v>4.49</v>
      </c>
      <c r="F149" s="32">
        <v>4.32</v>
      </c>
      <c r="G149" s="32">
        <v>0.02</v>
      </c>
      <c r="H149" s="32">
        <v>0.65400000000000003</v>
      </c>
      <c r="I149" s="32">
        <v>1.298</v>
      </c>
      <c r="J149" s="32">
        <v>1.532</v>
      </c>
      <c r="K149" s="32">
        <v>5.3</v>
      </c>
      <c r="L149" s="32">
        <v>5.33</v>
      </c>
      <c r="M149" s="32">
        <v>5.28</v>
      </c>
      <c r="N149" s="32">
        <v>5.28</v>
      </c>
      <c r="O149" s="32">
        <v>142.59800720214844</v>
      </c>
      <c r="P149" s="29">
        <v>1.0951583385467529</v>
      </c>
      <c r="Q149" s="29">
        <v>110.234375</v>
      </c>
      <c r="R149" s="32">
        <v>2.3534999999999999</v>
      </c>
      <c r="S149" s="32">
        <v>0.44428178588866984</v>
      </c>
    </row>
    <row r="150" spans="1:19">
      <c r="A150" s="10">
        <v>45142</v>
      </c>
      <c r="B150" s="32">
        <v>4.78</v>
      </c>
      <c r="C150" s="32">
        <v>4.1500000000000004</v>
      </c>
      <c r="D150" s="32">
        <v>4.05</v>
      </c>
      <c r="E150" s="32">
        <v>4.3600000000000003</v>
      </c>
      <c r="F150" s="32">
        <v>4.21</v>
      </c>
      <c r="G150" s="32">
        <v>2.1000000000000001E-2</v>
      </c>
      <c r="H150" s="32">
        <v>0.64300000000000002</v>
      </c>
      <c r="I150" s="32">
        <v>1.3169999999999999</v>
      </c>
      <c r="J150" s="32">
        <v>1.5529999999999999</v>
      </c>
      <c r="K150" s="32">
        <v>5.3</v>
      </c>
      <c r="L150" s="32">
        <v>5.33</v>
      </c>
      <c r="M150" s="32">
        <v>5.28</v>
      </c>
      <c r="N150" s="32">
        <v>5.28</v>
      </c>
      <c r="O150" s="32">
        <v>142.59800720214844</v>
      </c>
      <c r="P150" s="29">
        <v>1.0951583385467529</v>
      </c>
      <c r="Q150" s="29">
        <v>111.140625</v>
      </c>
      <c r="R150" s="32">
        <v>2.3973</v>
      </c>
      <c r="S150" s="32">
        <v>0.47760821411132781</v>
      </c>
    </row>
    <row r="151" spans="1:19">
      <c r="A151" s="10">
        <v>45145</v>
      </c>
      <c r="B151" s="32">
        <v>4.76</v>
      </c>
      <c r="C151" s="32">
        <v>4.16</v>
      </c>
      <c r="D151" s="32">
        <v>4.09</v>
      </c>
      <c r="E151" s="32">
        <v>4.42</v>
      </c>
      <c r="F151" s="32">
        <v>4.2699999999999996</v>
      </c>
      <c r="G151" s="32">
        <v>1.7000000000000001E-2</v>
      </c>
      <c r="H151" s="32">
        <v>0.625</v>
      </c>
      <c r="I151" s="32">
        <v>1.304</v>
      </c>
      <c r="J151" s="32">
        <v>1.5409999999999999</v>
      </c>
      <c r="K151" s="32">
        <v>5.3</v>
      </c>
      <c r="L151" s="32">
        <v>5.33</v>
      </c>
      <c r="M151" s="32">
        <v>5.28</v>
      </c>
      <c r="N151" s="32">
        <v>5.28</v>
      </c>
      <c r="O151" s="32">
        <v>142.52400207519531</v>
      </c>
      <c r="P151" s="29">
        <v>1.1003158092498779</v>
      </c>
      <c r="Q151" s="29">
        <v>111.125</v>
      </c>
      <c r="R151" s="32">
        <v>2.3256000000000001</v>
      </c>
      <c r="S151" s="32">
        <v>0.44778999999999769</v>
      </c>
    </row>
    <row r="152" spans="1:19">
      <c r="A152" s="10">
        <v>45146</v>
      </c>
      <c r="B152" s="32">
        <v>4.74</v>
      </c>
      <c r="C152" s="32">
        <v>4.0999999999999996</v>
      </c>
      <c r="D152" s="32">
        <v>4.0199999999999996</v>
      </c>
      <c r="E152" s="32">
        <v>4.3499999999999996</v>
      </c>
      <c r="F152" s="32">
        <v>4.2</v>
      </c>
      <c r="G152" s="32">
        <v>1.2E-2</v>
      </c>
      <c r="H152" s="32">
        <v>0.61</v>
      </c>
      <c r="I152" s="32">
        <v>1.2729999999999999</v>
      </c>
      <c r="J152" s="32">
        <v>1.4990000000000001</v>
      </c>
      <c r="K152" s="32">
        <v>5.3</v>
      </c>
      <c r="L152" s="32">
        <v>5.33</v>
      </c>
      <c r="M152" s="32">
        <v>5.27</v>
      </c>
      <c r="N152" s="32">
        <v>5.28</v>
      </c>
      <c r="O152" s="32">
        <v>143.27799987792969</v>
      </c>
      <c r="P152" s="29">
        <v>1.0958904027938843</v>
      </c>
      <c r="Q152" s="29">
        <v>111.40625</v>
      </c>
      <c r="R152" s="32">
        <v>2.3887</v>
      </c>
      <c r="S152" s="32">
        <v>0.41797178588867112</v>
      </c>
    </row>
    <row r="153" spans="1:19">
      <c r="A153" s="10">
        <v>45147</v>
      </c>
      <c r="B153" s="32">
        <v>4.79</v>
      </c>
      <c r="C153" s="32">
        <v>4.12</v>
      </c>
      <c r="D153" s="32">
        <v>4</v>
      </c>
      <c r="E153" s="32">
        <v>4.33</v>
      </c>
      <c r="F153" s="32">
        <v>4.18</v>
      </c>
      <c r="G153" s="32">
        <v>6.0000000000000001E-3</v>
      </c>
      <c r="H153" s="32">
        <v>0.57199999999999995</v>
      </c>
      <c r="I153" s="32">
        <v>1.2190000000000001</v>
      </c>
      <c r="J153" s="32">
        <v>1.458</v>
      </c>
      <c r="K153" s="32">
        <v>5.3</v>
      </c>
      <c r="L153" s="32">
        <v>5.33</v>
      </c>
      <c r="M153" s="32">
        <v>5.27</v>
      </c>
      <c r="N153" s="32">
        <v>5.27</v>
      </c>
      <c r="O153" s="32">
        <v>143.72700500488281</v>
      </c>
      <c r="P153" s="29">
        <v>1.0977671146392822</v>
      </c>
      <c r="Q153" s="29">
        <v>111.390625</v>
      </c>
      <c r="R153" s="32">
        <v>2.2831000000000001</v>
      </c>
      <c r="S153" s="32">
        <v>0.34781178588866979</v>
      </c>
    </row>
    <row r="154" spans="1:19">
      <c r="A154" s="10">
        <v>45148</v>
      </c>
      <c r="B154" s="32">
        <v>4.82</v>
      </c>
      <c r="C154" s="32">
        <v>4.21</v>
      </c>
      <c r="D154" s="32">
        <v>4.09</v>
      </c>
      <c r="E154" s="32">
        <v>4.41</v>
      </c>
      <c r="F154" s="32">
        <v>4.24</v>
      </c>
      <c r="G154" s="32">
        <v>1.2E-2</v>
      </c>
      <c r="H154" s="32">
        <v>0.59099999999999997</v>
      </c>
      <c r="I154" s="32">
        <v>1.252</v>
      </c>
      <c r="J154" s="32">
        <v>1.4950000000000001</v>
      </c>
      <c r="K154" s="32">
        <v>5.3</v>
      </c>
      <c r="L154" s="32">
        <v>5.33</v>
      </c>
      <c r="M154" s="32">
        <v>5.28</v>
      </c>
      <c r="N154" s="32">
        <v>5.28</v>
      </c>
      <c r="O154" s="32">
        <v>144.85400390625</v>
      </c>
      <c r="P154" s="29">
        <v>1.0981649160385132</v>
      </c>
      <c r="Q154" s="29">
        <v>110.859375</v>
      </c>
      <c r="R154" s="32">
        <v>2.2603</v>
      </c>
      <c r="S154" s="32">
        <v>0.38113821411132776</v>
      </c>
    </row>
    <row r="155" spans="1:19">
      <c r="A155" s="10">
        <v>45149</v>
      </c>
      <c r="B155" s="32">
        <v>4.8899999999999997</v>
      </c>
      <c r="C155" s="32">
        <v>4.3099999999999996</v>
      </c>
      <c r="D155" s="32">
        <v>4.16</v>
      </c>
      <c r="E155" s="32">
        <v>4.45</v>
      </c>
      <c r="F155" s="32">
        <v>4.2699999999999996</v>
      </c>
      <c r="G155" s="32">
        <v>1.2E-2</v>
      </c>
      <c r="H155" s="32">
        <v>0.59099999999999997</v>
      </c>
      <c r="I155" s="32">
        <v>1.252</v>
      </c>
      <c r="J155" s="32">
        <v>1.4950000000000001</v>
      </c>
      <c r="K155" s="32">
        <v>5.3</v>
      </c>
      <c r="L155" s="32">
        <v>5.33</v>
      </c>
      <c r="M155" s="32">
        <v>5.28</v>
      </c>
      <c r="N155" s="32">
        <v>5.28</v>
      </c>
      <c r="O155" s="32">
        <v>144.85400390625</v>
      </c>
      <c r="P155" s="29">
        <v>1.0981649160385132</v>
      </c>
      <c r="Q155" s="29">
        <v>110.1875</v>
      </c>
      <c r="R155" s="32">
        <v>2.25</v>
      </c>
      <c r="S155" s="32">
        <v>0.38113821411132776</v>
      </c>
    </row>
    <row r="156" spans="1:19">
      <c r="A156" s="10">
        <v>45152</v>
      </c>
      <c r="B156" s="32">
        <v>4.96</v>
      </c>
      <c r="C156" s="32">
        <v>4.3600000000000003</v>
      </c>
      <c r="D156" s="32">
        <v>4.1900000000000004</v>
      </c>
      <c r="E156" s="32">
        <v>4.46</v>
      </c>
      <c r="F156" s="32">
        <v>4.29</v>
      </c>
      <c r="G156" s="32">
        <v>1.7000000000000001E-2</v>
      </c>
      <c r="H156" s="32">
        <v>0.621</v>
      </c>
      <c r="I156" s="32">
        <v>1.2929999999999999</v>
      </c>
      <c r="J156" s="32">
        <v>1.532</v>
      </c>
      <c r="K156" s="32">
        <v>5.3</v>
      </c>
      <c r="L156" s="32">
        <v>5.33</v>
      </c>
      <c r="M156" s="32">
        <v>5.28</v>
      </c>
      <c r="N156" s="32">
        <v>5.28</v>
      </c>
      <c r="O156" s="32">
        <v>145.43699645996094</v>
      </c>
      <c r="P156" s="29">
        <v>1.0909883975982666</v>
      </c>
      <c r="Q156" s="29">
        <v>110</v>
      </c>
      <c r="R156" s="32">
        <v>2.3885000000000001</v>
      </c>
      <c r="S156" s="32">
        <v>0.43024999999999736</v>
      </c>
    </row>
    <row r="157" spans="1:19">
      <c r="A157" s="10">
        <v>45153</v>
      </c>
      <c r="B157" s="32">
        <v>4.92</v>
      </c>
      <c r="C157" s="32">
        <v>4.3600000000000003</v>
      </c>
      <c r="D157" s="32">
        <v>4.21</v>
      </c>
      <c r="E157" s="32">
        <v>4.49</v>
      </c>
      <c r="F157" s="32">
        <v>4.32</v>
      </c>
      <c r="G157" s="32">
        <v>1.6E-2</v>
      </c>
      <c r="H157" s="32">
        <v>0.63200000000000001</v>
      </c>
      <c r="I157" s="32">
        <v>1.3049999999999999</v>
      </c>
      <c r="J157" s="32">
        <v>1.5369999999999999</v>
      </c>
      <c r="K157" s="32">
        <v>5.3</v>
      </c>
      <c r="L157" s="32">
        <v>5.33</v>
      </c>
      <c r="M157" s="32">
        <v>5.28</v>
      </c>
      <c r="N157" s="32">
        <v>5.29</v>
      </c>
      <c r="O157" s="32">
        <v>145.60800170898438</v>
      </c>
      <c r="P157" s="29">
        <v>1.0904173851013184</v>
      </c>
      <c r="Q157" s="29">
        <v>109.765625</v>
      </c>
      <c r="R157" s="32">
        <v>2.4462000000000002</v>
      </c>
      <c r="S157" s="32">
        <v>0.41095642822265432</v>
      </c>
    </row>
    <row r="158" spans="1:19">
      <c r="A158" s="10">
        <v>45154</v>
      </c>
      <c r="B158" s="32">
        <v>4.97</v>
      </c>
      <c r="C158" s="32">
        <v>4.42</v>
      </c>
      <c r="D158" s="32">
        <v>4.28</v>
      </c>
      <c r="E158" s="32">
        <v>4.55</v>
      </c>
      <c r="F158" s="32">
        <v>4.38</v>
      </c>
      <c r="G158" s="32">
        <v>1.7000000000000001E-2</v>
      </c>
      <c r="H158" s="32">
        <v>0.63100000000000001</v>
      </c>
      <c r="I158" s="32">
        <v>1.288</v>
      </c>
      <c r="J158" s="32">
        <v>1.52</v>
      </c>
      <c r="K158" s="32">
        <v>5.3</v>
      </c>
      <c r="L158" s="32">
        <v>5.33</v>
      </c>
      <c r="M158" s="32">
        <v>5.28</v>
      </c>
      <c r="N158" s="32">
        <v>5.28</v>
      </c>
      <c r="O158" s="32">
        <v>146.33299255371094</v>
      </c>
      <c r="P158" s="29">
        <v>1.0874884128570557</v>
      </c>
      <c r="Q158" s="29">
        <v>109.5625</v>
      </c>
      <c r="R158" s="32">
        <v>2.5409000000000002</v>
      </c>
      <c r="S158" s="32">
        <v>0.41621821411132842</v>
      </c>
    </row>
    <row r="159" spans="1:19">
      <c r="A159" s="10">
        <v>45155</v>
      </c>
      <c r="B159" s="32">
        <v>4.9400000000000004</v>
      </c>
      <c r="C159" s="32">
        <v>4.42</v>
      </c>
      <c r="D159" s="32">
        <v>4.3</v>
      </c>
      <c r="E159" s="32">
        <v>4.58</v>
      </c>
      <c r="F159" s="32">
        <v>4.41</v>
      </c>
      <c r="G159" s="32">
        <v>2.8000000000000001E-2</v>
      </c>
      <c r="H159" s="32">
        <v>0.65700000000000003</v>
      </c>
      <c r="I159" s="32">
        <v>1.345</v>
      </c>
      <c r="J159" s="32">
        <v>1.577</v>
      </c>
      <c r="K159" s="32">
        <v>5.3</v>
      </c>
      <c r="L159" s="32">
        <v>5.33</v>
      </c>
      <c r="M159" s="32">
        <v>5.27</v>
      </c>
      <c r="N159" s="32">
        <v>5.28</v>
      </c>
      <c r="O159" s="32">
        <v>145.71400451660156</v>
      </c>
      <c r="P159" s="29">
        <v>1.0874648094177246</v>
      </c>
      <c r="Q159" s="29">
        <v>109.28125</v>
      </c>
      <c r="R159" s="32">
        <v>2.5537000000000001</v>
      </c>
      <c r="S159" s="32">
        <v>0.47409999999999997</v>
      </c>
    </row>
    <row r="160" spans="1:19">
      <c r="A160" s="10">
        <v>45156</v>
      </c>
      <c r="B160" s="32">
        <v>4.92</v>
      </c>
      <c r="C160" s="32">
        <v>4.38</v>
      </c>
      <c r="D160" s="32">
        <v>4.26</v>
      </c>
      <c r="E160" s="32">
        <v>4.55</v>
      </c>
      <c r="F160" s="32">
        <v>4.38</v>
      </c>
      <c r="G160" s="32">
        <v>2.1999999999999999E-2</v>
      </c>
      <c r="H160" s="32">
        <v>0.63200000000000001</v>
      </c>
      <c r="I160" s="32">
        <v>1.327</v>
      </c>
      <c r="J160" s="32">
        <v>1.5649999999999999</v>
      </c>
      <c r="K160" s="32">
        <v>5.3</v>
      </c>
      <c r="L160" s="32">
        <v>5.33</v>
      </c>
      <c r="M160" s="32">
        <v>5.27</v>
      </c>
      <c r="N160" s="32">
        <v>5.27</v>
      </c>
      <c r="O160" s="32">
        <v>145.71400451660156</v>
      </c>
      <c r="P160" s="29">
        <v>1.0874648094177246</v>
      </c>
      <c r="Q160" s="29">
        <v>109.640625</v>
      </c>
      <c r="R160" s="32">
        <v>2.6473</v>
      </c>
      <c r="S160" s="32">
        <v>0.45831357177734233</v>
      </c>
    </row>
    <row r="161" spans="1:19">
      <c r="A161" s="10">
        <v>45159</v>
      </c>
      <c r="B161" s="32">
        <v>4.97</v>
      </c>
      <c r="C161" s="32">
        <v>4.46</v>
      </c>
      <c r="D161" s="32">
        <v>4.34</v>
      </c>
      <c r="E161" s="32">
        <v>4.6399999999999997</v>
      </c>
      <c r="F161" s="32">
        <v>4.45</v>
      </c>
      <c r="G161" s="32">
        <v>2.9000000000000001E-2</v>
      </c>
      <c r="H161" s="32">
        <v>0.65700000000000003</v>
      </c>
      <c r="I161" s="32">
        <v>1.357</v>
      </c>
      <c r="J161" s="32">
        <v>1.5860000000000001</v>
      </c>
      <c r="K161" s="32">
        <v>5.3</v>
      </c>
      <c r="L161" s="32">
        <v>5.33</v>
      </c>
      <c r="M161" s="32">
        <v>5.27</v>
      </c>
      <c r="N161" s="32">
        <v>5.27</v>
      </c>
      <c r="O161" s="32">
        <v>146.23800659179688</v>
      </c>
      <c r="P161" s="29">
        <v>1.0898351669311523</v>
      </c>
      <c r="Q161" s="29">
        <v>109.078125</v>
      </c>
      <c r="R161" s="32">
        <v>2.5529999999999999</v>
      </c>
      <c r="S161" s="32">
        <v>0.45305178588867179</v>
      </c>
    </row>
    <row r="162" spans="1:19">
      <c r="A162" s="10">
        <v>45160</v>
      </c>
      <c r="B162" s="32">
        <v>5.0199999999999996</v>
      </c>
      <c r="C162" s="32">
        <v>4.49</v>
      </c>
      <c r="D162" s="32">
        <v>4.34</v>
      </c>
      <c r="E162" s="32">
        <v>4.6100000000000003</v>
      </c>
      <c r="F162" s="32">
        <v>4.42</v>
      </c>
      <c r="G162" s="32">
        <v>2.5000000000000001E-2</v>
      </c>
      <c r="H162" s="32">
        <v>0.67300000000000004</v>
      </c>
      <c r="I162" s="32">
        <v>1.3759999999999999</v>
      </c>
      <c r="J162" s="32">
        <v>1.5980000000000001</v>
      </c>
      <c r="K162" s="32">
        <v>5.3</v>
      </c>
      <c r="L162" s="32">
        <v>5.33</v>
      </c>
      <c r="M162" s="32">
        <v>5.27</v>
      </c>
      <c r="N162" s="32">
        <v>5.27</v>
      </c>
      <c r="O162" s="32">
        <v>145.76300048828125</v>
      </c>
      <c r="P162" s="29">
        <v>1.0846692323684692</v>
      </c>
      <c r="Q162" s="29">
        <v>109.0625</v>
      </c>
      <c r="R162" s="32">
        <v>2.6158999999999999</v>
      </c>
      <c r="S162" s="32">
        <v>0.4881317858886689</v>
      </c>
    </row>
    <row r="163" spans="1:19">
      <c r="A163" s="10">
        <v>45161</v>
      </c>
      <c r="B163" s="32">
        <v>4.95</v>
      </c>
      <c r="C163" s="32">
        <v>4.3600000000000003</v>
      </c>
      <c r="D163" s="32">
        <v>4.1900000000000004</v>
      </c>
      <c r="E163" s="32">
        <v>4.46</v>
      </c>
      <c r="F163" s="32">
        <v>4.2699999999999996</v>
      </c>
      <c r="G163" s="32">
        <v>2.4E-2</v>
      </c>
      <c r="H163" s="32">
        <v>0.68200000000000005</v>
      </c>
      <c r="I163" s="32">
        <v>1.3879999999999999</v>
      </c>
      <c r="J163" s="32">
        <v>1.61</v>
      </c>
      <c r="K163" s="32">
        <v>5.3</v>
      </c>
      <c r="L163" s="32">
        <v>5.33</v>
      </c>
      <c r="M163" s="32">
        <v>5.27</v>
      </c>
      <c r="N163" s="32">
        <v>5.27</v>
      </c>
      <c r="O163" s="32">
        <v>144.67300415039063</v>
      </c>
      <c r="P163" s="29">
        <v>1.0865786075592041</v>
      </c>
      <c r="Q163" s="29">
        <v>109.90625</v>
      </c>
      <c r="R163" s="32">
        <v>2.5987</v>
      </c>
      <c r="S163" s="32">
        <v>0.4916400000000003</v>
      </c>
    </row>
    <row r="164" spans="1:19">
      <c r="A164" s="10">
        <v>45162</v>
      </c>
      <c r="B164" s="32">
        <v>4.9800000000000004</v>
      </c>
      <c r="C164" s="32">
        <v>4.3899999999999997</v>
      </c>
      <c r="D164" s="32">
        <v>4.2300000000000004</v>
      </c>
      <c r="E164" s="32">
        <v>4.49</v>
      </c>
      <c r="F164" s="32">
        <v>4.3</v>
      </c>
      <c r="G164" s="32">
        <v>0.01</v>
      </c>
      <c r="H164" s="32">
        <v>0.65400000000000003</v>
      </c>
      <c r="I164" s="32">
        <v>1.353</v>
      </c>
      <c r="J164" s="32">
        <v>1.5820000000000001</v>
      </c>
      <c r="K164" s="32">
        <v>5.3</v>
      </c>
      <c r="L164" s="32">
        <v>5.33</v>
      </c>
      <c r="M164" s="32">
        <v>5.28</v>
      </c>
      <c r="N164" s="32">
        <v>5.28</v>
      </c>
      <c r="O164" s="32">
        <v>146.06700134277344</v>
      </c>
      <c r="P164" s="29">
        <v>1.0799136161804199</v>
      </c>
      <c r="Q164" s="29">
        <v>109.59375</v>
      </c>
      <c r="R164" s="32">
        <v>2.4142000000000001</v>
      </c>
      <c r="S164" s="32">
        <v>0.48111642822265566</v>
      </c>
    </row>
    <row r="165" spans="1:19">
      <c r="A165" s="10">
        <v>45163</v>
      </c>
      <c r="B165" s="32">
        <v>5.03</v>
      </c>
      <c r="C165" s="32">
        <v>4.4400000000000004</v>
      </c>
      <c r="D165" s="32">
        <v>4.25</v>
      </c>
      <c r="E165" s="32">
        <v>4.5</v>
      </c>
      <c r="F165" s="32">
        <v>4.3</v>
      </c>
      <c r="G165" s="32">
        <v>0.01</v>
      </c>
      <c r="H165" s="32">
        <v>0.66300000000000003</v>
      </c>
      <c r="I165" s="32">
        <v>1.3580000000000001</v>
      </c>
      <c r="J165" s="32">
        <v>1.589</v>
      </c>
      <c r="K165" s="32">
        <v>5.3</v>
      </c>
      <c r="L165" s="32">
        <v>5.33</v>
      </c>
      <c r="M165" s="32">
        <v>5.28</v>
      </c>
      <c r="N165" s="32">
        <v>5.28</v>
      </c>
      <c r="O165" s="32">
        <v>146.06700134277344</v>
      </c>
      <c r="P165" s="29">
        <v>1.0799136161804199</v>
      </c>
      <c r="Q165" s="29">
        <v>109.4375</v>
      </c>
      <c r="R165" s="32">
        <v>2.3675999999999999</v>
      </c>
      <c r="S165" s="32">
        <v>0.46883821411132587</v>
      </c>
    </row>
    <row r="166" spans="1:19">
      <c r="A166" s="10">
        <v>45166</v>
      </c>
      <c r="B166" s="32">
        <v>4.9800000000000004</v>
      </c>
      <c r="C166" s="32">
        <v>4.38</v>
      </c>
      <c r="D166" s="32">
        <v>4.2</v>
      </c>
      <c r="E166" s="32">
        <v>4.4800000000000004</v>
      </c>
      <c r="F166" s="32">
        <v>4.29</v>
      </c>
      <c r="G166" s="32">
        <v>1.0999999999999999E-2</v>
      </c>
      <c r="H166" s="32">
        <v>0.66900000000000004</v>
      </c>
      <c r="I166" s="32">
        <v>1.363</v>
      </c>
      <c r="J166" s="32">
        <v>1.593</v>
      </c>
      <c r="K166" s="32">
        <v>5.3</v>
      </c>
      <c r="L166" s="32">
        <v>5.33</v>
      </c>
      <c r="M166" s="32">
        <v>5.28</v>
      </c>
      <c r="N166" s="32">
        <v>5.29</v>
      </c>
      <c r="O166" s="32">
        <v>146.46400451660156</v>
      </c>
      <c r="P166" s="29">
        <v>1.0825556516647339</v>
      </c>
      <c r="Q166" s="29">
        <v>109.640625</v>
      </c>
      <c r="R166" s="32">
        <v>2.3997999999999999</v>
      </c>
      <c r="S166" s="32">
        <v>0.52321178588866957</v>
      </c>
    </row>
    <row r="167" spans="1:19">
      <c r="A167" s="10">
        <v>45167</v>
      </c>
      <c r="B167" s="32">
        <v>4.87</v>
      </c>
      <c r="C167" s="32">
        <v>4.26</v>
      </c>
      <c r="D167" s="32">
        <v>4.12</v>
      </c>
      <c r="E167" s="32">
        <v>4.42</v>
      </c>
      <c r="F167" s="32">
        <v>4.2300000000000004</v>
      </c>
      <c r="G167" s="32">
        <v>1.9E-2</v>
      </c>
      <c r="H167" s="32">
        <v>0.65</v>
      </c>
      <c r="I167" s="32">
        <v>1.34</v>
      </c>
      <c r="J167" s="32">
        <v>1.581</v>
      </c>
      <c r="K167" s="32">
        <v>5.3</v>
      </c>
      <c r="L167" s="32">
        <v>5.33</v>
      </c>
      <c r="M167" s="32">
        <v>5.28</v>
      </c>
      <c r="N167" s="32">
        <v>5.29</v>
      </c>
      <c r="O167" s="32">
        <v>145.98800659179688</v>
      </c>
      <c r="P167" s="29">
        <v>1.0869210958480835</v>
      </c>
      <c r="Q167" s="29">
        <v>110.328125</v>
      </c>
      <c r="R167" s="32">
        <v>2.3997999999999999</v>
      </c>
      <c r="S167" s="32">
        <v>0.46883821411132587</v>
      </c>
    </row>
    <row r="168" spans="1:19">
      <c r="A168" s="10">
        <v>45168</v>
      </c>
      <c r="B168" s="32">
        <v>4.9000000000000004</v>
      </c>
      <c r="C168" s="32">
        <v>4.2699999999999996</v>
      </c>
      <c r="D168" s="32">
        <v>4.12</v>
      </c>
      <c r="E168" s="32">
        <v>4.42</v>
      </c>
      <c r="F168" s="32">
        <v>4.2300000000000004</v>
      </c>
      <c r="G168" s="32">
        <v>2.9000000000000001E-2</v>
      </c>
      <c r="H168" s="32">
        <v>0.66100000000000003</v>
      </c>
      <c r="I168" s="32">
        <v>1.359</v>
      </c>
      <c r="J168" s="32">
        <v>1.5940000000000001</v>
      </c>
      <c r="K168" s="32">
        <v>5.3</v>
      </c>
      <c r="L168" s="32">
        <v>5.33</v>
      </c>
      <c r="M168" s="32">
        <v>5.28</v>
      </c>
      <c r="N168" s="32">
        <v>5.29</v>
      </c>
      <c r="O168" s="32">
        <v>146.0989990234375</v>
      </c>
      <c r="P168" s="29">
        <v>1.0932546854019165</v>
      </c>
      <c r="Q168" s="29">
        <v>110.359375</v>
      </c>
      <c r="R168" s="32">
        <v>2.3083999999999998</v>
      </c>
      <c r="S168" s="32">
        <v>0.46006821411132748</v>
      </c>
    </row>
    <row r="169" spans="1:19">
      <c r="A169" s="10">
        <v>45169</v>
      </c>
      <c r="B169" s="32">
        <v>4.8499999999999996</v>
      </c>
      <c r="C169" s="32">
        <v>4.2300000000000004</v>
      </c>
      <c r="D169" s="32">
        <v>4.09</v>
      </c>
      <c r="E169" s="32">
        <v>4.3899999999999997</v>
      </c>
      <c r="F169" s="32">
        <v>4.2</v>
      </c>
      <c r="G169" s="32">
        <v>2.5000000000000001E-2</v>
      </c>
      <c r="H169" s="32">
        <v>0.65700000000000003</v>
      </c>
      <c r="I169" s="32">
        <v>1.359</v>
      </c>
      <c r="J169" s="32">
        <v>1.5980000000000001</v>
      </c>
      <c r="K169" s="32">
        <v>5.31</v>
      </c>
      <c r="L169" s="32">
        <v>5.33</v>
      </c>
      <c r="M169" s="32">
        <v>5.3</v>
      </c>
      <c r="N169" s="32">
        <v>5.3</v>
      </c>
      <c r="O169" s="32">
        <v>145.47300720214844</v>
      </c>
      <c r="P169" s="29">
        <v>1.0844104290008545</v>
      </c>
      <c r="Q169" s="29">
        <v>110.5625</v>
      </c>
      <c r="R169" s="32">
        <v>2.3494999999999999</v>
      </c>
      <c r="S169" s="32">
        <v>0.46182178588867018</v>
      </c>
    </row>
    <row r="170" spans="1:19">
      <c r="A170" s="10">
        <v>45170</v>
      </c>
      <c r="B170" s="32">
        <v>4.87</v>
      </c>
      <c r="C170" s="32">
        <v>4.29</v>
      </c>
      <c r="D170" s="32">
        <v>4.18</v>
      </c>
      <c r="E170" s="32">
        <v>4.4800000000000004</v>
      </c>
      <c r="F170" s="32">
        <v>4.29</v>
      </c>
      <c r="G170" s="32">
        <v>0.02</v>
      </c>
      <c r="H170" s="32">
        <v>0.63600000000000001</v>
      </c>
      <c r="I170" s="32">
        <v>1.325</v>
      </c>
      <c r="J170" s="32">
        <v>1.569</v>
      </c>
      <c r="K170" s="32">
        <v>5.31</v>
      </c>
      <c r="L170" s="32">
        <v>5.33</v>
      </c>
      <c r="M170" s="32">
        <v>5.3</v>
      </c>
      <c r="N170" s="32">
        <v>5.3</v>
      </c>
      <c r="O170" s="32">
        <v>145.47300720214844</v>
      </c>
      <c r="P170" s="29">
        <v>1.0844104290008545</v>
      </c>
      <c r="Q170" s="29">
        <v>110.15625</v>
      </c>
      <c r="R170" s="32">
        <v>2.3199999999999998</v>
      </c>
      <c r="S170" s="32">
        <v>0.42147999999999897</v>
      </c>
    </row>
    <row r="171" spans="1:19">
      <c r="A171" s="10">
        <v>45174</v>
      </c>
      <c r="B171" s="32">
        <v>4.9400000000000004</v>
      </c>
      <c r="C171" s="32">
        <v>4.37</v>
      </c>
      <c r="D171" s="32">
        <v>4.2699999999999996</v>
      </c>
      <c r="E171" s="32">
        <v>4.5599999999999996</v>
      </c>
      <c r="F171" s="32">
        <v>4.38</v>
      </c>
      <c r="G171" s="32">
        <v>1.6E-2</v>
      </c>
      <c r="H171" s="32">
        <v>0.66600000000000004</v>
      </c>
      <c r="I171" s="32">
        <v>1.3560000000000001</v>
      </c>
      <c r="J171" s="32">
        <v>1.5860000000000001</v>
      </c>
      <c r="K171" s="32">
        <v>5.31</v>
      </c>
      <c r="L171" s="32">
        <v>5.33</v>
      </c>
      <c r="M171" s="32">
        <v>5.29</v>
      </c>
      <c r="N171" s="32">
        <v>5.29</v>
      </c>
      <c r="O171" s="32">
        <v>147.47099304199219</v>
      </c>
      <c r="P171" s="29">
        <v>1.0726161003112793</v>
      </c>
      <c r="Q171" s="29">
        <v>109.546875</v>
      </c>
      <c r="R171" s="32">
        <v>2.3917999999999999</v>
      </c>
      <c r="S171" s="32">
        <v>0.44778999999999769</v>
      </c>
    </row>
    <row r="172" spans="1:19">
      <c r="A172" s="10">
        <v>45175</v>
      </c>
      <c r="B172" s="32">
        <v>5.01</v>
      </c>
      <c r="C172" s="32">
        <v>4.4400000000000004</v>
      </c>
      <c r="D172" s="32">
        <v>4.3</v>
      </c>
      <c r="E172" s="32">
        <v>4.5599999999999996</v>
      </c>
      <c r="F172" s="32">
        <v>4.37</v>
      </c>
      <c r="G172" s="32">
        <v>1.7000000000000001E-2</v>
      </c>
      <c r="H172" s="32">
        <v>0.66200000000000003</v>
      </c>
      <c r="I172" s="32">
        <v>1.3520000000000001</v>
      </c>
      <c r="J172" s="32">
        <v>1.5740000000000001</v>
      </c>
      <c r="K172" s="32">
        <v>5.3</v>
      </c>
      <c r="L172" s="32">
        <v>5.33</v>
      </c>
      <c r="M172" s="32">
        <v>5.29</v>
      </c>
      <c r="N172" s="32">
        <v>5.3</v>
      </c>
      <c r="O172" s="32">
        <v>147.70899963378906</v>
      </c>
      <c r="P172" s="29">
        <v>1.0724204778671265</v>
      </c>
      <c r="Q172" s="29">
        <v>109.28125</v>
      </c>
      <c r="R172" s="32">
        <v>2.5320999999999998</v>
      </c>
      <c r="S172" s="32">
        <v>0.52145821411132687</v>
      </c>
    </row>
    <row r="173" spans="1:19">
      <c r="A173" s="10">
        <v>45176</v>
      </c>
      <c r="B173" s="32">
        <v>4.9400000000000004</v>
      </c>
      <c r="C173" s="32">
        <v>4.38</v>
      </c>
      <c r="D173" s="32">
        <v>4.2699999999999996</v>
      </c>
      <c r="E173" s="32">
        <v>4.55</v>
      </c>
      <c r="F173" s="32">
        <v>4.3600000000000003</v>
      </c>
      <c r="G173" s="32">
        <v>1.2E-2</v>
      </c>
      <c r="H173" s="32">
        <v>0.66700000000000004</v>
      </c>
      <c r="I173" s="32">
        <v>1.3680000000000001</v>
      </c>
      <c r="J173" s="32">
        <v>1.581</v>
      </c>
      <c r="K173" s="32">
        <v>5.31</v>
      </c>
      <c r="L173" s="32">
        <v>5.33</v>
      </c>
      <c r="M173" s="32">
        <v>5.3</v>
      </c>
      <c r="N173" s="32">
        <v>5.3</v>
      </c>
      <c r="O173" s="32">
        <v>147.33099365234375</v>
      </c>
      <c r="P173" s="29">
        <v>1.0697818994522095</v>
      </c>
      <c r="Q173" s="29">
        <v>109.609375</v>
      </c>
      <c r="R173" s="32">
        <v>2.5211000000000001</v>
      </c>
      <c r="S173" s="32">
        <v>0.50742642822265438</v>
      </c>
    </row>
    <row r="174" spans="1:19">
      <c r="A174" s="10">
        <v>45177</v>
      </c>
      <c r="B174" s="32">
        <v>4.9800000000000004</v>
      </c>
      <c r="C174" s="32">
        <v>4.3899999999999997</v>
      </c>
      <c r="D174" s="32">
        <v>4.26</v>
      </c>
      <c r="E174" s="32">
        <v>4.5199999999999996</v>
      </c>
      <c r="F174" s="32">
        <v>4.33</v>
      </c>
      <c r="G174" s="32">
        <v>7.0000000000000001E-3</v>
      </c>
      <c r="H174" s="32">
        <v>0.65800000000000003</v>
      </c>
      <c r="I174" s="32">
        <v>1.373</v>
      </c>
      <c r="J174" s="32">
        <v>1.593</v>
      </c>
      <c r="K174" s="32">
        <v>5.3</v>
      </c>
      <c r="L174" s="32">
        <v>5.33</v>
      </c>
      <c r="M174" s="32">
        <v>5.3</v>
      </c>
      <c r="N174" s="32">
        <v>5.3</v>
      </c>
      <c r="O174" s="32">
        <v>147.33099365234375</v>
      </c>
      <c r="P174" s="29">
        <v>1.0697818994522095</v>
      </c>
      <c r="Q174" s="29">
        <v>109.53125</v>
      </c>
      <c r="R174" s="32">
        <v>2.4535999999999998</v>
      </c>
      <c r="S174" s="32">
        <v>0.50391821411132653</v>
      </c>
    </row>
    <row r="175" spans="1:19">
      <c r="A175" s="10">
        <v>45180</v>
      </c>
      <c r="B175" s="32">
        <v>4.97</v>
      </c>
      <c r="C175" s="32">
        <v>4.4000000000000004</v>
      </c>
      <c r="D175" s="32">
        <v>4.29</v>
      </c>
      <c r="E175" s="32">
        <v>4.5599999999999996</v>
      </c>
      <c r="F175" s="32">
        <v>4.37</v>
      </c>
      <c r="G175" s="32">
        <v>4.2999999999999997E-2</v>
      </c>
      <c r="H175" s="32">
        <v>0.71499999999999997</v>
      </c>
      <c r="I175" s="32">
        <v>1.4259999999999999</v>
      </c>
      <c r="J175" s="32">
        <v>1.63</v>
      </c>
      <c r="K175" s="32">
        <v>5.3</v>
      </c>
      <c r="L175" s="32">
        <v>5.33</v>
      </c>
      <c r="M175" s="32">
        <v>5.3</v>
      </c>
      <c r="N175" s="32">
        <v>5.3</v>
      </c>
      <c r="O175" s="32">
        <v>146.67799377441406</v>
      </c>
      <c r="P175" s="29">
        <v>1.0750375986099243</v>
      </c>
      <c r="Q175" s="29">
        <v>109.40625</v>
      </c>
      <c r="R175" s="32">
        <v>2.4220999999999999</v>
      </c>
      <c r="S175" s="32">
        <v>0.60214178588866929</v>
      </c>
    </row>
    <row r="176" spans="1:19">
      <c r="A176" s="10">
        <v>45181</v>
      </c>
      <c r="B176" s="32">
        <v>4.9800000000000004</v>
      </c>
      <c r="C176" s="32">
        <v>4.41</v>
      </c>
      <c r="D176" s="32">
        <v>4.2699999999999996</v>
      </c>
      <c r="E176" s="32">
        <v>4.54</v>
      </c>
      <c r="F176" s="32">
        <v>4.3499999999999996</v>
      </c>
      <c r="G176" s="32">
        <v>3.3000000000000002E-2</v>
      </c>
      <c r="H176" s="32">
        <v>0.71599999999999997</v>
      </c>
      <c r="I176" s="32">
        <v>1.43</v>
      </c>
      <c r="J176" s="32">
        <v>1.637</v>
      </c>
      <c r="K176" s="32">
        <v>5.3</v>
      </c>
      <c r="L176" s="32">
        <v>5.33</v>
      </c>
      <c r="M176" s="32">
        <v>5.3</v>
      </c>
      <c r="N176" s="32">
        <v>5.3</v>
      </c>
      <c r="O176" s="32">
        <v>147.15800476074219</v>
      </c>
      <c r="P176" s="29">
        <v>1.075326681137085</v>
      </c>
      <c r="Q176" s="29">
        <v>109.515625</v>
      </c>
      <c r="R176" s="32">
        <v>2.4870000000000001</v>
      </c>
      <c r="S176" s="32">
        <v>0.5933717858886709</v>
      </c>
    </row>
    <row r="177" spans="1:19">
      <c r="A177" s="10">
        <v>45182</v>
      </c>
      <c r="B177" s="32">
        <v>4.96</v>
      </c>
      <c r="C177" s="32">
        <v>4.3899999999999997</v>
      </c>
      <c r="D177" s="32">
        <v>4.25</v>
      </c>
      <c r="E177" s="32">
        <v>4.5199999999999996</v>
      </c>
      <c r="F177" s="32">
        <v>4.34</v>
      </c>
      <c r="G177" s="32">
        <v>2.8000000000000001E-2</v>
      </c>
      <c r="H177" s="32">
        <v>0.71499999999999997</v>
      </c>
      <c r="I177" s="32">
        <v>1.4079999999999999</v>
      </c>
      <c r="J177" s="32">
        <v>1.605</v>
      </c>
      <c r="K177" s="32">
        <v>5.3</v>
      </c>
      <c r="L177" s="32">
        <v>5.33</v>
      </c>
      <c r="M177" s="32">
        <v>5.3</v>
      </c>
      <c r="N177" s="32">
        <v>5.3</v>
      </c>
      <c r="O177" s="32">
        <v>147.34599304199219</v>
      </c>
      <c r="P177" s="29">
        <v>1.0734220743179321</v>
      </c>
      <c r="Q177" s="29">
        <v>109.640625</v>
      </c>
      <c r="R177" s="32">
        <v>2.4621</v>
      </c>
      <c r="S177" s="32">
        <v>0.60038821411132659</v>
      </c>
    </row>
    <row r="178" spans="1:19">
      <c r="A178" s="10">
        <v>45183</v>
      </c>
      <c r="B178" s="32">
        <v>5</v>
      </c>
      <c r="C178" s="32">
        <v>4.42</v>
      </c>
      <c r="D178" s="32">
        <v>4.29</v>
      </c>
      <c r="E178" s="32">
        <v>4.57</v>
      </c>
      <c r="F178" s="32">
        <v>4.3899999999999997</v>
      </c>
      <c r="G178" s="32">
        <v>2.9000000000000001E-2</v>
      </c>
      <c r="H178" s="32">
        <v>0.71499999999999997</v>
      </c>
      <c r="I178" s="32">
        <v>1.4039999999999999</v>
      </c>
      <c r="J178" s="32">
        <v>1.601</v>
      </c>
      <c r="K178" s="32">
        <v>5.3</v>
      </c>
      <c r="L178" s="32">
        <v>5.33</v>
      </c>
      <c r="M178" s="32">
        <v>5.3</v>
      </c>
      <c r="N178" s="32">
        <v>5.3</v>
      </c>
      <c r="O178" s="32">
        <v>147.48199462890625</v>
      </c>
      <c r="P178" s="29">
        <v>1.0637166500091553</v>
      </c>
      <c r="Q178" s="29">
        <v>109.359375</v>
      </c>
      <c r="R178" s="32">
        <v>2.4895999999999998</v>
      </c>
      <c r="S178" s="32">
        <v>0.57933999999999841</v>
      </c>
    </row>
    <row r="179" spans="1:19">
      <c r="A179" s="10">
        <v>45184</v>
      </c>
      <c r="B179" s="32">
        <v>5.0199999999999996</v>
      </c>
      <c r="C179" s="32">
        <v>4.45</v>
      </c>
      <c r="D179" s="32">
        <v>4.33</v>
      </c>
      <c r="E179" s="32">
        <v>4.59</v>
      </c>
      <c r="F179" s="32">
        <v>4.42</v>
      </c>
      <c r="G179" s="32">
        <v>0.03</v>
      </c>
      <c r="H179" s="32">
        <v>0.71499999999999997</v>
      </c>
      <c r="I179" s="32">
        <v>1.399</v>
      </c>
      <c r="J179" s="32">
        <v>1.5980000000000001</v>
      </c>
      <c r="K179" s="32">
        <v>5.31</v>
      </c>
      <c r="L179" s="32">
        <v>5.33</v>
      </c>
      <c r="M179" s="32">
        <v>5.3</v>
      </c>
      <c r="N179" s="32">
        <v>5.3</v>
      </c>
      <c r="O179" s="32">
        <v>147.48199462890625</v>
      </c>
      <c r="P179" s="29">
        <v>1.0637166500091553</v>
      </c>
      <c r="Q179" s="29">
        <v>109.171875</v>
      </c>
      <c r="R179" s="32">
        <v>2.4134000000000002</v>
      </c>
      <c r="S179" s="32">
        <v>0.51093357177734333</v>
      </c>
    </row>
    <row r="180" spans="1:19">
      <c r="A180" s="10">
        <v>45187</v>
      </c>
      <c r="B180" s="32">
        <v>5.05</v>
      </c>
      <c r="C180" s="32">
        <v>4.46</v>
      </c>
      <c r="D180" s="32">
        <v>4.32</v>
      </c>
      <c r="E180" s="32">
        <v>4.57</v>
      </c>
      <c r="F180" s="32">
        <v>4.4000000000000004</v>
      </c>
      <c r="G180" s="32">
        <v>0.03</v>
      </c>
      <c r="H180" s="32">
        <v>0.71499999999999997</v>
      </c>
      <c r="I180" s="32">
        <v>1.399</v>
      </c>
      <c r="J180" s="32">
        <v>1.5980000000000001</v>
      </c>
      <c r="K180" s="32">
        <v>5.31</v>
      </c>
      <c r="L180" s="32">
        <v>5.33</v>
      </c>
      <c r="M180" s="32">
        <v>5.3</v>
      </c>
      <c r="N180" s="32">
        <v>5.3</v>
      </c>
      <c r="O180" s="32">
        <v>147.60499572753906</v>
      </c>
      <c r="P180" s="29">
        <v>1.0692671537399292</v>
      </c>
      <c r="Q180" s="29">
        <v>109.203125</v>
      </c>
      <c r="R180" s="32">
        <v>2.4796</v>
      </c>
      <c r="S180" s="32">
        <v>0.51093357177734333</v>
      </c>
    </row>
    <row r="181" spans="1:19">
      <c r="A181" s="10">
        <v>45188</v>
      </c>
      <c r="B181" s="32">
        <v>5.08</v>
      </c>
      <c r="C181" s="32">
        <v>4.51</v>
      </c>
      <c r="D181" s="32">
        <v>4.37</v>
      </c>
      <c r="E181" s="32">
        <v>4.5999999999999996</v>
      </c>
      <c r="F181" s="32">
        <v>4.43</v>
      </c>
      <c r="G181" s="32">
        <v>3.5000000000000003E-2</v>
      </c>
      <c r="H181" s="32">
        <v>0.72699999999999998</v>
      </c>
      <c r="I181" s="32">
        <v>1.421</v>
      </c>
      <c r="J181" s="32">
        <v>1.6220000000000001</v>
      </c>
      <c r="K181" s="32">
        <v>5.31</v>
      </c>
      <c r="L181" s="32">
        <v>5.33</v>
      </c>
      <c r="M181" s="32">
        <v>5.3</v>
      </c>
      <c r="N181" s="32">
        <v>5.3</v>
      </c>
      <c r="O181" s="32">
        <v>147.74200439453125</v>
      </c>
      <c r="P181" s="29">
        <v>1.0682048797607422</v>
      </c>
      <c r="Q181" s="29">
        <v>108.828125</v>
      </c>
      <c r="R181" s="32">
        <v>2.5142000000000002</v>
      </c>
      <c r="S181" s="32">
        <v>0.5863564282226541</v>
      </c>
    </row>
    <row r="182" spans="1:19">
      <c r="A182" s="10">
        <v>45189</v>
      </c>
      <c r="B182" s="32">
        <v>5.12</v>
      </c>
      <c r="C182" s="32">
        <v>4.5199999999999996</v>
      </c>
      <c r="D182" s="32">
        <v>4.3499999999999996</v>
      </c>
      <c r="E182" s="32">
        <v>4.57</v>
      </c>
      <c r="F182" s="32">
        <v>4.4000000000000004</v>
      </c>
      <c r="G182" s="32">
        <v>2.5999999999999999E-2</v>
      </c>
      <c r="H182" s="32">
        <v>0.73099999999999998</v>
      </c>
      <c r="I182" s="32">
        <v>1.421</v>
      </c>
      <c r="J182" s="32">
        <v>1.6180000000000001</v>
      </c>
      <c r="K182" s="32">
        <v>5.3</v>
      </c>
      <c r="L182" s="32">
        <v>5.33</v>
      </c>
      <c r="M182" s="32">
        <v>5.3</v>
      </c>
      <c r="N182" s="32">
        <v>5.3</v>
      </c>
      <c r="O182" s="32">
        <v>148.32099914550781</v>
      </c>
      <c r="P182" s="29">
        <v>1.0653030872344971</v>
      </c>
      <c r="Q182" s="29">
        <v>109.1875</v>
      </c>
      <c r="R182" s="32">
        <v>2.5278</v>
      </c>
      <c r="S182" s="32">
        <v>0.58284821411132626</v>
      </c>
    </row>
    <row r="183" spans="1:19">
      <c r="A183" s="10">
        <v>45190</v>
      </c>
      <c r="B183" s="32">
        <v>5.12</v>
      </c>
      <c r="C183" s="32">
        <v>4.6100000000000003</v>
      </c>
      <c r="D183" s="32">
        <v>4.49</v>
      </c>
      <c r="E183" s="32">
        <v>4.74</v>
      </c>
      <c r="F183" s="32">
        <v>4.5599999999999996</v>
      </c>
      <c r="G183" s="32">
        <v>3.5000000000000003E-2</v>
      </c>
      <c r="H183" s="32">
        <v>0.75800000000000001</v>
      </c>
      <c r="I183" s="32">
        <v>1.4279999999999999</v>
      </c>
      <c r="J183" s="32">
        <v>1.607</v>
      </c>
      <c r="K183" s="32">
        <v>5.3</v>
      </c>
      <c r="L183" s="32">
        <v>5.33</v>
      </c>
      <c r="M183" s="32">
        <v>5.3</v>
      </c>
      <c r="N183" s="32">
        <v>5.3</v>
      </c>
      <c r="O183" s="32">
        <v>147.64399719238281</v>
      </c>
      <c r="P183" s="29">
        <v>1.0661548376083374</v>
      </c>
      <c r="Q183" s="29">
        <v>108.421875</v>
      </c>
      <c r="R183" s="32">
        <v>2.4426000000000001</v>
      </c>
      <c r="S183" s="32">
        <v>0.60564999999999714</v>
      </c>
    </row>
    <row r="184" spans="1:19">
      <c r="A184" s="10">
        <v>45191</v>
      </c>
      <c r="B184" s="32">
        <v>5.0999999999999996</v>
      </c>
      <c r="C184" s="32">
        <v>4.57</v>
      </c>
      <c r="D184" s="32">
        <v>4.4400000000000004</v>
      </c>
      <c r="E184" s="32">
        <v>4.7</v>
      </c>
      <c r="F184" s="32">
        <v>4.53</v>
      </c>
      <c r="G184" s="32">
        <v>3.5000000000000003E-2</v>
      </c>
      <c r="H184" s="32">
        <v>0.754</v>
      </c>
      <c r="I184" s="32">
        <v>1.4279999999999999</v>
      </c>
      <c r="J184" s="32">
        <v>1.611</v>
      </c>
      <c r="K184" s="32">
        <v>5.3</v>
      </c>
      <c r="L184" s="32">
        <v>5.33</v>
      </c>
      <c r="M184" s="32">
        <v>5.3</v>
      </c>
      <c r="N184" s="32">
        <v>5.3</v>
      </c>
      <c r="O184" s="32">
        <v>147.64399719238281</v>
      </c>
      <c r="P184" s="29">
        <v>1.0661548376083374</v>
      </c>
      <c r="Q184" s="29">
        <v>108.6875</v>
      </c>
      <c r="R184" s="32">
        <v>2.4605000000000001</v>
      </c>
      <c r="S184" s="32">
        <v>0.60564999999999714</v>
      </c>
    </row>
    <row r="185" spans="1:19">
      <c r="A185" s="10">
        <v>45194</v>
      </c>
      <c r="B185" s="32">
        <v>5.09</v>
      </c>
      <c r="C185" s="32">
        <v>4.62</v>
      </c>
      <c r="D185" s="32">
        <v>4.55</v>
      </c>
      <c r="E185" s="32">
        <v>4.84</v>
      </c>
      <c r="F185" s="32">
        <v>4.67</v>
      </c>
      <c r="G185" s="32">
        <v>3.3000000000000002E-2</v>
      </c>
      <c r="H185" s="32">
        <v>0.73799999999999999</v>
      </c>
      <c r="I185" s="32">
        <v>1.425</v>
      </c>
      <c r="J185" s="32">
        <v>1.6120000000000001</v>
      </c>
      <c r="K185" s="32">
        <v>5.31</v>
      </c>
      <c r="L185" s="32">
        <v>5.33</v>
      </c>
      <c r="M185" s="32">
        <v>5.3</v>
      </c>
      <c r="N185" s="32">
        <v>5.3</v>
      </c>
      <c r="O185" s="32">
        <v>148.81100463867188</v>
      </c>
      <c r="P185" s="29">
        <v>1.0591648817062378</v>
      </c>
      <c r="Q185" s="29">
        <v>108.171875</v>
      </c>
      <c r="R185" s="32">
        <v>2.4146000000000001</v>
      </c>
      <c r="S185" s="32">
        <v>0.5863564282226541</v>
      </c>
    </row>
    <row r="186" spans="1:19">
      <c r="A186" s="10">
        <v>45195</v>
      </c>
      <c r="B186" s="32">
        <v>5.04</v>
      </c>
      <c r="C186" s="32">
        <v>4.62</v>
      </c>
      <c r="D186" s="32">
        <v>4.5599999999999996</v>
      </c>
      <c r="E186" s="32">
        <v>4.8600000000000003</v>
      </c>
      <c r="F186" s="32">
        <v>4.7</v>
      </c>
      <c r="G186" s="32">
        <v>3.4000000000000002E-2</v>
      </c>
      <c r="H186" s="32">
        <v>0.752</v>
      </c>
      <c r="I186" s="32">
        <v>1.429</v>
      </c>
      <c r="J186" s="32">
        <v>1.619</v>
      </c>
      <c r="K186" s="32">
        <v>5.31</v>
      </c>
      <c r="L186" s="32">
        <v>5.33</v>
      </c>
      <c r="M186" s="32">
        <v>5.3</v>
      </c>
      <c r="N186" s="32">
        <v>5.3</v>
      </c>
      <c r="O186" s="32">
        <v>149.04499816894531</v>
      </c>
      <c r="P186" s="29">
        <v>1.0569483041763306</v>
      </c>
      <c r="Q186" s="29">
        <v>108.109375</v>
      </c>
      <c r="R186" s="32">
        <v>2.4977999999999998</v>
      </c>
      <c r="S186" s="32">
        <v>0.60389642822265444</v>
      </c>
    </row>
    <row r="187" spans="1:19">
      <c r="A187" s="10">
        <v>45196</v>
      </c>
      <c r="B187" s="32">
        <v>5.0999999999999996</v>
      </c>
      <c r="C187" s="32">
        <v>4.67</v>
      </c>
      <c r="D187" s="32">
        <v>4.6100000000000003</v>
      </c>
      <c r="E187" s="32">
        <v>4.91</v>
      </c>
      <c r="F187" s="32">
        <v>4.7300000000000004</v>
      </c>
      <c r="G187" s="32">
        <v>3.4000000000000002E-2</v>
      </c>
      <c r="H187" s="32">
        <v>0.747</v>
      </c>
      <c r="I187" s="32">
        <v>1.4319999999999999</v>
      </c>
      <c r="J187" s="32">
        <v>1.627</v>
      </c>
      <c r="K187" s="32">
        <v>5.32</v>
      </c>
      <c r="L187" s="32">
        <v>5.33</v>
      </c>
      <c r="M187" s="32">
        <v>5.3</v>
      </c>
      <c r="N187" s="32">
        <v>5.3</v>
      </c>
      <c r="O187" s="32">
        <v>149.49800109863281</v>
      </c>
      <c r="P187" s="29">
        <v>1.0505305528640747</v>
      </c>
      <c r="Q187" s="29">
        <v>107.578125</v>
      </c>
      <c r="R187" s="32">
        <v>2.4916</v>
      </c>
      <c r="S187" s="32">
        <v>0.57758642822265571</v>
      </c>
    </row>
    <row r="188" spans="1:19">
      <c r="A188" s="10">
        <v>45197</v>
      </c>
      <c r="B188" s="32">
        <v>5.04</v>
      </c>
      <c r="C188" s="32">
        <v>4.62</v>
      </c>
      <c r="D188" s="32">
        <v>4.59</v>
      </c>
      <c r="E188" s="32">
        <v>4.9000000000000004</v>
      </c>
      <c r="F188" s="32">
        <v>4.71</v>
      </c>
      <c r="G188" s="32">
        <v>4.3999999999999997E-2</v>
      </c>
      <c r="H188" s="32">
        <v>0.76500000000000001</v>
      </c>
      <c r="I188" s="32">
        <v>1.4410000000000001</v>
      </c>
      <c r="J188" s="32">
        <v>1.6339999999999999</v>
      </c>
      <c r="K188" s="32">
        <v>5.31</v>
      </c>
      <c r="L188" s="32">
        <v>5.33</v>
      </c>
      <c r="M188" s="32">
        <v>5.3</v>
      </c>
      <c r="N188" s="32">
        <v>5.3</v>
      </c>
      <c r="O188" s="32">
        <v>149.33700561523438</v>
      </c>
      <c r="P188" s="29">
        <v>1.0562450885772705</v>
      </c>
      <c r="Q188" s="29">
        <v>107.859375</v>
      </c>
      <c r="R188" s="32">
        <v>2.5884</v>
      </c>
      <c r="S188" s="32">
        <v>0.62669821411132531</v>
      </c>
    </row>
    <row r="189" spans="1:19">
      <c r="A189" s="10">
        <v>45198</v>
      </c>
      <c r="B189" s="32">
        <v>5.03</v>
      </c>
      <c r="C189" s="32">
        <v>4.5999999999999996</v>
      </c>
      <c r="D189" s="32">
        <v>4.59</v>
      </c>
      <c r="E189" s="32">
        <v>4.92</v>
      </c>
      <c r="F189" s="32">
        <v>4.7300000000000004</v>
      </c>
      <c r="G189" s="32">
        <v>4.3999999999999997E-2</v>
      </c>
      <c r="H189" s="32">
        <v>0.77400000000000002</v>
      </c>
      <c r="I189" s="32">
        <v>1.456</v>
      </c>
      <c r="J189" s="32">
        <v>1.649</v>
      </c>
      <c r="K189" s="32">
        <v>5.31</v>
      </c>
      <c r="L189" s="32">
        <v>5.33</v>
      </c>
      <c r="M189" s="32">
        <v>5.3</v>
      </c>
      <c r="N189" s="32">
        <v>5.3</v>
      </c>
      <c r="O189" s="32">
        <v>149.33700561523438</v>
      </c>
      <c r="P189" s="29">
        <v>1.0562450885772705</v>
      </c>
      <c r="Q189" s="29">
        <v>108.0625</v>
      </c>
      <c r="R189" s="32">
        <v>2.7269000000000001</v>
      </c>
      <c r="S189" s="32">
        <v>0.64774642822265349</v>
      </c>
    </row>
    <row r="190" spans="1:19">
      <c r="A190" s="10">
        <v>45201</v>
      </c>
      <c r="B190" s="32">
        <v>5.12</v>
      </c>
      <c r="C190" s="32">
        <v>4.72</v>
      </c>
      <c r="D190" s="32">
        <v>4.6900000000000004</v>
      </c>
      <c r="E190" s="32">
        <v>5</v>
      </c>
      <c r="F190" s="32">
        <v>4.8099999999999996</v>
      </c>
      <c r="G190" s="32">
        <v>5.5E-2</v>
      </c>
      <c r="H190" s="32">
        <v>0.77900000000000003</v>
      </c>
      <c r="I190" s="32">
        <v>1.4810000000000001</v>
      </c>
      <c r="J190" s="32">
        <v>1.6719999999999999</v>
      </c>
      <c r="K190" s="32">
        <v>5.32</v>
      </c>
      <c r="L190" s="32">
        <v>5.33</v>
      </c>
      <c r="M190" s="32">
        <v>5.3</v>
      </c>
      <c r="N190" s="32">
        <v>5.3</v>
      </c>
      <c r="O190" s="32">
        <v>149.85099792480469</v>
      </c>
      <c r="P190" s="29">
        <v>1.0480751991271973</v>
      </c>
      <c r="Q190" s="29">
        <v>107.328125</v>
      </c>
      <c r="R190" s="32">
        <v>2.5737000000000001</v>
      </c>
      <c r="S190" s="32">
        <v>0.67405642822265577</v>
      </c>
    </row>
    <row r="191" spans="1:19">
      <c r="A191" s="10">
        <v>45202</v>
      </c>
      <c r="B191" s="32">
        <v>5.15</v>
      </c>
      <c r="C191" s="32">
        <v>4.8</v>
      </c>
      <c r="D191" s="32">
        <v>4.8099999999999996</v>
      </c>
      <c r="E191" s="32">
        <v>5.13</v>
      </c>
      <c r="F191" s="32">
        <v>4.95</v>
      </c>
      <c r="G191" s="32">
        <v>5.0999999999999997E-2</v>
      </c>
      <c r="H191" s="32">
        <v>0.76400000000000001</v>
      </c>
      <c r="I191" s="32">
        <v>1.4850000000000001</v>
      </c>
      <c r="J191" s="32">
        <v>1.6759999999999999</v>
      </c>
      <c r="K191" s="32">
        <v>5.33</v>
      </c>
      <c r="L191" s="32">
        <v>5.33</v>
      </c>
      <c r="M191" s="32">
        <v>5.3</v>
      </c>
      <c r="N191" s="32">
        <v>5.3</v>
      </c>
      <c r="O191" s="32">
        <v>149.19200134277344</v>
      </c>
      <c r="P191" s="29">
        <v>1.0472300052642822</v>
      </c>
      <c r="Q191" s="29">
        <v>106.640625</v>
      </c>
      <c r="R191" s="32">
        <v>2.6516000000000002</v>
      </c>
      <c r="S191" s="32">
        <v>0.67230178588867062</v>
      </c>
    </row>
    <row r="192" spans="1:19">
      <c r="A192" s="10">
        <v>45203</v>
      </c>
      <c r="B192" s="32">
        <v>5.05</v>
      </c>
      <c r="C192" s="32">
        <v>4.72</v>
      </c>
      <c r="D192" s="32">
        <v>4.7300000000000004</v>
      </c>
      <c r="E192" s="32">
        <v>5.05</v>
      </c>
      <c r="F192" s="32">
        <v>4.87</v>
      </c>
      <c r="G192" s="32">
        <v>6.0999999999999999E-2</v>
      </c>
      <c r="H192" s="32">
        <v>0.80800000000000005</v>
      </c>
      <c r="I192" s="32">
        <v>1.534</v>
      </c>
      <c r="J192" s="32">
        <v>1.7110000000000001</v>
      </c>
      <c r="K192" s="32">
        <v>5.32</v>
      </c>
      <c r="L192" s="32">
        <v>5.33</v>
      </c>
      <c r="M192" s="32">
        <v>5.3</v>
      </c>
      <c r="N192" s="32">
        <v>5.3</v>
      </c>
      <c r="O192" s="32">
        <v>148.96600341796875</v>
      </c>
      <c r="P192" s="29">
        <v>1.0507071018218994</v>
      </c>
      <c r="Q192" s="29">
        <v>107.109375</v>
      </c>
      <c r="R192" s="32">
        <v>2.6928999999999998</v>
      </c>
      <c r="S192" s="32">
        <v>0.71264357177734183</v>
      </c>
    </row>
    <row r="193" spans="1:19">
      <c r="A193" s="10">
        <v>45204</v>
      </c>
      <c r="B193" s="32">
        <v>5.03</v>
      </c>
      <c r="C193" s="32">
        <v>4.68</v>
      </c>
      <c r="D193" s="32">
        <v>4.72</v>
      </c>
      <c r="E193" s="32">
        <v>5.0599999999999996</v>
      </c>
      <c r="F193" s="32">
        <v>4.8899999999999997</v>
      </c>
      <c r="G193" s="32">
        <v>6.0999999999999999E-2</v>
      </c>
      <c r="H193" s="32">
        <v>0.80300000000000005</v>
      </c>
      <c r="I193" s="32">
        <v>1.5469999999999999</v>
      </c>
      <c r="J193" s="32">
        <v>1.7410000000000001</v>
      </c>
      <c r="K193" s="32">
        <v>5.32</v>
      </c>
      <c r="L193" s="32">
        <v>5.33</v>
      </c>
      <c r="M193" s="32">
        <v>5.3</v>
      </c>
      <c r="N193" s="32">
        <v>5.3</v>
      </c>
      <c r="O193" s="32">
        <v>148.46299743652344</v>
      </c>
      <c r="P193" s="29">
        <v>1.0546631813049316</v>
      </c>
      <c r="Q193" s="29">
        <v>107.3125</v>
      </c>
      <c r="R193" s="32">
        <v>2.6898</v>
      </c>
      <c r="S193" s="32">
        <v>0.74421642822265355</v>
      </c>
    </row>
    <row r="194" spans="1:19">
      <c r="A194" s="10">
        <v>45205</v>
      </c>
      <c r="B194" s="32">
        <v>5.08</v>
      </c>
      <c r="C194" s="32">
        <v>4.75</v>
      </c>
      <c r="D194" s="32">
        <v>4.78</v>
      </c>
      <c r="E194" s="32">
        <v>5.13</v>
      </c>
      <c r="F194" s="32">
        <v>4.95</v>
      </c>
      <c r="G194" s="32">
        <v>6.0999999999999999E-2</v>
      </c>
      <c r="H194" s="32">
        <v>0.80200000000000005</v>
      </c>
      <c r="I194" s="32">
        <v>1.5469999999999999</v>
      </c>
      <c r="J194" s="32">
        <v>1.75</v>
      </c>
      <c r="K194" s="32">
        <v>5.31</v>
      </c>
      <c r="L194" s="32">
        <v>5.33</v>
      </c>
      <c r="M194" s="32">
        <v>5.3</v>
      </c>
      <c r="N194" s="32">
        <v>5.3</v>
      </c>
      <c r="O194" s="32">
        <v>148.46299743652344</v>
      </c>
      <c r="P194" s="29">
        <v>1.0546631813049316</v>
      </c>
      <c r="Q194" s="29">
        <v>106.84375</v>
      </c>
      <c r="R194" s="32">
        <v>2.6515</v>
      </c>
      <c r="S194" s="32">
        <v>0.71965999999999752</v>
      </c>
    </row>
    <row r="195" spans="1:19">
      <c r="A195" s="10">
        <v>45209</v>
      </c>
      <c r="B195" s="32">
        <v>4.96</v>
      </c>
      <c r="C195" s="32">
        <v>4.62</v>
      </c>
      <c r="D195" s="32">
        <v>4.66</v>
      </c>
      <c r="E195" s="32">
        <v>5.03</v>
      </c>
      <c r="F195" s="32">
        <v>4.8499999999999996</v>
      </c>
      <c r="G195" s="32">
        <v>5.8000000000000003E-2</v>
      </c>
      <c r="H195" s="32">
        <v>0.77600000000000002</v>
      </c>
      <c r="I195" s="32">
        <v>1.5269999999999999</v>
      </c>
      <c r="J195" s="32">
        <v>1.7370000000000001</v>
      </c>
      <c r="K195" s="32">
        <v>5.31</v>
      </c>
      <c r="L195" s="32">
        <v>5.33</v>
      </c>
      <c r="M195" s="32">
        <v>5.3</v>
      </c>
      <c r="N195" s="32">
        <v>5.3</v>
      </c>
      <c r="O195" s="32">
        <v>148.62800598144531</v>
      </c>
      <c r="P195" s="29">
        <v>1.0604791641235352</v>
      </c>
      <c r="Q195" s="29">
        <v>107.71875</v>
      </c>
      <c r="R195" s="32">
        <v>2.6715</v>
      </c>
      <c r="S195" s="32">
        <v>0.6933499999999988</v>
      </c>
    </row>
    <row r="196" spans="1:19">
      <c r="A196" s="10">
        <v>45210</v>
      </c>
      <c r="B196" s="32">
        <v>4.99</v>
      </c>
      <c r="C196" s="32">
        <v>4.59</v>
      </c>
      <c r="D196" s="32">
        <v>4.58</v>
      </c>
      <c r="E196" s="32">
        <v>4.92</v>
      </c>
      <c r="F196" s="32">
        <v>4.7300000000000004</v>
      </c>
      <c r="G196" s="32">
        <v>5.8000000000000003E-2</v>
      </c>
      <c r="H196" s="32">
        <v>0.77600000000000002</v>
      </c>
      <c r="I196" s="32">
        <v>1.5149999999999999</v>
      </c>
      <c r="J196" s="32">
        <v>1.716</v>
      </c>
      <c r="K196" s="32">
        <v>5.31</v>
      </c>
      <c r="L196" s="32">
        <v>5.33</v>
      </c>
      <c r="M196" s="32">
        <v>5.3</v>
      </c>
      <c r="N196" s="32">
        <v>5.3</v>
      </c>
      <c r="O196" s="32">
        <v>149.03599548339844</v>
      </c>
      <c r="P196" s="29">
        <v>1.0624282360076904</v>
      </c>
      <c r="Q196" s="29">
        <v>107.9375</v>
      </c>
      <c r="R196" s="32">
        <v>2.5448</v>
      </c>
      <c r="S196" s="32">
        <v>0.67230178588867062</v>
      </c>
    </row>
    <row r="197" spans="1:19">
      <c r="A197" s="10">
        <v>45211</v>
      </c>
      <c r="B197" s="32">
        <v>5.0599999999999996</v>
      </c>
      <c r="C197" s="32">
        <v>4.6900000000000004</v>
      </c>
      <c r="D197" s="32">
        <v>4.7</v>
      </c>
      <c r="E197" s="32">
        <v>5.05</v>
      </c>
      <c r="F197" s="32">
        <v>4.8600000000000003</v>
      </c>
      <c r="G197" s="32">
        <v>4.7E-2</v>
      </c>
      <c r="H197" s="32">
        <v>0.75600000000000001</v>
      </c>
      <c r="I197" s="32">
        <v>1.478</v>
      </c>
      <c r="J197" s="32">
        <v>1.6819999999999999</v>
      </c>
      <c r="K197" s="32">
        <v>5.31</v>
      </c>
      <c r="L197" s="32">
        <v>5.33</v>
      </c>
      <c r="M197" s="32">
        <v>5.3</v>
      </c>
      <c r="N197" s="32">
        <v>5.3</v>
      </c>
      <c r="O197" s="32">
        <v>149.78999328613281</v>
      </c>
      <c r="P197" s="29">
        <v>1.0536741018295288</v>
      </c>
      <c r="Q197" s="29">
        <v>107.234375</v>
      </c>
      <c r="R197" s="32">
        <v>2.4981</v>
      </c>
      <c r="S197" s="32">
        <v>0.63722178588866996</v>
      </c>
    </row>
    <row r="198" spans="1:19">
      <c r="A198" s="10">
        <v>45212</v>
      </c>
      <c r="B198" s="32">
        <v>5.04</v>
      </c>
      <c r="C198" s="32">
        <v>4.6500000000000004</v>
      </c>
      <c r="D198" s="32">
        <v>4.63</v>
      </c>
      <c r="E198" s="32">
        <v>4.97</v>
      </c>
      <c r="F198" s="32">
        <v>4.78</v>
      </c>
      <c r="G198" s="32">
        <v>4.3999999999999997E-2</v>
      </c>
      <c r="H198" s="32">
        <v>0.76500000000000001</v>
      </c>
      <c r="I198" s="32">
        <v>1.492</v>
      </c>
      <c r="J198" s="32">
        <v>1.6990000000000001</v>
      </c>
      <c r="K198" s="32">
        <v>5.31</v>
      </c>
      <c r="L198" s="32">
        <v>5.33</v>
      </c>
      <c r="M198" s="32">
        <v>5.3</v>
      </c>
      <c r="N198" s="32">
        <v>5.3</v>
      </c>
      <c r="O198" s="32">
        <v>149.78999328613281</v>
      </c>
      <c r="P198" s="29">
        <v>1.0536741018295288</v>
      </c>
      <c r="Q198" s="29">
        <v>107.71875</v>
      </c>
      <c r="R198" s="32">
        <v>2.5586000000000002</v>
      </c>
      <c r="S198" s="32">
        <v>0.63722178588866996</v>
      </c>
    </row>
    <row r="199" spans="1:19">
      <c r="A199" s="10">
        <v>45215</v>
      </c>
      <c r="B199" s="32">
        <v>5.09</v>
      </c>
      <c r="C199" s="32">
        <v>4.72</v>
      </c>
      <c r="D199" s="32">
        <v>4.71</v>
      </c>
      <c r="E199" s="32">
        <v>5.0599999999999996</v>
      </c>
      <c r="F199" s="32">
        <v>4.87</v>
      </c>
      <c r="G199" s="32">
        <v>4.2999999999999997E-2</v>
      </c>
      <c r="H199" s="32">
        <v>0.75700000000000001</v>
      </c>
      <c r="I199" s="32">
        <v>1.5</v>
      </c>
      <c r="J199" s="32">
        <v>1.716</v>
      </c>
      <c r="K199" s="32">
        <v>5.31</v>
      </c>
      <c r="L199" s="32">
        <v>5.33</v>
      </c>
      <c r="M199" s="32">
        <v>5.3</v>
      </c>
      <c r="N199" s="32">
        <v>5.3</v>
      </c>
      <c r="O199" s="32">
        <v>149.5780029296875</v>
      </c>
      <c r="P199" s="29">
        <v>1.0554312467575073</v>
      </c>
      <c r="Q199" s="29">
        <v>107.203125</v>
      </c>
      <c r="R199" s="32">
        <v>2.5062000000000002</v>
      </c>
      <c r="S199" s="32">
        <v>0.6407299999999978</v>
      </c>
    </row>
    <row r="200" spans="1:19">
      <c r="A200" s="10">
        <v>45216</v>
      </c>
      <c r="B200" s="32">
        <v>5.19</v>
      </c>
      <c r="C200" s="32">
        <v>4.8600000000000003</v>
      </c>
      <c r="D200" s="32">
        <v>4.83</v>
      </c>
      <c r="E200" s="32">
        <v>5.14</v>
      </c>
      <c r="F200" s="32">
        <v>4.9400000000000004</v>
      </c>
      <c r="G200" s="32">
        <v>5.8999999999999997E-2</v>
      </c>
      <c r="H200" s="32">
        <v>0.78700000000000003</v>
      </c>
      <c r="I200" s="32">
        <v>1.5449999999999999</v>
      </c>
      <c r="J200" s="32">
        <v>1.7549999999999999</v>
      </c>
      <c r="K200" s="32">
        <v>5.31</v>
      </c>
      <c r="L200" s="32">
        <v>5.33</v>
      </c>
      <c r="M200" s="32">
        <v>5.3</v>
      </c>
      <c r="N200" s="32">
        <v>5.3</v>
      </c>
      <c r="O200" s="32">
        <v>149.75900268554688</v>
      </c>
      <c r="P200" s="29">
        <v>1.0573059320449829</v>
      </c>
      <c r="Q200" s="29">
        <v>106.21875</v>
      </c>
      <c r="R200" s="32">
        <v>2.5413000000000001</v>
      </c>
      <c r="S200" s="32">
        <v>0.68458000000000041</v>
      </c>
    </row>
    <row r="201" spans="1:19">
      <c r="A201" s="10">
        <v>45217</v>
      </c>
      <c r="B201" s="32">
        <v>5.19</v>
      </c>
      <c r="C201" s="32">
        <v>4.92</v>
      </c>
      <c r="D201" s="32">
        <v>4.91</v>
      </c>
      <c r="E201" s="32">
        <v>5.2</v>
      </c>
      <c r="F201" s="32">
        <v>5</v>
      </c>
      <c r="G201" s="32">
        <v>7.0000000000000007E-2</v>
      </c>
      <c r="H201" s="32">
        <v>0.81100000000000005</v>
      </c>
      <c r="I201" s="32">
        <v>1.571</v>
      </c>
      <c r="J201" s="32">
        <v>1.7669999999999999</v>
      </c>
      <c r="K201" s="32">
        <v>5.3</v>
      </c>
      <c r="L201" s="32">
        <v>5.33</v>
      </c>
      <c r="M201" s="32">
        <v>5.3</v>
      </c>
      <c r="N201" s="32">
        <v>5.3</v>
      </c>
      <c r="O201" s="32">
        <v>149.74200439453125</v>
      </c>
      <c r="P201" s="29">
        <v>1.053851842880249</v>
      </c>
      <c r="Q201" s="29">
        <v>105.875</v>
      </c>
      <c r="R201" s="32">
        <v>2.6019999999999999</v>
      </c>
      <c r="S201" s="32">
        <v>0.73018357177734217</v>
      </c>
    </row>
    <row r="202" spans="1:19">
      <c r="A202" s="10">
        <v>45218</v>
      </c>
      <c r="B202" s="32">
        <v>5.14</v>
      </c>
      <c r="C202" s="32">
        <v>4.95</v>
      </c>
      <c r="D202" s="32">
        <v>4.9800000000000004</v>
      </c>
      <c r="E202" s="32">
        <v>5.3</v>
      </c>
      <c r="F202" s="32">
        <v>5.1100000000000003</v>
      </c>
      <c r="G202" s="32">
        <v>8.1000000000000003E-2</v>
      </c>
      <c r="H202" s="32">
        <v>0.84499999999999997</v>
      </c>
      <c r="I202" s="32">
        <v>1.607</v>
      </c>
      <c r="J202" s="32">
        <v>1.8</v>
      </c>
      <c r="K202" s="32">
        <v>5.3</v>
      </c>
      <c r="L202" s="32">
        <v>5.33</v>
      </c>
      <c r="M202" s="32">
        <v>5.3</v>
      </c>
      <c r="N202" s="32">
        <v>5.3</v>
      </c>
      <c r="O202" s="32">
        <v>149.802001953125</v>
      </c>
      <c r="P202" s="29">
        <v>1.0586491823196411</v>
      </c>
      <c r="Q202" s="29">
        <v>105.421875</v>
      </c>
      <c r="R202" s="32">
        <v>2.6730999999999998</v>
      </c>
      <c r="S202" s="32">
        <v>0.75473999999999819</v>
      </c>
    </row>
    <row r="203" spans="1:19">
      <c r="A203" s="10">
        <v>45219</v>
      </c>
      <c r="B203" s="32">
        <v>5.07</v>
      </c>
      <c r="C203" s="32">
        <v>4.8600000000000003</v>
      </c>
      <c r="D203" s="32">
        <v>4.93</v>
      </c>
      <c r="E203" s="32">
        <v>5.27</v>
      </c>
      <c r="F203" s="32">
        <v>5.09</v>
      </c>
      <c r="G203" s="32">
        <v>7.4999999999999997E-2</v>
      </c>
      <c r="H203" s="32">
        <v>0.84099999999999997</v>
      </c>
      <c r="I203" s="32">
        <v>1.6160000000000001</v>
      </c>
      <c r="J203" s="32">
        <v>1.8169999999999999</v>
      </c>
      <c r="K203" s="32">
        <v>5.3</v>
      </c>
      <c r="L203" s="32">
        <v>5.33</v>
      </c>
      <c r="M203" s="32">
        <v>5.3</v>
      </c>
      <c r="N203" s="32">
        <v>5.3</v>
      </c>
      <c r="O203" s="32">
        <v>149.802001953125</v>
      </c>
      <c r="P203" s="29">
        <v>1.0586491823196411</v>
      </c>
      <c r="Q203" s="29">
        <v>106</v>
      </c>
      <c r="R203" s="32">
        <v>2.5878999999999999</v>
      </c>
      <c r="S203" s="32">
        <v>0.78981999999999886</v>
      </c>
    </row>
    <row r="204" spans="1:19">
      <c r="A204" s="10">
        <v>45222</v>
      </c>
      <c r="B204" s="32">
        <v>5.05</v>
      </c>
      <c r="C204" s="32">
        <v>4.8099999999999996</v>
      </c>
      <c r="D204" s="32">
        <v>4.8600000000000003</v>
      </c>
      <c r="E204" s="32">
        <v>5.19</v>
      </c>
      <c r="F204" s="32">
        <v>5.01</v>
      </c>
      <c r="G204" s="32">
        <v>8.6999999999999994E-2</v>
      </c>
      <c r="H204" s="32">
        <v>0.86499999999999999</v>
      </c>
      <c r="I204" s="32">
        <v>1.66</v>
      </c>
      <c r="J204" s="32">
        <v>1.8680000000000001</v>
      </c>
      <c r="K204" s="32">
        <v>5.3</v>
      </c>
      <c r="L204" s="32">
        <v>5.33</v>
      </c>
      <c r="M204" s="32">
        <v>5.3</v>
      </c>
      <c r="N204" s="32">
        <v>5.3</v>
      </c>
      <c r="O204" s="32">
        <v>149.76899719238281</v>
      </c>
      <c r="P204" s="29">
        <v>1.0669853687286377</v>
      </c>
      <c r="Q204" s="29">
        <v>106.484375</v>
      </c>
      <c r="R204" s="32">
        <v>2.5367000000000002</v>
      </c>
      <c r="S204" s="32">
        <v>0.80735999999999919</v>
      </c>
    </row>
    <row r="205" spans="1:19">
      <c r="A205" s="10">
        <v>45223</v>
      </c>
      <c r="B205" s="32">
        <v>5.0199999999999996</v>
      </c>
      <c r="C205" s="32">
        <v>4.82</v>
      </c>
      <c r="D205" s="32">
        <v>4.83</v>
      </c>
      <c r="E205" s="32">
        <v>5.15</v>
      </c>
      <c r="F205" s="32">
        <v>4.96</v>
      </c>
      <c r="G205" s="32">
        <v>8.2000000000000003E-2</v>
      </c>
      <c r="H205" s="32">
        <v>0.84599999999999997</v>
      </c>
      <c r="I205" s="32">
        <v>1.6339999999999999</v>
      </c>
      <c r="J205" s="32">
        <v>1.847</v>
      </c>
      <c r="K205" s="32">
        <v>5.3</v>
      </c>
      <c r="L205" s="32">
        <v>5.33</v>
      </c>
      <c r="M205" s="32">
        <v>5.3</v>
      </c>
      <c r="N205" s="32">
        <v>5.3</v>
      </c>
      <c r="O205" s="32">
        <v>149.85400390625</v>
      </c>
      <c r="P205" s="29">
        <v>1.0595352649688721</v>
      </c>
      <c r="Q205" s="29">
        <v>106.359375</v>
      </c>
      <c r="R205" s="32">
        <v>2.5165000000000002</v>
      </c>
      <c r="S205" s="32">
        <v>0.82314642822265327</v>
      </c>
    </row>
    <row r="206" spans="1:19">
      <c r="A206" s="10">
        <v>45224</v>
      </c>
      <c r="B206" s="32">
        <v>5.08</v>
      </c>
      <c r="C206" s="32">
        <v>4.8899999999999997</v>
      </c>
      <c r="D206" s="32">
        <v>4.95</v>
      </c>
      <c r="E206" s="32">
        <v>5.27</v>
      </c>
      <c r="F206" s="32">
        <v>5.09</v>
      </c>
      <c r="G206" s="32">
        <v>7.6999999999999999E-2</v>
      </c>
      <c r="H206" s="32">
        <v>0.85599999999999998</v>
      </c>
      <c r="I206" s="32">
        <v>1.621</v>
      </c>
      <c r="J206" s="32">
        <v>1.8260000000000001</v>
      </c>
      <c r="K206" s="32">
        <v>5.3</v>
      </c>
      <c r="L206" s="32">
        <v>5.33</v>
      </c>
      <c r="M206" s="32">
        <v>5.3</v>
      </c>
      <c r="N206" s="32">
        <v>5.3</v>
      </c>
      <c r="O206" s="32">
        <v>150.09800720214844</v>
      </c>
      <c r="P206" s="29">
        <v>1.056725025177002</v>
      </c>
      <c r="Q206" s="29">
        <v>105.671875</v>
      </c>
      <c r="R206" s="32">
        <v>2.4941</v>
      </c>
      <c r="S206" s="32">
        <v>0.80735999999999919</v>
      </c>
    </row>
    <row r="207" spans="1:19">
      <c r="A207" s="10">
        <v>45225</v>
      </c>
      <c r="B207" s="32">
        <v>5.0199999999999996</v>
      </c>
      <c r="C207" s="32">
        <v>4.79</v>
      </c>
      <c r="D207" s="32">
        <v>4.8600000000000003</v>
      </c>
      <c r="E207" s="32">
        <v>5.19</v>
      </c>
      <c r="F207" s="32">
        <v>5.01</v>
      </c>
      <c r="G207" s="32">
        <v>9.2999999999999999E-2</v>
      </c>
      <c r="H207" s="32">
        <v>0.88400000000000001</v>
      </c>
      <c r="I207" s="32">
        <v>1.651</v>
      </c>
      <c r="J207" s="32">
        <v>1.8440000000000001</v>
      </c>
      <c r="K207" s="32">
        <v>5.31</v>
      </c>
      <c r="L207" s="32">
        <v>5.33</v>
      </c>
      <c r="M207" s="32">
        <v>5.3</v>
      </c>
      <c r="N207" s="32">
        <v>5.3</v>
      </c>
      <c r="O207" s="32">
        <v>150.36599731445313</v>
      </c>
      <c r="P207" s="29">
        <v>1.0564459562301636</v>
      </c>
      <c r="Q207" s="29">
        <v>106.34375</v>
      </c>
      <c r="R207" s="32">
        <v>2.5299999999999998</v>
      </c>
      <c r="S207" s="32">
        <v>0.83016178588867007</v>
      </c>
    </row>
    <row r="208" spans="1:19">
      <c r="A208" s="10">
        <v>45226</v>
      </c>
      <c r="B208" s="32">
        <v>4.99</v>
      </c>
      <c r="C208" s="32">
        <v>4.76</v>
      </c>
      <c r="D208" s="32">
        <v>4.84</v>
      </c>
      <c r="E208" s="32">
        <v>5.19</v>
      </c>
      <c r="F208" s="32">
        <v>5.03</v>
      </c>
      <c r="G208" s="32">
        <v>9.4E-2</v>
      </c>
      <c r="H208" s="32">
        <v>0.875</v>
      </c>
      <c r="I208" s="32">
        <v>1.647</v>
      </c>
      <c r="J208" s="32">
        <v>1.831</v>
      </c>
      <c r="K208" s="32">
        <v>5.31</v>
      </c>
      <c r="L208" s="32">
        <v>5.33</v>
      </c>
      <c r="M208" s="32">
        <v>5.3</v>
      </c>
      <c r="N208" s="32">
        <v>5.3</v>
      </c>
      <c r="O208" s="32">
        <v>150.36599731445313</v>
      </c>
      <c r="P208" s="29">
        <v>1.0564459562301636</v>
      </c>
      <c r="Q208" s="29">
        <v>106.421875</v>
      </c>
      <c r="R208" s="32">
        <v>2.5173000000000001</v>
      </c>
      <c r="S208" s="32">
        <v>0.82489999999999952</v>
      </c>
    </row>
    <row r="209" spans="1:19">
      <c r="A209" s="10">
        <v>45229</v>
      </c>
      <c r="B209" s="32">
        <v>5.03</v>
      </c>
      <c r="C209" s="32">
        <v>4.8</v>
      </c>
      <c r="D209" s="32">
        <v>4.88</v>
      </c>
      <c r="E209" s="32">
        <v>5.21</v>
      </c>
      <c r="F209" s="32">
        <v>5.04</v>
      </c>
      <c r="G209" s="32">
        <v>0.11899999999999999</v>
      </c>
      <c r="H209" s="32">
        <v>0.89500000000000002</v>
      </c>
      <c r="I209" s="32">
        <v>1.6639999999999999</v>
      </c>
      <c r="J209" s="32">
        <v>1.8480000000000001</v>
      </c>
      <c r="K209" s="32">
        <v>5.31</v>
      </c>
      <c r="L209" s="32">
        <v>5.33</v>
      </c>
      <c r="M209" s="32">
        <v>5.3</v>
      </c>
      <c r="N209" s="32">
        <v>5.3</v>
      </c>
      <c r="O209" s="32">
        <v>149.73300170898438</v>
      </c>
      <c r="P209" s="29">
        <v>1.0562450885772705</v>
      </c>
      <c r="Q209" s="29">
        <v>106.21875</v>
      </c>
      <c r="R209" s="32">
        <v>2.4462000000000002</v>
      </c>
      <c r="S209" s="32">
        <v>0.83016178588867007</v>
      </c>
    </row>
    <row r="210" spans="1:19">
      <c r="A210" s="10">
        <v>45230</v>
      </c>
      <c r="B210" s="32">
        <v>5.07</v>
      </c>
      <c r="C210" s="32">
        <v>4.82</v>
      </c>
      <c r="D210" s="32">
        <v>4.88</v>
      </c>
      <c r="E210" s="32">
        <v>5.21</v>
      </c>
      <c r="F210" s="32">
        <v>5.04</v>
      </c>
      <c r="G210" s="32">
        <v>0.14899999999999999</v>
      </c>
      <c r="H210" s="32">
        <v>0.95199999999999996</v>
      </c>
      <c r="I210" s="32">
        <v>1.6990000000000001</v>
      </c>
      <c r="J210" s="32">
        <v>1.8640000000000001</v>
      </c>
      <c r="K210" s="32">
        <v>5.35</v>
      </c>
      <c r="L210" s="32">
        <v>5.33</v>
      </c>
      <c r="M210" s="32">
        <v>5.3</v>
      </c>
      <c r="N210" s="32">
        <v>5.3</v>
      </c>
      <c r="O210" s="32">
        <v>149.11099243164063</v>
      </c>
      <c r="P210" s="29">
        <v>1.061503529548645</v>
      </c>
      <c r="Q210" s="29">
        <v>106.171875</v>
      </c>
      <c r="R210" s="32">
        <v>2.3925000000000001</v>
      </c>
      <c r="S210" s="32">
        <v>0.86173357177734289</v>
      </c>
    </row>
    <row r="211" spans="1:19">
      <c r="A211" s="10">
        <v>45231</v>
      </c>
      <c r="B211" s="32">
        <v>4.95</v>
      </c>
      <c r="C211" s="32">
        <v>4.67</v>
      </c>
      <c r="D211" s="32">
        <v>4.7699999999999996</v>
      </c>
      <c r="E211" s="32">
        <v>5.13</v>
      </c>
      <c r="F211" s="32">
        <v>4.96</v>
      </c>
      <c r="G211" s="32">
        <v>0.155</v>
      </c>
      <c r="H211" s="32">
        <v>0.95899999999999996</v>
      </c>
      <c r="I211" s="32">
        <v>1.708</v>
      </c>
      <c r="J211" s="32">
        <v>1.88</v>
      </c>
      <c r="K211" s="32">
        <v>5.32</v>
      </c>
      <c r="L211" s="32">
        <v>5.33</v>
      </c>
      <c r="M211" s="32">
        <v>5.3</v>
      </c>
      <c r="N211" s="32">
        <v>5.3</v>
      </c>
      <c r="O211" s="32">
        <v>151.29400634765625</v>
      </c>
      <c r="P211" s="29">
        <v>1.0579099655151367</v>
      </c>
      <c r="Q211" s="29">
        <v>106.859375</v>
      </c>
      <c r="R211" s="32">
        <v>2.4142000000000001</v>
      </c>
      <c r="S211" s="32">
        <v>0.94066357177734261</v>
      </c>
    </row>
    <row r="212" spans="1:19">
      <c r="A212" s="10">
        <v>45232</v>
      </c>
      <c r="B212" s="32">
        <v>4.9800000000000004</v>
      </c>
      <c r="C212" s="32">
        <v>4.6500000000000004</v>
      </c>
      <c r="D212" s="32">
        <v>4.67</v>
      </c>
      <c r="E212" s="32">
        <v>4.99</v>
      </c>
      <c r="F212" s="32">
        <v>4.82</v>
      </c>
      <c r="G212" s="32">
        <v>0.13500000000000001</v>
      </c>
      <c r="H212" s="32">
        <v>0.92</v>
      </c>
      <c r="I212" s="32">
        <v>1.6719999999999999</v>
      </c>
      <c r="J212" s="32">
        <v>1.851</v>
      </c>
      <c r="K212" s="32">
        <v>5.33</v>
      </c>
      <c r="L212" s="32">
        <v>5.33</v>
      </c>
      <c r="M212" s="32">
        <v>5.3</v>
      </c>
      <c r="N212" s="32">
        <v>5.3</v>
      </c>
      <c r="O212" s="32">
        <v>150.57499694824219</v>
      </c>
      <c r="P212" s="29">
        <v>1.05870521068573</v>
      </c>
      <c r="Q212" s="29">
        <v>107.484375</v>
      </c>
      <c r="R212" s="32">
        <v>2.3797999999999999</v>
      </c>
      <c r="S212" s="32">
        <v>0.83893178588867201</v>
      </c>
    </row>
    <row r="213" spans="1:19">
      <c r="A213" s="10">
        <v>45233</v>
      </c>
      <c r="B213" s="32">
        <v>4.83</v>
      </c>
      <c r="C213" s="32">
        <v>4.49</v>
      </c>
      <c r="D213" s="32">
        <v>4.57</v>
      </c>
      <c r="E213" s="32">
        <v>4.93</v>
      </c>
      <c r="F213" s="32">
        <v>4.7699999999999996</v>
      </c>
      <c r="G213" s="32">
        <v>0.13500000000000001</v>
      </c>
      <c r="H213" s="32">
        <v>0.92</v>
      </c>
      <c r="I213" s="32">
        <v>1.6719999999999999</v>
      </c>
      <c r="J213" s="32">
        <v>1.851</v>
      </c>
      <c r="K213" s="32">
        <v>5.32</v>
      </c>
      <c r="L213" s="32">
        <v>5.33</v>
      </c>
      <c r="M213" s="32">
        <v>5.3</v>
      </c>
      <c r="N213" s="32">
        <v>5.3</v>
      </c>
      <c r="O213" s="32">
        <v>150.49699401855469</v>
      </c>
      <c r="P213" s="29">
        <v>1.0619093179702759</v>
      </c>
      <c r="Q213" s="29">
        <v>108.359375</v>
      </c>
      <c r="R213" s="32">
        <v>2.2786</v>
      </c>
      <c r="S213" s="32">
        <v>0.83893178588867201</v>
      </c>
    </row>
    <row r="214" spans="1:19">
      <c r="A214" s="10">
        <v>45236</v>
      </c>
      <c r="B214" s="32">
        <v>4.93</v>
      </c>
      <c r="C214" s="32">
        <v>4.5999999999999996</v>
      </c>
      <c r="D214" s="32">
        <v>4.67</v>
      </c>
      <c r="E214" s="32">
        <v>5</v>
      </c>
      <c r="F214" s="32">
        <v>4.84</v>
      </c>
      <c r="G214" s="32">
        <v>0.127</v>
      </c>
      <c r="H214" s="32">
        <v>0.876</v>
      </c>
      <c r="I214" s="32">
        <v>1.621</v>
      </c>
      <c r="J214" s="32">
        <v>1.8140000000000001</v>
      </c>
      <c r="K214" s="32">
        <v>5.32</v>
      </c>
      <c r="L214" s="32">
        <v>5.33</v>
      </c>
      <c r="M214" s="32">
        <v>5.3</v>
      </c>
      <c r="N214" s="32">
        <v>5.3</v>
      </c>
      <c r="O214" s="32">
        <v>149.44900512695313</v>
      </c>
      <c r="P214" s="29">
        <v>1.0732147693634033</v>
      </c>
      <c r="Q214" s="29">
        <v>107.59375</v>
      </c>
      <c r="R214" s="32">
        <v>2.2566000000000002</v>
      </c>
      <c r="S214" s="32">
        <v>0.78280357177734317</v>
      </c>
    </row>
    <row r="215" spans="1:19">
      <c r="A215" s="10">
        <v>45237</v>
      </c>
      <c r="B215" s="32">
        <v>4.91</v>
      </c>
      <c r="C215" s="32">
        <v>4.53</v>
      </c>
      <c r="D215" s="32">
        <v>4.58</v>
      </c>
      <c r="E215" s="32">
        <v>4.91</v>
      </c>
      <c r="F215" s="32">
        <v>4.75</v>
      </c>
      <c r="G215" s="32">
        <v>0.127</v>
      </c>
      <c r="H215" s="32">
        <v>0.88200000000000001</v>
      </c>
      <c r="I215" s="32">
        <v>1.6160000000000001</v>
      </c>
      <c r="J215" s="32">
        <v>1.81</v>
      </c>
      <c r="K215" s="32">
        <v>5.32</v>
      </c>
      <c r="L215" s="32">
        <v>5.33</v>
      </c>
      <c r="M215" s="32">
        <v>5.3</v>
      </c>
      <c r="N215" s="32">
        <v>5.3</v>
      </c>
      <c r="O215" s="32">
        <v>149.98899841308594</v>
      </c>
      <c r="P215" s="29">
        <v>1.0721560716629028</v>
      </c>
      <c r="Q215" s="29">
        <v>108.125</v>
      </c>
      <c r="R215" s="32">
        <v>2.3763000000000001</v>
      </c>
      <c r="S215" s="32">
        <v>0.83366999999999791</v>
      </c>
    </row>
    <row r="216" spans="1:19">
      <c r="A216" s="10">
        <v>45238</v>
      </c>
      <c r="B216" s="32">
        <v>4.93</v>
      </c>
      <c r="C216" s="32">
        <v>4.51</v>
      </c>
      <c r="D216" s="32">
        <v>4.49</v>
      </c>
      <c r="E216" s="32">
        <v>4.82</v>
      </c>
      <c r="F216" s="32">
        <v>4.6399999999999997</v>
      </c>
      <c r="G216" s="32">
        <v>0.11700000000000001</v>
      </c>
      <c r="H216" s="32">
        <v>0.85199999999999998</v>
      </c>
      <c r="I216" s="32">
        <v>1.577</v>
      </c>
      <c r="J216" s="32">
        <v>1.7729999999999999</v>
      </c>
      <c r="K216" s="32">
        <v>5.32</v>
      </c>
      <c r="L216" s="32">
        <v>5.33</v>
      </c>
      <c r="M216" s="32">
        <v>5.3</v>
      </c>
      <c r="N216" s="32">
        <v>5.3</v>
      </c>
      <c r="O216" s="32">
        <v>150.39599609375</v>
      </c>
      <c r="P216" s="29">
        <v>1.0696102380752563</v>
      </c>
      <c r="Q216" s="29">
        <v>108.328125</v>
      </c>
      <c r="R216" s="32">
        <v>2.2703000000000002</v>
      </c>
      <c r="S216" s="32">
        <v>0.7407082141113257</v>
      </c>
    </row>
    <row r="217" spans="1:19">
      <c r="A217" s="10">
        <v>45239</v>
      </c>
      <c r="B217" s="32">
        <v>5.03</v>
      </c>
      <c r="C217" s="32">
        <v>4.6500000000000004</v>
      </c>
      <c r="D217" s="32">
        <v>4.62</v>
      </c>
      <c r="E217" s="32">
        <v>4.97</v>
      </c>
      <c r="F217" s="32">
        <v>4.7699999999999996</v>
      </c>
      <c r="G217" s="32">
        <v>0.107</v>
      </c>
      <c r="H217" s="32">
        <v>0.84299999999999997</v>
      </c>
      <c r="I217" s="32">
        <v>1.536</v>
      </c>
      <c r="J217" s="32">
        <v>1.726</v>
      </c>
      <c r="K217" s="32">
        <v>5.32</v>
      </c>
      <c r="L217" s="32">
        <v>5.33</v>
      </c>
      <c r="M217" s="32">
        <v>5.3</v>
      </c>
      <c r="N217" s="32">
        <v>5.3</v>
      </c>
      <c r="O217" s="32">
        <v>150.86399841308594</v>
      </c>
      <c r="P217" s="29">
        <v>1.0710422992706299</v>
      </c>
      <c r="Q217" s="29">
        <v>107.53125</v>
      </c>
      <c r="R217" s="32">
        <v>2.181</v>
      </c>
      <c r="S217" s="32">
        <v>0.71965999999999752</v>
      </c>
    </row>
    <row r="218" spans="1:19">
      <c r="A218" s="10">
        <v>45240</v>
      </c>
      <c r="B218" s="32">
        <v>5.04</v>
      </c>
      <c r="C218" s="32">
        <v>4.6500000000000004</v>
      </c>
      <c r="D218" s="32">
        <v>4.6100000000000003</v>
      </c>
      <c r="E218" s="32">
        <v>4.93</v>
      </c>
      <c r="F218" s="32">
        <v>4.7300000000000004</v>
      </c>
      <c r="G218" s="32">
        <v>0.108</v>
      </c>
      <c r="H218" s="32">
        <v>0.85899999999999999</v>
      </c>
      <c r="I218" s="32">
        <v>1.5549999999999999</v>
      </c>
      <c r="J218" s="32">
        <v>1.7430000000000001</v>
      </c>
      <c r="K218" s="32">
        <v>5.32</v>
      </c>
      <c r="L218" s="32">
        <v>5.33</v>
      </c>
      <c r="M218" s="32">
        <v>5.3</v>
      </c>
      <c r="N218" s="32">
        <v>5.3</v>
      </c>
      <c r="O218" s="32">
        <v>151.3489990234375</v>
      </c>
      <c r="P218" s="29">
        <v>1.0667576789855957</v>
      </c>
      <c r="Q218" s="29">
        <v>107.421875</v>
      </c>
      <c r="R218" s="32">
        <v>2.1989999999999998</v>
      </c>
      <c r="S218" s="32">
        <v>0.76351000000000013</v>
      </c>
    </row>
    <row r="219" spans="1:19">
      <c r="A219" s="10">
        <v>45243</v>
      </c>
      <c r="B219" s="32">
        <v>5.0199999999999996</v>
      </c>
      <c r="C219" s="32">
        <v>4.66</v>
      </c>
      <c r="D219" s="32">
        <v>4.63</v>
      </c>
      <c r="E219" s="32">
        <v>4.95</v>
      </c>
      <c r="F219" s="32">
        <v>4.75</v>
      </c>
      <c r="G219" s="32">
        <v>0.10299999999999999</v>
      </c>
      <c r="H219" s="32">
        <v>0.879</v>
      </c>
      <c r="I219" s="32">
        <v>1.577</v>
      </c>
      <c r="J219" s="32">
        <v>1.7729999999999999</v>
      </c>
      <c r="K219" s="32">
        <v>5.32</v>
      </c>
      <c r="L219" s="32">
        <v>5.33</v>
      </c>
      <c r="M219" s="32">
        <v>5.3</v>
      </c>
      <c r="N219" s="32">
        <v>5.3</v>
      </c>
      <c r="O219" s="32">
        <v>151.468994140625</v>
      </c>
      <c r="P219" s="29">
        <v>1.0690156221389771</v>
      </c>
      <c r="Q219" s="29">
        <v>107.4375</v>
      </c>
      <c r="R219" s="32">
        <v>2.2212999999999998</v>
      </c>
      <c r="S219" s="32">
        <v>0.81086821411132703</v>
      </c>
    </row>
    <row r="220" spans="1:19">
      <c r="A220" s="10">
        <v>45244</v>
      </c>
      <c r="B220" s="32">
        <v>4.8</v>
      </c>
      <c r="C220" s="32">
        <v>4.42</v>
      </c>
      <c r="D220" s="32">
        <v>4.4400000000000004</v>
      </c>
      <c r="E220" s="32">
        <v>4.8</v>
      </c>
      <c r="F220" s="32">
        <v>4.6100000000000003</v>
      </c>
      <c r="G220" s="32">
        <v>9.2999999999999999E-2</v>
      </c>
      <c r="H220" s="32">
        <v>0.86</v>
      </c>
      <c r="I220" s="32">
        <v>1.5649999999999999</v>
      </c>
      <c r="J220" s="32">
        <v>1.7629999999999999</v>
      </c>
      <c r="K220" s="32">
        <v>5.32</v>
      </c>
      <c r="L220" s="32">
        <v>5.33</v>
      </c>
      <c r="M220" s="32">
        <v>5.3</v>
      </c>
      <c r="N220" s="32">
        <v>5.3</v>
      </c>
      <c r="O220" s="32">
        <v>151.64599609375</v>
      </c>
      <c r="P220" s="29">
        <v>1.0701825618743896</v>
      </c>
      <c r="Q220" s="29">
        <v>108.90625</v>
      </c>
      <c r="R220" s="32">
        <v>2.2616999999999998</v>
      </c>
      <c r="S220" s="32">
        <v>0.77227999999999852</v>
      </c>
    </row>
    <row r="221" spans="1:19">
      <c r="A221" s="10">
        <v>45245</v>
      </c>
      <c r="B221" s="32">
        <v>4.9000000000000004</v>
      </c>
      <c r="C221" s="32">
        <v>4.5199999999999996</v>
      </c>
      <c r="D221" s="32">
        <v>4.53</v>
      </c>
      <c r="E221" s="32">
        <v>4.87</v>
      </c>
      <c r="F221" s="32">
        <v>4.68</v>
      </c>
      <c r="G221" s="32">
        <v>6.9000000000000006E-2</v>
      </c>
      <c r="H221" s="32">
        <v>0.80700000000000005</v>
      </c>
      <c r="I221" s="32">
        <v>1.5109999999999999</v>
      </c>
      <c r="J221" s="32">
        <v>1.7170000000000001</v>
      </c>
      <c r="K221" s="32">
        <v>5.32</v>
      </c>
      <c r="L221" s="32">
        <v>5.33</v>
      </c>
      <c r="M221" s="32">
        <v>5.3</v>
      </c>
      <c r="N221" s="32">
        <v>5.3</v>
      </c>
      <c r="O221" s="32">
        <v>150.48500061035156</v>
      </c>
      <c r="P221" s="29">
        <v>1.0878314971923828</v>
      </c>
      <c r="Q221" s="29">
        <v>108.21875</v>
      </c>
      <c r="R221" s="32">
        <v>2.1617999999999999</v>
      </c>
      <c r="S221" s="32">
        <v>0.65476178588867029</v>
      </c>
    </row>
    <row r="222" spans="1:19">
      <c r="A222" s="10">
        <v>45246</v>
      </c>
      <c r="B222" s="32">
        <v>4.83</v>
      </c>
      <c r="C222" s="32">
        <v>4.43</v>
      </c>
      <c r="D222" s="32">
        <v>4.45</v>
      </c>
      <c r="E222" s="32">
        <v>4.82</v>
      </c>
      <c r="F222" s="32">
        <v>4.63</v>
      </c>
      <c r="G222" s="32">
        <v>5.7000000000000002E-2</v>
      </c>
      <c r="H222" s="32">
        <v>0.79800000000000004</v>
      </c>
      <c r="I222" s="32">
        <v>1.52</v>
      </c>
      <c r="J222" s="32">
        <v>1.7290000000000001</v>
      </c>
      <c r="K222" s="32">
        <v>5.32</v>
      </c>
      <c r="L222" s="32">
        <v>5.33</v>
      </c>
      <c r="M222" s="32">
        <v>5.3</v>
      </c>
      <c r="N222" s="32">
        <v>5.3</v>
      </c>
      <c r="O222" s="32">
        <v>151.21499633789063</v>
      </c>
      <c r="P222" s="29">
        <v>1.0854581594467163</v>
      </c>
      <c r="Q222" s="29">
        <v>108.859375</v>
      </c>
      <c r="R222" s="32">
        <v>2.1463999999999999</v>
      </c>
      <c r="S222" s="32">
        <v>0.65125357177734244</v>
      </c>
    </row>
    <row r="223" spans="1:19">
      <c r="A223" s="10">
        <v>45247</v>
      </c>
      <c r="B223" s="32">
        <v>4.88</v>
      </c>
      <c r="C223" s="32">
        <v>4.45</v>
      </c>
      <c r="D223" s="32">
        <v>4.4400000000000004</v>
      </c>
      <c r="E223" s="32">
        <v>4.8</v>
      </c>
      <c r="F223" s="32">
        <v>4.59</v>
      </c>
      <c r="G223" s="32">
        <v>4.5999999999999999E-2</v>
      </c>
      <c r="H223" s="32">
        <v>0.76500000000000001</v>
      </c>
      <c r="I223" s="32">
        <v>1.484</v>
      </c>
      <c r="J223" s="32">
        <v>1.694</v>
      </c>
      <c r="K223" s="32">
        <v>5.32</v>
      </c>
      <c r="L223" s="32">
        <v>5.33</v>
      </c>
      <c r="M223" s="32">
        <v>5.3</v>
      </c>
      <c r="N223" s="32">
        <v>5.3</v>
      </c>
      <c r="O223" s="32">
        <v>150.70500183105469</v>
      </c>
      <c r="P223" s="29">
        <v>1.0853756666183472</v>
      </c>
      <c r="Q223" s="29">
        <v>108.75</v>
      </c>
      <c r="R223" s="32">
        <v>2.0531000000000001</v>
      </c>
      <c r="S223" s="32">
        <v>0.58460178588866896</v>
      </c>
    </row>
    <row r="224" spans="1:19">
      <c r="A224" s="10">
        <v>45250</v>
      </c>
      <c r="B224" s="32">
        <v>4.8899999999999997</v>
      </c>
      <c r="C224" s="32">
        <v>4.4400000000000004</v>
      </c>
      <c r="D224" s="32">
        <v>4.42</v>
      </c>
      <c r="E224" s="32">
        <v>4.74</v>
      </c>
      <c r="F224" s="32">
        <v>4.57</v>
      </c>
      <c r="G224" s="32">
        <v>4.5999999999999999E-2</v>
      </c>
      <c r="H224" s="32">
        <v>0.75600000000000001</v>
      </c>
      <c r="I224" s="32">
        <v>1.4710000000000001</v>
      </c>
      <c r="J224" s="32">
        <v>1.6850000000000001</v>
      </c>
      <c r="K224" s="32">
        <v>5.31</v>
      </c>
      <c r="L224" s="32">
        <v>5.33</v>
      </c>
      <c r="M224" s="32">
        <v>5.3</v>
      </c>
      <c r="N224" s="32">
        <v>5.3</v>
      </c>
      <c r="O224" s="32">
        <v>149.94200134277344</v>
      </c>
      <c r="P224" s="29">
        <v>1.0907027721405029</v>
      </c>
      <c r="Q224" s="29">
        <v>108.84375</v>
      </c>
      <c r="R224" s="32">
        <v>2.0316000000000001</v>
      </c>
      <c r="S224" s="32">
        <v>0.60214178588866929</v>
      </c>
    </row>
    <row r="225" spans="1:19">
      <c r="A225" s="10">
        <v>45251</v>
      </c>
      <c r="B225" s="32">
        <v>4.8600000000000003</v>
      </c>
      <c r="C225" s="32">
        <v>4.41</v>
      </c>
      <c r="D225" s="32">
        <v>4.41</v>
      </c>
      <c r="E225" s="32">
        <v>4.75</v>
      </c>
      <c r="F225" s="32">
        <v>4.57</v>
      </c>
      <c r="G225" s="32">
        <v>3.5999999999999997E-2</v>
      </c>
      <c r="H225" s="32">
        <v>0.71199999999999997</v>
      </c>
      <c r="I225" s="32">
        <v>1.413</v>
      </c>
      <c r="J225" s="32">
        <v>1.6220000000000001</v>
      </c>
      <c r="K225" s="32">
        <v>5.31</v>
      </c>
      <c r="L225" s="32">
        <v>5.33</v>
      </c>
      <c r="M225" s="32">
        <v>5.3</v>
      </c>
      <c r="N225" s="32">
        <v>5.3</v>
      </c>
      <c r="O225" s="32">
        <v>148.36199951171875</v>
      </c>
      <c r="P225" s="29">
        <v>1.0945948362350464</v>
      </c>
      <c r="Q225" s="29">
        <v>108.9375</v>
      </c>
      <c r="R225" s="32">
        <v>2.0543999999999998</v>
      </c>
      <c r="S225" s="32">
        <v>0.51444178588867118</v>
      </c>
    </row>
    <row r="226" spans="1:19">
      <c r="A226" s="10">
        <v>45252</v>
      </c>
      <c r="B226" s="32">
        <v>4.8899999999999997</v>
      </c>
      <c r="C226" s="32">
        <v>4.4400000000000004</v>
      </c>
      <c r="D226" s="32">
        <v>4.42</v>
      </c>
      <c r="E226" s="32">
        <v>4.7300000000000004</v>
      </c>
      <c r="F226" s="32">
        <v>4.55</v>
      </c>
      <c r="G226" s="32">
        <v>5.1999999999999998E-2</v>
      </c>
      <c r="H226" s="32">
        <v>0.74199999999999999</v>
      </c>
      <c r="I226" s="32">
        <v>1.4630000000000001</v>
      </c>
      <c r="J226" s="32">
        <v>1.669</v>
      </c>
      <c r="K226" s="32">
        <v>5.31</v>
      </c>
      <c r="L226" s="32">
        <v>5.33</v>
      </c>
      <c r="M226" s="32">
        <v>5.3</v>
      </c>
      <c r="N226" s="32">
        <v>5.3</v>
      </c>
      <c r="O226" s="32">
        <v>148.15199279785156</v>
      </c>
      <c r="P226" s="29">
        <v>1.0918222665786743</v>
      </c>
      <c r="Q226" s="29">
        <v>108.8125</v>
      </c>
      <c r="R226" s="32">
        <v>2.0548000000000002</v>
      </c>
      <c r="S226" s="32">
        <v>0.61792821411132692</v>
      </c>
    </row>
    <row r="227" spans="1:19">
      <c r="A227" s="10">
        <v>45254</v>
      </c>
      <c r="B227" s="32">
        <v>4.92</v>
      </c>
      <c r="C227" s="32">
        <v>4.49</v>
      </c>
      <c r="D227" s="32">
        <v>4.47</v>
      </c>
      <c r="E227" s="32">
        <v>4.79</v>
      </c>
      <c r="F227" s="32">
        <v>4.5999999999999996</v>
      </c>
      <c r="G227" s="32">
        <v>6.8000000000000005E-2</v>
      </c>
      <c r="H227" s="32">
        <v>0.78600000000000003</v>
      </c>
      <c r="I227" s="32">
        <v>1.498</v>
      </c>
      <c r="J227" s="32">
        <v>1.6990000000000001</v>
      </c>
      <c r="K227" s="32">
        <v>5.32</v>
      </c>
      <c r="L227" s="32">
        <v>5.33</v>
      </c>
      <c r="M227" s="32">
        <v>5.3</v>
      </c>
      <c r="N227" s="32">
        <v>5.3</v>
      </c>
      <c r="O227" s="32">
        <v>149.63499450683594</v>
      </c>
      <c r="P227" s="29">
        <v>1.0906314849853516</v>
      </c>
      <c r="Q227" s="29">
        <v>108.390625</v>
      </c>
      <c r="R227" s="32">
        <v>2.0613000000000001</v>
      </c>
      <c r="S227" s="32">
        <v>0.61617357177734178</v>
      </c>
    </row>
    <row r="228" spans="1:19">
      <c r="A228" s="10">
        <v>45257</v>
      </c>
      <c r="B228" s="32">
        <v>4.84</v>
      </c>
      <c r="C228" s="32">
        <v>4.38</v>
      </c>
      <c r="D228" s="32">
        <v>4.3899999999999997</v>
      </c>
      <c r="E228" s="32">
        <v>4.72</v>
      </c>
      <c r="F228" s="32">
        <v>4.53</v>
      </c>
      <c r="G228" s="32">
        <v>6.8000000000000005E-2</v>
      </c>
      <c r="H228" s="32">
        <v>0.78700000000000003</v>
      </c>
      <c r="I228" s="32">
        <v>1.512</v>
      </c>
      <c r="J228" s="32">
        <v>1.716</v>
      </c>
      <c r="K228" s="32">
        <v>5.32</v>
      </c>
      <c r="L228" s="32">
        <v>5.33</v>
      </c>
      <c r="M228" s="32">
        <v>5.3</v>
      </c>
      <c r="N228" s="32">
        <v>5.3</v>
      </c>
      <c r="O228" s="32">
        <v>149.57099914550781</v>
      </c>
      <c r="P228" s="29">
        <v>1.0940439701080322</v>
      </c>
      <c r="Q228" s="29">
        <v>109</v>
      </c>
      <c r="R228" s="32">
        <v>2.2185999999999999</v>
      </c>
      <c r="S228" s="32">
        <v>0.62669821411132531</v>
      </c>
    </row>
    <row r="229" spans="1:19">
      <c r="A229" s="10">
        <v>45258</v>
      </c>
      <c r="B229" s="32">
        <v>4.7300000000000004</v>
      </c>
      <c r="C229" s="32">
        <v>4.29</v>
      </c>
      <c r="D229" s="32">
        <v>4.34</v>
      </c>
      <c r="E229" s="32">
        <v>4.7</v>
      </c>
      <c r="F229" s="32">
        <v>4.5199999999999996</v>
      </c>
      <c r="G229" s="32">
        <v>6.5000000000000002E-2</v>
      </c>
      <c r="H229" s="32">
        <v>0.76800000000000002</v>
      </c>
      <c r="I229" s="32">
        <v>1.508</v>
      </c>
      <c r="J229" s="32">
        <v>1.7190000000000001</v>
      </c>
      <c r="K229" s="32">
        <v>5.32</v>
      </c>
      <c r="L229" s="32">
        <v>5.33</v>
      </c>
      <c r="M229" s="32">
        <v>5.3</v>
      </c>
      <c r="N229" s="32">
        <v>5.3</v>
      </c>
      <c r="O229" s="32">
        <v>148.45199584960938</v>
      </c>
      <c r="P229" s="29">
        <v>1.0958423614501953</v>
      </c>
      <c r="Q229" s="29">
        <v>109.53125</v>
      </c>
      <c r="R229" s="32">
        <v>2.1215999999999999</v>
      </c>
      <c r="S229" s="32">
        <v>0.66704000000000008</v>
      </c>
    </row>
    <row r="230" spans="1:19">
      <c r="A230" s="10">
        <v>45259</v>
      </c>
      <c r="B230" s="32">
        <v>4.6399999999999997</v>
      </c>
      <c r="C230" s="32">
        <v>4.22</v>
      </c>
      <c r="D230" s="32">
        <v>4.2699999999999996</v>
      </c>
      <c r="E230" s="32">
        <v>4.62</v>
      </c>
      <c r="F230" s="32">
        <v>4.4400000000000004</v>
      </c>
      <c r="G230" s="32">
        <v>4.8000000000000001E-2</v>
      </c>
      <c r="H230" s="32">
        <v>0.69499999999999995</v>
      </c>
      <c r="I230" s="32">
        <v>1.4359999999999999</v>
      </c>
      <c r="J230" s="32">
        <v>1.6559999999999999</v>
      </c>
      <c r="K230" s="32">
        <v>5.31</v>
      </c>
      <c r="L230" s="32">
        <v>5.33</v>
      </c>
      <c r="M230" s="32">
        <v>5.3</v>
      </c>
      <c r="N230" s="32">
        <v>5.3</v>
      </c>
      <c r="O230" s="32">
        <v>147.06300354003906</v>
      </c>
      <c r="P230" s="29">
        <v>1.1005944013595581</v>
      </c>
      <c r="Q230" s="29">
        <v>109.9375</v>
      </c>
      <c r="R230" s="32">
        <v>2.0762999999999998</v>
      </c>
      <c r="S230" s="32">
        <v>0.57758642822265571</v>
      </c>
    </row>
    <row r="231" spans="1:19">
      <c r="A231" s="10">
        <v>45260</v>
      </c>
      <c r="B231" s="32">
        <v>4.7300000000000004</v>
      </c>
      <c r="C231" s="32">
        <v>4.3099999999999996</v>
      </c>
      <c r="D231" s="32">
        <v>4.37</v>
      </c>
      <c r="E231" s="32">
        <v>4.72</v>
      </c>
      <c r="F231" s="32">
        <v>4.54</v>
      </c>
      <c r="G231" s="32">
        <v>4.9000000000000002E-2</v>
      </c>
      <c r="H231" s="32">
        <v>0.69099999999999995</v>
      </c>
      <c r="I231" s="32">
        <v>1.4450000000000001</v>
      </c>
      <c r="J231" s="32">
        <v>1.6830000000000001</v>
      </c>
      <c r="K231" s="32">
        <v>5.33</v>
      </c>
      <c r="L231" s="32">
        <v>5.33</v>
      </c>
      <c r="M231" s="32">
        <v>5.31</v>
      </c>
      <c r="N231" s="32">
        <v>5.31</v>
      </c>
      <c r="O231" s="32">
        <v>147.03900146484375</v>
      </c>
      <c r="P231" s="29">
        <v>1.0973695516586304</v>
      </c>
      <c r="Q231" s="29">
        <v>109.46875</v>
      </c>
      <c r="R231" s="32">
        <v>2.0152000000000001</v>
      </c>
      <c r="S231" s="32">
        <v>0.60389642822265444</v>
      </c>
    </row>
    <row r="232" spans="1:19">
      <c r="A232" s="10">
        <v>45261</v>
      </c>
      <c r="B232" s="32">
        <v>4.5599999999999996</v>
      </c>
      <c r="C232" s="32">
        <v>4.1399999999999997</v>
      </c>
      <c r="D232" s="32">
        <v>4.22</v>
      </c>
      <c r="E232" s="32">
        <v>4.58</v>
      </c>
      <c r="F232" s="32">
        <v>4.4000000000000004</v>
      </c>
      <c r="G232" s="32">
        <v>0.04</v>
      </c>
      <c r="H232" s="32">
        <v>0.72</v>
      </c>
      <c r="I232" s="32">
        <v>1.4490000000000001</v>
      </c>
      <c r="J232" s="32">
        <v>1.6830000000000001</v>
      </c>
      <c r="K232" s="32">
        <v>5.39</v>
      </c>
      <c r="L232" s="32">
        <v>5.33</v>
      </c>
      <c r="M232" s="32">
        <v>5.31</v>
      </c>
      <c r="N232" s="32">
        <v>5.31</v>
      </c>
      <c r="O232" s="32">
        <v>147.99899291992188</v>
      </c>
      <c r="P232" s="29">
        <v>1.0892059803009033</v>
      </c>
      <c r="Q232" s="29">
        <v>110.34375</v>
      </c>
      <c r="R232" s="32">
        <v>2.0949</v>
      </c>
      <c r="S232" s="32">
        <v>0.59863357177734144</v>
      </c>
    </row>
    <row r="233" spans="1:19">
      <c r="A233" s="10">
        <v>45264</v>
      </c>
      <c r="B233" s="32">
        <v>4.6399999999999997</v>
      </c>
      <c r="C233" s="32">
        <v>4.2300000000000004</v>
      </c>
      <c r="D233" s="32">
        <v>4.28</v>
      </c>
      <c r="E233" s="32">
        <v>4.6100000000000003</v>
      </c>
      <c r="F233" s="32">
        <v>4.43</v>
      </c>
      <c r="G233" s="32">
        <v>3.1E-2</v>
      </c>
      <c r="H233" s="32">
        <v>0.71199999999999997</v>
      </c>
      <c r="I233" s="32">
        <v>1.454</v>
      </c>
      <c r="J233" s="32">
        <v>1.6879999999999999</v>
      </c>
      <c r="K233" s="32">
        <v>5.37</v>
      </c>
      <c r="L233" s="32">
        <v>5.33</v>
      </c>
      <c r="M233" s="32">
        <v>5.31</v>
      </c>
      <c r="N233" s="32">
        <v>5.31</v>
      </c>
      <c r="O233" s="32">
        <v>146.39300537109375</v>
      </c>
      <c r="P233" s="29">
        <v>1.0888146162033081</v>
      </c>
      <c r="Q233" s="29">
        <v>109.890625</v>
      </c>
      <c r="R233" s="32">
        <v>2.0539000000000001</v>
      </c>
      <c r="S233" s="32">
        <v>0.53724357177734205</v>
      </c>
    </row>
    <row r="234" spans="1:19">
      <c r="A234" s="10">
        <v>45265</v>
      </c>
      <c r="B234" s="32">
        <v>4.57</v>
      </c>
      <c r="C234" s="32">
        <v>4.1399999999999997</v>
      </c>
      <c r="D234" s="32">
        <v>4.18</v>
      </c>
      <c r="E234" s="32">
        <v>4.4800000000000004</v>
      </c>
      <c r="F234" s="32">
        <v>4.3</v>
      </c>
      <c r="G234" s="32">
        <v>3.5999999999999997E-2</v>
      </c>
      <c r="H234" s="32">
        <v>0.68700000000000006</v>
      </c>
      <c r="I234" s="32">
        <v>1.446</v>
      </c>
      <c r="J234" s="32">
        <v>1.6830000000000001</v>
      </c>
      <c r="K234" s="32">
        <v>5.33</v>
      </c>
      <c r="L234" s="32">
        <v>5.33</v>
      </c>
      <c r="M234" s="32">
        <v>5.31</v>
      </c>
      <c r="N234" s="32">
        <v>5.31</v>
      </c>
      <c r="O234" s="32">
        <v>147.32699584960938</v>
      </c>
      <c r="P234" s="29">
        <v>1.0837758779525757</v>
      </c>
      <c r="Q234" s="29">
        <v>110.625</v>
      </c>
      <c r="R234" s="32">
        <v>2.0501</v>
      </c>
      <c r="S234" s="32">
        <v>0.58284821411132626</v>
      </c>
    </row>
    <row r="235" spans="1:19">
      <c r="A235" s="10">
        <v>45266</v>
      </c>
      <c r="B235" s="32">
        <v>4.5999999999999996</v>
      </c>
      <c r="C235" s="32">
        <v>4.12</v>
      </c>
      <c r="D235" s="32">
        <v>4.12</v>
      </c>
      <c r="E235" s="32">
        <v>4.4000000000000004</v>
      </c>
      <c r="F235" s="32">
        <v>4.22</v>
      </c>
      <c r="G235" s="32">
        <v>3.5999999999999997E-2</v>
      </c>
      <c r="H235" s="32">
        <v>0.66700000000000004</v>
      </c>
      <c r="I235" s="32">
        <v>1.397</v>
      </c>
      <c r="J235" s="32">
        <v>1.6259999999999999</v>
      </c>
      <c r="K235" s="32">
        <v>5.32</v>
      </c>
      <c r="L235" s="32">
        <v>5.33</v>
      </c>
      <c r="M235" s="32">
        <v>5.31</v>
      </c>
      <c r="N235" s="32">
        <v>5.31</v>
      </c>
      <c r="O235" s="32">
        <v>147.18499755859375</v>
      </c>
      <c r="P235" s="29">
        <v>1.0793657302856445</v>
      </c>
      <c r="Q235" s="29">
        <v>110.8125</v>
      </c>
      <c r="R235" s="32">
        <v>1.9379</v>
      </c>
      <c r="S235" s="32">
        <v>0.48286999999999836</v>
      </c>
    </row>
    <row r="236" spans="1:19">
      <c r="A236" s="10">
        <v>45267</v>
      </c>
      <c r="B236" s="32">
        <v>4.58</v>
      </c>
      <c r="C236" s="32">
        <v>4.1100000000000003</v>
      </c>
      <c r="D236" s="32">
        <v>4.1399999999999997</v>
      </c>
      <c r="E236" s="32">
        <v>4.42</v>
      </c>
      <c r="F236" s="32">
        <v>4.25</v>
      </c>
      <c r="G236" s="32">
        <v>8.6999999999999994E-2</v>
      </c>
      <c r="H236" s="32">
        <v>0.77100000000000002</v>
      </c>
      <c r="I236" s="32">
        <v>1.5</v>
      </c>
      <c r="J236" s="32">
        <v>1.7090000000000001</v>
      </c>
      <c r="K236" s="32">
        <v>5.32</v>
      </c>
      <c r="L236" s="32">
        <v>5.33</v>
      </c>
      <c r="M236" s="32">
        <v>5.3</v>
      </c>
      <c r="N236" s="32">
        <v>5.3</v>
      </c>
      <c r="O236" s="32">
        <v>147.18400573730469</v>
      </c>
      <c r="P236" s="29">
        <v>1.0766696929931641</v>
      </c>
      <c r="Q236" s="29">
        <v>110.84375</v>
      </c>
      <c r="R236" s="32">
        <v>1.9008</v>
      </c>
      <c r="S236" s="32">
        <v>0.6459917858886719</v>
      </c>
    </row>
    <row r="237" spans="1:19">
      <c r="A237" s="10">
        <v>45268</v>
      </c>
      <c r="B237" s="32">
        <v>4.71</v>
      </c>
      <c r="C237" s="32">
        <v>4.24</v>
      </c>
      <c r="D237" s="32">
        <v>4.2300000000000004</v>
      </c>
      <c r="E237" s="32">
        <v>4.49</v>
      </c>
      <c r="F237" s="32">
        <v>4.3099999999999996</v>
      </c>
      <c r="G237" s="32">
        <v>9.1999999999999998E-2</v>
      </c>
      <c r="H237" s="32">
        <v>0.79100000000000004</v>
      </c>
      <c r="I237" s="32">
        <v>1.544</v>
      </c>
      <c r="J237" s="32">
        <v>1.7589999999999999</v>
      </c>
      <c r="K237" s="32">
        <v>5.32</v>
      </c>
      <c r="L237" s="32">
        <v>5.33</v>
      </c>
      <c r="M237" s="32">
        <v>5.3</v>
      </c>
      <c r="N237" s="32">
        <v>5.3</v>
      </c>
      <c r="O237" s="32">
        <v>144.27799987792969</v>
      </c>
      <c r="P237" s="29">
        <v>1.079214334487915</v>
      </c>
      <c r="Q237" s="29">
        <v>109.96875</v>
      </c>
      <c r="R237" s="32">
        <v>1.8633999999999999</v>
      </c>
      <c r="S237" s="32">
        <v>0.63195999999999941</v>
      </c>
    </row>
    <row r="238" spans="1:19">
      <c r="A238" s="10">
        <v>45271</v>
      </c>
      <c r="B238" s="32">
        <v>4.71</v>
      </c>
      <c r="C238" s="32">
        <v>4.25</v>
      </c>
      <c r="D238" s="32">
        <v>4.2300000000000004</v>
      </c>
      <c r="E238" s="32">
        <v>4.51</v>
      </c>
      <c r="F238" s="32">
        <v>4.32</v>
      </c>
      <c r="G238" s="32">
        <v>8.7999999999999995E-2</v>
      </c>
      <c r="H238" s="32">
        <v>0.79800000000000004</v>
      </c>
      <c r="I238" s="32">
        <v>1.544</v>
      </c>
      <c r="J238" s="32">
        <v>1.7629999999999999</v>
      </c>
      <c r="K238" s="32">
        <v>5.32</v>
      </c>
      <c r="L238" s="32">
        <v>5.33</v>
      </c>
      <c r="M238" s="32">
        <v>5.3</v>
      </c>
      <c r="N238" s="32">
        <v>5.3</v>
      </c>
      <c r="O238" s="32">
        <v>144.98300170898438</v>
      </c>
      <c r="P238" s="29">
        <v>1.0765769481658936</v>
      </c>
      <c r="Q238" s="29">
        <v>110.03125</v>
      </c>
      <c r="R238" s="32">
        <v>1.9694</v>
      </c>
      <c r="S238" s="32">
        <v>0.6915964282226561</v>
      </c>
    </row>
    <row r="239" spans="1:19">
      <c r="A239" s="10">
        <v>45272</v>
      </c>
      <c r="B239" s="32">
        <v>4.7300000000000004</v>
      </c>
      <c r="C239" s="32">
        <v>4.2300000000000004</v>
      </c>
      <c r="D239" s="32">
        <v>4.2</v>
      </c>
      <c r="E239" s="32">
        <v>4.4800000000000004</v>
      </c>
      <c r="F239" s="32">
        <v>4.3</v>
      </c>
      <c r="G239" s="32">
        <v>6.7000000000000004E-2</v>
      </c>
      <c r="H239" s="32">
        <v>0.75800000000000001</v>
      </c>
      <c r="I239" s="32">
        <v>1.5089999999999999</v>
      </c>
      <c r="J239" s="32">
        <v>1.738</v>
      </c>
      <c r="K239" s="32">
        <v>5.31</v>
      </c>
      <c r="L239" s="32">
        <v>5.33</v>
      </c>
      <c r="M239" s="32">
        <v>5.3</v>
      </c>
      <c r="N239" s="32">
        <v>5.3</v>
      </c>
      <c r="O239" s="32">
        <v>146.08500671386719</v>
      </c>
      <c r="P239" s="29">
        <v>1.0766580104827881</v>
      </c>
      <c r="Q239" s="29">
        <v>110.25</v>
      </c>
      <c r="R239" s="32">
        <v>1.9779</v>
      </c>
      <c r="S239" s="32">
        <v>0.66704000000000008</v>
      </c>
    </row>
    <row r="240" spans="1:19">
      <c r="A240" s="10">
        <v>45273</v>
      </c>
      <c r="B240" s="32">
        <v>4.46</v>
      </c>
      <c r="C240" s="32">
        <v>4</v>
      </c>
      <c r="D240" s="32">
        <v>4.04</v>
      </c>
      <c r="E240" s="32">
        <v>4.3600000000000003</v>
      </c>
      <c r="F240" s="32">
        <v>4.1900000000000004</v>
      </c>
      <c r="G240" s="32">
        <v>4.8000000000000001E-2</v>
      </c>
      <c r="H240" s="32">
        <v>0.70899999999999996</v>
      </c>
      <c r="I240" s="32">
        <v>1.4419999999999999</v>
      </c>
      <c r="J240" s="32">
        <v>1.67</v>
      </c>
      <c r="K240" s="32">
        <v>5.31</v>
      </c>
      <c r="L240" s="32">
        <v>5.33</v>
      </c>
      <c r="M240" s="32">
        <v>5.3</v>
      </c>
      <c r="N240" s="32">
        <v>5.3</v>
      </c>
      <c r="O240" s="32">
        <v>145.27999877929688</v>
      </c>
      <c r="P240" s="29">
        <v>1.0798670053482056</v>
      </c>
      <c r="Q240" s="29">
        <v>111.609375</v>
      </c>
      <c r="R240" s="32">
        <v>1.8882000000000001</v>
      </c>
      <c r="S240" s="32">
        <v>0.58460178588866896</v>
      </c>
    </row>
    <row r="241" spans="1:19">
      <c r="A241" s="10">
        <v>45274</v>
      </c>
      <c r="B241" s="32">
        <v>4.37</v>
      </c>
      <c r="C241" s="32">
        <v>3.9</v>
      </c>
      <c r="D241" s="32">
        <v>3.92</v>
      </c>
      <c r="E241" s="32">
        <v>4.21</v>
      </c>
      <c r="F241" s="32">
        <v>4.03</v>
      </c>
      <c r="G241" s="32">
        <v>5.7000000000000002E-2</v>
      </c>
      <c r="H241" s="32">
        <v>0.69299999999999995</v>
      </c>
      <c r="I241" s="32">
        <v>1.423</v>
      </c>
      <c r="J241" s="32">
        <v>1.6419999999999999</v>
      </c>
      <c r="K241" s="32">
        <v>5.31</v>
      </c>
      <c r="L241" s="32">
        <v>5.33</v>
      </c>
      <c r="M241" s="32">
        <v>5.3</v>
      </c>
      <c r="N241" s="32">
        <v>5.3</v>
      </c>
      <c r="O241" s="32">
        <v>142.77299499511719</v>
      </c>
      <c r="P241" s="29">
        <v>1.0886130332946777</v>
      </c>
      <c r="Q241" s="29">
        <v>112.234375</v>
      </c>
      <c r="R241" s="32">
        <v>1.7849999999999999</v>
      </c>
      <c r="S241" s="32">
        <v>0.53548999999999936</v>
      </c>
    </row>
    <row r="242" spans="1:19">
      <c r="A242" s="10">
        <v>45275</v>
      </c>
      <c r="B242" s="32">
        <v>4.4400000000000004</v>
      </c>
      <c r="C242" s="32">
        <v>3.91</v>
      </c>
      <c r="D242" s="32">
        <v>3.91</v>
      </c>
      <c r="E242" s="32">
        <v>4.1900000000000004</v>
      </c>
      <c r="F242" s="32">
        <v>4</v>
      </c>
      <c r="G242" s="32">
        <v>8.6999999999999994E-2</v>
      </c>
      <c r="H242" s="32">
        <v>0.72799999999999998</v>
      </c>
      <c r="I242" s="32">
        <v>1.4430000000000001</v>
      </c>
      <c r="J242" s="32">
        <v>1.6519999999999999</v>
      </c>
      <c r="K242" s="32">
        <v>5.32</v>
      </c>
      <c r="L242" s="32">
        <v>5.33</v>
      </c>
      <c r="M242" s="32">
        <v>5.3</v>
      </c>
      <c r="N242" s="32">
        <v>5.3</v>
      </c>
      <c r="O242" s="32">
        <v>142.27900695800781</v>
      </c>
      <c r="P242" s="29">
        <v>1.0993602275848389</v>
      </c>
      <c r="Q242" s="29">
        <v>112.109375</v>
      </c>
      <c r="R242" s="32">
        <v>1.6910000000000001</v>
      </c>
      <c r="S242" s="32">
        <v>0.60915821411132853</v>
      </c>
    </row>
    <row r="243" spans="1:19">
      <c r="A243" s="10">
        <v>45278</v>
      </c>
      <c r="B243" s="32">
        <v>4.43</v>
      </c>
      <c r="C243" s="32">
        <v>3.94</v>
      </c>
      <c r="D243" s="32">
        <v>3.95</v>
      </c>
      <c r="E243" s="32">
        <v>4.2300000000000004</v>
      </c>
      <c r="F243" s="32">
        <v>4.05</v>
      </c>
      <c r="G243" s="32">
        <v>7.9000000000000001E-2</v>
      </c>
      <c r="H243" s="32">
        <v>0.68899999999999995</v>
      </c>
      <c r="I243" s="32">
        <v>1.421</v>
      </c>
      <c r="J243" s="32">
        <v>1.635</v>
      </c>
      <c r="K243" s="32">
        <v>5.32</v>
      </c>
      <c r="L243" s="32">
        <v>5.33</v>
      </c>
      <c r="M243" s="32">
        <v>5.3</v>
      </c>
      <c r="N243" s="32">
        <v>5.3</v>
      </c>
      <c r="O243" s="32">
        <v>142.31300354003906</v>
      </c>
      <c r="P243" s="29">
        <v>1.0895264148712158</v>
      </c>
      <c r="Q243" s="29">
        <v>111.953125</v>
      </c>
      <c r="R243" s="32">
        <v>1.6156999999999999</v>
      </c>
      <c r="S243" s="32">
        <v>0.52145821411132687</v>
      </c>
    </row>
    <row r="244" spans="1:19">
      <c r="A244" s="10">
        <v>45279</v>
      </c>
      <c r="B244" s="32">
        <v>4.41</v>
      </c>
      <c r="C244" s="32">
        <v>3.94</v>
      </c>
      <c r="D244" s="32">
        <v>3.93</v>
      </c>
      <c r="E244" s="32">
        <v>4.2300000000000004</v>
      </c>
      <c r="F244" s="32">
        <v>4.03</v>
      </c>
      <c r="G244" s="32">
        <v>6.8000000000000005E-2</v>
      </c>
      <c r="H244" s="32">
        <v>0.66300000000000003</v>
      </c>
      <c r="I244" s="32">
        <v>1.38</v>
      </c>
      <c r="J244" s="32">
        <v>1.5920000000000001</v>
      </c>
      <c r="K244" s="32">
        <v>5.31</v>
      </c>
      <c r="L244" s="32">
        <v>5.33</v>
      </c>
      <c r="M244" s="32">
        <v>5.3</v>
      </c>
      <c r="N244" s="32">
        <v>5.3</v>
      </c>
      <c r="O244" s="32">
        <v>142.72200012207031</v>
      </c>
      <c r="P244" s="29">
        <v>1.0923827886581421</v>
      </c>
      <c r="Q244" s="29">
        <v>112.1875</v>
      </c>
      <c r="R244" s="32">
        <v>1.619</v>
      </c>
      <c r="S244" s="32">
        <v>0.53022821411132526</v>
      </c>
    </row>
    <row r="245" spans="1:19">
      <c r="A245" s="10">
        <v>45280</v>
      </c>
      <c r="B245" s="32">
        <v>4.34</v>
      </c>
      <c r="C245" s="32">
        <v>3.86</v>
      </c>
      <c r="D245" s="32">
        <v>3.86</v>
      </c>
      <c r="E245" s="32">
        <v>4.17</v>
      </c>
      <c r="F245" s="32">
        <v>3.98</v>
      </c>
      <c r="G245" s="32">
        <v>3.3000000000000002E-2</v>
      </c>
      <c r="H245" s="32">
        <v>0.58099999999999996</v>
      </c>
      <c r="I245" s="32">
        <v>1.288</v>
      </c>
      <c r="J245" s="32">
        <v>1.522</v>
      </c>
      <c r="K245" s="32">
        <v>5.31</v>
      </c>
      <c r="L245" s="32">
        <v>5.33</v>
      </c>
      <c r="M245" s="32">
        <v>5.3</v>
      </c>
      <c r="N245" s="32">
        <v>5.3</v>
      </c>
      <c r="O245" s="32">
        <v>143.88900756835938</v>
      </c>
      <c r="P245" s="29">
        <v>1.0981045961380005</v>
      </c>
      <c r="Q245" s="29">
        <v>112.78125</v>
      </c>
      <c r="R245" s="32">
        <v>1.5803</v>
      </c>
      <c r="S245" s="32">
        <v>0.41095642822265432</v>
      </c>
    </row>
    <row r="246" spans="1:19">
      <c r="A246" s="10">
        <v>45281</v>
      </c>
      <c r="B246" s="32">
        <v>4.33</v>
      </c>
      <c r="C246" s="32">
        <v>3.87</v>
      </c>
      <c r="D246" s="32">
        <v>3.89</v>
      </c>
      <c r="E246" s="32">
        <v>4.1900000000000004</v>
      </c>
      <c r="F246" s="32">
        <v>4.03</v>
      </c>
      <c r="G246" s="32">
        <v>3.6999999999999998E-2</v>
      </c>
      <c r="H246" s="32">
        <v>0.61</v>
      </c>
      <c r="I246" s="32">
        <v>1.3180000000000001</v>
      </c>
      <c r="J246" s="32">
        <v>1.5580000000000001</v>
      </c>
      <c r="K246" s="32">
        <v>5.31</v>
      </c>
      <c r="L246" s="32">
        <v>5.33</v>
      </c>
      <c r="M246" s="32">
        <v>5.3</v>
      </c>
      <c r="N246" s="32">
        <v>5.3</v>
      </c>
      <c r="O246" s="32">
        <v>143.52299499511719</v>
      </c>
      <c r="P246" s="29">
        <v>1.0945708751678467</v>
      </c>
      <c r="Q246" s="29">
        <v>112.671875</v>
      </c>
      <c r="R246" s="32">
        <v>1.4574</v>
      </c>
      <c r="S246" s="32">
        <v>0.37587642822265366</v>
      </c>
    </row>
    <row r="247" spans="1:19">
      <c r="A247" s="10">
        <v>45282</v>
      </c>
      <c r="B247" s="32">
        <v>4.3099999999999996</v>
      </c>
      <c r="C247" s="32">
        <v>3.87</v>
      </c>
      <c r="D247" s="32">
        <v>3.9</v>
      </c>
      <c r="E247" s="32">
        <v>4.21</v>
      </c>
      <c r="F247" s="32">
        <v>4.05</v>
      </c>
      <c r="G247" s="32">
        <v>4.5999999999999999E-2</v>
      </c>
      <c r="H247" s="32">
        <v>0.65100000000000002</v>
      </c>
      <c r="I247" s="32">
        <v>1.3839999999999999</v>
      </c>
      <c r="J247" s="32">
        <v>1.619</v>
      </c>
      <c r="K247" s="32">
        <v>5.32</v>
      </c>
      <c r="L247" s="32">
        <v>5.33</v>
      </c>
      <c r="M247" s="32">
        <v>5.3</v>
      </c>
      <c r="N247" s="32">
        <v>5.3</v>
      </c>
      <c r="O247" s="32">
        <v>142.07000732421875</v>
      </c>
      <c r="P247" s="29">
        <v>1.1006186008453369</v>
      </c>
      <c r="Q247" s="29">
        <v>112.59375</v>
      </c>
      <c r="R247" s="32">
        <v>1.3812</v>
      </c>
      <c r="S247" s="32">
        <v>0.48462357177734106</v>
      </c>
    </row>
    <row r="248" spans="1:19">
      <c r="A248" s="10">
        <v>45286</v>
      </c>
      <c r="B248" s="32">
        <v>4.26</v>
      </c>
      <c r="C248" s="32">
        <v>3.89</v>
      </c>
      <c r="D248" s="32">
        <v>3.89</v>
      </c>
      <c r="E248" s="32">
        <v>4.2</v>
      </c>
      <c r="F248" s="32">
        <v>4.04</v>
      </c>
      <c r="G248" s="32">
        <v>6.5000000000000002E-2</v>
      </c>
      <c r="H248" s="32">
        <v>0.65700000000000003</v>
      </c>
      <c r="I248" s="32">
        <v>1.3959999999999999</v>
      </c>
      <c r="J248" s="32">
        <v>1.627</v>
      </c>
      <c r="K248" s="32">
        <v>5.35</v>
      </c>
      <c r="L248" s="32">
        <v>5.33</v>
      </c>
      <c r="M248" s="32">
        <v>5.31</v>
      </c>
      <c r="N248" s="32">
        <v>5.31</v>
      </c>
      <c r="O248" s="32">
        <v>142.22999572753906</v>
      </c>
      <c r="P248" s="29">
        <v>1.1020255088806152</v>
      </c>
      <c r="Q248" s="29">
        <v>112.71875</v>
      </c>
      <c r="R248" s="32">
        <v>1.4033</v>
      </c>
      <c r="S248" s="32">
        <v>0.51093357177734333</v>
      </c>
    </row>
    <row r="249" spans="1:19">
      <c r="A249" s="10">
        <v>45287</v>
      </c>
      <c r="B249" s="32">
        <v>4.2</v>
      </c>
      <c r="C249" s="32">
        <v>3.78</v>
      </c>
      <c r="D249" s="32">
        <v>3.79</v>
      </c>
      <c r="E249" s="32">
        <v>4.0999999999999996</v>
      </c>
      <c r="F249" s="32">
        <v>3.95</v>
      </c>
      <c r="G249" s="32">
        <v>0.05</v>
      </c>
      <c r="H249" s="32">
        <v>0.624</v>
      </c>
      <c r="I249" s="32">
        <v>1.359</v>
      </c>
      <c r="J249" s="32">
        <v>1.587</v>
      </c>
      <c r="K249" s="32">
        <v>5.39</v>
      </c>
      <c r="L249" s="32">
        <v>5.33</v>
      </c>
      <c r="M249" s="32">
        <v>5.33</v>
      </c>
      <c r="N249" s="32">
        <v>5.33</v>
      </c>
      <c r="O249" s="32">
        <v>142.46099853515625</v>
      </c>
      <c r="P249" s="29">
        <v>1.1043012142181396</v>
      </c>
      <c r="Q249" s="29">
        <v>113.328125</v>
      </c>
      <c r="R249" s="32">
        <v>1.4033</v>
      </c>
      <c r="S249" s="32">
        <v>0.48988642822265405</v>
      </c>
    </row>
    <row r="250" spans="1:19">
      <c r="A250" s="10">
        <v>45288</v>
      </c>
      <c r="B250" s="32">
        <v>4.26</v>
      </c>
      <c r="C250" s="32">
        <v>3.83</v>
      </c>
      <c r="D250" s="32">
        <v>3.84</v>
      </c>
      <c r="E250" s="32">
        <v>4.1399999999999997</v>
      </c>
      <c r="F250" s="32">
        <v>3.98</v>
      </c>
      <c r="G250" s="32">
        <v>3.6999999999999998E-2</v>
      </c>
      <c r="H250" s="32">
        <v>0.61599999999999999</v>
      </c>
      <c r="I250" s="32">
        <v>1.373</v>
      </c>
      <c r="J250" s="32">
        <v>1.6279999999999999</v>
      </c>
      <c r="K250" s="32">
        <v>5.4</v>
      </c>
      <c r="L250" s="32">
        <v>5.33</v>
      </c>
      <c r="M250" s="32">
        <v>5.35</v>
      </c>
      <c r="N250" s="32">
        <v>5.35</v>
      </c>
      <c r="O250" s="32">
        <v>141.39900207519531</v>
      </c>
      <c r="P250" s="29">
        <v>1.1108642816543579</v>
      </c>
      <c r="Q250" s="29">
        <v>112.890625</v>
      </c>
      <c r="R250" s="32">
        <v>1.3066</v>
      </c>
      <c r="S250" s="32">
        <v>0.46357642822265532</v>
      </c>
    </row>
    <row r="251" spans="1:19">
      <c r="A251" s="10">
        <v>45289</v>
      </c>
      <c r="B251" s="32">
        <v>4.2300000000000004</v>
      </c>
      <c r="C251" s="32">
        <v>3.84</v>
      </c>
      <c r="D251" s="32">
        <v>3.88</v>
      </c>
      <c r="E251" s="32">
        <v>4.2</v>
      </c>
      <c r="F251" s="32">
        <v>4.03</v>
      </c>
      <c r="G251" s="32">
        <v>4.8000000000000001E-2</v>
      </c>
      <c r="H251" s="32">
        <v>0.64700000000000002</v>
      </c>
      <c r="I251" s="32">
        <v>1.4039999999999999</v>
      </c>
      <c r="J251" s="32">
        <v>1.6619999999999999</v>
      </c>
      <c r="K251" s="32">
        <v>5.38</v>
      </c>
      <c r="L251" s="32">
        <v>5.33</v>
      </c>
      <c r="M251" s="32">
        <v>5.33</v>
      </c>
      <c r="N251" s="32">
        <v>5.33</v>
      </c>
      <c r="O251" s="32">
        <v>141.42999267578125</v>
      </c>
      <c r="P251" s="29">
        <v>1.1068191528320313</v>
      </c>
      <c r="Q251" s="29">
        <v>112.890625</v>
      </c>
      <c r="R251" s="32">
        <v>1.3583000000000001</v>
      </c>
      <c r="S251" s="32">
        <v>0.50917999999999708</v>
      </c>
    </row>
    <row r="252" spans="1:19">
      <c r="A252" s="10">
        <v>45293</v>
      </c>
      <c r="B252" s="32">
        <v>4.33</v>
      </c>
      <c r="C252" s="32">
        <v>3.93</v>
      </c>
      <c r="D252" s="32">
        <v>3.95</v>
      </c>
      <c r="E252" s="32">
        <v>4.25</v>
      </c>
      <c r="F252" s="32">
        <v>4.08</v>
      </c>
      <c r="G252" s="32">
        <v>4.8000000000000001E-2</v>
      </c>
      <c r="H252" s="32">
        <v>0.64700000000000002</v>
      </c>
      <c r="I252" s="32">
        <v>1.4039999999999999</v>
      </c>
      <c r="J252" s="32">
        <v>1.6619999999999999</v>
      </c>
      <c r="K252" s="32">
        <v>5.4</v>
      </c>
      <c r="L252" s="32">
        <v>5.33</v>
      </c>
      <c r="M252" s="32">
        <v>5.33</v>
      </c>
      <c r="N252" s="32">
        <v>5.33</v>
      </c>
      <c r="O252" s="32">
        <v>141.12600708007813</v>
      </c>
      <c r="P252" s="29">
        <v>1.1038745641708374</v>
      </c>
      <c r="Q252" s="29">
        <v>112.296875</v>
      </c>
      <c r="R252" s="32">
        <v>1.4184000000000001</v>
      </c>
      <c r="S252" s="32">
        <v>0.50917999999999708</v>
      </c>
    </row>
    <row r="253" spans="1:19">
      <c r="A253" s="10">
        <v>45294</v>
      </c>
      <c r="B253" s="32">
        <v>4.33</v>
      </c>
      <c r="C253" s="32">
        <v>3.9</v>
      </c>
      <c r="D253" s="32">
        <v>3.91</v>
      </c>
      <c r="E253" s="32">
        <v>4.21</v>
      </c>
      <c r="F253" s="32">
        <v>4.05</v>
      </c>
      <c r="G253" s="32">
        <v>4.8000000000000001E-2</v>
      </c>
      <c r="H253" s="32">
        <v>0.64700000000000002</v>
      </c>
      <c r="I253" s="32">
        <v>1.4039999999999999</v>
      </c>
      <c r="J253" s="32">
        <v>1.6619999999999999</v>
      </c>
      <c r="K253" s="32">
        <v>5.39</v>
      </c>
      <c r="L253" s="32">
        <v>5.33</v>
      </c>
      <c r="M253" s="32">
        <v>5.33</v>
      </c>
      <c r="N253" s="32">
        <v>5.33</v>
      </c>
      <c r="O253" s="32">
        <v>142.15499877929688</v>
      </c>
      <c r="P253" s="29">
        <v>1.0941756963729858</v>
      </c>
      <c r="Q253" s="29">
        <v>112.515625</v>
      </c>
      <c r="R253" s="32">
        <v>1.516</v>
      </c>
      <c r="S253" s="32">
        <v>0.50917999999999708</v>
      </c>
    </row>
    <row r="254" spans="1:19">
      <c r="A254" s="10">
        <v>45295</v>
      </c>
      <c r="B254" s="32">
        <v>4.38</v>
      </c>
      <c r="C254" s="32">
        <v>3.97</v>
      </c>
      <c r="D254" s="32">
        <v>3.99</v>
      </c>
      <c r="E254" s="32">
        <v>4.3</v>
      </c>
      <c r="F254" s="32">
        <v>4.13</v>
      </c>
      <c r="G254" s="32">
        <v>0.05</v>
      </c>
      <c r="H254" s="32">
        <v>0.64900000000000002</v>
      </c>
      <c r="I254" s="32">
        <v>1.401</v>
      </c>
      <c r="J254" s="32">
        <v>1.6659999999999999</v>
      </c>
      <c r="K254" s="32">
        <v>5.32</v>
      </c>
      <c r="L254" s="32">
        <v>5.33</v>
      </c>
      <c r="M254" s="32">
        <v>5.31</v>
      </c>
      <c r="N254" s="32">
        <v>5.31</v>
      </c>
      <c r="O254" s="32">
        <v>142.99899291992188</v>
      </c>
      <c r="P254" s="29">
        <v>1.0927767753601074</v>
      </c>
      <c r="Q254" s="29">
        <v>111.984375</v>
      </c>
      <c r="R254" s="32">
        <v>1.5383</v>
      </c>
      <c r="S254" s="32">
        <v>0.45831357177734233</v>
      </c>
    </row>
    <row r="255" spans="1:19">
      <c r="A255" s="10">
        <v>45296</v>
      </c>
      <c r="B255" s="32">
        <v>4.4000000000000004</v>
      </c>
      <c r="C255" s="32">
        <v>4.0199999999999996</v>
      </c>
      <c r="D255" s="32">
        <v>4.05</v>
      </c>
      <c r="E255" s="32">
        <v>4.37</v>
      </c>
      <c r="F255" s="32">
        <v>4.21</v>
      </c>
      <c r="G255" s="32">
        <v>3.5000000000000003E-2</v>
      </c>
      <c r="H255" s="32">
        <v>0.63400000000000001</v>
      </c>
      <c r="I255" s="32">
        <v>1.383</v>
      </c>
      <c r="J255" s="32">
        <v>1.64</v>
      </c>
      <c r="K255" s="32">
        <v>5.31</v>
      </c>
      <c r="L255" s="32">
        <v>5.33</v>
      </c>
      <c r="M255" s="32">
        <v>5.3</v>
      </c>
      <c r="N255" s="32">
        <v>5.3</v>
      </c>
      <c r="O255" s="32">
        <v>144.76499938964844</v>
      </c>
      <c r="P255" s="29">
        <v>1.0947387218475342</v>
      </c>
      <c r="Q255" s="29">
        <v>111.71875</v>
      </c>
      <c r="R255" s="32">
        <v>1.6303000000000001</v>
      </c>
      <c r="S255" s="32">
        <v>0.50216357177734139</v>
      </c>
    </row>
    <row r="256" spans="1:19">
      <c r="A256" s="10">
        <v>45299</v>
      </c>
      <c r="B256" s="32">
        <v>4.3600000000000003</v>
      </c>
      <c r="C256" s="32">
        <v>3.97</v>
      </c>
      <c r="D256" s="32">
        <v>4.01</v>
      </c>
      <c r="E256" s="32">
        <v>4.33</v>
      </c>
      <c r="F256" s="32">
        <v>4.17</v>
      </c>
      <c r="G256" s="32">
        <v>3.5000000000000003E-2</v>
      </c>
      <c r="H256" s="32">
        <v>0.63400000000000001</v>
      </c>
      <c r="I256" s="32">
        <v>1.383</v>
      </c>
      <c r="J256" s="32">
        <v>1.64</v>
      </c>
      <c r="K256" s="32">
        <v>5.31</v>
      </c>
      <c r="L256" s="32">
        <v>5.33</v>
      </c>
      <c r="M256" s="32">
        <v>5.3</v>
      </c>
      <c r="N256" s="32">
        <v>5.3</v>
      </c>
      <c r="O256" s="32">
        <v>144.71600341796875</v>
      </c>
      <c r="P256" s="29">
        <v>1.0942236185073853</v>
      </c>
      <c r="Q256" s="29">
        <v>112.046875</v>
      </c>
      <c r="R256" s="32">
        <v>1.7219</v>
      </c>
      <c r="S256" s="32">
        <v>0.50216357177734139</v>
      </c>
    </row>
    <row r="257" spans="1:19">
      <c r="A257" s="10">
        <v>45300</v>
      </c>
      <c r="B257" s="32">
        <v>4.3600000000000003</v>
      </c>
      <c r="C257" s="32">
        <v>3.97</v>
      </c>
      <c r="D257" s="32">
        <v>4.0199999999999996</v>
      </c>
      <c r="E257" s="32">
        <v>4.33</v>
      </c>
      <c r="F257" s="32">
        <v>4.18</v>
      </c>
      <c r="G257" s="32">
        <v>2.5000000000000001E-2</v>
      </c>
      <c r="H257" s="32">
        <v>0.61399999999999999</v>
      </c>
      <c r="I257" s="32">
        <v>1.365</v>
      </c>
      <c r="J257" s="32">
        <v>1.6259999999999999</v>
      </c>
      <c r="K257" s="32">
        <v>5.31</v>
      </c>
      <c r="L257" s="32">
        <v>5.33</v>
      </c>
      <c r="M257" s="32">
        <v>5.3</v>
      </c>
      <c r="N257" s="32">
        <v>5.3</v>
      </c>
      <c r="O257" s="32">
        <v>144.22999572753906</v>
      </c>
      <c r="P257" s="29">
        <v>1.095170259475708</v>
      </c>
      <c r="Q257" s="29">
        <v>111.90625</v>
      </c>
      <c r="R257" s="32">
        <v>1.6984999999999999</v>
      </c>
      <c r="S257" s="32">
        <v>0.41446357177734328</v>
      </c>
    </row>
    <row r="258" spans="1:19">
      <c r="A258" s="10">
        <v>45301</v>
      </c>
      <c r="B258" s="32">
        <v>4.37</v>
      </c>
      <c r="C258" s="32">
        <v>3.99</v>
      </c>
      <c r="D258" s="32">
        <v>4.04</v>
      </c>
      <c r="E258" s="32">
        <v>4.3499999999999996</v>
      </c>
      <c r="F258" s="32">
        <v>4.2</v>
      </c>
      <c r="G258" s="32">
        <v>2.5000000000000001E-2</v>
      </c>
      <c r="H258" s="32">
        <v>0.621</v>
      </c>
      <c r="I258" s="32">
        <v>1.36</v>
      </c>
      <c r="J258" s="32">
        <v>1.6180000000000001</v>
      </c>
      <c r="K258" s="32">
        <v>5.31</v>
      </c>
      <c r="L258" s="32">
        <v>5.33</v>
      </c>
      <c r="M258" s="32">
        <v>5.3</v>
      </c>
      <c r="N258" s="32">
        <v>5.3</v>
      </c>
      <c r="O258" s="32">
        <v>144.42799377441406</v>
      </c>
      <c r="P258" s="29">
        <v>1.0932426452636719</v>
      </c>
      <c r="Q258" s="29">
        <v>111.875</v>
      </c>
      <c r="R258" s="32">
        <v>1.768</v>
      </c>
      <c r="S258" s="32">
        <v>0.45655999999999963</v>
      </c>
    </row>
    <row r="259" spans="1:19">
      <c r="A259" s="10">
        <v>45302</v>
      </c>
      <c r="B259" s="32">
        <v>4.26</v>
      </c>
      <c r="C259" s="32">
        <v>3.9</v>
      </c>
      <c r="D259" s="32">
        <v>3.98</v>
      </c>
      <c r="E259" s="32">
        <v>4.32</v>
      </c>
      <c r="F259" s="32">
        <v>4.18</v>
      </c>
      <c r="G259" s="32">
        <v>1.4999999999999999E-2</v>
      </c>
      <c r="H259" s="32">
        <v>0.60499999999999998</v>
      </c>
      <c r="I259" s="32">
        <v>1.341</v>
      </c>
      <c r="J259" s="32">
        <v>1.615</v>
      </c>
      <c r="K259" s="32">
        <v>5.31</v>
      </c>
      <c r="L259" s="32">
        <v>5.33</v>
      </c>
      <c r="M259" s="32">
        <v>5.3</v>
      </c>
      <c r="N259" s="32">
        <v>5.3</v>
      </c>
      <c r="O259" s="32">
        <v>145.73399353027344</v>
      </c>
      <c r="P259" s="29">
        <v>1.0975141525268555</v>
      </c>
      <c r="Q259" s="29">
        <v>112.34375</v>
      </c>
      <c r="R259" s="32">
        <v>1.7612000000000001</v>
      </c>
      <c r="S259" s="32">
        <v>0.39517000000000024</v>
      </c>
    </row>
    <row r="260" spans="1:19">
      <c r="A260" s="10">
        <v>45303</v>
      </c>
      <c r="B260" s="32">
        <v>4.1399999999999997</v>
      </c>
      <c r="C260" s="32">
        <v>3.84</v>
      </c>
      <c r="D260" s="32">
        <v>3.96</v>
      </c>
      <c r="E260" s="32">
        <v>4.32</v>
      </c>
      <c r="F260" s="32">
        <v>4.2</v>
      </c>
      <c r="G260" s="32">
        <v>5.0000000000000001E-3</v>
      </c>
      <c r="H260" s="32">
        <v>0.59099999999999997</v>
      </c>
      <c r="I260" s="32">
        <v>1.3360000000000001</v>
      </c>
      <c r="J260" s="32">
        <v>1.61</v>
      </c>
      <c r="K260" s="32">
        <v>5.31</v>
      </c>
      <c r="L260" s="32">
        <v>5.33</v>
      </c>
      <c r="M260" s="32">
        <v>5.3</v>
      </c>
      <c r="N260" s="32">
        <v>5.3</v>
      </c>
      <c r="O260" s="32">
        <v>145.04600524902344</v>
      </c>
      <c r="P260" s="29">
        <v>1.0981649160385132</v>
      </c>
      <c r="Q260" s="29">
        <v>112.59375</v>
      </c>
      <c r="R260" s="32">
        <v>1.7415</v>
      </c>
      <c r="S260" s="32">
        <v>0.39341642822265399</v>
      </c>
    </row>
    <row r="261" spans="1:19">
      <c r="A261" s="10">
        <v>45307</v>
      </c>
      <c r="B261" s="32">
        <v>4.22</v>
      </c>
      <c r="C261" s="32">
        <v>3.95</v>
      </c>
      <c r="D261" s="32">
        <v>4.07</v>
      </c>
      <c r="E261" s="32">
        <v>4.43</v>
      </c>
      <c r="F261" s="32">
        <v>4.3</v>
      </c>
      <c r="G261" s="32">
        <v>0.02</v>
      </c>
      <c r="H261" s="32">
        <v>0.59599999999999997</v>
      </c>
      <c r="I261" s="32">
        <v>1.329</v>
      </c>
      <c r="J261" s="32">
        <v>1.597</v>
      </c>
      <c r="K261" s="32">
        <v>5.32</v>
      </c>
      <c r="L261" s="32">
        <v>5.33</v>
      </c>
      <c r="M261" s="32">
        <v>5.3</v>
      </c>
      <c r="N261" s="32">
        <v>5.3</v>
      </c>
      <c r="O261" s="32">
        <v>145.79400634765625</v>
      </c>
      <c r="P261" s="29">
        <v>1.0945708751678467</v>
      </c>
      <c r="Q261" s="29">
        <v>111.84375</v>
      </c>
      <c r="R261" s="32">
        <v>1.6831</v>
      </c>
      <c r="S261" s="32">
        <v>0.38113821411132776</v>
      </c>
    </row>
    <row r="262" spans="1:19">
      <c r="A262" s="10">
        <v>45308</v>
      </c>
      <c r="B262" s="32">
        <v>4.34</v>
      </c>
      <c r="C262" s="32">
        <v>4.0199999999999996</v>
      </c>
      <c r="D262" s="32">
        <v>4.0999999999999996</v>
      </c>
      <c r="E262" s="32">
        <v>4.42</v>
      </c>
      <c r="F262" s="32">
        <v>4.3099999999999996</v>
      </c>
      <c r="G262" s="32">
        <v>2.5000000000000001E-2</v>
      </c>
      <c r="H262" s="32">
        <v>0.61199999999999999</v>
      </c>
      <c r="I262" s="32">
        <v>1.339</v>
      </c>
      <c r="J262" s="32">
        <v>1.619</v>
      </c>
      <c r="K262" s="32">
        <v>5.32</v>
      </c>
      <c r="L262" s="32">
        <v>5.33</v>
      </c>
      <c r="M262" s="32">
        <v>5.3</v>
      </c>
      <c r="N262" s="32">
        <v>5.3</v>
      </c>
      <c r="O262" s="32">
        <v>147.24600219726563</v>
      </c>
      <c r="P262" s="29">
        <v>1.087878942489624</v>
      </c>
      <c r="Q262" s="29">
        <v>111.421875</v>
      </c>
      <c r="R262" s="32">
        <v>1.7706</v>
      </c>
      <c r="S262" s="32">
        <v>0.45655999999999963</v>
      </c>
    </row>
    <row r="263" spans="1:19">
      <c r="A263" s="10">
        <v>45309</v>
      </c>
      <c r="B263" s="32">
        <v>4.34</v>
      </c>
      <c r="C263" s="32">
        <v>4.04</v>
      </c>
      <c r="D263" s="32">
        <v>4.1399999999999997</v>
      </c>
      <c r="E263" s="32">
        <v>4.4800000000000004</v>
      </c>
      <c r="F263" s="32">
        <v>4.37</v>
      </c>
      <c r="G263" s="32">
        <v>3.5999999999999997E-2</v>
      </c>
      <c r="H263" s="32">
        <v>0.65600000000000003</v>
      </c>
      <c r="I263" s="32">
        <v>1.42</v>
      </c>
      <c r="J263" s="32">
        <v>1.6990000000000001</v>
      </c>
      <c r="K263" s="32">
        <v>5.31</v>
      </c>
      <c r="L263" s="32">
        <v>5.33</v>
      </c>
      <c r="M263" s="32">
        <v>5.3</v>
      </c>
      <c r="N263" s="32">
        <v>5.3</v>
      </c>
      <c r="O263" s="32">
        <v>148.11799621582031</v>
      </c>
      <c r="P263" s="29">
        <v>1.0885775089263916</v>
      </c>
      <c r="Q263" s="29">
        <v>111.203125</v>
      </c>
      <c r="R263" s="32">
        <v>1.8911</v>
      </c>
      <c r="S263" s="32">
        <v>0.45831357177734233</v>
      </c>
    </row>
    <row r="264" spans="1:19">
      <c r="A264" s="10">
        <v>45310</v>
      </c>
      <c r="B264" s="32">
        <v>4.3899999999999997</v>
      </c>
      <c r="C264" s="32">
        <v>4.08</v>
      </c>
      <c r="D264" s="32">
        <v>4.1500000000000004</v>
      </c>
      <c r="E264" s="32">
        <v>4.47</v>
      </c>
      <c r="F264" s="32">
        <v>4.3600000000000003</v>
      </c>
      <c r="G264" s="32">
        <v>3.1E-2</v>
      </c>
      <c r="H264" s="32">
        <v>0.67100000000000004</v>
      </c>
      <c r="I264" s="32">
        <v>1.454</v>
      </c>
      <c r="J264" s="32">
        <v>1.7450000000000001</v>
      </c>
      <c r="K264" s="32">
        <v>5.31</v>
      </c>
      <c r="L264" s="32">
        <v>5.33</v>
      </c>
      <c r="M264" s="32">
        <v>5.3</v>
      </c>
      <c r="N264" s="32">
        <v>5.3</v>
      </c>
      <c r="O264" s="32">
        <v>148.12800598144531</v>
      </c>
      <c r="P264" s="29">
        <v>1.0879143476486206</v>
      </c>
      <c r="Q264" s="29">
        <v>111.125</v>
      </c>
      <c r="R264" s="32">
        <v>1.9177999999999999</v>
      </c>
      <c r="S264" s="32">
        <v>0.48988642822265405</v>
      </c>
    </row>
    <row r="265" spans="1:19">
      <c r="A265" s="10">
        <v>45313</v>
      </c>
      <c r="B265" s="32">
        <v>4.37</v>
      </c>
      <c r="C265" s="32">
        <v>4.03</v>
      </c>
      <c r="D265" s="32">
        <v>4.1100000000000003</v>
      </c>
      <c r="E265" s="32">
        <v>4.4400000000000004</v>
      </c>
      <c r="F265" s="32">
        <v>4.32</v>
      </c>
      <c r="G265" s="32">
        <v>2.5000000000000001E-2</v>
      </c>
      <c r="H265" s="32">
        <v>0.65700000000000003</v>
      </c>
      <c r="I265" s="32">
        <v>1.4390000000000001</v>
      </c>
      <c r="J265" s="32">
        <v>1.7410000000000001</v>
      </c>
      <c r="K265" s="32">
        <v>5.31</v>
      </c>
      <c r="L265" s="32">
        <v>5.33</v>
      </c>
      <c r="M265" s="32">
        <v>5.3</v>
      </c>
      <c r="N265" s="32">
        <v>5.3</v>
      </c>
      <c r="O265" s="32">
        <v>148.12100219726563</v>
      </c>
      <c r="P265" s="29">
        <v>1.0892297029495239</v>
      </c>
      <c r="Q265" s="29">
        <v>111.5</v>
      </c>
      <c r="R265" s="32">
        <v>1.8615999999999999</v>
      </c>
      <c r="S265" s="32">
        <v>0.50917999999999708</v>
      </c>
    </row>
    <row r="266" spans="1:19">
      <c r="A266" s="10">
        <v>45314</v>
      </c>
      <c r="B266" s="32">
        <v>4.3099999999999996</v>
      </c>
      <c r="C266" s="32">
        <v>4.0599999999999996</v>
      </c>
      <c r="D266" s="32">
        <v>4.1399999999999997</v>
      </c>
      <c r="E266" s="32">
        <v>4.4800000000000004</v>
      </c>
      <c r="F266" s="32">
        <v>4.38</v>
      </c>
      <c r="G266" s="32">
        <v>2.5000000000000001E-2</v>
      </c>
      <c r="H266" s="32">
        <v>0.64300000000000002</v>
      </c>
      <c r="I266" s="32">
        <v>1.413</v>
      </c>
      <c r="J266" s="32">
        <v>1.712</v>
      </c>
      <c r="K266" s="32">
        <v>5.31</v>
      </c>
      <c r="L266" s="32">
        <v>5.33</v>
      </c>
      <c r="M266" s="32">
        <v>5.3</v>
      </c>
      <c r="N266" s="32">
        <v>5.3</v>
      </c>
      <c r="O266" s="32">
        <v>148.14199829101563</v>
      </c>
      <c r="P266" s="29">
        <v>1.088020920753479</v>
      </c>
      <c r="Q266" s="29">
        <v>111.21875</v>
      </c>
      <c r="R266" s="32">
        <v>1.8608</v>
      </c>
      <c r="S266" s="32">
        <v>0.47760821411132781</v>
      </c>
    </row>
    <row r="267" spans="1:19">
      <c r="A267" s="10">
        <v>45315</v>
      </c>
      <c r="B267" s="32">
        <v>4.34</v>
      </c>
      <c r="C267" s="32">
        <v>4.0599999999999996</v>
      </c>
      <c r="D267" s="32">
        <v>4.18</v>
      </c>
      <c r="E267" s="32">
        <v>4.5199999999999996</v>
      </c>
      <c r="F267" s="32">
        <v>4.41</v>
      </c>
      <c r="G267" s="32">
        <v>7.0000000000000007E-2</v>
      </c>
      <c r="H267" s="32">
        <v>0.72099999999999997</v>
      </c>
      <c r="I267" s="32">
        <v>1.492</v>
      </c>
      <c r="J267" s="32">
        <v>1.7749999999999999</v>
      </c>
      <c r="K267" s="32">
        <v>5.31</v>
      </c>
      <c r="L267" s="32">
        <v>5.33</v>
      </c>
      <c r="M267" s="32">
        <v>5.3</v>
      </c>
      <c r="N267" s="32">
        <v>5.3</v>
      </c>
      <c r="O267" s="32">
        <v>148.25100708007813</v>
      </c>
      <c r="P267" s="29">
        <v>1.0857881307601929</v>
      </c>
      <c r="Q267" s="29">
        <v>110.96875</v>
      </c>
      <c r="R267" s="32">
        <v>1.9329000000000001</v>
      </c>
      <c r="S267" s="32">
        <v>0.5863564282226541</v>
      </c>
    </row>
    <row r="268" spans="1:19">
      <c r="A268" s="10">
        <v>45316</v>
      </c>
      <c r="B268" s="32">
        <v>4.28</v>
      </c>
      <c r="C268" s="32">
        <v>4.01</v>
      </c>
      <c r="D268" s="32">
        <v>4.1399999999999997</v>
      </c>
      <c r="E268" s="32">
        <v>4.49</v>
      </c>
      <c r="F268" s="32">
        <v>4.38</v>
      </c>
      <c r="G268" s="32">
        <v>6.7000000000000004E-2</v>
      </c>
      <c r="H268" s="32">
        <v>0.75</v>
      </c>
      <c r="I268" s="32">
        <v>1.532</v>
      </c>
      <c r="J268" s="32">
        <v>1.7949999999999999</v>
      </c>
      <c r="K268" s="32">
        <v>5.32</v>
      </c>
      <c r="L268" s="32">
        <v>5.33</v>
      </c>
      <c r="M268" s="32">
        <v>5.31</v>
      </c>
      <c r="N268" s="32">
        <v>5.31</v>
      </c>
      <c r="O268" s="32">
        <v>147.59100341796875</v>
      </c>
      <c r="P268" s="29">
        <v>1.0881748199462891</v>
      </c>
      <c r="Q268" s="29">
        <v>111.3125</v>
      </c>
      <c r="R268" s="32">
        <v>1.9354</v>
      </c>
      <c r="S268" s="32">
        <v>0.60214178588866929</v>
      </c>
    </row>
    <row r="269" spans="1:19">
      <c r="A269" s="10">
        <v>45317</v>
      </c>
      <c r="B269" s="32">
        <v>4.34</v>
      </c>
      <c r="C269" s="32">
        <v>4.04</v>
      </c>
      <c r="D269" s="32">
        <v>4.1500000000000004</v>
      </c>
      <c r="E269" s="32">
        <v>4.49</v>
      </c>
      <c r="F269" s="32">
        <v>4.38</v>
      </c>
      <c r="G269" s="32">
        <v>5.1999999999999998E-2</v>
      </c>
      <c r="H269" s="32">
        <v>0.72099999999999997</v>
      </c>
      <c r="I269" s="32">
        <v>1.506</v>
      </c>
      <c r="J269" s="32">
        <v>1.782</v>
      </c>
      <c r="K269" s="32">
        <v>5.32</v>
      </c>
      <c r="L269" s="32">
        <v>5.33</v>
      </c>
      <c r="M269" s="32">
        <v>5.31</v>
      </c>
      <c r="N269" s="32">
        <v>5.31</v>
      </c>
      <c r="O269" s="32">
        <v>147.72300720214844</v>
      </c>
      <c r="P269" s="29">
        <v>1.0847046375274658</v>
      </c>
      <c r="Q269" s="29">
        <v>111.03125</v>
      </c>
      <c r="R269" s="32">
        <v>1.8880999999999999</v>
      </c>
      <c r="S269" s="32">
        <v>0.57758642822265571</v>
      </c>
    </row>
    <row r="270" spans="1:19">
      <c r="A270" s="10">
        <v>45320</v>
      </c>
      <c r="B270" s="32">
        <v>4.29</v>
      </c>
      <c r="C270" s="32">
        <v>3.97</v>
      </c>
      <c r="D270" s="32">
        <v>4.08</v>
      </c>
      <c r="E270" s="32">
        <v>4.42</v>
      </c>
      <c r="F270" s="32">
        <v>4.3099999999999996</v>
      </c>
      <c r="G270" s="32">
        <v>6.3E-2</v>
      </c>
      <c r="H270" s="32">
        <v>0.72699999999999998</v>
      </c>
      <c r="I270" s="32">
        <v>1.524</v>
      </c>
      <c r="J270" s="32">
        <v>1.7989999999999999</v>
      </c>
      <c r="K270" s="32">
        <v>5.31</v>
      </c>
      <c r="L270" s="32">
        <v>5.33</v>
      </c>
      <c r="M270" s="32">
        <v>5.3</v>
      </c>
      <c r="N270" s="32">
        <v>5.3</v>
      </c>
      <c r="O270" s="32">
        <v>148.13999938964844</v>
      </c>
      <c r="P270" s="29">
        <v>1.0843517780303955</v>
      </c>
      <c r="Q270" s="29">
        <v>111.515625</v>
      </c>
      <c r="R270" s="32">
        <v>1.8816999999999999</v>
      </c>
      <c r="S270" s="32">
        <v>0.58986357177734305</v>
      </c>
    </row>
    <row r="271" spans="1:19">
      <c r="A271" s="10">
        <v>45321</v>
      </c>
      <c r="B271" s="32">
        <v>4.3600000000000003</v>
      </c>
      <c r="C271" s="32">
        <v>4</v>
      </c>
      <c r="D271" s="32">
        <v>4.0599999999999996</v>
      </c>
      <c r="E271" s="32">
        <v>4.4000000000000004</v>
      </c>
      <c r="F271" s="32">
        <v>4.28</v>
      </c>
      <c r="G271" s="32">
        <v>7.3999999999999996E-2</v>
      </c>
      <c r="H271" s="32">
        <v>0.71399999999999997</v>
      </c>
      <c r="I271" s="32">
        <v>1.498</v>
      </c>
      <c r="J271" s="32">
        <v>1.774</v>
      </c>
      <c r="K271" s="32">
        <v>5.31</v>
      </c>
      <c r="L271" s="32">
        <v>5.33</v>
      </c>
      <c r="M271" s="32">
        <v>5.3</v>
      </c>
      <c r="N271" s="32">
        <v>5.3</v>
      </c>
      <c r="O271" s="32">
        <v>147.46800231933594</v>
      </c>
      <c r="P271" s="29">
        <v>1.0834470987319946</v>
      </c>
      <c r="Q271" s="29">
        <v>111.625</v>
      </c>
      <c r="R271" s="32">
        <v>1.8332999999999999</v>
      </c>
      <c r="S271" s="32">
        <v>0.57407821411132787</v>
      </c>
    </row>
    <row r="272" spans="1:19">
      <c r="A272" s="10">
        <v>45322</v>
      </c>
      <c r="B272" s="32">
        <v>4.2699999999999996</v>
      </c>
      <c r="C272" s="32">
        <v>3.91</v>
      </c>
      <c r="D272" s="32">
        <v>3.99</v>
      </c>
      <c r="E272" s="32">
        <v>4.34</v>
      </c>
      <c r="F272" s="32">
        <v>4.22</v>
      </c>
      <c r="G272" s="32">
        <v>9.4E-2</v>
      </c>
      <c r="H272" s="32">
        <v>0.73699999999999999</v>
      </c>
      <c r="I272" s="32">
        <v>1.516</v>
      </c>
      <c r="J272" s="32">
        <v>1.79</v>
      </c>
      <c r="K272" s="32">
        <v>5.32</v>
      </c>
      <c r="L272" s="32">
        <v>5.33</v>
      </c>
      <c r="M272" s="32">
        <v>5.31</v>
      </c>
      <c r="N272" s="32">
        <v>5.31</v>
      </c>
      <c r="O272" s="32">
        <v>147.36900329589844</v>
      </c>
      <c r="P272" s="29">
        <v>1.08433997631073</v>
      </c>
      <c r="Q272" s="29">
        <v>112.328125</v>
      </c>
      <c r="R272" s="32">
        <v>1.8332999999999999</v>
      </c>
      <c r="S272" s="32">
        <v>0.57758642822265571</v>
      </c>
    </row>
    <row r="273" spans="1:19">
      <c r="A273" s="10">
        <v>45323</v>
      </c>
      <c r="B273" s="32">
        <v>4.2</v>
      </c>
      <c r="C273" s="32">
        <v>3.8</v>
      </c>
      <c r="D273" s="32">
        <v>3.87</v>
      </c>
      <c r="E273" s="32">
        <v>4.21</v>
      </c>
      <c r="F273" s="32">
        <v>4.0999999999999996</v>
      </c>
      <c r="G273" s="32">
        <v>8.5000000000000006E-2</v>
      </c>
      <c r="H273" s="32">
        <v>0.69899999999999995</v>
      </c>
      <c r="I273" s="32">
        <v>1.476</v>
      </c>
      <c r="J273" s="32">
        <v>1.7569999999999999</v>
      </c>
      <c r="K273" s="32">
        <v>5.32</v>
      </c>
      <c r="L273" s="32">
        <v>5.33</v>
      </c>
      <c r="M273" s="32">
        <v>5.31</v>
      </c>
      <c r="N273" s="32">
        <v>5.31</v>
      </c>
      <c r="O273" s="32">
        <v>146.99600219726563</v>
      </c>
      <c r="P273" s="29">
        <v>1.0803920030593872</v>
      </c>
      <c r="Q273" s="29">
        <v>112.890625</v>
      </c>
      <c r="R273" s="32">
        <v>1.7741</v>
      </c>
      <c r="S273" s="32">
        <v>0.54776821411132559</v>
      </c>
    </row>
    <row r="274" spans="1:19">
      <c r="A274" s="10">
        <v>45324</v>
      </c>
      <c r="B274" s="32">
        <v>4.3600000000000003</v>
      </c>
      <c r="C274" s="32">
        <v>3.99</v>
      </c>
      <c r="D274" s="32">
        <v>4.03</v>
      </c>
      <c r="E274" s="32">
        <v>4.33</v>
      </c>
      <c r="F274" s="32">
        <v>4.22</v>
      </c>
      <c r="G274" s="32">
        <v>0.1</v>
      </c>
      <c r="H274" s="32">
        <v>0.66700000000000004</v>
      </c>
      <c r="I274" s="32">
        <v>1.4410000000000001</v>
      </c>
      <c r="J274" s="32">
        <v>1.7230000000000001</v>
      </c>
      <c r="K274" s="32">
        <v>5.32</v>
      </c>
      <c r="L274" s="32">
        <v>5.33</v>
      </c>
      <c r="M274" s="32">
        <v>5.31</v>
      </c>
      <c r="N274" s="32">
        <v>5.31</v>
      </c>
      <c r="O274" s="32">
        <v>146.45100402832031</v>
      </c>
      <c r="P274" s="29">
        <v>1.0874648094177246</v>
      </c>
      <c r="Q274" s="29">
        <v>111.65625</v>
      </c>
      <c r="R274" s="32">
        <v>1.7450000000000001</v>
      </c>
      <c r="S274" s="32">
        <v>0.51268821411132848</v>
      </c>
    </row>
    <row r="275" spans="1:19">
      <c r="A275" s="10">
        <v>45327</v>
      </c>
      <c r="B275" s="32">
        <v>4.46</v>
      </c>
      <c r="C275" s="32">
        <v>4.13</v>
      </c>
      <c r="D275" s="32">
        <v>4.17</v>
      </c>
      <c r="E275" s="32">
        <v>4.46</v>
      </c>
      <c r="F275" s="32">
        <v>4.3499999999999996</v>
      </c>
      <c r="G275" s="32">
        <v>0.111</v>
      </c>
      <c r="H275" s="32">
        <v>0.72499999999999998</v>
      </c>
      <c r="I275" s="32">
        <v>1.49</v>
      </c>
      <c r="J275" s="32">
        <v>1.762</v>
      </c>
      <c r="K275" s="32">
        <v>5.31</v>
      </c>
      <c r="L275" s="32">
        <v>5.33</v>
      </c>
      <c r="M275" s="32">
        <v>5.3</v>
      </c>
      <c r="N275" s="32">
        <v>5.3</v>
      </c>
      <c r="O275" s="32">
        <v>148.50100708007813</v>
      </c>
      <c r="P275" s="29">
        <v>1.0780043601989746</v>
      </c>
      <c r="Q275" s="29">
        <v>110.78125</v>
      </c>
      <c r="R275" s="32">
        <v>1.8489</v>
      </c>
      <c r="S275" s="32">
        <v>0.55653821411132753</v>
      </c>
    </row>
    <row r="276" spans="1:19">
      <c r="A276" s="10">
        <v>45328</v>
      </c>
      <c r="B276" s="32">
        <v>4.3899999999999997</v>
      </c>
      <c r="C276" s="32">
        <v>4.03</v>
      </c>
      <c r="D276" s="32">
        <v>4.09</v>
      </c>
      <c r="E276" s="32">
        <v>4.3899999999999997</v>
      </c>
      <c r="F276" s="32">
        <v>4.29</v>
      </c>
      <c r="G276" s="32">
        <v>0.106</v>
      </c>
      <c r="H276" s="32">
        <v>0.72499999999999998</v>
      </c>
      <c r="I276" s="32">
        <v>1.486</v>
      </c>
      <c r="J276" s="32">
        <v>1.7529999999999999</v>
      </c>
      <c r="K276" s="32">
        <v>5.31</v>
      </c>
      <c r="L276" s="32">
        <v>5.33</v>
      </c>
      <c r="M276" s="32">
        <v>5.3</v>
      </c>
      <c r="N276" s="32">
        <v>5.3</v>
      </c>
      <c r="O276" s="32">
        <v>148.63999938964844</v>
      </c>
      <c r="P276" s="29">
        <v>1.0741831064224243</v>
      </c>
      <c r="Q276" s="29">
        <v>111.28125</v>
      </c>
      <c r="R276" s="32">
        <v>1.8856999999999999</v>
      </c>
      <c r="S276" s="32">
        <v>0.55478357177734239</v>
      </c>
    </row>
    <row r="277" spans="1:19">
      <c r="A277" s="10">
        <v>45329</v>
      </c>
      <c r="B277" s="32">
        <v>4.41</v>
      </c>
      <c r="C277" s="32">
        <v>4.0599999999999996</v>
      </c>
      <c r="D277" s="32">
        <v>4.09</v>
      </c>
      <c r="E277" s="32">
        <v>4.41</v>
      </c>
      <c r="F277" s="32">
        <v>4.3099999999999996</v>
      </c>
      <c r="G277" s="32">
        <v>0.10100000000000001</v>
      </c>
      <c r="H277" s="32">
        <v>0.71399999999999997</v>
      </c>
      <c r="I277" s="32">
        <v>1.468</v>
      </c>
      <c r="J277" s="32">
        <v>1.74</v>
      </c>
      <c r="K277" s="32">
        <v>5.31</v>
      </c>
      <c r="L277" s="32">
        <v>5.33</v>
      </c>
      <c r="M277" s="32">
        <v>5.3</v>
      </c>
      <c r="N277" s="32">
        <v>5.3</v>
      </c>
      <c r="O277" s="32">
        <v>147.8179931640625</v>
      </c>
      <c r="P277" s="29">
        <v>1.075719952583313</v>
      </c>
      <c r="Q277" s="29">
        <v>111.1875</v>
      </c>
      <c r="R277" s="32">
        <v>1.8979999999999999</v>
      </c>
      <c r="S277" s="32">
        <v>0.57933999999999841</v>
      </c>
    </row>
    <row r="278" spans="1:19">
      <c r="A278" s="10">
        <v>45330</v>
      </c>
      <c r="B278" s="32">
        <v>4.46</v>
      </c>
      <c r="C278" s="32">
        <v>4.12</v>
      </c>
      <c r="D278" s="32">
        <v>4.1500000000000004</v>
      </c>
      <c r="E278" s="32">
        <v>4.47</v>
      </c>
      <c r="F278" s="32">
        <v>4.3600000000000003</v>
      </c>
      <c r="G278" s="32">
        <v>0.10100000000000001</v>
      </c>
      <c r="H278" s="32">
        <v>0.70599999999999996</v>
      </c>
      <c r="I278" s="32">
        <v>1.4590000000000001</v>
      </c>
      <c r="J278" s="32">
        <v>1.7410000000000001</v>
      </c>
      <c r="K278" s="32">
        <v>5.31</v>
      </c>
      <c r="L278" s="32">
        <v>5.33</v>
      </c>
      <c r="M278" s="32">
        <v>5.3</v>
      </c>
      <c r="N278" s="32">
        <v>5.3</v>
      </c>
      <c r="O278" s="32">
        <v>148.08599853515625</v>
      </c>
      <c r="P278" s="29">
        <v>1.077574610710144</v>
      </c>
      <c r="Q278" s="29">
        <v>110.75</v>
      </c>
      <c r="R278" s="32">
        <v>1.9295</v>
      </c>
      <c r="S278" s="32">
        <v>0.53198178588867151</v>
      </c>
    </row>
    <row r="279" spans="1:19">
      <c r="A279" s="10">
        <v>45331</v>
      </c>
      <c r="B279" s="32">
        <v>4.4800000000000004</v>
      </c>
      <c r="C279" s="32">
        <v>4.1399999999999997</v>
      </c>
      <c r="D279" s="32">
        <v>4.17</v>
      </c>
      <c r="E279" s="32">
        <v>4.4800000000000004</v>
      </c>
      <c r="F279" s="32">
        <v>4.37</v>
      </c>
      <c r="G279" s="32">
        <v>0.11600000000000001</v>
      </c>
      <c r="H279" s="32">
        <v>0.73099999999999998</v>
      </c>
      <c r="I279" s="32">
        <v>1.49</v>
      </c>
      <c r="J279" s="32">
        <v>1.758</v>
      </c>
      <c r="K279" s="32">
        <v>5.31</v>
      </c>
      <c r="L279" s="32">
        <v>5.33</v>
      </c>
      <c r="M279" s="32">
        <v>5.3</v>
      </c>
      <c r="N279" s="32">
        <v>5.3</v>
      </c>
      <c r="O279" s="32">
        <v>149.25900268554688</v>
      </c>
      <c r="P279" s="29">
        <v>1.0777255296707153</v>
      </c>
      <c r="Q279" s="29">
        <v>110.578125</v>
      </c>
      <c r="R279" s="32">
        <v>1.9724999999999999</v>
      </c>
      <c r="S279" s="32">
        <v>0.56881642822265377</v>
      </c>
    </row>
    <row r="280" spans="1:19">
      <c r="A280" s="10">
        <v>45334</v>
      </c>
      <c r="B280" s="32">
        <v>4.46</v>
      </c>
      <c r="C280" s="32">
        <v>4.13</v>
      </c>
      <c r="D280" s="32">
        <v>4.17</v>
      </c>
      <c r="E280" s="32">
        <v>4.4800000000000004</v>
      </c>
      <c r="F280" s="32">
        <v>4.37</v>
      </c>
      <c r="G280" s="32">
        <v>0.11600000000000001</v>
      </c>
      <c r="H280" s="32">
        <v>0.73099999999999998</v>
      </c>
      <c r="I280" s="32">
        <v>1.49</v>
      </c>
      <c r="J280" s="32">
        <v>1.758</v>
      </c>
      <c r="K280" s="32">
        <v>5.31</v>
      </c>
      <c r="L280" s="32">
        <v>5.33</v>
      </c>
      <c r="M280" s="32">
        <v>5.3</v>
      </c>
      <c r="N280" s="32">
        <v>5.3</v>
      </c>
      <c r="O280" s="32">
        <v>149.16700744628906</v>
      </c>
      <c r="P280" s="29">
        <v>1.0798202753067017</v>
      </c>
      <c r="Q280" s="29">
        <v>110.71875</v>
      </c>
      <c r="R280" s="32">
        <v>1.9925999999999999</v>
      </c>
      <c r="S280" s="32">
        <v>0.56881642822265377</v>
      </c>
    </row>
    <row r="281" spans="1:19">
      <c r="A281" s="10">
        <v>45335</v>
      </c>
      <c r="B281" s="32">
        <v>4.6399999999999997</v>
      </c>
      <c r="C281" s="32">
        <v>4.3099999999999996</v>
      </c>
      <c r="D281" s="32">
        <v>4.3099999999999996</v>
      </c>
      <c r="E281" s="32">
        <v>4.59</v>
      </c>
      <c r="F281" s="32">
        <v>4.46</v>
      </c>
      <c r="G281" s="32">
        <v>0.128</v>
      </c>
      <c r="H281" s="32">
        <v>0.73599999999999999</v>
      </c>
      <c r="I281" s="32">
        <v>1.4910000000000001</v>
      </c>
      <c r="J281" s="32">
        <v>1.7609999999999999</v>
      </c>
      <c r="K281" s="32">
        <v>5.31</v>
      </c>
      <c r="L281" s="32">
        <v>5.33</v>
      </c>
      <c r="M281" s="32">
        <v>5.3</v>
      </c>
      <c r="N281" s="32">
        <v>5.3</v>
      </c>
      <c r="O281" s="32">
        <v>149.40499877929688</v>
      </c>
      <c r="P281" s="29">
        <v>1.0772264003753662</v>
      </c>
      <c r="Q281" s="29">
        <v>109.625</v>
      </c>
      <c r="R281" s="32">
        <v>1.9745999999999999</v>
      </c>
      <c r="S281" s="32">
        <v>0.57407821411132787</v>
      </c>
    </row>
    <row r="282" spans="1:19">
      <c r="A282" s="10">
        <v>45336</v>
      </c>
      <c r="B282" s="32">
        <v>4.5599999999999996</v>
      </c>
      <c r="C282" s="32">
        <v>4.25</v>
      </c>
      <c r="D282" s="32">
        <v>4.2699999999999996</v>
      </c>
      <c r="E282" s="32">
        <v>4.57</v>
      </c>
      <c r="F282" s="32">
        <v>4.45</v>
      </c>
      <c r="G282" s="32">
        <v>0.14299999999999999</v>
      </c>
      <c r="H282" s="32">
        <v>0.76400000000000001</v>
      </c>
      <c r="I282" s="32">
        <v>1.508</v>
      </c>
      <c r="J282" s="32">
        <v>1.774</v>
      </c>
      <c r="K282" s="32">
        <v>5.3</v>
      </c>
      <c r="L282" s="32">
        <v>5.33</v>
      </c>
      <c r="M282" s="32">
        <v>5.3</v>
      </c>
      <c r="N282" s="32">
        <v>5.3</v>
      </c>
      <c r="O282" s="32">
        <v>150.7239990234375</v>
      </c>
      <c r="P282" s="29">
        <v>1.0708931684494019</v>
      </c>
      <c r="Q282" s="29">
        <v>110.015625</v>
      </c>
      <c r="R282" s="32">
        <v>2.0550000000000002</v>
      </c>
      <c r="S282" s="32">
        <v>0.60740357177734339</v>
      </c>
    </row>
    <row r="283" spans="1:19">
      <c r="A283" s="10">
        <v>45337</v>
      </c>
      <c r="B283" s="32">
        <v>4.5599999999999996</v>
      </c>
      <c r="C283" s="32">
        <v>4.22</v>
      </c>
      <c r="D283" s="32">
        <v>4.24</v>
      </c>
      <c r="E283" s="32">
        <v>4.54</v>
      </c>
      <c r="F283" s="32">
        <v>4.42</v>
      </c>
      <c r="G283" s="32">
        <v>0.13700000000000001</v>
      </c>
      <c r="H283" s="32">
        <v>0.73599999999999999</v>
      </c>
      <c r="I283" s="32">
        <v>1.504</v>
      </c>
      <c r="J283" s="32">
        <v>1.77</v>
      </c>
      <c r="K283" s="32">
        <v>5.31</v>
      </c>
      <c r="L283" s="32">
        <v>5.33</v>
      </c>
      <c r="M283" s="32">
        <v>5.3</v>
      </c>
      <c r="N283" s="32">
        <v>5.3</v>
      </c>
      <c r="O283" s="32">
        <v>150.54400634765625</v>
      </c>
      <c r="P283" s="29">
        <v>1.0732147693634033</v>
      </c>
      <c r="Q283" s="29">
        <v>110.171875</v>
      </c>
      <c r="R283" s="32">
        <v>1.9204000000000001</v>
      </c>
      <c r="S283" s="32">
        <v>0.58284821411132626</v>
      </c>
    </row>
    <row r="284" spans="1:19">
      <c r="A284" s="10">
        <v>45338</v>
      </c>
      <c r="B284" s="32">
        <v>4.6399999999999997</v>
      </c>
      <c r="C284" s="32">
        <v>4.29</v>
      </c>
      <c r="D284" s="32">
        <v>4.3</v>
      </c>
      <c r="E284" s="32">
        <v>4.58</v>
      </c>
      <c r="F284" s="32">
        <v>4.45</v>
      </c>
      <c r="G284" s="32">
        <v>0.14299999999999999</v>
      </c>
      <c r="H284" s="32">
        <v>0.73699999999999999</v>
      </c>
      <c r="I284" s="32">
        <v>1.4910000000000001</v>
      </c>
      <c r="J284" s="32">
        <v>1.75</v>
      </c>
      <c r="K284" s="32">
        <v>5.3</v>
      </c>
      <c r="L284" s="32">
        <v>5.33</v>
      </c>
      <c r="M284" s="32">
        <v>5.3</v>
      </c>
      <c r="N284" s="32">
        <v>5.3</v>
      </c>
      <c r="O284" s="32">
        <v>149.94599914550781</v>
      </c>
      <c r="P284" s="29">
        <v>1.0773887634277344</v>
      </c>
      <c r="Q284" s="29">
        <v>109.75</v>
      </c>
      <c r="R284" s="32">
        <v>1.9072</v>
      </c>
      <c r="S284" s="32">
        <v>0.5863564282226541</v>
      </c>
    </row>
    <row r="285" spans="1:19">
      <c r="A285" s="10">
        <v>45342</v>
      </c>
      <c r="B285" s="32">
        <v>4.59</v>
      </c>
      <c r="C285" s="32">
        <v>4.25</v>
      </c>
      <c r="D285" s="32">
        <v>4.2699999999999996</v>
      </c>
      <c r="E285" s="32">
        <v>4.5599999999999996</v>
      </c>
      <c r="F285" s="32">
        <v>4.4400000000000004</v>
      </c>
      <c r="G285" s="32">
        <v>0.151</v>
      </c>
      <c r="H285" s="32">
        <v>0.74199999999999999</v>
      </c>
      <c r="I285" s="32">
        <v>1.474</v>
      </c>
      <c r="J285" s="32">
        <v>1.7250000000000001</v>
      </c>
      <c r="K285" s="32">
        <v>5.3</v>
      </c>
      <c r="L285" s="32">
        <v>5.33</v>
      </c>
      <c r="M285" s="32">
        <v>5.3</v>
      </c>
      <c r="N285" s="32">
        <v>5.3</v>
      </c>
      <c r="O285" s="32">
        <v>150.27000427246094</v>
      </c>
      <c r="P285" s="29">
        <v>1.0775396823883057</v>
      </c>
      <c r="Q285" s="29">
        <v>109.9375</v>
      </c>
      <c r="R285" s="32">
        <v>1.9417</v>
      </c>
      <c r="S285" s="32">
        <v>0.60740357177734339</v>
      </c>
    </row>
    <row r="286" spans="1:19">
      <c r="A286" s="10">
        <v>45343</v>
      </c>
      <c r="B286" s="32">
        <v>4.6399999999999997</v>
      </c>
      <c r="C286" s="32">
        <v>4.3</v>
      </c>
      <c r="D286" s="32">
        <v>4.32</v>
      </c>
      <c r="E286" s="32">
        <v>4.59</v>
      </c>
      <c r="F286" s="32">
        <v>4.49</v>
      </c>
      <c r="G286" s="32">
        <v>0.155</v>
      </c>
      <c r="H286" s="32">
        <v>0.73199999999999998</v>
      </c>
      <c r="I286" s="32">
        <v>1.46</v>
      </c>
      <c r="J286" s="32">
        <v>1.7070000000000001</v>
      </c>
      <c r="K286" s="32">
        <v>5.3</v>
      </c>
      <c r="L286" s="32">
        <v>5.33</v>
      </c>
      <c r="M286" s="32">
        <v>5.3</v>
      </c>
      <c r="N286" s="32">
        <v>5.3</v>
      </c>
      <c r="O286" s="32">
        <v>149.93899536132813</v>
      </c>
      <c r="P286" s="29">
        <v>1.0813149213790894</v>
      </c>
      <c r="Q286" s="29">
        <v>109.625</v>
      </c>
      <c r="R286" s="32">
        <v>1.9105000000000001</v>
      </c>
      <c r="S286" s="32">
        <v>0.546013571777344</v>
      </c>
    </row>
    <row r="287" spans="1:19">
      <c r="A287" s="10">
        <v>45344</v>
      </c>
      <c r="B287" s="32">
        <v>4.6900000000000004</v>
      </c>
      <c r="C287" s="32">
        <v>4.33</v>
      </c>
      <c r="D287" s="32">
        <v>4.33</v>
      </c>
      <c r="E287" s="32">
        <v>4.58</v>
      </c>
      <c r="F287" s="32">
        <v>4.47</v>
      </c>
      <c r="G287" s="32">
        <v>0.158</v>
      </c>
      <c r="H287" s="32">
        <v>0.72699999999999998</v>
      </c>
      <c r="I287" s="32">
        <v>1.4430000000000001</v>
      </c>
      <c r="J287" s="32">
        <v>1.6990000000000001</v>
      </c>
      <c r="K287" s="32">
        <v>5.3</v>
      </c>
      <c r="L287" s="32">
        <v>5.33</v>
      </c>
      <c r="M287" s="32">
        <v>5.3</v>
      </c>
      <c r="N287" s="32">
        <v>5.3</v>
      </c>
      <c r="O287" s="32">
        <v>150.35499572753906</v>
      </c>
      <c r="P287" s="29">
        <v>1.0820403099060059</v>
      </c>
      <c r="Q287" s="29">
        <v>109.5</v>
      </c>
      <c r="R287" s="32">
        <v>1.9709000000000001</v>
      </c>
      <c r="S287" s="32">
        <v>0.57583178588867057</v>
      </c>
    </row>
    <row r="288" spans="1:19">
      <c r="A288" s="10">
        <v>45345</v>
      </c>
      <c r="B288" s="32">
        <v>4.67</v>
      </c>
      <c r="C288" s="32">
        <v>4.28</v>
      </c>
      <c r="D288" s="32">
        <v>4.26</v>
      </c>
      <c r="E288" s="32">
        <v>4.51</v>
      </c>
      <c r="F288" s="32">
        <v>4.37</v>
      </c>
      <c r="G288" s="32">
        <v>0.158</v>
      </c>
      <c r="H288" s="32">
        <v>0.72699999999999998</v>
      </c>
      <c r="I288" s="32">
        <v>1.4430000000000001</v>
      </c>
      <c r="J288" s="32">
        <v>1.6990000000000001</v>
      </c>
      <c r="K288" s="32">
        <v>5.31</v>
      </c>
      <c r="L288" s="32">
        <v>5.33</v>
      </c>
      <c r="M288" s="32">
        <v>5.3</v>
      </c>
      <c r="N288" s="32">
        <v>5.3</v>
      </c>
      <c r="O288" s="32">
        <v>150.48300170898438</v>
      </c>
      <c r="P288" s="29">
        <v>1.0825674533843994</v>
      </c>
      <c r="Q288" s="29">
        <v>109.875</v>
      </c>
      <c r="R288" s="32">
        <v>1.9666999999999999</v>
      </c>
      <c r="S288" s="32">
        <v>0.57583178588867057</v>
      </c>
    </row>
    <row r="289" spans="1:19">
      <c r="A289" s="10">
        <v>45348</v>
      </c>
      <c r="B289" s="32">
        <v>4.6900000000000004</v>
      </c>
      <c r="C289" s="32">
        <v>4.29</v>
      </c>
      <c r="D289" s="32">
        <v>4.28</v>
      </c>
      <c r="E289" s="32">
        <v>4.53</v>
      </c>
      <c r="F289" s="32">
        <v>4.4000000000000004</v>
      </c>
      <c r="G289" s="32">
        <v>0.159</v>
      </c>
      <c r="H289" s="32">
        <v>0.69899999999999995</v>
      </c>
      <c r="I289" s="32">
        <v>1.411</v>
      </c>
      <c r="J289" s="32">
        <v>1.6659999999999999</v>
      </c>
      <c r="K289" s="32">
        <v>5.31</v>
      </c>
      <c r="L289" s="32">
        <v>5.33</v>
      </c>
      <c r="M289" s="32">
        <v>5.3</v>
      </c>
      <c r="N289" s="32">
        <v>5.3</v>
      </c>
      <c r="O289" s="32">
        <v>150.49800109863281</v>
      </c>
      <c r="P289" s="29">
        <v>1.0820051431655884</v>
      </c>
      <c r="Q289" s="29">
        <v>109.609375</v>
      </c>
      <c r="R289" s="32">
        <v>1.9094</v>
      </c>
      <c r="S289" s="32">
        <v>0.52496642822265471</v>
      </c>
    </row>
    <row r="290" spans="1:19">
      <c r="A290" s="10">
        <v>45349</v>
      </c>
      <c r="B290" s="32">
        <v>4.7</v>
      </c>
      <c r="C290" s="32">
        <v>4.32</v>
      </c>
      <c r="D290" s="32">
        <v>4.3099999999999996</v>
      </c>
      <c r="E290" s="32">
        <v>4.57</v>
      </c>
      <c r="F290" s="32">
        <v>4.4400000000000004</v>
      </c>
      <c r="G290" s="32">
        <v>0.17299999999999999</v>
      </c>
      <c r="H290" s="32">
        <v>0.70399999999999996</v>
      </c>
      <c r="I290" s="32">
        <v>1.421</v>
      </c>
      <c r="J290" s="32">
        <v>1.675</v>
      </c>
      <c r="K290" s="32">
        <v>5.31</v>
      </c>
      <c r="L290" s="32">
        <v>5.33</v>
      </c>
      <c r="M290" s="32">
        <v>5.3</v>
      </c>
      <c r="N290" s="32">
        <v>5.3</v>
      </c>
      <c r="O290" s="32">
        <v>150.56599426269531</v>
      </c>
      <c r="P290" s="29">
        <v>1.0850930213928223</v>
      </c>
      <c r="Q290" s="29">
        <v>109.53125</v>
      </c>
      <c r="R290" s="32">
        <v>1.9588000000000001</v>
      </c>
      <c r="S290" s="32">
        <v>0.50567178588866923</v>
      </c>
    </row>
    <row r="291" spans="1:19">
      <c r="A291" s="10">
        <v>45350</v>
      </c>
      <c r="B291" s="32">
        <v>4.6399999999999997</v>
      </c>
      <c r="C291" s="32">
        <v>4.26</v>
      </c>
      <c r="D291" s="32">
        <v>4.2699999999999996</v>
      </c>
      <c r="E291" s="32">
        <v>4.53</v>
      </c>
      <c r="F291" s="32">
        <v>4.4000000000000004</v>
      </c>
      <c r="G291" s="32">
        <v>0.16600000000000001</v>
      </c>
      <c r="H291" s="32">
        <v>0.70899999999999996</v>
      </c>
      <c r="I291" s="32">
        <v>1.4390000000000001</v>
      </c>
      <c r="J291" s="32">
        <v>1.7090000000000001</v>
      </c>
      <c r="K291" s="32">
        <v>5.31</v>
      </c>
      <c r="L291" s="32">
        <v>5.33</v>
      </c>
      <c r="M291" s="32">
        <v>5.3</v>
      </c>
      <c r="N291" s="32">
        <v>5.3</v>
      </c>
      <c r="O291" s="32">
        <v>150.4949951171875</v>
      </c>
      <c r="P291" s="29">
        <v>1.0844811201095581</v>
      </c>
      <c r="Q291" s="29">
        <v>109.8125</v>
      </c>
      <c r="R291" s="32">
        <v>1.9895</v>
      </c>
      <c r="S291" s="32">
        <v>0.51268821411132848</v>
      </c>
    </row>
    <row r="292" spans="1:19">
      <c r="A292" s="10">
        <v>45351</v>
      </c>
      <c r="B292" s="32">
        <v>4.6399999999999997</v>
      </c>
      <c r="C292" s="32">
        <v>4.26</v>
      </c>
      <c r="D292" s="32">
        <v>4.25</v>
      </c>
      <c r="E292" s="32">
        <v>4.51</v>
      </c>
      <c r="F292" s="32">
        <v>4.38</v>
      </c>
      <c r="G292" s="32">
        <v>0.19</v>
      </c>
      <c r="H292" s="32">
        <v>0.72399999999999998</v>
      </c>
      <c r="I292" s="32">
        <v>1.452</v>
      </c>
      <c r="J292" s="32">
        <v>1.734</v>
      </c>
      <c r="K292" s="32">
        <v>5.32</v>
      </c>
      <c r="L292" s="32">
        <v>5.33</v>
      </c>
      <c r="M292" s="32">
        <v>5.31</v>
      </c>
      <c r="N292" s="32">
        <v>5.31</v>
      </c>
      <c r="O292" s="32">
        <v>150.656005859375</v>
      </c>
      <c r="P292" s="29">
        <v>1.0838816165924072</v>
      </c>
      <c r="Q292" s="29">
        <v>109.921875</v>
      </c>
      <c r="R292" s="32">
        <v>1.9758</v>
      </c>
      <c r="S292" s="32">
        <v>0.53373642822265666</v>
      </c>
    </row>
    <row r="293" spans="1:19">
      <c r="A293" s="10">
        <v>45352</v>
      </c>
      <c r="B293" s="32">
        <v>4.54</v>
      </c>
      <c r="C293" s="32">
        <v>4.17</v>
      </c>
      <c r="D293" s="32">
        <v>4.1900000000000004</v>
      </c>
      <c r="E293" s="32">
        <v>4.46</v>
      </c>
      <c r="F293" s="32">
        <v>4.33</v>
      </c>
      <c r="G293" s="32">
        <v>0.18</v>
      </c>
      <c r="H293" s="32">
        <v>0.72799999999999998</v>
      </c>
      <c r="I293" s="32">
        <v>1.444</v>
      </c>
      <c r="J293" s="32">
        <v>1.722</v>
      </c>
      <c r="K293" s="32">
        <v>5.31</v>
      </c>
      <c r="L293" s="32">
        <v>5.33</v>
      </c>
      <c r="M293" s="32">
        <v>5.3</v>
      </c>
      <c r="N293" s="32">
        <v>5.31</v>
      </c>
      <c r="O293" s="32">
        <v>150.09500122070313</v>
      </c>
      <c r="P293" s="29">
        <v>1.0804970264434814</v>
      </c>
      <c r="Q293" s="29">
        <v>110.5</v>
      </c>
      <c r="R293" s="32">
        <v>1.9254</v>
      </c>
      <c r="S293" s="32">
        <v>0.53548999999999936</v>
      </c>
    </row>
    <row r="294" spans="1:19">
      <c r="A294" s="10">
        <v>45355</v>
      </c>
      <c r="B294" s="32">
        <v>4.6100000000000003</v>
      </c>
      <c r="C294" s="32">
        <v>4.21</v>
      </c>
      <c r="D294" s="32">
        <v>4.22</v>
      </c>
      <c r="E294" s="32">
        <v>4.4800000000000004</v>
      </c>
      <c r="F294" s="32">
        <v>4.3600000000000003</v>
      </c>
      <c r="G294" s="32">
        <v>0.17599999999999999</v>
      </c>
      <c r="H294" s="32">
        <v>0.72499999999999998</v>
      </c>
      <c r="I294" s="32">
        <v>1.458</v>
      </c>
      <c r="J294" s="32">
        <v>1.7430000000000001</v>
      </c>
      <c r="K294" s="32">
        <v>5.31</v>
      </c>
      <c r="L294" s="32">
        <v>5.33</v>
      </c>
      <c r="M294" s="32">
        <v>5.3</v>
      </c>
      <c r="N294" s="32">
        <v>5.3</v>
      </c>
      <c r="O294" s="32">
        <v>150.10499572753906</v>
      </c>
      <c r="P294" s="29">
        <v>1.0842694044113159</v>
      </c>
      <c r="Q294" s="29">
        <v>110.21875</v>
      </c>
      <c r="R294" s="32">
        <v>1.9275</v>
      </c>
      <c r="S294" s="32">
        <v>0.54425999999999775</v>
      </c>
    </row>
    <row r="295" spans="1:19">
      <c r="A295" s="10">
        <v>45356</v>
      </c>
      <c r="B295" s="32">
        <v>4.54</v>
      </c>
      <c r="C295" s="32">
        <v>4.13</v>
      </c>
      <c r="D295" s="32">
        <v>4.13</v>
      </c>
      <c r="E295" s="32">
        <v>4.3899999999999997</v>
      </c>
      <c r="F295" s="32">
        <v>4.2699999999999996</v>
      </c>
      <c r="G295" s="32">
        <v>0.17499999999999999</v>
      </c>
      <c r="H295" s="32">
        <v>0.71399999999999997</v>
      </c>
      <c r="I295" s="32">
        <v>1.4490000000000001</v>
      </c>
      <c r="J295" s="32">
        <v>1.738</v>
      </c>
      <c r="K295" s="32">
        <v>5.31</v>
      </c>
      <c r="L295" s="32">
        <v>5.33</v>
      </c>
      <c r="M295" s="32">
        <v>5.3</v>
      </c>
      <c r="N295" s="32">
        <v>5.3</v>
      </c>
      <c r="O295" s="32">
        <v>150.46600341796875</v>
      </c>
      <c r="P295" s="29">
        <v>1.0855170488357544</v>
      </c>
      <c r="Q295" s="29">
        <v>110.75</v>
      </c>
      <c r="R295" s="32">
        <v>1.9236</v>
      </c>
      <c r="S295" s="32">
        <v>0.53022821411132526</v>
      </c>
    </row>
    <row r="296" spans="1:19">
      <c r="A296" s="10">
        <v>45357</v>
      </c>
      <c r="B296" s="32">
        <v>4.55</v>
      </c>
      <c r="C296" s="32">
        <v>4.12</v>
      </c>
      <c r="D296" s="32">
        <v>4.1100000000000003</v>
      </c>
      <c r="E296" s="32">
        <v>4.3600000000000003</v>
      </c>
      <c r="F296" s="32">
        <v>4.24</v>
      </c>
      <c r="G296" s="32">
        <v>0.186</v>
      </c>
      <c r="H296" s="32">
        <v>0.72499999999999998</v>
      </c>
      <c r="I296" s="32">
        <v>1.448</v>
      </c>
      <c r="J296" s="32">
        <v>1.73</v>
      </c>
      <c r="K296" s="32">
        <v>5.31</v>
      </c>
      <c r="L296" s="32">
        <v>5.33</v>
      </c>
      <c r="M296" s="32">
        <v>5.3</v>
      </c>
      <c r="N296" s="32">
        <v>5.3</v>
      </c>
      <c r="O296" s="32">
        <v>150.04899597167969</v>
      </c>
      <c r="P296" s="29">
        <v>1.0855995416641235</v>
      </c>
      <c r="Q296" s="29">
        <v>110.921875</v>
      </c>
      <c r="R296" s="32">
        <v>1.8504</v>
      </c>
      <c r="S296" s="32">
        <v>0.54425999999999775</v>
      </c>
    </row>
    <row r="297" spans="1:19">
      <c r="A297" s="10">
        <v>45358</v>
      </c>
      <c r="B297" s="32">
        <v>4.5</v>
      </c>
      <c r="C297" s="32">
        <v>4.07</v>
      </c>
      <c r="D297" s="32">
        <v>4.09</v>
      </c>
      <c r="E297" s="32">
        <v>4.3499999999999996</v>
      </c>
      <c r="F297" s="32">
        <v>4.25</v>
      </c>
      <c r="G297" s="32">
        <v>0.191</v>
      </c>
      <c r="H297" s="32">
        <v>0.74099999999999999</v>
      </c>
      <c r="I297" s="32">
        <v>1.466</v>
      </c>
      <c r="J297" s="32">
        <v>1.738</v>
      </c>
      <c r="K297" s="32">
        <v>5.31</v>
      </c>
      <c r="L297" s="32">
        <v>5.33</v>
      </c>
      <c r="M297" s="32">
        <v>5.3</v>
      </c>
      <c r="N297" s="32">
        <v>5.3</v>
      </c>
      <c r="O297" s="32">
        <v>149.26899719238281</v>
      </c>
      <c r="P297" s="29">
        <v>1.0899538993835449</v>
      </c>
      <c r="Q297" s="29">
        <v>111.078125</v>
      </c>
      <c r="R297" s="32">
        <v>1.8063</v>
      </c>
      <c r="S297" s="32">
        <v>0.62318999999999747</v>
      </c>
    </row>
    <row r="298" spans="1:19">
      <c r="A298" s="10">
        <v>45359</v>
      </c>
      <c r="B298" s="32">
        <v>4.4800000000000004</v>
      </c>
      <c r="C298" s="32">
        <v>4.0599999999999996</v>
      </c>
      <c r="D298" s="32">
        <v>4.09</v>
      </c>
      <c r="E298" s="32">
        <v>4.3600000000000003</v>
      </c>
      <c r="F298" s="32">
        <v>4.26</v>
      </c>
      <c r="G298" s="32">
        <v>0.20200000000000001</v>
      </c>
      <c r="H298" s="32">
        <v>0.746</v>
      </c>
      <c r="I298" s="32">
        <v>1.4830000000000001</v>
      </c>
      <c r="J298" s="32">
        <v>1.7589999999999999</v>
      </c>
      <c r="K298" s="32">
        <v>5.31</v>
      </c>
      <c r="L298" s="32">
        <v>5.33</v>
      </c>
      <c r="M298" s="32">
        <v>5.3</v>
      </c>
      <c r="N298" s="32">
        <v>5.3</v>
      </c>
      <c r="O298" s="32">
        <v>147.86799621582031</v>
      </c>
      <c r="P298" s="29">
        <v>1.0950144529342651</v>
      </c>
      <c r="Q298" s="29">
        <v>111.140625</v>
      </c>
      <c r="R298" s="32">
        <v>1.7696000000000001</v>
      </c>
      <c r="S298" s="32">
        <v>0.61968178588866962</v>
      </c>
    </row>
    <row r="299" spans="1:19">
      <c r="A299" s="10">
        <v>45362</v>
      </c>
      <c r="B299" s="32">
        <v>4.51</v>
      </c>
      <c r="C299" s="32">
        <v>4.08</v>
      </c>
      <c r="D299" s="32">
        <v>4.0999999999999996</v>
      </c>
      <c r="E299" s="32">
        <v>4.3600000000000003</v>
      </c>
      <c r="F299" s="32">
        <v>4.26</v>
      </c>
      <c r="G299" s="32">
        <v>0.20200000000000001</v>
      </c>
      <c r="H299" s="32">
        <v>0.77700000000000002</v>
      </c>
      <c r="I299" s="32">
        <v>1.5209999999999999</v>
      </c>
      <c r="J299" s="32">
        <v>1.7849999999999999</v>
      </c>
      <c r="K299" s="32">
        <v>5.31</v>
      </c>
      <c r="L299" s="32">
        <v>5.33</v>
      </c>
      <c r="M299" s="32">
        <v>5.3</v>
      </c>
      <c r="N299" s="32">
        <v>5.3</v>
      </c>
      <c r="O299" s="32">
        <v>146.77400207519531</v>
      </c>
      <c r="P299" s="29">
        <v>1.0942955017089844</v>
      </c>
      <c r="Q299" s="29">
        <v>111.015625</v>
      </c>
      <c r="R299" s="32">
        <v>1.7927</v>
      </c>
      <c r="S299" s="32">
        <v>0.60915821411132853</v>
      </c>
    </row>
    <row r="300" spans="1:19">
      <c r="A300" s="10">
        <v>45363</v>
      </c>
      <c r="B300" s="32">
        <v>4.58</v>
      </c>
      <c r="C300" s="32">
        <v>4.1500000000000004</v>
      </c>
      <c r="D300" s="32">
        <v>4.16</v>
      </c>
      <c r="E300" s="32">
        <v>4.42</v>
      </c>
      <c r="F300" s="32">
        <v>4.3099999999999996</v>
      </c>
      <c r="G300" s="32">
        <v>0.19700000000000001</v>
      </c>
      <c r="H300" s="32">
        <v>0.78300000000000003</v>
      </c>
      <c r="I300" s="32">
        <v>1.518</v>
      </c>
      <c r="J300" s="32">
        <v>1.7889999999999999</v>
      </c>
      <c r="K300" s="32">
        <v>5.31</v>
      </c>
      <c r="L300" s="32">
        <v>5.33</v>
      </c>
      <c r="M300" s="32">
        <v>5.3</v>
      </c>
      <c r="N300" s="32">
        <v>5.3</v>
      </c>
      <c r="O300" s="32">
        <v>146.73199462890625</v>
      </c>
      <c r="P300" s="29">
        <v>1.0931351184844971</v>
      </c>
      <c r="Q300" s="29">
        <v>110.609375</v>
      </c>
      <c r="R300" s="32">
        <v>1.8037000000000001</v>
      </c>
      <c r="S300" s="32">
        <v>0.68808821411132826</v>
      </c>
    </row>
    <row r="301" spans="1:19">
      <c r="A301" s="10">
        <v>45364</v>
      </c>
      <c r="B301" s="32">
        <v>4.6100000000000003</v>
      </c>
      <c r="C301" s="32">
        <v>4.1900000000000004</v>
      </c>
      <c r="D301" s="32">
        <v>4.1900000000000004</v>
      </c>
      <c r="E301" s="32">
        <v>4.45</v>
      </c>
      <c r="F301" s="32">
        <v>4.3499999999999996</v>
      </c>
      <c r="G301" s="32">
        <v>0.19700000000000001</v>
      </c>
      <c r="H301" s="32">
        <v>0.77300000000000002</v>
      </c>
      <c r="I301" s="32">
        <v>1.506</v>
      </c>
      <c r="J301" s="32">
        <v>1.776</v>
      </c>
      <c r="K301" s="32">
        <v>5.31</v>
      </c>
      <c r="L301" s="32">
        <v>5.33</v>
      </c>
      <c r="M301" s="32">
        <v>5.3</v>
      </c>
      <c r="N301" s="32">
        <v>5.3</v>
      </c>
      <c r="O301" s="32">
        <v>147.61900329589844</v>
      </c>
      <c r="P301" s="29">
        <v>1.0927767753601074</v>
      </c>
      <c r="Q301" s="29">
        <v>110.40625</v>
      </c>
      <c r="R301" s="32">
        <v>1.7909999999999999</v>
      </c>
      <c r="S301" s="32">
        <v>0.64949999999999974</v>
      </c>
    </row>
    <row r="302" spans="1:19">
      <c r="A302" s="10">
        <v>45365</v>
      </c>
      <c r="B302" s="32">
        <v>4.68</v>
      </c>
      <c r="C302" s="32">
        <v>4.29</v>
      </c>
      <c r="D302" s="32">
        <v>4.29</v>
      </c>
      <c r="E302" s="32">
        <v>4.54</v>
      </c>
      <c r="F302" s="32">
        <v>4.4400000000000004</v>
      </c>
      <c r="G302" s="32">
        <v>0.19800000000000001</v>
      </c>
      <c r="H302" s="32">
        <v>0.79200000000000004</v>
      </c>
      <c r="I302" s="32">
        <v>1.5329999999999999</v>
      </c>
      <c r="J302" s="32">
        <v>1.8009999999999999</v>
      </c>
      <c r="K302" s="32">
        <v>5.31</v>
      </c>
      <c r="L302" s="32">
        <v>5.33</v>
      </c>
      <c r="M302" s="32">
        <v>5.3</v>
      </c>
      <c r="N302" s="32">
        <v>5.3</v>
      </c>
      <c r="O302" s="32">
        <v>147.62100219726563</v>
      </c>
      <c r="P302" s="29">
        <v>1.0955302715301514</v>
      </c>
      <c r="Q302" s="29">
        <v>109.734375</v>
      </c>
      <c r="R302" s="32">
        <v>1.7944</v>
      </c>
      <c r="S302" s="32">
        <v>0.70036642822265449</v>
      </c>
    </row>
    <row r="303" spans="1:19">
      <c r="A303" s="10">
        <v>45366</v>
      </c>
      <c r="B303" s="32">
        <v>4.72</v>
      </c>
      <c r="C303" s="32">
        <v>4.33</v>
      </c>
      <c r="D303" s="32">
        <v>4.3099999999999996</v>
      </c>
      <c r="E303" s="32">
        <v>4.55</v>
      </c>
      <c r="F303" s="32">
        <v>4.43</v>
      </c>
      <c r="G303" s="32">
        <v>0.193</v>
      </c>
      <c r="H303" s="32">
        <v>0.80200000000000005</v>
      </c>
      <c r="I303" s="32">
        <v>1.542</v>
      </c>
      <c r="J303" s="32">
        <v>1.8120000000000001</v>
      </c>
      <c r="K303" s="32">
        <v>5.31</v>
      </c>
      <c r="L303" s="32">
        <v>5.33</v>
      </c>
      <c r="M303" s="32">
        <v>5.3</v>
      </c>
      <c r="N303" s="32">
        <v>5.3</v>
      </c>
      <c r="O303" s="32">
        <v>148.29600524902344</v>
      </c>
      <c r="P303" s="29">
        <v>1.0883406400680542</v>
      </c>
      <c r="Q303" s="29">
        <v>109.609375</v>
      </c>
      <c r="R303" s="32">
        <v>1.8880999999999999</v>
      </c>
      <c r="S303" s="32">
        <v>0.66879357177734278</v>
      </c>
    </row>
    <row r="304" spans="1:19">
      <c r="A304" s="10">
        <v>45369</v>
      </c>
      <c r="B304" s="32">
        <v>4.7300000000000004</v>
      </c>
      <c r="C304" s="32">
        <v>4.3600000000000003</v>
      </c>
      <c r="D304" s="32">
        <v>4.34</v>
      </c>
      <c r="E304" s="32">
        <v>4.57</v>
      </c>
      <c r="F304" s="32">
        <v>4.46</v>
      </c>
      <c r="G304" s="32">
        <v>0.188</v>
      </c>
      <c r="H304" s="32">
        <v>0.77400000000000002</v>
      </c>
      <c r="I304" s="32">
        <v>1.512</v>
      </c>
      <c r="J304" s="32">
        <v>1.78</v>
      </c>
      <c r="K304" s="32">
        <v>5.31</v>
      </c>
      <c r="L304" s="32">
        <v>5.33</v>
      </c>
      <c r="M304" s="32">
        <v>5.3</v>
      </c>
      <c r="N304" s="32">
        <v>5.3</v>
      </c>
      <c r="O304" s="32">
        <v>148.95500183105469</v>
      </c>
      <c r="P304" s="29">
        <v>1.0882576704025269</v>
      </c>
      <c r="Q304" s="29">
        <v>109.359375</v>
      </c>
      <c r="R304" s="32">
        <v>1.8837999999999999</v>
      </c>
      <c r="S304" s="32">
        <v>0.66879357177734278</v>
      </c>
    </row>
    <row r="305" spans="1:19">
      <c r="A305" s="10">
        <v>45370</v>
      </c>
      <c r="B305" s="32">
        <v>4.68</v>
      </c>
      <c r="C305" s="32">
        <v>4.3099999999999996</v>
      </c>
      <c r="D305" s="32">
        <v>4.3</v>
      </c>
      <c r="E305" s="32">
        <v>4.54</v>
      </c>
      <c r="F305" s="32">
        <v>4.4400000000000004</v>
      </c>
      <c r="G305" s="32">
        <v>0.17799999999999999</v>
      </c>
      <c r="H305" s="32">
        <v>0.74399999999999999</v>
      </c>
      <c r="I305" s="32">
        <v>1.486</v>
      </c>
      <c r="J305" s="32">
        <v>1.772</v>
      </c>
      <c r="K305" s="32">
        <v>5.31</v>
      </c>
      <c r="L305" s="32">
        <v>5.33</v>
      </c>
      <c r="M305" s="32">
        <v>5.3</v>
      </c>
      <c r="N305" s="32">
        <v>5.3</v>
      </c>
      <c r="O305" s="32">
        <v>149.14399719238281</v>
      </c>
      <c r="P305" s="29">
        <v>1.0873938798904419</v>
      </c>
      <c r="Q305" s="29">
        <v>109.671875</v>
      </c>
      <c r="R305" s="32">
        <v>1.8983000000000001</v>
      </c>
      <c r="S305" s="32">
        <v>0.59512642822265605</v>
      </c>
    </row>
    <row r="306" spans="1:19">
      <c r="A306" s="10">
        <v>45371</v>
      </c>
      <c r="B306" s="32">
        <v>4.59</v>
      </c>
      <c r="C306" s="32">
        <v>4.25</v>
      </c>
      <c r="D306" s="32">
        <v>4.2699999999999996</v>
      </c>
      <c r="E306" s="32">
        <v>4.53</v>
      </c>
      <c r="F306" s="32">
        <v>4.45</v>
      </c>
      <c r="G306" s="32">
        <v>0.17799999999999999</v>
      </c>
      <c r="H306" s="32">
        <v>0.74399999999999999</v>
      </c>
      <c r="I306" s="32">
        <v>1.486</v>
      </c>
      <c r="J306" s="32">
        <v>1.772</v>
      </c>
      <c r="K306" s="32">
        <v>5.31</v>
      </c>
      <c r="L306" s="32">
        <v>5.33</v>
      </c>
      <c r="M306" s="32">
        <v>5.3</v>
      </c>
      <c r="N306" s="32">
        <v>5.3</v>
      </c>
      <c r="O306" s="32">
        <v>151.03500366210938</v>
      </c>
      <c r="P306" s="29">
        <v>1.0863306522369385</v>
      </c>
      <c r="Q306" s="29">
        <v>110.4375</v>
      </c>
      <c r="R306" s="32">
        <v>1.9139999999999999</v>
      </c>
      <c r="S306" s="32">
        <v>0.59512642822265605</v>
      </c>
    </row>
    <row r="307" spans="1:19">
      <c r="A307" s="10">
        <v>45372</v>
      </c>
      <c r="B307" s="32">
        <v>4.62</v>
      </c>
      <c r="C307" s="32">
        <v>4.26</v>
      </c>
      <c r="D307" s="32">
        <v>4.2699999999999996</v>
      </c>
      <c r="E307" s="32">
        <v>4.53</v>
      </c>
      <c r="F307" s="32">
        <v>4.4400000000000004</v>
      </c>
      <c r="G307" s="32">
        <v>0.20499999999999999</v>
      </c>
      <c r="H307" s="32">
        <v>0.76200000000000001</v>
      </c>
      <c r="I307" s="32">
        <v>1.492</v>
      </c>
      <c r="J307" s="32">
        <v>1.7809999999999999</v>
      </c>
      <c r="K307" s="32">
        <v>5.31</v>
      </c>
      <c r="L307" s="32">
        <v>5.33</v>
      </c>
      <c r="M307" s="32">
        <v>5.3</v>
      </c>
      <c r="N307" s="32">
        <v>5.3</v>
      </c>
      <c r="O307" s="32">
        <v>150.75999450683594</v>
      </c>
      <c r="P307" s="29">
        <v>1.0937210321426392</v>
      </c>
      <c r="Q307" s="29">
        <v>110.390625</v>
      </c>
      <c r="R307" s="32">
        <v>1.9064000000000001</v>
      </c>
      <c r="S307" s="32">
        <v>0.61266642822265638</v>
      </c>
    </row>
    <row r="308" spans="1:19">
      <c r="A308" s="10">
        <v>45373</v>
      </c>
      <c r="B308" s="32">
        <v>4.59</v>
      </c>
      <c r="C308" s="32">
        <v>4.2</v>
      </c>
      <c r="D308" s="32">
        <v>4.22</v>
      </c>
      <c r="E308" s="32">
        <v>4.47</v>
      </c>
      <c r="F308" s="32">
        <v>4.3899999999999997</v>
      </c>
      <c r="G308" s="32">
        <v>0.20599999999999999</v>
      </c>
      <c r="H308" s="32">
        <v>0.76200000000000001</v>
      </c>
      <c r="I308" s="32">
        <v>1.492</v>
      </c>
      <c r="J308" s="32">
        <v>1.786</v>
      </c>
      <c r="K308" s="32">
        <v>5.31</v>
      </c>
      <c r="L308" s="32">
        <v>5.33</v>
      </c>
      <c r="M308" s="32">
        <v>5.31</v>
      </c>
      <c r="N308" s="32">
        <v>5.31</v>
      </c>
      <c r="O308" s="32">
        <v>151.63299560546875</v>
      </c>
      <c r="P308" s="29">
        <v>1.0862362384796143</v>
      </c>
      <c r="Q308" s="29">
        <v>110.75</v>
      </c>
      <c r="R308" s="32">
        <v>1.8038000000000001</v>
      </c>
      <c r="S308" s="32">
        <v>0.60038821411132659</v>
      </c>
    </row>
    <row r="309" spans="1:19">
      <c r="A309" s="10">
        <v>45376</v>
      </c>
      <c r="B309" s="32">
        <v>4.54</v>
      </c>
      <c r="C309" s="32">
        <v>4.2300000000000004</v>
      </c>
      <c r="D309" s="32">
        <v>4.25</v>
      </c>
      <c r="E309" s="32">
        <v>4.51</v>
      </c>
      <c r="F309" s="32">
        <v>4.42</v>
      </c>
      <c r="G309" s="32">
        <v>0.20599999999999999</v>
      </c>
      <c r="H309" s="32">
        <v>0.752</v>
      </c>
      <c r="I309" s="32">
        <v>1.4930000000000001</v>
      </c>
      <c r="J309" s="32">
        <v>1.796</v>
      </c>
      <c r="K309" s="32">
        <v>5.31</v>
      </c>
      <c r="L309" s="32">
        <v>5.33</v>
      </c>
      <c r="M309" s="32">
        <v>5.31</v>
      </c>
      <c r="N309" s="32">
        <v>5.31</v>
      </c>
      <c r="O309" s="32">
        <v>151.30499267578125</v>
      </c>
      <c r="P309" s="29">
        <v>1.0807539224624634</v>
      </c>
      <c r="Q309" s="29">
        <v>110.515625</v>
      </c>
      <c r="R309" s="32">
        <v>1.7354000000000001</v>
      </c>
      <c r="S309" s="32">
        <v>0.62669821411132531</v>
      </c>
    </row>
    <row r="310" spans="1:19">
      <c r="A310" s="10">
        <v>45377</v>
      </c>
      <c r="B310" s="32">
        <v>4.5599999999999996</v>
      </c>
      <c r="C310" s="32">
        <v>4.22</v>
      </c>
      <c r="D310" s="32">
        <v>4.24</v>
      </c>
      <c r="E310" s="32">
        <v>4.49</v>
      </c>
      <c r="F310" s="32">
        <v>4.4000000000000004</v>
      </c>
      <c r="G310" s="32">
        <v>0.20699999999999999</v>
      </c>
      <c r="H310" s="32">
        <v>0.75700000000000001</v>
      </c>
      <c r="I310" s="32">
        <v>1.4970000000000001</v>
      </c>
      <c r="J310" s="32">
        <v>1.7909999999999999</v>
      </c>
      <c r="K310" s="32">
        <v>5.32</v>
      </c>
      <c r="L310" s="32">
        <v>5.33</v>
      </c>
      <c r="M310" s="32">
        <v>5.31</v>
      </c>
      <c r="N310" s="32">
        <v>5.31</v>
      </c>
      <c r="O310" s="32">
        <v>151.37300109863281</v>
      </c>
      <c r="P310" s="29">
        <v>1.0838228464126587</v>
      </c>
      <c r="Q310" s="29">
        <v>110.640625</v>
      </c>
      <c r="R310" s="32">
        <v>1.8072999999999999</v>
      </c>
      <c r="S310" s="32">
        <v>0.61091178588867123</v>
      </c>
    </row>
    <row r="311" spans="1:19">
      <c r="A311" s="10">
        <v>45378</v>
      </c>
      <c r="B311" s="32">
        <v>4.54</v>
      </c>
      <c r="C311" s="32">
        <v>4.18</v>
      </c>
      <c r="D311" s="32">
        <v>4.2</v>
      </c>
      <c r="E311" s="32">
        <v>4.45</v>
      </c>
      <c r="F311" s="32">
        <v>4.3600000000000003</v>
      </c>
      <c r="G311" s="32">
        <v>0.20399999999999999</v>
      </c>
      <c r="H311" s="32">
        <v>0.73799999999999999</v>
      </c>
      <c r="I311" s="32">
        <v>1.472</v>
      </c>
      <c r="J311" s="32">
        <v>1.7629999999999999</v>
      </c>
      <c r="K311" s="32">
        <v>5.33</v>
      </c>
      <c r="L311" s="32">
        <v>5.33</v>
      </c>
      <c r="M311" s="32">
        <v>5.33</v>
      </c>
      <c r="N311" s="32">
        <v>5.33</v>
      </c>
      <c r="O311" s="32">
        <v>151.52999877929688</v>
      </c>
      <c r="P311" s="29">
        <v>1.0832358598709106</v>
      </c>
      <c r="Q311" s="29">
        <v>110.875</v>
      </c>
      <c r="R311" s="32">
        <v>1.7756000000000001</v>
      </c>
      <c r="S311" s="32">
        <v>0.58986357177734305</v>
      </c>
    </row>
    <row r="312" spans="1:19">
      <c r="A312" s="10">
        <v>45379</v>
      </c>
      <c r="B312" s="32">
        <v>4.59</v>
      </c>
      <c r="C312" s="32">
        <v>4.21</v>
      </c>
      <c r="D312" s="32">
        <v>4.2</v>
      </c>
      <c r="E312" s="32">
        <v>4.45</v>
      </c>
      <c r="F312" s="32">
        <v>4.34</v>
      </c>
      <c r="G312" s="32">
        <v>0.19600000000000001</v>
      </c>
      <c r="H312" s="32">
        <v>0.73</v>
      </c>
      <c r="I312" s="32">
        <v>1.458</v>
      </c>
      <c r="J312" s="32">
        <v>1.75</v>
      </c>
      <c r="K312" s="32">
        <v>5.34</v>
      </c>
      <c r="L312" s="32">
        <v>5.33</v>
      </c>
      <c r="M312" s="32">
        <v>5.32</v>
      </c>
      <c r="N312" s="32">
        <v>5.32</v>
      </c>
      <c r="O312" s="32">
        <v>151.28700256347656</v>
      </c>
      <c r="P312" s="29">
        <v>1.0813382863998413</v>
      </c>
      <c r="Q312" s="29">
        <v>110.796875</v>
      </c>
      <c r="R312" s="32">
        <v>1.7276</v>
      </c>
      <c r="S312" s="32">
        <v>0.55478357177734239</v>
      </c>
    </row>
    <row r="313" spans="1:19">
      <c r="A313" s="10">
        <v>45383</v>
      </c>
      <c r="B313" s="32">
        <v>4.72</v>
      </c>
      <c r="C313" s="32">
        <v>4.34</v>
      </c>
      <c r="D313" s="32">
        <v>4.33</v>
      </c>
      <c r="E313" s="32">
        <v>4.58</v>
      </c>
      <c r="F313" s="32">
        <v>4.47</v>
      </c>
      <c r="G313" s="32">
        <v>0.19500000000000001</v>
      </c>
      <c r="H313" s="32">
        <v>0.76500000000000001</v>
      </c>
      <c r="I313" s="32">
        <v>1.5109999999999999</v>
      </c>
      <c r="J313" s="32">
        <v>1.806</v>
      </c>
      <c r="K313" s="32">
        <v>5.35</v>
      </c>
      <c r="L313" s="32">
        <v>5.33</v>
      </c>
      <c r="M313" s="32">
        <v>5.33</v>
      </c>
      <c r="N313" s="32">
        <v>5.33</v>
      </c>
      <c r="O313" s="32">
        <v>151.58099365234375</v>
      </c>
      <c r="P313" s="29">
        <v>1.0737217664718628</v>
      </c>
      <c r="Q313" s="29">
        <v>109.921875</v>
      </c>
      <c r="R313" s="32">
        <v>1.7847</v>
      </c>
      <c r="S313" s="32">
        <v>0.59687999999999874</v>
      </c>
    </row>
    <row r="314" spans="1:19">
      <c r="A314" s="10">
        <v>45384</v>
      </c>
      <c r="B314" s="32">
        <v>4.7</v>
      </c>
      <c r="C314" s="32">
        <v>4.3499999999999996</v>
      </c>
      <c r="D314" s="32">
        <v>4.3600000000000003</v>
      </c>
      <c r="E314" s="32">
        <v>4.6100000000000003</v>
      </c>
      <c r="F314" s="32">
        <v>4.51</v>
      </c>
      <c r="G314" s="32">
        <v>0.2</v>
      </c>
      <c r="H314" s="32">
        <v>0.77</v>
      </c>
      <c r="I314" s="32">
        <v>1.53</v>
      </c>
      <c r="J314" s="32">
        <v>1.821</v>
      </c>
      <c r="K314" s="32">
        <v>5.34</v>
      </c>
      <c r="L314" s="32">
        <v>5.33</v>
      </c>
      <c r="M314" s="32">
        <v>5.33</v>
      </c>
      <c r="N314" s="32">
        <v>5.33</v>
      </c>
      <c r="O314" s="32">
        <v>151.53999328613281</v>
      </c>
      <c r="P314" s="29">
        <v>1.0768551826477051</v>
      </c>
      <c r="Q314" s="29">
        <v>109.71875</v>
      </c>
      <c r="R314" s="32">
        <v>1.7847</v>
      </c>
      <c r="S314" s="32">
        <v>0.61792821411132692</v>
      </c>
    </row>
    <row r="315" spans="1:19">
      <c r="A315" s="10">
        <v>45385</v>
      </c>
      <c r="B315" s="32">
        <v>4.68</v>
      </c>
      <c r="C315" s="32">
        <v>4.34</v>
      </c>
      <c r="D315" s="32">
        <v>4.3600000000000003</v>
      </c>
      <c r="E315" s="32">
        <v>4.6100000000000003</v>
      </c>
      <c r="F315" s="32">
        <v>4.51</v>
      </c>
      <c r="G315" s="32">
        <v>0.191</v>
      </c>
      <c r="H315" s="32">
        <v>0.77</v>
      </c>
      <c r="I315" s="32">
        <v>1.52</v>
      </c>
      <c r="J315" s="32">
        <v>1.8129999999999999</v>
      </c>
      <c r="K315" s="32">
        <v>5.32</v>
      </c>
      <c r="L315" s="32">
        <v>5.33</v>
      </c>
      <c r="M315" s="32">
        <v>5.31</v>
      </c>
      <c r="N315" s="32">
        <v>5.31</v>
      </c>
      <c r="O315" s="32">
        <v>151.58099365234375</v>
      </c>
      <c r="P315" s="29">
        <v>1.0838346481323242</v>
      </c>
      <c r="Q315" s="29">
        <v>109.796875</v>
      </c>
      <c r="R315" s="32">
        <v>1.8714999999999999</v>
      </c>
      <c r="S315" s="32">
        <v>0.62143642822265477</v>
      </c>
    </row>
    <row r="316" spans="1:19">
      <c r="A316" s="10">
        <v>45386</v>
      </c>
      <c r="B316" s="32">
        <v>4.6500000000000004</v>
      </c>
      <c r="C316" s="32">
        <v>4.3</v>
      </c>
      <c r="D316" s="32">
        <v>4.3099999999999996</v>
      </c>
      <c r="E316" s="32">
        <v>4.57</v>
      </c>
      <c r="F316" s="32">
        <v>4.47</v>
      </c>
      <c r="G316" s="32">
        <v>0.19600000000000001</v>
      </c>
      <c r="H316" s="32">
        <v>0.78</v>
      </c>
      <c r="I316" s="32">
        <v>1.5289999999999999</v>
      </c>
      <c r="J316" s="32">
        <v>1.81</v>
      </c>
      <c r="K316" s="32">
        <v>5.32</v>
      </c>
      <c r="L316" s="32">
        <v>5.33</v>
      </c>
      <c r="M316" s="32">
        <v>5.31</v>
      </c>
      <c r="N316" s="32">
        <v>5.31</v>
      </c>
      <c r="O316" s="32">
        <v>151.29200744628906</v>
      </c>
      <c r="P316" s="29">
        <v>1.0837054252624512</v>
      </c>
      <c r="Q316" s="29">
        <v>110.125</v>
      </c>
      <c r="R316" s="32">
        <v>1.8546</v>
      </c>
      <c r="S316" s="32">
        <v>0.64949999999999974</v>
      </c>
    </row>
    <row r="317" spans="1:19">
      <c r="A317" s="10">
        <v>45387</v>
      </c>
      <c r="B317" s="32">
        <v>4.7300000000000004</v>
      </c>
      <c r="C317" s="32">
        <v>4.38</v>
      </c>
      <c r="D317" s="32">
        <v>4.3899999999999997</v>
      </c>
      <c r="E317" s="32">
        <v>4.6500000000000004</v>
      </c>
      <c r="F317" s="32">
        <v>4.54</v>
      </c>
      <c r="G317" s="32">
        <v>0.21099999999999999</v>
      </c>
      <c r="H317" s="32">
        <v>0.77100000000000002</v>
      </c>
      <c r="I317" s="32">
        <v>1.52</v>
      </c>
      <c r="J317" s="32">
        <v>1.806</v>
      </c>
      <c r="K317" s="32">
        <v>5.32</v>
      </c>
      <c r="L317" s="32">
        <v>5.33</v>
      </c>
      <c r="M317" s="32">
        <v>5.31</v>
      </c>
      <c r="N317" s="32">
        <v>5.31</v>
      </c>
      <c r="O317" s="32">
        <v>151.29200744628906</v>
      </c>
      <c r="P317" s="29">
        <v>1.0837054252624512</v>
      </c>
      <c r="Q317" s="29">
        <v>109.65625</v>
      </c>
      <c r="R317" s="32">
        <v>1.7884</v>
      </c>
      <c r="S317" s="32">
        <v>0.62494357177734372</v>
      </c>
    </row>
    <row r="318" spans="1:19">
      <c r="A318" s="10">
        <v>45390</v>
      </c>
      <c r="B318" s="32">
        <v>4.78</v>
      </c>
      <c r="C318" s="32">
        <v>4.43</v>
      </c>
      <c r="D318" s="32">
        <v>4.42</v>
      </c>
      <c r="E318" s="32">
        <v>4.6500000000000004</v>
      </c>
      <c r="F318" s="32">
        <v>4.55</v>
      </c>
      <c r="G318" s="32">
        <v>0.22800000000000001</v>
      </c>
      <c r="H318" s="32">
        <v>0.79200000000000004</v>
      </c>
      <c r="I318" s="32">
        <v>1.538</v>
      </c>
      <c r="J318" s="32">
        <v>1.823</v>
      </c>
      <c r="K318" s="32">
        <v>5.31</v>
      </c>
      <c r="L318" s="32">
        <v>5.33</v>
      </c>
      <c r="M318" s="32">
        <v>5.31</v>
      </c>
      <c r="N318" s="32">
        <v>5.31</v>
      </c>
      <c r="O318" s="32">
        <v>151.84300231933594</v>
      </c>
      <c r="P318" s="29">
        <v>1.0863661766052246</v>
      </c>
      <c r="Q318" s="29">
        <v>109.265625</v>
      </c>
      <c r="R318" s="32">
        <v>1.823</v>
      </c>
      <c r="S318" s="32">
        <v>0.69861178588866935</v>
      </c>
    </row>
    <row r="319" spans="1:19">
      <c r="A319" s="10">
        <v>45391</v>
      </c>
      <c r="B319" s="32">
        <v>4.74</v>
      </c>
      <c r="C319" s="32">
        <v>4.37</v>
      </c>
      <c r="D319" s="32">
        <v>4.3600000000000003</v>
      </c>
      <c r="E319" s="32">
        <v>4.5999999999999996</v>
      </c>
      <c r="F319" s="32">
        <v>4.5</v>
      </c>
      <c r="G319" s="32">
        <v>0.223</v>
      </c>
      <c r="H319" s="32">
        <v>0.78600000000000003</v>
      </c>
      <c r="I319" s="32">
        <v>1.5349999999999999</v>
      </c>
      <c r="J319" s="32">
        <v>1.8360000000000001</v>
      </c>
      <c r="K319" s="32">
        <v>5.31</v>
      </c>
      <c r="L319" s="32">
        <v>5.33</v>
      </c>
      <c r="M319" s="32">
        <v>5.31</v>
      </c>
      <c r="N319" s="32">
        <v>5.31</v>
      </c>
      <c r="O319" s="32">
        <v>151.77699279785156</v>
      </c>
      <c r="P319" s="29">
        <v>1.0859296321868896</v>
      </c>
      <c r="Q319" s="29">
        <v>109.640625</v>
      </c>
      <c r="R319" s="32">
        <v>1.8509</v>
      </c>
      <c r="S319" s="32">
        <v>0.65651642822265543</v>
      </c>
    </row>
    <row r="320" spans="1:19">
      <c r="A320" s="10">
        <v>45392</v>
      </c>
      <c r="B320" s="32">
        <v>4.97</v>
      </c>
      <c r="C320" s="32">
        <v>4.6100000000000003</v>
      </c>
      <c r="D320" s="32">
        <v>4.55</v>
      </c>
      <c r="E320" s="32">
        <v>4.76</v>
      </c>
      <c r="F320" s="32">
        <v>4.6399999999999997</v>
      </c>
      <c r="G320" s="32">
        <v>0.23300000000000001</v>
      </c>
      <c r="H320" s="32">
        <v>0.80100000000000005</v>
      </c>
      <c r="I320" s="32">
        <v>1.556</v>
      </c>
      <c r="J320" s="32">
        <v>1.857</v>
      </c>
      <c r="K320" s="32">
        <v>5.31</v>
      </c>
      <c r="L320" s="32">
        <v>5.33</v>
      </c>
      <c r="M320" s="32">
        <v>5.3</v>
      </c>
      <c r="N320" s="32">
        <v>5.3</v>
      </c>
      <c r="O320" s="32">
        <v>152.96400451660156</v>
      </c>
      <c r="P320" s="29">
        <v>1.0741715431213379</v>
      </c>
      <c r="Q320" s="29">
        <v>108.203125</v>
      </c>
      <c r="R320" s="32">
        <v>1.7949999999999999</v>
      </c>
      <c r="S320" s="32">
        <v>0.69861178588866935</v>
      </c>
    </row>
    <row r="321" spans="1:19">
      <c r="A321" s="10">
        <v>45393</v>
      </c>
      <c r="B321" s="32">
        <v>4.93</v>
      </c>
      <c r="C321" s="32">
        <v>4.6100000000000003</v>
      </c>
      <c r="D321" s="32">
        <v>4.5599999999999996</v>
      </c>
      <c r="E321" s="32">
        <v>4.7699999999999996</v>
      </c>
      <c r="F321" s="32">
        <v>4.6500000000000004</v>
      </c>
      <c r="G321" s="32">
        <v>0.27</v>
      </c>
      <c r="H321" s="32">
        <v>0.85399999999999998</v>
      </c>
      <c r="I321" s="32">
        <v>1.625</v>
      </c>
      <c r="J321" s="32">
        <v>1.907</v>
      </c>
      <c r="K321" s="32">
        <v>5.31</v>
      </c>
      <c r="L321" s="32">
        <v>5.33</v>
      </c>
      <c r="M321" s="32">
        <v>5.3</v>
      </c>
      <c r="N321" s="32">
        <v>5.3</v>
      </c>
      <c r="O321" s="32">
        <v>153.19200134277344</v>
      </c>
      <c r="P321" s="29">
        <v>1.0726851224899292</v>
      </c>
      <c r="Q321" s="29">
        <v>108.109375</v>
      </c>
      <c r="R321" s="32">
        <v>1.8625</v>
      </c>
      <c r="S321" s="32">
        <v>0.77578821411132637</v>
      </c>
    </row>
    <row r="322" spans="1:19">
      <c r="A322" s="10">
        <v>45394</v>
      </c>
      <c r="B322" s="32">
        <v>4.88</v>
      </c>
      <c r="C322" s="32">
        <v>4.54</v>
      </c>
      <c r="D322" s="32">
        <v>4.5</v>
      </c>
      <c r="E322" s="32">
        <v>4.7300000000000004</v>
      </c>
      <c r="F322" s="32">
        <v>4.6100000000000003</v>
      </c>
      <c r="G322" s="32">
        <v>0.28100000000000003</v>
      </c>
      <c r="H322" s="32">
        <v>0.86399999999999999</v>
      </c>
      <c r="I322" s="32">
        <v>1.635</v>
      </c>
      <c r="J322" s="32">
        <v>1.8939999999999999</v>
      </c>
      <c r="K322" s="32">
        <v>5.31</v>
      </c>
      <c r="L322" s="32">
        <v>5.33</v>
      </c>
      <c r="M322" s="32">
        <v>5.3</v>
      </c>
      <c r="N322" s="32">
        <v>5.3</v>
      </c>
      <c r="O322" s="32">
        <v>153.19200134277344</v>
      </c>
      <c r="P322" s="29">
        <v>1.0726851224899292</v>
      </c>
      <c r="Q322" s="29">
        <v>108.6875</v>
      </c>
      <c r="R322" s="32">
        <v>1.9406000000000001</v>
      </c>
      <c r="S322" s="32">
        <v>0.75824821411132604</v>
      </c>
    </row>
    <row r="323" spans="1:19">
      <c r="A323" s="10">
        <v>45397</v>
      </c>
      <c r="B323" s="32">
        <v>4.93</v>
      </c>
      <c r="C323" s="32">
        <v>4.6500000000000004</v>
      </c>
      <c r="D323" s="32">
        <v>4.63</v>
      </c>
      <c r="E323" s="32">
        <v>4.8499999999999996</v>
      </c>
      <c r="F323" s="32">
        <v>4.74</v>
      </c>
      <c r="G323" s="32">
        <v>0.27500000000000002</v>
      </c>
      <c r="H323" s="32">
        <v>0.86399999999999999</v>
      </c>
      <c r="I323" s="32">
        <v>1.635</v>
      </c>
      <c r="J323" s="32">
        <v>1.8939999999999999</v>
      </c>
      <c r="K323" s="32">
        <v>5.32</v>
      </c>
      <c r="L323" s="32">
        <v>5.33</v>
      </c>
      <c r="M323" s="32">
        <v>5.31</v>
      </c>
      <c r="N323" s="32">
        <v>5.31</v>
      </c>
      <c r="O323" s="32">
        <v>154.20599365234375</v>
      </c>
      <c r="P323" s="29">
        <v>1.0625749826431274</v>
      </c>
      <c r="Q323" s="29">
        <v>107.890625</v>
      </c>
      <c r="R323" s="32">
        <v>1.8232999999999999</v>
      </c>
      <c r="S323" s="32">
        <v>0.75298642822265549</v>
      </c>
    </row>
    <row r="324" spans="1:19">
      <c r="A324" s="10">
        <v>45398</v>
      </c>
      <c r="B324" s="32">
        <v>4.97</v>
      </c>
      <c r="C324" s="32">
        <v>4.6900000000000004</v>
      </c>
      <c r="D324" s="32">
        <v>4.67</v>
      </c>
      <c r="E324" s="32">
        <v>4.88</v>
      </c>
      <c r="F324" s="32">
        <v>4.7699999999999996</v>
      </c>
      <c r="G324" s="32">
        <v>0.28100000000000003</v>
      </c>
      <c r="H324" s="32">
        <v>0.87</v>
      </c>
      <c r="I324" s="32">
        <v>1.6439999999999999</v>
      </c>
      <c r="J324" s="32">
        <v>1.907</v>
      </c>
      <c r="K324" s="32">
        <v>5.31</v>
      </c>
      <c r="L324" s="32">
        <v>5.33</v>
      </c>
      <c r="M324" s="32">
        <v>5.31</v>
      </c>
      <c r="N324" s="32">
        <v>5.31</v>
      </c>
      <c r="O324" s="32">
        <v>154.697998046875</v>
      </c>
      <c r="P324" s="29">
        <v>1.0621461868286133</v>
      </c>
      <c r="Q324" s="29">
        <v>107.671875</v>
      </c>
      <c r="R324" s="32">
        <v>1.9252</v>
      </c>
      <c r="S324" s="32">
        <v>0.77052642822265582</v>
      </c>
    </row>
    <row r="325" spans="1:19">
      <c r="A325" s="10">
        <v>45399</v>
      </c>
      <c r="B325" s="32">
        <v>4.93</v>
      </c>
      <c r="C325" s="32">
        <v>4.62</v>
      </c>
      <c r="D325" s="32">
        <v>4.59</v>
      </c>
      <c r="E325" s="32">
        <v>4.8099999999999996</v>
      </c>
      <c r="F325" s="32">
        <v>4.71</v>
      </c>
      <c r="G325" s="32">
        <v>0.28799999999999998</v>
      </c>
      <c r="H325" s="32">
        <v>0.88900000000000001</v>
      </c>
      <c r="I325" s="32">
        <v>1.6619999999999999</v>
      </c>
      <c r="J325" s="32">
        <v>1.92</v>
      </c>
      <c r="K325" s="32">
        <v>5.31</v>
      </c>
      <c r="L325" s="32">
        <v>5.33</v>
      </c>
      <c r="M325" s="32">
        <v>5.3</v>
      </c>
      <c r="N325" s="32">
        <v>5.3</v>
      </c>
      <c r="O325" s="32">
        <v>154.34199523925781</v>
      </c>
      <c r="P325" s="29">
        <v>1.0669398307800293</v>
      </c>
      <c r="Q325" s="29">
        <v>108.15625</v>
      </c>
      <c r="R325" s="32">
        <v>1.9729000000000001</v>
      </c>
      <c r="S325" s="32">
        <v>0.82489999999999952</v>
      </c>
    </row>
    <row r="326" spans="1:19">
      <c r="A326" s="10">
        <v>45400</v>
      </c>
      <c r="B326" s="32">
        <v>4.9800000000000004</v>
      </c>
      <c r="C326" s="32">
        <v>4.68</v>
      </c>
      <c r="D326" s="32">
        <v>4.6399999999999997</v>
      </c>
      <c r="E326" s="32">
        <v>4.8499999999999996</v>
      </c>
      <c r="F326" s="32">
        <v>4.74</v>
      </c>
      <c r="G326" s="32">
        <v>0.27800000000000002</v>
      </c>
      <c r="H326" s="32">
        <v>0.871</v>
      </c>
      <c r="I326" s="32">
        <v>1.6259999999999999</v>
      </c>
      <c r="J326" s="32">
        <v>1.8939999999999999</v>
      </c>
      <c r="K326" s="32">
        <v>5.3</v>
      </c>
      <c r="L326" s="32">
        <v>5.33</v>
      </c>
      <c r="M326" s="32">
        <v>5.3</v>
      </c>
      <c r="N326" s="32">
        <v>5.3</v>
      </c>
      <c r="O326" s="32">
        <v>154.61000061035156</v>
      </c>
      <c r="P326" s="29">
        <v>1.0644185543060303</v>
      </c>
      <c r="Q326" s="29">
        <v>107.703125</v>
      </c>
      <c r="R326" s="32">
        <v>1.9550000000000001</v>
      </c>
      <c r="S326" s="32">
        <v>0.75824821411132604</v>
      </c>
    </row>
    <row r="327" spans="1:19">
      <c r="A327" s="10">
        <v>45401</v>
      </c>
      <c r="B327" s="32">
        <v>4.97</v>
      </c>
      <c r="C327" s="32">
        <v>4.66</v>
      </c>
      <c r="D327" s="32">
        <v>4.62</v>
      </c>
      <c r="E327" s="32">
        <v>4.83</v>
      </c>
      <c r="F327" s="32">
        <v>4.72</v>
      </c>
      <c r="G327" s="32">
        <v>0.26300000000000001</v>
      </c>
      <c r="H327" s="32">
        <v>0.83699999999999997</v>
      </c>
      <c r="I327" s="32">
        <v>1.595</v>
      </c>
      <c r="J327" s="32">
        <v>1.869</v>
      </c>
      <c r="K327" s="32">
        <v>5.31</v>
      </c>
      <c r="L327" s="32">
        <v>5.33</v>
      </c>
      <c r="M327" s="32">
        <v>5.3</v>
      </c>
      <c r="N327" s="32">
        <v>5.3</v>
      </c>
      <c r="O327" s="32">
        <v>154.61000061035156</v>
      </c>
      <c r="P327" s="29">
        <v>1.0644185543060303</v>
      </c>
      <c r="Q327" s="29">
        <v>107.90625</v>
      </c>
      <c r="R327" s="32">
        <v>1.9523999999999999</v>
      </c>
      <c r="S327" s="32">
        <v>0.71965999999999752</v>
      </c>
    </row>
    <row r="328" spans="1:19">
      <c r="A328" s="10">
        <v>45404</v>
      </c>
      <c r="B328" s="32">
        <v>4.97</v>
      </c>
      <c r="C328" s="32">
        <v>4.66</v>
      </c>
      <c r="D328" s="32">
        <v>4.62</v>
      </c>
      <c r="E328" s="32">
        <v>4.84</v>
      </c>
      <c r="F328" s="32">
        <v>4.72</v>
      </c>
      <c r="G328" s="32">
        <v>0.28999999999999998</v>
      </c>
      <c r="H328" s="32">
        <v>0.88500000000000001</v>
      </c>
      <c r="I328" s="32">
        <v>1.643</v>
      </c>
      <c r="J328" s="32">
        <v>1.907</v>
      </c>
      <c r="K328" s="32">
        <v>5.31</v>
      </c>
      <c r="L328" s="32">
        <v>5.33</v>
      </c>
      <c r="M328" s="32">
        <v>5.3</v>
      </c>
      <c r="N328" s="32">
        <v>5.3</v>
      </c>
      <c r="O328" s="32">
        <v>154.81300354003906</v>
      </c>
      <c r="P328" s="29">
        <v>1.0654052495956421</v>
      </c>
      <c r="Q328" s="29">
        <v>107.859375</v>
      </c>
      <c r="R328" s="32">
        <v>1.9084000000000001</v>
      </c>
      <c r="S328" s="32">
        <v>0.80735999999999919</v>
      </c>
    </row>
    <row r="329" spans="1:19">
      <c r="A329" s="10">
        <v>45405</v>
      </c>
      <c r="B329" s="32">
        <v>4.8600000000000003</v>
      </c>
      <c r="C329" s="32">
        <v>4.63</v>
      </c>
      <c r="D329" s="32">
        <v>4.6100000000000003</v>
      </c>
      <c r="E329" s="32">
        <v>4.84</v>
      </c>
      <c r="F329" s="32">
        <v>4.7300000000000004</v>
      </c>
      <c r="G329" s="32">
        <v>0.29699999999999999</v>
      </c>
      <c r="H329" s="32">
        <v>0.88600000000000001</v>
      </c>
      <c r="I329" s="32">
        <v>1.6579999999999999</v>
      </c>
      <c r="J329" s="32">
        <v>1.927</v>
      </c>
      <c r="K329" s="32">
        <v>5.31</v>
      </c>
      <c r="L329" s="32">
        <v>5.33</v>
      </c>
      <c r="M329" s="32">
        <v>5.3</v>
      </c>
      <c r="N329" s="32">
        <v>5.3</v>
      </c>
      <c r="O329" s="32">
        <v>154.74400329589844</v>
      </c>
      <c r="P329" s="29">
        <v>1.0704345703125</v>
      </c>
      <c r="Q329" s="29">
        <v>108.078125</v>
      </c>
      <c r="R329" s="32">
        <v>1.8024</v>
      </c>
      <c r="S329" s="32">
        <v>0.82489999999999952</v>
      </c>
    </row>
    <row r="330" spans="1:19">
      <c r="A330" s="10">
        <v>45406</v>
      </c>
      <c r="B330" s="32">
        <v>4.8899999999999997</v>
      </c>
      <c r="C330" s="32">
        <v>4.6399999999999997</v>
      </c>
      <c r="D330" s="32">
        <v>4.6500000000000004</v>
      </c>
      <c r="E330" s="32">
        <v>4.88</v>
      </c>
      <c r="F330" s="32">
        <v>4.78</v>
      </c>
      <c r="G330" s="32">
        <v>0.29799999999999999</v>
      </c>
      <c r="H330" s="32">
        <v>0.89100000000000001</v>
      </c>
      <c r="I330" s="32">
        <v>1.6539999999999999</v>
      </c>
      <c r="J330" s="32">
        <v>1.927</v>
      </c>
      <c r="K330" s="32">
        <v>5.31</v>
      </c>
      <c r="L330" s="32">
        <v>5.33</v>
      </c>
      <c r="M330" s="32">
        <v>5.3</v>
      </c>
      <c r="N330" s="32">
        <v>5.3</v>
      </c>
      <c r="O330" s="32">
        <v>155.25900268554688</v>
      </c>
      <c r="P330" s="29">
        <v>1.0699878931045532</v>
      </c>
      <c r="Q330" s="29">
        <v>107.734375</v>
      </c>
      <c r="R330" s="32">
        <v>1.8556999999999999</v>
      </c>
      <c r="S330" s="32">
        <v>0.7933282141113267</v>
      </c>
    </row>
    <row r="331" spans="1:19">
      <c r="A331" s="10">
        <v>45407</v>
      </c>
      <c r="B331" s="32">
        <v>4.96</v>
      </c>
      <c r="C331" s="32">
        <v>4.7</v>
      </c>
      <c r="D331" s="32">
        <v>4.7</v>
      </c>
      <c r="E331" s="32">
        <v>4.93</v>
      </c>
      <c r="F331" s="32">
        <v>4.82</v>
      </c>
      <c r="G331" s="32">
        <v>0.29799999999999999</v>
      </c>
      <c r="H331" s="32">
        <v>0.89600000000000002</v>
      </c>
      <c r="I331" s="32">
        <v>1.6579999999999999</v>
      </c>
      <c r="J331" s="32">
        <v>1.927</v>
      </c>
      <c r="K331" s="32">
        <v>5.31</v>
      </c>
      <c r="L331" s="32">
        <v>5.33</v>
      </c>
      <c r="M331" s="32">
        <v>5.31</v>
      </c>
      <c r="N331" s="32">
        <v>5.31</v>
      </c>
      <c r="O331" s="32">
        <v>155.59700012207031</v>
      </c>
      <c r="P331" s="29">
        <v>1.0729614496231079</v>
      </c>
      <c r="Q331" s="29">
        <v>107.359375</v>
      </c>
      <c r="R331" s="32">
        <v>1.9624999999999999</v>
      </c>
      <c r="S331" s="32">
        <v>0.80560642822265649</v>
      </c>
    </row>
    <row r="332" spans="1:19">
      <c r="A332" s="10">
        <v>45408</v>
      </c>
      <c r="B332" s="32">
        <v>4.96</v>
      </c>
      <c r="C332" s="32">
        <v>4.68</v>
      </c>
      <c r="D332" s="32">
        <v>4.67</v>
      </c>
      <c r="E332" s="32">
        <v>4.8899999999999997</v>
      </c>
      <c r="F332" s="32">
        <v>4.78</v>
      </c>
      <c r="G332" s="32">
        <v>0.29799999999999999</v>
      </c>
      <c r="H332" s="32">
        <v>0.92500000000000004</v>
      </c>
      <c r="I332" s="32">
        <v>1.681</v>
      </c>
      <c r="J332" s="32">
        <v>1.9359999999999999</v>
      </c>
      <c r="K332" s="32">
        <v>5.32</v>
      </c>
      <c r="L332" s="32">
        <v>5.33</v>
      </c>
      <c r="M332" s="32">
        <v>5.31</v>
      </c>
      <c r="N332" s="32">
        <v>5.31</v>
      </c>
      <c r="O332" s="32">
        <v>155.59700012207031</v>
      </c>
      <c r="P332" s="29">
        <v>1.0729614496231079</v>
      </c>
      <c r="Q332" s="29">
        <v>107.578125</v>
      </c>
      <c r="R332" s="32">
        <v>2.0223</v>
      </c>
      <c r="S332" s="32">
        <v>0.82840821411132737</v>
      </c>
    </row>
    <row r="333" spans="1:19">
      <c r="A333" s="10">
        <v>45411</v>
      </c>
      <c r="B333" s="32">
        <v>4.97</v>
      </c>
      <c r="C333" s="32">
        <v>4.6500000000000004</v>
      </c>
      <c r="D333" s="32">
        <v>4.63</v>
      </c>
      <c r="E333" s="32">
        <v>4.8600000000000003</v>
      </c>
      <c r="F333" s="32">
        <v>4.75</v>
      </c>
      <c r="G333" s="32">
        <v>0.29799999999999999</v>
      </c>
      <c r="H333" s="32">
        <v>0.92500000000000004</v>
      </c>
      <c r="I333" s="32">
        <v>1.681</v>
      </c>
      <c r="J333" s="32">
        <v>1.9359999999999999</v>
      </c>
      <c r="K333" s="32">
        <v>5.32</v>
      </c>
      <c r="L333" s="32">
        <v>5.33</v>
      </c>
      <c r="M333" s="32">
        <v>5.31</v>
      </c>
      <c r="N333" s="32">
        <v>5.31</v>
      </c>
      <c r="O333" s="32">
        <v>156.31399536132813</v>
      </c>
      <c r="P333" s="29">
        <v>1.0715701580047607</v>
      </c>
      <c r="Q333" s="29">
        <v>107.953125</v>
      </c>
      <c r="R333" s="32">
        <v>1.9691000000000001</v>
      </c>
      <c r="S333" s="32">
        <v>0.82840821411132737</v>
      </c>
    </row>
    <row r="334" spans="1:19">
      <c r="A334" s="10">
        <v>45412</v>
      </c>
      <c r="B334" s="32">
        <v>5.04</v>
      </c>
      <c r="C334" s="32">
        <v>4.72</v>
      </c>
      <c r="D334" s="32">
        <v>4.6900000000000004</v>
      </c>
      <c r="E334" s="32">
        <v>4.9000000000000004</v>
      </c>
      <c r="F334" s="32">
        <v>4.79</v>
      </c>
      <c r="G334" s="32">
        <v>0.27500000000000002</v>
      </c>
      <c r="H334" s="32">
        <v>0.879</v>
      </c>
      <c r="I334" s="32">
        <v>1.6459999999999999</v>
      </c>
      <c r="J334" s="32">
        <v>1.911</v>
      </c>
      <c r="K334" s="32">
        <v>5.34</v>
      </c>
      <c r="L334" s="32">
        <v>5.33</v>
      </c>
      <c r="M334" s="32">
        <v>5.31</v>
      </c>
      <c r="N334" s="32">
        <v>5.31</v>
      </c>
      <c r="O334" s="32">
        <v>157.72200012207031</v>
      </c>
      <c r="P334" s="29">
        <v>1.0666552782058716</v>
      </c>
      <c r="Q334" s="29">
        <v>107.4375</v>
      </c>
      <c r="R334" s="32">
        <v>1.9648000000000001</v>
      </c>
      <c r="S334" s="32">
        <v>0.76701821411132798</v>
      </c>
    </row>
    <row r="335" spans="1:19">
      <c r="A335" s="10">
        <v>45413</v>
      </c>
      <c r="B335" s="32">
        <v>4.96</v>
      </c>
      <c r="C335" s="32">
        <v>4.6399999999999997</v>
      </c>
      <c r="D335" s="32">
        <v>4.63</v>
      </c>
      <c r="E335" s="32">
        <v>4.8499999999999996</v>
      </c>
      <c r="F335" s="32">
        <v>4.74</v>
      </c>
      <c r="G335" s="32">
        <v>0.28999999999999998</v>
      </c>
      <c r="H335" s="32">
        <v>0.89800000000000002</v>
      </c>
      <c r="I335" s="32">
        <v>1.6679999999999999</v>
      </c>
      <c r="J335" s="32">
        <v>1.94</v>
      </c>
      <c r="K335" s="32">
        <v>5.32</v>
      </c>
      <c r="L335" s="32">
        <v>5.33</v>
      </c>
      <c r="M335" s="32">
        <v>5.31</v>
      </c>
      <c r="N335" s="32">
        <v>5.31</v>
      </c>
      <c r="O335" s="32">
        <v>155.70399475097656</v>
      </c>
      <c r="P335" s="29">
        <v>1.0721560716629028</v>
      </c>
      <c r="Q335" s="29">
        <v>108.109375</v>
      </c>
      <c r="R335" s="32">
        <v>2.0207999999999999</v>
      </c>
      <c r="S335" s="32">
        <v>0.81262178588866973</v>
      </c>
    </row>
    <row r="336" spans="1:19">
      <c r="A336" s="10">
        <v>45414</v>
      </c>
      <c r="B336" s="32">
        <v>4.87</v>
      </c>
      <c r="C336" s="32">
        <v>4.57</v>
      </c>
      <c r="D336" s="32">
        <v>4.58</v>
      </c>
      <c r="E336" s="32">
        <v>4.82</v>
      </c>
      <c r="F336" s="32">
        <v>4.72</v>
      </c>
      <c r="G336" s="32">
        <v>0.28999999999999998</v>
      </c>
      <c r="H336" s="32">
        <v>0.90800000000000003</v>
      </c>
      <c r="I336" s="32">
        <v>1.6819999999999999</v>
      </c>
      <c r="J336" s="32">
        <v>1.952</v>
      </c>
      <c r="K336" s="32">
        <v>5.31</v>
      </c>
      <c r="L336" s="32">
        <v>5.33</v>
      </c>
      <c r="M336" s="32">
        <v>5.31</v>
      </c>
      <c r="N336" s="32">
        <v>5.31</v>
      </c>
      <c r="O336" s="32">
        <v>153.04499816894531</v>
      </c>
      <c r="P336" s="29">
        <v>1.0733069181442261</v>
      </c>
      <c r="Q336" s="29">
        <v>108.359375</v>
      </c>
      <c r="R336" s="32">
        <v>2.0169999999999999</v>
      </c>
      <c r="S336" s="32">
        <v>0.81437642822265488</v>
      </c>
    </row>
    <row r="337" spans="1:19">
      <c r="A337" s="10">
        <v>45415</v>
      </c>
      <c r="B337" s="32">
        <v>4.8099999999999996</v>
      </c>
      <c r="C337" s="32">
        <v>4.4800000000000004</v>
      </c>
      <c r="D337" s="32">
        <v>4.5</v>
      </c>
      <c r="E337" s="32">
        <v>4.75</v>
      </c>
      <c r="F337" s="32">
        <v>4.66</v>
      </c>
      <c r="G337" s="32">
        <v>0.28999999999999998</v>
      </c>
      <c r="H337" s="32">
        <v>0.90800000000000003</v>
      </c>
      <c r="I337" s="32">
        <v>1.6819999999999999</v>
      </c>
      <c r="J337" s="32">
        <v>1.952</v>
      </c>
      <c r="K337" s="32">
        <v>5.31</v>
      </c>
      <c r="L337" s="32">
        <v>5.33</v>
      </c>
      <c r="M337" s="32">
        <v>5.3</v>
      </c>
      <c r="N337" s="32">
        <v>5.3</v>
      </c>
      <c r="O337" s="32">
        <v>153.04499816894531</v>
      </c>
      <c r="P337" s="29">
        <v>1.0733069181442261</v>
      </c>
      <c r="Q337" s="29">
        <v>108.859375</v>
      </c>
      <c r="R337" s="32">
        <v>1.9453</v>
      </c>
      <c r="S337" s="32">
        <v>0.81437642822265488</v>
      </c>
    </row>
    <row r="338" spans="1:19">
      <c r="A338" s="10">
        <v>45418</v>
      </c>
      <c r="B338" s="32">
        <v>4.82</v>
      </c>
      <c r="C338" s="32">
        <v>4.4800000000000004</v>
      </c>
      <c r="D338" s="32">
        <v>4.49</v>
      </c>
      <c r="E338" s="32">
        <v>4.7300000000000004</v>
      </c>
      <c r="F338" s="32">
        <v>4.6399999999999997</v>
      </c>
      <c r="G338" s="32">
        <v>0.28999999999999998</v>
      </c>
      <c r="H338" s="32">
        <v>0.90800000000000003</v>
      </c>
      <c r="I338" s="32">
        <v>1.6819999999999999</v>
      </c>
      <c r="J338" s="32">
        <v>1.952</v>
      </c>
      <c r="K338" s="32">
        <v>5.31</v>
      </c>
      <c r="L338" s="32">
        <v>5.33</v>
      </c>
      <c r="M338" s="32">
        <v>5.3</v>
      </c>
      <c r="N338" s="32">
        <v>5.3</v>
      </c>
      <c r="O338" s="32">
        <v>154.23699951171875</v>
      </c>
      <c r="P338" s="29">
        <v>1.0767507553100586</v>
      </c>
      <c r="Q338" s="29">
        <v>108.890625</v>
      </c>
      <c r="R338" s="32">
        <v>1.8718999999999999</v>
      </c>
      <c r="S338" s="32">
        <v>0.81437642822265488</v>
      </c>
    </row>
    <row r="339" spans="1:19">
      <c r="A339" s="10">
        <v>45419</v>
      </c>
      <c r="B339" s="32">
        <v>4.82</v>
      </c>
      <c r="C339" s="32">
        <v>4.4800000000000004</v>
      </c>
      <c r="D339" s="32">
        <v>4.47</v>
      </c>
      <c r="E339" s="32">
        <v>4.7</v>
      </c>
      <c r="F339" s="32">
        <v>4.6100000000000003</v>
      </c>
      <c r="G339" s="32">
        <v>0.28199999999999997</v>
      </c>
      <c r="H339" s="32">
        <v>0.88100000000000001</v>
      </c>
      <c r="I339" s="32">
        <v>1.66</v>
      </c>
      <c r="J339" s="32">
        <v>1.9450000000000001</v>
      </c>
      <c r="K339" s="32">
        <v>5.31</v>
      </c>
      <c r="L339" s="32">
        <v>5.33</v>
      </c>
      <c r="M339" s="32">
        <v>5.3</v>
      </c>
      <c r="N339" s="32">
        <v>5.3</v>
      </c>
      <c r="O339" s="32">
        <v>154.74800109863281</v>
      </c>
      <c r="P339" s="29">
        <v>1.0750491619110107</v>
      </c>
      <c r="Q339" s="29">
        <v>109.015625</v>
      </c>
      <c r="R339" s="32">
        <v>1.8718999999999999</v>
      </c>
      <c r="S339" s="32">
        <v>0.80560642822265649</v>
      </c>
    </row>
    <row r="340" spans="1:19">
      <c r="A340" s="10">
        <v>45420</v>
      </c>
      <c r="B340" s="32">
        <v>4.84</v>
      </c>
      <c r="C340" s="32">
        <v>4.5</v>
      </c>
      <c r="D340" s="32">
        <v>4.4800000000000004</v>
      </c>
      <c r="E340" s="32">
        <v>4.7300000000000004</v>
      </c>
      <c r="F340" s="32">
        <v>4.6399999999999997</v>
      </c>
      <c r="G340" s="32">
        <v>0.28799999999999998</v>
      </c>
      <c r="H340" s="32">
        <v>0.88700000000000001</v>
      </c>
      <c r="I340" s="32">
        <v>1.6559999999999999</v>
      </c>
      <c r="J340" s="32">
        <v>1.9370000000000001</v>
      </c>
      <c r="K340" s="32">
        <v>5.31</v>
      </c>
      <c r="L340" s="32">
        <v>5.33</v>
      </c>
      <c r="M340" s="32">
        <v>5.3</v>
      </c>
      <c r="N340" s="32">
        <v>5.3</v>
      </c>
      <c r="O340" s="32">
        <v>155.41900634765625</v>
      </c>
      <c r="P340" s="29">
        <v>1.0746910572052002</v>
      </c>
      <c r="Q340" s="29">
        <v>108.828125</v>
      </c>
      <c r="R340" s="32">
        <v>1.7654000000000001</v>
      </c>
      <c r="S340" s="32">
        <v>0.83717821411132576</v>
      </c>
    </row>
    <row r="341" spans="1:19">
      <c r="A341" s="10">
        <v>45421</v>
      </c>
      <c r="B341" s="32">
        <v>4.8</v>
      </c>
      <c r="C341" s="32">
        <v>4.47</v>
      </c>
      <c r="D341" s="32">
        <v>4.45</v>
      </c>
      <c r="E341" s="32">
        <v>4.7</v>
      </c>
      <c r="F341" s="32">
        <v>4.5999999999999996</v>
      </c>
      <c r="G341" s="32">
        <v>0.313</v>
      </c>
      <c r="H341" s="32">
        <v>0.91600000000000004</v>
      </c>
      <c r="I341" s="32">
        <v>1.6779999999999999</v>
      </c>
      <c r="J341" s="32">
        <v>1.944</v>
      </c>
      <c r="K341" s="32">
        <v>5.31</v>
      </c>
      <c r="L341" s="32">
        <v>5.33</v>
      </c>
      <c r="M341" s="32">
        <v>5.3</v>
      </c>
      <c r="N341" s="32">
        <v>5.3</v>
      </c>
      <c r="O341" s="32">
        <v>155.38900756835938</v>
      </c>
      <c r="P341" s="29">
        <v>1.078515887260437</v>
      </c>
      <c r="Q341" s="29">
        <v>109.09375</v>
      </c>
      <c r="R341" s="32">
        <v>1.7797000000000001</v>
      </c>
      <c r="S341" s="32">
        <v>0.87576642822265427</v>
      </c>
    </row>
    <row r="342" spans="1:19">
      <c r="A342" s="10">
        <v>45422</v>
      </c>
      <c r="B342" s="32">
        <v>4.87</v>
      </c>
      <c r="C342" s="32">
        <v>4.5199999999999996</v>
      </c>
      <c r="D342" s="32">
        <v>4.5</v>
      </c>
      <c r="E342" s="32">
        <v>4.74</v>
      </c>
      <c r="F342" s="32">
        <v>4.6399999999999997</v>
      </c>
      <c r="G342" s="32">
        <v>0.31900000000000001</v>
      </c>
      <c r="H342" s="32">
        <v>0.91700000000000004</v>
      </c>
      <c r="I342" s="32">
        <v>1.6910000000000001</v>
      </c>
      <c r="J342" s="32">
        <v>1.9650000000000001</v>
      </c>
      <c r="K342" s="32">
        <v>5.31</v>
      </c>
      <c r="L342" s="32">
        <v>5.33</v>
      </c>
      <c r="M342" s="32">
        <v>5.3</v>
      </c>
      <c r="N342" s="32">
        <v>5.3</v>
      </c>
      <c r="O342" s="32">
        <v>155.38900756835938</v>
      </c>
      <c r="P342" s="29">
        <v>1.078515887260437</v>
      </c>
      <c r="Q342" s="29">
        <v>108.703125</v>
      </c>
      <c r="R342" s="32">
        <v>1.8121</v>
      </c>
      <c r="S342" s="32">
        <v>0.85822642822265394</v>
      </c>
    </row>
    <row r="343" spans="1:19">
      <c r="A343" s="10">
        <v>45425</v>
      </c>
      <c r="B343" s="32">
        <v>4.8499999999999996</v>
      </c>
      <c r="C343" s="32">
        <v>4.5</v>
      </c>
      <c r="D343" s="32">
        <v>4.4800000000000004</v>
      </c>
      <c r="E343" s="32">
        <v>4.72</v>
      </c>
      <c r="F343" s="32">
        <v>4.63</v>
      </c>
      <c r="G343" s="32">
        <v>0.33500000000000002</v>
      </c>
      <c r="H343" s="32">
        <v>0.94599999999999995</v>
      </c>
      <c r="I343" s="32">
        <v>1.73</v>
      </c>
      <c r="J343" s="32">
        <v>1.99</v>
      </c>
      <c r="K343" s="32">
        <v>5.31</v>
      </c>
      <c r="L343" s="32">
        <v>5.33</v>
      </c>
      <c r="M343" s="32">
        <v>5.3</v>
      </c>
      <c r="N343" s="32">
        <v>5.3</v>
      </c>
      <c r="O343" s="32">
        <v>156.23300170898438</v>
      </c>
      <c r="P343" s="29">
        <v>1.0793541669845581</v>
      </c>
      <c r="Q343" s="29">
        <v>108.828125</v>
      </c>
      <c r="R343" s="32">
        <v>1.8395999999999999</v>
      </c>
      <c r="S343" s="32">
        <v>0.87225821411132642</v>
      </c>
    </row>
    <row r="344" spans="1:19">
      <c r="A344" s="10">
        <v>45426</v>
      </c>
      <c r="B344" s="32">
        <v>4.8099999999999996</v>
      </c>
      <c r="C344" s="32">
        <v>4.46</v>
      </c>
      <c r="D344" s="32">
        <v>4.45</v>
      </c>
      <c r="E344" s="32">
        <v>4.6900000000000004</v>
      </c>
      <c r="F344" s="32">
        <v>4.59</v>
      </c>
      <c r="G344" s="32">
        <v>0.34599999999999997</v>
      </c>
      <c r="H344" s="32">
        <v>0.96899999999999997</v>
      </c>
      <c r="I344" s="32">
        <v>1.7529999999999999</v>
      </c>
      <c r="J344" s="32">
        <v>2.0099999999999998</v>
      </c>
      <c r="K344" s="32">
        <v>5.31</v>
      </c>
      <c r="L344" s="32">
        <v>5.33</v>
      </c>
      <c r="M344" s="32">
        <v>5.3</v>
      </c>
      <c r="N344" s="32">
        <v>5.3</v>
      </c>
      <c r="O344" s="32">
        <v>156.49800109863281</v>
      </c>
      <c r="P344" s="29">
        <v>1.0814552307128906</v>
      </c>
      <c r="Q344" s="29">
        <v>109.09375</v>
      </c>
      <c r="R344" s="32">
        <v>1.8481000000000001</v>
      </c>
      <c r="S344" s="32">
        <v>0.88453642822265444</v>
      </c>
    </row>
    <row r="345" spans="1:19">
      <c r="A345" s="10">
        <v>45427</v>
      </c>
      <c r="B345" s="32">
        <v>4.7300000000000004</v>
      </c>
      <c r="C345" s="32">
        <v>4.3499999999999996</v>
      </c>
      <c r="D345" s="32">
        <v>4.3600000000000003</v>
      </c>
      <c r="E345" s="32">
        <v>4.6100000000000003</v>
      </c>
      <c r="F345" s="32">
        <v>4.5199999999999996</v>
      </c>
      <c r="G345" s="32">
        <v>0.34100000000000003</v>
      </c>
      <c r="H345" s="32">
        <v>0.96199999999999997</v>
      </c>
      <c r="I345" s="32">
        <v>1.744</v>
      </c>
      <c r="J345" s="32">
        <v>2.0099999999999998</v>
      </c>
      <c r="K345" s="32">
        <v>5.31</v>
      </c>
      <c r="L345" s="32">
        <v>5.33</v>
      </c>
      <c r="M345" s="32">
        <v>5.3</v>
      </c>
      <c r="N345" s="32">
        <v>5.3</v>
      </c>
      <c r="O345" s="32">
        <v>154.28199768066406</v>
      </c>
      <c r="P345" s="29">
        <v>1.0889805555343628</v>
      </c>
      <c r="Q345" s="29">
        <v>109.71875</v>
      </c>
      <c r="R345" s="32">
        <v>1.8738999999999999</v>
      </c>
      <c r="S345" s="32">
        <v>0.89505999999999908</v>
      </c>
    </row>
    <row r="346" spans="1:19">
      <c r="A346" s="10">
        <v>45428</v>
      </c>
      <c r="B346" s="32">
        <v>4.78</v>
      </c>
      <c r="C346" s="32">
        <v>4.4000000000000004</v>
      </c>
      <c r="D346" s="32">
        <v>4.38</v>
      </c>
      <c r="E346" s="32">
        <v>4.62</v>
      </c>
      <c r="F346" s="32">
        <v>4.5199999999999996</v>
      </c>
      <c r="G346" s="32">
        <v>0.32600000000000001</v>
      </c>
      <c r="H346" s="32">
        <v>0.93400000000000005</v>
      </c>
      <c r="I346" s="32">
        <v>1.7170000000000001</v>
      </c>
      <c r="J346" s="32">
        <v>1.9930000000000001</v>
      </c>
      <c r="K346" s="32">
        <v>5.31</v>
      </c>
      <c r="L346" s="32">
        <v>5.33</v>
      </c>
      <c r="M346" s="32">
        <v>5.3</v>
      </c>
      <c r="N346" s="32">
        <v>5.3</v>
      </c>
      <c r="O346" s="32">
        <v>155.37899780273438</v>
      </c>
      <c r="P346" s="29">
        <v>1.0867793560028076</v>
      </c>
      <c r="Q346" s="29">
        <v>109.484375</v>
      </c>
      <c r="R346" s="32">
        <v>1.7652000000000001</v>
      </c>
      <c r="S346" s="32">
        <v>0.88804357177734161</v>
      </c>
    </row>
    <row r="347" spans="1:19">
      <c r="A347" s="10">
        <v>45429</v>
      </c>
      <c r="B347" s="32">
        <v>4.83</v>
      </c>
      <c r="C347" s="32">
        <v>4.4400000000000004</v>
      </c>
      <c r="D347" s="32">
        <v>4.42</v>
      </c>
      <c r="E347" s="32">
        <v>4.66</v>
      </c>
      <c r="F347" s="32">
        <v>4.5599999999999996</v>
      </c>
      <c r="G347" s="32">
        <v>0.33700000000000002</v>
      </c>
      <c r="H347" s="32">
        <v>0.95699999999999996</v>
      </c>
      <c r="I347" s="32">
        <v>1.744</v>
      </c>
      <c r="J347" s="32">
        <v>2.0110000000000001</v>
      </c>
      <c r="K347" s="32">
        <v>5.31</v>
      </c>
      <c r="L347" s="32">
        <v>5.33</v>
      </c>
      <c r="M347" s="32">
        <v>5.3</v>
      </c>
      <c r="N347" s="32">
        <v>5.3</v>
      </c>
      <c r="O347" s="32">
        <v>155.37899780273438</v>
      </c>
      <c r="P347" s="29">
        <v>1.0867793560028076</v>
      </c>
      <c r="Q347" s="29">
        <v>109.1875</v>
      </c>
      <c r="R347" s="32">
        <v>1.7902</v>
      </c>
      <c r="S347" s="32">
        <v>0.92487821411132742</v>
      </c>
    </row>
    <row r="348" spans="1:19">
      <c r="A348" s="10">
        <v>45432</v>
      </c>
      <c r="B348" s="32">
        <v>4.82</v>
      </c>
      <c r="C348" s="32">
        <v>4.46</v>
      </c>
      <c r="D348" s="32">
        <v>4.4400000000000004</v>
      </c>
      <c r="E348" s="32">
        <v>4.68</v>
      </c>
      <c r="F348" s="32">
        <v>4.58</v>
      </c>
      <c r="G348" s="32">
        <v>0.34899999999999998</v>
      </c>
      <c r="H348" s="32">
        <v>0.98699999999999999</v>
      </c>
      <c r="I348" s="32">
        <v>1.766</v>
      </c>
      <c r="J348" s="32">
        <v>2.0339999999999998</v>
      </c>
      <c r="K348" s="32">
        <v>5.31</v>
      </c>
      <c r="L348" s="32">
        <v>5.33</v>
      </c>
      <c r="M348" s="32">
        <v>5.3</v>
      </c>
      <c r="N348" s="32">
        <v>5.3</v>
      </c>
      <c r="O348" s="32">
        <v>156.3699951171875</v>
      </c>
      <c r="P348" s="29">
        <v>1.086082935333252</v>
      </c>
      <c r="Q348" s="29">
        <v>109.09375</v>
      </c>
      <c r="R348" s="32">
        <v>1.8894</v>
      </c>
      <c r="S348" s="32">
        <v>0.94417178588867046</v>
      </c>
    </row>
    <row r="349" spans="1:19">
      <c r="A349" s="10">
        <v>45433</v>
      </c>
      <c r="B349" s="32">
        <v>4.82</v>
      </c>
      <c r="C349" s="32">
        <v>4.43</v>
      </c>
      <c r="D349" s="32">
        <v>4.41</v>
      </c>
      <c r="E349" s="32">
        <v>4.6500000000000004</v>
      </c>
      <c r="F349" s="32">
        <v>4.55</v>
      </c>
      <c r="G349" s="32">
        <v>0.34899999999999998</v>
      </c>
      <c r="H349" s="32">
        <v>0.99199999999999999</v>
      </c>
      <c r="I349" s="32">
        <v>1.776</v>
      </c>
      <c r="J349" s="32">
        <v>2.0390000000000001</v>
      </c>
      <c r="K349" s="32">
        <v>5.31</v>
      </c>
      <c r="L349" s="32">
        <v>5.33</v>
      </c>
      <c r="M349" s="32">
        <v>5.3</v>
      </c>
      <c r="N349" s="32">
        <v>5.3</v>
      </c>
      <c r="O349" s="32">
        <v>156.25100708007813</v>
      </c>
      <c r="P349" s="29">
        <v>1.0855170488357544</v>
      </c>
      <c r="Q349" s="29">
        <v>109.234375</v>
      </c>
      <c r="R349" s="32">
        <v>1.9121999999999999</v>
      </c>
      <c r="S349" s="32">
        <v>0.92663178588867012</v>
      </c>
    </row>
    <row r="350" spans="1:19">
      <c r="A350" s="10">
        <v>45434</v>
      </c>
      <c r="B350" s="32">
        <v>4.8600000000000003</v>
      </c>
      <c r="C350" s="32">
        <v>4.47</v>
      </c>
      <c r="D350" s="32">
        <v>4.43</v>
      </c>
      <c r="E350" s="32">
        <v>4.63</v>
      </c>
      <c r="F350" s="32">
        <v>4.55</v>
      </c>
      <c r="G350" s="32">
        <v>0.35599999999999998</v>
      </c>
      <c r="H350" s="32">
        <v>1.0069999999999999</v>
      </c>
      <c r="I350" s="32">
        <v>1.8089999999999999</v>
      </c>
      <c r="J350" s="32">
        <v>2.0840000000000001</v>
      </c>
      <c r="K350" s="32">
        <v>5.31</v>
      </c>
      <c r="L350" s="32">
        <v>5.33</v>
      </c>
      <c r="M350" s="32">
        <v>5.3</v>
      </c>
      <c r="N350" s="32">
        <v>5.3</v>
      </c>
      <c r="O350" s="32">
        <v>156.70399475097656</v>
      </c>
      <c r="P350" s="29">
        <v>1.0825204849243164</v>
      </c>
      <c r="Q350" s="29">
        <v>109.03125</v>
      </c>
      <c r="R350" s="32">
        <v>1.9165000000000001</v>
      </c>
      <c r="S350" s="32">
        <v>0.94417178588867046</v>
      </c>
    </row>
    <row r="351" spans="1:19">
      <c r="A351" s="10">
        <v>45435</v>
      </c>
      <c r="B351" s="32">
        <v>4.91</v>
      </c>
      <c r="C351" s="32">
        <v>4.5199999999999996</v>
      </c>
      <c r="D351" s="32">
        <v>4.47</v>
      </c>
      <c r="E351" s="32">
        <v>4.67</v>
      </c>
      <c r="F351" s="32">
        <v>4.58</v>
      </c>
      <c r="G351" s="32">
        <v>0.34499999999999997</v>
      </c>
      <c r="H351" s="32">
        <v>1.0109999999999999</v>
      </c>
      <c r="I351" s="32">
        <v>1.827</v>
      </c>
      <c r="J351" s="32">
        <v>2.1</v>
      </c>
      <c r="K351" s="32">
        <v>5.31</v>
      </c>
      <c r="L351" s="32">
        <v>5.33</v>
      </c>
      <c r="M351" s="32">
        <v>5.3</v>
      </c>
      <c r="N351" s="32">
        <v>5.3</v>
      </c>
      <c r="O351" s="32">
        <v>156.97300720214844</v>
      </c>
      <c r="P351" s="29">
        <v>1.0812681913375854</v>
      </c>
      <c r="Q351" s="29">
        <v>108.71875</v>
      </c>
      <c r="R351" s="32">
        <v>1.9774</v>
      </c>
      <c r="S351" s="32">
        <v>0.94943357177734278</v>
      </c>
    </row>
    <row r="352" spans="1:19">
      <c r="A352" s="10">
        <v>45436</v>
      </c>
      <c r="B352" s="32">
        <v>4.93</v>
      </c>
      <c r="C352" s="32">
        <v>4.53</v>
      </c>
      <c r="D352" s="32">
        <v>4.46</v>
      </c>
      <c r="E352" s="32">
        <v>4.6500000000000004</v>
      </c>
      <c r="F352" s="32">
        <v>4.57</v>
      </c>
      <c r="G352" s="32">
        <v>0.34499999999999997</v>
      </c>
      <c r="H352" s="32">
        <v>1.016</v>
      </c>
      <c r="I352" s="32">
        <v>1.835</v>
      </c>
      <c r="J352" s="32">
        <v>2.1040000000000001</v>
      </c>
      <c r="K352" s="32">
        <v>5.32</v>
      </c>
      <c r="L352" s="32">
        <v>5.33</v>
      </c>
      <c r="M352" s="32">
        <v>5.31</v>
      </c>
      <c r="N352" s="32">
        <v>5.31</v>
      </c>
      <c r="O352" s="32">
        <v>156.97300720214844</v>
      </c>
      <c r="P352" s="29">
        <v>1.0812681913375854</v>
      </c>
      <c r="Q352" s="29">
        <v>108.703125</v>
      </c>
      <c r="R352" s="32">
        <v>2.0411000000000001</v>
      </c>
      <c r="S352" s="32">
        <v>1.0160864282226552</v>
      </c>
    </row>
    <row r="353" spans="1:19">
      <c r="A353" s="10">
        <v>45440</v>
      </c>
      <c r="B353" s="32">
        <v>4.9400000000000004</v>
      </c>
      <c r="C353" s="32">
        <v>4.5599999999999996</v>
      </c>
      <c r="D353" s="32">
        <v>4.54</v>
      </c>
      <c r="E353" s="32">
        <v>4.74</v>
      </c>
      <c r="F353" s="32">
        <v>4.66</v>
      </c>
      <c r="G353" s="32">
        <v>0.35699999999999998</v>
      </c>
      <c r="H353" s="32">
        <v>1.0469999999999999</v>
      </c>
      <c r="I353" s="32">
        <v>1.8320000000000001</v>
      </c>
      <c r="J353" s="32">
        <v>2.12</v>
      </c>
      <c r="K353" s="32">
        <v>5.32</v>
      </c>
      <c r="L353" s="32">
        <v>5.33</v>
      </c>
      <c r="M353" s="32">
        <v>5.31</v>
      </c>
      <c r="N353" s="32">
        <v>5.31</v>
      </c>
      <c r="O353" s="32">
        <v>157.26199340820313</v>
      </c>
      <c r="P353" s="29">
        <v>1.0851871967315674</v>
      </c>
      <c r="Q353" s="29">
        <v>108.296875</v>
      </c>
      <c r="R353" s="32">
        <v>2.0276000000000001</v>
      </c>
      <c r="S353" s="32">
        <v>0.99503821411132698</v>
      </c>
    </row>
    <row r="354" spans="1:19">
      <c r="A354" s="10">
        <v>45441</v>
      </c>
      <c r="B354" s="32">
        <v>4.96</v>
      </c>
      <c r="C354" s="32">
        <v>4.63</v>
      </c>
      <c r="D354" s="32">
        <v>4.6100000000000003</v>
      </c>
      <c r="E354" s="32">
        <v>4.82</v>
      </c>
      <c r="F354" s="32">
        <v>4.74</v>
      </c>
      <c r="G354" s="32">
        <v>0.38700000000000001</v>
      </c>
      <c r="H354" s="32">
        <v>1.0840000000000001</v>
      </c>
      <c r="I354" s="32">
        <v>1.8580000000000001</v>
      </c>
      <c r="J354" s="32">
        <v>2.1480000000000001</v>
      </c>
      <c r="K354" s="32">
        <v>5.33</v>
      </c>
      <c r="L354" s="32">
        <v>5.33</v>
      </c>
      <c r="M354" s="32">
        <v>5.32</v>
      </c>
      <c r="N354" s="32">
        <v>5.32</v>
      </c>
      <c r="O354" s="32">
        <v>157.60800170898438</v>
      </c>
      <c r="P354" s="29">
        <v>1.0801819562911987</v>
      </c>
      <c r="Q354" s="29">
        <v>107.765625</v>
      </c>
      <c r="R354" s="32">
        <v>2.0346000000000002</v>
      </c>
      <c r="S354" s="32">
        <v>1.0301182141113276</v>
      </c>
    </row>
    <row r="355" spans="1:19">
      <c r="A355" s="10">
        <v>45442</v>
      </c>
      <c r="B355" s="32">
        <v>4.92</v>
      </c>
      <c r="C355" s="32">
        <v>4.57</v>
      </c>
      <c r="D355" s="32">
        <v>4.55</v>
      </c>
      <c r="E355" s="32">
        <v>4.76</v>
      </c>
      <c r="F355" s="32">
        <v>4.6900000000000004</v>
      </c>
      <c r="G355" s="32">
        <v>0.39900000000000002</v>
      </c>
      <c r="H355" s="32">
        <v>1.0660000000000001</v>
      </c>
      <c r="I355" s="32">
        <v>1.841</v>
      </c>
      <c r="J355" s="32">
        <v>2.1320000000000001</v>
      </c>
      <c r="K355" s="32">
        <v>5.33</v>
      </c>
      <c r="L355" s="32">
        <v>5.33</v>
      </c>
      <c r="M355" s="32">
        <v>5.32</v>
      </c>
      <c r="N355" s="32">
        <v>5.32</v>
      </c>
      <c r="O355" s="32">
        <v>156.9530029296875</v>
      </c>
      <c r="P355" s="29">
        <v>1.0835410356521606</v>
      </c>
      <c r="Q355" s="29">
        <v>108.234375</v>
      </c>
      <c r="R355" s="32">
        <v>2.1438999999999999</v>
      </c>
      <c r="S355" s="32">
        <v>1.0651982141113265</v>
      </c>
    </row>
    <row r="356" spans="1:19">
      <c r="A356" s="10">
        <v>45443</v>
      </c>
      <c r="B356" s="32">
        <v>4.8899999999999997</v>
      </c>
      <c r="C356" s="32">
        <v>4.5199999999999996</v>
      </c>
      <c r="D356" s="32">
        <v>4.51</v>
      </c>
      <c r="E356" s="32">
        <v>4.7300000000000004</v>
      </c>
      <c r="F356" s="32">
        <v>4.6500000000000004</v>
      </c>
      <c r="G356" s="32">
        <v>0.39900000000000002</v>
      </c>
      <c r="H356" s="32">
        <v>1.08</v>
      </c>
      <c r="I356" s="32">
        <v>1.85</v>
      </c>
      <c r="J356" s="32">
        <v>2.1549999999999998</v>
      </c>
      <c r="K356" s="32">
        <v>5.34</v>
      </c>
      <c r="L356" s="32">
        <v>5.33</v>
      </c>
      <c r="M356" s="32">
        <v>5.33</v>
      </c>
      <c r="N356" s="32">
        <v>5.33</v>
      </c>
      <c r="O356" s="32">
        <v>156.9530029296875</v>
      </c>
      <c r="P356" s="29">
        <v>1.0835410356521606</v>
      </c>
      <c r="Q356" s="29">
        <v>108.484375</v>
      </c>
      <c r="R356" s="32">
        <v>2.1114000000000002</v>
      </c>
      <c r="S356" s="32">
        <v>1.0459035717773428</v>
      </c>
    </row>
    <row r="357" spans="1:19">
      <c r="A357" s="10">
        <v>45446</v>
      </c>
      <c r="B357" s="32">
        <v>4.82</v>
      </c>
      <c r="C357" s="32">
        <v>4.42</v>
      </c>
      <c r="D357" s="32">
        <v>4.41</v>
      </c>
      <c r="E357" s="32">
        <v>4.63</v>
      </c>
      <c r="F357" s="32">
        <v>4.55</v>
      </c>
      <c r="G357" s="32">
        <v>0.40100000000000002</v>
      </c>
      <c r="H357" s="32">
        <v>1.071</v>
      </c>
      <c r="I357" s="32">
        <v>1.855</v>
      </c>
      <c r="J357" s="32">
        <v>2.1680000000000001</v>
      </c>
      <c r="K357" s="32">
        <v>5.35</v>
      </c>
      <c r="L357" s="32">
        <v>5.33</v>
      </c>
      <c r="M357" s="32">
        <v>5.32</v>
      </c>
      <c r="N357" s="32">
        <v>5.32</v>
      </c>
      <c r="O357" s="32">
        <v>156.07600402832031</v>
      </c>
      <c r="P357" s="29">
        <v>1.0907385349273682</v>
      </c>
      <c r="Q357" s="29">
        <v>109.25</v>
      </c>
      <c r="R357" s="32">
        <v>2.0657999999999999</v>
      </c>
      <c r="S357" s="32">
        <v>1.0616899999999987</v>
      </c>
    </row>
    <row r="358" spans="1:19">
      <c r="A358" s="10">
        <v>45447</v>
      </c>
      <c r="B358" s="32">
        <v>4.7699999999999996</v>
      </c>
      <c r="C358" s="32">
        <v>4.3499999999999996</v>
      </c>
      <c r="D358" s="32">
        <v>4.33</v>
      </c>
      <c r="E358" s="32">
        <v>4.5599999999999996</v>
      </c>
      <c r="F358" s="32">
        <v>4.4800000000000004</v>
      </c>
      <c r="G358" s="32">
        <v>0.38600000000000001</v>
      </c>
      <c r="H358" s="32">
        <v>1.0429999999999999</v>
      </c>
      <c r="I358" s="32">
        <v>1.841</v>
      </c>
      <c r="J358" s="32">
        <v>2.149</v>
      </c>
      <c r="K358" s="32">
        <v>5.33</v>
      </c>
      <c r="L358" s="32">
        <v>5.33</v>
      </c>
      <c r="M358" s="32">
        <v>5.32</v>
      </c>
      <c r="N358" s="32">
        <v>5.32</v>
      </c>
      <c r="O358" s="32">
        <v>155.12399291992188</v>
      </c>
      <c r="P358" s="29">
        <v>1.0881866216659546</v>
      </c>
      <c r="Q358" s="29">
        <v>109.703125</v>
      </c>
      <c r="R358" s="32">
        <v>2.0135000000000001</v>
      </c>
      <c r="S358" s="32">
        <v>1.0055617858886698</v>
      </c>
    </row>
    <row r="359" spans="1:19">
      <c r="A359" s="10">
        <v>45448</v>
      </c>
      <c r="B359" s="32">
        <v>4.72</v>
      </c>
      <c r="C359" s="32">
        <v>4.3099999999999996</v>
      </c>
      <c r="D359" s="32">
        <v>4.29</v>
      </c>
      <c r="E359" s="32">
        <v>4.5199999999999996</v>
      </c>
      <c r="F359" s="32">
        <v>4.4400000000000004</v>
      </c>
      <c r="G359" s="32">
        <v>0.35599999999999998</v>
      </c>
      <c r="H359" s="32">
        <v>1.014</v>
      </c>
      <c r="I359" s="32">
        <v>1.8160000000000001</v>
      </c>
      <c r="J359" s="32">
        <v>2.1120000000000001</v>
      </c>
      <c r="K359" s="32">
        <v>5.33</v>
      </c>
      <c r="L359" s="32">
        <v>5.33</v>
      </c>
      <c r="M359" s="32">
        <v>5.32</v>
      </c>
      <c r="N359" s="32">
        <v>5.32</v>
      </c>
      <c r="O359" s="32">
        <v>155.92900085449219</v>
      </c>
      <c r="P359" s="29">
        <v>1.0874530076980591</v>
      </c>
      <c r="Q359" s="29">
        <v>109.984375</v>
      </c>
      <c r="R359" s="32">
        <v>1.9770000000000001</v>
      </c>
      <c r="S359" s="32">
        <v>0.99854642822265482</v>
      </c>
    </row>
    <row r="360" spans="1:19">
      <c r="A360" s="10">
        <v>45449</v>
      </c>
      <c r="B360" s="32">
        <v>4.72</v>
      </c>
      <c r="C360" s="32">
        <v>4.29</v>
      </c>
      <c r="D360" s="32">
        <v>4.28</v>
      </c>
      <c r="E360" s="32">
        <v>4.51</v>
      </c>
      <c r="F360" s="32">
        <v>4.43</v>
      </c>
      <c r="G360" s="32">
        <v>0.33600000000000002</v>
      </c>
      <c r="H360" s="32">
        <v>0.97199999999999998</v>
      </c>
      <c r="I360" s="32">
        <v>1.7470000000000001</v>
      </c>
      <c r="J360" s="32">
        <v>2.0390000000000001</v>
      </c>
      <c r="K360" s="32">
        <v>5.33</v>
      </c>
      <c r="L360" s="32">
        <v>5.33</v>
      </c>
      <c r="M360" s="32">
        <v>5.32</v>
      </c>
      <c r="N360" s="32">
        <v>5.32</v>
      </c>
      <c r="O360" s="32">
        <v>155.69700622558594</v>
      </c>
      <c r="P360" s="29">
        <v>1.0894432067871094</v>
      </c>
      <c r="Q360" s="29">
        <v>110.0625</v>
      </c>
      <c r="R360" s="32">
        <v>1.9258</v>
      </c>
      <c r="S360" s="32">
        <v>0.93013999999999797</v>
      </c>
    </row>
    <row r="361" spans="1:19">
      <c r="A361" s="10">
        <v>45450</v>
      </c>
      <c r="B361" s="32">
        <v>4.87</v>
      </c>
      <c r="C361" s="32">
        <v>4.46</v>
      </c>
      <c r="D361" s="32">
        <v>4.43</v>
      </c>
      <c r="E361" s="32">
        <v>4.6399999999999997</v>
      </c>
      <c r="F361" s="32">
        <v>4.55</v>
      </c>
      <c r="G361" s="32">
        <v>0.35099999999999998</v>
      </c>
      <c r="H361" s="32">
        <v>0.98599999999999999</v>
      </c>
      <c r="I361" s="32">
        <v>1.7609999999999999</v>
      </c>
      <c r="J361" s="32">
        <v>2.0430000000000001</v>
      </c>
      <c r="K361" s="32">
        <v>5.33</v>
      </c>
      <c r="L361" s="32">
        <v>5.33</v>
      </c>
      <c r="M361" s="32">
        <v>5.32</v>
      </c>
      <c r="N361" s="32">
        <v>5.32</v>
      </c>
      <c r="O361" s="32">
        <v>155.69700622558594</v>
      </c>
      <c r="P361" s="29">
        <v>1.0894432067871094</v>
      </c>
      <c r="Q361" s="29">
        <v>109.046875</v>
      </c>
      <c r="R361" s="32">
        <v>1.9871000000000001</v>
      </c>
      <c r="S361" s="32">
        <v>0.91786178588866996</v>
      </c>
    </row>
    <row r="362" spans="1:19">
      <c r="A362" s="10">
        <v>45453</v>
      </c>
      <c r="B362" s="32">
        <v>4.87</v>
      </c>
      <c r="C362" s="32">
        <v>4.4800000000000004</v>
      </c>
      <c r="D362" s="32">
        <v>4.47</v>
      </c>
      <c r="E362" s="32">
        <v>4.68</v>
      </c>
      <c r="F362" s="32">
        <v>4.59</v>
      </c>
      <c r="G362" s="32">
        <v>0.38300000000000001</v>
      </c>
      <c r="H362" s="32">
        <v>1.0449999999999999</v>
      </c>
      <c r="I362" s="32">
        <v>1.821</v>
      </c>
      <c r="J362" s="32">
        <v>2.1179999999999999</v>
      </c>
      <c r="K362" s="32">
        <v>5.32</v>
      </c>
      <c r="L362" s="32">
        <v>5.33</v>
      </c>
      <c r="M362" s="32">
        <v>5.32</v>
      </c>
      <c r="N362" s="32">
        <v>5.32</v>
      </c>
      <c r="O362" s="32">
        <v>157.03999328613281</v>
      </c>
      <c r="P362" s="29">
        <v>1.0764262676239014</v>
      </c>
      <c r="Q362" s="29">
        <v>108.828125</v>
      </c>
      <c r="R362" s="32">
        <v>2.0821999999999998</v>
      </c>
      <c r="S362" s="32">
        <v>0.97223642822265433</v>
      </c>
    </row>
    <row r="363" spans="1:19">
      <c r="A363" s="10">
        <v>45454</v>
      </c>
      <c r="B363" s="32">
        <v>4.8099999999999996</v>
      </c>
      <c r="C363" s="32">
        <v>4.41</v>
      </c>
      <c r="D363" s="32">
        <v>4.3899999999999997</v>
      </c>
      <c r="E363" s="32">
        <v>4.62</v>
      </c>
      <c r="F363" s="32">
        <v>4.53</v>
      </c>
      <c r="G363" s="32">
        <v>0.372</v>
      </c>
      <c r="H363" s="32">
        <v>1.0349999999999999</v>
      </c>
      <c r="I363" s="32">
        <v>1.81</v>
      </c>
      <c r="J363" s="32">
        <v>2.1110000000000002</v>
      </c>
      <c r="K363" s="32">
        <v>5.32</v>
      </c>
      <c r="L363" s="32">
        <v>5.33</v>
      </c>
      <c r="M363" s="32">
        <v>5.31</v>
      </c>
      <c r="N363" s="32">
        <v>5.31</v>
      </c>
      <c r="O363" s="32">
        <v>157.10499572753906</v>
      </c>
      <c r="P363" s="29">
        <v>1.0740330219268799</v>
      </c>
      <c r="Q363" s="29">
        <v>109.28125</v>
      </c>
      <c r="R363" s="32">
        <v>2.2639</v>
      </c>
      <c r="S363" s="32">
        <v>0.96346642822265416</v>
      </c>
    </row>
    <row r="364" spans="1:19">
      <c r="A364" s="10">
        <v>45455</v>
      </c>
      <c r="B364" s="32">
        <v>4.75</v>
      </c>
      <c r="C364" s="32">
        <v>4.32</v>
      </c>
      <c r="D364" s="32">
        <v>4.3099999999999996</v>
      </c>
      <c r="E364" s="32">
        <v>4.5599999999999996</v>
      </c>
      <c r="F364" s="32">
        <v>4.47</v>
      </c>
      <c r="G364" s="32">
        <v>0.34300000000000003</v>
      </c>
      <c r="H364" s="32">
        <v>1</v>
      </c>
      <c r="I364" s="32">
        <v>1.784</v>
      </c>
      <c r="J364" s="32">
        <v>2.0840000000000001</v>
      </c>
      <c r="K364" s="32">
        <v>5.31</v>
      </c>
      <c r="L364" s="32">
        <v>5.33</v>
      </c>
      <c r="M364" s="32">
        <v>5.31</v>
      </c>
      <c r="N364" s="32">
        <v>5.31</v>
      </c>
      <c r="O364" s="32">
        <v>156.80000305175781</v>
      </c>
      <c r="P364" s="29">
        <v>1.0813149213790894</v>
      </c>
      <c r="Q364" s="29">
        <v>110.03125</v>
      </c>
      <c r="R364" s="32">
        <v>2.2475000000000001</v>
      </c>
      <c r="S364" s="32">
        <v>0.97749821411132665</v>
      </c>
    </row>
    <row r="365" spans="1:19">
      <c r="A365" s="10">
        <v>45456</v>
      </c>
      <c r="B365" s="32">
        <v>4.68</v>
      </c>
      <c r="C365" s="32">
        <v>4.24</v>
      </c>
      <c r="D365" s="32">
        <v>4.24</v>
      </c>
      <c r="E365" s="32">
        <v>4.5</v>
      </c>
      <c r="F365" s="32">
        <v>4.4000000000000004</v>
      </c>
      <c r="G365" s="32">
        <v>0.33200000000000002</v>
      </c>
      <c r="H365" s="32">
        <v>0.98199999999999998</v>
      </c>
      <c r="I365" s="32">
        <v>1.762</v>
      </c>
      <c r="J365" s="32">
        <v>2.0630000000000002</v>
      </c>
      <c r="K365" s="32">
        <v>5.31</v>
      </c>
      <c r="L365" s="32">
        <v>5.33</v>
      </c>
      <c r="M365" s="32">
        <v>5.31</v>
      </c>
      <c r="N365" s="32">
        <v>5.31</v>
      </c>
      <c r="O365" s="32">
        <v>157.12800598144531</v>
      </c>
      <c r="P365" s="29">
        <v>1.0738831758499146</v>
      </c>
      <c r="Q365" s="29">
        <v>110.421875</v>
      </c>
      <c r="R365" s="32">
        <v>2.1166</v>
      </c>
      <c r="S365" s="32">
        <v>0.96171178588867079</v>
      </c>
    </row>
    <row r="366" spans="1:19">
      <c r="A366" s="10">
        <v>45457</v>
      </c>
      <c r="B366" s="32">
        <v>4.67</v>
      </c>
      <c r="C366" s="32">
        <v>4.22</v>
      </c>
      <c r="D366" s="32">
        <v>4.2</v>
      </c>
      <c r="E366" s="32">
        <v>4.46</v>
      </c>
      <c r="F366" s="32">
        <v>4.34</v>
      </c>
      <c r="G366" s="32">
        <v>0.30199999999999999</v>
      </c>
      <c r="H366" s="32">
        <v>0.95</v>
      </c>
      <c r="I366" s="32">
        <v>1.732</v>
      </c>
      <c r="J366" s="32">
        <v>2.044</v>
      </c>
      <c r="K366" s="32">
        <v>5.31</v>
      </c>
      <c r="L366" s="32">
        <v>5.33</v>
      </c>
      <c r="M366" s="32">
        <v>5.3</v>
      </c>
      <c r="N366" s="32">
        <v>5.3</v>
      </c>
      <c r="O366" s="32">
        <v>157.12800598144531</v>
      </c>
      <c r="P366" s="29">
        <v>1.0738831758499146</v>
      </c>
      <c r="Q366" s="29">
        <v>110.46875</v>
      </c>
      <c r="R366" s="32">
        <v>2.1385000000000001</v>
      </c>
      <c r="S366" s="32">
        <v>0.86173357177734289</v>
      </c>
    </row>
    <row r="367" spans="1:19">
      <c r="A367" s="10">
        <v>45460</v>
      </c>
      <c r="B367" s="32">
        <v>4.75</v>
      </c>
      <c r="C367" s="32">
        <v>4.3</v>
      </c>
      <c r="D367" s="32">
        <v>4.28</v>
      </c>
      <c r="E367" s="32">
        <v>4.5199999999999996</v>
      </c>
      <c r="F367" s="32">
        <v>4.4000000000000004</v>
      </c>
      <c r="G367" s="32">
        <v>0.29099999999999998</v>
      </c>
      <c r="H367" s="32">
        <v>0.94699999999999995</v>
      </c>
      <c r="I367" s="32">
        <v>1.7549999999999999</v>
      </c>
      <c r="J367" s="32">
        <v>2.0680000000000001</v>
      </c>
      <c r="K367" s="32">
        <v>5.33</v>
      </c>
      <c r="L367" s="32">
        <v>5.33</v>
      </c>
      <c r="M367" s="32">
        <v>5.32</v>
      </c>
      <c r="N367" s="32">
        <v>5.32</v>
      </c>
      <c r="O367" s="32">
        <v>157.69999694824219</v>
      </c>
      <c r="P367" s="29">
        <v>1.0740677118301392</v>
      </c>
      <c r="Q367" s="29">
        <v>110.0625</v>
      </c>
      <c r="R367" s="32">
        <v>2.0525000000000002</v>
      </c>
      <c r="S367" s="32">
        <v>0.91084642822265494</v>
      </c>
    </row>
    <row r="368" spans="1:19">
      <c r="A368" s="10">
        <v>45461</v>
      </c>
      <c r="B368" s="32">
        <v>4.6900000000000004</v>
      </c>
      <c r="C368" s="32">
        <v>4.24</v>
      </c>
      <c r="D368" s="32">
        <v>4.22</v>
      </c>
      <c r="E368" s="32">
        <v>4.47</v>
      </c>
      <c r="F368" s="32">
        <v>4.3600000000000003</v>
      </c>
      <c r="G368" s="32">
        <v>0.28799999999999998</v>
      </c>
      <c r="H368" s="32">
        <v>0.96299999999999997</v>
      </c>
      <c r="I368" s="32">
        <v>1.7769999999999999</v>
      </c>
      <c r="J368" s="32">
        <v>2.089</v>
      </c>
      <c r="K368" s="32">
        <v>5.33</v>
      </c>
      <c r="L368" s="32">
        <v>5.33</v>
      </c>
      <c r="M368" s="32">
        <v>5.32</v>
      </c>
      <c r="N368" s="32">
        <v>5.32</v>
      </c>
      <c r="O368" s="32">
        <v>157.87100219726563</v>
      </c>
      <c r="P368" s="29">
        <v>1.0742292404174805</v>
      </c>
      <c r="Q368" s="29">
        <v>110.484375</v>
      </c>
      <c r="R368" s="32">
        <v>2.0743</v>
      </c>
      <c r="S368" s="32">
        <v>0.89681357177734178</v>
      </c>
    </row>
    <row r="369" spans="1:19">
      <c r="A369" s="10">
        <v>45463</v>
      </c>
      <c r="B369" s="32">
        <v>4.7</v>
      </c>
      <c r="C369" s="32">
        <v>4.26</v>
      </c>
      <c r="D369" s="32">
        <v>4.25</v>
      </c>
      <c r="E369" s="32">
        <v>4.49</v>
      </c>
      <c r="F369" s="32">
        <v>4.3899999999999997</v>
      </c>
      <c r="G369" s="32">
        <v>0.29199999999999998</v>
      </c>
      <c r="H369" s="32">
        <v>0.97299999999999998</v>
      </c>
      <c r="I369" s="32">
        <v>1.7689999999999999</v>
      </c>
      <c r="J369" s="32">
        <v>2.0680000000000001</v>
      </c>
      <c r="K369" s="32">
        <v>5.32</v>
      </c>
      <c r="L369" s="32">
        <v>5.33</v>
      </c>
      <c r="M369" s="32">
        <v>5.31</v>
      </c>
      <c r="N369" s="32">
        <v>5.31</v>
      </c>
      <c r="O369" s="32">
        <v>158.93099975585938</v>
      </c>
      <c r="P369" s="29">
        <v>1.0706409215927124</v>
      </c>
      <c r="Q369" s="29">
        <v>110.546875</v>
      </c>
      <c r="R369" s="32">
        <v>2.0118999999999998</v>
      </c>
      <c r="S369" s="32">
        <v>0.93013999999999797</v>
      </c>
    </row>
    <row r="370" spans="1:19">
      <c r="A370" s="10">
        <v>45464</v>
      </c>
      <c r="B370" s="32">
        <v>4.7</v>
      </c>
      <c r="C370" s="32">
        <v>4.26</v>
      </c>
      <c r="D370" s="32">
        <v>4.25</v>
      </c>
      <c r="E370" s="32">
        <v>4.49</v>
      </c>
      <c r="F370" s="32">
        <v>4.3899999999999997</v>
      </c>
      <c r="G370" s="32">
        <v>0.313</v>
      </c>
      <c r="H370" s="32">
        <v>0.999</v>
      </c>
      <c r="I370" s="32">
        <v>1.792</v>
      </c>
      <c r="J370" s="32">
        <v>2.0859999999999999</v>
      </c>
      <c r="K370" s="32">
        <v>5.31</v>
      </c>
      <c r="L370" s="32">
        <v>5.33</v>
      </c>
      <c r="M370" s="32">
        <v>5.3</v>
      </c>
      <c r="N370" s="32">
        <v>5.3</v>
      </c>
      <c r="O370" s="32">
        <v>158.93099975585938</v>
      </c>
      <c r="P370" s="29">
        <v>1.0706409215927124</v>
      </c>
      <c r="Q370" s="29">
        <v>110.5</v>
      </c>
      <c r="R370" s="32">
        <v>2.0556999999999999</v>
      </c>
      <c r="S370" s="32">
        <v>0.92136999999999958</v>
      </c>
    </row>
    <row r="371" spans="1:19">
      <c r="A371" s="10">
        <v>45467</v>
      </c>
      <c r="B371" s="32">
        <v>4.71</v>
      </c>
      <c r="C371" s="32">
        <v>4.2699999999999996</v>
      </c>
      <c r="D371" s="32">
        <v>4.25</v>
      </c>
      <c r="E371" s="32">
        <v>4.4800000000000004</v>
      </c>
      <c r="F371" s="32">
        <v>4.38</v>
      </c>
      <c r="G371" s="32">
        <v>0.309</v>
      </c>
      <c r="H371" s="32">
        <v>1.01</v>
      </c>
      <c r="I371" s="32">
        <v>1.8109999999999999</v>
      </c>
      <c r="J371" s="32">
        <v>2.1080000000000001</v>
      </c>
      <c r="K371" s="32">
        <v>5.31</v>
      </c>
      <c r="L371" s="32">
        <v>5.33</v>
      </c>
      <c r="M371" s="32">
        <v>5.3</v>
      </c>
      <c r="N371" s="32">
        <v>5.3</v>
      </c>
      <c r="O371" s="32">
        <v>159.68600463867188</v>
      </c>
      <c r="P371" s="29">
        <v>1.0732723474502563</v>
      </c>
      <c r="Q371" s="29">
        <v>110.53125</v>
      </c>
      <c r="R371" s="32">
        <v>2.0348000000000002</v>
      </c>
      <c r="S371" s="32">
        <v>0.93364821411132759</v>
      </c>
    </row>
    <row r="372" spans="1:19">
      <c r="A372" s="10">
        <v>45468</v>
      </c>
      <c r="B372" s="32">
        <v>4.6500000000000004</v>
      </c>
      <c r="C372" s="32">
        <v>4.25</v>
      </c>
      <c r="D372" s="32">
        <v>4.2300000000000004</v>
      </c>
      <c r="E372" s="32">
        <v>4.46</v>
      </c>
      <c r="F372" s="32">
        <v>4.3600000000000003</v>
      </c>
      <c r="G372" s="32">
        <v>0.30599999999999999</v>
      </c>
      <c r="H372" s="32">
        <v>1.02</v>
      </c>
      <c r="I372" s="32">
        <v>1.8240000000000001</v>
      </c>
      <c r="J372" s="32">
        <v>2.121</v>
      </c>
      <c r="K372" s="32">
        <v>5.33</v>
      </c>
      <c r="L372" s="32">
        <v>5.33</v>
      </c>
      <c r="M372" s="32">
        <v>5.32</v>
      </c>
      <c r="N372" s="32">
        <v>5.32</v>
      </c>
      <c r="O372" s="32">
        <v>159.68600463867188</v>
      </c>
      <c r="P372" s="29">
        <v>1.0709619522094727</v>
      </c>
      <c r="Q372" s="29">
        <v>110.59375</v>
      </c>
      <c r="R372" s="32">
        <v>2.04</v>
      </c>
      <c r="S372" s="32">
        <v>0.96521999999999863</v>
      </c>
    </row>
    <row r="373" spans="1:19">
      <c r="A373" s="10">
        <v>45469</v>
      </c>
      <c r="B373" s="32">
        <v>4.71</v>
      </c>
      <c r="C373" s="32">
        <v>4.32</v>
      </c>
      <c r="D373" s="32">
        <v>4.32</v>
      </c>
      <c r="E373" s="32">
        <v>4.55</v>
      </c>
      <c r="F373" s="32">
        <v>4.45</v>
      </c>
      <c r="G373" s="32">
        <v>0.312</v>
      </c>
      <c r="H373" s="32">
        <v>1.044</v>
      </c>
      <c r="I373" s="32">
        <v>1.851</v>
      </c>
      <c r="J373" s="32">
        <v>2.1549999999999998</v>
      </c>
      <c r="K373" s="32">
        <v>5.34</v>
      </c>
      <c r="L373" s="32">
        <v>5.33</v>
      </c>
      <c r="M373" s="32">
        <v>5.33</v>
      </c>
      <c r="N373" s="32">
        <v>5.33</v>
      </c>
      <c r="O373" s="32">
        <v>160.62100219726563</v>
      </c>
      <c r="P373" s="29">
        <v>1.0680109262466431</v>
      </c>
      <c r="Q373" s="29">
        <v>110.0625</v>
      </c>
      <c r="R373" s="32">
        <v>2.0417000000000001</v>
      </c>
      <c r="S373" s="32">
        <v>0.98275999999999897</v>
      </c>
    </row>
    <row r="374" spans="1:19">
      <c r="A374" s="10">
        <v>45470</v>
      </c>
      <c r="B374" s="32">
        <v>4.7</v>
      </c>
      <c r="C374" s="32">
        <v>4.29</v>
      </c>
      <c r="D374" s="32">
        <v>4.29</v>
      </c>
      <c r="E374" s="32">
        <v>4.53</v>
      </c>
      <c r="F374" s="32">
        <v>4.43</v>
      </c>
      <c r="G374" s="32">
        <v>0.372</v>
      </c>
      <c r="H374" s="32">
        <v>1.0920000000000001</v>
      </c>
      <c r="I374" s="32">
        <v>1.881</v>
      </c>
      <c r="J374" s="32">
        <v>2.1880000000000002</v>
      </c>
      <c r="K374" s="32">
        <v>5.34</v>
      </c>
      <c r="L374" s="32">
        <v>5.33</v>
      </c>
      <c r="M374" s="32">
        <v>5.32</v>
      </c>
      <c r="N374" s="32">
        <v>5.32</v>
      </c>
      <c r="O374" s="32">
        <v>160.68699645996094</v>
      </c>
      <c r="P374" s="29">
        <v>1.0708472728729248</v>
      </c>
      <c r="Q374" s="29">
        <v>110.25</v>
      </c>
      <c r="R374" s="32">
        <v>2.0687000000000002</v>
      </c>
      <c r="S374" s="32">
        <v>1.0599364282226542</v>
      </c>
    </row>
    <row r="375" spans="1:19">
      <c r="A375" s="10">
        <v>45471</v>
      </c>
      <c r="B375" s="32">
        <v>4.71</v>
      </c>
      <c r="C375" s="32">
        <v>4.33</v>
      </c>
      <c r="D375" s="32">
        <v>4.3600000000000003</v>
      </c>
      <c r="E375" s="32">
        <v>4.6100000000000003</v>
      </c>
      <c r="F375" s="32">
        <v>4.51</v>
      </c>
      <c r="G375" s="32">
        <v>0.35299999999999998</v>
      </c>
      <c r="H375" s="32">
        <v>1.0620000000000001</v>
      </c>
      <c r="I375" s="32">
        <v>1.8480000000000001</v>
      </c>
      <c r="J375" s="32">
        <v>2.153</v>
      </c>
      <c r="K375" s="32">
        <v>5.33</v>
      </c>
      <c r="L375" s="32">
        <v>5.33</v>
      </c>
      <c r="M375" s="32">
        <v>5.32</v>
      </c>
      <c r="N375" s="32">
        <v>5.32</v>
      </c>
      <c r="O375" s="32">
        <v>160.68699645996094</v>
      </c>
      <c r="P375" s="29">
        <v>1.0708472728729248</v>
      </c>
      <c r="Q375" s="29">
        <v>109.984375</v>
      </c>
      <c r="R375" s="32">
        <v>2.0888</v>
      </c>
      <c r="S375" s="32">
        <v>1.0055617858886698</v>
      </c>
    </row>
    <row r="376" spans="1:19">
      <c r="A376" s="10">
        <v>45474</v>
      </c>
      <c r="B376" s="32">
        <v>4.7699999999999996</v>
      </c>
      <c r="C376" s="32">
        <v>4.4400000000000004</v>
      </c>
      <c r="D376" s="32">
        <v>4.4800000000000004</v>
      </c>
      <c r="E376" s="32">
        <v>4.76</v>
      </c>
      <c r="F376" s="32">
        <v>4.6399999999999997</v>
      </c>
      <c r="G376" s="32">
        <v>0.36</v>
      </c>
      <c r="H376" s="32">
        <v>1.083</v>
      </c>
      <c r="I376" s="32">
        <v>1.873</v>
      </c>
      <c r="J376" s="32">
        <v>2.1629999999999998</v>
      </c>
      <c r="K376" s="32">
        <v>5.4</v>
      </c>
      <c r="L376" s="32">
        <v>5.33</v>
      </c>
      <c r="M376" s="32">
        <v>5.33</v>
      </c>
      <c r="N376" s="32">
        <v>5.33</v>
      </c>
      <c r="O376" s="32">
        <v>161.51199340820313</v>
      </c>
      <c r="P376" s="29">
        <v>1.0737102031707764</v>
      </c>
      <c r="Q376" s="29">
        <v>109.171875</v>
      </c>
      <c r="R376" s="32">
        <v>2.1027999999999998</v>
      </c>
      <c r="S376" s="32">
        <v>1.054673571777343</v>
      </c>
    </row>
    <row r="377" spans="1:19">
      <c r="A377" s="10">
        <v>45475</v>
      </c>
      <c r="B377" s="32">
        <v>4.74</v>
      </c>
      <c r="C377" s="32">
        <v>4.3899999999999997</v>
      </c>
      <c r="D377" s="32">
        <v>4.43</v>
      </c>
      <c r="E377" s="32">
        <v>4.71</v>
      </c>
      <c r="F377" s="32">
        <v>4.5999999999999996</v>
      </c>
      <c r="G377" s="32">
        <v>0.36499999999999999</v>
      </c>
      <c r="H377" s="32">
        <v>1.1040000000000001</v>
      </c>
      <c r="I377" s="32">
        <v>1.8939999999999999</v>
      </c>
      <c r="J377" s="32">
        <v>2.1739999999999999</v>
      </c>
      <c r="K377" s="32">
        <v>5.35</v>
      </c>
      <c r="L377" s="32">
        <v>5.33</v>
      </c>
      <c r="M377" s="32">
        <v>5.33</v>
      </c>
      <c r="N377" s="32">
        <v>5.33</v>
      </c>
      <c r="O377" s="32">
        <v>161.50399780273438</v>
      </c>
      <c r="P377" s="29">
        <v>1.0748412609100342</v>
      </c>
      <c r="Q377" s="29">
        <v>109.46875</v>
      </c>
      <c r="R377" s="32">
        <v>2.1545000000000001</v>
      </c>
      <c r="S377" s="32">
        <v>1.026609999999998</v>
      </c>
    </row>
    <row r="378" spans="1:19">
      <c r="A378" s="10">
        <v>45476</v>
      </c>
      <c r="B378" s="32">
        <v>4.71</v>
      </c>
      <c r="C378" s="32">
        <v>4.33</v>
      </c>
      <c r="D378" s="32">
        <v>4.3600000000000003</v>
      </c>
      <c r="E378" s="32">
        <v>4.6399999999999997</v>
      </c>
      <c r="F378" s="32">
        <v>4.53</v>
      </c>
      <c r="G378" s="32">
        <v>0.35</v>
      </c>
      <c r="H378" s="32">
        <v>1.1000000000000001</v>
      </c>
      <c r="I378" s="32">
        <v>1.9079999999999999</v>
      </c>
      <c r="J378" s="32">
        <v>2.1850000000000001</v>
      </c>
      <c r="K378" s="32">
        <v>5.33</v>
      </c>
      <c r="L378" s="32">
        <v>5.33</v>
      </c>
      <c r="M378" s="32">
        <v>5.32</v>
      </c>
      <c r="N378" s="32">
        <v>5.32</v>
      </c>
      <c r="O378" s="32">
        <v>161.62100219726563</v>
      </c>
      <c r="P378" s="29">
        <v>1.0793308019638062</v>
      </c>
      <c r="Q378" s="29">
        <v>110.046875</v>
      </c>
      <c r="R378" s="32">
        <v>2.1659000000000002</v>
      </c>
      <c r="S378" s="32">
        <v>1.0862464282226547</v>
      </c>
    </row>
    <row r="379" spans="1:19">
      <c r="A379" s="10">
        <v>45478</v>
      </c>
      <c r="B379" s="32">
        <v>4.5999999999999996</v>
      </c>
      <c r="C379" s="32">
        <v>4.22</v>
      </c>
      <c r="D379" s="32">
        <v>4.28</v>
      </c>
      <c r="E379" s="32">
        <v>4.57</v>
      </c>
      <c r="F379" s="32">
        <v>4.47</v>
      </c>
      <c r="G379" s="32">
        <v>0.34599999999999997</v>
      </c>
      <c r="H379" s="32">
        <v>1.0720000000000001</v>
      </c>
      <c r="I379" s="32">
        <v>1.9019999999999999</v>
      </c>
      <c r="J379" s="32">
        <v>2.2000000000000002</v>
      </c>
      <c r="K379" s="32">
        <v>5.32</v>
      </c>
      <c r="L379" s="32">
        <v>5.33</v>
      </c>
      <c r="M379" s="32">
        <v>5.31</v>
      </c>
      <c r="N379" s="32">
        <v>5.31</v>
      </c>
      <c r="O379" s="32">
        <v>161.62100219726563</v>
      </c>
      <c r="P379" s="29">
        <v>1.0793308019638062</v>
      </c>
      <c r="Q379" s="29">
        <v>110.609375</v>
      </c>
      <c r="R379" s="32">
        <v>2.1061000000000001</v>
      </c>
      <c r="S379" s="32">
        <v>1.0248564282226553</v>
      </c>
    </row>
    <row r="380" spans="1:19">
      <c r="A380" s="10">
        <v>45481</v>
      </c>
      <c r="B380" s="32">
        <v>4.62</v>
      </c>
      <c r="C380" s="32">
        <v>4.2300000000000004</v>
      </c>
      <c r="D380" s="32">
        <v>4.28</v>
      </c>
      <c r="E380" s="32">
        <v>4.57</v>
      </c>
      <c r="F380" s="32">
        <v>4.46</v>
      </c>
      <c r="G380" s="32">
        <v>0.36199999999999999</v>
      </c>
      <c r="H380" s="32">
        <v>1.0920000000000001</v>
      </c>
      <c r="I380" s="32">
        <v>1.907</v>
      </c>
      <c r="J380" s="32">
        <v>2.2000000000000002</v>
      </c>
      <c r="K380" s="32">
        <v>5.32</v>
      </c>
      <c r="L380" s="32">
        <v>5.33</v>
      </c>
      <c r="M380" s="32">
        <v>5.31</v>
      </c>
      <c r="N380" s="32">
        <v>5.31</v>
      </c>
      <c r="O380" s="32">
        <v>160.85699462890625</v>
      </c>
      <c r="P380" s="29">
        <v>1.0830950736999512</v>
      </c>
      <c r="Q380" s="29">
        <v>110.59375</v>
      </c>
      <c r="R380" s="32">
        <v>2.0806</v>
      </c>
      <c r="S380" s="32">
        <v>1.0809835717773417</v>
      </c>
    </row>
    <row r="381" spans="1:19">
      <c r="A381" s="10">
        <v>45482</v>
      </c>
      <c r="B381" s="32">
        <v>4.62</v>
      </c>
      <c r="C381" s="32">
        <v>4.24</v>
      </c>
      <c r="D381" s="32">
        <v>4.3</v>
      </c>
      <c r="E381" s="32">
        <v>4.59</v>
      </c>
      <c r="F381" s="32">
        <v>4.49</v>
      </c>
      <c r="G381" s="32">
        <v>0.35299999999999998</v>
      </c>
      <c r="H381" s="32">
        <v>1.079</v>
      </c>
      <c r="I381" s="32">
        <v>1.911</v>
      </c>
      <c r="J381" s="32">
        <v>2.2050000000000001</v>
      </c>
      <c r="K381" s="32">
        <v>5.34</v>
      </c>
      <c r="L381" s="32">
        <v>5.33</v>
      </c>
      <c r="M381" s="32">
        <v>5.33</v>
      </c>
      <c r="N381" s="32">
        <v>5.33</v>
      </c>
      <c r="O381" s="32">
        <v>161.33099365234375</v>
      </c>
      <c r="P381" s="29">
        <v>1.0814785957336426</v>
      </c>
      <c r="Q381" s="29">
        <v>110.40625</v>
      </c>
      <c r="R381" s="32">
        <v>2.0609999999999999</v>
      </c>
      <c r="S381" s="32">
        <v>1.0283635717773425</v>
      </c>
    </row>
    <row r="382" spans="1:19">
      <c r="A382" s="10">
        <v>45483</v>
      </c>
      <c r="B382" s="32">
        <v>4.62</v>
      </c>
      <c r="C382" s="32">
        <v>4.24</v>
      </c>
      <c r="D382" s="32">
        <v>4.28</v>
      </c>
      <c r="E382" s="32">
        <v>4.58</v>
      </c>
      <c r="F382" s="32">
        <v>4.47</v>
      </c>
      <c r="G382" s="32">
        <v>0.34300000000000003</v>
      </c>
      <c r="H382" s="32">
        <v>1.093</v>
      </c>
      <c r="I382" s="32">
        <v>1.9239999999999999</v>
      </c>
      <c r="J382" s="32">
        <v>2.2200000000000002</v>
      </c>
      <c r="K382" s="32">
        <v>5.34</v>
      </c>
      <c r="L382" s="32">
        <v>5.33</v>
      </c>
      <c r="M382" s="32">
        <v>5.33</v>
      </c>
      <c r="N382" s="32">
        <v>5.33</v>
      </c>
      <c r="O382" s="32">
        <v>161.60699462890625</v>
      </c>
      <c r="P382" s="29">
        <v>1.0833296775817871</v>
      </c>
      <c r="Q382" s="29">
        <v>110.5</v>
      </c>
      <c r="R382" s="32">
        <v>2.0998000000000001</v>
      </c>
      <c r="S382" s="32">
        <v>1.0529199999999985</v>
      </c>
    </row>
    <row r="383" spans="1:19">
      <c r="A383" s="10">
        <v>45484</v>
      </c>
      <c r="B383" s="32">
        <v>4.5</v>
      </c>
      <c r="C383" s="32">
        <v>4.13</v>
      </c>
      <c r="D383" s="32">
        <v>4.2</v>
      </c>
      <c r="E383" s="32">
        <v>4.51</v>
      </c>
      <c r="F383" s="32">
        <v>4.41</v>
      </c>
      <c r="G383" s="32">
        <v>0.34300000000000003</v>
      </c>
      <c r="H383" s="32">
        <v>1.089</v>
      </c>
      <c r="I383" s="32">
        <v>1.9119999999999999</v>
      </c>
      <c r="J383" s="32">
        <v>2.2210000000000001</v>
      </c>
      <c r="K383" s="32">
        <v>5.34</v>
      </c>
      <c r="L383" s="32">
        <v>5.33</v>
      </c>
      <c r="M383" s="32">
        <v>5.32</v>
      </c>
      <c r="N383" s="32">
        <v>5.32</v>
      </c>
      <c r="O383" s="32">
        <v>158.20100402832031</v>
      </c>
      <c r="P383" s="29">
        <v>1.0872756242752075</v>
      </c>
      <c r="Q383" s="29">
        <v>111.15625</v>
      </c>
      <c r="R383" s="32">
        <v>2.0823</v>
      </c>
      <c r="S383" s="32">
        <v>1.0634435717773432</v>
      </c>
    </row>
    <row r="384" spans="1:19">
      <c r="A384" s="10">
        <v>45485</v>
      </c>
      <c r="B384" s="32">
        <v>4.45</v>
      </c>
      <c r="C384" s="32">
        <v>4.0999999999999996</v>
      </c>
      <c r="D384" s="32">
        <v>4.18</v>
      </c>
      <c r="E384" s="32">
        <v>4.5</v>
      </c>
      <c r="F384" s="32">
        <v>4.3899999999999997</v>
      </c>
      <c r="G384" s="32">
        <v>0.33300000000000002</v>
      </c>
      <c r="H384" s="32">
        <v>1.0549999999999999</v>
      </c>
      <c r="I384" s="32">
        <v>1.873</v>
      </c>
      <c r="J384" s="32">
        <v>2.177</v>
      </c>
      <c r="K384" s="32">
        <v>5.34</v>
      </c>
      <c r="L384" s="32">
        <v>5.33</v>
      </c>
      <c r="M384" s="32">
        <v>5.32</v>
      </c>
      <c r="N384" s="32">
        <v>5.32</v>
      </c>
      <c r="O384" s="32">
        <v>158.20100402832031</v>
      </c>
      <c r="P384" s="29">
        <v>1.0872756242752075</v>
      </c>
      <c r="Q384" s="29">
        <v>111.1875</v>
      </c>
      <c r="R384" s="32">
        <v>2.0325000000000002</v>
      </c>
      <c r="S384" s="32">
        <v>1.0125782141113273</v>
      </c>
    </row>
    <row r="385" spans="1:19">
      <c r="A385" s="10">
        <v>45488</v>
      </c>
      <c r="B385" s="32">
        <v>4.4400000000000004</v>
      </c>
      <c r="C385" s="32">
        <v>4.13</v>
      </c>
      <c r="D385" s="32">
        <v>4.2300000000000004</v>
      </c>
      <c r="E385" s="32">
        <v>4.5599999999999996</v>
      </c>
      <c r="F385" s="32">
        <v>4.46</v>
      </c>
      <c r="G385" s="32">
        <v>0.33300000000000002</v>
      </c>
      <c r="H385" s="32">
        <v>1.0549999999999999</v>
      </c>
      <c r="I385" s="32">
        <v>1.873</v>
      </c>
      <c r="J385" s="32">
        <v>2.177</v>
      </c>
      <c r="K385" s="32">
        <v>5.34</v>
      </c>
      <c r="L385" s="32">
        <v>5.33</v>
      </c>
      <c r="M385" s="32">
        <v>5.33</v>
      </c>
      <c r="N385" s="32">
        <v>5.33</v>
      </c>
      <c r="O385" s="32">
        <v>158.14100646972656</v>
      </c>
      <c r="P385" s="29">
        <v>1.0901559591293335</v>
      </c>
      <c r="Q385" s="29">
        <v>110.984375</v>
      </c>
      <c r="R385" s="32">
        <v>2.0790999999999999</v>
      </c>
      <c r="S385" s="32">
        <v>1.0125782141113273</v>
      </c>
    </row>
    <row r="386" spans="1:19">
      <c r="A386" s="10">
        <v>45489</v>
      </c>
      <c r="B386" s="32">
        <v>4.43</v>
      </c>
      <c r="C386" s="32">
        <v>4.09</v>
      </c>
      <c r="D386" s="32">
        <v>4.17</v>
      </c>
      <c r="E386" s="32">
        <v>4.4800000000000004</v>
      </c>
      <c r="F386" s="32">
        <v>4.38</v>
      </c>
      <c r="G386" s="32">
        <v>0.32</v>
      </c>
      <c r="H386" s="32">
        <v>1.032</v>
      </c>
      <c r="I386" s="32">
        <v>1.86</v>
      </c>
      <c r="J386" s="32">
        <v>2.1680000000000001</v>
      </c>
      <c r="K386" s="32">
        <v>5.35</v>
      </c>
      <c r="L386" s="32">
        <v>5.33</v>
      </c>
      <c r="M386" s="32">
        <v>5.33</v>
      </c>
      <c r="N386" s="32">
        <v>5.34</v>
      </c>
      <c r="O386" s="32">
        <v>158.35000610351563</v>
      </c>
      <c r="P386" s="29">
        <v>1.0902509689331055</v>
      </c>
      <c r="Q386" s="29">
        <v>111.328125</v>
      </c>
      <c r="R386" s="32">
        <v>2.0314999999999999</v>
      </c>
      <c r="S386" s="32">
        <v>1.0125782141113273</v>
      </c>
    </row>
    <row r="387" spans="1:19">
      <c r="A387" s="10">
        <v>45490</v>
      </c>
      <c r="B387" s="32">
        <v>4.42</v>
      </c>
      <c r="C387" s="32">
        <v>4.07</v>
      </c>
      <c r="D387" s="32">
        <v>4.16</v>
      </c>
      <c r="E387" s="32">
        <v>4.46</v>
      </c>
      <c r="F387" s="32">
        <v>4.37</v>
      </c>
      <c r="G387" s="32">
        <v>0.33</v>
      </c>
      <c r="H387" s="32">
        <v>1.042</v>
      </c>
      <c r="I387" s="32">
        <v>1.861</v>
      </c>
      <c r="J387" s="32">
        <v>2.173</v>
      </c>
      <c r="K387" s="32">
        <v>5.35</v>
      </c>
      <c r="L387" s="32">
        <v>5.33</v>
      </c>
      <c r="M387" s="32">
        <v>5.33</v>
      </c>
      <c r="N387" s="32">
        <v>5.33</v>
      </c>
      <c r="O387" s="32">
        <v>155.68600463867188</v>
      </c>
      <c r="P387" s="29">
        <v>1.0940201282501221</v>
      </c>
      <c r="Q387" s="29">
        <v>111.4375</v>
      </c>
      <c r="R387" s="32">
        <v>1.9987999999999999</v>
      </c>
      <c r="S387" s="32">
        <v>1.0002999999999993</v>
      </c>
    </row>
    <row r="388" spans="1:19">
      <c r="A388" s="10">
        <v>45491</v>
      </c>
      <c r="B388" s="32">
        <v>4.46</v>
      </c>
      <c r="C388" s="32">
        <v>4.1100000000000003</v>
      </c>
      <c r="D388" s="32">
        <v>4.2</v>
      </c>
      <c r="E388" s="32">
        <v>4.51</v>
      </c>
      <c r="F388" s="32">
        <v>4.41</v>
      </c>
      <c r="G388" s="32">
        <v>0.34699999999999998</v>
      </c>
      <c r="H388" s="32">
        <v>1.0469999999999999</v>
      </c>
      <c r="I388" s="32">
        <v>1.8520000000000001</v>
      </c>
      <c r="J388" s="32">
        <v>2.16</v>
      </c>
      <c r="K388" s="32">
        <v>5.34</v>
      </c>
      <c r="L388" s="32">
        <v>5.33</v>
      </c>
      <c r="M388" s="32">
        <v>5.32</v>
      </c>
      <c r="N388" s="32">
        <v>5.32</v>
      </c>
      <c r="O388" s="32">
        <v>157.14999389648438</v>
      </c>
      <c r="P388" s="29">
        <v>1.0901559591293335</v>
      </c>
      <c r="Q388" s="29">
        <v>111.21875</v>
      </c>
      <c r="R388" s="32">
        <v>1.984</v>
      </c>
      <c r="S388" s="32">
        <v>1.002053571777342</v>
      </c>
    </row>
    <row r="389" spans="1:19">
      <c r="A389" s="10">
        <v>45492</v>
      </c>
      <c r="B389" s="32">
        <v>4.49</v>
      </c>
      <c r="C389" s="32">
        <v>4.16</v>
      </c>
      <c r="D389" s="32">
        <v>4.25</v>
      </c>
      <c r="E389" s="32">
        <v>4.55</v>
      </c>
      <c r="F389" s="32">
        <v>4.45</v>
      </c>
      <c r="G389" s="32">
        <v>0.35199999999999998</v>
      </c>
      <c r="H389" s="32">
        <v>1.0529999999999999</v>
      </c>
      <c r="I389" s="32">
        <v>1.843</v>
      </c>
      <c r="J389" s="32">
        <v>2.1480000000000001</v>
      </c>
      <c r="K389" s="32">
        <v>5.34</v>
      </c>
      <c r="L389" s="32">
        <v>5.33</v>
      </c>
      <c r="M389" s="32">
        <v>5.32</v>
      </c>
      <c r="N389" s="32">
        <v>5.32</v>
      </c>
      <c r="O389" s="32">
        <v>157.14999389648438</v>
      </c>
      <c r="P389" s="29">
        <v>1.0901559591293335</v>
      </c>
      <c r="Q389" s="29">
        <v>110.828125</v>
      </c>
      <c r="R389" s="32">
        <v>1.9644999999999999</v>
      </c>
      <c r="S389" s="32">
        <v>0.99854642822265482</v>
      </c>
    </row>
    <row r="390" spans="1:19">
      <c r="A390" s="10">
        <v>45495</v>
      </c>
      <c r="B390" s="32">
        <v>4.5</v>
      </c>
      <c r="C390" s="32">
        <v>4.17</v>
      </c>
      <c r="D390" s="32">
        <v>4.26</v>
      </c>
      <c r="E390" s="32">
        <v>4.57</v>
      </c>
      <c r="F390" s="32">
        <v>4.4800000000000004</v>
      </c>
      <c r="G390" s="32">
        <v>0.34799999999999998</v>
      </c>
      <c r="H390" s="32">
        <v>1.0629999999999999</v>
      </c>
      <c r="I390" s="32">
        <v>1.865</v>
      </c>
      <c r="J390" s="32">
        <v>2.177</v>
      </c>
      <c r="K390" s="32">
        <v>5.33</v>
      </c>
      <c r="L390" s="32">
        <v>5.33</v>
      </c>
      <c r="M390" s="32">
        <v>5.32</v>
      </c>
      <c r="N390" s="32">
        <v>5.32</v>
      </c>
      <c r="O390" s="32">
        <v>156.89100646972656</v>
      </c>
      <c r="P390" s="29">
        <v>1.0889805555343628</v>
      </c>
      <c r="Q390" s="29">
        <v>110.71875</v>
      </c>
      <c r="R390" s="32">
        <v>1.9896</v>
      </c>
      <c r="S390" s="32">
        <v>1.0318717858886703</v>
      </c>
    </row>
    <row r="391" spans="1:19">
      <c r="A391" s="10">
        <v>45496</v>
      </c>
      <c r="B391" s="32">
        <v>4.4000000000000004</v>
      </c>
      <c r="C391" s="32">
        <v>4.1500000000000004</v>
      </c>
      <c r="D391" s="32">
        <v>4.25</v>
      </c>
      <c r="E391" s="32">
        <v>4.5599999999999996</v>
      </c>
      <c r="F391" s="32">
        <v>4.4800000000000004</v>
      </c>
      <c r="G391" s="32">
        <v>0.36199999999999999</v>
      </c>
      <c r="H391" s="32">
        <v>1.073</v>
      </c>
      <c r="I391" s="32">
        <v>1.865</v>
      </c>
      <c r="J391" s="32">
        <v>2.181</v>
      </c>
      <c r="K391" s="32">
        <v>5.34</v>
      </c>
      <c r="L391" s="32">
        <v>5.33</v>
      </c>
      <c r="M391" s="32">
        <v>5.32</v>
      </c>
      <c r="N391" s="32">
        <v>5.32</v>
      </c>
      <c r="O391" s="32">
        <v>155.76800537109375</v>
      </c>
      <c r="P391" s="29">
        <v>1.0850694179534912</v>
      </c>
      <c r="Q391" s="29">
        <v>110.875</v>
      </c>
      <c r="R391" s="32">
        <v>2.0053000000000001</v>
      </c>
      <c r="S391" s="32">
        <v>1.0423964282226557</v>
      </c>
    </row>
    <row r="392" spans="1:19">
      <c r="A392" s="10">
        <v>45497</v>
      </c>
      <c r="B392" s="32">
        <v>4.37</v>
      </c>
      <c r="C392" s="32">
        <v>4.12</v>
      </c>
      <c r="D392" s="32">
        <v>4.28</v>
      </c>
      <c r="E392" s="32">
        <v>4.62</v>
      </c>
      <c r="F392" s="32">
        <v>4.54</v>
      </c>
      <c r="G392" s="32">
        <v>0.379</v>
      </c>
      <c r="H392" s="32">
        <v>1.0840000000000001</v>
      </c>
      <c r="I392" s="32">
        <v>1.869</v>
      </c>
      <c r="J392" s="32">
        <v>2.1970000000000001</v>
      </c>
      <c r="K392" s="32">
        <v>5.34</v>
      </c>
      <c r="L392" s="32">
        <v>5.33</v>
      </c>
      <c r="M392" s="32">
        <v>5.33</v>
      </c>
      <c r="N392" s="32">
        <v>5.33</v>
      </c>
      <c r="O392" s="32">
        <v>153.89100646972656</v>
      </c>
      <c r="P392" s="29">
        <v>1.0839520692825317</v>
      </c>
      <c r="Q392" s="29">
        <v>110.671875</v>
      </c>
      <c r="R392" s="32">
        <v>2.0127000000000002</v>
      </c>
      <c r="S392" s="32">
        <v>1.0353799999999982</v>
      </c>
    </row>
    <row r="393" spans="1:19">
      <c r="A393" s="10">
        <v>45498</v>
      </c>
      <c r="B393" s="32">
        <v>4.41</v>
      </c>
      <c r="C393" s="32">
        <v>4.13</v>
      </c>
      <c r="D393" s="32">
        <v>4.2699999999999996</v>
      </c>
      <c r="E393" s="32">
        <v>4.59</v>
      </c>
      <c r="F393" s="32">
        <v>4.5</v>
      </c>
      <c r="G393" s="32">
        <v>0.40300000000000002</v>
      </c>
      <c r="H393" s="32">
        <v>1.0780000000000001</v>
      </c>
      <c r="I393" s="32">
        <v>1.847</v>
      </c>
      <c r="J393" s="32">
        <v>2.1680000000000001</v>
      </c>
      <c r="K393" s="32">
        <v>5.35</v>
      </c>
      <c r="L393" s="32">
        <v>5.33</v>
      </c>
      <c r="M393" s="32">
        <v>5.34</v>
      </c>
      <c r="N393" s="32">
        <v>5.34</v>
      </c>
      <c r="O393" s="32">
        <v>153.69700622558594</v>
      </c>
      <c r="P393" s="29">
        <v>1.0851283073425293</v>
      </c>
      <c r="Q393" s="29">
        <v>110.796875</v>
      </c>
      <c r="R393" s="32">
        <v>2.0318000000000001</v>
      </c>
      <c r="S393" s="32">
        <v>1.0687064282226544</v>
      </c>
    </row>
    <row r="394" spans="1:19">
      <c r="A394" s="10">
        <v>45499</v>
      </c>
      <c r="B394" s="32">
        <v>4.3600000000000003</v>
      </c>
      <c r="C394" s="32">
        <v>4.0599999999999996</v>
      </c>
      <c r="D394" s="32">
        <v>4.2</v>
      </c>
      <c r="E394" s="32">
        <v>4.53</v>
      </c>
      <c r="F394" s="32">
        <v>4.45</v>
      </c>
      <c r="G394" s="32">
        <v>0.40799999999999997</v>
      </c>
      <c r="H394" s="32">
        <v>1.0680000000000001</v>
      </c>
      <c r="I394" s="32">
        <v>1.835</v>
      </c>
      <c r="J394" s="32">
        <v>2.1539999999999999</v>
      </c>
      <c r="K394" s="32">
        <v>5.35</v>
      </c>
      <c r="L394" s="32">
        <v>5.33</v>
      </c>
      <c r="M394" s="32">
        <v>5.34</v>
      </c>
      <c r="N394" s="32">
        <v>5.34</v>
      </c>
      <c r="O394" s="32">
        <v>153.69700622558594</v>
      </c>
      <c r="P394" s="29">
        <v>1.0851283073425293</v>
      </c>
      <c r="Q394" s="29">
        <v>111.203125</v>
      </c>
      <c r="R394" s="32">
        <v>1.9512</v>
      </c>
      <c r="S394" s="32">
        <v>1.0459035717773428</v>
      </c>
    </row>
    <row r="395" spans="1:19">
      <c r="A395" s="10">
        <v>45502</v>
      </c>
      <c r="B395" s="32">
        <v>4.3600000000000003</v>
      </c>
      <c r="C395" s="32">
        <v>4.05</v>
      </c>
      <c r="D395" s="32">
        <v>4.17</v>
      </c>
      <c r="E395" s="32">
        <v>4.51</v>
      </c>
      <c r="F395" s="32">
        <v>4.42</v>
      </c>
      <c r="G395" s="32">
        <v>0.39400000000000002</v>
      </c>
      <c r="H395" s="32">
        <v>1.0409999999999999</v>
      </c>
      <c r="I395" s="32">
        <v>1.8140000000000001</v>
      </c>
      <c r="J395" s="32">
        <v>2.13</v>
      </c>
      <c r="K395" s="32">
        <v>5.33</v>
      </c>
      <c r="L395" s="32">
        <v>5.33</v>
      </c>
      <c r="M395" s="32">
        <v>5.33</v>
      </c>
      <c r="N395" s="32">
        <v>5.33</v>
      </c>
      <c r="O395" s="32">
        <v>153.83299255371094</v>
      </c>
      <c r="P395" s="29">
        <v>1.0819466114044189</v>
      </c>
      <c r="Q395" s="29">
        <v>111.34375</v>
      </c>
      <c r="R395" s="32">
        <v>1.9200999999999999</v>
      </c>
      <c r="S395" s="32">
        <v>0.97574357177734328</v>
      </c>
    </row>
    <row r="396" spans="1:19">
      <c r="A396" s="10">
        <v>45503</v>
      </c>
      <c r="B396" s="32">
        <v>4.3499999999999996</v>
      </c>
      <c r="C396" s="32">
        <v>4.03</v>
      </c>
      <c r="D396" s="32">
        <v>4.1500000000000004</v>
      </c>
      <c r="E396" s="32">
        <v>4.5</v>
      </c>
      <c r="F396" s="32">
        <v>4.4000000000000004</v>
      </c>
      <c r="G396" s="32">
        <v>0.374</v>
      </c>
      <c r="H396" s="32">
        <v>1.012</v>
      </c>
      <c r="I396" s="32">
        <v>1.8009999999999999</v>
      </c>
      <c r="J396" s="32">
        <v>2.1309999999999998</v>
      </c>
      <c r="K396" s="32">
        <v>5.33</v>
      </c>
      <c r="L396" s="32">
        <v>5.33</v>
      </c>
      <c r="M396" s="32">
        <v>5.32</v>
      </c>
      <c r="N396" s="32">
        <v>5.32</v>
      </c>
      <c r="O396" s="32">
        <v>152.66999816894531</v>
      </c>
      <c r="P396" s="29">
        <v>1.0816072225570679</v>
      </c>
      <c r="Q396" s="29">
        <v>111.5625</v>
      </c>
      <c r="R396" s="32">
        <v>1.9144000000000001</v>
      </c>
      <c r="S396" s="32">
        <v>0.94943357177734278</v>
      </c>
    </row>
    <row r="397" spans="1:19">
      <c r="A397" s="10">
        <v>45504</v>
      </c>
      <c r="B397" s="32">
        <v>4.29</v>
      </c>
      <c r="C397" s="32">
        <v>3.97</v>
      </c>
      <c r="D397" s="32">
        <v>4.09</v>
      </c>
      <c r="E397" s="32">
        <v>4.4400000000000004</v>
      </c>
      <c r="F397" s="32">
        <v>4.3499999999999996</v>
      </c>
      <c r="G397" s="32">
        <v>0.45</v>
      </c>
      <c r="H397" s="32">
        <v>1.07</v>
      </c>
      <c r="I397" s="32">
        <v>1.8440000000000001</v>
      </c>
      <c r="J397" s="32">
        <v>2.1760000000000002</v>
      </c>
      <c r="K397" s="32">
        <v>5.38</v>
      </c>
      <c r="L397" s="32">
        <v>5.33</v>
      </c>
      <c r="M397" s="32">
        <v>5.34</v>
      </c>
      <c r="N397" s="32">
        <v>5.34</v>
      </c>
      <c r="O397" s="32">
        <v>149.74400329589844</v>
      </c>
      <c r="P397" s="29">
        <v>1.082391619682312</v>
      </c>
      <c r="Q397" s="29">
        <v>111.8125</v>
      </c>
      <c r="R397" s="32">
        <v>1.8940999999999999</v>
      </c>
      <c r="S397" s="32">
        <v>1.0529199999999985</v>
      </c>
    </row>
    <row r="398" spans="1:19">
      <c r="A398" s="10">
        <v>45505</v>
      </c>
      <c r="B398" s="32">
        <v>4.16</v>
      </c>
      <c r="C398" s="32">
        <v>3.84</v>
      </c>
      <c r="D398" s="32">
        <v>3.99</v>
      </c>
      <c r="E398" s="32">
        <v>4.3499999999999996</v>
      </c>
      <c r="F398" s="32">
        <v>4.2699999999999996</v>
      </c>
      <c r="G398" s="32">
        <v>0.46</v>
      </c>
      <c r="H398" s="32">
        <v>1.046</v>
      </c>
      <c r="I398" s="32">
        <v>1.8089999999999999</v>
      </c>
      <c r="J398" s="32">
        <v>2.1520000000000001</v>
      </c>
      <c r="K398" s="32">
        <v>5.35</v>
      </c>
      <c r="L398" s="32">
        <v>5.33</v>
      </c>
      <c r="M398" s="32">
        <v>5.34</v>
      </c>
      <c r="N398" s="32">
        <v>5.34</v>
      </c>
      <c r="O398" s="32">
        <v>149.20100402832031</v>
      </c>
      <c r="P398" s="29">
        <v>1.0787602663040161</v>
      </c>
      <c r="Q398" s="29">
        <v>112.734375</v>
      </c>
      <c r="R398" s="32">
        <v>1.8338000000000001</v>
      </c>
      <c r="S398" s="32">
        <v>1.01433178588867</v>
      </c>
    </row>
    <row r="399" spans="1:19">
      <c r="A399" s="10">
        <v>45506</v>
      </c>
      <c r="B399" s="32">
        <v>3.88</v>
      </c>
      <c r="C399" s="32">
        <v>3.62</v>
      </c>
      <c r="D399" s="32">
        <v>3.8</v>
      </c>
      <c r="E399" s="32">
        <v>4.1900000000000004</v>
      </c>
      <c r="F399" s="32">
        <v>4.1100000000000003</v>
      </c>
      <c r="G399" s="32">
        <v>0.41</v>
      </c>
      <c r="H399" s="32">
        <v>0.97399999999999998</v>
      </c>
      <c r="I399" s="32">
        <v>1.746</v>
      </c>
      <c r="J399" s="32">
        <v>2.0979999999999999</v>
      </c>
      <c r="K399" s="32">
        <v>5.35</v>
      </c>
      <c r="L399" s="32">
        <v>5.33</v>
      </c>
      <c r="M399" s="32">
        <v>5.33</v>
      </c>
      <c r="N399" s="32">
        <v>5.33</v>
      </c>
      <c r="O399" s="32">
        <v>149.20100402832031</v>
      </c>
      <c r="P399" s="29">
        <v>1.0787602663040161</v>
      </c>
      <c r="Q399" s="29">
        <v>114.140625</v>
      </c>
      <c r="R399" s="32">
        <v>1.7716000000000001</v>
      </c>
      <c r="S399" s="32">
        <v>0.95995821411132631</v>
      </c>
    </row>
    <row r="400" spans="1:19">
      <c r="A400" s="10">
        <v>45509</v>
      </c>
      <c r="B400" s="32">
        <v>3.89</v>
      </c>
      <c r="C400" s="32">
        <v>3.62</v>
      </c>
      <c r="D400" s="32">
        <v>3.78</v>
      </c>
      <c r="E400" s="32">
        <v>4.16</v>
      </c>
      <c r="F400" s="32">
        <v>4.0599999999999996</v>
      </c>
      <c r="G400" s="32">
        <v>0.26500000000000001</v>
      </c>
      <c r="H400" s="32">
        <v>0.78100000000000003</v>
      </c>
      <c r="I400" s="32">
        <v>1.5760000000000001</v>
      </c>
      <c r="J400" s="32">
        <v>1.956</v>
      </c>
      <c r="K400" s="32">
        <v>5.32</v>
      </c>
      <c r="L400" s="32">
        <v>5.33</v>
      </c>
      <c r="M400" s="32">
        <v>5.32</v>
      </c>
      <c r="N400" s="32">
        <v>5.32</v>
      </c>
      <c r="O400" s="32">
        <v>145.78999328613281</v>
      </c>
      <c r="P400" s="29">
        <v>1.0950982570648193</v>
      </c>
      <c r="Q400" s="29">
        <v>114.078125</v>
      </c>
      <c r="R400" s="32">
        <v>1.575</v>
      </c>
      <c r="S400" s="32">
        <v>0.72141357177734378</v>
      </c>
    </row>
    <row r="401" spans="1:19">
      <c r="A401" s="10">
        <v>45510</v>
      </c>
      <c r="B401" s="32">
        <v>3.99</v>
      </c>
      <c r="C401" s="32">
        <v>3.73</v>
      </c>
      <c r="D401" s="32">
        <v>3.9</v>
      </c>
      <c r="E401" s="32">
        <v>4.28</v>
      </c>
      <c r="F401" s="32">
        <v>4.18</v>
      </c>
      <c r="G401" s="32">
        <v>0.28999999999999998</v>
      </c>
      <c r="H401" s="32">
        <v>0.90800000000000003</v>
      </c>
      <c r="I401" s="32">
        <v>1.734</v>
      </c>
      <c r="J401" s="32">
        <v>2.1179999999999999</v>
      </c>
      <c r="K401" s="32">
        <v>5.33</v>
      </c>
      <c r="L401" s="32">
        <v>5.33</v>
      </c>
      <c r="M401" s="32">
        <v>5.32</v>
      </c>
      <c r="N401" s="32">
        <v>5.32</v>
      </c>
      <c r="O401" s="32">
        <v>144.73199462890625</v>
      </c>
      <c r="P401" s="29">
        <v>1.0926215648651123</v>
      </c>
      <c r="Q401" s="29">
        <v>113.390625</v>
      </c>
      <c r="R401" s="32">
        <v>1.5038</v>
      </c>
      <c r="S401" s="32">
        <v>0.88453642822265444</v>
      </c>
    </row>
    <row r="402" spans="1:19">
      <c r="A402" s="10">
        <v>45511</v>
      </c>
      <c r="B402" s="32">
        <v>4</v>
      </c>
      <c r="C402" s="32">
        <v>3.79</v>
      </c>
      <c r="D402" s="32">
        <v>3.96</v>
      </c>
      <c r="E402" s="32">
        <v>4.3499999999999996</v>
      </c>
      <c r="F402" s="32">
        <v>4.26</v>
      </c>
      <c r="G402" s="32">
        <v>0.27</v>
      </c>
      <c r="H402" s="32">
        <v>0.89900000000000002</v>
      </c>
      <c r="I402" s="32">
        <v>1.766</v>
      </c>
      <c r="J402" s="32">
        <v>2.1890000000000001</v>
      </c>
      <c r="K402" s="32">
        <v>5.33</v>
      </c>
      <c r="L402" s="32">
        <v>5.33</v>
      </c>
      <c r="M402" s="32">
        <v>5.32</v>
      </c>
      <c r="N402" s="32">
        <v>5.32</v>
      </c>
      <c r="O402" s="32">
        <v>146.12399291992188</v>
      </c>
      <c r="P402" s="29">
        <v>1.0928125381469727</v>
      </c>
      <c r="Q402" s="29">
        <v>112.890625</v>
      </c>
      <c r="R402" s="32">
        <v>1.4670000000000001</v>
      </c>
      <c r="S402" s="32">
        <v>0.82665357177734222</v>
      </c>
    </row>
    <row r="403" spans="1:19">
      <c r="A403" s="10">
        <v>45512</v>
      </c>
      <c r="B403" s="32">
        <v>4.04</v>
      </c>
      <c r="C403" s="32">
        <v>3.83</v>
      </c>
      <c r="D403" s="32">
        <v>3.99</v>
      </c>
      <c r="E403" s="32">
        <v>4.38</v>
      </c>
      <c r="F403" s="32">
        <v>4.28</v>
      </c>
      <c r="G403" s="32">
        <v>0.26900000000000002</v>
      </c>
      <c r="H403" s="32">
        <v>0.85499999999999998</v>
      </c>
      <c r="I403" s="32">
        <v>1.704</v>
      </c>
      <c r="J403" s="32">
        <v>2.1070000000000002</v>
      </c>
      <c r="K403" s="32">
        <v>5.34</v>
      </c>
      <c r="L403" s="32">
        <v>5.33</v>
      </c>
      <c r="M403" s="32">
        <v>5.33</v>
      </c>
      <c r="N403" s="32">
        <v>5.33</v>
      </c>
      <c r="O403" s="32">
        <v>147.66900634765625</v>
      </c>
      <c r="P403" s="29">
        <v>1.0915720462799072</v>
      </c>
      <c r="Q403" s="29">
        <v>112.65625</v>
      </c>
      <c r="R403" s="32">
        <v>1.5556000000000001</v>
      </c>
      <c r="S403" s="32">
        <v>0.79157357177734156</v>
      </c>
    </row>
    <row r="404" spans="1:19">
      <c r="A404" s="10">
        <v>45513</v>
      </c>
      <c r="B404" s="32">
        <v>4.05</v>
      </c>
      <c r="C404" s="32">
        <v>3.8</v>
      </c>
      <c r="D404" s="32">
        <v>3.94</v>
      </c>
      <c r="E404" s="32">
        <v>4.33</v>
      </c>
      <c r="F404" s="32">
        <v>4.2300000000000004</v>
      </c>
      <c r="G404" s="32">
        <v>0.30099999999999999</v>
      </c>
      <c r="H404" s="32">
        <v>0.88100000000000001</v>
      </c>
      <c r="I404" s="32">
        <v>1.722</v>
      </c>
      <c r="J404" s="32">
        <v>2.081</v>
      </c>
      <c r="K404" s="32">
        <v>5.34</v>
      </c>
      <c r="L404" s="32">
        <v>5.33</v>
      </c>
      <c r="M404" s="32">
        <v>5.33</v>
      </c>
      <c r="N404" s="32">
        <v>5.33</v>
      </c>
      <c r="O404" s="32">
        <v>147.66900634765625</v>
      </c>
      <c r="P404" s="29">
        <v>1.0915720462799072</v>
      </c>
      <c r="Q404" s="29">
        <v>112.953125</v>
      </c>
      <c r="R404" s="32">
        <v>1.5874999999999999</v>
      </c>
      <c r="S404" s="32">
        <v>0.8003435717773435</v>
      </c>
    </row>
    <row r="405" spans="1:19">
      <c r="A405" s="10">
        <v>45516</v>
      </c>
      <c r="B405" s="32">
        <v>4.01</v>
      </c>
      <c r="C405" s="32">
        <v>3.75</v>
      </c>
      <c r="D405" s="32">
        <v>3.9</v>
      </c>
      <c r="E405" s="32">
        <v>4.3</v>
      </c>
      <c r="F405" s="32">
        <v>4.1900000000000004</v>
      </c>
      <c r="G405" s="32">
        <v>0.30099999999999999</v>
      </c>
      <c r="H405" s="32">
        <v>0.88100000000000001</v>
      </c>
      <c r="I405" s="32">
        <v>1.722</v>
      </c>
      <c r="J405" s="32">
        <v>2.081</v>
      </c>
      <c r="K405" s="32">
        <v>5.34</v>
      </c>
      <c r="L405" s="32">
        <v>5.33</v>
      </c>
      <c r="M405" s="32">
        <v>5.33</v>
      </c>
      <c r="N405" s="32">
        <v>5.33</v>
      </c>
      <c r="O405" s="32">
        <v>146.98199462890625</v>
      </c>
      <c r="P405" s="29">
        <v>1.0936251878738403</v>
      </c>
      <c r="Q405" s="29">
        <v>113.234375</v>
      </c>
      <c r="R405" s="32">
        <v>1.5782</v>
      </c>
      <c r="S405" s="32">
        <v>0.8003435717773435</v>
      </c>
    </row>
    <row r="406" spans="1:19">
      <c r="A406" s="10">
        <v>45517</v>
      </c>
      <c r="B406" s="32">
        <v>3.93</v>
      </c>
      <c r="C406" s="32">
        <v>3.68</v>
      </c>
      <c r="D406" s="32">
        <v>3.85</v>
      </c>
      <c r="E406" s="32">
        <v>4.25</v>
      </c>
      <c r="F406" s="32">
        <v>4.16</v>
      </c>
      <c r="G406" s="32">
        <v>0.3</v>
      </c>
      <c r="H406" s="32">
        <v>0.86899999999999999</v>
      </c>
      <c r="I406" s="32">
        <v>1.714</v>
      </c>
      <c r="J406" s="32">
        <v>2.081</v>
      </c>
      <c r="K406" s="32">
        <v>5.34</v>
      </c>
      <c r="L406" s="32">
        <v>5.33</v>
      </c>
      <c r="M406" s="32">
        <v>5.34</v>
      </c>
      <c r="N406" s="32">
        <v>5.34</v>
      </c>
      <c r="O406" s="32">
        <v>146.97099304199219</v>
      </c>
      <c r="P406" s="29">
        <v>1.0996986627578735</v>
      </c>
      <c r="Q406" s="29">
        <v>113.625</v>
      </c>
      <c r="R406" s="32">
        <v>1.5597000000000001</v>
      </c>
      <c r="S406" s="32">
        <v>0.85822642822265394</v>
      </c>
    </row>
    <row r="407" spans="1:19">
      <c r="A407" s="10">
        <v>45518</v>
      </c>
      <c r="B407" s="32">
        <v>3.94</v>
      </c>
      <c r="C407" s="32">
        <v>3.67</v>
      </c>
      <c r="D407" s="32">
        <v>3.83</v>
      </c>
      <c r="E407" s="32">
        <v>4.22</v>
      </c>
      <c r="F407" s="32">
        <v>4.12</v>
      </c>
      <c r="G407" s="32">
        <v>0.29599999999999999</v>
      </c>
      <c r="H407" s="32">
        <v>0.83299999999999996</v>
      </c>
      <c r="I407" s="32">
        <v>1.6739999999999999</v>
      </c>
      <c r="J407" s="32">
        <v>2.0510000000000002</v>
      </c>
      <c r="K407" s="32">
        <v>5.33</v>
      </c>
      <c r="L407" s="32">
        <v>5.33</v>
      </c>
      <c r="M407" s="32">
        <v>5.32</v>
      </c>
      <c r="N407" s="32">
        <v>5.32</v>
      </c>
      <c r="O407" s="32">
        <v>147.25300598144531</v>
      </c>
      <c r="P407" s="29">
        <v>1.1013215780258179</v>
      </c>
      <c r="Q407" s="29">
        <v>113.765625</v>
      </c>
      <c r="R407" s="32">
        <v>1.5306999999999999</v>
      </c>
      <c r="S407" s="32">
        <v>0.74947821411132765</v>
      </c>
    </row>
    <row r="408" spans="1:19">
      <c r="A408" s="10">
        <v>45519</v>
      </c>
      <c r="B408" s="32">
        <v>4.08</v>
      </c>
      <c r="C408" s="32">
        <v>3.79</v>
      </c>
      <c r="D408" s="32">
        <v>3.92</v>
      </c>
      <c r="E408" s="32">
        <v>4.28</v>
      </c>
      <c r="F408" s="32">
        <v>4.18</v>
      </c>
      <c r="G408" s="32">
        <v>0.32100000000000001</v>
      </c>
      <c r="H408" s="32">
        <v>0.86099999999999999</v>
      </c>
      <c r="I408" s="32">
        <v>1.6839999999999999</v>
      </c>
      <c r="J408" s="32">
        <v>2.0510000000000002</v>
      </c>
      <c r="K408" s="32">
        <v>5.35</v>
      </c>
      <c r="L408" s="32">
        <v>5.33</v>
      </c>
      <c r="M408" s="32">
        <v>5.32</v>
      </c>
      <c r="N408" s="32">
        <v>5.32</v>
      </c>
      <c r="O408" s="32">
        <v>149.22200012207031</v>
      </c>
      <c r="P408" s="29">
        <v>1.0972732305526733</v>
      </c>
      <c r="Q408" s="29">
        <v>112.953125</v>
      </c>
      <c r="R408" s="32">
        <v>1.4534</v>
      </c>
      <c r="S408" s="32">
        <v>0.7933282141113267</v>
      </c>
    </row>
    <row r="409" spans="1:19">
      <c r="A409" s="10">
        <v>45520</v>
      </c>
      <c r="B409" s="32">
        <v>4.0599999999999996</v>
      </c>
      <c r="C409" s="32">
        <v>3.77</v>
      </c>
      <c r="D409" s="32">
        <v>3.89</v>
      </c>
      <c r="E409" s="32">
        <v>4.26</v>
      </c>
      <c r="F409" s="32">
        <v>4.1500000000000004</v>
      </c>
      <c r="G409" s="32">
        <v>0.35699999999999998</v>
      </c>
      <c r="H409" s="32">
        <v>0.89800000000000002</v>
      </c>
      <c r="I409" s="32">
        <v>1.7190000000000001</v>
      </c>
      <c r="J409" s="32">
        <v>2.0680000000000001</v>
      </c>
      <c r="K409" s="32">
        <v>5.32</v>
      </c>
      <c r="L409" s="32">
        <v>5.33</v>
      </c>
      <c r="M409" s="32">
        <v>5.31</v>
      </c>
      <c r="N409" s="32">
        <v>5.32</v>
      </c>
      <c r="O409" s="32">
        <v>149.22200012207031</v>
      </c>
      <c r="P409" s="29">
        <v>1.0972732305526733</v>
      </c>
      <c r="Q409" s="29">
        <v>113.109375</v>
      </c>
      <c r="R409" s="32">
        <v>1.6066</v>
      </c>
      <c r="S409" s="32">
        <v>0.82665357177734222</v>
      </c>
    </row>
    <row r="410" spans="1:19">
      <c r="A410" s="10">
        <v>45523</v>
      </c>
      <c r="B410" s="32">
        <v>4.0599999999999996</v>
      </c>
      <c r="C410" s="32">
        <v>3.75</v>
      </c>
      <c r="D410" s="32">
        <v>3.86</v>
      </c>
      <c r="E410" s="32">
        <v>4.2300000000000004</v>
      </c>
      <c r="F410" s="32">
        <v>4.1100000000000003</v>
      </c>
      <c r="G410" s="32">
        <v>0.374</v>
      </c>
      <c r="H410" s="32">
        <v>0.91400000000000003</v>
      </c>
      <c r="I410" s="32">
        <v>1.75</v>
      </c>
      <c r="J410" s="32">
        <v>2.093</v>
      </c>
      <c r="K410" s="32">
        <v>5.32</v>
      </c>
      <c r="L410" s="32">
        <v>5.33</v>
      </c>
      <c r="M410" s="32">
        <v>5.31</v>
      </c>
      <c r="N410" s="32">
        <v>5.31</v>
      </c>
      <c r="O410" s="32">
        <v>146.69900512695313</v>
      </c>
      <c r="P410" s="29">
        <v>1.1086474657058716</v>
      </c>
      <c r="Q410" s="29">
        <v>113.21875</v>
      </c>
      <c r="R410" s="32">
        <v>1.6298999999999999</v>
      </c>
      <c r="S410" s="32">
        <v>0.82139178588867168</v>
      </c>
    </row>
    <row r="411" spans="1:19">
      <c r="A411" s="10">
        <v>45524</v>
      </c>
      <c r="B411" s="32">
        <v>3.99</v>
      </c>
      <c r="C411" s="32">
        <v>3.7</v>
      </c>
      <c r="D411" s="32">
        <v>3.82</v>
      </c>
      <c r="E411" s="32">
        <v>4.1900000000000004</v>
      </c>
      <c r="F411" s="32">
        <v>4.07</v>
      </c>
      <c r="G411" s="32">
        <v>0.36299999999999999</v>
      </c>
      <c r="H411" s="32">
        <v>0.91600000000000004</v>
      </c>
      <c r="I411" s="32">
        <v>1.76</v>
      </c>
      <c r="J411" s="32">
        <v>2.1179999999999999</v>
      </c>
      <c r="K411" s="32">
        <v>5.32</v>
      </c>
      <c r="L411" s="32">
        <v>5.33</v>
      </c>
      <c r="M411" s="32">
        <v>5.31</v>
      </c>
      <c r="N411" s="32">
        <v>5.31</v>
      </c>
      <c r="O411" s="32">
        <v>145.34700012207031</v>
      </c>
      <c r="P411" s="29">
        <v>1.1127927303314209</v>
      </c>
      <c r="Q411" s="29">
        <v>113.5625</v>
      </c>
      <c r="R411" s="32">
        <v>1.6189</v>
      </c>
      <c r="S411" s="32">
        <v>0.81963821411132542</v>
      </c>
    </row>
    <row r="412" spans="1:19">
      <c r="A412" s="10">
        <v>45525</v>
      </c>
      <c r="B412" s="32">
        <v>3.92</v>
      </c>
      <c r="C412" s="32">
        <v>3.64</v>
      </c>
      <c r="D412" s="32">
        <v>3.79</v>
      </c>
      <c r="E412" s="32">
        <v>4.1500000000000004</v>
      </c>
      <c r="F412" s="32">
        <v>4.0599999999999996</v>
      </c>
      <c r="G412" s="32">
        <v>0.35199999999999998</v>
      </c>
      <c r="H412" s="32">
        <v>0.89600000000000002</v>
      </c>
      <c r="I412" s="32">
        <v>1.7330000000000001</v>
      </c>
      <c r="J412" s="32">
        <v>2.1019999999999999</v>
      </c>
      <c r="K412" s="32">
        <v>5.31</v>
      </c>
      <c r="L412" s="32">
        <v>5.33</v>
      </c>
      <c r="M412" s="32">
        <v>5.3</v>
      </c>
      <c r="N412" s="32">
        <v>5.3</v>
      </c>
      <c r="O412" s="32">
        <v>145.11799621582031</v>
      </c>
      <c r="P412" s="29">
        <v>1.115536093711853</v>
      </c>
      <c r="Q412" s="29">
        <v>113.890625</v>
      </c>
      <c r="R412" s="32">
        <v>1.5559000000000001</v>
      </c>
      <c r="S412" s="32">
        <v>0.81437642822265488</v>
      </c>
    </row>
    <row r="413" spans="1:19">
      <c r="A413" s="10">
        <v>45526</v>
      </c>
      <c r="B413" s="32">
        <v>3.99</v>
      </c>
      <c r="C413" s="32">
        <v>3.72</v>
      </c>
      <c r="D413" s="32">
        <v>3.86</v>
      </c>
      <c r="E413" s="32">
        <v>4.21</v>
      </c>
      <c r="F413" s="32">
        <v>4.13</v>
      </c>
      <c r="G413" s="32">
        <v>0.36299999999999999</v>
      </c>
      <c r="H413" s="32">
        <v>0.9</v>
      </c>
      <c r="I413" s="32">
        <v>1.72</v>
      </c>
      <c r="J413" s="32">
        <v>2.0859999999999999</v>
      </c>
      <c r="K413" s="32">
        <v>5.31</v>
      </c>
      <c r="L413" s="32">
        <v>5.33</v>
      </c>
      <c r="M413" s="32">
        <v>5.31</v>
      </c>
      <c r="N413" s="32">
        <v>5.31</v>
      </c>
      <c r="O413" s="32">
        <v>146.20199584960938</v>
      </c>
      <c r="P413" s="29">
        <v>1.1117163896560669</v>
      </c>
      <c r="Q413" s="29">
        <v>113.296875</v>
      </c>
      <c r="R413" s="32">
        <v>1.5555000000000001</v>
      </c>
      <c r="S413" s="32">
        <v>0.87050357177734128</v>
      </c>
    </row>
    <row r="414" spans="1:19">
      <c r="A414" s="10">
        <v>45527</v>
      </c>
      <c r="B414" s="32">
        <v>3.9</v>
      </c>
      <c r="C414" s="32">
        <v>3.65</v>
      </c>
      <c r="D414" s="32">
        <v>3.81</v>
      </c>
      <c r="E414" s="32">
        <v>4.18</v>
      </c>
      <c r="F414" s="32">
        <v>4.0999999999999996</v>
      </c>
      <c r="G414" s="32">
        <v>0.372</v>
      </c>
      <c r="H414" s="32">
        <v>0.91900000000000004</v>
      </c>
      <c r="I414" s="32">
        <v>1.7330000000000001</v>
      </c>
      <c r="J414" s="32">
        <v>2.0859999999999999</v>
      </c>
      <c r="K414" s="32">
        <v>5.33</v>
      </c>
      <c r="L414" s="32">
        <v>5.33</v>
      </c>
      <c r="M414" s="32">
        <v>5.32</v>
      </c>
      <c r="N414" s="32">
        <v>5.32</v>
      </c>
      <c r="O414" s="32">
        <v>146.20199584960938</v>
      </c>
      <c r="P414" s="29">
        <v>1.1117163896560669</v>
      </c>
      <c r="Q414" s="29">
        <v>113.703125</v>
      </c>
      <c r="R414" s="32">
        <v>1.6476</v>
      </c>
      <c r="S414" s="32">
        <v>0.82665357177734222</v>
      </c>
    </row>
    <row r="415" spans="1:19">
      <c r="A415" s="10">
        <v>45530</v>
      </c>
      <c r="B415" s="32">
        <v>3.91</v>
      </c>
      <c r="C415" s="32">
        <v>3.66</v>
      </c>
      <c r="D415" s="32">
        <v>3.82</v>
      </c>
      <c r="E415" s="32">
        <v>4.1900000000000004</v>
      </c>
      <c r="F415" s="32">
        <v>4.1100000000000003</v>
      </c>
      <c r="G415" s="32">
        <v>0.36399999999999999</v>
      </c>
      <c r="H415" s="32">
        <v>0.91</v>
      </c>
      <c r="I415" s="32">
        <v>1.726</v>
      </c>
      <c r="J415" s="32">
        <v>2.093</v>
      </c>
      <c r="K415" s="32">
        <v>5.34</v>
      </c>
      <c r="L415" s="32">
        <v>5.33</v>
      </c>
      <c r="M415" s="32">
        <v>5.32</v>
      </c>
      <c r="N415" s="32">
        <v>5.32</v>
      </c>
      <c r="O415" s="32">
        <v>144.51600646972656</v>
      </c>
      <c r="P415" s="29">
        <v>1.1164700984954834</v>
      </c>
      <c r="Q415" s="29">
        <v>113.59375</v>
      </c>
      <c r="R415" s="32">
        <v>1.6493</v>
      </c>
      <c r="S415" s="32">
        <v>0.82489999999999952</v>
      </c>
    </row>
    <row r="416" spans="1:19">
      <c r="A416" s="10">
        <v>45531</v>
      </c>
      <c r="B416" s="32">
        <v>3.83</v>
      </c>
      <c r="C416" s="32">
        <v>3.66</v>
      </c>
      <c r="D416" s="32">
        <v>3.83</v>
      </c>
      <c r="E416" s="32">
        <v>4.21</v>
      </c>
      <c r="F416" s="32">
        <v>4.13</v>
      </c>
      <c r="G416" s="32">
        <v>0.36699999999999999</v>
      </c>
      <c r="H416" s="32">
        <v>0.90600000000000003</v>
      </c>
      <c r="I416" s="32">
        <v>1.716</v>
      </c>
      <c r="J416" s="32">
        <v>2.077</v>
      </c>
      <c r="K416" s="32">
        <v>5.35</v>
      </c>
      <c r="L416" s="32">
        <v>5.33</v>
      </c>
      <c r="M416" s="32">
        <v>5.34</v>
      </c>
      <c r="N416" s="32">
        <v>5.34</v>
      </c>
      <c r="O416" s="32">
        <v>143.97500610351563</v>
      </c>
      <c r="P416" s="29">
        <v>1.117793083190918</v>
      </c>
      <c r="Q416" s="29">
        <v>113.515625</v>
      </c>
      <c r="R416" s="32">
        <v>1.6493</v>
      </c>
      <c r="S416" s="32">
        <v>0.81086821411132703</v>
      </c>
    </row>
    <row r="417" spans="1:19">
      <c r="A417" s="10">
        <v>45532</v>
      </c>
      <c r="B417" s="32">
        <v>3.83</v>
      </c>
      <c r="C417" s="32">
        <v>3.63</v>
      </c>
      <c r="D417" s="32">
        <v>3.84</v>
      </c>
      <c r="E417" s="32">
        <v>4.22</v>
      </c>
      <c r="F417" s="32">
        <v>4.13</v>
      </c>
      <c r="G417" s="32">
        <v>0.38</v>
      </c>
      <c r="H417" s="32">
        <v>0.92100000000000004</v>
      </c>
      <c r="I417" s="32">
        <v>1.718</v>
      </c>
      <c r="J417" s="32">
        <v>2.073</v>
      </c>
      <c r="K417" s="32">
        <v>5.35</v>
      </c>
      <c r="L417" s="32">
        <v>5.33</v>
      </c>
      <c r="M417" s="32">
        <v>5.34</v>
      </c>
      <c r="N417" s="32">
        <v>5.34</v>
      </c>
      <c r="O417" s="32">
        <v>144.43299865722656</v>
      </c>
      <c r="P417" s="29">
        <v>1.1124955415725708</v>
      </c>
      <c r="Q417" s="29">
        <v>113.53125</v>
      </c>
      <c r="R417" s="32">
        <v>1.7726</v>
      </c>
      <c r="S417" s="32">
        <v>0.83893178588867201</v>
      </c>
    </row>
    <row r="418" spans="1:19">
      <c r="A418" s="10">
        <v>45533</v>
      </c>
      <c r="B418" s="32">
        <v>3.87</v>
      </c>
      <c r="C418" s="32">
        <v>3.66</v>
      </c>
      <c r="D418" s="32">
        <v>3.87</v>
      </c>
      <c r="E418" s="32">
        <v>4.24</v>
      </c>
      <c r="F418" s="32">
        <v>4.1500000000000004</v>
      </c>
      <c r="G418" s="32">
        <v>0.36799999999999999</v>
      </c>
      <c r="H418" s="32">
        <v>0.91700000000000004</v>
      </c>
      <c r="I418" s="32">
        <v>1.738</v>
      </c>
      <c r="J418" s="32">
        <v>2.097</v>
      </c>
      <c r="K418" s="32">
        <v>5.33</v>
      </c>
      <c r="L418" s="32">
        <v>5.33</v>
      </c>
      <c r="M418" s="32">
        <v>5.32</v>
      </c>
      <c r="N418" s="32">
        <v>5.32</v>
      </c>
      <c r="O418" s="32">
        <v>144.88999938964844</v>
      </c>
      <c r="P418" s="29">
        <v>1.1080454587936401</v>
      </c>
      <c r="Q418" s="29">
        <v>113.3125</v>
      </c>
      <c r="R418" s="32">
        <v>1.7636000000000001</v>
      </c>
      <c r="S418" s="32">
        <v>0.85471821411132609</v>
      </c>
    </row>
    <row r="419" spans="1:19">
      <c r="A419" s="10">
        <v>45534</v>
      </c>
      <c r="B419" s="32">
        <v>3.91</v>
      </c>
      <c r="C419" s="32">
        <v>3.71</v>
      </c>
      <c r="D419" s="32">
        <v>3.91</v>
      </c>
      <c r="E419" s="32">
        <v>4.28</v>
      </c>
      <c r="F419" s="32">
        <v>4.2</v>
      </c>
      <c r="G419" s="32">
        <v>0.36299999999999999</v>
      </c>
      <c r="H419" s="32">
        <v>0.92200000000000004</v>
      </c>
      <c r="I419" s="32">
        <v>1.742</v>
      </c>
      <c r="J419" s="32">
        <v>2.1110000000000002</v>
      </c>
      <c r="K419" s="32">
        <v>5.32</v>
      </c>
      <c r="L419" s="32">
        <v>5.33</v>
      </c>
      <c r="M419" s="32">
        <v>5.32</v>
      </c>
      <c r="N419" s="32">
        <v>5.32</v>
      </c>
      <c r="O419" s="32">
        <v>144.88999938964844</v>
      </c>
      <c r="P419" s="29">
        <v>1.1080454587936401</v>
      </c>
      <c r="Q419" s="29">
        <v>113.046875</v>
      </c>
      <c r="R419" s="32">
        <v>1.8008</v>
      </c>
      <c r="S419" s="32">
        <v>0.85647178588867234</v>
      </c>
    </row>
    <row r="420" spans="1:19">
      <c r="A420" s="10">
        <v>45538</v>
      </c>
      <c r="B420" s="32">
        <v>3.88</v>
      </c>
      <c r="C420" s="32">
        <v>3.65</v>
      </c>
      <c r="D420" s="32">
        <v>3.84</v>
      </c>
      <c r="E420" s="32">
        <v>4.21</v>
      </c>
      <c r="F420" s="32">
        <v>4.13</v>
      </c>
      <c r="G420" s="32">
        <v>0.39</v>
      </c>
      <c r="H420" s="32">
        <v>0.95199999999999996</v>
      </c>
      <c r="I420" s="32">
        <v>1.756</v>
      </c>
      <c r="J420" s="32">
        <v>2.1160000000000001</v>
      </c>
      <c r="K420" s="32">
        <v>5.34</v>
      </c>
      <c r="L420" s="32">
        <v>5.33</v>
      </c>
      <c r="M420" s="32">
        <v>5.33</v>
      </c>
      <c r="N420" s="32">
        <v>5.33</v>
      </c>
      <c r="O420" s="32">
        <v>145.35299682617188</v>
      </c>
      <c r="P420" s="29">
        <v>1.1048868894577026</v>
      </c>
      <c r="Q420" s="29">
        <v>113.484375</v>
      </c>
      <c r="R420" s="32">
        <v>1.8102</v>
      </c>
      <c r="S420" s="32">
        <v>0.89155178588867123</v>
      </c>
    </row>
    <row r="421" spans="1:19">
      <c r="A421" s="10">
        <v>45539</v>
      </c>
      <c r="B421" s="32">
        <v>3.76</v>
      </c>
      <c r="C421" s="32">
        <v>3.56</v>
      </c>
      <c r="D421" s="32">
        <v>3.77</v>
      </c>
      <c r="E421" s="32">
        <v>4.1399999999999997</v>
      </c>
      <c r="F421" s="32">
        <v>4.0599999999999996</v>
      </c>
      <c r="G421" s="32">
        <v>0.375</v>
      </c>
      <c r="H421" s="32">
        <v>0.91700000000000004</v>
      </c>
      <c r="I421" s="32">
        <v>1.7290000000000001</v>
      </c>
      <c r="J421" s="32">
        <v>2.0910000000000002</v>
      </c>
      <c r="K421" s="32">
        <v>5.35</v>
      </c>
      <c r="L421" s="32">
        <v>5.33</v>
      </c>
      <c r="M421" s="32">
        <v>5.32</v>
      </c>
      <c r="N421" s="32">
        <v>5.32</v>
      </c>
      <c r="O421" s="32">
        <v>143.32400512695313</v>
      </c>
      <c r="P421" s="29">
        <v>1.1080454587936401</v>
      </c>
      <c r="Q421" s="29">
        <v>114.03125</v>
      </c>
      <c r="R421" s="32">
        <v>1.7666999999999999</v>
      </c>
      <c r="S421" s="32">
        <v>0.83191642822265521</v>
      </c>
    </row>
    <row r="422" spans="1:19">
      <c r="A422" s="10">
        <v>45540</v>
      </c>
      <c r="B422" s="32">
        <v>3.75</v>
      </c>
      <c r="C422" s="32">
        <v>3.54</v>
      </c>
      <c r="D422" s="32">
        <v>3.73</v>
      </c>
      <c r="E422" s="32">
        <v>4.1100000000000003</v>
      </c>
      <c r="F422" s="32">
        <v>4.0199999999999996</v>
      </c>
      <c r="G422" s="32">
        <v>0.375</v>
      </c>
      <c r="H422" s="32">
        <v>0.90400000000000003</v>
      </c>
      <c r="I422" s="32">
        <v>1.7170000000000001</v>
      </c>
      <c r="J422" s="32">
        <v>2.0699999999999998</v>
      </c>
      <c r="K422" s="32">
        <v>5.35</v>
      </c>
      <c r="L422" s="32">
        <v>5.33</v>
      </c>
      <c r="M422" s="32">
        <v>5.32</v>
      </c>
      <c r="N422" s="32">
        <v>5.32</v>
      </c>
      <c r="O422" s="32">
        <v>143.39300537109375</v>
      </c>
      <c r="P422" s="29">
        <v>1.1111111640930176</v>
      </c>
      <c r="Q422" s="29">
        <v>114.234375</v>
      </c>
      <c r="R422" s="32">
        <v>1.7000999999999999</v>
      </c>
      <c r="S422" s="32">
        <v>0.23555642822265455</v>
      </c>
    </row>
    <row r="423" spans="1:19">
      <c r="A423" s="10">
        <v>45541</v>
      </c>
      <c r="B423" s="32">
        <v>3.66</v>
      </c>
      <c r="C423" s="32">
        <v>3.5</v>
      </c>
      <c r="D423" s="32">
        <v>3.72</v>
      </c>
      <c r="E423" s="32">
        <v>4.0999999999999996</v>
      </c>
      <c r="F423" s="32">
        <v>4.03</v>
      </c>
      <c r="G423" s="32">
        <v>0.38</v>
      </c>
      <c r="H423" s="32">
        <v>0.88</v>
      </c>
      <c r="I423" s="32">
        <v>1.694</v>
      </c>
      <c r="J423" s="32">
        <v>2.0449999999999999</v>
      </c>
      <c r="K423" s="32">
        <v>5.34</v>
      </c>
      <c r="L423" s="32">
        <v>5.33</v>
      </c>
      <c r="M423" s="32">
        <v>5.32</v>
      </c>
      <c r="N423" s="32">
        <v>5.33</v>
      </c>
      <c r="O423" s="32">
        <v>143.39300537109375</v>
      </c>
      <c r="P423" s="29">
        <v>1.1111111640930176</v>
      </c>
      <c r="Q423" s="29">
        <v>114.515625</v>
      </c>
      <c r="R423" s="32">
        <v>1.6919999999999999</v>
      </c>
      <c r="S423" s="32">
        <v>0.88628999999999891</v>
      </c>
    </row>
    <row r="424" spans="1:19">
      <c r="A424" s="10">
        <v>45544</v>
      </c>
      <c r="B424" s="32">
        <v>3.68</v>
      </c>
      <c r="C424" s="32">
        <v>3.49</v>
      </c>
      <c r="D424" s="32">
        <v>3.7</v>
      </c>
      <c r="E424" s="32">
        <v>4.08</v>
      </c>
      <c r="F424" s="32">
        <v>4</v>
      </c>
      <c r="G424" s="32">
        <v>0.39600000000000002</v>
      </c>
      <c r="H424" s="32">
        <v>0.92500000000000004</v>
      </c>
      <c r="I424" s="32">
        <v>1.726</v>
      </c>
      <c r="J424" s="32">
        <v>2.0760000000000001</v>
      </c>
      <c r="K424" s="32">
        <v>5.34</v>
      </c>
      <c r="L424" s="32">
        <v>5.33</v>
      </c>
      <c r="M424" s="32">
        <v>5.32</v>
      </c>
      <c r="N424" s="32">
        <v>5.32</v>
      </c>
      <c r="O424" s="32">
        <v>143.177001953125</v>
      </c>
      <c r="P424" s="29">
        <v>1.1037527322769165</v>
      </c>
      <c r="Q424" s="29">
        <v>114.515625</v>
      </c>
      <c r="R424" s="32">
        <v>1.6232</v>
      </c>
      <c r="S424" s="32">
        <v>0.92136999999999958</v>
      </c>
    </row>
    <row r="425" spans="1:19">
      <c r="A425" s="10">
        <v>45545</v>
      </c>
      <c r="B425" s="32">
        <v>3.59</v>
      </c>
      <c r="C425" s="32">
        <v>3.43</v>
      </c>
      <c r="D425" s="32">
        <v>3.65</v>
      </c>
      <c r="E425" s="32">
        <v>4.04</v>
      </c>
      <c r="F425" s="32">
        <v>3.97</v>
      </c>
      <c r="G425" s="32">
        <v>0.39600000000000002</v>
      </c>
      <c r="H425" s="32">
        <v>0.92600000000000005</v>
      </c>
      <c r="I425" s="32">
        <v>1.736</v>
      </c>
      <c r="J425" s="32">
        <v>2.09</v>
      </c>
      <c r="K425" s="32">
        <v>5.33</v>
      </c>
      <c r="L425" s="32">
        <v>5.33</v>
      </c>
      <c r="M425" s="32">
        <v>5.31</v>
      </c>
      <c r="N425" s="32">
        <v>5.31</v>
      </c>
      <c r="O425" s="32">
        <v>142.23399353027344</v>
      </c>
      <c r="P425" s="29">
        <v>1.1020983457565308</v>
      </c>
      <c r="Q425" s="29">
        <v>114.921875</v>
      </c>
      <c r="R425" s="32">
        <v>1.6240000000000001</v>
      </c>
      <c r="S425" s="32">
        <v>0.91084642822265494</v>
      </c>
    </row>
    <row r="426" spans="1:19">
      <c r="A426" s="10">
        <v>45546</v>
      </c>
      <c r="B426" s="32">
        <v>3.62</v>
      </c>
      <c r="C426" s="32">
        <v>3.45</v>
      </c>
      <c r="D426" s="32">
        <v>3.65</v>
      </c>
      <c r="E426" s="32">
        <v>4.03</v>
      </c>
      <c r="F426" s="32">
        <v>3.96</v>
      </c>
      <c r="G426" s="32">
        <v>0.38</v>
      </c>
      <c r="H426" s="32">
        <v>0.88600000000000001</v>
      </c>
      <c r="I426" s="32">
        <v>1.704</v>
      </c>
      <c r="J426" s="32">
        <v>2.077</v>
      </c>
      <c r="K426" s="32">
        <v>5.32</v>
      </c>
      <c r="L426" s="32">
        <v>5.33</v>
      </c>
      <c r="M426" s="32">
        <v>5.31</v>
      </c>
      <c r="N426" s="32">
        <v>5.31</v>
      </c>
      <c r="O426" s="32">
        <v>142.58999633789063</v>
      </c>
      <c r="P426" s="29">
        <v>1.1010911464691162</v>
      </c>
      <c r="Q426" s="29">
        <v>114.78125</v>
      </c>
      <c r="R426" s="32">
        <v>1.5978000000000001</v>
      </c>
      <c r="S426" s="32">
        <v>0.85998000000000019</v>
      </c>
    </row>
    <row r="427" spans="1:19">
      <c r="A427" s="10">
        <v>45547</v>
      </c>
      <c r="B427" s="32">
        <v>3.64</v>
      </c>
      <c r="C427" s="32">
        <v>3.47</v>
      </c>
      <c r="D427" s="32">
        <v>3.68</v>
      </c>
      <c r="E427" s="32">
        <v>4.07</v>
      </c>
      <c r="F427" s="32">
        <v>4</v>
      </c>
      <c r="G427" s="32">
        <v>0.39100000000000001</v>
      </c>
      <c r="H427" s="32">
        <v>0.89600000000000002</v>
      </c>
      <c r="I427" s="32">
        <v>1.708</v>
      </c>
      <c r="J427" s="32">
        <v>2.0739999999999998</v>
      </c>
      <c r="K427" s="32">
        <v>5.33</v>
      </c>
      <c r="L427" s="32">
        <v>5.33</v>
      </c>
      <c r="M427" s="32">
        <v>5.31</v>
      </c>
      <c r="N427" s="32">
        <v>5.31</v>
      </c>
      <c r="O427" s="32">
        <v>141.49899291992188</v>
      </c>
      <c r="P427" s="29">
        <v>1.1077877283096313</v>
      </c>
      <c r="Q427" s="29">
        <v>114.6875</v>
      </c>
      <c r="R427" s="32">
        <v>1.5176000000000001</v>
      </c>
      <c r="S427" s="32">
        <v>0.8933064282226546</v>
      </c>
    </row>
    <row r="428" spans="1:19">
      <c r="A428" s="10">
        <v>45548</v>
      </c>
      <c r="B428" s="32">
        <v>3.57</v>
      </c>
      <c r="C428" s="32">
        <v>3.43</v>
      </c>
      <c r="D428" s="32">
        <v>3.66</v>
      </c>
      <c r="E428" s="32">
        <v>4.05</v>
      </c>
      <c r="F428" s="32">
        <v>3.98</v>
      </c>
      <c r="G428" s="32">
        <v>0.39200000000000002</v>
      </c>
      <c r="H428" s="32">
        <v>0.878</v>
      </c>
      <c r="I428" s="32">
        <v>1.6759999999999999</v>
      </c>
      <c r="J428" s="32">
        <v>2.0449999999999999</v>
      </c>
      <c r="K428" s="32">
        <v>5.33</v>
      </c>
      <c r="L428" s="32">
        <v>5.33</v>
      </c>
      <c r="M428" s="32">
        <v>5.32</v>
      </c>
      <c r="N428" s="32">
        <v>5.32</v>
      </c>
      <c r="O428" s="32">
        <v>141.49899291992188</v>
      </c>
      <c r="P428" s="29">
        <v>1.1077877283096313</v>
      </c>
      <c r="Q428" s="29">
        <v>114.921875</v>
      </c>
      <c r="R428" s="32">
        <v>1.5944</v>
      </c>
      <c r="S428" s="32">
        <v>0.81437642822265488</v>
      </c>
    </row>
    <row r="429" spans="1:19">
      <c r="A429" s="10">
        <v>45551</v>
      </c>
      <c r="B429" s="32">
        <v>3.56</v>
      </c>
      <c r="C429" s="32">
        <v>3.41</v>
      </c>
      <c r="D429" s="32">
        <v>3.63</v>
      </c>
      <c r="E429" s="32">
        <v>4.01</v>
      </c>
      <c r="F429" s="32">
        <v>3.94</v>
      </c>
      <c r="G429" s="32">
        <v>0.39200000000000002</v>
      </c>
      <c r="H429" s="32">
        <v>0.878</v>
      </c>
      <c r="I429" s="32">
        <v>1.6759999999999999</v>
      </c>
      <c r="J429" s="32">
        <v>2.0449999999999999</v>
      </c>
      <c r="K429" s="32">
        <v>5.38</v>
      </c>
      <c r="L429" s="32">
        <v>5.33</v>
      </c>
      <c r="M429" s="32">
        <v>5.33</v>
      </c>
      <c r="N429" s="32">
        <v>5.33</v>
      </c>
      <c r="O429" s="32">
        <v>140.78999328613281</v>
      </c>
      <c r="P429" s="29">
        <v>1.1129536628723145</v>
      </c>
      <c r="Q429" s="29">
        <v>115.078125</v>
      </c>
      <c r="R429" s="32">
        <v>1.5788</v>
      </c>
      <c r="S429" s="32">
        <v>0.81437642822265488</v>
      </c>
    </row>
    <row r="430" spans="1:19">
      <c r="A430" s="10">
        <v>45552</v>
      </c>
      <c r="B430" s="32">
        <v>3.59</v>
      </c>
      <c r="C430" s="32">
        <v>3.44</v>
      </c>
      <c r="D430" s="32">
        <v>3.65</v>
      </c>
      <c r="E430" s="32">
        <v>4.0199999999999996</v>
      </c>
      <c r="F430" s="32">
        <v>3.96</v>
      </c>
      <c r="G430" s="32">
        <v>0.38700000000000001</v>
      </c>
      <c r="H430" s="32">
        <v>0.86299999999999999</v>
      </c>
      <c r="I430" s="32">
        <v>1.6619999999999999</v>
      </c>
      <c r="J430" s="32">
        <v>2.0190000000000001</v>
      </c>
      <c r="K430" s="32">
        <v>5.38</v>
      </c>
      <c r="L430" s="32">
        <v>5.33</v>
      </c>
      <c r="M430" s="32">
        <v>5.33</v>
      </c>
      <c r="N430" s="32">
        <v>5.33</v>
      </c>
      <c r="O430" s="32">
        <v>142.01499938964844</v>
      </c>
      <c r="P430" s="29">
        <v>1.1123099327087402</v>
      </c>
      <c r="Q430" s="29">
        <v>114.921875</v>
      </c>
      <c r="R430" s="32">
        <v>1.5687</v>
      </c>
      <c r="S430" s="32">
        <v>0.86699642822265588</v>
      </c>
    </row>
    <row r="431" spans="1:19">
      <c r="A431" s="10">
        <v>45553</v>
      </c>
      <c r="B431" s="32">
        <v>3.61</v>
      </c>
      <c r="C431" s="32">
        <v>3.47</v>
      </c>
      <c r="D431" s="32">
        <v>3.7</v>
      </c>
      <c r="E431" s="32">
        <v>4.08</v>
      </c>
      <c r="F431" s="32">
        <v>4.03</v>
      </c>
      <c r="G431" s="32">
        <v>0.38</v>
      </c>
      <c r="H431" s="32">
        <v>0.86</v>
      </c>
      <c r="I431" s="32">
        <v>1.677</v>
      </c>
      <c r="J431" s="32">
        <v>2.0230000000000001</v>
      </c>
      <c r="K431" s="32">
        <v>5.33</v>
      </c>
      <c r="L431" s="32">
        <v>5.33</v>
      </c>
      <c r="M431" s="32">
        <v>5.32</v>
      </c>
      <c r="N431" s="32">
        <v>5.32</v>
      </c>
      <c r="O431" s="32">
        <v>142.71000671386719</v>
      </c>
      <c r="P431" s="29">
        <v>1.1114816665649414</v>
      </c>
      <c r="Q431" s="29">
        <v>114.640625</v>
      </c>
      <c r="R431" s="32">
        <v>1.5690999999999999</v>
      </c>
      <c r="S431" s="32">
        <v>0.80560642822265649</v>
      </c>
    </row>
    <row r="432" spans="1:19">
      <c r="A432" s="10">
        <v>45554</v>
      </c>
      <c r="B432" s="32">
        <v>3.59</v>
      </c>
      <c r="C432" s="32">
        <v>3.49</v>
      </c>
      <c r="D432" s="32">
        <v>3.73</v>
      </c>
      <c r="E432" s="32">
        <v>4.1100000000000003</v>
      </c>
      <c r="F432" s="32">
        <v>4.0599999999999996</v>
      </c>
      <c r="G432" s="32">
        <v>0.38900000000000001</v>
      </c>
      <c r="H432" s="32">
        <v>0.88900000000000001</v>
      </c>
      <c r="I432" s="32">
        <v>1.722</v>
      </c>
      <c r="J432" s="32">
        <v>2.0819999999999999</v>
      </c>
      <c r="K432" s="32">
        <v>4.82</v>
      </c>
      <c r="L432" s="32">
        <v>4.83</v>
      </c>
      <c r="M432" s="32">
        <v>4.8099999999999996</v>
      </c>
      <c r="N432" s="32">
        <v>4.8099999999999996</v>
      </c>
      <c r="O432" s="32">
        <v>142.85800170898438</v>
      </c>
      <c r="P432" s="29">
        <v>1.1161960363388062</v>
      </c>
      <c r="Q432" s="29">
        <v>114.328125</v>
      </c>
      <c r="R432" s="32">
        <v>1.6609</v>
      </c>
      <c r="S432" s="32">
        <v>0.8740117858886709</v>
      </c>
    </row>
    <row r="433" spans="1:19">
      <c r="A433" s="10">
        <v>45555</v>
      </c>
      <c r="B433" s="32">
        <v>3.55</v>
      </c>
      <c r="C433" s="32">
        <v>3.48</v>
      </c>
      <c r="D433" s="32">
        <v>3.73</v>
      </c>
      <c r="E433" s="32">
        <v>4.0999999999999996</v>
      </c>
      <c r="F433" s="32">
        <v>4.07</v>
      </c>
      <c r="G433" s="32">
        <v>0.39500000000000002</v>
      </c>
      <c r="H433" s="32">
        <v>0.89800000000000002</v>
      </c>
      <c r="I433" s="32">
        <v>1.732</v>
      </c>
      <c r="J433" s="32">
        <v>2.1030000000000002</v>
      </c>
      <c r="K433" s="32">
        <v>4.83</v>
      </c>
      <c r="L433" s="32">
        <v>4.83</v>
      </c>
      <c r="M433" s="32">
        <v>4.8099999999999996</v>
      </c>
      <c r="N433" s="32">
        <v>4.8099999999999996</v>
      </c>
      <c r="O433" s="32">
        <v>142.85800170898438</v>
      </c>
      <c r="P433" s="29">
        <v>1.1161960363388062</v>
      </c>
      <c r="Q433" s="29">
        <v>114.84375</v>
      </c>
      <c r="R433" s="32">
        <v>1.6943999999999999</v>
      </c>
      <c r="S433" s="32">
        <v>0.86524178588867073</v>
      </c>
    </row>
    <row r="434" spans="1:19">
      <c r="A434" s="10">
        <v>45558</v>
      </c>
      <c r="B434" s="32">
        <v>3.57</v>
      </c>
      <c r="C434" s="32">
        <v>3.51</v>
      </c>
      <c r="D434" s="32">
        <v>3.75</v>
      </c>
      <c r="E434" s="32">
        <v>4.12</v>
      </c>
      <c r="F434" s="32">
        <v>4.09</v>
      </c>
      <c r="G434" s="32">
        <v>0.39500000000000002</v>
      </c>
      <c r="H434" s="32">
        <v>0.89800000000000002</v>
      </c>
      <c r="I434" s="32">
        <v>1.732</v>
      </c>
      <c r="J434" s="32">
        <v>2.1030000000000002</v>
      </c>
      <c r="K434" s="32">
        <v>4.83</v>
      </c>
      <c r="L434" s="32">
        <v>4.83</v>
      </c>
      <c r="M434" s="32">
        <v>4.82</v>
      </c>
      <c r="N434" s="32">
        <v>4.82</v>
      </c>
      <c r="O434" s="32">
        <v>143.63800048828125</v>
      </c>
      <c r="P434" s="29">
        <v>1.1111727952957153</v>
      </c>
      <c r="Q434" s="29">
        <v>114.765625</v>
      </c>
      <c r="R434" s="32">
        <v>1.7258</v>
      </c>
      <c r="S434" s="32">
        <v>0.86524178588867073</v>
      </c>
    </row>
    <row r="435" spans="1:19">
      <c r="A435" s="10">
        <v>45559</v>
      </c>
      <c r="B435" s="32">
        <v>3.49</v>
      </c>
      <c r="C435" s="32">
        <v>3.47</v>
      </c>
      <c r="D435" s="32">
        <v>3.74</v>
      </c>
      <c r="E435" s="32">
        <v>4.13</v>
      </c>
      <c r="F435" s="32">
        <v>4.09</v>
      </c>
      <c r="G435" s="32">
        <v>0.35</v>
      </c>
      <c r="H435" s="32">
        <v>0.84799999999999998</v>
      </c>
      <c r="I435" s="32">
        <v>1.6950000000000001</v>
      </c>
      <c r="J435" s="32">
        <v>2.0830000000000002</v>
      </c>
      <c r="K435" s="32">
        <v>4.84</v>
      </c>
      <c r="L435" s="32">
        <v>4.83</v>
      </c>
      <c r="M435" s="32">
        <v>4.83</v>
      </c>
      <c r="N435" s="32">
        <v>4.83</v>
      </c>
      <c r="O435" s="32">
        <v>142.96299743652344</v>
      </c>
      <c r="P435" s="29">
        <v>1.1191190481185913</v>
      </c>
      <c r="Q435" s="29">
        <v>114.84375</v>
      </c>
      <c r="R435" s="32">
        <v>1.7688999999999999</v>
      </c>
      <c r="S435" s="32">
        <v>0.82314642822265327</v>
      </c>
    </row>
    <row r="436" spans="1:19">
      <c r="A436" s="10">
        <v>45560</v>
      </c>
      <c r="B436" s="32">
        <v>3.53</v>
      </c>
      <c r="C436" s="32">
        <v>3.52</v>
      </c>
      <c r="D436" s="32">
        <v>3.79</v>
      </c>
      <c r="E436" s="32">
        <v>4.18</v>
      </c>
      <c r="F436" s="32">
        <v>4.1399999999999997</v>
      </c>
      <c r="G436" s="32">
        <v>0.35499999999999998</v>
      </c>
      <c r="H436" s="32">
        <v>0.85199999999999998</v>
      </c>
      <c r="I436" s="32">
        <v>1.677</v>
      </c>
      <c r="J436" s="32">
        <v>2.0609999999999999</v>
      </c>
      <c r="K436" s="32">
        <v>4.84</v>
      </c>
      <c r="L436" s="32">
        <v>4.83</v>
      </c>
      <c r="M436" s="32">
        <v>4.83</v>
      </c>
      <c r="N436" s="32">
        <v>4.83</v>
      </c>
      <c r="O436" s="32">
        <v>144.68299865722656</v>
      </c>
      <c r="P436" s="29">
        <v>1.1131023168563843</v>
      </c>
      <c r="Q436" s="29">
        <v>114.546875</v>
      </c>
      <c r="R436" s="32">
        <v>1.7278</v>
      </c>
      <c r="S436" s="32">
        <v>0.83191642822265521</v>
      </c>
    </row>
    <row r="437" spans="1:19">
      <c r="A437" s="10">
        <v>45561</v>
      </c>
      <c r="B437" s="32">
        <v>3.6</v>
      </c>
      <c r="C437" s="32">
        <v>3.55</v>
      </c>
      <c r="D437" s="32">
        <v>3.79</v>
      </c>
      <c r="E437" s="32">
        <v>4.17</v>
      </c>
      <c r="F437" s="32">
        <v>4.12</v>
      </c>
      <c r="G437" s="32">
        <v>0.34899999999999998</v>
      </c>
      <c r="H437" s="32">
        <v>0.872</v>
      </c>
      <c r="I437" s="32">
        <v>1.7090000000000001</v>
      </c>
      <c r="J437" s="32">
        <v>2.101</v>
      </c>
      <c r="K437" s="32">
        <v>4.83</v>
      </c>
      <c r="L437" s="32">
        <v>4.83</v>
      </c>
      <c r="M437" s="32">
        <v>4.83</v>
      </c>
      <c r="N437" s="32">
        <v>4.83</v>
      </c>
      <c r="O437" s="32">
        <v>145.07600402832031</v>
      </c>
      <c r="P437" s="29">
        <v>1.117717981338501</v>
      </c>
      <c r="Q437" s="29">
        <v>114.40625</v>
      </c>
      <c r="R437" s="32">
        <v>1.7615000000000001</v>
      </c>
      <c r="S437" s="32">
        <v>0.79683642822265455</v>
      </c>
    </row>
    <row r="438" spans="1:19">
      <c r="A438" s="10">
        <v>45562</v>
      </c>
      <c r="B438" s="32">
        <v>3.55</v>
      </c>
      <c r="C438" s="32">
        <v>3.5</v>
      </c>
      <c r="D438" s="32">
        <v>3.75</v>
      </c>
      <c r="E438" s="32">
        <v>4.1500000000000004</v>
      </c>
      <c r="F438" s="32">
        <v>4.0999999999999996</v>
      </c>
      <c r="G438" s="32">
        <v>0.32300000000000001</v>
      </c>
      <c r="H438" s="32">
        <v>0.84899999999999998</v>
      </c>
      <c r="I438" s="32">
        <v>1.708</v>
      </c>
      <c r="J438" s="32">
        <v>2.1219999999999999</v>
      </c>
      <c r="K438" s="32">
        <v>4.84</v>
      </c>
      <c r="L438" s="32">
        <v>4.83</v>
      </c>
      <c r="M438" s="32">
        <v>4.83</v>
      </c>
      <c r="N438" s="32">
        <v>4.83</v>
      </c>
      <c r="O438" s="32">
        <v>145.07600402832031</v>
      </c>
      <c r="P438" s="29">
        <v>1.117717981338501</v>
      </c>
      <c r="Q438" s="29">
        <v>114.734375</v>
      </c>
      <c r="R438" s="32">
        <v>1.7648999999999999</v>
      </c>
      <c r="S438" s="32">
        <v>0.79858999999999725</v>
      </c>
    </row>
    <row r="439" spans="1:19">
      <c r="A439" s="10">
        <v>45565</v>
      </c>
      <c r="B439" s="32">
        <v>3.66</v>
      </c>
      <c r="C439" s="32">
        <v>3.58</v>
      </c>
      <c r="D439" s="32">
        <v>3.81</v>
      </c>
      <c r="E439" s="32">
        <v>4.1900000000000004</v>
      </c>
      <c r="F439" s="32">
        <v>4.1399999999999997</v>
      </c>
      <c r="G439" s="32">
        <v>0.39400000000000002</v>
      </c>
      <c r="H439" s="32">
        <v>0.89400000000000002</v>
      </c>
      <c r="I439" s="32">
        <v>1.7090000000000001</v>
      </c>
      <c r="J439" s="32">
        <v>2.0920000000000001</v>
      </c>
      <c r="K439" s="32">
        <v>4.96</v>
      </c>
      <c r="L439" s="32">
        <v>4.83</v>
      </c>
      <c r="M439" s="32">
        <v>4.88</v>
      </c>
      <c r="N439" s="32">
        <v>4.88</v>
      </c>
      <c r="O439" s="32">
        <v>143.71000671386719</v>
      </c>
      <c r="P439" s="29">
        <v>1.1136602163314819</v>
      </c>
      <c r="Q439" s="29">
        <v>114.28125</v>
      </c>
      <c r="R439" s="32">
        <v>1.7302999999999999</v>
      </c>
      <c r="S439" s="32">
        <v>0.87225821411132642</v>
      </c>
    </row>
    <row r="440" spans="1:19">
      <c r="A440" s="10">
        <v>45566</v>
      </c>
      <c r="B440" s="32">
        <v>3.61</v>
      </c>
      <c r="C440" s="32">
        <v>3.51</v>
      </c>
      <c r="D440" s="32">
        <v>3.74</v>
      </c>
      <c r="E440" s="32">
        <v>4.1399999999999997</v>
      </c>
      <c r="F440" s="32">
        <v>4.08</v>
      </c>
      <c r="G440" s="32">
        <v>0.39</v>
      </c>
      <c r="H440" s="32">
        <v>0.89400000000000002</v>
      </c>
      <c r="I440" s="32">
        <v>1.71</v>
      </c>
      <c r="J440" s="32">
        <v>2.0939999999999999</v>
      </c>
      <c r="K440" s="32">
        <v>5.05</v>
      </c>
      <c r="L440" s="32">
        <v>4.83</v>
      </c>
      <c r="M440" s="32">
        <v>4.92</v>
      </c>
      <c r="N440" s="32">
        <v>4.92</v>
      </c>
      <c r="O440" s="32">
        <v>143.73599243164063</v>
      </c>
      <c r="P440" s="29">
        <v>1.1063904762268066</v>
      </c>
      <c r="Q440" s="29">
        <v>114.6875</v>
      </c>
      <c r="R440" s="32">
        <v>1.7533000000000001</v>
      </c>
      <c r="S440" s="32">
        <v>0.87751999999999875</v>
      </c>
    </row>
    <row r="441" spans="1:19">
      <c r="A441" s="10">
        <v>45567</v>
      </c>
      <c r="B441" s="32">
        <v>3.63</v>
      </c>
      <c r="C441" s="32">
        <v>3.55</v>
      </c>
      <c r="D441" s="32">
        <v>3.79</v>
      </c>
      <c r="E441" s="32">
        <v>4.1900000000000004</v>
      </c>
      <c r="F441" s="32">
        <v>4.1399999999999997</v>
      </c>
      <c r="G441" s="32">
        <v>0.36499999999999999</v>
      </c>
      <c r="H441" s="32">
        <v>0.85899999999999999</v>
      </c>
      <c r="I441" s="32">
        <v>1.6870000000000001</v>
      </c>
      <c r="J441" s="32">
        <v>2.0870000000000002</v>
      </c>
      <c r="K441" s="32">
        <v>4.92</v>
      </c>
      <c r="L441" s="32">
        <v>4.83</v>
      </c>
      <c r="M441" s="32">
        <v>4.87</v>
      </c>
      <c r="N441" s="32">
        <v>4.87</v>
      </c>
      <c r="O441" s="32">
        <v>146.58200073242188</v>
      </c>
      <c r="P441" s="29">
        <v>1.1048502922058105</v>
      </c>
      <c r="Q441" s="29">
        <v>114.421875</v>
      </c>
      <c r="R441" s="32">
        <v>1.6325000000000001</v>
      </c>
      <c r="S441" s="32">
        <v>0.7950817858886694</v>
      </c>
    </row>
    <row r="442" spans="1:19">
      <c r="A442" s="10">
        <v>45568</v>
      </c>
      <c r="B442" s="32">
        <v>3.7</v>
      </c>
      <c r="C442" s="32">
        <v>3.62</v>
      </c>
      <c r="D442" s="32">
        <v>3.85</v>
      </c>
      <c r="E442" s="32">
        <v>4.24</v>
      </c>
      <c r="F442" s="32">
        <v>4.18</v>
      </c>
      <c r="G442" s="32">
        <v>0.36499999999999999</v>
      </c>
      <c r="H442" s="32">
        <v>0.86699999999999999</v>
      </c>
      <c r="I442" s="32">
        <v>1.6919999999999999</v>
      </c>
      <c r="J442" s="32">
        <v>2.1</v>
      </c>
      <c r="K442" s="32">
        <v>4.8499999999999996</v>
      </c>
      <c r="L442" s="32">
        <v>4.83</v>
      </c>
      <c r="M442" s="32">
        <v>4.82</v>
      </c>
      <c r="N442" s="32">
        <v>4.82</v>
      </c>
      <c r="O442" s="32">
        <v>146.83999633789063</v>
      </c>
      <c r="P442" s="29">
        <v>1.103557825088501</v>
      </c>
      <c r="Q442" s="29">
        <v>113.90625</v>
      </c>
      <c r="R442" s="32">
        <v>1.7028000000000001</v>
      </c>
      <c r="S442" s="32">
        <v>0.82665357177734222</v>
      </c>
    </row>
    <row r="443" spans="1:19">
      <c r="A443" s="10">
        <v>45569</v>
      </c>
      <c r="B443" s="32">
        <v>3.93</v>
      </c>
      <c r="C443" s="32">
        <v>3.81</v>
      </c>
      <c r="D443" s="32">
        <v>3.98</v>
      </c>
      <c r="E443" s="32">
        <v>4.33</v>
      </c>
      <c r="F443" s="32">
        <v>4.26</v>
      </c>
      <c r="G443" s="32">
        <v>0.37</v>
      </c>
      <c r="H443" s="32">
        <v>0.88600000000000001</v>
      </c>
      <c r="I443" s="32">
        <v>1.7010000000000001</v>
      </c>
      <c r="J443" s="32">
        <v>2.1</v>
      </c>
      <c r="K443" s="32">
        <v>4.83</v>
      </c>
      <c r="L443" s="32">
        <v>4.83</v>
      </c>
      <c r="M443" s="32">
        <v>4.82</v>
      </c>
      <c r="N443" s="32">
        <v>4.82</v>
      </c>
      <c r="O443" s="32">
        <v>146.83999633789063</v>
      </c>
      <c r="P443" s="29">
        <v>1.103557825088501</v>
      </c>
      <c r="Q443" s="29">
        <v>112.84375</v>
      </c>
      <c r="R443" s="32">
        <v>1.6113</v>
      </c>
      <c r="S443" s="32">
        <v>0.82139178588867168</v>
      </c>
    </row>
    <row r="444" spans="1:19">
      <c r="A444" s="10">
        <v>45572</v>
      </c>
      <c r="B444" s="32">
        <v>3.99</v>
      </c>
      <c r="C444" s="32">
        <v>3.86</v>
      </c>
      <c r="D444" s="32">
        <v>4.03</v>
      </c>
      <c r="E444" s="32">
        <v>4.37</v>
      </c>
      <c r="F444" s="32">
        <v>4.3</v>
      </c>
      <c r="G444" s="32">
        <v>0.40699999999999997</v>
      </c>
      <c r="H444" s="32">
        <v>0.92600000000000005</v>
      </c>
      <c r="I444" s="32">
        <v>1.7430000000000001</v>
      </c>
      <c r="J444" s="32">
        <v>2.1309999999999998</v>
      </c>
      <c r="K444" s="32">
        <v>4.83</v>
      </c>
      <c r="L444" s="32">
        <v>4.83</v>
      </c>
      <c r="M444" s="32">
        <v>4.82</v>
      </c>
      <c r="N444" s="32">
        <v>4.82</v>
      </c>
      <c r="O444" s="32">
        <v>148.14599609375</v>
      </c>
      <c r="P444" s="29">
        <v>1.0975743532180786</v>
      </c>
      <c r="Q444" s="29">
        <v>112.484375</v>
      </c>
      <c r="R444" s="32">
        <v>1.7372000000000001</v>
      </c>
      <c r="S444" s="32">
        <v>0.88278178588867107</v>
      </c>
    </row>
    <row r="445" spans="1:19">
      <c r="A445" s="10">
        <v>45573</v>
      </c>
      <c r="B445" s="32">
        <v>3.98</v>
      </c>
      <c r="C445" s="32">
        <v>3.86</v>
      </c>
      <c r="D445" s="32">
        <v>4.04</v>
      </c>
      <c r="E445" s="32">
        <v>4.38</v>
      </c>
      <c r="F445" s="32">
        <v>4.32</v>
      </c>
      <c r="G445" s="32">
        <v>0.40200000000000002</v>
      </c>
      <c r="H445" s="32">
        <v>0.92600000000000005</v>
      </c>
      <c r="I445" s="32">
        <v>1.746</v>
      </c>
      <c r="J445" s="32">
        <v>2.1259999999999999</v>
      </c>
      <c r="K445" s="32">
        <v>4.84</v>
      </c>
      <c r="L445" s="32">
        <v>4.83</v>
      </c>
      <c r="M445" s="32">
        <v>4.83</v>
      </c>
      <c r="N445" s="32">
        <v>4.83</v>
      </c>
      <c r="O445" s="32">
        <v>148.15899658203125</v>
      </c>
      <c r="P445" s="29">
        <v>1.0975743532180786</v>
      </c>
      <c r="Q445" s="29">
        <v>112.46875</v>
      </c>
      <c r="R445" s="32">
        <v>1.7411000000000001</v>
      </c>
      <c r="S445" s="32">
        <v>0.8740117858886709</v>
      </c>
    </row>
    <row r="446" spans="1:19">
      <c r="A446" s="10">
        <v>45574</v>
      </c>
      <c r="B446" s="32">
        <v>3.99</v>
      </c>
      <c r="C446" s="32">
        <v>3.91</v>
      </c>
      <c r="D446" s="32">
        <v>4.0599999999999996</v>
      </c>
      <c r="E446" s="32">
        <v>4.41</v>
      </c>
      <c r="F446" s="32">
        <v>4.34</v>
      </c>
      <c r="G446" s="32">
        <v>0.40200000000000002</v>
      </c>
      <c r="H446" s="32">
        <v>0.93600000000000005</v>
      </c>
      <c r="I446" s="32">
        <v>1.762</v>
      </c>
      <c r="J446" s="32">
        <v>2.1429999999999998</v>
      </c>
      <c r="K446" s="32">
        <v>4.83</v>
      </c>
      <c r="L446" s="32">
        <v>4.83</v>
      </c>
      <c r="M446" s="32">
        <v>4.82</v>
      </c>
      <c r="N446" s="32">
        <v>4.82</v>
      </c>
      <c r="O446" s="32">
        <v>149.16000366210938</v>
      </c>
      <c r="P446" s="29">
        <v>1.0943313837051392</v>
      </c>
      <c r="Q446" s="29">
        <v>112.203125</v>
      </c>
      <c r="R446" s="32">
        <v>1.7470000000000001</v>
      </c>
      <c r="S446" s="32">
        <v>0.89505999999999908</v>
      </c>
    </row>
    <row r="447" spans="1:19">
      <c r="A447" s="10">
        <v>45575</v>
      </c>
      <c r="B447" s="32">
        <v>3.98</v>
      </c>
      <c r="C447" s="32">
        <v>3.91</v>
      </c>
      <c r="D447" s="32">
        <v>4.09</v>
      </c>
      <c r="E447" s="32">
        <v>4.4400000000000004</v>
      </c>
      <c r="F447" s="32">
        <v>4.38</v>
      </c>
      <c r="G447" s="32">
        <v>0.41199999999999998</v>
      </c>
      <c r="H447" s="32">
        <v>0.96</v>
      </c>
      <c r="I447" s="32">
        <v>1.788</v>
      </c>
      <c r="J447" s="32">
        <v>2.1709999999999998</v>
      </c>
      <c r="K447" s="32">
        <v>4.82</v>
      </c>
      <c r="L447" s="32">
        <v>4.83</v>
      </c>
      <c r="M447" s="32">
        <v>4.8099999999999996</v>
      </c>
      <c r="N447" s="32">
        <v>4.8099999999999996</v>
      </c>
      <c r="O447" s="32">
        <v>148.70399475097656</v>
      </c>
      <c r="P447" s="29">
        <v>1.0933860540390015</v>
      </c>
      <c r="Q447" s="29">
        <v>112.078125</v>
      </c>
      <c r="R447" s="32">
        <v>1.7735000000000001</v>
      </c>
      <c r="S447" s="32">
        <v>0.93715642822265544</v>
      </c>
    </row>
    <row r="448" spans="1:19">
      <c r="A448" s="10">
        <v>45576</v>
      </c>
      <c r="B448" s="32">
        <v>3.95</v>
      </c>
      <c r="C448" s="32">
        <v>3.88</v>
      </c>
      <c r="D448" s="32">
        <v>4.08</v>
      </c>
      <c r="E448" s="32">
        <v>4.4400000000000004</v>
      </c>
      <c r="F448" s="32">
        <v>4.3899999999999997</v>
      </c>
      <c r="G448" s="32">
        <v>0.41199999999999998</v>
      </c>
      <c r="H448" s="32">
        <v>0.95</v>
      </c>
      <c r="I448" s="32">
        <v>1.7749999999999999</v>
      </c>
      <c r="J448" s="32">
        <v>2.1539999999999999</v>
      </c>
      <c r="K448" s="32">
        <v>4.8099999999999996</v>
      </c>
      <c r="L448" s="32">
        <v>4.83</v>
      </c>
      <c r="M448" s="32">
        <v>4.8099999999999996</v>
      </c>
      <c r="N448" s="32">
        <v>4.8099999999999996</v>
      </c>
      <c r="O448" s="32">
        <v>148.70399475097656</v>
      </c>
      <c r="P448" s="29">
        <v>1.0933860540390015</v>
      </c>
      <c r="Q448" s="29">
        <v>112.25</v>
      </c>
      <c r="R448" s="32">
        <v>1.7662</v>
      </c>
      <c r="S448" s="32">
        <v>0.94066357177734261</v>
      </c>
    </row>
    <row r="449" spans="1:19">
      <c r="A449" s="10">
        <v>45580</v>
      </c>
      <c r="B449" s="32">
        <v>3.95</v>
      </c>
      <c r="C449" s="32">
        <v>3.86</v>
      </c>
      <c r="D449" s="32">
        <v>4.03</v>
      </c>
      <c r="E449" s="32">
        <v>4.37</v>
      </c>
      <c r="F449" s="32">
        <v>4.32</v>
      </c>
      <c r="G449" s="32">
        <v>0.42299999999999999</v>
      </c>
      <c r="H449" s="32">
        <v>0.97599999999999998</v>
      </c>
      <c r="I449" s="32">
        <v>1.7889999999999999</v>
      </c>
      <c r="J449" s="32">
        <v>2.1549999999999998</v>
      </c>
      <c r="K449" s="32">
        <v>4.8600000000000003</v>
      </c>
      <c r="L449" s="32">
        <v>4.83</v>
      </c>
      <c r="M449" s="32">
        <v>4.83</v>
      </c>
      <c r="N449" s="32">
        <v>4.83</v>
      </c>
      <c r="O449" s="32">
        <v>149.0989990234375</v>
      </c>
      <c r="P449" s="29">
        <v>1.0884116888046265</v>
      </c>
      <c r="Q449" s="29">
        <v>112.4375</v>
      </c>
      <c r="R449" s="32">
        <v>1.762</v>
      </c>
      <c r="S449" s="32">
        <v>0.95644999999999847</v>
      </c>
    </row>
    <row r="450" spans="1:19">
      <c r="A450" s="10">
        <v>45581</v>
      </c>
      <c r="B450" s="32">
        <v>3.93</v>
      </c>
      <c r="C450" s="32">
        <v>3.84</v>
      </c>
      <c r="D450" s="32">
        <v>4.0199999999999996</v>
      </c>
      <c r="E450" s="32">
        <v>4.3600000000000003</v>
      </c>
      <c r="F450" s="32">
        <v>4.3</v>
      </c>
      <c r="G450" s="32">
        <v>0.42299999999999999</v>
      </c>
      <c r="H450" s="32">
        <v>0.95699999999999996</v>
      </c>
      <c r="I450" s="32">
        <v>1.7749999999999999</v>
      </c>
      <c r="J450" s="32">
        <v>2.1469999999999998</v>
      </c>
      <c r="K450" s="32">
        <v>4.8600000000000003</v>
      </c>
      <c r="L450" s="32">
        <v>4.83</v>
      </c>
      <c r="M450" s="32">
        <v>4.84</v>
      </c>
      <c r="N450" s="32">
        <v>4.84</v>
      </c>
      <c r="O450" s="32">
        <v>149.57600402832031</v>
      </c>
      <c r="P450" s="29">
        <v>1.0862481594085693</v>
      </c>
      <c r="Q450" s="29">
        <v>112.53125</v>
      </c>
      <c r="R450" s="32">
        <v>1.7653000000000001</v>
      </c>
      <c r="S450" s="32">
        <v>0.91610821411132726</v>
      </c>
    </row>
    <row r="451" spans="1:19">
      <c r="A451" s="10">
        <v>45582</v>
      </c>
      <c r="B451" s="32">
        <v>3.96</v>
      </c>
      <c r="C451" s="32">
        <v>3.9</v>
      </c>
      <c r="D451" s="32">
        <v>4.09</v>
      </c>
      <c r="E451" s="32">
        <v>4.4400000000000004</v>
      </c>
      <c r="F451" s="32">
        <v>4.3899999999999997</v>
      </c>
      <c r="G451" s="32">
        <v>0.434</v>
      </c>
      <c r="H451" s="32">
        <v>0.96699999999999997</v>
      </c>
      <c r="I451" s="32">
        <v>1.776</v>
      </c>
      <c r="J451" s="32">
        <v>2.13</v>
      </c>
      <c r="K451" s="32">
        <v>4.8499999999999996</v>
      </c>
      <c r="L451" s="32">
        <v>4.83</v>
      </c>
      <c r="M451" s="32">
        <v>4.84</v>
      </c>
      <c r="N451" s="32">
        <v>4.84</v>
      </c>
      <c r="O451" s="32">
        <v>150.10000610351563</v>
      </c>
      <c r="P451" s="29">
        <v>1.0829542875289917</v>
      </c>
      <c r="Q451" s="29">
        <v>112.046875</v>
      </c>
      <c r="R451" s="32">
        <v>1.6649</v>
      </c>
      <c r="S451" s="32">
        <v>0.9459264282226556</v>
      </c>
    </row>
    <row r="452" spans="1:19">
      <c r="A452" s="10">
        <v>45583</v>
      </c>
      <c r="B452" s="32">
        <v>3.95</v>
      </c>
      <c r="C452" s="32">
        <v>3.88</v>
      </c>
      <c r="D452" s="32">
        <v>4.08</v>
      </c>
      <c r="E452" s="32">
        <v>4.4400000000000004</v>
      </c>
      <c r="F452" s="32">
        <v>4.38</v>
      </c>
      <c r="G452" s="32">
        <v>0.438</v>
      </c>
      <c r="H452" s="32">
        <v>0.97199999999999998</v>
      </c>
      <c r="I452" s="32">
        <v>1.79</v>
      </c>
      <c r="J452" s="32">
        <v>2.1389999999999998</v>
      </c>
      <c r="K452" s="32">
        <v>4.84</v>
      </c>
      <c r="L452" s="32">
        <v>4.83</v>
      </c>
      <c r="M452" s="32">
        <v>4.82</v>
      </c>
      <c r="N452" s="32">
        <v>4.82</v>
      </c>
      <c r="O452" s="32">
        <v>150.10000610351563</v>
      </c>
      <c r="P452" s="29">
        <v>1.0829542875289917</v>
      </c>
      <c r="Q452" s="29">
        <v>112.21875</v>
      </c>
      <c r="R452" s="32">
        <v>1.7277</v>
      </c>
      <c r="S452" s="32">
        <v>0.9476799999999983</v>
      </c>
    </row>
    <row r="453" spans="1:19">
      <c r="A453" s="10">
        <v>45586</v>
      </c>
      <c r="B453" s="32">
        <v>4.0199999999999996</v>
      </c>
      <c r="C453" s="32">
        <v>3.98</v>
      </c>
      <c r="D453" s="32">
        <v>4.1900000000000004</v>
      </c>
      <c r="E453" s="32">
        <v>4.54</v>
      </c>
      <c r="F453" s="32">
        <v>4.49</v>
      </c>
      <c r="G453" s="32">
        <v>0.433</v>
      </c>
      <c r="H453" s="32">
        <v>0.96299999999999997</v>
      </c>
      <c r="I453" s="32">
        <v>1.79</v>
      </c>
      <c r="J453" s="32">
        <v>2.1560000000000001</v>
      </c>
      <c r="K453" s="32">
        <v>4.82</v>
      </c>
      <c r="L453" s="32">
        <v>4.83</v>
      </c>
      <c r="M453" s="32">
        <v>4.8099999999999996</v>
      </c>
      <c r="N453" s="32">
        <v>4.8099999999999996</v>
      </c>
      <c r="O453" s="32">
        <v>150.60499572753906</v>
      </c>
      <c r="P453" s="29">
        <v>1.0817828178405762</v>
      </c>
      <c r="Q453" s="29">
        <v>111.515625</v>
      </c>
      <c r="R453" s="32">
        <v>1.6995</v>
      </c>
      <c r="S453" s="32">
        <v>0.92663178588867012</v>
      </c>
    </row>
    <row r="454" spans="1:19">
      <c r="A454" s="10">
        <v>45587</v>
      </c>
      <c r="B454" s="32">
        <v>4.03</v>
      </c>
      <c r="C454" s="32">
        <v>4</v>
      </c>
      <c r="D454" s="32">
        <v>4.2</v>
      </c>
      <c r="E454" s="32">
        <v>4.55</v>
      </c>
      <c r="F454" s="32">
        <v>4.49</v>
      </c>
      <c r="G454" s="32">
        <v>0.45400000000000001</v>
      </c>
      <c r="H454" s="32">
        <v>0.98299999999999998</v>
      </c>
      <c r="I454" s="32">
        <v>1.8140000000000001</v>
      </c>
      <c r="J454" s="32">
        <v>2.1880000000000002</v>
      </c>
      <c r="K454" s="32">
        <v>4.83</v>
      </c>
      <c r="L454" s="32">
        <v>4.83</v>
      </c>
      <c r="M454" s="32">
        <v>4.82</v>
      </c>
      <c r="N454" s="32">
        <v>4.82</v>
      </c>
      <c r="O454" s="32">
        <v>151.13800048828125</v>
      </c>
      <c r="P454" s="29">
        <v>1.0797270536422729</v>
      </c>
      <c r="Q454" s="29">
        <v>111.34375</v>
      </c>
      <c r="R454" s="32">
        <v>1.7901</v>
      </c>
      <c r="S454" s="32">
        <v>0.96346642822265416</v>
      </c>
    </row>
    <row r="455" spans="1:19">
      <c r="A455" s="10">
        <v>45588</v>
      </c>
      <c r="B455" s="32">
        <v>4.07</v>
      </c>
      <c r="C455" s="32">
        <v>4.05</v>
      </c>
      <c r="D455" s="32">
        <v>4.24</v>
      </c>
      <c r="E455" s="32">
        <v>4.58</v>
      </c>
      <c r="F455" s="32">
        <v>4.51</v>
      </c>
      <c r="G455" s="32">
        <v>0.44900000000000001</v>
      </c>
      <c r="H455" s="32">
        <v>0.98299999999999998</v>
      </c>
      <c r="I455" s="32">
        <v>1.8180000000000001</v>
      </c>
      <c r="J455" s="32">
        <v>2.1880000000000002</v>
      </c>
      <c r="K455" s="32">
        <v>4.83</v>
      </c>
      <c r="L455" s="32">
        <v>4.83</v>
      </c>
      <c r="M455" s="32">
        <v>4.82</v>
      </c>
      <c r="N455" s="32">
        <v>4.82</v>
      </c>
      <c r="O455" s="32">
        <v>152.76899719238281</v>
      </c>
      <c r="P455" s="29">
        <v>1.0780508518218994</v>
      </c>
      <c r="Q455" s="29">
        <v>111.03125</v>
      </c>
      <c r="R455" s="32">
        <v>1.8495999999999999</v>
      </c>
      <c r="S455" s="32">
        <v>0.97223642822265433</v>
      </c>
    </row>
    <row r="456" spans="1:19">
      <c r="A456" s="10">
        <v>45589</v>
      </c>
      <c r="B456" s="32">
        <v>4.07</v>
      </c>
      <c r="C456" s="32">
        <v>4.03</v>
      </c>
      <c r="D456" s="32">
        <v>4.21</v>
      </c>
      <c r="E456" s="32">
        <v>4.54</v>
      </c>
      <c r="F456" s="32">
        <v>4.47</v>
      </c>
      <c r="G456" s="32">
        <v>0.44900000000000001</v>
      </c>
      <c r="H456" s="32">
        <v>0.96399999999999997</v>
      </c>
      <c r="I456" s="32">
        <v>1.802</v>
      </c>
      <c r="J456" s="32">
        <v>2.1840000000000002</v>
      </c>
      <c r="K456" s="32">
        <v>4.83</v>
      </c>
      <c r="L456" s="32">
        <v>4.83</v>
      </c>
      <c r="M456" s="32">
        <v>4.83</v>
      </c>
      <c r="N456" s="32">
        <v>4.83</v>
      </c>
      <c r="O456" s="32">
        <v>151.78300476074219</v>
      </c>
      <c r="P456" s="29">
        <v>1.0824151039123535</v>
      </c>
      <c r="Q456" s="29">
        <v>111.28125</v>
      </c>
      <c r="R456" s="32">
        <v>1.8311999999999999</v>
      </c>
      <c r="S456" s="32">
        <v>0.93715642822265544</v>
      </c>
    </row>
    <row r="457" spans="1:19">
      <c r="A457" s="10">
        <v>45590</v>
      </c>
      <c r="B457" s="32">
        <v>4.1100000000000003</v>
      </c>
      <c r="C457" s="32">
        <v>4.07</v>
      </c>
      <c r="D457" s="32">
        <v>4.25</v>
      </c>
      <c r="E457" s="32">
        <v>4.58</v>
      </c>
      <c r="F457" s="32">
        <v>4.51</v>
      </c>
      <c r="G457" s="32">
        <v>0.44900000000000001</v>
      </c>
      <c r="H457" s="32">
        <v>0.95499999999999996</v>
      </c>
      <c r="I457" s="32">
        <v>1.7889999999999999</v>
      </c>
      <c r="J457" s="32">
        <v>2.1589999999999998</v>
      </c>
      <c r="K457" s="32">
        <v>4.83</v>
      </c>
      <c r="L457" s="32">
        <v>4.83</v>
      </c>
      <c r="M457" s="32">
        <v>4.82</v>
      </c>
      <c r="N457" s="32">
        <v>4.82</v>
      </c>
      <c r="O457" s="32">
        <v>151.78300476074219</v>
      </c>
      <c r="P457" s="29">
        <v>1.0824151039123535</v>
      </c>
      <c r="Q457" s="29">
        <v>111.0625</v>
      </c>
      <c r="R457" s="32">
        <v>1.7642</v>
      </c>
      <c r="S457" s="32">
        <v>0.95469642822265577</v>
      </c>
    </row>
    <row r="458" spans="1:19">
      <c r="A458" s="10">
        <v>45593</v>
      </c>
      <c r="B458" s="32">
        <v>4.12</v>
      </c>
      <c r="C458" s="32">
        <v>4.1100000000000003</v>
      </c>
      <c r="D458" s="32">
        <v>4.28</v>
      </c>
      <c r="E458" s="32">
        <v>4.6100000000000003</v>
      </c>
      <c r="F458" s="32">
        <v>4.53</v>
      </c>
      <c r="G458" s="32">
        <v>0.46100000000000002</v>
      </c>
      <c r="H458" s="32">
        <v>0.98099999999999998</v>
      </c>
      <c r="I458" s="32">
        <v>1.8160000000000001</v>
      </c>
      <c r="J458" s="32">
        <v>2.1960000000000002</v>
      </c>
      <c r="K458" s="32">
        <v>4.82</v>
      </c>
      <c r="L458" s="32">
        <v>4.83</v>
      </c>
      <c r="M458" s="32">
        <v>4.8099999999999996</v>
      </c>
      <c r="N458" s="32">
        <v>4.8099999999999996</v>
      </c>
      <c r="O458" s="32">
        <v>152.95199584960938</v>
      </c>
      <c r="P458" s="29">
        <v>1.0796570777893066</v>
      </c>
      <c r="Q458" s="29">
        <v>110.703125</v>
      </c>
      <c r="R458" s="32">
        <v>1.8069</v>
      </c>
      <c r="S458" s="32">
        <v>0.95118821411132615</v>
      </c>
    </row>
    <row r="459" spans="1:19">
      <c r="A459" s="10">
        <v>45594</v>
      </c>
      <c r="B459" s="32">
        <v>4.1100000000000003</v>
      </c>
      <c r="C459" s="32">
        <v>4.1100000000000003</v>
      </c>
      <c r="D459" s="32">
        <v>4.28</v>
      </c>
      <c r="E459" s="32">
        <v>4.6100000000000003</v>
      </c>
      <c r="F459" s="32">
        <v>4.5199999999999996</v>
      </c>
      <c r="G459" s="32">
        <v>0.45300000000000001</v>
      </c>
      <c r="H459" s="32">
        <v>0.98099999999999998</v>
      </c>
      <c r="I459" s="32">
        <v>1.8120000000000001</v>
      </c>
      <c r="J459" s="32">
        <v>2.1880000000000002</v>
      </c>
      <c r="K459" s="32">
        <v>4.82</v>
      </c>
      <c r="L459" s="32">
        <v>4.83</v>
      </c>
      <c r="M459" s="32">
        <v>4.8099999999999996</v>
      </c>
      <c r="N459" s="32">
        <v>4.8099999999999996</v>
      </c>
      <c r="O459" s="32">
        <v>153.17900085449219</v>
      </c>
      <c r="P459" s="29">
        <v>1.0816774368286133</v>
      </c>
      <c r="Q459" s="29">
        <v>110.75</v>
      </c>
      <c r="R459" s="32">
        <v>1.794</v>
      </c>
      <c r="S459" s="32">
        <v>0.95644999999999847</v>
      </c>
    </row>
    <row r="460" spans="1:19">
      <c r="A460" s="10">
        <v>45595</v>
      </c>
      <c r="B460" s="32">
        <v>4.1500000000000004</v>
      </c>
      <c r="C460" s="32">
        <v>4.1399999999999997</v>
      </c>
      <c r="D460" s="32">
        <v>4.29</v>
      </c>
      <c r="E460" s="32">
        <v>4.5999999999999996</v>
      </c>
      <c r="F460" s="32">
        <v>4.49</v>
      </c>
      <c r="G460" s="32">
        <v>0.443</v>
      </c>
      <c r="H460" s="32">
        <v>0.96099999999999997</v>
      </c>
      <c r="I460" s="32">
        <v>1.8069999999999999</v>
      </c>
      <c r="J460" s="32">
        <v>2.2010000000000001</v>
      </c>
      <c r="K460" s="32">
        <v>4.8099999999999996</v>
      </c>
      <c r="L460" s="32">
        <v>4.83</v>
      </c>
      <c r="M460" s="32">
        <v>4.8099999999999996</v>
      </c>
      <c r="N460" s="32">
        <v>4.8099999999999996</v>
      </c>
      <c r="O460" s="32">
        <v>153.27400207519531</v>
      </c>
      <c r="P460" s="29">
        <v>1.0820636749267578</v>
      </c>
      <c r="Q460" s="29">
        <v>110.703125</v>
      </c>
      <c r="R460" s="32">
        <v>1.8964000000000001</v>
      </c>
      <c r="S460" s="32">
        <v>0.9476799999999983</v>
      </c>
    </row>
    <row r="461" spans="1:19">
      <c r="A461" s="10">
        <v>45596</v>
      </c>
      <c r="B461" s="32">
        <v>4.16</v>
      </c>
      <c r="C461" s="32">
        <v>4.1500000000000004</v>
      </c>
      <c r="D461" s="32">
        <v>4.28</v>
      </c>
      <c r="E461" s="32">
        <v>4.58</v>
      </c>
      <c r="F461" s="32">
        <v>4.47</v>
      </c>
      <c r="G461" s="32">
        <v>0.434</v>
      </c>
      <c r="H461" s="32">
        <v>0.94699999999999995</v>
      </c>
      <c r="I461" s="32">
        <v>1.786</v>
      </c>
      <c r="J461" s="32">
        <v>2.1890000000000001</v>
      </c>
      <c r="K461" s="32">
        <v>4.9000000000000004</v>
      </c>
      <c r="L461" s="32">
        <v>4.83</v>
      </c>
      <c r="M461" s="32">
        <v>4.8499999999999996</v>
      </c>
      <c r="N461" s="32">
        <v>4.8499999999999996</v>
      </c>
      <c r="O461" s="32">
        <v>153.20399475097656</v>
      </c>
      <c r="P461" s="29">
        <v>1.0859178304672241</v>
      </c>
      <c r="Q461" s="29">
        <v>110.46875</v>
      </c>
      <c r="R461" s="32">
        <v>1.8783000000000001</v>
      </c>
      <c r="S461" s="32">
        <v>0.95644999999999847</v>
      </c>
    </row>
    <row r="462" spans="1:19">
      <c r="A462" s="10">
        <v>45597</v>
      </c>
      <c r="B462" s="32">
        <v>4.21</v>
      </c>
      <c r="C462" s="32">
        <v>4.22</v>
      </c>
      <c r="D462" s="32">
        <v>4.37</v>
      </c>
      <c r="E462" s="32">
        <v>4.68</v>
      </c>
      <c r="F462" s="32">
        <v>4.57</v>
      </c>
      <c r="G462" s="32">
        <v>0.46500000000000002</v>
      </c>
      <c r="H462" s="32">
        <v>0.95199999999999996</v>
      </c>
      <c r="I462" s="32">
        <v>1.786</v>
      </c>
      <c r="J462" s="32">
        <v>2.1890000000000001</v>
      </c>
      <c r="K462" s="32">
        <v>4.8600000000000003</v>
      </c>
      <c r="L462" s="32">
        <v>4.83</v>
      </c>
      <c r="M462" s="32">
        <v>4.84</v>
      </c>
      <c r="N462" s="32">
        <v>4.84</v>
      </c>
      <c r="O462" s="32">
        <v>151.97999572753906</v>
      </c>
      <c r="P462" s="29">
        <v>1.0886130332946777</v>
      </c>
      <c r="Q462" s="29">
        <v>110.03125</v>
      </c>
      <c r="R462" s="32">
        <v>1.7670999999999999</v>
      </c>
      <c r="S462" s="32">
        <v>0.91786178588866996</v>
      </c>
    </row>
    <row r="463" spans="1:19">
      <c r="A463" s="10">
        <v>45600</v>
      </c>
      <c r="B463" s="32">
        <v>4.17</v>
      </c>
      <c r="C463" s="32">
        <v>4.17</v>
      </c>
      <c r="D463" s="32">
        <v>4.3099999999999996</v>
      </c>
      <c r="E463" s="32">
        <v>4.5999999999999996</v>
      </c>
      <c r="F463" s="32">
        <v>4.5</v>
      </c>
      <c r="G463" s="32">
        <v>0.46500000000000002</v>
      </c>
      <c r="H463" s="32">
        <v>0.95199999999999996</v>
      </c>
      <c r="I463" s="32">
        <v>1.786</v>
      </c>
      <c r="J463" s="32">
        <v>2.1890000000000001</v>
      </c>
      <c r="K463" s="32">
        <v>4.82</v>
      </c>
      <c r="L463" s="32">
        <v>4.83</v>
      </c>
      <c r="M463" s="32">
        <v>4.82</v>
      </c>
      <c r="N463" s="32">
        <v>4.82</v>
      </c>
      <c r="O463" s="32">
        <v>152.28700256347656</v>
      </c>
      <c r="P463" s="29">
        <v>1.0874530076980591</v>
      </c>
      <c r="Q463" s="29">
        <v>110.359375</v>
      </c>
      <c r="R463" s="32">
        <v>1.8653999999999999</v>
      </c>
      <c r="S463" s="32">
        <v>0.91786178588866996</v>
      </c>
    </row>
    <row r="464" spans="1:19">
      <c r="A464" s="10">
        <v>45601</v>
      </c>
      <c r="B464" s="32">
        <v>4.1900000000000004</v>
      </c>
      <c r="C464" s="32">
        <v>4.16</v>
      </c>
      <c r="D464" s="32">
        <v>4.26</v>
      </c>
      <c r="E464" s="32">
        <v>4.55</v>
      </c>
      <c r="F464" s="32">
        <v>4.4400000000000004</v>
      </c>
      <c r="G464" s="32">
        <v>0.45500000000000002</v>
      </c>
      <c r="H464" s="32">
        <v>0.94399999999999995</v>
      </c>
      <c r="I464" s="32">
        <v>1.7869999999999999</v>
      </c>
      <c r="J464" s="32">
        <v>2.1930000000000001</v>
      </c>
      <c r="K464" s="32">
        <v>4.82</v>
      </c>
      <c r="L464" s="32">
        <v>4.83</v>
      </c>
      <c r="M464" s="32">
        <v>4.8099999999999996</v>
      </c>
      <c r="N464" s="32">
        <v>4.8099999999999996</v>
      </c>
      <c r="O464" s="32">
        <v>152.2760009765625</v>
      </c>
      <c r="P464" s="29">
        <v>1.0874056816101074</v>
      </c>
      <c r="Q464" s="29">
        <v>110.40625</v>
      </c>
      <c r="R464" s="32">
        <v>1.8099000000000001</v>
      </c>
      <c r="S464" s="32">
        <v>0.8477017858886704</v>
      </c>
    </row>
    <row r="465" spans="1:19">
      <c r="A465" s="10">
        <v>45602</v>
      </c>
      <c r="B465" s="32">
        <v>4.2699999999999996</v>
      </c>
      <c r="C465" s="32">
        <v>4.2699999999999996</v>
      </c>
      <c r="D465" s="32">
        <v>4.42</v>
      </c>
      <c r="E465" s="32">
        <v>4.71</v>
      </c>
      <c r="F465" s="32">
        <v>4.5999999999999996</v>
      </c>
      <c r="G465" s="32">
        <v>0.48</v>
      </c>
      <c r="H465" s="32">
        <v>0.99299999999999999</v>
      </c>
      <c r="I465" s="32">
        <v>1.8169999999999999</v>
      </c>
      <c r="J465" s="32">
        <v>2.206</v>
      </c>
      <c r="K465" s="32">
        <v>4.8099999999999996</v>
      </c>
      <c r="L465" s="32">
        <v>4.83</v>
      </c>
      <c r="M465" s="32">
        <v>4.8099999999999996</v>
      </c>
      <c r="N465" s="32">
        <v>4.8099999999999996</v>
      </c>
      <c r="O465" s="32">
        <v>151.43499755859375</v>
      </c>
      <c r="P465" s="29">
        <v>1.093445897102356</v>
      </c>
      <c r="Q465" s="29">
        <v>109.546875</v>
      </c>
      <c r="R465" s="32">
        <v>1.8634999999999999</v>
      </c>
      <c r="S465" s="32">
        <v>0.96697357177734311</v>
      </c>
    </row>
    <row r="466" spans="1:19">
      <c r="A466" s="10">
        <v>45603</v>
      </c>
      <c r="B466" s="32">
        <v>4.21</v>
      </c>
      <c r="C466" s="32">
        <v>4.17</v>
      </c>
      <c r="D466" s="32">
        <v>4.3099999999999996</v>
      </c>
      <c r="E466" s="32">
        <v>4.62</v>
      </c>
      <c r="F466" s="32">
        <v>4.5199999999999996</v>
      </c>
      <c r="G466" s="32">
        <v>0.501</v>
      </c>
      <c r="H466" s="32">
        <v>1.016</v>
      </c>
      <c r="I466" s="32">
        <v>1.839</v>
      </c>
      <c r="J466" s="32">
        <v>2.226</v>
      </c>
      <c r="K466" s="32">
        <v>4.82</v>
      </c>
      <c r="L466" s="32">
        <v>4.83</v>
      </c>
      <c r="M466" s="32">
        <v>4.82</v>
      </c>
      <c r="N466" s="32">
        <v>4.82</v>
      </c>
      <c r="O466" s="32">
        <v>154.32000732421875</v>
      </c>
      <c r="P466" s="29">
        <v>1.0733069181442261</v>
      </c>
      <c r="Q466" s="29">
        <v>110.1875</v>
      </c>
      <c r="R466" s="32">
        <v>1.9470000000000001</v>
      </c>
      <c r="S466" s="32">
        <v>0.99328357177734183</v>
      </c>
    </row>
    <row r="467" spans="1:19">
      <c r="A467" s="10">
        <v>45604</v>
      </c>
      <c r="B467" s="32">
        <v>4.26</v>
      </c>
      <c r="C467" s="32">
        <v>4.2</v>
      </c>
      <c r="D467" s="32">
        <v>4.3</v>
      </c>
      <c r="E467" s="32">
        <v>4.58</v>
      </c>
      <c r="F467" s="32">
        <v>4.47</v>
      </c>
      <c r="G467" s="32">
        <v>0.501</v>
      </c>
      <c r="H467" s="32">
        <v>1.0109999999999999</v>
      </c>
      <c r="I467" s="32">
        <v>1.835</v>
      </c>
      <c r="J467" s="32">
        <v>2.218</v>
      </c>
      <c r="K467" s="32">
        <v>4.5999999999999996</v>
      </c>
      <c r="L467" s="32">
        <v>4.58</v>
      </c>
      <c r="M467" s="32">
        <v>4.57</v>
      </c>
      <c r="N467" s="32">
        <v>4.57</v>
      </c>
      <c r="O467" s="32">
        <v>153.17999267578125</v>
      </c>
      <c r="P467" s="29">
        <v>1.0795172452926636</v>
      </c>
      <c r="Q467" s="29">
        <v>110.28125</v>
      </c>
      <c r="R467" s="32">
        <v>2.0339999999999998</v>
      </c>
      <c r="S467" s="32">
        <v>0.9739899999999988</v>
      </c>
    </row>
    <row r="468" spans="1:19">
      <c r="A468" s="10">
        <v>45608</v>
      </c>
      <c r="B468" s="32">
        <v>4.34</v>
      </c>
      <c r="C468" s="32">
        <v>4.32</v>
      </c>
      <c r="D468" s="32">
        <v>4.43</v>
      </c>
      <c r="E468" s="32">
        <v>4.7</v>
      </c>
      <c r="F468" s="32">
        <v>4.58</v>
      </c>
      <c r="G468" s="32">
        <v>0.501</v>
      </c>
      <c r="H468" s="32">
        <v>1.0189999999999999</v>
      </c>
      <c r="I468" s="32">
        <v>1.849</v>
      </c>
      <c r="J468" s="32">
        <v>2.234</v>
      </c>
      <c r="K468" s="32">
        <v>4.5999999999999996</v>
      </c>
      <c r="L468" s="32">
        <v>4.58</v>
      </c>
      <c r="M468" s="32">
        <v>4.58</v>
      </c>
      <c r="N468" s="32">
        <v>4.58</v>
      </c>
      <c r="O468" s="32">
        <v>153.47999572753906</v>
      </c>
      <c r="P468" s="29">
        <v>1.066439151763916</v>
      </c>
      <c r="Q468" s="29">
        <v>109.421875</v>
      </c>
      <c r="R468" s="32">
        <v>1.9538</v>
      </c>
      <c r="S468" s="32">
        <v>0.98451357177734167</v>
      </c>
    </row>
    <row r="469" spans="1:19">
      <c r="A469" s="10">
        <v>45609</v>
      </c>
      <c r="B469" s="32">
        <v>4.2699999999999996</v>
      </c>
      <c r="C469" s="32">
        <v>4.3</v>
      </c>
      <c r="D469" s="32">
        <v>4.4400000000000004</v>
      </c>
      <c r="E469" s="32">
        <v>4.7300000000000004</v>
      </c>
      <c r="F469" s="32">
        <v>4.63</v>
      </c>
      <c r="G469" s="32">
        <v>0.52700000000000002</v>
      </c>
      <c r="H469" s="32">
        <v>1.0529999999999999</v>
      </c>
      <c r="I469" s="32">
        <v>1.871</v>
      </c>
      <c r="J469" s="32">
        <v>2.246</v>
      </c>
      <c r="K469" s="32">
        <v>4.59</v>
      </c>
      <c r="L469" s="32">
        <v>4.58</v>
      </c>
      <c r="M469" s="32">
        <v>4.58</v>
      </c>
      <c r="N469" s="32">
        <v>4.58</v>
      </c>
      <c r="O469" s="32">
        <v>154.65499877929688</v>
      </c>
      <c r="P469" s="29">
        <v>1.061672568321228</v>
      </c>
      <c r="Q469" s="29">
        <v>109.421875</v>
      </c>
      <c r="R469" s="32">
        <v>1.9114</v>
      </c>
      <c r="S469" s="32">
        <v>1.0529199999999985</v>
      </c>
    </row>
    <row r="470" spans="1:19">
      <c r="A470" s="10">
        <v>45610</v>
      </c>
      <c r="B470" s="32">
        <v>4.34</v>
      </c>
      <c r="C470" s="32">
        <v>4.32</v>
      </c>
      <c r="D470" s="32">
        <v>4.43</v>
      </c>
      <c r="E470" s="32">
        <v>4.6900000000000004</v>
      </c>
      <c r="F470" s="32">
        <v>4.58</v>
      </c>
      <c r="G470" s="32">
        <v>0.53200000000000003</v>
      </c>
      <c r="H470" s="32">
        <v>1.069</v>
      </c>
      <c r="I470" s="32">
        <v>1.8879999999999999</v>
      </c>
      <c r="J470" s="32">
        <v>2.2669999999999999</v>
      </c>
      <c r="K470" s="32">
        <v>4.58</v>
      </c>
      <c r="L470" s="32">
        <v>4.58</v>
      </c>
      <c r="M470" s="32">
        <v>4.57</v>
      </c>
      <c r="N470" s="32">
        <v>4.57</v>
      </c>
      <c r="O470" s="32">
        <v>155.42900085449219</v>
      </c>
      <c r="P470" s="29">
        <v>1.0564124584197998</v>
      </c>
      <c r="Q470" s="29">
        <v>109.546875</v>
      </c>
      <c r="R470" s="32">
        <v>1.9424999999999999</v>
      </c>
      <c r="S470" s="32">
        <v>1.0529199999999985</v>
      </c>
    </row>
    <row r="471" spans="1:19">
      <c r="A471" s="10">
        <v>45611</v>
      </c>
      <c r="B471" s="32">
        <v>4.3099999999999996</v>
      </c>
      <c r="C471" s="32">
        <v>4.3</v>
      </c>
      <c r="D471" s="32">
        <v>4.43</v>
      </c>
      <c r="E471" s="32">
        <v>4.7</v>
      </c>
      <c r="F471" s="32">
        <v>4.5999999999999996</v>
      </c>
      <c r="G471" s="32">
        <v>0.55200000000000005</v>
      </c>
      <c r="H471" s="32">
        <v>1.0820000000000001</v>
      </c>
      <c r="I471" s="32">
        <v>1.8839999999999999</v>
      </c>
      <c r="J471" s="32">
        <v>2.2639999999999998</v>
      </c>
      <c r="K471" s="32">
        <v>4.57</v>
      </c>
      <c r="L471" s="32">
        <v>4.58</v>
      </c>
      <c r="M471" s="32">
        <v>4.5599999999999996</v>
      </c>
      <c r="N471" s="32">
        <v>4.5599999999999996</v>
      </c>
      <c r="O471" s="32">
        <v>156.46800231933594</v>
      </c>
      <c r="P471" s="29">
        <v>1.0530084371566772</v>
      </c>
      <c r="Q471" s="29">
        <v>109.53125</v>
      </c>
      <c r="R471" s="32">
        <v>1.8708</v>
      </c>
      <c r="S471" s="32">
        <v>1.0616899999999987</v>
      </c>
    </row>
    <row r="472" spans="1:19">
      <c r="A472" s="10">
        <v>45614</v>
      </c>
      <c r="B472" s="32">
        <v>4.29</v>
      </c>
      <c r="C472" s="32">
        <v>4.28</v>
      </c>
      <c r="D472" s="32">
        <v>4.42</v>
      </c>
      <c r="E472" s="32">
        <v>4.7</v>
      </c>
      <c r="F472" s="32">
        <v>4.6100000000000003</v>
      </c>
      <c r="G472" s="32">
        <v>0.55300000000000005</v>
      </c>
      <c r="H472" s="32">
        <v>1.083</v>
      </c>
      <c r="I472" s="32">
        <v>1.8919999999999999</v>
      </c>
      <c r="J472" s="32">
        <v>2.2669999999999999</v>
      </c>
      <c r="K472" s="32">
        <v>4.57</v>
      </c>
      <c r="L472" s="32">
        <v>4.58</v>
      </c>
      <c r="M472" s="32">
        <v>4.5599999999999996</v>
      </c>
      <c r="N472" s="32">
        <v>4.5599999999999996</v>
      </c>
      <c r="O472" s="32">
        <v>154.66400146484375</v>
      </c>
      <c r="P472" s="29">
        <v>1.0533745288848877</v>
      </c>
      <c r="Q472" s="29">
        <v>109.625</v>
      </c>
      <c r="R472" s="32">
        <v>1.8188</v>
      </c>
      <c r="S472" s="32">
        <v>1.0651982141113265</v>
      </c>
    </row>
    <row r="473" spans="1:19">
      <c r="A473" s="10">
        <v>45615</v>
      </c>
      <c r="B473" s="32">
        <v>4.2699999999999996</v>
      </c>
      <c r="C473" s="32">
        <v>4.25</v>
      </c>
      <c r="D473" s="32">
        <v>4.3899999999999997</v>
      </c>
      <c r="E473" s="32">
        <v>4.66</v>
      </c>
      <c r="F473" s="32">
        <v>4.57</v>
      </c>
      <c r="G473" s="32">
        <v>0.55400000000000005</v>
      </c>
      <c r="H473" s="32">
        <v>1.0780000000000001</v>
      </c>
      <c r="I473" s="32">
        <v>1.889</v>
      </c>
      <c r="J473" s="32">
        <v>2.254</v>
      </c>
      <c r="K473" s="32">
        <v>4.57</v>
      </c>
      <c r="L473" s="32">
        <v>4.58</v>
      </c>
      <c r="M473" s="32">
        <v>4.5599999999999996</v>
      </c>
      <c r="N473" s="32">
        <v>4.5599999999999996</v>
      </c>
      <c r="O473" s="32">
        <v>154.61700439453125</v>
      </c>
      <c r="P473" s="29">
        <v>1.059490442276001</v>
      </c>
      <c r="Q473" s="29">
        <v>109.84375</v>
      </c>
      <c r="R473" s="32">
        <v>1.8327</v>
      </c>
      <c r="S473" s="32">
        <v>1.103786428222655</v>
      </c>
    </row>
    <row r="474" spans="1:19">
      <c r="A474" s="10">
        <v>45616</v>
      </c>
      <c r="B474" s="32">
        <v>4.3099999999999996</v>
      </c>
      <c r="C474" s="32">
        <v>4.28</v>
      </c>
      <c r="D474" s="32">
        <v>4.41</v>
      </c>
      <c r="E474" s="32">
        <v>4.66</v>
      </c>
      <c r="F474" s="32">
        <v>4.59</v>
      </c>
      <c r="G474" s="32">
        <v>0.55400000000000005</v>
      </c>
      <c r="H474" s="32">
        <v>1.077</v>
      </c>
      <c r="I474" s="32">
        <v>1.885</v>
      </c>
      <c r="J474" s="32">
        <v>2.2549999999999999</v>
      </c>
      <c r="K474" s="32">
        <v>4.5599999999999996</v>
      </c>
      <c r="L474" s="32">
        <v>4.58</v>
      </c>
      <c r="M474" s="32">
        <v>4.5599999999999996</v>
      </c>
      <c r="N474" s="32">
        <v>4.5599999999999996</v>
      </c>
      <c r="O474" s="32">
        <v>154.71800231933594</v>
      </c>
      <c r="P474" s="29">
        <v>1.0607603788375854</v>
      </c>
      <c r="Q474" s="29">
        <v>109.6875</v>
      </c>
      <c r="R474" s="32">
        <v>1.8152999999999999</v>
      </c>
      <c r="S474" s="32">
        <v>1.0564282141113264</v>
      </c>
    </row>
    <row r="475" spans="1:19">
      <c r="A475" s="10">
        <v>45617</v>
      </c>
      <c r="B475" s="32">
        <v>4.34</v>
      </c>
      <c r="C475" s="32">
        <v>4.3</v>
      </c>
      <c r="D475" s="32">
        <v>4.43</v>
      </c>
      <c r="E475" s="32">
        <v>4.68</v>
      </c>
      <c r="F475" s="32">
        <v>4.6100000000000003</v>
      </c>
      <c r="G475" s="32">
        <v>0.57999999999999996</v>
      </c>
      <c r="H475" s="32">
        <v>1.1060000000000001</v>
      </c>
      <c r="I475" s="32">
        <v>1.899</v>
      </c>
      <c r="J475" s="32">
        <v>2.25</v>
      </c>
      <c r="K475" s="32">
        <v>4.57</v>
      </c>
      <c r="L475" s="32">
        <v>4.58</v>
      </c>
      <c r="M475" s="32">
        <v>4.5599999999999996</v>
      </c>
      <c r="N475" s="32">
        <v>4.5599999999999996</v>
      </c>
      <c r="O475" s="32">
        <v>155.29499816894531</v>
      </c>
      <c r="P475" s="29">
        <v>1.0546187162399292</v>
      </c>
      <c r="Q475" s="29">
        <v>109.5</v>
      </c>
      <c r="R475" s="32">
        <v>1.8788</v>
      </c>
      <c r="S475" s="32">
        <v>1.0844917858886713</v>
      </c>
    </row>
    <row r="476" spans="1:19">
      <c r="A476" s="10">
        <v>45618</v>
      </c>
      <c r="B476" s="32">
        <v>4.37</v>
      </c>
      <c r="C476" s="32">
        <v>4.3</v>
      </c>
      <c r="D476" s="32">
        <v>4.41</v>
      </c>
      <c r="E476" s="32">
        <v>4.67</v>
      </c>
      <c r="F476" s="32">
        <v>4.5999999999999996</v>
      </c>
      <c r="G476" s="32">
        <v>0.59</v>
      </c>
      <c r="H476" s="32">
        <v>1.0920000000000001</v>
      </c>
      <c r="I476" s="32">
        <v>1.89</v>
      </c>
      <c r="J476" s="32">
        <v>2.2549999999999999</v>
      </c>
      <c r="K476" s="32">
        <v>4.57</v>
      </c>
      <c r="L476" s="32">
        <v>4.58</v>
      </c>
      <c r="M476" s="32">
        <v>4.5599999999999996</v>
      </c>
      <c r="N476" s="32">
        <v>4.5599999999999996</v>
      </c>
      <c r="O476" s="32">
        <v>154.21800231933594</v>
      </c>
      <c r="P476" s="29">
        <v>1.0469341278076172</v>
      </c>
      <c r="Q476" s="29">
        <v>109.640625</v>
      </c>
      <c r="R476" s="32">
        <v>1.8543000000000001</v>
      </c>
      <c r="S476" s="32">
        <v>1.0757217858886712</v>
      </c>
    </row>
    <row r="477" spans="1:19">
      <c r="A477" s="10">
        <v>45621</v>
      </c>
      <c r="B477" s="32">
        <v>4.21</v>
      </c>
      <c r="C477" s="32">
        <v>4.17</v>
      </c>
      <c r="D477" s="32">
        <v>4.2699999999999996</v>
      </c>
      <c r="E477" s="32">
        <v>4.53</v>
      </c>
      <c r="F477" s="32">
        <v>4.45</v>
      </c>
      <c r="G477" s="32">
        <v>0.59</v>
      </c>
      <c r="H477" s="32">
        <v>1.0840000000000001</v>
      </c>
      <c r="I477" s="32">
        <v>1.881</v>
      </c>
      <c r="J477" s="32">
        <v>2.2549999999999999</v>
      </c>
      <c r="K477" s="32">
        <v>4.58</v>
      </c>
      <c r="L477" s="32">
        <v>4.58</v>
      </c>
      <c r="M477" s="32">
        <v>4.57</v>
      </c>
      <c r="N477" s="32">
        <v>4.57</v>
      </c>
      <c r="O477" s="32">
        <v>154.14599609375</v>
      </c>
      <c r="P477" s="29">
        <v>1.0479873418807983</v>
      </c>
      <c r="Q477" s="29">
        <v>110.53125</v>
      </c>
      <c r="R477" s="32">
        <v>1.8247</v>
      </c>
      <c r="S477" s="32">
        <v>1.1002782141113272</v>
      </c>
    </row>
    <row r="478" spans="1:19">
      <c r="A478" s="10">
        <v>45622</v>
      </c>
      <c r="B478" s="32">
        <v>4.21</v>
      </c>
      <c r="C478" s="32">
        <v>4.17</v>
      </c>
      <c r="D478" s="32">
        <v>4.3</v>
      </c>
      <c r="E478" s="32">
        <v>4.5599999999999996</v>
      </c>
      <c r="F478" s="32">
        <v>4.4800000000000004</v>
      </c>
      <c r="G478" s="32">
        <v>0.59199999999999997</v>
      </c>
      <c r="H478" s="32">
        <v>1.0740000000000001</v>
      </c>
      <c r="I478" s="32">
        <v>1.869</v>
      </c>
      <c r="J478" s="32">
        <v>2.2509999999999999</v>
      </c>
      <c r="K478" s="32">
        <v>4.58</v>
      </c>
      <c r="L478" s="32">
        <v>4.58</v>
      </c>
      <c r="M478" s="32">
        <v>4.57</v>
      </c>
      <c r="N478" s="32">
        <v>4.57</v>
      </c>
      <c r="O478" s="32">
        <v>154.37800598144531</v>
      </c>
      <c r="P478" s="29">
        <v>1.0444300174713135</v>
      </c>
      <c r="Q478" s="29">
        <v>110.328125</v>
      </c>
      <c r="R478" s="32">
        <v>1.6975</v>
      </c>
      <c r="S478" s="32">
        <v>1.0862464282226547</v>
      </c>
    </row>
    <row r="479" spans="1:19">
      <c r="A479" s="10">
        <v>45623</v>
      </c>
      <c r="B479" s="32">
        <v>4.1900000000000004</v>
      </c>
      <c r="C479" s="32">
        <v>4.1100000000000003</v>
      </c>
      <c r="D479" s="32">
        <v>4.25</v>
      </c>
      <c r="E479" s="32">
        <v>4.5199999999999996</v>
      </c>
      <c r="F479" s="32">
        <v>4.4400000000000004</v>
      </c>
      <c r="G479" s="32">
        <v>0.59599999999999997</v>
      </c>
      <c r="H479" s="32">
        <v>1.083</v>
      </c>
      <c r="I479" s="32">
        <v>1.891</v>
      </c>
      <c r="J479" s="32">
        <v>2.2719999999999998</v>
      </c>
      <c r="K479" s="32">
        <v>4.57</v>
      </c>
      <c r="L479" s="32">
        <v>4.58</v>
      </c>
      <c r="M479" s="32">
        <v>4.5599999999999996</v>
      </c>
      <c r="N479" s="32">
        <v>4.5599999999999996</v>
      </c>
      <c r="O479" s="32">
        <v>153.00900268554688</v>
      </c>
      <c r="P479" s="29">
        <v>1.0491198301315308</v>
      </c>
      <c r="Q479" s="29">
        <v>110.734375</v>
      </c>
      <c r="R479" s="32">
        <v>1.7131000000000001</v>
      </c>
      <c r="S479" s="32">
        <v>1.0634435717773432</v>
      </c>
    </row>
    <row r="480" spans="1:19">
      <c r="A480" s="10">
        <v>45625</v>
      </c>
      <c r="B480" s="32">
        <v>4.13</v>
      </c>
      <c r="C480" s="32">
        <v>4.05</v>
      </c>
      <c r="D480" s="32">
        <v>4.18</v>
      </c>
      <c r="E480" s="32">
        <v>4.45</v>
      </c>
      <c r="F480" s="32">
        <v>4.3600000000000003</v>
      </c>
      <c r="G480" s="32">
        <v>0.59899999999999998</v>
      </c>
      <c r="H480" s="32">
        <v>1.0640000000000001</v>
      </c>
      <c r="I480" s="32">
        <v>1.855</v>
      </c>
      <c r="J480" s="32">
        <v>2.2519999999999998</v>
      </c>
      <c r="K480" s="32">
        <v>4.59</v>
      </c>
      <c r="L480" s="32">
        <v>4.58</v>
      </c>
      <c r="M480" s="32">
        <v>4.58</v>
      </c>
      <c r="N480" s="32">
        <v>4.58</v>
      </c>
      <c r="O480" s="32">
        <v>151.17399597167969</v>
      </c>
      <c r="P480" s="29">
        <v>1.0563008785247803</v>
      </c>
      <c r="Q480" s="29">
        <v>111.015625</v>
      </c>
      <c r="R480" s="32">
        <v>1.7000999999999999</v>
      </c>
      <c r="S480" s="32">
        <v>1.0371335717773427</v>
      </c>
    </row>
    <row r="481" spans="1:19">
      <c r="A481" s="10">
        <v>45628</v>
      </c>
      <c r="B481" s="32">
        <v>4.17</v>
      </c>
      <c r="C481" s="32">
        <v>4.08</v>
      </c>
      <c r="D481" s="32">
        <v>4.1900000000000004</v>
      </c>
      <c r="E481" s="32">
        <v>4.46</v>
      </c>
      <c r="F481" s="32">
        <v>4.3600000000000003</v>
      </c>
      <c r="G481" s="32">
        <v>0.62</v>
      </c>
      <c r="H481" s="32">
        <v>1.091</v>
      </c>
      <c r="I481" s="32">
        <v>1.8740000000000001</v>
      </c>
      <c r="J481" s="32">
        <v>2.2559999999999998</v>
      </c>
      <c r="K481" s="32">
        <v>4.6399999999999997</v>
      </c>
      <c r="L481" s="32">
        <v>4.58</v>
      </c>
      <c r="M481" s="32">
        <v>4.5999999999999996</v>
      </c>
      <c r="N481" s="32">
        <v>4.5999999999999996</v>
      </c>
      <c r="O481" s="32">
        <v>149.89799499511719</v>
      </c>
      <c r="P481" s="29">
        <v>1.0545074939727783</v>
      </c>
      <c r="Q481" s="29">
        <v>110.953125</v>
      </c>
      <c r="R481" s="32">
        <v>1.6324000000000001</v>
      </c>
      <c r="S481" s="32">
        <v>1.1178182141113275</v>
      </c>
    </row>
    <row r="482" spans="1:19">
      <c r="A482" s="10">
        <v>45629</v>
      </c>
      <c r="B482" s="32">
        <v>4.17</v>
      </c>
      <c r="C482" s="32">
        <v>4.1100000000000003</v>
      </c>
      <c r="D482" s="32">
        <v>4.2300000000000004</v>
      </c>
      <c r="E482" s="32">
        <v>4.5</v>
      </c>
      <c r="F482" s="32">
        <v>4.4000000000000004</v>
      </c>
      <c r="G482" s="32">
        <v>0.61</v>
      </c>
      <c r="H482" s="32">
        <v>1.091</v>
      </c>
      <c r="I482" s="32">
        <v>1.8740000000000001</v>
      </c>
      <c r="J482" s="32">
        <v>2.2599999999999998</v>
      </c>
      <c r="K482" s="32">
        <v>4.6399999999999997</v>
      </c>
      <c r="L482" s="32">
        <v>4.58</v>
      </c>
      <c r="M482" s="32">
        <v>4.5999999999999996</v>
      </c>
      <c r="N482" s="32">
        <v>4.5999999999999996</v>
      </c>
      <c r="O482" s="32">
        <v>149.50799560546875</v>
      </c>
      <c r="P482" s="29">
        <v>1.0501223802566528</v>
      </c>
      <c r="Q482" s="29">
        <v>110.8125</v>
      </c>
      <c r="R482" s="32">
        <v>1.6273</v>
      </c>
      <c r="S482" s="32">
        <v>1.1002782141113272</v>
      </c>
    </row>
    <row r="483" spans="1:19">
      <c r="A483" s="10">
        <v>45630</v>
      </c>
      <c r="B483" s="32">
        <v>4.13</v>
      </c>
      <c r="C483" s="32">
        <v>4.07</v>
      </c>
      <c r="D483" s="32">
        <v>4.1900000000000004</v>
      </c>
      <c r="E483" s="32">
        <v>4.45</v>
      </c>
      <c r="F483" s="32">
        <v>4.3499999999999996</v>
      </c>
      <c r="G483" s="32">
        <v>0.58499999999999996</v>
      </c>
      <c r="H483" s="32">
        <v>1.0680000000000001</v>
      </c>
      <c r="I483" s="32">
        <v>1.861</v>
      </c>
      <c r="J483" s="32">
        <v>2.2490000000000001</v>
      </c>
      <c r="K483" s="32">
        <v>4.59</v>
      </c>
      <c r="L483" s="32">
        <v>4.58</v>
      </c>
      <c r="M483" s="32">
        <v>4.58</v>
      </c>
      <c r="N483" s="32">
        <v>4.58</v>
      </c>
      <c r="O483" s="32">
        <v>149.64700317382813</v>
      </c>
      <c r="P483" s="29">
        <v>1.0510826110839844</v>
      </c>
      <c r="Q483" s="29">
        <v>111.109375</v>
      </c>
      <c r="R483" s="32">
        <v>1.6209</v>
      </c>
      <c r="S483" s="32">
        <v>1.0564282141113264</v>
      </c>
    </row>
    <row r="484" spans="1:19">
      <c r="A484" s="10">
        <v>45631</v>
      </c>
      <c r="B484" s="32">
        <v>4.1500000000000004</v>
      </c>
      <c r="C484" s="32">
        <v>4.07</v>
      </c>
      <c r="D484" s="32">
        <v>4.17</v>
      </c>
      <c r="E484" s="32">
        <v>4.43</v>
      </c>
      <c r="F484" s="32">
        <v>4.33</v>
      </c>
      <c r="G484" s="32">
        <v>0.6</v>
      </c>
      <c r="H484" s="32">
        <v>1.0820000000000001</v>
      </c>
      <c r="I484" s="32">
        <v>1.875</v>
      </c>
      <c r="J484" s="32">
        <v>2.2570000000000001</v>
      </c>
      <c r="K484" s="32">
        <v>4.59</v>
      </c>
      <c r="L484" s="32">
        <v>4.58</v>
      </c>
      <c r="M484" s="32">
        <v>4.57</v>
      </c>
      <c r="N484" s="32">
        <v>4.57</v>
      </c>
      <c r="O484" s="32">
        <v>150.56700134277344</v>
      </c>
      <c r="P484" s="29">
        <v>1.0514141321182251</v>
      </c>
      <c r="Q484" s="29">
        <v>111.0625</v>
      </c>
      <c r="R484" s="32">
        <v>1.6466000000000001</v>
      </c>
      <c r="S484" s="32">
        <v>1.0809835717773417</v>
      </c>
    </row>
    <row r="485" spans="1:19">
      <c r="A485" s="10">
        <v>45632</v>
      </c>
      <c r="B485" s="32">
        <v>4.0999999999999996</v>
      </c>
      <c r="C485" s="32">
        <v>4.03</v>
      </c>
      <c r="D485" s="32">
        <v>4.1500000000000004</v>
      </c>
      <c r="E485" s="32">
        <v>4.42</v>
      </c>
      <c r="F485" s="32">
        <v>4.34</v>
      </c>
      <c r="G485" s="32">
        <v>0.59</v>
      </c>
      <c r="H485" s="32">
        <v>1.0680000000000001</v>
      </c>
      <c r="I485" s="32">
        <v>1.861</v>
      </c>
      <c r="J485" s="32">
        <v>2.2360000000000002</v>
      </c>
      <c r="K485" s="32">
        <v>4.5999999999999996</v>
      </c>
      <c r="L485" s="32">
        <v>4.58</v>
      </c>
      <c r="M485" s="32">
        <v>4.58</v>
      </c>
      <c r="N485" s="32">
        <v>4.58</v>
      </c>
      <c r="O485" s="32">
        <v>150.20700073242188</v>
      </c>
      <c r="P485" s="29">
        <v>1.0585595369338989</v>
      </c>
      <c r="Q485" s="29">
        <v>111.328125</v>
      </c>
      <c r="R485" s="32">
        <v>1.6444000000000001</v>
      </c>
      <c r="S485" s="32">
        <v>1.0371335717773427</v>
      </c>
    </row>
    <row r="486" spans="1:19">
      <c r="A486" s="10">
        <v>45635</v>
      </c>
      <c r="B486" s="32">
        <v>4.13</v>
      </c>
      <c r="C486" s="32">
        <v>4.07</v>
      </c>
      <c r="D486" s="32">
        <v>4.2</v>
      </c>
      <c r="E486" s="32">
        <v>4.47</v>
      </c>
      <c r="F486" s="32">
        <v>4.3899999999999997</v>
      </c>
      <c r="G486" s="32">
        <v>0.57499999999999996</v>
      </c>
      <c r="H486" s="32">
        <v>1.054</v>
      </c>
      <c r="I486" s="32">
        <v>1.849</v>
      </c>
      <c r="J486" s="32">
        <v>2.2280000000000002</v>
      </c>
      <c r="K486" s="32">
        <v>4.63</v>
      </c>
      <c r="L486" s="32">
        <v>4.58</v>
      </c>
      <c r="M486" s="32">
        <v>4.5999999999999996</v>
      </c>
      <c r="N486" s="32">
        <v>4.5999999999999996</v>
      </c>
      <c r="O486" s="32">
        <v>150.02999877929688</v>
      </c>
      <c r="P486" s="29">
        <v>1.0565463304519653</v>
      </c>
      <c r="Q486" s="29">
        <v>111.0625</v>
      </c>
      <c r="R486" s="32">
        <v>1.6371</v>
      </c>
      <c r="S486" s="32">
        <v>1.007316428222655</v>
      </c>
    </row>
    <row r="487" spans="1:19">
      <c r="A487" s="10">
        <v>45636</v>
      </c>
      <c r="B487" s="32">
        <v>4.1500000000000004</v>
      </c>
      <c r="C487" s="32">
        <v>4.09</v>
      </c>
      <c r="D487" s="32">
        <v>4.22</v>
      </c>
      <c r="E487" s="32">
        <v>4.49</v>
      </c>
      <c r="F487" s="32">
        <v>4.41</v>
      </c>
      <c r="G487" s="32">
        <v>0.58499999999999996</v>
      </c>
      <c r="H487" s="32">
        <v>1.0780000000000001</v>
      </c>
      <c r="I487" s="32">
        <v>1.8660000000000001</v>
      </c>
      <c r="J487" s="32">
        <v>2.2320000000000002</v>
      </c>
      <c r="K487" s="32">
        <v>4.6399999999999997</v>
      </c>
      <c r="L487" s="32">
        <v>4.58</v>
      </c>
      <c r="M487" s="32">
        <v>4.6100000000000003</v>
      </c>
      <c r="N487" s="32">
        <v>4.6100000000000003</v>
      </c>
      <c r="O487" s="32">
        <v>151.40800476074219</v>
      </c>
      <c r="P487" s="29">
        <v>1.0555204153060913</v>
      </c>
      <c r="Q487" s="29">
        <v>110.875</v>
      </c>
      <c r="R487" s="32">
        <v>1.6641999999999999</v>
      </c>
      <c r="S487" s="32">
        <v>1.0651982141113265</v>
      </c>
    </row>
    <row r="488" spans="1:19">
      <c r="A488" s="10">
        <v>45637</v>
      </c>
      <c r="B488" s="32">
        <v>4.1500000000000004</v>
      </c>
      <c r="C488" s="32">
        <v>4.13</v>
      </c>
      <c r="D488" s="32">
        <v>4.26</v>
      </c>
      <c r="E488" s="32">
        <v>4.55</v>
      </c>
      <c r="F488" s="32">
        <v>4.4800000000000004</v>
      </c>
      <c r="G488" s="32">
        <v>0.59099999999999997</v>
      </c>
      <c r="H488" s="32">
        <v>1.083</v>
      </c>
      <c r="I488" s="32">
        <v>1.8660000000000001</v>
      </c>
      <c r="J488" s="32">
        <v>2.2309999999999999</v>
      </c>
      <c r="K488" s="32">
        <v>4.62</v>
      </c>
      <c r="L488" s="32">
        <v>4.58</v>
      </c>
      <c r="M488" s="32">
        <v>4.5999999999999996</v>
      </c>
      <c r="N488" s="32">
        <v>4.5999999999999996</v>
      </c>
      <c r="O488" s="32">
        <v>151.8070068359375</v>
      </c>
      <c r="P488" s="29">
        <v>1.0532968044281006</v>
      </c>
      <c r="Q488" s="29">
        <v>110.609375</v>
      </c>
      <c r="R488" s="32">
        <v>1.7166999999999999</v>
      </c>
      <c r="S488" s="32">
        <v>1.0283635717773425</v>
      </c>
    </row>
    <row r="489" spans="1:19">
      <c r="A489" s="10">
        <v>45638</v>
      </c>
      <c r="B489" s="32">
        <v>4.18</v>
      </c>
      <c r="C489" s="32">
        <v>4.18</v>
      </c>
      <c r="D489" s="32">
        <v>4.32</v>
      </c>
      <c r="E489" s="32">
        <v>4.62</v>
      </c>
      <c r="F489" s="32">
        <v>4.55</v>
      </c>
      <c r="G489" s="32">
        <v>0.57899999999999996</v>
      </c>
      <c r="H489" s="32">
        <v>1.0649999999999999</v>
      </c>
      <c r="I489" s="32">
        <v>1.853</v>
      </c>
      <c r="J489" s="32">
        <v>2.2170000000000001</v>
      </c>
      <c r="K489" s="32">
        <v>4.62</v>
      </c>
      <c r="L489" s="32">
        <v>4.58</v>
      </c>
      <c r="M489" s="32">
        <v>4.5999999999999996</v>
      </c>
      <c r="N489" s="32">
        <v>4.5999999999999996</v>
      </c>
      <c r="O489" s="32">
        <v>152.2449951171875</v>
      </c>
      <c r="P489" s="29">
        <v>1.0506850481033325</v>
      </c>
      <c r="Q489" s="29">
        <v>110.3125</v>
      </c>
      <c r="R489" s="32">
        <v>1.7517</v>
      </c>
      <c r="S489" s="32">
        <v>1.0459035717773428</v>
      </c>
    </row>
    <row r="490" spans="1:19">
      <c r="A490" s="10">
        <v>45639</v>
      </c>
      <c r="B490" s="32">
        <v>4.25</v>
      </c>
      <c r="C490" s="32">
        <v>4.25</v>
      </c>
      <c r="D490" s="32">
        <v>4.4000000000000004</v>
      </c>
      <c r="E490" s="32">
        <v>4.6900000000000004</v>
      </c>
      <c r="F490" s="32">
        <v>4.6100000000000003</v>
      </c>
      <c r="G490" s="32">
        <v>0.56399999999999995</v>
      </c>
      <c r="H490" s="32">
        <v>1.0549999999999999</v>
      </c>
      <c r="I490" s="32">
        <v>1.8480000000000001</v>
      </c>
      <c r="J490" s="32">
        <v>2.2200000000000002</v>
      </c>
      <c r="K490" s="32">
        <v>4.5999999999999996</v>
      </c>
      <c r="L490" s="32">
        <v>4.58</v>
      </c>
      <c r="M490" s="32">
        <v>4.59</v>
      </c>
      <c r="N490" s="32">
        <v>4.59</v>
      </c>
      <c r="O490" s="32">
        <v>152.58700561523438</v>
      </c>
      <c r="P490" s="29">
        <v>1.0474056005477905</v>
      </c>
      <c r="Q490" s="29">
        <v>109.828125</v>
      </c>
      <c r="R490" s="32">
        <v>1.7577</v>
      </c>
      <c r="S490" s="32">
        <v>1.0090699999999995</v>
      </c>
    </row>
    <row r="491" spans="1:19">
      <c r="A491" s="10">
        <v>45642</v>
      </c>
      <c r="B491" s="32">
        <v>4.25</v>
      </c>
      <c r="C491" s="32">
        <v>4.25</v>
      </c>
      <c r="D491" s="32">
        <v>4.3899999999999997</v>
      </c>
      <c r="E491" s="32">
        <v>4.68</v>
      </c>
      <c r="F491" s="32">
        <v>4.5999999999999996</v>
      </c>
      <c r="G491" s="32">
        <v>0.58499999999999996</v>
      </c>
      <c r="H491" s="32">
        <v>1.0840000000000001</v>
      </c>
      <c r="I491" s="32">
        <v>1.8839999999999999</v>
      </c>
      <c r="J491" s="32">
        <v>2.2530000000000001</v>
      </c>
      <c r="K491" s="32">
        <v>4.6500000000000004</v>
      </c>
      <c r="L491" s="32">
        <v>4.58</v>
      </c>
      <c r="M491" s="32">
        <v>4.6100000000000003</v>
      </c>
      <c r="N491" s="32">
        <v>4.6100000000000003</v>
      </c>
      <c r="O491" s="32">
        <v>153.4530029296875</v>
      </c>
      <c r="P491" s="29">
        <v>1.0510052442550659</v>
      </c>
      <c r="Q491" s="29">
        <v>109.8125</v>
      </c>
      <c r="R491" s="32">
        <v>1.7434000000000001</v>
      </c>
      <c r="S491" s="32">
        <v>1.0301182141113276</v>
      </c>
    </row>
    <row r="492" spans="1:19">
      <c r="A492" s="10">
        <v>45643</v>
      </c>
      <c r="B492" s="32">
        <v>4.25</v>
      </c>
      <c r="C492" s="32">
        <v>4.26</v>
      </c>
      <c r="D492" s="32">
        <v>4.4000000000000004</v>
      </c>
      <c r="E492" s="32">
        <v>4.68</v>
      </c>
      <c r="F492" s="32">
        <v>4.59</v>
      </c>
      <c r="G492" s="32">
        <v>0.59499999999999997</v>
      </c>
      <c r="H492" s="32">
        <v>1.0940000000000001</v>
      </c>
      <c r="I492" s="32">
        <v>1.889</v>
      </c>
      <c r="J492" s="32">
        <v>2.2639999999999998</v>
      </c>
      <c r="K492" s="32">
        <v>4.62</v>
      </c>
      <c r="L492" s="32">
        <v>4.58</v>
      </c>
      <c r="M492" s="32">
        <v>4.59</v>
      </c>
      <c r="N492" s="32">
        <v>4.59</v>
      </c>
      <c r="O492" s="32">
        <v>154.08599853515625</v>
      </c>
      <c r="P492" s="29">
        <v>1.0517348051071167</v>
      </c>
      <c r="Q492" s="29">
        <v>109.890625</v>
      </c>
      <c r="R492" s="32">
        <v>1.8127</v>
      </c>
      <c r="S492" s="32">
        <v>1.0599364282226542</v>
      </c>
    </row>
    <row r="493" spans="1:19">
      <c r="A493" s="10">
        <v>45644</v>
      </c>
      <c r="B493" s="32">
        <v>4.3499999999999996</v>
      </c>
      <c r="C493" s="32">
        <v>4.4000000000000004</v>
      </c>
      <c r="D493" s="32">
        <v>4.5</v>
      </c>
      <c r="E493" s="32">
        <v>4.74</v>
      </c>
      <c r="F493" s="32">
        <v>4.6500000000000004</v>
      </c>
      <c r="G493" s="32">
        <v>0.58899999999999997</v>
      </c>
      <c r="H493" s="32">
        <v>1.079</v>
      </c>
      <c r="I493" s="32">
        <v>1.8759999999999999</v>
      </c>
      <c r="J493" s="32">
        <v>2.2400000000000002</v>
      </c>
      <c r="K493" s="32">
        <v>4.57</v>
      </c>
      <c r="L493" s="32">
        <v>4.58</v>
      </c>
      <c r="M493" s="32">
        <v>4.5599999999999996</v>
      </c>
      <c r="N493" s="32">
        <v>4.5599999999999996</v>
      </c>
      <c r="O493" s="32">
        <v>153.57200622558594</v>
      </c>
      <c r="P493" s="29">
        <v>1.0495051145553589</v>
      </c>
      <c r="Q493" s="29">
        <v>109.0625</v>
      </c>
      <c r="R493" s="32">
        <v>1.8274999999999999</v>
      </c>
      <c r="S493" s="32">
        <v>1.0634435717773432</v>
      </c>
    </row>
    <row r="494" spans="1:19">
      <c r="A494" s="10">
        <v>45645</v>
      </c>
      <c r="B494" s="32">
        <v>4.32</v>
      </c>
      <c r="C494" s="32">
        <v>4.43</v>
      </c>
      <c r="D494" s="32">
        <v>4.57</v>
      </c>
      <c r="E494" s="32">
        <v>4.82</v>
      </c>
      <c r="F494" s="32">
        <v>4.74</v>
      </c>
      <c r="G494" s="32">
        <v>0.60599999999999998</v>
      </c>
      <c r="H494" s="32">
        <v>1.097</v>
      </c>
      <c r="I494" s="32">
        <v>1.881</v>
      </c>
      <c r="J494" s="32">
        <v>2.2450000000000001</v>
      </c>
      <c r="K494" s="32">
        <v>4.3</v>
      </c>
      <c r="L494" s="32">
        <v>4.33</v>
      </c>
      <c r="M494" s="32">
        <v>4.26</v>
      </c>
      <c r="N494" s="32">
        <v>4.2699999999999996</v>
      </c>
      <c r="O494" s="32">
        <v>154.67300415039063</v>
      </c>
      <c r="P494" s="29">
        <v>1.0350252389907837</v>
      </c>
      <c r="Q494" s="29">
        <v>108.703125</v>
      </c>
      <c r="R494" s="32">
        <v>1.8274999999999999</v>
      </c>
      <c r="S494" s="32">
        <v>1.054673571777343</v>
      </c>
    </row>
    <row r="495" spans="1:19">
      <c r="A495" s="10">
        <v>45646</v>
      </c>
      <c r="B495" s="32">
        <v>4.3</v>
      </c>
      <c r="C495" s="32">
        <v>4.37</v>
      </c>
      <c r="D495" s="32">
        <v>4.5199999999999996</v>
      </c>
      <c r="E495" s="32">
        <v>4.79</v>
      </c>
      <c r="F495" s="32">
        <v>4.72</v>
      </c>
      <c r="G495" s="32">
        <v>0.57599999999999996</v>
      </c>
      <c r="H495" s="32">
        <v>1.07</v>
      </c>
      <c r="I495" s="32">
        <v>1.855</v>
      </c>
      <c r="J495" s="32">
        <v>2.2290000000000001</v>
      </c>
      <c r="K495" s="32">
        <v>4.3</v>
      </c>
      <c r="L495" s="32">
        <v>4.33</v>
      </c>
      <c r="M495" s="32">
        <v>4.28</v>
      </c>
      <c r="N495" s="32">
        <v>4.28</v>
      </c>
      <c r="O495" s="32">
        <v>157.64399719238281</v>
      </c>
      <c r="P495" s="29">
        <v>1.0364949703216553</v>
      </c>
      <c r="Q495" s="29">
        <v>108.96875</v>
      </c>
      <c r="R495" s="32">
        <v>1.8963000000000001</v>
      </c>
      <c r="S495" s="32">
        <v>1.0160864282226552</v>
      </c>
    </row>
    <row r="496" spans="1:19">
      <c r="A496" s="10">
        <v>45649</v>
      </c>
      <c r="B496" s="32">
        <v>4.3</v>
      </c>
      <c r="C496" s="32">
        <v>4.4400000000000004</v>
      </c>
      <c r="D496" s="32">
        <v>4.59</v>
      </c>
      <c r="E496" s="32">
        <v>4.8499999999999996</v>
      </c>
      <c r="F496" s="32">
        <v>4.78</v>
      </c>
      <c r="G496" s="32">
        <v>0.58799999999999997</v>
      </c>
      <c r="H496" s="32">
        <v>1.081</v>
      </c>
      <c r="I496" s="32">
        <v>1.871</v>
      </c>
      <c r="J496" s="32">
        <v>2.2360000000000002</v>
      </c>
      <c r="K496" s="32">
        <v>4.3099999999999996</v>
      </c>
      <c r="L496" s="32">
        <v>4.33</v>
      </c>
      <c r="M496" s="32">
        <v>4.29</v>
      </c>
      <c r="N496" s="32">
        <v>4.29</v>
      </c>
      <c r="O496" s="32">
        <v>156.53300476074219</v>
      </c>
      <c r="P496" s="29">
        <v>1.0433076620101929</v>
      </c>
      <c r="Q496" s="29">
        <v>108.46875</v>
      </c>
      <c r="R496" s="32">
        <v>1.8425</v>
      </c>
      <c r="S496" s="32">
        <v>1.0301182141113276</v>
      </c>
    </row>
    <row r="497" spans="1:19">
      <c r="A497" s="10">
        <v>45650</v>
      </c>
      <c r="B497" s="32">
        <v>4.29</v>
      </c>
      <c r="C497" s="32">
        <v>4.43</v>
      </c>
      <c r="D497" s="32">
        <v>4.59</v>
      </c>
      <c r="E497" s="32">
        <v>4.84</v>
      </c>
      <c r="F497" s="32">
        <v>4.76</v>
      </c>
      <c r="G497" s="32">
        <v>0.58799999999999997</v>
      </c>
      <c r="H497" s="32">
        <v>1.0860000000000001</v>
      </c>
      <c r="I497" s="32">
        <v>1.863</v>
      </c>
      <c r="J497" s="32">
        <v>2.2280000000000002</v>
      </c>
      <c r="K497" s="32">
        <v>4.4000000000000004</v>
      </c>
      <c r="L497" s="32">
        <v>4.33</v>
      </c>
      <c r="M497" s="32">
        <v>4.3899999999999997</v>
      </c>
      <c r="N497" s="32">
        <v>4.3899999999999997</v>
      </c>
      <c r="O497" s="32">
        <v>157.16499328613281</v>
      </c>
      <c r="P497" s="29">
        <v>1.0405826568603516</v>
      </c>
      <c r="Q497" s="29">
        <v>108.5625</v>
      </c>
      <c r="R497" s="32">
        <v>1.8486</v>
      </c>
      <c r="S497" s="32">
        <v>1.0283635717773425</v>
      </c>
    </row>
    <row r="498" spans="1:19">
      <c r="A498" s="10">
        <v>45652</v>
      </c>
      <c r="B498" s="32">
        <v>4.3</v>
      </c>
      <c r="C498" s="32">
        <v>4.42</v>
      </c>
      <c r="D498" s="32">
        <v>4.58</v>
      </c>
      <c r="E498" s="32">
        <v>4.83</v>
      </c>
      <c r="F498" s="32">
        <v>4.76</v>
      </c>
      <c r="G498" s="32">
        <v>0.60199999999999998</v>
      </c>
      <c r="H498" s="32">
        <v>1.103</v>
      </c>
      <c r="I498" s="32">
        <v>1.873</v>
      </c>
      <c r="J498" s="32">
        <v>2.2309999999999999</v>
      </c>
      <c r="K498" s="32">
        <v>4.53</v>
      </c>
      <c r="L498" s="32">
        <v>4.33</v>
      </c>
      <c r="M498" s="32">
        <v>4.5</v>
      </c>
      <c r="N498" s="32">
        <v>4.5</v>
      </c>
      <c r="O498" s="32">
        <v>157.13299560546875</v>
      </c>
      <c r="P498" s="29">
        <v>1.0399551391601563</v>
      </c>
      <c r="Q498" s="29">
        <v>108.65625</v>
      </c>
      <c r="R498" s="32">
        <v>1.8599000000000001</v>
      </c>
      <c r="S498" s="32">
        <v>1.0476582141113262</v>
      </c>
    </row>
    <row r="499" spans="1:19">
      <c r="A499" s="10">
        <v>45653</v>
      </c>
      <c r="B499" s="32">
        <v>4.3099999999999996</v>
      </c>
      <c r="C499" s="32">
        <v>4.45</v>
      </c>
      <c r="D499" s="32">
        <v>4.62</v>
      </c>
      <c r="E499" s="32">
        <v>4.8899999999999997</v>
      </c>
      <c r="F499" s="32">
        <v>4.82</v>
      </c>
      <c r="G499" s="32">
        <v>0.60199999999999998</v>
      </c>
      <c r="H499" s="32">
        <v>1.119</v>
      </c>
      <c r="I499" s="32">
        <v>1.8979999999999999</v>
      </c>
      <c r="J499" s="32">
        <v>2.2589999999999999</v>
      </c>
      <c r="K499" s="32">
        <v>4.46</v>
      </c>
      <c r="L499" s="32">
        <v>4.33</v>
      </c>
      <c r="M499" s="32">
        <v>4.45</v>
      </c>
      <c r="N499" s="32">
        <v>4.45</v>
      </c>
      <c r="O499" s="32">
        <v>157.74800109863281</v>
      </c>
      <c r="P499" s="29">
        <v>1.0423181056976318</v>
      </c>
      <c r="Q499" s="29">
        <v>108.4375</v>
      </c>
      <c r="R499" s="32">
        <v>1.8599000000000001</v>
      </c>
      <c r="S499" s="32">
        <v>1.0529199999999985</v>
      </c>
    </row>
    <row r="500" spans="1:19">
      <c r="A500" s="10">
        <v>45656</v>
      </c>
      <c r="B500" s="32">
        <v>4.24</v>
      </c>
      <c r="C500" s="32">
        <v>4.37</v>
      </c>
      <c r="D500" s="32">
        <v>4.55</v>
      </c>
      <c r="E500" s="32">
        <v>4.84</v>
      </c>
      <c r="F500" s="32">
        <v>4.7699999999999996</v>
      </c>
      <c r="G500" s="32">
        <v>0.59899999999999998</v>
      </c>
      <c r="H500" s="32">
        <v>1.111</v>
      </c>
      <c r="I500" s="32">
        <v>1.89</v>
      </c>
      <c r="J500" s="32">
        <v>2.2519999999999998</v>
      </c>
      <c r="K500" s="32">
        <v>4.37</v>
      </c>
      <c r="L500" s="32">
        <v>4.33</v>
      </c>
      <c r="M500" s="32">
        <v>4.3499999999999996</v>
      </c>
      <c r="N500" s="32">
        <v>4.3499999999999996</v>
      </c>
      <c r="O500" s="32">
        <v>157.87300109863281</v>
      </c>
      <c r="P500" s="29">
        <v>1.0429377555847168</v>
      </c>
      <c r="Q500" s="29">
        <v>108.96875</v>
      </c>
      <c r="R500" s="32">
        <v>1.9362999999999999</v>
      </c>
      <c r="S500" s="32">
        <v>1.0529199999999985</v>
      </c>
    </row>
    <row r="501" spans="1:19">
      <c r="A501" s="10">
        <v>45657</v>
      </c>
      <c r="B501" s="32">
        <v>4.25</v>
      </c>
      <c r="C501" s="32">
        <v>4.38</v>
      </c>
      <c r="D501" s="32">
        <v>4.58</v>
      </c>
      <c r="E501" s="32">
        <v>4.8600000000000003</v>
      </c>
      <c r="F501" s="32">
        <v>4.78</v>
      </c>
      <c r="G501" s="32">
        <v>0.59899999999999998</v>
      </c>
      <c r="H501" s="32">
        <v>1.111</v>
      </c>
      <c r="I501" s="32">
        <v>1.89</v>
      </c>
      <c r="J501" s="32">
        <v>2.2519999999999998</v>
      </c>
      <c r="K501" s="32">
        <v>4.49</v>
      </c>
      <c r="L501" s="32">
        <v>4.33</v>
      </c>
      <c r="M501" s="32">
        <v>4.45</v>
      </c>
      <c r="N501" s="32">
        <v>4.45</v>
      </c>
      <c r="O501" s="32">
        <v>156.9949951171875</v>
      </c>
      <c r="P501" s="29">
        <v>1.0406152009963989</v>
      </c>
      <c r="Q501" s="29">
        <v>108.75</v>
      </c>
      <c r="R501" s="32">
        <v>1.8940999999999999</v>
      </c>
      <c r="S501" s="32">
        <v>1.0529199999999985</v>
      </c>
    </row>
    <row r="502" spans="1:19">
      <c r="A502" s="10">
        <v>45659</v>
      </c>
      <c r="B502" s="32">
        <v>4.25</v>
      </c>
      <c r="C502" s="32">
        <v>4.38</v>
      </c>
      <c r="D502" s="32">
        <v>4.57</v>
      </c>
      <c r="E502" s="32">
        <v>4.8600000000000003</v>
      </c>
      <c r="F502" s="32">
        <v>4.79</v>
      </c>
      <c r="G502" s="32">
        <v>0.59899999999999998</v>
      </c>
      <c r="H502" s="32">
        <v>1.111</v>
      </c>
      <c r="I502" s="32">
        <v>1.89</v>
      </c>
      <c r="J502" s="32">
        <v>2.2519999999999998</v>
      </c>
      <c r="K502" s="32">
        <v>4.4000000000000004</v>
      </c>
      <c r="L502" s="32">
        <v>4.33</v>
      </c>
      <c r="M502" s="32">
        <v>4.3600000000000003</v>
      </c>
      <c r="N502" s="32">
        <v>4.3600000000000003</v>
      </c>
      <c r="O502" s="32">
        <v>157.718994140625</v>
      </c>
      <c r="P502" s="29">
        <v>1.0351860523223877</v>
      </c>
      <c r="Q502" s="29">
        <v>108.8125</v>
      </c>
      <c r="R502" s="32">
        <v>1.8801000000000001</v>
      </c>
      <c r="S502" s="32">
        <v>1.0529199999999985</v>
      </c>
    </row>
    <row r="503" spans="1:19">
      <c r="A503" s="10">
        <v>45660</v>
      </c>
      <c r="B503" s="32">
        <v>4.28</v>
      </c>
      <c r="C503" s="32">
        <v>4.41</v>
      </c>
      <c r="D503" s="32">
        <v>4.5999999999999996</v>
      </c>
      <c r="E503" s="32">
        <v>4.88</v>
      </c>
      <c r="F503" s="32">
        <v>4.82</v>
      </c>
      <c r="G503" s="32">
        <v>0.59899999999999998</v>
      </c>
      <c r="H503" s="32">
        <v>1.111</v>
      </c>
      <c r="I503" s="32">
        <v>1.89</v>
      </c>
      <c r="J503" s="32">
        <v>2.2519999999999998</v>
      </c>
      <c r="K503" s="32">
        <v>4.3099999999999996</v>
      </c>
      <c r="L503" s="32">
        <v>4.33</v>
      </c>
      <c r="M503" s="32">
        <v>4.29</v>
      </c>
      <c r="N503" s="32">
        <v>4.29</v>
      </c>
      <c r="O503" s="32">
        <v>157.36199951171875</v>
      </c>
      <c r="P503" s="29">
        <v>1.0268205404281616</v>
      </c>
      <c r="Q503" s="29">
        <v>108.640625</v>
      </c>
      <c r="R503" s="32">
        <v>1.9147000000000001</v>
      </c>
      <c r="S503" s="32">
        <v>1.0529199999999985</v>
      </c>
    </row>
    <row r="504" spans="1:19">
      <c r="A504" s="10">
        <v>45663</v>
      </c>
      <c r="B504" s="32">
        <v>4.28</v>
      </c>
      <c r="C504" s="32">
        <v>4.42</v>
      </c>
      <c r="D504" s="32">
        <v>4.62</v>
      </c>
      <c r="E504" s="32">
        <v>4.91</v>
      </c>
      <c r="F504" s="32">
        <v>4.8499999999999996</v>
      </c>
      <c r="G504" s="32">
        <v>0.626</v>
      </c>
      <c r="H504" s="32">
        <v>1.145</v>
      </c>
      <c r="I504" s="32">
        <v>1.915</v>
      </c>
      <c r="J504" s="32">
        <v>2.274</v>
      </c>
      <c r="K504" s="32">
        <v>4.2699999999999996</v>
      </c>
      <c r="L504" s="32">
        <v>4.33</v>
      </c>
      <c r="M504" s="32">
        <v>4.26</v>
      </c>
      <c r="N504" s="32">
        <v>4.26</v>
      </c>
      <c r="O504" s="32">
        <v>157.48100280761719</v>
      </c>
      <c r="P504" s="29">
        <v>1.0305347442626953</v>
      </c>
      <c r="Q504" s="29">
        <v>108.53125</v>
      </c>
      <c r="R504" s="32">
        <v>1.9584999999999999</v>
      </c>
      <c r="S504" s="32">
        <v>1.0809835717773417</v>
      </c>
    </row>
    <row r="505" spans="1:19">
      <c r="A505" s="10">
        <v>45664</v>
      </c>
      <c r="B505" s="32">
        <v>4.3</v>
      </c>
      <c r="C505" s="32">
        <v>4.46</v>
      </c>
      <c r="D505" s="32">
        <v>4.67</v>
      </c>
      <c r="E505" s="32">
        <v>4.97</v>
      </c>
      <c r="F505" s="32">
        <v>4.91</v>
      </c>
      <c r="G505" s="32">
        <v>0.63200000000000001</v>
      </c>
      <c r="H505" s="32">
        <v>1.1479999999999999</v>
      </c>
      <c r="I505" s="32">
        <v>1.9159999999999999</v>
      </c>
      <c r="J505" s="32">
        <v>2.278</v>
      </c>
      <c r="K505" s="32">
        <v>4.2699999999999996</v>
      </c>
      <c r="L505" s="32">
        <v>4.33</v>
      </c>
      <c r="M505" s="32">
        <v>4.26</v>
      </c>
      <c r="N505" s="32">
        <v>4.26</v>
      </c>
      <c r="O505" s="32">
        <v>157.74299621582031</v>
      </c>
      <c r="P505" s="29">
        <v>1.0386372804641724</v>
      </c>
      <c r="Q505" s="29">
        <v>108.171875</v>
      </c>
      <c r="R505" s="32">
        <v>1.9576</v>
      </c>
      <c r="S505" s="32">
        <v>1.0844917858886713</v>
      </c>
    </row>
    <row r="506" spans="1:19">
      <c r="A506" s="10">
        <v>45665</v>
      </c>
      <c r="B506" s="32">
        <v>4.28</v>
      </c>
      <c r="C506" s="32">
        <v>4.45</v>
      </c>
      <c r="D506" s="32">
        <v>4.67</v>
      </c>
      <c r="E506" s="32">
        <v>4.97</v>
      </c>
      <c r="F506" s="32">
        <v>4.91</v>
      </c>
      <c r="G506" s="32">
        <v>0.64800000000000002</v>
      </c>
      <c r="H506" s="32">
        <v>1.1819999999999999</v>
      </c>
      <c r="I506" s="32">
        <v>1.9510000000000001</v>
      </c>
      <c r="J506" s="32">
        <v>2.294</v>
      </c>
      <c r="K506" s="32">
        <v>4.29</v>
      </c>
      <c r="L506" s="32">
        <v>4.33</v>
      </c>
      <c r="M506" s="32">
        <v>4.2699999999999996</v>
      </c>
      <c r="N506" s="32">
        <v>4.2699999999999996</v>
      </c>
      <c r="O506" s="32">
        <v>158.23599243164063</v>
      </c>
      <c r="P506" s="29">
        <v>1.034554123878479</v>
      </c>
      <c r="Q506" s="29">
        <v>108.140625</v>
      </c>
      <c r="R506" s="32">
        <v>1.9981</v>
      </c>
      <c r="S506" s="32">
        <v>1.1897317858886698</v>
      </c>
    </row>
    <row r="507" spans="1:19">
      <c r="A507" s="10">
        <v>45666</v>
      </c>
      <c r="B507" s="32">
        <v>4.2699999999999996</v>
      </c>
      <c r="C507" s="32">
        <v>4.46</v>
      </c>
      <c r="D507" s="32">
        <v>4.68</v>
      </c>
      <c r="E507" s="32">
        <v>4.9800000000000004</v>
      </c>
      <c r="F507" s="32">
        <v>4.92</v>
      </c>
      <c r="G507" s="32">
        <v>0.64300000000000002</v>
      </c>
      <c r="H507" s="32">
        <v>1.1779999999999999</v>
      </c>
      <c r="I507" s="32">
        <v>1.9330000000000001</v>
      </c>
      <c r="J507" s="32">
        <v>2.2850000000000001</v>
      </c>
      <c r="K507" s="32">
        <v>4.3</v>
      </c>
      <c r="L507" s="32">
        <v>4.33</v>
      </c>
      <c r="M507" s="32">
        <v>4.28</v>
      </c>
      <c r="N507" s="32">
        <v>4.28</v>
      </c>
      <c r="O507" s="32">
        <v>158.19200134277344</v>
      </c>
      <c r="P507" s="29">
        <v>1.0314701795578003</v>
      </c>
      <c r="Q507" s="29">
        <v>108.21875</v>
      </c>
      <c r="R507" s="32">
        <v>1.9706999999999999</v>
      </c>
      <c r="S507" s="32">
        <v>1.1581599999999987</v>
      </c>
    </row>
    <row r="508" spans="1:19">
      <c r="A508" s="10">
        <v>45667</v>
      </c>
      <c r="B508" s="32">
        <v>4.4000000000000004</v>
      </c>
      <c r="C508" s="32">
        <v>4.59</v>
      </c>
      <c r="D508" s="32">
        <v>4.7699999999999996</v>
      </c>
      <c r="E508" s="32">
        <v>5.04</v>
      </c>
      <c r="F508" s="32">
        <v>4.96</v>
      </c>
      <c r="G508" s="32">
        <v>0.64900000000000002</v>
      </c>
      <c r="H508" s="32">
        <v>1.202</v>
      </c>
      <c r="I508" s="32">
        <v>1.9590000000000001</v>
      </c>
      <c r="J508" s="32">
        <v>2.3010000000000002</v>
      </c>
      <c r="K508" s="32">
        <v>4.3</v>
      </c>
      <c r="L508" s="32">
        <v>4.33</v>
      </c>
      <c r="M508" s="32">
        <v>4.29</v>
      </c>
      <c r="N508" s="32">
        <v>4.29</v>
      </c>
      <c r="O508" s="32">
        <v>158.04800415039063</v>
      </c>
      <c r="P508" s="29">
        <v>1.0297601222991943</v>
      </c>
      <c r="Q508" s="29">
        <v>107.390625</v>
      </c>
      <c r="R508" s="32">
        <v>1.9341999999999999</v>
      </c>
      <c r="S508" s="32">
        <v>1.1406199999999984</v>
      </c>
    </row>
    <row r="509" spans="1:19">
      <c r="A509" s="10">
        <v>45670</v>
      </c>
      <c r="B509" s="32">
        <v>4.4000000000000004</v>
      </c>
      <c r="C509" s="32">
        <v>4.6100000000000003</v>
      </c>
      <c r="D509" s="32">
        <v>4.79</v>
      </c>
      <c r="E509" s="32">
        <v>5.05</v>
      </c>
      <c r="F509" s="32">
        <v>4.97</v>
      </c>
      <c r="G509" s="32">
        <v>0.64900000000000002</v>
      </c>
      <c r="H509" s="32">
        <v>1.202</v>
      </c>
      <c r="I509" s="32">
        <v>1.9590000000000001</v>
      </c>
      <c r="J509" s="32">
        <v>2.3010000000000002</v>
      </c>
      <c r="K509" s="32">
        <v>4.29</v>
      </c>
      <c r="L509" s="32">
        <v>4.33</v>
      </c>
      <c r="M509" s="32">
        <v>4.28</v>
      </c>
      <c r="N509" s="32">
        <v>4.28</v>
      </c>
      <c r="O509" s="32">
        <v>157.88699340820313</v>
      </c>
      <c r="P509" s="29">
        <v>1.0244431495666504</v>
      </c>
      <c r="Q509" s="29">
        <v>107.234375</v>
      </c>
      <c r="R509" s="32">
        <v>1.9561999999999999</v>
      </c>
      <c r="S509" s="32">
        <v>1.1406199999999984</v>
      </c>
    </row>
    <row r="510" spans="1:19">
      <c r="A510" s="10">
        <v>45671</v>
      </c>
      <c r="B510" s="32">
        <v>4.37</v>
      </c>
      <c r="C510" s="32">
        <v>4.59</v>
      </c>
      <c r="D510" s="32">
        <v>4.78</v>
      </c>
      <c r="E510" s="32">
        <v>5.0599999999999996</v>
      </c>
      <c r="F510" s="32">
        <v>4.9800000000000004</v>
      </c>
      <c r="G510" s="32">
        <v>0.68700000000000006</v>
      </c>
      <c r="H510" s="32">
        <v>1.246</v>
      </c>
      <c r="I510" s="32">
        <v>1.9930000000000001</v>
      </c>
      <c r="J510" s="32">
        <v>2.33</v>
      </c>
      <c r="K510" s="32">
        <v>4.28</v>
      </c>
      <c r="L510" s="32">
        <v>4.33</v>
      </c>
      <c r="M510" s="32">
        <v>4.2699999999999996</v>
      </c>
      <c r="N510" s="32">
        <v>4.2699999999999996</v>
      </c>
      <c r="O510" s="32">
        <v>157.36399841308594</v>
      </c>
      <c r="P510" s="29">
        <v>1.0265253782272339</v>
      </c>
      <c r="Q510" s="29">
        <v>107.359375</v>
      </c>
      <c r="R510" s="32">
        <v>1.9817</v>
      </c>
      <c r="S510" s="32">
        <v>1.2423517858886708</v>
      </c>
    </row>
    <row r="511" spans="1:19">
      <c r="A511" s="10">
        <v>45672</v>
      </c>
      <c r="B511" s="32">
        <v>4.2699999999999996</v>
      </c>
      <c r="C511" s="32">
        <v>4.45</v>
      </c>
      <c r="D511" s="32">
        <v>4.66</v>
      </c>
      <c r="E511" s="32">
        <v>4.95</v>
      </c>
      <c r="F511" s="32">
        <v>4.88</v>
      </c>
      <c r="G511" s="32">
        <v>0.70699999999999996</v>
      </c>
      <c r="H511" s="32">
        <v>1.2549999999999999</v>
      </c>
      <c r="I511" s="32">
        <v>2.0019999999999998</v>
      </c>
      <c r="J511" s="32">
        <v>2.347</v>
      </c>
      <c r="K511" s="32">
        <v>4.28</v>
      </c>
      <c r="L511" s="32">
        <v>4.33</v>
      </c>
      <c r="M511" s="32">
        <v>4.26</v>
      </c>
      <c r="N511" s="32">
        <v>4.26</v>
      </c>
      <c r="O511" s="32">
        <v>158.05000305175781</v>
      </c>
      <c r="P511" s="29">
        <v>1.0306835174560547</v>
      </c>
      <c r="Q511" s="29">
        <v>108.328125</v>
      </c>
      <c r="R511" s="32">
        <v>1.9350000000000001</v>
      </c>
      <c r="S511" s="32">
        <v>1.2125335717773424</v>
      </c>
    </row>
    <row r="512" spans="1:19">
      <c r="A512" s="10">
        <v>45673</v>
      </c>
      <c r="B512" s="32">
        <v>4.2300000000000004</v>
      </c>
      <c r="C512" s="32">
        <v>4.3899999999999997</v>
      </c>
      <c r="D512" s="32">
        <v>4.6100000000000003</v>
      </c>
      <c r="E512" s="32">
        <v>4.91</v>
      </c>
      <c r="F512" s="32">
        <v>4.84</v>
      </c>
      <c r="G512" s="32">
        <v>0.69799999999999995</v>
      </c>
      <c r="H512" s="32">
        <v>1.2070000000000001</v>
      </c>
      <c r="I512" s="32">
        <v>1.9410000000000001</v>
      </c>
      <c r="J512" s="32">
        <v>2.3180000000000001</v>
      </c>
      <c r="K512" s="32">
        <v>4.29</v>
      </c>
      <c r="L512" s="32">
        <v>4.33</v>
      </c>
      <c r="M512" s="32">
        <v>4.2699999999999996</v>
      </c>
      <c r="N512" s="32">
        <v>4.2699999999999996</v>
      </c>
      <c r="O512" s="32">
        <v>156.2550048828125</v>
      </c>
      <c r="P512" s="29">
        <v>1.0295268297195435</v>
      </c>
      <c r="Q512" s="29">
        <v>108.609375</v>
      </c>
      <c r="R512" s="32">
        <v>1.8586</v>
      </c>
      <c r="S512" s="32">
        <v>1.1739464282226546</v>
      </c>
    </row>
    <row r="513" spans="1:19">
      <c r="A513" s="10">
        <v>45674</v>
      </c>
      <c r="B513" s="32">
        <v>4.2699999999999996</v>
      </c>
      <c r="C513" s="32">
        <v>4.42</v>
      </c>
      <c r="D513" s="32">
        <v>4.6100000000000003</v>
      </c>
      <c r="E513" s="32">
        <v>4.91</v>
      </c>
      <c r="F513" s="32">
        <v>4.84</v>
      </c>
      <c r="G513" s="32">
        <v>0.69299999999999995</v>
      </c>
      <c r="H513" s="32">
        <v>1.2070000000000001</v>
      </c>
      <c r="I513" s="32">
        <v>1.925</v>
      </c>
      <c r="J513" s="32">
        <v>2.29</v>
      </c>
      <c r="K513" s="32">
        <v>4.29</v>
      </c>
      <c r="L513" s="32">
        <v>4.33</v>
      </c>
      <c r="M513" s="32">
        <v>4.2699999999999996</v>
      </c>
      <c r="N513" s="32">
        <v>4.2699999999999996</v>
      </c>
      <c r="O513" s="32">
        <v>155.35600280761719</v>
      </c>
      <c r="P513" s="29">
        <v>1.0301949977874756</v>
      </c>
      <c r="Q513" s="29">
        <v>108.546875</v>
      </c>
      <c r="R513" s="32">
        <v>1.8214999999999999</v>
      </c>
      <c r="S513" s="32">
        <v>1.2072717858886701</v>
      </c>
    </row>
    <row r="514" spans="1:19">
      <c r="A514" s="10">
        <v>45678</v>
      </c>
      <c r="B514" s="32">
        <v>4.29</v>
      </c>
      <c r="C514" s="32">
        <v>4.4000000000000004</v>
      </c>
      <c r="D514" s="32">
        <v>4.57</v>
      </c>
      <c r="E514" s="32">
        <v>4.87</v>
      </c>
      <c r="F514" s="32">
        <v>4.8</v>
      </c>
      <c r="G514" s="32">
        <v>0.67700000000000005</v>
      </c>
      <c r="H514" s="32">
        <v>1.194</v>
      </c>
      <c r="I514" s="32">
        <v>1.913</v>
      </c>
      <c r="J514" s="32">
        <v>2.2650000000000001</v>
      </c>
      <c r="K514" s="32">
        <v>4.29</v>
      </c>
      <c r="L514" s="32">
        <v>4.33</v>
      </c>
      <c r="M514" s="32">
        <v>4.2699999999999996</v>
      </c>
      <c r="N514" s="32">
        <v>4.2699999999999996</v>
      </c>
      <c r="O514" s="32">
        <v>155.24899291992188</v>
      </c>
      <c r="P514" s="29">
        <v>1.0420682430267334</v>
      </c>
      <c r="Q514" s="29">
        <v>108.734375</v>
      </c>
      <c r="R514" s="32">
        <v>1.7645</v>
      </c>
      <c r="S514" s="32">
        <v>1.1388664282226557</v>
      </c>
    </row>
    <row r="515" spans="1:19">
      <c r="A515" s="10">
        <v>45679</v>
      </c>
      <c r="B515" s="32">
        <v>4.29</v>
      </c>
      <c r="C515" s="32">
        <v>4.43</v>
      </c>
      <c r="D515" s="32">
        <v>4.5999999999999996</v>
      </c>
      <c r="E515" s="32">
        <v>4.8899999999999997</v>
      </c>
      <c r="F515" s="32">
        <v>4.82</v>
      </c>
      <c r="G515" s="32">
        <v>0.69799999999999995</v>
      </c>
      <c r="H515" s="32">
        <v>1.2050000000000001</v>
      </c>
      <c r="I515" s="32">
        <v>1.9039999999999999</v>
      </c>
      <c r="J515" s="32">
        <v>2.2610000000000001</v>
      </c>
      <c r="K515" s="32">
        <v>4.3</v>
      </c>
      <c r="L515" s="32">
        <v>4.33</v>
      </c>
      <c r="M515" s="32">
        <v>4.28</v>
      </c>
      <c r="N515" s="32">
        <v>4.28</v>
      </c>
      <c r="O515" s="32">
        <v>155.77400207519531</v>
      </c>
      <c r="P515" s="29">
        <v>1.0405935049057007</v>
      </c>
      <c r="Q515" s="29">
        <v>108.5625</v>
      </c>
      <c r="R515" s="32">
        <v>1.7198</v>
      </c>
      <c r="S515" s="32">
        <v>1.1230799999999981</v>
      </c>
    </row>
    <row r="516" spans="1:19">
      <c r="A516" s="10">
        <v>45680</v>
      </c>
      <c r="B516" s="32">
        <v>4.29</v>
      </c>
      <c r="C516" s="32">
        <v>4.45</v>
      </c>
      <c r="D516" s="32">
        <v>4.6500000000000004</v>
      </c>
      <c r="E516" s="32">
        <v>4.92</v>
      </c>
      <c r="F516" s="32">
        <v>4.87</v>
      </c>
      <c r="G516" s="32">
        <v>0.70399999999999996</v>
      </c>
      <c r="H516" s="32">
        <v>1.2150000000000001</v>
      </c>
      <c r="I516" s="32">
        <v>1.913</v>
      </c>
      <c r="J516" s="32">
        <v>2.2690000000000001</v>
      </c>
      <c r="K516" s="32">
        <v>4.3499999999999996</v>
      </c>
      <c r="L516" s="32">
        <v>4.33</v>
      </c>
      <c r="M516" s="32">
        <v>4.34</v>
      </c>
      <c r="N516" s="32">
        <v>4.34</v>
      </c>
      <c r="O516" s="32">
        <v>156.44000244140625</v>
      </c>
      <c r="P516" s="29">
        <v>1.0410159826278687</v>
      </c>
      <c r="Q516" s="29">
        <v>108.375</v>
      </c>
      <c r="R516" s="32">
        <v>1.7129000000000001</v>
      </c>
      <c r="S516" s="32">
        <v>1.1265882141113277</v>
      </c>
    </row>
    <row r="517" spans="1:19">
      <c r="A517" s="10">
        <v>45681</v>
      </c>
      <c r="B517" s="32">
        <v>4.2699999999999996</v>
      </c>
      <c r="C517" s="32">
        <v>4.43</v>
      </c>
      <c r="D517" s="32">
        <v>4.63</v>
      </c>
      <c r="E517" s="32">
        <v>4.91</v>
      </c>
      <c r="F517" s="32">
        <v>4.8499999999999996</v>
      </c>
      <c r="G517" s="32">
        <v>0.71799999999999997</v>
      </c>
      <c r="H517" s="32">
        <v>1.238</v>
      </c>
      <c r="I517" s="32">
        <v>1.921</v>
      </c>
      <c r="J517" s="32">
        <v>2.2770000000000001</v>
      </c>
      <c r="K517" s="32">
        <v>4.34</v>
      </c>
      <c r="L517" s="32">
        <v>4.33</v>
      </c>
      <c r="M517" s="32">
        <v>4.33</v>
      </c>
      <c r="N517" s="32">
        <v>4.33</v>
      </c>
      <c r="O517" s="32">
        <v>156.15499877929688</v>
      </c>
      <c r="P517" s="29">
        <v>1.0416015386581421</v>
      </c>
      <c r="Q517" s="29">
        <v>108.46875</v>
      </c>
      <c r="R517" s="32">
        <v>1.7673000000000001</v>
      </c>
      <c r="S517" s="32">
        <v>1.1511435717773431</v>
      </c>
    </row>
    <row r="518" spans="1:19">
      <c r="A518" s="10">
        <v>45684</v>
      </c>
      <c r="B518" s="32">
        <v>4.17</v>
      </c>
      <c r="C518" s="32">
        <v>4.32</v>
      </c>
      <c r="D518" s="32">
        <v>4.53</v>
      </c>
      <c r="E518" s="32">
        <v>4.82</v>
      </c>
      <c r="F518" s="32">
        <v>4.76</v>
      </c>
      <c r="G518" s="32">
        <v>0.70499999999999996</v>
      </c>
      <c r="H518" s="32">
        <v>1.2250000000000001</v>
      </c>
      <c r="I518" s="32">
        <v>1.9179999999999999</v>
      </c>
      <c r="J518" s="32">
        <v>2.2690000000000001</v>
      </c>
      <c r="K518" s="32">
        <v>4.34</v>
      </c>
      <c r="L518" s="32">
        <v>4.33</v>
      </c>
      <c r="M518" s="32">
        <v>4.32</v>
      </c>
      <c r="N518" s="32">
        <v>4.32</v>
      </c>
      <c r="O518" s="32">
        <v>155.74400329589844</v>
      </c>
      <c r="P518" s="29">
        <v>1.0467586517333984</v>
      </c>
      <c r="Q518" s="29">
        <v>109.15625</v>
      </c>
      <c r="R518" s="32">
        <v>1.8132999999999999</v>
      </c>
      <c r="S518" s="32">
        <v>1.1283417858886704</v>
      </c>
    </row>
    <row r="519" spans="1:19">
      <c r="A519" s="10">
        <v>45685</v>
      </c>
      <c r="B519" s="32">
        <v>4.1900000000000004</v>
      </c>
      <c r="C519" s="32">
        <v>4.33</v>
      </c>
      <c r="D519" s="32">
        <v>4.55</v>
      </c>
      <c r="E519" s="32">
        <v>4.84</v>
      </c>
      <c r="F519" s="32">
        <v>4.78</v>
      </c>
      <c r="G519" s="32">
        <v>0.69499999999999995</v>
      </c>
      <c r="H519" s="32">
        <v>1.2010000000000001</v>
      </c>
      <c r="I519" s="32">
        <v>1.905</v>
      </c>
      <c r="J519" s="32">
        <v>2.2509999999999999</v>
      </c>
      <c r="K519" s="32">
        <v>4.3499999999999996</v>
      </c>
      <c r="L519" s="32">
        <v>4.33</v>
      </c>
      <c r="M519" s="32">
        <v>4.34</v>
      </c>
      <c r="N519" s="32">
        <v>4.34</v>
      </c>
      <c r="O519" s="32">
        <v>154.90899658203125</v>
      </c>
      <c r="P519" s="29">
        <v>1.0445064306259155</v>
      </c>
      <c r="Q519" s="29">
        <v>109.03125</v>
      </c>
      <c r="R519" s="32">
        <v>1.7776000000000001</v>
      </c>
      <c r="S519" s="32">
        <v>1.1178182141113275</v>
      </c>
    </row>
    <row r="520" spans="1:19">
      <c r="A520" s="10">
        <v>45686</v>
      </c>
      <c r="B520" s="32">
        <v>4.21</v>
      </c>
      <c r="C520" s="32">
        <v>4.3499999999999996</v>
      </c>
      <c r="D520" s="32">
        <v>4.55</v>
      </c>
      <c r="E520" s="32">
        <v>4.8499999999999996</v>
      </c>
      <c r="F520" s="32">
        <v>4.79</v>
      </c>
      <c r="G520" s="32">
        <v>0.70399999999999996</v>
      </c>
      <c r="H520" s="32">
        <v>1.2010000000000001</v>
      </c>
      <c r="I520" s="32">
        <v>1.8959999999999999</v>
      </c>
      <c r="J520" s="32">
        <v>2.2450000000000001</v>
      </c>
      <c r="K520" s="32">
        <v>4.3499999999999996</v>
      </c>
      <c r="L520" s="32">
        <v>4.33</v>
      </c>
      <c r="M520" s="32">
        <v>4.33</v>
      </c>
      <c r="N520" s="32">
        <v>4.33</v>
      </c>
      <c r="O520" s="32">
        <v>155.55900573730469</v>
      </c>
      <c r="P520" s="29">
        <v>1.0429050922393799</v>
      </c>
      <c r="Q520" s="29">
        <v>108.953125</v>
      </c>
      <c r="R520" s="32">
        <v>1.8556999999999999</v>
      </c>
      <c r="S520" s="32">
        <v>1.1002782141113272</v>
      </c>
    </row>
    <row r="521" spans="1:19">
      <c r="A521" s="10">
        <v>45687</v>
      </c>
      <c r="B521" s="32">
        <v>4.18</v>
      </c>
      <c r="C521" s="32">
        <v>4.3099999999999996</v>
      </c>
      <c r="D521" s="32">
        <v>4.5199999999999996</v>
      </c>
      <c r="E521" s="32">
        <v>4.8099999999999996</v>
      </c>
      <c r="F521" s="32">
        <v>4.76</v>
      </c>
      <c r="G521" s="32">
        <v>0.71799999999999997</v>
      </c>
      <c r="H521" s="32">
        <v>1.2210000000000001</v>
      </c>
      <c r="I521" s="32">
        <v>1.9179999999999999</v>
      </c>
      <c r="J521" s="32">
        <v>2.274</v>
      </c>
      <c r="K521" s="32">
        <v>4.3600000000000003</v>
      </c>
      <c r="L521" s="32">
        <v>4.33</v>
      </c>
      <c r="M521" s="32">
        <v>4.34</v>
      </c>
      <c r="N521" s="32">
        <v>4.34</v>
      </c>
      <c r="O521" s="32">
        <v>155.16999816894531</v>
      </c>
      <c r="P521" s="29">
        <v>1.0425245761871338</v>
      </c>
      <c r="Q521" s="29">
        <v>109.234375</v>
      </c>
      <c r="R521" s="32">
        <v>1.8728</v>
      </c>
      <c r="S521" s="32">
        <v>1.1230799999999981</v>
      </c>
    </row>
    <row r="522" spans="1:19">
      <c r="A522" s="10">
        <v>45688</v>
      </c>
      <c r="B522" s="32">
        <v>4.22</v>
      </c>
      <c r="C522" s="32">
        <v>4.3600000000000003</v>
      </c>
      <c r="D522" s="32">
        <v>4.58</v>
      </c>
      <c r="E522" s="32">
        <v>4.88</v>
      </c>
      <c r="F522" s="32">
        <v>4.83</v>
      </c>
      <c r="G522" s="32">
        <v>0.72899999999999998</v>
      </c>
      <c r="H522" s="32">
        <v>1.25</v>
      </c>
      <c r="I522" s="32">
        <v>1.9530000000000001</v>
      </c>
      <c r="J522" s="32">
        <v>2.29</v>
      </c>
      <c r="K522" s="32">
        <v>4.38</v>
      </c>
      <c r="L522" s="32">
        <v>4.33</v>
      </c>
      <c r="M522" s="32">
        <v>4.34</v>
      </c>
      <c r="N522" s="32">
        <v>4.34</v>
      </c>
      <c r="O522" s="32">
        <v>154.09700012207031</v>
      </c>
      <c r="P522" s="29">
        <v>1.0397279262542725</v>
      </c>
      <c r="Q522" s="29">
        <v>108.84375</v>
      </c>
      <c r="R522" s="32">
        <v>1.8404</v>
      </c>
      <c r="S522" s="32">
        <v>1.0529199999999985</v>
      </c>
    </row>
    <row r="523" spans="1:19">
      <c r="A523" s="10">
        <v>45691</v>
      </c>
      <c r="B523" s="32">
        <v>4.26</v>
      </c>
      <c r="C523" s="32">
        <v>4.3499999999999996</v>
      </c>
      <c r="D523" s="32">
        <v>4.54</v>
      </c>
      <c r="E523" s="32">
        <v>4.82</v>
      </c>
      <c r="F523" s="32">
        <v>4.7699999999999996</v>
      </c>
      <c r="G523" s="32">
        <v>0.72</v>
      </c>
      <c r="H523" s="32">
        <v>1.254</v>
      </c>
      <c r="I523" s="32">
        <v>1.9670000000000001</v>
      </c>
      <c r="J523" s="32">
        <v>2.302</v>
      </c>
      <c r="K523" s="32">
        <v>4.3499999999999996</v>
      </c>
      <c r="L523" s="32">
        <v>4.33</v>
      </c>
      <c r="M523" s="32">
        <v>4.33</v>
      </c>
      <c r="N523" s="32">
        <v>4.33</v>
      </c>
      <c r="O523" s="32">
        <v>155.36300659179688</v>
      </c>
      <c r="P523" s="29">
        <v>1.024779200553894</v>
      </c>
      <c r="Q523" s="29">
        <v>108.953125</v>
      </c>
      <c r="R523" s="32">
        <v>1.7850999999999999</v>
      </c>
      <c r="S523" s="32">
        <v>1.2283199999999983</v>
      </c>
    </row>
    <row r="524" spans="1:19">
      <c r="A524" s="10">
        <v>45692</v>
      </c>
      <c r="B524" s="32">
        <v>4.21</v>
      </c>
      <c r="C524" s="32">
        <v>4.3099999999999996</v>
      </c>
      <c r="D524" s="32">
        <v>4.5199999999999996</v>
      </c>
      <c r="E524" s="32">
        <v>4.8099999999999996</v>
      </c>
      <c r="F524" s="32">
        <v>4.75</v>
      </c>
      <c r="G524" s="32">
        <v>0.74099999999999999</v>
      </c>
      <c r="H524" s="32">
        <v>1.282</v>
      </c>
      <c r="I524" s="32">
        <v>1.9930000000000001</v>
      </c>
      <c r="J524" s="32">
        <v>2.323</v>
      </c>
      <c r="K524" s="32">
        <v>4.33</v>
      </c>
      <c r="L524" s="32">
        <v>4.33</v>
      </c>
      <c r="M524" s="32">
        <v>4.3099999999999996</v>
      </c>
      <c r="N524" s="32">
        <v>4.3099999999999996</v>
      </c>
      <c r="O524" s="32">
        <v>155.27699279785156</v>
      </c>
      <c r="P524" s="29">
        <v>1.0327378511428833</v>
      </c>
      <c r="Q524" s="29">
        <v>109.203125</v>
      </c>
      <c r="R524" s="32">
        <v>1.8129</v>
      </c>
      <c r="S524" s="32">
        <v>1.2651535717773417</v>
      </c>
    </row>
    <row r="525" spans="1:19">
      <c r="A525" s="10">
        <v>45693</v>
      </c>
      <c r="B525" s="32">
        <v>4.17</v>
      </c>
      <c r="C525" s="32">
        <v>4.24</v>
      </c>
      <c r="D525" s="32">
        <v>4.43</v>
      </c>
      <c r="E525" s="32">
        <v>4.6900000000000004</v>
      </c>
      <c r="F525" s="32">
        <v>4.6399999999999997</v>
      </c>
      <c r="G525" s="32">
        <v>0.75600000000000001</v>
      </c>
      <c r="H525" s="32">
        <v>1.2889999999999999</v>
      </c>
      <c r="I525" s="32">
        <v>1.998</v>
      </c>
      <c r="J525" s="32">
        <v>2.323</v>
      </c>
      <c r="K525" s="32">
        <v>4.33</v>
      </c>
      <c r="L525" s="32">
        <v>4.33</v>
      </c>
      <c r="M525" s="32">
        <v>4.3099999999999996</v>
      </c>
      <c r="N525" s="32">
        <v>4.3099999999999996</v>
      </c>
      <c r="O525" s="32">
        <v>154.13299560546875</v>
      </c>
      <c r="P525" s="29">
        <v>1.0372798442840576</v>
      </c>
      <c r="Q525" s="29">
        <v>109.75</v>
      </c>
      <c r="R525" s="32">
        <v>1.7876000000000001</v>
      </c>
      <c r="S525" s="32">
        <v>1.2651535717773417</v>
      </c>
    </row>
    <row r="526" spans="1:19">
      <c r="A526" s="10">
        <v>45694</v>
      </c>
      <c r="B526" s="32">
        <v>4.21</v>
      </c>
      <c r="C526" s="32">
        <v>4.28</v>
      </c>
      <c r="D526" s="32">
        <v>4.45</v>
      </c>
      <c r="E526" s="32">
        <v>4.7</v>
      </c>
      <c r="F526" s="32">
        <v>4.6500000000000004</v>
      </c>
      <c r="G526" s="32">
        <v>0.76200000000000001</v>
      </c>
      <c r="H526" s="32">
        <v>1.27</v>
      </c>
      <c r="I526" s="32">
        <v>1.9590000000000001</v>
      </c>
      <c r="J526" s="32">
        <v>2.2690000000000001</v>
      </c>
      <c r="K526" s="32">
        <v>4.3600000000000003</v>
      </c>
      <c r="L526" s="32">
        <v>4.33</v>
      </c>
      <c r="M526" s="32">
        <v>4.34</v>
      </c>
      <c r="N526" s="32">
        <v>4.34</v>
      </c>
      <c r="O526" s="32">
        <v>152.60600280761719</v>
      </c>
      <c r="P526" s="29">
        <v>1.0400848388671875</v>
      </c>
      <c r="Q526" s="29">
        <v>109.578125</v>
      </c>
      <c r="R526" s="32">
        <v>1.7394000000000001</v>
      </c>
      <c r="S526" s="32">
        <v>1.1020317858886699</v>
      </c>
    </row>
    <row r="527" spans="1:19">
      <c r="A527" s="10">
        <v>45695</v>
      </c>
      <c r="B527" s="32">
        <v>4.29</v>
      </c>
      <c r="C527" s="32">
        <v>4.34</v>
      </c>
      <c r="D527" s="32">
        <v>4.49</v>
      </c>
      <c r="E527" s="32">
        <v>4.75</v>
      </c>
      <c r="F527" s="32">
        <v>4.6900000000000004</v>
      </c>
      <c r="G527" s="32">
        <v>0.79800000000000004</v>
      </c>
      <c r="H527" s="32">
        <v>1.3069999999999999</v>
      </c>
      <c r="I527" s="32">
        <v>1.98</v>
      </c>
      <c r="J527" s="32">
        <v>2.29</v>
      </c>
      <c r="K527" s="32">
        <v>4.3499999999999996</v>
      </c>
      <c r="L527" s="32">
        <v>4.33</v>
      </c>
      <c r="M527" s="32">
        <v>4.34</v>
      </c>
      <c r="N527" s="32">
        <v>4.34</v>
      </c>
      <c r="O527" s="32">
        <v>151.1929931640625</v>
      </c>
      <c r="P527" s="29">
        <v>1.0385725498199463</v>
      </c>
      <c r="Q527" s="29">
        <v>109.234375</v>
      </c>
      <c r="R527" s="32">
        <v>1.7203999999999999</v>
      </c>
      <c r="S527" s="32">
        <v>1.29497178588867</v>
      </c>
    </row>
    <row r="528" spans="1:19">
      <c r="A528" s="10">
        <v>45698</v>
      </c>
      <c r="B528" s="32">
        <v>4.28</v>
      </c>
      <c r="C528" s="32">
        <v>4.34</v>
      </c>
      <c r="D528" s="32">
        <v>4.51</v>
      </c>
      <c r="E528" s="32">
        <v>4.76</v>
      </c>
      <c r="F528" s="32">
        <v>4.71</v>
      </c>
      <c r="G528" s="32">
        <v>0.79800000000000004</v>
      </c>
      <c r="H528" s="32">
        <v>1.3180000000000001</v>
      </c>
      <c r="I528" s="32">
        <v>1.9850000000000001</v>
      </c>
      <c r="J528" s="32">
        <v>2.294</v>
      </c>
      <c r="K528" s="32">
        <v>4.3499999999999996</v>
      </c>
      <c r="L528" s="32">
        <v>4.33</v>
      </c>
      <c r="M528" s="32">
        <v>4.33</v>
      </c>
      <c r="N528" s="32">
        <v>4.33</v>
      </c>
      <c r="O528" s="32">
        <v>151.84599304199219</v>
      </c>
      <c r="P528" s="29">
        <v>1.0311616659164429</v>
      </c>
      <c r="Q528" s="29">
        <v>109.21875</v>
      </c>
      <c r="R528" s="32">
        <v>1.7394000000000001</v>
      </c>
      <c r="S528" s="32">
        <v>1.2774317858886715</v>
      </c>
    </row>
    <row r="529" spans="1:19">
      <c r="A529" s="10">
        <v>45699</v>
      </c>
      <c r="B529" s="32">
        <v>4.29</v>
      </c>
      <c r="C529" s="32">
        <v>4.37</v>
      </c>
      <c r="D529" s="32">
        <v>4.54</v>
      </c>
      <c r="E529" s="32">
        <v>4.8</v>
      </c>
      <c r="F529" s="32">
        <v>4.75</v>
      </c>
      <c r="G529" s="32">
        <v>0.79800000000000004</v>
      </c>
      <c r="H529" s="32">
        <v>1.3180000000000001</v>
      </c>
      <c r="I529" s="32">
        <v>1.9850000000000001</v>
      </c>
      <c r="J529" s="32">
        <v>2.294</v>
      </c>
      <c r="K529" s="32">
        <v>4.34</v>
      </c>
      <c r="L529" s="32">
        <v>4.33</v>
      </c>
      <c r="M529" s="32">
        <v>4.32</v>
      </c>
      <c r="N529" s="32">
        <v>4.32</v>
      </c>
      <c r="O529" s="32">
        <v>151.75900268554688</v>
      </c>
      <c r="P529" s="29">
        <v>1.0301525592803955</v>
      </c>
      <c r="Q529" s="29">
        <v>108.953125</v>
      </c>
      <c r="R529" s="32">
        <v>1.7355</v>
      </c>
      <c r="S529" s="32">
        <v>1.2774317858886715</v>
      </c>
    </row>
    <row r="530" spans="1:19">
      <c r="A530" s="10">
        <v>45700</v>
      </c>
      <c r="B530" s="32">
        <v>4.3600000000000003</v>
      </c>
      <c r="C530" s="32">
        <v>4.4800000000000004</v>
      </c>
      <c r="D530" s="32">
        <v>4.62</v>
      </c>
      <c r="E530" s="32">
        <v>4.9000000000000004</v>
      </c>
      <c r="F530" s="32">
        <v>4.83</v>
      </c>
      <c r="G530" s="32">
        <v>0.79900000000000004</v>
      </c>
      <c r="H530" s="32">
        <v>1.3460000000000001</v>
      </c>
      <c r="I530" s="32">
        <v>2.0019999999999998</v>
      </c>
      <c r="J530" s="32">
        <v>2.302</v>
      </c>
      <c r="K530" s="32">
        <v>4.32</v>
      </c>
      <c r="L530" s="32">
        <v>4.33</v>
      </c>
      <c r="M530" s="32">
        <v>4.3099999999999996</v>
      </c>
      <c r="N530" s="32">
        <v>4.3099999999999996</v>
      </c>
      <c r="O530" s="32">
        <v>152.73899841308594</v>
      </c>
      <c r="P530" s="29">
        <v>1.0364949703216553</v>
      </c>
      <c r="Q530" s="29">
        <v>108.265625</v>
      </c>
      <c r="R530" s="32">
        <v>1.7974000000000001</v>
      </c>
      <c r="S530" s="32">
        <v>1.2669082141113268</v>
      </c>
    </row>
    <row r="531" spans="1:19">
      <c r="A531" s="10">
        <v>45701</v>
      </c>
      <c r="B531" s="32">
        <v>4.3099999999999996</v>
      </c>
      <c r="C531" s="32">
        <v>4.3899999999999997</v>
      </c>
      <c r="D531" s="32">
        <v>4.5199999999999996</v>
      </c>
      <c r="E531" s="32">
        <v>4.79</v>
      </c>
      <c r="F531" s="32">
        <v>4.72</v>
      </c>
      <c r="G531" s="32">
        <v>0.79400000000000004</v>
      </c>
      <c r="H531" s="32">
        <v>1.357</v>
      </c>
      <c r="I531" s="32">
        <v>2.0190000000000001</v>
      </c>
      <c r="J531" s="32">
        <v>2.3180000000000001</v>
      </c>
      <c r="K531" s="32">
        <v>4.33</v>
      </c>
      <c r="L531" s="32">
        <v>4.33</v>
      </c>
      <c r="M531" s="32">
        <v>4.32</v>
      </c>
      <c r="N531" s="32">
        <v>4.32</v>
      </c>
      <c r="O531" s="32">
        <v>154.2550048828125</v>
      </c>
      <c r="P531" s="29">
        <v>1.039198637008667</v>
      </c>
      <c r="Q531" s="29">
        <v>108.96875</v>
      </c>
      <c r="R531" s="32">
        <v>1.8126</v>
      </c>
      <c r="S531" s="32">
        <v>1.2458599999999986</v>
      </c>
    </row>
    <row r="532" spans="1:19">
      <c r="A532" s="10">
        <v>45702</v>
      </c>
      <c r="B532" s="32">
        <v>4.26</v>
      </c>
      <c r="C532" s="32">
        <v>4.33</v>
      </c>
      <c r="D532" s="32">
        <v>4.47</v>
      </c>
      <c r="E532" s="32">
        <v>4.75</v>
      </c>
      <c r="F532" s="32">
        <v>4.6900000000000004</v>
      </c>
      <c r="G532" s="32">
        <v>0.79400000000000004</v>
      </c>
      <c r="H532" s="32">
        <v>1.357</v>
      </c>
      <c r="I532" s="32">
        <v>2.0110000000000001</v>
      </c>
      <c r="J532" s="32">
        <v>2.31</v>
      </c>
      <c r="K532" s="32">
        <v>4.33</v>
      </c>
      <c r="L532" s="32">
        <v>4.33</v>
      </c>
      <c r="M532" s="32">
        <v>4.3099999999999996</v>
      </c>
      <c r="N532" s="32">
        <v>4.3099999999999996</v>
      </c>
      <c r="O532" s="32">
        <v>152.98899841308594</v>
      </c>
      <c r="P532" s="29">
        <v>1.0461673736572266</v>
      </c>
      <c r="Q532" s="29">
        <v>109.3125</v>
      </c>
      <c r="R532" s="32">
        <v>1.7678</v>
      </c>
      <c r="S532" s="32">
        <v>1.3107582141113276</v>
      </c>
    </row>
    <row r="533" spans="1:19">
      <c r="A533" s="10">
        <v>45706</v>
      </c>
      <c r="B533" s="32">
        <v>4.29</v>
      </c>
      <c r="C533" s="32">
        <v>4.4000000000000004</v>
      </c>
      <c r="D533" s="32">
        <v>4.55</v>
      </c>
      <c r="E533" s="32">
        <v>4.83</v>
      </c>
      <c r="F533" s="32">
        <v>4.7699999999999996</v>
      </c>
      <c r="G533" s="32">
        <v>0.82699999999999996</v>
      </c>
      <c r="H533" s="32">
        <v>1.4319999999999999</v>
      </c>
      <c r="I533" s="32">
        <v>2.0630000000000002</v>
      </c>
      <c r="J533" s="32">
        <v>2.335</v>
      </c>
      <c r="K533" s="32">
        <v>4.37</v>
      </c>
      <c r="L533" s="32">
        <v>4.33</v>
      </c>
      <c r="M533" s="32">
        <v>4.34</v>
      </c>
      <c r="N533" s="32">
        <v>4.34</v>
      </c>
      <c r="O533" s="32">
        <v>151.44400024414063</v>
      </c>
      <c r="P533" s="29">
        <v>1.0485367774963379</v>
      </c>
      <c r="Q533" s="29">
        <v>108.84375</v>
      </c>
      <c r="R533" s="32">
        <v>1.7789999999999999</v>
      </c>
      <c r="S533" s="32">
        <v>1.3335599999999985</v>
      </c>
    </row>
    <row r="534" spans="1:19">
      <c r="A534" s="10">
        <v>45707</v>
      </c>
      <c r="B534" s="32">
        <v>4.28</v>
      </c>
      <c r="C534" s="32">
        <v>4.37</v>
      </c>
      <c r="D534" s="32">
        <v>4.53</v>
      </c>
      <c r="E534" s="32">
        <v>4.79</v>
      </c>
      <c r="F534" s="32">
        <v>4.76</v>
      </c>
      <c r="G534" s="32">
        <v>0.82</v>
      </c>
      <c r="H534" s="32">
        <v>1.4319999999999999</v>
      </c>
      <c r="I534" s="32">
        <v>2.0630000000000002</v>
      </c>
      <c r="J534" s="32">
        <v>2.327</v>
      </c>
      <c r="K534" s="32">
        <v>4.3499999999999996</v>
      </c>
      <c r="L534" s="32">
        <v>4.33</v>
      </c>
      <c r="M534" s="32">
        <v>4.33</v>
      </c>
      <c r="N534" s="32">
        <v>4.33</v>
      </c>
      <c r="O534" s="32">
        <v>151.93099975585938</v>
      </c>
      <c r="P534" s="29">
        <v>1.044833779335022</v>
      </c>
      <c r="Q534" s="29">
        <v>108.953125</v>
      </c>
      <c r="R534" s="32">
        <v>1.8819999999999999</v>
      </c>
      <c r="S534" s="32">
        <v>1.2388435717773429</v>
      </c>
    </row>
    <row r="535" spans="1:19">
      <c r="A535" s="10">
        <v>45708</v>
      </c>
      <c r="B535" s="32">
        <v>4.28</v>
      </c>
      <c r="C535" s="32">
        <v>4.34</v>
      </c>
      <c r="D535" s="32">
        <v>4.5</v>
      </c>
      <c r="E535" s="32">
        <v>4.7699999999999996</v>
      </c>
      <c r="F535" s="32">
        <v>4.74</v>
      </c>
      <c r="G535" s="32">
        <v>0.82099999999999995</v>
      </c>
      <c r="H535" s="32">
        <v>1.4410000000000001</v>
      </c>
      <c r="I535" s="32">
        <v>2.0499999999999998</v>
      </c>
      <c r="J535" s="32">
        <v>2.3220000000000001</v>
      </c>
      <c r="K535" s="32">
        <v>4.33</v>
      </c>
      <c r="L535" s="32">
        <v>4.33</v>
      </c>
      <c r="M535" s="32">
        <v>4.3099999999999996</v>
      </c>
      <c r="N535" s="32">
        <v>4.3099999999999996</v>
      </c>
      <c r="O535" s="32">
        <v>151.22000122070313</v>
      </c>
      <c r="P535" s="29">
        <v>1.0421009063720703</v>
      </c>
      <c r="Q535" s="29">
        <v>109.171875</v>
      </c>
      <c r="R535" s="32">
        <v>1.9782999999999999</v>
      </c>
      <c r="S535" s="32">
        <v>1.4440617858886711</v>
      </c>
    </row>
    <row r="536" spans="1:19">
      <c r="A536" s="10">
        <v>45709</v>
      </c>
      <c r="B536" s="32">
        <v>4.1900000000000004</v>
      </c>
      <c r="C536" s="32">
        <v>4.26</v>
      </c>
      <c r="D536" s="32">
        <v>4.42</v>
      </c>
      <c r="E536" s="32">
        <v>4.6900000000000004</v>
      </c>
      <c r="F536" s="32">
        <v>4.67</v>
      </c>
      <c r="G536" s="32">
        <v>0.81799999999999995</v>
      </c>
      <c r="H536" s="32">
        <v>1.427</v>
      </c>
      <c r="I536" s="32">
        <v>2.0539999999999998</v>
      </c>
      <c r="J536" s="32">
        <v>2.335</v>
      </c>
      <c r="K536" s="32">
        <v>4.34</v>
      </c>
      <c r="L536" s="32">
        <v>4.33</v>
      </c>
      <c r="M536" s="32">
        <v>4.32</v>
      </c>
      <c r="N536" s="32">
        <v>4.32</v>
      </c>
      <c r="O536" s="32">
        <v>149.40800476074219</v>
      </c>
      <c r="P536" s="29">
        <v>1.0500562191009521</v>
      </c>
      <c r="Q536" s="29">
        <v>109.6875</v>
      </c>
      <c r="R536" s="32">
        <v>1.9457</v>
      </c>
      <c r="S536" s="32">
        <v>1.347591785888671</v>
      </c>
    </row>
    <row r="537" spans="1:19">
      <c r="A537" s="10">
        <v>45712</v>
      </c>
      <c r="B537" s="32">
        <v>4.13</v>
      </c>
      <c r="C537" s="32">
        <v>4.2300000000000004</v>
      </c>
      <c r="D537" s="32">
        <v>4.4000000000000004</v>
      </c>
      <c r="E537" s="32">
        <v>4.6900000000000004</v>
      </c>
      <c r="F537" s="32">
        <v>4.66</v>
      </c>
      <c r="G537" s="32">
        <v>0.81799999999999995</v>
      </c>
      <c r="H537" s="32">
        <v>1.427</v>
      </c>
      <c r="I537" s="32">
        <v>2.0539999999999998</v>
      </c>
      <c r="J537" s="32">
        <v>2.335</v>
      </c>
      <c r="K537" s="32">
        <v>4.34</v>
      </c>
      <c r="L537" s="32">
        <v>4.33</v>
      </c>
      <c r="M537" s="32">
        <v>4.32</v>
      </c>
      <c r="N537" s="32">
        <v>4.32</v>
      </c>
      <c r="O537" s="32">
        <v>149.38699340820313</v>
      </c>
      <c r="P537" s="29">
        <v>1.0474823713302612</v>
      </c>
      <c r="Q537" s="29">
        <v>109.875</v>
      </c>
      <c r="R537" s="32">
        <v>1.9026000000000001</v>
      </c>
      <c r="S537" s="32">
        <v>1.347591785888671</v>
      </c>
    </row>
    <row r="538" spans="1:19">
      <c r="A538" s="10">
        <v>45713</v>
      </c>
      <c r="B538" s="32">
        <v>4.07</v>
      </c>
      <c r="C538" s="32">
        <v>4.12</v>
      </c>
      <c r="D538" s="32">
        <v>4.3</v>
      </c>
      <c r="E538" s="32">
        <v>4.59</v>
      </c>
      <c r="F538" s="32">
        <v>4.55</v>
      </c>
      <c r="G538" s="32">
        <v>0.80300000000000005</v>
      </c>
      <c r="H538" s="32">
        <v>1.387</v>
      </c>
      <c r="I538" s="32">
        <v>2.0369999999999999</v>
      </c>
      <c r="J538" s="32">
        <v>2.319</v>
      </c>
      <c r="K538" s="32">
        <v>4.33</v>
      </c>
      <c r="L538" s="32">
        <v>4.33</v>
      </c>
      <c r="M538" s="32">
        <v>4.3099999999999996</v>
      </c>
      <c r="N538" s="32">
        <v>4.3099999999999996</v>
      </c>
      <c r="O538" s="32">
        <v>149.86399841308594</v>
      </c>
      <c r="P538" s="29">
        <v>1.0461344718933105</v>
      </c>
      <c r="Q538" s="29">
        <v>110.515625</v>
      </c>
      <c r="R538" s="32">
        <v>1.8829</v>
      </c>
      <c r="S538" s="32">
        <v>1.3949499999999979</v>
      </c>
    </row>
    <row r="539" spans="1:19">
      <c r="A539" s="10">
        <v>45714</v>
      </c>
      <c r="B539" s="32">
        <v>4.05</v>
      </c>
      <c r="C539" s="32">
        <v>4.0599999999999996</v>
      </c>
      <c r="D539" s="32">
        <v>4.25</v>
      </c>
      <c r="E539" s="32">
        <v>4.55</v>
      </c>
      <c r="F539" s="32">
        <v>4.51</v>
      </c>
      <c r="G539" s="32">
        <v>0.80100000000000005</v>
      </c>
      <c r="H539" s="32">
        <v>1.373</v>
      </c>
      <c r="I539" s="32">
        <v>2.028</v>
      </c>
      <c r="J539" s="32">
        <v>2.319</v>
      </c>
      <c r="K539" s="32">
        <v>4.33</v>
      </c>
      <c r="L539" s="32">
        <v>4.33</v>
      </c>
      <c r="M539" s="32">
        <v>4.3099999999999996</v>
      </c>
      <c r="N539" s="32">
        <v>4.3099999999999996</v>
      </c>
      <c r="O539" s="32">
        <v>149.0780029296875</v>
      </c>
      <c r="P539" s="29">
        <v>1.0524100065231323</v>
      </c>
      <c r="Q539" s="29">
        <v>110.84375</v>
      </c>
      <c r="R539" s="32">
        <v>1.8484</v>
      </c>
      <c r="S539" s="32">
        <v>1.2721699999999991</v>
      </c>
    </row>
    <row r="540" spans="1:19">
      <c r="A540" s="10">
        <v>45715</v>
      </c>
      <c r="B540" s="32">
        <v>4.07</v>
      </c>
      <c r="C540" s="32">
        <v>4.09</v>
      </c>
      <c r="D540" s="32">
        <v>4.29</v>
      </c>
      <c r="E540" s="32">
        <v>4.59</v>
      </c>
      <c r="F540" s="32">
        <v>4.5599999999999996</v>
      </c>
      <c r="G540" s="32">
        <v>0.82599999999999996</v>
      </c>
      <c r="H540" s="32">
        <v>1.3979999999999999</v>
      </c>
      <c r="I540" s="32">
        <v>2.0419999999999998</v>
      </c>
      <c r="J540" s="32">
        <v>2.3380000000000001</v>
      </c>
      <c r="K540" s="32">
        <v>4.3600000000000003</v>
      </c>
      <c r="L540" s="32">
        <v>4.33</v>
      </c>
      <c r="M540" s="32">
        <v>4.34</v>
      </c>
      <c r="N540" s="32">
        <v>4.34</v>
      </c>
      <c r="O540" s="32">
        <v>148.83799743652344</v>
      </c>
      <c r="P540" s="29">
        <v>1.0488777160644531</v>
      </c>
      <c r="Q540" s="29">
        <v>110.609375</v>
      </c>
      <c r="R540" s="32">
        <v>1.8456999999999999</v>
      </c>
      <c r="S540" s="32">
        <v>1.3265435717773428</v>
      </c>
    </row>
    <row r="541" spans="1:19">
      <c r="A541" s="10">
        <v>45716</v>
      </c>
      <c r="B541" s="32">
        <v>3.99</v>
      </c>
      <c r="C541" s="32">
        <v>4.03</v>
      </c>
      <c r="D541" s="32">
        <v>4.24</v>
      </c>
      <c r="E541" s="32">
        <v>4.55</v>
      </c>
      <c r="F541" s="32">
        <v>4.51</v>
      </c>
      <c r="G541" s="32">
        <v>0.80600000000000005</v>
      </c>
      <c r="H541" s="32">
        <v>1.3779999999999999</v>
      </c>
      <c r="I541" s="32">
        <v>2.032</v>
      </c>
      <c r="J541" s="32">
        <v>2.35</v>
      </c>
      <c r="K541" s="32">
        <v>4.3899999999999997</v>
      </c>
      <c r="L541" s="32">
        <v>4.33</v>
      </c>
      <c r="M541" s="32">
        <v>4.3600000000000003</v>
      </c>
      <c r="N541" s="32">
        <v>4.3600000000000003</v>
      </c>
      <c r="O541" s="32">
        <v>150.01199340820313</v>
      </c>
      <c r="P541" s="29">
        <v>1.0395117998123169</v>
      </c>
      <c r="Q541" s="29">
        <v>111.0625</v>
      </c>
      <c r="R541" s="32">
        <v>1.8802000000000001</v>
      </c>
      <c r="S541" s="32">
        <v>1.4387999999999987</v>
      </c>
    </row>
    <row r="542" spans="1:19">
      <c r="A542" s="10">
        <v>45719</v>
      </c>
      <c r="B542" s="32">
        <v>3.96</v>
      </c>
      <c r="C542" s="32">
        <v>3.97</v>
      </c>
      <c r="D542" s="32">
        <v>4.16</v>
      </c>
      <c r="E542" s="32">
        <v>4.49</v>
      </c>
      <c r="F542" s="32">
        <v>4.45</v>
      </c>
      <c r="G542" s="32">
        <v>0.82499999999999996</v>
      </c>
      <c r="H542" s="32">
        <v>1.4119999999999999</v>
      </c>
      <c r="I542" s="32">
        <v>2.0510000000000002</v>
      </c>
      <c r="J542" s="32">
        <v>2.3530000000000002</v>
      </c>
      <c r="K542" s="32">
        <v>4.33</v>
      </c>
      <c r="L542" s="32">
        <v>4.33</v>
      </c>
      <c r="M542" s="32">
        <v>4.3099999999999996</v>
      </c>
      <c r="N542" s="32">
        <v>4.3099999999999996</v>
      </c>
      <c r="O542" s="32">
        <v>150.77099609375</v>
      </c>
      <c r="P542" s="29">
        <v>1.0413846969604492</v>
      </c>
      <c r="Q542" s="29">
        <v>111.375</v>
      </c>
      <c r="R542" s="32">
        <v>1.8272999999999999</v>
      </c>
      <c r="S542" s="32">
        <v>1.2984799999999979</v>
      </c>
    </row>
    <row r="543" spans="1:19">
      <c r="A543" s="10">
        <v>45720</v>
      </c>
      <c r="B543" s="32">
        <v>3.96</v>
      </c>
      <c r="C543" s="32">
        <v>4.01</v>
      </c>
      <c r="D543" s="32">
        <v>4.22</v>
      </c>
      <c r="E543" s="32">
        <v>4.5599999999999996</v>
      </c>
      <c r="F543" s="32">
        <v>4.53</v>
      </c>
      <c r="G543" s="32">
        <v>0.83099999999999996</v>
      </c>
      <c r="H543" s="32">
        <v>1.4279999999999999</v>
      </c>
      <c r="I543" s="32">
        <v>2.0649999999999999</v>
      </c>
      <c r="J543" s="32">
        <v>2.36</v>
      </c>
      <c r="K543" s="32">
        <v>4.33</v>
      </c>
      <c r="L543" s="32">
        <v>4.33</v>
      </c>
      <c r="M543" s="32">
        <v>4.32</v>
      </c>
      <c r="N543" s="32">
        <v>4.32</v>
      </c>
      <c r="O543" s="32">
        <v>149.30499267578125</v>
      </c>
      <c r="P543" s="29">
        <v>1.0485037565231323</v>
      </c>
      <c r="Q543" s="29">
        <v>111.21875</v>
      </c>
      <c r="R543" s="32">
        <v>1.9178999999999999</v>
      </c>
      <c r="S543" s="32">
        <v>1.038888214111326</v>
      </c>
    </row>
    <row r="544" spans="1:19">
      <c r="A544" s="10">
        <v>45721</v>
      </c>
      <c r="B544" s="32">
        <v>3.99</v>
      </c>
      <c r="C544" s="32">
        <v>4.08</v>
      </c>
      <c r="D544" s="32">
        <v>4.28</v>
      </c>
      <c r="E544" s="32">
        <v>4.6100000000000003</v>
      </c>
      <c r="F544" s="32">
        <v>4.57</v>
      </c>
      <c r="G544" s="32">
        <v>0.83099999999999996</v>
      </c>
      <c r="H544" s="32">
        <v>1.448</v>
      </c>
      <c r="I544" s="32">
        <v>2.0990000000000002</v>
      </c>
      <c r="J544" s="32">
        <v>2.3889999999999998</v>
      </c>
      <c r="K544" s="32">
        <v>4.34</v>
      </c>
      <c r="L544" s="32">
        <v>4.33</v>
      </c>
      <c r="M544" s="32">
        <v>4.33</v>
      </c>
      <c r="N544" s="32">
        <v>4.33</v>
      </c>
      <c r="O544" s="32">
        <v>149.79899597167969</v>
      </c>
      <c r="P544" s="29">
        <v>1.0626993179321289</v>
      </c>
      <c r="Q544" s="29">
        <v>110.84375</v>
      </c>
      <c r="R544" s="32">
        <v>1.8806</v>
      </c>
      <c r="S544" s="32">
        <v>1.3879335717773422</v>
      </c>
    </row>
    <row r="545" spans="1:19">
      <c r="A545" s="10">
        <v>45722</v>
      </c>
      <c r="B545" s="32">
        <v>3.96</v>
      </c>
      <c r="C545" s="32">
        <v>4.0599999999999996</v>
      </c>
      <c r="D545" s="32">
        <v>4.29</v>
      </c>
      <c r="E545" s="32">
        <v>4.63</v>
      </c>
      <c r="F545" s="32">
        <v>4.58</v>
      </c>
      <c r="G545" s="32">
        <v>0.85199999999999998</v>
      </c>
      <c r="H545" s="32">
        <v>1.5169999999999999</v>
      </c>
      <c r="I545" s="32">
        <v>2.1800000000000002</v>
      </c>
      <c r="J545" s="32">
        <v>2.4620000000000002</v>
      </c>
      <c r="K545" s="32">
        <v>4.3499999999999996</v>
      </c>
      <c r="L545" s="32">
        <v>4.33</v>
      </c>
      <c r="M545" s="32">
        <v>4.34</v>
      </c>
      <c r="N545" s="32">
        <v>4.34</v>
      </c>
      <c r="O545" s="32">
        <v>148.89799499511719</v>
      </c>
      <c r="P545" s="29">
        <v>1.0794938802719116</v>
      </c>
      <c r="Q545" s="29">
        <v>110.78125</v>
      </c>
      <c r="R545" s="32">
        <v>2.0184000000000002</v>
      </c>
      <c r="S545" s="32">
        <v>1.4019664282226554</v>
      </c>
    </row>
    <row r="546" spans="1:19">
      <c r="A546" s="10">
        <v>45723</v>
      </c>
      <c r="B546" s="32">
        <v>3.99</v>
      </c>
      <c r="C546" s="32">
        <v>4.09</v>
      </c>
      <c r="D546" s="32">
        <v>4.32</v>
      </c>
      <c r="E546" s="32">
        <v>4.66</v>
      </c>
      <c r="F546" s="32">
        <v>4.62</v>
      </c>
      <c r="G546" s="32">
        <v>0.84799999999999998</v>
      </c>
      <c r="H546" s="32">
        <v>1.5229999999999999</v>
      </c>
      <c r="I546" s="32">
        <v>2.2170000000000001</v>
      </c>
      <c r="J546" s="32">
        <v>2.496</v>
      </c>
      <c r="K546" s="32">
        <v>4.34</v>
      </c>
      <c r="L546" s="32">
        <v>4.33</v>
      </c>
      <c r="M546" s="32">
        <v>4.33</v>
      </c>
      <c r="N546" s="32">
        <v>4.33</v>
      </c>
      <c r="O546" s="32">
        <v>148.10800170898438</v>
      </c>
      <c r="P546" s="29">
        <v>1.0787951946258545</v>
      </c>
      <c r="Q546" s="29">
        <v>110.546875</v>
      </c>
      <c r="R546" s="32">
        <v>2.0581</v>
      </c>
      <c r="S546" s="32">
        <v>1.4528317858886712</v>
      </c>
    </row>
    <row r="547" spans="1:19">
      <c r="A547" s="10">
        <v>45726</v>
      </c>
      <c r="B547" s="32">
        <v>3.89</v>
      </c>
      <c r="C547" s="32">
        <v>3.98</v>
      </c>
      <c r="D547" s="32">
        <v>4.22</v>
      </c>
      <c r="E547" s="32">
        <v>4.58</v>
      </c>
      <c r="F547" s="32">
        <v>4.54</v>
      </c>
      <c r="G547" s="32">
        <v>0.875</v>
      </c>
      <c r="H547" s="32">
        <v>1.575</v>
      </c>
      <c r="I547" s="32">
        <v>2.2789999999999999</v>
      </c>
      <c r="J547" s="32">
        <v>2.544</v>
      </c>
      <c r="K547" s="32">
        <v>4.33</v>
      </c>
      <c r="L547" s="32">
        <v>4.33</v>
      </c>
      <c r="M547" s="32">
        <v>4.32</v>
      </c>
      <c r="N547" s="32">
        <v>4.32</v>
      </c>
      <c r="O547" s="32">
        <v>147.60800170898438</v>
      </c>
      <c r="P547" s="29">
        <v>1.0860593318939209</v>
      </c>
      <c r="Q547" s="29">
        <v>111.28125</v>
      </c>
      <c r="R547" s="32">
        <v>2.0261999999999998</v>
      </c>
      <c r="S547" s="32">
        <v>1.5615799999999993</v>
      </c>
    </row>
    <row r="548" spans="1:19">
      <c r="A548" s="10">
        <v>45727</v>
      </c>
      <c r="B548" s="32">
        <v>3.94</v>
      </c>
      <c r="C548" s="32">
        <v>4.03</v>
      </c>
      <c r="D548" s="32">
        <v>4.28</v>
      </c>
      <c r="E548" s="32">
        <v>4.63</v>
      </c>
      <c r="F548" s="32">
        <v>4.59</v>
      </c>
      <c r="G548" s="32">
        <v>0.83399999999999996</v>
      </c>
      <c r="H548" s="32">
        <v>1.5109999999999999</v>
      </c>
      <c r="I548" s="32">
        <v>2.2410000000000001</v>
      </c>
      <c r="J548" s="32">
        <v>2.5299999999999998</v>
      </c>
      <c r="K548" s="32">
        <v>4.32</v>
      </c>
      <c r="L548" s="32">
        <v>4.33</v>
      </c>
      <c r="M548" s="32">
        <v>4.3099999999999996</v>
      </c>
      <c r="N548" s="32">
        <v>4.3099999999999996</v>
      </c>
      <c r="O548" s="32">
        <v>147.06900024414063</v>
      </c>
      <c r="P548" s="29">
        <v>1.0839403867721558</v>
      </c>
      <c r="Q548" s="29">
        <v>110.8125</v>
      </c>
      <c r="R548" s="32">
        <v>1.9944</v>
      </c>
      <c r="S548" s="32">
        <v>1.4633564282226548</v>
      </c>
    </row>
    <row r="549" spans="1:19">
      <c r="A549" s="10">
        <v>45728</v>
      </c>
      <c r="B549" s="32">
        <v>4.01</v>
      </c>
      <c r="C549" s="32">
        <v>4.09</v>
      </c>
      <c r="D549" s="32">
        <v>4.32</v>
      </c>
      <c r="E549" s="32">
        <v>4.67</v>
      </c>
      <c r="F549" s="32">
        <v>4.63</v>
      </c>
      <c r="G549" s="32">
        <v>0.85</v>
      </c>
      <c r="H549" s="32">
        <v>1.5269999999999999</v>
      </c>
      <c r="I549" s="32">
        <v>2.2280000000000002</v>
      </c>
      <c r="J549" s="32">
        <v>2.5350000000000001</v>
      </c>
      <c r="K549" s="32">
        <v>4.3099999999999996</v>
      </c>
      <c r="L549" s="32">
        <v>4.33</v>
      </c>
      <c r="M549" s="32">
        <v>4.3</v>
      </c>
      <c r="N549" s="32">
        <v>4.3</v>
      </c>
      <c r="O549" s="32">
        <v>148.04200744628906</v>
      </c>
      <c r="P549" s="29">
        <v>1.0914170742034912</v>
      </c>
      <c r="Q549" s="29">
        <v>110.625</v>
      </c>
      <c r="R549" s="32">
        <v>1.9886999999999999</v>
      </c>
      <c r="S549" s="32">
        <v>1.5510564282226547</v>
      </c>
    </row>
    <row r="550" spans="1:19">
      <c r="A550" s="10">
        <v>45729</v>
      </c>
      <c r="B550" s="32">
        <v>3.94</v>
      </c>
      <c r="C550" s="32">
        <v>4.0199999999999996</v>
      </c>
      <c r="D550" s="32">
        <v>4.2699999999999996</v>
      </c>
      <c r="E550" s="32">
        <v>4.63</v>
      </c>
      <c r="F550" s="32">
        <v>4.59</v>
      </c>
      <c r="G550" s="32">
        <v>0.86099999999999999</v>
      </c>
      <c r="H550" s="32">
        <v>1.5489999999999999</v>
      </c>
      <c r="I550" s="32">
        <v>2.2450000000000001</v>
      </c>
      <c r="J550" s="32">
        <v>2.5470000000000002</v>
      </c>
      <c r="K550" s="32">
        <v>4.3</v>
      </c>
      <c r="L550" s="32">
        <v>4.33</v>
      </c>
      <c r="M550" s="32">
        <v>4.29</v>
      </c>
      <c r="N550" s="32">
        <v>4.29</v>
      </c>
      <c r="O550" s="32">
        <v>148.27900695800781</v>
      </c>
      <c r="P550" s="29">
        <v>1.0886249542236328</v>
      </c>
      <c r="Q550" s="29">
        <v>110.90625</v>
      </c>
      <c r="R550" s="32">
        <v>2.0169000000000001</v>
      </c>
      <c r="S550" s="32">
        <v>1.6633117858886699</v>
      </c>
    </row>
    <row r="551" spans="1:19">
      <c r="A551" s="10">
        <v>45730</v>
      </c>
      <c r="B551" s="32">
        <v>4.0199999999999996</v>
      </c>
      <c r="C551" s="32">
        <v>4.09</v>
      </c>
      <c r="D551" s="32">
        <v>4.3099999999999996</v>
      </c>
      <c r="E551" s="32">
        <v>4.6500000000000004</v>
      </c>
      <c r="F551" s="32">
        <v>4.62</v>
      </c>
      <c r="G551" s="32">
        <v>0.84</v>
      </c>
      <c r="H551" s="32">
        <v>1.522</v>
      </c>
      <c r="I551" s="32">
        <v>2.2360000000000002</v>
      </c>
      <c r="J551" s="32">
        <v>2.5350000000000001</v>
      </c>
      <c r="K551" s="32">
        <v>4.3</v>
      </c>
      <c r="L551" s="32">
        <v>4.33</v>
      </c>
      <c r="M551" s="32">
        <v>4.29</v>
      </c>
      <c r="N551" s="32">
        <v>4.29</v>
      </c>
      <c r="O551" s="32">
        <v>147.94900512695313</v>
      </c>
      <c r="P551" s="29">
        <v>1.085564136505127</v>
      </c>
      <c r="Q551" s="29">
        <v>110.625</v>
      </c>
      <c r="R551" s="32">
        <v>2.0274999999999999</v>
      </c>
      <c r="S551" s="32">
        <v>1.4966817858886703</v>
      </c>
    </row>
    <row r="552" spans="1:19">
      <c r="A552" s="10">
        <v>45733</v>
      </c>
      <c r="B552" s="32">
        <v>4.0599999999999996</v>
      </c>
      <c r="C552" s="32">
        <v>4.1100000000000003</v>
      </c>
      <c r="D552" s="32">
        <v>4.3099999999999996</v>
      </c>
      <c r="E552" s="32">
        <v>4.6399999999999997</v>
      </c>
      <c r="F552" s="32">
        <v>4.5999999999999996</v>
      </c>
      <c r="G552" s="32">
        <v>0.81100000000000005</v>
      </c>
      <c r="H552" s="32">
        <v>1.5129999999999999</v>
      </c>
      <c r="I552" s="32">
        <v>2.2490000000000001</v>
      </c>
      <c r="J552" s="32">
        <v>2.5499999999999998</v>
      </c>
      <c r="K552" s="32">
        <v>4.32</v>
      </c>
      <c r="L552" s="32">
        <v>4.33</v>
      </c>
      <c r="M552" s="32">
        <v>4.3099999999999996</v>
      </c>
      <c r="N552" s="32">
        <v>4.3099999999999996</v>
      </c>
      <c r="O552" s="32">
        <v>148.59800720214844</v>
      </c>
      <c r="P552" s="29">
        <v>1.0881274938583374</v>
      </c>
      <c r="Q552" s="29">
        <v>110.59375</v>
      </c>
      <c r="R552" s="32">
        <v>1.9912000000000001</v>
      </c>
      <c r="S552" s="32">
        <v>1.5615799999999993</v>
      </c>
    </row>
    <row r="553" spans="1:19">
      <c r="A553" s="10">
        <v>45734</v>
      </c>
      <c r="B553" s="32">
        <v>4.04</v>
      </c>
      <c r="C553" s="32">
        <v>4.07</v>
      </c>
      <c r="D553" s="32">
        <v>4.29</v>
      </c>
      <c r="E553" s="32">
        <v>4.6100000000000003</v>
      </c>
      <c r="F553" s="32">
        <v>4.58</v>
      </c>
      <c r="G553" s="32">
        <v>0.81499999999999995</v>
      </c>
      <c r="H553" s="32">
        <v>1.5069999999999999</v>
      </c>
      <c r="I553" s="32">
        <v>2.2330000000000001</v>
      </c>
      <c r="J553" s="32">
        <v>2.5419999999999998</v>
      </c>
      <c r="K553" s="32">
        <v>4.3099999999999996</v>
      </c>
      <c r="L553" s="32">
        <v>4.33</v>
      </c>
      <c r="M553" s="32">
        <v>4.3</v>
      </c>
      <c r="N553" s="32">
        <v>4.3</v>
      </c>
      <c r="O553" s="32">
        <v>149.37899780273438</v>
      </c>
      <c r="P553" s="29">
        <v>1.0919176340103149</v>
      </c>
      <c r="Q553" s="29">
        <v>110.78125</v>
      </c>
      <c r="R553" s="32">
        <v>1.9194</v>
      </c>
      <c r="S553" s="32">
        <v>1.5054517858886705</v>
      </c>
    </row>
    <row r="554" spans="1:19">
      <c r="A554" s="10">
        <v>45735</v>
      </c>
      <c r="B554" s="32">
        <v>3.99</v>
      </c>
      <c r="C554" s="32">
        <v>4.03</v>
      </c>
      <c r="D554" s="32">
        <v>4.25</v>
      </c>
      <c r="E554" s="32">
        <v>4.58</v>
      </c>
      <c r="F554" s="32">
        <v>4.5599999999999996</v>
      </c>
      <c r="G554" s="32">
        <v>0.84199999999999997</v>
      </c>
      <c r="H554" s="32">
        <v>1.52</v>
      </c>
      <c r="I554" s="32">
        <v>2.2400000000000002</v>
      </c>
      <c r="J554" s="32">
        <v>2.5430000000000001</v>
      </c>
      <c r="K554" s="32">
        <v>4.29</v>
      </c>
      <c r="L554" s="32">
        <v>4.33</v>
      </c>
      <c r="M554" s="32">
        <v>4.28</v>
      </c>
      <c r="N554" s="32">
        <v>4.28</v>
      </c>
      <c r="O554" s="32">
        <v>149.45199584960938</v>
      </c>
      <c r="P554" s="29">
        <v>1.0939482450485229</v>
      </c>
      <c r="Q554" s="29">
        <v>110.984375</v>
      </c>
      <c r="R554" s="32">
        <v>1.9466000000000001</v>
      </c>
      <c r="S554" s="32">
        <v>1.5598264282226548</v>
      </c>
    </row>
    <row r="555" spans="1:19">
      <c r="A555" s="10">
        <v>45736</v>
      </c>
      <c r="B555" s="32">
        <v>3.95</v>
      </c>
      <c r="C555" s="32">
        <v>4.01</v>
      </c>
      <c r="D555" s="32">
        <v>4.24</v>
      </c>
      <c r="E555" s="32">
        <v>4.57</v>
      </c>
      <c r="F555" s="32">
        <v>4.55</v>
      </c>
      <c r="G555" s="32">
        <v>0.84199999999999997</v>
      </c>
      <c r="H555" s="32">
        <v>1.52</v>
      </c>
      <c r="I555" s="32">
        <v>2.2400000000000002</v>
      </c>
      <c r="J555" s="32">
        <v>2.5430000000000001</v>
      </c>
      <c r="K555" s="32">
        <v>4.29</v>
      </c>
      <c r="L555" s="32">
        <v>4.33</v>
      </c>
      <c r="M555" s="32">
        <v>4.28</v>
      </c>
      <c r="N555" s="32">
        <v>4.28</v>
      </c>
      <c r="O555" s="32">
        <v>148.49000549316406</v>
      </c>
      <c r="P555" s="29">
        <v>1.0911908149719238</v>
      </c>
      <c r="Q555" s="29">
        <v>111.15625</v>
      </c>
      <c r="R555" s="32">
        <v>1.9561999999999999</v>
      </c>
      <c r="S555" s="32">
        <v>1.5598264282226548</v>
      </c>
    </row>
    <row r="556" spans="1:19">
      <c r="A556" s="10">
        <v>45737</v>
      </c>
      <c r="B556" s="32">
        <v>3.94</v>
      </c>
      <c r="C556" s="32">
        <v>4</v>
      </c>
      <c r="D556" s="32">
        <v>4.25</v>
      </c>
      <c r="E556" s="32">
        <v>4.5999999999999996</v>
      </c>
      <c r="F556" s="32">
        <v>4.59</v>
      </c>
      <c r="G556" s="32">
        <v>0.85399999999999998</v>
      </c>
      <c r="H556" s="32">
        <v>1.5269999999999999</v>
      </c>
      <c r="I556" s="32">
        <v>2.238</v>
      </c>
      <c r="J556" s="32">
        <v>2.5390000000000001</v>
      </c>
      <c r="K556" s="32">
        <v>4.3</v>
      </c>
      <c r="L556" s="32">
        <v>4.33</v>
      </c>
      <c r="M556" s="32">
        <v>4.29</v>
      </c>
      <c r="N556" s="32">
        <v>4.29</v>
      </c>
      <c r="O556" s="32">
        <v>148.59599304199219</v>
      </c>
      <c r="P556" s="29">
        <v>1.0856702327728271</v>
      </c>
      <c r="Q556" s="29">
        <v>111.09375</v>
      </c>
      <c r="R556" s="32">
        <v>1.9830000000000001</v>
      </c>
      <c r="S556" s="32">
        <v>1.4931735717773424</v>
      </c>
    </row>
    <row r="557" spans="1:19">
      <c r="A557" s="10">
        <v>45740</v>
      </c>
      <c r="B557" s="32">
        <v>4.04</v>
      </c>
      <c r="C557" s="32">
        <v>4.09</v>
      </c>
      <c r="D557" s="32">
        <v>4.34</v>
      </c>
      <c r="E557" s="32">
        <v>4.68</v>
      </c>
      <c r="F557" s="32">
        <v>4.66</v>
      </c>
      <c r="G557" s="32">
        <v>0.871</v>
      </c>
      <c r="H557" s="32">
        <v>1.5489999999999999</v>
      </c>
      <c r="I557" s="32">
        <v>2.246</v>
      </c>
      <c r="J557" s="32">
        <v>2.5430000000000001</v>
      </c>
      <c r="K557" s="32">
        <v>4.3099999999999996</v>
      </c>
      <c r="L557" s="32">
        <v>4.33</v>
      </c>
      <c r="M557" s="32">
        <v>4.3</v>
      </c>
      <c r="N557" s="32">
        <v>4.3</v>
      </c>
      <c r="O557" s="32">
        <v>149.677001953125</v>
      </c>
      <c r="P557" s="29">
        <v>1.0835762023925781</v>
      </c>
      <c r="Q557" s="29">
        <v>110.546875</v>
      </c>
      <c r="R557" s="32">
        <v>1.9588000000000001</v>
      </c>
      <c r="S557" s="32">
        <v>1.4966817858886703</v>
      </c>
    </row>
    <row r="558" spans="1:19">
      <c r="A558" s="10">
        <v>45741</v>
      </c>
      <c r="B558" s="32">
        <v>3.96</v>
      </c>
      <c r="C558" s="32">
        <v>4.07</v>
      </c>
      <c r="D558" s="32">
        <v>4.3099999999999996</v>
      </c>
      <c r="E558" s="32">
        <v>4.67</v>
      </c>
      <c r="F558" s="32">
        <v>4.6500000000000004</v>
      </c>
      <c r="G558" s="32">
        <v>0.88700000000000001</v>
      </c>
      <c r="H558" s="32">
        <v>1.5780000000000001</v>
      </c>
      <c r="I558" s="32">
        <v>2.2679999999999998</v>
      </c>
      <c r="J558" s="32">
        <v>2.5409999999999999</v>
      </c>
      <c r="K558" s="32">
        <v>4.33</v>
      </c>
      <c r="L558" s="32">
        <v>4.33</v>
      </c>
      <c r="M558" s="32">
        <v>4.3099999999999996</v>
      </c>
      <c r="N558" s="32">
        <v>4.3099999999999996</v>
      </c>
      <c r="O558" s="32">
        <v>150.77400207519531</v>
      </c>
      <c r="P558" s="29">
        <v>1.0803569555282593</v>
      </c>
      <c r="Q558" s="29">
        <v>110.75</v>
      </c>
      <c r="R558" s="32">
        <v>1.9711000000000001</v>
      </c>
      <c r="S558" s="32">
        <v>1.5773664282226552</v>
      </c>
    </row>
    <row r="559" spans="1:19">
      <c r="A559" s="10">
        <v>45742</v>
      </c>
      <c r="B559" s="32">
        <v>3.98</v>
      </c>
      <c r="C559" s="32">
        <v>4.08</v>
      </c>
      <c r="D559" s="32">
        <v>4.3499999999999996</v>
      </c>
      <c r="E559" s="32">
        <v>4.71</v>
      </c>
      <c r="F559" s="32">
        <v>4.6900000000000004</v>
      </c>
      <c r="G559" s="32">
        <v>0.89200000000000002</v>
      </c>
      <c r="H559" s="32">
        <v>1.583</v>
      </c>
      <c r="I559" s="32">
        <v>2.2599999999999998</v>
      </c>
      <c r="J559" s="32">
        <v>2.5430000000000001</v>
      </c>
      <c r="K559" s="32">
        <v>4.3499999999999996</v>
      </c>
      <c r="L559" s="32">
        <v>4.33</v>
      </c>
      <c r="M559" s="32">
        <v>4.34</v>
      </c>
      <c r="N559" s="32">
        <v>4.34</v>
      </c>
      <c r="O559" s="32">
        <v>149.94999694824219</v>
      </c>
      <c r="P559" s="29">
        <v>1.0787487030029297</v>
      </c>
      <c r="Q559" s="29">
        <v>110.5625</v>
      </c>
      <c r="R559" s="32">
        <v>2.0129000000000001</v>
      </c>
      <c r="S559" s="32">
        <v>1.6492799999999992</v>
      </c>
    </row>
    <row r="560" spans="1:19">
      <c r="A560" s="10">
        <v>45743</v>
      </c>
      <c r="B560" s="32">
        <v>3.97</v>
      </c>
      <c r="C560" s="32">
        <v>4.09</v>
      </c>
      <c r="D560" s="32">
        <v>4.38</v>
      </c>
      <c r="E560" s="32">
        <v>4.75</v>
      </c>
      <c r="F560" s="32">
        <v>4.7300000000000004</v>
      </c>
      <c r="G560" s="32">
        <v>0.89300000000000002</v>
      </c>
      <c r="H560" s="32">
        <v>1.5880000000000001</v>
      </c>
      <c r="I560" s="32">
        <v>2.2599999999999998</v>
      </c>
      <c r="J560" s="32">
        <v>2.5299999999999998</v>
      </c>
      <c r="K560" s="32">
        <v>4.3600000000000003</v>
      </c>
      <c r="L560" s="32">
        <v>4.33</v>
      </c>
      <c r="M560" s="32">
        <v>4.34</v>
      </c>
      <c r="N560" s="32">
        <v>4.34</v>
      </c>
      <c r="O560" s="32">
        <v>150.47300720214844</v>
      </c>
      <c r="P560" s="29">
        <v>1.0742061138153076</v>
      </c>
      <c r="Q560" s="29">
        <v>110.421875</v>
      </c>
      <c r="R560" s="32">
        <v>1.9736</v>
      </c>
      <c r="S560" s="32">
        <v>1.5966599999999982</v>
      </c>
    </row>
    <row r="561" spans="1:19">
      <c r="A561" s="10">
        <v>45744</v>
      </c>
      <c r="B561" s="32">
        <v>3.89</v>
      </c>
      <c r="C561" s="32">
        <v>3.98</v>
      </c>
      <c r="D561" s="32">
        <v>4.2699999999999996</v>
      </c>
      <c r="E561" s="32">
        <v>4.6500000000000004</v>
      </c>
      <c r="F561" s="32">
        <v>4.6399999999999997</v>
      </c>
      <c r="G561" s="32">
        <v>0.877</v>
      </c>
      <c r="H561" s="32">
        <v>1.5509999999999999</v>
      </c>
      <c r="I561" s="32">
        <v>2.2250000000000001</v>
      </c>
      <c r="J561" s="32">
        <v>2.4860000000000002</v>
      </c>
      <c r="K561" s="32">
        <v>4.34</v>
      </c>
      <c r="L561" s="32">
        <v>4.33</v>
      </c>
      <c r="M561" s="32">
        <v>4.33</v>
      </c>
      <c r="N561" s="32">
        <v>4.33</v>
      </c>
      <c r="O561" s="32">
        <v>150.84700012207031</v>
      </c>
      <c r="P561" s="29">
        <v>1.0801001787185669</v>
      </c>
      <c r="Q561" s="29">
        <v>111.203125</v>
      </c>
      <c r="R561" s="32">
        <v>2.0017999999999998</v>
      </c>
      <c r="S561" s="32">
        <v>1.5370235717773433</v>
      </c>
    </row>
    <row r="562" spans="1:19">
      <c r="A562" s="10">
        <v>45747</v>
      </c>
      <c r="B562" s="32">
        <v>3.89</v>
      </c>
      <c r="C562" s="32">
        <v>3.96</v>
      </c>
      <c r="D562" s="32">
        <v>4.2300000000000004</v>
      </c>
      <c r="E562" s="32">
        <v>4.62</v>
      </c>
      <c r="F562" s="32">
        <v>4.59</v>
      </c>
      <c r="G562" s="32">
        <v>0.85399999999999998</v>
      </c>
      <c r="H562" s="32">
        <v>1.4970000000000001</v>
      </c>
      <c r="I562" s="32">
        <v>2.202</v>
      </c>
      <c r="J562" s="32">
        <v>2.48</v>
      </c>
      <c r="K562" s="32">
        <v>4.41</v>
      </c>
      <c r="L562" s="32">
        <v>4.33</v>
      </c>
      <c r="M562" s="32">
        <v>4.3600000000000003</v>
      </c>
      <c r="N562" s="32">
        <v>4.3600000000000003</v>
      </c>
      <c r="O562" s="32">
        <v>149.91299438476563</v>
      </c>
      <c r="P562" s="29">
        <v>1.0818880796432495</v>
      </c>
      <c r="Q562" s="29">
        <v>111.21875</v>
      </c>
      <c r="R562" s="32">
        <v>1.9083000000000001</v>
      </c>
      <c r="S562" s="32">
        <v>1.491419999999998</v>
      </c>
    </row>
    <row r="563" spans="1:19">
      <c r="A563" s="10">
        <v>45748</v>
      </c>
      <c r="B563" s="32">
        <v>3.87</v>
      </c>
      <c r="C563" s="32">
        <v>3.91</v>
      </c>
      <c r="D563" s="32">
        <v>4.17</v>
      </c>
      <c r="E563" s="32">
        <v>4.5599999999999996</v>
      </c>
      <c r="F563" s="32">
        <v>4.5199999999999996</v>
      </c>
      <c r="G563" s="32">
        <v>0.85499999999999998</v>
      </c>
      <c r="H563" s="32">
        <v>1.5109999999999999</v>
      </c>
      <c r="I563" s="32">
        <v>2.21</v>
      </c>
      <c r="J563" s="32">
        <v>2.4980000000000002</v>
      </c>
      <c r="K563" s="32">
        <v>4.3899999999999997</v>
      </c>
      <c r="L563" s="32">
        <v>4.33</v>
      </c>
      <c r="M563" s="32">
        <v>4.3499999999999996</v>
      </c>
      <c r="N563" s="32">
        <v>4.3499999999999996</v>
      </c>
      <c r="O563" s="32">
        <v>149.78300476074219</v>
      </c>
      <c r="P563" s="29">
        <v>1.0795987844467163</v>
      </c>
      <c r="Q563" s="29">
        <v>111.78125</v>
      </c>
      <c r="R563" s="32">
        <v>1.9188000000000001</v>
      </c>
      <c r="S563" s="32">
        <v>1.6457717858886713</v>
      </c>
    </row>
    <row r="564" spans="1:19">
      <c r="A564" s="10">
        <v>45749</v>
      </c>
      <c r="B564" s="32">
        <v>3.91</v>
      </c>
      <c r="C564" s="32">
        <v>3.95</v>
      </c>
      <c r="D564" s="32">
        <v>4.2</v>
      </c>
      <c r="E564" s="32">
        <v>4.58</v>
      </c>
      <c r="F564" s="32">
        <v>4.54</v>
      </c>
      <c r="G564" s="32">
        <v>0.83399999999999996</v>
      </c>
      <c r="H564" s="32">
        <v>1.4810000000000001</v>
      </c>
      <c r="I564" s="32">
        <v>2.17</v>
      </c>
      <c r="J564" s="32">
        <v>2.444</v>
      </c>
      <c r="K564" s="32">
        <v>4.37</v>
      </c>
      <c r="L564" s="32">
        <v>4.33</v>
      </c>
      <c r="M564" s="32">
        <v>4.34</v>
      </c>
      <c r="N564" s="32">
        <v>4.34</v>
      </c>
      <c r="O564" s="32">
        <v>147.87199401855469</v>
      </c>
      <c r="P564" s="29">
        <v>1.0908694267272949</v>
      </c>
      <c r="Q564" s="29">
        <v>111.5</v>
      </c>
      <c r="R564" s="32">
        <v>1.8789</v>
      </c>
      <c r="S564" s="32">
        <v>1.5370235717773433</v>
      </c>
    </row>
    <row r="565" spans="1:19">
      <c r="A565" s="10">
        <v>45750</v>
      </c>
      <c r="B565" s="32">
        <v>3.71</v>
      </c>
      <c r="C565" s="32">
        <v>3.75</v>
      </c>
      <c r="D565" s="32">
        <v>4.0599999999999996</v>
      </c>
      <c r="E565" s="32">
        <v>4.51</v>
      </c>
      <c r="F565" s="32">
        <v>4.49</v>
      </c>
      <c r="G565" s="32">
        <v>0.754</v>
      </c>
      <c r="H565" s="32">
        <v>1.3660000000000001</v>
      </c>
      <c r="I565" s="32">
        <v>2.0920000000000001</v>
      </c>
      <c r="J565" s="32">
        <v>2.38</v>
      </c>
      <c r="K565" s="32">
        <v>4.3899999999999997</v>
      </c>
      <c r="L565" s="32">
        <v>4.33</v>
      </c>
      <c r="M565" s="32">
        <v>4.3600000000000003</v>
      </c>
      <c r="N565" s="32">
        <v>4.37</v>
      </c>
      <c r="O565" s="32">
        <v>146.23100280761719</v>
      </c>
      <c r="P565" s="29">
        <v>1.1043744087219238</v>
      </c>
      <c r="Q565" s="29">
        <v>112.640625</v>
      </c>
      <c r="R565" s="32">
        <v>1.8933</v>
      </c>
      <c r="S565" s="32">
        <v>1.3703935717773419</v>
      </c>
    </row>
    <row r="566" spans="1:19">
      <c r="A566" s="10">
        <v>45751</v>
      </c>
      <c r="B566" s="32">
        <v>3.68</v>
      </c>
      <c r="C566" s="32">
        <v>3.72</v>
      </c>
      <c r="D566" s="32">
        <v>4.01</v>
      </c>
      <c r="E566" s="32">
        <v>4.4400000000000004</v>
      </c>
      <c r="F566" s="32">
        <v>4.41</v>
      </c>
      <c r="G566" s="32">
        <v>0.61199999999999999</v>
      </c>
      <c r="H566" s="32">
        <v>1.1759999999999999</v>
      </c>
      <c r="I566" s="32">
        <v>1.946</v>
      </c>
      <c r="J566" s="32">
        <v>2.3029999999999999</v>
      </c>
      <c r="K566" s="32">
        <v>4.3499999999999996</v>
      </c>
      <c r="L566" s="32">
        <v>4.33</v>
      </c>
      <c r="M566" s="32">
        <v>4.33</v>
      </c>
      <c r="N566" s="32">
        <v>4.33</v>
      </c>
      <c r="O566" s="32">
        <v>146.23100280761719</v>
      </c>
      <c r="P566" s="29">
        <v>1.1043744087219238</v>
      </c>
      <c r="Q566" s="29">
        <v>113.046875</v>
      </c>
      <c r="R566" s="32">
        <v>1.7156</v>
      </c>
      <c r="S566" s="32">
        <v>1.3388217858886708</v>
      </c>
    </row>
    <row r="567" spans="1:19">
      <c r="A567" s="10">
        <v>45754</v>
      </c>
      <c r="B567" s="32">
        <v>3.73</v>
      </c>
      <c r="C567" s="32">
        <v>3.82</v>
      </c>
      <c r="D567" s="32">
        <v>4.1500000000000004</v>
      </c>
      <c r="E567" s="32">
        <v>4.6100000000000003</v>
      </c>
      <c r="F567" s="32">
        <v>4.58</v>
      </c>
      <c r="G567" s="32">
        <v>0.58599999999999997</v>
      </c>
      <c r="H567" s="32">
        <v>1.129</v>
      </c>
      <c r="I567" s="32">
        <v>1.93</v>
      </c>
      <c r="J567" s="32">
        <v>2.282</v>
      </c>
      <c r="K567" s="32">
        <v>4.33</v>
      </c>
      <c r="L567" s="32">
        <v>4.33</v>
      </c>
      <c r="M567" s="32">
        <v>4.3099999999999996</v>
      </c>
      <c r="N567" s="32">
        <v>4.3099999999999996</v>
      </c>
      <c r="O567" s="32">
        <v>147.78900146484375</v>
      </c>
      <c r="P567" s="29">
        <v>1.0915361642837524</v>
      </c>
      <c r="Q567" s="29">
        <v>112.0625</v>
      </c>
      <c r="R567" s="32">
        <v>1.5605</v>
      </c>
      <c r="S567" s="32">
        <v>1.1634217858886711</v>
      </c>
    </row>
    <row r="568" spans="1:19">
      <c r="A568" s="10">
        <v>45755</v>
      </c>
      <c r="B568" s="32">
        <v>3.71</v>
      </c>
      <c r="C568" s="32">
        <v>3.88</v>
      </c>
      <c r="D568" s="32">
        <v>4.26</v>
      </c>
      <c r="E568" s="32">
        <v>4.76</v>
      </c>
      <c r="F568" s="32">
        <v>4.71</v>
      </c>
      <c r="G568" s="32">
        <v>0.64700000000000002</v>
      </c>
      <c r="H568" s="32">
        <v>1.268</v>
      </c>
      <c r="I568" s="32">
        <v>2.11</v>
      </c>
      <c r="J568" s="32">
        <v>2.4790000000000001</v>
      </c>
      <c r="K568" s="32">
        <v>4.4000000000000004</v>
      </c>
      <c r="L568" s="32">
        <v>4.33</v>
      </c>
      <c r="M568" s="32">
        <v>4.37</v>
      </c>
      <c r="N568" s="32">
        <v>4.37</v>
      </c>
      <c r="O568" s="32">
        <v>145.84500122070313</v>
      </c>
      <c r="P568" s="29">
        <v>1.0980443954467773</v>
      </c>
      <c r="Q568" s="29">
        <v>111.46875</v>
      </c>
      <c r="R568" s="32">
        <v>1.4874000000000001</v>
      </c>
      <c r="S568" s="32">
        <v>1.4282764282226559</v>
      </c>
    </row>
    <row r="569" spans="1:19">
      <c r="A569" s="10">
        <v>45756</v>
      </c>
      <c r="B569" s="32">
        <v>3.91</v>
      </c>
      <c r="C569" s="32">
        <v>4.0599999999999996</v>
      </c>
      <c r="D569" s="32">
        <v>4.34</v>
      </c>
      <c r="E569" s="32">
        <v>4.78</v>
      </c>
      <c r="F569" s="32">
        <v>4.72</v>
      </c>
      <c r="G569" s="32">
        <v>0.61099999999999999</v>
      </c>
      <c r="H569" s="32">
        <v>1.284</v>
      </c>
      <c r="I569" s="32">
        <v>2.2610000000000001</v>
      </c>
      <c r="J569" s="32">
        <v>2.6429999999999998</v>
      </c>
      <c r="K569" s="32">
        <v>4.42</v>
      </c>
      <c r="L569" s="32">
        <v>4.33</v>
      </c>
      <c r="M569" s="32">
        <v>4.4000000000000004</v>
      </c>
      <c r="N569" s="32">
        <v>4.4000000000000004</v>
      </c>
      <c r="O569" s="32">
        <v>147.39900207519531</v>
      </c>
      <c r="P569" s="29">
        <v>1.0952062606811523</v>
      </c>
      <c r="Q569" s="29">
        <v>110.328125</v>
      </c>
      <c r="R569" s="32">
        <v>1.5384</v>
      </c>
      <c r="S569" s="32">
        <v>1.2072717858886701</v>
      </c>
    </row>
    <row r="570" spans="1:19">
      <c r="A570" s="10">
        <v>45757</v>
      </c>
      <c r="B570" s="32">
        <v>3.84</v>
      </c>
      <c r="C570" s="32">
        <v>4.04</v>
      </c>
      <c r="D570" s="32">
        <v>4.4000000000000004</v>
      </c>
      <c r="E570" s="32">
        <v>4.9000000000000004</v>
      </c>
      <c r="F570" s="32">
        <v>4.8600000000000003</v>
      </c>
      <c r="G570" s="32">
        <v>0.67600000000000005</v>
      </c>
      <c r="H570" s="32">
        <v>1.379</v>
      </c>
      <c r="I570" s="32">
        <v>2.2789999999999999</v>
      </c>
      <c r="J570" s="32">
        <v>2.6110000000000002</v>
      </c>
      <c r="K570" s="32">
        <v>4.37</v>
      </c>
      <c r="L570" s="32">
        <v>4.33</v>
      </c>
      <c r="M570" s="32">
        <v>4.3600000000000003</v>
      </c>
      <c r="N570" s="32">
        <v>4.3600000000000003</v>
      </c>
      <c r="O570" s="32">
        <v>143.74699401855469</v>
      </c>
      <c r="P570" s="29">
        <v>1.1257838010787964</v>
      </c>
      <c r="Q570" s="29">
        <v>110.59375</v>
      </c>
      <c r="R570" s="32">
        <v>1.3617999999999999</v>
      </c>
      <c r="S570" s="32">
        <v>1.5826282141113275</v>
      </c>
    </row>
    <row r="571" spans="1:19">
      <c r="A571" s="10">
        <v>45758</v>
      </c>
      <c r="B571" s="32">
        <v>3.96</v>
      </c>
      <c r="C571" s="32">
        <v>4.1500000000000004</v>
      </c>
      <c r="D571" s="32">
        <v>4.4800000000000004</v>
      </c>
      <c r="E571" s="32">
        <v>4.91</v>
      </c>
      <c r="F571" s="32">
        <v>4.8499999999999996</v>
      </c>
      <c r="G571" s="32">
        <v>0.61099999999999999</v>
      </c>
      <c r="H571" s="32">
        <v>1.357</v>
      </c>
      <c r="I571" s="32">
        <v>2.3250000000000002</v>
      </c>
      <c r="J571" s="32">
        <v>2.661</v>
      </c>
      <c r="K571" s="32">
        <v>4.33</v>
      </c>
      <c r="L571" s="32">
        <v>4.33</v>
      </c>
      <c r="M571" s="32">
        <v>4.32</v>
      </c>
      <c r="N571" s="32">
        <v>4.32</v>
      </c>
      <c r="O571" s="32">
        <v>143.74699401855469</v>
      </c>
      <c r="P571" s="29">
        <v>1.1257838010787964</v>
      </c>
      <c r="Q571" s="29">
        <v>109.734375</v>
      </c>
      <c r="R571" s="32">
        <v>1.3732</v>
      </c>
      <c r="S571" s="32">
        <v>1.1090482141113274</v>
      </c>
    </row>
    <row r="572" spans="1:19">
      <c r="A572" s="10">
        <v>45761</v>
      </c>
      <c r="B572" s="32">
        <v>3.84</v>
      </c>
      <c r="C572" s="32">
        <v>4.0199999999999996</v>
      </c>
      <c r="D572" s="32">
        <v>4.38</v>
      </c>
      <c r="E572" s="32">
        <v>4.84</v>
      </c>
      <c r="F572" s="32">
        <v>4.8</v>
      </c>
      <c r="G572" s="32">
        <v>0.58899999999999997</v>
      </c>
      <c r="H572" s="32">
        <v>1.35</v>
      </c>
      <c r="I572" s="32">
        <v>2.3889999999999998</v>
      </c>
      <c r="J572" s="32">
        <v>2.7559999999999998</v>
      </c>
      <c r="K572" s="32">
        <v>4.33</v>
      </c>
      <c r="L572" s="32">
        <v>4.33</v>
      </c>
      <c r="M572" s="32">
        <v>4.33</v>
      </c>
      <c r="N572" s="32">
        <v>4.33</v>
      </c>
      <c r="O572" s="32">
        <v>143.22099304199219</v>
      </c>
      <c r="P572" s="29">
        <v>1.1339668035507202</v>
      </c>
      <c r="Q572" s="29">
        <v>110.75</v>
      </c>
      <c r="R572" s="32">
        <v>1.2699</v>
      </c>
      <c r="S572" s="32">
        <v>1.6141999999999985</v>
      </c>
    </row>
    <row r="573" spans="1:19">
      <c r="A573" s="10">
        <v>45762</v>
      </c>
      <c r="B573" s="32">
        <v>3.84</v>
      </c>
      <c r="C573" s="32">
        <v>3.98</v>
      </c>
      <c r="D573" s="32">
        <v>4.3499999999999996</v>
      </c>
      <c r="E573" s="32">
        <v>4.82</v>
      </c>
      <c r="F573" s="32">
        <v>4.79</v>
      </c>
      <c r="G573" s="32">
        <v>0.64600000000000002</v>
      </c>
      <c r="H573" s="32">
        <v>1.377</v>
      </c>
      <c r="I573" s="32">
        <v>2.339</v>
      </c>
      <c r="J573" s="32">
        <v>2.7330000000000001</v>
      </c>
      <c r="K573" s="32">
        <v>4.3600000000000003</v>
      </c>
      <c r="L573" s="32">
        <v>4.33</v>
      </c>
      <c r="M573" s="32">
        <v>4.3499999999999996</v>
      </c>
      <c r="N573" s="32">
        <v>4.3499999999999996</v>
      </c>
      <c r="O573" s="32">
        <v>143.18099975585938</v>
      </c>
      <c r="P573" s="29">
        <v>1.1292672157287598</v>
      </c>
      <c r="Q573" s="29">
        <v>111.078125</v>
      </c>
      <c r="R573" s="32">
        <v>1.2799</v>
      </c>
      <c r="S573" s="32">
        <v>1.3949499999999979</v>
      </c>
    </row>
    <row r="574" spans="1:19">
      <c r="A574" s="10">
        <v>45763</v>
      </c>
      <c r="B574" s="32">
        <v>3.77</v>
      </c>
      <c r="C574" s="32">
        <v>3.91</v>
      </c>
      <c r="D574" s="32">
        <v>4.29</v>
      </c>
      <c r="E574" s="32">
        <v>4.7699999999999996</v>
      </c>
      <c r="F574" s="32">
        <v>4.74</v>
      </c>
      <c r="G574" s="32">
        <v>0.61499999999999999</v>
      </c>
      <c r="H574" s="32">
        <v>1.3049999999999999</v>
      </c>
      <c r="I574" s="32">
        <v>2.266</v>
      </c>
      <c r="J574" s="32">
        <v>2.6459999999999999</v>
      </c>
      <c r="K574" s="32">
        <v>4.3099999999999996</v>
      </c>
      <c r="L574" s="32">
        <v>4.33</v>
      </c>
      <c r="M574" s="32">
        <v>4.3</v>
      </c>
      <c r="N574" s="32">
        <v>4.3</v>
      </c>
      <c r="O574" s="32">
        <v>141.92799377441406</v>
      </c>
      <c r="P574" s="29">
        <v>1.1396790742874146</v>
      </c>
      <c r="Q574" s="29">
        <v>111.421875</v>
      </c>
      <c r="R574" s="32">
        <v>1.452</v>
      </c>
      <c r="S574" s="32">
        <v>1.4440617858886711</v>
      </c>
    </row>
    <row r="575" spans="1:19">
      <c r="A575" s="10">
        <v>45764</v>
      </c>
      <c r="B575" s="32">
        <v>3.81</v>
      </c>
      <c r="C575" s="32">
        <v>3.95</v>
      </c>
      <c r="D575" s="32">
        <v>4.34</v>
      </c>
      <c r="E575" s="32">
        <v>4.82</v>
      </c>
      <c r="F575" s="32">
        <v>4.8</v>
      </c>
      <c r="G575" s="32">
        <v>0.65</v>
      </c>
      <c r="H575" s="32">
        <v>1.32</v>
      </c>
      <c r="I575" s="32">
        <v>2.2570000000000001</v>
      </c>
      <c r="J575" s="32">
        <v>2.6070000000000002</v>
      </c>
      <c r="K575" s="32">
        <v>4.32</v>
      </c>
      <c r="L575" s="32">
        <v>4.33</v>
      </c>
      <c r="M575" s="32">
        <v>4.3099999999999996</v>
      </c>
      <c r="N575" s="32">
        <v>4.3099999999999996</v>
      </c>
      <c r="O575" s="32">
        <v>141.92799377441406</v>
      </c>
      <c r="P575" s="29">
        <v>1.1396790742874146</v>
      </c>
      <c r="Q575" s="29">
        <v>111.171875</v>
      </c>
      <c r="R575" s="32">
        <v>1.3443000000000001</v>
      </c>
      <c r="S575" s="32">
        <v>1.2862017858886698</v>
      </c>
    </row>
    <row r="576" spans="1:19">
      <c r="A576" s="10">
        <v>45768</v>
      </c>
      <c r="B576" s="32">
        <v>3.75</v>
      </c>
      <c r="C576" s="32">
        <v>3.97</v>
      </c>
      <c r="D576" s="32">
        <v>4.42</v>
      </c>
      <c r="E576" s="32">
        <v>4.9400000000000004</v>
      </c>
      <c r="F576" s="32">
        <v>4.91</v>
      </c>
      <c r="G576" s="32">
        <v>0.64900000000000002</v>
      </c>
      <c r="H576" s="32">
        <v>1.302</v>
      </c>
      <c r="I576" s="32">
        <v>2.2970000000000002</v>
      </c>
      <c r="J576" s="32">
        <v>2.677</v>
      </c>
      <c r="K576" s="32">
        <v>4.32</v>
      </c>
      <c r="L576" s="32">
        <v>4.33</v>
      </c>
      <c r="M576" s="32">
        <v>4.32</v>
      </c>
      <c r="N576" s="32">
        <v>4.32</v>
      </c>
      <c r="O576" s="32">
        <v>140.87600708007813</v>
      </c>
      <c r="P576" s="29">
        <v>1.1512778997421265</v>
      </c>
      <c r="Q576" s="29">
        <v>110.8125</v>
      </c>
      <c r="R576" s="32">
        <v>1.3093999999999999</v>
      </c>
      <c r="S576" s="32">
        <v>1.4756335717773421</v>
      </c>
    </row>
    <row r="577" spans="1:19">
      <c r="A577" s="10">
        <v>45769</v>
      </c>
      <c r="B577" s="32">
        <v>3.76</v>
      </c>
      <c r="C577" s="32">
        <v>3.98</v>
      </c>
      <c r="D577" s="32">
        <v>4.41</v>
      </c>
      <c r="E577" s="32">
        <v>4.9000000000000004</v>
      </c>
      <c r="F577" s="32">
        <v>4.88</v>
      </c>
      <c r="G577" s="32">
        <v>0.67</v>
      </c>
      <c r="H577" s="32">
        <v>1.323</v>
      </c>
      <c r="I577" s="32">
        <v>2.2669999999999999</v>
      </c>
      <c r="J577" s="32">
        <v>2.673</v>
      </c>
      <c r="K577" s="32">
        <v>4.3</v>
      </c>
      <c r="L577" s="32">
        <v>4.33</v>
      </c>
      <c r="M577" s="32">
        <v>4.29</v>
      </c>
      <c r="N577" s="32">
        <v>4.29</v>
      </c>
      <c r="O577" s="32">
        <v>142.68800354003906</v>
      </c>
      <c r="P577" s="29">
        <v>1.1351252794265747</v>
      </c>
      <c r="Q577" s="29">
        <v>110.796875</v>
      </c>
      <c r="R577" s="32">
        <v>1.3093999999999999</v>
      </c>
      <c r="S577" s="32">
        <v>1.5089599999999983</v>
      </c>
    </row>
    <row r="578" spans="1:19">
      <c r="A578" s="10">
        <v>45770</v>
      </c>
      <c r="B578" s="32">
        <v>3.81</v>
      </c>
      <c r="C578" s="32">
        <v>4</v>
      </c>
      <c r="D578" s="32">
        <v>4.4000000000000004</v>
      </c>
      <c r="E578" s="32">
        <v>4.8600000000000003</v>
      </c>
      <c r="F578" s="32">
        <v>4.83</v>
      </c>
      <c r="G578" s="32">
        <v>0.68400000000000005</v>
      </c>
      <c r="H578" s="32">
        <v>1.34</v>
      </c>
      <c r="I578" s="32">
        <v>2.2320000000000002</v>
      </c>
      <c r="J578" s="32">
        <v>2.6259999999999999</v>
      </c>
      <c r="K578" s="32">
        <v>4.28</v>
      </c>
      <c r="L578" s="32">
        <v>4.33</v>
      </c>
      <c r="M578" s="32">
        <v>4.2699999999999996</v>
      </c>
      <c r="N578" s="32">
        <v>4.2699999999999996</v>
      </c>
      <c r="O578" s="32">
        <v>143.22300720214844</v>
      </c>
      <c r="P578" s="29">
        <v>1.1327337026596069</v>
      </c>
      <c r="Q578" s="29">
        <v>110.65625</v>
      </c>
      <c r="R578" s="32">
        <v>1.3044</v>
      </c>
      <c r="S578" s="32">
        <v>1.5054517858886705</v>
      </c>
    </row>
    <row r="579" spans="1:19">
      <c r="A579" s="10">
        <v>45771</v>
      </c>
      <c r="B579" s="32">
        <v>3.77</v>
      </c>
      <c r="C579" s="32">
        <v>3.91</v>
      </c>
      <c r="D579" s="32">
        <v>4.32</v>
      </c>
      <c r="E579" s="32">
        <v>4.79</v>
      </c>
      <c r="F579" s="32">
        <v>4.7699999999999996</v>
      </c>
      <c r="G579" s="32">
        <v>0.67900000000000005</v>
      </c>
      <c r="H579" s="32">
        <v>1.3280000000000001</v>
      </c>
      <c r="I579" s="32">
        <v>2.226</v>
      </c>
      <c r="J579" s="32">
        <v>2.6339999999999999</v>
      </c>
      <c r="K579" s="32">
        <v>4.29</v>
      </c>
      <c r="L579" s="32">
        <v>4.33</v>
      </c>
      <c r="M579" s="32">
        <v>4.28</v>
      </c>
      <c r="N579" s="32">
        <v>4.28</v>
      </c>
      <c r="O579" s="32">
        <v>142.87899780273438</v>
      </c>
      <c r="P579" s="29">
        <v>1.1371906995773315</v>
      </c>
      <c r="Q579" s="29">
        <v>111.21875</v>
      </c>
      <c r="R579" s="32">
        <v>1.3371</v>
      </c>
      <c r="S579" s="32">
        <v>1.3388217858886708</v>
      </c>
    </row>
    <row r="580" spans="1:19">
      <c r="A580" s="10">
        <v>45772</v>
      </c>
      <c r="B580" s="32">
        <v>3.74</v>
      </c>
      <c r="C580" s="32">
        <v>3.88</v>
      </c>
      <c r="D580" s="32">
        <v>4.29</v>
      </c>
      <c r="E580" s="32">
        <v>4.75</v>
      </c>
      <c r="F580" s="32">
        <v>4.74</v>
      </c>
      <c r="G580" s="32">
        <v>0.68899999999999995</v>
      </c>
      <c r="H580" s="32">
        <v>1.347</v>
      </c>
      <c r="I580" s="32">
        <v>2.2480000000000002</v>
      </c>
      <c r="J580" s="32">
        <v>2.6389999999999998</v>
      </c>
      <c r="K580" s="32">
        <v>4.33</v>
      </c>
      <c r="L580" s="32">
        <v>4.33</v>
      </c>
      <c r="M580" s="32">
        <v>4.32</v>
      </c>
      <c r="N580" s="32">
        <v>4.32</v>
      </c>
      <c r="O580" s="32">
        <v>142.87899780273438</v>
      </c>
      <c r="P580" s="29">
        <v>1.1371906995773315</v>
      </c>
      <c r="Q580" s="29">
        <v>111.515625</v>
      </c>
      <c r="R580" s="32">
        <v>1.3022</v>
      </c>
      <c r="S580" s="32">
        <v>1.4528317858886712</v>
      </c>
    </row>
    <row r="581" spans="1:19">
      <c r="A581" s="10">
        <v>45775</v>
      </c>
      <c r="B581" s="32">
        <v>3.67</v>
      </c>
      <c r="C581" s="32">
        <v>3.81</v>
      </c>
      <c r="D581" s="32">
        <v>4.2300000000000004</v>
      </c>
      <c r="E581" s="32">
        <v>4.71</v>
      </c>
      <c r="F581" s="32">
        <v>4.6900000000000004</v>
      </c>
      <c r="G581" s="32">
        <v>0.68600000000000005</v>
      </c>
      <c r="H581" s="32">
        <v>1.329</v>
      </c>
      <c r="I581" s="32">
        <v>2.2360000000000002</v>
      </c>
      <c r="J581" s="32">
        <v>2.6389999999999998</v>
      </c>
      <c r="K581" s="32">
        <v>4.3600000000000003</v>
      </c>
      <c r="L581" s="32">
        <v>4.33</v>
      </c>
      <c r="M581" s="32">
        <v>4.3499999999999996</v>
      </c>
      <c r="N581" s="32">
        <v>4.3499999999999996</v>
      </c>
      <c r="O581" s="32">
        <v>142.17799377441406</v>
      </c>
      <c r="P581" s="29">
        <v>1.1409143209457397</v>
      </c>
      <c r="Q581" s="29">
        <v>111.90625</v>
      </c>
      <c r="R581" s="32">
        <v>1.3387</v>
      </c>
      <c r="S581" s="32">
        <v>1.3318064282226558</v>
      </c>
    </row>
    <row r="582" spans="1:19">
      <c r="A582" s="10">
        <v>45776</v>
      </c>
      <c r="B582" s="32">
        <v>3.65</v>
      </c>
      <c r="C582" s="32">
        <v>3.77</v>
      </c>
      <c r="D582" s="32">
        <v>4.1900000000000004</v>
      </c>
      <c r="E582" s="32">
        <v>4.66</v>
      </c>
      <c r="F582" s="32">
        <v>4.6399999999999997</v>
      </c>
      <c r="G582" s="32">
        <v>0.68600000000000005</v>
      </c>
      <c r="H582" s="32">
        <v>1.329</v>
      </c>
      <c r="I582" s="32">
        <v>2.2360000000000002</v>
      </c>
      <c r="J582" s="32">
        <v>2.6389999999999998</v>
      </c>
      <c r="K582" s="32">
        <v>4.3600000000000003</v>
      </c>
      <c r="L582" s="32">
        <v>4.33</v>
      </c>
      <c r="M582" s="32">
        <v>4.3499999999999996</v>
      </c>
      <c r="N582" s="32">
        <v>4.3499999999999996</v>
      </c>
      <c r="O582" s="32">
        <v>142.29899597167969</v>
      </c>
      <c r="P582" s="29">
        <v>1.1389262676239014</v>
      </c>
      <c r="Q582" s="29">
        <v>112.15625</v>
      </c>
      <c r="R582" s="32">
        <v>1.427</v>
      </c>
      <c r="S582" s="32">
        <v>1.3318064282226558</v>
      </c>
    </row>
    <row r="583" spans="1:19">
      <c r="A583" s="10">
        <v>45777</v>
      </c>
      <c r="B583" s="32">
        <v>3.6</v>
      </c>
      <c r="C583" s="32">
        <v>3.72</v>
      </c>
      <c r="D583" s="32">
        <v>4.17</v>
      </c>
      <c r="E583" s="32">
        <v>4.68</v>
      </c>
      <c r="F583" s="32">
        <v>4.66</v>
      </c>
      <c r="G583" s="32">
        <v>0.67600000000000005</v>
      </c>
      <c r="H583" s="32">
        <v>1.33</v>
      </c>
      <c r="I583" s="32">
        <v>2.2280000000000002</v>
      </c>
      <c r="J583" s="32">
        <v>2.645</v>
      </c>
      <c r="K583" s="32">
        <v>4.41</v>
      </c>
      <c r="L583" s="32">
        <v>4.33</v>
      </c>
      <c r="M583" s="32">
        <v>4.37</v>
      </c>
      <c r="N583" s="32">
        <v>4.37</v>
      </c>
      <c r="O583" s="32">
        <v>143.00900268554688</v>
      </c>
      <c r="P583" s="29">
        <v>1.1324899196624756</v>
      </c>
      <c r="Q583" s="29">
        <v>112.21875</v>
      </c>
      <c r="R583" s="32">
        <v>1.4092</v>
      </c>
      <c r="S583" s="32">
        <v>1.3633782141113269</v>
      </c>
    </row>
    <row r="584" spans="1:19">
      <c r="A584" s="10">
        <v>45778</v>
      </c>
      <c r="B584" s="32">
        <v>3.7</v>
      </c>
      <c r="C584" s="32">
        <v>3.81</v>
      </c>
      <c r="D584" s="32">
        <v>4.25</v>
      </c>
      <c r="E584" s="32">
        <v>4.75</v>
      </c>
      <c r="F584" s="32">
        <v>4.74</v>
      </c>
      <c r="G584" s="32">
        <v>0.629</v>
      </c>
      <c r="H584" s="32">
        <v>1.2909999999999999</v>
      </c>
      <c r="I584" s="32">
        <v>2.2240000000000002</v>
      </c>
      <c r="J584" s="32">
        <v>2.653</v>
      </c>
      <c r="K584" s="32">
        <v>4.3899999999999997</v>
      </c>
      <c r="L584" s="32">
        <v>4.33</v>
      </c>
      <c r="M584" s="32">
        <v>4.3499999999999996</v>
      </c>
      <c r="N584" s="32">
        <v>4.3499999999999996</v>
      </c>
      <c r="O584" s="32">
        <v>145.447998046875</v>
      </c>
      <c r="P584" s="29">
        <v>1.1296498775482178</v>
      </c>
      <c r="Q584" s="29">
        <v>111.859375</v>
      </c>
      <c r="R584" s="32">
        <v>1.3686</v>
      </c>
      <c r="S584" s="32">
        <v>1.3212817858886705</v>
      </c>
    </row>
    <row r="585" spans="1:19">
      <c r="A585" s="10">
        <v>45779</v>
      </c>
      <c r="B585" s="32">
        <v>3.83</v>
      </c>
      <c r="C585" s="32">
        <v>3.92</v>
      </c>
      <c r="D585" s="32">
        <v>4.33</v>
      </c>
      <c r="E585" s="32">
        <v>4.8099999999999996</v>
      </c>
      <c r="F585" s="32">
        <v>4.79</v>
      </c>
      <c r="G585" s="32">
        <v>0.60899999999999999</v>
      </c>
      <c r="H585" s="32">
        <v>1.2829999999999999</v>
      </c>
      <c r="I585" s="32">
        <v>2.2429999999999999</v>
      </c>
      <c r="J585" s="32">
        <v>2.6930000000000001</v>
      </c>
      <c r="K585" s="32">
        <v>4.3600000000000003</v>
      </c>
      <c r="L585" s="32">
        <v>4.33</v>
      </c>
      <c r="M585" s="32">
        <v>4.33</v>
      </c>
      <c r="N585" s="32">
        <v>4.33</v>
      </c>
      <c r="O585" s="32">
        <v>145.447998046875</v>
      </c>
      <c r="P585" s="29">
        <v>1.1296498775482178</v>
      </c>
      <c r="Q585" s="29">
        <v>111.15625</v>
      </c>
      <c r="R585" s="32">
        <v>1.4386000000000001</v>
      </c>
      <c r="S585" s="32">
        <v>1.3510999999999989</v>
      </c>
    </row>
    <row r="586" spans="1:19">
      <c r="A586" s="10">
        <v>45782</v>
      </c>
      <c r="B586" s="32">
        <v>3.83</v>
      </c>
      <c r="C586" s="32">
        <v>3.95</v>
      </c>
      <c r="D586" s="32">
        <v>4.3600000000000003</v>
      </c>
      <c r="E586" s="32">
        <v>4.84</v>
      </c>
      <c r="F586" s="32">
        <v>4.83</v>
      </c>
      <c r="G586" s="32">
        <v>0.60899999999999999</v>
      </c>
      <c r="H586" s="32">
        <v>1.2829999999999999</v>
      </c>
      <c r="I586" s="32">
        <v>2.2429999999999999</v>
      </c>
      <c r="J586" s="32">
        <v>2.6930000000000001</v>
      </c>
      <c r="K586" s="32">
        <v>4.33</v>
      </c>
      <c r="L586" s="32">
        <v>4.33</v>
      </c>
      <c r="M586" s="32">
        <v>4.3099999999999996</v>
      </c>
      <c r="N586" s="32">
        <v>4.3099999999999996</v>
      </c>
      <c r="O586" s="32">
        <v>143.65400695800781</v>
      </c>
      <c r="P586" s="29">
        <v>1.1313369274139404</v>
      </c>
      <c r="Q586" s="29">
        <v>111.0625</v>
      </c>
      <c r="R586" s="32">
        <v>1.3933</v>
      </c>
      <c r="S586" s="32">
        <v>1.3510999999999989</v>
      </c>
    </row>
    <row r="587" spans="1:19">
      <c r="A587" s="10">
        <v>45783</v>
      </c>
      <c r="B587" s="32">
        <v>3.78</v>
      </c>
      <c r="C587" s="32">
        <v>3.9</v>
      </c>
      <c r="D587" s="32">
        <v>4.3</v>
      </c>
      <c r="E587" s="32">
        <v>4.82</v>
      </c>
      <c r="F587" s="32">
        <v>4.8099999999999996</v>
      </c>
      <c r="G587" s="32">
        <v>0.60899999999999999</v>
      </c>
      <c r="H587" s="32">
        <v>1.2829999999999999</v>
      </c>
      <c r="I587" s="32">
        <v>2.2429999999999999</v>
      </c>
      <c r="J587" s="32">
        <v>2.6930000000000001</v>
      </c>
      <c r="K587" s="32">
        <v>4.32</v>
      </c>
      <c r="L587" s="32">
        <v>4.33</v>
      </c>
      <c r="M587" s="32">
        <v>4.3099999999999996</v>
      </c>
      <c r="N587" s="32">
        <v>4.3099999999999996</v>
      </c>
      <c r="O587" s="32">
        <v>143.03500366210938</v>
      </c>
      <c r="P587" s="29">
        <v>1.1342755556106567</v>
      </c>
      <c r="Q587" s="29">
        <v>111.3125</v>
      </c>
      <c r="R587" s="32">
        <v>1.3933</v>
      </c>
      <c r="S587" s="32">
        <v>1.3510999999999989</v>
      </c>
    </row>
    <row r="588" spans="1:19">
      <c r="A588" s="10">
        <v>45784</v>
      </c>
      <c r="B588" s="32">
        <v>3.78</v>
      </c>
      <c r="C588" s="32">
        <v>3.87</v>
      </c>
      <c r="D588" s="32">
        <v>4.26</v>
      </c>
      <c r="E588" s="32">
        <v>4.78</v>
      </c>
      <c r="F588" s="32">
        <v>4.7699999999999996</v>
      </c>
      <c r="G588" s="32">
        <v>0.60899999999999999</v>
      </c>
      <c r="H588" s="32">
        <v>1.3180000000000001</v>
      </c>
      <c r="I588" s="32">
        <v>2.3119999999999998</v>
      </c>
      <c r="J588" s="32">
        <v>2.7909999999999999</v>
      </c>
      <c r="K588" s="32">
        <v>4.3</v>
      </c>
      <c r="L588" s="32">
        <v>4.33</v>
      </c>
      <c r="M588" s="32">
        <v>4.29</v>
      </c>
      <c r="N588" s="32">
        <v>4.29</v>
      </c>
      <c r="O588" s="32">
        <v>143.84800720214844</v>
      </c>
      <c r="P588" s="29">
        <v>1.1306205987930298</v>
      </c>
      <c r="Q588" s="29">
        <v>111.546875</v>
      </c>
      <c r="R588" s="32">
        <v>1.4591000000000001</v>
      </c>
      <c r="S588" s="32">
        <v>1.359869999999999</v>
      </c>
    </row>
    <row r="589" spans="1:19">
      <c r="A589" s="10">
        <v>45785</v>
      </c>
      <c r="B589" s="32">
        <v>3.9</v>
      </c>
      <c r="C589" s="32">
        <v>4</v>
      </c>
      <c r="D589" s="32">
        <v>4.37</v>
      </c>
      <c r="E589" s="32">
        <v>4.8600000000000003</v>
      </c>
      <c r="F589" s="32">
        <v>4.83</v>
      </c>
      <c r="G589" s="32">
        <v>0.61899999999999999</v>
      </c>
      <c r="H589" s="32">
        <v>1.343</v>
      </c>
      <c r="I589" s="32">
        <v>2.3220000000000001</v>
      </c>
      <c r="J589" s="32">
        <v>2.7789999999999999</v>
      </c>
      <c r="K589" s="32">
        <v>4.29</v>
      </c>
      <c r="L589" s="32">
        <v>4.33</v>
      </c>
      <c r="M589" s="32">
        <v>4.28</v>
      </c>
      <c r="N589" s="32">
        <v>4.28</v>
      </c>
      <c r="O589" s="32">
        <v>146.01499938964844</v>
      </c>
      <c r="P589" s="29">
        <v>1.1224226951599121</v>
      </c>
      <c r="Q589" s="29">
        <v>110.796875</v>
      </c>
      <c r="R589" s="32">
        <v>1.3754999999999999</v>
      </c>
      <c r="S589" s="32">
        <v>1.3423299999999987</v>
      </c>
    </row>
    <row r="590" spans="1:19">
      <c r="A590" s="10">
        <v>45786</v>
      </c>
      <c r="B590" s="32">
        <v>3.88</v>
      </c>
      <c r="C590" s="32">
        <v>4</v>
      </c>
      <c r="D590" s="32">
        <v>4.37</v>
      </c>
      <c r="E590" s="32">
        <v>4.8600000000000003</v>
      </c>
      <c r="F590" s="32">
        <v>4.83</v>
      </c>
      <c r="G590" s="32">
        <v>0.63400000000000001</v>
      </c>
      <c r="H590" s="32">
        <v>1.37</v>
      </c>
      <c r="I590" s="32">
        <v>2.3559999999999999</v>
      </c>
      <c r="J590" s="32">
        <v>2.802</v>
      </c>
      <c r="K590" s="32">
        <v>4.28</v>
      </c>
      <c r="L590" s="32">
        <v>4.33</v>
      </c>
      <c r="M590" s="32">
        <v>4.2699999999999996</v>
      </c>
      <c r="N590" s="32">
        <v>4.2699999999999996</v>
      </c>
      <c r="O590" s="32">
        <v>146.01499938964844</v>
      </c>
      <c r="P590" s="29">
        <v>1.1224226951599121</v>
      </c>
      <c r="Q590" s="29">
        <v>110.8125</v>
      </c>
      <c r="R590" s="32">
        <v>1.4484999999999999</v>
      </c>
      <c r="S590" s="32">
        <v>1.4616017858886714</v>
      </c>
    </row>
    <row r="591" spans="1:19">
      <c r="A591" s="10">
        <v>45789</v>
      </c>
      <c r="B591" s="32">
        <v>3.98</v>
      </c>
      <c r="C591" s="32">
        <v>4.09</v>
      </c>
      <c r="D591" s="32">
        <v>4.45</v>
      </c>
      <c r="E591" s="32">
        <v>4.92</v>
      </c>
      <c r="F591" s="32">
        <v>4.8899999999999997</v>
      </c>
      <c r="G591" s="32">
        <v>0.66</v>
      </c>
      <c r="H591" s="32">
        <v>1.405</v>
      </c>
      <c r="I591" s="32">
        <v>2.3940000000000001</v>
      </c>
      <c r="J591" s="32">
        <v>2.8359999999999999</v>
      </c>
      <c r="K591" s="32">
        <v>4.28</v>
      </c>
      <c r="L591" s="32">
        <v>4.33</v>
      </c>
      <c r="M591" s="32">
        <v>4.2699999999999996</v>
      </c>
      <c r="N591" s="32">
        <v>4.2699999999999996</v>
      </c>
      <c r="O591" s="32">
        <v>148.30999755859375</v>
      </c>
      <c r="P591" s="29">
        <v>1.1095577478408813</v>
      </c>
      <c r="Q591" s="29">
        <v>110.15625</v>
      </c>
      <c r="R591" s="32">
        <v>1.4862</v>
      </c>
      <c r="S591" s="32">
        <v>1.4721264282226549</v>
      </c>
    </row>
    <row r="592" spans="1:19">
      <c r="A592" s="10">
        <v>45790</v>
      </c>
      <c r="B592" s="32">
        <v>4.0199999999999996</v>
      </c>
      <c r="C592" s="32">
        <v>4.12</v>
      </c>
      <c r="D592" s="32">
        <v>4.49</v>
      </c>
      <c r="E592" s="32">
        <v>4.97</v>
      </c>
      <c r="F592" s="32">
        <v>4.9400000000000004</v>
      </c>
      <c r="G592" s="32">
        <v>0.71799999999999997</v>
      </c>
      <c r="H592" s="32">
        <v>1.46</v>
      </c>
      <c r="I592" s="32">
        <v>2.3559999999999999</v>
      </c>
      <c r="J592" s="32">
        <v>2.7789999999999999</v>
      </c>
      <c r="K592" s="32">
        <v>4.3</v>
      </c>
      <c r="L592" s="32">
        <v>4.33</v>
      </c>
      <c r="M592" s="32">
        <v>4.29</v>
      </c>
      <c r="N592" s="32">
        <v>4.29</v>
      </c>
      <c r="O592" s="32">
        <v>147.52799987792969</v>
      </c>
      <c r="P592" s="29">
        <v>1.1185556650161743</v>
      </c>
      <c r="Q592" s="29">
        <v>109.96875</v>
      </c>
      <c r="R592" s="32">
        <v>1.6571</v>
      </c>
      <c r="S592" s="32">
        <v>1.5335164282226543</v>
      </c>
    </row>
    <row r="593" spans="1:19">
      <c r="A593" s="10">
        <v>45791</v>
      </c>
      <c r="B593" s="32">
        <v>4.05</v>
      </c>
      <c r="C593" s="32">
        <v>4.17</v>
      </c>
      <c r="D593" s="32">
        <v>4.53</v>
      </c>
      <c r="E593" s="32">
        <v>5</v>
      </c>
      <c r="F593" s="32">
        <v>4.97</v>
      </c>
      <c r="G593" s="32">
        <v>0.70599999999999996</v>
      </c>
      <c r="H593" s="32">
        <v>1.466</v>
      </c>
      <c r="I593" s="32">
        <v>2.3759999999999999</v>
      </c>
      <c r="J593" s="32">
        <v>2.8109999999999999</v>
      </c>
      <c r="K593" s="32">
        <v>4.29</v>
      </c>
      <c r="L593" s="32">
        <v>4.33</v>
      </c>
      <c r="M593" s="32">
        <v>4.28</v>
      </c>
      <c r="N593" s="32">
        <v>4.28</v>
      </c>
      <c r="O593" s="32">
        <v>146.64999389648438</v>
      </c>
      <c r="P593" s="29">
        <v>1.1181930303573608</v>
      </c>
      <c r="Q593" s="29">
        <v>109.71875</v>
      </c>
      <c r="R593" s="32">
        <v>1.6847000000000001</v>
      </c>
      <c r="S593" s="32">
        <v>1.4756335717773421</v>
      </c>
    </row>
    <row r="594" spans="1:19">
      <c r="A594" s="10">
        <v>45792</v>
      </c>
      <c r="B594" s="32">
        <v>3.96</v>
      </c>
      <c r="C594" s="32">
        <v>4.07</v>
      </c>
      <c r="D594" s="32">
        <v>4.45</v>
      </c>
      <c r="E594" s="32">
        <v>4.93</v>
      </c>
      <c r="F594" s="32">
        <v>4.91</v>
      </c>
      <c r="G594" s="32">
        <v>0.71699999999999997</v>
      </c>
      <c r="H594" s="32">
        <v>1.4890000000000001</v>
      </c>
      <c r="I594" s="32">
        <v>2.4039999999999999</v>
      </c>
      <c r="J594" s="32">
        <v>2.839</v>
      </c>
      <c r="K594" s="32">
        <v>4.3099999999999996</v>
      </c>
      <c r="L594" s="32">
        <v>4.33</v>
      </c>
      <c r="M594" s="32">
        <v>4.3</v>
      </c>
      <c r="N594" s="32">
        <v>4.3</v>
      </c>
      <c r="O594" s="32">
        <v>145.61300659179688</v>
      </c>
      <c r="P594" s="29">
        <v>1.1192693710327148</v>
      </c>
      <c r="Q594" s="29">
        <v>110.25</v>
      </c>
      <c r="R594" s="32">
        <v>1.6760999999999999</v>
      </c>
      <c r="S594" s="32">
        <v>1.3300517858886707</v>
      </c>
    </row>
    <row r="595" spans="1:19">
      <c r="A595" s="10">
        <v>45793</v>
      </c>
      <c r="B595" s="32">
        <v>3.98</v>
      </c>
      <c r="C595" s="32">
        <v>4.0599999999999996</v>
      </c>
      <c r="D595" s="32">
        <v>4.43</v>
      </c>
      <c r="E595" s="32">
        <v>4.92</v>
      </c>
      <c r="F595" s="32">
        <v>4.8899999999999997</v>
      </c>
      <c r="G595" s="32">
        <v>0.70699999999999996</v>
      </c>
      <c r="H595" s="32">
        <v>1.466</v>
      </c>
      <c r="I595" s="32">
        <v>2.387</v>
      </c>
      <c r="J595" s="32">
        <v>2.84</v>
      </c>
      <c r="K595" s="32">
        <v>4.3</v>
      </c>
      <c r="L595" s="32">
        <v>4.33</v>
      </c>
      <c r="M595" s="32">
        <v>4.29</v>
      </c>
      <c r="N595" s="32">
        <v>4.29</v>
      </c>
      <c r="O595" s="32">
        <v>145.61300659179688</v>
      </c>
      <c r="P595" s="29">
        <v>1.1192693710327148</v>
      </c>
      <c r="Q595" s="29">
        <v>110.328125</v>
      </c>
      <c r="R595" s="32">
        <v>1.6180000000000001</v>
      </c>
      <c r="S595" s="32">
        <v>1.5966599999999982</v>
      </c>
    </row>
    <row r="596" spans="1:19">
      <c r="A596" s="10">
        <v>45796</v>
      </c>
      <c r="B596" s="32">
        <v>3.97</v>
      </c>
      <c r="C596" s="32">
        <v>4.07</v>
      </c>
      <c r="D596" s="32">
        <v>4.46</v>
      </c>
      <c r="E596" s="32">
        <v>4.95</v>
      </c>
      <c r="F596" s="32">
        <v>4.92</v>
      </c>
      <c r="G596" s="32">
        <v>0.71799999999999997</v>
      </c>
      <c r="H596" s="32">
        <v>1.494</v>
      </c>
      <c r="I596" s="32">
        <v>2.4119999999999999</v>
      </c>
      <c r="J596" s="32">
        <v>2.851</v>
      </c>
      <c r="K596" s="32">
        <v>4.29</v>
      </c>
      <c r="L596" s="32">
        <v>4.33</v>
      </c>
      <c r="M596" s="32">
        <v>4.28</v>
      </c>
      <c r="N596" s="32">
        <v>4.28</v>
      </c>
      <c r="O596" s="32">
        <v>144.97500610351563</v>
      </c>
      <c r="P596" s="29">
        <v>1.1233429908752441</v>
      </c>
      <c r="Q596" s="29">
        <v>110.140625</v>
      </c>
      <c r="R596" s="32">
        <v>1.6171</v>
      </c>
      <c r="S596" s="32">
        <v>1.6141999999999985</v>
      </c>
    </row>
    <row r="597" spans="1:19">
      <c r="A597" s="10">
        <v>45797</v>
      </c>
      <c r="B597" s="32">
        <v>3.97</v>
      </c>
      <c r="C597" s="32">
        <v>4.07</v>
      </c>
      <c r="D597" s="32">
        <v>4.4800000000000004</v>
      </c>
      <c r="E597" s="32">
        <v>4.99</v>
      </c>
      <c r="F597" s="32">
        <v>4.96</v>
      </c>
      <c r="G597" s="32">
        <v>0.72799999999999998</v>
      </c>
      <c r="H597" s="32">
        <v>1.53</v>
      </c>
      <c r="I597" s="32">
        <v>2.5390000000000001</v>
      </c>
      <c r="J597" s="32">
        <v>2.9689999999999999</v>
      </c>
      <c r="K597" s="32">
        <v>4.2699999999999996</v>
      </c>
      <c r="L597" s="32">
        <v>4.33</v>
      </c>
      <c r="M597" s="32">
        <v>4.26</v>
      </c>
      <c r="N597" s="32">
        <v>4.26</v>
      </c>
      <c r="O597" s="32">
        <v>144.3280029296875</v>
      </c>
      <c r="P597" s="29">
        <v>1.1287955045700073</v>
      </c>
      <c r="Q597" s="29">
        <v>110.203125</v>
      </c>
      <c r="R597" s="32">
        <v>1.5674999999999999</v>
      </c>
      <c r="S597" s="32">
        <v>1.6826064282226554</v>
      </c>
    </row>
    <row r="598" spans="1:19">
      <c r="A598" s="10">
        <v>45798</v>
      </c>
      <c r="B598" s="32">
        <v>4</v>
      </c>
      <c r="C598" s="32">
        <v>4.1500000000000004</v>
      </c>
      <c r="D598" s="32">
        <v>4.58</v>
      </c>
      <c r="E598" s="32">
        <v>5.08</v>
      </c>
      <c r="F598" s="32">
        <v>5.08</v>
      </c>
      <c r="G598" s="32">
        <v>0.72</v>
      </c>
      <c r="H598" s="32">
        <v>1.53</v>
      </c>
      <c r="I598" s="32">
        <v>2.528</v>
      </c>
      <c r="J598" s="32">
        <v>2.976</v>
      </c>
      <c r="K598" s="32">
        <v>4.26</v>
      </c>
      <c r="L598" s="32">
        <v>4.33</v>
      </c>
      <c r="M598" s="32">
        <v>4.26</v>
      </c>
      <c r="N598" s="32">
        <v>4.26</v>
      </c>
      <c r="O598" s="32">
        <v>143.7550048828125</v>
      </c>
      <c r="P598" s="29">
        <v>1.133118748664856</v>
      </c>
      <c r="Q598" s="29">
        <v>109.5</v>
      </c>
      <c r="R598" s="32">
        <v>1.5770999999999999</v>
      </c>
      <c r="S598" s="32">
        <v>1.7124235717773431</v>
      </c>
    </row>
    <row r="599" spans="1:19">
      <c r="A599" s="10">
        <v>45799</v>
      </c>
      <c r="B599" s="32">
        <v>4</v>
      </c>
      <c r="C599" s="32">
        <v>4.1100000000000003</v>
      </c>
      <c r="D599" s="32">
        <v>4.54</v>
      </c>
      <c r="E599" s="32">
        <v>5.05</v>
      </c>
      <c r="F599" s="32">
        <v>5.05</v>
      </c>
      <c r="G599" s="32">
        <v>0.73699999999999999</v>
      </c>
      <c r="H599" s="32">
        <v>1.573</v>
      </c>
      <c r="I599" s="32">
        <v>2.5659999999999998</v>
      </c>
      <c r="J599" s="32">
        <v>2.9990000000000001</v>
      </c>
      <c r="K599" s="32">
        <v>4.26</v>
      </c>
      <c r="L599" s="32">
        <v>4.33</v>
      </c>
      <c r="M599" s="32">
        <v>4.26</v>
      </c>
      <c r="N599" s="32">
        <v>4.26</v>
      </c>
      <c r="O599" s="32">
        <v>143.85800170898438</v>
      </c>
      <c r="P599" s="29">
        <v>1.1281843185424805</v>
      </c>
      <c r="Q599" s="29">
        <v>109.828125</v>
      </c>
      <c r="R599" s="32">
        <v>1.5956999999999999</v>
      </c>
      <c r="S599" s="32">
        <v>1.6826064282226554</v>
      </c>
    </row>
    <row r="600" spans="1:19">
      <c r="A600" s="10">
        <v>45800</v>
      </c>
      <c r="B600" s="32">
        <v>4</v>
      </c>
      <c r="C600" s="32">
        <v>4.08</v>
      </c>
      <c r="D600" s="32">
        <v>4.51</v>
      </c>
      <c r="E600" s="32">
        <v>5.03</v>
      </c>
      <c r="F600" s="32">
        <v>5.04</v>
      </c>
      <c r="G600" s="32">
        <v>0.73099999999999998</v>
      </c>
      <c r="H600" s="32">
        <v>1.5589999999999999</v>
      </c>
      <c r="I600" s="32">
        <v>2.5230000000000001</v>
      </c>
      <c r="J600" s="32">
        <v>2.9249999999999998</v>
      </c>
      <c r="K600" s="32">
        <v>4.26</v>
      </c>
      <c r="L600" s="32">
        <v>4.33</v>
      </c>
      <c r="M600" s="32">
        <v>4.26</v>
      </c>
      <c r="N600" s="32">
        <v>4.26</v>
      </c>
      <c r="O600" s="32">
        <v>143.85800170898438</v>
      </c>
      <c r="P600" s="29">
        <v>1.1281843185424805</v>
      </c>
      <c r="Q600" s="29">
        <v>110.078125</v>
      </c>
      <c r="R600" s="32">
        <v>1.6414</v>
      </c>
      <c r="S600" s="32">
        <v>1.6966382141113261</v>
      </c>
    </row>
    <row r="601" spans="1:19">
      <c r="A601" s="10">
        <v>45804</v>
      </c>
      <c r="B601" s="32">
        <v>3.92</v>
      </c>
      <c r="C601" s="32">
        <v>4.04</v>
      </c>
      <c r="D601" s="32">
        <v>4.43</v>
      </c>
      <c r="E601" s="32">
        <v>4.95</v>
      </c>
      <c r="F601" s="32">
        <v>4.9400000000000004</v>
      </c>
      <c r="G601" s="32">
        <v>0.73899999999999999</v>
      </c>
      <c r="H601" s="32">
        <v>1.4790000000000001</v>
      </c>
      <c r="I601" s="32">
        <v>2.3540000000000001</v>
      </c>
      <c r="J601" s="32">
        <v>2.7429999999999999</v>
      </c>
      <c r="K601" s="32">
        <v>4.3099999999999996</v>
      </c>
      <c r="L601" s="32">
        <v>4.33</v>
      </c>
      <c r="M601" s="32">
        <v>4.3</v>
      </c>
      <c r="N601" s="32">
        <v>4.3</v>
      </c>
      <c r="O601" s="32">
        <v>144.177001953125</v>
      </c>
      <c r="P601" s="29">
        <v>1.1337097883224487</v>
      </c>
      <c r="Q601" s="29">
        <v>110.515625</v>
      </c>
      <c r="R601" s="32">
        <v>1.5982000000000001</v>
      </c>
      <c r="S601" s="32">
        <v>1.587889999999998</v>
      </c>
    </row>
    <row r="602" spans="1:19">
      <c r="A602" s="10">
        <v>45805</v>
      </c>
      <c r="B602" s="32">
        <v>3.96</v>
      </c>
      <c r="C602" s="32">
        <v>4.05</v>
      </c>
      <c r="D602" s="32">
        <v>4.47</v>
      </c>
      <c r="E602" s="32">
        <v>4.99</v>
      </c>
      <c r="F602" s="32">
        <v>4.97</v>
      </c>
      <c r="G602" s="32">
        <v>0.753</v>
      </c>
      <c r="H602" s="32">
        <v>1.5309999999999999</v>
      </c>
      <c r="I602" s="32">
        <v>2.4060000000000001</v>
      </c>
      <c r="J602" s="32">
        <v>2.7959999999999998</v>
      </c>
      <c r="K602" s="32">
        <v>4.33</v>
      </c>
      <c r="L602" s="32">
        <v>4.33</v>
      </c>
      <c r="M602" s="32">
        <v>4.32</v>
      </c>
      <c r="N602" s="32">
        <v>4.32</v>
      </c>
      <c r="O602" s="32">
        <v>145.69700622558594</v>
      </c>
      <c r="P602" s="29">
        <v>1.1233682632446289</v>
      </c>
      <c r="Q602" s="29">
        <v>110.21875</v>
      </c>
      <c r="R602" s="32">
        <v>1.5656000000000001</v>
      </c>
      <c r="S602" s="32">
        <v>1.6440182141113269</v>
      </c>
    </row>
    <row r="603" spans="1:19">
      <c r="A603" s="10">
        <v>45806</v>
      </c>
      <c r="B603" s="32">
        <v>3.92</v>
      </c>
      <c r="C603" s="32">
        <v>4</v>
      </c>
      <c r="D603" s="32">
        <v>4.43</v>
      </c>
      <c r="E603" s="32">
        <v>4.9400000000000004</v>
      </c>
      <c r="F603" s="32">
        <v>4.92</v>
      </c>
      <c r="G603" s="32">
        <v>0.75800000000000001</v>
      </c>
      <c r="H603" s="32">
        <v>1.532</v>
      </c>
      <c r="I603" s="32">
        <v>2.4510000000000001</v>
      </c>
      <c r="J603" s="32">
        <v>2.8530000000000002</v>
      </c>
      <c r="K603" s="32">
        <v>4.33</v>
      </c>
      <c r="L603" s="32">
        <v>4.33</v>
      </c>
      <c r="M603" s="32">
        <v>4.32</v>
      </c>
      <c r="N603" s="32">
        <v>4.32</v>
      </c>
      <c r="O603" s="32">
        <v>143.77900695800781</v>
      </c>
      <c r="P603" s="29">
        <v>1.1378376483917236</v>
      </c>
      <c r="Q603" s="29">
        <v>110.640625</v>
      </c>
      <c r="R603" s="32">
        <v>1.5682</v>
      </c>
      <c r="S603" s="32">
        <v>1.6615582141113272</v>
      </c>
    </row>
    <row r="604" spans="1:19">
      <c r="A604" s="10">
        <v>45807</v>
      </c>
      <c r="B604" s="32">
        <v>3.89</v>
      </c>
      <c r="C604" s="32">
        <v>3.96</v>
      </c>
      <c r="D604" s="32">
        <v>4.41</v>
      </c>
      <c r="E604" s="32">
        <v>4.93</v>
      </c>
      <c r="F604" s="32">
        <v>4.92</v>
      </c>
      <c r="G604" s="32">
        <v>0.75</v>
      </c>
      <c r="H604" s="32">
        <v>1.518</v>
      </c>
      <c r="I604" s="32">
        <v>2.419</v>
      </c>
      <c r="J604" s="32">
        <v>2.8460000000000001</v>
      </c>
      <c r="K604" s="32">
        <v>4.3499999999999996</v>
      </c>
      <c r="L604" s="32">
        <v>4.33</v>
      </c>
      <c r="M604" s="32">
        <v>4.34</v>
      </c>
      <c r="N604" s="32">
        <v>4.34</v>
      </c>
      <c r="O604" s="32">
        <v>143.77900695800781</v>
      </c>
      <c r="P604" s="29">
        <v>1.1378376483917236</v>
      </c>
      <c r="Q604" s="29">
        <v>110.71875</v>
      </c>
      <c r="R604" s="32">
        <v>1.4737</v>
      </c>
      <c r="S604" s="32">
        <v>1.600168214111326</v>
      </c>
    </row>
    <row r="605" spans="1:19">
      <c r="A605" s="10">
        <v>45810</v>
      </c>
      <c r="B605" s="32">
        <v>3.94</v>
      </c>
      <c r="C605" s="32">
        <v>4.01</v>
      </c>
      <c r="D605" s="32">
        <v>4.46</v>
      </c>
      <c r="E605" s="32">
        <v>5</v>
      </c>
      <c r="F605" s="32">
        <v>4.99</v>
      </c>
      <c r="G605" s="32">
        <v>0.755</v>
      </c>
      <c r="H605" s="32">
        <v>1.5229999999999999</v>
      </c>
      <c r="I605" s="32">
        <v>2.4060000000000001</v>
      </c>
      <c r="J605" s="32">
        <v>2.8210000000000002</v>
      </c>
      <c r="K605" s="32">
        <v>4.3499999999999996</v>
      </c>
      <c r="L605" s="32">
        <v>4.33</v>
      </c>
      <c r="M605" s="32">
        <v>4.32</v>
      </c>
      <c r="N605" s="32">
        <v>4.32</v>
      </c>
      <c r="O605" s="32">
        <v>142.45199584960938</v>
      </c>
      <c r="P605" s="29">
        <v>1.1453442573547363</v>
      </c>
      <c r="Q605" s="29">
        <v>110.46875</v>
      </c>
      <c r="R605" s="32">
        <v>1.4641999999999999</v>
      </c>
      <c r="S605" s="32">
        <v>1.5966599999999982</v>
      </c>
    </row>
    <row r="606" spans="1:19">
      <c r="A606" s="10">
        <v>45811</v>
      </c>
      <c r="B606" s="32">
        <v>3.96</v>
      </c>
      <c r="C606" s="32">
        <v>4.04</v>
      </c>
      <c r="D606" s="32">
        <v>4.46</v>
      </c>
      <c r="E606" s="32">
        <v>5</v>
      </c>
      <c r="F606" s="32">
        <v>4.9800000000000004</v>
      </c>
      <c r="G606" s="32">
        <v>0.755</v>
      </c>
      <c r="H606" s="32">
        <v>1.4990000000000001</v>
      </c>
      <c r="I606" s="32">
        <v>2.4060000000000001</v>
      </c>
      <c r="J606" s="32">
        <v>2.8250000000000002</v>
      </c>
      <c r="K606" s="32">
        <v>4.32</v>
      </c>
      <c r="L606" s="32">
        <v>4.33</v>
      </c>
      <c r="M606" s="32">
        <v>4.3</v>
      </c>
      <c r="N606" s="32">
        <v>4.3</v>
      </c>
      <c r="O606" s="32">
        <v>143.83700561523438</v>
      </c>
      <c r="P606" s="29">
        <v>1.1384464502334595</v>
      </c>
      <c r="Q606" s="29">
        <v>110.453125</v>
      </c>
      <c r="R606" s="32">
        <v>1.4556</v>
      </c>
      <c r="S606" s="32">
        <v>1.5721035717773422</v>
      </c>
    </row>
    <row r="607" spans="1:19">
      <c r="A607" s="10">
        <v>45812</v>
      </c>
      <c r="B607" s="32">
        <v>3.87</v>
      </c>
      <c r="C607" s="32">
        <v>3.93</v>
      </c>
      <c r="D607" s="32">
        <v>4.37</v>
      </c>
      <c r="E607" s="32">
        <v>4.9000000000000004</v>
      </c>
      <c r="F607" s="32">
        <v>4.8899999999999997</v>
      </c>
      <c r="G607" s="32">
        <v>0.76500000000000001</v>
      </c>
      <c r="H607" s="32">
        <v>1.518</v>
      </c>
      <c r="I607" s="32">
        <v>2.431</v>
      </c>
      <c r="J607" s="32">
        <v>2.8330000000000002</v>
      </c>
      <c r="K607" s="32">
        <v>4.28</v>
      </c>
      <c r="L607" s="32">
        <v>4.33</v>
      </c>
      <c r="M607" s="32">
        <v>4.2699999999999996</v>
      </c>
      <c r="N607" s="32">
        <v>4.2699999999999996</v>
      </c>
      <c r="O607" s="32">
        <v>142.73199462890625</v>
      </c>
      <c r="P607" s="29">
        <v>1.1422044038772583</v>
      </c>
      <c r="Q607" s="29">
        <v>111.09375</v>
      </c>
      <c r="R607" s="32">
        <v>1.4715</v>
      </c>
      <c r="S607" s="32">
        <v>1.6141999999999985</v>
      </c>
    </row>
    <row r="608" spans="1:19">
      <c r="A608" s="10">
        <v>45813</v>
      </c>
      <c r="B608" s="32">
        <v>3.92</v>
      </c>
      <c r="C608" s="32">
        <v>3.99</v>
      </c>
      <c r="D608" s="32">
        <v>4.4000000000000004</v>
      </c>
      <c r="E608" s="32">
        <v>4.9000000000000004</v>
      </c>
      <c r="F608" s="32">
        <v>4.88</v>
      </c>
      <c r="G608" s="32">
        <v>0.755</v>
      </c>
      <c r="H608" s="32">
        <v>1.4810000000000001</v>
      </c>
      <c r="I608" s="32">
        <v>2.371</v>
      </c>
      <c r="J608" s="32">
        <v>2.7869999999999999</v>
      </c>
      <c r="K608" s="32">
        <v>4.29</v>
      </c>
      <c r="L608" s="32">
        <v>4.33</v>
      </c>
      <c r="M608" s="32">
        <v>4.2699999999999996</v>
      </c>
      <c r="N608" s="32">
        <v>4.2699999999999996</v>
      </c>
      <c r="O608" s="32">
        <v>143.54200744628906</v>
      </c>
      <c r="P608" s="29">
        <v>1.1453834772109985</v>
      </c>
      <c r="Q608" s="29">
        <v>110.78125</v>
      </c>
      <c r="R608" s="32">
        <v>1.4771000000000001</v>
      </c>
      <c r="S608" s="32">
        <v>1.6299864282226544</v>
      </c>
    </row>
    <row r="609" spans="1:19">
      <c r="A609" s="10">
        <v>45814</v>
      </c>
      <c r="B609" s="32">
        <v>4.04</v>
      </c>
      <c r="C609" s="32">
        <v>4.13</v>
      </c>
      <c r="D609" s="32">
        <v>4.51</v>
      </c>
      <c r="E609" s="32">
        <v>4.99</v>
      </c>
      <c r="F609" s="32">
        <v>4.97</v>
      </c>
      <c r="G609" s="32">
        <v>0.76</v>
      </c>
      <c r="H609" s="32">
        <v>1.4770000000000001</v>
      </c>
      <c r="I609" s="32">
        <v>2.35</v>
      </c>
      <c r="J609" s="32">
        <v>2.78</v>
      </c>
      <c r="K609" s="32">
        <v>4.29</v>
      </c>
      <c r="L609" s="32">
        <v>4.33</v>
      </c>
      <c r="M609" s="32">
        <v>4.2699999999999996</v>
      </c>
      <c r="N609" s="32">
        <v>4.2699999999999996</v>
      </c>
      <c r="O609" s="32">
        <v>143.54200744628906</v>
      </c>
      <c r="P609" s="29">
        <v>1.1453834772109985</v>
      </c>
      <c r="Q609" s="29">
        <v>109.9375</v>
      </c>
      <c r="R609" s="32">
        <v>1.5439000000000001</v>
      </c>
      <c r="S609" s="32">
        <v>1.5843817858886702</v>
      </c>
    </row>
    <row r="610" spans="1:19">
      <c r="A610" s="10">
        <v>45817</v>
      </c>
      <c r="B610" s="32">
        <v>4.01</v>
      </c>
      <c r="C610" s="32">
        <v>4.09</v>
      </c>
      <c r="D610" s="32">
        <v>4.49</v>
      </c>
      <c r="E610" s="32">
        <v>4.9800000000000004</v>
      </c>
      <c r="F610" s="32">
        <v>4.95</v>
      </c>
      <c r="G610" s="32">
        <v>0.77500000000000002</v>
      </c>
      <c r="H610" s="32">
        <v>1.4910000000000001</v>
      </c>
      <c r="I610" s="32">
        <v>2.3759999999999999</v>
      </c>
      <c r="J610" s="32">
        <v>2.8050000000000002</v>
      </c>
      <c r="K610" s="32">
        <v>4.29</v>
      </c>
      <c r="L610" s="32">
        <v>4.33</v>
      </c>
      <c r="M610" s="32">
        <v>4.2699999999999996</v>
      </c>
      <c r="N610" s="32">
        <v>4.2699999999999996</v>
      </c>
      <c r="O610" s="32">
        <v>144.53999328613281</v>
      </c>
      <c r="P610" s="29">
        <v>1.1428048610687256</v>
      </c>
      <c r="Q610" s="29">
        <v>110.171875</v>
      </c>
      <c r="R610" s="32">
        <v>1.5126999999999999</v>
      </c>
      <c r="S610" s="32">
        <v>1.556318214111327</v>
      </c>
    </row>
    <row r="611" spans="1:19">
      <c r="A611" s="10">
        <v>45818</v>
      </c>
      <c r="B611" s="32">
        <v>4.01</v>
      </c>
      <c r="C611" s="32">
        <v>4.08</v>
      </c>
      <c r="D611" s="32">
        <v>4.47</v>
      </c>
      <c r="E611" s="32">
        <v>4.96</v>
      </c>
      <c r="F611" s="32">
        <v>4.93</v>
      </c>
      <c r="G611" s="32">
        <v>0.77100000000000002</v>
      </c>
      <c r="H611" s="32">
        <v>1.498</v>
      </c>
      <c r="I611" s="32">
        <v>2.4020000000000001</v>
      </c>
      <c r="J611" s="32">
        <v>2.8090000000000002</v>
      </c>
      <c r="K611" s="32">
        <v>4.28</v>
      </c>
      <c r="L611" s="32">
        <v>4.33</v>
      </c>
      <c r="M611" s="32">
        <v>4.2699999999999996</v>
      </c>
      <c r="N611" s="32">
        <v>4.2699999999999996</v>
      </c>
      <c r="O611" s="32">
        <v>144.83799743652344</v>
      </c>
      <c r="P611" s="29">
        <v>1.143746018409729</v>
      </c>
      <c r="Q611" s="29">
        <v>110.21875</v>
      </c>
      <c r="R611" s="32">
        <v>1.5123</v>
      </c>
      <c r="S611" s="32">
        <v>1.531761785888671</v>
      </c>
    </row>
    <row r="612" spans="1:19">
      <c r="A612" s="10">
        <v>45819</v>
      </c>
      <c r="B612" s="32">
        <v>3.94</v>
      </c>
      <c r="C612" s="32">
        <v>4.0199999999999996</v>
      </c>
      <c r="D612" s="32">
        <v>4.41</v>
      </c>
      <c r="E612" s="32">
        <v>4.93</v>
      </c>
      <c r="F612" s="32">
        <v>4.91</v>
      </c>
      <c r="G612" s="32">
        <v>0.75600000000000001</v>
      </c>
      <c r="H612" s="32">
        <v>1.48</v>
      </c>
      <c r="I612" s="32">
        <v>2.3940000000000001</v>
      </c>
      <c r="J612" s="32">
        <v>2.8079999999999998</v>
      </c>
      <c r="K612" s="32">
        <v>4.28</v>
      </c>
      <c r="L612" s="32">
        <v>4.33</v>
      </c>
      <c r="M612" s="32">
        <v>4.2699999999999996</v>
      </c>
      <c r="N612" s="32">
        <v>4.2699999999999996</v>
      </c>
      <c r="O612" s="32">
        <v>144.2030029296875</v>
      </c>
      <c r="P612" s="29">
        <v>1.1509333848953247</v>
      </c>
      <c r="Q612" s="29">
        <v>110.6875</v>
      </c>
      <c r="R612" s="32">
        <v>1.4279999999999999</v>
      </c>
      <c r="S612" s="32">
        <v>1.5791199999999996</v>
      </c>
    </row>
    <row r="613" spans="1:19">
      <c r="A613" s="10">
        <v>45820</v>
      </c>
      <c r="B613" s="32">
        <v>3.9</v>
      </c>
      <c r="C613" s="32">
        <v>3.97</v>
      </c>
      <c r="D613" s="32">
        <v>4.3600000000000003</v>
      </c>
      <c r="E613" s="32">
        <v>4.8600000000000003</v>
      </c>
      <c r="F613" s="32">
        <v>4.84</v>
      </c>
      <c r="G613" s="32">
        <v>0.75600000000000001</v>
      </c>
      <c r="H613" s="32">
        <v>1.48</v>
      </c>
      <c r="I613" s="32">
        <v>2.4060000000000001</v>
      </c>
      <c r="J613" s="32">
        <v>2.8039999999999998</v>
      </c>
      <c r="K613" s="32">
        <v>4.28</v>
      </c>
      <c r="L613" s="32">
        <v>4.33</v>
      </c>
      <c r="M613" s="32">
        <v>4.2699999999999996</v>
      </c>
      <c r="N613" s="32">
        <v>4.2699999999999996</v>
      </c>
      <c r="O613" s="32">
        <v>143.19400024414063</v>
      </c>
      <c r="P613" s="29">
        <v>1.1600254774093628</v>
      </c>
      <c r="Q613" s="29">
        <v>111.046875</v>
      </c>
      <c r="R613" s="32">
        <v>1.3907</v>
      </c>
      <c r="S613" s="32">
        <v>1.5791199999999996</v>
      </c>
    </row>
    <row r="614" spans="1:19">
      <c r="A614" s="10">
        <v>45821</v>
      </c>
      <c r="B614" s="32">
        <v>3.96</v>
      </c>
      <c r="C614" s="32">
        <v>4.0199999999999996</v>
      </c>
      <c r="D614" s="32">
        <v>4.41</v>
      </c>
      <c r="E614" s="32">
        <v>4.93</v>
      </c>
      <c r="F614" s="32">
        <v>4.9000000000000004</v>
      </c>
      <c r="G614" s="32">
        <v>0.73599999999999999</v>
      </c>
      <c r="H614" s="32">
        <v>1.429</v>
      </c>
      <c r="I614" s="32">
        <v>2.363</v>
      </c>
      <c r="J614" s="32">
        <v>2.7810000000000001</v>
      </c>
      <c r="K614" s="32">
        <v>4.28</v>
      </c>
      <c r="L614" s="32">
        <v>4.33</v>
      </c>
      <c r="M614" s="32">
        <v>4.2699999999999996</v>
      </c>
      <c r="N614" s="32">
        <v>4.2699999999999996</v>
      </c>
      <c r="O614" s="32">
        <v>143.19400024414063</v>
      </c>
      <c r="P614" s="29">
        <v>1.1600254774093628</v>
      </c>
      <c r="Q614" s="29">
        <v>110.625</v>
      </c>
      <c r="R614" s="32">
        <v>1.2841</v>
      </c>
      <c r="S614" s="32">
        <v>1.5510564282226547</v>
      </c>
    </row>
    <row r="615" spans="1:19">
      <c r="A615" s="10">
        <v>45824</v>
      </c>
      <c r="B615" s="32">
        <v>3.97</v>
      </c>
      <c r="C615" s="32">
        <v>4.04</v>
      </c>
      <c r="D615" s="32">
        <v>4.46</v>
      </c>
      <c r="E615" s="32">
        <v>4.97</v>
      </c>
      <c r="F615" s="32">
        <v>4.96</v>
      </c>
      <c r="G615" s="32">
        <v>0.75800000000000001</v>
      </c>
      <c r="H615" s="32">
        <v>1.4770000000000001</v>
      </c>
      <c r="I615" s="32">
        <v>2.3929999999999998</v>
      </c>
      <c r="J615" s="32">
        <v>2.7989999999999999</v>
      </c>
      <c r="K615" s="32">
        <v>4.32</v>
      </c>
      <c r="L615" s="32">
        <v>4.33</v>
      </c>
      <c r="M615" s="32">
        <v>4.3</v>
      </c>
      <c r="N615" s="32">
        <v>4.3</v>
      </c>
      <c r="O615" s="32">
        <v>144.72900390625</v>
      </c>
      <c r="P615" s="29">
        <v>1.1551345586776733</v>
      </c>
      <c r="Q615" s="29">
        <v>110.5</v>
      </c>
      <c r="R615" s="32">
        <v>1.3669</v>
      </c>
      <c r="S615" s="32">
        <v>1.5773664282226552</v>
      </c>
    </row>
    <row r="616" spans="1:19">
      <c r="A616" s="10">
        <v>45825</v>
      </c>
      <c r="B616" s="32">
        <v>3.94</v>
      </c>
      <c r="C616" s="32">
        <v>3.99</v>
      </c>
      <c r="D616" s="32">
        <v>4.3899999999999997</v>
      </c>
      <c r="E616" s="32">
        <v>4.8899999999999997</v>
      </c>
      <c r="F616" s="32">
        <v>4.88</v>
      </c>
      <c r="G616" s="32">
        <v>0.76900000000000002</v>
      </c>
      <c r="H616" s="32">
        <v>1.498</v>
      </c>
      <c r="I616" s="32">
        <v>2.411</v>
      </c>
      <c r="J616" s="32">
        <v>2.823</v>
      </c>
      <c r="K616" s="32">
        <v>4.3099999999999996</v>
      </c>
      <c r="L616" s="32">
        <v>4.33</v>
      </c>
      <c r="M616" s="32">
        <v>4.29</v>
      </c>
      <c r="N616" s="32">
        <v>4.29</v>
      </c>
      <c r="O616" s="32">
        <v>145.37600708007813</v>
      </c>
      <c r="P616" s="29">
        <v>1.1482638120651245</v>
      </c>
      <c r="Q616" s="29">
        <v>110.84375</v>
      </c>
      <c r="R616" s="32">
        <v>1.3232999999999999</v>
      </c>
      <c r="S616" s="32">
        <v>1.6212164282226542</v>
      </c>
    </row>
    <row r="617" spans="1:19">
      <c r="A617" s="10">
        <v>45826</v>
      </c>
      <c r="B617" s="32">
        <v>3.94</v>
      </c>
      <c r="C617" s="32">
        <v>3.98</v>
      </c>
      <c r="D617" s="32">
        <v>4.38</v>
      </c>
      <c r="E617" s="32">
        <v>4.8899999999999997</v>
      </c>
      <c r="F617" s="32">
        <v>4.88</v>
      </c>
      <c r="G617" s="32">
        <v>0.755</v>
      </c>
      <c r="H617" s="32">
        <v>1.4790000000000001</v>
      </c>
      <c r="I617" s="32">
        <v>2.399</v>
      </c>
      <c r="J617" s="32">
        <v>2.819</v>
      </c>
      <c r="K617" s="32">
        <v>4.28</v>
      </c>
      <c r="L617" s="32">
        <v>4.33</v>
      </c>
      <c r="M617" s="32">
        <v>4.2699999999999996</v>
      </c>
      <c r="N617" s="32">
        <v>4.2699999999999996</v>
      </c>
      <c r="O617" s="32">
        <v>144.95500183105469</v>
      </c>
      <c r="P617" s="29">
        <v>1.1477497816085815</v>
      </c>
      <c r="Q617" s="29">
        <v>111.0625</v>
      </c>
      <c r="R617" s="32">
        <v>1.3178000000000001</v>
      </c>
      <c r="S617" s="32">
        <v>1.6054299999999984</v>
      </c>
    </row>
    <row r="618" spans="1:19">
      <c r="A618" s="10">
        <v>45828</v>
      </c>
      <c r="B618" s="32">
        <v>3.9</v>
      </c>
      <c r="C618" s="32">
        <v>3.96</v>
      </c>
      <c r="D618" s="32">
        <v>4.38</v>
      </c>
      <c r="E618" s="32">
        <v>4.9000000000000004</v>
      </c>
      <c r="F618" s="32">
        <v>4.8899999999999997</v>
      </c>
      <c r="G618" s="32">
        <v>0.72799999999999998</v>
      </c>
      <c r="H618" s="32">
        <v>1.4239999999999999</v>
      </c>
      <c r="I618" s="32">
        <v>2.375</v>
      </c>
      <c r="J618" s="32">
        <v>2.798</v>
      </c>
      <c r="K618" s="32">
        <v>4.29</v>
      </c>
      <c r="L618" s="32">
        <v>4.33</v>
      </c>
      <c r="M618" s="32">
        <v>4.2699999999999996</v>
      </c>
      <c r="N618" s="32">
        <v>4.2699999999999996</v>
      </c>
      <c r="O618" s="32">
        <v>144.95500183105469</v>
      </c>
      <c r="P618" s="29">
        <v>1.1477497816085815</v>
      </c>
      <c r="Q618" s="29">
        <v>110.984375</v>
      </c>
      <c r="R618" s="32">
        <v>1.2531000000000001</v>
      </c>
      <c r="S618" s="32">
        <v>1.5528099999999991</v>
      </c>
    </row>
    <row r="619" spans="1:19">
      <c r="A619" s="10">
        <v>45831</v>
      </c>
      <c r="B619" s="32">
        <v>3.84</v>
      </c>
      <c r="C619" s="32">
        <v>3.91</v>
      </c>
      <c r="D619" s="32">
        <v>4.34</v>
      </c>
      <c r="E619" s="32">
        <v>4.87</v>
      </c>
      <c r="F619" s="32">
        <v>4.87</v>
      </c>
      <c r="G619" s="32">
        <v>0.73799999999999999</v>
      </c>
      <c r="H619" s="32">
        <v>1.4370000000000001</v>
      </c>
      <c r="I619" s="32">
        <v>2.3610000000000002</v>
      </c>
      <c r="J619" s="32">
        <v>2.8079999999999998</v>
      </c>
      <c r="K619" s="32">
        <v>4.29</v>
      </c>
      <c r="L619" s="32">
        <v>4.33</v>
      </c>
      <c r="M619" s="32">
        <v>4.2699999999999996</v>
      </c>
      <c r="N619" s="32">
        <v>4.2699999999999996</v>
      </c>
      <c r="O619" s="32">
        <v>145.92799377441406</v>
      </c>
      <c r="P619" s="29">
        <v>1.1599044799804688</v>
      </c>
      <c r="Q619" s="29">
        <v>111.453125</v>
      </c>
      <c r="R619" s="32">
        <v>1.2805</v>
      </c>
      <c r="S619" s="32">
        <v>1.5072064282226556</v>
      </c>
    </row>
    <row r="620" spans="1:19">
      <c r="A620" s="10">
        <v>45832</v>
      </c>
      <c r="B620" s="32">
        <v>3.75</v>
      </c>
      <c r="C620" s="32">
        <v>3.86</v>
      </c>
      <c r="D620" s="32">
        <v>4.3</v>
      </c>
      <c r="E620" s="32">
        <v>4.83</v>
      </c>
      <c r="F620" s="32">
        <v>4.83</v>
      </c>
      <c r="G620" s="32">
        <v>0.73799999999999999</v>
      </c>
      <c r="H620" s="32">
        <v>1.4450000000000001</v>
      </c>
      <c r="I620" s="32">
        <v>2.3610000000000002</v>
      </c>
      <c r="J620" s="32">
        <v>2.8109999999999999</v>
      </c>
      <c r="K620" s="32">
        <v>4.3</v>
      </c>
      <c r="L620" s="32">
        <v>4.33</v>
      </c>
      <c r="M620" s="32">
        <v>4.28</v>
      </c>
      <c r="N620" s="32">
        <v>4.28</v>
      </c>
      <c r="O620" s="32">
        <v>144.95700073242188</v>
      </c>
      <c r="P620" s="29">
        <v>1.161224365234375</v>
      </c>
      <c r="Q620" s="29">
        <v>111.65625</v>
      </c>
      <c r="R620" s="32">
        <v>1.2618</v>
      </c>
      <c r="S620" s="32">
        <v>1.5703499999999995</v>
      </c>
    </row>
    <row r="621" spans="1:19">
      <c r="A621" s="10">
        <v>45833</v>
      </c>
      <c r="B621" s="32">
        <v>3.74</v>
      </c>
      <c r="C621" s="32">
        <v>3.83</v>
      </c>
      <c r="D621" s="32">
        <v>4.29</v>
      </c>
      <c r="E621" s="32">
        <v>4.83</v>
      </c>
      <c r="F621" s="32">
        <v>4.83</v>
      </c>
      <c r="G621" s="32">
        <v>0.72399999999999998</v>
      </c>
      <c r="H621" s="32">
        <v>1.4259999999999999</v>
      </c>
      <c r="I621" s="32">
        <v>2.34</v>
      </c>
      <c r="J621" s="32">
        <v>2.7959999999999998</v>
      </c>
      <c r="K621" s="32">
        <v>4.3600000000000003</v>
      </c>
      <c r="L621" s="32">
        <v>4.33</v>
      </c>
      <c r="M621" s="32">
        <v>4.33</v>
      </c>
      <c r="N621" s="32">
        <v>4.33</v>
      </c>
      <c r="O621" s="32">
        <v>144.90400695800781</v>
      </c>
      <c r="P621" s="29">
        <v>1.1683744192123413</v>
      </c>
      <c r="Q621" s="29">
        <v>111.6875</v>
      </c>
      <c r="R621" s="32">
        <v>1.3049999999999999</v>
      </c>
      <c r="S621" s="32">
        <v>1.4598482141113269</v>
      </c>
    </row>
    <row r="622" spans="1:19">
      <c r="A622" s="10">
        <v>45834</v>
      </c>
      <c r="B622" s="32">
        <v>3.7</v>
      </c>
      <c r="C622" s="32">
        <v>3.79</v>
      </c>
      <c r="D622" s="32">
        <v>4.26</v>
      </c>
      <c r="E622" s="32">
        <v>4.8099999999999996</v>
      </c>
      <c r="F622" s="32">
        <v>4.8099999999999996</v>
      </c>
      <c r="G622" s="32">
        <v>0.73499999999999999</v>
      </c>
      <c r="H622" s="32">
        <v>1.4450000000000001</v>
      </c>
      <c r="I622" s="32">
        <v>2.339</v>
      </c>
      <c r="J622" s="32">
        <v>2.7919999999999998</v>
      </c>
      <c r="K622" s="32">
        <v>4.4000000000000004</v>
      </c>
      <c r="L622" s="32">
        <v>4.33</v>
      </c>
      <c r="M622" s="32">
        <v>4.38</v>
      </c>
      <c r="N622" s="32">
        <v>4.38</v>
      </c>
      <c r="O622" s="32">
        <v>144.69400024414063</v>
      </c>
      <c r="P622" s="29">
        <v>1.1692214012145996</v>
      </c>
      <c r="Q622" s="29">
        <v>112.015625</v>
      </c>
      <c r="R622" s="32">
        <v>1.3186</v>
      </c>
      <c r="S622" s="32">
        <v>1.5264999999999986</v>
      </c>
    </row>
    <row r="623" spans="1:19">
      <c r="A623" s="10">
        <v>45835</v>
      </c>
      <c r="B623" s="32">
        <v>3.73</v>
      </c>
      <c r="C623" s="32">
        <v>3.83</v>
      </c>
      <c r="D623" s="32">
        <v>4.29</v>
      </c>
      <c r="E623" s="32">
        <v>4.8499999999999996</v>
      </c>
      <c r="F623" s="32">
        <v>4.8499999999999996</v>
      </c>
      <c r="G623" s="32">
        <v>0.74</v>
      </c>
      <c r="H623" s="32">
        <v>1.4590000000000001</v>
      </c>
      <c r="I623" s="32">
        <v>2.3530000000000002</v>
      </c>
      <c r="J623" s="32">
        <v>2.8</v>
      </c>
      <c r="K623" s="32">
        <v>4.3899999999999997</v>
      </c>
      <c r="L623" s="32">
        <v>4.33</v>
      </c>
      <c r="M623" s="32">
        <v>4.37</v>
      </c>
      <c r="N623" s="32">
        <v>4.37</v>
      </c>
      <c r="O623" s="32">
        <v>144.69400024414063</v>
      </c>
      <c r="P623" s="29">
        <v>1.1692214012145996</v>
      </c>
      <c r="Q623" s="29">
        <v>111.8125</v>
      </c>
      <c r="R623" s="32">
        <v>1.3331</v>
      </c>
      <c r="S623" s="32">
        <v>1.563333571777342</v>
      </c>
    </row>
    <row r="624" spans="1:19">
      <c r="A624" s="10">
        <v>45838</v>
      </c>
      <c r="B624" s="32">
        <v>3.72</v>
      </c>
      <c r="C624" s="32">
        <v>3.79</v>
      </c>
      <c r="D624" s="32">
        <v>4.24</v>
      </c>
      <c r="E624" s="32">
        <v>4.79</v>
      </c>
      <c r="F624" s="32">
        <v>4.78</v>
      </c>
      <c r="G624" s="32">
        <v>0.746</v>
      </c>
      <c r="H624" s="32">
        <v>1.462</v>
      </c>
      <c r="I624" s="32">
        <v>2.371</v>
      </c>
      <c r="J624" s="32">
        <v>2.8029999999999999</v>
      </c>
      <c r="K624" s="32">
        <v>4.45</v>
      </c>
      <c r="L624" s="32">
        <v>4.33</v>
      </c>
      <c r="M624" s="32">
        <v>4.3899999999999997</v>
      </c>
      <c r="N624" s="32">
        <v>4.3899999999999997</v>
      </c>
      <c r="O624" s="32">
        <v>143.80000305175781</v>
      </c>
      <c r="P624" s="29">
        <v>1.1787170171737671</v>
      </c>
      <c r="Q624" s="29">
        <v>112.125</v>
      </c>
      <c r="R624" s="32">
        <v>1.3194999999999999</v>
      </c>
      <c r="S624" s="32">
        <v>1.4931735717773424</v>
      </c>
    </row>
    <row r="625" spans="1:19">
      <c r="A625" s="10">
        <v>45839</v>
      </c>
      <c r="B625" s="32">
        <v>3.78</v>
      </c>
      <c r="C625" s="32">
        <v>3.84</v>
      </c>
      <c r="D625" s="32">
        <v>4.26</v>
      </c>
      <c r="E625" s="32">
        <v>4.79</v>
      </c>
      <c r="F625" s="32">
        <v>4.78</v>
      </c>
      <c r="G625" s="32">
        <v>0.73499999999999999</v>
      </c>
      <c r="H625" s="32">
        <v>1.419</v>
      </c>
      <c r="I625" s="32">
        <v>2.3450000000000002</v>
      </c>
      <c r="J625" s="32">
        <v>2.7890000000000001</v>
      </c>
      <c r="K625" s="32">
        <v>4.4400000000000004</v>
      </c>
      <c r="L625" s="32">
        <v>4.33</v>
      </c>
      <c r="M625" s="32">
        <v>4.3899999999999997</v>
      </c>
      <c r="N625" s="32">
        <v>4.3899999999999997</v>
      </c>
      <c r="O625" s="32">
        <v>143.40199279785156</v>
      </c>
      <c r="P625" s="29">
        <v>1.1805539131164551</v>
      </c>
      <c r="Q625" s="29">
        <v>111.859375</v>
      </c>
      <c r="R625" s="32">
        <v>1.2649999999999999</v>
      </c>
      <c r="S625" s="32">
        <v>1.5229917858886708</v>
      </c>
    </row>
    <row r="626" spans="1:19">
      <c r="A626" s="10">
        <v>45840</v>
      </c>
      <c r="B626" s="32">
        <v>3.78</v>
      </c>
      <c r="C626" s="32">
        <v>3.87</v>
      </c>
      <c r="D626" s="32">
        <v>4.3</v>
      </c>
      <c r="E626" s="32">
        <v>4.84</v>
      </c>
      <c r="F626" s="32">
        <v>4.82</v>
      </c>
      <c r="G626" s="32">
        <v>0.74099999999999999</v>
      </c>
      <c r="H626" s="32">
        <v>1.4339999999999999</v>
      </c>
      <c r="I626" s="32">
        <v>2.3519999999999999</v>
      </c>
      <c r="J626" s="32">
        <v>2.7850000000000001</v>
      </c>
      <c r="K626" s="32">
        <v>4.4000000000000004</v>
      </c>
      <c r="L626" s="32">
        <v>4.33</v>
      </c>
      <c r="M626" s="32">
        <v>4.37</v>
      </c>
      <c r="N626" s="32">
        <v>4.37</v>
      </c>
      <c r="O626" s="32">
        <v>143.5260009765625</v>
      </c>
      <c r="P626" s="29">
        <v>1.1800245046615601</v>
      </c>
      <c r="Q626" s="29">
        <v>111.625</v>
      </c>
      <c r="R626" s="32">
        <v>1.2170000000000001</v>
      </c>
      <c r="S626" s="32">
        <v>1.5229917858886708</v>
      </c>
    </row>
    <row r="627" spans="1:19">
      <c r="A627" s="10">
        <v>45841</v>
      </c>
      <c r="B627" s="32">
        <v>3.88</v>
      </c>
      <c r="C627" s="32">
        <v>3.94</v>
      </c>
      <c r="D627" s="32">
        <v>4.3499999999999996</v>
      </c>
      <c r="E627" s="32">
        <v>4.87</v>
      </c>
      <c r="F627" s="32">
        <v>4.8600000000000003</v>
      </c>
      <c r="G627" s="32">
        <v>0.746</v>
      </c>
      <c r="H627" s="32">
        <v>1.448</v>
      </c>
      <c r="I627" s="32">
        <v>2.383</v>
      </c>
      <c r="J627" s="32">
        <v>2.8439999999999999</v>
      </c>
      <c r="K627" s="32">
        <v>4.3499999999999996</v>
      </c>
      <c r="L627" s="32">
        <v>4.33</v>
      </c>
      <c r="M627" s="32">
        <v>4.32</v>
      </c>
      <c r="N627" s="32">
        <v>4.32</v>
      </c>
      <c r="O627" s="32">
        <v>144.6820068359375</v>
      </c>
      <c r="P627" s="29">
        <v>1.1771491765975952</v>
      </c>
      <c r="Q627" s="29">
        <v>111.21875</v>
      </c>
      <c r="R627" s="32">
        <v>1.1742999999999999</v>
      </c>
      <c r="S627" s="32">
        <v>1.5580717858886715</v>
      </c>
    </row>
    <row r="628" spans="1:19">
      <c r="A628" s="10">
        <v>45845</v>
      </c>
      <c r="B628" s="32">
        <v>3.9</v>
      </c>
      <c r="C628" s="32">
        <v>3.96</v>
      </c>
      <c r="D628" s="32">
        <v>4.4000000000000004</v>
      </c>
      <c r="E628" s="32">
        <v>4.93</v>
      </c>
      <c r="F628" s="32">
        <v>4.92</v>
      </c>
      <c r="G628" s="32">
        <v>0.73199999999999998</v>
      </c>
      <c r="H628" s="32">
        <v>1.4630000000000001</v>
      </c>
      <c r="I628" s="32">
        <v>2.44</v>
      </c>
      <c r="J628" s="32">
        <v>2.9319999999999999</v>
      </c>
      <c r="K628" s="32">
        <v>4.33</v>
      </c>
      <c r="L628" s="32">
        <v>4.33</v>
      </c>
      <c r="M628" s="32">
        <v>4.3099999999999996</v>
      </c>
      <c r="N628" s="32">
        <v>4.3099999999999996</v>
      </c>
      <c r="O628" s="32">
        <v>145.89199829101563</v>
      </c>
      <c r="P628" s="29">
        <v>1.1736538410186768</v>
      </c>
      <c r="Q628" s="29">
        <v>110.921875</v>
      </c>
      <c r="R628" s="32">
        <v>1.1836</v>
      </c>
      <c r="S628" s="32">
        <v>1.5405317858886711</v>
      </c>
    </row>
    <row r="629" spans="1:19">
      <c r="A629" s="10">
        <v>45846</v>
      </c>
      <c r="B629" s="32">
        <v>3.9</v>
      </c>
      <c r="C629" s="32">
        <v>3.99</v>
      </c>
      <c r="D629" s="32">
        <v>4.42</v>
      </c>
      <c r="E629" s="32">
        <v>4.95</v>
      </c>
      <c r="F629" s="32">
        <v>4.9400000000000004</v>
      </c>
      <c r="G629" s="32">
        <v>0.73299999999999998</v>
      </c>
      <c r="H629" s="32">
        <v>1.492</v>
      </c>
      <c r="I629" s="32">
        <v>2.5049999999999999</v>
      </c>
      <c r="J629" s="32">
        <v>3.0070000000000001</v>
      </c>
      <c r="K629" s="32">
        <v>4.34</v>
      </c>
      <c r="L629" s="32">
        <v>4.33</v>
      </c>
      <c r="M629" s="32">
        <v>4.32</v>
      </c>
      <c r="N629" s="32">
        <v>4.32</v>
      </c>
      <c r="O629" s="32">
        <v>146.8489990234375</v>
      </c>
      <c r="P629" s="29">
        <v>1.1724566221237183</v>
      </c>
      <c r="Q629" s="29">
        <v>110.78125</v>
      </c>
      <c r="R629" s="32">
        <v>1.2255</v>
      </c>
      <c r="S629" s="32">
        <v>1.2739235717773418</v>
      </c>
    </row>
    <row r="630" spans="1:19">
      <c r="A630" s="10">
        <v>45847</v>
      </c>
      <c r="B630" s="32">
        <v>3.86</v>
      </c>
      <c r="C630" s="32">
        <v>3.92</v>
      </c>
      <c r="D630" s="32">
        <v>4.34</v>
      </c>
      <c r="E630" s="32">
        <v>4.87</v>
      </c>
      <c r="F630" s="32">
        <v>4.87</v>
      </c>
      <c r="G630" s="32">
        <v>0.754</v>
      </c>
      <c r="H630" s="32">
        <v>1.5069999999999999</v>
      </c>
      <c r="I630" s="32">
        <v>2.5110000000000001</v>
      </c>
      <c r="J630" s="32">
        <v>3.0030000000000001</v>
      </c>
      <c r="K630" s="32">
        <v>4.32</v>
      </c>
      <c r="L630" s="32">
        <v>4.33</v>
      </c>
      <c r="M630" s="32">
        <v>4.3099999999999996</v>
      </c>
      <c r="N630" s="32">
        <v>4.3099999999999996</v>
      </c>
      <c r="O630" s="32">
        <v>146.11399841308594</v>
      </c>
      <c r="P630" s="29">
        <v>1.17311692237854</v>
      </c>
      <c r="Q630" s="29">
        <v>111.265625</v>
      </c>
      <c r="R630" s="32">
        <v>1.2310000000000001</v>
      </c>
      <c r="S630" s="32">
        <v>1.665066428222655</v>
      </c>
    </row>
    <row r="631" spans="1:19">
      <c r="A631" s="10">
        <v>45848</v>
      </c>
      <c r="B631" s="32">
        <v>3.86</v>
      </c>
      <c r="C631" s="32">
        <v>3.93</v>
      </c>
      <c r="D631" s="32">
        <v>4.3499999999999996</v>
      </c>
      <c r="E631" s="32">
        <v>4.87</v>
      </c>
      <c r="F631" s="32">
        <v>4.8600000000000003</v>
      </c>
      <c r="G631" s="32">
        <v>0.76</v>
      </c>
      <c r="H631" s="32">
        <v>1.498</v>
      </c>
      <c r="I631" s="32">
        <v>2.508</v>
      </c>
      <c r="J631" s="32">
        <v>3.008</v>
      </c>
      <c r="K631" s="32">
        <v>4.3099999999999996</v>
      </c>
      <c r="L631" s="32">
        <v>4.33</v>
      </c>
      <c r="M631" s="32">
        <v>4.3</v>
      </c>
      <c r="N631" s="32">
        <v>4.3</v>
      </c>
      <c r="O631" s="32">
        <v>146.28799438476563</v>
      </c>
      <c r="P631" s="29">
        <v>1.1702749729156494</v>
      </c>
      <c r="Q631" s="29">
        <v>111.21875</v>
      </c>
      <c r="R631" s="32">
        <v>1.2361</v>
      </c>
      <c r="S631" s="32">
        <v>1.6983917858886706</v>
      </c>
    </row>
    <row r="632" spans="1:19">
      <c r="A632" s="10">
        <v>45849</v>
      </c>
      <c r="B632" s="32">
        <v>3.9</v>
      </c>
      <c r="C632" s="32">
        <v>3.99</v>
      </c>
      <c r="D632" s="32">
        <v>4.43</v>
      </c>
      <c r="E632" s="32">
        <v>4.96</v>
      </c>
      <c r="F632" s="32">
        <v>4.96</v>
      </c>
      <c r="G632" s="32">
        <v>0.76400000000000001</v>
      </c>
      <c r="H632" s="32">
        <v>1.5069999999999999</v>
      </c>
      <c r="I632" s="32">
        <v>2.5030000000000001</v>
      </c>
      <c r="J632" s="32">
        <v>2.992</v>
      </c>
      <c r="K632" s="32">
        <v>4.3099999999999996</v>
      </c>
      <c r="L632" s="32">
        <v>4.33</v>
      </c>
      <c r="M632" s="32">
        <v>4.3</v>
      </c>
      <c r="N632" s="32">
        <v>4.3</v>
      </c>
      <c r="O632" s="32">
        <v>146.28799438476563</v>
      </c>
      <c r="P632" s="29">
        <v>1.1702749729156494</v>
      </c>
      <c r="Q632" s="29">
        <v>110.71875</v>
      </c>
      <c r="R632" s="32">
        <v>1.2742</v>
      </c>
      <c r="S632" s="32">
        <v>1.6580499999999994</v>
      </c>
    </row>
    <row r="633" spans="1:19">
      <c r="A633" s="10">
        <v>45852</v>
      </c>
      <c r="B633" s="32">
        <v>3.9</v>
      </c>
      <c r="C633" s="32">
        <v>3.98</v>
      </c>
      <c r="D633" s="32">
        <v>4.43</v>
      </c>
      <c r="E633" s="32">
        <v>4.97</v>
      </c>
      <c r="F633" s="32">
        <v>4.97</v>
      </c>
      <c r="G633" s="32">
        <v>0.78100000000000003</v>
      </c>
      <c r="H633" s="32">
        <v>1.5740000000000001</v>
      </c>
      <c r="I633" s="32">
        <v>2.593</v>
      </c>
      <c r="J633" s="32">
        <v>3.0830000000000002</v>
      </c>
      <c r="K633" s="32">
        <v>4.33</v>
      </c>
      <c r="L633" s="32">
        <v>4.33</v>
      </c>
      <c r="M633" s="32">
        <v>4.32</v>
      </c>
      <c r="N633" s="32">
        <v>4.32</v>
      </c>
      <c r="O633" s="32">
        <v>147.79200744628906</v>
      </c>
      <c r="P633" s="29">
        <v>1.1666297912597656</v>
      </c>
      <c r="Q633" s="29">
        <v>110.765625</v>
      </c>
      <c r="R633" s="32">
        <v>1.2198</v>
      </c>
      <c r="S633" s="32">
        <v>1.6843599999999981</v>
      </c>
    </row>
    <row r="634" spans="1:19">
      <c r="A634" s="10">
        <v>45853</v>
      </c>
      <c r="B634" s="32">
        <v>3.95</v>
      </c>
      <c r="C634" s="32">
        <v>4.05</v>
      </c>
      <c r="D634" s="32">
        <v>4.5</v>
      </c>
      <c r="E634" s="32">
        <v>5.0199999999999996</v>
      </c>
      <c r="F634" s="32">
        <v>5.01</v>
      </c>
      <c r="G634" s="32">
        <v>0.79200000000000004</v>
      </c>
      <c r="H634" s="32">
        <v>1.5880000000000001</v>
      </c>
      <c r="I634" s="32">
        <v>2.61</v>
      </c>
      <c r="J634" s="32">
        <v>3.0870000000000002</v>
      </c>
      <c r="K634" s="32">
        <v>4.37</v>
      </c>
      <c r="L634" s="32">
        <v>4.33</v>
      </c>
      <c r="M634" s="32">
        <v>4.3600000000000003</v>
      </c>
      <c r="N634" s="32">
        <v>4.3600000000000003</v>
      </c>
      <c r="O634" s="32">
        <v>148.76100158691406</v>
      </c>
      <c r="P634" s="29">
        <v>1.1607391834259033</v>
      </c>
      <c r="Q634" s="29">
        <v>110.28125</v>
      </c>
      <c r="R634" s="32">
        <v>1.1704000000000001</v>
      </c>
      <c r="S634" s="32">
        <v>1.7299635717773416</v>
      </c>
    </row>
    <row r="635" spans="1:19">
      <c r="A635" s="10">
        <v>45854</v>
      </c>
      <c r="B635" s="32">
        <v>3.88</v>
      </c>
      <c r="C635" s="32">
        <v>3.99</v>
      </c>
      <c r="D635" s="32">
        <v>4.46</v>
      </c>
      <c r="E635" s="32">
        <v>5.01</v>
      </c>
      <c r="F635" s="32">
        <v>5.01</v>
      </c>
      <c r="G635" s="32">
        <v>0.79300000000000004</v>
      </c>
      <c r="H635" s="32">
        <v>1.575</v>
      </c>
      <c r="I635" s="32">
        <v>2.5640000000000001</v>
      </c>
      <c r="J635" s="32">
        <v>3.0110000000000001</v>
      </c>
      <c r="K635" s="32">
        <v>4.34</v>
      </c>
      <c r="L635" s="32">
        <v>4.33</v>
      </c>
      <c r="M635" s="32">
        <v>4.33</v>
      </c>
      <c r="N635" s="32">
        <v>4.33</v>
      </c>
      <c r="O635" s="32">
        <v>148.00300598144531</v>
      </c>
      <c r="P635" s="29">
        <v>1.1635754108428955</v>
      </c>
      <c r="Q635" s="29">
        <v>110.625</v>
      </c>
      <c r="R635" s="32">
        <v>1.1927000000000001</v>
      </c>
      <c r="S635" s="32">
        <v>1.6843599999999981</v>
      </c>
    </row>
    <row r="636" spans="1:19">
      <c r="A636" s="10">
        <v>45855</v>
      </c>
      <c r="B636" s="32">
        <v>3.91</v>
      </c>
      <c r="C636" s="32">
        <v>4.01</v>
      </c>
      <c r="D636" s="32">
        <v>4.47</v>
      </c>
      <c r="E636" s="32">
        <v>5.01</v>
      </c>
      <c r="F636" s="32">
        <v>5.01</v>
      </c>
      <c r="G636" s="32">
        <v>0.78800000000000003</v>
      </c>
      <c r="H636" s="32">
        <v>1.5609999999999999</v>
      </c>
      <c r="I636" s="32">
        <v>2.5640000000000001</v>
      </c>
      <c r="J636" s="32">
        <v>3.0289999999999999</v>
      </c>
      <c r="K636" s="32">
        <v>4.34</v>
      </c>
      <c r="L636" s="32">
        <v>4.33</v>
      </c>
      <c r="M636" s="32">
        <v>4.33</v>
      </c>
      <c r="N636" s="32">
        <v>4.33</v>
      </c>
      <c r="O636" s="32">
        <v>148.44200134277344</v>
      </c>
      <c r="P636" s="29">
        <v>1.1615481376647949</v>
      </c>
      <c r="Q636" s="29">
        <v>110.515625</v>
      </c>
      <c r="R636" s="32">
        <v>1.1463000000000001</v>
      </c>
      <c r="S636" s="32">
        <v>1.7299635717773416</v>
      </c>
    </row>
    <row r="637" spans="1:19">
      <c r="A637" s="10">
        <v>45856</v>
      </c>
      <c r="B637" s="32">
        <v>3.88</v>
      </c>
      <c r="C637" s="32">
        <v>3.96</v>
      </c>
      <c r="D637" s="32">
        <v>4.4400000000000004</v>
      </c>
      <c r="E637" s="32">
        <v>4.99</v>
      </c>
      <c r="F637" s="32">
        <v>5</v>
      </c>
      <c r="G637" s="32">
        <v>0.77200000000000002</v>
      </c>
      <c r="H637" s="32">
        <v>1.528</v>
      </c>
      <c r="I637" s="32">
        <v>2.5259999999999998</v>
      </c>
      <c r="J637" s="32">
        <v>3.0139999999999998</v>
      </c>
      <c r="K637" s="32">
        <v>4.3</v>
      </c>
      <c r="L637" s="32">
        <v>4.33</v>
      </c>
      <c r="M637" s="32">
        <v>4.29</v>
      </c>
      <c r="N637" s="32">
        <v>4.29</v>
      </c>
      <c r="O637" s="32">
        <v>148.44200134277344</v>
      </c>
      <c r="P637" s="29">
        <v>1.1615481376647949</v>
      </c>
      <c r="Q637" s="29">
        <v>110.78125</v>
      </c>
      <c r="R637" s="32">
        <v>1.1896</v>
      </c>
      <c r="S637" s="32">
        <v>1.6685735717773422</v>
      </c>
    </row>
    <row r="638" spans="1:19">
      <c r="A638" s="10">
        <v>45859</v>
      </c>
      <c r="B638" s="32">
        <v>3.85</v>
      </c>
      <c r="C638" s="32">
        <v>3.91</v>
      </c>
      <c r="D638" s="32">
        <v>4.38</v>
      </c>
      <c r="E638" s="32">
        <v>4.93</v>
      </c>
      <c r="F638" s="32">
        <v>4.9400000000000004</v>
      </c>
      <c r="G638" s="32">
        <v>0.77200000000000002</v>
      </c>
      <c r="H638" s="32">
        <v>1.528</v>
      </c>
      <c r="I638" s="32">
        <v>2.5259999999999998</v>
      </c>
      <c r="J638" s="32">
        <v>3.0139999999999998</v>
      </c>
      <c r="K638" s="32">
        <v>4.28</v>
      </c>
      <c r="L638" s="32">
        <v>4.33</v>
      </c>
      <c r="M638" s="32">
        <v>4.2699999999999996</v>
      </c>
      <c r="N638" s="32">
        <v>4.2699999999999996</v>
      </c>
      <c r="O638" s="32">
        <v>147.40899658203125</v>
      </c>
      <c r="P638" s="29">
        <v>1.1694538593292236</v>
      </c>
      <c r="Q638" s="29">
        <v>111.1875</v>
      </c>
      <c r="R638" s="32">
        <v>1.1715</v>
      </c>
      <c r="S638" s="32">
        <v>1.6685735717773422</v>
      </c>
    </row>
    <row r="639" spans="1:19">
      <c r="A639" s="10">
        <v>45860</v>
      </c>
      <c r="B639" s="32">
        <v>3.83</v>
      </c>
      <c r="C639" s="32">
        <v>3.88</v>
      </c>
      <c r="D639" s="32">
        <v>4.3499999999999996</v>
      </c>
      <c r="E639" s="32">
        <v>4.9000000000000004</v>
      </c>
      <c r="F639" s="32">
        <v>4.9000000000000004</v>
      </c>
      <c r="G639" s="32">
        <v>0.76</v>
      </c>
      <c r="H639" s="32">
        <v>1.51</v>
      </c>
      <c r="I639" s="32">
        <v>2.5310000000000001</v>
      </c>
      <c r="J639" s="32">
        <v>3.0219999999999998</v>
      </c>
      <c r="K639" s="32">
        <v>4.28</v>
      </c>
      <c r="L639" s="32">
        <v>4.33</v>
      </c>
      <c r="M639" s="32">
        <v>4.2699999999999996</v>
      </c>
      <c r="N639" s="32">
        <v>4.2699999999999996</v>
      </c>
      <c r="O639" s="32">
        <v>146.78500366210938</v>
      </c>
      <c r="P639" s="29">
        <v>1.1739156246185303</v>
      </c>
      <c r="Q639" s="29">
        <v>111.40625</v>
      </c>
      <c r="R639" s="32">
        <v>1.0766</v>
      </c>
      <c r="S639" s="32">
        <v>1.665066428222655</v>
      </c>
    </row>
    <row r="640" spans="1:19">
      <c r="A640" s="10">
        <v>45861</v>
      </c>
      <c r="B640" s="32">
        <v>3.88</v>
      </c>
      <c r="C640" s="32">
        <v>3.94</v>
      </c>
      <c r="D640" s="32">
        <v>4.4000000000000004</v>
      </c>
      <c r="E640" s="32">
        <v>4.93</v>
      </c>
      <c r="F640" s="32">
        <v>4.95</v>
      </c>
      <c r="G640" s="32">
        <v>0.83799999999999997</v>
      </c>
      <c r="H640" s="32">
        <v>1.5960000000000001</v>
      </c>
      <c r="I640" s="32">
        <v>2.59</v>
      </c>
      <c r="J640" s="32">
        <v>3.0619999999999998</v>
      </c>
      <c r="K640" s="32">
        <v>4.28</v>
      </c>
      <c r="L640" s="32">
        <v>4.33</v>
      </c>
      <c r="M640" s="32">
        <v>4.2699999999999996</v>
      </c>
      <c r="N640" s="32">
        <v>4.2699999999999996</v>
      </c>
      <c r="O640" s="32">
        <v>146.3489990234375</v>
      </c>
      <c r="P640" s="29">
        <v>1.1774264574050903</v>
      </c>
      <c r="Q640" s="29">
        <v>111.015625</v>
      </c>
      <c r="R640" s="32">
        <v>1.0202</v>
      </c>
      <c r="S640" s="32">
        <v>1.7018999999999984</v>
      </c>
    </row>
    <row r="641" spans="1:19">
      <c r="A641" s="10">
        <v>45862</v>
      </c>
      <c r="B641" s="32">
        <v>3.91</v>
      </c>
      <c r="C641" s="32">
        <v>3.98</v>
      </c>
      <c r="D641" s="32">
        <v>4.43</v>
      </c>
      <c r="E641" s="32">
        <v>4.95</v>
      </c>
      <c r="F641" s="32">
        <v>4.96</v>
      </c>
      <c r="G641" s="32">
        <v>0.85399999999999998</v>
      </c>
      <c r="H641" s="32">
        <v>1.605</v>
      </c>
      <c r="I641" s="32">
        <v>2.5739999999999998</v>
      </c>
      <c r="J641" s="32">
        <v>3.0339999999999998</v>
      </c>
      <c r="K641" s="32">
        <v>4.3</v>
      </c>
      <c r="L641" s="32">
        <v>4.33</v>
      </c>
      <c r="M641" s="32">
        <v>4.29</v>
      </c>
      <c r="N641" s="32">
        <v>4.29</v>
      </c>
      <c r="O641" s="32">
        <v>147.0050048828125</v>
      </c>
      <c r="P641" s="29">
        <v>1.1756131649017334</v>
      </c>
      <c r="Q641" s="29">
        <v>110.828125</v>
      </c>
      <c r="R641" s="32">
        <v>1.0827</v>
      </c>
      <c r="S641" s="32">
        <v>1.7422417858886714</v>
      </c>
    </row>
    <row r="642" spans="1:19">
      <c r="A642" s="10">
        <v>45863</v>
      </c>
      <c r="B642" s="32">
        <v>3.91</v>
      </c>
      <c r="C642" s="32">
        <v>3.95</v>
      </c>
      <c r="D642" s="32">
        <v>4.4000000000000004</v>
      </c>
      <c r="E642" s="32">
        <v>4.92</v>
      </c>
      <c r="F642" s="32">
        <v>4.92</v>
      </c>
      <c r="G642" s="32">
        <v>0.86299999999999999</v>
      </c>
      <c r="H642" s="32">
        <v>1.605</v>
      </c>
      <c r="I642" s="32">
        <v>2.5529999999999999</v>
      </c>
      <c r="J642" s="32">
        <v>3.0059999999999998</v>
      </c>
      <c r="K642" s="32">
        <v>4.3600000000000003</v>
      </c>
      <c r="L642" s="32">
        <v>4.33</v>
      </c>
      <c r="M642" s="32">
        <v>4.3499999999999996</v>
      </c>
      <c r="N642" s="32">
        <v>4.3499999999999996</v>
      </c>
      <c r="O642" s="32">
        <v>147.0050048828125</v>
      </c>
      <c r="P642" s="29">
        <v>1.1756131649017334</v>
      </c>
      <c r="Q642" s="29">
        <v>110.984375</v>
      </c>
      <c r="R642" s="32">
        <v>1.1052999999999999</v>
      </c>
      <c r="S642" s="32">
        <v>1.7159317858886709</v>
      </c>
    </row>
    <row r="643" spans="1:19">
      <c r="A643" s="10">
        <v>45866</v>
      </c>
      <c r="B643" s="32">
        <v>3.91</v>
      </c>
      <c r="C643" s="32">
        <v>3.96</v>
      </c>
      <c r="D643" s="32">
        <v>4.42</v>
      </c>
      <c r="E643" s="32">
        <v>4.95</v>
      </c>
      <c r="F643" s="32">
        <v>4.96</v>
      </c>
      <c r="G643" s="32">
        <v>0.84899999999999998</v>
      </c>
      <c r="H643" s="32">
        <v>1.571</v>
      </c>
      <c r="I643" s="32">
        <v>2.5150000000000001</v>
      </c>
      <c r="J643" s="32">
        <v>2.9750000000000001</v>
      </c>
      <c r="K643" s="32">
        <v>4.3600000000000003</v>
      </c>
      <c r="L643" s="32">
        <v>4.33</v>
      </c>
      <c r="M643" s="32">
        <v>4.3499999999999996</v>
      </c>
      <c r="N643" s="32">
        <v>4.3499999999999996</v>
      </c>
      <c r="O643" s="32">
        <v>148.47900390625</v>
      </c>
      <c r="P643" s="29">
        <v>1.1596757173538208</v>
      </c>
      <c r="Q643" s="29">
        <v>110.765625</v>
      </c>
      <c r="R643" s="32">
        <v>1.0742</v>
      </c>
      <c r="S643" s="32">
        <v>1.6545417858886697</v>
      </c>
    </row>
    <row r="644" spans="1:19">
      <c r="A644" s="10">
        <v>45867</v>
      </c>
      <c r="B644" s="32">
        <v>3.86</v>
      </c>
      <c r="C644" s="32">
        <v>3.9</v>
      </c>
      <c r="D644" s="32">
        <v>4.34</v>
      </c>
      <c r="E644" s="32">
        <v>4.8600000000000003</v>
      </c>
      <c r="F644" s="32">
        <v>4.8600000000000003</v>
      </c>
      <c r="G644" s="32">
        <v>0.83499999999999996</v>
      </c>
      <c r="H644" s="32">
        <v>1.5640000000000001</v>
      </c>
      <c r="I644" s="32">
        <v>2.532</v>
      </c>
      <c r="J644" s="32">
        <v>2.9990000000000001</v>
      </c>
      <c r="K644" s="32">
        <v>4.3600000000000003</v>
      </c>
      <c r="L644" s="32">
        <v>4.33</v>
      </c>
      <c r="M644" s="32">
        <v>4.34</v>
      </c>
      <c r="N644" s="32">
        <v>4.34</v>
      </c>
      <c r="O644" s="32">
        <v>148.44200134277344</v>
      </c>
      <c r="P644" s="29">
        <v>1.1550945043563843</v>
      </c>
      <c r="Q644" s="29">
        <v>111.359375</v>
      </c>
      <c r="R644" s="32">
        <v>1.1349</v>
      </c>
      <c r="S644" s="32">
        <v>1.652788214111327</v>
      </c>
    </row>
    <row r="645" spans="1:19">
      <c r="A645" s="10">
        <v>45868</v>
      </c>
      <c r="B645" s="32">
        <v>3.94</v>
      </c>
      <c r="C645" s="32">
        <v>3.96</v>
      </c>
      <c r="D645" s="32">
        <v>4.38</v>
      </c>
      <c r="E645" s="32">
        <v>4.9000000000000004</v>
      </c>
      <c r="F645" s="32">
        <v>4.8899999999999997</v>
      </c>
      <c r="G645" s="32">
        <v>0.82599999999999996</v>
      </c>
      <c r="H645" s="32">
        <v>1.5649999999999999</v>
      </c>
      <c r="I645" s="32">
        <v>2.5409999999999999</v>
      </c>
      <c r="J645" s="32">
        <v>3.0190000000000001</v>
      </c>
      <c r="K645" s="32">
        <v>4.32</v>
      </c>
      <c r="L645" s="32">
        <v>4.33</v>
      </c>
      <c r="M645" s="32">
        <v>4.3099999999999996</v>
      </c>
      <c r="N645" s="32">
        <v>4.3099999999999996</v>
      </c>
      <c r="O645" s="32">
        <v>149.22599792480469</v>
      </c>
      <c r="P645" s="29">
        <v>1.1429355144500732</v>
      </c>
      <c r="Q645" s="29">
        <v>111</v>
      </c>
      <c r="R645" s="32">
        <v>1.1668000000000001</v>
      </c>
      <c r="S645" s="32">
        <v>1.6668199999999995</v>
      </c>
    </row>
    <row r="646" spans="1:19">
      <c r="A646" s="10">
        <v>45869</v>
      </c>
      <c r="B646" s="32">
        <v>3.94</v>
      </c>
      <c r="C646" s="32">
        <v>3.96</v>
      </c>
      <c r="D646" s="32">
        <v>4.37</v>
      </c>
      <c r="E646" s="32">
        <v>4.8899999999999997</v>
      </c>
      <c r="F646" s="32">
        <v>4.8899999999999997</v>
      </c>
      <c r="G646" s="32">
        <v>0.82599999999999996</v>
      </c>
      <c r="H646" s="32">
        <v>1.5589999999999999</v>
      </c>
      <c r="I646" s="32">
        <v>2.5419999999999998</v>
      </c>
      <c r="J646" s="32">
        <v>3.0259999999999998</v>
      </c>
      <c r="K646" s="32">
        <v>4.3899999999999997</v>
      </c>
      <c r="L646" s="32">
        <v>4.33</v>
      </c>
      <c r="M646" s="32">
        <v>4.3600000000000003</v>
      </c>
      <c r="N646" s="32">
        <v>4.3600000000000003</v>
      </c>
      <c r="O646" s="32">
        <v>150.77200317382813</v>
      </c>
      <c r="P646" s="29">
        <v>1.1423740386962891</v>
      </c>
      <c r="Q646" s="29">
        <v>111.0625</v>
      </c>
      <c r="R646" s="32">
        <v>1.1955</v>
      </c>
      <c r="S646" s="32">
        <v>1.6773435717773424</v>
      </c>
    </row>
    <row r="647" spans="1:19">
      <c r="A647" s="10">
        <v>45870</v>
      </c>
      <c r="B647" s="32">
        <v>3.69</v>
      </c>
      <c r="C647" s="32">
        <v>3.77</v>
      </c>
      <c r="D647" s="32">
        <v>4.2300000000000004</v>
      </c>
      <c r="E647" s="32">
        <v>4.79</v>
      </c>
      <c r="F647" s="32">
        <v>4.8099999999999996</v>
      </c>
      <c r="G647" s="32">
        <v>0.81399999999999995</v>
      </c>
      <c r="H647" s="32">
        <v>1.56</v>
      </c>
      <c r="I647" s="32">
        <v>2.5499999999999998</v>
      </c>
      <c r="J647" s="32">
        <v>3.0369999999999999</v>
      </c>
      <c r="K647" s="32">
        <v>4.34</v>
      </c>
      <c r="L647" s="32">
        <v>4.33</v>
      </c>
      <c r="M647" s="32">
        <v>4.32</v>
      </c>
      <c r="N647" s="32">
        <v>4.32</v>
      </c>
      <c r="O647" s="32">
        <v>150.77200317382813</v>
      </c>
      <c r="P647" s="29">
        <v>1.1423740386962891</v>
      </c>
      <c r="Q647" s="29">
        <v>112.203125</v>
      </c>
      <c r="R647" s="32">
        <v>1.1718999999999999</v>
      </c>
      <c r="S647" s="32">
        <v>1.6352482141113267</v>
      </c>
    </row>
    <row r="648" spans="1:19">
      <c r="A648" s="10">
        <v>45873</v>
      </c>
      <c r="B648" s="32">
        <v>3.69</v>
      </c>
      <c r="C648" s="32">
        <v>3.75</v>
      </c>
      <c r="D648" s="32">
        <v>4.22</v>
      </c>
      <c r="E648" s="32">
        <v>4.78</v>
      </c>
      <c r="F648" s="32">
        <v>4.8</v>
      </c>
      <c r="G648" s="32">
        <v>0.76400000000000001</v>
      </c>
      <c r="H648" s="32">
        <v>1.52</v>
      </c>
      <c r="I648" s="32">
        <v>2.5499999999999998</v>
      </c>
      <c r="J648" s="32">
        <v>3.0459999999999998</v>
      </c>
      <c r="K648" s="32">
        <v>4.33</v>
      </c>
      <c r="L648" s="32">
        <v>4.33</v>
      </c>
      <c r="M648" s="32">
        <v>4.3099999999999996</v>
      </c>
      <c r="N648" s="32">
        <v>4.3099999999999996</v>
      </c>
      <c r="O648" s="32">
        <v>146.79299926757813</v>
      </c>
      <c r="P648" s="29">
        <v>1.1584129333496094</v>
      </c>
      <c r="Q648" s="29">
        <v>112.375</v>
      </c>
      <c r="R648" s="32">
        <v>1.0571999999999999</v>
      </c>
      <c r="S648" s="32">
        <v>1.6264782141113265</v>
      </c>
    </row>
    <row r="649" spans="1:19">
      <c r="A649" s="10">
        <v>45874</v>
      </c>
      <c r="B649" s="32">
        <v>3.72</v>
      </c>
      <c r="C649" s="32">
        <v>3.77</v>
      </c>
      <c r="D649" s="32">
        <v>4.22</v>
      </c>
      <c r="E649" s="32">
        <v>4.7699999999999996</v>
      </c>
      <c r="F649" s="32">
        <v>4.78</v>
      </c>
      <c r="G649" s="32">
        <v>0.754</v>
      </c>
      <c r="H649" s="32">
        <v>1.4870000000000001</v>
      </c>
      <c r="I649" s="32">
        <v>2.5049999999999999</v>
      </c>
      <c r="J649" s="32">
        <v>3.0190000000000001</v>
      </c>
      <c r="K649" s="32">
        <v>4.34</v>
      </c>
      <c r="L649" s="32">
        <v>4.33</v>
      </c>
      <c r="M649" s="32">
        <v>4.33</v>
      </c>
      <c r="N649" s="32">
        <v>4.33</v>
      </c>
      <c r="O649" s="32">
        <v>147.55999755859375</v>
      </c>
      <c r="P649" s="29">
        <v>1.1579166650772095</v>
      </c>
      <c r="Q649" s="29">
        <v>112.296875</v>
      </c>
      <c r="R649" s="32">
        <v>1.0066999999999999</v>
      </c>
      <c r="S649" s="32">
        <v>1.6510335717773419</v>
      </c>
    </row>
    <row r="650" spans="1:19">
      <c r="A650" s="10">
        <v>45875</v>
      </c>
      <c r="B650" s="32">
        <v>3.69</v>
      </c>
      <c r="C650" s="32">
        <v>3.77</v>
      </c>
      <c r="D650" s="32">
        <v>4.22</v>
      </c>
      <c r="E650" s="32">
        <v>4.8</v>
      </c>
      <c r="F650" s="32">
        <v>4.8099999999999996</v>
      </c>
      <c r="G650" s="32">
        <v>0.77400000000000002</v>
      </c>
      <c r="H650" s="32">
        <v>1.5089999999999999</v>
      </c>
      <c r="I650" s="32">
        <v>2.5169999999999999</v>
      </c>
      <c r="J650" s="32">
        <v>3.0150000000000001</v>
      </c>
      <c r="K650" s="32">
        <v>4.34</v>
      </c>
      <c r="L650" s="32">
        <v>4.33</v>
      </c>
      <c r="M650" s="32">
        <v>4.32</v>
      </c>
      <c r="N650" s="32">
        <v>4.32</v>
      </c>
      <c r="O650" s="32">
        <v>147.1929931640625</v>
      </c>
      <c r="P650" s="29">
        <v>1.1663167476654053</v>
      </c>
      <c r="Q650" s="29">
        <v>112.234375</v>
      </c>
      <c r="R650" s="32">
        <v>0.99539999999999995</v>
      </c>
      <c r="S650" s="32">
        <v>1.6317399999999989</v>
      </c>
    </row>
    <row r="651" spans="1:19">
      <c r="A651" s="10">
        <v>45876</v>
      </c>
      <c r="B651" s="32">
        <v>3.72</v>
      </c>
      <c r="C651" s="32">
        <v>3.79</v>
      </c>
      <c r="D651" s="32">
        <v>4.2300000000000004</v>
      </c>
      <c r="E651" s="32">
        <v>4.8099999999999996</v>
      </c>
      <c r="F651" s="32">
        <v>4.8099999999999996</v>
      </c>
      <c r="G651" s="32">
        <v>0.77</v>
      </c>
      <c r="H651" s="32">
        <v>1.5</v>
      </c>
      <c r="I651" s="32">
        <v>2.5209999999999999</v>
      </c>
      <c r="J651" s="32">
        <v>3.0059999999999998</v>
      </c>
      <c r="K651" s="32">
        <v>4.3499999999999996</v>
      </c>
      <c r="L651" s="32">
        <v>4.33</v>
      </c>
      <c r="M651" s="32">
        <v>4.33</v>
      </c>
      <c r="N651" s="32">
        <v>4.33</v>
      </c>
      <c r="O651" s="32">
        <v>146.83700561523438</v>
      </c>
      <c r="P651" s="29">
        <v>1.1676650047302246</v>
      </c>
      <c r="Q651" s="29">
        <v>112.09375</v>
      </c>
      <c r="R651" s="32">
        <v>0.9879</v>
      </c>
      <c r="S651" s="32">
        <v>1.6299864282226544</v>
      </c>
    </row>
    <row r="652" spans="1:19">
      <c r="A652" s="10">
        <v>45877</v>
      </c>
      <c r="B652" s="32">
        <v>3.76</v>
      </c>
      <c r="C652" s="32">
        <v>3.84</v>
      </c>
      <c r="D652" s="32">
        <v>4.2699999999999996</v>
      </c>
      <c r="E652" s="32">
        <v>4.84</v>
      </c>
      <c r="F652" s="32">
        <v>4.8499999999999996</v>
      </c>
      <c r="G652" s="32">
        <v>0.77</v>
      </c>
      <c r="H652" s="32">
        <v>1.502</v>
      </c>
      <c r="I652" s="32">
        <v>2.5190000000000001</v>
      </c>
      <c r="J652" s="32">
        <v>3.0139999999999998</v>
      </c>
      <c r="K652" s="32">
        <v>4.3499999999999996</v>
      </c>
      <c r="L652" s="32">
        <v>4.33</v>
      </c>
      <c r="M652" s="32">
        <v>4.33</v>
      </c>
      <c r="N652" s="32">
        <v>4.33</v>
      </c>
      <c r="O652" s="32">
        <v>146.83700561523438</v>
      </c>
      <c r="P652" s="29">
        <v>1.1676650047302246</v>
      </c>
      <c r="Q652" s="29">
        <v>111.828125</v>
      </c>
      <c r="R652" s="32">
        <v>1.0628</v>
      </c>
      <c r="S652" s="32">
        <v>1.6615582141113272</v>
      </c>
    </row>
    <row r="653" spans="1:19">
      <c r="A653" s="10">
        <v>45880</v>
      </c>
      <c r="B653" s="32">
        <v>3.76</v>
      </c>
      <c r="C653" s="32">
        <v>3.83</v>
      </c>
      <c r="D653" s="32">
        <v>4.2699999999999996</v>
      </c>
      <c r="E653" s="32">
        <v>4.83</v>
      </c>
      <c r="F653" s="32">
        <v>4.84</v>
      </c>
      <c r="G653" s="32">
        <v>0.77</v>
      </c>
      <c r="H653" s="32">
        <v>1.502</v>
      </c>
      <c r="I653" s="32">
        <v>2.5190000000000001</v>
      </c>
      <c r="J653" s="32">
        <v>3.0139999999999998</v>
      </c>
      <c r="K653" s="32">
        <v>4.34</v>
      </c>
      <c r="L653" s="32">
        <v>4.33</v>
      </c>
      <c r="M653" s="32">
        <v>4.33</v>
      </c>
      <c r="N653" s="32">
        <v>4.33</v>
      </c>
      <c r="O653" s="32">
        <v>148.125</v>
      </c>
      <c r="P653" s="29">
        <v>1.1618449687957764</v>
      </c>
      <c r="Q653" s="29">
        <v>111.890625</v>
      </c>
      <c r="R653" s="32">
        <v>1.1074999999999999</v>
      </c>
      <c r="S653" s="32">
        <v>1.6615582141113272</v>
      </c>
    </row>
    <row r="654" spans="1:19">
      <c r="A654" s="10">
        <v>45881</v>
      </c>
      <c r="B654" s="32">
        <v>3.72</v>
      </c>
      <c r="C654" s="32">
        <v>3.83</v>
      </c>
      <c r="D654" s="32">
        <v>4.29</v>
      </c>
      <c r="E654" s="32">
        <v>4.87</v>
      </c>
      <c r="F654" s="32">
        <v>4.88</v>
      </c>
      <c r="G654" s="32">
        <v>0.77500000000000002</v>
      </c>
      <c r="H654" s="32">
        <v>1.516</v>
      </c>
      <c r="I654" s="32">
        <v>2.5270000000000001</v>
      </c>
      <c r="J654" s="32">
        <v>3.0289999999999999</v>
      </c>
      <c r="K654" s="32">
        <v>4.3600000000000003</v>
      </c>
      <c r="L654" s="32">
        <v>4.33</v>
      </c>
      <c r="M654" s="32">
        <v>4.34</v>
      </c>
      <c r="N654" s="32">
        <v>4.34</v>
      </c>
      <c r="O654" s="32">
        <v>147.75799560546875</v>
      </c>
      <c r="P654" s="29">
        <v>1.1677058935165405</v>
      </c>
      <c r="Q654" s="29">
        <v>111.8125</v>
      </c>
      <c r="R654" s="32">
        <v>1.149</v>
      </c>
      <c r="S654" s="32">
        <v>1.6475264282226547</v>
      </c>
    </row>
    <row r="655" spans="1:19">
      <c r="A655" s="10">
        <v>45882</v>
      </c>
      <c r="B655" s="32">
        <v>3.67</v>
      </c>
      <c r="C655" s="32">
        <v>3.77</v>
      </c>
      <c r="D655" s="32">
        <v>4.24</v>
      </c>
      <c r="E655" s="32">
        <v>4.8099999999999996</v>
      </c>
      <c r="F655" s="32">
        <v>4.83</v>
      </c>
      <c r="G655" s="32">
        <v>0.78500000000000003</v>
      </c>
      <c r="H655" s="32">
        <v>1.53</v>
      </c>
      <c r="I655" s="32">
        <v>2.5310000000000001</v>
      </c>
      <c r="J655" s="32">
        <v>3.0249999999999999</v>
      </c>
      <c r="K655" s="32">
        <v>4.33</v>
      </c>
      <c r="L655" s="32">
        <v>4.33</v>
      </c>
      <c r="M655" s="32">
        <v>4.32</v>
      </c>
      <c r="N655" s="32">
        <v>4.32</v>
      </c>
      <c r="O655" s="32">
        <v>147.1199951171875</v>
      </c>
      <c r="P655" s="29">
        <v>1.171289324760437</v>
      </c>
      <c r="Q655" s="29">
        <v>112.171875</v>
      </c>
      <c r="R655" s="32">
        <v>1.1995</v>
      </c>
      <c r="S655" s="32">
        <v>1.6755899999999979</v>
      </c>
    </row>
    <row r="656" spans="1:19">
      <c r="A656" s="10">
        <v>45883</v>
      </c>
      <c r="B656" s="32">
        <v>3.74</v>
      </c>
      <c r="C656" s="32">
        <v>3.82</v>
      </c>
      <c r="D656" s="32">
        <v>4.29</v>
      </c>
      <c r="E656" s="32">
        <v>4.8600000000000003</v>
      </c>
      <c r="F656" s="32">
        <v>4.88</v>
      </c>
      <c r="G656" s="32">
        <v>0.82199999999999995</v>
      </c>
      <c r="H656" s="32">
        <v>1.5629999999999999</v>
      </c>
      <c r="I656" s="32">
        <v>2.552</v>
      </c>
      <c r="J656" s="32">
        <v>3.024</v>
      </c>
      <c r="K656" s="32">
        <v>4.34</v>
      </c>
      <c r="L656" s="32">
        <v>4.33</v>
      </c>
      <c r="M656" s="32">
        <v>4.32</v>
      </c>
      <c r="N656" s="32">
        <v>4.32</v>
      </c>
      <c r="O656" s="32">
        <v>147.69099426269531</v>
      </c>
      <c r="P656" s="29">
        <v>1.1651345491409302</v>
      </c>
      <c r="Q656" s="29">
        <v>111.796875</v>
      </c>
      <c r="R656" s="32">
        <v>1.1479999999999999</v>
      </c>
      <c r="S656" s="32">
        <v>1.665066428222655</v>
      </c>
    </row>
    <row r="657" spans="1:19">
      <c r="A657" s="10">
        <v>45884</v>
      </c>
      <c r="B657" s="32">
        <v>3.75</v>
      </c>
      <c r="C657" s="32">
        <v>3.85</v>
      </c>
      <c r="D657" s="32">
        <v>4.33</v>
      </c>
      <c r="E657" s="32">
        <v>4.91</v>
      </c>
      <c r="F657" s="32">
        <v>4.92</v>
      </c>
      <c r="G657" s="32">
        <v>0.82599999999999996</v>
      </c>
      <c r="H657" s="32">
        <v>1.5740000000000001</v>
      </c>
      <c r="I657" s="32">
        <v>2.56</v>
      </c>
      <c r="J657" s="32">
        <v>3.032</v>
      </c>
      <c r="K657" s="32">
        <v>4.3600000000000003</v>
      </c>
      <c r="L657" s="32">
        <v>4.33</v>
      </c>
      <c r="M657" s="32">
        <v>4.34</v>
      </c>
      <c r="N657" s="32">
        <v>4.34</v>
      </c>
      <c r="O657" s="32">
        <v>147.69099426269531</v>
      </c>
      <c r="P657" s="29">
        <v>1.1651345491409302</v>
      </c>
      <c r="Q657" s="29">
        <v>111.59375</v>
      </c>
      <c r="R657" s="32">
        <v>1.2203999999999999</v>
      </c>
      <c r="S657" s="32">
        <v>1.7492582141113271</v>
      </c>
    </row>
    <row r="658" spans="1:19">
      <c r="A658" s="10">
        <v>45887</v>
      </c>
      <c r="B658" s="32">
        <v>3.77</v>
      </c>
      <c r="C658" s="32">
        <v>3.86</v>
      </c>
      <c r="D658" s="32">
        <v>4.34</v>
      </c>
      <c r="E658" s="32">
        <v>4.92</v>
      </c>
      <c r="F658" s="32">
        <v>4.9400000000000004</v>
      </c>
      <c r="G658" s="32">
        <v>0.83299999999999996</v>
      </c>
      <c r="H658" s="32">
        <v>1.5840000000000001</v>
      </c>
      <c r="I658" s="32">
        <v>2.5710000000000002</v>
      </c>
      <c r="J658" s="32">
        <v>3.0489999999999999</v>
      </c>
      <c r="K658" s="32">
        <v>4.34</v>
      </c>
      <c r="L658" s="32">
        <v>4.33</v>
      </c>
      <c r="M658" s="32">
        <v>4.33</v>
      </c>
      <c r="N658" s="32">
        <v>4.33</v>
      </c>
      <c r="O658" s="32">
        <v>147.91600036621094</v>
      </c>
      <c r="P658" s="29">
        <v>1.1668338775634766</v>
      </c>
      <c r="Q658" s="29">
        <v>111.515625</v>
      </c>
      <c r="R658" s="32">
        <v>1.2545999999999999</v>
      </c>
      <c r="S658" s="32">
        <v>1.7054082141113263</v>
      </c>
    </row>
    <row r="659" spans="1:19">
      <c r="A659" s="10">
        <v>45888</v>
      </c>
      <c r="B659" s="32">
        <v>3.75</v>
      </c>
      <c r="C659" s="32">
        <v>3.82</v>
      </c>
      <c r="D659" s="32">
        <v>4.3</v>
      </c>
      <c r="E659" s="32">
        <v>4.8899999999999997</v>
      </c>
      <c r="F659" s="32">
        <v>4.9000000000000004</v>
      </c>
      <c r="G659" s="32">
        <v>0.84899999999999998</v>
      </c>
      <c r="H659" s="32">
        <v>1.603</v>
      </c>
      <c r="I659" s="32">
        <v>2.5939999999999999</v>
      </c>
      <c r="J659" s="32">
        <v>3.0680000000000001</v>
      </c>
      <c r="K659" s="32">
        <v>4.33</v>
      </c>
      <c r="L659" s="32">
        <v>4.33</v>
      </c>
      <c r="M659" s="32">
        <v>4.3099999999999996</v>
      </c>
      <c r="N659" s="32">
        <v>4.3099999999999996</v>
      </c>
      <c r="O659" s="32">
        <v>147.73100280761719</v>
      </c>
      <c r="P659" s="29">
        <v>1.164252758026123</v>
      </c>
      <c r="Q659" s="29">
        <v>111.765625</v>
      </c>
      <c r="R659" s="32">
        <v>1.2521</v>
      </c>
      <c r="S659" s="32">
        <v>1.7264564282226544</v>
      </c>
    </row>
    <row r="660" spans="1:19">
      <c r="A660" s="10">
        <v>45889</v>
      </c>
      <c r="B660" s="32">
        <v>3.74</v>
      </c>
      <c r="C660" s="32">
        <v>3.81</v>
      </c>
      <c r="D660" s="32">
        <v>4.29</v>
      </c>
      <c r="E660" s="32">
        <v>4.8600000000000003</v>
      </c>
      <c r="F660" s="32">
        <v>4.8899999999999997</v>
      </c>
      <c r="G660" s="32">
        <v>0.85799999999999998</v>
      </c>
      <c r="H660" s="32">
        <v>1.617</v>
      </c>
      <c r="I660" s="32">
        <v>2.6240000000000001</v>
      </c>
      <c r="J660" s="32">
        <v>3.0950000000000002</v>
      </c>
      <c r="K660" s="32">
        <v>4.3099999999999996</v>
      </c>
      <c r="L660" s="32">
        <v>4.33</v>
      </c>
      <c r="M660" s="32">
        <v>4.3</v>
      </c>
      <c r="N660" s="32">
        <v>4.3</v>
      </c>
      <c r="O660" s="32">
        <v>147.3179931640625</v>
      </c>
      <c r="P660" s="29">
        <v>1.165175199508667</v>
      </c>
      <c r="Q660" s="29">
        <v>111.859375</v>
      </c>
      <c r="R660" s="32">
        <v>1.2143999999999999</v>
      </c>
      <c r="S660" s="32">
        <v>1.7124235717773431</v>
      </c>
    </row>
    <row r="661" spans="1:19">
      <c r="A661" s="10">
        <v>45890</v>
      </c>
      <c r="B661" s="32">
        <v>3.79</v>
      </c>
      <c r="C661" s="32">
        <v>3.86</v>
      </c>
      <c r="D661" s="32">
        <v>4.33</v>
      </c>
      <c r="E661" s="32">
        <v>4.8899999999999997</v>
      </c>
      <c r="F661" s="32">
        <v>4.92</v>
      </c>
      <c r="G661" s="32">
        <v>0.86199999999999999</v>
      </c>
      <c r="H661" s="32">
        <v>1.617</v>
      </c>
      <c r="I661" s="32">
        <v>2.63</v>
      </c>
      <c r="J661" s="32">
        <v>3.0979999999999999</v>
      </c>
      <c r="K661" s="32">
        <v>4.32</v>
      </c>
      <c r="L661" s="32">
        <v>4.33</v>
      </c>
      <c r="M661" s="32">
        <v>4.3099999999999996</v>
      </c>
      <c r="N661" s="32">
        <v>4.3099999999999996</v>
      </c>
      <c r="O661" s="32">
        <v>148.38600158691406</v>
      </c>
      <c r="P661" s="29">
        <v>1.16130530834198</v>
      </c>
      <c r="Q661" s="29">
        <v>111.546875</v>
      </c>
      <c r="R661" s="32">
        <v>1.1594</v>
      </c>
      <c r="S661" s="32">
        <v>1.772059999999998</v>
      </c>
    </row>
    <row r="662" spans="1:19">
      <c r="A662" s="10">
        <v>45891</v>
      </c>
      <c r="B662" s="32">
        <v>3.68</v>
      </c>
      <c r="C662" s="32">
        <v>3.76</v>
      </c>
      <c r="D662" s="32">
        <v>4.26</v>
      </c>
      <c r="E662" s="32">
        <v>4.84</v>
      </c>
      <c r="F662" s="32">
        <v>4.88</v>
      </c>
      <c r="G662" s="32">
        <v>0.873</v>
      </c>
      <c r="H662" s="32">
        <v>1.6259999999999999</v>
      </c>
      <c r="I662" s="32">
        <v>2.6509999999999998</v>
      </c>
      <c r="J662" s="32">
        <v>3.12</v>
      </c>
      <c r="K662" s="32">
        <v>4.3600000000000003</v>
      </c>
      <c r="L662" s="32">
        <v>4.33</v>
      </c>
      <c r="M662" s="32">
        <v>4.3499999999999996</v>
      </c>
      <c r="N662" s="32">
        <v>4.3499999999999996</v>
      </c>
      <c r="O662" s="32">
        <v>148.38600158691406</v>
      </c>
      <c r="P662" s="29">
        <v>1.16130530834198</v>
      </c>
      <c r="Q662" s="29">
        <v>112.140625</v>
      </c>
      <c r="R662" s="32">
        <v>1.2074</v>
      </c>
      <c r="S662" s="32">
        <v>1.7510117858886698</v>
      </c>
    </row>
    <row r="663" spans="1:19">
      <c r="A663" s="10">
        <v>45894</v>
      </c>
      <c r="B663" s="32">
        <v>3.73</v>
      </c>
      <c r="C663" s="32">
        <v>3.8</v>
      </c>
      <c r="D663" s="32">
        <v>4.28</v>
      </c>
      <c r="E663" s="32">
        <v>4.8600000000000003</v>
      </c>
      <c r="F663" s="32">
        <v>4.8899999999999997</v>
      </c>
      <c r="G663" s="32">
        <v>0.86899999999999999</v>
      </c>
      <c r="H663" s="32">
        <v>1.6279999999999999</v>
      </c>
      <c r="I663" s="32">
        <v>2.6360000000000001</v>
      </c>
      <c r="J663" s="32">
        <v>3.1190000000000002</v>
      </c>
      <c r="K663" s="32">
        <v>4.37</v>
      </c>
      <c r="L663" s="32">
        <v>4.33</v>
      </c>
      <c r="M663" s="32">
        <v>4.3499999999999996</v>
      </c>
      <c r="N663" s="32">
        <v>4.3499999999999996</v>
      </c>
      <c r="O663" s="32">
        <v>147.82200622558594</v>
      </c>
      <c r="P663" s="29">
        <v>1.1618449687957764</v>
      </c>
      <c r="Q663" s="29">
        <v>111.96875</v>
      </c>
      <c r="R663" s="32">
        <v>1.1474</v>
      </c>
      <c r="S663" s="32">
        <v>1.7860917858886705</v>
      </c>
    </row>
    <row r="664" spans="1:19">
      <c r="A664" s="10">
        <v>45895</v>
      </c>
      <c r="B664" s="32">
        <v>3.61</v>
      </c>
      <c r="C664" s="32">
        <v>3.75</v>
      </c>
      <c r="D664" s="32">
        <v>4.26</v>
      </c>
      <c r="E664" s="32">
        <v>4.8600000000000003</v>
      </c>
      <c r="F664" s="32">
        <v>4.9000000000000004</v>
      </c>
      <c r="G664" s="32">
        <v>0.874</v>
      </c>
      <c r="H664" s="32">
        <v>1.631</v>
      </c>
      <c r="I664" s="32">
        <v>2.6269999999999998</v>
      </c>
      <c r="J664" s="32">
        <v>3.11</v>
      </c>
      <c r="K664" s="32">
        <v>4.38</v>
      </c>
      <c r="L664" s="32">
        <v>4.33</v>
      </c>
      <c r="M664" s="32">
        <v>4.37</v>
      </c>
      <c r="N664" s="32">
        <v>4.37</v>
      </c>
      <c r="O664" s="32">
        <v>147.46200561523438</v>
      </c>
      <c r="P664" s="29">
        <v>1.1639411449432373</v>
      </c>
      <c r="Q664" s="29">
        <v>112.203125</v>
      </c>
      <c r="R664" s="32">
        <v>1.1474</v>
      </c>
      <c r="S664" s="32">
        <v>1.772059999999998</v>
      </c>
    </row>
    <row r="665" spans="1:19">
      <c r="A665" s="10">
        <v>45896</v>
      </c>
      <c r="B665" s="32">
        <v>3.59</v>
      </c>
      <c r="C665" s="32">
        <v>3.69</v>
      </c>
      <c r="D665" s="32">
        <v>4.24</v>
      </c>
      <c r="E665" s="32">
        <v>4.87</v>
      </c>
      <c r="F665" s="32">
        <v>4.91</v>
      </c>
      <c r="G665" s="32">
        <v>0.86899999999999999</v>
      </c>
      <c r="H665" s="32">
        <v>1.637</v>
      </c>
      <c r="I665" s="32">
        <v>2.64</v>
      </c>
      <c r="J665" s="32">
        <v>3.1339999999999999</v>
      </c>
      <c r="K665" s="32">
        <v>4.3600000000000003</v>
      </c>
      <c r="L665" s="32">
        <v>4.33</v>
      </c>
      <c r="M665" s="32">
        <v>4.3499999999999996</v>
      </c>
      <c r="N665" s="32">
        <v>4.3499999999999996</v>
      </c>
      <c r="O665" s="32">
        <v>147.31599426269531</v>
      </c>
      <c r="P665" s="29">
        <v>1.1647952795028687</v>
      </c>
      <c r="Q665" s="29">
        <v>112.40625</v>
      </c>
      <c r="R665" s="32">
        <v>1.1912</v>
      </c>
      <c r="S665" s="32">
        <v>1.7580282141113273</v>
      </c>
    </row>
    <row r="666" spans="1:19">
      <c r="A666" s="10">
        <v>45897</v>
      </c>
      <c r="B666" s="32">
        <v>3.62</v>
      </c>
      <c r="C666" s="32">
        <v>3.69</v>
      </c>
      <c r="D666" s="32">
        <v>4.22</v>
      </c>
      <c r="E666" s="32">
        <v>4.83</v>
      </c>
      <c r="F666" s="32">
        <v>4.88</v>
      </c>
      <c r="G666" s="32">
        <v>0.871</v>
      </c>
      <c r="H666" s="32">
        <v>1.6279999999999999</v>
      </c>
      <c r="I666" s="32">
        <v>2.6179999999999999</v>
      </c>
      <c r="J666" s="32">
        <v>3.1219999999999999</v>
      </c>
      <c r="K666" s="32">
        <v>4.34</v>
      </c>
      <c r="L666" s="32">
        <v>4.33</v>
      </c>
      <c r="M666" s="32">
        <v>4.33</v>
      </c>
      <c r="N666" s="32">
        <v>4.33</v>
      </c>
      <c r="O666" s="32">
        <v>146.78999328613281</v>
      </c>
      <c r="P666" s="29">
        <v>1.1681560277938843</v>
      </c>
      <c r="Q666" s="29">
        <v>112.53125</v>
      </c>
      <c r="R666" s="32">
        <v>1.2425999999999999</v>
      </c>
      <c r="S666" s="32">
        <v>1.7334717858886712</v>
      </c>
    </row>
    <row r="667" spans="1:19">
      <c r="A667" s="10">
        <v>45898</v>
      </c>
      <c r="B667" s="32">
        <v>3.59</v>
      </c>
      <c r="C667" s="32">
        <v>3.68</v>
      </c>
      <c r="D667" s="32">
        <v>4.2300000000000004</v>
      </c>
      <c r="E667" s="32">
        <v>4.8600000000000003</v>
      </c>
      <c r="F667" s="32">
        <v>4.92</v>
      </c>
      <c r="G667" s="32">
        <v>0.871</v>
      </c>
      <c r="H667" s="32">
        <v>1.613</v>
      </c>
      <c r="I667" s="32">
        <v>2.5960000000000001</v>
      </c>
      <c r="J667" s="32">
        <v>3.0960000000000001</v>
      </c>
      <c r="K667" s="32">
        <v>4.34</v>
      </c>
      <c r="L667" s="32">
        <v>4.33</v>
      </c>
      <c r="M667" s="32">
        <v>4.33</v>
      </c>
      <c r="N667" s="32">
        <v>4.33</v>
      </c>
      <c r="O667" s="32">
        <v>146.78999328613281</v>
      </c>
      <c r="P667" s="29">
        <v>1.1681560277938843</v>
      </c>
      <c r="Q667" s="29">
        <v>112.453125</v>
      </c>
      <c r="R667" s="32">
        <v>1.1956</v>
      </c>
      <c r="S667" s="32">
        <v>1.7317182141113268</v>
      </c>
    </row>
    <row r="668" spans="1:19">
      <c r="A668" s="10">
        <v>45902</v>
      </c>
      <c r="B668" s="32">
        <v>3.66</v>
      </c>
      <c r="C668" s="32">
        <v>3.74</v>
      </c>
      <c r="D668" s="32">
        <v>4.28</v>
      </c>
      <c r="E668" s="32">
        <v>4.92</v>
      </c>
      <c r="F668" s="32">
        <v>4.97</v>
      </c>
      <c r="G668" s="32">
        <v>0.87</v>
      </c>
      <c r="H668" s="32">
        <v>1.615</v>
      </c>
      <c r="I668" s="32">
        <v>2.6150000000000002</v>
      </c>
      <c r="J668" s="32">
        <v>3.1110000000000002</v>
      </c>
      <c r="K668" s="32">
        <v>4.3899999999999997</v>
      </c>
      <c r="L668" s="32">
        <v>4.33</v>
      </c>
      <c r="M668" s="32">
        <v>4.3600000000000003</v>
      </c>
      <c r="N668" s="32">
        <v>4.3600000000000003</v>
      </c>
      <c r="O668" s="32">
        <v>148.54800415039063</v>
      </c>
      <c r="P668" s="29">
        <v>1.1636025905609131</v>
      </c>
      <c r="Q668" s="29">
        <v>112.140625</v>
      </c>
      <c r="R668" s="32">
        <v>1.1859</v>
      </c>
      <c r="S668" s="32">
        <v>1.7632899999999996</v>
      </c>
    </row>
    <row r="669" spans="1:19">
      <c r="A669" s="10">
        <v>45903</v>
      </c>
      <c r="B669" s="32">
        <v>3.61</v>
      </c>
      <c r="C669" s="32">
        <v>3.69</v>
      </c>
      <c r="D669" s="32">
        <v>4.22</v>
      </c>
      <c r="E669" s="32">
        <v>4.8499999999999996</v>
      </c>
      <c r="F669" s="32">
        <v>4.9000000000000004</v>
      </c>
      <c r="G669" s="32">
        <v>0.87</v>
      </c>
      <c r="H669" s="32">
        <v>1.643</v>
      </c>
      <c r="I669" s="32">
        <v>2.6659999999999999</v>
      </c>
      <c r="J669" s="32">
        <v>3.17</v>
      </c>
      <c r="K669" s="32">
        <v>4.3899999999999997</v>
      </c>
      <c r="L669" s="32">
        <v>4.33</v>
      </c>
      <c r="M669" s="32">
        <v>4.3600000000000003</v>
      </c>
      <c r="N669" s="32">
        <v>4.3600000000000003</v>
      </c>
      <c r="O669" s="32">
        <v>147.97999572753906</v>
      </c>
      <c r="P669" s="29">
        <v>1.1660448312759399</v>
      </c>
      <c r="Q669" s="29">
        <v>112.59375</v>
      </c>
      <c r="R669" s="32">
        <v>1.1747000000000001</v>
      </c>
      <c r="S669" s="32">
        <v>1.7738135717773424</v>
      </c>
    </row>
    <row r="670" spans="1:19">
      <c r="A670" s="10">
        <v>45904</v>
      </c>
      <c r="B670" s="32">
        <v>3.59</v>
      </c>
      <c r="C670" s="32">
        <v>3.65</v>
      </c>
      <c r="D670" s="32">
        <v>4.17</v>
      </c>
      <c r="E670" s="32">
        <v>4.8099999999999996</v>
      </c>
      <c r="F670" s="32">
        <v>4.8600000000000003</v>
      </c>
      <c r="G670" s="32">
        <v>0.85499999999999998</v>
      </c>
      <c r="H670" s="32">
        <v>1.617</v>
      </c>
      <c r="I670" s="32">
        <v>2.6509999999999998</v>
      </c>
      <c r="J670" s="32">
        <v>3.1579999999999999</v>
      </c>
      <c r="K670" s="32">
        <v>4.41</v>
      </c>
      <c r="L670" s="32">
        <v>4.33</v>
      </c>
      <c r="M670" s="32">
        <v>4.38</v>
      </c>
      <c r="N670" s="32">
        <v>4.38</v>
      </c>
      <c r="O670" s="32">
        <v>148.375</v>
      </c>
      <c r="P670" s="29">
        <v>1.1656913757324219</v>
      </c>
      <c r="Q670" s="29">
        <v>112.828125</v>
      </c>
      <c r="R670" s="32">
        <v>1.1560999999999999</v>
      </c>
      <c r="S670" s="32">
        <v>1.8281882141113268</v>
      </c>
    </row>
    <row r="671" spans="1:19">
      <c r="A671" s="10">
        <v>45905</v>
      </c>
      <c r="B671" s="32">
        <v>3.51</v>
      </c>
      <c r="C671" s="32">
        <v>3.59</v>
      </c>
      <c r="D671" s="32">
        <v>4.0999999999999996</v>
      </c>
      <c r="E671" s="32">
        <v>4.72</v>
      </c>
      <c r="F671" s="32">
        <v>4.78</v>
      </c>
      <c r="G671" s="32">
        <v>0.84099999999999997</v>
      </c>
      <c r="H671" s="32">
        <v>1.59</v>
      </c>
      <c r="I671" s="32">
        <v>2.63</v>
      </c>
      <c r="J671" s="32">
        <v>3.1280000000000001</v>
      </c>
      <c r="K671" s="32">
        <v>4.42</v>
      </c>
      <c r="L671" s="32">
        <v>4.33</v>
      </c>
      <c r="M671" s="32">
        <v>4.4000000000000004</v>
      </c>
      <c r="N671" s="32">
        <v>4.4000000000000004</v>
      </c>
      <c r="O671" s="32">
        <v>148.375</v>
      </c>
      <c r="P671" s="29">
        <v>1.1656913757324219</v>
      </c>
      <c r="Q671" s="29">
        <v>113.359375</v>
      </c>
      <c r="R671" s="32">
        <v>1.1616</v>
      </c>
      <c r="S671" s="32">
        <v>1.7755682141113276</v>
      </c>
    </row>
    <row r="672" spans="1:19">
      <c r="A672" s="10">
        <v>45908</v>
      </c>
      <c r="B672" s="32">
        <v>3.49</v>
      </c>
      <c r="C672" s="32">
        <v>3.57</v>
      </c>
      <c r="D672" s="32">
        <v>4.05</v>
      </c>
      <c r="E672" s="32">
        <v>4.6500000000000004</v>
      </c>
      <c r="F672" s="32">
        <v>4.6900000000000004</v>
      </c>
      <c r="G672" s="32">
        <v>0.83099999999999996</v>
      </c>
      <c r="H672" s="32">
        <v>1.5860000000000001</v>
      </c>
      <c r="I672" s="32">
        <v>2.661</v>
      </c>
      <c r="J672" s="32">
        <v>3.1669999999999998</v>
      </c>
      <c r="K672" s="32">
        <v>4.4000000000000004</v>
      </c>
      <c r="L672" s="32">
        <v>4.33</v>
      </c>
      <c r="M672" s="32">
        <v>4.3899999999999997</v>
      </c>
      <c r="N672" s="32">
        <v>4.3899999999999997</v>
      </c>
      <c r="O672" s="32">
        <v>147.36399841308594</v>
      </c>
      <c r="P672" s="29">
        <v>1.1769136190414429</v>
      </c>
      <c r="Q672" s="29">
        <v>113.5</v>
      </c>
      <c r="R672" s="32">
        <v>1.0778000000000001</v>
      </c>
      <c r="S672" s="32">
        <v>1.7860917858886705</v>
      </c>
    </row>
    <row r="673" spans="1:19">
      <c r="A673" s="10">
        <v>45909</v>
      </c>
      <c r="B673" s="32">
        <v>3.54</v>
      </c>
      <c r="C673" s="32">
        <v>3.61</v>
      </c>
      <c r="D673" s="32">
        <v>4.08</v>
      </c>
      <c r="E673" s="32">
        <v>4.68</v>
      </c>
      <c r="F673" s="32">
        <v>4.72</v>
      </c>
      <c r="G673" s="32">
        <v>0.84199999999999997</v>
      </c>
      <c r="H673" s="32">
        <v>1.58</v>
      </c>
      <c r="I673" s="32">
        <v>2.6440000000000001</v>
      </c>
      <c r="J673" s="32">
        <v>3.1469999999999998</v>
      </c>
      <c r="K673" s="32">
        <v>4.4000000000000004</v>
      </c>
      <c r="L673" s="32">
        <v>4.33</v>
      </c>
      <c r="M673" s="32">
        <v>4.38</v>
      </c>
      <c r="N673" s="32">
        <v>4.38</v>
      </c>
      <c r="O673" s="32">
        <v>147.39199829101563</v>
      </c>
      <c r="P673" s="29">
        <v>1.1702749729156494</v>
      </c>
      <c r="Q673" s="29">
        <v>113.3125</v>
      </c>
      <c r="R673" s="32">
        <v>1.0585</v>
      </c>
      <c r="S673" s="32">
        <v>1.8106482141113265</v>
      </c>
    </row>
    <row r="674" spans="1:19">
      <c r="A674" s="10">
        <v>45910</v>
      </c>
      <c r="B674" s="32">
        <v>3.54</v>
      </c>
      <c r="C674" s="32">
        <v>3.59</v>
      </c>
      <c r="D674" s="32">
        <v>4.04</v>
      </c>
      <c r="E674" s="32">
        <v>4.6500000000000004</v>
      </c>
      <c r="F674" s="32">
        <v>4.6900000000000004</v>
      </c>
      <c r="G674" s="32">
        <v>0.85699999999999998</v>
      </c>
      <c r="H674" s="32">
        <v>1.585</v>
      </c>
      <c r="I674" s="32">
        <v>2.6309999999999998</v>
      </c>
      <c r="J674" s="32">
        <v>3.1230000000000002</v>
      </c>
      <c r="K674" s="32">
        <v>4.3899999999999997</v>
      </c>
      <c r="L674" s="32">
        <v>4.33</v>
      </c>
      <c r="M674" s="32">
        <v>4.37</v>
      </c>
      <c r="N674" s="32">
        <v>4.37</v>
      </c>
      <c r="O674" s="32">
        <v>147.33200073242188</v>
      </c>
      <c r="P674" s="29">
        <v>1.1703435182571411</v>
      </c>
      <c r="Q674" s="29">
        <v>113.515625</v>
      </c>
      <c r="R674" s="32">
        <v>1.0886</v>
      </c>
      <c r="S674" s="32">
        <v>1.8053864282226542</v>
      </c>
    </row>
    <row r="675" spans="1:19">
      <c r="A675" s="10">
        <v>45911</v>
      </c>
      <c r="B675" s="32">
        <v>3.52</v>
      </c>
      <c r="C675" s="32">
        <v>3.59</v>
      </c>
      <c r="D675" s="32">
        <v>4.01</v>
      </c>
      <c r="E675" s="32">
        <v>4.6100000000000003</v>
      </c>
      <c r="F675" s="32">
        <v>4.6500000000000004</v>
      </c>
      <c r="G675" s="32">
        <v>0.86199999999999999</v>
      </c>
      <c r="H675" s="32">
        <v>1.5940000000000001</v>
      </c>
      <c r="I675" s="32">
        <v>2.6389999999999998</v>
      </c>
      <c r="J675" s="32">
        <v>3.1150000000000002</v>
      </c>
      <c r="K675" s="32">
        <v>4.41</v>
      </c>
      <c r="L675" s="32">
        <v>4.33</v>
      </c>
      <c r="M675" s="32">
        <v>4.38</v>
      </c>
      <c r="N675" s="32">
        <v>4.38</v>
      </c>
      <c r="O675" s="32">
        <v>147.2239990234375</v>
      </c>
      <c r="P675" s="29">
        <v>1.1734747886657715</v>
      </c>
      <c r="Q675" s="29">
        <v>113.59375</v>
      </c>
      <c r="R675" s="32">
        <v>1.0958000000000001</v>
      </c>
      <c r="S675" s="32">
        <v>1.836958214111327</v>
      </c>
    </row>
    <row r="676" spans="1:19">
      <c r="A676" s="10">
        <v>45912</v>
      </c>
      <c r="B676" s="32">
        <v>3.56</v>
      </c>
      <c r="C676" s="32">
        <v>3.63</v>
      </c>
      <c r="D676" s="32">
        <v>4.0599999999999996</v>
      </c>
      <c r="E676" s="32">
        <v>4.6500000000000004</v>
      </c>
      <c r="F676" s="32">
        <v>4.68</v>
      </c>
      <c r="G676" s="32">
        <v>0.873</v>
      </c>
      <c r="H676" s="32">
        <v>1.613</v>
      </c>
      <c r="I676" s="32">
        <v>2.6339999999999999</v>
      </c>
      <c r="J676" s="32">
        <v>3.1030000000000002</v>
      </c>
      <c r="K676" s="32">
        <v>4.42</v>
      </c>
      <c r="L676" s="32">
        <v>4.33</v>
      </c>
      <c r="M676" s="32">
        <v>4.4000000000000004</v>
      </c>
      <c r="N676" s="32">
        <v>4.4000000000000004</v>
      </c>
      <c r="O676" s="32">
        <v>147.2239990234375</v>
      </c>
      <c r="P676" s="29">
        <v>1.1734747886657715</v>
      </c>
      <c r="Q676" s="29">
        <v>113.25</v>
      </c>
      <c r="R676" s="32">
        <v>1.0928</v>
      </c>
      <c r="S676" s="32">
        <v>1.8036317858886708</v>
      </c>
    </row>
    <row r="677" spans="1:19">
      <c r="A677" s="10">
        <v>45915</v>
      </c>
      <c r="B677" s="32">
        <v>3.54</v>
      </c>
      <c r="C677" s="32">
        <v>3.61</v>
      </c>
      <c r="D677" s="32">
        <v>4.05</v>
      </c>
      <c r="E677" s="32">
        <v>4.63</v>
      </c>
      <c r="F677" s="32">
        <v>4.66</v>
      </c>
      <c r="G677" s="32">
        <v>0.873</v>
      </c>
      <c r="H677" s="32">
        <v>1.613</v>
      </c>
      <c r="I677" s="32">
        <v>2.6339999999999999</v>
      </c>
      <c r="J677" s="32">
        <v>3.1030000000000002</v>
      </c>
      <c r="K677" s="32">
        <v>4.51</v>
      </c>
      <c r="L677" s="32">
        <v>4.33</v>
      </c>
      <c r="M677" s="32">
        <v>4.5</v>
      </c>
      <c r="N677" s="32">
        <v>4.5</v>
      </c>
      <c r="O677" s="32">
        <v>147.40499877929688</v>
      </c>
      <c r="P677" s="29">
        <v>1.1763737201690674</v>
      </c>
      <c r="Q677" s="29">
        <v>113.40625</v>
      </c>
      <c r="R677" s="32">
        <v>1.1528</v>
      </c>
      <c r="S677" s="32">
        <v>1.8036317858886708</v>
      </c>
    </row>
    <row r="678" spans="1:19">
      <c r="A678" s="10">
        <v>45916</v>
      </c>
      <c r="B678" s="32">
        <v>3.51</v>
      </c>
      <c r="C678" s="32">
        <v>3.59</v>
      </c>
      <c r="D678" s="32">
        <v>4.04</v>
      </c>
      <c r="E678" s="32">
        <v>4.6100000000000003</v>
      </c>
      <c r="F678" s="32">
        <v>4.6500000000000004</v>
      </c>
      <c r="G678" s="32">
        <v>0.88400000000000001</v>
      </c>
      <c r="H678" s="32">
        <v>1.623</v>
      </c>
      <c r="I678" s="32">
        <v>2.66</v>
      </c>
      <c r="J678" s="32">
        <v>3.1320000000000001</v>
      </c>
      <c r="K678" s="32">
        <v>4.3899999999999997</v>
      </c>
      <c r="L678" s="32">
        <v>4.33</v>
      </c>
      <c r="M678" s="32">
        <v>4.3600000000000003</v>
      </c>
      <c r="N678" s="32">
        <v>4.3600000000000003</v>
      </c>
      <c r="O678" s="32">
        <v>146.41299438476563</v>
      </c>
      <c r="P678" s="29">
        <v>1.1871408224105835</v>
      </c>
      <c r="Q678" s="29">
        <v>113.515625</v>
      </c>
      <c r="R678" s="32">
        <v>1.1194999999999999</v>
      </c>
      <c r="S678" s="32">
        <v>1.812401785888671</v>
      </c>
    </row>
    <row r="679" spans="1:19">
      <c r="A679" s="10">
        <v>45917</v>
      </c>
      <c r="B679" s="32">
        <v>3.52</v>
      </c>
      <c r="C679" s="32">
        <v>3.62</v>
      </c>
      <c r="D679" s="32">
        <v>4.0599999999999996</v>
      </c>
      <c r="E679" s="32">
        <v>4.62</v>
      </c>
      <c r="F679" s="32">
        <v>4.66</v>
      </c>
      <c r="G679" s="32">
        <v>0.88300000000000001</v>
      </c>
      <c r="H679" s="32">
        <v>1.611</v>
      </c>
      <c r="I679" s="32">
        <v>2.63</v>
      </c>
      <c r="J679" s="32">
        <v>3.1080000000000001</v>
      </c>
      <c r="K679" s="32">
        <v>4.38</v>
      </c>
      <c r="L679" s="32">
        <v>4.33</v>
      </c>
      <c r="M679" s="32">
        <v>4.3499999999999996</v>
      </c>
      <c r="N679" s="32">
        <v>4.3499999999999996</v>
      </c>
      <c r="O679" s="32">
        <v>146.89100646972656</v>
      </c>
      <c r="P679" s="29">
        <v>1.1826341152191162</v>
      </c>
      <c r="Q679" s="29">
        <v>113.09375</v>
      </c>
      <c r="R679" s="32">
        <v>1.083</v>
      </c>
      <c r="S679" s="32">
        <v>1.8141564282226543</v>
      </c>
    </row>
    <row r="680" spans="1:19">
      <c r="A680" s="10">
        <v>45918</v>
      </c>
      <c r="B680" s="32">
        <v>3.57</v>
      </c>
      <c r="C680" s="32">
        <v>3.67</v>
      </c>
      <c r="D680" s="32">
        <v>4.1100000000000003</v>
      </c>
      <c r="E680" s="32">
        <v>4.68</v>
      </c>
      <c r="F680" s="32">
        <v>4.72</v>
      </c>
      <c r="G680" s="32">
        <v>0.88800000000000001</v>
      </c>
      <c r="H680" s="32">
        <v>1.615</v>
      </c>
      <c r="I680" s="32">
        <v>2.6219999999999999</v>
      </c>
      <c r="J680" s="32">
        <v>3.093</v>
      </c>
      <c r="K680" s="32">
        <v>4.1399999999999997</v>
      </c>
      <c r="L680" s="32">
        <v>4.08</v>
      </c>
      <c r="M680" s="32">
        <v>4.1100000000000003</v>
      </c>
      <c r="N680" s="32">
        <v>4.1100000000000003</v>
      </c>
      <c r="O680" s="32">
        <v>147.94700622558594</v>
      </c>
      <c r="P680" s="29">
        <v>1.1791062355041504</v>
      </c>
      <c r="Q680" s="29">
        <v>112.96875</v>
      </c>
      <c r="R680" s="32">
        <v>1.0738000000000001</v>
      </c>
      <c r="S680" s="32">
        <v>1.7966164282226558</v>
      </c>
    </row>
    <row r="681" spans="1:19">
      <c r="A681" s="10">
        <v>45919</v>
      </c>
      <c r="B681" s="32">
        <v>3.57</v>
      </c>
      <c r="C681" s="32">
        <v>3.68</v>
      </c>
      <c r="D681" s="32">
        <v>4.1399999999999997</v>
      </c>
      <c r="E681" s="32">
        <v>4.71</v>
      </c>
      <c r="F681" s="32">
        <v>4.75</v>
      </c>
      <c r="G681" s="32">
        <v>0.91800000000000004</v>
      </c>
      <c r="H681" s="32">
        <v>1.655</v>
      </c>
      <c r="I681" s="32">
        <v>2.625</v>
      </c>
      <c r="J681" s="32">
        <v>3.0720000000000001</v>
      </c>
      <c r="K681" s="32">
        <v>4.1399999999999997</v>
      </c>
      <c r="L681" s="32">
        <v>4.08</v>
      </c>
      <c r="M681" s="32">
        <v>4.1100000000000003</v>
      </c>
      <c r="N681" s="32">
        <v>4.1100000000000003</v>
      </c>
      <c r="O681" s="32">
        <v>147.94700622558594</v>
      </c>
      <c r="P681" s="29">
        <v>1.1791062355041504</v>
      </c>
      <c r="Q681" s="29">
        <v>112.828125</v>
      </c>
      <c r="R681" s="32">
        <v>1.0667</v>
      </c>
      <c r="S681" s="32">
        <v>1.8316964282226547</v>
      </c>
    </row>
    <row r="682" spans="1:19">
      <c r="A682" s="10">
        <v>45922</v>
      </c>
      <c r="B682" s="32">
        <v>3.61</v>
      </c>
      <c r="C682" s="32">
        <v>3.71</v>
      </c>
      <c r="D682" s="32">
        <v>4.1500000000000004</v>
      </c>
      <c r="E682" s="32">
        <v>4.7300000000000004</v>
      </c>
      <c r="F682" s="32">
        <v>4.7699999999999996</v>
      </c>
      <c r="G682" s="32">
        <v>0.93500000000000005</v>
      </c>
      <c r="H682" s="32">
        <v>1.669</v>
      </c>
      <c r="I682" s="32">
        <v>2.64</v>
      </c>
      <c r="J682" s="32">
        <v>3.0939999999999999</v>
      </c>
      <c r="K682" s="32">
        <v>4.1399999999999997</v>
      </c>
      <c r="L682" s="32">
        <v>4.09</v>
      </c>
      <c r="M682" s="32">
        <v>4.1100000000000003</v>
      </c>
      <c r="N682" s="32">
        <v>4.1100000000000003</v>
      </c>
      <c r="O682" s="32">
        <v>147.72500610351563</v>
      </c>
      <c r="P682" s="29">
        <v>1.1801080703735352</v>
      </c>
      <c r="Q682" s="29">
        <v>112.703125</v>
      </c>
      <c r="R682" s="32">
        <v>1.075</v>
      </c>
      <c r="S682" s="32">
        <v>1.8615135717773423</v>
      </c>
    </row>
    <row r="683" spans="1:19">
      <c r="A683" s="10">
        <v>45923</v>
      </c>
      <c r="B683" s="32">
        <v>3.53</v>
      </c>
      <c r="C683" s="32">
        <v>3.68</v>
      </c>
      <c r="D683" s="32">
        <v>4.12</v>
      </c>
      <c r="E683" s="32">
        <v>4.7</v>
      </c>
      <c r="F683" s="32">
        <v>4.7300000000000004</v>
      </c>
      <c r="G683" s="32">
        <v>0.93500000000000005</v>
      </c>
      <c r="H683" s="32">
        <v>1.669</v>
      </c>
      <c r="I683" s="32">
        <v>2.64</v>
      </c>
      <c r="J683" s="32">
        <v>3.0939999999999999</v>
      </c>
      <c r="K683" s="32">
        <v>4.12</v>
      </c>
      <c r="L683" s="32">
        <v>4.09</v>
      </c>
      <c r="M683" s="32">
        <v>4.09</v>
      </c>
      <c r="N683" s="32">
        <v>4.09</v>
      </c>
      <c r="O683" s="32">
        <v>147.61300659179688</v>
      </c>
      <c r="P683" s="29">
        <v>1.1814465522766113</v>
      </c>
      <c r="Q683" s="29">
        <v>112.875</v>
      </c>
      <c r="R683" s="32">
        <v>1.0625</v>
      </c>
      <c r="S683" s="32">
        <v>1.8615135717773423</v>
      </c>
    </row>
    <row r="684" spans="1:19">
      <c r="A684" s="10">
        <v>45924</v>
      </c>
      <c r="B684" s="32">
        <v>3.57</v>
      </c>
      <c r="C684" s="32">
        <v>3.7</v>
      </c>
      <c r="D684" s="32">
        <v>4.16</v>
      </c>
      <c r="E684" s="32">
        <v>4.7300000000000004</v>
      </c>
      <c r="F684" s="32">
        <v>4.76</v>
      </c>
      <c r="G684" s="32">
        <v>0.93200000000000005</v>
      </c>
      <c r="H684" s="32">
        <v>1.655</v>
      </c>
      <c r="I684" s="32">
        <v>2.6190000000000002</v>
      </c>
      <c r="J684" s="32">
        <v>3.0739999999999998</v>
      </c>
      <c r="K684" s="32">
        <v>4.13</v>
      </c>
      <c r="L684" s="32">
        <v>4.09</v>
      </c>
      <c r="M684" s="32">
        <v>4.12</v>
      </c>
      <c r="N684" s="32">
        <v>4.12</v>
      </c>
      <c r="O684" s="32">
        <v>148.75100708007813</v>
      </c>
      <c r="P684" s="29">
        <v>1.1744670867919922</v>
      </c>
      <c r="Q684" s="29">
        <v>112.640625</v>
      </c>
      <c r="R684" s="32">
        <v>1.0599000000000001</v>
      </c>
      <c r="S684" s="32">
        <v>1.8860699999999984</v>
      </c>
    </row>
    <row r="685" spans="1:19">
      <c r="A685" s="10">
        <v>45925</v>
      </c>
      <c r="B685" s="32">
        <v>3.64</v>
      </c>
      <c r="C685" s="32">
        <v>3.75</v>
      </c>
      <c r="D685" s="32">
        <v>4.18</v>
      </c>
      <c r="E685" s="32">
        <v>4.7300000000000004</v>
      </c>
      <c r="F685" s="32">
        <v>4.75</v>
      </c>
      <c r="G685" s="32">
        <v>0.93600000000000005</v>
      </c>
      <c r="H685" s="32">
        <v>1.659</v>
      </c>
      <c r="I685" s="32">
        <v>2.5990000000000002</v>
      </c>
      <c r="J685" s="32">
        <v>3.0539999999999998</v>
      </c>
      <c r="K685" s="32">
        <v>4.18</v>
      </c>
      <c r="L685" s="32">
        <v>4.09</v>
      </c>
      <c r="M685" s="32">
        <v>4.17</v>
      </c>
      <c r="N685" s="32">
        <v>4.17</v>
      </c>
      <c r="O685" s="32">
        <v>149.86099243164063</v>
      </c>
      <c r="P685" s="29">
        <v>1.1662759780883789</v>
      </c>
      <c r="Q685" s="29">
        <v>112.328125</v>
      </c>
      <c r="R685" s="32">
        <v>1.0558000000000001</v>
      </c>
      <c r="S685" s="32">
        <v>1.8053864282226542</v>
      </c>
    </row>
    <row r="686" spans="1:19">
      <c r="A686" s="10">
        <v>45926</v>
      </c>
      <c r="B686" s="32">
        <v>3.63</v>
      </c>
      <c r="C686" s="32">
        <v>3.76</v>
      </c>
      <c r="D686" s="32">
        <v>4.2</v>
      </c>
      <c r="E686" s="32">
        <v>4.74</v>
      </c>
      <c r="F686" s="32">
        <v>4.7699999999999996</v>
      </c>
      <c r="G686" s="32">
        <v>0.93100000000000005</v>
      </c>
      <c r="H686" s="32">
        <v>1.669</v>
      </c>
      <c r="I686" s="32">
        <v>2.6240000000000001</v>
      </c>
      <c r="J686" s="32">
        <v>3.0840000000000001</v>
      </c>
      <c r="K686" s="32">
        <v>4.16</v>
      </c>
      <c r="L686" s="32">
        <v>4.09</v>
      </c>
      <c r="M686" s="32">
        <v>4.1399999999999997</v>
      </c>
      <c r="N686" s="32">
        <v>4.1399999999999997</v>
      </c>
      <c r="O686" s="32">
        <v>149.86099243164063</v>
      </c>
      <c r="P686" s="29">
        <v>1.1662759780883789</v>
      </c>
      <c r="Q686" s="29">
        <v>112.265625</v>
      </c>
      <c r="R686" s="32">
        <v>1.0558000000000001</v>
      </c>
      <c r="S686" s="32">
        <v>1.824679999999999</v>
      </c>
    </row>
    <row r="687" spans="1:19">
      <c r="A687" s="10">
        <v>45929</v>
      </c>
      <c r="B687" s="32">
        <v>3.63</v>
      </c>
      <c r="C687" s="32">
        <v>3.74</v>
      </c>
      <c r="D687" s="32">
        <v>4.1500000000000004</v>
      </c>
      <c r="E687" s="32">
        <v>4.6900000000000004</v>
      </c>
      <c r="F687" s="32">
        <v>4.71</v>
      </c>
      <c r="G687" s="32">
        <v>0.93100000000000005</v>
      </c>
      <c r="H687" s="32">
        <v>1.657</v>
      </c>
      <c r="I687" s="32">
        <v>2.5950000000000002</v>
      </c>
      <c r="J687" s="32">
        <v>3.05</v>
      </c>
      <c r="K687" s="32">
        <v>4.13</v>
      </c>
      <c r="L687" s="32">
        <v>4.09</v>
      </c>
      <c r="M687" s="32">
        <v>4.12</v>
      </c>
      <c r="N687" s="32">
        <v>4.12</v>
      </c>
      <c r="O687" s="32">
        <v>148.59500122070313</v>
      </c>
      <c r="P687" s="29">
        <v>1.1731443405151367</v>
      </c>
      <c r="Q687" s="29">
        <v>112.515625</v>
      </c>
      <c r="R687" s="32">
        <v>1.0641</v>
      </c>
      <c r="S687" s="32">
        <v>1.8264335717773417</v>
      </c>
    </row>
    <row r="688" spans="1:19">
      <c r="A688" s="10">
        <v>45930</v>
      </c>
      <c r="B688" s="32">
        <v>3.6</v>
      </c>
      <c r="C688" s="32">
        <v>3.74</v>
      </c>
      <c r="D688" s="32">
        <v>4.16</v>
      </c>
      <c r="E688" s="32">
        <v>4.71</v>
      </c>
      <c r="F688" s="32">
        <v>4.7300000000000004</v>
      </c>
      <c r="G688" s="32">
        <v>0.95799999999999996</v>
      </c>
      <c r="H688" s="32">
        <v>1.6619999999999999</v>
      </c>
      <c r="I688" s="32">
        <v>2.6070000000000002</v>
      </c>
      <c r="J688" s="32">
        <v>3.0670000000000002</v>
      </c>
      <c r="K688" s="32">
        <v>4.24</v>
      </c>
      <c r="L688" s="32">
        <v>4.09</v>
      </c>
      <c r="M688" s="32">
        <v>4.2</v>
      </c>
      <c r="N688" s="32">
        <v>4.2</v>
      </c>
      <c r="O688" s="32">
        <v>147.99699401855469</v>
      </c>
      <c r="P688" s="29">
        <v>1.1735849380493164</v>
      </c>
      <c r="Q688" s="29">
        <v>112.5</v>
      </c>
      <c r="R688" s="32">
        <v>1.0102</v>
      </c>
      <c r="S688" s="32">
        <v>1.8071399999999986</v>
      </c>
    </row>
    <row r="689" spans="1:19">
      <c r="A689" s="10">
        <v>45931</v>
      </c>
      <c r="B689" s="32">
        <v>3.55</v>
      </c>
      <c r="C689" s="32">
        <v>3.68</v>
      </c>
      <c r="D689" s="32">
        <v>4.12</v>
      </c>
      <c r="E689" s="32">
        <v>4.6900000000000004</v>
      </c>
      <c r="F689" s="32">
        <v>4.72</v>
      </c>
      <c r="G689" s="32">
        <v>0.95399999999999996</v>
      </c>
      <c r="H689" s="32">
        <v>1.663</v>
      </c>
      <c r="I689" s="32">
        <v>2.6139999999999999</v>
      </c>
      <c r="J689" s="32">
        <v>3.0739999999999998</v>
      </c>
      <c r="K689" s="32">
        <v>4.2</v>
      </c>
      <c r="L689" s="32">
        <v>4.09</v>
      </c>
      <c r="M689" s="32">
        <v>4.16</v>
      </c>
      <c r="N689" s="32">
        <v>4.16</v>
      </c>
      <c r="O689" s="32">
        <v>147.08299255371094</v>
      </c>
      <c r="P689" s="29">
        <v>1.1734058856964111</v>
      </c>
      <c r="Q689" s="29">
        <v>112.84375</v>
      </c>
      <c r="R689" s="32">
        <v>1.0206</v>
      </c>
      <c r="S689" s="32">
        <v>1.8597599999999979</v>
      </c>
    </row>
    <row r="690" spans="1:19">
      <c r="A690" s="10">
        <v>45932</v>
      </c>
      <c r="B690" s="32">
        <v>3.55</v>
      </c>
      <c r="C690" s="32">
        <v>3.67</v>
      </c>
      <c r="D690" s="32">
        <v>4.0999999999999996</v>
      </c>
      <c r="E690" s="32">
        <v>4.66</v>
      </c>
      <c r="F690" s="32">
        <v>4.6900000000000004</v>
      </c>
      <c r="G690" s="32">
        <v>0.95499999999999996</v>
      </c>
      <c r="H690" s="32">
        <v>1.675</v>
      </c>
      <c r="I690" s="32">
        <v>2.6219999999999999</v>
      </c>
      <c r="J690" s="32">
        <v>3.0870000000000002</v>
      </c>
      <c r="K690" s="32">
        <v>4.2</v>
      </c>
      <c r="L690" s="32">
        <v>4.09</v>
      </c>
      <c r="M690" s="32">
        <v>4.17</v>
      </c>
      <c r="N690" s="32">
        <v>4.17</v>
      </c>
      <c r="O690" s="32">
        <v>147.14999389648438</v>
      </c>
      <c r="P690" s="29">
        <v>1.1725116968154907</v>
      </c>
      <c r="Q690" s="29">
        <v>112.921875</v>
      </c>
      <c r="R690" s="32">
        <v>1.0485</v>
      </c>
      <c r="S690" s="32">
        <v>1.8299417858886713</v>
      </c>
    </row>
    <row r="691" spans="1:19">
      <c r="A691" s="10">
        <v>45933</v>
      </c>
      <c r="B691" s="32">
        <v>3.58</v>
      </c>
      <c r="C691" s="32">
        <v>3.72</v>
      </c>
      <c r="D691" s="32">
        <v>4.13</v>
      </c>
      <c r="E691" s="32">
        <v>4.6900000000000004</v>
      </c>
      <c r="F691" s="32">
        <v>4.71</v>
      </c>
      <c r="G691" s="32">
        <v>0.94499999999999995</v>
      </c>
      <c r="H691" s="32">
        <v>1.667</v>
      </c>
      <c r="I691" s="32">
        <v>2.6139999999999999</v>
      </c>
      <c r="J691" s="32">
        <v>3.0720000000000001</v>
      </c>
      <c r="K691" s="32">
        <v>4.18</v>
      </c>
      <c r="L691" s="32">
        <v>4.09</v>
      </c>
      <c r="M691" s="32">
        <v>4.16</v>
      </c>
      <c r="N691" s="32">
        <v>4.16</v>
      </c>
      <c r="O691" s="32">
        <v>147.14999389648438</v>
      </c>
      <c r="P691" s="29">
        <v>1.1725116968154907</v>
      </c>
      <c r="Q691" s="29">
        <v>112.671875</v>
      </c>
      <c r="R691" s="32">
        <v>1.0097</v>
      </c>
      <c r="S691" s="32">
        <v>1.8352035717773418</v>
      </c>
    </row>
    <row r="692" spans="1:19">
      <c r="A692" s="10">
        <v>45936</v>
      </c>
      <c r="B692" s="32">
        <v>3.6</v>
      </c>
      <c r="C692" s="32">
        <v>3.75</v>
      </c>
      <c r="D692" s="32">
        <v>4.18</v>
      </c>
      <c r="E692" s="32">
        <v>4.7300000000000004</v>
      </c>
      <c r="F692" s="32">
        <v>4.76</v>
      </c>
      <c r="G692" s="32">
        <v>0.89900000000000002</v>
      </c>
      <c r="H692" s="32">
        <v>1.677</v>
      </c>
      <c r="I692" s="32">
        <v>2.681</v>
      </c>
      <c r="J692" s="32">
        <v>3.1749999999999998</v>
      </c>
      <c r="K692" s="32">
        <v>4.1500000000000004</v>
      </c>
      <c r="L692" s="32">
        <v>4.09</v>
      </c>
      <c r="M692" s="32">
        <v>4.13</v>
      </c>
      <c r="N692" s="32">
        <v>4.13</v>
      </c>
      <c r="O692" s="32">
        <v>150.33099365234375</v>
      </c>
      <c r="P692" s="29">
        <v>1.171028733253479</v>
      </c>
      <c r="Q692" s="29">
        <v>112.390625</v>
      </c>
      <c r="R692" s="32">
        <v>1.0170999999999999</v>
      </c>
      <c r="S692" s="32">
        <v>1.8597599999999979</v>
      </c>
    </row>
    <row r="693" spans="1:19">
      <c r="A693" s="10">
        <v>45937</v>
      </c>
      <c r="B693" s="32">
        <v>3.57</v>
      </c>
      <c r="C693" s="32">
        <v>3.71</v>
      </c>
      <c r="D693" s="32">
        <v>4.1399999999999997</v>
      </c>
      <c r="E693" s="32">
        <v>4.7</v>
      </c>
      <c r="F693" s="32">
        <v>4.7300000000000004</v>
      </c>
      <c r="G693" s="32">
        <v>0.90900000000000003</v>
      </c>
      <c r="H693" s="32">
        <v>1.6819999999999999</v>
      </c>
      <c r="I693" s="32">
        <v>2.677</v>
      </c>
      <c r="J693" s="32">
        <v>3.177</v>
      </c>
      <c r="K693" s="32">
        <v>4.1399999999999997</v>
      </c>
      <c r="L693" s="32">
        <v>4.09</v>
      </c>
      <c r="M693" s="32">
        <v>4.12</v>
      </c>
      <c r="N693" s="32">
        <v>4.12</v>
      </c>
      <c r="O693" s="32">
        <v>152.05099487304688</v>
      </c>
      <c r="P693" s="29">
        <v>1.1654603481292725</v>
      </c>
      <c r="Q693" s="29">
        <v>112.671875</v>
      </c>
      <c r="R693" s="32">
        <v>1.093</v>
      </c>
      <c r="S693" s="32">
        <v>1.8387117858886715</v>
      </c>
    </row>
    <row r="694" spans="1:19">
      <c r="A694" s="10">
        <v>45938</v>
      </c>
      <c r="B694" s="32">
        <v>3.58</v>
      </c>
      <c r="C694" s="32">
        <v>3.72</v>
      </c>
      <c r="D694" s="32">
        <v>4.13</v>
      </c>
      <c r="E694" s="32">
        <v>4.6900000000000004</v>
      </c>
      <c r="F694" s="32">
        <v>4.72</v>
      </c>
      <c r="G694" s="32">
        <v>0.93</v>
      </c>
      <c r="H694" s="32">
        <v>1.7010000000000001</v>
      </c>
      <c r="I694" s="32">
        <v>2.6880000000000002</v>
      </c>
      <c r="J694" s="32">
        <v>3.1640000000000001</v>
      </c>
      <c r="K694" s="32">
        <v>4.12</v>
      </c>
      <c r="L694" s="32">
        <v>4.0999999999999996</v>
      </c>
      <c r="M694" s="32">
        <v>4.09</v>
      </c>
      <c r="N694" s="32">
        <v>4.09</v>
      </c>
      <c r="O694" s="32">
        <v>152.67999267578125</v>
      </c>
      <c r="P694" s="29">
        <v>1.1631964445114136</v>
      </c>
      <c r="Q694" s="29">
        <v>112.609375</v>
      </c>
      <c r="R694" s="32">
        <v>1.0888</v>
      </c>
      <c r="S694" s="32">
        <v>1.896593571777343</v>
      </c>
    </row>
    <row r="695" spans="1:19">
      <c r="A695" s="10">
        <v>45939</v>
      </c>
      <c r="B695" s="32">
        <v>3.6</v>
      </c>
      <c r="C695" s="32">
        <v>3.74</v>
      </c>
      <c r="D695" s="32">
        <v>4.1399999999999997</v>
      </c>
      <c r="E695" s="32">
        <v>4.7</v>
      </c>
      <c r="F695" s="32">
        <v>4.72</v>
      </c>
      <c r="G695" s="32">
        <v>0.93</v>
      </c>
      <c r="H695" s="32">
        <v>1.6970000000000001</v>
      </c>
      <c r="I695" s="32">
        <v>2.7</v>
      </c>
      <c r="J695" s="32">
        <v>3.18</v>
      </c>
      <c r="K695" s="32">
        <v>4.13</v>
      </c>
      <c r="L695" s="32">
        <v>4.0999999999999996</v>
      </c>
      <c r="M695" s="32">
        <v>4.0999999999999996</v>
      </c>
      <c r="N695" s="32">
        <v>4.0999999999999996</v>
      </c>
      <c r="O695" s="32">
        <v>152.96499633789063</v>
      </c>
      <c r="P695" s="29">
        <v>1.156644344329834</v>
      </c>
      <c r="Q695" s="29">
        <v>112.484375</v>
      </c>
      <c r="R695" s="32">
        <v>1.0679000000000001</v>
      </c>
      <c r="S695" s="32">
        <v>1.8597599999999979</v>
      </c>
    </row>
    <row r="696" spans="1:19">
      <c r="A696" s="10">
        <v>45940</v>
      </c>
      <c r="B696" s="32">
        <v>3.52</v>
      </c>
      <c r="C696" s="32">
        <v>3.65</v>
      </c>
      <c r="D696" s="32">
        <v>4.05</v>
      </c>
      <c r="E696" s="32">
        <v>4.5999999999999996</v>
      </c>
      <c r="F696" s="32">
        <v>4.63</v>
      </c>
      <c r="G696" s="32">
        <v>0.92500000000000004</v>
      </c>
      <c r="H696" s="32">
        <v>1.6970000000000001</v>
      </c>
      <c r="I696" s="32">
        <v>2.6930000000000001</v>
      </c>
      <c r="J696" s="32">
        <v>3.1869999999999998</v>
      </c>
      <c r="K696" s="32">
        <v>4.1500000000000004</v>
      </c>
      <c r="L696" s="32">
        <v>4.0999999999999996</v>
      </c>
      <c r="M696" s="32">
        <v>4.12</v>
      </c>
      <c r="N696" s="32">
        <v>4.12</v>
      </c>
      <c r="O696" s="32">
        <v>152.96499633789063</v>
      </c>
      <c r="P696" s="29">
        <v>1.156644344329834</v>
      </c>
      <c r="Q696" s="29">
        <v>113.140625</v>
      </c>
      <c r="R696" s="32">
        <v>1.0524</v>
      </c>
      <c r="S696" s="32">
        <v>1.8615135717773423</v>
      </c>
    </row>
    <row r="697" spans="1:19">
      <c r="A697" s="10">
        <v>45944</v>
      </c>
      <c r="B697" s="32">
        <v>3.48</v>
      </c>
      <c r="C697" s="32">
        <v>3.6</v>
      </c>
      <c r="D697" s="32">
        <v>4.03</v>
      </c>
      <c r="E697" s="32">
        <v>4.59</v>
      </c>
      <c r="F697" s="32">
        <v>4.62</v>
      </c>
      <c r="G697" s="32">
        <v>0.89500000000000002</v>
      </c>
      <c r="H697" s="32">
        <v>1.67</v>
      </c>
      <c r="I697" s="32">
        <v>2.7029999999999998</v>
      </c>
      <c r="J697" s="32">
        <v>3.218</v>
      </c>
      <c r="K697" s="32">
        <v>4.1900000000000004</v>
      </c>
      <c r="L697" s="32">
        <v>4.0999999999999996</v>
      </c>
      <c r="M697" s="32">
        <v>4.16</v>
      </c>
      <c r="N697" s="32">
        <v>4.16</v>
      </c>
      <c r="O697" s="32">
        <v>151.73100280761719</v>
      </c>
      <c r="P697" s="29">
        <v>1.1602274179458618</v>
      </c>
      <c r="Q697" s="29">
        <v>113.40625</v>
      </c>
      <c r="R697" s="32">
        <v>0.96550000000000002</v>
      </c>
      <c r="S697" s="32">
        <v>1.8860699999999984</v>
      </c>
    </row>
    <row r="698" spans="1:19">
      <c r="A698" s="10">
        <v>45945</v>
      </c>
      <c r="B698" s="32">
        <v>3.5</v>
      </c>
      <c r="C698" s="32">
        <v>3.63</v>
      </c>
      <c r="D698" s="32">
        <v>4.05</v>
      </c>
      <c r="E698" s="32">
        <v>4.6100000000000003</v>
      </c>
      <c r="F698" s="32">
        <v>4.6399999999999997</v>
      </c>
      <c r="G698" s="32">
        <v>0.9</v>
      </c>
      <c r="H698" s="32">
        <v>1.6619999999999999</v>
      </c>
      <c r="I698" s="32">
        <v>2.6840000000000002</v>
      </c>
      <c r="J698" s="32">
        <v>3.1749999999999998</v>
      </c>
      <c r="K698" s="32">
        <v>4.29</v>
      </c>
      <c r="L698" s="32">
        <v>4.0999999999999996</v>
      </c>
      <c r="M698" s="32">
        <v>4.25</v>
      </c>
      <c r="N698" s="32">
        <v>4.25</v>
      </c>
      <c r="O698" s="32">
        <v>150.9739990234375</v>
      </c>
      <c r="P698" s="29">
        <v>1.1646324396133423</v>
      </c>
      <c r="Q698" s="29">
        <v>113.234375</v>
      </c>
      <c r="R698" s="32">
        <v>0.90010000000000001</v>
      </c>
      <c r="S698" s="32">
        <v>1.8632682141113275</v>
      </c>
    </row>
    <row r="699" spans="1:19">
      <c r="A699" s="10">
        <v>45946</v>
      </c>
      <c r="B699" s="32">
        <v>3.41</v>
      </c>
      <c r="C699" s="32">
        <v>3.55</v>
      </c>
      <c r="D699" s="32">
        <v>3.99</v>
      </c>
      <c r="E699" s="32">
        <v>4.5599999999999996</v>
      </c>
      <c r="F699" s="32">
        <v>4.58</v>
      </c>
      <c r="G699" s="32">
        <v>0.92</v>
      </c>
      <c r="H699" s="32">
        <v>1.663</v>
      </c>
      <c r="I699" s="32">
        <v>2.6629999999999998</v>
      </c>
      <c r="J699" s="32">
        <v>3.1339999999999999</v>
      </c>
      <c r="K699" s="32">
        <v>4.3</v>
      </c>
      <c r="L699" s="32">
        <v>4.1100000000000003</v>
      </c>
      <c r="M699" s="32">
        <v>4.25</v>
      </c>
      <c r="N699" s="32">
        <v>4.25</v>
      </c>
      <c r="O699" s="32">
        <v>150.1199951171875</v>
      </c>
      <c r="P699" s="29">
        <v>1.1699601411819458</v>
      </c>
      <c r="Q699" s="29">
        <v>113.75</v>
      </c>
      <c r="R699" s="32">
        <v>0.89510000000000001</v>
      </c>
      <c r="S699" s="32">
        <v>1.7983699999999985</v>
      </c>
    </row>
    <row r="700" spans="1:19">
      <c r="A700" s="10">
        <v>45947</v>
      </c>
      <c r="B700" s="32">
        <v>3.46</v>
      </c>
      <c r="C700" s="32">
        <v>3.59</v>
      </c>
      <c r="D700" s="32">
        <v>4.0199999999999996</v>
      </c>
      <c r="E700" s="32">
        <v>4.58</v>
      </c>
      <c r="F700" s="32">
        <v>4.5999999999999996</v>
      </c>
      <c r="G700" s="32">
        <v>0.90900000000000003</v>
      </c>
      <c r="H700" s="32">
        <v>1.6379999999999999</v>
      </c>
      <c r="I700" s="32">
        <v>2.6509999999999998</v>
      </c>
      <c r="J700" s="32">
        <v>3.1339999999999999</v>
      </c>
      <c r="K700" s="32">
        <v>4.18</v>
      </c>
      <c r="L700" s="32">
        <v>4.1100000000000003</v>
      </c>
      <c r="M700" s="32">
        <v>4.16</v>
      </c>
      <c r="N700" s="32">
        <v>4.16</v>
      </c>
      <c r="O700" s="32">
        <v>150.1199951171875</v>
      </c>
      <c r="P700" s="29">
        <v>1.1699601411819458</v>
      </c>
      <c r="Q700" s="29">
        <v>113.46875</v>
      </c>
      <c r="R700" s="32">
        <v>0.88849999999999996</v>
      </c>
      <c r="S700" s="32">
        <v>1.8211717858886711</v>
      </c>
    </row>
    <row r="701" spans="1:19">
      <c r="A701" s="10">
        <v>45950</v>
      </c>
      <c r="B701" s="32">
        <v>3.46</v>
      </c>
      <c r="C701" s="32">
        <v>3.58</v>
      </c>
      <c r="D701" s="32">
        <v>4</v>
      </c>
      <c r="E701" s="32">
        <v>4.5599999999999996</v>
      </c>
      <c r="F701" s="32">
        <v>4.58</v>
      </c>
      <c r="G701" s="32">
        <v>0.95</v>
      </c>
      <c r="H701" s="32">
        <v>1.6759999999999999</v>
      </c>
      <c r="I701" s="32">
        <v>2.6549999999999998</v>
      </c>
      <c r="J701" s="32">
        <v>3.129</v>
      </c>
      <c r="K701" s="32">
        <v>4.16</v>
      </c>
      <c r="L701" s="32">
        <v>4.1100000000000003</v>
      </c>
      <c r="M701" s="32">
        <v>4.12</v>
      </c>
      <c r="N701" s="32">
        <v>4.12</v>
      </c>
      <c r="O701" s="32">
        <v>150.77400207519531</v>
      </c>
      <c r="P701" s="29">
        <v>1.1644425392150879</v>
      </c>
      <c r="Q701" s="29">
        <v>113.59375</v>
      </c>
      <c r="R701" s="32">
        <v>0.87160000000000004</v>
      </c>
      <c r="S701" s="32">
        <v>1.8930864282226558</v>
      </c>
    </row>
    <row r="702" spans="1:19">
      <c r="A702" s="10">
        <v>45951</v>
      </c>
      <c r="B702" s="32">
        <v>3.45</v>
      </c>
      <c r="C702" s="32">
        <v>3.56</v>
      </c>
      <c r="D702" s="32">
        <v>3.98</v>
      </c>
      <c r="E702" s="32">
        <v>4.53</v>
      </c>
      <c r="F702" s="32">
        <v>4.55</v>
      </c>
      <c r="G702" s="32">
        <v>0.94</v>
      </c>
      <c r="H702" s="32">
        <v>1.667</v>
      </c>
      <c r="I702" s="32">
        <v>2.6520000000000001</v>
      </c>
      <c r="J702" s="32">
        <v>3.1379999999999999</v>
      </c>
      <c r="K702" s="32">
        <v>4.2300000000000004</v>
      </c>
      <c r="L702" s="32">
        <v>4.1100000000000003</v>
      </c>
      <c r="M702" s="32">
        <v>4.21</v>
      </c>
      <c r="N702" s="32">
        <v>4.21</v>
      </c>
      <c r="O702" s="32">
        <v>151.89300537109375</v>
      </c>
      <c r="P702" s="29">
        <v>1.160038948059082</v>
      </c>
      <c r="Q702" s="29">
        <v>113.75</v>
      </c>
      <c r="R702" s="32">
        <v>0.90290000000000004</v>
      </c>
      <c r="S702" s="32">
        <v>1.8650217858886702</v>
      </c>
    </row>
    <row r="703" spans="1:19">
      <c r="A703" s="10">
        <v>45952</v>
      </c>
      <c r="B703" s="32">
        <v>3.45</v>
      </c>
      <c r="C703" s="32">
        <v>3.56</v>
      </c>
      <c r="D703" s="32">
        <v>3.97</v>
      </c>
      <c r="E703" s="32">
        <v>4.5199999999999996</v>
      </c>
      <c r="F703" s="32">
        <v>4.54</v>
      </c>
      <c r="G703" s="32">
        <v>0.92900000000000005</v>
      </c>
      <c r="H703" s="32">
        <v>1.663</v>
      </c>
      <c r="I703" s="32">
        <v>2.6469999999999998</v>
      </c>
      <c r="J703" s="32">
        <v>3.13</v>
      </c>
      <c r="K703" s="32">
        <v>4.21</v>
      </c>
      <c r="L703" s="32">
        <v>4.1100000000000003</v>
      </c>
      <c r="M703" s="32">
        <v>4.18</v>
      </c>
      <c r="N703" s="32">
        <v>4.18</v>
      </c>
      <c r="O703" s="32">
        <v>151.95399475097656</v>
      </c>
      <c r="P703" s="29">
        <v>1.1608469486236572</v>
      </c>
      <c r="Q703" s="29">
        <v>113.796875</v>
      </c>
      <c r="R703" s="32">
        <v>0.90380000000000005</v>
      </c>
      <c r="S703" s="32">
        <v>1.8264335717773417</v>
      </c>
    </row>
    <row r="704" spans="1:19">
      <c r="A704" s="10">
        <v>45953</v>
      </c>
      <c r="B704" s="32">
        <v>3.48</v>
      </c>
      <c r="C704" s="32">
        <v>3.61</v>
      </c>
      <c r="D704" s="32">
        <v>4.01</v>
      </c>
      <c r="E704" s="32">
        <v>4.55</v>
      </c>
      <c r="F704" s="32">
        <v>4.58</v>
      </c>
      <c r="G704" s="32">
        <v>0.93300000000000005</v>
      </c>
      <c r="H704" s="32">
        <v>1.667</v>
      </c>
      <c r="I704" s="32">
        <v>2.63</v>
      </c>
      <c r="J704" s="32">
        <v>3.101</v>
      </c>
      <c r="K704" s="32">
        <v>4.24</v>
      </c>
      <c r="L704" s="32">
        <v>4.1100000000000003</v>
      </c>
      <c r="M704" s="32">
        <v>4.21</v>
      </c>
      <c r="N704" s="32">
        <v>4.21</v>
      </c>
      <c r="O704" s="32">
        <v>152.60200500488281</v>
      </c>
      <c r="P704" s="29">
        <v>1.1618045568466187</v>
      </c>
      <c r="Q704" s="29">
        <v>113.484375</v>
      </c>
      <c r="R704" s="32">
        <v>0.88270000000000004</v>
      </c>
      <c r="S704" s="32">
        <v>1.8036317858886708</v>
      </c>
    </row>
    <row r="705" spans="1:19">
      <c r="A705" s="10">
        <v>45954</v>
      </c>
      <c r="B705" s="32">
        <v>3.48</v>
      </c>
      <c r="C705" s="32">
        <v>3.61</v>
      </c>
      <c r="D705" s="32">
        <v>4.0199999999999996</v>
      </c>
      <c r="E705" s="32">
        <v>4.5599999999999996</v>
      </c>
      <c r="F705" s="32">
        <v>4.59</v>
      </c>
      <c r="G705" s="32">
        <v>0.93200000000000005</v>
      </c>
      <c r="H705" s="32">
        <v>1.667</v>
      </c>
      <c r="I705" s="32">
        <v>2.6179999999999999</v>
      </c>
      <c r="J705" s="32">
        <v>3.081</v>
      </c>
      <c r="K705" s="32">
        <v>4.24</v>
      </c>
      <c r="L705" s="32">
        <v>4.1100000000000003</v>
      </c>
      <c r="M705" s="32">
        <v>4.21</v>
      </c>
      <c r="N705" s="32">
        <v>4.21</v>
      </c>
      <c r="O705" s="32">
        <v>152.60200500488281</v>
      </c>
      <c r="P705" s="29">
        <v>1.1618045568466187</v>
      </c>
      <c r="Q705" s="29">
        <v>113.4375</v>
      </c>
      <c r="R705" s="32">
        <v>0.86040000000000005</v>
      </c>
      <c r="S705" s="32">
        <v>1.8036317858886708</v>
      </c>
    </row>
    <row r="706" spans="1:19">
      <c r="A706" s="10">
        <v>45957</v>
      </c>
      <c r="B706" s="32">
        <v>3.48</v>
      </c>
      <c r="C706" s="32">
        <v>3.61</v>
      </c>
      <c r="D706" s="32">
        <v>4.01</v>
      </c>
      <c r="E706" s="32">
        <v>4.55</v>
      </c>
      <c r="F706" s="32">
        <v>4.57</v>
      </c>
      <c r="G706" s="32">
        <v>0.94299999999999995</v>
      </c>
      <c r="H706" s="32">
        <v>1.6830000000000001</v>
      </c>
      <c r="I706" s="32">
        <v>2.6269999999999998</v>
      </c>
      <c r="J706" s="32">
        <v>3.097</v>
      </c>
      <c r="K706" s="32">
        <v>4.2699999999999996</v>
      </c>
      <c r="L706" s="32">
        <v>4.12</v>
      </c>
      <c r="M706" s="32">
        <v>4.24</v>
      </c>
      <c r="N706" s="32">
        <v>4.24</v>
      </c>
      <c r="O706" s="32">
        <v>153.06100463867188</v>
      </c>
      <c r="P706" s="29">
        <v>1.1631693840026855</v>
      </c>
      <c r="Q706" s="29">
        <v>113.421875</v>
      </c>
      <c r="R706" s="32">
        <v>0.86040000000000005</v>
      </c>
      <c r="S706" s="32">
        <v>1.8141564282226543</v>
      </c>
    </row>
    <row r="707" spans="1:19">
      <c r="A707" s="10">
        <v>45958</v>
      </c>
      <c r="B707" s="32">
        <v>3.47</v>
      </c>
      <c r="C707" s="32">
        <v>3.6</v>
      </c>
      <c r="D707" s="32">
        <v>3.99</v>
      </c>
      <c r="E707" s="32">
        <v>4.53</v>
      </c>
      <c r="F707" s="32">
        <v>4.55</v>
      </c>
      <c r="G707" s="32">
        <v>0.94</v>
      </c>
      <c r="H707" s="32">
        <v>1.6539999999999999</v>
      </c>
      <c r="I707" s="32">
        <v>2.6019999999999999</v>
      </c>
      <c r="J707" s="32">
        <v>3.0830000000000002</v>
      </c>
      <c r="K707" s="32">
        <v>4.3099999999999996</v>
      </c>
      <c r="L707" s="32">
        <v>4.12</v>
      </c>
      <c r="M707" s="32">
        <v>4.28</v>
      </c>
      <c r="N707" s="32">
        <v>4.28</v>
      </c>
      <c r="O707" s="32">
        <v>152.69200134277344</v>
      </c>
      <c r="P707" s="29">
        <v>1.165175199508667</v>
      </c>
      <c r="Q707" s="29">
        <v>113.46875</v>
      </c>
      <c r="R707" s="32">
        <v>0.87280000000000002</v>
      </c>
      <c r="S707" s="32">
        <v>1.7948617858886706</v>
      </c>
    </row>
    <row r="708" spans="1:19">
      <c r="A708" s="10">
        <v>45959</v>
      </c>
      <c r="B708" s="32">
        <v>3.59</v>
      </c>
      <c r="C708" s="32">
        <v>3.7</v>
      </c>
      <c r="D708" s="32">
        <v>4.08</v>
      </c>
      <c r="E708" s="32">
        <v>4.59</v>
      </c>
      <c r="F708" s="32">
        <v>4.6100000000000003</v>
      </c>
      <c r="G708" s="32">
        <v>0.94299999999999995</v>
      </c>
      <c r="H708" s="32">
        <v>1.6639999999999999</v>
      </c>
      <c r="I708" s="32">
        <v>2.597</v>
      </c>
      <c r="J708" s="32">
        <v>3.0720000000000001</v>
      </c>
      <c r="K708" s="32">
        <v>4.2699999999999996</v>
      </c>
      <c r="L708" s="32">
        <v>4.12</v>
      </c>
      <c r="M708" s="32">
        <v>4.24</v>
      </c>
      <c r="N708" s="32">
        <v>4.24</v>
      </c>
      <c r="O708" s="32">
        <v>151.73100280761719</v>
      </c>
      <c r="P708" s="29">
        <v>1.1657865047454834</v>
      </c>
      <c r="Q708" s="29">
        <v>112.90625</v>
      </c>
      <c r="R708" s="32">
        <v>0.7944</v>
      </c>
      <c r="S708" s="32">
        <v>1.824679999999999</v>
      </c>
    </row>
    <row r="709" spans="1:19">
      <c r="A709" s="10">
        <v>45960</v>
      </c>
      <c r="B709" s="32">
        <v>3.61</v>
      </c>
      <c r="C709" s="32">
        <v>3.72</v>
      </c>
      <c r="D709" s="32">
        <v>4.1100000000000003</v>
      </c>
      <c r="E709" s="32">
        <v>4.6399999999999997</v>
      </c>
      <c r="F709" s="32">
        <v>4.6500000000000004</v>
      </c>
      <c r="G709" s="32">
        <v>0.92900000000000005</v>
      </c>
      <c r="H709" s="32">
        <v>1.66</v>
      </c>
      <c r="I709" s="32">
        <v>2.5939999999999999</v>
      </c>
      <c r="J709" s="32">
        <v>3.0630000000000002</v>
      </c>
      <c r="K709" s="32">
        <v>4.04</v>
      </c>
      <c r="L709" s="32">
        <v>3.87</v>
      </c>
      <c r="M709" s="32">
        <v>3.99</v>
      </c>
      <c r="N709" s="32">
        <v>3.99</v>
      </c>
      <c r="O709" s="32">
        <v>152.72200012207031</v>
      </c>
      <c r="P709" s="29">
        <v>1.1603351831436157</v>
      </c>
      <c r="Q709" s="29">
        <v>112.703125</v>
      </c>
      <c r="R709" s="32">
        <v>0.73209999999999997</v>
      </c>
      <c r="S709" s="32">
        <v>1.8071399999999986</v>
      </c>
    </row>
    <row r="710" spans="1:19">
      <c r="A710" s="10">
        <v>45961</v>
      </c>
      <c r="B710" s="32">
        <v>3.6</v>
      </c>
      <c r="C710" s="32">
        <v>3.71</v>
      </c>
      <c r="D710" s="32">
        <v>4.1100000000000003</v>
      </c>
      <c r="E710" s="32">
        <v>4.6500000000000004</v>
      </c>
      <c r="F710" s="32">
        <v>4.67</v>
      </c>
      <c r="G710" s="32">
        <v>0.92800000000000005</v>
      </c>
      <c r="H710" s="32">
        <v>1.67</v>
      </c>
      <c r="I710" s="32">
        <v>2.605</v>
      </c>
      <c r="J710" s="32">
        <v>3.0680000000000001</v>
      </c>
      <c r="K710" s="32">
        <v>4.22</v>
      </c>
      <c r="L710" s="32">
        <v>3.86</v>
      </c>
      <c r="M710" s="32">
        <v>4.1500000000000004</v>
      </c>
      <c r="N710" s="32">
        <v>4.1500000000000004</v>
      </c>
      <c r="O710" s="32">
        <v>153.89999389648438</v>
      </c>
      <c r="P710" s="29">
        <v>1.1572467088699341</v>
      </c>
      <c r="Q710" s="29">
        <v>112.671875</v>
      </c>
      <c r="R710" s="32">
        <v>0.76759999999999995</v>
      </c>
      <c r="S710" s="32">
        <v>1.8071399999999986</v>
      </c>
    </row>
    <row r="711" spans="1:19">
      <c r="A711" s="10">
        <v>45964</v>
      </c>
      <c r="B711" s="32">
        <v>3.6</v>
      </c>
      <c r="C711" s="32">
        <v>3.72</v>
      </c>
      <c r="D711" s="32">
        <v>4.13</v>
      </c>
      <c r="E711" s="32">
        <v>4.67</v>
      </c>
      <c r="F711" s="32">
        <v>4.6900000000000004</v>
      </c>
      <c r="G711" s="32">
        <v>0.92800000000000005</v>
      </c>
      <c r="H711" s="32">
        <v>1.67</v>
      </c>
      <c r="I711" s="32">
        <v>2.605</v>
      </c>
      <c r="J711" s="32">
        <v>3.0680000000000001</v>
      </c>
      <c r="K711" s="32">
        <v>4.13</v>
      </c>
      <c r="L711" s="32">
        <v>3.87</v>
      </c>
      <c r="M711" s="32">
        <v>4.09</v>
      </c>
      <c r="N711" s="32">
        <v>4.09</v>
      </c>
      <c r="O711" s="32">
        <v>154.19500732421875</v>
      </c>
      <c r="P711" s="29">
        <v>1.1528042554855347</v>
      </c>
      <c r="Q711" s="29">
        <v>112.671875</v>
      </c>
      <c r="R711" s="32">
        <v>0.78520000000000001</v>
      </c>
      <c r="S711" s="32">
        <v>1.8071399999999986</v>
      </c>
    </row>
    <row r="712" spans="1:19">
      <c r="A712" s="10">
        <v>45965</v>
      </c>
      <c r="B712" s="32">
        <v>3.58</v>
      </c>
      <c r="C712" s="32">
        <v>3.69</v>
      </c>
      <c r="D712" s="32">
        <v>4.0999999999999996</v>
      </c>
      <c r="E712" s="32">
        <v>4.6500000000000004</v>
      </c>
      <c r="F712" s="32">
        <v>4.67</v>
      </c>
      <c r="G712" s="32">
        <v>0.94499999999999995</v>
      </c>
      <c r="H712" s="32">
        <v>1.6839999999999999</v>
      </c>
      <c r="I712" s="32">
        <v>2.637</v>
      </c>
      <c r="J712" s="32">
        <v>3.105</v>
      </c>
      <c r="K712" s="32">
        <v>4</v>
      </c>
      <c r="L712" s="32">
        <v>3.87</v>
      </c>
      <c r="M712" s="32">
        <v>3.98</v>
      </c>
      <c r="N712" s="32">
        <v>3.98</v>
      </c>
      <c r="O712" s="32">
        <v>154.20399475097656</v>
      </c>
      <c r="P712" s="29">
        <v>1.1519144773483276</v>
      </c>
      <c r="Q712" s="29">
        <v>112.78125</v>
      </c>
      <c r="R712" s="32">
        <v>0.82489999999999997</v>
      </c>
      <c r="S712" s="32">
        <v>1.8790535717773427</v>
      </c>
    </row>
    <row r="713" spans="1:19">
      <c r="A713" s="10">
        <v>45966</v>
      </c>
      <c r="B713" s="32">
        <v>3.63</v>
      </c>
      <c r="C713" s="32">
        <v>3.76</v>
      </c>
      <c r="D713" s="32">
        <v>4.17</v>
      </c>
      <c r="E713" s="32">
        <v>4.72</v>
      </c>
      <c r="F713" s="32">
        <v>4.74</v>
      </c>
      <c r="G713" s="32">
        <v>0.93</v>
      </c>
      <c r="H713" s="32">
        <v>1.6759999999999999</v>
      </c>
      <c r="I713" s="32">
        <v>2.6240000000000001</v>
      </c>
      <c r="J713" s="32">
        <v>3.101</v>
      </c>
      <c r="K713" s="32">
        <v>3.91</v>
      </c>
      <c r="L713" s="32">
        <v>3.87</v>
      </c>
      <c r="M713" s="32">
        <v>3.88</v>
      </c>
      <c r="N713" s="32">
        <v>3.88</v>
      </c>
      <c r="O713" s="32">
        <v>153.5570068359375</v>
      </c>
      <c r="P713" s="29">
        <v>1.1485539674758911</v>
      </c>
      <c r="Q713" s="29">
        <v>112.328125</v>
      </c>
      <c r="R713" s="32">
        <v>0.75180000000000002</v>
      </c>
      <c r="S713" s="32">
        <v>1.8474817858886698</v>
      </c>
    </row>
    <row r="714" spans="1:19">
      <c r="A714" s="10">
        <v>45967</v>
      </c>
      <c r="B714" s="32">
        <v>3.57</v>
      </c>
      <c r="C714" s="32">
        <v>3.69</v>
      </c>
      <c r="D714" s="32">
        <v>4.1100000000000003</v>
      </c>
      <c r="E714" s="32">
        <v>4.67</v>
      </c>
      <c r="F714" s="32">
        <v>4.6900000000000004</v>
      </c>
      <c r="G714" s="32">
        <v>0.94099999999999995</v>
      </c>
      <c r="H714" s="32">
        <v>1.694</v>
      </c>
      <c r="I714" s="32">
        <v>2.633</v>
      </c>
      <c r="J714" s="32">
        <v>3.105</v>
      </c>
      <c r="K714" s="32">
        <v>3.92</v>
      </c>
      <c r="L714" s="32">
        <v>3.87</v>
      </c>
      <c r="M714" s="32">
        <v>3.89</v>
      </c>
      <c r="N714" s="32">
        <v>3.89</v>
      </c>
      <c r="O714" s="32">
        <v>154.072998046875</v>
      </c>
      <c r="P714" s="29">
        <v>1.1496764421463013</v>
      </c>
      <c r="Q714" s="29">
        <v>112.828125</v>
      </c>
      <c r="R714" s="32">
        <v>0.78280000000000005</v>
      </c>
      <c r="S714" s="32">
        <v>1.8404664282226548</v>
      </c>
    </row>
    <row r="715" spans="1:19">
      <c r="A715" s="10">
        <v>45968</v>
      </c>
      <c r="B715" s="32">
        <v>3.55</v>
      </c>
      <c r="C715" s="32">
        <v>3.67</v>
      </c>
      <c r="D715" s="32">
        <v>4.1100000000000003</v>
      </c>
      <c r="E715" s="32">
        <v>4.68</v>
      </c>
      <c r="F715" s="32">
        <v>4.7</v>
      </c>
      <c r="G715" s="32">
        <v>0.94099999999999995</v>
      </c>
      <c r="H715" s="32">
        <v>1.6879999999999999</v>
      </c>
      <c r="I715" s="32">
        <v>2.6419999999999999</v>
      </c>
      <c r="J715" s="32">
        <v>3.117</v>
      </c>
      <c r="K715" s="32">
        <v>3.93</v>
      </c>
      <c r="L715" s="32">
        <v>3.87</v>
      </c>
      <c r="M715" s="32">
        <v>3.89</v>
      </c>
      <c r="N715" s="32">
        <v>3.89</v>
      </c>
      <c r="O715" s="32">
        <v>152.947998046875</v>
      </c>
      <c r="P715" s="29">
        <v>1.1549211740493774</v>
      </c>
      <c r="Q715" s="29">
        <v>112.859375</v>
      </c>
      <c r="R715" s="32">
        <v>0.76890000000000003</v>
      </c>
      <c r="S715" s="32">
        <v>1.8404664282226548</v>
      </c>
    </row>
    <row r="716" spans="1:19">
      <c r="A716" s="10">
        <v>45971</v>
      </c>
      <c r="B716" s="32">
        <v>3.58</v>
      </c>
      <c r="C716" s="32">
        <v>3.72</v>
      </c>
      <c r="D716" s="32">
        <v>4.13</v>
      </c>
      <c r="E716" s="32">
        <v>4.6900000000000004</v>
      </c>
      <c r="F716" s="32">
        <v>4.71</v>
      </c>
      <c r="G716" s="32">
        <v>0.94799999999999995</v>
      </c>
      <c r="H716" s="32">
        <v>1.712</v>
      </c>
      <c r="I716" s="32">
        <v>2.6669999999999998</v>
      </c>
      <c r="J716" s="32">
        <v>3.141</v>
      </c>
      <c r="K716" s="32">
        <v>3.95</v>
      </c>
      <c r="L716" s="32">
        <v>3.87</v>
      </c>
      <c r="M716" s="32">
        <v>3.93</v>
      </c>
      <c r="N716" s="32">
        <v>3.93</v>
      </c>
      <c r="O716" s="32">
        <v>153.81700134277344</v>
      </c>
      <c r="P716" s="29">
        <v>1.1543878316879272</v>
      </c>
      <c r="Q716" s="29">
        <v>112.6875</v>
      </c>
      <c r="R716" s="32">
        <v>0.78979999999999995</v>
      </c>
      <c r="S716" s="32">
        <v>1.8755464282226555</v>
      </c>
    </row>
    <row r="717" spans="1:19">
      <c r="A717" s="10">
        <v>45973</v>
      </c>
      <c r="B717" s="32">
        <v>3.56</v>
      </c>
      <c r="C717" s="32">
        <v>3.68</v>
      </c>
      <c r="D717" s="32">
        <v>4.08</v>
      </c>
      <c r="E717" s="32">
        <v>4.6500000000000004</v>
      </c>
      <c r="F717" s="32">
        <v>4.67</v>
      </c>
      <c r="G717" s="32">
        <v>0.94199999999999995</v>
      </c>
      <c r="H717" s="32">
        <v>1.7</v>
      </c>
      <c r="I717" s="32">
        <v>2.702</v>
      </c>
      <c r="J717" s="32">
        <v>3.1890000000000001</v>
      </c>
      <c r="K717" s="32">
        <v>3.98</v>
      </c>
      <c r="L717" s="32">
        <v>3.87</v>
      </c>
      <c r="M717" s="32">
        <v>3.95</v>
      </c>
      <c r="N717" s="32">
        <v>3.95</v>
      </c>
      <c r="O717" s="32">
        <v>154.07499694824219</v>
      </c>
      <c r="P717" s="29">
        <v>1.1587486267089844</v>
      </c>
      <c r="Q717" s="29">
        <v>113</v>
      </c>
      <c r="R717" s="32">
        <v>0.80130000000000001</v>
      </c>
      <c r="S717" s="32">
        <v>1.8597599999999979</v>
      </c>
    </row>
    <row r="718" spans="1:19">
      <c r="A718" s="10">
        <v>45974</v>
      </c>
      <c r="B718" s="32">
        <v>3.58</v>
      </c>
      <c r="C718" s="32">
        <v>3.71</v>
      </c>
      <c r="D718" s="32">
        <v>4.1100000000000003</v>
      </c>
      <c r="E718" s="32">
        <v>4.6900000000000004</v>
      </c>
      <c r="F718" s="32">
        <v>4.7</v>
      </c>
      <c r="G718" s="32">
        <v>0.93200000000000005</v>
      </c>
      <c r="H718" s="32">
        <v>1.7050000000000001</v>
      </c>
      <c r="I718" s="32">
        <v>2.706</v>
      </c>
      <c r="J718" s="32">
        <v>3.1880000000000002</v>
      </c>
      <c r="K718" s="32">
        <v>4</v>
      </c>
      <c r="L718" s="32">
        <v>3.88</v>
      </c>
      <c r="M718" s="32">
        <v>3.97</v>
      </c>
      <c r="N718" s="32">
        <v>3.97</v>
      </c>
      <c r="O718" s="32">
        <v>154.71299743652344</v>
      </c>
      <c r="P718" s="29">
        <v>1.1592186689376831</v>
      </c>
      <c r="Q718" s="29">
        <v>112.765625</v>
      </c>
      <c r="R718" s="32">
        <v>0.68989999999999996</v>
      </c>
      <c r="S718" s="32">
        <v>1.8790535717773427</v>
      </c>
    </row>
    <row r="719" spans="1:19">
      <c r="A719" s="10">
        <v>45975</v>
      </c>
      <c r="B719" s="32">
        <v>3.62</v>
      </c>
      <c r="C719" s="32">
        <v>3.74</v>
      </c>
      <c r="D719" s="32">
        <v>4.1399999999999997</v>
      </c>
      <c r="E719" s="32">
        <v>4.7300000000000004</v>
      </c>
      <c r="F719" s="32">
        <v>4.74</v>
      </c>
      <c r="G719" s="32">
        <v>0.93200000000000005</v>
      </c>
      <c r="H719" s="32">
        <v>1.714</v>
      </c>
      <c r="I719" s="32">
        <v>2.7229999999999999</v>
      </c>
      <c r="J719" s="32">
        <v>3.2050000000000001</v>
      </c>
      <c r="K719" s="32">
        <v>3.95</v>
      </c>
      <c r="L719" s="32">
        <v>3.88</v>
      </c>
      <c r="M719" s="32">
        <v>3.92</v>
      </c>
      <c r="N719" s="32">
        <v>3.92</v>
      </c>
      <c r="O719" s="32">
        <v>154.63299560546875</v>
      </c>
      <c r="P719" s="29">
        <v>1.1631964445114136</v>
      </c>
      <c r="Q719" s="29">
        <v>112.53125</v>
      </c>
      <c r="R719" s="32">
        <v>0.73760000000000003</v>
      </c>
      <c r="S719" s="32">
        <v>1.8790535717773427</v>
      </c>
    </row>
    <row r="720" spans="1:19">
      <c r="A720" s="10">
        <v>45978</v>
      </c>
      <c r="B720" s="32">
        <v>3.6</v>
      </c>
      <c r="C720" s="32">
        <v>3.72</v>
      </c>
      <c r="D720" s="32">
        <v>4.13</v>
      </c>
      <c r="E720" s="32">
        <v>4.71</v>
      </c>
      <c r="F720" s="32">
        <v>4.7300000000000004</v>
      </c>
      <c r="G720" s="32">
        <v>0.93799999999999994</v>
      </c>
      <c r="H720" s="32">
        <v>1.7450000000000001</v>
      </c>
      <c r="I720" s="32">
        <v>2.746</v>
      </c>
      <c r="J720" s="32">
        <v>3.2410000000000001</v>
      </c>
      <c r="K720" s="32">
        <v>4</v>
      </c>
      <c r="L720" s="32">
        <v>3.88</v>
      </c>
      <c r="M720" s="32">
        <v>3.96</v>
      </c>
      <c r="N720" s="32">
        <v>3.96</v>
      </c>
      <c r="O720" s="32">
        <v>154.58500671386719</v>
      </c>
      <c r="P720" s="29">
        <v>1.1615345478057861</v>
      </c>
      <c r="Q720" s="29">
        <v>112.640625</v>
      </c>
      <c r="R720" s="32">
        <v>0.75960000000000005</v>
      </c>
      <c r="S720" s="32">
        <v>1.9018564282226542</v>
      </c>
    </row>
    <row r="721" spans="1:19">
      <c r="A721" s="10">
        <v>45979</v>
      </c>
      <c r="B721" s="32">
        <v>3.58</v>
      </c>
      <c r="C721" s="32">
        <v>3.7</v>
      </c>
      <c r="D721" s="32">
        <v>4.12</v>
      </c>
      <c r="E721" s="32">
        <v>4.72</v>
      </c>
      <c r="F721" s="32">
        <v>4.74</v>
      </c>
      <c r="G721" s="32">
        <v>0.92800000000000005</v>
      </c>
      <c r="H721" s="32">
        <v>1.7589999999999999</v>
      </c>
      <c r="I721" s="32">
        <v>2.782</v>
      </c>
      <c r="J721" s="32">
        <v>3.2850000000000001</v>
      </c>
      <c r="K721" s="32">
        <v>3.94</v>
      </c>
      <c r="L721" s="32">
        <v>3.88</v>
      </c>
      <c r="M721" s="32">
        <v>3.9</v>
      </c>
      <c r="N721" s="32">
        <v>3.9</v>
      </c>
      <c r="O721" s="32">
        <v>155.27299499511719</v>
      </c>
      <c r="P721" s="29">
        <v>1.1590573787689209</v>
      </c>
      <c r="Q721" s="29">
        <v>112.78125</v>
      </c>
      <c r="R721" s="32">
        <v>0.79320000000000002</v>
      </c>
      <c r="S721" s="32">
        <v>1.8913317858886707</v>
      </c>
    </row>
    <row r="722" spans="1:19">
      <c r="A722" s="10">
        <v>45980</v>
      </c>
      <c r="B722" s="32">
        <v>3.58</v>
      </c>
      <c r="C722" s="32">
        <v>3.71</v>
      </c>
      <c r="D722" s="32">
        <v>4.13</v>
      </c>
      <c r="E722" s="32">
        <v>4.71</v>
      </c>
      <c r="F722" s="32">
        <v>4.75</v>
      </c>
      <c r="G722" s="32">
        <v>0.93400000000000005</v>
      </c>
      <c r="H722" s="32">
        <v>1.7789999999999999</v>
      </c>
      <c r="I722" s="32">
        <v>2.81</v>
      </c>
      <c r="J722" s="32">
        <v>3.3079999999999998</v>
      </c>
      <c r="K722" s="32">
        <v>3.91</v>
      </c>
      <c r="L722" s="32">
        <v>3.88</v>
      </c>
      <c r="M722" s="32">
        <v>3.87</v>
      </c>
      <c r="N722" s="32">
        <v>3.87</v>
      </c>
      <c r="O722" s="32">
        <v>155.54800415039063</v>
      </c>
      <c r="P722" s="29">
        <v>1.1581177711486816</v>
      </c>
      <c r="Q722" s="29">
        <v>112.6875</v>
      </c>
      <c r="R722" s="32">
        <v>0.7853</v>
      </c>
      <c r="S722" s="32">
        <v>1.9369364282226549</v>
      </c>
    </row>
    <row r="723" spans="1:19">
      <c r="A723" s="10">
        <v>45981</v>
      </c>
      <c r="B723" s="32">
        <v>3.55</v>
      </c>
      <c r="C723" s="32">
        <v>3.68</v>
      </c>
      <c r="D723" s="32">
        <v>4.0999999999999996</v>
      </c>
      <c r="E723" s="32">
        <v>4.68</v>
      </c>
      <c r="F723" s="32">
        <v>4.7300000000000004</v>
      </c>
      <c r="G723" s="32">
        <v>0.96499999999999997</v>
      </c>
      <c r="H723" s="32">
        <v>1.8240000000000001</v>
      </c>
      <c r="I723" s="32">
        <v>2.839</v>
      </c>
      <c r="J723" s="32">
        <v>3.3340000000000001</v>
      </c>
      <c r="K723" s="32">
        <v>3.91</v>
      </c>
      <c r="L723" s="32">
        <v>3.88</v>
      </c>
      <c r="M723" s="32">
        <v>3.86</v>
      </c>
      <c r="N723" s="32">
        <v>3.86</v>
      </c>
      <c r="O723" s="32">
        <v>156.99200439453125</v>
      </c>
      <c r="P723" s="29">
        <v>1.1540681123733521</v>
      </c>
      <c r="Q723" s="29">
        <v>112.875</v>
      </c>
      <c r="R723" s="32">
        <v>0.76370000000000005</v>
      </c>
      <c r="S723" s="32">
        <v>2.0281435717773419</v>
      </c>
    </row>
    <row r="724" spans="1:19">
      <c r="A724" s="10">
        <v>45982</v>
      </c>
      <c r="B724" s="32">
        <v>3.51</v>
      </c>
      <c r="C724" s="32">
        <v>3.62</v>
      </c>
      <c r="D724" s="32">
        <v>4.0599999999999996</v>
      </c>
      <c r="E724" s="32">
        <v>4.67</v>
      </c>
      <c r="F724" s="32">
        <v>4.71</v>
      </c>
      <c r="G724" s="32">
        <v>0.95899999999999996</v>
      </c>
      <c r="H724" s="32">
        <v>1.792</v>
      </c>
      <c r="I724" s="32">
        <v>2.794</v>
      </c>
      <c r="J724" s="32">
        <v>3.2909999999999999</v>
      </c>
      <c r="K724" s="32">
        <v>3.93</v>
      </c>
      <c r="L724" s="32">
        <v>3.88</v>
      </c>
      <c r="M724" s="32">
        <v>3.9</v>
      </c>
      <c r="N724" s="32">
        <v>3.9</v>
      </c>
      <c r="O724" s="32">
        <v>157.36900329589844</v>
      </c>
      <c r="P724" s="29">
        <v>1.1534557342529297</v>
      </c>
      <c r="Q724" s="29">
        <v>113.25</v>
      </c>
      <c r="R724" s="32">
        <v>0.79269999999999996</v>
      </c>
      <c r="S724" s="32">
        <v>1.9299199999999992</v>
      </c>
    </row>
    <row r="725" spans="1:19">
      <c r="A725" s="10">
        <v>45985</v>
      </c>
      <c r="B725" s="32">
        <v>3.46</v>
      </c>
      <c r="C725" s="32">
        <v>3.61</v>
      </c>
      <c r="D725" s="32">
        <v>4.04</v>
      </c>
      <c r="E725" s="32">
        <v>4.6399999999999997</v>
      </c>
      <c r="F725" s="32">
        <v>4.68</v>
      </c>
      <c r="G725" s="32">
        <v>0.95899999999999996</v>
      </c>
      <c r="H725" s="32">
        <v>1.792</v>
      </c>
      <c r="I725" s="32">
        <v>2.794</v>
      </c>
      <c r="J725" s="32">
        <v>3.2909999999999999</v>
      </c>
      <c r="K725" s="32">
        <v>3.96</v>
      </c>
      <c r="L725" s="32">
        <v>3.88</v>
      </c>
      <c r="M725" s="32">
        <v>3.93</v>
      </c>
      <c r="N725" s="32">
        <v>3.93</v>
      </c>
      <c r="O725" s="32">
        <v>156.68800354003906</v>
      </c>
      <c r="P725" s="29">
        <v>1.1507612466812134</v>
      </c>
      <c r="Q725" s="29">
        <v>113.375</v>
      </c>
      <c r="R725" s="32">
        <v>0.81100000000000005</v>
      </c>
      <c r="S725" s="32">
        <v>1.9299199999999992</v>
      </c>
    </row>
    <row r="726" spans="1:19">
      <c r="A726" s="10">
        <v>45986</v>
      </c>
      <c r="B726" s="32">
        <v>3.43</v>
      </c>
      <c r="C726" s="32">
        <v>3.55</v>
      </c>
      <c r="D726" s="32">
        <v>4.01</v>
      </c>
      <c r="E726" s="32">
        <v>4.62</v>
      </c>
      <c r="F726" s="32">
        <v>4.67</v>
      </c>
      <c r="G726" s="32">
        <v>0.97499999999999998</v>
      </c>
      <c r="H726" s="32">
        <v>1.8109999999999999</v>
      </c>
      <c r="I726" s="32">
        <v>2.8140000000000001</v>
      </c>
      <c r="J726" s="32">
        <v>3.302</v>
      </c>
      <c r="K726" s="32">
        <v>4.01</v>
      </c>
      <c r="L726" s="32">
        <v>3.88</v>
      </c>
      <c r="M726" s="32">
        <v>3.97</v>
      </c>
      <c r="N726" s="32">
        <v>3.97</v>
      </c>
      <c r="O726" s="32">
        <v>156.93899536132813</v>
      </c>
      <c r="P726" s="29">
        <v>1.1520073413848877</v>
      </c>
      <c r="Q726" s="29">
        <v>113.640625</v>
      </c>
      <c r="R726" s="32">
        <v>0.79190000000000005</v>
      </c>
      <c r="S726" s="32">
        <v>1.9790317858886706</v>
      </c>
    </row>
    <row r="727" spans="1:19">
      <c r="A727" s="10">
        <v>45987</v>
      </c>
      <c r="B727" s="32">
        <v>3.45</v>
      </c>
      <c r="C727" s="32">
        <v>3.56</v>
      </c>
      <c r="D727" s="32">
        <v>4</v>
      </c>
      <c r="E727" s="32">
        <v>4.5999999999999996</v>
      </c>
      <c r="F727" s="32">
        <v>4.6399999999999997</v>
      </c>
      <c r="G727" s="32">
        <v>0.98499999999999999</v>
      </c>
      <c r="H727" s="32">
        <v>1.825</v>
      </c>
      <c r="I727" s="32">
        <v>2.8149999999999999</v>
      </c>
      <c r="J727" s="32">
        <v>3.294</v>
      </c>
      <c r="K727" s="32">
        <v>4.05</v>
      </c>
      <c r="L727" s="32">
        <v>3.88</v>
      </c>
      <c r="M727" s="32">
        <v>4.0199999999999996</v>
      </c>
      <c r="N727" s="32">
        <v>4.0199999999999996</v>
      </c>
      <c r="O727" s="32">
        <v>156.22999572753906</v>
      </c>
      <c r="P727" s="29">
        <v>1.1564837694168091</v>
      </c>
      <c r="Q727" s="29">
        <v>113.625</v>
      </c>
      <c r="R727" s="32">
        <v>0.78600000000000003</v>
      </c>
      <c r="S727" s="32">
        <v>1.9913099999999986</v>
      </c>
    </row>
    <row r="728" spans="1:19">
      <c r="A728" s="10">
        <v>45989</v>
      </c>
      <c r="B728" s="32">
        <v>3.47</v>
      </c>
      <c r="C728" s="32">
        <v>3.59</v>
      </c>
      <c r="D728" s="32">
        <v>4.0199999999999996</v>
      </c>
      <c r="E728" s="32">
        <v>4.62</v>
      </c>
      <c r="F728" s="32">
        <v>4.67</v>
      </c>
      <c r="G728" s="32">
        <v>0.99199999999999999</v>
      </c>
      <c r="H728" s="32">
        <v>1.8120000000000001</v>
      </c>
      <c r="I728" s="32">
        <v>2.819</v>
      </c>
      <c r="J728" s="32">
        <v>3.3</v>
      </c>
      <c r="K728" s="32">
        <v>4.12</v>
      </c>
      <c r="L728" s="32">
        <v>3.89</v>
      </c>
      <c r="M728" s="32">
        <v>4.08</v>
      </c>
      <c r="N728" s="32">
        <v>4.08</v>
      </c>
      <c r="O728" s="32">
        <v>156.28399658203125</v>
      </c>
      <c r="P728" s="29">
        <v>1.1599851846694946</v>
      </c>
      <c r="Q728" s="29">
        <v>113.421875</v>
      </c>
      <c r="R728" s="32">
        <v>0.79600000000000004</v>
      </c>
      <c r="S728" s="32">
        <v>2.0123582141113268</v>
      </c>
    </row>
    <row r="729" spans="1:19">
      <c r="A729" s="10">
        <v>45992</v>
      </c>
      <c r="B729" s="32">
        <v>3.54</v>
      </c>
      <c r="C729" s="32">
        <v>3.67</v>
      </c>
      <c r="D729" s="32">
        <v>4.09</v>
      </c>
      <c r="E729" s="32">
        <v>4.71</v>
      </c>
      <c r="F729" s="32">
        <v>4.74</v>
      </c>
      <c r="G729" s="32">
        <v>1.02</v>
      </c>
      <c r="H729" s="32">
        <v>1.881</v>
      </c>
      <c r="I729" s="32">
        <v>2.8740000000000001</v>
      </c>
      <c r="J729" s="32">
        <v>3.343</v>
      </c>
      <c r="K729" s="32">
        <v>4.12</v>
      </c>
      <c r="L729" s="32">
        <v>3.89</v>
      </c>
      <c r="M729" s="32">
        <v>4.07</v>
      </c>
      <c r="N729" s="32">
        <v>4.07</v>
      </c>
      <c r="O729" s="32">
        <v>155.92799377441406</v>
      </c>
      <c r="P729" s="29">
        <v>1.1601465940475464</v>
      </c>
      <c r="Q729" s="29">
        <v>112.9375</v>
      </c>
      <c r="R729" s="32">
        <v>0.81179999999999997</v>
      </c>
      <c r="S729" s="32">
        <v>2.0000799999999987</v>
      </c>
    </row>
    <row r="730" spans="1:19">
      <c r="A730" s="10">
        <v>45993</v>
      </c>
      <c r="B730" s="32">
        <v>3.51</v>
      </c>
      <c r="C730" s="32">
        <v>3.66</v>
      </c>
      <c r="D730" s="32">
        <v>4.09</v>
      </c>
      <c r="E730" s="32">
        <v>4.7</v>
      </c>
      <c r="F730" s="32">
        <v>4.74</v>
      </c>
      <c r="G730" s="32">
        <v>1.0049999999999999</v>
      </c>
      <c r="H730" s="32">
        <v>1.8640000000000001</v>
      </c>
      <c r="I730" s="32">
        <v>2.8620000000000001</v>
      </c>
      <c r="J730" s="32">
        <v>3.331</v>
      </c>
      <c r="K730" s="32">
        <v>4.01</v>
      </c>
      <c r="L730" s="32">
        <v>3.89</v>
      </c>
      <c r="M730" s="32">
        <v>3.96</v>
      </c>
      <c r="N730" s="32">
        <v>3.96</v>
      </c>
      <c r="O730" s="32">
        <v>155.5570068359375</v>
      </c>
      <c r="P730" s="29">
        <v>1.1607661247253418</v>
      </c>
      <c r="Q730" s="29">
        <v>113</v>
      </c>
      <c r="R730" s="32">
        <v>0.82679999999999998</v>
      </c>
      <c r="S730" s="32">
        <v>2.052699999999998</v>
      </c>
    </row>
    <row r="731" spans="1:19">
      <c r="A731" s="10">
        <v>45994</v>
      </c>
      <c r="B731" s="32">
        <v>3.49</v>
      </c>
      <c r="C731" s="32">
        <v>3.62</v>
      </c>
      <c r="D731" s="32">
        <v>4.0599999999999996</v>
      </c>
      <c r="E731" s="32">
        <v>4.68</v>
      </c>
      <c r="F731" s="32">
        <v>4.7300000000000004</v>
      </c>
      <c r="G731" s="32">
        <v>1.016</v>
      </c>
      <c r="H731" s="32">
        <v>1.897</v>
      </c>
      <c r="I731" s="32">
        <v>2.891</v>
      </c>
      <c r="J731" s="32">
        <v>3.367</v>
      </c>
      <c r="K731" s="32">
        <v>3.95</v>
      </c>
      <c r="L731" s="32">
        <v>3.89</v>
      </c>
      <c r="M731" s="32">
        <v>3.9</v>
      </c>
      <c r="N731" s="32">
        <v>3.9</v>
      </c>
      <c r="O731" s="32">
        <v>155.8070068359375</v>
      </c>
      <c r="P731" s="29">
        <v>1.1627906560897827</v>
      </c>
      <c r="Q731" s="29">
        <v>113.21875</v>
      </c>
      <c r="R731" s="32">
        <v>0.81850000000000001</v>
      </c>
      <c r="S731" s="32">
        <v>2.04042178588867</v>
      </c>
    </row>
    <row r="732" spans="1:19">
      <c r="A732" s="10">
        <v>45995</v>
      </c>
      <c r="B732" s="32">
        <v>3.52</v>
      </c>
      <c r="C732" s="32">
        <v>3.68</v>
      </c>
      <c r="D732" s="32">
        <v>4.1100000000000003</v>
      </c>
      <c r="E732" s="32">
        <v>4.72</v>
      </c>
      <c r="F732" s="32">
        <v>4.76</v>
      </c>
      <c r="G732" s="32">
        <v>1.0209999999999999</v>
      </c>
      <c r="H732" s="32">
        <v>1.9390000000000001</v>
      </c>
      <c r="I732" s="32">
        <v>2.9020000000000001</v>
      </c>
      <c r="J732" s="32">
        <v>3.343</v>
      </c>
      <c r="K732" s="32">
        <v>3.92</v>
      </c>
      <c r="L732" s="32">
        <v>3.89</v>
      </c>
      <c r="M732" s="32">
        <v>3.87</v>
      </c>
      <c r="N732" s="32">
        <v>3.87</v>
      </c>
      <c r="O732" s="32">
        <v>155.10699462890625</v>
      </c>
      <c r="P732" s="29">
        <v>1.1666841506958008</v>
      </c>
      <c r="Q732" s="29">
        <v>112.84375</v>
      </c>
      <c r="R732" s="32">
        <v>0.89549999999999996</v>
      </c>
      <c r="S732" s="32">
        <v>2.0702399999999983</v>
      </c>
    </row>
    <row r="733" spans="1:19">
      <c r="A733" s="10">
        <v>45996</v>
      </c>
      <c r="B733" s="32">
        <v>3.56</v>
      </c>
      <c r="C733" s="32">
        <v>3.72</v>
      </c>
      <c r="D733" s="32">
        <v>4.1399999999999997</v>
      </c>
      <c r="E733" s="32">
        <v>4.75</v>
      </c>
      <c r="F733" s="32">
        <v>4.79</v>
      </c>
      <c r="G733" s="32">
        <v>1.052</v>
      </c>
      <c r="H733" s="32">
        <v>1.9510000000000001</v>
      </c>
      <c r="I733" s="32">
        <v>2.8940000000000001</v>
      </c>
      <c r="J733" s="32">
        <v>3.3149999999999999</v>
      </c>
      <c r="K733" s="32">
        <v>3.93</v>
      </c>
      <c r="L733" s="32">
        <v>3.89</v>
      </c>
      <c r="M733" s="32">
        <v>3.9</v>
      </c>
      <c r="N733" s="32">
        <v>3.9</v>
      </c>
      <c r="O733" s="32">
        <v>155.14199829101563</v>
      </c>
      <c r="P733" s="29">
        <v>1.1642799377441406</v>
      </c>
      <c r="Q733" s="29">
        <v>112.640625</v>
      </c>
      <c r="R733" s="32">
        <v>0.93540000000000001</v>
      </c>
      <c r="S733" s="32">
        <v>2.1018117858886711</v>
      </c>
    </row>
    <row r="734" spans="1:19">
      <c r="A734" s="10">
        <v>45999</v>
      </c>
      <c r="B734" s="32">
        <v>3.57</v>
      </c>
      <c r="C734" s="32">
        <v>3.75</v>
      </c>
      <c r="D734" s="32">
        <v>4.17</v>
      </c>
      <c r="E734" s="32">
        <v>4.78</v>
      </c>
      <c r="F734" s="32">
        <v>4.8099999999999996</v>
      </c>
      <c r="G734" s="32">
        <v>1.0629999999999999</v>
      </c>
      <c r="H734" s="32">
        <v>1.966</v>
      </c>
      <c r="I734" s="32">
        <v>2.92</v>
      </c>
      <c r="J734" s="32">
        <v>3.3380000000000001</v>
      </c>
      <c r="K734" s="32">
        <v>3.95</v>
      </c>
      <c r="L734" s="32">
        <v>3.89</v>
      </c>
      <c r="M734" s="32">
        <v>3.93</v>
      </c>
      <c r="N734" s="32">
        <v>3.93</v>
      </c>
      <c r="O734" s="32">
        <v>155.33999633789063</v>
      </c>
      <c r="P734" s="29">
        <v>1.1640224456787109</v>
      </c>
      <c r="Q734" s="29">
        <v>112.390625</v>
      </c>
      <c r="R734" s="32">
        <v>0.95469999999999999</v>
      </c>
      <c r="S734" s="32">
        <v>2.1018117858886711</v>
      </c>
    </row>
    <row r="735" spans="1:19">
      <c r="A735" s="10">
        <v>46000</v>
      </c>
      <c r="B735" s="32">
        <v>3.61</v>
      </c>
      <c r="C735" s="32">
        <v>3.78</v>
      </c>
      <c r="D735" s="32">
        <v>4.18</v>
      </c>
      <c r="E735" s="32">
        <v>4.7699999999999996</v>
      </c>
      <c r="F735" s="32">
        <v>4.8</v>
      </c>
      <c r="G735" s="32">
        <v>1.069</v>
      </c>
      <c r="H735" s="32">
        <v>1.962</v>
      </c>
      <c r="I735" s="32">
        <v>2.9169999999999998</v>
      </c>
      <c r="J735" s="32">
        <v>3.3340000000000001</v>
      </c>
      <c r="K735" s="32">
        <v>3.93</v>
      </c>
      <c r="L735" s="32">
        <v>3.89</v>
      </c>
      <c r="M735" s="32">
        <v>3.9</v>
      </c>
      <c r="N735" s="32">
        <v>3.9</v>
      </c>
      <c r="O735" s="32">
        <v>155.843994140625</v>
      </c>
      <c r="P735" s="29">
        <v>1.1641442775726318</v>
      </c>
      <c r="Q735" s="29">
        <v>112.234375</v>
      </c>
      <c r="R735" s="32">
        <v>1.0270999999999999</v>
      </c>
      <c r="S735" s="32">
        <v>2.0860264282226542</v>
      </c>
    </row>
    <row r="736" spans="1:19">
      <c r="A736" s="10">
        <v>46001</v>
      </c>
      <c r="B736" s="32">
        <v>3.54</v>
      </c>
      <c r="C736" s="32">
        <v>3.72</v>
      </c>
      <c r="D736" s="32">
        <v>4.13</v>
      </c>
      <c r="E736" s="32">
        <v>4.74</v>
      </c>
      <c r="F736" s="32">
        <v>4.78</v>
      </c>
      <c r="G736" s="32">
        <v>1.0740000000000001</v>
      </c>
      <c r="H736" s="32">
        <v>1.958</v>
      </c>
      <c r="I736" s="32">
        <v>2.9180000000000001</v>
      </c>
      <c r="J736" s="32">
        <v>3.3460000000000001</v>
      </c>
      <c r="K736" s="32">
        <v>3.9</v>
      </c>
      <c r="L736" s="32">
        <v>3.89</v>
      </c>
      <c r="M736" s="32">
        <v>3.87</v>
      </c>
      <c r="N736" s="32">
        <v>3.87</v>
      </c>
      <c r="O736" s="32">
        <v>156.83799743652344</v>
      </c>
      <c r="P736" s="29">
        <v>1.1628313064575195</v>
      </c>
      <c r="Q736" s="29">
        <v>112.359375</v>
      </c>
      <c r="R736" s="32">
        <v>0.98729999999999996</v>
      </c>
      <c r="S736" s="32">
        <v>2.1000582141113266</v>
      </c>
    </row>
    <row r="737" spans="1:19">
      <c r="A737" s="10">
        <v>46002</v>
      </c>
      <c r="B737" s="32">
        <v>3.52</v>
      </c>
      <c r="C737" s="32">
        <v>3.72</v>
      </c>
      <c r="D737" s="32">
        <v>4.1399999999999997</v>
      </c>
      <c r="E737" s="32">
        <v>4.75</v>
      </c>
      <c r="F737" s="32">
        <v>4.79</v>
      </c>
      <c r="G737" s="32">
        <v>1.054</v>
      </c>
      <c r="H737" s="32">
        <v>1.9330000000000001</v>
      </c>
      <c r="I737" s="32">
        <v>2.89</v>
      </c>
      <c r="J737" s="32">
        <v>3.3340000000000001</v>
      </c>
      <c r="K737" s="32">
        <v>3.66</v>
      </c>
      <c r="L737" s="32">
        <v>3.64</v>
      </c>
      <c r="M737" s="32">
        <v>3.62</v>
      </c>
      <c r="N737" s="32">
        <v>3.62</v>
      </c>
      <c r="O737" s="32">
        <v>155.78999328613281</v>
      </c>
      <c r="P737" s="29">
        <v>1.1701242923736572</v>
      </c>
      <c r="Q737" s="29">
        <v>112.609375</v>
      </c>
      <c r="R737" s="32">
        <v>0.99570000000000003</v>
      </c>
      <c r="S737" s="32">
        <v>2.0263899999999992</v>
      </c>
    </row>
    <row r="738" spans="1:19">
      <c r="A738" s="10">
        <v>46003</v>
      </c>
      <c r="B738" s="32">
        <v>3.52</v>
      </c>
      <c r="C738" s="32">
        <v>3.75</v>
      </c>
      <c r="D738" s="32">
        <v>4.1900000000000004</v>
      </c>
      <c r="E738" s="32">
        <v>4.82</v>
      </c>
      <c r="F738" s="32">
        <v>4.8499999999999996</v>
      </c>
      <c r="G738" s="32">
        <v>1.07</v>
      </c>
      <c r="H738" s="32">
        <v>1.956</v>
      </c>
      <c r="I738" s="32">
        <v>2.8940000000000001</v>
      </c>
      <c r="J738" s="32">
        <v>3.3090000000000002</v>
      </c>
      <c r="K738" s="32">
        <v>3.67</v>
      </c>
      <c r="L738" s="32">
        <v>3.64</v>
      </c>
      <c r="M738" s="32">
        <v>3.65</v>
      </c>
      <c r="N738" s="32">
        <v>3.65</v>
      </c>
      <c r="O738" s="32">
        <v>155.56700134277344</v>
      </c>
      <c r="P738" s="29">
        <v>1.1739431619644165</v>
      </c>
      <c r="Q738" s="29">
        <v>112.34375</v>
      </c>
      <c r="R738" s="32">
        <v>0.95609999999999995</v>
      </c>
      <c r="S738" s="32">
        <v>2.0772564282226558</v>
      </c>
    </row>
    <row r="739" spans="1:19">
      <c r="A739" s="10">
        <v>46006</v>
      </c>
      <c r="B739" s="32">
        <v>3.51</v>
      </c>
      <c r="C739" s="32">
        <v>3.73</v>
      </c>
      <c r="D739" s="32">
        <v>4.18</v>
      </c>
      <c r="E739" s="32">
        <v>4.8</v>
      </c>
      <c r="F739" s="32">
        <v>4.84</v>
      </c>
      <c r="G739" s="32">
        <v>1.071</v>
      </c>
      <c r="H739" s="32">
        <v>1.9610000000000001</v>
      </c>
      <c r="I739" s="32">
        <v>2.9039999999999999</v>
      </c>
      <c r="J739" s="32">
        <v>3.32</v>
      </c>
      <c r="K739" s="32">
        <v>3.75</v>
      </c>
      <c r="L739" s="32">
        <v>3.64</v>
      </c>
      <c r="M739" s="32">
        <v>3.73</v>
      </c>
      <c r="N739" s="32">
        <v>3.73</v>
      </c>
      <c r="O739" s="32">
        <v>155.88800048828125</v>
      </c>
      <c r="P739" s="29">
        <v>1.1737639904022217</v>
      </c>
      <c r="Q739" s="29">
        <v>112.453125</v>
      </c>
      <c r="R739" s="32">
        <v>0.91990000000000005</v>
      </c>
      <c r="S739" s="32">
        <v>2.0579617858886703</v>
      </c>
    </row>
    <row r="740" spans="1:19">
      <c r="A740" s="10">
        <v>46007</v>
      </c>
      <c r="B740" s="32">
        <v>3.48</v>
      </c>
      <c r="C740" s="32">
        <v>3.69</v>
      </c>
      <c r="D740" s="32">
        <v>4.1500000000000004</v>
      </c>
      <c r="E740" s="32">
        <v>4.7699999999999996</v>
      </c>
      <c r="F740" s="32">
        <v>4.82</v>
      </c>
      <c r="G740" s="32">
        <v>1.0669999999999999</v>
      </c>
      <c r="H740" s="32">
        <v>1.9570000000000001</v>
      </c>
      <c r="I740" s="32">
        <v>2.8919999999999999</v>
      </c>
      <c r="J740" s="32">
        <v>3.3069999999999999</v>
      </c>
      <c r="K740" s="32">
        <v>3.69</v>
      </c>
      <c r="L740" s="32">
        <v>3.64</v>
      </c>
      <c r="M740" s="32">
        <v>3.64</v>
      </c>
      <c r="N740" s="32">
        <v>3.64</v>
      </c>
      <c r="O740" s="32">
        <v>155.01499938964844</v>
      </c>
      <c r="P740" s="29">
        <v>1.1754610538482666</v>
      </c>
      <c r="Q740" s="29">
        <v>112.6875</v>
      </c>
      <c r="R740" s="32">
        <v>0.90139999999999998</v>
      </c>
      <c r="S740" s="32">
        <v>2.1140899999999991</v>
      </c>
    </row>
    <row r="741" spans="1:19">
      <c r="A741" s="10">
        <v>46008</v>
      </c>
      <c r="B741" s="32">
        <v>3.49</v>
      </c>
      <c r="C741" s="32">
        <v>3.7</v>
      </c>
      <c r="D741" s="32">
        <v>4.16</v>
      </c>
      <c r="E741" s="32">
        <v>4.78</v>
      </c>
      <c r="F741" s="32">
        <v>4.83</v>
      </c>
      <c r="G741" s="32">
        <v>1.077</v>
      </c>
      <c r="H741" s="32">
        <v>1.98</v>
      </c>
      <c r="I741" s="32">
        <v>2.9</v>
      </c>
      <c r="J741" s="32">
        <v>3.3109999999999999</v>
      </c>
      <c r="K741" s="32">
        <v>3.69</v>
      </c>
      <c r="L741" s="32">
        <v>3.64</v>
      </c>
      <c r="M741" s="32">
        <v>3.66</v>
      </c>
      <c r="N741" s="32">
        <v>3.66</v>
      </c>
      <c r="O741" s="32">
        <v>154.77799987792969</v>
      </c>
      <c r="P741" s="29">
        <v>1.1749500036239624</v>
      </c>
      <c r="Q741" s="29">
        <v>112.671875</v>
      </c>
      <c r="R741" s="32">
        <v>0.91979999999999995</v>
      </c>
      <c r="S741" s="32">
        <v>2.1228599999999993</v>
      </c>
    </row>
    <row r="742" spans="1:19">
      <c r="A742" s="10">
        <v>46009</v>
      </c>
      <c r="B742" s="32">
        <v>3.46</v>
      </c>
      <c r="C742" s="32">
        <v>3.66</v>
      </c>
      <c r="D742" s="32">
        <v>4.12</v>
      </c>
      <c r="E742" s="32">
        <v>4.74</v>
      </c>
      <c r="F742" s="32">
        <v>4.8</v>
      </c>
      <c r="G742" s="32">
        <v>1.073</v>
      </c>
      <c r="H742" s="32">
        <v>1.972</v>
      </c>
      <c r="I742" s="32">
        <v>2.91</v>
      </c>
      <c r="J742" s="32">
        <v>3.33</v>
      </c>
      <c r="K742" s="32">
        <v>3.66</v>
      </c>
      <c r="L742" s="32">
        <v>3.64</v>
      </c>
      <c r="M742" s="32">
        <v>3.63</v>
      </c>
      <c r="N742" s="32">
        <v>3.63</v>
      </c>
      <c r="O742" s="32">
        <v>155.4949951171875</v>
      </c>
      <c r="P742" s="29">
        <v>1.1742326021194458</v>
      </c>
      <c r="Q742" s="29">
        <v>112.9375</v>
      </c>
      <c r="R742" s="32">
        <v>0.93279999999999996</v>
      </c>
      <c r="S742" s="32">
        <v>2.0860264282226542</v>
      </c>
    </row>
    <row r="743" spans="1:19">
      <c r="A743" s="10">
        <v>46010</v>
      </c>
      <c r="B743" s="32">
        <v>3.48</v>
      </c>
      <c r="C743" s="32">
        <v>3.7</v>
      </c>
      <c r="D743" s="32">
        <v>4.16</v>
      </c>
      <c r="E743" s="32">
        <v>4.7699999999999996</v>
      </c>
      <c r="F743" s="32">
        <v>4.82</v>
      </c>
      <c r="G743" s="32">
        <v>1.101</v>
      </c>
      <c r="H743" s="32">
        <v>2.0209999999999999</v>
      </c>
      <c r="I743" s="32">
        <v>2.94</v>
      </c>
      <c r="J743" s="32">
        <v>3.3620000000000001</v>
      </c>
      <c r="K743" s="32">
        <v>3.66</v>
      </c>
      <c r="L743" s="32">
        <v>3.64</v>
      </c>
      <c r="M743" s="32">
        <v>3.63</v>
      </c>
      <c r="N743" s="32">
        <v>3.63</v>
      </c>
      <c r="O743" s="32">
        <v>155.58599853515625</v>
      </c>
      <c r="P743" s="29">
        <v>1.1725666522979736</v>
      </c>
      <c r="Q743" s="29">
        <v>112.703125</v>
      </c>
      <c r="R743" s="32">
        <v>0.92400000000000004</v>
      </c>
      <c r="S743" s="32">
        <v>2.1403999999999996</v>
      </c>
    </row>
    <row r="744" spans="1:19">
      <c r="A744" s="10">
        <v>46013</v>
      </c>
      <c r="B744" s="32">
        <v>3.44</v>
      </c>
      <c r="C744" s="32">
        <v>3.71</v>
      </c>
      <c r="D744" s="32">
        <v>4.17</v>
      </c>
      <c r="E744" s="32">
        <v>4.78</v>
      </c>
      <c r="F744" s="32">
        <v>4.84</v>
      </c>
      <c r="G744" s="32">
        <v>1.129</v>
      </c>
      <c r="H744" s="32">
        <v>2.073</v>
      </c>
      <c r="I744" s="32">
        <v>2.9649999999999999</v>
      </c>
      <c r="J744" s="32">
        <v>3.3740000000000001</v>
      </c>
      <c r="K744" s="32">
        <v>3.68</v>
      </c>
      <c r="L744" s="32">
        <v>3.64</v>
      </c>
      <c r="M744" s="32">
        <v>3.66</v>
      </c>
      <c r="N744" s="32">
        <v>3.66</v>
      </c>
      <c r="O744" s="32">
        <v>157.67599487304688</v>
      </c>
      <c r="P744" s="29">
        <v>1.1708093881607056</v>
      </c>
      <c r="Q744" s="29">
        <v>112.34375</v>
      </c>
      <c r="R744" s="32">
        <v>0.96689999999999998</v>
      </c>
      <c r="S744" s="32">
        <v>2.1930199999999989</v>
      </c>
    </row>
    <row r="745" spans="1:19">
      <c r="A745" s="10">
        <v>46014</v>
      </c>
      <c r="B745" s="32">
        <v>3.48</v>
      </c>
      <c r="C745" s="32">
        <v>3.72</v>
      </c>
      <c r="D745" s="32">
        <v>4.18</v>
      </c>
      <c r="E745" s="32">
        <v>4.78</v>
      </c>
      <c r="F745" s="32">
        <v>4.83</v>
      </c>
      <c r="G745" s="32">
        <v>1.111</v>
      </c>
      <c r="H745" s="32">
        <v>2.0390000000000001</v>
      </c>
      <c r="I745" s="32">
        <v>2.9510000000000001</v>
      </c>
      <c r="J745" s="32">
        <v>3.371</v>
      </c>
      <c r="K745" s="32">
        <v>3.66</v>
      </c>
      <c r="L745" s="32">
        <v>3.64</v>
      </c>
      <c r="M745" s="32">
        <v>3.64</v>
      </c>
      <c r="N745" s="32">
        <v>3.64</v>
      </c>
      <c r="O745" s="32">
        <v>156.87699890136719</v>
      </c>
      <c r="P745" s="29">
        <v>1.1765950918197632</v>
      </c>
      <c r="Q745" s="29">
        <v>112.296875</v>
      </c>
      <c r="R745" s="32">
        <v>1.0065</v>
      </c>
      <c r="S745" s="32">
        <v>2.0983035717773433</v>
      </c>
    </row>
    <row r="746" spans="1:19">
      <c r="A746" s="10">
        <v>46015</v>
      </c>
      <c r="B746" s="32">
        <v>3.47</v>
      </c>
      <c r="C746" s="32">
        <v>3.7</v>
      </c>
      <c r="D746" s="32">
        <v>4.1500000000000004</v>
      </c>
      <c r="E746" s="32">
        <v>4.75</v>
      </c>
      <c r="F746" s="32">
        <v>4.79</v>
      </c>
      <c r="G746" s="32">
        <v>1.111</v>
      </c>
      <c r="H746" s="32">
        <v>2.044</v>
      </c>
      <c r="I746" s="32">
        <v>2.9540000000000002</v>
      </c>
      <c r="J746" s="32">
        <v>3.371</v>
      </c>
      <c r="K746" s="32">
        <v>3.66</v>
      </c>
      <c r="L746" s="32">
        <v>3.64</v>
      </c>
      <c r="M746" s="32">
        <v>3.64</v>
      </c>
      <c r="N746" s="32">
        <v>3.64</v>
      </c>
      <c r="O746" s="32">
        <v>156.17599487304688</v>
      </c>
      <c r="P746" s="29">
        <v>1.179551362991333</v>
      </c>
      <c r="Q746" s="29">
        <v>112.515625</v>
      </c>
      <c r="R746" s="32">
        <v>0.9667</v>
      </c>
      <c r="S746" s="32">
        <v>2.0895335717773431</v>
      </c>
    </row>
    <row r="747" spans="1:19">
      <c r="A747" s="10">
        <v>46017</v>
      </c>
      <c r="B747" s="32">
        <v>3.46</v>
      </c>
      <c r="C747" s="32">
        <v>3.68</v>
      </c>
      <c r="D747" s="32">
        <v>4.1399999999999997</v>
      </c>
      <c r="E747" s="32">
        <v>4.76</v>
      </c>
      <c r="F747" s="32">
        <v>4.8099999999999996</v>
      </c>
      <c r="G747" s="32">
        <v>1.141</v>
      </c>
      <c r="H747" s="32">
        <v>2.0390000000000001</v>
      </c>
      <c r="I747" s="32">
        <v>2.9319999999999999</v>
      </c>
      <c r="J747" s="32">
        <v>3.335</v>
      </c>
      <c r="K747" s="32">
        <v>3.76</v>
      </c>
      <c r="L747" s="32">
        <v>3.64</v>
      </c>
      <c r="M747" s="32">
        <v>3.74</v>
      </c>
      <c r="N747" s="32">
        <v>3.74</v>
      </c>
      <c r="O747" s="32">
        <v>156.08999633789063</v>
      </c>
      <c r="P747" s="29">
        <v>1.1785364151000977</v>
      </c>
      <c r="Q747" s="29">
        <v>112.578125</v>
      </c>
      <c r="R747" s="32">
        <v>0.98399999999999999</v>
      </c>
      <c r="S747" s="32">
        <v>2.0947964282226543</v>
      </c>
    </row>
    <row r="748" spans="1:19">
      <c r="A748" s="10">
        <v>46020</v>
      </c>
      <c r="B748" s="32">
        <v>3.45</v>
      </c>
      <c r="C748" s="32">
        <v>3.67</v>
      </c>
      <c r="D748" s="32">
        <v>4.12</v>
      </c>
      <c r="E748" s="32">
        <v>4.75</v>
      </c>
      <c r="F748" s="32">
        <v>4.8</v>
      </c>
      <c r="G748" s="32">
        <v>1.1499999999999999</v>
      </c>
      <c r="H748" s="32">
        <v>2.052</v>
      </c>
      <c r="I748" s="32">
        <v>2.9630000000000001</v>
      </c>
      <c r="J748" s="32">
        <v>3.371</v>
      </c>
      <c r="K748" s="32">
        <v>3.77</v>
      </c>
      <c r="L748" s="32">
        <v>3.64</v>
      </c>
      <c r="M748" s="32">
        <v>3.75</v>
      </c>
      <c r="N748" s="32">
        <v>3.75</v>
      </c>
      <c r="O748" s="32">
        <v>156.46299743652344</v>
      </c>
      <c r="P748" s="29">
        <v>1.1772738695144653</v>
      </c>
      <c r="Q748" s="29">
        <v>112.71875</v>
      </c>
      <c r="R748" s="32">
        <v>0.98399999999999999</v>
      </c>
      <c r="S748" s="32">
        <v>2.1105817858886713</v>
      </c>
    </row>
    <row r="749" spans="1:19">
      <c r="A749" s="10">
        <v>46021</v>
      </c>
      <c r="B749" s="32">
        <v>3.45</v>
      </c>
      <c r="C749" s="32">
        <v>3.68</v>
      </c>
      <c r="D749" s="32">
        <v>4.1399999999999997</v>
      </c>
      <c r="E749" s="32">
        <v>4.76</v>
      </c>
      <c r="F749" s="32">
        <v>4.8099999999999996</v>
      </c>
      <c r="G749" s="32">
        <v>1.167</v>
      </c>
      <c r="H749" s="32">
        <v>2.0659999999999998</v>
      </c>
      <c r="I749" s="32">
        <v>2.952</v>
      </c>
      <c r="J749" s="32">
        <v>3.3540000000000001</v>
      </c>
      <c r="K749" s="32">
        <v>3.71</v>
      </c>
      <c r="L749" s="32">
        <v>3.64</v>
      </c>
      <c r="M749" s="32">
        <v>3.69</v>
      </c>
      <c r="N749" s="32">
        <v>3.69</v>
      </c>
      <c r="O749" s="32">
        <v>156.01300048828125</v>
      </c>
      <c r="P749" s="29">
        <v>1.1772878170013428</v>
      </c>
      <c r="Q749" s="29">
        <v>112.640625</v>
      </c>
      <c r="R749" s="32">
        <v>0.95199999999999996</v>
      </c>
      <c r="S749" s="32">
        <v>2.189511785888671</v>
      </c>
    </row>
    <row r="750" spans="1:19">
      <c r="A750" s="10">
        <v>46022</v>
      </c>
      <c r="B750" s="32">
        <v>3.47</v>
      </c>
      <c r="C750" s="32">
        <v>3.73</v>
      </c>
      <c r="D750" s="32">
        <v>4.18</v>
      </c>
      <c r="E750" s="32">
        <v>4.79</v>
      </c>
      <c r="F750" s="32">
        <v>4.84</v>
      </c>
      <c r="G750" s="32">
        <v>1.167</v>
      </c>
      <c r="H750" s="32">
        <v>2.0659999999999998</v>
      </c>
      <c r="I750" s="32">
        <v>2.952</v>
      </c>
      <c r="J750" s="32">
        <v>3.3540000000000001</v>
      </c>
      <c r="K750" s="32">
        <v>3.87</v>
      </c>
      <c r="L750" s="32">
        <v>3.64</v>
      </c>
      <c r="M750" s="32">
        <v>3.82</v>
      </c>
      <c r="N750" s="32">
        <v>3.82</v>
      </c>
      <c r="O750" s="32">
        <v>156.41299438476563</v>
      </c>
      <c r="P750" s="29">
        <v>1.1747292280197144</v>
      </c>
      <c r="Q750" s="29">
        <v>112.4375</v>
      </c>
      <c r="R750" s="32">
        <v>0.97130000000000005</v>
      </c>
      <c r="S750" s="32">
        <v>2.189511785888671</v>
      </c>
    </row>
    <row r="751" spans="1:19">
      <c r="A751" s="10">
        <v>46024</v>
      </c>
      <c r="B751" s="32">
        <v>3.47</v>
      </c>
      <c r="C751" s="32">
        <v>3.74</v>
      </c>
      <c r="D751" s="32">
        <v>4.1900000000000004</v>
      </c>
      <c r="E751" s="32">
        <v>4.8099999999999996</v>
      </c>
      <c r="F751" s="32">
        <v>4.8600000000000003</v>
      </c>
      <c r="G751" s="32">
        <v>1.167</v>
      </c>
      <c r="H751" s="32">
        <v>2.0659999999999998</v>
      </c>
      <c r="I751" s="32">
        <v>2.952</v>
      </c>
      <c r="J751" s="32">
        <v>3.3540000000000001</v>
      </c>
      <c r="K751" s="32">
        <v>3.75</v>
      </c>
      <c r="L751" s="32">
        <v>3.64</v>
      </c>
      <c r="M751" s="32">
        <v>3.7</v>
      </c>
      <c r="N751" s="32">
        <v>3.7</v>
      </c>
      <c r="O751" s="32">
        <v>156.73100280761719</v>
      </c>
      <c r="P751" s="29">
        <v>1.1750466823577881</v>
      </c>
      <c r="Q751" s="29">
        <v>112.203125</v>
      </c>
      <c r="R751" s="32">
        <v>0.9456</v>
      </c>
      <c r="S751" s="32">
        <v>2.189511785888671</v>
      </c>
    </row>
    <row r="752" spans="1:19">
      <c r="A752" s="10">
        <v>46027</v>
      </c>
      <c r="B752" s="32">
        <v>3.46</v>
      </c>
      <c r="C752" s="32">
        <v>3.71</v>
      </c>
      <c r="D752" s="32">
        <v>4.17</v>
      </c>
      <c r="E752" s="32">
        <v>4.79</v>
      </c>
      <c r="F752" s="32">
        <v>4.8499999999999996</v>
      </c>
      <c r="G752" s="32">
        <v>1.194</v>
      </c>
      <c r="H752" s="32">
        <v>2.1110000000000002</v>
      </c>
      <c r="I752" s="32">
        <v>3.0019999999999998</v>
      </c>
      <c r="J752" s="32">
        <v>3.3929999999999998</v>
      </c>
      <c r="K752" s="32">
        <v>3.7</v>
      </c>
      <c r="L752" s="32">
        <v>3.64</v>
      </c>
      <c r="M752" s="32">
        <v>3.66</v>
      </c>
      <c r="N752" s="32">
        <v>3.66</v>
      </c>
      <c r="O752" s="32">
        <v>156.98899841308594</v>
      </c>
      <c r="P752" s="29">
        <v>1.1704667806625366</v>
      </c>
      <c r="Q752" s="29">
        <v>112.421875</v>
      </c>
      <c r="R752" s="32">
        <v>1.0474000000000001</v>
      </c>
      <c r="S752" s="32">
        <v>2.1579399999999982</v>
      </c>
    </row>
    <row r="753" spans="1:19">
      <c r="A753" s="10">
        <v>46028</v>
      </c>
      <c r="B753" s="32">
        <v>3.47</v>
      </c>
      <c r="C753" s="32">
        <v>3.72</v>
      </c>
      <c r="D753" s="32">
        <v>4.18</v>
      </c>
      <c r="E753" s="32">
        <v>4.8</v>
      </c>
      <c r="F753" s="32">
        <v>4.8600000000000003</v>
      </c>
      <c r="G753" s="32">
        <v>1.1850000000000001</v>
      </c>
      <c r="H753" s="32">
        <v>2.1230000000000002</v>
      </c>
      <c r="I753" s="32">
        <v>3.0289999999999999</v>
      </c>
      <c r="J753" s="32">
        <v>3.42</v>
      </c>
      <c r="K753" s="32">
        <v>3.66</v>
      </c>
      <c r="L753" s="32">
        <v>3.64</v>
      </c>
      <c r="M753" s="32">
        <v>3.62</v>
      </c>
      <c r="N753" s="32">
        <v>3.62</v>
      </c>
      <c r="O753" s="32">
        <v>156.62600708007813</v>
      </c>
      <c r="P753" s="29">
        <v>1.1714951992034912</v>
      </c>
      <c r="Q753" s="29">
        <v>112.328125</v>
      </c>
      <c r="R753" s="32">
        <v>1.0804</v>
      </c>
      <c r="S753" s="32">
        <v>2.226346428222655</v>
      </c>
    </row>
    <row r="754" spans="1:19">
      <c r="A754" s="10">
        <v>46029</v>
      </c>
      <c r="B754" s="32">
        <v>3.47</v>
      </c>
      <c r="C754" s="32">
        <v>3.7</v>
      </c>
      <c r="D754" s="32">
        <v>4.1500000000000004</v>
      </c>
      <c r="E754" s="32">
        <v>4.76</v>
      </c>
      <c r="F754" s="32">
        <v>4.82</v>
      </c>
      <c r="G754" s="32">
        <v>1.17</v>
      </c>
      <c r="H754" s="32">
        <v>2.1240000000000001</v>
      </c>
      <c r="I754" s="32">
        <v>3.0409999999999999</v>
      </c>
      <c r="J754" s="32">
        <v>3.4279999999999999</v>
      </c>
      <c r="K754" s="32">
        <v>3.65</v>
      </c>
      <c r="L754" s="32">
        <v>3.64</v>
      </c>
      <c r="M754" s="32">
        <v>3.62</v>
      </c>
      <c r="N754" s="32">
        <v>3.62</v>
      </c>
      <c r="O754" s="32">
        <v>156.67999267578125</v>
      </c>
      <c r="P754" s="29">
        <v>1.1688251495361328</v>
      </c>
      <c r="Q754" s="29">
        <v>112.578125</v>
      </c>
      <c r="R754" s="32">
        <v>1.0562</v>
      </c>
      <c r="S754" s="32">
        <v>2.2105599999999992</v>
      </c>
    </row>
    <row r="755" spans="1:19">
      <c r="A755" s="10">
        <v>46030</v>
      </c>
      <c r="B755" s="32">
        <v>3.49</v>
      </c>
      <c r="C755" s="32">
        <v>3.74</v>
      </c>
      <c r="D755" s="32">
        <v>4.1900000000000004</v>
      </c>
      <c r="E755" s="32">
        <v>4.79</v>
      </c>
      <c r="F755" s="32">
        <v>4.8499999999999996</v>
      </c>
      <c r="G755" s="32">
        <v>1.129</v>
      </c>
      <c r="H755" s="32">
        <v>2.0830000000000002</v>
      </c>
      <c r="I755" s="32">
        <v>3.028</v>
      </c>
      <c r="J755" s="32">
        <v>3.4350000000000001</v>
      </c>
      <c r="K755" s="32">
        <v>3.64</v>
      </c>
      <c r="L755" s="32">
        <v>3.64</v>
      </c>
      <c r="M755" s="32">
        <v>3.61</v>
      </c>
      <c r="N755" s="32">
        <v>3.61</v>
      </c>
      <c r="O755" s="32">
        <v>156.73100280761719</v>
      </c>
      <c r="P755" s="29">
        <v>1.1676785945892334</v>
      </c>
      <c r="Q755" s="29">
        <v>112.25</v>
      </c>
      <c r="R755" s="32">
        <v>0.99729999999999996</v>
      </c>
      <c r="S755" s="32">
        <v>2.226346428222655</v>
      </c>
    </row>
    <row r="756" spans="1:19">
      <c r="A756" s="10">
        <v>46031</v>
      </c>
      <c r="B756" s="32">
        <v>3.54</v>
      </c>
      <c r="C756" s="32">
        <v>3.75</v>
      </c>
      <c r="D756" s="32">
        <v>4.18</v>
      </c>
      <c r="E756" s="32">
        <v>4.76</v>
      </c>
      <c r="F756" s="32">
        <v>4.82</v>
      </c>
      <c r="G756" s="32">
        <v>1.151</v>
      </c>
      <c r="H756" s="32">
        <v>2.0960000000000001</v>
      </c>
      <c r="I756" s="32">
        <v>3.0129999999999999</v>
      </c>
      <c r="J756" s="32">
        <v>3.399</v>
      </c>
      <c r="K756" s="32">
        <v>3.64</v>
      </c>
      <c r="L756" s="32">
        <v>3.64</v>
      </c>
      <c r="M756" s="32">
        <v>3.61</v>
      </c>
      <c r="N756" s="32">
        <v>3.61</v>
      </c>
      <c r="O756" s="32">
        <v>156.8800048828125</v>
      </c>
      <c r="P756" s="29">
        <v>1.1657865047454834</v>
      </c>
      <c r="Q756" s="29">
        <v>112.21875</v>
      </c>
      <c r="R756" s="32">
        <v>1.0019</v>
      </c>
      <c r="S756" s="32">
        <v>2.177233571777343</v>
      </c>
    </row>
    <row r="757" spans="1:19">
      <c r="A757" s="10">
        <v>46034</v>
      </c>
      <c r="B757" s="32">
        <v>3.54</v>
      </c>
      <c r="C757" s="32">
        <v>3.77</v>
      </c>
      <c r="D757" s="32">
        <v>4.1900000000000004</v>
      </c>
      <c r="E757" s="32">
        <v>4.78</v>
      </c>
      <c r="F757" s="32">
        <v>4.83</v>
      </c>
      <c r="G757" s="32">
        <v>1.151</v>
      </c>
      <c r="H757" s="32">
        <v>2.0960000000000001</v>
      </c>
      <c r="I757" s="32">
        <v>3.0129999999999999</v>
      </c>
      <c r="J757" s="32">
        <v>3.399</v>
      </c>
      <c r="K757" s="32">
        <v>3.64</v>
      </c>
      <c r="L757" s="32">
        <v>3.64</v>
      </c>
      <c r="M757" s="32">
        <v>3.62</v>
      </c>
      <c r="N757" s="32">
        <v>3.62</v>
      </c>
      <c r="O757" s="32">
        <v>158.14900207519531</v>
      </c>
      <c r="P757" s="29">
        <v>1.1623716354370117</v>
      </c>
      <c r="Q757" s="29">
        <v>112.140625</v>
      </c>
      <c r="R757" s="32">
        <v>0.99480000000000002</v>
      </c>
      <c r="S757" s="32">
        <v>2.177233571777343</v>
      </c>
    </row>
    <row r="758" spans="1:19">
      <c r="A758" s="10">
        <v>46035</v>
      </c>
      <c r="B758" s="32">
        <v>3.53</v>
      </c>
      <c r="C758" s="32">
        <v>3.75</v>
      </c>
      <c r="D758" s="32">
        <v>4.18</v>
      </c>
      <c r="E758" s="32">
        <v>4.7699999999999996</v>
      </c>
      <c r="F758" s="32">
        <v>4.83</v>
      </c>
      <c r="G758" s="32">
        <v>1.1639999999999999</v>
      </c>
      <c r="H758" s="32">
        <v>2.1629999999999998</v>
      </c>
      <c r="I758" s="32">
        <v>3.081</v>
      </c>
      <c r="J758" s="32">
        <v>3.4620000000000002</v>
      </c>
      <c r="K758" s="32">
        <v>3.65</v>
      </c>
      <c r="L758" s="32">
        <v>3.64</v>
      </c>
      <c r="M758" s="32">
        <v>3.63</v>
      </c>
      <c r="N758" s="32">
        <v>3.63</v>
      </c>
      <c r="O758" s="32">
        <v>157.98599243164063</v>
      </c>
      <c r="P758" s="29">
        <v>1.1666978597640991</v>
      </c>
      <c r="Q758" s="29">
        <v>112.265625</v>
      </c>
      <c r="R758" s="32">
        <v>0.98760000000000003</v>
      </c>
      <c r="S758" s="32">
        <v>2.2544099999999982</v>
      </c>
    </row>
    <row r="759" spans="1:19">
      <c r="A759" s="10">
        <v>46036</v>
      </c>
      <c r="B759" s="32">
        <v>3.51</v>
      </c>
      <c r="C759" s="32">
        <v>3.72</v>
      </c>
      <c r="D759" s="32">
        <v>4.1500000000000004</v>
      </c>
      <c r="E759" s="32">
        <v>4.7300000000000004</v>
      </c>
      <c r="F759" s="32">
        <v>4.79</v>
      </c>
      <c r="G759" s="32">
        <v>1.1859999999999999</v>
      </c>
      <c r="H759" s="32">
        <v>2.1819999999999999</v>
      </c>
      <c r="I759" s="32">
        <v>3.0990000000000002</v>
      </c>
      <c r="J759" s="32">
        <v>3.4860000000000002</v>
      </c>
      <c r="K759" s="32">
        <v>3.64</v>
      </c>
      <c r="L759" s="32">
        <v>3.64</v>
      </c>
      <c r="M759" s="32">
        <v>3.62</v>
      </c>
      <c r="N759" s="32">
        <v>3.62</v>
      </c>
      <c r="O759" s="32">
        <v>159.17900085449219</v>
      </c>
      <c r="P759" s="29">
        <v>1.164252758026123</v>
      </c>
      <c r="Q759" s="29">
        <v>112.46875</v>
      </c>
      <c r="R759" s="32">
        <v>1.0048999999999999</v>
      </c>
      <c r="S759" s="32">
        <v>2.226346428222655</v>
      </c>
    </row>
    <row r="760" spans="1:19">
      <c r="A760" s="10">
        <v>46037</v>
      </c>
      <c r="B760" s="32">
        <v>3.56</v>
      </c>
      <c r="C760" s="32">
        <v>3.77</v>
      </c>
      <c r="D760" s="32">
        <v>4.17</v>
      </c>
      <c r="E760" s="32">
        <v>4.74</v>
      </c>
      <c r="F760" s="32">
        <v>4.79</v>
      </c>
      <c r="G760" s="32">
        <v>1.19</v>
      </c>
      <c r="H760" s="32">
        <v>2.1640000000000001</v>
      </c>
      <c r="I760" s="32">
        <v>3.0779999999999998</v>
      </c>
      <c r="J760" s="32">
        <v>3.4540000000000002</v>
      </c>
      <c r="K760" s="32">
        <v>3.66</v>
      </c>
      <c r="L760" s="32">
        <v>3.64</v>
      </c>
      <c r="M760" s="32">
        <v>3.63</v>
      </c>
      <c r="N760" s="32">
        <v>3.63</v>
      </c>
      <c r="O760" s="32">
        <v>158.40199279785156</v>
      </c>
      <c r="P760" s="29">
        <v>1.1646324396133423</v>
      </c>
      <c r="Q760" s="29">
        <v>112.21875</v>
      </c>
      <c r="R760" s="32">
        <v>0.97189999999999999</v>
      </c>
      <c r="S760" s="32">
        <v>2.2228382141113272</v>
      </c>
    </row>
    <row r="761" spans="1:19">
      <c r="A761" s="10">
        <v>46038</v>
      </c>
      <c r="B761" s="32">
        <v>3.59</v>
      </c>
      <c r="C761" s="32">
        <v>3.82</v>
      </c>
      <c r="D761" s="32">
        <v>4.24</v>
      </c>
      <c r="E761" s="32">
        <v>4.79</v>
      </c>
      <c r="F761" s="32">
        <v>4.83</v>
      </c>
      <c r="G761" s="32">
        <v>1.2050000000000001</v>
      </c>
      <c r="H761" s="32">
        <v>2.1819999999999999</v>
      </c>
      <c r="I761" s="32">
        <v>3.0920000000000001</v>
      </c>
      <c r="J761" s="32">
        <v>3.4620000000000002</v>
      </c>
      <c r="K761" s="32">
        <v>3.65</v>
      </c>
      <c r="L761" s="32">
        <v>3.64</v>
      </c>
      <c r="M761" s="32">
        <v>3.62</v>
      </c>
      <c r="N761" s="32">
        <v>3.62</v>
      </c>
      <c r="O761" s="32">
        <v>158.59599304199219</v>
      </c>
      <c r="P761" s="29">
        <v>1.1609008312225342</v>
      </c>
      <c r="Q761" s="29">
        <v>111.75</v>
      </c>
      <c r="R761" s="32">
        <v>0.95930000000000004</v>
      </c>
      <c r="S761" s="32">
        <v>2.2438864282226554</v>
      </c>
    </row>
    <row r="762" spans="1:19">
      <c r="A762" s="10">
        <v>46042</v>
      </c>
      <c r="B762" s="32">
        <v>3.6</v>
      </c>
      <c r="C762" s="32">
        <v>3.86</v>
      </c>
      <c r="D762" s="32">
        <v>4.3</v>
      </c>
      <c r="E762" s="32">
        <v>4.87</v>
      </c>
      <c r="F762" s="32">
        <v>4.91</v>
      </c>
      <c r="G762" s="32">
        <v>1.22</v>
      </c>
      <c r="H762" s="32">
        <v>2.33</v>
      </c>
      <c r="I762" s="32">
        <v>3.3250000000000002</v>
      </c>
      <c r="J762" s="32">
        <v>3.7650000000000001</v>
      </c>
      <c r="K762" s="32">
        <v>3.64</v>
      </c>
      <c r="L762" s="32">
        <v>3.64</v>
      </c>
      <c r="M762" s="32">
        <v>3.61</v>
      </c>
      <c r="N762" s="32">
        <v>3.61</v>
      </c>
      <c r="O762" s="32">
        <v>158.177001953125</v>
      </c>
      <c r="P762" s="29">
        <v>1.1639139652252197</v>
      </c>
      <c r="Q762" s="29">
        <v>111.421875</v>
      </c>
      <c r="R762" s="32">
        <v>0.99550000000000005</v>
      </c>
      <c r="S762" s="32">
        <v>2.4543664282226558</v>
      </c>
    </row>
    <row r="763" spans="1:19">
      <c r="A763" s="10">
        <v>46043</v>
      </c>
      <c r="B763" s="32">
        <v>3.6</v>
      </c>
      <c r="C763" s="32">
        <v>3.83</v>
      </c>
      <c r="D763" s="32">
        <v>4.26</v>
      </c>
      <c r="E763" s="32">
        <v>4.82</v>
      </c>
      <c r="F763" s="32">
        <v>4.87</v>
      </c>
      <c r="G763" s="32">
        <v>1.2350000000000001</v>
      </c>
      <c r="H763" s="32">
        <v>2.2799999999999998</v>
      </c>
      <c r="I763" s="32">
        <v>3.25</v>
      </c>
      <c r="J763" s="32">
        <v>3.6469999999999998</v>
      </c>
      <c r="K763" s="32">
        <v>3.63</v>
      </c>
      <c r="L763" s="32">
        <v>3.64</v>
      </c>
      <c r="M763" s="32">
        <v>3.61</v>
      </c>
      <c r="N763" s="32">
        <v>3.61</v>
      </c>
      <c r="O763" s="32">
        <v>158.16200256347656</v>
      </c>
      <c r="P763" s="29">
        <v>1.1727865934371948</v>
      </c>
      <c r="Q763" s="29">
        <v>111.65625</v>
      </c>
      <c r="R763" s="32">
        <v>0.93140000000000001</v>
      </c>
      <c r="S763" s="32">
        <v>2.4210399999999979</v>
      </c>
    </row>
    <row r="764" spans="1:19">
      <c r="A764" s="10">
        <v>46044</v>
      </c>
      <c r="B764" s="32">
        <v>3.61</v>
      </c>
      <c r="C764" s="32">
        <v>3.85</v>
      </c>
      <c r="D764" s="32">
        <v>4.26</v>
      </c>
      <c r="E764" s="32">
        <v>4.79</v>
      </c>
      <c r="F764" s="32">
        <v>4.84</v>
      </c>
      <c r="G764" s="32">
        <v>1.224</v>
      </c>
      <c r="H764" s="32">
        <v>2.2389999999999999</v>
      </c>
      <c r="I764" s="32">
        <v>3.202</v>
      </c>
      <c r="J764" s="32">
        <v>3.6040000000000001</v>
      </c>
      <c r="K764" s="32">
        <v>3.64</v>
      </c>
      <c r="L764" s="32">
        <v>3.64</v>
      </c>
      <c r="M764" s="32">
        <v>3.62</v>
      </c>
      <c r="N764" s="32">
        <v>3.62</v>
      </c>
      <c r="O764" s="32">
        <v>158.45599365234375</v>
      </c>
      <c r="P764" s="29">
        <v>1.1672970056533813</v>
      </c>
      <c r="Q764" s="29">
        <v>111.59375</v>
      </c>
      <c r="R764" s="32">
        <v>0.94569999999999999</v>
      </c>
      <c r="S764" s="32">
        <v>2.3824517858886711</v>
      </c>
    </row>
    <row r="765" spans="1:19">
      <c r="A765" s="10">
        <v>46045</v>
      </c>
      <c r="B765" s="32">
        <v>3.6</v>
      </c>
      <c r="C765" s="32">
        <v>3.84</v>
      </c>
      <c r="D765" s="32">
        <v>4.24</v>
      </c>
      <c r="E765" s="32">
        <v>4.78</v>
      </c>
      <c r="F765" s="32">
        <v>4.82</v>
      </c>
      <c r="G765" s="32">
        <v>1.262</v>
      </c>
      <c r="H765" s="32">
        <v>2.2530000000000001</v>
      </c>
      <c r="I765" s="32">
        <v>3.198</v>
      </c>
      <c r="J765" s="32">
        <v>3.585</v>
      </c>
      <c r="K765" s="32">
        <v>3.65</v>
      </c>
      <c r="L765" s="32">
        <v>3.64</v>
      </c>
      <c r="M765" s="32">
        <v>3.64</v>
      </c>
      <c r="N765" s="32">
        <v>3.64</v>
      </c>
      <c r="O765" s="32">
        <v>158.50100708007813</v>
      </c>
      <c r="P765" s="29">
        <v>1.1754610538482666</v>
      </c>
      <c r="Q765" s="29">
        <v>111.671875</v>
      </c>
      <c r="R765" s="32">
        <v>0.94820000000000004</v>
      </c>
      <c r="S765" s="32">
        <v>2.3649117858886708</v>
      </c>
    </row>
    <row r="766" spans="1:19">
      <c r="A766" s="10">
        <v>46048</v>
      </c>
      <c r="B766" s="32">
        <v>3.56</v>
      </c>
      <c r="C766" s="32">
        <v>3.82</v>
      </c>
      <c r="D766" s="32">
        <v>4.22</v>
      </c>
      <c r="E766" s="32">
        <v>4.75</v>
      </c>
      <c r="F766" s="32">
        <v>4.8</v>
      </c>
      <c r="G766" s="32">
        <v>1.2769999999999999</v>
      </c>
      <c r="H766" s="32">
        <v>2.2360000000000002</v>
      </c>
      <c r="I766" s="32">
        <v>3.1779999999999999</v>
      </c>
      <c r="J766" s="32">
        <v>3.5680000000000001</v>
      </c>
      <c r="K766" s="32">
        <v>3.66</v>
      </c>
      <c r="L766" s="32">
        <v>3.64</v>
      </c>
      <c r="M766" s="32">
        <v>3.65</v>
      </c>
      <c r="N766" s="32">
        <v>3.65</v>
      </c>
      <c r="O766" s="32">
        <v>155.16600036621094</v>
      </c>
      <c r="P766" s="29">
        <v>1.1858457326889038</v>
      </c>
      <c r="Q766" s="29">
        <v>111.828125</v>
      </c>
      <c r="R766" s="32">
        <v>1.0087999999999999</v>
      </c>
      <c r="S766" s="32">
        <v>2.3438635717773426</v>
      </c>
    </row>
    <row r="767" spans="1:19">
      <c r="A767" s="10">
        <v>46049</v>
      </c>
      <c r="B767" s="32">
        <v>3.53</v>
      </c>
      <c r="C767" s="32">
        <v>3.81</v>
      </c>
      <c r="D767" s="32">
        <v>4.24</v>
      </c>
      <c r="E767" s="32">
        <v>4.79</v>
      </c>
      <c r="F767" s="32">
        <v>4.83</v>
      </c>
      <c r="G767" s="32">
        <v>1.284</v>
      </c>
      <c r="H767" s="32">
        <v>2.2810000000000001</v>
      </c>
      <c r="I767" s="32">
        <v>3.2069999999999999</v>
      </c>
      <c r="J767" s="32">
        <v>3.5990000000000002</v>
      </c>
      <c r="K767" s="32">
        <v>3.66</v>
      </c>
      <c r="L767" s="32">
        <v>3.64</v>
      </c>
      <c r="M767" s="32">
        <v>3.64</v>
      </c>
      <c r="N767" s="32">
        <v>3.64</v>
      </c>
      <c r="O767" s="32">
        <v>154.33599853515625</v>
      </c>
      <c r="P767" s="29">
        <v>1.1876484155654907</v>
      </c>
      <c r="Q767" s="29">
        <v>111.796875</v>
      </c>
      <c r="R767" s="32">
        <v>0.95509999999999995</v>
      </c>
      <c r="S767" s="32">
        <v>2.373681785888671</v>
      </c>
    </row>
    <row r="768" spans="1:19">
      <c r="A768" s="10">
        <v>46050</v>
      </c>
      <c r="B768" s="32">
        <v>3.56</v>
      </c>
      <c r="C768" s="32">
        <v>3.83</v>
      </c>
      <c r="D768" s="32">
        <v>4.26</v>
      </c>
      <c r="E768" s="32">
        <v>4.8099999999999996</v>
      </c>
      <c r="F768" s="32">
        <v>4.8499999999999996</v>
      </c>
      <c r="G768" s="32">
        <v>1.2569999999999999</v>
      </c>
      <c r="H768" s="32">
        <v>2.2370000000000001</v>
      </c>
      <c r="I768" s="32">
        <v>3.1819999999999999</v>
      </c>
      <c r="J768" s="32">
        <v>3.5790000000000002</v>
      </c>
      <c r="K768" s="32">
        <v>3.64</v>
      </c>
      <c r="L768" s="32">
        <v>3.64</v>
      </c>
      <c r="M768" s="32">
        <v>3.62</v>
      </c>
      <c r="N768" s="32">
        <v>3.62</v>
      </c>
      <c r="O768" s="32">
        <v>152.4530029296875</v>
      </c>
      <c r="P768" s="29">
        <v>1.2017642259597778</v>
      </c>
      <c r="Q768" s="29">
        <v>111.640625</v>
      </c>
      <c r="R768" s="32">
        <v>0.91600000000000004</v>
      </c>
      <c r="S768" s="32">
        <v>2.2894899999999989</v>
      </c>
    </row>
    <row r="769" spans="1:19">
      <c r="A769" s="10">
        <v>46051</v>
      </c>
      <c r="B769" s="32">
        <v>3.53</v>
      </c>
      <c r="C769" s="32">
        <v>3.8</v>
      </c>
      <c r="D769" s="32">
        <v>4.24</v>
      </c>
      <c r="E769" s="32">
        <v>4.8</v>
      </c>
      <c r="F769" s="32">
        <v>4.8499999999999996</v>
      </c>
      <c r="G769" s="32">
        <v>1.264</v>
      </c>
      <c r="H769" s="32">
        <v>2.2519999999999998</v>
      </c>
      <c r="I769" s="32">
        <v>3.1739999999999999</v>
      </c>
      <c r="J769" s="32">
        <v>3.5659999999999998</v>
      </c>
      <c r="K769" s="32">
        <v>3.65</v>
      </c>
      <c r="L769" s="32">
        <v>3.64</v>
      </c>
      <c r="M769" s="32">
        <v>3.63</v>
      </c>
      <c r="N769" s="32">
        <v>3.63</v>
      </c>
      <c r="O769" s="32">
        <v>153.09599304199219</v>
      </c>
      <c r="P769" s="29">
        <v>1.1977769136428833</v>
      </c>
      <c r="Q769" s="29">
        <v>111.859375</v>
      </c>
      <c r="R769" s="32">
        <v>0.94869999999999999</v>
      </c>
      <c r="S769" s="32">
        <v>2.3368482141113276</v>
      </c>
    </row>
    <row r="770" spans="1:19">
      <c r="A770" s="10">
        <v>46052</v>
      </c>
      <c r="B770" s="32">
        <v>3.52</v>
      </c>
      <c r="C770" s="32">
        <v>3.79</v>
      </c>
      <c r="D770" s="32">
        <v>4.26</v>
      </c>
      <c r="E770" s="32">
        <v>4.82</v>
      </c>
      <c r="F770" s="32">
        <v>4.87</v>
      </c>
      <c r="G770" s="32">
        <v>1.2509999999999999</v>
      </c>
      <c r="H770" s="32">
        <v>2.2469999999999999</v>
      </c>
      <c r="I770" s="32">
        <v>3.1859999999999999</v>
      </c>
      <c r="J770" s="32">
        <v>3.577</v>
      </c>
      <c r="K770" s="32">
        <v>3.68</v>
      </c>
      <c r="L770" s="32">
        <v>3.64</v>
      </c>
      <c r="M770" s="32">
        <v>3.66</v>
      </c>
      <c r="N770" s="32">
        <v>3.66</v>
      </c>
      <c r="O770" s="32">
        <v>153.16200256347656</v>
      </c>
      <c r="P770" s="29">
        <v>1.19657301902771</v>
      </c>
      <c r="Q770" s="29">
        <v>111.828125</v>
      </c>
      <c r="R770" s="32">
        <v>0.93359999999999999</v>
      </c>
      <c r="S770" s="32">
        <v>2.333339999999998</v>
      </c>
    </row>
    <row r="771" spans="1:19">
      <c r="A771" s="10">
        <v>46055</v>
      </c>
      <c r="B771" s="32">
        <v>3.57</v>
      </c>
      <c r="C771" s="32">
        <v>3.83</v>
      </c>
      <c r="D771" s="32">
        <v>4.29</v>
      </c>
      <c r="E771" s="32">
        <v>4.8499999999999996</v>
      </c>
      <c r="F771" s="32">
        <v>4.9000000000000004</v>
      </c>
      <c r="G771" s="32">
        <v>1.2649999999999999</v>
      </c>
      <c r="H771" s="32">
        <v>2.2349999999999999</v>
      </c>
      <c r="I771" s="32">
        <v>3.1869999999999998</v>
      </c>
      <c r="J771" s="32">
        <v>3.5830000000000002</v>
      </c>
      <c r="K771" s="32">
        <v>3.69</v>
      </c>
      <c r="L771" s="32">
        <v>3.64</v>
      </c>
      <c r="M771" s="32">
        <v>3.66</v>
      </c>
      <c r="N771" s="32">
        <v>3.66</v>
      </c>
      <c r="O771" s="32">
        <v>155.20199584960938</v>
      </c>
      <c r="P771" s="29">
        <v>1.1849182844161987</v>
      </c>
      <c r="Q771" s="29">
        <v>111.59375</v>
      </c>
      <c r="R771" s="32">
        <v>0.95209999999999995</v>
      </c>
      <c r="S771" s="32">
        <v>2.3526335717773428</v>
      </c>
    </row>
    <row r="772" spans="1:19">
      <c r="A772" s="10">
        <v>46056</v>
      </c>
      <c r="B772" s="32">
        <v>3.57</v>
      </c>
      <c r="C772" s="32">
        <v>3.83</v>
      </c>
      <c r="D772" s="32">
        <v>4.28</v>
      </c>
      <c r="E772" s="32">
        <v>4.8499999999999996</v>
      </c>
      <c r="F772" s="32">
        <v>4.9000000000000004</v>
      </c>
      <c r="G772" s="32">
        <v>1.286</v>
      </c>
      <c r="H772" s="32">
        <v>2.258</v>
      </c>
      <c r="I772" s="32">
        <v>3.19</v>
      </c>
      <c r="J772" s="32">
        <v>3.58</v>
      </c>
      <c r="K772" s="32">
        <v>3.69</v>
      </c>
      <c r="L772" s="32">
        <v>3.64</v>
      </c>
      <c r="M772" s="32">
        <v>3.66</v>
      </c>
      <c r="N772" s="32">
        <v>3.66</v>
      </c>
      <c r="O772" s="32">
        <v>155.4429931640625</v>
      </c>
      <c r="P772" s="29">
        <v>1.1798714399337769</v>
      </c>
      <c r="Q772" s="29">
        <v>111.59375</v>
      </c>
      <c r="R772" s="32">
        <v>0.99460000000000004</v>
      </c>
      <c r="S772" s="32">
        <v>2.3684199999999986</v>
      </c>
    </row>
    <row r="773" spans="1:19">
      <c r="A773" s="10">
        <v>46057</v>
      </c>
      <c r="B773" s="32">
        <v>3.57</v>
      </c>
      <c r="C773" s="32">
        <v>3.83</v>
      </c>
      <c r="D773" s="32">
        <v>4.29</v>
      </c>
      <c r="E773" s="32">
        <v>4.8600000000000003</v>
      </c>
      <c r="F773" s="32">
        <v>4.91</v>
      </c>
      <c r="G773" s="32">
        <v>1.276</v>
      </c>
      <c r="H773" s="32">
        <v>2.2490000000000001</v>
      </c>
      <c r="I773" s="32">
        <v>3.19</v>
      </c>
      <c r="J773" s="32">
        <v>3.5790000000000002</v>
      </c>
      <c r="K773" s="32">
        <v>3.65</v>
      </c>
      <c r="L773" s="32">
        <v>3.64</v>
      </c>
      <c r="M773" s="32">
        <v>3.63</v>
      </c>
      <c r="N773" s="32">
        <v>3.63</v>
      </c>
      <c r="O773" s="32">
        <v>155.79899597167969</v>
      </c>
      <c r="P773" s="29">
        <v>1.1816140413284302</v>
      </c>
      <c r="Q773" s="29">
        <v>111.609375</v>
      </c>
      <c r="R773" s="32">
        <v>1.0461</v>
      </c>
      <c r="S773" s="32">
        <v>2.3473717858886705</v>
      </c>
    </row>
    <row r="774" spans="1:19">
      <c r="A774" s="10">
        <v>46058</v>
      </c>
      <c r="B774" s="32">
        <v>3.47</v>
      </c>
      <c r="C774" s="32">
        <v>3.74</v>
      </c>
      <c r="D774" s="32">
        <v>4.21</v>
      </c>
      <c r="E774" s="32">
        <v>4.79</v>
      </c>
      <c r="F774" s="32">
        <v>4.8499999999999996</v>
      </c>
      <c r="G774" s="32">
        <v>1.276</v>
      </c>
      <c r="H774" s="32">
        <v>2.2309999999999999</v>
      </c>
      <c r="I774" s="32">
        <v>3.1539999999999999</v>
      </c>
      <c r="J774" s="32">
        <v>3.5249999999999999</v>
      </c>
      <c r="K774" s="32">
        <v>3.65</v>
      </c>
      <c r="L774" s="32">
        <v>3.64</v>
      </c>
      <c r="M774" s="32">
        <v>3.63</v>
      </c>
      <c r="N774" s="32">
        <v>3.63</v>
      </c>
      <c r="O774" s="32">
        <v>156.91700744628906</v>
      </c>
      <c r="P774" s="29">
        <v>1.1801638603210449</v>
      </c>
      <c r="Q774" s="29">
        <v>112.125</v>
      </c>
      <c r="R774" s="32">
        <v>0.99519999999999997</v>
      </c>
      <c r="S774" s="32">
        <v>2.3473717858886705</v>
      </c>
    </row>
    <row r="775" spans="1:19">
      <c r="A775" s="10">
        <v>46059</v>
      </c>
      <c r="B775" s="32">
        <v>3.5</v>
      </c>
      <c r="C775" s="32">
        <v>3.76</v>
      </c>
      <c r="D775" s="32">
        <v>4.22</v>
      </c>
      <c r="E775" s="32">
        <v>4.8</v>
      </c>
      <c r="F775" s="32">
        <v>4.8499999999999996</v>
      </c>
      <c r="G775" s="32">
        <v>1.2809999999999999</v>
      </c>
      <c r="H775" s="32">
        <v>2.2360000000000002</v>
      </c>
      <c r="I775" s="32">
        <v>3.15</v>
      </c>
      <c r="J775" s="32">
        <v>3.5129999999999999</v>
      </c>
      <c r="K775" s="32">
        <v>3.64</v>
      </c>
      <c r="L775" s="32">
        <v>3.64</v>
      </c>
      <c r="M775" s="32">
        <v>3.62</v>
      </c>
      <c r="N775" s="32">
        <v>3.62</v>
      </c>
      <c r="O775" s="32">
        <v>156.78399658203125</v>
      </c>
      <c r="P775" s="29">
        <v>1.1777869462966919</v>
      </c>
      <c r="Q775" s="29">
        <v>112.109375</v>
      </c>
      <c r="R775" s="32">
        <v>0.88419999999999999</v>
      </c>
      <c r="S775" s="32">
        <v>2.2807199999999987</v>
      </c>
    </row>
    <row r="776" spans="1:19">
      <c r="A776" s="10">
        <v>46062</v>
      </c>
      <c r="B776" s="32">
        <v>3.48</v>
      </c>
      <c r="C776" s="32">
        <v>3.75</v>
      </c>
      <c r="D776" s="32">
        <v>4.22</v>
      </c>
      <c r="E776" s="32">
        <v>4.79</v>
      </c>
      <c r="F776" s="32">
        <v>4.8499999999999996</v>
      </c>
      <c r="G776" s="32">
        <v>1.3129999999999999</v>
      </c>
      <c r="H776" s="32">
        <v>2.2890000000000001</v>
      </c>
      <c r="I776" s="32">
        <v>3.177</v>
      </c>
      <c r="J776" s="32">
        <v>3.52</v>
      </c>
      <c r="K776" s="32">
        <v>3.63</v>
      </c>
      <c r="L776" s="32">
        <v>3.64</v>
      </c>
      <c r="M776" s="32">
        <v>3.61</v>
      </c>
      <c r="N776" s="32">
        <v>3.61</v>
      </c>
      <c r="O776" s="32">
        <v>157.24400329589844</v>
      </c>
      <c r="P776" s="29">
        <v>1.1825782060623169</v>
      </c>
      <c r="Q776" s="29">
        <v>112.1875</v>
      </c>
      <c r="R776" s="32">
        <v>0.91900000000000004</v>
      </c>
      <c r="S776" s="32">
        <v>2.3561417858886706</v>
      </c>
    </row>
    <row r="777" spans="1:19">
      <c r="A777" s="10">
        <v>46063</v>
      </c>
      <c r="B777" s="32">
        <v>3.45</v>
      </c>
      <c r="C777" s="32">
        <v>3.7</v>
      </c>
      <c r="D777" s="32">
        <v>4.16</v>
      </c>
      <c r="E777" s="32">
        <v>4.7300000000000004</v>
      </c>
      <c r="F777" s="32">
        <v>4.78</v>
      </c>
      <c r="G777" s="32">
        <v>1.3029999999999999</v>
      </c>
      <c r="H777" s="32">
        <v>2.2410000000000001</v>
      </c>
      <c r="I777" s="32">
        <v>3.129</v>
      </c>
      <c r="J777" s="32">
        <v>3.468</v>
      </c>
      <c r="K777" s="32">
        <v>3.65</v>
      </c>
      <c r="L777" s="32">
        <v>3.64</v>
      </c>
      <c r="M777" s="32">
        <v>3.63</v>
      </c>
      <c r="N777" s="32">
        <v>3.63</v>
      </c>
      <c r="O777" s="32">
        <v>156.13200378417969</v>
      </c>
      <c r="P777" s="29">
        <v>1.1904053688049316</v>
      </c>
      <c r="Q777" s="29">
        <v>112.515625</v>
      </c>
      <c r="R777" s="32">
        <v>0.87029999999999996</v>
      </c>
      <c r="S777" s="32">
        <v>2.32106178588867</v>
      </c>
    </row>
    <row r="778" spans="1:19">
      <c r="A778" s="10">
        <v>46064</v>
      </c>
      <c r="B778" s="32">
        <v>3.52</v>
      </c>
      <c r="C778" s="32">
        <v>3.75</v>
      </c>
      <c r="D778" s="32">
        <v>4.18</v>
      </c>
      <c r="E778" s="32">
        <v>4.76</v>
      </c>
      <c r="F778" s="32">
        <v>4.82</v>
      </c>
      <c r="G778" s="32">
        <v>1.3029999999999999</v>
      </c>
      <c r="H778" s="32">
        <v>2.2410000000000001</v>
      </c>
      <c r="I778" s="32">
        <v>3.129</v>
      </c>
      <c r="J778" s="32">
        <v>3.468</v>
      </c>
      <c r="K778" s="32">
        <v>3.65</v>
      </c>
      <c r="L778" s="32">
        <v>3.64</v>
      </c>
      <c r="M778" s="32">
        <v>3.62</v>
      </c>
      <c r="N778" s="32">
        <v>3.62</v>
      </c>
      <c r="O778" s="32">
        <v>154.48199462890625</v>
      </c>
      <c r="P778" s="29">
        <v>1.1889617443084717</v>
      </c>
      <c r="Q778" s="29">
        <v>112.28125</v>
      </c>
      <c r="R778" s="32">
        <v>0.82340000000000002</v>
      </c>
      <c r="S778" s="32">
        <v>2.32106178588867</v>
      </c>
    </row>
    <row r="779" spans="1:19">
      <c r="A779" s="10">
        <v>46065</v>
      </c>
      <c r="B779" s="32">
        <v>3.47</v>
      </c>
      <c r="C779" s="32">
        <v>3.67</v>
      </c>
      <c r="D779" s="32">
        <v>4.09</v>
      </c>
      <c r="E779" s="32">
        <v>4.68</v>
      </c>
      <c r="F779" s="32">
        <v>4.72</v>
      </c>
      <c r="G779" s="32">
        <v>1.3049999999999999</v>
      </c>
      <c r="H779" s="32">
        <v>2.238</v>
      </c>
      <c r="I779" s="32">
        <v>3.0910000000000002</v>
      </c>
      <c r="J779" s="32">
        <v>3.4129999999999998</v>
      </c>
      <c r="K779" s="32">
        <v>3.65</v>
      </c>
      <c r="L779" s="32">
        <v>3.64</v>
      </c>
      <c r="M779" s="32">
        <v>3.63</v>
      </c>
      <c r="N779" s="32">
        <v>3.63</v>
      </c>
      <c r="O779" s="32">
        <v>153.26899719238281</v>
      </c>
      <c r="P779" s="29">
        <v>1.1876062154769897</v>
      </c>
      <c r="Q779" s="29">
        <v>112.796875</v>
      </c>
      <c r="R779" s="32">
        <v>0.82920000000000005</v>
      </c>
      <c r="S779" s="32">
        <v>2.2772117858886709</v>
      </c>
    </row>
    <row r="780" spans="1:19">
      <c r="A780" s="10">
        <v>46066</v>
      </c>
      <c r="B780" s="32">
        <v>3.4</v>
      </c>
      <c r="C780" s="32">
        <v>3.61</v>
      </c>
      <c r="D780" s="32">
        <v>4.04</v>
      </c>
      <c r="E780" s="32">
        <v>4.6399999999999997</v>
      </c>
      <c r="F780" s="32">
        <v>4.6900000000000004</v>
      </c>
      <c r="G780" s="32">
        <v>1.2889999999999999</v>
      </c>
      <c r="H780" s="32">
        <v>2.218</v>
      </c>
      <c r="I780" s="32">
        <v>3.0790000000000002</v>
      </c>
      <c r="J780" s="32">
        <v>3.4220000000000002</v>
      </c>
      <c r="K780" s="32">
        <v>3.66</v>
      </c>
      <c r="L780" s="32">
        <v>3.64</v>
      </c>
      <c r="M780" s="32">
        <v>3.64</v>
      </c>
      <c r="N780" s="32">
        <v>3.64</v>
      </c>
      <c r="O780" s="32">
        <v>152.82099914550781</v>
      </c>
      <c r="P780" s="29">
        <v>1.1868449449539185</v>
      </c>
      <c r="Q780" s="29">
        <v>113.171875</v>
      </c>
      <c r="R780" s="32">
        <v>0.79249999999999998</v>
      </c>
      <c r="S780" s="32">
        <v>2.2561635717773427</v>
      </c>
    </row>
    <row r="781" spans="1:19">
      <c r="A781" s="10">
        <v>46070</v>
      </c>
      <c r="B781" s="32">
        <v>3.43</v>
      </c>
      <c r="C781" s="32">
        <v>3.63</v>
      </c>
      <c r="D781" s="32">
        <v>4.05</v>
      </c>
      <c r="E781" s="32">
        <v>4.63</v>
      </c>
      <c r="F781" s="32">
        <v>4.68</v>
      </c>
      <c r="G781" s="32">
        <v>1.2330000000000001</v>
      </c>
      <c r="H781" s="32">
        <v>2.1429999999999998</v>
      </c>
      <c r="I781" s="32">
        <v>3.016</v>
      </c>
      <c r="J781" s="32">
        <v>3.3820000000000001</v>
      </c>
      <c r="K781" s="32">
        <v>3.71</v>
      </c>
      <c r="L781" s="32">
        <v>3.64</v>
      </c>
      <c r="M781" s="32">
        <v>3.67</v>
      </c>
      <c r="N781" s="32">
        <v>3.67</v>
      </c>
      <c r="O781" s="32">
        <v>153.60899353027344</v>
      </c>
      <c r="P781" s="29">
        <v>1.1849884986877441</v>
      </c>
      <c r="Q781" s="29">
        <v>113.125</v>
      </c>
      <c r="R781" s="32">
        <v>0.7792</v>
      </c>
      <c r="S781" s="32">
        <v>2.161448214111326</v>
      </c>
    </row>
    <row r="782" spans="1:19">
      <c r="A782" s="10">
        <v>46071</v>
      </c>
      <c r="B782" s="32">
        <v>3.47</v>
      </c>
      <c r="C782" s="32">
        <v>3.66</v>
      </c>
      <c r="D782" s="32">
        <v>4.09</v>
      </c>
      <c r="E782" s="32">
        <v>4.6500000000000004</v>
      </c>
      <c r="F782" s="32">
        <v>4.71</v>
      </c>
      <c r="G782" s="32">
        <v>1.242</v>
      </c>
      <c r="H782" s="32">
        <v>2.1520000000000001</v>
      </c>
      <c r="I782" s="32">
        <v>3.016</v>
      </c>
      <c r="J782" s="32">
        <v>3.371</v>
      </c>
      <c r="K782" s="32">
        <v>3.73</v>
      </c>
      <c r="L782" s="32">
        <v>3.64</v>
      </c>
      <c r="M782" s="32">
        <v>3.72</v>
      </c>
      <c r="N782" s="32">
        <v>3.72</v>
      </c>
      <c r="O782" s="32">
        <v>153.14900207519531</v>
      </c>
      <c r="P782" s="29">
        <v>1.1851851940155029</v>
      </c>
      <c r="Q782" s="29">
        <v>112.953125</v>
      </c>
      <c r="R782" s="32">
        <v>0.70269999999999999</v>
      </c>
      <c r="S782" s="32">
        <v>2.2035435717773417</v>
      </c>
    </row>
    <row r="783" spans="1:19">
      <c r="A783" s="10">
        <v>46072</v>
      </c>
      <c r="B783" s="32">
        <v>3.47</v>
      </c>
      <c r="C783" s="32">
        <v>3.65</v>
      </c>
      <c r="D783" s="32">
        <v>4.08</v>
      </c>
      <c r="E783" s="32">
        <v>4.6399999999999997</v>
      </c>
      <c r="F783" s="32">
        <v>4.7</v>
      </c>
      <c r="G783" s="32">
        <v>1.2649999999999999</v>
      </c>
      <c r="H783" s="32">
        <v>2.157</v>
      </c>
      <c r="I783" s="32">
        <v>3.0030000000000001</v>
      </c>
      <c r="J783" s="32">
        <v>3.34</v>
      </c>
      <c r="K783" s="32">
        <v>3.67</v>
      </c>
      <c r="L783" s="32">
        <v>3.64</v>
      </c>
      <c r="M783" s="32">
        <v>3.64</v>
      </c>
      <c r="N783" s="32">
        <v>3.64</v>
      </c>
      <c r="O783" s="32">
        <v>154.6929931640625</v>
      </c>
      <c r="P783" s="29">
        <v>1.1788839101791382</v>
      </c>
      <c r="Q783" s="29">
        <v>112.96875</v>
      </c>
      <c r="R783" s="32">
        <v>0.73409999999999997</v>
      </c>
      <c r="S783" s="32">
        <v>2.1947735717773433</v>
      </c>
    </row>
    <row r="784" spans="1:19">
      <c r="A784" s="10">
        <v>46073</v>
      </c>
      <c r="B784" s="32">
        <v>3.48</v>
      </c>
      <c r="C784" s="32">
        <v>3.65</v>
      </c>
      <c r="D784" s="32">
        <v>4.08</v>
      </c>
      <c r="E784" s="32">
        <v>4.66</v>
      </c>
      <c r="F784" s="32">
        <v>4.72</v>
      </c>
      <c r="G784" s="32">
        <v>1.26</v>
      </c>
      <c r="H784" s="32">
        <v>2.125</v>
      </c>
      <c r="I784" s="32">
        <v>2.9649999999999999</v>
      </c>
      <c r="J784" s="32">
        <v>3.323</v>
      </c>
      <c r="K784" s="32">
        <v>3.66</v>
      </c>
      <c r="L784" s="32">
        <v>3.64</v>
      </c>
      <c r="M784" s="32">
        <v>3.64</v>
      </c>
      <c r="N784" s="32">
        <v>3.64</v>
      </c>
      <c r="O784" s="32">
        <v>155.16000366210938</v>
      </c>
      <c r="P784" s="29">
        <v>1.1769136190414429</v>
      </c>
      <c r="Q784" s="29">
        <v>112.9375</v>
      </c>
      <c r="R784" s="32">
        <v>0.69179999999999997</v>
      </c>
      <c r="S784" s="32">
        <v>2.1456617858886702</v>
      </c>
    </row>
    <row r="785" spans="1:19">
      <c r="A785" s="10">
        <v>46076</v>
      </c>
      <c r="B785" s="32">
        <v>3.43</v>
      </c>
      <c r="C785" s="32">
        <v>3.59</v>
      </c>
      <c r="D785" s="32">
        <v>4.03</v>
      </c>
      <c r="E785" s="32">
        <v>4.63</v>
      </c>
      <c r="F785" s="32">
        <v>4.7</v>
      </c>
      <c r="G785" s="32">
        <v>1.26</v>
      </c>
      <c r="H785" s="32">
        <v>2.125</v>
      </c>
      <c r="I785" s="32">
        <v>2.9649999999999999</v>
      </c>
      <c r="J785" s="32">
        <v>3.323</v>
      </c>
      <c r="K785" s="32">
        <v>3.66</v>
      </c>
      <c r="L785" s="32">
        <v>3.64</v>
      </c>
      <c r="M785" s="32">
        <v>3.64</v>
      </c>
      <c r="N785" s="32">
        <v>3.64</v>
      </c>
      <c r="O785" s="32">
        <v>154.33900451660156</v>
      </c>
      <c r="P785" s="29">
        <v>1.1834739446640015</v>
      </c>
      <c r="Q785" s="29">
        <v>113.375</v>
      </c>
      <c r="R785" s="32">
        <v>0.70669999999999999</v>
      </c>
      <c r="S785" s="32">
        <v>2.1456617858886702</v>
      </c>
    </row>
    <row r="786" spans="1:19">
      <c r="A786" s="10">
        <v>46077</v>
      </c>
      <c r="B786" s="32">
        <v>3.43</v>
      </c>
      <c r="C786" s="32">
        <v>3.61</v>
      </c>
      <c r="D786" s="32">
        <v>4.04</v>
      </c>
      <c r="E786" s="32">
        <v>4.63</v>
      </c>
      <c r="F786" s="32">
        <v>4.7</v>
      </c>
      <c r="G786" s="32">
        <v>1.2509999999999999</v>
      </c>
      <c r="H786" s="32">
        <v>2.1190000000000002</v>
      </c>
      <c r="I786" s="32">
        <v>2.94</v>
      </c>
      <c r="J786" s="32">
        <v>3.2949999999999999</v>
      </c>
      <c r="K786" s="32">
        <v>3.67</v>
      </c>
      <c r="L786" s="32">
        <v>3.64</v>
      </c>
      <c r="M786" s="32">
        <v>3.65</v>
      </c>
      <c r="N786" s="32">
        <v>3.65</v>
      </c>
      <c r="O786" s="32">
        <v>154.63499450683594</v>
      </c>
      <c r="P786" s="29">
        <v>1.1793843507766724</v>
      </c>
      <c r="Q786" s="29">
        <v>113.296875</v>
      </c>
      <c r="R786" s="32">
        <v>0.67110000000000003</v>
      </c>
      <c r="S786" s="32">
        <v>2.1263682141113271</v>
      </c>
    </row>
    <row r="787" spans="1:19">
      <c r="A787" s="10">
        <v>46078</v>
      </c>
      <c r="B787" s="32">
        <v>3.45</v>
      </c>
      <c r="C787" s="32">
        <v>3.61</v>
      </c>
      <c r="D787" s="32">
        <v>4.05</v>
      </c>
      <c r="E787" s="32">
        <v>4.63</v>
      </c>
      <c r="F787" s="32">
        <v>4.7</v>
      </c>
      <c r="G787" s="32">
        <v>1.224</v>
      </c>
      <c r="H787" s="32">
        <v>2.1539999999999999</v>
      </c>
      <c r="I787" s="32">
        <v>3.0070000000000001</v>
      </c>
      <c r="J787" s="32">
        <v>3.38</v>
      </c>
      <c r="K787" s="32">
        <v>3.67</v>
      </c>
      <c r="L787" s="32">
        <v>3.64</v>
      </c>
      <c r="M787" s="32">
        <v>3.65</v>
      </c>
      <c r="N787" s="32">
        <v>3.65</v>
      </c>
      <c r="O787" s="32">
        <v>155.8800048828125</v>
      </c>
      <c r="P787" s="29">
        <v>1.1775233745574951</v>
      </c>
      <c r="Q787" s="29">
        <v>113.171875</v>
      </c>
      <c r="R787" s="32">
        <v>0.70289999999999997</v>
      </c>
      <c r="S787" s="32">
        <v>2.1667099999999984</v>
      </c>
    </row>
    <row r="788" spans="1:19">
      <c r="A788" s="10">
        <v>46079</v>
      </c>
      <c r="B788" s="32">
        <v>3.42</v>
      </c>
      <c r="C788" s="32">
        <v>3.57</v>
      </c>
      <c r="D788" s="32">
        <v>4.0199999999999996</v>
      </c>
      <c r="E788" s="32">
        <v>4.5999999999999996</v>
      </c>
      <c r="F788" s="32">
        <v>4.67</v>
      </c>
      <c r="G788" s="32">
        <v>1.246</v>
      </c>
      <c r="H788" s="32">
        <v>2.1680000000000001</v>
      </c>
      <c r="I788" s="32">
        <v>3.012</v>
      </c>
      <c r="J788" s="32">
        <v>3.3660000000000001</v>
      </c>
      <c r="K788" s="32">
        <v>3.67</v>
      </c>
      <c r="L788" s="32">
        <v>3.64</v>
      </c>
      <c r="M788" s="32">
        <v>3.65</v>
      </c>
      <c r="N788" s="32">
        <v>3.65</v>
      </c>
      <c r="O788" s="32">
        <v>156.19999694824219</v>
      </c>
      <c r="P788" s="29">
        <v>1.1815164089202881</v>
      </c>
      <c r="Q788" s="29">
        <v>113.421875</v>
      </c>
      <c r="R788" s="32">
        <v>0.68679999999999997</v>
      </c>
      <c r="S788" s="32">
        <v>2.1596935717773427</v>
      </c>
    </row>
    <row r="789" spans="1:19">
      <c r="A789" s="10">
        <v>46080</v>
      </c>
      <c r="B789" s="32">
        <v>3.38</v>
      </c>
      <c r="C789" s="32">
        <v>3.51</v>
      </c>
      <c r="D789" s="32">
        <v>3.97</v>
      </c>
      <c r="E789" s="32">
        <v>4.57</v>
      </c>
      <c r="F789" s="32">
        <v>4.6399999999999997</v>
      </c>
      <c r="G789" s="32">
        <v>1.25</v>
      </c>
      <c r="H789" s="32">
        <v>2.1320000000000001</v>
      </c>
      <c r="I789" s="32">
        <v>2.9790000000000001</v>
      </c>
      <c r="J789" s="32">
        <v>3.3420000000000001</v>
      </c>
      <c r="K789" s="32">
        <v>3.68</v>
      </c>
      <c r="L789" s="32">
        <v>3.64</v>
      </c>
      <c r="M789" s="32">
        <v>3.66</v>
      </c>
      <c r="N789" s="32">
        <v>3.66</v>
      </c>
      <c r="O789" s="32">
        <v>155.85899353027344</v>
      </c>
      <c r="P789" s="29">
        <v>1.1803030967712402</v>
      </c>
      <c r="Q789" s="29">
        <v>113.859375</v>
      </c>
      <c r="R789" s="32">
        <v>0.6603</v>
      </c>
      <c r="S789" s="32">
        <v>2.129876428222655</v>
      </c>
    </row>
    <row r="790" spans="1:19">
      <c r="A790" s="10">
        <v>46083</v>
      </c>
      <c r="B790" s="32">
        <v>3.47</v>
      </c>
      <c r="C790" s="32">
        <v>3.62</v>
      </c>
      <c r="D790" s="32">
        <v>4.05</v>
      </c>
      <c r="E790" s="32">
        <v>4.6399999999999997</v>
      </c>
      <c r="F790" s="32">
        <v>4.7</v>
      </c>
      <c r="G790" s="32">
        <v>1.2190000000000001</v>
      </c>
      <c r="H790" s="32">
        <v>2.0870000000000002</v>
      </c>
      <c r="I790" s="32">
        <v>2.9409999999999998</v>
      </c>
      <c r="J790" s="32">
        <v>3.2930000000000001</v>
      </c>
      <c r="K790" s="32">
        <v>3.71</v>
      </c>
      <c r="L790" s="32">
        <v>3.64</v>
      </c>
      <c r="M790" s="32">
        <v>3.69</v>
      </c>
      <c r="N790" s="32">
        <v>3.69</v>
      </c>
      <c r="O790" s="32">
        <v>156.63299560546875</v>
      </c>
      <c r="P790" s="29">
        <v>1.1759449243545532</v>
      </c>
      <c r="Q790" s="29">
        <v>113.15625</v>
      </c>
      <c r="R790" s="32">
        <v>0.54330000000000001</v>
      </c>
      <c r="S790" s="32">
        <v>2.1140899999999991</v>
      </c>
    </row>
    <row r="791" spans="1:19">
      <c r="A791" s="10">
        <v>46084</v>
      </c>
      <c r="B791" s="32">
        <v>3.51</v>
      </c>
      <c r="C791" s="32">
        <v>3.63</v>
      </c>
      <c r="D791" s="32">
        <v>4.0599999999999996</v>
      </c>
      <c r="E791" s="32">
        <v>4.6500000000000004</v>
      </c>
      <c r="F791" s="32">
        <v>4.7</v>
      </c>
      <c r="G791" s="32">
        <v>1.25</v>
      </c>
      <c r="H791" s="32">
        <v>2.1480000000000001</v>
      </c>
      <c r="I791" s="32">
        <v>3.004</v>
      </c>
      <c r="J791" s="32">
        <v>3.3370000000000002</v>
      </c>
      <c r="K791" s="32">
        <v>3.7</v>
      </c>
      <c r="L791" s="32">
        <v>3.64</v>
      </c>
      <c r="M791" s="32">
        <v>3.67</v>
      </c>
      <c r="N791" s="32">
        <v>3.67</v>
      </c>
      <c r="O791" s="32">
        <v>157.25700378417969</v>
      </c>
      <c r="P791" s="29">
        <v>1.1697274446487427</v>
      </c>
      <c r="Q791" s="29">
        <v>113.109375</v>
      </c>
      <c r="R791" s="32">
        <v>0.67490000000000006</v>
      </c>
      <c r="S791" s="32">
        <v>2.1421535717773423</v>
      </c>
    </row>
    <row r="792" spans="1:19">
      <c r="A792" s="10">
        <v>46085</v>
      </c>
      <c r="B792" s="32">
        <v>3.54</v>
      </c>
      <c r="C792" s="32">
        <v>3.67</v>
      </c>
      <c r="D792" s="32">
        <v>4.09</v>
      </c>
      <c r="E792" s="32">
        <v>4.67</v>
      </c>
      <c r="F792" s="32">
        <v>4.72</v>
      </c>
      <c r="G792" s="32">
        <v>1.2350000000000001</v>
      </c>
      <c r="H792" s="32">
        <v>2.1339999999999999</v>
      </c>
      <c r="I792" s="32">
        <v>3.008</v>
      </c>
      <c r="J792" s="32">
        <v>3.3530000000000002</v>
      </c>
      <c r="K792" s="32">
        <v>3.67</v>
      </c>
      <c r="L792" s="32">
        <v>3.64</v>
      </c>
      <c r="M792" s="32">
        <v>3.65</v>
      </c>
      <c r="N792" s="32">
        <v>3.65</v>
      </c>
      <c r="O792" s="32">
        <v>157.77299499511719</v>
      </c>
      <c r="P792" s="29">
        <v>1.161224365234375</v>
      </c>
      <c r="Q792" s="29">
        <v>112.90625</v>
      </c>
      <c r="R792" s="32">
        <v>0.83160000000000001</v>
      </c>
      <c r="S792" s="32">
        <v>2.1579399999999982</v>
      </c>
    </row>
    <row r="793" spans="1:19">
      <c r="A793" s="10">
        <v>46086</v>
      </c>
      <c r="B793" s="32">
        <v>3.57</v>
      </c>
      <c r="C793" s="32">
        <v>3.72</v>
      </c>
      <c r="D793" s="32">
        <v>4.13</v>
      </c>
      <c r="E793" s="32">
        <v>4.71</v>
      </c>
      <c r="F793" s="32">
        <v>4.74</v>
      </c>
      <c r="G793" s="32">
        <v>1.256</v>
      </c>
      <c r="H793" s="32">
        <v>2.1749999999999998</v>
      </c>
      <c r="I793" s="32">
        <v>3.0259999999999998</v>
      </c>
      <c r="J793" s="32">
        <v>3.3740000000000001</v>
      </c>
      <c r="K793" s="32">
        <v>3.66</v>
      </c>
      <c r="L793" s="32">
        <v>3.64</v>
      </c>
      <c r="M793" s="32">
        <v>3.63</v>
      </c>
      <c r="N793" s="32">
        <v>3.63</v>
      </c>
      <c r="O793" s="32">
        <v>156.98300170898438</v>
      </c>
      <c r="P793" s="29">
        <v>1.1635618209838867</v>
      </c>
      <c r="Q793" s="29">
        <v>112.421875</v>
      </c>
      <c r="R793" s="32">
        <v>0.77859999999999996</v>
      </c>
      <c r="S793" s="32">
        <v>2.3087835717773419</v>
      </c>
    </row>
    <row r="794" spans="1:19">
      <c r="A794" s="10">
        <v>46087</v>
      </c>
      <c r="B794" s="32">
        <v>3.56</v>
      </c>
      <c r="C794" s="32">
        <v>3.72</v>
      </c>
      <c r="D794" s="32">
        <v>4.1500000000000004</v>
      </c>
      <c r="E794" s="32">
        <v>4.74</v>
      </c>
      <c r="F794" s="32">
        <v>4.7699999999999996</v>
      </c>
      <c r="G794" s="32">
        <v>1.246</v>
      </c>
      <c r="H794" s="32">
        <v>2.1800000000000002</v>
      </c>
      <c r="I794" s="32">
        <v>3.0419999999999998</v>
      </c>
      <c r="J794" s="32">
        <v>3.3839999999999999</v>
      </c>
      <c r="K794" s="32">
        <v>3.65</v>
      </c>
      <c r="L794" s="32">
        <v>3.64</v>
      </c>
      <c r="M794" s="32">
        <v>3.62</v>
      </c>
      <c r="N794" s="32">
        <v>3.62</v>
      </c>
      <c r="O794" s="32">
        <v>157.53399658203125</v>
      </c>
      <c r="P794" s="29">
        <v>1.1608065366744995</v>
      </c>
      <c r="Q794" s="29">
        <v>112.5625</v>
      </c>
      <c r="R794" s="32">
        <v>0.91739999999999999</v>
      </c>
      <c r="S794" s="32">
        <v>2.2579182141113261</v>
      </c>
    </row>
    <row r="795" spans="1:19">
      <c r="A795" s="10">
        <v>46090</v>
      </c>
      <c r="B795" s="32">
        <v>3.56</v>
      </c>
      <c r="C795" s="32">
        <v>3.71</v>
      </c>
      <c r="D795" s="32">
        <v>4.12</v>
      </c>
      <c r="E795" s="32">
        <v>4.7</v>
      </c>
      <c r="F795" s="32">
        <v>4.72</v>
      </c>
      <c r="G795" s="32">
        <v>1.242</v>
      </c>
      <c r="H795" s="32">
        <v>2.2050000000000001</v>
      </c>
      <c r="I795" s="32">
        <v>3.09</v>
      </c>
      <c r="J795" s="32">
        <v>3.44</v>
      </c>
      <c r="K795" s="32">
        <v>3.65</v>
      </c>
      <c r="L795" s="32">
        <v>3.64</v>
      </c>
      <c r="M795" s="32">
        <v>3.63</v>
      </c>
      <c r="N795" s="32">
        <v>3.63</v>
      </c>
      <c r="O795" s="32">
        <v>158.427001953125</v>
      </c>
      <c r="P795" s="29">
        <v>1.1523259878158569</v>
      </c>
      <c r="Q795" s="29">
        <v>112.484375</v>
      </c>
      <c r="R795" s="32">
        <v>0.91739999999999999</v>
      </c>
      <c r="S795" s="32">
        <v>2.2982599999999991</v>
      </c>
    </row>
    <row r="796" spans="1:19">
      <c r="A796" s="10">
        <v>46091</v>
      </c>
      <c r="B796" s="32">
        <v>3.57</v>
      </c>
      <c r="C796" s="32">
        <v>3.73</v>
      </c>
      <c r="D796" s="32">
        <v>4.1500000000000004</v>
      </c>
      <c r="E796" s="32">
        <v>4.74</v>
      </c>
      <c r="F796" s="32">
        <v>4.78</v>
      </c>
      <c r="G796" s="32">
        <v>1.258</v>
      </c>
      <c r="H796" s="32">
        <v>2.1989999999999998</v>
      </c>
      <c r="I796" s="32">
        <v>3.069</v>
      </c>
      <c r="J796" s="32">
        <v>3.4119999999999999</v>
      </c>
      <c r="K796" s="32">
        <v>3.64</v>
      </c>
      <c r="L796" s="32">
        <v>3.64</v>
      </c>
      <c r="M796" s="32">
        <v>3.61</v>
      </c>
      <c r="N796" s="32">
        <v>3.62</v>
      </c>
      <c r="O796" s="32">
        <v>157.84800720214844</v>
      </c>
      <c r="P796" s="29">
        <v>1.1617234945297241</v>
      </c>
      <c r="Q796" s="29">
        <v>112.578125</v>
      </c>
      <c r="R796" s="32">
        <v>1.0203</v>
      </c>
      <c r="S796" s="32">
        <v>2.2894899999999989</v>
      </c>
    </row>
    <row r="797" spans="1:19">
      <c r="A797" s="10">
        <v>46092</v>
      </c>
      <c r="B797" s="32">
        <v>3.64</v>
      </c>
      <c r="C797" s="32">
        <v>3.79</v>
      </c>
      <c r="D797" s="32">
        <v>4.21</v>
      </c>
      <c r="E797" s="32">
        <v>4.82</v>
      </c>
      <c r="F797" s="32">
        <v>4.8600000000000003</v>
      </c>
      <c r="G797" s="32">
        <v>1.2529999999999999</v>
      </c>
      <c r="H797" s="32">
        <v>2.1779999999999999</v>
      </c>
      <c r="I797" s="32">
        <v>3.069</v>
      </c>
      <c r="J797" s="32">
        <v>3.4209999999999998</v>
      </c>
      <c r="K797" s="32">
        <v>3.64</v>
      </c>
      <c r="L797" s="32">
        <v>3.64</v>
      </c>
      <c r="M797" s="32">
        <v>3.62</v>
      </c>
      <c r="N797" s="32">
        <v>3.62</v>
      </c>
      <c r="O797" s="32">
        <v>158.11399841308594</v>
      </c>
      <c r="P797" s="29">
        <v>1.1611299514770508</v>
      </c>
      <c r="Q797" s="29">
        <v>112.125</v>
      </c>
      <c r="R797" s="32">
        <v>0.95089999999999997</v>
      </c>
      <c r="S797" s="32">
        <v>2.2684417858886707</v>
      </c>
    </row>
    <row r="798" spans="1:19">
      <c r="A798" s="10">
        <v>46093</v>
      </c>
      <c r="B798" s="32">
        <v>3.76</v>
      </c>
      <c r="C798" s="32">
        <v>3.88</v>
      </c>
      <c r="D798" s="32">
        <v>4.2699999999999996</v>
      </c>
      <c r="E798" s="32">
        <v>4.8600000000000003</v>
      </c>
      <c r="F798" s="32">
        <v>4.88</v>
      </c>
      <c r="G798" s="32">
        <v>1.2629999999999999</v>
      </c>
      <c r="H798" s="32">
        <v>2.2010000000000001</v>
      </c>
      <c r="I798" s="32">
        <v>3.0950000000000002</v>
      </c>
      <c r="J798" s="32">
        <v>3.4510000000000001</v>
      </c>
      <c r="K798" s="32">
        <v>3.65</v>
      </c>
      <c r="L798" s="32">
        <v>3.64</v>
      </c>
      <c r="M798" s="32">
        <v>3.63</v>
      </c>
      <c r="N798" s="32">
        <v>3.63</v>
      </c>
      <c r="O798" s="32">
        <v>159.07499694824219</v>
      </c>
      <c r="P798" s="29">
        <v>1.1543211936950684</v>
      </c>
      <c r="Q798" s="29">
        <v>111.5625</v>
      </c>
      <c r="R798" s="32">
        <v>1.1029</v>
      </c>
      <c r="S798" s="32">
        <v>2.2912435717773416</v>
      </c>
    </row>
    <row r="799" spans="1:19">
      <c r="A799" s="10">
        <v>46094</v>
      </c>
      <c r="B799" s="32">
        <v>3.73</v>
      </c>
      <c r="C799" s="32">
        <v>3.87</v>
      </c>
      <c r="D799" s="32">
        <v>4.28</v>
      </c>
      <c r="E799" s="32">
        <v>4.8899999999999997</v>
      </c>
      <c r="F799" s="32">
        <v>4.9000000000000004</v>
      </c>
      <c r="G799" s="32">
        <v>1.2889999999999999</v>
      </c>
      <c r="H799" s="32">
        <v>2.2549999999999999</v>
      </c>
      <c r="I799" s="32">
        <v>3.133</v>
      </c>
      <c r="J799" s="32">
        <v>3.4790000000000001</v>
      </c>
      <c r="K799" s="32">
        <v>3.65</v>
      </c>
      <c r="L799" s="32">
        <v>3.64</v>
      </c>
      <c r="M799" s="32">
        <v>3.63</v>
      </c>
      <c r="N799" s="32">
        <v>3.63</v>
      </c>
      <c r="O799" s="32">
        <v>159.20599365234375</v>
      </c>
      <c r="P799" s="29">
        <v>1.1521666049957275</v>
      </c>
      <c r="Q799" s="29">
        <v>111.5625</v>
      </c>
      <c r="R799" s="32">
        <v>1.1633</v>
      </c>
      <c r="S799" s="32">
        <v>2.3438635717773426</v>
      </c>
    </row>
    <row r="800" spans="1:19">
      <c r="A800" s="10">
        <v>46097</v>
      </c>
      <c r="B800" s="32">
        <v>3.68</v>
      </c>
      <c r="C800" s="32">
        <v>3.8</v>
      </c>
      <c r="D800" s="32">
        <v>4.2300000000000004</v>
      </c>
      <c r="E800" s="32">
        <v>4.83</v>
      </c>
      <c r="F800" s="32">
        <v>4.8600000000000003</v>
      </c>
      <c r="G800" s="32">
        <v>1.2869999999999999</v>
      </c>
      <c r="H800" s="32">
        <v>2.2879999999999998</v>
      </c>
      <c r="I800" s="32">
        <v>3.1669999999999998</v>
      </c>
      <c r="J800" s="32">
        <v>3.5150000000000001</v>
      </c>
      <c r="K800" s="32">
        <v>3.7</v>
      </c>
      <c r="L800" s="32">
        <v>3.64</v>
      </c>
      <c r="M800" s="32">
        <v>3.67</v>
      </c>
      <c r="N800" s="32">
        <v>3.67</v>
      </c>
      <c r="O800" s="32">
        <v>159.5679931640625</v>
      </c>
      <c r="P800" s="29">
        <v>1.1435105800628662</v>
      </c>
      <c r="Q800" s="29">
        <v>112.03125</v>
      </c>
      <c r="R800" s="32">
        <v>1.1598999999999999</v>
      </c>
      <c r="S800" s="32">
        <v>2.373681785888671</v>
      </c>
    </row>
    <row r="801" spans="1:19">
      <c r="A801" s="10">
        <v>46098</v>
      </c>
      <c r="B801" s="32">
        <v>3.68</v>
      </c>
      <c r="C801" s="32">
        <v>3.79</v>
      </c>
      <c r="D801" s="32">
        <v>4.2</v>
      </c>
      <c r="E801" s="32">
        <v>4.8099999999999996</v>
      </c>
      <c r="F801" s="32">
        <v>4.8499999999999996</v>
      </c>
      <c r="G801" s="32">
        <v>1.28</v>
      </c>
      <c r="H801" s="32">
        <v>2.2789999999999999</v>
      </c>
      <c r="I801" s="32">
        <v>3.1549999999999998</v>
      </c>
      <c r="J801" s="32">
        <v>3.5139999999999998</v>
      </c>
      <c r="K801" s="32">
        <v>3.65</v>
      </c>
      <c r="L801" s="32">
        <v>3.64</v>
      </c>
      <c r="M801" s="32">
        <v>3.62</v>
      </c>
      <c r="N801" s="32">
        <v>3.62</v>
      </c>
      <c r="O801" s="32">
        <v>159.10499572753906</v>
      </c>
      <c r="P801" s="29">
        <v>1.1499539613723755</v>
      </c>
      <c r="Q801" s="29">
        <v>112.140625</v>
      </c>
      <c r="R801" s="32">
        <v>1.1256999999999999</v>
      </c>
      <c r="S801" s="32">
        <v>2.3543882141113261</v>
      </c>
    </row>
    <row r="802" spans="1:19">
      <c r="A802" s="10">
        <v>46099</v>
      </c>
      <c r="B802" s="32">
        <v>3.76</v>
      </c>
      <c r="C802" s="32">
        <v>3.87</v>
      </c>
      <c r="D802" s="32">
        <v>4.26</v>
      </c>
      <c r="E802" s="32">
        <v>4.84</v>
      </c>
      <c r="F802" s="32">
        <v>4.88</v>
      </c>
      <c r="G802" s="32">
        <v>1.2609999999999999</v>
      </c>
      <c r="H802" s="32">
        <v>2.2309999999999999</v>
      </c>
      <c r="I802" s="32">
        <v>3.113</v>
      </c>
      <c r="J802" s="32">
        <v>3.4620000000000002</v>
      </c>
      <c r="K802" s="32">
        <v>3.62</v>
      </c>
      <c r="L802" s="32">
        <v>3.64</v>
      </c>
      <c r="M802" s="32">
        <v>3.6</v>
      </c>
      <c r="N802" s="32">
        <v>3.6</v>
      </c>
      <c r="O802" s="32">
        <v>158.88900756835938</v>
      </c>
      <c r="P802" s="29">
        <v>1.153948187828064</v>
      </c>
      <c r="Q802" s="29">
        <v>111.6875</v>
      </c>
      <c r="R802" s="32">
        <v>1.0693999999999999</v>
      </c>
      <c r="S802" s="32">
        <v>2.2614264282226557</v>
      </c>
    </row>
    <row r="803" spans="1:19">
      <c r="A803" s="10">
        <v>46100</v>
      </c>
      <c r="B803" s="32">
        <v>3.79</v>
      </c>
      <c r="C803" s="32">
        <v>3.88</v>
      </c>
      <c r="D803" s="32">
        <v>4.25</v>
      </c>
      <c r="E803" s="32">
        <v>4.82</v>
      </c>
      <c r="F803" s="32">
        <v>4.83</v>
      </c>
      <c r="G803" s="32">
        <v>1.2769999999999999</v>
      </c>
      <c r="H803" s="32">
        <v>2.2730000000000001</v>
      </c>
      <c r="I803" s="32">
        <v>3.1459999999999999</v>
      </c>
      <c r="J803" s="32">
        <v>3.4910000000000001</v>
      </c>
      <c r="K803" s="32">
        <v>3.62</v>
      </c>
      <c r="L803" s="32">
        <v>3.64</v>
      </c>
      <c r="M803" s="32">
        <v>3.6</v>
      </c>
      <c r="N803" s="32">
        <v>3.6</v>
      </c>
      <c r="O803" s="32">
        <v>159.79499816894531</v>
      </c>
      <c r="P803" s="29">
        <v>1.1464471817016602</v>
      </c>
      <c r="Q803" s="29">
        <v>111.359375</v>
      </c>
      <c r="R803" s="32">
        <v>1.1166</v>
      </c>
      <c r="S803" s="32">
        <v>2.3508799999999983</v>
      </c>
    </row>
    <row r="804" spans="1:19">
      <c r="A804" s="10">
        <v>46101</v>
      </c>
      <c r="B804" s="32">
        <v>3.88</v>
      </c>
      <c r="C804" s="32">
        <v>4.01</v>
      </c>
      <c r="D804" s="32">
        <v>4.3899999999999997</v>
      </c>
      <c r="E804" s="32">
        <v>4.97</v>
      </c>
      <c r="F804" s="32">
        <v>4.96</v>
      </c>
      <c r="G804" s="32">
        <v>1.2769999999999999</v>
      </c>
      <c r="H804" s="32">
        <v>2.2730000000000001</v>
      </c>
      <c r="I804" s="32">
        <v>3.1459999999999999</v>
      </c>
      <c r="J804" s="32">
        <v>3.4910000000000001</v>
      </c>
      <c r="K804" s="32">
        <v>3.62</v>
      </c>
      <c r="L804" s="32">
        <v>3.64</v>
      </c>
      <c r="M804" s="32">
        <v>3.6</v>
      </c>
      <c r="N804" s="32">
        <v>3.6</v>
      </c>
      <c r="O804" s="32">
        <v>157.92399597167969</v>
      </c>
      <c r="P804" s="29">
        <v>1.1577557325363159</v>
      </c>
      <c r="Q804" s="29">
        <v>110.796875</v>
      </c>
      <c r="R804" s="32">
        <v>1.1686000000000001</v>
      </c>
      <c r="S804" s="32">
        <v>2.3508799999999983</v>
      </c>
    </row>
    <row r="805" spans="1:19">
      <c r="A805" s="10">
        <v>46104</v>
      </c>
      <c r="B805" s="32">
        <v>3.83</v>
      </c>
      <c r="C805" s="32">
        <v>3.95</v>
      </c>
      <c r="D805" s="32">
        <v>4.34</v>
      </c>
      <c r="E805" s="32">
        <v>4.93</v>
      </c>
      <c r="F805" s="32">
        <v>4.91</v>
      </c>
      <c r="G805" s="32">
        <v>1.3109999999999999</v>
      </c>
      <c r="H805" s="32">
        <v>2.3220000000000001</v>
      </c>
      <c r="I805" s="32">
        <v>3.1880000000000002</v>
      </c>
      <c r="J805" s="32">
        <v>3.5219999999999998</v>
      </c>
      <c r="K805" s="32">
        <v>3.62</v>
      </c>
      <c r="L805" s="32">
        <v>3.64</v>
      </c>
      <c r="M805" s="32">
        <v>3.6</v>
      </c>
      <c r="N805" s="32">
        <v>3.6</v>
      </c>
      <c r="O805" s="32">
        <v>159.23399353027344</v>
      </c>
      <c r="P805" s="29">
        <v>1.1560158729553223</v>
      </c>
      <c r="Q805" s="29">
        <v>110.921875</v>
      </c>
      <c r="R805" s="32">
        <v>1.2075</v>
      </c>
      <c r="S805" s="32">
        <v>2.4034999999999993</v>
      </c>
    </row>
    <row r="806" spans="1:19">
      <c r="A806" s="10">
        <v>46105</v>
      </c>
      <c r="B806" s="32">
        <v>3.9</v>
      </c>
      <c r="C806" s="32">
        <v>4.03</v>
      </c>
      <c r="D806" s="32">
        <v>4.3899999999999997</v>
      </c>
      <c r="E806" s="32">
        <v>4.95</v>
      </c>
      <c r="F806" s="32">
        <v>4.9400000000000004</v>
      </c>
      <c r="G806" s="32">
        <v>1.3109999999999999</v>
      </c>
      <c r="H806" s="32">
        <v>2.282</v>
      </c>
      <c r="I806" s="32">
        <v>3.161</v>
      </c>
      <c r="J806" s="32">
        <v>3.5089999999999999</v>
      </c>
      <c r="K806" s="32">
        <v>3.63</v>
      </c>
      <c r="L806" s="32">
        <v>3.64</v>
      </c>
      <c r="M806" s="32">
        <v>3.6</v>
      </c>
      <c r="N806" s="32">
        <v>3.6</v>
      </c>
      <c r="O806" s="32">
        <v>158.47900390625</v>
      </c>
      <c r="P806" s="29">
        <v>1.1607122421264648</v>
      </c>
      <c r="Q806" s="29">
        <v>110.421875</v>
      </c>
      <c r="R806" s="32">
        <v>1.2195</v>
      </c>
      <c r="S806" s="32">
        <v>2.3806982141113266</v>
      </c>
    </row>
    <row r="807" spans="1:19">
      <c r="A807" s="10">
        <v>46106</v>
      </c>
      <c r="B807" s="32">
        <v>3.84</v>
      </c>
      <c r="C807" s="32">
        <v>3.96</v>
      </c>
      <c r="D807" s="32">
        <v>4.33</v>
      </c>
      <c r="E807" s="32">
        <v>4.9000000000000004</v>
      </c>
      <c r="F807" s="32">
        <v>4.8899999999999997</v>
      </c>
      <c r="G807" s="32">
        <v>1.3169999999999999</v>
      </c>
      <c r="H807" s="32">
        <v>2.2669999999999999</v>
      </c>
      <c r="I807" s="32">
        <v>3.1360000000000001</v>
      </c>
      <c r="J807" s="32">
        <v>3.4790000000000001</v>
      </c>
      <c r="K807" s="32">
        <v>3.64</v>
      </c>
      <c r="L807" s="32">
        <v>3.64</v>
      </c>
      <c r="M807" s="32">
        <v>3.63</v>
      </c>
      <c r="N807" s="32">
        <v>3.63</v>
      </c>
      <c r="O807" s="32">
        <v>158.71800231933594</v>
      </c>
      <c r="P807" s="29">
        <v>1.1614671945571899</v>
      </c>
      <c r="Q807" s="29">
        <v>110.890625</v>
      </c>
      <c r="R807" s="32">
        <v>1.2148000000000001</v>
      </c>
      <c r="S807" s="32">
        <v>2.3614035717773429</v>
      </c>
    </row>
    <row r="808" spans="1:19">
      <c r="A808" s="10">
        <v>46107</v>
      </c>
      <c r="B808" s="32">
        <v>3.96</v>
      </c>
      <c r="C808" s="32">
        <v>4.08</v>
      </c>
      <c r="D808" s="32">
        <v>4.42</v>
      </c>
      <c r="E808" s="32">
        <v>4.96</v>
      </c>
      <c r="F808" s="32">
        <v>4.93</v>
      </c>
      <c r="G808" s="32">
        <v>1.3480000000000001</v>
      </c>
      <c r="H808" s="32">
        <v>2.286</v>
      </c>
      <c r="I808" s="32">
        <v>3.1480000000000001</v>
      </c>
      <c r="J808" s="32">
        <v>3.4889999999999999</v>
      </c>
      <c r="K808" s="32">
        <v>3.65</v>
      </c>
      <c r="L808" s="32">
        <v>3.64</v>
      </c>
      <c r="M808" s="32">
        <v>3.63</v>
      </c>
      <c r="N808" s="32">
        <v>3.63</v>
      </c>
      <c r="O808" s="32">
        <v>159.38400268554688</v>
      </c>
      <c r="P808" s="29">
        <v>1.1561496257781982</v>
      </c>
      <c r="Q808" s="29">
        <v>110.171875</v>
      </c>
      <c r="R808" s="32">
        <v>1.1452</v>
      </c>
      <c r="S808" s="32">
        <v>2.3245699999999996</v>
      </c>
    </row>
    <row r="809" spans="1:19">
      <c r="A809" s="10">
        <v>46108</v>
      </c>
      <c r="B809" s="32">
        <v>3.88</v>
      </c>
      <c r="C809" s="32">
        <v>4.0599999999999996</v>
      </c>
      <c r="D809" s="32">
        <v>4.4400000000000004</v>
      </c>
      <c r="E809" s="32">
        <v>4.99</v>
      </c>
      <c r="F809" s="32">
        <v>4.9800000000000004</v>
      </c>
      <c r="G809" s="32">
        <v>1.393</v>
      </c>
      <c r="H809" s="32">
        <v>2.38</v>
      </c>
      <c r="I809" s="32">
        <v>3.2679999999999998</v>
      </c>
      <c r="J809" s="32">
        <v>3.629</v>
      </c>
      <c r="K809" s="32">
        <v>3.63</v>
      </c>
      <c r="L809" s="32">
        <v>3.64</v>
      </c>
      <c r="M809" s="32">
        <v>3.62</v>
      </c>
      <c r="N809" s="32">
        <v>3.62</v>
      </c>
      <c r="O809" s="32">
        <v>159.70399475097656</v>
      </c>
      <c r="P809" s="29">
        <v>1.1535090208053589</v>
      </c>
      <c r="Q809" s="29">
        <v>110.15625</v>
      </c>
      <c r="R809" s="32">
        <v>1.2755000000000001</v>
      </c>
      <c r="S809" s="32">
        <v>2.4438417858886705</v>
      </c>
    </row>
    <row r="810" spans="1:19">
      <c r="A810" s="10">
        <v>46111</v>
      </c>
      <c r="B810" s="32">
        <v>3.82</v>
      </c>
      <c r="C810" s="32">
        <v>3.97</v>
      </c>
      <c r="D810" s="32">
        <v>4.3499999999999996</v>
      </c>
      <c r="E810" s="32">
        <v>4.92</v>
      </c>
      <c r="F810" s="32">
        <v>4.91</v>
      </c>
      <c r="G810" s="32">
        <v>1.369</v>
      </c>
      <c r="H810" s="32">
        <v>2.3679999999999999</v>
      </c>
      <c r="I810" s="32">
        <v>3.3069999999999999</v>
      </c>
      <c r="J810" s="32">
        <v>3.698</v>
      </c>
      <c r="K810" s="32">
        <v>3.63</v>
      </c>
      <c r="L810" s="32">
        <v>3.64</v>
      </c>
      <c r="M810" s="32">
        <v>3.62</v>
      </c>
      <c r="N810" s="32">
        <v>3.62</v>
      </c>
      <c r="O810" s="32">
        <v>159.84100341796875</v>
      </c>
      <c r="P810" s="29">
        <v>1.1460003852844238</v>
      </c>
      <c r="Q810" s="29">
        <v>110.8125</v>
      </c>
      <c r="R810" s="32">
        <v>1.2901</v>
      </c>
      <c r="S810" s="32">
        <v>2.4648899999999987</v>
      </c>
    </row>
    <row r="811" spans="1:19">
      <c r="A811" s="10">
        <v>46112</v>
      </c>
      <c r="B811" s="32">
        <v>3.79</v>
      </c>
      <c r="C811" s="32">
        <v>3.92</v>
      </c>
      <c r="D811" s="32">
        <v>4.3</v>
      </c>
      <c r="E811" s="32">
        <v>4.88</v>
      </c>
      <c r="F811" s="32">
        <v>4.88</v>
      </c>
      <c r="G811" s="32">
        <v>1.375</v>
      </c>
      <c r="H811" s="32">
        <v>2.3660000000000001</v>
      </c>
      <c r="I811" s="32">
        <v>3.2839999999999998</v>
      </c>
      <c r="J811" s="32">
        <v>3.64</v>
      </c>
      <c r="K811" s="32">
        <v>3.68</v>
      </c>
      <c r="L811" s="32">
        <v>3.64</v>
      </c>
      <c r="M811" s="32">
        <v>3.66</v>
      </c>
      <c r="N811" s="32">
        <v>3.66</v>
      </c>
      <c r="O811" s="32">
        <v>158.57899475097656</v>
      </c>
      <c r="P811" s="29">
        <v>1.1574207544326782</v>
      </c>
      <c r="Q811" s="29">
        <v>111.046875</v>
      </c>
      <c r="R811" s="32">
        <v>1.1978</v>
      </c>
      <c r="S811" s="32">
        <v>2.4596282141113264</v>
      </c>
    </row>
    <row r="812" spans="1:19">
      <c r="A812" s="10">
        <v>46113</v>
      </c>
      <c r="B812" s="32">
        <v>3.81</v>
      </c>
      <c r="C812" s="32">
        <v>3.97</v>
      </c>
      <c r="D812" s="32">
        <v>4.33</v>
      </c>
      <c r="E812" s="32">
        <v>4.91</v>
      </c>
      <c r="F812" s="32">
        <v>4.91</v>
      </c>
      <c r="G812" s="32">
        <v>1.349</v>
      </c>
      <c r="H812" s="32">
        <v>2.3149999999999999</v>
      </c>
      <c r="I812" s="32">
        <v>3.2130000000000001</v>
      </c>
      <c r="J812" s="32">
        <v>3.5640000000000001</v>
      </c>
      <c r="K812" s="32">
        <v>3.65</v>
      </c>
      <c r="L812" s="32">
        <v>3.64</v>
      </c>
      <c r="M812" s="32">
        <v>3.62</v>
      </c>
      <c r="N812" s="32">
        <v>3.62</v>
      </c>
      <c r="O812" s="32">
        <v>158.68800354003906</v>
      </c>
      <c r="P812" s="29">
        <v>1.1590573787689209</v>
      </c>
      <c r="Q812" s="29">
        <v>110.984375</v>
      </c>
      <c r="R812" s="32">
        <v>1.0734999999999999</v>
      </c>
      <c r="S812" s="32">
        <v>2.4157782141113273</v>
      </c>
    </row>
    <row r="813" spans="1:19">
      <c r="A813" s="10">
        <v>46114</v>
      </c>
      <c r="B813" s="32">
        <v>3.79</v>
      </c>
      <c r="C813" s="32">
        <v>3.94</v>
      </c>
      <c r="D813" s="32">
        <v>4.3099999999999996</v>
      </c>
      <c r="E813" s="32">
        <v>4.88</v>
      </c>
      <c r="F813" s="32">
        <v>4.88</v>
      </c>
      <c r="G813" s="32">
        <v>1.39</v>
      </c>
      <c r="H813" s="32">
        <v>2.395</v>
      </c>
      <c r="I813" s="32">
        <v>3.2709999999999999</v>
      </c>
      <c r="J813" s="32">
        <v>3.6139999999999999</v>
      </c>
      <c r="K813" s="32">
        <v>3.66</v>
      </c>
      <c r="L813" s="32">
        <v>3.64</v>
      </c>
      <c r="M813" s="32">
        <v>3.63</v>
      </c>
      <c r="N813" s="32">
        <v>3.63</v>
      </c>
      <c r="O813" s="32">
        <v>159.49099731445313</v>
      </c>
      <c r="P813" s="29">
        <v>1.1541746854782104</v>
      </c>
      <c r="Q813" s="29">
        <v>111.015625</v>
      </c>
      <c r="R813" s="32">
        <v>1.0578000000000001</v>
      </c>
      <c r="S813" s="32">
        <v>2.4631364282226542</v>
      </c>
    </row>
    <row r="814" spans="1:19">
      <c r="A814" s="10">
        <v>46115</v>
      </c>
      <c r="B814" s="32">
        <v>3.84</v>
      </c>
      <c r="C814" s="32">
        <v>3.99</v>
      </c>
      <c r="D814" s="32">
        <v>4.3499999999999996</v>
      </c>
      <c r="E814" s="32">
        <v>4.91</v>
      </c>
      <c r="F814" s="32">
        <v>4.91</v>
      </c>
      <c r="G814" s="32">
        <v>1.391</v>
      </c>
      <c r="H814" s="32">
        <v>2.3860000000000001</v>
      </c>
      <c r="I814" s="32">
        <v>3.2709999999999999</v>
      </c>
      <c r="J814" s="32">
        <v>3.6110000000000002</v>
      </c>
      <c r="L814" s="32">
        <v>3.64</v>
      </c>
      <c r="O814" s="32">
        <v>159.49099731445313</v>
      </c>
      <c r="P814" s="29">
        <v>1.1541746854782104</v>
      </c>
      <c r="Q814" s="29">
        <v>111.015625</v>
      </c>
      <c r="R814" s="32">
        <v>1.0425</v>
      </c>
      <c r="S814" s="32">
        <v>2.4526117858886707</v>
      </c>
    </row>
    <row r="815" spans="1:19">
      <c r="A815" s="10">
        <v>46118</v>
      </c>
      <c r="B815" s="32">
        <v>3.84</v>
      </c>
      <c r="C815" s="32">
        <v>3.98</v>
      </c>
      <c r="D815" s="32">
        <v>4.34</v>
      </c>
      <c r="E815" s="32">
        <v>4.8899999999999997</v>
      </c>
      <c r="F815" s="32">
        <v>4.8899999999999997</v>
      </c>
      <c r="G815" s="32">
        <v>1.4019999999999999</v>
      </c>
      <c r="H815" s="32">
        <v>2.4289999999999998</v>
      </c>
      <c r="I815" s="32">
        <v>3.3260000000000001</v>
      </c>
      <c r="J815" s="32">
        <v>3.6720000000000002</v>
      </c>
      <c r="K815" s="32">
        <v>3.65</v>
      </c>
      <c r="L815" s="32">
        <v>3.64</v>
      </c>
      <c r="M815" s="32">
        <v>3.63</v>
      </c>
      <c r="N815" s="32">
        <v>3.63</v>
      </c>
      <c r="O815" s="32">
        <v>159.68299865722656</v>
      </c>
      <c r="P815" s="29">
        <v>1.1541212797164917</v>
      </c>
      <c r="Q815" s="29">
        <v>110.8125</v>
      </c>
      <c r="R815" s="32">
        <v>1.0425</v>
      </c>
      <c r="S815" s="32">
        <v>2.4736599999999989</v>
      </c>
    </row>
    <row r="816" spans="1:19">
      <c r="A816" s="10">
        <v>46119</v>
      </c>
      <c r="B816" s="32">
        <v>3.81</v>
      </c>
      <c r="C816" s="32">
        <v>3.95</v>
      </c>
      <c r="D816" s="32">
        <v>4.33</v>
      </c>
      <c r="E816" s="32">
        <v>4.9000000000000004</v>
      </c>
      <c r="F816" s="32">
        <v>4.9000000000000004</v>
      </c>
      <c r="G816" s="32">
        <v>1.387</v>
      </c>
      <c r="H816" s="32">
        <v>2.411</v>
      </c>
      <c r="I816" s="32">
        <v>3.3260000000000001</v>
      </c>
      <c r="J816" s="32">
        <v>3.6669999999999998</v>
      </c>
      <c r="K816" s="32">
        <v>3.62</v>
      </c>
      <c r="L816" s="32">
        <v>3.64</v>
      </c>
      <c r="M816" s="32">
        <v>3.61</v>
      </c>
      <c r="N816" s="32">
        <v>3.61</v>
      </c>
      <c r="O816" s="32">
        <v>158.71600341796875</v>
      </c>
      <c r="P816" s="29">
        <v>1.1686612367630005</v>
      </c>
      <c r="Q816" s="29">
        <v>110.859375</v>
      </c>
      <c r="R816" s="32">
        <v>1.0425</v>
      </c>
      <c r="S816" s="32">
        <v>2.4911999999999992</v>
      </c>
    </row>
    <row r="817" spans="1:19">
      <c r="A817" s="10">
        <v>46120</v>
      </c>
      <c r="B817" s="32">
        <v>3.79</v>
      </c>
      <c r="C817" s="32">
        <v>3.92</v>
      </c>
      <c r="D817" s="32">
        <v>4.29</v>
      </c>
      <c r="E817" s="32">
        <v>4.87</v>
      </c>
      <c r="F817" s="32">
        <v>4.8899999999999997</v>
      </c>
      <c r="G817" s="32">
        <v>1.3819999999999999</v>
      </c>
      <c r="H817" s="32">
        <v>2.3740000000000001</v>
      </c>
      <c r="I817" s="32">
        <v>3.2719999999999998</v>
      </c>
      <c r="J817" s="32">
        <v>3.6150000000000002</v>
      </c>
      <c r="K817" s="32">
        <v>3.59</v>
      </c>
      <c r="L817" s="32">
        <v>3.64</v>
      </c>
      <c r="M817" s="32">
        <v>3.58</v>
      </c>
      <c r="N817" s="32">
        <v>3.58</v>
      </c>
      <c r="O817" s="32">
        <v>158.64199829101563</v>
      </c>
      <c r="P817" s="29">
        <v>1.1659359931945801</v>
      </c>
      <c r="Q817" s="29">
        <v>111.234375</v>
      </c>
      <c r="R817" s="32">
        <v>1.1247</v>
      </c>
      <c r="S817" s="32">
        <v>2.4438417858886705</v>
      </c>
    </row>
    <row r="818" spans="1:19">
      <c r="A818" s="10">
        <v>46121</v>
      </c>
      <c r="B818" s="32">
        <v>3.78</v>
      </c>
      <c r="C818" s="32">
        <v>3.91</v>
      </c>
      <c r="D818" s="32">
        <v>4.29</v>
      </c>
      <c r="E818" s="32">
        <v>4.88</v>
      </c>
      <c r="F818" s="32">
        <v>4.9000000000000004</v>
      </c>
      <c r="G818" s="32">
        <v>1.3939999999999999</v>
      </c>
      <c r="H818" s="32">
        <v>2.3969999999999998</v>
      </c>
      <c r="I818" s="32">
        <v>3.2890000000000001</v>
      </c>
      <c r="J818" s="32">
        <v>3.6190000000000002</v>
      </c>
      <c r="K818" s="32">
        <v>3.57</v>
      </c>
      <c r="L818" s="32">
        <v>3.64</v>
      </c>
      <c r="M818" s="32">
        <v>3.54</v>
      </c>
      <c r="N818" s="32">
        <v>3.54</v>
      </c>
      <c r="O818" s="32">
        <v>159.11199951171875</v>
      </c>
      <c r="P818" s="29">
        <v>1.1691256761550903</v>
      </c>
      <c r="Q818" s="29">
        <v>111.234375</v>
      </c>
      <c r="R818" s="32">
        <v>0.98440000000000005</v>
      </c>
      <c r="S818" s="32">
        <v>2.4666435717773432</v>
      </c>
    </row>
    <row r="819" spans="1:19">
      <c r="A819" s="10">
        <v>46122</v>
      </c>
      <c r="B819" s="32">
        <v>3.81</v>
      </c>
      <c r="C819" s="32">
        <v>3.94</v>
      </c>
      <c r="D819" s="32">
        <v>4.3099999999999996</v>
      </c>
      <c r="E819" s="32">
        <v>4.8899999999999997</v>
      </c>
      <c r="F819" s="32">
        <v>4.91</v>
      </c>
      <c r="G819" s="32">
        <v>1.405</v>
      </c>
      <c r="H819" s="32">
        <v>2.4390000000000001</v>
      </c>
      <c r="I819" s="32">
        <v>3.3260000000000001</v>
      </c>
      <c r="J819" s="32">
        <v>3.6379999999999999</v>
      </c>
      <c r="K819" s="32">
        <v>3.61</v>
      </c>
      <c r="L819" s="32">
        <v>3.64</v>
      </c>
      <c r="M819" s="32">
        <v>3.59</v>
      </c>
      <c r="N819" s="32">
        <v>3.59</v>
      </c>
      <c r="O819" s="32">
        <v>159.11199951171875</v>
      </c>
      <c r="P819" s="29">
        <v>1.1691256761550903</v>
      </c>
      <c r="Q819" s="29">
        <v>111.09375</v>
      </c>
      <c r="R819" s="32">
        <v>1.0105999999999999</v>
      </c>
      <c r="S819" s="32">
        <v>2.4911999999999992</v>
      </c>
    </row>
    <row r="820" spans="1:19">
      <c r="A820" s="10">
        <v>46125</v>
      </c>
      <c r="B820" s="32">
        <v>3.78</v>
      </c>
      <c r="C820" s="32">
        <v>3.92</v>
      </c>
      <c r="D820" s="32">
        <v>4.3</v>
      </c>
      <c r="E820" s="32">
        <v>4.88</v>
      </c>
      <c r="F820" s="32">
        <v>4.9000000000000004</v>
      </c>
      <c r="G820" s="32">
        <v>1.401</v>
      </c>
      <c r="H820" s="32">
        <v>2.4670000000000001</v>
      </c>
      <c r="I820" s="32">
        <v>3.3769999999999998</v>
      </c>
      <c r="J820" s="32">
        <v>3.698</v>
      </c>
      <c r="K820" s="32">
        <v>3.63</v>
      </c>
      <c r="L820" s="32">
        <v>3.64</v>
      </c>
      <c r="M820" s="32">
        <v>3.61</v>
      </c>
      <c r="N820" s="32">
        <v>3.61</v>
      </c>
      <c r="O820" s="32">
        <v>159.21400451660156</v>
      </c>
      <c r="P820" s="29">
        <v>1.1768859624862671</v>
      </c>
      <c r="Q820" s="29">
        <v>111.234375</v>
      </c>
      <c r="R820" s="32">
        <v>1.0660000000000001</v>
      </c>
      <c r="S820" s="32">
        <v>2.5473282141113263</v>
      </c>
    </row>
    <row r="821" spans="1:19">
      <c r="A821" s="10">
        <v>46126</v>
      </c>
      <c r="B821" s="32">
        <v>3.76</v>
      </c>
      <c r="C821" s="32">
        <v>3.87</v>
      </c>
      <c r="D821" s="32">
        <v>4.26</v>
      </c>
      <c r="E821" s="32">
        <v>4.84</v>
      </c>
      <c r="F821" s="32">
        <v>4.87</v>
      </c>
      <c r="G821" s="32">
        <v>1.3819999999999999</v>
      </c>
      <c r="H821" s="32">
        <v>2.423</v>
      </c>
      <c r="I821" s="32">
        <v>3.2959999999999998</v>
      </c>
      <c r="J821" s="32">
        <v>3.633</v>
      </c>
      <c r="K821" s="32">
        <v>3.66</v>
      </c>
      <c r="L821" s="32">
        <v>3.64</v>
      </c>
      <c r="M821" s="32">
        <v>3.64</v>
      </c>
      <c r="N821" s="32">
        <v>3.64</v>
      </c>
      <c r="O821" s="32">
        <v>158.79200744628906</v>
      </c>
      <c r="P821" s="29">
        <v>1.179940938949585</v>
      </c>
      <c r="Q821" s="29">
        <v>111.53125</v>
      </c>
      <c r="R821" s="32">
        <v>1.1212</v>
      </c>
      <c r="S821" s="32">
        <v>2.4034999999999993</v>
      </c>
    </row>
    <row r="822" spans="1:19">
      <c r="A822" s="10">
        <v>46127</v>
      </c>
      <c r="B822" s="32">
        <v>3.76</v>
      </c>
      <c r="C822" s="32">
        <v>3.9</v>
      </c>
      <c r="D822" s="32">
        <v>4.29</v>
      </c>
      <c r="E822" s="32">
        <v>4.87</v>
      </c>
      <c r="F822" s="32">
        <v>4.8899999999999997</v>
      </c>
      <c r="G822" s="32">
        <v>1.3819999999999999</v>
      </c>
      <c r="H822" s="32">
        <v>2.4140000000000001</v>
      </c>
      <c r="I822" s="32">
        <v>3.2709999999999999</v>
      </c>
      <c r="J822" s="32">
        <v>3.6059999999999999</v>
      </c>
      <c r="K822" s="32">
        <v>3.72</v>
      </c>
      <c r="L822" s="32">
        <v>3.64</v>
      </c>
      <c r="M822" s="32">
        <v>3.7</v>
      </c>
      <c r="N822" s="32">
        <v>3.7</v>
      </c>
      <c r="O822" s="32">
        <v>158.80900573730469</v>
      </c>
      <c r="P822" s="29">
        <v>1.1809163093566895</v>
      </c>
      <c r="Q822" s="29">
        <v>111.359375</v>
      </c>
      <c r="R822" s="32">
        <v>1.0593999999999999</v>
      </c>
      <c r="S822" s="32">
        <v>2.3806982141113266</v>
      </c>
    </row>
    <row r="823" spans="1:19">
      <c r="A823" s="10">
        <v>46128</v>
      </c>
      <c r="B823" s="32">
        <v>3.78</v>
      </c>
      <c r="C823" s="32">
        <v>3.91</v>
      </c>
      <c r="D823" s="32">
        <v>4.32</v>
      </c>
      <c r="E823" s="32">
        <v>4.9000000000000004</v>
      </c>
      <c r="F823" s="32">
        <v>4.93</v>
      </c>
      <c r="G823" s="32">
        <v>1.3660000000000001</v>
      </c>
      <c r="H823" s="32">
        <v>2.4089999999999998</v>
      </c>
      <c r="I823" s="32">
        <v>3.282</v>
      </c>
      <c r="J823" s="32">
        <v>3.6230000000000002</v>
      </c>
      <c r="K823" s="32">
        <v>3.67</v>
      </c>
      <c r="L823" s="32">
        <v>3.64</v>
      </c>
      <c r="M823" s="32">
        <v>3.64</v>
      </c>
      <c r="N823" s="32">
        <v>3.64</v>
      </c>
      <c r="O823" s="32">
        <v>159.19500732421875</v>
      </c>
      <c r="P823" s="29">
        <v>1.1782727241516113</v>
      </c>
      <c r="Q823" s="29">
        <v>111.21875</v>
      </c>
      <c r="R823" s="32">
        <v>1.0708</v>
      </c>
      <c r="S823" s="32">
        <v>2.4491035717773428</v>
      </c>
    </row>
    <row r="824" spans="1:19">
      <c r="A824" s="10">
        <v>46129</v>
      </c>
      <c r="B824" s="32">
        <v>3.71</v>
      </c>
      <c r="C824" s="32">
        <v>3.84</v>
      </c>
      <c r="D824" s="32">
        <v>4.26</v>
      </c>
      <c r="E824" s="32">
        <v>4.8499999999999996</v>
      </c>
      <c r="F824" s="32">
        <v>4.88</v>
      </c>
      <c r="G824" s="32">
        <v>1.3720000000000001</v>
      </c>
      <c r="H824" s="32">
        <v>2.4279999999999999</v>
      </c>
      <c r="I824" s="32">
        <v>3.2919999999999998</v>
      </c>
      <c r="J824" s="32">
        <v>3.6219999999999999</v>
      </c>
      <c r="K824" s="32">
        <v>3.65</v>
      </c>
      <c r="L824" s="32">
        <v>3.64</v>
      </c>
      <c r="M824" s="32">
        <v>3.62</v>
      </c>
      <c r="N824" s="32">
        <v>3.62</v>
      </c>
      <c r="O824" s="32">
        <v>159.19500732421875</v>
      </c>
      <c r="P824" s="29">
        <v>1.1782727241516113</v>
      </c>
      <c r="Q824" s="29">
        <v>111.71875</v>
      </c>
      <c r="R824" s="32">
        <v>1.0508999999999999</v>
      </c>
      <c r="S824" s="32">
        <v>2.4613817858886708</v>
      </c>
    </row>
    <row r="825" spans="1:19">
      <c r="A825" s="10">
        <v>46132</v>
      </c>
      <c r="B825" s="32">
        <v>3.72</v>
      </c>
      <c r="C825" s="32">
        <v>3.86</v>
      </c>
      <c r="D825" s="32">
        <v>4.26</v>
      </c>
      <c r="E825" s="32">
        <v>4.8499999999999996</v>
      </c>
      <c r="F825" s="32">
        <v>4.88</v>
      </c>
      <c r="G825" s="32">
        <v>1.369</v>
      </c>
      <c r="H825" s="32">
        <v>2.4049999999999998</v>
      </c>
      <c r="I825" s="32">
        <v>3.2629999999999999</v>
      </c>
      <c r="J825" s="32">
        <v>3.5859999999999999</v>
      </c>
      <c r="K825" s="32">
        <v>3.63</v>
      </c>
      <c r="L825" s="32">
        <v>3.64</v>
      </c>
      <c r="M825" s="32">
        <v>3.6</v>
      </c>
      <c r="N825" s="32">
        <v>3.6</v>
      </c>
      <c r="O825" s="32">
        <v>158.843994140625</v>
      </c>
      <c r="P825" s="29">
        <v>1.1784392595291138</v>
      </c>
      <c r="Q825" s="29">
        <v>111.65625</v>
      </c>
      <c r="R825" s="32">
        <v>0.93969999999999998</v>
      </c>
      <c r="S825" s="32">
        <v>2.457873571777343</v>
      </c>
    </row>
    <row r="826" spans="1:19">
      <c r="A826" s="10">
        <v>46133</v>
      </c>
      <c r="B826" s="32">
        <v>3.78</v>
      </c>
      <c r="C826" s="32">
        <v>3.91</v>
      </c>
      <c r="D826" s="32">
        <v>4.3</v>
      </c>
      <c r="E826" s="32">
        <v>4.87</v>
      </c>
      <c r="F826" s="32">
        <v>4.8899999999999997</v>
      </c>
      <c r="G826" s="32">
        <v>1.359</v>
      </c>
      <c r="H826" s="32">
        <v>2.3919999999999999</v>
      </c>
      <c r="I826" s="32">
        <v>3.2509999999999999</v>
      </c>
      <c r="J826" s="32">
        <v>3.581</v>
      </c>
      <c r="K826" s="32">
        <v>3.63</v>
      </c>
      <c r="L826" s="32">
        <v>3.64</v>
      </c>
      <c r="M826" s="32">
        <v>3.61</v>
      </c>
      <c r="N826" s="32">
        <v>3.61</v>
      </c>
      <c r="O826" s="32">
        <v>159.37300109863281</v>
      </c>
      <c r="P826" s="29">
        <v>1.1744257211685181</v>
      </c>
      <c r="Q826" s="29">
        <v>111.296875</v>
      </c>
      <c r="R826" s="32">
        <v>0.97</v>
      </c>
      <c r="S826" s="32">
        <v>2.4263017858886702</v>
      </c>
    </row>
    <row r="827" spans="1:19">
      <c r="A827" s="10">
        <v>46134</v>
      </c>
      <c r="B827" s="32">
        <v>3.79</v>
      </c>
      <c r="C827" s="32">
        <v>3.91</v>
      </c>
      <c r="D827" s="32">
        <v>4.3</v>
      </c>
      <c r="E827" s="32">
        <v>4.87</v>
      </c>
      <c r="F827" s="32">
        <v>4.9000000000000004</v>
      </c>
      <c r="G827" s="32">
        <v>1.3620000000000001</v>
      </c>
      <c r="H827" s="32">
        <v>2.4060000000000001</v>
      </c>
      <c r="I827" s="32">
        <v>3.2679999999999998</v>
      </c>
      <c r="J827" s="32">
        <v>3.597</v>
      </c>
      <c r="K827" s="32">
        <v>3.64</v>
      </c>
      <c r="L827" s="32">
        <v>3.64</v>
      </c>
      <c r="M827" s="32">
        <v>3.62</v>
      </c>
      <c r="N827" s="32">
        <v>3.62</v>
      </c>
      <c r="O827" s="32">
        <v>159.48800659179688</v>
      </c>
      <c r="P827" s="29">
        <v>1.1706037521362305</v>
      </c>
      <c r="Q827" s="29">
        <v>111.28125</v>
      </c>
      <c r="R827" s="32">
        <v>1.0268999999999999</v>
      </c>
      <c r="S827" s="32">
        <v>2.4526117858886707</v>
      </c>
    </row>
    <row r="828" spans="1:19">
      <c r="A828" s="10">
        <v>46135</v>
      </c>
      <c r="B828" s="32">
        <v>3.83</v>
      </c>
      <c r="C828" s="32">
        <v>3.96</v>
      </c>
      <c r="D828" s="32">
        <v>4.34</v>
      </c>
      <c r="E828" s="32">
        <v>4.9000000000000004</v>
      </c>
      <c r="F828" s="32">
        <v>4.92</v>
      </c>
      <c r="G828" s="32">
        <v>1.365</v>
      </c>
      <c r="H828" s="32">
        <v>2.4289999999999998</v>
      </c>
      <c r="I828" s="32">
        <v>3.2970000000000002</v>
      </c>
      <c r="J828" s="32">
        <v>3.63</v>
      </c>
      <c r="K828" s="32">
        <v>3.65</v>
      </c>
      <c r="L828" s="32">
        <v>3.64</v>
      </c>
      <c r="M828" s="32">
        <v>3.63</v>
      </c>
      <c r="N828" s="32">
        <v>3.63</v>
      </c>
      <c r="O828" s="32">
        <v>159.74699401855469</v>
      </c>
      <c r="P828" s="29">
        <v>1.1683880090713501</v>
      </c>
      <c r="Q828" s="29">
        <v>111.046875</v>
      </c>
      <c r="R828" s="32">
        <v>1.0507</v>
      </c>
      <c r="S828" s="32">
        <v>2.4911999999999992</v>
      </c>
    </row>
    <row r="829" spans="1:19">
      <c r="A829" s="10">
        <v>46136</v>
      </c>
      <c r="B829" s="32">
        <v>3.78</v>
      </c>
      <c r="C829" s="32">
        <v>3.92</v>
      </c>
      <c r="D829" s="32">
        <v>4.3099999999999996</v>
      </c>
      <c r="E829" s="32">
        <v>4.88</v>
      </c>
      <c r="F829" s="32">
        <v>4.91</v>
      </c>
      <c r="G829" s="32">
        <v>1.363</v>
      </c>
      <c r="H829" s="32">
        <v>2.4430000000000001</v>
      </c>
      <c r="I829" s="32">
        <v>3.3180000000000001</v>
      </c>
      <c r="J829" s="32">
        <v>3.66</v>
      </c>
      <c r="K829" s="32">
        <v>3.66</v>
      </c>
      <c r="L829" s="32">
        <v>3.64</v>
      </c>
      <c r="M829" s="32">
        <v>3.65</v>
      </c>
      <c r="N829" s="32">
        <v>3.65</v>
      </c>
      <c r="O829" s="32">
        <v>159.74699401855469</v>
      </c>
      <c r="P829" s="29">
        <v>1.1683880090713501</v>
      </c>
      <c r="Q829" s="29">
        <v>111.21875</v>
      </c>
      <c r="R829" s="32">
        <v>1.0713999999999999</v>
      </c>
      <c r="S829" s="32">
        <v>2.4754135717773433</v>
      </c>
    </row>
    <row r="830" spans="1:19">
      <c r="A830" s="10">
        <v>46139</v>
      </c>
      <c r="B830" s="32">
        <v>3.78</v>
      </c>
      <c r="C830" s="32">
        <v>3.94</v>
      </c>
      <c r="D830" s="32">
        <v>4.3499999999999996</v>
      </c>
      <c r="E830" s="32">
        <v>4.92</v>
      </c>
      <c r="F830" s="32">
        <v>4.9400000000000004</v>
      </c>
      <c r="G830" s="32">
        <v>1.375</v>
      </c>
      <c r="H830" s="32">
        <v>2.4769999999999999</v>
      </c>
      <c r="I830" s="32">
        <v>3.3479999999999999</v>
      </c>
      <c r="J830" s="32">
        <v>3.6749999999999998</v>
      </c>
      <c r="K830" s="32">
        <v>3.66</v>
      </c>
      <c r="L830" s="32">
        <v>3.64</v>
      </c>
      <c r="M830" s="32">
        <v>3.65</v>
      </c>
      <c r="N830" s="32">
        <v>3.65</v>
      </c>
      <c r="O830" s="32">
        <v>159.35699462890625</v>
      </c>
      <c r="P830" s="29">
        <v>1.1723467111587524</v>
      </c>
      <c r="Q830" s="29">
        <v>111.03125</v>
      </c>
      <c r="R830" s="32">
        <v>1.0719000000000001</v>
      </c>
      <c r="S830" s="32">
        <v>2.4771682141113267</v>
      </c>
    </row>
    <row r="831" spans="1:19">
      <c r="A831" s="10">
        <v>46140</v>
      </c>
      <c r="B831" s="32">
        <v>3.84</v>
      </c>
      <c r="C831" s="32">
        <v>3.97</v>
      </c>
      <c r="D831" s="32">
        <v>4.3600000000000003</v>
      </c>
      <c r="E831" s="32">
        <v>4.92</v>
      </c>
      <c r="F831" s="32">
        <v>4.9400000000000004</v>
      </c>
      <c r="G831" s="32">
        <v>1.389</v>
      </c>
      <c r="H831" s="32">
        <v>2.468</v>
      </c>
      <c r="I831" s="32">
        <v>3.3260000000000001</v>
      </c>
      <c r="J831" s="32">
        <v>3.6469999999999998</v>
      </c>
      <c r="K831" s="32">
        <v>3.64</v>
      </c>
      <c r="L831" s="32">
        <v>3.64</v>
      </c>
      <c r="M831" s="32">
        <v>3.62</v>
      </c>
      <c r="N831" s="32">
        <v>3.62</v>
      </c>
      <c r="O831" s="32">
        <v>159.552001953125</v>
      </c>
      <c r="P831" s="29">
        <v>1.171783447265625</v>
      </c>
      <c r="Q831" s="29">
        <v>110.859375</v>
      </c>
      <c r="R831" s="32">
        <v>1.1173</v>
      </c>
      <c r="S831" s="32">
        <v>2.4859382141113269</v>
      </c>
    </row>
    <row r="832" spans="1:19">
      <c r="A832" s="10">
        <v>46141</v>
      </c>
      <c r="B832" s="32">
        <v>3.92</v>
      </c>
      <c r="C832" s="32">
        <v>4.05</v>
      </c>
      <c r="D832" s="32">
        <v>4.42</v>
      </c>
      <c r="E832" s="32">
        <v>4.97</v>
      </c>
      <c r="F832" s="32">
        <v>4.9800000000000004</v>
      </c>
      <c r="G832" s="32">
        <v>1.389</v>
      </c>
      <c r="H832" s="32">
        <v>2.468</v>
      </c>
      <c r="I832" s="32">
        <v>3.3260000000000001</v>
      </c>
      <c r="J832" s="32">
        <v>3.6469999999999998</v>
      </c>
      <c r="K832" s="32">
        <v>3.63</v>
      </c>
      <c r="L832" s="32">
        <v>3.64</v>
      </c>
      <c r="M832" s="32">
        <v>3.61</v>
      </c>
      <c r="N832" s="32">
        <v>3.61</v>
      </c>
      <c r="O832" s="32">
        <v>160.18400573730469</v>
      </c>
      <c r="P832" s="29">
        <v>1.168470025062561</v>
      </c>
      <c r="Q832" s="29">
        <v>110.359375</v>
      </c>
      <c r="R832" s="32">
        <v>1.1327</v>
      </c>
      <c r="S832" s="32">
        <v>2.4859382141113269</v>
      </c>
    </row>
    <row r="833" spans="1:19">
      <c r="A833" s="10">
        <v>46142</v>
      </c>
      <c r="B833" s="32">
        <v>3.88</v>
      </c>
      <c r="C833" s="32">
        <v>4.0199999999999996</v>
      </c>
      <c r="D833" s="32">
        <v>4.4000000000000004</v>
      </c>
      <c r="E833" s="32">
        <v>4.97</v>
      </c>
      <c r="F833" s="32">
        <v>4.9800000000000004</v>
      </c>
      <c r="G833" s="32">
        <v>1.4019999999999999</v>
      </c>
      <c r="H833" s="32">
        <v>2.52</v>
      </c>
      <c r="I833" s="32">
        <v>3.4020000000000001</v>
      </c>
      <c r="J833" s="32">
        <v>3.7210000000000001</v>
      </c>
      <c r="K833" s="32">
        <v>3.66</v>
      </c>
      <c r="L833" s="32">
        <v>3.64</v>
      </c>
      <c r="M833" s="32">
        <v>3.64</v>
      </c>
      <c r="N833" s="32">
        <v>3.64</v>
      </c>
      <c r="O833" s="32">
        <v>156.97799682617188</v>
      </c>
      <c r="P833" s="29">
        <v>1.1729104518890381</v>
      </c>
      <c r="Q833" s="29">
        <v>110.59375</v>
      </c>
      <c r="R833" s="32">
        <v>1.1761999999999999</v>
      </c>
      <c r="S833" s="32">
        <v>2.5490817858886707</v>
      </c>
    </row>
    <row r="834" spans="1:19">
      <c r="A834" s="10">
        <v>46143</v>
      </c>
      <c r="B834" s="32">
        <v>3.88</v>
      </c>
      <c r="C834" s="32">
        <v>4.0199999999999996</v>
      </c>
      <c r="D834" s="32">
        <v>4.3899999999999997</v>
      </c>
      <c r="E834" s="32">
        <v>4.96</v>
      </c>
      <c r="F834" s="32">
        <v>4.97</v>
      </c>
      <c r="G834" s="32">
        <v>1.385</v>
      </c>
      <c r="H834" s="32">
        <v>2.5070000000000001</v>
      </c>
      <c r="I834" s="32">
        <v>3.3809999999999998</v>
      </c>
      <c r="J834" s="32">
        <v>3.706</v>
      </c>
      <c r="K834" s="32">
        <v>3.64</v>
      </c>
      <c r="L834" s="32">
        <v>3.64</v>
      </c>
      <c r="M834" s="32">
        <v>3.63</v>
      </c>
      <c r="N834" s="32">
        <v>3.63</v>
      </c>
      <c r="O834" s="32">
        <v>156.97799682617188</v>
      </c>
      <c r="P834" s="29">
        <v>1.1729104518890381</v>
      </c>
      <c r="Q834" s="29">
        <v>110.640625</v>
      </c>
      <c r="R834" s="32">
        <v>1.1608000000000001</v>
      </c>
      <c r="S834" s="32">
        <v>2.5350499999999982</v>
      </c>
    </row>
    <row r="835" spans="1:19">
      <c r="A835" s="10">
        <v>46146</v>
      </c>
      <c r="B835" s="32">
        <v>3.95</v>
      </c>
      <c r="C835" s="32">
        <v>4.08</v>
      </c>
      <c r="D835" s="32">
        <v>4.45</v>
      </c>
      <c r="E835" s="32">
        <v>5.01</v>
      </c>
      <c r="F835" s="32">
        <v>5.0199999999999996</v>
      </c>
      <c r="G835" s="32">
        <v>1.385</v>
      </c>
      <c r="H835" s="32">
        <v>2.5070000000000001</v>
      </c>
      <c r="I835" s="32">
        <v>3.3809999999999998</v>
      </c>
      <c r="J835" s="32">
        <v>3.706</v>
      </c>
      <c r="K835" s="32">
        <v>3.63</v>
      </c>
      <c r="L835" s="32">
        <v>3.64</v>
      </c>
      <c r="M835" s="32">
        <v>3.61</v>
      </c>
      <c r="N835" s="32">
        <v>3.61</v>
      </c>
      <c r="O835" s="32">
        <v>157.19400024414063</v>
      </c>
      <c r="P835" s="29">
        <v>1.1691941022872925</v>
      </c>
      <c r="Q835" s="29">
        <v>110.171875</v>
      </c>
      <c r="R835" s="32">
        <v>1.1484000000000001</v>
      </c>
      <c r="S835" s="32">
        <v>2.5350499999999982</v>
      </c>
    </row>
    <row r="836" spans="1:19">
      <c r="A836" s="10">
        <v>46147</v>
      </c>
      <c r="B836" s="32">
        <v>3.93</v>
      </c>
      <c r="C836" s="32">
        <v>4.08</v>
      </c>
      <c r="D836" s="32">
        <v>4.43</v>
      </c>
      <c r="E836" s="32">
        <v>4.9800000000000004</v>
      </c>
      <c r="F836" s="32">
        <v>4.9800000000000004</v>
      </c>
      <c r="G836" s="32">
        <v>1.385</v>
      </c>
      <c r="H836" s="32">
        <v>2.5070000000000001</v>
      </c>
      <c r="I836" s="32">
        <v>3.3809999999999998</v>
      </c>
      <c r="J836" s="32">
        <v>3.706</v>
      </c>
      <c r="K836" s="32">
        <v>3.62</v>
      </c>
      <c r="L836" s="32">
        <v>3.64</v>
      </c>
      <c r="M836" s="32">
        <v>3.6</v>
      </c>
      <c r="N836" s="32">
        <v>3.6</v>
      </c>
      <c r="O836" s="32">
        <v>157.677001953125</v>
      </c>
      <c r="P836" s="29">
        <v>1.1715774536132813</v>
      </c>
      <c r="Q836" s="29">
        <v>110.34375</v>
      </c>
      <c r="R836" s="32">
        <v>1.1484000000000001</v>
      </c>
      <c r="S836" s="32">
        <v>2.5350499999999982</v>
      </c>
    </row>
    <row r="837" spans="1:19">
      <c r="A837" s="10">
        <v>46148</v>
      </c>
      <c r="B837" s="32">
        <v>3.87</v>
      </c>
      <c r="C837" s="32">
        <v>3.99</v>
      </c>
      <c r="D837" s="32">
        <v>4.3600000000000003</v>
      </c>
      <c r="E837" s="32">
        <v>4.92</v>
      </c>
      <c r="F837" s="32">
        <v>4.9400000000000004</v>
      </c>
      <c r="G837" s="32">
        <v>1.385</v>
      </c>
      <c r="H837" s="32">
        <v>2.5070000000000001</v>
      </c>
      <c r="I837" s="32">
        <v>3.3809999999999998</v>
      </c>
      <c r="J837" s="32">
        <v>3.706</v>
      </c>
      <c r="K837" s="32">
        <v>3.61</v>
      </c>
      <c r="L837" s="32">
        <v>3.64</v>
      </c>
      <c r="M837" s="32">
        <v>3.6</v>
      </c>
      <c r="N837" s="32">
        <v>3.6</v>
      </c>
      <c r="O837" s="32">
        <v>156.50799560546875</v>
      </c>
      <c r="P837" s="29">
        <v>1.1747430562973022</v>
      </c>
      <c r="Q837" s="29">
        <v>110.796875</v>
      </c>
      <c r="R837" s="32">
        <v>1.1923999999999999</v>
      </c>
      <c r="S837" s="32">
        <v>2.5350499999999982</v>
      </c>
    </row>
    <row r="838" spans="1:19">
      <c r="A838" s="10">
        <v>46149</v>
      </c>
      <c r="B838" s="32">
        <v>3.92</v>
      </c>
      <c r="C838" s="32">
        <v>4.04</v>
      </c>
      <c r="D838" s="32">
        <v>4.41</v>
      </c>
      <c r="E838" s="32">
        <v>4.96</v>
      </c>
      <c r="F838" s="32">
        <v>4.97</v>
      </c>
      <c r="G838" s="32">
        <v>1.3720000000000001</v>
      </c>
      <c r="H838" s="32">
        <v>2.4849999999999999</v>
      </c>
      <c r="I838" s="32">
        <v>3.3740000000000001</v>
      </c>
      <c r="J838" s="32">
        <v>3.714</v>
      </c>
      <c r="K838" s="32">
        <v>3.6</v>
      </c>
      <c r="L838" s="32">
        <v>3.63</v>
      </c>
      <c r="M838" s="32">
        <v>3.58</v>
      </c>
      <c r="N838" s="32">
        <v>3.58</v>
      </c>
      <c r="O838" s="32">
        <v>156.82899475097656</v>
      </c>
      <c r="P838" s="29">
        <v>1.1731581687927246</v>
      </c>
      <c r="Q838" s="29">
        <v>110.515625</v>
      </c>
      <c r="R838" s="32">
        <v>1.0720000000000001</v>
      </c>
      <c r="S838" s="32">
        <v>2.5069864282226551</v>
      </c>
    </row>
    <row r="839" spans="1:19">
      <c r="A839" s="10">
        <v>46150</v>
      </c>
      <c r="B839" s="32">
        <v>3.9</v>
      </c>
      <c r="C839" s="32">
        <v>4.0199999999999996</v>
      </c>
      <c r="D839" s="32">
        <v>4.38</v>
      </c>
      <c r="E839" s="32">
        <v>4.93</v>
      </c>
      <c r="F839" s="32">
        <v>4.95</v>
      </c>
      <c r="G839" s="32">
        <v>1.3779999999999999</v>
      </c>
      <c r="H839" s="32">
        <v>2.4849999999999999</v>
      </c>
      <c r="I839" s="32">
        <v>3.3690000000000002</v>
      </c>
      <c r="J839" s="32">
        <v>3.706</v>
      </c>
      <c r="K839" s="32">
        <v>3.6</v>
      </c>
      <c r="L839" s="32">
        <v>3.63</v>
      </c>
      <c r="M839" s="32">
        <v>3.58</v>
      </c>
      <c r="N839" s="32">
        <v>3.58</v>
      </c>
      <c r="O839" s="32">
        <v>156.82899475097656</v>
      </c>
      <c r="P839" s="29">
        <v>1.1731581687927246</v>
      </c>
      <c r="Q839" s="29">
        <v>110.75</v>
      </c>
      <c r="R839" s="32">
        <v>1.0707</v>
      </c>
      <c r="S839" s="32">
        <v>2.5420664282226557</v>
      </c>
    </row>
    <row r="840" spans="1:19">
      <c r="A840" s="10">
        <v>46153</v>
      </c>
      <c r="B840" s="32">
        <v>3.95</v>
      </c>
      <c r="C840" s="32">
        <v>4.07</v>
      </c>
      <c r="D840" s="32">
        <v>4.42</v>
      </c>
      <c r="E840" s="32">
        <v>4.97</v>
      </c>
      <c r="F840" s="32">
        <v>4.9800000000000004</v>
      </c>
      <c r="G840" s="32">
        <v>1.395</v>
      </c>
      <c r="H840" s="32">
        <v>2.5270000000000001</v>
      </c>
      <c r="I840" s="32">
        <v>3.411</v>
      </c>
      <c r="J840" s="32">
        <v>3.7410000000000001</v>
      </c>
      <c r="K840" s="32">
        <v>3.6</v>
      </c>
      <c r="L840" s="32">
        <v>3.63</v>
      </c>
      <c r="M840" s="32">
        <v>3.58</v>
      </c>
      <c r="N840" s="32">
        <v>3.58</v>
      </c>
      <c r="O840" s="32">
        <v>157.23100280761719</v>
      </c>
      <c r="P840" s="29">
        <v>1.177994966506958</v>
      </c>
      <c r="Q840" s="29">
        <v>110.40625</v>
      </c>
      <c r="R840" s="32">
        <v>1.0749</v>
      </c>
      <c r="S840" s="32">
        <v>2.5701299999999989</v>
      </c>
    </row>
    <row r="841" spans="1:19">
      <c r="A841" s="10">
        <v>46154</v>
      </c>
      <c r="B841" s="32">
        <v>4</v>
      </c>
      <c r="C841" s="32">
        <v>4.12</v>
      </c>
      <c r="D841" s="32">
        <v>4.46</v>
      </c>
      <c r="E841" s="32">
        <v>5.0199999999999996</v>
      </c>
      <c r="F841" s="32">
        <v>5.03</v>
      </c>
      <c r="G841" s="32">
        <v>1.401</v>
      </c>
      <c r="H841" s="32">
        <v>2.5459999999999998</v>
      </c>
      <c r="I841" s="32">
        <v>3.4449999999999998</v>
      </c>
      <c r="J841" s="32">
        <v>3.78</v>
      </c>
      <c r="K841" s="32">
        <v>3.6</v>
      </c>
      <c r="L841" s="32">
        <v>3.63</v>
      </c>
      <c r="M841" s="32">
        <v>3.58</v>
      </c>
      <c r="N841" s="32">
        <v>3.58</v>
      </c>
      <c r="O841" s="32">
        <v>157.67100524902344</v>
      </c>
      <c r="P841" s="29">
        <v>1.1735436916351318</v>
      </c>
      <c r="Q841" s="29">
        <v>110.03125</v>
      </c>
      <c r="R841" s="32">
        <v>1.1234</v>
      </c>
      <c r="S841" s="32">
        <v>2.5841617858886714</v>
      </c>
    </row>
    <row r="842" spans="1:19">
      <c r="A842" s="10">
        <v>46155</v>
      </c>
      <c r="B842" s="32">
        <v>3.98</v>
      </c>
      <c r="C842" s="32">
        <v>4.12</v>
      </c>
      <c r="D842" s="32">
        <v>4.46</v>
      </c>
      <c r="E842" s="32">
        <v>5.03</v>
      </c>
      <c r="F842" s="32">
        <v>5.03</v>
      </c>
      <c r="G842" s="32">
        <v>1.401</v>
      </c>
      <c r="H842" s="32">
        <v>2.5870000000000002</v>
      </c>
      <c r="I842" s="32">
        <v>3.47</v>
      </c>
      <c r="J842" s="32">
        <v>3.7829999999999999</v>
      </c>
      <c r="K842" s="32">
        <v>3.59</v>
      </c>
      <c r="L842" s="32">
        <v>3.63</v>
      </c>
      <c r="M842" s="32">
        <v>3.58</v>
      </c>
      <c r="N842" s="32">
        <v>3.58</v>
      </c>
      <c r="O842" s="32">
        <v>157.85099792480469</v>
      </c>
      <c r="P842" s="29">
        <v>1.1716049909591675</v>
      </c>
      <c r="Q842" s="29">
        <v>110</v>
      </c>
      <c r="R842" s="32">
        <v>1.1140000000000001</v>
      </c>
      <c r="S842" s="32">
        <v>2.6069635717773423</v>
      </c>
    </row>
    <row r="843" spans="1:19">
      <c r="A843" s="10">
        <v>46156</v>
      </c>
      <c r="B843" s="32">
        <v>4</v>
      </c>
      <c r="C843" s="32">
        <v>4.13</v>
      </c>
      <c r="D843" s="32">
        <v>4.47</v>
      </c>
      <c r="E843" s="32">
        <v>5.01</v>
      </c>
      <c r="F843" s="32">
        <v>5.0199999999999996</v>
      </c>
      <c r="G843" s="32">
        <v>1.407</v>
      </c>
      <c r="H843" s="32">
        <v>2.6280000000000001</v>
      </c>
      <c r="I843" s="32">
        <v>3.5270000000000001</v>
      </c>
      <c r="J843" s="32">
        <v>3.8519999999999999</v>
      </c>
      <c r="K843" s="32">
        <v>3.56</v>
      </c>
      <c r="L843" s="32">
        <v>3.63</v>
      </c>
      <c r="M843" s="32">
        <v>3.55</v>
      </c>
      <c r="N843" s="32">
        <v>3.55</v>
      </c>
      <c r="O843" s="32">
        <v>158.38200378417969</v>
      </c>
      <c r="P843" s="29">
        <v>1.166208028793335</v>
      </c>
      <c r="Q843" s="29">
        <v>110.109375</v>
      </c>
      <c r="R843" s="32">
        <v>1.1506000000000001</v>
      </c>
      <c r="S843" s="32">
        <v>2.6806317858886715</v>
      </c>
    </row>
    <row r="844" spans="1:19">
      <c r="A844" s="10">
        <v>46157</v>
      </c>
      <c r="B844" s="32">
        <v>4.09</v>
      </c>
      <c r="C844" s="32">
        <v>4.26</v>
      </c>
      <c r="D844" s="32">
        <v>4.59</v>
      </c>
      <c r="E844" s="32">
        <v>5.14</v>
      </c>
      <c r="F844" s="32">
        <v>5.12</v>
      </c>
      <c r="G844" s="32">
        <v>1.413</v>
      </c>
      <c r="H844" s="32">
        <v>2.6909999999999998</v>
      </c>
      <c r="I844" s="32">
        <v>3.6030000000000002</v>
      </c>
      <c r="J844" s="32">
        <v>3.9220000000000002</v>
      </c>
      <c r="K844" s="32">
        <v>3.55</v>
      </c>
      <c r="L844" s="32">
        <v>3.63</v>
      </c>
      <c r="M844" s="32">
        <v>3.53</v>
      </c>
      <c r="N844" s="32">
        <v>3.53</v>
      </c>
      <c r="O844" s="32">
        <v>158.38200378417969</v>
      </c>
      <c r="P844" s="29">
        <v>1.166208028793335</v>
      </c>
      <c r="Q844" s="29">
        <v>109.171875</v>
      </c>
      <c r="R844" s="32">
        <v>1.0848</v>
      </c>
      <c r="S844" s="32">
        <v>2.7122035717773425</v>
      </c>
    </row>
    <row r="845" spans="1:19">
      <c r="A845" s="10">
        <v>46160</v>
      </c>
      <c r="B845" s="32">
        <v>4.07</v>
      </c>
      <c r="C845" s="32">
        <v>4.2699999999999996</v>
      </c>
      <c r="D845" s="32">
        <v>4.6100000000000003</v>
      </c>
      <c r="E845" s="32">
        <v>5.14</v>
      </c>
      <c r="F845" s="32">
        <v>5.14</v>
      </c>
      <c r="G845" s="32">
        <v>1.431</v>
      </c>
      <c r="H845" s="32">
        <v>2.7290000000000001</v>
      </c>
      <c r="I845" s="32">
        <v>3.665</v>
      </c>
      <c r="J845" s="32">
        <v>4</v>
      </c>
      <c r="K845" s="32">
        <v>3.53</v>
      </c>
      <c r="L845" s="32">
        <v>3.63</v>
      </c>
      <c r="M845" s="32">
        <v>3.52</v>
      </c>
      <c r="N845" s="32">
        <v>3.52</v>
      </c>
      <c r="O845" s="32">
        <v>158.86099243164063</v>
      </c>
      <c r="P845" s="29">
        <v>1.1655147075653076</v>
      </c>
      <c r="Q845" s="29">
        <v>109.015625</v>
      </c>
      <c r="R845" s="32">
        <v>1.0959000000000001</v>
      </c>
      <c r="S845" s="32">
        <v>2.7595617858886712</v>
      </c>
    </row>
    <row r="846" spans="1:19">
      <c r="A846" s="10">
        <v>46161</v>
      </c>
      <c r="B846" s="32">
        <v>4.13</v>
      </c>
      <c r="C846" s="32">
        <v>4.32</v>
      </c>
      <c r="D846" s="32">
        <v>4.67</v>
      </c>
      <c r="E846" s="32">
        <v>5.19</v>
      </c>
      <c r="F846" s="32">
        <v>5.18</v>
      </c>
      <c r="G846" s="32">
        <v>1.452</v>
      </c>
      <c r="H846" s="32">
        <v>2.7829999999999999</v>
      </c>
      <c r="I846" s="32">
        <v>3.7170000000000001</v>
      </c>
      <c r="J846" s="32">
        <v>4.0430000000000001</v>
      </c>
      <c r="K846" s="32">
        <v>3.51</v>
      </c>
      <c r="L846" s="32">
        <v>3.62</v>
      </c>
      <c r="M846" s="32">
        <v>3.51</v>
      </c>
      <c r="N846" s="32">
        <v>3.51</v>
      </c>
      <c r="O846" s="32">
        <v>159.03500366210938</v>
      </c>
      <c r="P846" s="29">
        <v>1.1607122421264648</v>
      </c>
      <c r="Q846" s="29">
        <v>108.703125</v>
      </c>
      <c r="R846" s="32">
        <v>1.1572</v>
      </c>
      <c r="S846" s="32">
        <v>2.8139364282226556</v>
      </c>
    </row>
    <row r="847" spans="1:19">
      <c r="A847" s="10">
        <v>46162</v>
      </c>
      <c r="B847" s="32">
        <v>4.04</v>
      </c>
      <c r="C847" s="32">
        <v>4.22</v>
      </c>
      <c r="D847" s="32">
        <v>4.57</v>
      </c>
      <c r="E847" s="32">
        <v>5.0999999999999996</v>
      </c>
      <c r="F847" s="32">
        <v>5.1100000000000003</v>
      </c>
      <c r="G847" s="32">
        <v>1.464</v>
      </c>
      <c r="H847" s="32">
        <v>2.77</v>
      </c>
      <c r="I847" s="32">
        <v>3.6850000000000001</v>
      </c>
      <c r="J847" s="32">
        <v>4</v>
      </c>
      <c r="K847" s="32">
        <v>3.5</v>
      </c>
      <c r="L847" s="32">
        <v>3.62</v>
      </c>
      <c r="M847" s="32">
        <v>3.5</v>
      </c>
      <c r="N847" s="32">
        <v>3.5</v>
      </c>
      <c r="O847" s="32">
        <v>158.88800048828125</v>
      </c>
      <c r="P847" s="29">
        <v>1.1625338792800903</v>
      </c>
      <c r="Q847" s="29">
        <v>109.40625</v>
      </c>
      <c r="R847" s="32">
        <v>1.2337</v>
      </c>
      <c r="S847" s="32">
        <v>2.7841182141113272</v>
      </c>
    </row>
    <row r="848" spans="1:19">
      <c r="A848" s="10">
        <v>46163</v>
      </c>
      <c r="B848" s="32">
        <v>4.08</v>
      </c>
      <c r="C848" s="32">
        <v>4.25</v>
      </c>
      <c r="D848" s="32">
        <v>4.57</v>
      </c>
      <c r="E848" s="32">
        <v>5.09</v>
      </c>
      <c r="F848" s="32">
        <v>5.0999999999999996</v>
      </c>
      <c r="G848" s="32">
        <v>1.4530000000000001</v>
      </c>
      <c r="H848" s="32">
        <v>2.7480000000000002</v>
      </c>
      <c r="I848" s="32">
        <v>3.6459999999999999</v>
      </c>
      <c r="J848" s="32">
        <v>3.9390000000000001</v>
      </c>
      <c r="K848" s="32">
        <v>3.51</v>
      </c>
      <c r="L848" s="32">
        <v>3.62</v>
      </c>
      <c r="M848" s="32">
        <v>3.51</v>
      </c>
      <c r="N848" s="32">
        <v>3.51</v>
      </c>
      <c r="O848" s="32">
        <v>159.01800537109375</v>
      </c>
      <c r="P848" s="29">
        <v>1.1621150970458984</v>
      </c>
      <c r="Q848" s="29">
        <v>109.234375</v>
      </c>
      <c r="R848" s="32">
        <v>1.143</v>
      </c>
      <c r="S848" s="32">
        <v>2.7174664282226555</v>
      </c>
    </row>
    <row r="849" spans="1:19">
      <c r="A849" s="10">
        <v>46164</v>
      </c>
      <c r="B849" s="32">
        <v>4.13</v>
      </c>
      <c r="C849" s="32">
        <v>4.2699999999999996</v>
      </c>
      <c r="D849" s="32">
        <v>4.5599999999999996</v>
      </c>
      <c r="E849" s="32">
        <v>5.0599999999999996</v>
      </c>
      <c r="F849" s="32">
        <v>5.07</v>
      </c>
      <c r="G849" s="32">
        <v>1.4430000000000001</v>
      </c>
      <c r="H849" s="32">
        <v>2.7490000000000001</v>
      </c>
      <c r="I849" s="32">
        <v>3.6440000000000001</v>
      </c>
      <c r="J849" s="32">
        <v>3.931</v>
      </c>
      <c r="K849" s="32">
        <v>3.55</v>
      </c>
      <c r="L849" s="32">
        <v>3.62</v>
      </c>
      <c r="M849" s="32">
        <v>3.53</v>
      </c>
      <c r="N849" s="32">
        <v>3.53</v>
      </c>
      <c r="O849" s="32">
        <v>159.01800537109375</v>
      </c>
      <c r="P849" s="29">
        <v>1.1621150970458984</v>
      </c>
      <c r="Q849" s="29">
        <v>109.25</v>
      </c>
      <c r="R849" s="32">
        <v>1.1599999999999999</v>
      </c>
      <c r="S849" s="32">
        <v>2.7367599999999985</v>
      </c>
    </row>
    <row r="850" spans="1:19">
      <c r="A850" s="10">
        <v>46168</v>
      </c>
      <c r="B850" s="32">
        <v>4.01</v>
      </c>
      <c r="C850" s="32">
        <v>4.1900000000000004</v>
      </c>
      <c r="D850" s="32">
        <v>4.5</v>
      </c>
      <c r="E850" s="32">
        <v>5.03</v>
      </c>
      <c r="F850" s="32">
        <v>5.03</v>
      </c>
      <c r="G850" s="32">
        <v>1.421</v>
      </c>
      <c r="H850" s="32">
        <v>2.7130000000000001</v>
      </c>
      <c r="I850" s="32">
        <v>3.589</v>
      </c>
      <c r="J850" s="32">
        <v>3.8660000000000001</v>
      </c>
      <c r="K850" s="32">
        <v>3.63</v>
      </c>
      <c r="L850" s="32">
        <v>3.62</v>
      </c>
      <c r="M850" s="32">
        <v>3.61</v>
      </c>
      <c r="N850" s="32">
        <v>3.61</v>
      </c>
      <c r="O850" s="32">
        <v>159.24299621582031</v>
      </c>
      <c r="P850" s="29">
        <v>1.1636837720870972</v>
      </c>
      <c r="Q850" s="29">
        <v>109.828125</v>
      </c>
      <c r="R850" s="32">
        <v>1.1040000000000001</v>
      </c>
      <c r="S850" s="32">
        <v>2.6894017858886698</v>
      </c>
    </row>
    <row r="851" spans="1:19">
      <c r="A851" s="10">
        <v>46169</v>
      </c>
      <c r="B851" s="32">
        <v>4</v>
      </c>
      <c r="C851" s="32">
        <v>4.17</v>
      </c>
      <c r="D851" s="32">
        <v>4.4800000000000004</v>
      </c>
      <c r="E851" s="32">
        <v>5.01</v>
      </c>
      <c r="F851" s="32">
        <v>5.01</v>
      </c>
      <c r="G851" s="32">
        <v>1.399</v>
      </c>
      <c r="H851" s="32">
        <v>2.6869999999999998</v>
      </c>
      <c r="I851" s="32">
        <v>3.569</v>
      </c>
      <c r="J851" s="32">
        <v>3.8559999999999999</v>
      </c>
      <c r="K851" s="32">
        <v>3.63</v>
      </c>
      <c r="L851" s="32">
        <v>3.62</v>
      </c>
      <c r="M851" s="32">
        <v>3.62</v>
      </c>
      <c r="N851" s="32">
        <v>3.62</v>
      </c>
      <c r="O851" s="32">
        <v>159.5679931640625</v>
      </c>
      <c r="P851" s="29">
        <v>1.1617909669876099</v>
      </c>
      <c r="Q851" s="29">
        <v>109.90625</v>
      </c>
      <c r="R851" s="32">
        <v>1.0287999999999999</v>
      </c>
      <c r="S851" s="32">
        <v>2.6701082141113268</v>
      </c>
    </row>
    <row r="852" spans="1:19">
      <c r="A852" s="10">
        <v>46170</v>
      </c>
      <c r="B852" s="32">
        <v>3.99</v>
      </c>
      <c r="C852" s="32">
        <v>4.1500000000000004</v>
      </c>
      <c r="D852" s="32">
        <v>4.45</v>
      </c>
      <c r="E852" s="32">
        <v>4.9800000000000004</v>
      </c>
      <c r="F852" s="32">
        <v>4.9800000000000004</v>
      </c>
      <c r="G852" s="32">
        <v>1.3660000000000001</v>
      </c>
      <c r="H852" s="32">
        <v>2.6920000000000002</v>
      </c>
      <c r="I852" s="32">
        <v>3.5939999999999999</v>
      </c>
      <c r="J852" s="32">
        <v>3.8959999999999999</v>
      </c>
      <c r="K852" s="32">
        <v>3.62</v>
      </c>
      <c r="L852" s="32">
        <v>3.62</v>
      </c>
      <c r="M852" s="32">
        <v>3.6</v>
      </c>
      <c r="N852" s="32">
        <v>3.6</v>
      </c>
      <c r="O852" s="32">
        <v>159.27000427246094</v>
      </c>
      <c r="P852" s="29">
        <v>1.1652837991714478</v>
      </c>
      <c r="Q852" s="29">
        <v>110.046875</v>
      </c>
      <c r="R852" s="32">
        <v>0.99270000000000003</v>
      </c>
      <c r="S852" s="32">
        <v>2.6823864282226548</v>
      </c>
    </row>
    <row r="853" spans="1:19">
      <c r="A853" s="10">
        <v>46171</v>
      </c>
      <c r="B853" s="32">
        <v>3.98</v>
      </c>
      <c r="C853" s="32">
        <v>4.13</v>
      </c>
      <c r="D853" s="32">
        <v>4.45</v>
      </c>
      <c r="E853" s="32">
        <v>4.9800000000000004</v>
      </c>
      <c r="F853" s="32">
        <v>4.99</v>
      </c>
      <c r="G853" s="32">
        <v>1.393</v>
      </c>
      <c r="H853" s="32">
        <v>2.657</v>
      </c>
      <c r="I853" s="32">
        <v>3.5489999999999999</v>
      </c>
      <c r="J853" s="32">
        <v>3.859</v>
      </c>
      <c r="K853" s="32">
        <v>3.63</v>
      </c>
      <c r="L853" s="32">
        <v>3.62</v>
      </c>
      <c r="M853" s="32">
        <v>3.61</v>
      </c>
      <c r="N853" s="32">
        <v>3.61</v>
      </c>
      <c r="O853" s="32">
        <v>159.27000427246094</v>
      </c>
      <c r="P853" s="29">
        <v>1.1652837991714478</v>
      </c>
      <c r="Q853" s="29">
        <v>110.078125</v>
      </c>
      <c r="R853" s="32">
        <v>0.95150000000000001</v>
      </c>
      <c r="S853" s="32">
        <v>2.6823864282226548</v>
      </c>
    </row>
    <row r="854" spans="1:19">
      <c r="A854" s="10">
        <v>46174</v>
      </c>
      <c r="B854" s="32">
        <v>4.05</v>
      </c>
      <c r="C854" s="32">
        <v>4.18</v>
      </c>
      <c r="D854" s="32">
        <v>4.47</v>
      </c>
      <c r="E854" s="32">
        <v>4.99</v>
      </c>
      <c r="F854" s="32">
        <v>4.99</v>
      </c>
      <c r="G854" s="32">
        <v>1.4</v>
      </c>
      <c r="H854" s="32">
        <v>2.6819999999999999</v>
      </c>
      <c r="I854" s="32">
        <v>3.5670000000000002</v>
      </c>
      <c r="J854" s="32">
        <v>3.863</v>
      </c>
      <c r="K854" s="32">
        <v>3.65</v>
      </c>
      <c r="L854" s="32">
        <v>3.62</v>
      </c>
      <c r="M854" s="32">
        <v>3.63</v>
      </c>
      <c r="N854" s="32">
        <v>3.63</v>
      </c>
      <c r="O854" s="32">
        <v>159.63600158691406</v>
      </c>
      <c r="P854" s="29">
        <v>1.1635483503341675</v>
      </c>
      <c r="Q854" s="29">
        <v>109.859375</v>
      </c>
      <c r="R854" s="32">
        <v>0.93189999999999995</v>
      </c>
      <c r="S854" s="32">
        <v>2.6648464282226545</v>
      </c>
    </row>
    <row r="855" spans="1:19">
      <c r="A855" s="10">
        <v>46175</v>
      </c>
      <c r="B855" s="32">
        <v>4.05</v>
      </c>
      <c r="C855" s="32">
        <v>4.17</v>
      </c>
      <c r="D855" s="32">
        <v>4.46</v>
      </c>
      <c r="E855" s="32">
        <v>4.97</v>
      </c>
      <c r="F855" s="32">
        <v>4.97</v>
      </c>
      <c r="G855" s="32">
        <v>1.38</v>
      </c>
      <c r="H855" s="32">
        <v>2.577</v>
      </c>
      <c r="I855" s="32">
        <v>3.4929999999999999</v>
      </c>
      <c r="J855" s="32">
        <v>3.81</v>
      </c>
      <c r="K855" s="32">
        <v>3.63</v>
      </c>
      <c r="L855" s="32">
        <v>3.62</v>
      </c>
      <c r="M855" s="32">
        <v>3.6</v>
      </c>
      <c r="N855" s="32">
        <v>3.61</v>
      </c>
      <c r="O855" s="32">
        <v>159.96800231933594</v>
      </c>
      <c r="P855" s="29">
        <v>1.1622096300125122</v>
      </c>
      <c r="Q855" s="29">
        <v>109.953125</v>
      </c>
      <c r="R855" s="32">
        <v>1.0535000000000001</v>
      </c>
      <c r="S855" s="32">
        <v>2.5701299999999989</v>
      </c>
    </row>
    <row r="856" spans="1:19">
      <c r="A856" s="10">
        <v>46176</v>
      </c>
      <c r="B856" s="32">
        <v>4.08</v>
      </c>
      <c r="C856" s="32">
        <v>4.21</v>
      </c>
      <c r="D856" s="32">
        <v>4.49</v>
      </c>
      <c r="E856" s="32">
        <v>5</v>
      </c>
      <c r="F856" s="32">
        <v>4.99</v>
      </c>
      <c r="G856" s="32">
        <v>1.401</v>
      </c>
      <c r="H856" s="32">
        <v>2.645</v>
      </c>
      <c r="I856" s="32">
        <v>3.5209999999999999</v>
      </c>
      <c r="J856" s="32">
        <v>3.8170000000000002</v>
      </c>
      <c r="K856" s="32">
        <v>3.61</v>
      </c>
      <c r="L856" s="32">
        <v>3.62</v>
      </c>
      <c r="M856" s="32">
        <v>3.59</v>
      </c>
      <c r="N856" s="32">
        <v>3.59</v>
      </c>
      <c r="O856" s="32">
        <v>159.94000244140625</v>
      </c>
      <c r="P856" s="29">
        <v>1.1609412431716919</v>
      </c>
      <c r="Q856" s="29">
        <v>109.71875</v>
      </c>
      <c r="R856" s="32">
        <v>1.0242</v>
      </c>
      <c r="S856" s="32">
        <v>2.6157335717773424</v>
      </c>
    </row>
    <row r="857" spans="1:19">
      <c r="A857" s="10">
        <v>46177</v>
      </c>
      <c r="B857" s="32">
        <v>4.05</v>
      </c>
      <c r="C857" s="32">
        <v>4.18</v>
      </c>
      <c r="D857" s="32">
        <v>4.47</v>
      </c>
      <c r="E857" s="32">
        <v>4.9800000000000004</v>
      </c>
      <c r="F857" s="32">
        <v>4.97</v>
      </c>
      <c r="G857" s="32">
        <v>1.417</v>
      </c>
      <c r="H857" s="32">
        <v>2.6709999999999998</v>
      </c>
      <c r="I857" s="32">
        <v>3.5539999999999998</v>
      </c>
      <c r="J857" s="32">
        <v>3.8330000000000002</v>
      </c>
      <c r="K857" s="32">
        <v>3.62</v>
      </c>
      <c r="L857" s="32">
        <v>3.62</v>
      </c>
      <c r="M857" s="32">
        <v>3.59</v>
      </c>
      <c r="N857" s="32">
        <v>3.59</v>
      </c>
      <c r="O857" s="32">
        <v>159.99000549316406</v>
      </c>
      <c r="P857" s="29">
        <v>1.1612648963928223</v>
      </c>
      <c r="Q857" s="29">
        <v>109.84375</v>
      </c>
      <c r="R857" s="32">
        <v>1.0857000000000001</v>
      </c>
      <c r="S857" s="32">
        <v>2.6192417858886703</v>
      </c>
    </row>
    <row r="858" spans="1:19">
      <c r="A858" s="10">
        <v>46178</v>
      </c>
      <c r="B858" s="32">
        <v>4.17</v>
      </c>
      <c r="C858" s="32">
        <v>4.29</v>
      </c>
      <c r="D858" s="32">
        <v>4.55</v>
      </c>
      <c r="E858" s="32">
        <v>5.03</v>
      </c>
      <c r="F858" s="32">
        <v>5.01</v>
      </c>
      <c r="G858" s="32">
        <v>1.4119999999999999</v>
      </c>
      <c r="H858" s="32">
        <v>2.669</v>
      </c>
      <c r="I858" s="32">
        <v>3.5510000000000002</v>
      </c>
      <c r="J858" s="32">
        <v>3.8410000000000002</v>
      </c>
      <c r="K858" s="32">
        <v>3.63</v>
      </c>
      <c r="L858" s="32">
        <v>3.62</v>
      </c>
      <c r="M858" s="32">
        <v>3.61</v>
      </c>
      <c r="N858" s="32">
        <v>3.61</v>
      </c>
      <c r="O858" s="32">
        <v>159.99000549316406</v>
      </c>
      <c r="P858" s="29">
        <v>1.1612648963928223</v>
      </c>
      <c r="Q858" s="29">
        <v>109.34375</v>
      </c>
      <c r="R858" s="32">
        <v>1.0576000000000001</v>
      </c>
      <c r="S858" s="32">
        <v>2.6525682141113265</v>
      </c>
    </row>
    <row r="859" spans="1:19">
      <c r="A859" s="10">
        <v>46181</v>
      </c>
      <c r="B859" s="32">
        <v>4.1500000000000004</v>
      </c>
      <c r="C859" s="32">
        <v>4.29</v>
      </c>
      <c r="D859" s="32">
        <v>4.5599999999999996</v>
      </c>
      <c r="E859" s="32">
        <v>5.05</v>
      </c>
      <c r="F859" s="32">
        <v>5.03</v>
      </c>
      <c r="G859" s="32">
        <v>1.42</v>
      </c>
      <c r="H859" s="32">
        <v>2.7149999999999999</v>
      </c>
      <c r="I859" s="32">
        <v>3.6040000000000001</v>
      </c>
      <c r="J859" s="32">
        <v>3.8759999999999999</v>
      </c>
      <c r="K859" s="32">
        <v>3.63</v>
      </c>
      <c r="L859" s="32">
        <v>3.62</v>
      </c>
      <c r="M859" s="32">
        <v>3.61</v>
      </c>
      <c r="N859" s="32">
        <v>3.61</v>
      </c>
      <c r="O859" s="32">
        <v>160.17399597167969</v>
      </c>
      <c r="P859" s="29">
        <v>1.1528440713882446</v>
      </c>
      <c r="Q859" s="29">
        <v>109.296875</v>
      </c>
      <c r="R859" s="32">
        <v>1.1059000000000001</v>
      </c>
      <c r="S859" s="32">
        <v>2.6753699999999991</v>
      </c>
    </row>
    <row r="860" spans="1:19">
      <c r="A860" s="10">
        <v>46182</v>
      </c>
      <c r="B860" s="32">
        <v>4.13</v>
      </c>
      <c r="C860" s="32">
        <v>4.26</v>
      </c>
      <c r="D860" s="32">
        <v>4.53</v>
      </c>
      <c r="E860" s="32">
        <v>5.0199999999999996</v>
      </c>
      <c r="F860" s="32">
        <v>5.01</v>
      </c>
      <c r="G860" s="32">
        <v>1.42</v>
      </c>
      <c r="H860" s="32">
        <v>2.669</v>
      </c>
      <c r="I860" s="32">
        <v>3.5430000000000001</v>
      </c>
      <c r="J860" s="32">
        <v>3.823</v>
      </c>
      <c r="K860" s="32">
        <v>3.6</v>
      </c>
      <c r="L860" s="32">
        <v>3.62</v>
      </c>
      <c r="M860" s="32">
        <v>3.59</v>
      </c>
      <c r="N860" s="32">
        <v>3.59</v>
      </c>
      <c r="O860" s="32">
        <v>160.38400268554688</v>
      </c>
      <c r="P860" s="29">
        <v>1.1535356044769287</v>
      </c>
      <c r="Q860" s="29">
        <v>109.484375</v>
      </c>
      <c r="R860" s="32">
        <v>1.1032999999999999</v>
      </c>
      <c r="S860" s="32">
        <v>2.6402899999999985</v>
      </c>
    </row>
    <row r="861" spans="1:19">
      <c r="A861" s="10">
        <v>46183</v>
      </c>
      <c r="B861" s="32">
        <v>4.13</v>
      </c>
      <c r="C861" s="32">
        <v>4.2699999999999996</v>
      </c>
      <c r="D861" s="32">
        <v>4.55</v>
      </c>
      <c r="E861" s="32">
        <v>5.04</v>
      </c>
      <c r="F861" s="32">
        <v>5.03</v>
      </c>
      <c r="G861" s="32">
        <v>1.4259999999999999</v>
      </c>
      <c r="H861" s="32">
        <v>2.681</v>
      </c>
      <c r="I861" s="32">
        <v>3.5379999999999998</v>
      </c>
      <c r="J861" s="32">
        <v>3.8109999999999999</v>
      </c>
      <c r="K861" s="32">
        <v>3.59</v>
      </c>
      <c r="L861" s="32">
        <v>3.62</v>
      </c>
      <c r="M861" s="32">
        <v>3.57</v>
      </c>
      <c r="N861" s="32">
        <v>3.57</v>
      </c>
      <c r="O861" s="32">
        <v>160.52699279785156</v>
      </c>
      <c r="P861" s="29">
        <v>1.1535621881484985</v>
      </c>
      <c r="Q861" s="29">
        <v>109.40625</v>
      </c>
      <c r="R861" s="32">
        <v>1.1256999999999999</v>
      </c>
      <c r="S861" s="32">
        <v>2.6613382141113266</v>
      </c>
    </row>
    <row r="862" spans="1:19">
      <c r="A862" s="10">
        <v>46184</v>
      </c>
      <c r="B862" s="32">
        <v>4.05</v>
      </c>
      <c r="C862" s="32">
        <v>4.18</v>
      </c>
      <c r="D862" s="32">
        <v>4.45</v>
      </c>
      <c r="E862" s="32">
        <v>4.96</v>
      </c>
      <c r="F862" s="32">
        <v>4.95</v>
      </c>
      <c r="G862" s="32">
        <v>1.427</v>
      </c>
      <c r="H862" s="32">
        <v>2.6819999999999999</v>
      </c>
      <c r="I862" s="32">
        <v>3.5539999999999998</v>
      </c>
      <c r="J862" s="32">
        <v>3.823</v>
      </c>
      <c r="K862" s="32">
        <v>3.6</v>
      </c>
      <c r="L862" s="32">
        <v>3.62</v>
      </c>
      <c r="M862" s="32">
        <v>3.58</v>
      </c>
      <c r="N862" s="32">
        <v>3.58</v>
      </c>
      <c r="O862" s="32">
        <v>160.1300048828125</v>
      </c>
      <c r="P862" s="29">
        <v>1.1575949192047119</v>
      </c>
      <c r="Q862" s="29">
        <v>109.9375</v>
      </c>
      <c r="R862" s="32">
        <v>1.1508</v>
      </c>
      <c r="S862" s="32">
        <v>2.6280117858886705</v>
      </c>
    </row>
    <row r="863" spans="1:19">
      <c r="A863" s="10">
        <v>46185</v>
      </c>
      <c r="B863" s="32">
        <v>4.09</v>
      </c>
      <c r="C863" s="32">
        <v>4.21</v>
      </c>
      <c r="D863" s="32">
        <v>4.4800000000000004</v>
      </c>
      <c r="E863" s="32">
        <v>4.9800000000000004</v>
      </c>
      <c r="F863" s="32">
        <v>4.97</v>
      </c>
      <c r="G863" s="32">
        <v>1.417</v>
      </c>
      <c r="H863" s="32">
        <v>2.6429999999999998</v>
      </c>
      <c r="I863" s="32">
        <v>3.508</v>
      </c>
      <c r="J863" s="32">
        <v>3.7669999999999999</v>
      </c>
      <c r="K863" s="32">
        <v>3.65</v>
      </c>
      <c r="L863" s="32">
        <v>3.62</v>
      </c>
      <c r="M863" s="32">
        <v>3.63</v>
      </c>
      <c r="N863" s="32">
        <v>3.63</v>
      </c>
      <c r="O863" s="32">
        <v>160.1300048828125</v>
      </c>
      <c r="P863" s="29">
        <v>1.1575949192047119</v>
      </c>
      <c r="Q863" s="29">
        <v>109.78125</v>
      </c>
      <c r="R863" s="32">
        <v>1.0806</v>
      </c>
      <c r="S863" s="32">
        <v>2.5859164282226548</v>
      </c>
    </row>
    <row r="864" spans="1:19">
      <c r="A864" s="10">
        <v>46188</v>
      </c>
      <c r="B864" s="32">
        <v>4.07</v>
      </c>
      <c r="C864" s="32">
        <v>4.18</v>
      </c>
      <c r="D864" s="32">
        <v>4.47</v>
      </c>
      <c r="E864" s="32">
        <v>4.97</v>
      </c>
      <c r="F864" s="32">
        <v>4.97</v>
      </c>
      <c r="G864" s="32">
        <v>1.409</v>
      </c>
      <c r="H864" s="32">
        <v>2.589</v>
      </c>
      <c r="I864" s="32">
        <v>3.4609999999999999</v>
      </c>
      <c r="J864" s="32">
        <v>3.7250000000000001</v>
      </c>
      <c r="K864" s="32">
        <v>3.69</v>
      </c>
      <c r="L864" s="32">
        <v>3.63</v>
      </c>
      <c r="M864" s="32">
        <v>3.67</v>
      </c>
      <c r="N864" s="32">
        <v>3.67</v>
      </c>
      <c r="O864" s="32">
        <v>160.22900390625</v>
      </c>
      <c r="P864" s="29">
        <v>1.1594202518463135</v>
      </c>
      <c r="Q864" s="29">
        <v>109.90625</v>
      </c>
      <c r="R864" s="32">
        <v>1.0572999999999999</v>
      </c>
      <c r="S864" s="32">
        <v>2.5087399999999995</v>
      </c>
    </row>
    <row r="865" spans="1:19">
      <c r="A865" s="10">
        <v>46189</v>
      </c>
      <c r="B865" s="32">
        <v>4.05</v>
      </c>
      <c r="C865" s="32">
        <v>4.16</v>
      </c>
      <c r="D865" s="32">
        <v>4.43</v>
      </c>
      <c r="E865" s="32">
        <v>4.92</v>
      </c>
      <c r="F865" s="32">
        <v>4.93</v>
      </c>
      <c r="G865" s="32">
        <v>1.4139999999999999</v>
      </c>
      <c r="H865" s="32">
        <v>2.6549999999999998</v>
      </c>
      <c r="I865" s="32">
        <v>3.52</v>
      </c>
      <c r="J865" s="32">
        <v>3.7469999999999999</v>
      </c>
      <c r="K865" s="32">
        <v>3.63</v>
      </c>
      <c r="L865" s="32">
        <v>3.63</v>
      </c>
      <c r="M865" s="32">
        <v>3.61</v>
      </c>
      <c r="N865" s="32">
        <v>3.61</v>
      </c>
      <c r="O865" s="32">
        <v>160.41900634765625</v>
      </c>
      <c r="P865" s="29">
        <v>1.1609952449798584</v>
      </c>
      <c r="Q865" s="29">
        <v>110.1875</v>
      </c>
      <c r="R865" s="32">
        <v>0.99219999999999997</v>
      </c>
      <c r="S865" s="32">
        <v>2.5824082141113269</v>
      </c>
    </row>
    <row r="866" spans="1:19">
      <c r="A866" s="10">
        <v>46190</v>
      </c>
      <c r="B866" s="32">
        <v>4.2</v>
      </c>
      <c r="C866" s="32">
        <v>4.2699999999999996</v>
      </c>
      <c r="D866" s="32">
        <v>4.49</v>
      </c>
      <c r="E866" s="32">
        <v>4.95</v>
      </c>
      <c r="F866" s="32">
        <v>4.93</v>
      </c>
      <c r="G866" s="32">
        <v>1.3979999999999999</v>
      </c>
      <c r="H866" s="32">
        <v>2.613</v>
      </c>
      <c r="I866" s="32">
        <v>3.49</v>
      </c>
      <c r="J866" s="32">
        <v>3.7090000000000001</v>
      </c>
      <c r="K866" s="32">
        <v>3.63</v>
      </c>
      <c r="L866" s="32">
        <v>3.63</v>
      </c>
      <c r="M866" s="32">
        <v>3.61</v>
      </c>
      <c r="N866" s="32">
        <v>3.61</v>
      </c>
      <c r="O866" s="32">
        <v>160.60000610351563</v>
      </c>
      <c r="P866" s="29">
        <v>1.1507347822189331</v>
      </c>
      <c r="Q866" s="29">
        <v>109.8125</v>
      </c>
      <c r="R866" s="32">
        <v>0.95799999999999996</v>
      </c>
      <c r="S866" s="32">
        <v>2.5455735717773429</v>
      </c>
    </row>
    <row r="867" spans="1:19">
      <c r="A867" s="10">
        <v>46191</v>
      </c>
      <c r="B867" s="32">
        <v>4.1900000000000004</v>
      </c>
      <c r="C867" s="32">
        <v>4.2300000000000004</v>
      </c>
      <c r="D867" s="32">
        <v>4.46</v>
      </c>
      <c r="E867" s="32">
        <v>4.91</v>
      </c>
      <c r="F867" s="32">
        <v>4.9000000000000004</v>
      </c>
      <c r="G867" s="32">
        <v>1.4</v>
      </c>
      <c r="H867" s="32">
        <v>2.6280000000000001</v>
      </c>
      <c r="I867" s="32">
        <v>3.512</v>
      </c>
      <c r="J867" s="32">
        <v>3.7370000000000001</v>
      </c>
      <c r="K867" s="32">
        <v>3.62</v>
      </c>
      <c r="L867" s="32">
        <v>3.63</v>
      </c>
      <c r="M867" s="32">
        <v>3.6</v>
      </c>
      <c r="N867" s="32">
        <v>3.6</v>
      </c>
      <c r="O867" s="32">
        <v>161.28900146484375</v>
      </c>
      <c r="P867" s="29">
        <v>1.1458560228347778</v>
      </c>
      <c r="Q867" s="29">
        <v>109.921875</v>
      </c>
      <c r="R867" s="32">
        <v>0.92630000000000001</v>
      </c>
      <c r="S867" s="32">
        <v>2.5613599999999987</v>
      </c>
    </row>
    <row r="868" spans="1:19">
      <c r="A868" s="10">
        <v>46195</v>
      </c>
      <c r="B868" s="32">
        <v>4.24</v>
      </c>
      <c r="C868" s="32">
        <v>4.29</v>
      </c>
      <c r="D868" s="32">
        <v>4.51</v>
      </c>
      <c r="E868" s="32">
        <v>4.97</v>
      </c>
      <c r="F868" s="32">
        <v>4.95</v>
      </c>
      <c r="G868" s="32">
        <v>1.415</v>
      </c>
      <c r="H868" s="32">
        <v>2.677</v>
      </c>
      <c r="I868" s="32">
        <v>3.5630000000000002</v>
      </c>
      <c r="J868" s="32">
        <v>3.7970000000000002</v>
      </c>
      <c r="K868" s="32">
        <v>3.61</v>
      </c>
      <c r="L868" s="32">
        <v>3.63</v>
      </c>
      <c r="M868" s="32">
        <v>3.59</v>
      </c>
      <c r="N868" s="32">
        <v>3.59</v>
      </c>
      <c r="O868" s="32">
        <v>161.57000732421875</v>
      </c>
      <c r="P868" s="29">
        <v>1.1427135467529297</v>
      </c>
      <c r="Q868" s="29">
        <v>109.234375</v>
      </c>
      <c r="R868" s="32">
        <v>0.90159999999999996</v>
      </c>
      <c r="S868" s="32">
        <v>2.6297664282226556</v>
      </c>
    </row>
    <row r="869" spans="1:19">
      <c r="A869" s="10">
        <v>46196</v>
      </c>
      <c r="B869" s="32">
        <v>4.16</v>
      </c>
      <c r="C869" s="32">
        <v>4.2699999999999996</v>
      </c>
      <c r="D869" s="32">
        <v>4.5</v>
      </c>
      <c r="E869" s="32">
        <v>4.96</v>
      </c>
      <c r="F869" s="32">
        <v>4.9400000000000004</v>
      </c>
      <c r="G869" s="32">
        <v>1.4259999999999999</v>
      </c>
      <c r="H869" s="32">
        <v>2.6829999999999998</v>
      </c>
      <c r="I869" s="32">
        <v>3.5539999999999998</v>
      </c>
      <c r="J869" s="32">
        <v>3.79</v>
      </c>
      <c r="K869" s="32">
        <v>3.62</v>
      </c>
      <c r="L869" s="32">
        <v>3.63</v>
      </c>
      <c r="M869" s="32">
        <v>3.6</v>
      </c>
      <c r="N869" s="32">
        <v>3.6</v>
      </c>
      <c r="O869" s="32">
        <v>161.5989990234375</v>
      </c>
      <c r="P869" s="29">
        <v>1.1379542350769043</v>
      </c>
      <c r="Q869" s="29">
        <v>109.375</v>
      </c>
      <c r="R869" s="32">
        <v>0.99029999999999996</v>
      </c>
      <c r="S869" s="32">
        <v>2.6174882141113276</v>
      </c>
    </row>
    <row r="870" spans="1:19">
      <c r="A870" s="10">
        <v>46197</v>
      </c>
      <c r="B870" s="32">
        <v>4.1100000000000003</v>
      </c>
      <c r="C870" s="32">
        <v>4.17</v>
      </c>
      <c r="D870" s="32">
        <v>4.41</v>
      </c>
      <c r="E870" s="32">
        <v>4.87</v>
      </c>
      <c r="F870" s="32">
        <v>4.8600000000000003</v>
      </c>
      <c r="G870" s="32">
        <v>1.4319999999999999</v>
      </c>
      <c r="H870" s="32">
        <v>2.6739999999999999</v>
      </c>
      <c r="I870" s="32">
        <v>3.552</v>
      </c>
      <c r="J870" s="32">
        <v>3.8079999999999998</v>
      </c>
      <c r="K870" s="32">
        <v>3.62</v>
      </c>
      <c r="L870" s="32">
        <v>3.63</v>
      </c>
      <c r="M870" s="32">
        <v>3.61</v>
      </c>
      <c r="N870" s="32">
        <v>3.61</v>
      </c>
      <c r="O870" s="32">
        <v>161.76300048828125</v>
      </c>
      <c r="P870" s="29">
        <v>1.1354217529296875</v>
      </c>
      <c r="Q870" s="29">
        <v>110</v>
      </c>
      <c r="R870" s="32">
        <v>0.97140000000000004</v>
      </c>
      <c r="S870" s="32">
        <v>2.6069635717773423</v>
      </c>
    </row>
    <row r="871" spans="1:19">
      <c r="A871" s="10">
        <v>46198</v>
      </c>
      <c r="B871" s="32">
        <v>4.09</v>
      </c>
      <c r="C871" s="32">
        <v>4.1500000000000004</v>
      </c>
      <c r="D871" s="32">
        <v>4.4000000000000004</v>
      </c>
      <c r="E871" s="32">
        <v>4.87</v>
      </c>
      <c r="F871" s="32">
        <v>4.8600000000000003</v>
      </c>
      <c r="G871" s="32">
        <v>1.421</v>
      </c>
      <c r="H871" s="32">
        <v>2.637</v>
      </c>
      <c r="I871" s="32">
        <v>3.5259999999999998</v>
      </c>
      <c r="J871" s="32">
        <v>3.7810000000000001</v>
      </c>
      <c r="K871" s="32">
        <v>3.64</v>
      </c>
      <c r="L871" s="32">
        <v>3.63</v>
      </c>
      <c r="M871" s="32">
        <v>3.62</v>
      </c>
      <c r="N871" s="32">
        <v>3.62</v>
      </c>
      <c r="O871" s="32">
        <v>161.80499267578125</v>
      </c>
      <c r="P871" s="29">
        <v>1.1361699104309082</v>
      </c>
      <c r="Q871" s="29">
        <v>110.09375</v>
      </c>
      <c r="R871" s="32">
        <v>0.92430000000000001</v>
      </c>
      <c r="S871" s="32">
        <v>2.5701299999999989</v>
      </c>
    </row>
    <row r="872" spans="1:19">
      <c r="A872" s="10">
        <v>46199</v>
      </c>
      <c r="B872" s="32">
        <v>4.07</v>
      </c>
      <c r="C872" s="32">
        <v>4.12</v>
      </c>
      <c r="D872" s="32">
        <v>4.38</v>
      </c>
      <c r="E872" s="32">
        <v>4.87</v>
      </c>
      <c r="F872" s="32">
        <v>4.87</v>
      </c>
      <c r="G872" s="32">
        <v>1.409</v>
      </c>
      <c r="H872" s="32">
        <v>2.6110000000000002</v>
      </c>
      <c r="I872" s="32">
        <v>3.5059999999999998</v>
      </c>
      <c r="J872" s="32">
        <v>3.7589999999999999</v>
      </c>
      <c r="K872" s="32">
        <v>3.62</v>
      </c>
      <c r="L872" s="32">
        <v>3.63</v>
      </c>
      <c r="M872" s="32">
        <v>3.6</v>
      </c>
      <c r="N872" s="32">
        <v>3.6</v>
      </c>
      <c r="O872" s="32">
        <v>161.80499267578125</v>
      </c>
      <c r="P872" s="29">
        <v>1.1361699104309082</v>
      </c>
      <c r="Q872" s="29">
        <v>110.265625</v>
      </c>
      <c r="R872" s="32">
        <v>0.93240000000000001</v>
      </c>
      <c r="S872" s="32">
        <v>2.5525899999999986</v>
      </c>
    </row>
    <row r="873" spans="1:19">
      <c r="A873" s="10">
        <v>46202</v>
      </c>
      <c r="B873" s="32">
        <v>4.0999999999999996</v>
      </c>
      <c r="C873" s="32">
        <v>4.1399999999999997</v>
      </c>
      <c r="D873" s="32">
        <v>4.38</v>
      </c>
      <c r="E873" s="32">
        <v>4.8600000000000003</v>
      </c>
      <c r="F873" s="32">
        <v>4.8600000000000003</v>
      </c>
      <c r="G873" s="32">
        <v>1.411</v>
      </c>
      <c r="H873" s="32">
        <v>2.6440000000000001</v>
      </c>
      <c r="I873" s="32">
        <v>3.54</v>
      </c>
      <c r="J873" s="32">
        <v>3.7850000000000001</v>
      </c>
      <c r="K873" s="32">
        <v>3.62</v>
      </c>
      <c r="L873" s="32">
        <v>3.63</v>
      </c>
      <c r="M873" s="32">
        <v>3.6</v>
      </c>
      <c r="N873" s="32">
        <v>3.6</v>
      </c>
      <c r="O873" s="32">
        <v>161.92300415039063</v>
      </c>
      <c r="P873" s="29">
        <v>1.1422044038772583</v>
      </c>
      <c r="Q873" s="29">
        <v>110.1875</v>
      </c>
      <c r="R873" s="32">
        <v>0.90039999999999998</v>
      </c>
      <c r="S873" s="32">
        <v>2.5859164282226548</v>
      </c>
    </row>
    <row r="874" spans="1:19">
      <c r="A874" s="10">
        <v>46203</v>
      </c>
      <c r="B874" s="32">
        <v>4.1399999999999997</v>
      </c>
      <c r="C874" s="32">
        <v>4.1900000000000004</v>
      </c>
      <c r="D874" s="32">
        <v>4.4400000000000004</v>
      </c>
      <c r="E874" s="32">
        <v>4.93</v>
      </c>
      <c r="F874" s="32">
        <v>4.91</v>
      </c>
      <c r="G874" s="32">
        <v>1.3819999999999999</v>
      </c>
      <c r="H874" s="32">
        <v>2.69</v>
      </c>
      <c r="I874" s="32">
        <v>3.625</v>
      </c>
      <c r="J874" s="32">
        <v>3.8730000000000002</v>
      </c>
      <c r="K874" s="32">
        <v>3.68</v>
      </c>
      <c r="L874" s="32">
        <v>3.63</v>
      </c>
      <c r="M874" s="32">
        <v>3.64</v>
      </c>
      <c r="N874" s="32">
        <v>3.64</v>
      </c>
      <c r="O874" s="32">
        <v>162.62800598144531</v>
      </c>
      <c r="P874" s="29">
        <v>1.1413310766220093</v>
      </c>
      <c r="Q874" s="29">
        <v>109.890625</v>
      </c>
      <c r="R874" s="32">
        <v>0.92259999999999998</v>
      </c>
      <c r="S874" s="32">
        <v>2.5017235717773421</v>
      </c>
    </row>
    <row r="875" spans="1:19">
      <c r="A875" s="10">
        <v>46204</v>
      </c>
      <c r="B875" s="32">
        <v>4.17</v>
      </c>
      <c r="C875" s="32">
        <v>4.24</v>
      </c>
      <c r="D875" s="32">
        <v>4.4800000000000004</v>
      </c>
      <c r="E875" s="32">
        <v>4.97</v>
      </c>
      <c r="F875" s="32">
        <v>4.97</v>
      </c>
      <c r="G875" s="32">
        <v>1.4</v>
      </c>
      <c r="H875" s="32">
        <v>2.7109999999999999</v>
      </c>
      <c r="I875" s="32">
        <v>3.6320000000000001</v>
      </c>
      <c r="J875" s="32">
        <v>3.883</v>
      </c>
      <c r="K875" s="32">
        <v>3.66</v>
      </c>
      <c r="L875" s="32">
        <v>3.63</v>
      </c>
      <c r="M875" s="32">
        <v>3.63</v>
      </c>
      <c r="N875" s="32">
        <v>3.63</v>
      </c>
      <c r="O875" s="32">
        <v>162.53900146484375</v>
      </c>
      <c r="P875" s="29">
        <v>1.1377987861633301</v>
      </c>
      <c r="Q875" s="29">
        <v>109.578125</v>
      </c>
      <c r="R875" s="32">
        <v>0.9456</v>
      </c>
      <c r="S875" s="32">
        <v>2.6490599999999986</v>
      </c>
    </row>
    <row r="876" spans="1:19">
      <c r="A876" s="10">
        <v>46205</v>
      </c>
      <c r="B876" s="32">
        <v>4.1399999999999997</v>
      </c>
      <c r="C876" s="32">
        <v>4.2300000000000004</v>
      </c>
      <c r="D876" s="32">
        <v>4.49</v>
      </c>
      <c r="E876" s="32">
        <v>4.99</v>
      </c>
      <c r="F876" s="32">
        <v>4.9800000000000004</v>
      </c>
      <c r="G876" s="32">
        <v>1.395</v>
      </c>
      <c r="H876" s="32">
        <v>2.778</v>
      </c>
      <c r="I876" s="32">
        <v>3.7109999999999999</v>
      </c>
      <c r="J876" s="32">
        <v>3.9369999999999998</v>
      </c>
      <c r="K876" s="32">
        <v>3.64</v>
      </c>
      <c r="L876" s="32">
        <v>3.63</v>
      </c>
      <c r="M876" s="32">
        <v>3.62</v>
      </c>
      <c r="N876" s="32">
        <v>3.62</v>
      </c>
      <c r="O876" s="32">
        <v>161.44900512695313</v>
      </c>
      <c r="P876" s="29">
        <v>1.1422696113586426</v>
      </c>
      <c r="Q876" s="29">
        <v>109.578125</v>
      </c>
      <c r="R876" s="32">
        <v>1.014</v>
      </c>
      <c r="S876" s="32">
        <v>2.691156428222655</v>
      </c>
    </row>
    <row r="877" spans="1:19">
      <c r="A877" s="10">
        <v>46209</v>
      </c>
      <c r="B877" s="32">
        <v>4.13</v>
      </c>
      <c r="C877" s="32">
        <v>4.21</v>
      </c>
      <c r="D877" s="32">
        <v>4.4800000000000004</v>
      </c>
      <c r="E877" s="32">
        <v>4.99</v>
      </c>
      <c r="F877" s="32">
        <v>4.99</v>
      </c>
      <c r="G877" s="32">
        <v>1.3959999999999999</v>
      </c>
      <c r="H877" s="32">
        <v>2.823</v>
      </c>
      <c r="I877" s="32">
        <v>3.7450000000000001</v>
      </c>
      <c r="J877" s="32">
        <v>3.976</v>
      </c>
      <c r="K877" s="32">
        <v>3.63</v>
      </c>
      <c r="L877" s="32">
        <v>3.63</v>
      </c>
      <c r="M877" s="32">
        <v>3.61</v>
      </c>
      <c r="N877" s="32">
        <v>3.61</v>
      </c>
      <c r="O877" s="32">
        <v>162.08799743652344</v>
      </c>
      <c r="P877" s="29">
        <v>1.1441777944564819</v>
      </c>
      <c r="Q877" s="29">
        <v>109.640625</v>
      </c>
      <c r="R877" s="32">
        <v>1.0572999999999999</v>
      </c>
      <c r="S877" s="32">
        <v>2.7279899999999984</v>
      </c>
    </row>
    <row r="878" spans="1:19">
      <c r="A878" s="10">
        <v>46210</v>
      </c>
      <c r="B878" s="32">
        <v>4.1900000000000004</v>
      </c>
      <c r="C878" s="32">
        <v>4.2699999999999996</v>
      </c>
      <c r="D878" s="32">
        <v>4.55</v>
      </c>
      <c r="E878" s="32">
        <v>5.05</v>
      </c>
      <c r="F878" s="32">
        <v>5.05</v>
      </c>
      <c r="G878" s="32">
        <v>1.4019999999999999</v>
      </c>
      <c r="H878" s="32">
        <v>2.8340000000000001</v>
      </c>
      <c r="I878" s="32">
        <v>3.7490000000000001</v>
      </c>
      <c r="J878" s="32">
        <v>3.9510000000000001</v>
      </c>
      <c r="K878" s="32">
        <v>3.62</v>
      </c>
      <c r="L878" s="32">
        <v>3.63</v>
      </c>
      <c r="M878" s="32">
        <v>3.6</v>
      </c>
      <c r="N878" s="32">
        <v>3.6</v>
      </c>
      <c r="O878" s="32">
        <v>162.36300659179688</v>
      </c>
      <c r="P878" s="29">
        <v>1.140380859375</v>
      </c>
      <c r="Q878" s="29">
        <v>109.328125</v>
      </c>
      <c r="R878" s="32">
        <v>1.1069</v>
      </c>
      <c r="S878" s="32">
        <v>2.7402682141113264</v>
      </c>
    </row>
    <row r="879" spans="1:19">
      <c r="A879" s="10">
        <v>46211</v>
      </c>
      <c r="B879" s="32">
        <v>4.21</v>
      </c>
      <c r="C879" s="32">
        <v>4.3099999999999996</v>
      </c>
      <c r="D879" s="32">
        <v>4.5599999999999996</v>
      </c>
      <c r="E879" s="32">
        <v>5.07</v>
      </c>
      <c r="F879" s="32">
        <v>5.0599999999999996</v>
      </c>
      <c r="G879" s="32">
        <v>1.4330000000000001</v>
      </c>
      <c r="H879" s="32">
        <v>2.8559999999999999</v>
      </c>
      <c r="I879" s="32">
        <v>3.798</v>
      </c>
      <c r="J879" s="32">
        <v>3.9980000000000002</v>
      </c>
      <c r="K879" s="32">
        <v>3.58</v>
      </c>
      <c r="L879" s="32">
        <v>3.62</v>
      </c>
      <c r="M879" s="32">
        <v>3.57</v>
      </c>
      <c r="N879" s="32">
        <v>3.57</v>
      </c>
      <c r="O879" s="32">
        <v>162.53900146484375</v>
      </c>
      <c r="P879" s="29">
        <v>1.1422044038772583</v>
      </c>
      <c r="Q879" s="29">
        <v>109</v>
      </c>
      <c r="R879" s="32">
        <v>1.1635</v>
      </c>
      <c r="S879" s="32">
        <v>2.7893799999999995</v>
      </c>
    </row>
    <row r="880" spans="1:19">
      <c r="A880" s="10">
        <v>46212</v>
      </c>
      <c r="B880" s="32">
        <v>4.16</v>
      </c>
      <c r="C880" s="32">
        <v>4.2699999999999996</v>
      </c>
      <c r="D880" s="32">
        <v>4.54</v>
      </c>
      <c r="E880" s="32">
        <v>5.0599999999999996</v>
      </c>
      <c r="F880" s="32">
        <v>5.05</v>
      </c>
      <c r="G880" s="32">
        <v>1.444</v>
      </c>
      <c r="H880" s="32">
        <v>2.8660000000000001</v>
      </c>
      <c r="I880" s="32">
        <v>3.7949999999999999</v>
      </c>
      <c r="J880" s="32">
        <v>4.0129999999999999</v>
      </c>
      <c r="K880" s="32">
        <v>3.53</v>
      </c>
      <c r="L880" s="32">
        <v>3.62</v>
      </c>
      <c r="M880" s="32">
        <v>3.51</v>
      </c>
      <c r="N880" s="32">
        <v>3.51</v>
      </c>
      <c r="O880" s="32">
        <v>162.36300659179688</v>
      </c>
      <c r="P880" s="29">
        <v>1.1433405876159668</v>
      </c>
      <c r="Q880" s="29">
        <v>109.265625</v>
      </c>
      <c r="R880" s="32">
        <v>1.2955000000000001</v>
      </c>
      <c r="S880" s="32">
        <v>2.7928882141113274</v>
      </c>
    </row>
    <row r="881" spans="1:19">
      <c r="A881" s="10">
        <v>46213</v>
      </c>
      <c r="B881" s="32">
        <v>4.21</v>
      </c>
      <c r="C881" s="32">
        <v>4.3</v>
      </c>
      <c r="D881" s="32">
        <v>4.5599999999999996</v>
      </c>
      <c r="E881" s="32">
        <v>5.08</v>
      </c>
      <c r="F881" s="32">
        <v>5.0599999999999996</v>
      </c>
      <c r="G881" s="32">
        <v>1.4339999999999999</v>
      </c>
      <c r="H881" s="32">
        <v>2.7610000000000001</v>
      </c>
      <c r="I881" s="32">
        <v>3.702</v>
      </c>
      <c r="J881" s="32">
        <v>3.9380000000000002</v>
      </c>
      <c r="K881" s="32">
        <v>3.55</v>
      </c>
      <c r="L881" s="32">
        <v>3.62</v>
      </c>
      <c r="M881" s="32">
        <v>3.52</v>
      </c>
      <c r="N881" s="32">
        <v>3.52</v>
      </c>
      <c r="O881" s="32">
        <v>162.36300659179688</v>
      </c>
      <c r="P881" s="29">
        <v>1.1433405876159668</v>
      </c>
      <c r="Q881" s="29">
        <v>109.03125</v>
      </c>
      <c r="R881" s="32">
        <v>1.2390000000000001</v>
      </c>
      <c r="S881" s="32">
        <v>2.7051882141113275</v>
      </c>
    </row>
    <row r="882" spans="1:19">
      <c r="A882" s="10">
        <v>46216</v>
      </c>
      <c r="B882" s="32">
        <v>4.26</v>
      </c>
      <c r="C882" s="32">
        <v>4.37</v>
      </c>
      <c r="D882" s="32">
        <v>4.62</v>
      </c>
      <c r="E882" s="32">
        <v>5.1100000000000003</v>
      </c>
      <c r="F882" s="32">
        <v>5.0999999999999996</v>
      </c>
      <c r="G882" s="32">
        <v>1.4510000000000001</v>
      </c>
      <c r="H882" s="32">
        <v>2.786</v>
      </c>
      <c r="I882" s="32">
        <v>3.698</v>
      </c>
      <c r="J882" s="32">
        <v>3.9220000000000002</v>
      </c>
      <c r="K882" s="32">
        <v>3.6</v>
      </c>
      <c r="L882" s="32">
        <v>3.62</v>
      </c>
      <c r="M882" s="32">
        <v>3.58</v>
      </c>
      <c r="N882" s="32">
        <v>3.58</v>
      </c>
      <c r="O882" s="32">
        <v>162.42900085449219</v>
      </c>
      <c r="P882" s="29">
        <v>1.1384334564208984</v>
      </c>
      <c r="Q882" s="29">
        <v>108.703125</v>
      </c>
      <c r="R882" s="32">
        <v>1.2398</v>
      </c>
      <c r="S882" s="32">
        <v>2.8156899999999982</v>
      </c>
    </row>
    <row r="883" spans="1:19">
      <c r="A883" s="10">
        <v>46217</v>
      </c>
      <c r="B883" s="32">
        <v>4.18</v>
      </c>
      <c r="C883" s="32">
        <v>4.3099999999999996</v>
      </c>
      <c r="D883" s="32">
        <v>4.58</v>
      </c>
      <c r="E883" s="32">
        <v>5.09</v>
      </c>
      <c r="F883" s="32">
        <v>5.08</v>
      </c>
      <c r="G883" s="32">
        <v>1.4350000000000001</v>
      </c>
      <c r="H883" s="32">
        <v>2.7130000000000001</v>
      </c>
      <c r="I883" s="32">
        <v>3.5339999999999998</v>
      </c>
      <c r="J883" s="32">
        <v>3.7869999999999999</v>
      </c>
      <c r="K883" s="32">
        <v>3.63</v>
      </c>
      <c r="L883" s="32">
        <v>3.63</v>
      </c>
      <c r="M883" s="32">
        <v>3.62</v>
      </c>
      <c r="N883" s="32">
        <v>3.62</v>
      </c>
      <c r="O883" s="32">
        <v>162.18699645996094</v>
      </c>
      <c r="P883" s="29">
        <v>1.1424654722213745</v>
      </c>
      <c r="Q883" s="29">
        <v>108.921875</v>
      </c>
      <c r="R883" s="32">
        <v>1.2808999999999999</v>
      </c>
      <c r="S883" s="32">
        <v>2.6402899999999985</v>
      </c>
    </row>
    <row r="884" spans="1:19">
      <c r="A884" s="10">
        <v>46218</v>
      </c>
      <c r="B884" s="32">
        <v>4.13</v>
      </c>
      <c r="C884" s="32">
        <v>4.26</v>
      </c>
      <c r="D884" s="32">
        <v>4.55</v>
      </c>
      <c r="E884" s="32">
        <v>5.07</v>
      </c>
      <c r="F884" s="32">
        <v>5.08</v>
      </c>
      <c r="G884" s="32">
        <v>1.4359999999999999</v>
      </c>
      <c r="H884" s="32">
        <v>2.6970000000000001</v>
      </c>
      <c r="I884" s="32">
        <v>3.5659999999999998</v>
      </c>
      <c r="J884" s="32">
        <v>3.802</v>
      </c>
      <c r="K884" s="32">
        <v>3.64</v>
      </c>
      <c r="L884" s="32">
        <v>3.63</v>
      </c>
      <c r="M884" s="32">
        <v>3.62</v>
      </c>
      <c r="N884" s="32">
        <v>3.62</v>
      </c>
      <c r="O884" s="32">
        <v>162.07200622558594</v>
      </c>
      <c r="P884" s="29">
        <v>1.1470258235931396</v>
      </c>
      <c r="Q884" s="29">
        <v>109.296875</v>
      </c>
      <c r="R884" s="32">
        <v>1.2471000000000001</v>
      </c>
      <c r="S884" s="32">
        <v>2.6262582141113278</v>
      </c>
    </row>
    <row r="885" spans="1:19">
      <c r="A885" s="10">
        <v>46219</v>
      </c>
      <c r="B885" s="32">
        <v>4.16</v>
      </c>
      <c r="C885" s="32">
        <v>4.28</v>
      </c>
      <c r="D885" s="32">
        <v>4.57</v>
      </c>
      <c r="E885" s="32">
        <v>5.09</v>
      </c>
      <c r="F885" s="32">
        <v>5.09</v>
      </c>
      <c r="G885" s="32">
        <v>1.44</v>
      </c>
      <c r="H885" s="32">
        <v>2.7189999999999999</v>
      </c>
      <c r="I885" s="32">
        <v>3.6139999999999999</v>
      </c>
      <c r="J885" s="32">
        <v>3.8620000000000001</v>
      </c>
      <c r="K885" s="32">
        <v>3.62</v>
      </c>
      <c r="L885" s="32">
        <v>3.63</v>
      </c>
      <c r="M885" s="32">
        <v>3.59</v>
      </c>
      <c r="N885" s="32">
        <v>3.59</v>
      </c>
      <c r="O885" s="32">
        <v>162.37600708007813</v>
      </c>
      <c r="P885" s="29">
        <v>1.1444659233093262</v>
      </c>
      <c r="Q885" s="29">
        <v>109.140625</v>
      </c>
      <c r="R885" s="32">
        <v>1.3703000000000001</v>
      </c>
      <c r="S885" s="32">
        <v>2.6192417858886703</v>
      </c>
    </row>
    <row r="886" spans="1:19">
      <c r="A886" s="10">
        <v>46220</v>
      </c>
      <c r="B886" s="32">
        <v>4.18</v>
      </c>
      <c r="C886" s="32">
        <v>4.28</v>
      </c>
      <c r="D886" s="32">
        <v>4.55</v>
      </c>
      <c r="E886" s="32">
        <v>5.07</v>
      </c>
      <c r="F886" s="32">
        <v>5.0599999999999996</v>
      </c>
      <c r="G886" s="32">
        <v>1.4359999999999999</v>
      </c>
      <c r="H886" s="32">
        <v>2.7149999999999999</v>
      </c>
      <c r="I886" s="32">
        <v>3.63</v>
      </c>
      <c r="J886" s="32">
        <v>3.8940000000000001</v>
      </c>
      <c r="K886" s="32">
        <v>3.59</v>
      </c>
      <c r="L886" s="32">
        <v>3.63</v>
      </c>
      <c r="M886" s="32">
        <v>3.56</v>
      </c>
      <c r="N886" s="32">
        <v>3.56</v>
      </c>
      <c r="O886" s="32">
        <v>162.37600708007813</v>
      </c>
      <c r="P886" s="29">
        <v>1.1444659233093262</v>
      </c>
      <c r="Q886" s="29">
        <v>109.265625</v>
      </c>
      <c r="R886" s="32">
        <v>1.3849</v>
      </c>
      <c r="S886" s="32">
        <v>2.6262582141113278</v>
      </c>
    </row>
    <row r="887" spans="1:19">
      <c r="A887" s="10">
        <v>46223</v>
      </c>
      <c r="B887" s="32">
        <v>4.21</v>
      </c>
      <c r="C887" s="32">
        <v>4.33</v>
      </c>
      <c r="D887" s="32">
        <v>4.5999999999999996</v>
      </c>
      <c r="E887" s="32">
        <v>5.12</v>
      </c>
      <c r="F887" s="32">
        <v>5.1100000000000003</v>
      </c>
      <c r="G887" s="32">
        <v>1.4359999999999999</v>
      </c>
      <c r="H887" s="32">
        <v>2.7149999999999999</v>
      </c>
      <c r="I887" s="32">
        <v>3.63</v>
      </c>
      <c r="J887" s="32">
        <v>3.8940000000000001</v>
      </c>
      <c r="K887" s="32">
        <v>3.57</v>
      </c>
      <c r="L887" s="32">
        <v>3.63</v>
      </c>
      <c r="M887" s="32">
        <v>3.54</v>
      </c>
      <c r="N887" s="32">
        <v>3.54</v>
      </c>
      <c r="O887" s="32">
        <v>162.48699951171875</v>
      </c>
      <c r="P887" s="29">
        <v>1.1418131589889526</v>
      </c>
      <c r="Q887" s="29">
        <v>108.859375</v>
      </c>
      <c r="R887" s="32">
        <v>1.3495999999999999</v>
      </c>
      <c r="S887" s="32">
        <v>2.6262582141113278</v>
      </c>
    </row>
    <row r="888" spans="1:19">
      <c r="A888" s="10">
        <v>46224</v>
      </c>
      <c r="B888" s="32">
        <v>4.26</v>
      </c>
      <c r="C888" s="32">
        <v>4.37</v>
      </c>
      <c r="D888" s="32">
        <v>4.63</v>
      </c>
      <c r="E888" s="32">
        <v>5.14</v>
      </c>
      <c r="F888" s="32">
        <v>5.13</v>
      </c>
      <c r="G888" s="32">
        <v>1.4410000000000001</v>
      </c>
      <c r="H888" s="32">
        <v>2.7309999999999999</v>
      </c>
      <c r="I888" s="32">
        <v>3.6230000000000002</v>
      </c>
      <c r="J888" s="32">
        <v>3.9049999999999998</v>
      </c>
      <c r="K888" s="32">
        <v>3.61</v>
      </c>
      <c r="L888" s="32">
        <v>3.63</v>
      </c>
      <c r="M888" s="32">
        <v>3.58</v>
      </c>
      <c r="N888" s="32">
        <v>3.58</v>
      </c>
      <c r="O888" s="32">
        <v>163.18600463867188</v>
      </c>
      <c r="P888" s="29">
        <v>1.140380859375</v>
      </c>
      <c r="Q888" s="29">
        <v>108.640625</v>
      </c>
      <c r="R888" s="32">
        <v>1.3675999999999999</v>
      </c>
      <c r="S888" s="32">
        <v>2.6999264282226552</v>
      </c>
    </row>
    <row r="889" spans="1:19">
      <c r="A889" s="10">
        <v>46225</v>
      </c>
      <c r="B889" s="32">
        <v>4.3099999999999996</v>
      </c>
      <c r="C889" s="32">
        <v>4.41</v>
      </c>
      <c r="D889" s="32">
        <v>4.67</v>
      </c>
      <c r="E889" s="32">
        <v>5.17</v>
      </c>
      <c r="F889" s="32">
        <v>5.15</v>
      </c>
      <c r="G889" s="32">
        <v>1.45</v>
      </c>
      <c r="H889" s="32">
        <v>2.7450000000000001</v>
      </c>
      <c r="I889" s="32">
        <v>3.6349999999999998</v>
      </c>
      <c r="J889" s="32">
        <v>3.9009999999999998</v>
      </c>
      <c r="K889" s="32">
        <v>3.62</v>
      </c>
      <c r="L889" s="32">
        <v>3.63</v>
      </c>
      <c r="M889" s="32">
        <v>3.6</v>
      </c>
      <c r="N889" s="32">
        <v>3.6</v>
      </c>
      <c r="O889" s="32">
        <v>163.08099365234375</v>
      </c>
      <c r="P889" s="29">
        <v>1.1411746740341187</v>
      </c>
      <c r="Q889" s="29">
        <v>108.421875</v>
      </c>
      <c r="R889" s="32">
        <v>1.3407</v>
      </c>
      <c r="S889" s="32">
        <v>2.6613382141113266</v>
      </c>
    </row>
    <row r="890" spans="1:19">
      <c r="A890" s="10">
        <v>46226</v>
      </c>
      <c r="B890" s="32">
        <v>4.37</v>
      </c>
      <c r="C890" s="32">
        <v>4.46</v>
      </c>
      <c r="D890" s="32">
        <v>4.71</v>
      </c>
      <c r="E890" s="32">
        <v>5.2</v>
      </c>
      <c r="F890" s="32">
        <v>5.17</v>
      </c>
      <c r="G890" s="32">
        <v>1.4990000000000001</v>
      </c>
      <c r="H890" s="32">
        <v>2.7759999999999998</v>
      </c>
      <c r="I890" s="32">
        <v>3.6440000000000001</v>
      </c>
      <c r="J890" s="32">
        <v>3.9289999999999998</v>
      </c>
      <c r="K890" s="32">
        <v>3.64</v>
      </c>
      <c r="L890" s="32">
        <v>3.63</v>
      </c>
      <c r="M890" s="32">
        <v>3.62</v>
      </c>
      <c r="N890" s="32">
        <v>3.62</v>
      </c>
      <c r="O890" s="32">
        <v>163.83200073242188</v>
      </c>
      <c r="P890" s="29">
        <v>1.137682318687439</v>
      </c>
      <c r="Q890" s="29">
        <v>108.09375</v>
      </c>
      <c r="R890" s="32">
        <v>1.3592</v>
      </c>
      <c r="S890" s="32">
        <v>2.685893571777342</v>
      </c>
    </row>
    <row r="891" spans="1:19">
      <c r="A891" s="10">
        <v>46227</v>
      </c>
      <c r="B891" s="32">
        <v>4.33</v>
      </c>
      <c r="C891" s="32">
        <v>4.43</v>
      </c>
      <c r="D891" s="32">
        <v>4.6900000000000004</v>
      </c>
      <c r="E891" s="32">
        <v>5.18</v>
      </c>
      <c r="F891" s="32">
        <v>5.16</v>
      </c>
      <c r="G891" s="32">
        <v>1.5309999999999999</v>
      </c>
      <c r="H891" s="32">
        <v>2.8149999999999999</v>
      </c>
      <c r="I891" s="32">
        <v>3.69</v>
      </c>
      <c r="J891" s="32">
        <v>3.98</v>
      </c>
      <c r="K891" s="32">
        <v>3.64</v>
      </c>
      <c r="L891" s="32">
        <v>3.63</v>
      </c>
      <c r="M891" s="32">
        <v>3.62</v>
      </c>
      <c r="N891" s="32">
        <v>3.62</v>
      </c>
      <c r="O891" s="32">
        <v>163.83200073242188</v>
      </c>
      <c r="P891" s="29">
        <v>1.137682318687439</v>
      </c>
      <c r="Q891" s="29">
        <v>108.328125</v>
      </c>
      <c r="R891" s="32">
        <v>1.3781000000000001</v>
      </c>
      <c r="S891" s="32">
        <v>2.7209735717773427</v>
      </c>
    </row>
    <row r="892" spans="1:19">
      <c r="A892" s="10">
        <v>46230</v>
      </c>
      <c r="B892" s="32">
        <v>4.3099999999999996</v>
      </c>
      <c r="C892" s="32">
        <v>4.4000000000000004</v>
      </c>
      <c r="D892" s="32">
        <v>4.6500000000000004</v>
      </c>
      <c r="E892" s="32">
        <v>5.15</v>
      </c>
      <c r="F892" s="32">
        <v>5.12</v>
      </c>
      <c r="G892" s="32">
        <v>1.5129999999999999</v>
      </c>
      <c r="H892" s="32">
        <v>2.778</v>
      </c>
      <c r="I892" s="32">
        <v>3.665</v>
      </c>
      <c r="J892" s="32">
        <v>3.9689999999999999</v>
      </c>
      <c r="K892" s="32">
        <v>3.64</v>
      </c>
      <c r="L892" s="32">
        <v>3.63</v>
      </c>
      <c r="M892" s="32">
        <v>3.62</v>
      </c>
      <c r="N892" s="32">
        <v>3.62</v>
      </c>
      <c r="O892" s="32">
        <v>163.77099609375</v>
      </c>
      <c r="P892" s="29">
        <v>1.1369450092315674</v>
      </c>
      <c r="Q892" s="29">
        <v>108.578125</v>
      </c>
      <c r="R892" s="32">
        <v>1.3407</v>
      </c>
      <c r="S892" s="32">
        <v>2.7034335717773423</v>
      </c>
    </row>
    <row r="893" spans="1:19">
      <c r="A893" s="10">
        <v>46231</v>
      </c>
      <c r="B893" s="32">
        <v>4.26</v>
      </c>
      <c r="C893" s="32">
        <v>4.3499999999999996</v>
      </c>
      <c r="D893" s="32">
        <v>4.6100000000000003</v>
      </c>
      <c r="E893" s="32">
        <v>5.1100000000000003</v>
      </c>
      <c r="F893" s="32">
        <v>5.09</v>
      </c>
      <c r="G893" s="32">
        <v>1.504</v>
      </c>
      <c r="H893" s="32">
        <v>2.7829999999999999</v>
      </c>
      <c r="I893" s="32">
        <v>3.677</v>
      </c>
      <c r="J893" s="32">
        <v>3.98</v>
      </c>
      <c r="K893" s="32">
        <v>3.65</v>
      </c>
      <c r="L893" s="32">
        <v>3.63</v>
      </c>
      <c r="M893" s="32">
        <v>3.64</v>
      </c>
      <c r="N893" s="32">
        <v>3.64</v>
      </c>
      <c r="O893" s="32">
        <v>163.86399841308594</v>
      </c>
      <c r="P893" s="29">
        <v>1.1386538743972778</v>
      </c>
      <c r="Q893" s="29">
        <v>108.8125</v>
      </c>
      <c r="R893" s="32">
        <v>1.2624</v>
      </c>
      <c r="S893" s="32">
        <v>2.7069417858886702</v>
      </c>
    </row>
    <row r="894" spans="1:19">
      <c r="A894" s="10">
        <v>46232</v>
      </c>
      <c r="B894" s="32">
        <v>4.22</v>
      </c>
      <c r="C894" s="32">
        <v>4.37</v>
      </c>
      <c r="D894" s="32">
        <v>4.67</v>
      </c>
      <c r="E894" s="32">
        <v>5.21</v>
      </c>
      <c r="F894" s="32">
        <v>5.2</v>
      </c>
      <c r="G894" s="32">
        <v>1.488</v>
      </c>
      <c r="H894" s="32">
        <v>2.7570000000000001</v>
      </c>
      <c r="I894" s="32">
        <v>3.6440000000000001</v>
      </c>
      <c r="J894" s="32">
        <v>3.9409999999999998</v>
      </c>
      <c r="K894" s="32">
        <v>3.65</v>
      </c>
      <c r="L894" s="32">
        <v>3.63</v>
      </c>
      <c r="M894" s="32">
        <v>3.64</v>
      </c>
      <c r="N894" s="32">
        <v>3.64</v>
      </c>
      <c r="O894" s="32">
        <v>163.30000305175781</v>
      </c>
      <c r="P894" s="29">
        <v>1.1467232704162598</v>
      </c>
      <c r="Q894" s="29">
        <v>108.78125</v>
      </c>
      <c r="R894" s="32">
        <v>1.2112000000000001</v>
      </c>
      <c r="S894" s="32">
        <v>2.678878214111327</v>
      </c>
    </row>
    <row r="895" spans="1:19">
      <c r="A895" s="10">
        <v>46233</v>
      </c>
      <c r="B895" s="32">
        <v>4.2300000000000004</v>
      </c>
      <c r="C895" s="32">
        <v>4.38</v>
      </c>
      <c r="D895" s="32">
        <v>4.68</v>
      </c>
      <c r="E895" s="32">
        <v>5.22</v>
      </c>
      <c r="F895" s="32">
        <v>5.21</v>
      </c>
      <c r="G895" s="32">
        <v>1.4970000000000001</v>
      </c>
      <c r="H895" s="32">
        <v>2.8010000000000002</v>
      </c>
      <c r="I895" s="32">
        <v>3.68</v>
      </c>
      <c r="J895" s="32">
        <v>3.9710000000000001</v>
      </c>
      <c r="K895" s="32">
        <v>3.65</v>
      </c>
      <c r="L895" s="32">
        <v>3.63</v>
      </c>
      <c r="M895" s="32">
        <v>3.63</v>
      </c>
      <c r="N895" s="32">
        <v>3.63</v>
      </c>
      <c r="O895" s="32">
        <v>160.18299865722656</v>
      </c>
      <c r="P895" s="29">
        <v>1.1523525714874268</v>
      </c>
      <c r="Q895" s="29">
        <v>108.546875</v>
      </c>
      <c r="R895" s="32">
        <v>1.2678</v>
      </c>
      <c r="S895" s="32">
        <v>2.7034335717773423</v>
      </c>
    </row>
    <row r="896" spans="1:19">
      <c r="A896" s="10">
        <v>46234</v>
      </c>
      <c r="B896" s="32">
        <v>4.28</v>
      </c>
      <c r="C896" s="32">
        <v>4.45</v>
      </c>
      <c r="D896" s="32">
        <v>4.75</v>
      </c>
      <c r="E896" s="32">
        <v>5.28</v>
      </c>
      <c r="F896" s="32">
        <v>5.27</v>
      </c>
      <c r="G896" s="32">
        <v>1.5069999999999999</v>
      </c>
      <c r="H896" s="32">
        <v>2.8010000000000002</v>
      </c>
      <c r="I896" s="32">
        <v>3.69</v>
      </c>
      <c r="J896" s="32">
        <v>3.9820000000000002</v>
      </c>
      <c r="K896" s="32">
        <v>3.66</v>
      </c>
      <c r="L896" s="32">
        <v>3.63</v>
      </c>
      <c r="M896" s="32">
        <v>3.64</v>
      </c>
      <c r="N896" s="32">
        <v>3.64</v>
      </c>
      <c r="O896" s="32">
        <v>160.18299865722656</v>
      </c>
      <c r="P896" s="29">
        <v>1.1523525714874268</v>
      </c>
      <c r="Q896" s="29">
        <v>108</v>
      </c>
      <c r="R896" s="32">
        <v>1.2674000000000001</v>
      </c>
      <c r="S896" s="32">
        <v>2.691156428222655</v>
      </c>
    </row>
    <row r="897" spans="1:19">
      <c r="A897" s="10">
        <v>46237</v>
      </c>
      <c r="B897" s="32">
        <v>4.25</v>
      </c>
      <c r="C897" s="32">
        <v>4.4000000000000004</v>
      </c>
      <c r="D897" s="32">
        <v>4.7</v>
      </c>
      <c r="E897" s="32">
        <v>5.23</v>
      </c>
      <c r="F897" s="32">
        <v>5.23</v>
      </c>
      <c r="G897" s="32">
        <v>1.5069999999999999</v>
      </c>
      <c r="H897" s="32">
        <v>2.8010000000000002</v>
      </c>
      <c r="I897" s="32">
        <v>3.69</v>
      </c>
      <c r="J897" s="32">
        <v>3.9820000000000002</v>
      </c>
      <c r="K897" s="32">
        <v>3.65</v>
      </c>
      <c r="L897" s="32">
        <v>3.63</v>
      </c>
      <c r="M897" s="32">
        <v>3.63</v>
      </c>
      <c r="N897" s="32">
        <v>3.63</v>
      </c>
      <c r="O897" s="32">
        <v>157.52900695800781</v>
      </c>
      <c r="P897" s="29">
        <v>1.1507347822189331</v>
      </c>
      <c r="Q897" s="29">
        <v>108.421875</v>
      </c>
      <c r="R897" s="32">
        <v>1.3269</v>
      </c>
      <c r="S897" s="32">
        <v>2.7455299999999987</v>
      </c>
    </row>
    <row r="898" spans="1:19">
      <c r="A898" s="10">
        <v>46238</v>
      </c>
      <c r="B898" s="32">
        <v>4.2</v>
      </c>
      <c r="C898" s="32">
        <v>4.33</v>
      </c>
      <c r="D898" s="32">
        <v>4.63</v>
      </c>
      <c r="E898" s="32">
        <v>5.18</v>
      </c>
      <c r="F898" s="32">
        <v>5.18</v>
      </c>
      <c r="G898" s="32">
        <v>1.5069999999999999</v>
      </c>
      <c r="H898" s="32">
        <v>2.8010000000000002</v>
      </c>
      <c r="I898" s="32">
        <v>3.69</v>
      </c>
      <c r="J898" s="32">
        <v>3.9820000000000002</v>
      </c>
      <c r="K898" s="32">
        <v>3.66</v>
      </c>
      <c r="L898" s="32">
        <v>3.63</v>
      </c>
      <c r="M898" s="32">
        <v>3.64</v>
      </c>
      <c r="N898" s="32">
        <v>3.64</v>
      </c>
      <c r="O898" s="32">
        <v>157.69200134277344</v>
      </c>
      <c r="P898" s="29">
        <v>1.153242826461792</v>
      </c>
      <c r="Q898" s="29">
        <v>108.84375</v>
      </c>
      <c r="R898" s="32">
        <v>1.2333000000000001</v>
      </c>
      <c r="S898" s="32">
        <v>2.7542999999999989</v>
      </c>
    </row>
    <row r="899" spans="1:19">
      <c r="A899" s="10">
        <v>46239</v>
      </c>
      <c r="B899" s="32">
        <v>4.18</v>
      </c>
      <c r="C899" s="32">
        <v>4.33</v>
      </c>
      <c r="D899" s="32">
        <v>4.63</v>
      </c>
      <c r="E899" s="32">
        <v>5.18</v>
      </c>
      <c r="F899" s="32">
        <v>5.17</v>
      </c>
      <c r="G899" s="32">
        <v>1.5069999999999999</v>
      </c>
      <c r="H899" s="32">
        <v>2.8010000000000002</v>
      </c>
      <c r="I899" s="32">
        <v>3.69</v>
      </c>
      <c r="J899" s="32">
        <v>3.9820000000000002</v>
      </c>
      <c r="K899" s="32">
        <v>3.64</v>
      </c>
      <c r="L899" s="32">
        <v>3.63</v>
      </c>
      <c r="M899" s="32">
        <v>3.63</v>
      </c>
      <c r="N899" s="32">
        <v>3.63</v>
      </c>
      <c r="O899" s="32">
        <v>157.60000610351563</v>
      </c>
      <c r="P899" s="29">
        <v>1.1557353734970093</v>
      </c>
      <c r="Q899" s="29">
        <v>108.890625</v>
      </c>
      <c r="R899" s="32">
        <v>1.1919</v>
      </c>
      <c r="S899" s="32">
        <v>2.7297435717773428</v>
      </c>
    </row>
    <row r="900" spans="1:19">
      <c r="A900" s="10">
        <v>46240</v>
      </c>
      <c r="B900" s="32">
        <v>4.25</v>
      </c>
      <c r="C900" s="32">
        <v>4.4000000000000004</v>
      </c>
      <c r="D900" s="32">
        <v>4.6900000000000004</v>
      </c>
      <c r="E900" s="32">
        <v>5.22</v>
      </c>
      <c r="F900" s="32">
        <v>5.22</v>
      </c>
      <c r="G900" s="32">
        <v>1.5069999999999999</v>
      </c>
      <c r="H900" s="32">
        <v>2.8010000000000002</v>
      </c>
      <c r="I900" s="32">
        <v>3.69</v>
      </c>
      <c r="J900" s="32">
        <v>3.9820000000000002</v>
      </c>
      <c r="K900" s="32">
        <v>3.65</v>
      </c>
      <c r="L900" s="32">
        <v>3.63</v>
      </c>
      <c r="M900" s="32">
        <v>3.63</v>
      </c>
      <c r="N900" s="32">
        <v>3.63</v>
      </c>
      <c r="O900" s="32">
        <v>158.40899658203125</v>
      </c>
      <c r="P900" s="29">
        <v>1.1524720191955566</v>
      </c>
      <c r="Q900" s="29">
        <v>108.5</v>
      </c>
      <c r="R900" s="32">
        <v>1.1697</v>
      </c>
      <c r="S900" s="32">
        <v>2.7051882141113275</v>
      </c>
    </row>
    <row r="901" spans="1:19">
      <c r="A901" s="10">
        <v>46241</v>
      </c>
      <c r="B901" s="32">
        <v>4.1900000000000004</v>
      </c>
      <c r="C901" s="32">
        <v>4.3499999999999996</v>
      </c>
      <c r="D901" s="32">
        <v>4.6500000000000004</v>
      </c>
      <c r="E901" s="32">
        <v>5.2</v>
      </c>
      <c r="F901" s="32">
        <v>5.19</v>
      </c>
      <c r="G901" s="32">
        <v>1.5069999999999999</v>
      </c>
      <c r="H901" s="32">
        <v>2.8010000000000002</v>
      </c>
      <c r="I901" s="32">
        <v>3.69</v>
      </c>
      <c r="J901" s="32">
        <v>3.9820000000000002</v>
      </c>
      <c r="K901" s="32">
        <v>3.62</v>
      </c>
      <c r="L901" s="32">
        <v>3.63</v>
      </c>
      <c r="M901" s="32">
        <v>3.6</v>
      </c>
      <c r="N901" s="32">
        <v>3.6</v>
      </c>
      <c r="O901" s="32">
        <v>158.40899658203125</v>
      </c>
      <c r="P901" s="29">
        <v>1.1524720191955566</v>
      </c>
      <c r="Q901" s="29">
        <v>108.640625</v>
      </c>
      <c r="R901" s="32">
        <v>1.2018</v>
      </c>
      <c r="S901" s="32">
        <v>2.7139582141113276</v>
      </c>
    </row>
    <row r="902" spans="1:19">
      <c r="A902" s="10">
        <v>46244</v>
      </c>
      <c r="B902" s="32">
        <v>4.25</v>
      </c>
      <c r="C902" s="32">
        <v>4.41</v>
      </c>
      <c r="D902" s="32">
        <v>4.72</v>
      </c>
      <c r="E902" s="32">
        <v>5.25</v>
      </c>
      <c r="F902" s="32">
        <v>5.25</v>
      </c>
      <c r="G902" s="32">
        <v>1.5069999999999999</v>
      </c>
      <c r="H902" s="32">
        <v>2.8010000000000002</v>
      </c>
      <c r="I902" s="32">
        <v>3.69</v>
      </c>
      <c r="J902" s="32">
        <v>3.9820000000000002</v>
      </c>
      <c r="K902" s="32">
        <v>3.63</v>
      </c>
      <c r="L902" s="32">
        <v>3.63</v>
      </c>
      <c r="M902" s="32">
        <v>3.61</v>
      </c>
      <c r="N902" s="32">
        <v>3.61</v>
      </c>
      <c r="O902" s="32">
        <v>159.156005859375</v>
      </c>
      <c r="P902" s="29">
        <v>1.1546411514282227</v>
      </c>
      <c r="Q902" s="29">
        <v>108.375</v>
      </c>
      <c r="R902" s="32">
        <v>1.2014</v>
      </c>
      <c r="S902" s="32">
        <v>2.722728214111326</v>
      </c>
    </row>
    <row r="903" spans="1:19">
      <c r="A903" s="10">
        <v>46245</v>
      </c>
      <c r="B903" s="32">
        <v>4.22</v>
      </c>
      <c r="C903" s="32">
        <v>4.3899999999999997</v>
      </c>
      <c r="D903" s="32">
        <v>4.7</v>
      </c>
      <c r="E903" s="32">
        <v>5.25</v>
      </c>
      <c r="F903" s="32">
        <v>5.24</v>
      </c>
      <c r="G903" s="32">
        <v>1.5069999999999999</v>
      </c>
      <c r="H903" s="32">
        <v>2.8010000000000002</v>
      </c>
      <c r="I903" s="32">
        <v>3.69</v>
      </c>
      <c r="J903" s="32">
        <v>3.9820000000000002</v>
      </c>
      <c r="K903" s="32">
        <v>3.64</v>
      </c>
      <c r="L903" s="32">
        <v>3.63</v>
      </c>
      <c r="M903" s="32">
        <v>3.63</v>
      </c>
      <c r="N903" s="32">
        <v>3.63</v>
      </c>
      <c r="O903" s="32">
        <v>159.26499938964844</v>
      </c>
      <c r="P903" s="29">
        <v>1.1543744802474976</v>
      </c>
      <c r="Q903" s="29">
        <v>108.484375</v>
      </c>
      <c r="R903" s="32">
        <v>1.2949999999999999</v>
      </c>
      <c r="S903" s="32">
        <v>2.722728214111326</v>
      </c>
    </row>
    <row r="904" spans="1:19">
      <c r="A904" s="10">
        <v>46246</v>
      </c>
      <c r="B904" s="32">
        <v>4.2</v>
      </c>
      <c r="C904" s="32">
        <v>4.38</v>
      </c>
      <c r="D904" s="32">
        <v>4.68</v>
      </c>
      <c r="E904" s="32">
        <v>5.24</v>
      </c>
      <c r="F904" s="32">
        <v>5.24</v>
      </c>
      <c r="G904" s="32">
        <v>1.5069999999999999</v>
      </c>
      <c r="H904" s="32">
        <v>2.8010000000000002</v>
      </c>
      <c r="I904" s="32">
        <v>3.69</v>
      </c>
      <c r="J904" s="32">
        <v>3.9820000000000002</v>
      </c>
      <c r="K904" s="32">
        <v>3.62</v>
      </c>
      <c r="L904" s="32">
        <v>3.63</v>
      </c>
      <c r="M904" s="32">
        <v>3.6</v>
      </c>
      <c r="N904" s="32">
        <v>3.6</v>
      </c>
      <c r="O904" s="32">
        <v>159.3280029296875</v>
      </c>
      <c r="P904" s="29">
        <v>1.1530035734176636</v>
      </c>
      <c r="Q904" s="29">
        <v>108.546875</v>
      </c>
      <c r="R904" s="32">
        <v>1.2779</v>
      </c>
      <c r="S904" s="32">
        <v>2.7542999999999989</v>
      </c>
    </row>
    <row r="905" spans="1:19">
      <c r="A905" s="10">
        <v>46247</v>
      </c>
      <c r="B905" s="32">
        <v>4.1500000000000004</v>
      </c>
      <c r="C905" s="32">
        <v>4.32</v>
      </c>
      <c r="D905" s="32">
        <v>4.63</v>
      </c>
      <c r="E905" s="32">
        <v>5.2</v>
      </c>
      <c r="F905" s="32">
        <v>5.21</v>
      </c>
      <c r="G905" s="32">
        <v>1.5069999999999999</v>
      </c>
      <c r="H905" s="32">
        <v>2.8010000000000002</v>
      </c>
      <c r="I905" s="32">
        <v>3.69</v>
      </c>
      <c r="J905" s="32">
        <v>3.9820000000000002</v>
      </c>
      <c r="K905" s="32">
        <v>3.62</v>
      </c>
      <c r="L905" s="32">
        <v>3.63</v>
      </c>
      <c r="M905" s="32">
        <v>3.6</v>
      </c>
      <c r="N905" s="32">
        <v>3.6</v>
      </c>
      <c r="O905" s="32">
        <v>159.42599487304688</v>
      </c>
      <c r="P905" s="29">
        <v>1.1535356044769287</v>
      </c>
      <c r="Q905" s="29">
        <v>108.921875</v>
      </c>
      <c r="R905" s="32">
        <v>1.2744</v>
      </c>
      <c r="S905" s="32">
        <v>2.7841182141113272</v>
      </c>
    </row>
    <row r="906" spans="1:19">
      <c r="A906" s="10">
        <v>46248</v>
      </c>
      <c r="B906" s="32">
        <v>4.17</v>
      </c>
      <c r="C906" s="32">
        <v>4.3600000000000003</v>
      </c>
      <c r="D906" s="32">
        <v>4.68</v>
      </c>
      <c r="E906" s="32">
        <v>5.25</v>
      </c>
      <c r="F906" s="32">
        <v>5.25</v>
      </c>
      <c r="G906" s="32">
        <v>1.5069999999999999</v>
      </c>
      <c r="H906" s="32">
        <v>2.8010000000000002</v>
      </c>
      <c r="I906" s="32">
        <v>3.69</v>
      </c>
      <c r="J906" s="32">
        <v>3.9820000000000002</v>
      </c>
      <c r="K906" s="32">
        <v>3.62</v>
      </c>
      <c r="L906" s="32">
        <v>3.63</v>
      </c>
      <c r="M906" s="32">
        <v>3.6</v>
      </c>
      <c r="N906" s="32">
        <v>3.6</v>
      </c>
      <c r="O906" s="32">
        <v>159.42599487304688</v>
      </c>
      <c r="P906" s="29">
        <v>1.1535356044769287</v>
      </c>
      <c r="Q906" s="29">
        <v>108.578125</v>
      </c>
      <c r="R906" s="32">
        <v>1.2451000000000001</v>
      </c>
      <c r="S906" s="32">
        <v>2.7665782141113269</v>
      </c>
    </row>
    <row r="907" spans="1:19">
      <c r="A907" s="10">
        <v>46251</v>
      </c>
      <c r="B907" s="32">
        <v>4.1900000000000004</v>
      </c>
      <c r="C907" s="32">
        <v>4.38</v>
      </c>
      <c r="D907" s="32">
        <v>4.72</v>
      </c>
      <c r="E907" s="32">
        <v>5.3</v>
      </c>
      <c r="F907" s="32">
        <v>5.31</v>
      </c>
      <c r="G907" s="32">
        <v>1.5069999999999999</v>
      </c>
      <c r="H907" s="32">
        <v>2.8010000000000002</v>
      </c>
      <c r="I907" s="32">
        <v>3.69</v>
      </c>
      <c r="J907" s="32">
        <v>3.9820000000000002</v>
      </c>
      <c r="K907" s="32">
        <v>3.66</v>
      </c>
      <c r="L907" s="32">
        <v>3.63</v>
      </c>
      <c r="M907" s="32">
        <v>3.64</v>
      </c>
      <c r="N907" s="32">
        <v>3.64</v>
      </c>
      <c r="O907" s="32">
        <v>159.33999633789063</v>
      </c>
      <c r="P907" s="29">
        <v>1.1582788228988647</v>
      </c>
      <c r="Q907" s="29">
        <v>108.453125</v>
      </c>
      <c r="R907" s="32">
        <v>1.3080000000000001</v>
      </c>
      <c r="S907" s="32">
        <v>2.8402464282226543</v>
      </c>
    </row>
    <row r="908" spans="1:19">
      <c r="A908" s="10">
        <v>46252</v>
      </c>
      <c r="B908">
        <v>4.1900000000000004</v>
      </c>
      <c r="C908">
        <v>4.37</v>
      </c>
      <c r="D908">
        <v>4.71</v>
      </c>
      <c r="E908">
        <v>5.28</v>
      </c>
      <c r="F908">
        <v>5.28</v>
      </c>
      <c r="G908">
        <v>1.5069999999999999</v>
      </c>
      <c r="H908">
        <v>2.8010000000000002</v>
      </c>
      <c r="I908">
        <v>3.69</v>
      </c>
      <c r="J908">
        <v>3.9820000000000002</v>
      </c>
      <c r="K908">
        <v>3.65</v>
      </c>
      <c r="L908">
        <v>3.63</v>
      </c>
      <c r="M908">
        <v>3.63</v>
      </c>
      <c r="N908">
        <v>3.63</v>
      </c>
      <c r="O908">
        <v>159.55000305175781</v>
      </c>
      <c r="P908">
        <v>1.1579434871673584</v>
      </c>
      <c r="Q908">
        <v>108.5625</v>
      </c>
      <c r="R908">
        <v>1.329</v>
      </c>
      <c r="S908">
        <v>2.8349835717773431</v>
      </c>
    </row>
    <row r="909" spans="1:19">
      <c r="A909" s="33">
        <v>46253</v>
      </c>
      <c r="B909">
        <v>4.1900000000000004</v>
      </c>
      <c r="C909">
        <v>4.3499999999999996</v>
      </c>
      <c r="D909">
        <v>4.6500000000000004</v>
      </c>
      <c r="E909">
        <v>5.17</v>
      </c>
      <c r="F909">
        <v>5.19</v>
      </c>
      <c r="G909">
        <v>1.5069999999999999</v>
      </c>
      <c r="H909">
        <v>2.8010000000000002</v>
      </c>
      <c r="I909">
        <v>3.69</v>
      </c>
      <c r="J909">
        <v>3.9820000000000002</v>
      </c>
      <c r="K909">
        <v>3.62</v>
      </c>
      <c r="L909">
        <v>3.63</v>
      </c>
      <c r="M909">
        <v>3.6</v>
      </c>
      <c r="N909">
        <v>3.6</v>
      </c>
      <c r="O909">
        <v>158.2760009765625</v>
      </c>
      <c r="P909">
        <v>1.1673787832260132</v>
      </c>
      <c r="Q909">
        <v>108.78125</v>
      </c>
      <c r="R909">
        <v>1.329</v>
      </c>
      <c r="S909">
        <v>2.8542782141113268</v>
      </c>
    </row>
    <row r="910" spans="1:19">
      <c r="A910" s="30">
        <v>46254</v>
      </c>
      <c r="B910">
        <v>4.1900000000000004</v>
      </c>
      <c r="C910">
        <v>4.3899999999999997</v>
      </c>
      <c r="D910">
        <v>4.6900000000000004</v>
      </c>
      <c r="E910">
        <v>5.2</v>
      </c>
      <c r="F910">
        <v>5.23</v>
      </c>
      <c r="G910">
        <v>1.5069999999999999</v>
      </c>
      <c r="H910">
        <v>2.8010000000000002</v>
      </c>
      <c r="I910">
        <v>3.69</v>
      </c>
      <c r="J910">
        <v>3.9820000000000002</v>
      </c>
      <c r="K910">
        <v>3.63</v>
      </c>
      <c r="L910">
        <v>3.63</v>
      </c>
      <c r="M910">
        <v>3.6</v>
      </c>
      <c r="N910">
        <v>3.6</v>
      </c>
      <c r="O910">
        <v>158.88299560546875</v>
      </c>
      <c r="P910">
        <v>1.1687841415405273</v>
      </c>
      <c r="Q910">
        <v>108.5</v>
      </c>
      <c r="R910">
        <v>1.329</v>
      </c>
      <c r="S910">
        <v>2.7771017858886697</v>
      </c>
    </row>
    <row r="911" spans="1:19">
      <c r="A911" s="10">
        <v>46255</v>
      </c>
      <c r="B911">
        <v>4.24</v>
      </c>
      <c r="C911">
        <v>4.43</v>
      </c>
      <c r="D911">
        <v>4.74</v>
      </c>
      <c r="E911">
        <v>5.25</v>
      </c>
      <c r="F911">
        <v>5.27</v>
      </c>
      <c r="G911">
        <v>1.5069999999999999</v>
      </c>
      <c r="H911">
        <v>2.8010000000000002</v>
      </c>
      <c r="I911">
        <v>3.69</v>
      </c>
      <c r="J911">
        <v>3.9820000000000002</v>
      </c>
      <c r="K911">
        <v>3.65</v>
      </c>
      <c r="L911">
        <v>3.63</v>
      </c>
      <c r="M911">
        <v>3.63</v>
      </c>
      <c r="N911">
        <v>3.63</v>
      </c>
      <c r="O911">
        <v>158.88299560546875</v>
      </c>
      <c r="P911">
        <v>1.1687841415405273</v>
      </c>
      <c r="Q911">
        <v>108.265625</v>
      </c>
      <c r="R911">
        <v>1.329</v>
      </c>
      <c r="S911">
        <v>2.7771017858886697</v>
      </c>
    </row>
    <row r="2002" spans="1:1">
      <c r="A2002" t="s">
        <v>217</v>
      </c>
    </row>
    <row r="2003" spans="1:1">
      <c r="A2003" t="s">
        <v>456</v>
      </c>
    </row>
  </sheetData>
  <phoneticPr fontId="1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008FBF"/>
  </sheetPr>
  <dimension ref="A1:E10"/>
  <sheetViews>
    <sheetView showGridLines="0" workbookViewId="0">
      <selection sqref="A1:E1"/>
    </sheetView>
  </sheetViews>
  <sheetFormatPr defaultRowHeight="14.4"/>
  <cols>
    <col min="1" max="1" width="2.6328125" customWidth="1"/>
    <col min="2" max="2" width="10.6328125" customWidth="1"/>
    <col min="3" max="4" width="11.6328125" customWidth="1"/>
    <col min="5" max="5" width="15.6328125" customWidth="1"/>
  </cols>
  <sheetData>
    <row r="1" spans="1:5" ht="25.95" customHeight="1">
      <c r="A1" s="175" t="s">
        <v>218</v>
      </c>
      <c r="B1" s="170"/>
      <c r="C1" s="170"/>
      <c r="D1" s="170"/>
      <c r="E1" s="170"/>
    </row>
    <row r="2" spans="1:5" ht="15" customHeight="1">
      <c r="A2" s="172" t="s">
        <v>219</v>
      </c>
      <c r="B2" s="170"/>
      <c r="C2" s="170"/>
      <c r="D2" s="170"/>
      <c r="E2" s="170"/>
    </row>
    <row r="3" spans="1:5" ht="15">
      <c r="A3" s="1"/>
      <c r="B3" s="58" t="s">
        <v>229</v>
      </c>
      <c r="C3" s="58" t="s">
        <v>519</v>
      </c>
      <c r="D3" s="58" t="s">
        <v>520</v>
      </c>
      <c r="E3" s="58" t="s">
        <v>521</v>
      </c>
    </row>
    <row r="4" spans="1:5" ht="18" customHeight="1">
      <c r="B4" s="7" t="s">
        <v>220</v>
      </c>
      <c r="C4" s="25">
        <f>INDEX(履歴データ!$B:$B,MATCH(MAX(履歴データ!$A:$A),履歴データ!$A:$A,0))</f>
        <v>4.24</v>
      </c>
      <c r="D4" s="25">
        <f>INDEX(履歴データ!$G:$G,MATCH(MAX(履歴データ!$A:$A),履歴データ!$A:$A,0))</f>
        <v>1.5069999999999999</v>
      </c>
      <c r="E4" s="24">
        <f>(C4-D4)*100</f>
        <v>273.30000000000007</v>
      </c>
    </row>
    <row r="5" spans="1:5" ht="18" customHeight="1">
      <c r="B5" s="81" t="s">
        <v>221</v>
      </c>
      <c r="C5" s="82">
        <f>INDEX(履歴データ!$C:$C,MATCH(MAX(履歴データ!$A:$A),履歴データ!$A:$A,0))</f>
        <v>4.43</v>
      </c>
      <c r="D5" s="82"/>
      <c r="E5" s="83"/>
    </row>
    <row r="6" spans="1:5" ht="18" customHeight="1">
      <c r="B6" s="7" t="s">
        <v>222</v>
      </c>
      <c r="C6" s="25">
        <f>INDEX(履歴データ!$D:$D,MATCH(MAX(履歴データ!$A:$A),履歴データ!$A:$A,0))</f>
        <v>4.74</v>
      </c>
      <c r="D6" s="25">
        <f>INDEX(履歴データ!$H:$H,MATCH(MAX(履歴データ!$A:$A),履歴データ!$A:$A,0))</f>
        <v>2.8010000000000002</v>
      </c>
      <c r="E6" s="24">
        <f>(C6-D6)*100</f>
        <v>193.9</v>
      </c>
    </row>
    <row r="7" spans="1:5" ht="18" customHeight="1">
      <c r="B7" s="81" t="s">
        <v>223</v>
      </c>
      <c r="C7" s="82">
        <f>INDEX(履歴データ!$E:$E,MATCH(MAX(履歴データ!$A:$A),履歴データ!$A:$A,0))</f>
        <v>5.25</v>
      </c>
      <c r="D7" s="82">
        <f>INDEX(履歴データ!$I:$I,MATCH(MAX(履歴データ!$A:$A),履歴データ!$A:$A,0))</f>
        <v>3.69</v>
      </c>
      <c r="E7" s="83">
        <f>(C7-D7)*100</f>
        <v>156</v>
      </c>
    </row>
    <row r="8" spans="1:5" ht="18" customHeight="1">
      <c r="B8" s="7" t="s">
        <v>224</v>
      </c>
      <c r="C8" s="25">
        <f>INDEX(履歴データ!$F:$F,MATCH(MAX(履歴データ!$A:$A),履歴データ!$A:$A,0))</f>
        <v>5.27</v>
      </c>
      <c r="D8" s="25">
        <f>INDEX(履歴データ!$J:$J,MATCH(MAX(履歴データ!$A:$A),履歴データ!$A:$A,0))</f>
        <v>3.9820000000000002</v>
      </c>
      <c r="E8" s="24">
        <f>(C8-D8)*100</f>
        <v>128.79999999999993</v>
      </c>
    </row>
    <row r="10" spans="1:5">
      <c r="B10" s="53" t="s">
        <v>225</v>
      </c>
    </row>
  </sheetData>
  <mergeCells count="2">
    <mergeCell ref="A2:E2"/>
    <mergeCell ref="A1:E1"/>
  </mergeCells>
  <phoneticPr fontId="1"/>
  <pageMargins left="0.75" right="0.75" top="1" bottom="1" header="0.5" footer="0.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C000"/>
  </sheetPr>
  <dimension ref="A1:H28"/>
  <sheetViews>
    <sheetView showGridLines="0" workbookViewId="0">
      <selection sqref="A1:H1"/>
    </sheetView>
  </sheetViews>
  <sheetFormatPr defaultRowHeight="14.4"/>
  <cols>
    <col min="1" max="1" width="2.81640625" customWidth="1"/>
    <col min="2" max="2" width="25.81640625" customWidth="1"/>
    <col min="3" max="5" width="14.81640625" customWidth="1"/>
    <col min="6" max="6" width="12.81640625" customWidth="1"/>
    <col min="7" max="7" width="15.81640625" customWidth="1"/>
    <col min="8" max="8" width="41.81640625" customWidth="1"/>
  </cols>
  <sheetData>
    <row r="1" spans="1:8" ht="25.95" customHeight="1">
      <c r="A1" s="175" t="s">
        <v>226</v>
      </c>
      <c r="B1" s="170"/>
      <c r="C1" s="170"/>
      <c r="D1" s="170"/>
      <c r="E1" s="170"/>
      <c r="F1" s="170"/>
      <c r="G1" s="170"/>
      <c r="H1" s="170"/>
    </row>
    <row r="2" spans="1:8" ht="15" customHeight="1">
      <c r="A2" s="172" t="s">
        <v>227</v>
      </c>
      <c r="B2" s="170"/>
      <c r="C2" s="170"/>
      <c r="D2" s="170"/>
      <c r="E2" s="170"/>
      <c r="F2" s="170"/>
      <c r="G2" s="170"/>
      <c r="H2" s="170"/>
    </row>
    <row r="4" spans="1:8" ht="18" customHeight="1">
      <c r="B4" s="57" t="s">
        <v>228</v>
      </c>
      <c r="C4" s="57"/>
      <c r="D4" s="57"/>
      <c r="E4" s="57"/>
      <c r="F4" s="57"/>
      <c r="G4" s="57"/>
      <c r="H4" s="57"/>
    </row>
    <row r="5" spans="1:8" ht="15">
      <c r="A5" s="1"/>
      <c r="B5" s="58" t="s">
        <v>229</v>
      </c>
      <c r="C5" s="58" t="s">
        <v>230</v>
      </c>
      <c r="D5" s="58" t="s">
        <v>231</v>
      </c>
      <c r="E5" s="58" t="s">
        <v>232</v>
      </c>
      <c r="F5" s="1"/>
      <c r="G5" s="1" t="s">
        <v>94</v>
      </c>
    </row>
    <row r="6" spans="1:8" ht="15">
      <c r="B6" s="7" t="s">
        <v>220</v>
      </c>
      <c r="C6" s="34">
        <f>IF(ISNUMBER(ASWデータ!B9),ASWデータ!B9,"")</f>
        <v>4.2315999999999999E-2</v>
      </c>
      <c r="D6" s="34">
        <f>IF(ISNUMBER(ASWデータ!B14),ASWデータ!B14,"")</f>
        <v>4.0884999999999998E-2</v>
      </c>
      <c r="E6" s="35">
        <f>IF(OR(ISNUMBER(ASWデータ!B9),ISNUMBER(ASWデータ!B14)),(ASWデータ!B9-ASWデータ!B14)*10000,"")</f>
        <v>14.310000000000016</v>
      </c>
    </row>
    <row r="7" spans="1:8" ht="15">
      <c r="B7" s="81" t="s">
        <v>233</v>
      </c>
      <c r="C7" s="143">
        <f>IF(ISNUMBER(ASWデータ!B10),ASWデータ!B10,"")</f>
        <v>4.3005000000000002E-2</v>
      </c>
      <c r="D7" s="143">
        <f>IF(ISNUMBER(ASWデータ!B15),ASWデータ!B15,"")</f>
        <v>4.0994999999999997E-2</v>
      </c>
      <c r="E7" s="144">
        <f>IF(OR(ISNUMBER(ASWデータ!B10),ISNUMBER(ASWデータ!B15)),(ASWデータ!B10-ASWデータ!B15)*10000,"")</f>
        <v>20.100000000000048</v>
      </c>
    </row>
    <row r="8" spans="1:8" ht="15">
      <c r="B8" s="7" t="s">
        <v>221</v>
      </c>
      <c r="C8" s="34">
        <f>IF(ISNUMBER(ASWデータ!B11),ASWデータ!B11,"")</f>
        <v>4.4011000000000002E-2</v>
      </c>
      <c r="D8" s="34">
        <f>IF(ISNUMBER(ASWデータ!B16),ASWデータ!B16,"")</f>
        <v>4.1335999999999998E-2</v>
      </c>
      <c r="E8" s="35">
        <f>IF(OR(ISNUMBER(ASWデータ!B11),ISNUMBER(ASWデータ!B16)),(ASWデータ!B11-ASWデータ!B16)*10000,"")</f>
        <v>26.750000000000039</v>
      </c>
    </row>
    <row r="9" spans="1:8" ht="15">
      <c r="B9" s="81" t="s">
        <v>234</v>
      </c>
      <c r="C9" s="143">
        <f>IF(ISNUMBER(ASWデータ!B12),ASWデータ!B12,"")</f>
        <v>4.5336000000000001E-2</v>
      </c>
      <c r="D9" s="143">
        <f>IF(ISNUMBER(ASWデータ!B17),ASWデータ!B17,"")</f>
        <v>4.2000000000000003E-2</v>
      </c>
      <c r="E9" s="144">
        <f>IF(OR(ISNUMBER(ASWデータ!B12),ISNUMBER(ASWデータ!B17)),(ASWデータ!B12-ASWデータ!B17)*10000,"")</f>
        <v>33.359999999999985</v>
      </c>
    </row>
    <row r="10" spans="1:8" ht="15">
      <c r="B10" s="7" t="s">
        <v>222</v>
      </c>
      <c r="C10" s="34">
        <f>IF(ISNUMBER(ASWデータ!B13),ASWデータ!B13,"")</f>
        <v>4.6961000000000003E-2</v>
      </c>
      <c r="D10" s="34">
        <f>IF(ISNUMBER(ASWデータ!B18),ASWデータ!B18,"")</f>
        <v>4.3122000000000001E-2</v>
      </c>
      <c r="E10" s="35">
        <f>IF(OR(ISNUMBER(ASWデータ!B13),ISNUMBER(ASWデータ!B18)),(ASWデータ!B13-ASWデータ!B18)*10000,"")</f>
        <v>38.390000000000022</v>
      </c>
    </row>
    <row r="11" spans="1:8">
      <c r="B11" s="53" t="s">
        <v>235</v>
      </c>
      <c r="C11" s="53"/>
      <c r="D11" s="53"/>
    </row>
    <row r="12" spans="1:8" ht="18" customHeight="1">
      <c r="B12" s="57" t="s">
        <v>236</v>
      </c>
      <c r="C12" s="57"/>
      <c r="D12" s="57"/>
      <c r="E12" s="57"/>
      <c r="F12" s="57"/>
      <c r="G12" s="57"/>
      <c r="H12" s="57"/>
    </row>
    <row r="13" spans="1:8">
      <c r="B13" s="145" t="s">
        <v>237</v>
      </c>
      <c r="C13" s="32">
        <f>INDEX(履歴データ!$R:$R,MATCH(MAX(履歴データ!$A:$A),履歴データ!$A:$A,0))</f>
        <v>1.329</v>
      </c>
      <c r="D13" s="36" t="s">
        <v>238</v>
      </c>
      <c r="E13" s="37">
        <v>2.5</v>
      </c>
    </row>
    <row r="14" spans="1:8" ht="16.2">
      <c r="B14" s="38" t="s">
        <v>239</v>
      </c>
      <c r="C14" s="146">
        <f>IF(OR(C13="",E13=""),"",(C13-E13)*100)</f>
        <v>-117.10000000000001</v>
      </c>
      <c r="D14" s="53" t="s">
        <v>240</v>
      </c>
    </row>
    <row r="15" spans="1:8" ht="18" customHeight="1">
      <c r="B15" s="57" t="s">
        <v>241</v>
      </c>
      <c r="C15" s="57"/>
      <c r="D15" s="147"/>
      <c r="E15" s="57"/>
      <c r="F15" s="57"/>
      <c r="G15" s="57"/>
      <c r="H15" s="57"/>
    </row>
    <row r="16" spans="1:8">
      <c r="B16" s="145" t="s">
        <v>242</v>
      </c>
      <c r="C16" s="32">
        <f>INDEX(履歴データ!$H:$H,MATCH(MAX(履歴データ!$A:$A),履歴データ!$A:$A,0))</f>
        <v>2.8010000000000002</v>
      </c>
      <c r="D16" s="53" t="s">
        <v>243</v>
      </c>
      <c r="E16" s="37">
        <v>2.2000000000000002</v>
      </c>
    </row>
    <row r="17" spans="2:8" ht="16.2">
      <c r="B17" s="38" t="s">
        <v>244</v>
      </c>
      <c r="C17" s="146">
        <f>IF(OR(C16="",E16=""),"",(C16-E16)*100)</f>
        <v>60.099999999999994</v>
      </c>
      <c r="D17" s="53" t="s">
        <v>245</v>
      </c>
    </row>
    <row r="18" spans="2:8" ht="18" customHeight="1">
      <c r="B18" s="57" t="s">
        <v>246</v>
      </c>
      <c r="C18" s="57"/>
      <c r="D18" s="57"/>
      <c r="E18" s="57"/>
      <c r="F18" s="57"/>
      <c r="G18" s="57"/>
      <c r="H18" s="57"/>
    </row>
    <row r="19" spans="2:8">
      <c r="B19" s="36" t="s">
        <v>247</v>
      </c>
      <c r="C19" s="39" t="s">
        <v>248</v>
      </c>
      <c r="D19" s="32">
        <f>INDEX(履歴データ!$R:$R,MATCH(MAX(履歴データ!$A:$A),履歴データ!$A:$A,0))</f>
        <v>1.329</v>
      </c>
    </row>
    <row r="20" spans="2:8">
      <c r="B20" s="36" t="s">
        <v>249</v>
      </c>
      <c r="C20" s="28">
        <f>IF(OR(INDEX(履歴データ!$S:$S,MATCH(MAX(履歴データ!$A:$A),履歴データ!$A:$A,0))="",INDEX(履歴データ!$H:$H,MATCH(MAX(履歴データ!$A:$A),履歴データ!$A:$A,0))=""),"",(INDEX(履歴データ!$S:$S,MATCH(MAX(履歴データ!$A:$A),履歴データ!$A:$A,0))-INDEX(履歴データ!$H:$H,MATCH(MAX(履歴データ!$A:$A),履歴データ!$A:$A,0)))*100)</f>
        <v>-2.3898214111330418</v>
      </c>
      <c r="D20" s="39" t="s">
        <v>250</v>
      </c>
    </row>
    <row r="21" spans="2:8" ht="18" customHeight="1">
      <c r="B21" s="57" t="s">
        <v>251</v>
      </c>
      <c r="C21" s="57"/>
      <c r="D21" s="57"/>
      <c r="E21" s="57"/>
      <c r="F21" s="57"/>
      <c r="G21" s="57"/>
      <c r="H21" s="57"/>
    </row>
    <row r="23" spans="2:8" ht="18" customHeight="1">
      <c r="B23" s="57" t="s">
        <v>252</v>
      </c>
      <c r="C23" s="57"/>
      <c r="D23" s="57"/>
      <c r="E23" s="57"/>
      <c r="F23" s="57"/>
      <c r="G23" s="57"/>
      <c r="H23" s="57"/>
    </row>
    <row r="24" spans="2:8" ht="38.4">
      <c r="B24" s="148" t="s">
        <v>253</v>
      </c>
      <c r="C24" s="149" t="s">
        <v>254</v>
      </c>
      <c r="D24" s="150" t="s">
        <v>255</v>
      </c>
      <c r="E24" s="151"/>
    </row>
    <row r="25" spans="2:8" ht="63.6">
      <c r="B25" s="148" t="s">
        <v>256</v>
      </c>
      <c r="C25" s="149" t="s">
        <v>257</v>
      </c>
      <c r="D25" s="150" t="s">
        <v>258</v>
      </c>
      <c r="E25" s="151"/>
    </row>
    <row r="26" spans="2:8" ht="25.8">
      <c r="B26" s="148" t="s">
        <v>259</v>
      </c>
      <c r="C26" s="149" t="s">
        <v>260</v>
      </c>
      <c r="D26" s="150" t="s">
        <v>261</v>
      </c>
      <c r="E26" s="151"/>
    </row>
    <row r="27" spans="2:8" ht="38.4">
      <c r="B27" s="148" t="s">
        <v>262</v>
      </c>
      <c r="C27" s="149" t="s">
        <v>263</v>
      </c>
      <c r="D27" s="150" t="s">
        <v>264</v>
      </c>
      <c r="E27" s="151"/>
    </row>
    <row r="28" spans="2:8" ht="38.4">
      <c r="B28" s="148" t="s">
        <v>265</v>
      </c>
      <c r="C28" s="149" t="s">
        <v>266</v>
      </c>
      <c r="D28" s="150" t="s">
        <v>267</v>
      </c>
      <c r="E28" s="151"/>
    </row>
  </sheetData>
  <mergeCells count="2">
    <mergeCell ref="A2:H2"/>
    <mergeCell ref="A1:H1"/>
  </mergeCells>
  <phoneticPr fontId="1"/>
  <pageMargins left="0.75" right="0.75" top="1" bottom="1" header="0.5" footer="0.5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A6A6A6"/>
  </sheetPr>
  <dimension ref="A1:D21"/>
  <sheetViews>
    <sheetView showGridLines="0" workbookViewId="0">
      <selection sqref="A1:D1"/>
    </sheetView>
  </sheetViews>
  <sheetFormatPr defaultRowHeight="14.4"/>
  <cols>
    <col min="1" max="1" width="2.81640625" customWidth="1"/>
    <col min="2" max="2" width="16.6328125" customWidth="1"/>
    <col min="3" max="3" width="12.6328125" customWidth="1"/>
    <col min="4" max="4" width="42.6328125" customWidth="1"/>
  </cols>
  <sheetData>
    <row r="1" spans="1:4" ht="25.95" customHeight="1">
      <c r="A1" s="175" t="s">
        <v>268</v>
      </c>
      <c r="B1" s="170"/>
      <c r="C1" s="170"/>
      <c r="D1" s="170"/>
    </row>
    <row r="2" spans="1:4" ht="15" customHeight="1">
      <c r="A2" s="172" t="s">
        <v>269</v>
      </c>
      <c r="B2" s="170"/>
      <c r="C2" s="170"/>
      <c r="D2" s="170"/>
    </row>
    <row r="3" spans="1:4">
      <c r="B3" s="58" t="s">
        <v>270</v>
      </c>
      <c r="C3" s="58" t="s">
        <v>271</v>
      </c>
      <c r="D3" s="58" t="s">
        <v>272</v>
      </c>
    </row>
    <row r="4" spans="1:4" ht="15">
      <c r="B4" s="152">
        <v>46258</v>
      </c>
      <c r="C4" s="154"/>
      <c r="D4" s="118" t="s">
        <v>273</v>
      </c>
    </row>
    <row r="5" spans="1:4" ht="15">
      <c r="B5" s="40">
        <v>3.6499999999999998E-2</v>
      </c>
      <c r="C5" s="155"/>
      <c r="D5" s="16" t="s">
        <v>274</v>
      </c>
    </row>
    <row r="6" spans="1:4" ht="15">
      <c r="B6" s="153">
        <v>3.6830000000000002E-2</v>
      </c>
      <c r="C6" s="154"/>
      <c r="D6" s="118" t="s">
        <v>275</v>
      </c>
    </row>
    <row r="7" spans="1:4" ht="15">
      <c r="B7" s="40">
        <v>3.7569999999999999E-2</v>
      </c>
      <c r="C7" s="155"/>
      <c r="D7" s="16" t="s">
        <v>276</v>
      </c>
    </row>
    <row r="8" spans="1:4" ht="15">
      <c r="B8" s="153">
        <v>3.6299999999999999E-2</v>
      </c>
      <c r="C8" s="154"/>
      <c r="D8" s="118" t="s">
        <v>277</v>
      </c>
    </row>
    <row r="9" spans="1:4" ht="15">
      <c r="B9" s="40">
        <v>4.2315999999999999E-2</v>
      </c>
      <c r="C9" s="155"/>
      <c r="D9" s="16" t="s">
        <v>278</v>
      </c>
    </row>
    <row r="10" spans="1:4" ht="15">
      <c r="B10" s="153">
        <v>4.3005000000000002E-2</v>
      </c>
      <c r="C10" s="154"/>
      <c r="D10" s="118" t="s">
        <v>279</v>
      </c>
    </row>
    <row r="11" spans="1:4" ht="15">
      <c r="B11" s="40">
        <v>4.4011000000000002E-2</v>
      </c>
      <c r="C11" s="155"/>
      <c r="D11" s="16" t="s">
        <v>280</v>
      </c>
    </row>
    <row r="12" spans="1:4" ht="15">
      <c r="B12" s="153">
        <v>4.5336000000000001E-2</v>
      </c>
      <c r="C12" s="154"/>
      <c r="D12" s="118" t="s">
        <v>281</v>
      </c>
    </row>
    <row r="13" spans="1:4" ht="15">
      <c r="B13" s="40">
        <v>4.6961000000000003E-2</v>
      </c>
      <c r="C13" s="155"/>
      <c r="D13" s="16" t="s">
        <v>282</v>
      </c>
    </row>
    <row r="14" spans="1:4" ht="15">
      <c r="B14" s="153">
        <v>4.0884999999999998E-2</v>
      </c>
      <c r="C14" s="154"/>
      <c r="D14" s="118" t="s">
        <v>283</v>
      </c>
    </row>
    <row r="15" spans="1:4" ht="15">
      <c r="B15" s="40">
        <v>4.0994999999999997E-2</v>
      </c>
      <c r="C15" s="155"/>
      <c r="D15" s="16" t="s">
        <v>284</v>
      </c>
    </row>
    <row r="16" spans="1:4" ht="15">
      <c r="B16" s="153">
        <v>4.1335999999999998E-2</v>
      </c>
      <c r="C16" s="154"/>
      <c r="D16" s="118" t="s">
        <v>285</v>
      </c>
    </row>
    <row r="17" spans="2:4" ht="15">
      <c r="B17" s="40">
        <v>4.2000000000000003E-2</v>
      </c>
      <c r="C17" s="155"/>
      <c r="D17" s="16" t="s">
        <v>286</v>
      </c>
    </row>
    <row r="18" spans="2:4" ht="15">
      <c r="B18" s="153">
        <v>4.3122000000000001E-2</v>
      </c>
      <c r="C18" s="154"/>
      <c r="D18" s="118" t="s">
        <v>287</v>
      </c>
    </row>
    <row r="19" spans="2:4" ht="15">
      <c r="B19" s="40">
        <v>4.2422000000000001E-2</v>
      </c>
      <c r="C19" s="155"/>
      <c r="D19" s="16" t="s">
        <v>288</v>
      </c>
    </row>
    <row r="20" spans="2:4">
      <c r="B20" s="66" t="s">
        <v>457</v>
      </c>
      <c r="C20" s="63"/>
      <c r="D20" s="118"/>
    </row>
    <row r="21" spans="2:4">
      <c r="B21" s="6" t="s">
        <v>289</v>
      </c>
    </row>
  </sheetData>
  <mergeCells count="2">
    <mergeCell ref="A1:D1"/>
    <mergeCell ref="A2:D2"/>
  </mergeCells>
  <phoneticPr fontId="1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FFD966"/>
  </sheetPr>
  <dimension ref="A1:D17"/>
  <sheetViews>
    <sheetView showGridLines="0" workbookViewId="0">
      <selection sqref="A1:D1"/>
    </sheetView>
  </sheetViews>
  <sheetFormatPr defaultRowHeight="14.4"/>
  <cols>
    <col min="1" max="1" width="2.81640625" customWidth="1"/>
    <col min="2" max="2" width="30.6328125" customWidth="1"/>
    <col min="3" max="3" width="10.6328125" customWidth="1"/>
    <col min="4" max="4" width="52.6328125" customWidth="1"/>
  </cols>
  <sheetData>
    <row r="1" spans="1:4" ht="25.95" customHeight="1">
      <c r="A1" s="175" t="s">
        <v>290</v>
      </c>
      <c r="B1" s="170"/>
      <c r="C1" s="170"/>
      <c r="D1" s="170"/>
    </row>
    <row r="2" spans="1:4" ht="15" customHeight="1">
      <c r="A2" s="172" t="s">
        <v>291</v>
      </c>
      <c r="B2" s="170"/>
      <c r="C2" s="170"/>
      <c r="D2" s="170"/>
    </row>
    <row r="3" spans="1:4" ht="15">
      <c r="A3" s="1"/>
      <c r="B3" s="1"/>
      <c r="C3" s="1"/>
      <c r="D3" s="1"/>
    </row>
    <row r="4" spans="1:4">
      <c r="B4" s="60" t="s">
        <v>292</v>
      </c>
      <c r="C4" s="156">
        <f>INDEX(履歴データ!$K:$K,MATCH(MAX(履歴データ!$A:$A),履歴データ!$A:$A,0))</f>
        <v>3.65</v>
      </c>
      <c r="D4" s="16" t="s">
        <v>293</v>
      </c>
    </row>
    <row r="5" spans="1:4">
      <c r="B5" s="63" t="s">
        <v>294</v>
      </c>
      <c r="C5" s="157">
        <f>INDEX(履歴データ!$L:$L,MATCH(MAX(履歴データ!$A:$A),履歴データ!$A:$A,0))</f>
        <v>3.63</v>
      </c>
      <c r="D5" s="118" t="s">
        <v>295</v>
      </c>
    </row>
    <row r="6" spans="1:4">
      <c r="B6" s="60" t="s">
        <v>296</v>
      </c>
      <c r="C6" s="156">
        <f>INDEX(履歴データ!$M:$M,MATCH(MAX(履歴データ!$A:$A),履歴データ!$A:$A,0))</f>
        <v>3.63</v>
      </c>
      <c r="D6" s="16" t="s">
        <v>297</v>
      </c>
    </row>
    <row r="7" spans="1:4">
      <c r="B7" s="63" t="s">
        <v>298</v>
      </c>
      <c r="C7" s="157">
        <f>INDEX(履歴データ!$N:$N,MATCH(MAX(履歴データ!$A:$A),履歴データ!$A:$A,0))</f>
        <v>3.63</v>
      </c>
      <c r="D7" s="118" t="s">
        <v>299</v>
      </c>
    </row>
    <row r="9" spans="1:4" ht="18" customHeight="1">
      <c r="B9" s="57" t="s">
        <v>300</v>
      </c>
      <c r="C9" s="57"/>
      <c r="D9" s="57"/>
    </row>
    <row r="10" spans="1:4" ht="15">
      <c r="B10" s="41"/>
      <c r="C10" s="41" t="s">
        <v>301</v>
      </c>
      <c r="D10" s="41"/>
    </row>
    <row r="11" spans="1:4">
      <c r="B11" s="59" t="s">
        <v>302</v>
      </c>
      <c r="C11" s="158">
        <v>3.64</v>
      </c>
      <c r="D11" s="16" t="s">
        <v>303</v>
      </c>
    </row>
    <row r="12" spans="1:4">
      <c r="B12" s="59" t="s">
        <v>304</v>
      </c>
      <c r="C12" s="158">
        <v>3.49</v>
      </c>
      <c r="D12" s="16" t="s">
        <v>305</v>
      </c>
    </row>
    <row r="13" spans="1:4">
      <c r="B13" s="59" t="s">
        <v>306</v>
      </c>
      <c r="C13" s="158">
        <v>-0.1</v>
      </c>
      <c r="D13" s="16" t="s">
        <v>307</v>
      </c>
    </row>
    <row r="14" spans="1:4">
      <c r="B14" s="59" t="s">
        <v>308</v>
      </c>
      <c r="C14" s="158">
        <v>-0.25</v>
      </c>
      <c r="D14" s="16" t="s">
        <v>309</v>
      </c>
    </row>
    <row r="15" spans="1:4">
      <c r="B15" s="59" t="s">
        <v>310</v>
      </c>
      <c r="C15" s="158">
        <v>1.75</v>
      </c>
      <c r="D15" s="16" t="s">
        <v>311</v>
      </c>
    </row>
    <row r="17" spans="2:2">
      <c r="B17" s="53" t="s">
        <v>312</v>
      </c>
    </row>
  </sheetData>
  <mergeCells count="2">
    <mergeCell ref="A1:D1"/>
    <mergeCell ref="A2:D2"/>
  </mergeCells>
  <phoneticPr fontId="1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A9D08E"/>
  </sheetPr>
  <dimension ref="A1:E14"/>
  <sheetViews>
    <sheetView showGridLines="0" workbookViewId="0">
      <selection sqref="A1:E1"/>
    </sheetView>
  </sheetViews>
  <sheetFormatPr defaultRowHeight="14.4"/>
  <cols>
    <col min="1" max="1" width="2.6328125" customWidth="1"/>
    <col min="2" max="2" width="26.6328125" customWidth="1"/>
    <col min="3" max="3" width="13.6328125" customWidth="1"/>
    <col min="4" max="4" width="2.6328125" customWidth="1"/>
    <col min="5" max="5" width="48.6328125" customWidth="1"/>
  </cols>
  <sheetData>
    <row r="1" spans="1:5" ht="25.95" customHeight="1">
      <c r="A1" s="175" t="s">
        <v>313</v>
      </c>
      <c r="B1" s="170"/>
      <c r="C1" s="170"/>
      <c r="D1" s="170"/>
      <c r="E1" s="170"/>
    </row>
    <row r="2" spans="1:5" ht="15" customHeight="1">
      <c r="A2" s="172" t="s">
        <v>314</v>
      </c>
      <c r="B2" s="170"/>
      <c r="C2" s="170"/>
      <c r="D2" s="170"/>
      <c r="E2" s="170"/>
    </row>
    <row r="3" spans="1:5" ht="15">
      <c r="A3" s="1"/>
      <c r="B3" s="58" t="s">
        <v>25</v>
      </c>
      <c r="C3" s="58" t="s">
        <v>30</v>
      </c>
      <c r="D3" s="1"/>
      <c r="E3" s="58" t="s">
        <v>94</v>
      </c>
    </row>
    <row r="4" spans="1:5" ht="15">
      <c r="B4" s="60" t="s">
        <v>31</v>
      </c>
      <c r="C4" s="159">
        <v>-5120</v>
      </c>
      <c r="D4" s="2"/>
      <c r="E4" s="150" t="s">
        <v>315</v>
      </c>
    </row>
    <row r="5" spans="1:5" ht="15">
      <c r="B5" s="63" t="s">
        <v>33</v>
      </c>
      <c r="C5" s="160">
        <v>11513</v>
      </c>
      <c r="D5" s="2"/>
      <c r="E5" s="150" t="s">
        <v>316</v>
      </c>
    </row>
    <row r="6" spans="1:5" ht="15">
      <c r="B6" s="60" t="s">
        <v>35</v>
      </c>
      <c r="C6" s="161">
        <v>9895</v>
      </c>
      <c r="D6" s="2"/>
      <c r="E6" s="150" t="s">
        <v>317</v>
      </c>
    </row>
    <row r="7" spans="1:5" ht="15">
      <c r="B7" s="63" t="s">
        <v>37</v>
      </c>
      <c r="C7" s="160">
        <v>1187</v>
      </c>
      <c r="D7" s="2"/>
      <c r="E7" s="150" t="s">
        <v>318</v>
      </c>
    </row>
    <row r="8" spans="1:5" ht="15">
      <c r="B8" s="60" t="s">
        <v>39</v>
      </c>
      <c r="C8" s="159">
        <v>0</v>
      </c>
      <c r="D8" s="2"/>
      <c r="E8" s="150" t="s">
        <v>319</v>
      </c>
    </row>
    <row r="9" spans="1:5" ht="15">
      <c r="B9" s="63" t="s">
        <v>41</v>
      </c>
      <c r="C9" s="160">
        <v>5469</v>
      </c>
      <c r="D9" s="2"/>
      <c r="E9" s="150" t="s">
        <v>320</v>
      </c>
    </row>
    <row r="10" spans="1:5" ht="15">
      <c r="B10" s="60" t="s">
        <v>42</v>
      </c>
      <c r="C10" s="159">
        <v>-7273</v>
      </c>
      <c r="D10" s="2"/>
      <c r="E10" s="150" t="s">
        <v>321</v>
      </c>
    </row>
    <row r="11" spans="1:5" ht="15.6" thickBot="1">
      <c r="B11" s="162" t="s">
        <v>43</v>
      </c>
      <c r="C11" s="163">
        <v>15403</v>
      </c>
      <c r="D11" s="2"/>
      <c r="E11" s="150" t="s">
        <v>322</v>
      </c>
    </row>
    <row r="12" spans="1:5" ht="15">
      <c r="B12" s="125" t="s">
        <v>96</v>
      </c>
      <c r="C12" s="164">
        <f>SUM(C4:C11)</f>
        <v>31074</v>
      </c>
      <c r="D12" s="26"/>
      <c r="E12" s="26"/>
    </row>
    <row r="14" spans="1:5">
      <c r="B14" s="53" t="s">
        <v>323</v>
      </c>
    </row>
  </sheetData>
  <mergeCells count="2">
    <mergeCell ref="A2:E2"/>
    <mergeCell ref="A1:E1"/>
  </mergeCells>
  <phoneticPr fontId="1"/>
  <conditionalFormatting sqref="C4:C12">
    <cfRule type="cellIs" dxfId="5" priority="1" stopIfTrue="1" operator="lessThan">
      <formula>0</formula>
    </cfRule>
  </conditionalFormatting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A6A6A6"/>
  </sheetPr>
  <dimension ref="A1:I18"/>
  <sheetViews>
    <sheetView showGridLines="0" workbookViewId="0">
      <selection sqref="A1:I1"/>
    </sheetView>
  </sheetViews>
  <sheetFormatPr defaultRowHeight="14.4"/>
  <cols>
    <col min="1" max="1" width="2.6328125" customWidth="1"/>
    <col min="2" max="2" width="12.6328125" customWidth="1"/>
    <col min="3" max="3" width="26.6328125" customWidth="1"/>
    <col min="4" max="4" width="8.6328125" customWidth="1"/>
    <col min="5" max="5" width="7.6328125" customWidth="1"/>
    <col min="6" max="6" width="10.6328125" customWidth="1"/>
    <col min="7" max="7" width="11.6328125" customWidth="1"/>
    <col min="8" max="8" width="12.6328125" customWidth="1"/>
    <col min="9" max="9" width="20.6328125" customWidth="1"/>
  </cols>
  <sheetData>
    <row r="1" spans="1:9" ht="25.95" customHeight="1">
      <c r="A1" s="175" t="s">
        <v>324</v>
      </c>
      <c r="B1" s="170"/>
      <c r="C1" s="170"/>
      <c r="D1" s="170"/>
      <c r="E1" s="170"/>
      <c r="F1" s="170"/>
      <c r="G1" s="170"/>
      <c r="H1" s="170"/>
      <c r="I1" s="170"/>
    </row>
    <row r="2" spans="1:9" ht="15" customHeight="1">
      <c r="A2" s="172" t="s">
        <v>325</v>
      </c>
      <c r="B2" s="170"/>
      <c r="C2" s="170"/>
      <c r="D2" s="170"/>
      <c r="E2" s="170"/>
      <c r="F2" s="170"/>
      <c r="G2" s="170"/>
      <c r="H2" s="170"/>
      <c r="I2" s="170"/>
    </row>
    <row r="3" spans="1:9" ht="15">
      <c r="A3" s="1"/>
      <c r="B3" s="58" t="s">
        <v>531</v>
      </c>
      <c r="C3" s="58" t="s">
        <v>532</v>
      </c>
      <c r="D3" s="58" t="s">
        <v>533</v>
      </c>
      <c r="E3" s="58" t="s">
        <v>229</v>
      </c>
      <c r="F3" s="58" t="s">
        <v>534</v>
      </c>
      <c r="G3" s="58" t="s">
        <v>529</v>
      </c>
      <c r="H3" s="58" t="s">
        <v>101</v>
      </c>
      <c r="I3" s="58" t="s">
        <v>535</v>
      </c>
    </row>
    <row r="4" spans="1:9" ht="15">
      <c r="B4" s="165" t="s">
        <v>128</v>
      </c>
      <c r="C4" s="20" t="s">
        <v>326</v>
      </c>
      <c r="D4" s="20" t="s">
        <v>327</v>
      </c>
      <c r="E4" s="20" t="s">
        <v>220</v>
      </c>
      <c r="F4" s="21">
        <v>4.1900000000000004</v>
      </c>
      <c r="G4" s="43">
        <v>1.9</v>
      </c>
      <c r="H4" s="22">
        <v>190</v>
      </c>
      <c r="I4" s="166" t="s">
        <v>328</v>
      </c>
    </row>
    <row r="5" spans="1:9" ht="15">
      <c r="B5" s="86" t="s">
        <v>146</v>
      </c>
      <c r="C5" s="66" t="s">
        <v>329</v>
      </c>
      <c r="D5" s="66" t="s">
        <v>327</v>
      </c>
      <c r="E5" s="66" t="s">
        <v>221</v>
      </c>
      <c r="F5" s="82">
        <v>4.38</v>
      </c>
      <c r="G5" s="68">
        <v>4.45</v>
      </c>
      <c r="H5" s="101">
        <v>445</v>
      </c>
      <c r="I5" s="167" t="s">
        <v>330</v>
      </c>
    </row>
    <row r="6" spans="1:9" ht="15">
      <c r="B6" s="165" t="s">
        <v>125</v>
      </c>
      <c r="C6" s="20" t="s">
        <v>331</v>
      </c>
      <c r="D6" s="20" t="s">
        <v>327</v>
      </c>
      <c r="E6" s="20" t="s">
        <v>222</v>
      </c>
      <c r="F6" s="21">
        <v>4.72</v>
      </c>
      <c r="G6" s="43">
        <v>7.9</v>
      </c>
      <c r="H6" s="22">
        <v>790</v>
      </c>
      <c r="I6" s="166" t="s">
        <v>332</v>
      </c>
    </row>
    <row r="7" spans="1:9" ht="15">
      <c r="B7" s="86" t="s">
        <v>131</v>
      </c>
      <c r="C7" s="66" t="s">
        <v>333</v>
      </c>
      <c r="D7" s="66" t="s">
        <v>327</v>
      </c>
      <c r="E7" s="66" t="s">
        <v>224</v>
      </c>
      <c r="F7" s="82">
        <v>5.31</v>
      </c>
      <c r="G7" s="68">
        <v>14.92</v>
      </c>
      <c r="H7" s="101">
        <v>1492</v>
      </c>
      <c r="I7" s="167" t="s">
        <v>334</v>
      </c>
    </row>
    <row r="8" spans="1:9" ht="15">
      <c r="B8" s="165" t="s">
        <v>137</v>
      </c>
      <c r="C8" s="20" t="s">
        <v>335</v>
      </c>
      <c r="D8" s="20" t="s">
        <v>336</v>
      </c>
      <c r="E8" s="20" t="s">
        <v>220</v>
      </c>
      <c r="F8" s="21">
        <v>1.5069999999999999</v>
      </c>
      <c r="G8" s="43">
        <v>1.96</v>
      </c>
      <c r="H8" s="22">
        <v>196</v>
      </c>
      <c r="I8" s="166" t="s">
        <v>337</v>
      </c>
    </row>
    <row r="9" spans="1:9" ht="15">
      <c r="B9" s="86" t="s">
        <v>134</v>
      </c>
      <c r="C9" s="66" t="s">
        <v>338</v>
      </c>
      <c r="D9" s="66" t="s">
        <v>336</v>
      </c>
      <c r="E9" s="66" t="s">
        <v>222</v>
      </c>
      <c r="F9" s="82">
        <v>2.8010000000000002</v>
      </c>
      <c r="G9" s="68">
        <v>8.67</v>
      </c>
      <c r="H9" s="101">
        <v>867</v>
      </c>
      <c r="I9" s="167" t="s">
        <v>339</v>
      </c>
    </row>
    <row r="10" spans="1:9" ht="15">
      <c r="B10" s="165" t="s">
        <v>340</v>
      </c>
      <c r="C10" s="20" t="s">
        <v>341</v>
      </c>
      <c r="D10" s="20" t="s">
        <v>336</v>
      </c>
      <c r="E10" s="20" t="s">
        <v>223</v>
      </c>
      <c r="F10" s="21">
        <v>3.69</v>
      </c>
      <c r="G10" s="43">
        <v>14.06</v>
      </c>
      <c r="H10" s="22">
        <v>1406</v>
      </c>
      <c r="I10" s="166" t="s">
        <v>342</v>
      </c>
    </row>
    <row r="11" spans="1:9" ht="15">
      <c r="B11" s="86" t="s">
        <v>140</v>
      </c>
      <c r="C11" s="66" t="s">
        <v>343</v>
      </c>
      <c r="D11" s="66" t="s">
        <v>336</v>
      </c>
      <c r="E11" s="66" t="s">
        <v>224</v>
      </c>
      <c r="F11" s="82">
        <v>3.9820000000000002</v>
      </c>
      <c r="G11" s="68">
        <v>17.420000000000002</v>
      </c>
      <c r="H11" s="101">
        <v>1742</v>
      </c>
      <c r="I11" s="167" t="s">
        <v>344</v>
      </c>
    </row>
    <row r="12" spans="1:9" ht="15">
      <c r="B12" s="165" t="s">
        <v>156</v>
      </c>
      <c r="C12" s="20" t="s">
        <v>345</v>
      </c>
      <c r="D12" s="20" t="s">
        <v>346</v>
      </c>
      <c r="E12" s="20" t="s">
        <v>222</v>
      </c>
      <c r="F12" s="21"/>
      <c r="G12" s="43"/>
      <c r="H12" s="22"/>
      <c r="I12" s="166" t="s">
        <v>347</v>
      </c>
    </row>
    <row r="13" spans="1:9" ht="15">
      <c r="B13" s="86" t="s">
        <v>348</v>
      </c>
      <c r="C13" s="66" t="s">
        <v>349</v>
      </c>
      <c r="D13" s="66" t="s">
        <v>346</v>
      </c>
      <c r="E13" s="66" t="s">
        <v>222</v>
      </c>
      <c r="F13" s="82"/>
      <c r="G13" s="68"/>
      <c r="H13" s="101"/>
      <c r="I13" s="167" t="s">
        <v>350</v>
      </c>
    </row>
    <row r="14" spans="1:9" ht="15">
      <c r="B14" s="165" t="s">
        <v>351</v>
      </c>
      <c r="C14" s="20" t="s">
        <v>352</v>
      </c>
      <c r="D14" s="20" t="s">
        <v>346</v>
      </c>
      <c r="E14" s="20" t="s">
        <v>222</v>
      </c>
      <c r="F14" s="21">
        <v>1.329</v>
      </c>
      <c r="G14" s="43">
        <v>9.34</v>
      </c>
      <c r="H14" s="22">
        <v>934</v>
      </c>
      <c r="I14" s="166" t="s">
        <v>353</v>
      </c>
    </row>
    <row r="15" spans="1:9" ht="15">
      <c r="B15" s="86" t="s">
        <v>354</v>
      </c>
      <c r="C15" s="66" t="s">
        <v>263</v>
      </c>
      <c r="D15" s="66" t="s">
        <v>346</v>
      </c>
      <c r="E15" s="66" t="s">
        <v>222</v>
      </c>
      <c r="F15" s="82">
        <v>2.8413416856492009</v>
      </c>
      <c r="G15" s="68">
        <v>8.65</v>
      </c>
      <c r="H15" s="101">
        <v>865</v>
      </c>
      <c r="I15" s="167" t="s">
        <v>355</v>
      </c>
    </row>
    <row r="16" spans="1:9" ht="15">
      <c r="B16" s="165" t="s">
        <v>151</v>
      </c>
      <c r="C16" s="20" t="s">
        <v>356</v>
      </c>
      <c r="D16" s="20" t="s">
        <v>357</v>
      </c>
      <c r="E16" s="20" t="s">
        <v>358</v>
      </c>
      <c r="F16" s="21"/>
      <c r="G16" s="43"/>
      <c r="H16" s="22"/>
      <c r="I16" s="166" t="s">
        <v>359</v>
      </c>
    </row>
    <row r="18" spans="2:2">
      <c r="B18" s="53" t="s">
        <v>360</v>
      </c>
    </row>
  </sheetData>
  <mergeCells count="2">
    <mergeCell ref="A1:I1"/>
    <mergeCell ref="A2:I2"/>
  </mergeCells>
  <phoneticPr fontId="1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C00000"/>
  </sheetPr>
  <dimension ref="A1:O1250"/>
  <sheetViews>
    <sheetView showGridLines="0" workbookViewId="0">
      <pane ySplit="2" topLeftCell="A3" activePane="bottomLeft" state="frozenSplit"/>
      <selection pane="bottomLeft" sqref="A1:L1"/>
    </sheetView>
  </sheetViews>
  <sheetFormatPr defaultRowHeight="14.4"/>
  <cols>
    <col min="1" max="1" width="2.81640625" customWidth="1"/>
    <col min="2" max="2" width="32.6328125" customWidth="1"/>
    <col min="3" max="3" width="12.6328125" customWidth="1"/>
    <col min="4" max="4" width="58.6328125" customWidth="1"/>
    <col min="5" max="5" width="24.6328125" customWidth="1"/>
    <col min="6" max="6" width="16.6328125" customWidth="1"/>
    <col min="7" max="12" width="11.81640625" customWidth="1"/>
    <col min="15" max="15" width="11.81640625" hidden="1" customWidth="1"/>
  </cols>
  <sheetData>
    <row r="1" spans="1:15" ht="25.95" customHeight="1">
      <c r="A1" s="175" t="s">
        <v>361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</row>
    <row r="2" spans="1:15" ht="15" customHeight="1">
      <c r="A2" s="172" t="s">
        <v>540</v>
      </c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</row>
    <row r="3" spans="1:15">
      <c r="O3" s="6" t="s">
        <v>362</v>
      </c>
    </row>
    <row r="4" spans="1:15" ht="18" customHeight="1">
      <c r="B4" s="57" t="s">
        <v>363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O4" s="29">
        <f ca="1">IF(COUNT(OFFSET(分析データ!$AC$2,0,0,60,1))&lt;60,"",SUM(OFFSET(分析データ!$AC$2,0,0,60,1))/1000000)</f>
        <v>-2.1520889471216114</v>
      </c>
    </row>
    <row r="5" spans="1:15">
      <c r="B5" s="58" t="s">
        <v>364</v>
      </c>
      <c r="C5" s="58" t="s">
        <v>271</v>
      </c>
      <c r="D5" s="58" t="s">
        <v>272</v>
      </c>
      <c r="O5" s="29">
        <f ca="1">IF(COUNT(OFFSET(分析データ!$AC$2,1,0,60,1))&lt;60,"",SUM(OFFSET(分析データ!$AC$2,1,0,60,1))/1000000)</f>
        <v>-2.3456478501449185</v>
      </c>
    </row>
    <row r="6" spans="1:15" ht="15">
      <c r="B6" s="2" t="s">
        <v>365</v>
      </c>
      <c r="C6" s="9">
        <f>-PERCENTILE(分析データ!$AD$2:$AD$1307,0.01)</f>
        <v>1.9573688387191515</v>
      </c>
      <c r="D6" s="150" t="s">
        <v>366</v>
      </c>
      <c r="O6" s="29">
        <f ca="1">IF(COUNT(OFFSET(分析データ!$AC$2,2,0,60,1))&lt;60,"",SUM(OFFSET(分析データ!$AC$2,2,0,60,1))/1000000)</f>
        <v>-0.59493906088235649</v>
      </c>
    </row>
    <row r="7" spans="1:15" ht="15">
      <c r="B7" s="2" t="s">
        <v>367</v>
      </c>
      <c r="C7" s="9">
        <f>INDEX(分析データ!$AE:$AE,MATCH(MAX(履歴データ!$A:$A),履歴データ!$A:$A,0))*(-(AVERAGE(分析データ!$AF$2:$AF$1307)-2.3263*STDEV(分析データ!$AF$2:$AF$1307)))</f>
        <v>1.678864004563644</v>
      </c>
      <c r="D7" s="150" t="s">
        <v>368</v>
      </c>
      <c r="O7" s="29">
        <f ca="1">IF(COUNT(OFFSET(分析データ!$AC$2,3,0,60,1))&lt;60,"",SUM(OFFSET(分析データ!$AC$2,3,0,60,1))/1000000)</f>
        <v>0.23643025897857389</v>
      </c>
    </row>
    <row r="8" spans="1:15" ht="15">
      <c r="B8" s="2" t="s">
        <v>369</v>
      </c>
      <c r="C8" s="9">
        <f>C7*SQRT(10)</f>
        <v>5.3090341360924356</v>
      </c>
      <c r="D8" s="150" t="s">
        <v>370</v>
      </c>
      <c r="O8" s="29">
        <f ca="1">IF(COUNT(OFFSET(分析データ!$AC$2,4,0,60,1))&lt;60,"",SUM(OFFSET(分析データ!$AC$2,4,0,60,1))/1000000)</f>
        <v>2.1723905933258592</v>
      </c>
    </row>
    <row r="9" spans="1:15" ht="15">
      <c r="B9" s="2" t="s">
        <v>371</v>
      </c>
      <c r="C9" s="9">
        <f ca="1">-MIN($O$4:$O$1250)</f>
        <v>15.406061107553684</v>
      </c>
      <c r="D9" s="150" t="s">
        <v>372</v>
      </c>
      <c r="O9" s="29">
        <f ca="1">IF(COUNT(OFFSET(分析データ!$AC$2,5,0,60,1))&lt;60,"",SUM(OFFSET(分析データ!$AC$2,5,0,60,1))/1000000)</f>
        <v>1.6397425105244783</v>
      </c>
    </row>
    <row r="10" spans="1:15">
      <c r="O10" s="29">
        <f ca="1">IF(COUNT(OFFSET(分析データ!$AC$2,6,0,60,1))&lt;60,"",SUM(OFFSET(分析データ!$AC$2,6,0,60,1))/1000000)</f>
        <v>1.5816329015273582</v>
      </c>
    </row>
    <row r="11" spans="1:15" ht="18" customHeight="1">
      <c r="B11" s="57" t="s">
        <v>373</v>
      </c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O11" s="29">
        <f ca="1">IF(COUNT(OFFSET(分析データ!$AC$2,7,0,60,1))&lt;60,"",SUM(OFFSET(分析データ!$AC$2,7,0,60,1))/1000000)</f>
        <v>1.5401855237724542</v>
      </c>
    </row>
    <row r="12" spans="1:15">
      <c r="B12" s="58" t="s">
        <v>374</v>
      </c>
      <c r="C12" s="58" t="s">
        <v>271</v>
      </c>
      <c r="D12" s="58"/>
      <c r="E12" s="58" t="s">
        <v>25</v>
      </c>
      <c r="F12" s="58" t="s">
        <v>375</v>
      </c>
      <c r="O12" s="29">
        <f ca="1">IF(COUNT(OFFSET(分析データ!$AC$2,8,0,60,1))&lt;60,"",SUM(OFFSET(分析データ!$AC$2,8,0,60,1))/1000000)</f>
        <v>0.26582943706164625</v>
      </c>
    </row>
    <row r="13" spans="1:15">
      <c r="B13" s="2" t="s">
        <v>376</v>
      </c>
      <c r="C13" s="168">
        <v>0</v>
      </c>
      <c r="D13" s="2"/>
      <c r="E13" s="2" t="s">
        <v>31</v>
      </c>
      <c r="F13" s="102">
        <f>-80000*(C15-(C13+C16)/2)</f>
        <v>-2000000</v>
      </c>
      <c r="O13" s="29">
        <f ca="1">IF(COUNT(OFFSET(分析データ!$AC$2,9,0,60,1))&lt;60,"",SUM(OFFSET(分析データ!$AC$2,9,0,60,1))/1000000)</f>
        <v>-2.5248785515380119</v>
      </c>
    </row>
    <row r="14" spans="1:15">
      <c r="B14" s="2" t="s">
        <v>377</v>
      </c>
      <c r="C14" s="168">
        <v>0</v>
      </c>
      <c r="D14" s="2"/>
      <c r="E14" s="2" t="s">
        <v>33</v>
      </c>
      <c r="F14" s="102">
        <f>60000*(C18-(C17+C19)/2)</f>
        <v>0</v>
      </c>
      <c r="O14" s="29">
        <f ca="1">IF(COUNT(OFFSET(分析データ!$AC$2,10,0,60,1))&lt;60,"",SUM(OFFSET(分析データ!$AC$2,10,0,60,1))/1000000)</f>
        <v>-2.9565280131947755</v>
      </c>
    </row>
    <row r="15" spans="1:15">
      <c r="B15" s="2" t="s">
        <v>378</v>
      </c>
      <c r="C15" s="168">
        <v>50</v>
      </c>
      <c r="D15" s="2"/>
      <c r="E15" s="2" t="s">
        <v>379</v>
      </c>
      <c r="F15" s="102">
        <f>-50000*(C15-C18)</f>
        <v>-2500000</v>
      </c>
      <c r="O15" s="29">
        <f ca="1">IF(COUNT(OFFSET(分析データ!$AC$2,11,0,60,1))&lt;60,"",SUM(OFFSET(分析データ!$AC$2,11,0,60,1))/1000000)</f>
        <v>-2.3843852735010431</v>
      </c>
    </row>
    <row r="16" spans="1:15">
      <c r="B16" s="2" t="s">
        <v>380</v>
      </c>
      <c r="C16" s="168">
        <v>50</v>
      </c>
      <c r="D16" s="2"/>
      <c r="E16" s="2" t="s">
        <v>381</v>
      </c>
      <c r="F16" s="102">
        <f>-40000*(C15-C14)</f>
        <v>-2000000</v>
      </c>
      <c r="O16" s="29">
        <f ca="1">IF(COUNT(OFFSET(分析データ!$AC$2,12,0,60,1))&lt;60,"",SUM(OFFSET(分析データ!$AC$2,12,0,60,1))/1000000)</f>
        <v>-2.2421216795004479</v>
      </c>
    </row>
    <row r="17" spans="1:15">
      <c r="B17" s="2" t="s">
        <v>382</v>
      </c>
      <c r="C17" s="168">
        <v>0</v>
      </c>
      <c r="D17" s="2"/>
      <c r="E17" s="2" t="s">
        <v>39</v>
      </c>
      <c r="F17" s="102">
        <f>-120*1000000*C21</f>
        <v>0</v>
      </c>
      <c r="O17" s="29">
        <f ca="1">IF(COUNT(OFFSET(分析データ!$AC$2,13,0,60,1))&lt;60,"",SUM(OFFSET(分析データ!$AC$2,13,0,60,1))/1000000)</f>
        <v>-3.922407808368042</v>
      </c>
    </row>
    <row r="18" spans="1:15">
      <c r="B18" s="2" t="s">
        <v>383</v>
      </c>
      <c r="C18" s="168">
        <v>0</v>
      </c>
      <c r="D18" s="2"/>
      <c r="E18" s="2" t="s">
        <v>41</v>
      </c>
      <c r="F18" s="102">
        <f>-40000*C22</f>
        <v>0</v>
      </c>
      <c r="O18" s="29">
        <f ca="1">IF(COUNT(OFFSET(分析データ!$AC$2,14,0,60,1))&lt;60,"",SUM(OFFSET(分析データ!$AC$2,14,0,60,1))/1000000)</f>
        <v>-2.5198546863612439</v>
      </c>
    </row>
    <row r="19" spans="1:15">
      <c r="B19" s="2" t="s">
        <v>384</v>
      </c>
      <c r="C19" s="168">
        <v>0</v>
      </c>
      <c r="D19" s="2"/>
      <c r="E19" s="2" t="s">
        <v>385</v>
      </c>
      <c r="F19" s="102">
        <f>-40000*(C20-C15)</f>
        <v>2000000</v>
      </c>
      <c r="O19" s="29">
        <f ca="1">IF(COUNT(OFFSET(分析データ!$AC$2,15,0,60,1))&lt;60,"",SUM(OFFSET(分析データ!$AC$2,15,0,60,1))/1000000)</f>
        <v>-2.2351511592793387</v>
      </c>
    </row>
    <row r="20" spans="1:15">
      <c r="B20" s="2" t="s">
        <v>386</v>
      </c>
      <c r="C20" s="168">
        <v>0</v>
      </c>
      <c r="D20" s="2"/>
      <c r="E20" s="2" t="s">
        <v>387</v>
      </c>
      <c r="F20" s="102">
        <f>-40000*(C18-C20)</f>
        <v>0</v>
      </c>
      <c r="O20" s="29">
        <f ca="1">IF(COUNT(OFFSET(分析データ!$AC$2,16,0,60,1))&lt;60,"",SUM(OFFSET(分析データ!$AC$2,16,0,60,1))/1000000)</f>
        <v>-2.3065384147755008</v>
      </c>
    </row>
    <row r="21" spans="1:15" ht="15">
      <c r="B21" s="2" t="s">
        <v>388</v>
      </c>
      <c r="C21" s="45">
        <v>0</v>
      </c>
      <c r="E21" s="17" t="s">
        <v>96</v>
      </c>
      <c r="F21" s="18">
        <f>SUM(F13:F20)</f>
        <v>-4500000</v>
      </c>
      <c r="O21" s="29">
        <f ca="1">IF(COUNT(OFFSET(分析データ!$AC$2,17,0,60,1))&lt;60,"",SUM(OFFSET(分析データ!$AC$2,17,0,60,1))/1000000)</f>
        <v>-3.6901530828581817</v>
      </c>
    </row>
    <row r="22" spans="1:15" ht="15">
      <c r="B22" s="2" t="s">
        <v>389</v>
      </c>
      <c r="C22" s="44">
        <v>0</v>
      </c>
      <c r="E22" s="7" t="s">
        <v>390</v>
      </c>
      <c r="F22" s="46">
        <f>F21/1000000/INDEX(分析データ!$AE:$AE,MATCH(MAX(履歴データ!$A:$A),履歴データ!$A:$A,0))</f>
        <v>-6.3519358465421588E-2</v>
      </c>
      <c r="O22" s="29">
        <f ca="1">IF(COUNT(OFFSET(分析データ!$AC$2,18,0,60,1))&lt;60,"",SUM(OFFSET(分析データ!$AC$2,18,0,60,1))/1000000)</f>
        <v>-2.6924432589450977</v>
      </c>
    </row>
    <row r="23" spans="1:15">
      <c r="O23" s="29">
        <f ca="1">IF(COUNT(OFFSET(分析データ!$AC$2,19,0,60,1))&lt;60,"",SUM(OFFSET(分析データ!$AC$2,19,0,60,1))/1000000)</f>
        <v>-2.8917843633016957</v>
      </c>
    </row>
    <row r="24" spans="1:15" ht="18" customHeight="1">
      <c r="B24" s="57" t="s">
        <v>391</v>
      </c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O24" s="29">
        <f ca="1">IF(COUNT(OFFSET(分析データ!$AC$2,20,0,60,1))&lt;60,"",SUM(OFFSET(分析データ!$AC$2,20,0,60,1))/1000000)</f>
        <v>-1.9544398149351718</v>
      </c>
    </row>
    <row r="25" spans="1:15" ht="15">
      <c r="A25" s="1"/>
      <c r="B25" s="1" t="s">
        <v>392</v>
      </c>
      <c r="C25" s="1" t="s">
        <v>393</v>
      </c>
      <c r="D25" s="1" t="s">
        <v>394</v>
      </c>
      <c r="E25" s="1" t="s">
        <v>395</v>
      </c>
      <c r="F25" s="1" t="s">
        <v>396</v>
      </c>
      <c r="G25" s="1" t="s">
        <v>397</v>
      </c>
      <c r="H25" s="1" t="s">
        <v>398</v>
      </c>
      <c r="I25" s="1" t="s">
        <v>399</v>
      </c>
      <c r="J25" s="1" t="s">
        <v>400</v>
      </c>
      <c r="K25" s="1" t="s">
        <v>401</v>
      </c>
      <c r="L25" s="1" t="s">
        <v>402</v>
      </c>
      <c r="M25" s="1" t="s">
        <v>403</v>
      </c>
      <c r="O25" s="29">
        <f ca="1">IF(COUNT(OFFSET(分析データ!$AC$2,21,0,60,1))&lt;60,"",SUM(OFFSET(分析データ!$AC$2,21,0,60,1))/1000000)</f>
        <v>-2.8843996164622401</v>
      </c>
    </row>
    <row r="26" spans="1:15" ht="15">
      <c r="B26" s="2" t="s">
        <v>404</v>
      </c>
      <c r="C26" s="5" t="s">
        <v>405</v>
      </c>
      <c r="D26" s="13">
        <f>-80000*(50-(30+40)/2)</f>
        <v>-1200000</v>
      </c>
      <c r="E26" s="13">
        <f>60000*(0-(0+30)/2)</f>
        <v>-900000</v>
      </c>
      <c r="F26" s="13">
        <f>-50000*(50-0)</f>
        <v>-2500000</v>
      </c>
      <c r="G26" s="13">
        <f>-40000*(50-40)</f>
        <v>-400000</v>
      </c>
      <c r="H26" s="13">
        <f>-120*1000000*-0.05</f>
        <v>6000000</v>
      </c>
      <c r="I26" s="13">
        <f>-40000*60</f>
        <v>-2400000</v>
      </c>
      <c r="J26" s="13">
        <f>-40000*(0-50)</f>
        <v>2000000</v>
      </c>
      <c r="K26" s="13">
        <f>-40000*(0-0)</f>
        <v>0</v>
      </c>
      <c r="L26" s="14">
        <f t="shared" ref="L26:L33" si="0">SUM(D26:K26)</f>
        <v>600000</v>
      </c>
      <c r="M26" s="47">
        <f>L26/1000000/INDEX(分析データ!$AE:$AE,MATCH(MAX(履歴データ!$A:$A),履歴データ!$A:$A,0))</f>
        <v>8.4692477953895451E-3</v>
      </c>
      <c r="O26" s="29">
        <f ca="1">IF(COUNT(OFFSET(分析データ!$AC$2,22,0,60,1))&lt;60,"",SUM(OFFSET(分析データ!$AC$2,22,0,60,1))/1000000)</f>
        <v>-4.1701329967822565</v>
      </c>
    </row>
    <row r="27" spans="1:15" ht="15">
      <c r="B27" s="2" t="s">
        <v>406</v>
      </c>
      <c r="C27" s="5" t="s">
        <v>407</v>
      </c>
      <c r="D27" s="13">
        <f>-80000*(60-(50+80)/2)</f>
        <v>400000</v>
      </c>
      <c r="E27" s="13">
        <f>60000*(0-(0+50)/2)</f>
        <v>-1500000</v>
      </c>
      <c r="F27" s="13">
        <f>-50000*(60-0)</f>
        <v>-3000000</v>
      </c>
      <c r="G27" s="13">
        <f>-40000*(60-55)</f>
        <v>-200000</v>
      </c>
      <c r="H27" s="13">
        <f>-120*1000000*0</f>
        <v>0</v>
      </c>
      <c r="I27" s="13">
        <f>-40000*20</f>
        <v>-800000</v>
      </c>
      <c r="J27" s="13">
        <f>-40000*(0-60)</f>
        <v>2400000</v>
      </c>
      <c r="K27" s="13">
        <f>-40000*(0-0)</f>
        <v>0</v>
      </c>
      <c r="L27" s="14">
        <f t="shared" si="0"/>
        <v>-2700000</v>
      </c>
      <c r="M27" s="47">
        <f>L27/1000000/INDEX(分析データ!$AE:$AE,MATCH(MAX(履歴データ!$A:$A),履歴データ!$A:$A,0))</f>
        <v>-3.811161507925296E-2</v>
      </c>
      <c r="O27" s="29">
        <f ca="1">IF(COUNT(OFFSET(分析データ!$AC$2,23,0,60,1))&lt;60,"",SUM(OFFSET(分析データ!$AC$2,23,0,60,1))/1000000)</f>
        <v>-8.1074036931556837</v>
      </c>
    </row>
    <row r="28" spans="1:15" ht="15">
      <c r="B28" s="2" t="s">
        <v>408</v>
      </c>
      <c r="C28" s="5" t="s">
        <v>409</v>
      </c>
      <c r="D28" s="13">
        <f>-80000*(-10-(-40+0)/2)</f>
        <v>-800000</v>
      </c>
      <c r="E28" s="13">
        <f>60000*(0-(0+-30)/2)</f>
        <v>900000</v>
      </c>
      <c r="F28" s="13">
        <f>-50000*(-10-0)</f>
        <v>500000</v>
      </c>
      <c r="G28" s="13">
        <f>-40000*(-10--25)</f>
        <v>-600000</v>
      </c>
      <c r="H28" s="13">
        <f>-120*1000000*0</f>
        <v>0</v>
      </c>
      <c r="I28" s="13">
        <f>-40000*0</f>
        <v>0</v>
      </c>
      <c r="J28" s="13">
        <f>-40000*(0--10)</f>
        <v>-400000</v>
      </c>
      <c r="K28" s="13">
        <f>-40000*(0-0)</f>
        <v>0</v>
      </c>
      <c r="L28" s="14">
        <f t="shared" si="0"/>
        <v>-400000</v>
      </c>
      <c r="M28" s="47">
        <f>L28/1000000/INDEX(分析データ!$AE:$AE,MATCH(MAX(履歴データ!$A:$A),履歴データ!$A:$A,0))</f>
        <v>-5.646165196926364E-3</v>
      </c>
      <c r="O28" s="29">
        <f ca="1">IF(COUNT(OFFSET(分析データ!$AC$2,24,0,60,1))&lt;60,"",SUM(OFFSET(分析データ!$AC$2,24,0,60,1))/1000000)</f>
        <v>-3.9640662625236569</v>
      </c>
    </row>
    <row r="29" spans="1:15" ht="15">
      <c r="B29" s="2" t="s">
        <v>410</v>
      </c>
      <c r="C29" s="5" t="s">
        <v>411</v>
      </c>
      <c r="D29" s="13">
        <f>-80000*(0-(0+0)/2)</f>
        <v>0</v>
      </c>
      <c r="E29" s="13">
        <f>60000*(25-(5+0)/2)</f>
        <v>1350000</v>
      </c>
      <c r="F29" s="13">
        <f>-50000*(0-25)</f>
        <v>1250000</v>
      </c>
      <c r="G29" s="13">
        <f>-40000*(0-0)</f>
        <v>0</v>
      </c>
      <c r="H29" s="13">
        <f>-120*1000000*-0.03</f>
        <v>3600000</v>
      </c>
      <c r="I29" s="13">
        <f>-40000*0</f>
        <v>0</v>
      </c>
      <c r="J29" s="13">
        <f>-40000*(15-0)</f>
        <v>-600000</v>
      </c>
      <c r="K29" s="13">
        <f>-40000*(25-15)</f>
        <v>-400000</v>
      </c>
      <c r="L29" s="14">
        <f t="shared" si="0"/>
        <v>5200000</v>
      </c>
      <c r="M29" s="47">
        <f>L29/1000000/INDEX(分析データ!$AE:$AE,MATCH(MAX(履歴データ!$A:$A),履歴データ!$A:$A,0))</f>
        <v>7.3400147560042733E-2</v>
      </c>
      <c r="O29" s="29">
        <f ca="1">IF(COUNT(OFFSET(分析データ!$AC$2,25,0,60,1))&lt;60,"",SUM(OFFSET(分析データ!$AC$2,25,0,60,1))/1000000)</f>
        <v>-1.5314089732862803</v>
      </c>
    </row>
    <row r="30" spans="1:15" ht="15">
      <c r="B30" s="2" t="s">
        <v>412</v>
      </c>
      <c r="C30" s="5" t="s">
        <v>413</v>
      </c>
      <c r="D30" s="13">
        <f>-80000*(50-(0+60)/2)</f>
        <v>-1600000</v>
      </c>
      <c r="E30" s="13">
        <f>60000*(0-(0+40)/2)</f>
        <v>-1200000</v>
      </c>
      <c r="F30" s="13">
        <f>-50000*(50-0)</f>
        <v>-2500000</v>
      </c>
      <c r="G30" s="13">
        <f>-40000*(50-25)</f>
        <v>-1000000</v>
      </c>
      <c r="H30" s="13">
        <f>-120*1000000*0</f>
        <v>0</v>
      </c>
      <c r="I30" s="13">
        <f>-40000*0</f>
        <v>0</v>
      </c>
      <c r="J30" s="13">
        <f>-40000*(0-50)</f>
        <v>2000000</v>
      </c>
      <c r="K30" s="13">
        <f>-40000*(0-0)</f>
        <v>0</v>
      </c>
      <c r="L30" s="14">
        <f t="shared" si="0"/>
        <v>-4300000</v>
      </c>
      <c r="M30" s="47">
        <f>L30/1000000/INDEX(分析データ!$AE:$AE,MATCH(MAX(履歴データ!$A:$A),履歴データ!$A:$A,0))</f>
        <v>-6.0696275866958409E-2</v>
      </c>
      <c r="O30" s="29">
        <f ca="1">IF(COUNT(OFFSET(分析データ!$AC$2,26,0,60,1))&lt;60,"",SUM(OFFSET(分析データ!$AC$2,26,0,60,1))/1000000)</f>
        <v>-3.9506758683393879</v>
      </c>
    </row>
    <row r="31" spans="1:15" ht="15">
      <c r="B31" s="2" t="s">
        <v>414</v>
      </c>
      <c r="C31" s="5" t="s">
        <v>415</v>
      </c>
      <c r="D31" s="13">
        <f>-80000*(30-(50+20)/2)</f>
        <v>400000</v>
      </c>
      <c r="E31" s="13">
        <f>60000*(0-(0+30)/2)</f>
        <v>-900000</v>
      </c>
      <c r="F31" s="13">
        <f>-50000*(30-0)</f>
        <v>-1500000</v>
      </c>
      <c r="G31" s="13">
        <f>-40000*(30-40)</f>
        <v>400000</v>
      </c>
      <c r="H31" s="13">
        <f>-120*1000000*0</f>
        <v>0</v>
      </c>
      <c r="I31" s="13">
        <f>-40000*0</f>
        <v>0</v>
      </c>
      <c r="J31" s="13">
        <f>-40000*(0-30)</f>
        <v>1200000</v>
      </c>
      <c r="K31" s="13">
        <f>-40000*(0-0)</f>
        <v>0</v>
      </c>
      <c r="L31" s="14">
        <f t="shared" si="0"/>
        <v>-400000</v>
      </c>
      <c r="M31" s="47">
        <f>L31/1000000/INDEX(分析データ!$AE:$AE,MATCH(MAX(履歴データ!$A:$A),履歴データ!$A:$A,0))</f>
        <v>-5.646165196926364E-3</v>
      </c>
      <c r="O31" s="29">
        <f ca="1">IF(COUNT(OFFSET(分析データ!$AC$2,27,0,60,1))&lt;60,"",SUM(OFFSET(分析データ!$AC$2,27,0,60,1))/1000000)</f>
        <v>-3.1093042288709207</v>
      </c>
    </row>
    <row r="32" spans="1:15" ht="15">
      <c r="B32" s="2" t="s">
        <v>416</v>
      </c>
      <c r="C32" s="5" t="s">
        <v>417</v>
      </c>
      <c r="D32" s="13">
        <f>-80000*(0-(0+0)/2)</f>
        <v>0</v>
      </c>
      <c r="E32" s="13">
        <f>60000*(0-(0+0)/2)</f>
        <v>0</v>
      </c>
      <c r="F32" s="13">
        <f>-50000*(0-0)</f>
        <v>0</v>
      </c>
      <c r="G32" s="13">
        <f>-40000*(0-0)</f>
        <v>0</v>
      </c>
      <c r="H32" s="13">
        <f>-120*1000000*-0.08</f>
        <v>9600000</v>
      </c>
      <c r="I32" s="13">
        <f>-40000*0</f>
        <v>0</v>
      </c>
      <c r="J32" s="13">
        <f>-40000*(0-0)</f>
        <v>0</v>
      </c>
      <c r="K32" s="13">
        <f>-40000*(0-0)</f>
        <v>0</v>
      </c>
      <c r="L32" s="14">
        <f t="shared" si="0"/>
        <v>9600000</v>
      </c>
      <c r="M32" s="47">
        <f>L32/1000000/INDEX(分析データ!$AE:$AE,MATCH(MAX(履歴データ!$A:$A),履歴データ!$A:$A,0))</f>
        <v>0.13550796472623272</v>
      </c>
      <c r="O32" s="29">
        <f ca="1">IF(COUNT(OFFSET(分析データ!$AC$2,28,0,60,1))&lt;60,"",SUM(OFFSET(分析データ!$AC$2,28,0,60,1))/1000000)</f>
        <v>-3.5424066084059653</v>
      </c>
    </row>
    <row r="33" spans="2:15" ht="15">
      <c r="B33" s="2" t="s">
        <v>418</v>
      </c>
      <c r="C33" s="5" t="s">
        <v>419</v>
      </c>
      <c r="D33" s="13">
        <f>-80000*(0-(0+0)/2)</f>
        <v>0</v>
      </c>
      <c r="E33" s="13">
        <f>60000*(0-(0+0)/2)</f>
        <v>0</v>
      </c>
      <c r="F33" s="13">
        <f>-50000*(0-0)</f>
        <v>0</v>
      </c>
      <c r="G33" s="13">
        <f>-40000*(0-0)</f>
        <v>0</v>
      </c>
      <c r="H33" s="13">
        <f>-120*1000000*0</f>
        <v>0</v>
      </c>
      <c r="I33" s="13">
        <f>-40000*50</f>
        <v>-2000000</v>
      </c>
      <c r="J33" s="13">
        <f>-40000*(0-0)</f>
        <v>0</v>
      </c>
      <c r="K33" s="13">
        <f>-40000*(0-0)</f>
        <v>0</v>
      </c>
      <c r="L33" s="14">
        <f t="shared" si="0"/>
        <v>-2000000</v>
      </c>
      <c r="M33" s="47">
        <f>L33/1000000/INDEX(分析データ!$AE:$AE,MATCH(MAX(履歴データ!$A:$A),履歴データ!$A:$A,0))</f>
        <v>-2.8230825984631818E-2</v>
      </c>
      <c r="O33" s="29">
        <f ca="1">IF(COUNT(OFFSET(分析データ!$AC$2,29,0,60,1))&lt;60,"",SUM(OFFSET(分析データ!$AC$2,29,0,60,1))/1000000)</f>
        <v>-4.298999878237189</v>
      </c>
    </row>
    <row r="34" spans="2:15">
      <c r="O34" s="29">
        <f ca="1">IF(COUNT(OFFSET(分析データ!$AC$2,30,0,60,1))&lt;60,"",SUM(OFFSET(分析データ!$AC$2,30,0,60,1))/1000000)</f>
        <v>-2.2554787545135184</v>
      </c>
    </row>
    <row r="35" spans="2:15" ht="18" customHeight="1">
      <c r="B35" s="57" t="s">
        <v>420</v>
      </c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O35" s="29">
        <f ca="1">IF(COUNT(OFFSET(分析データ!$AC$2,31,0,60,1))&lt;60,"",SUM(OFFSET(分析データ!$AC$2,31,0,60,1))/1000000)</f>
        <v>-1.2695541702473636</v>
      </c>
    </row>
    <row r="36" spans="2:15" ht="15">
      <c r="B36" s="1" t="s">
        <v>421</v>
      </c>
      <c r="C36" s="1" t="s">
        <v>26</v>
      </c>
      <c r="D36" s="1" t="s">
        <v>94</v>
      </c>
      <c r="O36" s="29">
        <f ca="1">IF(COUNT(OFFSET(分析データ!$AC$2,32,0,60,1))&lt;60,"",SUM(OFFSET(分析データ!$AC$2,32,0,60,1))/1000000)</f>
        <v>-0.67058182437451397</v>
      </c>
    </row>
    <row r="37" spans="2:15" ht="15">
      <c r="B37" s="2" t="s">
        <v>422</v>
      </c>
      <c r="C37" s="14">
        <v>-90000</v>
      </c>
      <c r="D37" s="16" t="s">
        <v>423</v>
      </c>
      <c r="O37" s="29">
        <f ca="1">IF(COUNT(OFFSET(分析データ!$AC$2,33,0,60,1))&lt;60,"",SUM(OFFSET(分析データ!$AC$2,33,0,60,1))/1000000)</f>
        <v>-2.2835897755911878</v>
      </c>
    </row>
    <row r="38" spans="2:15" ht="15">
      <c r="B38" s="2" t="s">
        <v>424</v>
      </c>
      <c r="C38" s="14">
        <v>90000</v>
      </c>
      <c r="D38" s="16" t="s">
        <v>425</v>
      </c>
      <c r="O38" s="29">
        <f ca="1">IF(COUNT(OFFSET(分析データ!$AC$2,34,0,60,1))&lt;60,"",SUM(OFFSET(分析データ!$AC$2,34,0,60,1))/1000000)</f>
        <v>-1.6157102062820026</v>
      </c>
    </row>
    <row r="39" spans="2:15" ht="15">
      <c r="B39" s="2" t="s">
        <v>426</v>
      </c>
      <c r="C39" s="14">
        <v>0</v>
      </c>
      <c r="D39" s="16" t="s">
        <v>427</v>
      </c>
      <c r="O39" s="29">
        <f ca="1">IF(COUNT(OFFSET(分析データ!$AC$2,35,0,60,1))&lt;60,"",SUM(OFFSET(分析データ!$AC$2,35,0,60,1))/1000000)</f>
        <v>-2.0188877233909985</v>
      </c>
    </row>
    <row r="40" spans="2:15" ht="15">
      <c r="B40" s="2" t="s">
        <v>428</v>
      </c>
      <c r="C40" s="14">
        <v>-120</v>
      </c>
      <c r="D40" s="16" t="s">
        <v>429</v>
      </c>
      <c r="O40" s="29">
        <f ca="1">IF(COUNT(OFFSET(分析データ!$AC$2,36,0,60,1))&lt;60,"",SUM(OFFSET(分析データ!$AC$2,36,0,60,1))/1000000)</f>
        <v>-3.2065150368430135</v>
      </c>
    </row>
    <row r="41" spans="2:15" ht="15">
      <c r="B41" s="2" t="s">
        <v>430</v>
      </c>
      <c r="C41" s="14">
        <v>123.3101087882319</v>
      </c>
      <c r="D41" s="16" t="s">
        <v>431</v>
      </c>
      <c r="O41" s="29">
        <f ca="1">IF(COUNT(OFFSET(分析データ!$AC$2,37,0,60,1))&lt;60,"",SUM(OFFSET(分析データ!$AC$2,37,0,60,1))/1000000)</f>
        <v>-3.6623035608284575</v>
      </c>
    </row>
    <row r="42" spans="2:15" ht="15">
      <c r="B42" s="2" t="s">
        <v>432</v>
      </c>
      <c r="C42" s="48">
        <v>1698.729113924051</v>
      </c>
      <c r="D42" s="16" t="s">
        <v>433</v>
      </c>
      <c r="O42" s="29">
        <f ca="1">IF(COUNT(OFFSET(分析データ!$AC$2,38,0,60,1))&lt;60,"",SUM(OFFSET(分析データ!$AC$2,38,0,60,1))/1000000)</f>
        <v>-2.7310308478094831</v>
      </c>
    </row>
    <row r="43" spans="2:15" ht="15">
      <c r="B43" s="2" t="s">
        <v>434</v>
      </c>
      <c r="C43" s="49" t="s">
        <v>435</v>
      </c>
      <c r="D43" s="16" t="s">
        <v>436</v>
      </c>
      <c r="O43" s="29">
        <f ca="1">IF(COUNT(OFFSET(分析データ!$AC$2,39,0,60,1))&lt;60,"",SUM(OFFSET(分析データ!$AC$2,39,0,60,1))/1000000)</f>
        <v>-2.9503126826424317</v>
      </c>
    </row>
    <row r="44" spans="2:15">
      <c r="O44" s="29">
        <f ca="1">IF(COUNT(OFFSET(分析データ!$AC$2,40,0,60,1))&lt;60,"",SUM(OFFSET(分析データ!$AC$2,40,0,60,1))/1000000)</f>
        <v>-3.5251735110818361</v>
      </c>
    </row>
    <row r="45" spans="2:15" ht="18" customHeight="1">
      <c r="B45" s="57" t="s">
        <v>437</v>
      </c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O45" s="29">
        <f ca="1">IF(COUNT(OFFSET(分析データ!$AC$2,41,0,60,1))&lt;60,"",SUM(OFFSET(分析データ!$AC$2,41,0,60,1))/1000000)</f>
        <v>-3.4522014400404584</v>
      </c>
    </row>
    <row r="46" spans="2:15" ht="15">
      <c r="B46" s="1" t="s">
        <v>421</v>
      </c>
      <c r="C46" s="1" t="s">
        <v>26</v>
      </c>
      <c r="D46" s="1" t="s">
        <v>438</v>
      </c>
      <c r="E46" s="1" t="s">
        <v>439</v>
      </c>
      <c r="F46" s="1" t="s">
        <v>104</v>
      </c>
      <c r="O46" s="29">
        <f ca="1">IF(COUNT(OFFSET(分析データ!$AC$2,42,0,60,1))&lt;60,"",SUM(OFFSET(分析データ!$AC$2,42,0,60,1))/1000000)</f>
        <v>-3.2439730689410062</v>
      </c>
    </row>
    <row r="47" spans="2:15">
      <c r="B47" s="2" t="s">
        <v>440</v>
      </c>
      <c r="C47" s="4">
        <f>-PERCENTILE(分析データ!$AD$2:$AD$1307,0.01)</f>
        <v>1.9573688387191515</v>
      </c>
      <c r="D47" s="42">
        <v>3</v>
      </c>
      <c r="E47" s="50">
        <f>C47/D47</f>
        <v>0.65245627957305052</v>
      </c>
      <c r="F47" s="2" t="str">
        <f t="shared" ref="F47:F53" si="1">IF(E47&gt;=1,"限度超過",IF(E47&gt;=0.8,"警告","OK"))</f>
        <v>OK</v>
      </c>
      <c r="O47" s="29">
        <f ca="1">IF(COUNT(OFFSET(分析データ!$AC$2,43,0,60,1))&lt;60,"",SUM(OFFSET(分析データ!$AC$2,43,0,60,1))/1000000)</f>
        <v>-2.811821553597591</v>
      </c>
    </row>
    <row r="48" spans="2:15">
      <c r="B48" s="2" t="s">
        <v>441</v>
      </c>
      <c r="C48" s="13">
        <v>80000</v>
      </c>
      <c r="D48" s="51">
        <v>100000</v>
      </c>
      <c r="E48" s="50">
        <f>C48/D48</f>
        <v>0.8</v>
      </c>
      <c r="F48" s="2" t="str">
        <f t="shared" si="1"/>
        <v>警告</v>
      </c>
      <c r="O48" s="29">
        <f ca="1">IF(COUNT(OFFSET(分析データ!$AC$2,44,0,60,1))&lt;60,"",SUM(OFFSET(分析データ!$AC$2,44,0,60,1))/1000000)</f>
        <v>-2.7371794767699718</v>
      </c>
    </row>
    <row r="49" spans="2:15">
      <c r="B49" s="2" t="s">
        <v>422</v>
      </c>
      <c r="C49" s="13">
        <v>-90000</v>
      </c>
      <c r="D49" s="51">
        <v>150000</v>
      </c>
      <c r="E49" s="50">
        <f>ABS(C49)/D49</f>
        <v>0.6</v>
      </c>
      <c r="F49" s="2" t="str">
        <f t="shared" si="1"/>
        <v>OK</v>
      </c>
      <c r="O49" s="29">
        <f ca="1">IF(COUNT(OFFSET(分析データ!$AC$2,45,0,60,1))&lt;60,"",SUM(OFFSET(分析データ!$AC$2,45,0,60,1))/1000000)</f>
        <v>-1.5960381650135227</v>
      </c>
    </row>
    <row r="50" spans="2:15">
      <c r="B50" s="2" t="s">
        <v>424</v>
      </c>
      <c r="C50" s="13">
        <v>90000</v>
      </c>
      <c r="D50" s="51">
        <v>150000</v>
      </c>
      <c r="E50" s="50">
        <f>ABS(C50)/D50</f>
        <v>0.6</v>
      </c>
      <c r="F50" s="2" t="str">
        <f t="shared" si="1"/>
        <v>OK</v>
      </c>
      <c r="O50" s="29">
        <f ca="1">IF(COUNT(OFFSET(分析データ!$AC$2,46,0,60,1))&lt;60,"",SUM(OFFSET(分析データ!$AC$2,46,0,60,1))/1000000)</f>
        <v>-0.59103789704718235</v>
      </c>
    </row>
    <row r="51" spans="2:15">
      <c r="B51" s="2" t="s">
        <v>426</v>
      </c>
      <c r="C51" s="13">
        <v>0</v>
      </c>
      <c r="D51" s="51">
        <v>75000</v>
      </c>
      <c r="E51" s="50">
        <f>ABS(C51)/D51</f>
        <v>0</v>
      </c>
      <c r="F51" s="2" t="str">
        <f t="shared" si="1"/>
        <v>OK</v>
      </c>
      <c r="O51" s="29">
        <f ca="1">IF(COUNT(OFFSET(分析データ!$AC$2,47,0,60,1))&lt;60,"",SUM(OFFSET(分析データ!$AC$2,47,0,60,1))/1000000)</f>
        <v>-1.4364606296475635</v>
      </c>
    </row>
    <row r="52" spans="2:15">
      <c r="B52" s="2" t="s">
        <v>428</v>
      </c>
      <c r="C52" s="13">
        <v>-120</v>
      </c>
      <c r="D52" s="51">
        <v>200</v>
      </c>
      <c r="E52" s="50">
        <f>ABS(C52)/D52</f>
        <v>0.6</v>
      </c>
      <c r="F52" s="2" t="str">
        <f t="shared" si="1"/>
        <v>OK</v>
      </c>
      <c r="O52" s="29">
        <f ca="1">IF(COUNT(OFFSET(分析データ!$AC$2,48,0,60,1))&lt;60,"",SUM(OFFSET(分析データ!$AC$2,48,0,60,1))/1000000)</f>
        <v>-0.80725725610176335</v>
      </c>
    </row>
    <row r="53" spans="2:15">
      <c r="B53" s="2" t="s">
        <v>442</v>
      </c>
      <c r="C53" s="4">
        <f>1699/INDEX(分析データ!$AE:$AE,MATCH(MAX(履歴データ!$A:$A),履歴データ!$A:$A,0))</f>
        <v>23.982086673944732</v>
      </c>
      <c r="D53" s="42">
        <v>8</v>
      </c>
      <c r="E53" s="50">
        <f>C53/D53</f>
        <v>2.9977608342430915</v>
      </c>
      <c r="F53" s="2" t="str">
        <f t="shared" si="1"/>
        <v>限度超過</v>
      </c>
      <c r="O53" s="29">
        <f ca="1">IF(COUNT(OFFSET(分析データ!$AC$2,49,0,60,1))&lt;60,"",SUM(OFFSET(分析データ!$AC$2,49,0,60,1))/1000000)</f>
        <v>-4.1686026677222259</v>
      </c>
    </row>
    <row r="54" spans="2:15">
      <c r="B54" s="2" t="s">
        <v>443</v>
      </c>
      <c r="C54" s="15">
        <f>MIN(分析データ!$AH$2:$AH$1307)</f>
        <v>-0.33427514737989039</v>
      </c>
      <c r="D54" s="52">
        <v>-0.2</v>
      </c>
      <c r="E54" s="2"/>
      <c r="F54" s="2" t="str">
        <f>IF(C54&lt;=D54,"STOP: デレバレッジ",IF(C54&lt;=D54/2,"警告","OK"))</f>
        <v>STOP: デレバレッジ</v>
      </c>
      <c r="O54" s="29">
        <f ca="1">IF(COUNT(OFFSET(分析データ!$AC$2,50,0,60,1))&lt;60,"",SUM(OFFSET(分析データ!$AC$2,50,0,60,1))/1000000)</f>
        <v>-1.2717644407415178</v>
      </c>
    </row>
    <row r="55" spans="2:15">
      <c r="O55" s="29">
        <f ca="1">IF(COUNT(OFFSET(分析データ!$AC$2,51,0,60,1))&lt;60,"",SUM(OFFSET(分析データ!$AC$2,51,0,60,1))/1000000)</f>
        <v>-3.050885736942992</v>
      </c>
    </row>
    <row r="56" spans="2:15" ht="18" customHeight="1">
      <c r="B56" s="57" t="s">
        <v>444</v>
      </c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O56" s="29">
        <f ca="1">IF(COUNT(OFFSET(分析データ!$AC$2,52,0,60,1))&lt;60,"",SUM(OFFSET(分析データ!$AC$2,52,0,60,1))/1000000)</f>
        <v>-2.4336627877557051</v>
      </c>
    </row>
    <row r="57" spans="2:15">
      <c r="B57" s="2" t="s">
        <v>445</v>
      </c>
      <c r="C57" s="4">
        <f>INDEX(履歴データ!$K:$K,MATCH(MAX(履歴データ!$A:$A),履歴データ!$A:$A,0))</f>
        <v>3.65</v>
      </c>
      <c r="O57" s="29">
        <f ca="1">IF(COUNT(OFFSET(分析データ!$AC$2,53,0,60,1))&lt;60,"",SUM(OFFSET(分析データ!$AC$2,53,0,60,1))/1000000)</f>
        <v>-4.2671950660292204</v>
      </c>
    </row>
    <row r="58" spans="2:15">
      <c r="B58" s="2" t="s">
        <v>446</v>
      </c>
      <c r="C58" s="4">
        <f ca="1">AVERAGE(OFFSET(履歴データ!$K$1,MATCH(MAX(履歴データ!$A:$A),履歴データ!$A:$A,0)-20,0,20,1))</f>
        <v>3.6404999999999994</v>
      </c>
      <c r="O58" s="29">
        <f ca="1">IF(COUNT(OFFSET(分析データ!$AC$2,54,0,60,1))&lt;60,"",SUM(OFFSET(分析データ!$AC$2,54,0,60,1))/1000000)</f>
        <v>-4.8907163448792135</v>
      </c>
    </row>
    <row r="59" spans="2:15">
      <c r="B59" s="2" t="s">
        <v>447</v>
      </c>
      <c r="C59" s="3">
        <f ca="1">(C57-C58)*100</f>
        <v>0.9500000000000508</v>
      </c>
      <c r="O59" s="29">
        <f ca="1">IF(COUNT(OFFSET(分析データ!$AC$2,55,0,60,1))&lt;60,"",SUM(OFFSET(分析データ!$AC$2,55,0,60,1))/1000000)</f>
        <v>-4.3738569241987779</v>
      </c>
    </row>
    <row r="60" spans="2:15">
      <c r="B60" s="2" t="s">
        <v>448</v>
      </c>
      <c r="C60" s="4">
        <f>INDEX(履歴データ!$M:$M,MATCH(MAX(履歴データ!$A:$A),履歴データ!$A:$A,0))</f>
        <v>3.63</v>
      </c>
      <c r="O60" s="29">
        <f ca="1">IF(COUNT(OFFSET(分析データ!$AC$2,56,0,60,1))&lt;60,"",SUM(OFFSET(分析データ!$AC$2,56,0,60,1))/1000000)</f>
        <v>-4.3923442712208942</v>
      </c>
    </row>
    <row r="61" spans="2:15">
      <c r="B61" s="2" t="s">
        <v>449</v>
      </c>
      <c r="C61" s="2" t="str">
        <f ca="1">IF(C59&gt;25,"警告: ファンディングストレス","正常")</f>
        <v>正常</v>
      </c>
      <c r="O61" s="29">
        <f ca="1">IF(COUNT(OFFSET(分析データ!$AC$2,57,0,60,1))&lt;60,"",SUM(OFFSET(分析データ!$AC$2,57,0,60,1))/1000000)</f>
        <v>-5.2583932721247173</v>
      </c>
    </row>
    <row r="62" spans="2:15">
      <c r="O62" s="29">
        <f ca="1">IF(COUNT(OFFSET(分析データ!$AC$2,58,0,60,1))&lt;60,"",SUM(OFFSET(分析データ!$AC$2,58,0,60,1))/1000000)</f>
        <v>-5.0914858192460981</v>
      </c>
    </row>
    <row r="63" spans="2:15" ht="18" customHeight="1">
      <c r="B63" s="57" t="s">
        <v>450</v>
      </c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O63" s="29">
        <f ca="1">IF(COUNT(OFFSET(分析データ!$AC$2,59,0,60,1))&lt;60,"",SUM(OFFSET(分析データ!$AC$2,59,0,60,1))/1000000)</f>
        <v>-7.6507733001616636</v>
      </c>
    </row>
    <row r="64" spans="2:15">
      <c r="B64" s="184" t="s">
        <v>451</v>
      </c>
      <c r="C64" s="170"/>
      <c r="D64" s="170"/>
      <c r="E64" s="170"/>
      <c r="F64" s="170"/>
      <c r="G64" s="170"/>
      <c r="H64" s="170"/>
      <c r="O64" s="29">
        <f ca="1">IF(COUNT(OFFSET(分析データ!$AC$2,60,0,60,1))&lt;60,"",SUM(OFFSET(分析データ!$AC$2,60,0,60,1))/1000000)</f>
        <v>-6.5284769104325324</v>
      </c>
    </row>
    <row r="65" spans="2:15">
      <c r="B65" s="184" t="s">
        <v>452</v>
      </c>
      <c r="C65" s="170"/>
      <c r="D65" s="170"/>
      <c r="E65" s="170"/>
      <c r="F65" s="170"/>
      <c r="G65" s="170"/>
      <c r="H65" s="170"/>
      <c r="O65" s="29">
        <f ca="1">IF(COUNT(OFFSET(分析データ!$AC$2,61,0,60,1))&lt;60,"",SUM(OFFSET(分析データ!$AC$2,61,0,60,1))/1000000)</f>
        <v>-6.6705103751114905</v>
      </c>
    </row>
    <row r="66" spans="2:15">
      <c r="B66" s="184" t="s">
        <v>453</v>
      </c>
      <c r="C66" s="170"/>
      <c r="D66" s="170"/>
      <c r="E66" s="170"/>
      <c r="F66" s="170"/>
      <c r="G66" s="170"/>
      <c r="H66" s="170"/>
      <c r="O66" s="29">
        <f ca="1">IF(COUNT(OFFSET(分析データ!$AC$2,62,0,60,1))&lt;60,"",SUM(OFFSET(分析データ!$AC$2,62,0,60,1))/1000000)</f>
        <v>-7.4097590014803227</v>
      </c>
    </row>
    <row r="67" spans="2:15">
      <c r="B67" s="184" t="s">
        <v>454</v>
      </c>
      <c r="C67" s="170"/>
      <c r="D67" s="170"/>
      <c r="E67" s="170"/>
      <c r="F67" s="170"/>
      <c r="G67" s="170"/>
      <c r="H67" s="170"/>
      <c r="O67" s="29">
        <f ca="1">IF(COUNT(OFFSET(分析データ!$AC$2,63,0,60,1))&lt;60,"",SUM(OFFSET(分析データ!$AC$2,63,0,60,1))/1000000)</f>
        <v>-7.8804129722657814</v>
      </c>
    </row>
    <row r="68" spans="2:15">
      <c r="B68" s="184" t="s">
        <v>541</v>
      </c>
      <c r="C68" s="170"/>
      <c r="D68" s="170"/>
      <c r="E68" s="170"/>
      <c r="F68" s="170"/>
      <c r="G68" s="170"/>
      <c r="H68" s="170"/>
      <c r="O68" s="29">
        <f ca="1">IF(COUNT(OFFSET(分析データ!$AC$2,64,0,60,1))&lt;60,"",SUM(OFFSET(分析データ!$AC$2,64,0,60,1))/1000000)</f>
        <v>-9.2246063751609348</v>
      </c>
    </row>
    <row r="69" spans="2:15">
      <c r="B69" s="184" t="s">
        <v>455</v>
      </c>
      <c r="C69" s="170"/>
      <c r="D69" s="170"/>
      <c r="E69" s="170"/>
      <c r="F69" s="170"/>
      <c r="G69" s="170"/>
      <c r="H69" s="170"/>
      <c r="O69" s="29">
        <f ca="1">IF(COUNT(OFFSET(分析データ!$AC$2,65,0,60,1))&lt;60,"",SUM(OFFSET(分析データ!$AC$2,65,0,60,1))/1000000)</f>
        <v>-9.4253672065247489</v>
      </c>
    </row>
    <row r="70" spans="2:15">
      <c r="O70" s="29">
        <f ca="1">IF(COUNT(OFFSET(分析データ!$AC$2,66,0,60,1))&lt;60,"",SUM(OFFSET(分析データ!$AC$2,66,0,60,1))/1000000)</f>
        <v>-8.860998655864968</v>
      </c>
    </row>
    <row r="71" spans="2:15">
      <c r="O71" s="29">
        <f ca="1">IF(COUNT(OFFSET(分析データ!$AC$2,67,0,60,1))&lt;60,"",SUM(OFFSET(分析データ!$AC$2,67,0,60,1))/1000000)</f>
        <v>-9.6172060563328596</v>
      </c>
    </row>
    <row r="72" spans="2:15">
      <c r="O72" s="29">
        <f ca="1">IF(COUNT(OFFSET(分析データ!$AC$2,68,0,60,1))&lt;60,"",SUM(OFFSET(分析データ!$AC$2,68,0,60,1))/1000000)</f>
        <v>-8.1554055162731469</v>
      </c>
    </row>
    <row r="73" spans="2:15">
      <c r="O73" s="29">
        <f ca="1">IF(COUNT(OFFSET(分析データ!$AC$2,69,0,60,1))&lt;60,"",SUM(OFFSET(分析データ!$AC$2,69,0,60,1))/1000000)</f>
        <v>-8.4327420512357936</v>
      </c>
    </row>
    <row r="74" spans="2:15">
      <c r="O74" s="29">
        <f ca="1">IF(COUNT(OFFSET(分析データ!$AC$2,70,0,60,1))&lt;60,"",SUM(OFFSET(分析データ!$AC$2,70,0,60,1))/1000000)</f>
        <v>-6.6362515653070195</v>
      </c>
    </row>
    <row r="75" spans="2:15">
      <c r="O75" s="29">
        <f ca="1">IF(COUNT(OFFSET(分析データ!$AC$2,71,0,60,1))&lt;60,"",SUM(OFFSET(分析データ!$AC$2,71,0,60,1))/1000000)</f>
        <v>-5.9411089093522262</v>
      </c>
    </row>
    <row r="76" spans="2:15">
      <c r="O76" s="29">
        <f ca="1">IF(COUNT(OFFSET(分析データ!$AC$2,72,0,60,1))&lt;60,"",SUM(OFFSET(分析データ!$AC$2,72,0,60,1))/1000000)</f>
        <v>-4.2860813008296939</v>
      </c>
    </row>
    <row r="77" spans="2:15">
      <c r="O77" s="29">
        <f ca="1">IF(COUNT(OFFSET(分析データ!$AC$2,73,0,60,1))&lt;60,"",SUM(OFFSET(分析データ!$AC$2,73,0,60,1))/1000000)</f>
        <v>-2.426887800749455</v>
      </c>
    </row>
    <row r="78" spans="2:15">
      <c r="O78" s="29">
        <f ca="1">IF(COUNT(OFFSET(分析データ!$AC$2,74,0,60,1))&lt;60,"",SUM(OFFSET(分析データ!$AC$2,74,0,60,1))/1000000)</f>
        <v>-2.7125393071322552</v>
      </c>
    </row>
    <row r="79" spans="2:15">
      <c r="O79" s="29">
        <f ca="1">IF(COUNT(OFFSET(分析データ!$AC$2,75,0,60,1))&lt;60,"",SUM(OFFSET(分析データ!$AC$2,75,0,60,1))/1000000)</f>
        <v>-2.6245418013652051</v>
      </c>
    </row>
    <row r="80" spans="2:15">
      <c r="O80" s="29">
        <f ca="1">IF(COUNT(OFFSET(分析データ!$AC$2,76,0,60,1))&lt;60,"",SUM(OFFSET(分析データ!$AC$2,76,0,60,1))/1000000)</f>
        <v>-3.4655800247319775</v>
      </c>
    </row>
    <row r="81" spans="15:15">
      <c r="O81" s="29">
        <f ca="1">IF(COUNT(OFFSET(分析データ!$AC$2,77,0,60,1))&lt;60,"",SUM(OFFSET(分析データ!$AC$2,77,0,60,1))/1000000)</f>
        <v>-3.4527597828440721</v>
      </c>
    </row>
    <row r="82" spans="15:15">
      <c r="O82" s="29">
        <f ca="1">IF(COUNT(OFFSET(分析データ!$AC$2,78,0,60,1))&lt;60,"",SUM(OFFSET(分析データ!$AC$2,78,0,60,1))/1000000)</f>
        <v>-4.0050139624291772</v>
      </c>
    </row>
    <row r="83" spans="15:15">
      <c r="O83" s="29">
        <f ca="1">IF(COUNT(OFFSET(分析データ!$AC$2,79,0,60,1))&lt;60,"",SUM(OFFSET(分析データ!$AC$2,79,0,60,1))/1000000)</f>
        <v>-3.5313258540355057</v>
      </c>
    </row>
    <row r="84" spans="15:15">
      <c r="O84" s="29">
        <f ca="1">IF(COUNT(OFFSET(分析データ!$AC$2,80,0,60,1))&lt;60,"",SUM(OFFSET(分析データ!$AC$2,80,0,60,1))/1000000)</f>
        <v>-5.3172045800925885</v>
      </c>
    </row>
    <row r="85" spans="15:15">
      <c r="O85" s="29">
        <f ca="1">IF(COUNT(OFFSET(分析データ!$AC$2,81,0,60,1))&lt;60,"",SUM(OFFSET(分析データ!$AC$2,81,0,60,1))/1000000)</f>
        <v>-4.9228224259279667</v>
      </c>
    </row>
    <row r="86" spans="15:15">
      <c r="O86" s="29">
        <f ca="1">IF(COUNT(OFFSET(分析データ!$AC$2,82,0,60,1))&lt;60,"",SUM(OFFSET(分析データ!$AC$2,82,0,60,1))/1000000)</f>
        <v>-4.6670340791075393</v>
      </c>
    </row>
    <row r="87" spans="15:15">
      <c r="O87" s="29">
        <f ca="1">IF(COUNT(OFFSET(分析データ!$AC$2,83,0,60,1))&lt;60,"",SUM(OFFSET(分析データ!$AC$2,83,0,60,1))/1000000)</f>
        <v>-4.1098305448223953E-2</v>
      </c>
    </row>
    <row r="88" spans="15:15">
      <c r="O88" s="29">
        <f ca="1">IF(COUNT(OFFSET(分析データ!$AC$2,84,0,60,1))&lt;60,"",SUM(OFFSET(分析データ!$AC$2,84,0,60,1))/1000000)</f>
        <v>-0.5188059827270044</v>
      </c>
    </row>
    <row r="89" spans="15:15">
      <c r="O89" s="29">
        <f ca="1">IF(COUNT(OFFSET(分析データ!$AC$2,85,0,60,1))&lt;60,"",SUM(OFFSET(分析データ!$AC$2,85,0,60,1))/1000000)</f>
        <v>-5.5583291605028284</v>
      </c>
    </row>
    <row r="90" spans="15:15">
      <c r="O90" s="29">
        <f ca="1">IF(COUNT(OFFSET(分析データ!$AC$2,86,0,60,1))&lt;60,"",SUM(OFFSET(分析データ!$AC$2,86,0,60,1))/1000000)</f>
        <v>-6.2256020925452447</v>
      </c>
    </row>
    <row r="91" spans="15:15">
      <c r="O91" s="29">
        <f ca="1">IF(COUNT(OFFSET(分析データ!$AC$2,87,0,60,1))&lt;60,"",SUM(OFFSET(分析データ!$AC$2,87,0,60,1))/1000000)</f>
        <v>-7.2093040943065585</v>
      </c>
    </row>
    <row r="92" spans="15:15">
      <c r="O92" s="29">
        <f ca="1">IF(COUNT(OFFSET(分析データ!$AC$2,88,0,60,1))&lt;60,"",SUM(OFFSET(分析データ!$AC$2,88,0,60,1))/1000000)</f>
        <v>-6.520765930070314</v>
      </c>
    </row>
    <row r="93" spans="15:15">
      <c r="O93" s="29">
        <f ca="1">IF(COUNT(OFFSET(分析データ!$AC$2,89,0,60,1))&lt;60,"",SUM(OFFSET(分析データ!$AC$2,89,0,60,1))/1000000)</f>
        <v>-6.0798447928593689</v>
      </c>
    </row>
    <row r="94" spans="15:15">
      <c r="O94" s="29">
        <f ca="1">IF(COUNT(OFFSET(分析データ!$AC$2,90,0,60,1))&lt;60,"",SUM(OFFSET(分析データ!$AC$2,90,0,60,1))/1000000)</f>
        <v>-7.9634264906343954</v>
      </c>
    </row>
    <row r="95" spans="15:15">
      <c r="O95" s="29">
        <f ca="1">IF(COUNT(OFFSET(分析データ!$AC$2,91,0,60,1))&lt;60,"",SUM(OFFSET(分析データ!$AC$2,91,0,60,1))/1000000)</f>
        <v>-8.3756866818892064</v>
      </c>
    </row>
    <row r="96" spans="15:15">
      <c r="O96" s="29">
        <f ca="1">IF(COUNT(OFFSET(分析データ!$AC$2,92,0,60,1))&lt;60,"",SUM(OFFSET(分析データ!$AC$2,92,0,60,1))/1000000)</f>
        <v>-7.5032458951198429</v>
      </c>
    </row>
    <row r="97" spans="15:15">
      <c r="O97" s="29">
        <f ca="1">IF(COUNT(OFFSET(分析データ!$AC$2,93,0,60,1))&lt;60,"",SUM(OFFSET(分析データ!$AC$2,93,0,60,1))/1000000)</f>
        <v>-7.4798291446681979</v>
      </c>
    </row>
    <row r="98" spans="15:15">
      <c r="O98" s="29">
        <f ca="1">IF(COUNT(OFFSET(分析データ!$AC$2,94,0,60,1))&lt;60,"",SUM(OFFSET(分析データ!$AC$2,94,0,60,1))/1000000)</f>
        <v>-7.3124960496075175</v>
      </c>
    </row>
    <row r="99" spans="15:15">
      <c r="O99" s="29">
        <f ca="1">IF(COUNT(OFFSET(分析データ!$AC$2,95,0,60,1))&lt;60,"",SUM(OFFSET(分析データ!$AC$2,95,0,60,1))/1000000)</f>
        <v>-6.737964307335722</v>
      </c>
    </row>
    <row r="100" spans="15:15">
      <c r="O100" s="29">
        <f ca="1">IF(COUNT(OFFSET(分析データ!$AC$2,96,0,60,1))&lt;60,"",SUM(OFFSET(分析データ!$AC$2,96,0,60,1))/1000000)</f>
        <v>-6.1370410790200749</v>
      </c>
    </row>
    <row r="101" spans="15:15">
      <c r="O101" s="29">
        <f ca="1">IF(COUNT(OFFSET(分析データ!$AC$2,97,0,60,1))&lt;60,"",SUM(OFFSET(分析データ!$AC$2,97,0,60,1))/1000000)</f>
        <v>-7.1985718321278416</v>
      </c>
    </row>
    <row r="102" spans="15:15">
      <c r="O102" s="29">
        <f ca="1">IF(COUNT(OFFSET(分析データ!$AC$2,98,0,60,1))&lt;60,"",SUM(OFFSET(分析データ!$AC$2,98,0,60,1))/1000000)</f>
        <v>-6.7876784551159339</v>
      </c>
    </row>
    <row r="103" spans="15:15">
      <c r="O103" s="29">
        <f ca="1">IF(COUNT(OFFSET(分析データ!$AC$2,99,0,60,1))&lt;60,"",SUM(OFFSET(分析データ!$AC$2,99,0,60,1))/1000000)</f>
        <v>-7.0403459560410093</v>
      </c>
    </row>
    <row r="104" spans="15:15">
      <c r="O104" s="29">
        <f ca="1">IF(COUNT(OFFSET(分析データ!$AC$2,100,0,60,1))&lt;60,"",SUM(OFFSET(分析データ!$AC$2,100,0,60,1))/1000000)</f>
        <v>-6.7838225464735329</v>
      </c>
    </row>
    <row r="105" spans="15:15">
      <c r="O105" s="29">
        <f ca="1">IF(COUNT(OFFSET(分析データ!$AC$2,101,0,60,1))&lt;60,"",SUM(OFFSET(分析データ!$AC$2,101,0,60,1))/1000000)</f>
        <v>-5.7551657572754493</v>
      </c>
    </row>
    <row r="106" spans="15:15">
      <c r="O106" s="29">
        <f ca="1">IF(COUNT(OFFSET(分析データ!$AC$2,102,0,60,1))&lt;60,"",SUM(OFFSET(分析データ!$AC$2,102,0,60,1))/1000000)</f>
        <v>-4.8591040310805376</v>
      </c>
    </row>
    <row r="107" spans="15:15">
      <c r="O107" s="29">
        <f ca="1">IF(COUNT(OFFSET(分析データ!$AC$2,103,0,60,1))&lt;60,"",SUM(OFFSET(分析データ!$AC$2,103,0,60,1))/1000000)</f>
        <v>-6.9768741784684183</v>
      </c>
    </row>
    <row r="108" spans="15:15">
      <c r="O108" s="29">
        <f ca="1">IF(COUNT(OFFSET(分析データ!$AC$2,104,0,60,1))&lt;60,"",SUM(OFFSET(分析データ!$AC$2,104,0,60,1))/1000000)</f>
        <v>-7.2893587556534687</v>
      </c>
    </row>
    <row r="109" spans="15:15">
      <c r="O109" s="29">
        <f ca="1">IF(COUNT(OFFSET(分析データ!$AC$2,105,0,60,1))&lt;60,"",SUM(OFFSET(分析データ!$AC$2,105,0,60,1))/1000000)</f>
        <v>-7.4862468231111414</v>
      </c>
    </row>
    <row r="110" spans="15:15">
      <c r="O110" s="29">
        <f ca="1">IF(COUNT(OFFSET(分析データ!$AC$2,106,0,60,1))&lt;60,"",SUM(OFFSET(分析データ!$AC$2,106,0,60,1))/1000000)</f>
        <v>-7.7640759834404154</v>
      </c>
    </row>
    <row r="111" spans="15:15">
      <c r="O111" s="29">
        <f ca="1">IF(COUNT(OFFSET(分析データ!$AC$2,107,0,60,1))&lt;60,"",SUM(OFFSET(分析データ!$AC$2,107,0,60,1))/1000000)</f>
        <v>-6.896914478215332</v>
      </c>
    </row>
    <row r="112" spans="15:15">
      <c r="O112" s="29">
        <f ca="1">IF(COUNT(OFFSET(分析データ!$AC$2,108,0,60,1))&lt;60,"",SUM(OFFSET(分析データ!$AC$2,108,0,60,1))/1000000)</f>
        <v>-6.4732964981851255</v>
      </c>
    </row>
    <row r="113" spans="15:15">
      <c r="O113" s="29">
        <f ca="1">IF(COUNT(OFFSET(分析データ!$AC$2,109,0,60,1))&lt;60,"",SUM(OFFSET(分析データ!$AC$2,109,0,60,1))/1000000)</f>
        <v>-6.3857403334288625</v>
      </c>
    </row>
    <row r="114" spans="15:15">
      <c r="O114" s="29">
        <f ca="1">IF(COUNT(OFFSET(分析データ!$AC$2,110,0,60,1))&lt;60,"",SUM(OFFSET(分析データ!$AC$2,110,0,60,1))/1000000)</f>
        <v>-9.2389243916427493</v>
      </c>
    </row>
    <row r="115" spans="15:15">
      <c r="O115" s="29">
        <f ca="1">IF(COUNT(OFFSET(分析データ!$AC$2,111,0,60,1))&lt;60,"",SUM(OFFSET(分析データ!$AC$2,111,0,60,1))/1000000)</f>
        <v>-9.9356772352345128</v>
      </c>
    </row>
    <row r="116" spans="15:15">
      <c r="O116" s="29">
        <f ca="1">IF(COUNT(OFFSET(分析データ!$AC$2,112,0,60,1))&lt;60,"",SUM(OFFSET(分析データ!$AC$2,112,0,60,1))/1000000)</f>
        <v>-9.113914712163945</v>
      </c>
    </row>
    <row r="117" spans="15:15">
      <c r="O117" s="29">
        <f ca="1">IF(COUNT(OFFSET(分析データ!$AC$2,113,0,60,1))&lt;60,"",SUM(OFFSET(分析データ!$AC$2,113,0,60,1))/1000000)</f>
        <v>-8.0525271601581938</v>
      </c>
    </row>
    <row r="118" spans="15:15">
      <c r="O118" s="29">
        <f ca="1">IF(COUNT(OFFSET(分析データ!$AC$2,114,0,60,1))&lt;60,"",SUM(OFFSET(分析データ!$AC$2,114,0,60,1))/1000000)</f>
        <v>-8.4204829296160799</v>
      </c>
    </row>
    <row r="119" spans="15:15">
      <c r="O119" s="29">
        <f ca="1">IF(COUNT(OFFSET(分析データ!$AC$2,115,0,60,1))&lt;60,"",SUM(OFFSET(分析データ!$AC$2,115,0,60,1))/1000000)</f>
        <v>-8.6188837770191338</v>
      </c>
    </row>
    <row r="120" spans="15:15">
      <c r="O120" s="29">
        <f ca="1">IF(COUNT(OFFSET(分析データ!$AC$2,116,0,60,1))&lt;60,"",SUM(OFFSET(分析データ!$AC$2,116,0,60,1))/1000000)</f>
        <v>-8.4211559269839356</v>
      </c>
    </row>
    <row r="121" spans="15:15">
      <c r="O121" s="29">
        <f ca="1">IF(COUNT(OFFSET(分析データ!$AC$2,117,0,60,1))&lt;60,"",SUM(OFFSET(分析データ!$AC$2,117,0,60,1))/1000000)</f>
        <v>-7.6101618406176712</v>
      </c>
    </row>
    <row r="122" spans="15:15">
      <c r="O122" s="29">
        <f ca="1">IF(COUNT(OFFSET(分析データ!$AC$2,118,0,60,1))&lt;60,"",SUM(OFFSET(分析データ!$AC$2,118,0,60,1))/1000000)</f>
        <v>-7.5168163274168514</v>
      </c>
    </row>
    <row r="123" spans="15:15">
      <c r="O123" s="29">
        <f ca="1">IF(COUNT(OFFSET(分析データ!$AC$2,119,0,60,1))&lt;60,"",SUM(OFFSET(分析データ!$AC$2,119,0,60,1))/1000000)</f>
        <v>-5.6485425908797646</v>
      </c>
    </row>
    <row r="124" spans="15:15">
      <c r="O124" s="29">
        <f ca="1">IF(COUNT(OFFSET(分析データ!$AC$2,120,0,60,1))&lt;60,"",SUM(OFFSET(分析データ!$AC$2,120,0,60,1))/1000000)</f>
        <v>-6.4748619947142432</v>
      </c>
    </row>
    <row r="125" spans="15:15">
      <c r="O125" s="29">
        <f ca="1">IF(COUNT(OFFSET(分析データ!$AC$2,121,0,60,1))&lt;60,"",SUM(OFFSET(分析データ!$AC$2,121,0,60,1))/1000000)</f>
        <v>-6.2744633263018246</v>
      </c>
    </row>
    <row r="126" spans="15:15">
      <c r="O126" s="29">
        <f ca="1">IF(COUNT(OFFSET(分析データ!$AC$2,122,0,60,1))&lt;60,"",SUM(OFFSET(分析データ!$AC$2,122,0,60,1))/1000000)</f>
        <v>-6.2618056191582001</v>
      </c>
    </row>
    <row r="127" spans="15:15">
      <c r="O127" s="29">
        <f ca="1">IF(COUNT(OFFSET(分析データ!$AC$2,123,0,60,1))&lt;60,"",SUM(OFFSET(分析データ!$AC$2,123,0,60,1))/1000000)</f>
        <v>-5.9076065999954714</v>
      </c>
    </row>
    <row r="128" spans="15:15">
      <c r="O128" s="29">
        <f ca="1">IF(COUNT(OFFSET(分析データ!$AC$2,124,0,60,1))&lt;60,"",SUM(OFFSET(分析データ!$AC$2,124,0,60,1))/1000000)</f>
        <v>-7.5257730720187057</v>
      </c>
    </row>
    <row r="129" spans="15:15">
      <c r="O129" s="29">
        <f ca="1">IF(COUNT(OFFSET(分析データ!$AC$2,125,0,60,1))&lt;60,"",SUM(OFFSET(分析データ!$AC$2,125,0,60,1))/1000000)</f>
        <v>-8.2146499638583208</v>
      </c>
    </row>
    <row r="130" spans="15:15">
      <c r="O130" s="29">
        <f ca="1">IF(COUNT(OFFSET(分析データ!$AC$2,126,0,60,1))&lt;60,"",SUM(OFFSET(分析データ!$AC$2,126,0,60,1))/1000000)</f>
        <v>-8.5764905869709338</v>
      </c>
    </row>
    <row r="131" spans="15:15">
      <c r="O131" s="29">
        <f ca="1">IF(COUNT(OFFSET(分析データ!$AC$2,127,0,60,1))&lt;60,"",SUM(OFFSET(分析データ!$AC$2,127,0,60,1))/1000000)</f>
        <v>-7.9880583333280741</v>
      </c>
    </row>
    <row r="132" spans="15:15">
      <c r="O132" s="29">
        <f ca="1">IF(COUNT(OFFSET(分析データ!$AC$2,128,0,60,1))&lt;60,"",SUM(OFFSET(分析データ!$AC$2,128,0,60,1))/1000000)</f>
        <v>-8.410535452142609</v>
      </c>
    </row>
    <row r="133" spans="15:15">
      <c r="O133" s="29">
        <f ca="1">IF(COUNT(OFFSET(分析データ!$AC$2,129,0,60,1))&lt;60,"",SUM(OFFSET(分析データ!$AC$2,129,0,60,1))/1000000)</f>
        <v>-8.6215370174876185</v>
      </c>
    </row>
    <row r="134" spans="15:15">
      <c r="O134" s="29">
        <f ca="1">IF(COUNT(OFFSET(分析データ!$AC$2,130,0,60,1))&lt;60,"",SUM(OFFSET(分析データ!$AC$2,130,0,60,1))/1000000)</f>
        <v>-10.909219982707492</v>
      </c>
    </row>
    <row r="135" spans="15:15">
      <c r="O135" s="29">
        <f ca="1">IF(COUNT(OFFSET(分析データ!$AC$2,131,0,60,1))&lt;60,"",SUM(OFFSET(分析データ!$AC$2,131,0,60,1))/1000000)</f>
        <v>-11.767386128905684</v>
      </c>
    </row>
    <row r="136" spans="15:15">
      <c r="O136" s="29">
        <f ca="1">IF(COUNT(OFFSET(分析データ!$AC$2,132,0,60,1))&lt;60,"",SUM(OFFSET(分析データ!$AC$2,132,0,60,1))/1000000)</f>
        <v>-13.435870748207748</v>
      </c>
    </row>
    <row r="137" spans="15:15">
      <c r="O137" s="29">
        <f ca="1">IF(COUNT(OFFSET(分析データ!$AC$2,133,0,60,1))&lt;60,"",SUM(OFFSET(分析データ!$AC$2,133,0,60,1))/1000000)</f>
        <v>-13.451900876872937</v>
      </c>
    </row>
    <row r="138" spans="15:15">
      <c r="O138" s="29">
        <f ca="1">IF(COUNT(OFFSET(分析データ!$AC$2,134,0,60,1))&lt;60,"",SUM(OFFSET(分析データ!$AC$2,134,0,60,1))/1000000)</f>
        <v>-13.770314485315463</v>
      </c>
    </row>
    <row r="139" spans="15:15">
      <c r="O139" s="29">
        <f ca="1">IF(COUNT(OFFSET(分析データ!$AC$2,135,0,60,1))&lt;60,"",SUM(OFFSET(分析データ!$AC$2,135,0,60,1))/1000000)</f>
        <v>-12.835777114789792</v>
      </c>
    </row>
    <row r="140" spans="15:15">
      <c r="O140" s="29">
        <f ca="1">IF(COUNT(OFFSET(分析データ!$AC$2,136,0,60,1))&lt;60,"",SUM(OFFSET(分析データ!$AC$2,136,0,60,1))/1000000)</f>
        <v>-13.468875239757534</v>
      </c>
    </row>
    <row r="141" spans="15:15">
      <c r="O141" s="29">
        <f ca="1">IF(COUNT(OFFSET(分析データ!$AC$2,137,0,60,1))&lt;60,"",SUM(OFFSET(分析データ!$AC$2,137,0,60,1))/1000000)</f>
        <v>-12.872832937700128</v>
      </c>
    </row>
    <row r="142" spans="15:15">
      <c r="O142" s="29">
        <f ca="1">IF(COUNT(OFFSET(分析データ!$AC$2,138,0,60,1))&lt;60,"",SUM(OFFSET(分析データ!$AC$2,138,0,60,1))/1000000)</f>
        <v>-12.607455934491442</v>
      </c>
    </row>
    <row r="143" spans="15:15">
      <c r="O143" s="29">
        <f ca="1">IF(COUNT(OFFSET(分析データ!$AC$2,139,0,60,1))&lt;60,"",SUM(OFFSET(分析データ!$AC$2,139,0,60,1))/1000000)</f>
        <v>-13.538420994034588</v>
      </c>
    </row>
    <row r="144" spans="15:15">
      <c r="O144" s="29">
        <f ca="1">IF(COUNT(OFFSET(分析データ!$AC$2,140,0,60,1))&lt;60,"",SUM(OFFSET(分析データ!$AC$2,140,0,60,1))/1000000)</f>
        <v>-12.725905613384484</v>
      </c>
    </row>
    <row r="145" spans="15:15">
      <c r="O145" s="29">
        <f ca="1">IF(COUNT(OFFSET(分析データ!$AC$2,141,0,60,1))&lt;60,"",SUM(OFFSET(分析データ!$AC$2,141,0,60,1))/1000000)</f>
        <v>-13.448507087078548</v>
      </c>
    </row>
    <row r="146" spans="15:15">
      <c r="O146" s="29">
        <f ca="1">IF(COUNT(OFFSET(分析データ!$AC$2,142,0,60,1))&lt;60,"",SUM(OFFSET(分析データ!$AC$2,142,0,60,1))/1000000)</f>
        <v>-14.459711996398974</v>
      </c>
    </row>
    <row r="147" spans="15:15">
      <c r="O147" s="29">
        <f ca="1">IF(COUNT(OFFSET(分析データ!$AC$2,143,0,60,1))&lt;60,"",SUM(OFFSET(分析データ!$AC$2,143,0,60,1))/1000000)</f>
        <v>-14.829309463545417</v>
      </c>
    </row>
    <row r="148" spans="15:15">
      <c r="O148" s="29">
        <f ca="1">IF(COUNT(OFFSET(分析データ!$AC$2,144,0,60,1))&lt;60,"",SUM(OFFSET(分析データ!$AC$2,144,0,60,1))/1000000)</f>
        <v>-15.406061107553684</v>
      </c>
    </row>
    <row r="149" spans="15:15">
      <c r="O149" s="29">
        <f ca="1">IF(COUNT(OFFSET(分析データ!$AC$2,145,0,60,1))&lt;60,"",SUM(OFFSET(分析データ!$AC$2,145,0,60,1))/1000000)</f>
        <v>-12.738751842128835</v>
      </c>
    </row>
    <row r="150" spans="15:15">
      <c r="O150" s="29">
        <f ca="1">IF(COUNT(OFFSET(分析データ!$AC$2,146,0,60,1))&lt;60,"",SUM(OFFSET(分析データ!$AC$2,146,0,60,1))/1000000)</f>
        <v>-11.344398036596175</v>
      </c>
    </row>
    <row r="151" spans="15:15">
      <c r="O151" s="29">
        <f ca="1">IF(COUNT(OFFSET(分析データ!$AC$2,147,0,60,1))&lt;60,"",SUM(OFFSET(分析データ!$AC$2,147,0,60,1))/1000000)</f>
        <v>-10.779394203780177</v>
      </c>
    </row>
    <row r="152" spans="15:15">
      <c r="O152" s="29">
        <f ca="1">IF(COUNT(OFFSET(分析データ!$AC$2,148,0,60,1))&lt;60,"",SUM(OFFSET(分析データ!$AC$2,148,0,60,1))/1000000)</f>
        <v>-10.172315484566727</v>
      </c>
    </row>
    <row r="153" spans="15:15">
      <c r="O153" s="29">
        <f ca="1">IF(COUNT(OFFSET(分析データ!$AC$2,149,0,60,1))&lt;60,"",SUM(OFFSET(分析データ!$AC$2,149,0,60,1))/1000000)</f>
        <v>-9.2982349909037083</v>
      </c>
    </row>
    <row r="154" spans="15:15">
      <c r="O154" s="29">
        <f ca="1">IF(COUNT(OFFSET(分析データ!$AC$2,150,0,60,1))&lt;60,"",SUM(OFFSET(分析データ!$AC$2,150,0,60,1))/1000000)</f>
        <v>-10.797320637035693</v>
      </c>
    </row>
    <row r="155" spans="15:15">
      <c r="O155" s="29">
        <f ca="1">IF(COUNT(OFFSET(分析データ!$AC$2,151,0,60,1))&lt;60,"",SUM(OFFSET(分析データ!$AC$2,151,0,60,1))/1000000)</f>
        <v>-9.146580573727416</v>
      </c>
    </row>
    <row r="156" spans="15:15">
      <c r="O156" s="29">
        <f ca="1">IF(COUNT(OFFSET(分析データ!$AC$2,152,0,60,1))&lt;60,"",SUM(OFFSET(分析データ!$AC$2,152,0,60,1))/1000000)</f>
        <v>-9.4429235170597874</v>
      </c>
    </row>
    <row r="157" spans="15:15">
      <c r="O157" s="29">
        <f ca="1">IF(COUNT(OFFSET(分析データ!$AC$2,153,0,60,1))&lt;60,"",SUM(OFFSET(分析データ!$AC$2,153,0,60,1))/1000000)</f>
        <v>-7.3888688322855307</v>
      </c>
    </row>
    <row r="158" spans="15:15">
      <c r="O158" s="29">
        <f ca="1">IF(COUNT(OFFSET(分析データ!$AC$2,154,0,60,1))&lt;60,"",SUM(OFFSET(分析データ!$AC$2,154,0,60,1))/1000000)</f>
        <v>-7.3570640575358297</v>
      </c>
    </row>
    <row r="159" spans="15:15">
      <c r="O159" s="29">
        <f ca="1">IF(COUNT(OFFSET(分析データ!$AC$2,155,0,60,1))&lt;60,"",SUM(OFFSET(分析データ!$AC$2,155,0,60,1))/1000000)</f>
        <v>-6.1822023580322574</v>
      </c>
    </row>
    <row r="160" spans="15:15">
      <c r="O160" s="29">
        <f ca="1">IF(COUNT(OFFSET(分析データ!$AC$2,156,0,60,1))&lt;60,"",SUM(OFFSET(分析データ!$AC$2,156,0,60,1))/1000000)</f>
        <v>-6.5097097318998509</v>
      </c>
    </row>
    <row r="161" spans="15:15">
      <c r="O161" s="29">
        <f ca="1">IF(COUNT(OFFSET(分析データ!$AC$2,157,0,60,1))&lt;60,"",SUM(OFFSET(分析データ!$AC$2,157,0,60,1))/1000000)</f>
        <v>-5.8548195310750852</v>
      </c>
    </row>
    <row r="162" spans="15:15">
      <c r="O162" s="29">
        <f ca="1">IF(COUNT(OFFSET(分析データ!$AC$2,158,0,60,1))&lt;60,"",SUM(OFFSET(分析データ!$AC$2,158,0,60,1))/1000000)</f>
        <v>-6.4627730933578835</v>
      </c>
    </row>
    <row r="163" spans="15:15">
      <c r="O163" s="29">
        <f ca="1">IF(COUNT(OFFSET(分析データ!$AC$2,159,0,60,1))&lt;60,"",SUM(OFFSET(分析データ!$AC$2,159,0,60,1))/1000000)</f>
        <v>-6.4914707781308687</v>
      </c>
    </row>
    <row r="164" spans="15:15">
      <c r="O164" s="29">
        <f ca="1">IF(COUNT(OFFSET(分析データ!$AC$2,160,0,60,1))&lt;60,"",SUM(OFFSET(分析データ!$AC$2,160,0,60,1))/1000000)</f>
        <v>-5.0829105675009618</v>
      </c>
    </row>
    <row r="165" spans="15:15">
      <c r="O165" s="29">
        <f ca="1">IF(COUNT(OFFSET(分析データ!$AC$2,161,0,60,1))&lt;60,"",SUM(OFFSET(分析データ!$AC$2,161,0,60,1))/1000000)</f>
        <v>-6.1637120579764755</v>
      </c>
    </row>
    <row r="166" spans="15:15">
      <c r="O166" s="29">
        <f ca="1">IF(COUNT(OFFSET(分析データ!$AC$2,162,0,60,1))&lt;60,"",SUM(OFFSET(分析データ!$AC$2,162,0,60,1))/1000000)</f>
        <v>-7.0441315116332204</v>
      </c>
    </row>
    <row r="167" spans="15:15">
      <c r="O167" s="29">
        <f ca="1">IF(COUNT(OFFSET(分析データ!$AC$2,163,0,60,1))&lt;60,"",SUM(OFFSET(分析データ!$AC$2,163,0,60,1))/1000000)</f>
        <v>-4.9082648693779207</v>
      </c>
    </row>
    <row r="168" spans="15:15">
      <c r="O168" s="29">
        <f ca="1">IF(COUNT(OFFSET(分析データ!$AC$2,164,0,60,1))&lt;60,"",SUM(OFFSET(分析データ!$AC$2,164,0,60,1))/1000000)</f>
        <v>-3.9416623360149488</v>
      </c>
    </row>
    <row r="169" spans="15:15">
      <c r="O169" s="29">
        <f ca="1">IF(COUNT(OFFSET(分析データ!$AC$2,165,0,60,1))&lt;60,"",SUM(OFFSET(分析データ!$AC$2,165,0,60,1))/1000000)</f>
        <v>-3.7659695268286555</v>
      </c>
    </row>
    <row r="170" spans="15:15">
      <c r="O170" s="29">
        <f ca="1">IF(COUNT(OFFSET(分析データ!$AC$2,166,0,60,1))&lt;60,"",SUM(OFFSET(分析データ!$AC$2,166,0,60,1))/1000000)</f>
        <v>-4.9929606267950932</v>
      </c>
    </row>
    <row r="171" spans="15:15">
      <c r="O171" s="29">
        <f ca="1">IF(COUNT(OFFSET(分析データ!$AC$2,167,0,60,1))&lt;60,"",SUM(OFFSET(分析データ!$AC$2,167,0,60,1))/1000000)</f>
        <v>-5.1522885604482687</v>
      </c>
    </row>
    <row r="172" spans="15:15">
      <c r="O172" s="29">
        <f ca="1">IF(COUNT(OFFSET(分析データ!$AC$2,168,0,60,1))&lt;60,"",SUM(OFFSET(分析データ!$AC$2,168,0,60,1))/1000000)</f>
        <v>-5.274166022505332</v>
      </c>
    </row>
    <row r="173" spans="15:15">
      <c r="O173" s="29">
        <f ca="1">IF(COUNT(OFFSET(分析データ!$AC$2,169,0,60,1))&lt;60,"",SUM(OFFSET(分析データ!$AC$2,169,0,60,1))/1000000)</f>
        <v>-3.7203066505305613</v>
      </c>
    </row>
    <row r="174" spans="15:15">
      <c r="O174" s="29">
        <f ca="1">IF(COUNT(OFFSET(分析データ!$AC$2,170,0,60,1))&lt;60,"",SUM(OFFSET(分析データ!$AC$2,170,0,60,1))/1000000)</f>
        <v>-2.5527908214795345</v>
      </c>
    </row>
    <row r="175" spans="15:15">
      <c r="O175" s="29">
        <f ca="1">IF(COUNT(OFFSET(分析データ!$AC$2,171,0,60,1))&lt;60,"",SUM(OFFSET(分析データ!$AC$2,171,0,60,1))/1000000)</f>
        <v>-2.4273530383148914</v>
      </c>
    </row>
    <row r="176" spans="15:15">
      <c r="O176" s="29">
        <f ca="1">IF(COUNT(OFFSET(分析データ!$AC$2,172,0,60,1))&lt;60,"",SUM(OFFSET(分析データ!$AC$2,172,0,60,1))/1000000)</f>
        <v>-1.1423075321100342</v>
      </c>
    </row>
    <row r="177" spans="15:15">
      <c r="O177" s="29">
        <f ca="1">IF(COUNT(OFFSET(分析データ!$AC$2,173,0,60,1))&lt;60,"",SUM(OFFSET(分析データ!$AC$2,173,0,60,1))/1000000)</f>
        <v>-2.3807302524784486</v>
      </c>
    </row>
    <row r="178" spans="15:15">
      <c r="O178" s="29">
        <f ca="1">IF(COUNT(OFFSET(分析データ!$AC$2,174,0,60,1))&lt;60,"",SUM(OFFSET(分析データ!$AC$2,174,0,60,1))/1000000)</f>
        <v>-1.5293457174937586</v>
      </c>
    </row>
    <row r="179" spans="15:15">
      <c r="O179" s="29">
        <f ca="1">IF(COUNT(OFFSET(分析データ!$AC$2,175,0,60,1))&lt;60,"",SUM(OFFSET(分析データ!$AC$2,175,0,60,1))/1000000)</f>
        <v>-1.7418436084177211</v>
      </c>
    </row>
    <row r="180" spans="15:15">
      <c r="O180" s="29">
        <f ca="1">IF(COUNT(OFFSET(分析データ!$AC$2,176,0,60,1))&lt;60,"",SUM(OFFSET(分析データ!$AC$2,176,0,60,1))/1000000)</f>
        <v>0.93622825269662235</v>
      </c>
    </row>
    <row r="181" spans="15:15">
      <c r="O181" s="29">
        <f ca="1">IF(COUNT(OFFSET(分析データ!$AC$2,177,0,60,1))&lt;60,"",SUM(OFFSET(分析データ!$AC$2,177,0,60,1))/1000000)</f>
        <v>0.31184055696477159</v>
      </c>
    </row>
    <row r="182" spans="15:15">
      <c r="O182" s="29">
        <f ca="1">IF(COUNT(OFFSET(分析データ!$AC$2,178,0,60,1))&lt;60,"",SUM(OFFSET(分析データ!$AC$2,178,0,60,1))/1000000)</f>
        <v>-0.49935488641670694</v>
      </c>
    </row>
    <row r="183" spans="15:15">
      <c r="O183" s="29">
        <f ca="1">IF(COUNT(OFFSET(分析データ!$AC$2,179,0,60,1))&lt;60,"",SUM(OFFSET(分析データ!$AC$2,179,0,60,1))/1000000)</f>
        <v>-0.32868546662601922</v>
      </c>
    </row>
    <row r="184" spans="15:15">
      <c r="O184" s="29">
        <f ca="1">IF(COUNT(OFFSET(分析データ!$AC$2,180,0,60,1))&lt;60,"",SUM(OFFSET(分析データ!$AC$2,180,0,60,1))/1000000)</f>
        <v>2.7313015478652787</v>
      </c>
    </row>
    <row r="185" spans="15:15">
      <c r="O185" s="29">
        <f ca="1">IF(COUNT(OFFSET(分析データ!$AC$2,181,0,60,1))&lt;60,"",SUM(OFFSET(分析データ!$AC$2,181,0,60,1))/1000000)</f>
        <v>3.6853044059971878</v>
      </c>
    </row>
    <row r="186" spans="15:15">
      <c r="O186" s="29">
        <f ca="1">IF(COUNT(OFFSET(分析データ!$AC$2,182,0,60,1))&lt;60,"",SUM(OFFSET(分析データ!$AC$2,182,0,60,1))/1000000)</f>
        <v>3.5653793009572432</v>
      </c>
    </row>
    <row r="187" spans="15:15">
      <c r="O187" s="29">
        <f ca="1">IF(COUNT(OFFSET(分析データ!$AC$2,183,0,60,1))&lt;60,"",SUM(OFFSET(分析データ!$AC$2,183,0,60,1))/1000000)</f>
        <v>2.8232504429750662</v>
      </c>
    </row>
    <row r="188" spans="15:15">
      <c r="O188" s="29">
        <f ca="1">IF(COUNT(OFFSET(分析データ!$AC$2,184,0,60,1))&lt;60,"",SUM(OFFSET(分析データ!$AC$2,184,0,60,1))/1000000)</f>
        <v>3.7547760619031441</v>
      </c>
    </row>
    <row r="189" spans="15:15">
      <c r="O189" s="29">
        <f ca="1">IF(COUNT(OFFSET(分析データ!$AC$2,185,0,60,1))&lt;60,"",SUM(OFFSET(分析データ!$AC$2,185,0,60,1))/1000000)</f>
        <v>4.4919251347857019</v>
      </c>
    </row>
    <row r="190" spans="15:15">
      <c r="O190" s="29">
        <f ca="1">IF(COUNT(OFFSET(分析データ!$AC$2,186,0,60,1))&lt;60,"",SUM(OFFSET(分析データ!$AC$2,186,0,60,1))/1000000)</f>
        <v>5.7418510830515519</v>
      </c>
    </row>
    <row r="191" spans="15:15">
      <c r="O191" s="29">
        <f ca="1">IF(COUNT(OFFSET(分析データ!$AC$2,187,0,60,1))&lt;60,"",SUM(OFFSET(分析データ!$AC$2,187,0,60,1))/1000000)</f>
        <v>5.6758038850206578</v>
      </c>
    </row>
    <row r="192" spans="15:15">
      <c r="O192" s="29">
        <f ca="1">IF(COUNT(OFFSET(分析データ!$AC$2,188,0,60,1))&lt;60,"",SUM(OFFSET(分析データ!$AC$2,188,0,60,1))/1000000)</f>
        <v>5.8916029743853739</v>
      </c>
    </row>
    <row r="193" spans="15:15">
      <c r="O193" s="29">
        <f ca="1">IF(COUNT(OFFSET(分析データ!$AC$2,189,0,60,1))&lt;60,"",SUM(OFFSET(分析データ!$AC$2,189,0,60,1))/1000000)</f>
        <v>7.3843521836167767</v>
      </c>
    </row>
    <row r="194" spans="15:15">
      <c r="O194" s="29">
        <f ca="1">IF(COUNT(OFFSET(分析データ!$AC$2,190,0,60,1))&lt;60,"",SUM(OFFSET(分析データ!$AC$2,190,0,60,1))/1000000)</f>
        <v>7.1438160470491168</v>
      </c>
    </row>
    <row r="195" spans="15:15">
      <c r="O195" s="29">
        <f ca="1">IF(COUNT(OFFSET(分析データ!$AC$2,191,0,60,1))&lt;60,"",SUM(OFFSET(分析データ!$AC$2,191,0,60,1))/1000000)</f>
        <v>7.0202740076870036</v>
      </c>
    </row>
    <row r="196" spans="15:15">
      <c r="O196" s="29">
        <f ca="1">IF(COUNT(OFFSET(分析データ!$AC$2,192,0,60,1))&lt;60,"",SUM(OFFSET(分析データ!$AC$2,192,0,60,1))/1000000)</f>
        <v>6.4335008584577595</v>
      </c>
    </row>
    <row r="197" spans="15:15">
      <c r="O197" s="29">
        <f ca="1">IF(COUNT(OFFSET(分析データ!$AC$2,193,0,60,1))&lt;60,"",SUM(OFFSET(分析データ!$AC$2,193,0,60,1))/1000000)</f>
        <v>5.6399277990265162</v>
      </c>
    </row>
    <row r="198" spans="15:15">
      <c r="O198" s="29">
        <f ca="1">IF(COUNT(OFFSET(分析データ!$AC$2,194,0,60,1))&lt;60,"",SUM(OFFSET(分析データ!$AC$2,194,0,60,1))/1000000)</f>
        <v>3.7241858003231232</v>
      </c>
    </row>
    <row r="199" spans="15:15">
      <c r="O199" s="29">
        <f ca="1">IF(COUNT(OFFSET(分析データ!$AC$2,195,0,60,1))&lt;60,"",SUM(OFFSET(分析データ!$AC$2,195,0,60,1))/1000000)</f>
        <v>3.1716351369111098</v>
      </c>
    </row>
    <row r="200" spans="15:15">
      <c r="O200" s="29">
        <f ca="1">IF(COUNT(OFFSET(分析データ!$AC$2,196,0,60,1))&lt;60,"",SUM(OFFSET(分析データ!$AC$2,196,0,60,1))/1000000)</f>
        <v>4.7544238567375388</v>
      </c>
    </row>
    <row r="201" spans="15:15">
      <c r="O201" s="29">
        <f ca="1">IF(COUNT(OFFSET(分析データ!$AC$2,197,0,60,1))&lt;60,"",SUM(OFFSET(分析データ!$AC$2,197,0,60,1))/1000000)</f>
        <v>3.9563638228790112</v>
      </c>
    </row>
    <row r="202" spans="15:15">
      <c r="O202" s="29">
        <f ca="1">IF(COUNT(OFFSET(分析データ!$AC$2,198,0,60,1))&lt;60,"",SUM(OFFSET(分析データ!$AC$2,198,0,60,1))/1000000)</f>
        <v>3.1216295672896748</v>
      </c>
    </row>
    <row r="203" spans="15:15">
      <c r="O203" s="29">
        <f ca="1">IF(COUNT(OFFSET(分析データ!$AC$2,199,0,60,1))&lt;60,"",SUM(OFFSET(分析データ!$AC$2,199,0,60,1))/1000000)</f>
        <v>3.6167900784889664</v>
      </c>
    </row>
    <row r="204" spans="15:15">
      <c r="O204" s="29">
        <f ca="1">IF(COUNT(OFFSET(分析データ!$AC$2,200,0,60,1))&lt;60,"",SUM(OFFSET(分析データ!$AC$2,200,0,60,1))/1000000)</f>
        <v>3.4455420326289543</v>
      </c>
    </row>
    <row r="205" spans="15:15">
      <c r="O205" s="29">
        <f ca="1">IF(COUNT(OFFSET(分析データ!$AC$2,201,0,60,1))&lt;60,"",SUM(OFFSET(分析データ!$AC$2,201,0,60,1))/1000000)</f>
        <v>3.0522320295307415</v>
      </c>
    </row>
    <row r="206" spans="15:15">
      <c r="O206" s="29">
        <f ca="1">IF(COUNT(OFFSET(分析データ!$AC$2,202,0,60,1))&lt;60,"",SUM(OFFSET(分析データ!$AC$2,202,0,60,1))/1000000)</f>
        <v>2.6763529523033567</v>
      </c>
    </row>
    <row r="207" spans="15:15">
      <c r="O207" s="29">
        <f ca="1">IF(COUNT(OFFSET(分析データ!$AC$2,203,0,60,1))&lt;60,"",SUM(OFFSET(分析データ!$AC$2,203,0,60,1))/1000000)</f>
        <v>2.3974670085199352</v>
      </c>
    </row>
    <row r="208" spans="15:15">
      <c r="O208" s="29">
        <f ca="1">IF(COUNT(OFFSET(分析データ!$AC$2,204,0,60,1))&lt;60,"",SUM(OFFSET(分析データ!$AC$2,204,0,60,1))/1000000)</f>
        <v>2.2210725330717627</v>
      </c>
    </row>
    <row r="209" spans="15:15">
      <c r="O209" s="29">
        <f ca="1">IF(COUNT(OFFSET(分析データ!$AC$2,205,0,60,1))&lt;60,"",SUM(OFFSET(分析データ!$AC$2,205,0,60,1))/1000000)</f>
        <v>2.6119124499460979</v>
      </c>
    </row>
    <row r="210" spans="15:15">
      <c r="O210" s="29">
        <f ca="1">IF(COUNT(OFFSET(分析データ!$AC$2,206,0,60,1))&lt;60,"",SUM(OFFSET(分析データ!$AC$2,206,0,60,1))/1000000)</f>
        <v>2.1788233664306094</v>
      </c>
    </row>
    <row r="211" spans="15:15">
      <c r="O211" s="29">
        <f ca="1">IF(COUNT(OFFSET(分析データ!$AC$2,207,0,60,1))&lt;60,"",SUM(OFFSET(分析データ!$AC$2,207,0,60,1))/1000000)</f>
        <v>2.7653809048883922</v>
      </c>
    </row>
    <row r="212" spans="15:15">
      <c r="O212" s="29">
        <f ca="1">IF(COUNT(OFFSET(分析データ!$AC$2,208,0,60,1))&lt;60,"",SUM(OFFSET(分析データ!$AC$2,208,0,60,1))/1000000)</f>
        <v>2.492713581523335</v>
      </c>
    </row>
    <row r="213" spans="15:15">
      <c r="O213" s="29">
        <f ca="1">IF(COUNT(OFFSET(分析データ!$AC$2,209,0,60,1))&lt;60,"",SUM(OFFSET(分析データ!$AC$2,209,0,60,1))/1000000)</f>
        <v>1.1466897967281893</v>
      </c>
    </row>
    <row r="214" spans="15:15">
      <c r="O214" s="29">
        <f ca="1">IF(COUNT(OFFSET(分析データ!$AC$2,210,0,60,1))&lt;60,"",SUM(OFFSET(分析データ!$AC$2,210,0,60,1))/1000000)</f>
        <v>4.1574268109141403</v>
      </c>
    </row>
    <row r="215" spans="15:15">
      <c r="O215" s="29">
        <f ca="1">IF(COUNT(OFFSET(分析データ!$AC$2,211,0,60,1))&lt;60,"",SUM(OFFSET(分析データ!$AC$2,211,0,60,1))/1000000)</f>
        <v>2.6841833652206208</v>
      </c>
    </row>
    <row r="216" spans="15:15">
      <c r="O216" s="29">
        <f ca="1">IF(COUNT(OFFSET(分析データ!$AC$2,212,0,60,1))&lt;60,"",SUM(OFFSET(分析データ!$AC$2,212,0,60,1))/1000000)</f>
        <v>3.4912391881927811</v>
      </c>
    </row>
    <row r="217" spans="15:15">
      <c r="O217" s="29">
        <f ca="1">IF(COUNT(OFFSET(分析データ!$AC$2,213,0,60,1))&lt;60,"",SUM(OFFSET(分析データ!$AC$2,213,0,60,1))/1000000)</f>
        <v>3.0476605700156676</v>
      </c>
    </row>
    <row r="218" spans="15:15">
      <c r="O218" s="29">
        <f ca="1">IF(COUNT(OFFSET(分析データ!$AC$2,214,0,60,1))&lt;60,"",SUM(OFFSET(分析データ!$AC$2,214,0,60,1))/1000000)</f>
        <v>1.2415528158201345</v>
      </c>
    </row>
    <row r="219" spans="15:15">
      <c r="O219" s="29">
        <f ca="1">IF(COUNT(OFFSET(分析データ!$AC$2,215,0,60,1))&lt;60,"",SUM(OFFSET(分析データ!$AC$2,215,0,60,1))/1000000)</f>
        <v>0.52072219988494606</v>
      </c>
    </row>
    <row r="220" spans="15:15">
      <c r="O220" s="29">
        <f ca="1">IF(COUNT(OFFSET(分析データ!$AC$2,216,0,60,1))&lt;60,"",SUM(OFFSET(分析データ!$AC$2,216,0,60,1))/1000000)</f>
        <v>1.89034931089138</v>
      </c>
    </row>
    <row r="221" spans="15:15">
      <c r="O221" s="29">
        <f ca="1">IF(COUNT(OFFSET(分析データ!$AC$2,217,0,60,1))&lt;60,"",SUM(OFFSET(分析データ!$AC$2,217,0,60,1))/1000000)</f>
        <v>1.9465210499473053</v>
      </c>
    </row>
    <row r="222" spans="15:15">
      <c r="O222" s="29">
        <f ca="1">IF(COUNT(OFFSET(分析データ!$AC$2,218,0,60,1))&lt;60,"",SUM(OFFSET(分析データ!$AC$2,218,0,60,1))/1000000)</f>
        <v>1.4221549320766393</v>
      </c>
    </row>
    <row r="223" spans="15:15">
      <c r="O223" s="29">
        <f ca="1">IF(COUNT(OFFSET(分析データ!$AC$2,219,0,60,1))&lt;60,"",SUM(OFFSET(分析データ!$AC$2,219,0,60,1))/1000000)</f>
        <v>1.3534215891483961</v>
      </c>
    </row>
    <row r="224" spans="15:15">
      <c r="O224" s="29">
        <f ca="1">IF(COUNT(OFFSET(分析データ!$AC$2,220,0,60,1))&lt;60,"",SUM(OFFSET(分析データ!$AC$2,220,0,60,1))/1000000)</f>
        <v>0.21081464249407855</v>
      </c>
    </row>
    <row r="225" spans="15:15">
      <c r="O225" s="29">
        <f ca="1">IF(COUNT(OFFSET(分析データ!$AC$2,221,0,60,1))&lt;60,"",SUM(OFFSET(分析データ!$AC$2,221,0,60,1))/1000000)</f>
        <v>-0.40423273539682852</v>
      </c>
    </row>
    <row r="226" spans="15:15">
      <c r="O226" s="29">
        <f ca="1">IF(COUNT(OFFSET(分析データ!$AC$2,222,0,60,1))&lt;60,"",SUM(OFFSET(分析データ!$AC$2,222,0,60,1))/1000000)</f>
        <v>-1.0415193218506598</v>
      </c>
    </row>
    <row r="227" spans="15:15">
      <c r="O227" s="29">
        <f ca="1">IF(COUNT(OFFSET(分析データ!$AC$2,223,0,60,1))&lt;60,"",SUM(OFFSET(分析データ!$AC$2,223,0,60,1))/1000000)</f>
        <v>-1.2901991698852622</v>
      </c>
    </row>
    <row r="228" spans="15:15">
      <c r="O228" s="29">
        <f ca="1">IF(COUNT(OFFSET(分析データ!$AC$2,224,0,60,1))&lt;60,"",SUM(OFFSET(分析データ!$AC$2,224,0,60,1))/1000000)</f>
        <v>-2.7454412090339679</v>
      </c>
    </row>
    <row r="229" spans="15:15">
      <c r="O229" s="29">
        <f ca="1">IF(COUNT(OFFSET(分析データ!$AC$2,225,0,60,1))&lt;60,"",SUM(OFFSET(分析データ!$AC$2,225,0,60,1))/1000000)</f>
        <v>-2.3455331666789219</v>
      </c>
    </row>
    <row r="230" spans="15:15">
      <c r="O230" s="29">
        <f ca="1">IF(COUNT(OFFSET(分析データ!$AC$2,226,0,60,1))&lt;60,"",SUM(OFFSET(分析データ!$AC$2,226,0,60,1))/1000000)</f>
        <v>-1.7398678906073426</v>
      </c>
    </row>
    <row r="231" spans="15:15">
      <c r="O231" s="29">
        <f ca="1">IF(COUNT(OFFSET(分析データ!$AC$2,227,0,60,1))&lt;60,"",SUM(OFFSET(分析データ!$AC$2,227,0,60,1))/1000000)</f>
        <v>-1.5025894335270786</v>
      </c>
    </row>
    <row r="232" spans="15:15">
      <c r="O232" s="29">
        <f ca="1">IF(COUNT(OFFSET(分析データ!$AC$2,228,0,60,1))&lt;60,"",SUM(OFFSET(分析データ!$AC$2,228,0,60,1))/1000000)</f>
        <v>-1.7570343087701974</v>
      </c>
    </row>
    <row r="233" spans="15:15">
      <c r="O233" s="29">
        <f ca="1">IF(COUNT(OFFSET(分析データ!$AC$2,229,0,60,1))&lt;60,"",SUM(OFFSET(分析データ!$AC$2,229,0,60,1))/1000000)</f>
        <v>-2.8404264810485178</v>
      </c>
    </row>
    <row r="234" spans="15:15">
      <c r="O234" s="29">
        <f ca="1">IF(COUNT(OFFSET(分析データ!$AC$2,230,0,60,1))&lt;60,"",SUM(OFFSET(分析データ!$AC$2,230,0,60,1))/1000000)</f>
        <v>-2.3839765291295234</v>
      </c>
    </row>
    <row r="235" spans="15:15">
      <c r="O235" s="29">
        <f ca="1">IF(COUNT(OFFSET(分析データ!$AC$2,231,0,60,1))&lt;60,"",SUM(OFFSET(分析データ!$AC$2,231,0,60,1))/1000000)</f>
        <v>-2.1445111717609371</v>
      </c>
    </row>
    <row r="236" spans="15:15">
      <c r="O236" s="29">
        <f ca="1">IF(COUNT(OFFSET(分析データ!$AC$2,232,0,60,1))&lt;60,"",SUM(OFFSET(分析データ!$AC$2,232,0,60,1))/1000000)</f>
        <v>-3.3085187893731205</v>
      </c>
    </row>
    <row r="237" spans="15:15">
      <c r="O237" s="29">
        <f ca="1">IF(COUNT(OFFSET(分析データ!$AC$2,233,0,60,1))&lt;60,"",SUM(OFFSET(分析データ!$AC$2,233,0,60,1))/1000000)</f>
        <v>-2.1883572826753923</v>
      </c>
    </row>
    <row r="238" spans="15:15">
      <c r="O238" s="29">
        <f ca="1">IF(COUNT(OFFSET(分析データ!$AC$2,234,0,60,1))&lt;60,"",SUM(OFFSET(分析データ!$AC$2,234,0,60,1))/1000000)</f>
        <v>-3.3344474499528856</v>
      </c>
    </row>
    <row r="239" spans="15:15">
      <c r="O239" s="29">
        <f ca="1">IF(COUNT(OFFSET(分析データ!$AC$2,235,0,60,1))&lt;60,"",SUM(OFFSET(分析データ!$AC$2,235,0,60,1))/1000000)</f>
        <v>-2.5475217630761655</v>
      </c>
    </row>
    <row r="240" spans="15:15">
      <c r="O240" s="29">
        <f ca="1">IF(COUNT(OFFSET(分析データ!$AC$2,236,0,60,1))&lt;60,"",SUM(OFFSET(分析データ!$AC$2,236,0,60,1))/1000000)</f>
        <v>-4.8749794688752166</v>
      </c>
    </row>
    <row r="241" spans="15:15">
      <c r="O241" s="29">
        <f ca="1">IF(COUNT(OFFSET(分析データ!$AC$2,237,0,60,1))&lt;60,"",SUM(OFFSET(分析データ!$AC$2,237,0,60,1))/1000000)</f>
        <v>-3.1877418051553668</v>
      </c>
    </row>
    <row r="242" spans="15:15">
      <c r="O242" s="29">
        <f ca="1">IF(COUNT(OFFSET(分析データ!$AC$2,238,0,60,1))&lt;60,"",SUM(OFFSET(分析データ!$AC$2,238,0,60,1))/1000000)</f>
        <v>-1.104907404445552</v>
      </c>
    </row>
    <row r="243" spans="15:15">
      <c r="O243" s="29">
        <f ca="1">IF(COUNT(OFFSET(分析データ!$AC$2,239,0,60,1))&lt;60,"",SUM(OFFSET(分析データ!$AC$2,239,0,60,1))/1000000)</f>
        <v>-1.6763650726180062</v>
      </c>
    </row>
    <row r="244" spans="15:15">
      <c r="O244" s="29">
        <f ca="1">IF(COUNT(OFFSET(分析データ!$AC$2,240,0,60,1))&lt;60,"",SUM(OFFSET(分析データ!$AC$2,240,0,60,1))/1000000)</f>
        <v>-4.7573539799483457</v>
      </c>
    </row>
    <row r="245" spans="15:15">
      <c r="O245" s="29">
        <f ca="1">IF(COUNT(OFFSET(分析データ!$AC$2,241,0,60,1))&lt;60,"",SUM(OFFSET(分析データ!$AC$2,241,0,60,1))/1000000)</f>
        <v>-5.9700834530383666</v>
      </c>
    </row>
    <row r="246" spans="15:15">
      <c r="O246" s="29">
        <f ca="1">IF(COUNT(OFFSET(分析データ!$AC$2,242,0,60,1))&lt;60,"",SUM(OFFSET(分析データ!$AC$2,242,0,60,1))/1000000)</f>
        <v>-5.9444456274083608</v>
      </c>
    </row>
    <row r="247" spans="15:15">
      <c r="O247" s="29">
        <f ca="1">IF(COUNT(OFFSET(分析データ!$AC$2,243,0,60,1))&lt;60,"",SUM(OFFSET(分析データ!$AC$2,243,0,60,1))/1000000)</f>
        <v>-6.335510855963788</v>
      </c>
    </row>
    <row r="248" spans="15:15">
      <c r="O248" s="29">
        <f ca="1">IF(COUNT(OFFSET(分析データ!$AC$2,244,0,60,1))&lt;60,"",SUM(OFFSET(分析データ!$AC$2,244,0,60,1))/1000000)</f>
        <v>-5.4255750784020202</v>
      </c>
    </row>
    <row r="249" spans="15:15">
      <c r="O249" s="29">
        <f ca="1">IF(COUNT(OFFSET(分析データ!$AC$2,245,0,60,1))&lt;60,"",SUM(OFFSET(分析データ!$AC$2,245,0,60,1))/1000000)</f>
        <v>-7.7746411617958922</v>
      </c>
    </row>
    <row r="250" spans="15:15">
      <c r="O250" s="29">
        <f ca="1">IF(COUNT(OFFSET(分析データ!$AC$2,246,0,60,1))&lt;60,"",SUM(OFFSET(分析データ!$AC$2,246,0,60,1))/1000000)</f>
        <v>-8.2829820743539422</v>
      </c>
    </row>
    <row r="251" spans="15:15">
      <c r="O251" s="29">
        <f ca="1">IF(COUNT(OFFSET(分析データ!$AC$2,247,0,60,1))&lt;60,"",SUM(OFFSET(分析データ!$AC$2,247,0,60,1))/1000000)</f>
        <v>-8.5300386136704223</v>
      </c>
    </row>
    <row r="252" spans="15:15">
      <c r="O252" s="29">
        <f ca="1">IF(COUNT(OFFSET(分析データ!$AC$2,248,0,60,1))&lt;60,"",SUM(OFFSET(分析データ!$AC$2,248,0,60,1))/1000000)</f>
        <v>-8.9098021672953074</v>
      </c>
    </row>
    <row r="253" spans="15:15">
      <c r="O253" s="29">
        <f ca="1">IF(COUNT(OFFSET(分析データ!$AC$2,249,0,60,1))&lt;60,"",SUM(OFFSET(分析データ!$AC$2,249,0,60,1))/1000000)</f>
        <v>-9.5261853330882698</v>
      </c>
    </row>
    <row r="254" spans="15:15">
      <c r="O254" s="29">
        <f ca="1">IF(COUNT(OFFSET(分析データ!$AC$2,250,0,60,1))&lt;60,"",SUM(OFFSET(分析データ!$AC$2,250,0,60,1))/1000000)</f>
        <v>-8.958400627721371</v>
      </c>
    </row>
    <row r="255" spans="15:15">
      <c r="O255" s="29">
        <f ca="1">IF(COUNT(OFFSET(分析データ!$AC$2,251,0,60,1))&lt;60,"",SUM(OFFSET(分析データ!$AC$2,251,0,60,1))/1000000)</f>
        <v>-8.6996319994577931</v>
      </c>
    </row>
    <row r="256" spans="15:15">
      <c r="O256" s="29">
        <f ca="1">IF(COUNT(OFFSET(分析データ!$AC$2,252,0,60,1))&lt;60,"",SUM(OFFSET(分析データ!$AC$2,252,0,60,1))/1000000)</f>
        <v>-8.5424884693003822</v>
      </c>
    </row>
    <row r="257" spans="15:15">
      <c r="O257" s="29">
        <f ca="1">IF(COUNT(OFFSET(分析データ!$AC$2,253,0,60,1))&lt;60,"",SUM(OFFSET(分析データ!$AC$2,253,0,60,1))/1000000)</f>
        <v>-8.0903617316334273</v>
      </c>
    </row>
    <row r="258" spans="15:15">
      <c r="O258" s="29">
        <f ca="1">IF(COUNT(OFFSET(分析データ!$AC$2,254,0,60,1))&lt;60,"",SUM(OFFSET(分析データ!$AC$2,254,0,60,1))/1000000)</f>
        <v>-6.2605282720467237</v>
      </c>
    </row>
    <row r="259" spans="15:15">
      <c r="O259" s="29">
        <f ca="1">IF(COUNT(OFFSET(分析データ!$AC$2,255,0,60,1))&lt;60,"",SUM(OFFSET(分析データ!$AC$2,255,0,60,1))/1000000)</f>
        <v>-5.8306191147087532</v>
      </c>
    </row>
    <row r="260" spans="15:15">
      <c r="O260" s="29">
        <f ca="1">IF(COUNT(OFFSET(分析データ!$AC$2,256,0,60,1))&lt;60,"",SUM(OFFSET(分析データ!$AC$2,256,0,60,1))/1000000)</f>
        <v>-6.6140662950563422</v>
      </c>
    </row>
    <row r="261" spans="15:15">
      <c r="O261" s="29">
        <f ca="1">IF(COUNT(OFFSET(分析データ!$AC$2,257,0,60,1))&lt;60,"",SUM(OFFSET(分析データ!$AC$2,257,0,60,1))/1000000)</f>
        <v>-6.7326981957263117</v>
      </c>
    </row>
    <row r="262" spans="15:15">
      <c r="O262" s="29">
        <f ca="1">IF(COUNT(OFFSET(分析データ!$AC$2,258,0,60,1))&lt;60,"",SUM(OFFSET(分析データ!$AC$2,258,0,60,1))/1000000)</f>
        <v>-5.2981364833682143</v>
      </c>
    </row>
    <row r="263" spans="15:15">
      <c r="O263" s="29">
        <f ca="1">IF(COUNT(OFFSET(分析データ!$AC$2,259,0,60,1))&lt;60,"",SUM(OFFSET(分析データ!$AC$2,259,0,60,1))/1000000)</f>
        <v>-6.4331443414494318</v>
      </c>
    </row>
    <row r="264" spans="15:15">
      <c r="O264" s="29">
        <f ca="1">IF(COUNT(OFFSET(分析データ!$AC$2,260,0,60,1))&lt;60,"",SUM(OFFSET(分析データ!$AC$2,260,0,60,1))/1000000)</f>
        <v>-5.9902463578634588</v>
      </c>
    </row>
    <row r="265" spans="15:15">
      <c r="O265" s="29">
        <f ca="1">IF(COUNT(OFFSET(分析データ!$AC$2,261,0,60,1))&lt;60,"",SUM(OFFSET(分析データ!$AC$2,261,0,60,1))/1000000)</f>
        <v>-4.8185917725279586</v>
      </c>
    </row>
    <row r="266" spans="15:15">
      <c r="O266" s="29">
        <f ca="1">IF(COUNT(OFFSET(分析データ!$AC$2,262,0,60,1))&lt;60,"",SUM(OFFSET(分析データ!$AC$2,262,0,60,1))/1000000)</f>
        <v>-5.464474372976019</v>
      </c>
    </row>
    <row r="267" spans="15:15">
      <c r="O267" s="29">
        <f ca="1">IF(COUNT(OFFSET(分析データ!$AC$2,263,0,60,1))&lt;60,"",SUM(OFFSET(分析データ!$AC$2,263,0,60,1))/1000000)</f>
        <v>-6.1349028645128927</v>
      </c>
    </row>
    <row r="268" spans="15:15">
      <c r="O268" s="29">
        <f ca="1">IF(COUNT(OFFSET(分析データ!$AC$2,264,0,60,1))&lt;60,"",SUM(OFFSET(分析データ!$AC$2,264,0,60,1))/1000000)</f>
        <v>-5.3471201300643267</v>
      </c>
    </row>
    <row r="269" spans="15:15">
      <c r="O269" s="29">
        <f ca="1">IF(COUNT(OFFSET(分析データ!$AC$2,265,0,60,1))&lt;60,"",SUM(OFFSET(分析データ!$AC$2,265,0,60,1))/1000000)</f>
        <v>-5.2341424757812538</v>
      </c>
    </row>
    <row r="270" spans="15:15">
      <c r="O270" s="29">
        <f ca="1">IF(COUNT(OFFSET(分析データ!$AC$2,266,0,60,1))&lt;60,"",SUM(OFFSET(分析データ!$AC$2,266,0,60,1))/1000000)</f>
        <v>-4.993913165748852</v>
      </c>
    </row>
    <row r="271" spans="15:15">
      <c r="O271" s="29">
        <f ca="1">IF(COUNT(OFFSET(分析データ!$AC$2,267,0,60,1))&lt;60,"",SUM(OFFSET(分析データ!$AC$2,267,0,60,1))/1000000)</f>
        <v>-5.8305903468967895</v>
      </c>
    </row>
    <row r="272" spans="15:15">
      <c r="O272" s="29">
        <f ca="1">IF(COUNT(OFFSET(分析データ!$AC$2,268,0,60,1))&lt;60,"",SUM(OFFSET(分析データ!$AC$2,268,0,60,1))/1000000)</f>
        <v>-6.4663110174260661</v>
      </c>
    </row>
    <row r="273" spans="15:15">
      <c r="O273" s="29">
        <f ca="1">IF(COUNT(OFFSET(分析データ!$AC$2,269,0,60,1))&lt;60,"",SUM(OFFSET(分析データ!$AC$2,269,0,60,1))/1000000)</f>
        <v>-6.6122686689072872</v>
      </c>
    </row>
    <row r="274" spans="15:15">
      <c r="O274" s="29">
        <f ca="1">IF(COUNT(OFFSET(分析データ!$AC$2,270,0,60,1))&lt;60,"",SUM(OFFSET(分析データ!$AC$2,270,0,60,1))/1000000)</f>
        <v>-7.9188703702413692</v>
      </c>
    </row>
    <row r="275" spans="15:15">
      <c r="O275" s="29">
        <f ca="1">IF(COUNT(OFFSET(分析データ!$AC$2,271,0,60,1))&lt;60,"",SUM(OFFSET(分析データ!$AC$2,271,0,60,1))/1000000)</f>
        <v>-7.6443646491923873</v>
      </c>
    </row>
    <row r="276" spans="15:15">
      <c r="O276" s="29">
        <f ca="1">IF(COUNT(OFFSET(分析データ!$AC$2,272,0,60,1))&lt;60,"",SUM(OFFSET(分析データ!$AC$2,272,0,60,1))/1000000)</f>
        <v>-8.5933978091452889</v>
      </c>
    </row>
    <row r="277" spans="15:15">
      <c r="O277" s="29">
        <f ca="1">IF(COUNT(OFFSET(分析データ!$AC$2,273,0,60,1))&lt;60,"",SUM(OFFSET(分析データ!$AC$2,273,0,60,1))/1000000)</f>
        <v>-9.9048744479676802</v>
      </c>
    </row>
    <row r="278" spans="15:15">
      <c r="O278" s="29">
        <f ca="1">IF(COUNT(OFFSET(分析データ!$AC$2,274,0,60,1))&lt;60,"",SUM(OFFSET(分析データ!$AC$2,274,0,60,1))/1000000)</f>
        <v>-6.8109626118238831</v>
      </c>
    </row>
    <row r="279" spans="15:15">
      <c r="O279" s="29">
        <f ca="1">IF(COUNT(OFFSET(分析データ!$AC$2,275,0,60,1))&lt;60,"",SUM(OFFSET(分析データ!$AC$2,275,0,60,1))/1000000)</f>
        <v>-4.8148380799758508</v>
      </c>
    </row>
    <row r="280" spans="15:15">
      <c r="O280" s="29">
        <f ca="1">IF(COUNT(OFFSET(分析データ!$AC$2,276,0,60,1))&lt;60,"",SUM(OFFSET(分析データ!$AC$2,276,0,60,1))/1000000)</f>
        <v>-5.3738498130981123</v>
      </c>
    </row>
    <row r="281" spans="15:15">
      <c r="O281" s="29">
        <f ca="1">IF(COUNT(OFFSET(分析データ!$AC$2,277,0,60,1))&lt;60,"",SUM(OFFSET(分析データ!$AC$2,277,0,60,1))/1000000)</f>
        <v>-5.9166697154232111</v>
      </c>
    </row>
    <row r="282" spans="15:15">
      <c r="O282" s="29">
        <f ca="1">IF(COUNT(OFFSET(分析データ!$AC$2,278,0,60,1))&lt;60,"",SUM(OFFSET(分析データ!$AC$2,278,0,60,1))/1000000)</f>
        <v>-5.4025980485455287</v>
      </c>
    </row>
    <row r="283" spans="15:15">
      <c r="O283" s="29">
        <f ca="1">IF(COUNT(OFFSET(分析データ!$AC$2,279,0,60,1))&lt;60,"",SUM(OFFSET(分析データ!$AC$2,279,0,60,1))/1000000)</f>
        <v>-5.6550509580299595</v>
      </c>
    </row>
    <row r="284" spans="15:15">
      <c r="O284" s="29">
        <f ca="1">IF(COUNT(OFFSET(分析データ!$AC$2,280,0,60,1))&lt;60,"",SUM(OFFSET(分析データ!$AC$2,280,0,60,1))/1000000)</f>
        <v>-5.3989897083342964</v>
      </c>
    </row>
    <row r="285" spans="15:15">
      <c r="O285" s="29">
        <f ca="1">IF(COUNT(OFFSET(分析データ!$AC$2,281,0,60,1))&lt;60,"",SUM(OFFSET(分析データ!$AC$2,281,0,60,1))/1000000)</f>
        <v>-4.3245789021508942</v>
      </c>
    </row>
    <row r="286" spans="15:15">
      <c r="O286" s="29">
        <f ca="1">IF(COUNT(OFFSET(分析データ!$AC$2,282,0,60,1))&lt;60,"",SUM(OFFSET(分析データ!$AC$2,282,0,60,1))/1000000)</f>
        <v>-4.9141871012857683</v>
      </c>
    </row>
    <row r="287" spans="15:15">
      <c r="O287" s="29">
        <f ca="1">IF(COUNT(OFFSET(分析データ!$AC$2,283,0,60,1))&lt;60,"",SUM(OFFSET(分析データ!$AC$2,283,0,60,1))/1000000)</f>
        <v>-5.5405670186293552</v>
      </c>
    </row>
    <row r="288" spans="15:15">
      <c r="O288" s="29">
        <f ca="1">IF(COUNT(OFFSET(分析データ!$AC$2,284,0,60,1))&lt;60,"",SUM(OFFSET(分析データ!$AC$2,284,0,60,1))/1000000)</f>
        <v>-3.5494878785116382</v>
      </c>
    </row>
    <row r="289" spans="15:15">
      <c r="O289" s="29">
        <f ca="1">IF(COUNT(OFFSET(分析データ!$AC$2,285,0,60,1))&lt;60,"",SUM(OFFSET(分析データ!$AC$2,285,0,60,1))/1000000)</f>
        <v>-4.7581110491377192</v>
      </c>
    </row>
    <row r="290" spans="15:15">
      <c r="O290" s="29">
        <f ca="1">IF(COUNT(OFFSET(分析データ!$AC$2,286,0,60,1))&lt;60,"",SUM(OFFSET(分析データ!$AC$2,286,0,60,1))/1000000)</f>
        <v>-4.3902207524135912</v>
      </c>
    </row>
    <row r="291" spans="15:15">
      <c r="O291" s="29">
        <f ca="1">IF(COUNT(OFFSET(分析データ!$AC$2,287,0,60,1))&lt;60,"",SUM(OFFSET(分析データ!$AC$2,287,0,60,1))/1000000)</f>
        <v>-5.3982562405104444</v>
      </c>
    </row>
    <row r="292" spans="15:15">
      <c r="O292" s="29">
        <f ca="1">IF(COUNT(OFFSET(分析データ!$AC$2,288,0,60,1))&lt;60,"",SUM(OFFSET(分析データ!$AC$2,288,0,60,1))/1000000)</f>
        <v>-5.0119683617931692</v>
      </c>
    </row>
    <row r="293" spans="15:15">
      <c r="O293" s="29">
        <f ca="1">IF(COUNT(OFFSET(分析データ!$AC$2,289,0,60,1))&lt;60,"",SUM(OFFSET(分析データ!$AC$2,289,0,60,1))/1000000)</f>
        <v>-5.1966971815197862</v>
      </c>
    </row>
    <row r="294" spans="15:15">
      <c r="O294" s="29">
        <f ca="1">IF(COUNT(OFFSET(分析データ!$AC$2,290,0,60,1))&lt;60,"",SUM(OFFSET(分析データ!$AC$2,290,0,60,1))/1000000)</f>
        <v>-5.2966517957465333</v>
      </c>
    </row>
    <row r="295" spans="15:15">
      <c r="O295" s="29">
        <f ca="1">IF(COUNT(OFFSET(分析データ!$AC$2,291,0,60,1))&lt;60,"",SUM(OFFSET(分析データ!$AC$2,291,0,60,1))/1000000)</f>
        <v>-5.2723979374145706</v>
      </c>
    </row>
    <row r="296" spans="15:15">
      <c r="O296" s="29">
        <f ca="1">IF(COUNT(OFFSET(分析データ!$AC$2,292,0,60,1))&lt;60,"",SUM(OFFSET(分析データ!$AC$2,292,0,60,1))/1000000)</f>
        <v>-6.1035703620871429</v>
      </c>
    </row>
    <row r="297" spans="15:15">
      <c r="O297" s="29">
        <f ca="1">IF(COUNT(OFFSET(分析データ!$AC$2,293,0,60,1))&lt;60,"",SUM(OFFSET(分析データ!$AC$2,293,0,60,1))/1000000)</f>
        <v>-6.5812691705694446</v>
      </c>
    </row>
    <row r="298" spans="15:15">
      <c r="O298" s="29">
        <f ca="1">IF(COUNT(OFFSET(分析データ!$AC$2,294,0,60,1))&lt;60,"",SUM(OFFSET(分析データ!$AC$2,294,0,60,1))/1000000)</f>
        <v>-6.1917637118267672</v>
      </c>
    </row>
    <row r="299" spans="15:15">
      <c r="O299" s="29">
        <f ca="1">IF(COUNT(OFFSET(分析データ!$AC$2,295,0,60,1))&lt;60,"",SUM(OFFSET(分析データ!$AC$2,295,0,60,1))/1000000)</f>
        <v>-6.4775854431915851</v>
      </c>
    </row>
    <row r="300" spans="15:15">
      <c r="O300" s="29">
        <f ca="1">IF(COUNT(OFFSET(分析データ!$AC$2,296,0,60,1))&lt;60,"",SUM(OFFSET(分析データ!$AC$2,296,0,60,1))/1000000)</f>
        <v>-6.1278146381228717</v>
      </c>
    </row>
    <row r="301" spans="15:15">
      <c r="O301" s="29">
        <f ca="1">IF(COUNT(OFFSET(分析データ!$AC$2,297,0,60,1))&lt;60,"",SUM(OFFSET(分析データ!$AC$2,297,0,60,1))/1000000)</f>
        <v>-5.9944380399261439</v>
      </c>
    </row>
    <row r="302" spans="15:15">
      <c r="O302" s="29">
        <f ca="1">IF(COUNT(OFFSET(分析データ!$AC$2,298,0,60,1))&lt;60,"",SUM(OFFSET(分析データ!$AC$2,298,0,60,1))/1000000)</f>
        <v>-7.9757031952383679</v>
      </c>
    </row>
    <row r="303" spans="15:15">
      <c r="O303" s="29">
        <f ca="1">IF(COUNT(OFFSET(分析データ!$AC$2,299,0,60,1))&lt;60,"",SUM(OFFSET(分析データ!$AC$2,299,0,60,1))/1000000)</f>
        <v>-7.4294024752905656</v>
      </c>
    </row>
    <row r="304" spans="15:15">
      <c r="O304" s="29">
        <f ca="1">IF(COUNT(OFFSET(分析データ!$AC$2,300,0,60,1))&lt;60,"",SUM(OFFSET(分析データ!$AC$2,300,0,60,1))/1000000)</f>
        <v>-6.949862472562355</v>
      </c>
    </row>
    <row r="305" spans="15:15">
      <c r="O305" s="29">
        <f ca="1">IF(COUNT(OFFSET(分析データ!$AC$2,301,0,60,1))&lt;60,"",SUM(OFFSET(分析データ!$AC$2,301,0,60,1))/1000000)</f>
        <v>-7.8097649697265288</v>
      </c>
    </row>
    <row r="306" spans="15:15">
      <c r="O306" s="29">
        <f ca="1">IF(COUNT(OFFSET(分析データ!$AC$2,302,0,60,1))&lt;60,"",SUM(OFFSET(分析データ!$AC$2,302,0,60,1))/1000000)</f>
        <v>-7.1826469319001029</v>
      </c>
    </row>
    <row r="307" spans="15:15">
      <c r="O307" s="29">
        <f ca="1">IF(COUNT(OFFSET(分析データ!$AC$2,303,0,60,1))&lt;60,"",SUM(OFFSET(分析データ!$AC$2,303,0,60,1))/1000000)</f>
        <v>-6.2488594251222835</v>
      </c>
    </row>
    <row r="308" spans="15:15">
      <c r="O308" s="29">
        <f ca="1">IF(COUNT(OFFSET(分析データ!$AC$2,304,0,60,1))&lt;60,"",SUM(OFFSET(分析データ!$AC$2,304,0,60,1))/1000000)</f>
        <v>-6.3347026082883398</v>
      </c>
    </row>
    <row r="309" spans="15:15">
      <c r="O309" s="29">
        <f ca="1">IF(COUNT(OFFSET(分析データ!$AC$2,305,0,60,1))&lt;60,"",SUM(OFFSET(分析データ!$AC$2,305,0,60,1))/1000000)</f>
        <v>-3.8843987987108712</v>
      </c>
    </row>
    <row r="310" spans="15:15">
      <c r="O310" s="29">
        <f ca="1">IF(COUNT(OFFSET(分析データ!$AC$2,306,0,60,1))&lt;60,"",SUM(OFFSET(分析データ!$AC$2,306,0,60,1))/1000000)</f>
        <v>-5.2460727191410941</v>
      </c>
    </row>
    <row r="311" spans="15:15">
      <c r="O311" s="29">
        <f ca="1">IF(COUNT(OFFSET(分析データ!$AC$2,307,0,60,1))&lt;60,"",SUM(OFFSET(分析データ!$AC$2,307,0,60,1))/1000000)</f>
        <v>-4.4759422003172356</v>
      </c>
    </row>
    <row r="312" spans="15:15">
      <c r="O312" s="29">
        <f ca="1">IF(COUNT(OFFSET(分析データ!$AC$2,308,0,60,1))&lt;60,"",SUM(OFFSET(分析データ!$AC$2,308,0,60,1))/1000000)</f>
        <v>-5.2186114147832923</v>
      </c>
    </row>
    <row r="313" spans="15:15">
      <c r="O313" s="29">
        <f ca="1">IF(COUNT(OFFSET(分析データ!$AC$2,309,0,60,1))&lt;60,"",SUM(OFFSET(分析データ!$AC$2,309,0,60,1))/1000000)</f>
        <v>-5.1337193303767314</v>
      </c>
    </row>
    <row r="314" spans="15:15">
      <c r="O314" s="29">
        <f ca="1">IF(COUNT(OFFSET(分析データ!$AC$2,310,0,60,1))&lt;60,"",SUM(OFFSET(分析データ!$AC$2,310,0,60,1))/1000000)</f>
        <v>-5.666786318554192</v>
      </c>
    </row>
    <row r="315" spans="15:15">
      <c r="O315" s="29">
        <f ca="1">IF(COUNT(OFFSET(分析データ!$AC$2,311,0,60,1))&lt;60,"",SUM(OFFSET(分析データ!$AC$2,311,0,60,1))/1000000)</f>
        <v>-6.3920260455426385</v>
      </c>
    </row>
    <row r="316" spans="15:15">
      <c r="O316" s="29">
        <f ca="1">IF(COUNT(OFFSET(分析データ!$AC$2,312,0,60,1))&lt;60,"",SUM(OFFSET(分析データ!$AC$2,312,0,60,1))/1000000)</f>
        <v>-7.0132759327506671</v>
      </c>
    </row>
    <row r="317" spans="15:15">
      <c r="O317" s="29">
        <f ca="1">IF(COUNT(OFFSET(分析データ!$AC$2,313,0,60,1))&lt;60,"",SUM(OFFSET(分析データ!$AC$2,313,0,60,1))/1000000)</f>
        <v>-6.6033247456660744</v>
      </c>
    </row>
    <row r="318" spans="15:15">
      <c r="O318" s="29">
        <f ca="1">IF(COUNT(OFFSET(分析データ!$AC$2,314,0,60,1))&lt;60,"",SUM(OFFSET(分析データ!$AC$2,314,0,60,1))/1000000)</f>
        <v>-6.9342857279896748</v>
      </c>
    </row>
    <row r="319" spans="15:15">
      <c r="O319" s="29">
        <f ca="1">IF(COUNT(OFFSET(分析データ!$AC$2,315,0,60,1))&lt;60,"",SUM(OFFSET(分析データ!$AC$2,315,0,60,1))/1000000)</f>
        <v>-8.4598601403550653</v>
      </c>
    </row>
    <row r="320" spans="15:15">
      <c r="O320" s="29">
        <f ca="1">IF(COUNT(OFFSET(分析データ!$AC$2,316,0,60,1))&lt;60,"",SUM(OFFSET(分析データ!$AC$2,316,0,60,1))/1000000)</f>
        <v>-7.7025269376386634</v>
      </c>
    </row>
    <row r="321" spans="15:15">
      <c r="O321" s="29">
        <f ca="1">IF(COUNT(OFFSET(分析データ!$AC$2,317,0,60,1))&lt;60,"",SUM(OFFSET(分析データ!$AC$2,317,0,60,1))/1000000)</f>
        <v>-7.3277824387740598</v>
      </c>
    </row>
    <row r="322" spans="15:15">
      <c r="O322" s="29">
        <f ca="1">IF(COUNT(OFFSET(分析データ!$AC$2,318,0,60,1))&lt;60,"",SUM(OFFSET(分析データ!$AC$2,318,0,60,1))/1000000)</f>
        <v>-7.8287017814319695</v>
      </c>
    </row>
    <row r="323" spans="15:15">
      <c r="O323" s="29">
        <f ca="1">IF(COUNT(OFFSET(分析データ!$AC$2,319,0,60,1))&lt;60,"",SUM(OFFSET(分析データ!$AC$2,319,0,60,1))/1000000)</f>
        <v>-6.1289741830174904</v>
      </c>
    </row>
    <row r="324" spans="15:15">
      <c r="O324" s="29">
        <f ca="1">IF(COUNT(OFFSET(分析データ!$AC$2,320,0,60,1))&lt;60,"",SUM(OFFSET(分析データ!$AC$2,320,0,60,1))/1000000)</f>
        <v>-6.0800650059932853</v>
      </c>
    </row>
    <row r="325" spans="15:15">
      <c r="O325" s="29">
        <f ca="1">IF(COUNT(OFFSET(分析データ!$AC$2,321,0,60,1))&lt;60,"",SUM(OFFSET(分析データ!$AC$2,321,0,60,1))/1000000)</f>
        <v>-6.3055046161413575</v>
      </c>
    </row>
    <row r="326" spans="15:15">
      <c r="O326" s="29">
        <f ca="1">IF(COUNT(OFFSET(分析データ!$AC$2,322,0,60,1))&lt;60,"",SUM(OFFSET(分析データ!$AC$2,322,0,60,1))/1000000)</f>
        <v>-2.5959804402164504</v>
      </c>
    </row>
    <row r="327" spans="15:15">
      <c r="O327" s="29">
        <f ca="1">IF(COUNT(OFFSET(分析データ!$AC$2,323,0,60,1))&lt;60,"",SUM(OFFSET(分析データ!$AC$2,323,0,60,1))/1000000)</f>
        <v>-2.1070660940752601</v>
      </c>
    </row>
    <row r="328" spans="15:15">
      <c r="O328" s="29">
        <f ca="1">IF(COUNT(OFFSET(分析データ!$AC$2,324,0,60,1))&lt;60,"",SUM(OFFSET(分析データ!$AC$2,324,0,60,1))/1000000)</f>
        <v>-3.0911338211192092</v>
      </c>
    </row>
    <row r="329" spans="15:15">
      <c r="O329" s="29">
        <f ca="1">IF(COUNT(OFFSET(分析データ!$AC$2,325,0,60,1))&lt;60,"",SUM(OFFSET(分析データ!$AC$2,325,0,60,1))/1000000)</f>
        <v>-3.0184185301556208</v>
      </c>
    </row>
    <row r="330" spans="15:15">
      <c r="O330" s="29">
        <f ca="1">IF(COUNT(OFFSET(分析データ!$AC$2,326,0,60,1))&lt;60,"",SUM(OFFSET(分析データ!$AC$2,326,0,60,1))/1000000)</f>
        <v>-0.86837280121276295</v>
      </c>
    </row>
    <row r="331" spans="15:15">
      <c r="O331" s="29">
        <f ca="1">IF(COUNT(OFFSET(分析データ!$AC$2,327,0,60,1))&lt;60,"",SUM(OFFSET(分析データ!$AC$2,327,0,60,1))/1000000)</f>
        <v>-1.8984236266484102</v>
      </c>
    </row>
    <row r="332" spans="15:15">
      <c r="O332" s="29">
        <f ca="1">IF(COUNT(OFFSET(分析データ!$AC$2,328,0,60,1))&lt;60,"",SUM(OFFSET(分析データ!$AC$2,328,0,60,1))/1000000)</f>
        <v>-1.4221925584997304</v>
      </c>
    </row>
    <row r="333" spans="15:15">
      <c r="O333" s="29">
        <f ca="1">IF(COUNT(OFFSET(分析データ!$AC$2,329,0,60,1))&lt;60,"",SUM(OFFSET(分析データ!$AC$2,329,0,60,1))/1000000)</f>
        <v>-0.87031316091968025</v>
      </c>
    </row>
    <row r="334" spans="15:15">
      <c r="O334" s="29">
        <f ca="1">IF(COUNT(OFFSET(分析データ!$AC$2,330,0,60,1))&lt;60,"",SUM(OFFSET(分析データ!$AC$2,330,0,60,1))/1000000)</f>
        <v>-0.15109075213365977</v>
      </c>
    </row>
    <row r="335" spans="15:15">
      <c r="O335" s="29">
        <f ca="1">IF(COUNT(OFFSET(分析データ!$AC$2,331,0,60,1))&lt;60,"",SUM(OFFSET(分析データ!$AC$2,331,0,60,1))/1000000)</f>
        <v>0.57777313093447014</v>
      </c>
    </row>
    <row r="336" spans="15:15">
      <c r="O336" s="29">
        <f ca="1">IF(COUNT(OFFSET(分析データ!$AC$2,332,0,60,1))&lt;60,"",SUM(OFFSET(分析データ!$AC$2,332,0,60,1))/1000000)</f>
        <v>0.95428179262158452</v>
      </c>
    </row>
    <row r="337" spans="15:15">
      <c r="O337" s="29">
        <f ca="1">IF(COUNT(OFFSET(分析データ!$AC$2,333,0,60,1))&lt;60,"",SUM(OFFSET(分析データ!$AC$2,333,0,60,1))/1000000)</f>
        <v>2.5030928555748098</v>
      </c>
    </row>
    <row r="338" spans="15:15">
      <c r="O338" s="29">
        <f ca="1">IF(COUNT(OFFSET(分析データ!$AC$2,334,0,60,1))&lt;60,"",SUM(OFFSET(分析データ!$AC$2,334,0,60,1))/1000000)</f>
        <v>1.5035829832242069</v>
      </c>
    </row>
    <row r="339" spans="15:15">
      <c r="O339" s="29">
        <f ca="1">IF(COUNT(OFFSET(分析データ!$AC$2,335,0,60,1))&lt;60,"",SUM(OFFSET(分析データ!$AC$2,335,0,60,1))/1000000)</f>
        <v>0.1636062439397897</v>
      </c>
    </row>
    <row r="340" spans="15:15">
      <c r="O340" s="29">
        <f ca="1">IF(COUNT(OFFSET(分析データ!$AC$2,336,0,60,1))&lt;60,"",SUM(OFFSET(分析データ!$AC$2,336,0,60,1))/1000000)</f>
        <v>2.2710939772192948</v>
      </c>
    </row>
    <row r="341" spans="15:15">
      <c r="O341" s="29">
        <f ca="1">IF(COUNT(OFFSET(分析データ!$AC$2,337,0,60,1))&lt;60,"",SUM(OFFSET(分析データ!$AC$2,337,0,60,1))/1000000)</f>
        <v>3.3322935775901144</v>
      </c>
    </row>
    <row r="342" spans="15:15">
      <c r="O342" s="29">
        <f ca="1">IF(COUNT(OFFSET(分析データ!$AC$2,338,0,60,1))&lt;60,"",SUM(OFFSET(分析データ!$AC$2,338,0,60,1))/1000000)</f>
        <v>3.4055821990968158</v>
      </c>
    </row>
    <row r="343" spans="15:15">
      <c r="O343" s="29">
        <f ca="1">IF(COUNT(OFFSET(分析データ!$AC$2,339,0,60,1))&lt;60,"",SUM(OFFSET(分析データ!$AC$2,339,0,60,1))/1000000)</f>
        <v>6.4225161188290123</v>
      </c>
    </row>
    <row r="344" spans="15:15">
      <c r="O344" s="29">
        <f ca="1">IF(COUNT(OFFSET(分析データ!$AC$2,340,0,60,1))&lt;60,"",SUM(OFFSET(分析データ!$AC$2,340,0,60,1))/1000000)</f>
        <v>7.077623045711003</v>
      </c>
    </row>
    <row r="345" spans="15:15">
      <c r="O345" s="29">
        <f ca="1">IF(COUNT(OFFSET(分析データ!$AC$2,341,0,60,1))&lt;60,"",SUM(OFFSET(分析データ!$AC$2,341,0,60,1))/1000000)</f>
        <v>5.7482392516578216</v>
      </c>
    </row>
    <row r="346" spans="15:15">
      <c r="O346" s="29">
        <f ca="1">IF(COUNT(OFFSET(分析データ!$AC$2,342,0,60,1))&lt;60,"",SUM(OFFSET(分析データ!$AC$2,342,0,60,1))/1000000)</f>
        <v>4.8286204855859465</v>
      </c>
    </row>
    <row r="347" spans="15:15">
      <c r="O347" s="29">
        <f ca="1">IF(COUNT(OFFSET(分析データ!$AC$2,343,0,60,1))&lt;60,"",SUM(OFFSET(分析データ!$AC$2,343,0,60,1))/1000000)</f>
        <v>5.6783731413891898</v>
      </c>
    </row>
    <row r="348" spans="15:15">
      <c r="O348" s="29">
        <f ca="1">IF(COUNT(OFFSET(分析データ!$AC$2,344,0,60,1))&lt;60,"",SUM(OFFSET(分析データ!$AC$2,344,0,60,1))/1000000)</f>
        <v>4.4855995024693947</v>
      </c>
    </row>
    <row r="349" spans="15:15">
      <c r="O349" s="29">
        <f ca="1">IF(COUNT(OFFSET(分析データ!$AC$2,345,0,60,1))&lt;60,"",SUM(OFFSET(分析データ!$AC$2,345,0,60,1))/1000000)</f>
        <v>4.9247897222621342</v>
      </c>
    </row>
    <row r="350" spans="15:15">
      <c r="O350" s="29">
        <f ca="1">IF(COUNT(OFFSET(分析データ!$AC$2,346,0,60,1))&lt;60,"",SUM(OFFSET(分析データ!$AC$2,346,0,60,1))/1000000)</f>
        <v>4.935354817234745</v>
      </c>
    </row>
    <row r="351" spans="15:15">
      <c r="O351" s="29">
        <f ca="1">IF(COUNT(OFFSET(分析データ!$AC$2,347,0,60,1))&lt;60,"",SUM(OFFSET(分析データ!$AC$2,347,0,60,1))/1000000)</f>
        <v>4.3398040921866619</v>
      </c>
    </row>
    <row r="352" spans="15:15">
      <c r="O352" s="29">
        <f ca="1">IF(COUNT(OFFSET(分析データ!$AC$2,348,0,60,1))&lt;60,"",SUM(OFFSET(分析データ!$AC$2,348,0,60,1))/1000000)</f>
        <v>4.2051190368128548</v>
      </c>
    </row>
    <row r="353" spans="15:15">
      <c r="O353" s="29">
        <f ca="1">IF(COUNT(OFFSET(分析データ!$AC$2,349,0,60,1))&lt;60,"",SUM(OFFSET(分析データ!$AC$2,349,0,60,1))/1000000)</f>
        <v>6.8459190420058427</v>
      </c>
    </row>
    <row r="354" spans="15:15">
      <c r="O354" s="29">
        <f ca="1">IF(COUNT(OFFSET(分析データ!$AC$2,350,0,60,1))&lt;60,"",SUM(OFFSET(分析データ!$AC$2,350,0,60,1))/1000000)</f>
        <v>8.0046661692239081</v>
      </c>
    </row>
    <row r="355" spans="15:15">
      <c r="O355" s="29">
        <f ca="1">IF(COUNT(OFFSET(分析データ!$AC$2,351,0,60,1))&lt;60,"",SUM(OFFSET(分析データ!$AC$2,351,0,60,1))/1000000)</f>
        <v>7.825352128220743</v>
      </c>
    </row>
    <row r="356" spans="15:15">
      <c r="O356" s="29">
        <f ca="1">IF(COUNT(OFFSET(分析データ!$AC$2,352,0,60,1))&lt;60,"",SUM(OFFSET(分析データ!$AC$2,352,0,60,1))/1000000)</f>
        <v>7.268127400633305</v>
      </c>
    </row>
    <row r="357" spans="15:15">
      <c r="O357" s="29">
        <f ca="1">IF(COUNT(OFFSET(分析データ!$AC$2,353,0,60,1))&lt;60,"",SUM(OFFSET(分析データ!$AC$2,353,0,60,1))/1000000)</f>
        <v>7.9222155038409756</v>
      </c>
    </row>
    <row r="358" spans="15:15">
      <c r="O358" s="29">
        <f ca="1">IF(COUNT(OFFSET(分析データ!$AC$2,354,0,60,1))&lt;60,"",SUM(OFFSET(分析データ!$AC$2,354,0,60,1))/1000000)</f>
        <v>8.8673798846766037</v>
      </c>
    </row>
    <row r="359" spans="15:15">
      <c r="O359" s="29">
        <f ca="1">IF(COUNT(OFFSET(分析データ!$AC$2,355,0,60,1))&lt;60,"",SUM(OFFSET(分析データ!$AC$2,355,0,60,1))/1000000)</f>
        <v>8.7616820457487652</v>
      </c>
    </row>
    <row r="360" spans="15:15">
      <c r="O360" s="29">
        <f ca="1">IF(COUNT(OFFSET(分析データ!$AC$2,356,0,60,1))&lt;60,"",SUM(OFFSET(分析データ!$AC$2,356,0,60,1))/1000000)</f>
        <v>7.4120534067558124</v>
      </c>
    </row>
    <row r="361" spans="15:15">
      <c r="O361" s="29">
        <f ca="1">IF(COUNT(OFFSET(分析データ!$AC$2,357,0,60,1))&lt;60,"",SUM(OFFSET(分析データ!$AC$2,357,0,60,1))/1000000)</f>
        <v>5.728913293532452</v>
      </c>
    </row>
    <row r="362" spans="15:15">
      <c r="O362" s="29">
        <f ca="1">IF(COUNT(OFFSET(分析データ!$AC$2,358,0,60,1))&lt;60,"",SUM(OFFSET(分析データ!$AC$2,358,0,60,1))/1000000)</f>
        <v>6.4594541790163413</v>
      </c>
    </row>
    <row r="363" spans="15:15">
      <c r="O363" s="29">
        <f ca="1">IF(COUNT(OFFSET(分析データ!$AC$2,359,0,60,1))&lt;60,"",SUM(OFFSET(分析データ!$AC$2,359,0,60,1))/1000000)</f>
        <v>6.2185570442651317</v>
      </c>
    </row>
    <row r="364" spans="15:15">
      <c r="O364" s="29">
        <f ca="1">IF(COUNT(OFFSET(分析データ!$AC$2,360,0,60,1))&lt;60,"",SUM(OFFSET(分析データ!$AC$2,360,0,60,1))/1000000)</f>
        <v>7.7899794774268578</v>
      </c>
    </row>
    <row r="365" spans="15:15">
      <c r="O365" s="29">
        <f ca="1">IF(COUNT(OFFSET(分析データ!$AC$2,361,0,60,1))&lt;60,"",SUM(OFFSET(分析データ!$AC$2,361,0,60,1))/1000000)</f>
        <v>11.588628695289172</v>
      </c>
    </row>
    <row r="366" spans="15:15">
      <c r="O366" s="29">
        <f ca="1">IF(COUNT(OFFSET(分析データ!$AC$2,362,0,60,1))&lt;60,"",SUM(OFFSET(分析データ!$AC$2,362,0,60,1))/1000000)</f>
        <v>8.0293054625432223</v>
      </c>
    </row>
    <row r="367" spans="15:15">
      <c r="O367" s="29">
        <f ca="1">IF(COUNT(OFFSET(分析データ!$AC$2,363,0,60,1))&lt;60,"",SUM(OFFSET(分析データ!$AC$2,363,0,60,1))/1000000)</f>
        <v>8.5836427952775782</v>
      </c>
    </row>
    <row r="368" spans="15:15">
      <c r="O368" s="29">
        <f ca="1">IF(COUNT(OFFSET(分析データ!$AC$2,364,0,60,1))&lt;60,"",SUM(OFFSET(分析データ!$AC$2,364,0,60,1))/1000000)</f>
        <v>9.4870605314318315</v>
      </c>
    </row>
    <row r="369" spans="15:15">
      <c r="O369" s="29">
        <f ca="1">IF(COUNT(OFFSET(分析データ!$AC$2,365,0,60,1))&lt;60,"",SUM(OFFSET(分析データ!$AC$2,365,0,60,1))/1000000)</f>
        <v>8.7771921282292276</v>
      </c>
    </row>
    <row r="370" spans="15:15">
      <c r="O370" s="29">
        <f ca="1">IF(COUNT(OFFSET(分析データ!$AC$2,366,0,60,1))&lt;60,"",SUM(OFFSET(分析データ!$AC$2,366,0,60,1))/1000000)</f>
        <v>10.485113330672213</v>
      </c>
    </row>
    <row r="371" spans="15:15">
      <c r="O371" s="29">
        <f ca="1">IF(COUNT(OFFSET(分析データ!$AC$2,367,0,60,1))&lt;60,"",SUM(OFFSET(分析データ!$AC$2,367,0,60,1))/1000000)</f>
        <v>10.17375763352076</v>
      </c>
    </row>
    <row r="372" spans="15:15">
      <c r="O372" s="29">
        <f ca="1">IF(COUNT(OFFSET(分析データ!$AC$2,368,0,60,1))&lt;60,"",SUM(OFFSET(分析データ!$AC$2,368,0,60,1))/1000000)</f>
        <v>12.005593034816481</v>
      </c>
    </row>
    <row r="373" spans="15:15">
      <c r="O373" s="29">
        <f ca="1">IF(COUNT(OFFSET(分析データ!$AC$2,369,0,60,1))&lt;60,"",SUM(OFFSET(分析データ!$AC$2,369,0,60,1))/1000000)</f>
        <v>10.510296098972038</v>
      </c>
    </row>
    <row r="374" spans="15:15">
      <c r="O374" s="29">
        <f ca="1">IF(COUNT(OFFSET(分析データ!$AC$2,370,0,60,1))&lt;60,"",SUM(OFFSET(分析データ!$AC$2,370,0,60,1))/1000000)</f>
        <v>10.444981997451256</v>
      </c>
    </row>
    <row r="375" spans="15:15">
      <c r="O375" s="29">
        <f ca="1">IF(COUNT(OFFSET(分析データ!$AC$2,371,0,60,1))&lt;60,"",SUM(OFFSET(分析データ!$AC$2,371,0,60,1))/1000000)</f>
        <v>10.068066243005587</v>
      </c>
    </row>
    <row r="376" spans="15:15">
      <c r="O376" s="29">
        <f ca="1">IF(COUNT(OFFSET(分析データ!$AC$2,372,0,60,1))&lt;60,"",SUM(OFFSET(分析データ!$AC$2,372,0,60,1))/1000000)</f>
        <v>10.70990048467436</v>
      </c>
    </row>
    <row r="377" spans="15:15">
      <c r="O377" s="29">
        <f ca="1">IF(COUNT(OFFSET(分析データ!$AC$2,373,0,60,1))&lt;60,"",SUM(OFFSET(分析データ!$AC$2,373,0,60,1))/1000000)</f>
        <v>9.9682014333622959</v>
      </c>
    </row>
    <row r="378" spans="15:15">
      <c r="O378" s="29">
        <f ca="1">IF(COUNT(OFFSET(分析データ!$AC$2,374,0,60,1))&lt;60,"",SUM(OFFSET(分析データ!$AC$2,374,0,60,1))/1000000)</f>
        <v>10.481963843569114</v>
      </c>
    </row>
    <row r="379" spans="15:15">
      <c r="O379" s="29">
        <f ca="1">IF(COUNT(OFFSET(分析データ!$AC$2,375,0,60,1))&lt;60,"",SUM(OFFSET(分析データ!$AC$2,375,0,60,1))/1000000)</f>
        <v>10.019641138590373</v>
      </c>
    </row>
    <row r="380" spans="15:15">
      <c r="O380" s="29">
        <f ca="1">IF(COUNT(OFFSET(分析データ!$AC$2,376,0,60,1))&lt;60,"",SUM(OFFSET(分析データ!$AC$2,376,0,60,1))/1000000)</f>
        <v>9.822314095521941</v>
      </c>
    </row>
    <row r="381" spans="15:15">
      <c r="O381" s="29">
        <f ca="1">IF(COUNT(OFFSET(分析データ!$AC$2,377,0,60,1))&lt;60,"",SUM(OFFSET(分析データ!$AC$2,377,0,60,1))/1000000)</f>
        <v>9.7113566190764598</v>
      </c>
    </row>
    <row r="382" spans="15:15">
      <c r="O382" s="29">
        <f ca="1">IF(COUNT(OFFSET(分析データ!$AC$2,378,0,60,1))&lt;60,"",SUM(OFFSET(分析データ!$AC$2,378,0,60,1))/1000000)</f>
        <v>11.18822298753101</v>
      </c>
    </row>
    <row r="383" spans="15:15">
      <c r="O383" s="29">
        <f ca="1">IF(COUNT(OFFSET(分析データ!$AC$2,379,0,60,1))&lt;60,"",SUM(OFFSET(分析データ!$AC$2,379,0,60,1))/1000000)</f>
        <v>10.813132014114419</v>
      </c>
    </row>
    <row r="384" spans="15:15">
      <c r="O384" s="29">
        <f ca="1">IF(COUNT(OFFSET(分析データ!$AC$2,380,0,60,1))&lt;60,"",SUM(OFFSET(分析データ!$AC$2,380,0,60,1))/1000000)</f>
        <v>8.60153507579078</v>
      </c>
    </row>
    <row r="385" spans="15:15">
      <c r="O385" s="29">
        <f ca="1">IF(COUNT(OFFSET(分析データ!$AC$2,381,0,60,1))&lt;60,"",SUM(OFFSET(分析データ!$AC$2,381,0,60,1))/1000000)</f>
        <v>8.2260839295408097</v>
      </c>
    </row>
    <row r="386" spans="15:15">
      <c r="O386" s="29">
        <f ca="1">IF(COUNT(OFFSET(分析データ!$AC$2,382,0,60,1))&lt;60,"",SUM(OFFSET(分析データ!$AC$2,382,0,60,1))/1000000)</f>
        <v>6.4613370123460179</v>
      </c>
    </row>
    <row r="387" spans="15:15">
      <c r="O387" s="29">
        <f ca="1">IF(COUNT(OFFSET(分析データ!$AC$2,383,0,60,1))&lt;60,"",SUM(OFFSET(分析データ!$AC$2,383,0,60,1))/1000000)</f>
        <v>5.4008050733113704</v>
      </c>
    </row>
    <row r="388" spans="15:15">
      <c r="O388" s="29">
        <f ca="1">IF(COUNT(OFFSET(分析データ!$AC$2,384,0,60,1))&lt;60,"",SUM(OFFSET(分析データ!$AC$2,384,0,60,1))/1000000)</f>
        <v>5.6749134054394572</v>
      </c>
    </row>
    <row r="389" spans="15:15">
      <c r="O389" s="29">
        <f ca="1">IF(COUNT(OFFSET(分析データ!$AC$2,385,0,60,1))&lt;60,"",SUM(OFFSET(分析データ!$AC$2,385,0,60,1))/1000000)</f>
        <v>4.973083109787181</v>
      </c>
    </row>
    <row r="390" spans="15:15">
      <c r="O390" s="29">
        <f ca="1">IF(COUNT(OFFSET(分析データ!$AC$2,386,0,60,1))&lt;60,"",SUM(OFFSET(分析データ!$AC$2,386,0,60,1))/1000000)</f>
        <v>2.9072900436078069</v>
      </c>
    </row>
    <row r="391" spans="15:15">
      <c r="O391" s="29">
        <f ca="1">IF(COUNT(OFFSET(分析データ!$AC$2,387,0,60,1))&lt;60,"",SUM(OFFSET(分析データ!$AC$2,387,0,60,1))/1000000)</f>
        <v>3.8989191689601732</v>
      </c>
    </row>
    <row r="392" spans="15:15">
      <c r="O392" s="29">
        <f ca="1">IF(COUNT(OFFSET(分析データ!$AC$2,388,0,60,1))&lt;60,"",SUM(OFFSET(分析データ!$AC$2,388,0,60,1))/1000000)</f>
        <v>4.2332827004805651</v>
      </c>
    </row>
    <row r="393" spans="15:15">
      <c r="O393" s="29">
        <f ca="1">IF(COUNT(OFFSET(分析データ!$AC$2,389,0,60,1))&lt;60,"",SUM(OFFSET(分析データ!$AC$2,389,0,60,1))/1000000)</f>
        <v>3.5234358259975798</v>
      </c>
    </row>
    <row r="394" spans="15:15">
      <c r="O394" s="29">
        <f ca="1">IF(COUNT(OFFSET(分析データ!$AC$2,390,0,60,1))&lt;60,"",SUM(OFFSET(分析データ!$AC$2,390,0,60,1))/1000000)</f>
        <v>2.4032789369958851</v>
      </c>
    </row>
    <row r="395" spans="15:15">
      <c r="O395" s="29">
        <f ca="1">IF(COUNT(OFFSET(分析データ!$AC$2,391,0,60,1))&lt;60,"",SUM(OFFSET(分析データ!$AC$2,391,0,60,1))/1000000)</f>
        <v>1.2463407228730612</v>
      </c>
    </row>
    <row r="396" spans="15:15">
      <c r="O396" s="29">
        <f ca="1">IF(COUNT(OFFSET(分析データ!$AC$2,392,0,60,1))&lt;60,"",SUM(OFFSET(分析データ!$AC$2,392,0,60,1))/1000000)</f>
        <v>0.28412035818538084</v>
      </c>
    </row>
    <row r="397" spans="15:15">
      <c r="O397" s="29">
        <f ca="1">IF(COUNT(OFFSET(分析データ!$AC$2,393,0,60,1))&lt;60,"",SUM(OFFSET(分析データ!$AC$2,393,0,60,1))/1000000)</f>
        <v>-0.50241585015578538</v>
      </c>
    </row>
    <row r="398" spans="15:15">
      <c r="O398" s="29">
        <f ca="1">IF(COUNT(OFFSET(分析データ!$AC$2,394,0,60,1))&lt;60,"",SUM(OFFSET(分析データ!$AC$2,394,0,60,1))/1000000)</f>
        <v>-2.1695192288513607</v>
      </c>
    </row>
    <row r="399" spans="15:15">
      <c r="O399" s="29">
        <f ca="1">IF(COUNT(OFFSET(分析データ!$AC$2,395,0,60,1))&lt;60,"",SUM(OFFSET(分析データ!$AC$2,395,0,60,1))/1000000)</f>
        <v>-2.0879775848020419</v>
      </c>
    </row>
    <row r="400" spans="15:15">
      <c r="O400" s="29">
        <f ca="1">IF(COUNT(OFFSET(分析データ!$AC$2,396,0,60,1))&lt;60,"",SUM(OFFSET(分析データ!$AC$2,396,0,60,1))/1000000)</f>
        <v>-4.6457221930815376</v>
      </c>
    </row>
    <row r="401" spans="15:15">
      <c r="O401" s="29">
        <f ca="1">IF(COUNT(OFFSET(分析データ!$AC$2,397,0,60,1))&lt;60,"",SUM(OFFSET(分析データ!$AC$2,397,0,60,1))/1000000)</f>
        <v>-5.7056944650415176</v>
      </c>
    </row>
    <row r="402" spans="15:15">
      <c r="O402" s="29">
        <f ca="1">IF(COUNT(OFFSET(分析データ!$AC$2,398,0,60,1))&lt;60,"",SUM(OFFSET(分析データ!$AC$2,398,0,60,1))/1000000)</f>
        <v>-5.5760833533237903</v>
      </c>
    </row>
    <row r="403" spans="15:15">
      <c r="O403" s="29">
        <f ca="1">IF(COUNT(OFFSET(分析データ!$AC$2,399,0,60,1))&lt;60,"",SUM(OFFSET(分析データ!$AC$2,399,0,60,1))/1000000)</f>
        <v>-8.4779383638279953</v>
      </c>
    </row>
    <row r="404" spans="15:15">
      <c r="O404" s="29">
        <f ca="1">IF(COUNT(OFFSET(分析データ!$AC$2,400,0,60,1))&lt;60,"",SUM(OFFSET(分析データ!$AC$2,400,0,60,1))/1000000)</f>
        <v>-8.9429751330581162</v>
      </c>
    </row>
    <row r="405" spans="15:15">
      <c r="O405" s="29">
        <f ca="1">IF(COUNT(OFFSET(分析データ!$AC$2,401,0,60,1))&lt;60,"",SUM(OFFSET(分析データ!$AC$2,401,0,60,1))/1000000)</f>
        <v>-6.9549446977295988</v>
      </c>
    </row>
    <row r="406" spans="15:15">
      <c r="O406" s="29">
        <f ca="1">IF(COUNT(OFFSET(分析データ!$AC$2,402,0,60,1))&lt;60,"",SUM(OFFSET(分析データ!$AC$2,402,0,60,1))/1000000)</f>
        <v>-5.6286676641463105</v>
      </c>
    </row>
    <row r="407" spans="15:15">
      <c r="O407" s="29">
        <f ca="1">IF(COUNT(OFFSET(分析データ!$AC$2,403,0,60,1))&lt;60,"",SUM(OFFSET(分析データ!$AC$2,403,0,60,1))/1000000)</f>
        <v>-5.4357035695586893</v>
      </c>
    </row>
    <row r="408" spans="15:15">
      <c r="O408" s="29">
        <f ca="1">IF(COUNT(OFFSET(分析データ!$AC$2,404,0,60,1))&lt;60,"",SUM(OFFSET(分析データ!$AC$2,404,0,60,1))/1000000)</f>
        <v>-6.2858307233098012</v>
      </c>
    </row>
    <row r="409" spans="15:15">
      <c r="O409" s="29">
        <f ca="1">IF(COUNT(OFFSET(分析データ!$AC$2,405,0,60,1))&lt;60,"",SUM(OFFSET(分析データ!$AC$2,405,0,60,1))/1000000)</f>
        <v>-7.5422334227267598</v>
      </c>
    </row>
    <row r="410" spans="15:15">
      <c r="O410" s="29">
        <f ca="1">IF(COUNT(OFFSET(分析データ!$AC$2,406,0,60,1))&lt;60,"",SUM(OFFSET(分析データ!$AC$2,406,0,60,1))/1000000)</f>
        <v>-6.3865780767237341</v>
      </c>
    </row>
    <row r="411" spans="15:15">
      <c r="O411" s="29">
        <f ca="1">IF(COUNT(OFFSET(分析データ!$AC$2,407,0,60,1))&lt;60,"",SUM(OFFSET(分析データ!$AC$2,407,0,60,1))/1000000)</f>
        <v>-5.7729791141763549</v>
      </c>
    </row>
    <row r="412" spans="15:15">
      <c r="O412" s="29">
        <f ca="1">IF(COUNT(OFFSET(分析データ!$AC$2,408,0,60,1))&lt;60,"",SUM(OFFSET(分析データ!$AC$2,408,0,60,1))/1000000)</f>
        <v>-7.3008829068342731</v>
      </c>
    </row>
    <row r="413" spans="15:15">
      <c r="O413" s="29">
        <f ca="1">IF(COUNT(OFFSET(分析データ!$AC$2,409,0,60,1))&lt;60,"",SUM(OFFSET(分析データ!$AC$2,409,0,60,1))/1000000)</f>
        <v>-9.8513244679119953</v>
      </c>
    </row>
    <row r="414" spans="15:15">
      <c r="O414" s="29">
        <f ca="1">IF(COUNT(OFFSET(分析データ!$AC$2,410,0,60,1))&lt;60,"",SUM(OFFSET(分析データ!$AC$2,410,0,60,1))/1000000)</f>
        <v>-11.667577289314515</v>
      </c>
    </row>
    <row r="415" spans="15:15">
      <c r="O415" s="29">
        <f ca="1">IF(COUNT(OFFSET(分析データ!$AC$2,411,0,60,1))&lt;60,"",SUM(OFFSET(分析データ!$AC$2,411,0,60,1))/1000000)</f>
        <v>-10.151518924003708</v>
      </c>
    </row>
    <row r="416" spans="15:15">
      <c r="O416" s="29">
        <f ca="1">IF(COUNT(OFFSET(分析データ!$AC$2,412,0,60,1))&lt;60,"",SUM(OFFSET(分析データ!$AC$2,412,0,60,1))/1000000)</f>
        <v>-9.1778943778220299</v>
      </c>
    </row>
    <row r="417" spans="15:15">
      <c r="O417" s="29">
        <f ca="1">IF(COUNT(OFFSET(分析データ!$AC$2,413,0,60,1))&lt;60,"",SUM(OFFSET(分析データ!$AC$2,413,0,60,1))/1000000)</f>
        <v>-9.2234533992966359</v>
      </c>
    </row>
    <row r="418" spans="15:15">
      <c r="O418" s="29">
        <f ca="1">IF(COUNT(OFFSET(分析データ!$AC$2,414,0,60,1))&lt;60,"",SUM(OFFSET(分析データ!$AC$2,414,0,60,1))/1000000)</f>
        <v>-10.792518063260152</v>
      </c>
    </row>
    <row r="419" spans="15:15">
      <c r="O419" s="29">
        <f ca="1">IF(COUNT(OFFSET(分析データ!$AC$2,415,0,60,1))&lt;60,"",SUM(OFFSET(分析データ!$AC$2,415,0,60,1))/1000000)</f>
        <v>-9.9053228842674237</v>
      </c>
    </row>
    <row r="420" spans="15:15">
      <c r="O420" s="29">
        <f ca="1">IF(COUNT(OFFSET(分析データ!$AC$2,416,0,60,1))&lt;60,"",SUM(OFFSET(分析データ!$AC$2,416,0,60,1))/1000000)</f>
        <v>-9.2125506608277714</v>
      </c>
    </row>
    <row r="421" spans="15:15">
      <c r="O421" s="29">
        <f ca="1">IF(COUNT(OFFSET(分析データ!$AC$2,417,0,60,1))&lt;60,"",SUM(OFFSET(分析データ!$AC$2,417,0,60,1))/1000000)</f>
        <v>-9.1661122051047936</v>
      </c>
    </row>
    <row r="422" spans="15:15">
      <c r="O422" s="29">
        <f ca="1">IF(COUNT(OFFSET(分析データ!$AC$2,418,0,60,1))&lt;60,"",SUM(OFFSET(分析データ!$AC$2,418,0,60,1))/1000000)</f>
        <v>-7.8579130203491969</v>
      </c>
    </row>
    <row r="423" spans="15:15">
      <c r="O423" s="29">
        <f ca="1">IF(COUNT(OFFSET(分析データ!$AC$2,419,0,60,1))&lt;60,"",SUM(OFFSET(分析データ!$AC$2,419,0,60,1))/1000000)</f>
        <v>-6.2626461781259275</v>
      </c>
    </row>
    <row r="424" spans="15:15">
      <c r="O424" s="29">
        <f ca="1">IF(COUNT(OFFSET(分析データ!$AC$2,420,0,60,1))&lt;60,"",SUM(OFFSET(分析データ!$AC$2,420,0,60,1))/1000000)</f>
        <v>-6.6506138384861444</v>
      </c>
    </row>
    <row r="425" spans="15:15">
      <c r="O425" s="29">
        <f ca="1">IF(COUNT(OFFSET(分析データ!$AC$2,421,0,60,1))&lt;60,"",SUM(OFFSET(分析データ!$AC$2,421,0,60,1))/1000000)</f>
        <v>-9.1238699812585597</v>
      </c>
    </row>
    <row r="426" spans="15:15">
      <c r="O426" s="29">
        <f ca="1">IF(COUNT(OFFSET(分析データ!$AC$2,422,0,60,1))&lt;60,"",SUM(OFFSET(分析データ!$AC$2,422,0,60,1))/1000000)</f>
        <v>-5.9360186458118376</v>
      </c>
    </row>
    <row r="427" spans="15:15">
      <c r="O427" s="29">
        <f ca="1">IF(COUNT(OFFSET(分析データ!$AC$2,423,0,60,1))&lt;60,"",SUM(OFFSET(分析データ!$AC$2,423,0,60,1))/1000000)</f>
        <v>-6.9776867345520959</v>
      </c>
    </row>
    <row r="428" spans="15:15">
      <c r="O428" s="29">
        <f ca="1">IF(COUNT(OFFSET(分析データ!$AC$2,424,0,60,1))&lt;60,"",SUM(OFFSET(分析データ!$AC$2,424,0,60,1))/1000000)</f>
        <v>-7.4166240947649245</v>
      </c>
    </row>
    <row r="429" spans="15:15">
      <c r="O429" s="29">
        <f ca="1">IF(COUNT(OFFSET(分析データ!$AC$2,425,0,60,1))&lt;60,"",SUM(OFFSET(分析データ!$AC$2,425,0,60,1))/1000000)</f>
        <v>-7.2577748028402409</v>
      </c>
    </row>
    <row r="430" spans="15:15">
      <c r="O430" s="29">
        <f ca="1">IF(COUNT(OFFSET(分析データ!$AC$2,426,0,60,1))&lt;60,"",SUM(OFFSET(分析データ!$AC$2,426,0,60,1))/1000000)</f>
        <v>-9.1028748193154101</v>
      </c>
    </row>
    <row r="431" spans="15:15">
      <c r="O431" s="29">
        <f ca="1">IF(COUNT(OFFSET(分析データ!$AC$2,427,0,60,1))&lt;60,"",SUM(OFFSET(分析データ!$AC$2,427,0,60,1))/1000000)</f>
        <v>-9.2403395237690482</v>
      </c>
    </row>
    <row r="432" spans="15:15">
      <c r="O432" s="29">
        <f ca="1">IF(COUNT(OFFSET(分析データ!$AC$2,428,0,60,1))&lt;60,"",SUM(OFFSET(分析データ!$AC$2,428,0,60,1))/1000000)</f>
        <v>-10.79857820441606</v>
      </c>
    </row>
    <row r="433" spans="15:15">
      <c r="O433" s="29">
        <f ca="1">IF(COUNT(OFFSET(分析データ!$AC$2,429,0,60,1))&lt;60,"",SUM(OFFSET(分析データ!$AC$2,429,0,60,1))/1000000)</f>
        <v>-10.042094517674611</v>
      </c>
    </row>
    <row r="434" spans="15:15">
      <c r="O434" s="29">
        <f ca="1">IF(COUNT(OFFSET(分析データ!$AC$2,430,0,60,1))&lt;60,"",SUM(OFFSET(分析データ!$AC$2,430,0,60,1))/1000000)</f>
        <v>-9.9191171614170948</v>
      </c>
    </row>
    <row r="435" spans="15:15">
      <c r="O435" s="29">
        <f ca="1">IF(COUNT(OFFSET(分析データ!$AC$2,431,0,60,1))&lt;60,"",SUM(OFFSET(分析データ!$AC$2,431,0,60,1))/1000000)</f>
        <v>-10.181099596635002</v>
      </c>
    </row>
    <row r="436" spans="15:15">
      <c r="O436" s="29">
        <f ca="1">IF(COUNT(OFFSET(分析データ!$AC$2,432,0,60,1))&lt;60,"",SUM(OFFSET(分析データ!$AC$2,432,0,60,1))/1000000)</f>
        <v>-9.5825775926146548</v>
      </c>
    </row>
    <row r="437" spans="15:15">
      <c r="O437" s="29">
        <f ca="1">IF(COUNT(OFFSET(分析データ!$AC$2,433,0,60,1))&lt;60,"",SUM(OFFSET(分析データ!$AC$2,433,0,60,1))/1000000)</f>
        <v>-10.248217103500641</v>
      </c>
    </row>
    <row r="438" spans="15:15">
      <c r="O438" s="29">
        <f ca="1">IF(COUNT(OFFSET(分析データ!$AC$2,434,0,60,1))&lt;60,"",SUM(OFFSET(分析データ!$AC$2,434,0,60,1))/1000000)</f>
        <v>-12.270087745196482</v>
      </c>
    </row>
    <row r="439" spans="15:15">
      <c r="O439" s="29">
        <f ca="1">IF(COUNT(OFFSET(分析データ!$AC$2,435,0,60,1))&lt;60,"",SUM(OFFSET(分析データ!$AC$2,435,0,60,1))/1000000)</f>
        <v>-10.309864224520965</v>
      </c>
    </row>
    <row r="440" spans="15:15">
      <c r="O440" s="29">
        <f ca="1">IF(COUNT(OFFSET(分析データ!$AC$2,436,0,60,1))&lt;60,"",SUM(OFFSET(分析データ!$AC$2,436,0,60,1))/1000000)</f>
        <v>-11.239360942780461</v>
      </c>
    </row>
    <row r="441" spans="15:15">
      <c r="O441" s="29">
        <f ca="1">IF(COUNT(OFFSET(分析データ!$AC$2,437,0,60,1))&lt;60,"",SUM(OFFSET(分析データ!$AC$2,437,0,60,1))/1000000)</f>
        <v>-10.822430011527398</v>
      </c>
    </row>
    <row r="442" spans="15:15">
      <c r="O442" s="29">
        <f ca="1">IF(COUNT(OFFSET(分析データ!$AC$2,438,0,60,1))&lt;60,"",SUM(OFFSET(分析データ!$AC$2,438,0,60,1))/1000000)</f>
        <v>-12.727026681207473</v>
      </c>
    </row>
    <row r="443" spans="15:15">
      <c r="O443" s="29">
        <f ca="1">IF(COUNT(OFFSET(分析データ!$AC$2,439,0,60,1))&lt;60,"",SUM(OFFSET(分析データ!$AC$2,439,0,60,1))/1000000)</f>
        <v>-12.986656943690019</v>
      </c>
    </row>
    <row r="444" spans="15:15">
      <c r="O444" s="29">
        <f ca="1">IF(COUNT(OFFSET(分析データ!$AC$2,440,0,60,1))&lt;60,"",SUM(OFFSET(分析データ!$AC$2,440,0,60,1))/1000000)</f>
        <v>-10.027736432463652</v>
      </c>
    </row>
    <row r="445" spans="15:15">
      <c r="O445" s="29">
        <f ca="1">IF(COUNT(OFFSET(分析データ!$AC$2,441,0,60,1))&lt;60,"",SUM(OFFSET(分析データ!$AC$2,441,0,60,1))/1000000)</f>
        <v>-10.075337429508718</v>
      </c>
    </row>
    <row r="446" spans="15:15">
      <c r="O446" s="29">
        <f ca="1">IF(COUNT(OFFSET(分析データ!$AC$2,442,0,60,1))&lt;60,"",SUM(OFFSET(分析データ!$AC$2,442,0,60,1))/1000000)</f>
        <v>-10.409689771414874</v>
      </c>
    </row>
    <row r="447" spans="15:15">
      <c r="O447" s="29">
        <f ca="1">IF(COUNT(OFFSET(分析データ!$AC$2,443,0,60,1))&lt;60,"",SUM(OFFSET(分析データ!$AC$2,443,0,60,1))/1000000)</f>
        <v>-9.3654238039014004</v>
      </c>
    </row>
    <row r="448" spans="15:15">
      <c r="O448" s="29">
        <f ca="1">IF(COUNT(OFFSET(分析データ!$AC$2,444,0,60,1))&lt;60,"",SUM(OFFSET(分析データ!$AC$2,444,0,60,1))/1000000)</f>
        <v>-9.6966035919340996</v>
      </c>
    </row>
    <row r="449" spans="15:15">
      <c r="O449" s="29">
        <f ca="1">IF(COUNT(OFFSET(分析データ!$AC$2,445,0,60,1))&lt;60,"",SUM(OFFSET(分析データ!$AC$2,445,0,60,1))/1000000)</f>
        <v>-9.597315976415727</v>
      </c>
    </row>
    <row r="450" spans="15:15">
      <c r="O450" s="29">
        <f ca="1">IF(COUNT(OFFSET(分析データ!$AC$2,446,0,60,1))&lt;60,"",SUM(OFFSET(分析データ!$AC$2,446,0,60,1))/1000000)</f>
        <v>-9.6309857274423702</v>
      </c>
    </row>
    <row r="451" spans="15:15">
      <c r="O451" s="29">
        <f ca="1">IF(COUNT(OFFSET(分析データ!$AC$2,447,0,60,1))&lt;60,"",SUM(OFFSET(分析データ!$AC$2,447,0,60,1))/1000000)</f>
        <v>-8.9742649357962954</v>
      </c>
    </row>
    <row r="452" spans="15:15">
      <c r="O452" s="29">
        <f ca="1">IF(COUNT(OFFSET(分析データ!$AC$2,448,0,60,1))&lt;60,"",SUM(OFFSET(分析データ!$AC$2,448,0,60,1))/1000000)</f>
        <v>-9.2560716066984501</v>
      </c>
    </row>
    <row r="453" spans="15:15">
      <c r="O453" s="29">
        <f ca="1">IF(COUNT(OFFSET(分析データ!$AC$2,449,0,60,1))&lt;60,"",SUM(OFFSET(分析データ!$AC$2,449,0,60,1))/1000000)</f>
        <v>-8.5107820526736866</v>
      </c>
    </row>
    <row r="454" spans="15:15">
      <c r="O454" s="29">
        <f ca="1">IF(COUNT(OFFSET(分析データ!$AC$2,450,0,60,1))&lt;60,"",SUM(OFFSET(分析データ!$AC$2,450,0,60,1))/1000000)</f>
        <v>-8.1006854939426223</v>
      </c>
    </row>
    <row r="455" spans="15:15">
      <c r="O455" s="29">
        <f ca="1">IF(COUNT(OFFSET(分析データ!$AC$2,451,0,60,1))&lt;60,"",SUM(OFFSET(分析データ!$AC$2,451,0,60,1))/1000000)</f>
        <v>-6.7818407571877417</v>
      </c>
    </row>
    <row r="456" spans="15:15">
      <c r="O456" s="29">
        <f ca="1">IF(COUNT(OFFSET(分析データ!$AC$2,452,0,60,1))&lt;60,"",SUM(OFFSET(分析データ!$AC$2,452,0,60,1))/1000000)</f>
        <v>-4.9655494683548493</v>
      </c>
    </row>
    <row r="457" spans="15:15">
      <c r="O457" s="29">
        <f ca="1">IF(COUNT(OFFSET(分析データ!$AC$2,453,0,60,1))&lt;60,"",SUM(OFFSET(分析データ!$AC$2,453,0,60,1))/1000000)</f>
        <v>-3.7301936103223534</v>
      </c>
    </row>
    <row r="458" spans="15:15">
      <c r="O458" s="29">
        <f ca="1">IF(COUNT(OFFSET(分析データ!$AC$2,454,0,60,1))&lt;60,"",SUM(OFFSET(分析データ!$AC$2,454,0,60,1))/1000000)</f>
        <v>-2.8290003134716883</v>
      </c>
    </row>
    <row r="459" spans="15:15">
      <c r="O459" s="29">
        <f ca="1">IF(COUNT(OFFSET(分析データ!$AC$2,455,0,60,1))&lt;60,"",SUM(OFFSET(分析データ!$AC$2,455,0,60,1))/1000000)</f>
        <v>-4.6243949034390885</v>
      </c>
    </row>
    <row r="460" spans="15:15">
      <c r="O460" s="29">
        <f ca="1">IF(COUNT(OFFSET(分析データ!$AC$2,456,0,60,1))&lt;60,"",SUM(OFFSET(分析データ!$AC$2,456,0,60,1))/1000000)</f>
        <v>-4.0810581132555956</v>
      </c>
    </row>
    <row r="461" spans="15:15">
      <c r="O461" s="29">
        <f ca="1">IF(COUNT(OFFSET(分析データ!$AC$2,457,0,60,1))&lt;60,"",SUM(OFFSET(分析データ!$AC$2,457,0,60,1))/1000000)</f>
        <v>-2.7828729762668796</v>
      </c>
    </row>
    <row r="462" spans="15:15">
      <c r="O462" s="29">
        <f ca="1">IF(COUNT(OFFSET(分析データ!$AC$2,458,0,60,1))&lt;60,"",SUM(OFFSET(分析データ!$AC$2,458,0,60,1))/1000000)</f>
        <v>-2.0992435853419043</v>
      </c>
    </row>
    <row r="463" spans="15:15">
      <c r="O463" s="29">
        <f ca="1">IF(COUNT(OFFSET(分析データ!$AC$2,459,0,60,1))&lt;60,"",SUM(OFFSET(分析データ!$AC$2,459,0,60,1))/1000000)</f>
        <v>-2.0474465457566455</v>
      </c>
    </row>
    <row r="464" spans="15:15">
      <c r="O464" s="29">
        <f ca="1">IF(COUNT(OFFSET(分析データ!$AC$2,460,0,60,1))&lt;60,"",SUM(OFFSET(分析データ!$AC$2,460,0,60,1))/1000000)</f>
        <v>-1.9973592787454189</v>
      </c>
    </row>
    <row r="465" spans="15:15">
      <c r="O465" s="29">
        <f ca="1">IF(COUNT(OFFSET(分析データ!$AC$2,461,0,60,1))&lt;60,"",SUM(OFFSET(分析データ!$AC$2,461,0,60,1))/1000000)</f>
        <v>-1.4777278460090006</v>
      </c>
    </row>
    <row r="466" spans="15:15">
      <c r="O466" s="29">
        <f ca="1">IF(COUNT(OFFSET(分析データ!$AC$2,462,0,60,1))&lt;60,"",SUM(OFFSET(分析データ!$AC$2,462,0,60,1))/1000000)</f>
        <v>-2.5970465730834733</v>
      </c>
    </row>
    <row r="467" spans="15:15">
      <c r="O467" s="29">
        <f ca="1">IF(COUNT(OFFSET(分析データ!$AC$2,463,0,60,1))&lt;60,"",SUM(OFFSET(分析データ!$AC$2,463,0,60,1))/1000000)</f>
        <v>-3.5680964089623042</v>
      </c>
    </row>
    <row r="468" spans="15:15">
      <c r="O468" s="29">
        <f ca="1">IF(COUNT(OFFSET(分析データ!$AC$2,464,0,60,1))&lt;60,"",SUM(OFFSET(分析データ!$AC$2,464,0,60,1))/1000000)</f>
        <v>-2.0046449716727124</v>
      </c>
    </row>
    <row r="469" spans="15:15">
      <c r="O469" s="29">
        <f ca="1">IF(COUNT(OFFSET(分析データ!$AC$2,465,0,60,1))&lt;60,"",SUM(OFFSET(分析データ!$AC$2,465,0,60,1))/1000000)</f>
        <v>1.5544258877921338</v>
      </c>
    </row>
    <row r="470" spans="15:15">
      <c r="O470" s="29">
        <f ca="1">IF(COUNT(OFFSET(分析データ!$AC$2,466,0,60,1))&lt;60,"",SUM(OFFSET(分析データ!$AC$2,466,0,60,1))/1000000)</f>
        <v>1.1686209405943544</v>
      </c>
    </row>
    <row r="471" spans="15:15">
      <c r="O471" s="29">
        <f ca="1">IF(COUNT(OFFSET(分析データ!$AC$2,467,0,60,1))&lt;60,"",SUM(OFFSET(分析データ!$AC$2,467,0,60,1))/1000000)</f>
        <v>1.3094267418345142</v>
      </c>
    </row>
    <row r="472" spans="15:15">
      <c r="O472" s="29">
        <f ca="1">IF(COUNT(OFFSET(分析データ!$AC$2,468,0,60,1))&lt;60,"",SUM(OFFSET(分析データ!$AC$2,468,0,60,1))/1000000)</f>
        <v>2.5849735288041855</v>
      </c>
    </row>
    <row r="473" spans="15:15">
      <c r="O473" s="29">
        <f ca="1">IF(COUNT(OFFSET(分析データ!$AC$2,469,0,60,1))&lt;60,"",SUM(OFFSET(分析データ!$AC$2,469,0,60,1))/1000000)</f>
        <v>2.3970912600878767</v>
      </c>
    </row>
    <row r="474" spans="15:15">
      <c r="O474" s="29">
        <f ca="1">IF(COUNT(OFFSET(分析データ!$AC$2,470,0,60,1))&lt;60,"",SUM(OFFSET(分析データ!$AC$2,470,0,60,1))/1000000)</f>
        <v>2.5795725271041001</v>
      </c>
    </row>
    <row r="475" spans="15:15">
      <c r="O475" s="29">
        <f ca="1">IF(COUNT(OFFSET(分析データ!$AC$2,471,0,60,1))&lt;60,"",SUM(OFFSET(分析データ!$AC$2,471,0,60,1))/1000000)</f>
        <v>2.0737629387709084</v>
      </c>
    </row>
    <row r="476" spans="15:15">
      <c r="O476" s="29">
        <f ca="1">IF(COUNT(OFFSET(分析データ!$AC$2,472,0,60,1))&lt;60,"",SUM(OFFSET(分析データ!$AC$2,472,0,60,1))/1000000)</f>
        <v>3.5403764379417555</v>
      </c>
    </row>
    <row r="477" spans="15:15">
      <c r="O477" s="29">
        <f ca="1">IF(COUNT(OFFSET(分析データ!$AC$2,473,0,60,1))&lt;60,"",SUM(OFFSET(分析データ!$AC$2,473,0,60,1))/1000000)</f>
        <v>3.466824160634101</v>
      </c>
    </row>
    <row r="478" spans="15:15">
      <c r="O478" s="29">
        <f ca="1">IF(COUNT(OFFSET(分析データ!$AC$2,474,0,60,1))&lt;60,"",SUM(OFFSET(分析データ!$AC$2,474,0,60,1))/1000000)</f>
        <v>3.7866114296296782</v>
      </c>
    </row>
    <row r="479" spans="15:15">
      <c r="O479" s="29">
        <f ca="1">IF(COUNT(OFFSET(分析データ!$AC$2,475,0,60,1))&lt;60,"",SUM(OFFSET(分析データ!$AC$2,475,0,60,1))/1000000)</f>
        <v>4.5482318009543619</v>
      </c>
    </row>
    <row r="480" spans="15:15">
      <c r="O480" s="29">
        <f ca="1">IF(COUNT(OFFSET(分析データ!$AC$2,476,0,60,1))&lt;60,"",SUM(OFFSET(分析データ!$AC$2,476,0,60,1))/1000000)</f>
        <v>4.3712959535656379</v>
      </c>
    </row>
    <row r="481" spans="15:15">
      <c r="O481" s="29">
        <f ca="1">IF(COUNT(OFFSET(分析データ!$AC$2,477,0,60,1))&lt;60,"",SUM(OFFSET(分析データ!$AC$2,477,0,60,1))/1000000)</f>
        <v>4.2229911171232519</v>
      </c>
    </row>
    <row r="482" spans="15:15">
      <c r="O482" s="29">
        <f ca="1">IF(COUNT(OFFSET(分析データ!$AC$2,478,0,60,1))&lt;60,"",SUM(OFFSET(分析データ!$AC$2,478,0,60,1))/1000000)</f>
        <v>4.0556776139517705</v>
      </c>
    </row>
    <row r="483" spans="15:15">
      <c r="O483" s="29">
        <f ca="1">IF(COUNT(OFFSET(分析データ!$AC$2,479,0,60,1))&lt;60,"",SUM(OFFSET(分析データ!$AC$2,479,0,60,1))/1000000)</f>
        <v>2.3790598694526164</v>
      </c>
    </row>
    <row r="484" spans="15:15">
      <c r="O484" s="29">
        <f ca="1">IF(COUNT(OFFSET(分析データ!$AC$2,480,0,60,1))&lt;60,"",SUM(OFFSET(分析データ!$AC$2,480,0,60,1))/1000000)</f>
        <v>-0.40569083771740949</v>
      </c>
    </row>
    <row r="485" spans="15:15">
      <c r="O485" s="29">
        <f ca="1">IF(COUNT(OFFSET(分析データ!$AC$2,481,0,60,1))&lt;60,"",SUM(OFFSET(分析データ!$AC$2,481,0,60,1))/1000000)</f>
        <v>0.3866465457739921</v>
      </c>
    </row>
    <row r="486" spans="15:15">
      <c r="O486" s="29">
        <f ca="1">IF(COUNT(OFFSET(分析データ!$AC$2,482,0,60,1))&lt;60,"",SUM(OFFSET(分析データ!$AC$2,482,0,60,1))/1000000)</f>
        <v>2.3394082760725845</v>
      </c>
    </row>
    <row r="487" spans="15:15">
      <c r="O487" s="29">
        <f ca="1">IF(COUNT(OFFSET(分析データ!$AC$2,483,0,60,1))&lt;60,"",SUM(OFFSET(分析データ!$AC$2,483,0,60,1))/1000000)</f>
        <v>0.79627033331311958</v>
      </c>
    </row>
    <row r="488" spans="15:15">
      <c r="O488" s="29">
        <f ca="1">IF(COUNT(OFFSET(分析データ!$AC$2,484,0,60,1))&lt;60,"",SUM(OFFSET(分析データ!$AC$2,484,0,60,1))/1000000)</f>
        <v>1.3537206212981079</v>
      </c>
    </row>
    <row r="489" spans="15:15">
      <c r="O489" s="29">
        <f ca="1">IF(COUNT(OFFSET(分析データ!$AC$2,485,0,60,1))&lt;60,"",SUM(OFFSET(分析データ!$AC$2,485,0,60,1))/1000000)</f>
        <v>1.8314343880727109</v>
      </c>
    </row>
    <row r="490" spans="15:15">
      <c r="O490" s="29">
        <f ca="1">IF(COUNT(OFFSET(分析データ!$AC$2,486,0,60,1))&lt;60,"",SUM(OFFSET(分析データ!$AC$2,486,0,60,1))/1000000)</f>
        <v>3.4335175000136897</v>
      </c>
    </row>
    <row r="491" spans="15:15">
      <c r="O491" s="29">
        <f ca="1">IF(COUNT(OFFSET(分析データ!$AC$2,487,0,60,1))&lt;60,"",SUM(OFFSET(分析データ!$AC$2,487,0,60,1))/1000000)</f>
        <v>3.7773374969754019</v>
      </c>
    </row>
    <row r="492" spans="15:15">
      <c r="O492" s="29">
        <f ca="1">IF(COUNT(OFFSET(分析データ!$AC$2,488,0,60,1))&lt;60,"",SUM(OFFSET(分析データ!$AC$2,488,0,60,1))/1000000)</f>
        <v>3.6466218125535286</v>
      </c>
    </row>
    <row r="493" spans="15:15">
      <c r="O493" s="29">
        <f ca="1">IF(COUNT(OFFSET(分析データ!$AC$2,489,0,60,1))&lt;60,"",SUM(OFFSET(分析データ!$AC$2,489,0,60,1))/1000000)</f>
        <v>3.6770967038188447</v>
      </c>
    </row>
    <row r="494" spans="15:15">
      <c r="O494" s="29">
        <f ca="1">IF(COUNT(OFFSET(分析データ!$AC$2,490,0,60,1))&lt;60,"",SUM(OFFSET(分析データ!$AC$2,490,0,60,1))/1000000)</f>
        <v>5.0654130327987152</v>
      </c>
    </row>
    <row r="495" spans="15:15">
      <c r="O495" s="29">
        <f ca="1">IF(COUNT(OFFSET(分析データ!$AC$2,491,0,60,1))&lt;60,"",SUM(OFFSET(分析データ!$AC$2,491,0,60,1))/1000000)</f>
        <v>5.1750718596552101</v>
      </c>
    </row>
    <row r="496" spans="15:15">
      <c r="O496" s="29">
        <f ca="1">IF(COUNT(OFFSET(分析データ!$AC$2,492,0,60,1))&lt;60,"",SUM(OFFSET(分析データ!$AC$2,492,0,60,1))/1000000)</f>
        <v>4.4094251256733275</v>
      </c>
    </row>
    <row r="497" spans="15:15">
      <c r="O497" s="29">
        <f ca="1">IF(COUNT(OFFSET(分析データ!$AC$2,493,0,60,1))&lt;60,"",SUM(OFFSET(分析データ!$AC$2,493,0,60,1))/1000000)</f>
        <v>5.6707230148437677</v>
      </c>
    </row>
    <row r="498" spans="15:15">
      <c r="O498" s="29">
        <f ca="1">IF(COUNT(OFFSET(分析データ!$AC$2,494,0,60,1))&lt;60,"",SUM(OFFSET(分析データ!$AC$2,494,0,60,1))/1000000)</f>
        <v>8.2402406200438385</v>
      </c>
    </row>
    <row r="499" spans="15:15">
      <c r="O499" s="29">
        <f ca="1">IF(COUNT(OFFSET(分析データ!$AC$2,495,0,60,1))&lt;60,"",SUM(OFFSET(分析データ!$AC$2,495,0,60,1))/1000000)</f>
        <v>7.9791234403286673</v>
      </c>
    </row>
    <row r="500" spans="15:15">
      <c r="O500" s="29">
        <f ca="1">IF(COUNT(OFFSET(分析データ!$AC$2,496,0,60,1))&lt;60,"",SUM(OFFSET(分析データ!$AC$2,496,0,60,1))/1000000)</f>
        <v>7.663931871322907</v>
      </c>
    </row>
    <row r="501" spans="15:15">
      <c r="O501" s="29">
        <f ca="1">IF(COUNT(OFFSET(分析データ!$AC$2,497,0,60,1))&lt;60,"",SUM(OFFSET(分析データ!$AC$2,497,0,60,1))/1000000)</f>
        <v>6.5000702280432785</v>
      </c>
    </row>
    <row r="502" spans="15:15">
      <c r="O502" s="29">
        <f ca="1">IF(COUNT(OFFSET(分析データ!$AC$2,498,0,60,1))&lt;60,"",SUM(OFFSET(分析データ!$AC$2,498,0,60,1))/1000000)</f>
        <v>7.1651313031342632</v>
      </c>
    </row>
    <row r="503" spans="15:15">
      <c r="O503" s="29">
        <f ca="1">IF(COUNT(OFFSET(分析データ!$AC$2,499,0,60,1))&lt;60,"",SUM(OFFSET(分析データ!$AC$2,499,0,60,1))/1000000)</f>
        <v>6.8013222562131883</v>
      </c>
    </row>
    <row r="504" spans="15:15">
      <c r="O504" s="29">
        <f ca="1">IF(COUNT(OFFSET(分析データ!$AC$2,500,0,60,1))&lt;60,"",SUM(OFFSET(分析データ!$AC$2,500,0,60,1))/1000000)</f>
        <v>6.4809377244824775</v>
      </c>
    </row>
    <row r="505" spans="15:15">
      <c r="O505" s="29">
        <f ca="1">IF(COUNT(OFFSET(分析データ!$AC$2,501,0,60,1))&lt;60,"",SUM(OFFSET(分析データ!$AC$2,501,0,60,1))/1000000)</f>
        <v>7.666486579755265</v>
      </c>
    </row>
    <row r="506" spans="15:15">
      <c r="O506" s="29">
        <f ca="1">IF(COUNT(OFFSET(分析データ!$AC$2,502,0,60,1))&lt;60,"",SUM(OFFSET(分析データ!$AC$2,502,0,60,1))/1000000)</f>
        <v>7.2166991878569</v>
      </c>
    </row>
    <row r="507" spans="15:15">
      <c r="O507" s="29">
        <f ca="1">IF(COUNT(OFFSET(分析データ!$AC$2,503,0,60,1))&lt;60,"",SUM(OFFSET(分析データ!$AC$2,503,0,60,1))/1000000)</f>
        <v>9.2107387608731237</v>
      </c>
    </row>
    <row r="508" spans="15:15">
      <c r="O508" s="29">
        <f ca="1">IF(COUNT(OFFSET(分析データ!$AC$2,504,0,60,1))&lt;60,"",SUM(OFFSET(分析データ!$AC$2,504,0,60,1))/1000000)</f>
        <v>10.777164918215126</v>
      </c>
    </row>
    <row r="509" spans="15:15">
      <c r="O509" s="29">
        <f ca="1">IF(COUNT(OFFSET(分析データ!$AC$2,505,0,60,1))&lt;60,"",SUM(OFFSET(分析データ!$AC$2,505,0,60,1))/1000000)</f>
        <v>10.176943355861432</v>
      </c>
    </row>
    <row r="510" spans="15:15">
      <c r="O510" s="29">
        <f ca="1">IF(COUNT(OFFSET(分析データ!$AC$2,506,0,60,1))&lt;60,"",SUM(OFFSET(分析データ!$AC$2,506,0,60,1))/1000000)</f>
        <v>8.6343148907898932</v>
      </c>
    </row>
    <row r="511" spans="15:15">
      <c r="O511" s="29">
        <f ca="1">IF(COUNT(OFFSET(分析データ!$AC$2,507,0,60,1))&lt;60,"",SUM(OFFSET(分析データ!$AC$2,507,0,60,1))/1000000)</f>
        <v>8.5523068217651321</v>
      </c>
    </row>
    <row r="512" spans="15:15">
      <c r="O512" s="29">
        <f ca="1">IF(COUNT(OFFSET(分析データ!$AC$2,508,0,60,1))&lt;60,"",SUM(OFFSET(分析データ!$AC$2,508,0,60,1))/1000000)</f>
        <v>8.745846553314033</v>
      </c>
    </row>
    <row r="513" spans="15:15">
      <c r="O513" s="29">
        <f ca="1">IF(COUNT(OFFSET(分析データ!$AC$2,509,0,60,1))&lt;60,"",SUM(OFFSET(分析データ!$AC$2,509,0,60,1))/1000000)</f>
        <v>9.9888148725063672</v>
      </c>
    </row>
    <row r="514" spans="15:15">
      <c r="O514" s="29">
        <f ca="1">IF(COUNT(OFFSET(分析データ!$AC$2,510,0,60,1))&lt;60,"",SUM(OFFSET(分析データ!$AC$2,510,0,60,1))/1000000)</f>
        <v>11.867563621348959</v>
      </c>
    </row>
    <row r="515" spans="15:15">
      <c r="O515" s="29">
        <f ca="1">IF(COUNT(OFFSET(分析データ!$AC$2,511,0,60,1))&lt;60,"",SUM(OFFSET(分析データ!$AC$2,511,0,60,1))/1000000)</f>
        <v>8.7250410527552891</v>
      </c>
    </row>
    <row r="516" spans="15:15">
      <c r="O516" s="29">
        <f ca="1">IF(COUNT(OFFSET(分析データ!$AC$2,512,0,60,1))&lt;60,"",SUM(OFFSET(分析データ!$AC$2,512,0,60,1))/1000000)</f>
        <v>9.0066665814357005</v>
      </c>
    </row>
    <row r="517" spans="15:15">
      <c r="O517" s="29">
        <f ca="1">IF(COUNT(OFFSET(分析データ!$AC$2,513,0,60,1))&lt;60,"",SUM(OFFSET(分析データ!$AC$2,513,0,60,1))/1000000)</f>
        <v>8.7469764613780736</v>
      </c>
    </row>
    <row r="518" spans="15:15">
      <c r="O518" s="29">
        <f ca="1">IF(COUNT(OFFSET(分析データ!$AC$2,514,0,60,1))&lt;60,"",SUM(OFFSET(分析データ!$AC$2,514,0,60,1))/1000000)</f>
        <v>9.8876322463756345</v>
      </c>
    </row>
    <row r="519" spans="15:15">
      <c r="O519" s="29">
        <f ca="1">IF(COUNT(OFFSET(分析データ!$AC$2,515,0,60,1))&lt;60,"",SUM(OFFSET(分析データ!$AC$2,515,0,60,1))/1000000)</f>
        <v>9.6504633754547982</v>
      </c>
    </row>
    <row r="520" spans="15:15">
      <c r="O520" s="29">
        <f ca="1">IF(COUNT(OFFSET(分析データ!$AC$2,516,0,60,1))&lt;60,"",SUM(OFFSET(分析データ!$AC$2,516,0,60,1))/1000000)</f>
        <v>7.9316567272204574</v>
      </c>
    </row>
    <row r="521" spans="15:15">
      <c r="O521" s="29">
        <f ca="1">IF(COUNT(OFFSET(分析データ!$AC$2,517,0,60,1))&lt;60,"",SUM(OFFSET(分析データ!$AC$2,517,0,60,1))/1000000)</f>
        <v>7.6239897762671802</v>
      </c>
    </row>
    <row r="522" spans="15:15">
      <c r="O522" s="29">
        <f ca="1">IF(COUNT(OFFSET(分析データ!$AC$2,518,0,60,1))&lt;60,"",SUM(OFFSET(分析データ!$AC$2,518,0,60,1))/1000000)</f>
        <v>8.3241953361669641</v>
      </c>
    </row>
    <row r="523" spans="15:15">
      <c r="O523" s="29">
        <f ca="1">IF(COUNT(OFFSET(分析データ!$AC$2,519,0,60,1))&lt;60,"",SUM(OFFSET(分析データ!$AC$2,519,0,60,1))/1000000)</f>
        <v>8.234661361648751</v>
      </c>
    </row>
    <row r="524" spans="15:15">
      <c r="O524" s="29">
        <f ca="1">IF(COUNT(OFFSET(分析データ!$AC$2,520,0,60,1))&lt;60,"",SUM(OFFSET(分析データ!$AC$2,520,0,60,1))/1000000)</f>
        <v>8.9132617900256612</v>
      </c>
    </row>
    <row r="525" spans="15:15">
      <c r="O525" s="29">
        <f ca="1">IF(COUNT(OFFSET(分析データ!$AC$2,521,0,60,1))&lt;60,"",SUM(OFFSET(分析データ!$AC$2,521,0,60,1))/1000000)</f>
        <v>7.7583479148734122</v>
      </c>
    </row>
    <row r="526" spans="15:15">
      <c r="O526" s="29">
        <f ca="1">IF(COUNT(OFFSET(分析データ!$AC$2,522,0,60,1))&lt;60,"",SUM(OFFSET(分析データ!$AC$2,522,0,60,1))/1000000)</f>
        <v>8.1925262029780921</v>
      </c>
    </row>
    <row r="527" spans="15:15">
      <c r="O527" s="29">
        <f ca="1">IF(COUNT(OFFSET(分析データ!$AC$2,523,0,60,1))&lt;60,"",SUM(OFFSET(分析データ!$AC$2,523,0,60,1))/1000000)</f>
        <v>6.0297564822421883</v>
      </c>
    </row>
    <row r="528" spans="15:15">
      <c r="O528" s="29">
        <f ca="1">IF(COUNT(OFFSET(分析データ!$AC$2,524,0,60,1))&lt;60,"",SUM(OFFSET(分析データ!$AC$2,524,0,60,1))/1000000)</f>
        <v>4.6292633029008812</v>
      </c>
    </row>
    <row r="529" spans="15:15">
      <c r="O529" s="29">
        <f ca="1">IF(COUNT(OFFSET(分析データ!$AC$2,525,0,60,1))&lt;60,"",SUM(OFFSET(分析データ!$AC$2,525,0,60,1))/1000000)</f>
        <v>4.0434929168012843</v>
      </c>
    </row>
    <row r="530" spans="15:15">
      <c r="O530" s="29">
        <f ca="1">IF(COUNT(OFFSET(分析データ!$AC$2,526,0,60,1))&lt;60,"",SUM(OFFSET(分析データ!$AC$2,526,0,60,1))/1000000)</f>
        <v>4.1846116594699456</v>
      </c>
    </row>
    <row r="531" spans="15:15">
      <c r="O531" s="29">
        <f ca="1">IF(COUNT(OFFSET(分析データ!$AC$2,527,0,60,1))&lt;60,"",SUM(OFFSET(分析データ!$AC$2,527,0,60,1))/1000000)</f>
        <v>4.471000774322401</v>
      </c>
    </row>
    <row r="532" spans="15:15">
      <c r="O532" s="29">
        <f ca="1">IF(COUNT(OFFSET(分析データ!$AC$2,528,0,60,1))&lt;60,"",SUM(OFFSET(分析データ!$AC$2,528,0,60,1))/1000000)</f>
        <v>2.750918688558134</v>
      </c>
    </row>
    <row r="533" spans="15:15">
      <c r="O533" s="29">
        <f ca="1">IF(COUNT(OFFSET(分析データ!$AC$2,529,0,60,1))&lt;60,"",SUM(OFFSET(分析データ!$AC$2,529,0,60,1))/1000000)</f>
        <v>2.7926545335799755</v>
      </c>
    </row>
    <row r="534" spans="15:15">
      <c r="O534" s="29">
        <f ca="1">IF(COUNT(OFFSET(分析データ!$AC$2,530,0,60,1))&lt;60,"",SUM(OFFSET(分析データ!$AC$2,530,0,60,1))/1000000)</f>
        <v>1.7165650723020156</v>
      </c>
    </row>
    <row r="535" spans="15:15">
      <c r="O535" s="29">
        <f ca="1">IF(COUNT(OFFSET(分析データ!$AC$2,531,0,60,1))&lt;60,"",SUM(OFFSET(分析データ!$AC$2,531,0,60,1))/1000000)</f>
        <v>1.7354289522598931</v>
      </c>
    </row>
    <row r="536" spans="15:15">
      <c r="O536" s="29">
        <f ca="1">IF(COUNT(OFFSET(分析データ!$AC$2,532,0,60,1))&lt;60,"",SUM(OFFSET(分析データ!$AC$2,532,0,60,1))/1000000)</f>
        <v>1.2047383672773164</v>
      </c>
    </row>
    <row r="537" spans="15:15">
      <c r="O537" s="29">
        <f ca="1">IF(COUNT(OFFSET(分析データ!$AC$2,533,0,60,1))&lt;60,"",SUM(OFFSET(分析データ!$AC$2,533,0,60,1))/1000000)</f>
        <v>2.7400299283771963</v>
      </c>
    </row>
    <row r="538" spans="15:15">
      <c r="O538" s="29">
        <f ca="1">IF(COUNT(OFFSET(分析データ!$AC$2,534,0,60,1))&lt;60,"",SUM(OFFSET(分析データ!$AC$2,534,0,60,1))/1000000)</f>
        <v>1.6570988089345549</v>
      </c>
    </row>
    <row r="539" spans="15:15">
      <c r="O539" s="29">
        <f ca="1">IF(COUNT(OFFSET(分析データ!$AC$2,535,0,60,1))&lt;60,"",SUM(OFFSET(分析データ!$AC$2,535,0,60,1))/1000000)</f>
        <v>0.28092638822966115</v>
      </c>
    </row>
    <row r="540" spans="15:15">
      <c r="O540" s="29">
        <f ca="1">IF(COUNT(OFFSET(分析データ!$AC$2,536,0,60,1))&lt;60,"",SUM(OFFSET(分析データ!$AC$2,536,0,60,1))/1000000)</f>
        <v>0.48125570611586915</v>
      </c>
    </row>
    <row r="541" spans="15:15">
      <c r="O541" s="29">
        <f ca="1">IF(COUNT(OFFSET(分析データ!$AC$2,537,0,60,1))&lt;60,"",SUM(OFFSET(分析データ!$AC$2,537,0,60,1))/1000000)</f>
        <v>1.0813437210844368</v>
      </c>
    </row>
    <row r="542" spans="15:15">
      <c r="O542" s="29">
        <f ca="1">IF(COUNT(OFFSET(分析データ!$AC$2,538,0,60,1))&lt;60,"",SUM(OFFSET(分析データ!$AC$2,538,0,60,1))/1000000)</f>
        <v>0.52514831001289863</v>
      </c>
    </row>
    <row r="543" spans="15:15">
      <c r="O543" s="29">
        <f ca="1">IF(COUNT(OFFSET(分析データ!$AC$2,539,0,60,1))&lt;60,"",SUM(OFFSET(分析データ!$AC$2,539,0,60,1))/1000000)</f>
        <v>0.82108451424005313</v>
      </c>
    </row>
    <row r="544" spans="15:15">
      <c r="O544" s="29">
        <f ca="1">IF(COUNT(OFFSET(分析データ!$AC$2,540,0,60,1))&lt;60,"",SUM(OFFSET(分析データ!$AC$2,540,0,60,1))/1000000)</f>
        <v>2.6214473273257943</v>
      </c>
    </row>
    <row r="545" spans="15:15">
      <c r="O545" s="29">
        <f ca="1">IF(COUNT(OFFSET(分析データ!$AC$2,541,0,60,1))&lt;60,"",SUM(OFFSET(分析データ!$AC$2,541,0,60,1))/1000000)</f>
        <v>0.42921946371926323</v>
      </c>
    </row>
    <row r="546" spans="15:15">
      <c r="O546" s="29">
        <f ca="1">IF(COUNT(OFFSET(分析データ!$AC$2,542,0,60,1))&lt;60,"",SUM(OFFSET(分析データ!$AC$2,542,0,60,1))/1000000)</f>
        <v>-0.21110161361685489</v>
      </c>
    </row>
    <row r="547" spans="15:15">
      <c r="O547" s="29">
        <f ca="1">IF(COUNT(OFFSET(分析データ!$AC$2,543,0,60,1))&lt;60,"",SUM(OFFSET(分析データ!$AC$2,543,0,60,1))/1000000)</f>
        <v>1.8762649149083006</v>
      </c>
    </row>
    <row r="548" spans="15:15">
      <c r="O548" s="29">
        <f ca="1">IF(COUNT(OFFSET(分析データ!$AC$2,544,0,60,1))&lt;60,"",SUM(OFFSET(分析データ!$AC$2,544,0,60,1))/1000000)</f>
        <v>2.2251347840281754</v>
      </c>
    </row>
    <row r="549" spans="15:15">
      <c r="O549" s="29">
        <f ca="1">IF(COUNT(OFFSET(分析データ!$AC$2,545,0,60,1))&lt;60,"",SUM(OFFSET(分析データ!$AC$2,545,0,60,1))/1000000)</f>
        <v>0.63067968841144162</v>
      </c>
    </row>
    <row r="550" spans="15:15">
      <c r="O550" s="29">
        <f ca="1">IF(COUNT(OFFSET(分析データ!$AC$2,546,0,60,1))&lt;60,"",SUM(OFFSET(分析データ!$AC$2,546,0,60,1))/1000000)</f>
        <v>1.099528653256385</v>
      </c>
    </row>
    <row r="551" spans="15:15">
      <c r="O551" s="29">
        <f ca="1">IF(COUNT(OFFSET(分析データ!$AC$2,547,0,60,1))&lt;60,"",SUM(OFFSET(分析データ!$AC$2,547,0,60,1))/1000000)</f>
        <v>5.5183105709175E-2</v>
      </c>
    </row>
    <row r="552" spans="15:15">
      <c r="O552" s="29">
        <f ca="1">IF(COUNT(OFFSET(分析データ!$AC$2,548,0,60,1))&lt;60,"",SUM(OFFSET(分析データ!$AC$2,548,0,60,1))/1000000)</f>
        <v>1.0935799864898079</v>
      </c>
    </row>
    <row r="553" spans="15:15">
      <c r="O553" s="29">
        <f ca="1">IF(COUNT(OFFSET(分析データ!$AC$2,549,0,60,1))&lt;60,"",SUM(OFFSET(分析データ!$AC$2,549,0,60,1))/1000000)</f>
        <v>0.74738736886564239</v>
      </c>
    </row>
    <row r="554" spans="15:15">
      <c r="O554" s="29">
        <f ca="1">IF(COUNT(OFFSET(分析データ!$AC$2,550,0,60,1))&lt;60,"",SUM(OFFSET(分析データ!$AC$2,550,0,60,1))/1000000)</f>
        <v>-4.6511210380507068E-2</v>
      </c>
    </row>
    <row r="555" spans="15:15">
      <c r="O555" s="29">
        <f ca="1">IF(COUNT(OFFSET(分析データ!$AC$2,551,0,60,1))&lt;60,"",SUM(OFFSET(分析データ!$AC$2,551,0,60,1))/1000000)</f>
        <v>0.98999855038190387</v>
      </c>
    </row>
    <row r="556" spans="15:15">
      <c r="O556" s="29">
        <f ca="1">IF(COUNT(OFFSET(分析データ!$AC$2,552,0,60,1))&lt;60,"",SUM(OFFSET(分析データ!$AC$2,552,0,60,1))/1000000)</f>
        <v>2.4048045336379755</v>
      </c>
    </row>
    <row r="557" spans="15:15">
      <c r="O557" s="29">
        <f ca="1">IF(COUNT(OFFSET(分析データ!$AC$2,553,0,60,1))&lt;60,"",SUM(OFFSET(分析データ!$AC$2,553,0,60,1))/1000000)</f>
        <v>2.2086361030640349</v>
      </c>
    </row>
    <row r="558" spans="15:15">
      <c r="O558" s="29">
        <f ca="1">IF(COUNT(OFFSET(分析データ!$AC$2,554,0,60,1))&lt;60,"",SUM(OFFSET(分析データ!$AC$2,554,0,60,1))/1000000)</f>
        <v>0.22291990856486793</v>
      </c>
    </row>
    <row r="559" spans="15:15">
      <c r="O559" s="29">
        <f ca="1">IF(COUNT(OFFSET(分析データ!$AC$2,555,0,60,1))&lt;60,"",SUM(OFFSET(分析データ!$AC$2,555,0,60,1))/1000000)</f>
        <v>-0.16257712457342466</v>
      </c>
    </row>
    <row r="560" spans="15:15">
      <c r="O560" s="29">
        <f ca="1">IF(COUNT(OFFSET(分析データ!$AC$2,556,0,60,1))&lt;60,"",SUM(OFFSET(分析データ!$AC$2,556,0,60,1))/1000000)</f>
        <v>1.0334607257378765</v>
      </c>
    </row>
    <row r="561" spans="15:15">
      <c r="O561" s="29">
        <f ca="1">IF(COUNT(OFFSET(分析データ!$AC$2,557,0,60,1))&lt;60,"",SUM(OFFSET(分析データ!$AC$2,557,0,60,1))/1000000)</f>
        <v>1.580570099873805</v>
      </c>
    </row>
    <row r="562" spans="15:15">
      <c r="O562" s="29">
        <f ca="1">IF(COUNT(OFFSET(分析データ!$AC$2,558,0,60,1))&lt;60,"",SUM(OFFSET(分析データ!$AC$2,558,0,60,1))/1000000)</f>
        <v>0.86607455853966442</v>
      </c>
    </row>
    <row r="563" spans="15:15">
      <c r="O563" s="29">
        <f ca="1">IF(COUNT(OFFSET(分析データ!$AC$2,559,0,60,1))&lt;60,"",SUM(OFFSET(分析データ!$AC$2,559,0,60,1))/1000000)</f>
        <v>1.7439976470597727</v>
      </c>
    </row>
    <row r="564" spans="15:15">
      <c r="O564" s="29">
        <f ca="1">IF(COUNT(OFFSET(分析データ!$AC$2,560,0,60,1))&lt;60,"",SUM(OFFSET(分析データ!$AC$2,560,0,60,1))/1000000)</f>
        <v>2.0343078318407737</v>
      </c>
    </row>
    <row r="565" spans="15:15">
      <c r="O565" s="29">
        <f ca="1">IF(COUNT(OFFSET(分析データ!$AC$2,561,0,60,1))&lt;60,"",SUM(OFFSET(分析データ!$AC$2,561,0,60,1))/1000000)</f>
        <v>1.2629723807890001</v>
      </c>
    </row>
    <row r="566" spans="15:15">
      <c r="O566" s="29">
        <f ca="1">IF(COUNT(OFFSET(分析データ!$AC$2,562,0,60,1))&lt;60,"",SUM(OFFSET(分析データ!$AC$2,562,0,60,1))/1000000)</f>
        <v>1.5046291214294583</v>
      </c>
    </row>
    <row r="567" spans="15:15">
      <c r="O567" s="29">
        <f ca="1">IF(COUNT(OFFSET(分析データ!$AC$2,563,0,60,1))&lt;60,"",SUM(OFFSET(分析データ!$AC$2,563,0,60,1))/1000000)</f>
        <v>0.85106161960107185</v>
      </c>
    </row>
    <row r="568" spans="15:15">
      <c r="O568" s="29">
        <f ca="1">IF(COUNT(OFFSET(分析データ!$AC$2,564,0,60,1))&lt;60,"",SUM(OFFSET(分析データ!$AC$2,564,0,60,1))/1000000)</f>
        <v>-0.26729555242372277</v>
      </c>
    </row>
    <row r="569" spans="15:15">
      <c r="O569" s="29">
        <f ca="1">IF(COUNT(OFFSET(分析データ!$AC$2,565,0,60,1))&lt;60,"",SUM(OFFSET(分析データ!$AC$2,565,0,60,1))/1000000)</f>
        <v>0.72899464911920042</v>
      </c>
    </row>
    <row r="570" spans="15:15">
      <c r="O570" s="29">
        <f ca="1">IF(COUNT(OFFSET(分析データ!$AC$2,566,0,60,1))&lt;60,"",SUM(OFFSET(分析データ!$AC$2,566,0,60,1))/1000000)</f>
        <v>1.3343742383364123</v>
      </c>
    </row>
    <row r="571" spans="15:15">
      <c r="O571" s="29">
        <f ca="1">IF(COUNT(OFFSET(分析データ!$AC$2,567,0,60,1))&lt;60,"",SUM(OFFSET(分析データ!$AC$2,567,0,60,1))/1000000)</f>
        <v>-0.34039491613300343</v>
      </c>
    </row>
    <row r="572" spans="15:15">
      <c r="O572" s="29">
        <f ca="1">IF(COUNT(OFFSET(分析データ!$AC$2,568,0,60,1))&lt;60,"",SUM(OFFSET(分析データ!$AC$2,568,0,60,1))/1000000)</f>
        <v>-0.21382046117807646</v>
      </c>
    </row>
    <row r="573" spans="15:15">
      <c r="O573" s="29">
        <f ca="1">IF(COUNT(OFFSET(分析データ!$AC$2,569,0,60,1))&lt;60,"",SUM(OFFSET(分析データ!$AC$2,569,0,60,1))/1000000)</f>
        <v>-2.1322628522379139</v>
      </c>
    </row>
    <row r="574" spans="15:15">
      <c r="O574" s="29">
        <f ca="1">IF(COUNT(OFFSET(分析データ!$AC$2,570,0,60,1))&lt;60,"",SUM(OFFSET(分析データ!$AC$2,570,0,60,1))/1000000)</f>
        <v>-4.3391518436136733</v>
      </c>
    </row>
    <row r="575" spans="15:15">
      <c r="O575" s="29">
        <f ca="1">IF(COUNT(OFFSET(分析データ!$AC$2,571,0,60,1))&lt;60,"",SUM(OFFSET(分析データ!$AC$2,571,0,60,1))/1000000)</f>
        <v>-2.4579222686108353</v>
      </c>
    </row>
    <row r="576" spans="15:15">
      <c r="O576" s="29">
        <f ca="1">IF(COUNT(OFFSET(分析データ!$AC$2,572,0,60,1))&lt;60,"",SUM(OFFSET(分析データ!$AC$2,572,0,60,1))/1000000)</f>
        <v>-4.6570158928123879</v>
      </c>
    </row>
    <row r="577" spans="15:15">
      <c r="O577" s="29">
        <f ca="1">IF(COUNT(OFFSET(分析データ!$AC$2,573,0,60,1))&lt;60,"",SUM(OFFSET(分析データ!$AC$2,573,0,60,1))/1000000)</f>
        <v>-6.3236243232050038</v>
      </c>
    </row>
    <row r="578" spans="15:15">
      <c r="O578" s="29">
        <f ca="1">IF(COUNT(OFFSET(分析データ!$AC$2,574,0,60,1))&lt;60,"",SUM(OFFSET(分析データ!$AC$2,574,0,60,1))/1000000)</f>
        <v>-6.1068186307184895</v>
      </c>
    </row>
    <row r="579" spans="15:15">
      <c r="O579" s="29">
        <f ca="1">IF(COUNT(OFFSET(分析データ!$AC$2,575,0,60,1))&lt;60,"",SUM(OFFSET(分析データ!$AC$2,575,0,60,1))/1000000)</f>
        <v>-5.5814695998249952</v>
      </c>
    </row>
    <row r="580" spans="15:15">
      <c r="O580" s="29">
        <f ca="1">IF(COUNT(OFFSET(分析データ!$AC$2,576,0,60,1))&lt;60,"",SUM(OFFSET(分析データ!$AC$2,576,0,60,1))/1000000)</f>
        <v>-4.2315188042741685</v>
      </c>
    </row>
    <row r="581" spans="15:15">
      <c r="O581" s="29">
        <f ca="1">IF(COUNT(OFFSET(分析データ!$AC$2,577,0,60,1))&lt;60,"",SUM(OFFSET(分析データ!$AC$2,577,0,60,1))/1000000)</f>
        <v>-3.3134212117573183</v>
      </c>
    </row>
    <row r="582" spans="15:15">
      <c r="O582" s="29">
        <f ca="1">IF(COUNT(OFFSET(分析データ!$AC$2,578,0,60,1))&lt;60,"",SUM(OFFSET(分析データ!$AC$2,578,0,60,1))/1000000)</f>
        <v>-4.0671330776998609</v>
      </c>
    </row>
    <row r="583" spans="15:15">
      <c r="O583" s="29">
        <f ca="1">IF(COUNT(OFFSET(分析データ!$AC$2,579,0,60,1))&lt;60,"",SUM(OFFSET(分析データ!$AC$2,579,0,60,1))/1000000)</f>
        <v>-2.9859026407806364</v>
      </c>
    </row>
    <row r="584" spans="15:15">
      <c r="O584" s="29">
        <f ca="1">IF(COUNT(OFFSET(分析データ!$AC$2,580,0,60,1))&lt;60,"",SUM(OFFSET(分析データ!$AC$2,580,0,60,1))/1000000)</f>
        <v>-4.5913169476629738</v>
      </c>
    </row>
    <row r="585" spans="15:15">
      <c r="O585" s="29">
        <f ca="1">IF(COUNT(OFFSET(分析データ!$AC$2,581,0,60,1))&lt;60,"",SUM(OFFSET(分析データ!$AC$2,581,0,60,1))/1000000)</f>
        <v>-4.2894839590224914</v>
      </c>
    </row>
    <row r="586" spans="15:15">
      <c r="O586" s="29">
        <f ca="1">IF(COUNT(OFFSET(分析データ!$AC$2,582,0,60,1))&lt;60,"",SUM(OFFSET(分析データ!$AC$2,582,0,60,1))/1000000)</f>
        <v>-4.8017185303951502</v>
      </c>
    </row>
    <row r="587" spans="15:15">
      <c r="O587" s="29">
        <f ca="1">IF(COUNT(OFFSET(分析データ!$AC$2,583,0,60,1))&lt;60,"",SUM(OFFSET(分析データ!$AC$2,583,0,60,1))/1000000)</f>
        <v>-2.3641713041192491</v>
      </c>
    </row>
    <row r="588" spans="15:15">
      <c r="O588" s="29">
        <f ca="1">IF(COUNT(OFFSET(分析データ!$AC$2,584,0,60,1))&lt;60,"",SUM(OFFSET(分析データ!$AC$2,584,0,60,1))/1000000)</f>
        <v>-2.7828463390559088</v>
      </c>
    </row>
    <row r="589" spans="15:15">
      <c r="O589" s="29">
        <f ca="1">IF(COUNT(OFFSET(分析データ!$AC$2,585,0,60,1))&lt;60,"",SUM(OFFSET(分析データ!$AC$2,585,0,60,1))/1000000)</f>
        <v>-5.3143785019053285</v>
      </c>
    </row>
    <row r="590" spans="15:15">
      <c r="O590" s="29">
        <f ca="1">IF(COUNT(OFFSET(分析データ!$AC$2,586,0,60,1))&lt;60,"",SUM(OFFSET(分析データ!$AC$2,586,0,60,1))/1000000)</f>
        <v>-6.3399989883518444</v>
      </c>
    </row>
    <row r="591" spans="15:15">
      <c r="O591" s="29">
        <f ca="1">IF(COUNT(OFFSET(分析データ!$AC$2,587,0,60,1))&lt;60,"",SUM(OFFSET(分析データ!$AC$2,587,0,60,1))/1000000)</f>
        <v>-3.147217405614974</v>
      </c>
    </row>
    <row r="592" spans="15:15">
      <c r="O592" s="29">
        <f ca="1">IF(COUNT(OFFSET(分析データ!$AC$2,588,0,60,1))&lt;60,"",SUM(OFFSET(分析データ!$AC$2,588,0,60,1))/1000000)</f>
        <v>-2.2580382326500215</v>
      </c>
    </row>
    <row r="593" spans="15:15">
      <c r="O593" s="29">
        <f ca="1">IF(COUNT(OFFSET(分析データ!$AC$2,589,0,60,1))&lt;60,"",SUM(OFFSET(分析データ!$AC$2,589,0,60,1))/1000000)</f>
        <v>-1.2747636699724849</v>
      </c>
    </row>
    <row r="594" spans="15:15">
      <c r="O594" s="29">
        <f ca="1">IF(COUNT(OFFSET(分析データ!$AC$2,590,0,60,1))&lt;60,"",SUM(OFFSET(分析データ!$AC$2,590,0,60,1))/1000000)</f>
        <v>0.81461539936411886</v>
      </c>
    </row>
    <row r="595" spans="15:15">
      <c r="O595" s="29">
        <f ca="1">IF(COUNT(OFFSET(分析データ!$AC$2,591,0,60,1))&lt;60,"",SUM(OFFSET(分析データ!$AC$2,591,0,60,1))/1000000)</f>
        <v>-0.22328393434164331</v>
      </c>
    </row>
    <row r="596" spans="15:15">
      <c r="O596" s="29">
        <f ca="1">IF(COUNT(OFFSET(分析データ!$AC$2,592,0,60,1))&lt;60,"",SUM(OFFSET(分析データ!$AC$2,592,0,60,1))/1000000)</f>
        <v>-2.225799595836317</v>
      </c>
    </row>
    <row r="597" spans="15:15">
      <c r="O597" s="29">
        <f ca="1">IF(COUNT(OFFSET(分析データ!$AC$2,593,0,60,1))&lt;60,"",SUM(OFFSET(分析データ!$AC$2,593,0,60,1))/1000000)</f>
        <v>-3.7366936362764513</v>
      </c>
    </row>
    <row r="598" spans="15:15">
      <c r="O598" s="29">
        <f ca="1">IF(COUNT(OFFSET(分析データ!$AC$2,594,0,60,1))&lt;60,"",SUM(OFFSET(分析データ!$AC$2,594,0,60,1))/1000000)</f>
        <v>-2.1347669963487079</v>
      </c>
    </row>
    <row r="599" spans="15:15">
      <c r="O599" s="29">
        <f ca="1">IF(COUNT(OFFSET(分析データ!$AC$2,595,0,60,1))&lt;60,"",SUM(OFFSET(分析データ!$AC$2,595,0,60,1))/1000000)</f>
        <v>-2.6861006389653967</v>
      </c>
    </row>
    <row r="600" spans="15:15">
      <c r="O600" s="29">
        <f ca="1">IF(COUNT(OFFSET(分析データ!$AC$2,596,0,60,1))&lt;60,"",SUM(OFFSET(分析データ!$AC$2,596,0,60,1))/1000000)</f>
        <v>-3.2572993471022293</v>
      </c>
    </row>
    <row r="601" spans="15:15">
      <c r="O601" s="29">
        <f ca="1">IF(COUNT(OFFSET(分析データ!$AC$2,597,0,60,1))&lt;60,"",SUM(OFFSET(分析データ!$AC$2,597,0,60,1))/1000000)</f>
        <v>-3.093300557107185</v>
      </c>
    </row>
    <row r="602" spans="15:15">
      <c r="O602" s="29">
        <f ca="1">IF(COUNT(OFFSET(分析データ!$AC$2,598,0,60,1))&lt;60,"",SUM(OFFSET(分析データ!$AC$2,598,0,60,1))/1000000)</f>
        <v>-3.3901471319874834</v>
      </c>
    </row>
    <row r="603" spans="15:15">
      <c r="O603" s="29">
        <f ca="1">IF(COUNT(OFFSET(分析データ!$AC$2,599,0,60,1))&lt;60,"",SUM(OFFSET(分析データ!$AC$2,599,0,60,1))/1000000)</f>
        <v>-3.2032967480508265</v>
      </c>
    </row>
    <row r="604" spans="15:15">
      <c r="O604" s="29">
        <f ca="1">IF(COUNT(OFFSET(分析データ!$AC$2,600,0,60,1))&lt;60,"",SUM(OFFSET(分析データ!$AC$2,600,0,60,1))/1000000)</f>
        <v>-4.4039760766027465</v>
      </c>
    </row>
    <row r="605" spans="15:15">
      <c r="O605" s="29">
        <f ca="1">IF(COUNT(OFFSET(分析データ!$AC$2,601,0,60,1))&lt;60,"",SUM(OFFSET(分析データ!$AC$2,601,0,60,1))/1000000)</f>
        <v>-3.1020786287200797</v>
      </c>
    </row>
    <row r="606" spans="15:15">
      <c r="O606" s="29">
        <f ca="1">IF(COUNT(OFFSET(分析データ!$AC$2,602,0,60,1))&lt;60,"",SUM(OFFSET(分析データ!$AC$2,602,0,60,1))/1000000)</f>
        <v>-3.8432351796421633</v>
      </c>
    </row>
    <row r="607" spans="15:15">
      <c r="O607" s="29">
        <f ca="1">IF(COUNT(OFFSET(分析データ!$AC$2,603,0,60,1))&lt;60,"",SUM(OFFSET(分析データ!$AC$2,603,0,60,1))/1000000)</f>
        <v>-4.0255335541324859</v>
      </c>
    </row>
    <row r="608" spans="15:15">
      <c r="O608" s="29">
        <f ca="1">IF(COUNT(OFFSET(分析データ!$AC$2,604,0,60,1))&lt;60,"",SUM(OFFSET(分析データ!$AC$2,604,0,60,1))/1000000)</f>
        <v>-5.0775792575453673</v>
      </c>
    </row>
    <row r="609" spans="15:15">
      <c r="O609" s="29">
        <f ca="1">IF(COUNT(OFFSET(分析データ!$AC$2,605,0,60,1))&lt;60,"",SUM(OFFSET(分析データ!$AC$2,605,0,60,1))/1000000)</f>
        <v>-3.1665931388697048</v>
      </c>
    </row>
    <row r="610" spans="15:15">
      <c r="O610" s="29">
        <f ca="1">IF(COUNT(OFFSET(分析データ!$AC$2,606,0,60,1))&lt;60,"",SUM(OFFSET(分析データ!$AC$2,606,0,60,1))/1000000)</f>
        <v>-4.3311759902371829</v>
      </c>
    </row>
    <row r="611" spans="15:15">
      <c r="O611" s="29">
        <f ca="1">IF(COUNT(OFFSET(分析データ!$AC$2,607,0,60,1))&lt;60,"",SUM(OFFSET(分析データ!$AC$2,607,0,60,1))/1000000)</f>
        <v>-4.951474133013865</v>
      </c>
    </row>
    <row r="612" spans="15:15">
      <c r="O612" s="29">
        <f ca="1">IF(COUNT(OFFSET(分析データ!$AC$2,608,0,60,1))&lt;60,"",SUM(OFFSET(分析データ!$AC$2,608,0,60,1))/1000000)</f>
        <v>-4.3947464240760121</v>
      </c>
    </row>
    <row r="613" spans="15:15">
      <c r="O613" s="29">
        <f ca="1">IF(COUNT(OFFSET(分析データ!$AC$2,609,0,60,1))&lt;60,"",SUM(OFFSET(分析データ!$AC$2,609,0,60,1))/1000000)</f>
        <v>-3.9795079227098924</v>
      </c>
    </row>
    <row r="614" spans="15:15">
      <c r="O614" s="29">
        <f ca="1">IF(COUNT(OFFSET(分析データ!$AC$2,610,0,60,1))&lt;60,"",SUM(OFFSET(分析データ!$AC$2,610,0,60,1))/1000000)</f>
        <v>-4.0170836783970048</v>
      </c>
    </row>
    <row r="615" spans="15:15">
      <c r="O615" s="29">
        <f ca="1">IF(COUNT(OFFSET(分析データ!$AC$2,611,0,60,1))&lt;60,"",SUM(OFFSET(分析データ!$AC$2,611,0,60,1))/1000000)</f>
        <v>-3.4830566627250503</v>
      </c>
    </row>
    <row r="616" spans="15:15">
      <c r="O616" s="29">
        <f ca="1">IF(COUNT(OFFSET(分析データ!$AC$2,612,0,60,1))&lt;60,"",SUM(OFFSET(分析データ!$AC$2,612,0,60,1))/1000000)</f>
        <v>-4.45785202627318</v>
      </c>
    </row>
    <row r="617" spans="15:15">
      <c r="O617" s="29">
        <f ca="1">IF(COUNT(OFFSET(分析データ!$AC$2,613,0,60,1))&lt;60,"",SUM(OFFSET(分析データ!$AC$2,613,0,60,1))/1000000)</f>
        <v>-3.6526493299808673</v>
      </c>
    </row>
    <row r="618" spans="15:15">
      <c r="O618" s="29">
        <f ca="1">IF(COUNT(OFFSET(分析データ!$AC$2,614,0,60,1))&lt;60,"",SUM(OFFSET(分析データ!$AC$2,614,0,60,1))/1000000)</f>
        <v>-1.9422028586104139</v>
      </c>
    </row>
    <row r="619" spans="15:15">
      <c r="O619" s="29">
        <f ca="1">IF(COUNT(OFFSET(分析データ!$AC$2,615,0,60,1))&lt;60,"",SUM(OFFSET(分析データ!$AC$2,615,0,60,1))/1000000)</f>
        <v>-1.6229623945980238</v>
      </c>
    </row>
    <row r="620" spans="15:15">
      <c r="O620" s="29">
        <f ca="1">IF(COUNT(OFFSET(分析データ!$AC$2,616,0,60,1))&lt;60,"",SUM(OFFSET(分析データ!$AC$2,616,0,60,1))/1000000)</f>
        <v>-2.1945114261398273</v>
      </c>
    </row>
    <row r="621" spans="15:15">
      <c r="O621" s="29">
        <f ca="1">IF(COUNT(OFFSET(分析データ!$AC$2,617,0,60,1))&lt;60,"",SUM(OFFSET(分析データ!$AC$2,617,0,60,1))/1000000)</f>
        <v>-1.1464281140180514</v>
      </c>
    </row>
    <row r="622" spans="15:15">
      <c r="O622" s="29">
        <f ca="1">IF(COUNT(OFFSET(分析データ!$AC$2,618,0,60,1))&lt;60,"",SUM(OFFSET(分析データ!$AC$2,618,0,60,1))/1000000)</f>
        <v>-0.91123126373984764</v>
      </c>
    </row>
    <row r="623" spans="15:15">
      <c r="O623" s="29">
        <f ca="1">IF(COUNT(OFFSET(分析データ!$AC$2,619,0,60,1))&lt;60,"",SUM(OFFSET(分析データ!$AC$2,619,0,60,1))/1000000)</f>
        <v>-2.2585178157441215</v>
      </c>
    </row>
    <row r="624" spans="15:15">
      <c r="O624" s="29">
        <f ca="1">IF(COUNT(OFFSET(分析データ!$AC$2,620,0,60,1))&lt;60,"",SUM(OFFSET(分析データ!$AC$2,620,0,60,1))/1000000)</f>
        <v>-2.6226945730359228</v>
      </c>
    </row>
    <row r="625" spans="15:15">
      <c r="O625" s="29">
        <f ca="1">IF(COUNT(OFFSET(分析データ!$AC$2,621,0,60,1))&lt;60,"",SUM(OFFSET(分析データ!$AC$2,621,0,60,1))/1000000)</f>
        <v>-2.3107880365471107</v>
      </c>
    </row>
    <row r="626" spans="15:15">
      <c r="O626" s="29">
        <f ca="1">IF(COUNT(OFFSET(分析データ!$AC$2,622,0,60,1))&lt;60,"",SUM(OFFSET(分析データ!$AC$2,622,0,60,1))/1000000)</f>
        <v>-2.3973367886087789</v>
      </c>
    </row>
    <row r="627" spans="15:15">
      <c r="O627" s="29">
        <f ca="1">IF(COUNT(OFFSET(分析データ!$AC$2,623,0,60,1))&lt;60,"",SUM(OFFSET(分析データ!$AC$2,623,0,60,1))/1000000)</f>
        <v>-4.9468662210773227</v>
      </c>
    </row>
    <row r="628" spans="15:15">
      <c r="O628" s="29">
        <f ca="1">IF(COUNT(OFFSET(分析データ!$AC$2,624,0,60,1))&lt;60,"",SUM(OFFSET(分析データ!$AC$2,624,0,60,1))/1000000)</f>
        <v>-5.2187070755068277</v>
      </c>
    </row>
    <row r="629" spans="15:15">
      <c r="O629" s="29">
        <f ca="1">IF(COUNT(OFFSET(分析データ!$AC$2,625,0,60,1))&lt;60,"",SUM(OFFSET(分析データ!$AC$2,625,0,60,1))/1000000)</f>
        <v>-5.2631305827138304</v>
      </c>
    </row>
    <row r="630" spans="15:15">
      <c r="O630" s="29">
        <f ca="1">IF(COUNT(OFFSET(分析データ!$AC$2,626,0,60,1))&lt;60,"",SUM(OFFSET(分析データ!$AC$2,626,0,60,1))/1000000)</f>
        <v>-2.9338321627173469</v>
      </c>
    </row>
    <row r="631" spans="15:15">
      <c r="O631" s="29">
        <f ca="1">IF(COUNT(OFFSET(分析データ!$AC$2,627,0,60,1))&lt;60,"",SUM(OFFSET(分析データ!$AC$2,627,0,60,1))/1000000)</f>
        <v>-1.3627124249632534</v>
      </c>
    </row>
    <row r="632" spans="15:15">
      <c r="O632" s="29">
        <f ca="1">IF(COUNT(OFFSET(分析データ!$AC$2,628,0,60,1))&lt;60,"",SUM(OFFSET(分析データ!$AC$2,628,0,60,1))/1000000)</f>
        <v>-1.10560878781727</v>
      </c>
    </row>
    <row r="633" spans="15:15">
      <c r="O633" s="29">
        <f ca="1">IF(COUNT(OFFSET(分析データ!$AC$2,629,0,60,1))&lt;60,"",SUM(OFFSET(分析データ!$AC$2,629,0,60,1))/1000000)</f>
        <v>-0.35536170531337624</v>
      </c>
    </row>
    <row r="634" spans="15:15">
      <c r="O634" s="29">
        <f ca="1">IF(COUNT(OFFSET(分析データ!$AC$2,630,0,60,1))&lt;60,"",SUM(OFFSET(分析データ!$AC$2,630,0,60,1))/1000000)</f>
        <v>0.18163358000769189</v>
      </c>
    </row>
    <row r="635" spans="15:15">
      <c r="O635" s="29">
        <f ca="1">IF(COUNT(OFFSET(分析データ!$AC$2,631,0,60,1))&lt;60,"",SUM(OFFSET(分析データ!$AC$2,631,0,60,1))/1000000)</f>
        <v>-2.8687999755876432</v>
      </c>
    </row>
    <row r="636" spans="15:15">
      <c r="O636" s="29">
        <f ca="1">IF(COUNT(OFFSET(分析データ!$AC$2,632,0,60,1))&lt;60,"",SUM(OFFSET(分析データ!$AC$2,632,0,60,1))/1000000)</f>
        <v>-3.0512610415276069</v>
      </c>
    </row>
    <row r="637" spans="15:15">
      <c r="O637" s="29">
        <f ca="1">IF(COUNT(OFFSET(分析データ!$AC$2,633,0,60,1))&lt;60,"",SUM(OFFSET(分析データ!$AC$2,633,0,60,1))/1000000)</f>
        <v>-2.1876032556901328</v>
      </c>
    </row>
    <row r="638" spans="15:15">
      <c r="O638" s="29">
        <f ca="1">IF(COUNT(OFFSET(分析データ!$AC$2,634,0,60,1))&lt;60,"",SUM(OFFSET(分析データ!$AC$2,634,0,60,1))/1000000)</f>
        <v>-3.1648029541885494</v>
      </c>
    </row>
    <row r="639" spans="15:15">
      <c r="O639" s="29">
        <f ca="1">IF(COUNT(OFFSET(分析データ!$AC$2,635,0,60,1))&lt;60,"",SUM(OFFSET(分析データ!$AC$2,635,0,60,1))/1000000)</f>
        <v>-2.3741039361108345</v>
      </c>
    </row>
    <row r="640" spans="15:15">
      <c r="O640" s="29">
        <f ca="1">IF(COUNT(OFFSET(分析データ!$AC$2,636,0,60,1))&lt;60,"",SUM(OFFSET(分析データ!$AC$2,636,0,60,1))/1000000)</f>
        <v>-1.9898301113428223</v>
      </c>
    </row>
    <row r="641" spans="15:15">
      <c r="O641" s="29">
        <f ca="1">IF(COUNT(OFFSET(分析データ!$AC$2,637,0,60,1))&lt;60,"",SUM(OFFSET(分析データ!$AC$2,637,0,60,1))/1000000)</f>
        <v>-2.3363016663728882</v>
      </c>
    </row>
    <row r="642" spans="15:15">
      <c r="O642" s="29">
        <f ca="1">IF(COUNT(OFFSET(分析データ!$AC$2,638,0,60,1))&lt;60,"",SUM(OFFSET(分析データ!$AC$2,638,0,60,1))/1000000)</f>
        <v>-1.8602183720609253</v>
      </c>
    </row>
    <row r="643" spans="15:15">
      <c r="O643" s="29">
        <f ca="1">IF(COUNT(OFFSET(分析データ!$AC$2,639,0,60,1))&lt;60,"",SUM(OFFSET(分析データ!$AC$2,639,0,60,1))/1000000)</f>
        <v>-2.9099112650348395</v>
      </c>
    </row>
    <row r="644" spans="15:15">
      <c r="O644" s="29">
        <f ca="1">IF(COUNT(OFFSET(分析データ!$AC$2,640,0,60,1))&lt;60,"",SUM(OFFSET(分析データ!$AC$2,640,0,60,1))/1000000)</f>
        <v>-2.5943116877813419</v>
      </c>
    </row>
    <row r="645" spans="15:15">
      <c r="O645" s="29">
        <f ca="1">IF(COUNT(OFFSET(分析データ!$AC$2,641,0,60,1))&lt;60,"",SUM(OFFSET(分析データ!$AC$2,641,0,60,1))/1000000)</f>
        <v>-3.7609002102492051</v>
      </c>
    </row>
    <row r="646" spans="15:15">
      <c r="O646" s="29">
        <f ca="1">IF(COUNT(OFFSET(分析データ!$AC$2,642,0,60,1))&lt;60,"",SUM(OFFSET(分析データ!$AC$2,642,0,60,1))/1000000)</f>
        <v>-2.3095531756410081</v>
      </c>
    </row>
    <row r="647" spans="15:15">
      <c r="O647" s="29">
        <f ca="1">IF(COUNT(OFFSET(分析データ!$AC$2,643,0,60,1))&lt;60,"",SUM(OFFSET(分析データ!$AC$2,643,0,60,1))/1000000)</f>
        <v>-2.8021731633328102</v>
      </c>
    </row>
    <row r="648" spans="15:15">
      <c r="O648" s="29">
        <f ca="1">IF(COUNT(OFFSET(分析データ!$AC$2,644,0,60,1))&lt;60,"",SUM(OFFSET(分析データ!$AC$2,644,0,60,1))/1000000)</f>
        <v>-2.3154846469508348</v>
      </c>
    </row>
    <row r="649" spans="15:15">
      <c r="O649" s="29">
        <f ca="1">IF(COUNT(OFFSET(分析データ!$AC$2,645,0,60,1))&lt;60,"",SUM(OFFSET(分析データ!$AC$2,645,0,60,1))/1000000)</f>
        <v>-1.2916536272228585</v>
      </c>
    </row>
    <row r="650" spans="15:15">
      <c r="O650" s="29">
        <f ca="1">IF(COUNT(OFFSET(分析データ!$AC$2,646,0,60,1))&lt;60,"",SUM(OFFSET(分析データ!$AC$2,646,0,60,1))/1000000)</f>
        <v>-0.94179186402890813</v>
      </c>
    </row>
    <row r="651" spans="15:15">
      <c r="O651" s="29">
        <f ca="1">IF(COUNT(OFFSET(分析データ!$AC$2,647,0,60,1))&lt;60,"",SUM(OFFSET(分析データ!$AC$2,647,0,60,1))/1000000)</f>
        <v>-3.1449900198685317</v>
      </c>
    </row>
    <row r="652" spans="15:15">
      <c r="O652" s="29">
        <f ca="1">IF(COUNT(OFFSET(分析データ!$AC$2,648,0,60,1))&lt;60,"",SUM(OFFSET(分析データ!$AC$2,648,0,60,1))/1000000)</f>
        <v>-3.1030704317559135</v>
      </c>
    </row>
    <row r="653" spans="15:15">
      <c r="O653" s="29">
        <f ca="1">IF(COUNT(OFFSET(分析データ!$AC$2,649,0,60,1))&lt;60,"",SUM(OFFSET(分析データ!$AC$2,649,0,60,1))/1000000)</f>
        <v>-4.5161235298645916</v>
      </c>
    </row>
    <row r="654" spans="15:15">
      <c r="O654" s="29">
        <f ca="1">IF(COUNT(OFFSET(分析データ!$AC$2,650,0,60,1))&lt;60,"",SUM(OFFSET(分析データ!$AC$2,650,0,60,1))/1000000)</f>
        <v>-5.3045872823857332</v>
      </c>
    </row>
    <row r="655" spans="15:15">
      <c r="O655" s="29">
        <f ca="1">IF(COUNT(OFFSET(分析データ!$AC$2,651,0,60,1))&lt;60,"",SUM(OFFSET(分析データ!$AC$2,651,0,60,1))/1000000)</f>
        <v>-5.2788112588287133</v>
      </c>
    </row>
    <row r="656" spans="15:15">
      <c r="O656" s="29">
        <f ca="1">IF(COUNT(OFFSET(分析データ!$AC$2,652,0,60,1))&lt;60,"",SUM(OFFSET(分析データ!$AC$2,652,0,60,1))/1000000)</f>
        <v>-3.7163925739752957</v>
      </c>
    </row>
    <row r="657" spans="15:15">
      <c r="O657" s="29">
        <f ca="1">IF(COUNT(OFFSET(分析データ!$AC$2,653,0,60,1))&lt;60,"",SUM(OFFSET(分析データ!$AC$2,653,0,60,1))/1000000)</f>
        <v>-4.0387139894661068</v>
      </c>
    </row>
    <row r="658" spans="15:15">
      <c r="O658" s="29">
        <f ca="1">IF(COUNT(OFFSET(分析データ!$AC$2,654,0,60,1))&lt;60,"",SUM(OFFSET(分析データ!$AC$2,654,0,60,1))/1000000)</f>
        <v>-3.9702669180832708</v>
      </c>
    </row>
    <row r="659" spans="15:15">
      <c r="O659" s="29">
        <f ca="1">IF(COUNT(OFFSET(分析データ!$AC$2,655,0,60,1))&lt;60,"",SUM(OFFSET(分析データ!$AC$2,655,0,60,1))/1000000)</f>
        <v>-4.3655847680368751</v>
      </c>
    </row>
    <row r="660" spans="15:15">
      <c r="O660" s="29">
        <f ca="1">IF(COUNT(OFFSET(分析データ!$AC$2,656,0,60,1))&lt;60,"",SUM(OFFSET(分析データ!$AC$2,656,0,60,1))/1000000)</f>
        <v>-3.9610075611583806</v>
      </c>
    </row>
    <row r="661" spans="15:15">
      <c r="O661" s="29">
        <f ca="1">IF(COUNT(OFFSET(分析データ!$AC$2,657,0,60,1))&lt;60,"",SUM(OFFSET(分析データ!$AC$2,657,0,60,1))/1000000)</f>
        <v>-4.6185546384554117</v>
      </c>
    </row>
    <row r="662" spans="15:15">
      <c r="O662" s="29">
        <f ca="1">IF(COUNT(OFFSET(分析データ!$AC$2,658,0,60,1))&lt;60,"",SUM(OFFSET(分析データ!$AC$2,658,0,60,1))/1000000)</f>
        <v>-4.7831541235797825</v>
      </c>
    </row>
    <row r="663" spans="15:15">
      <c r="O663" s="29">
        <f ca="1">IF(COUNT(OFFSET(分析データ!$AC$2,659,0,60,1))&lt;60,"",SUM(OFFSET(分析データ!$AC$2,659,0,60,1))/1000000)</f>
        <v>-5.1476494841498752</v>
      </c>
    </row>
    <row r="664" spans="15:15">
      <c r="O664" s="29">
        <f ca="1">IF(COUNT(OFFSET(分析データ!$AC$2,660,0,60,1))&lt;60,"",SUM(OFFSET(分析データ!$AC$2,660,0,60,1))/1000000)</f>
        <v>-4.4775266806038436</v>
      </c>
    </row>
    <row r="665" spans="15:15">
      <c r="O665" s="29">
        <f ca="1">IF(COUNT(OFFSET(分析データ!$AC$2,661,0,60,1))&lt;60,"",SUM(OFFSET(分析データ!$AC$2,661,0,60,1))/1000000)</f>
        <v>-4.7555928394377149</v>
      </c>
    </row>
    <row r="666" spans="15:15">
      <c r="O666" s="29">
        <f ca="1">IF(COUNT(OFFSET(分析データ!$AC$2,662,0,60,1))&lt;60,"",SUM(OFFSET(分析データ!$AC$2,662,0,60,1))/1000000)</f>
        <v>-6.3151540632231926</v>
      </c>
    </row>
    <row r="667" spans="15:15">
      <c r="O667" s="29">
        <f ca="1">IF(COUNT(OFFSET(分析データ!$AC$2,663,0,60,1))&lt;60,"",SUM(OFFSET(分析データ!$AC$2,663,0,60,1))/1000000)</f>
        <v>-6.3799959162338329</v>
      </c>
    </row>
    <row r="668" spans="15:15">
      <c r="O668" s="29">
        <f ca="1">IF(COUNT(OFFSET(分析データ!$AC$2,664,0,60,1))&lt;60,"",SUM(OFFSET(分析データ!$AC$2,664,0,60,1))/1000000)</f>
        <v>-6.0850990134433278</v>
      </c>
    </row>
    <row r="669" spans="15:15">
      <c r="O669" s="29">
        <f ca="1">IF(COUNT(OFFSET(分析データ!$AC$2,665,0,60,1))&lt;60,"",SUM(OFFSET(分析データ!$AC$2,665,0,60,1))/1000000)</f>
        <v>-7.104660692230035</v>
      </c>
    </row>
    <row r="670" spans="15:15">
      <c r="O670" s="29">
        <f ca="1">IF(COUNT(OFFSET(分析データ!$AC$2,666,0,60,1))&lt;60,"",SUM(OFFSET(分析データ!$AC$2,666,0,60,1))/1000000)</f>
        <v>-6.0753103885717206</v>
      </c>
    </row>
    <row r="671" spans="15:15">
      <c r="O671" s="29">
        <f ca="1">IF(COUNT(OFFSET(分析データ!$AC$2,667,0,60,1))&lt;60,"",SUM(OFFSET(分析データ!$AC$2,667,0,60,1))/1000000)</f>
        <v>-4.7449065637650856</v>
      </c>
    </row>
    <row r="672" spans="15:15">
      <c r="O672" s="29">
        <f ca="1">IF(COUNT(OFFSET(分析データ!$AC$2,668,0,60,1))&lt;60,"",SUM(OFFSET(分析データ!$AC$2,668,0,60,1))/1000000)</f>
        <v>-4.5995408669722382</v>
      </c>
    </row>
    <row r="673" spans="15:15">
      <c r="O673" s="29">
        <f ca="1">IF(COUNT(OFFSET(分析データ!$AC$2,669,0,60,1))&lt;60,"",SUM(OFFSET(分析データ!$AC$2,669,0,60,1))/1000000)</f>
        <v>-4.4106786037614532</v>
      </c>
    </row>
    <row r="674" spans="15:15">
      <c r="O674" s="29">
        <f ca="1">IF(COUNT(OFFSET(分析データ!$AC$2,670,0,60,1))&lt;60,"",SUM(OFFSET(分析データ!$AC$2,670,0,60,1))/1000000)</f>
        <v>-4.2996823408985687</v>
      </c>
    </row>
    <row r="675" spans="15:15">
      <c r="O675" s="29">
        <f ca="1">IF(COUNT(OFFSET(分析データ!$AC$2,671,0,60,1))&lt;60,"",SUM(OFFSET(分析データ!$AC$2,671,0,60,1))/1000000)</f>
        <v>-4.4443213021865269</v>
      </c>
    </row>
    <row r="676" spans="15:15">
      <c r="O676" s="29">
        <f ca="1">IF(COUNT(OFFSET(分析データ!$AC$2,672,0,60,1))&lt;60,"",SUM(OFFSET(分析データ!$AC$2,672,0,60,1))/1000000)</f>
        <v>-4.3467521262333859</v>
      </c>
    </row>
    <row r="677" spans="15:15">
      <c r="O677" s="29">
        <f ca="1">IF(COUNT(OFFSET(分析データ!$AC$2,673,0,60,1))&lt;60,"",SUM(OFFSET(分析データ!$AC$2,673,0,60,1))/1000000)</f>
        <v>-5.1093779305127525</v>
      </c>
    </row>
    <row r="678" spans="15:15">
      <c r="O678" s="29">
        <f ca="1">IF(COUNT(OFFSET(分析データ!$AC$2,674,0,60,1))&lt;60,"",SUM(OFFSET(分析データ!$AC$2,674,0,60,1))/1000000)</f>
        <v>-5.6365891073855456</v>
      </c>
    </row>
    <row r="679" spans="15:15">
      <c r="O679" s="29">
        <f ca="1">IF(COUNT(OFFSET(分析データ!$AC$2,675,0,60,1))&lt;60,"",SUM(OFFSET(分析データ!$AC$2,675,0,60,1))/1000000)</f>
        <v>-6.4757334208326069</v>
      </c>
    </row>
    <row r="680" spans="15:15">
      <c r="O680" s="29">
        <f ca="1">IF(COUNT(OFFSET(分析データ!$AC$2,676,0,60,1))&lt;60,"",SUM(OFFSET(分析データ!$AC$2,676,0,60,1))/1000000)</f>
        <v>-5.5981464134903263</v>
      </c>
    </row>
    <row r="681" spans="15:15">
      <c r="O681" s="29">
        <f ca="1">IF(COUNT(OFFSET(分析データ!$AC$2,677,0,60,1))&lt;60,"",SUM(OFFSET(分析データ!$AC$2,677,0,60,1))/1000000)</f>
        <v>-6.3424806969030039</v>
      </c>
    </row>
    <row r="682" spans="15:15">
      <c r="O682" s="29">
        <f ca="1">IF(COUNT(OFFSET(分析データ!$AC$2,678,0,60,1))&lt;60,"",SUM(OFFSET(分析データ!$AC$2,678,0,60,1))/1000000)</f>
        <v>-6.157086715989208</v>
      </c>
    </row>
    <row r="683" spans="15:15">
      <c r="O683" s="29">
        <f ca="1">IF(COUNT(OFFSET(分析データ!$AC$2,679,0,60,1))&lt;60,"",SUM(OFFSET(分析データ!$AC$2,679,0,60,1))/1000000)</f>
        <v>-4.8060090996869986</v>
      </c>
    </row>
    <row r="684" spans="15:15">
      <c r="O684" s="29">
        <f ca="1">IF(COUNT(OFFSET(分析データ!$AC$2,680,0,60,1))&lt;60,"",SUM(OFFSET(分析データ!$AC$2,680,0,60,1))/1000000)</f>
        <v>-4.4825908607699585</v>
      </c>
    </row>
    <row r="685" spans="15:15">
      <c r="O685" s="29">
        <f ca="1">IF(COUNT(OFFSET(分析データ!$AC$2,681,0,60,1))&lt;60,"",SUM(OFFSET(分析データ!$AC$2,681,0,60,1))/1000000)</f>
        <v>-5.2297152767066342</v>
      </c>
    </row>
    <row r="686" spans="15:15">
      <c r="O686" s="29">
        <f ca="1">IF(COUNT(OFFSET(分析データ!$AC$2,682,0,60,1))&lt;60,"",SUM(OFFSET(分析データ!$AC$2,682,0,60,1))/1000000)</f>
        <v>-5.3137346280955233</v>
      </c>
    </row>
    <row r="687" spans="15:15">
      <c r="O687" s="29">
        <f ca="1">IF(COUNT(OFFSET(分析データ!$AC$2,683,0,60,1))&lt;60,"",SUM(OFFSET(分析データ!$AC$2,683,0,60,1))/1000000)</f>
        <v>-5.4025467078152074</v>
      </c>
    </row>
    <row r="688" spans="15:15">
      <c r="O688" s="29">
        <f ca="1">IF(COUNT(OFFSET(分析データ!$AC$2,684,0,60,1))&lt;60,"",SUM(OFFSET(分析データ!$AC$2,684,0,60,1))/1000000)</f>
        <v>-4.4903775634858345</v>
      </c>
    </row>
    <row r="689" spans="15:15">
      <c r="O689" s="29">
        <f ca="1">IF(COUNT(OFFSET(分析データ!$AC$2,685,0,60,1))&lt;60,"",SUM(OFFSET(分析データ!$AC$2,685,0,60,1))/1000000)</f>
        <v>-3.4743007948898654</v>
      </c>
    </row>
    <row r="690" spans="15:15">
      <c r="O690" s="29">
        <f ca="1">IF(COUNT(OFFSET(分析データ!$AC$2,686,0,60,1))&lt;60,"",SUM(OFFSET(分析データ!$AC$2,686,0,60,1))/1000000)</f>
        <v>-4.7480609237050517</v>
      </c>
    </row>
    <row r="691" spans="15:15">
      <c r="O691" s="29">
        <f ca="1">IF(COUNT(OFFSET(分析データ!$AC$2,687,0,60,1))&lt;60,"",SUM(OFFSET(分析データ!$AC$2,687,0,60,1))/1000000)</f>
        <v>-5.222173702222233</v>
      </c>
    </row>
    <row r="692" spans="15:15">
      <c r="O692" s="29">
        <f ca="1">IF(COUNT(OFFSET(分析データ!$AC$2,688,0,60,1))&lt;60,"",SUM(OFFSET(分析データ!$AC$2,688,0,60,1))/1000000)</f>
        <v>-5.8177885261747431</v>
      </c>
    </row>
    <row r="693" spans="15:15">
      <c r="O693" s="29">
        <f ca="1">IF(COUNT(OFFSET(分析データ!$AC$2,689,0,60,1))&lt;60,"",SUM(OFFSET(分析データ!$AC$2,689,0,60,1))/1000000)</f>
        <v>-6.597662369148523</v>
      </c>
    </row>
    <row r="694" spans="15:15">
      <c r="O694" s="29">
        <f ca="1">IF(COUNT(OFFSET(分析データ!$AC$2,690,0,60,1))&lt;60,"",SUM(OFFSET(分析データ!$AC$2,690,0,60,1))/1000000)</f>
        <v>-6.755502124888384</v>
      </c>
    </row>
    <row r="695" spans="15:15">
      <c r="O695" s="29">
        <f ca="1">IF(COUNT(OFFSET(分析データ!$AC$2,691,0,60,1))&lt;60,"",SUM(OFFSET(分析データ!$AC$2,691,0,60,1))/1000000)</f>
        <v>-3.4395842315808269</v>
      </c>
    </row>
    <row r="696" spans="15:15">
      <c r="O696" s="29">
        <f ca="1">IF(COUNT(OFFSET(分析データ!$AC$2,692,0,60,1))&lt;60,"",SUM(OFFSET(分析データ!$AC$2,692,0,60,1))/1000000)</f>
        <v>-2.2281039084760259</v>
      </c>
    </row>
    <row r="697" spans="15:15">
      <c r="O697" s="29">
        <f ca="1">IF(COUNT(OFFSET(分析データ!$AC$2,693,0,60,1))&lt;60,"",SUM(OFFSET(分析データ!$AC$2,693,0,60,1))/1000000)</f>
        <v>-1.7296005349895234</v>
      </c>
    </row>
    <row r="698" spans="15:15">
      <c r="O698" s="29">
        <f ca="1">IF(COUNT(OFFSET(分析データ!$AC$2,694,0,60,1))&lt;60,"",SUM(OFFSET(分析データ!$AC$2,694,0,60,1))/1000000)</f>
        <v>-2.2193058215782258</v>
      </c>
    </row>
    <row r="699" spans="15:15">
      <c r="O699" s="29">
        <f ca="1">IF(COUNT(OFFSET(分析データ!$AC$2,695,0,60,1))&lt;60,"",SUM(OFFSET(分析データ!$AC$2,695,0,60,1))/1000000)</f>
        <v>-1.7908412591261613</v>
      </c>
    </row>
    <row r="700" spans="15:15">
      <c r="O700" s="29">
        <f ca="1">IF(COUNT(OFFSET(分析データ!$AC$2,696,0,60,1))&lt;60,"",SUM(OFFSET(分析データ!$AC$2,696,0,60,1))/1000000)</f>
        <v>-3.1473105064866429</v>
      </c>
    </row>
    <row r="701" spans="15:15">
      <c r="O701" s="29">
        <f ca="1">IF(COUNT(OFFSET(分析データ!$AC$2,697,0,60,1))&lt;60,"",SUM(OFFSET(分析データ!$AC$2,697,0,60,1))/1000000)</f>
        <v>-3.5795371134850922</v>
      </c>
    </row>
    <row r="702" spans="15:15">
      <c r="O702" s="29">
        <f ca="1">IF(COUNT(OFFSET(分析データ!$AC$2,698,0,60,1))&lt;60,"",SUM(OFFSET(分析データ!$AC$2,698,0,60,1))/1000000)</f>
        <v>-5.1066150996685966</v>
      </c>
    </row>
    <row r="703" spans="15:15">
      <c r="O703" s="29">
        <f ca="1">IF(COUNT(OFFSET(分析データ!$AC$2,699,0,60,1))&lt;60,"",SUM(OFFSET(分析データ!$AC$2,699,0,60,1))/1000000)</f>
        <v>-4.1734352454433443</v>
      </c>
    </row>
    <row r="704" spans="15:15">
      <c r="O704" s="29">
        <f ca="1">IF(COUNT(OFFSET(分析データ!$AC$2,700,0,60,1))&lt;60,"",SUM(OFFSET(分析データ!$AC$2,700,0,60,1))/1000000)</f>
        <v>-4.4045345869615806</v>
      </c>
    </row>
    <row r="705" spans="15:15">
      <c r="O705" s="29">
        <f ca="1">IF(COUNT(OFFSET(分析データ!$AC$2,701,0,60,1))&lt;60,"",SUM(OFFSET(分析データ!$AC$2,701,0,60,1))/1000000)</f>
        <v>-3.7358417751914716</v>
      </c>
    </row>
    <row r="706" spans="15:15">
      <c r="O706" s="29">
        <f ca="1">IF(COUNT(OFFSET(分析データ!$AC$2,702,0,60,1))&lt;60,"",SUM(OFFSET(分析データ!$AC$2,702,0,60,1))/1000000)</f>
        <v>-3.7762575476314648</v>
      </c>
    </row>
    <row r="707" spans="15:15">
      <c r="O707" s="29">
        <f ca="1">IF(COUNT(OFFSET(分析データ!$AC$2,703,0,60,1))&lt;60,"",SUM(OFFSET(分析データ!$AC$2,703,0,60,1))/1000000)</f>
        <v>-3.7590005702718141</v>
      </c>
    </row>
    <row r="708" spans="15:15">
      <c r="O708" s="29">
        <f ca="1">IF(COUNT(OFFSET(分析データ!$AC$2,704,0,60,1))&lt;60,"",SUM(OFFSET(分析データ!$AC$2,704,0,60,1))/1000000)</f>
        <v>-3.4422171015771021</v>
      </c>
    </row>
    <row r="709" spans="15:15">
      <c r="O709" s="29">
        <f ca="1">IF(COUNT(OFFSET(分析データ!$AC$2,705,0,60,1))&lt;60,"",SUM(OFFSET(分析データ!$AC$2,705,0,60,1))/1000000)</f>
        <v>-0.86309719923538342</v>
      </c>
    </row>
    <row r="710" spans="15:15">
      <c r="O710" s="29">
        <f ca="1">IF(COUNT(OFFSET(分析データ!$AC$2,706,0,60,1))&lt;60,"",SUM(OFFSET(分析データ!$AC$2,706,0,60,1))/1000000)</f>
        <v>-0.57839832422731652</v>
      </c>
    </row>
    <row r="711" spans="15:15">
      <c r="O711" s="29">
        <f ca="1">IF(COUNT(OFFSET(分析データ!$AC$2,707,0,60,1))&lt;60,"",SUM(OFFSET(分析データ!$AC$2,707,0,60,1))/1000000)</f>
        <v>0.25378757572569255</v>
      </c>
    </row>
    <row r="712" spans="15:15">
      <c r="O712" s="29">
        <f ca="1">IF(COUNT(OFFSET(分析データ!$AC$2,708,0,60,1))&lt;60,"",SUM(OFFSET(分析データ!$AC$2,708,0,60,1))/1000000)</f>
        <v>0.50623732430043966</v>
      </c>
    </row>
    <row r="713" spans="15:15">
      <c r="O713" s="29">
        <f ca="1">IF(COUNT(OFFSET(分析データ!$AC$2,709,0,60,1))&lt;60,"",SUM(OFFSET(分析データ!$AC$2,709,0,60,1))/1000000)</f>
        <v>0.90712896029837709</v>
      </c>
    </row>
    <row r="714" spans="15:15">
      <c r="O714" s="29">
        <f ca="1">IF(COUNT(OFFSET(分析データ!$AC$2,710,0,60,1))&lt;60,"",SUM(OFFSET(分析データ!$AC$2,710,0,60,1))/1000000)</f>
        <v>-0.42165367931046127</v>
      </c>
    </row>
    <row r="715" spans="15:15">
      <c r="O715" s="29">
        <f ca="1">IF(COUNT(OFFSET(分析データ!$AC$2,711,0,60,1))&lt;60,"",SUM(OFFSET(分析データ!$AC$2,711,0,60,1))/1000000)</f>
        <v>-0.17410994318457146</v>
      </c>
    </row>
    <row r="716" spans="15:15">
      <c r="O716" s="29">
        <f ca="1">IF(COUNT(OFFSET(分析データ!$AC$2,712,0,60,1))&lt;60,"",SUM(OFFSET(分析データ!$AC$2,712,0,60,1))/1000000)</f>
        <v>-0.96684146112545366</v>
      </c>
    </row>
    <row r="717" spans="15:15">
      <c r="O717" s="29">
        <f ca="1">IF(COUNT(OFFSET(分析データ!$AC$2,713,0,60,1))&lt;60,"",SUM(OFFSET(分析データ!$AC$2,713,0,60,1))/1000000)</f>
        <v>-1.5897011967666188</v>
      </c>
    </row>
    <row r="718" spans="15:15">
      <c r="O718" s="29">
        <f ca="1">IF(COUNT(OFFSET(分析データ!$AC$2,714,0,60,1))&lt;60,"",SUM(OFFSET(分析データ!$AC$2,714,0,60,1))/1000000)</f>
        <v>-1.7458511585048717</v>
      </c>
    </row>
    <row r="719" spans="15:15">
      <c r="O719" s="29">
        <f ca="1">IF(COUNT(OFFSET(分析データ!$AC$2,715,0,60,1))&lt;60,"",SUM(OFFSET(分析データ!$AC$2,715,0,60,1))/1000000)</f>
        <v>-1.5490722458982067</v>
      </c>
    </row>
    <row r="720" spans="15:15">
      <c r="O720" s="29">
        <f ca="1">IF(COUNT(OFFSET(分析データ!$AC$2,716,0,60,1))&lt;60,"",SUM(OFFSET(分析データ!$AC$2,716,0,60,1))/1000000)</f>
        <v>-0.54391713931540475</v>
      </c>
    </row>
    <row r="721" spans="15:15">
      <c r="O721" s="29">
        <f ca="1">IF(COUNT(OFFSET(分析データ!$AC$2,717,0,60,1))&lt;60,"",SUM(OFFSET(分析データ!$AC$2,717,0,60,1))/1000000)</f>
        <v>1.7003231164326367</v>
      </c>
    </row>
    <row r="722" spans="15:15">
      <c r="O722" s="29">
        <f ca="1">IF(COUNT(OFFSET(分析データ!$AC$2,718,0,60,1))&lt;60,"",SUM(OFFSET(分析データ!$AC$2,718,0,60,1))/1000000)</f>
        <v>3.1341900580406539</v>
      </c>
    </row>
    <row r="723" spans="15:15">
      <c r="O723" s="29">
        <f ca="1">IF(COUNT(OFFSET(分析データ!$AC$2,719,0,60,1))&lt;60,"",SUM(OFFSET(分析データ!$AC$2,719,0,60,1))/1000000)</f>
        <v>3.3146218725361685</v>
      </c>
    </row>
    <row r="724" spans="15:15">
      <c r="O724" s="29">
        <f ca="1">IF(COUNT(OFFSET(分析データ!$AC$2,720,0,60,1))&lt;60,"",SUM(OFFSET(分析データ!$AC$2,720,0,60,1))/1000000)</f>
        <v>3.0126232457436326</v>
      </c>
    </row>
    <row r="725" spans="15:15">
      <c r="O725" s="29">
        <f ca="1">IF(COUNT(OFFSET(分析データ!$AC$2,721,0,60,1))&lt;60,"",SUM(OFFSET(分析データ!$AC$2,721,0,60,1))/1000000)</f>
        <v>3.4200983388789323</v>
      </c>
    </row>
    <row r="726" spans="15:15">
      <c r="O726" s="29">
        <f ca="1">IF(COUNT(OFFSET(分析データ!$AC$2,722,0,60,1))&lt;60,"",SUM(OFFSET(分析データ!$AC$2,722,0,60,1))/1000000)</f>
        <v>3.466229129749316</v>
      </c>
    </row>
    <row r="727" spans="15:15">
      <c r="O727" s="29">
        <f ca="1">IF(COUNT(OFFSET(分析データ!$AC$2,723,0,60,1))&lt;60,"",SUM(OFFSET(分析データ!$AC$2,723,0,60,1))/1000000)</f>
        <v>3.2403589963329176</v>
      </c>
    </row>
    <row r="728" spans="15:15">
      <c r="O728" s="29">
        <f ca="1">IF(COUNT(OFFSET(分析データ!$AC$2,724,0,60,1))&lt;60,"",SUM(OFFSET(分析データ!$AC$2,724,0,60,1))/1000000)</f>
        <v>3.5478081713210621</v>
      </c>
    </row>
    <row r="729" spans="15:15">
      <c r="O729" s="29">
        <f ca="1">IF(COUNT(OFFSET(分析データ!$AC$2,725,0,60,1))&lt;60,"",SUM(OFFSET(分析データ!$AC$2,725,0,60,1))/1000000)</f>
        <v>3.6745581538966432</v>
      </c>
    </row>
    <row r="730" spans="15:15">
      <c r="O730" s="29">
        <f ca="1">IF(COUNT(OFFSET(分析データ!$AC$2,726,0,60,1))&lt;60,"",SUM(OFFSET(分析データ!$AC$2,726,0,60,1))/1000000)</f>
        <v>1.9124050598336357</v>
      </c>
    </row>
    <row r="731" spans="15:15">
      <c r="O731" s="29">
        <f ca="1">IF(COUNT(OFFSET(分析データ!$AC$2,727,0,60,1))&lt;60,"",SUM(OFFSET(分析データ!$AC$2,727,0,60,1))/1000000)</f>
        <v>2.0323871831324491</v>
      </c>
    </row>
    <row r="732" spans="15:15">
      <c r="O732" s="29">
        <f ca="1">IF(COUNT(OFFSET(分析データ!$AC$2,728,0,60,1))&lt;60,"",SUM(OFFSET(分析データ!$AC$2,728,0,60,1))/1000000)</f>
        <v>1.3824213692290508</v>
      </c>
    </row>
    <row r="733" spans="15:15">
      <c r="O733" s="29">
        <f ca="1">IF(COUNT(OFFSET(分析データ!$AC$2,729,0,60,1))&lt;60,"",SUM(OFFSET(分析データ!$AC$2,729,0,60,1))/1000000)</f>
        <v>0.85325180720796578</v>
      </c>
    </row>
    <row r="734" spans="15:15">
      <c r="O734" s="29">
        <f ca="1">IF(COUNT(OFFSET(分析データ!$AC$2,730,0,60,1))&lt;60,"",SUM(OFFSET(分析データ!$AC$2,730,0,60,1))/1000000)</f>
        <v>0.5651594865424181</v>
      </c>
    </row>
    <row r="735" spans="15:15">
      <c r="O735" s="29">
        <f ca="1">IF(COUNT(OFFSET(分析データ!$AC$2,731,0,60,1))&lt;60,"",SUM(OFFSET(分析データ!$AC$2,731,0,60,1))/1000000)</f>
        <v>-0.85461523907650749</v>
      </c>
    </row>
    <row r="736" spans="15:15">
      <c r="O736" s="29">
        <f ca="1">IF(COUNT(OFFSET(分析データ!$AC$2,732,0,60,1))&lt;60,"",SUM(OFFSET(分析データ!$AC$2,732,0,60,1))/1000000)</f>
        <v>-0.56936641372337493</v>
      </c>
    </row>
    <row r="737" spans="15:15">
      <c r="O737" s="29">
        <f ca="1">IF(COUNT(OFFSET(分析データ!$AC$2,733,0,60,1))&lt;60,"",SUM(OFFSET(分析データ!$AC$2,733,0,60,1))/1000000)</f>
        <v>-0.82971809208533043</v>
      </c>
    </row>
    <row r="738" spans="15:15">
      <c r="O738" s="29">
        <f ca="1">IF(COUNT(OFFSET(分析データ!$AC$2,734,0,60,1))&lt;60,"",SUM(OFFSET(分析データ!$AC$2,734,0,60,1))/1000000)</f>
        <v>-1.0156817430156257</v>
      </c>
    </row>
    <row r="739" spans="15:15">
      <c r="O739" s="29">
        <f ca="1">IF(COUNT(OFFSET(分析データ!$AC$2,735,0,60,1))&lt;60,"",SUM(OFFSET(分析データ!$AC$2,735,0,60,1))/1000000)</f>
        <v>-3.9711764904361103E-2</v>
      </c>
    </row>
    <row r="740" spans="15:15">
      <c r="O740" s="29">
        <f ca="1">IF(COUNT(OFFSET(分析データ!$AC$2,736,0,60,1))&lt;60,"",SUM(OFFSET(分析データ!$AC$2,736,0,60,1))/1000000)</f>
        <v>-0.93226242353016897</v>
      </c>
    </row>
    <row r="741" spans="15:15">
      <c r="O741" s="29">
        <f ca="1">IF(COUNT(OFFSET(分析データ!$AC$2,737,0,60,1))&lt;60,"",SUM(OFFSET(分析データ!$AC$2,737,0,60,1))/1000000)</f>
        <v>-1.3278056087594805</v>
      </c>
    </row>
    <row r="742" spans="15:15">
      <c r="O742" s="29">
        <f ca="1">IF(COUNT(OFFSET(分析データ!$AC$2,738,0,60,1))&lt;60,"",SUM(OFFSET(分析データ!$AC$2,738,0,60,1))/1000000)</f>
        <v>-1.2582967487833556</v>
      </c>
    </row>
    <row r="743" spans="15:15">
      <c r="O743" s="29">
        <f ca="1">IF(COUNT(OFFSET(分析データ!$AC$2,739,0,60,1))&lt;60,"",SUM(OFFSET(分析データ!$AC$2,739,0,60,1))/1000000)</f>
        <v>-1.9025962740030968</v>
      </c>
    </row>
    <row r="744" spans="15:15">
      <c r="O744" s="29">
        <f ca="1">IF(COUNT(OFFSET(分析データ!$AC$2,740,0,60,1))&lt;60,"",SUM(OFFSET(分析データ!$AC$2,740,0,60,1))/1000000)</f>
        <v>-1.4949070254008923</v>
      </c>
    </row>
    <row r="745" spans="15:15">
      <c r="O745" s="29">
        <f ca="1">IF(COUNT(OFFSET(分析データ!$AC$2,741,0,60,1))&lt;60,"",SUM(OFFSET(分析データ!$AC$2,741,0,60,1))/1000000)</f>
        <v>-0.90969941937194276</v>
      </c>
    </row>
    <row r="746" spans="15:15">
      <c r="O746" s="29">
        <f ca="1">IF(COUNT(OFFSET(分析データ!$AC$2,742,0,60,1))&lt;60,"",SUM(OFFSET(分析データ!$AC$2,742,0,60,1))/1000000)</f>
        <v>-1.1585679542299261</v>
      </c>
    </row>
    <row r="747" spans="15:15">
      <c r="O747" s="29">
        <f ca="1">IF(COUNT(OFFSET(分析データ!$AC$2,743,0,60,1))&lt;60,"",SUM(OFFSET(分析データ!$AC$2,743,0,60,1))/1000000)</f>
        <v>0.94977353938624531</v>
      </c>
    </row>
    <row r="748" spans="15:15">
      <c r="O748" s="29">
        <f ca="1">IF(COUNT(OFFSET(分析データ!$AC$2,744,0,60,1))&lt;60,"",SUM(OFFSET(分析データ!$AC$2,744,0,60,1))/1000000)</f>
        <v>-0.45508552341007225</v>
      </c>
    </row>
    <row r="749" spans="15:15">
      <c r="O749" s="29">
        <f ca="1">IF(COUNT(OFFSET(分析データ!$AC$2,745,0,60,1))&lt;60,"",SUM(OFFSET(分析データ!$AC$2,745,0,60,1))/1000000)</f>
        <v>-0.81830844479543596</v>
      </c>
    </row>
    <row r="750" spans="15:15">
      <c r="O750" s="29">
        <f ca="1">IF(COUNT(OFFSET(分析データ!$AC$2,746,0,60,1))&lt;60,"",SUM(OFFSET(分析データ!$AC$2,746,0,60,1))/1000000)</f>
        <v>-1.0588101397835221</v>
      </c>
    </row>
    <row r="751" spans="15:15">
      <c r="O751" s="29">
        <f ca="1">IF(COUNT(OFFSET(分析データ!$AC$2,747,0,60,1))&lt;60,"",SUM(OFFSET(分析データ!$AC$2,747,0,60,1))/1000000)</f>
        <v>-1.1820092086108851</v>
      </c>
    </row>
    <row r="752" spans="15:15">
      <c r="O752" s="29">
        <f ca="1">IF(COUNT(OFFSET(分析データ!$AC$2,748,0,60,1))&lt;60,"",SUM(OFFSET(分析データ!$AC$2,748,0,60,1))/1000000)</f>
        <v>-1.9160688798620304</v>
      </c>
    </row>
    <row r="753" spans="15:15">
      <c r="O753" s="29">
        <f ca="1">IF(COUNT(OFFSET(分析データ!$AC$2,749,0,60,1))&lt;60,"",SUM(OFFSET(分析データ!$AC$2,749,0,60,1))/1000000)</f>
        <v>-1.567648281076901</v>
      </c>
    </row>
    <row r="754" spans="15:15">
      <c r="O754" s="29">
        <f ca="1">IF(COUNT(OFFSET(分析データ!$AC$2,750,0,60,1))&lt;60,"",SUM(OFFSET(分析データ!$AC$2,750,0,60,1))/1000000)</f>
        <v>1.4947057332231198E-3</v>
      </c>
    </row>
    <row r="755" spans="15:15">
      <c r="O755" s="29">
        <f ca="1">IF(COUNT(OFFSET(分析データ!$AC$2,751,0,60,1))&lt;60,"",SUM(OFFSET(分析データ!$AC$2,751,0,60,1))/1000000)</f>
        <v>-0.49395222725955479</v>
      </c>
    </row>
    <row r="756" spans="15:15">
      <c r="O756" s="29">
        <f ca="1">IF(COUNT(OFFSET(分析データ!$AC$2,752,0,60,1))&lt;60,"",SUM(OFFSET(分析データ!$AC$2,752,0,60,1))/1000000)</f>
        <v>-0.75873647744916706</v>
      </c>
    </row>
    <row r="757" spans="15:15">
      <c r="O757" s="29">
        <f ca="1">IF(COUNT(OFFSET(分析データ!$AC$2,753,0,60,1))&lt;60,"",SUM(OFFSET(分析データ!$AC$2,753,0,60,1))/1000000)</f>
        <v>-1.1668472174595275</v>
      </c>
    </row>
    <row r="758" spans="15:15">
      <c r="O758" s="29">
        <f ca="1">IF(COUNT(OFFSET(分析データ!$AC$2,754,0,60,1))&lt;60,"",SUM(OFFSET(分析データ!$AC$2,754,0,60,1))/1000000)</f>
        <v>-0.38057416851234144</v>
      </c>
    </row>
    <row r="759" spans="15:15">
      <c r="O759" s="29">
        <f ca="1">IF(COUNT(OFFSET(分析データ!$AC$2,755,0,60,1))&lt;60,"",SUM(OFFSET(分析データ!$AC$2,755,0,60,1))/1000000)</f>
        <v>-0.48897169881391545</v>
      </c>
    </row>
    <row r="760" spans="15:15">
      <c r="O760" s="29">
        <f ca="1">IF(COUNT(OFFSET(分析データ!$AC$2,756,0,60,1))&lt;60,"",SUM(OFFSET(分析データ!$AC$2,756,0,60,1))/1000000)</f>
        <v>0.75167288349122652</v>
      </c>
    </row>
    <row r="761" spans="15:15">
      <c r="O761" s="29">
        <f ca="1">IF(COUNT(OFFSET(分析データ!$AC$2,757,0,60,1))&lt;60,"",SUM(OFFSET(分析データ!$AC$2,757,0,60,1))/1000000)</f>
        <v>0.15925242291098252</v>
      </c>
    </row>
    <row r="762" spans="15:15">
      <c r="O762" s="29">
        <f ca="1">IF(COUNT(OFFSET(分析データ!$AC$2,758,0,60,1))&lt;60,"",SUM(OFFSET(分析データ!$AC$2,758,0,60,1))/1000000)</f>
        <v>1.119975730682591</v>
      </c>
    </row>
    <row r="763" spans="15:15">
      <c r="O763" s="29">
        <f ca="1">IF(COUNT(OFFSET(分析データ!$AC$2,759,0,60,1))&lt;60,"",SUM(OFFSET(分析データ!$AC$2,759,0,60,1))/1000000)</f>
        <v>0.14496413167721087</v>
      </c>
    </row>
    <row r="764" spans="15:15">
      <c r="O764" s="29">
        <f ca="1">IF(COUNT(OFFSET(分析データ!$AC$2,760,0,60,1))&lt;60,"",SUM(OFFSET(分析データ!$AC$2,760,0,60,1))/1000000)</f>
        <v>1.510862204824722</v>
      </c>
    </row>
    <row r="765" spans="15:15">
      <c r="O765" s="29">
        <f ca="1">IF(COUNT(OFFSET(分析データ!$AC$2,761,0,60,1))&lt;60,"",SUM(OFFSET(分析データ!$AC$2,761,0,60,1))/1000000)</f>
        <v>1.5330090438577519</v>
      </c>
    </row>
    <row r="766" spans="15:15">
      <c r="O766" s="29">
        <f ca="1">IF(COUNT(OFFSET(分析データ!$AC$2,762,0,60,1))&lt;60,"",SUM(OFFSET(分析データ!$AC$2,762,0,60,1))/1000000)</f>
        <v>0.56589289099100804</v>
      </c>
    </row>
    <row r="767" spans="15:15">
      <c r="O767" s="29">
        <f ca="1">IF(COUNT(OFFSET(分析データ!$AC$2,763,0,60,1))&lt;60,"",SUM(OFFSET(分析データ!$AC$2,763,0,60,1))/1000000)</f>
        <v>1.0436890931290788</v>
      </c>
    </row>
    <row r="768" spans="15:15">
      <c r="O768" s="29">
        <f ca="1">IF(COUNT(OFFSET(分析データ!$AC$2,764,0,60,1))&lt;60,"",SUM(OFFSET(分析データ!$AC$2,764,0,60,1))/1000000)</f>
        <v>1.064440517932596</v>
      </c>
    </row>
    <row r="769" spans="15:15">
      <c r="O769" s="29">
        <f ca="1">IF(COUNT(OFFSET(分析データ!$AC$2,765,0,60,1))&lt;60,"",SUM(OFFSET(分析データ!$AC$2,765,0,60,1))/1000000)</f>
        <v>-1.6939570846370418</v>
      </c>
    </row>
    <row r="770" spans="15:15">
      <c r="O770" s="29">
        <f ca="1">IF(COUNT(OFFSET(分析データ!$AC$2,766,0,60,1))&lt;60,"",SUM(OFFSET(分析データ!$AC$2,766,0,60,1))/1000000)</f>
        <v>-2.2403232358927143</v>
      </c>
    </row>
    <row r="771" spans="15:15">
      <c r="O771" s="29">
        <f ca="1">IF(COUNT(OFFSET(分析データ!$AC$2,767,0,60,1))&lt;60,"",SUM(OFFSET(分析データ!$AC$2,767,0,60,1))/1000000)</f>
        <v>-4.0428276471366802</v>
      </c>
    </row>
    <row r="772" spans="15:15">
      <c r="O772" s="29">
        <f ca="1">IF(COUNT(OFFSET(分析データ!$AC$2,768,0,60,1))&lt;60,"",SUM(OFFSET(分析データ!$AC$2,768,0,60,1))/1000000)</f>
        <v>-3.3634008592817985</v>
      </c>
    </row>
    <row r="773" spans="15:15">
      <c r="O773" s="29">
        <f ca="1">IF(COUNT(OFFSET(分析データ!$AC$2,769,0,60,1))&lt;60,"",SUM(OFFSET(分析データ!$AC$2,769,0,60,1))/1000000)</f>
        <v>-2.7586403975129006</v>
      </c>
    </row>
    <row r="774" spans="15:15">
      <c r="O774" s="29">
        <f ca="1">IF(COUNT(OFFSET(分析データ!$AC$2,770,0,60,1))&lt;60,"",SUM(OFFSET(分析データ!$AC$2,770,0,60,1))/1000000)</f>
        <v>-0.9417331071207713</v>
      </c>
    </row>
    <row r="775" spans="15:15">
      <c r="O775" s="29">
        <f ca="1">IF(COUNT(OFFSET(分析データ!$AC$2,771,0,60,1))&lt;60,"",SUM(OFFSET(分析データ!$AC$2,771,0,60,1))/1000000)</f>
        <v>-1.5034354276286102</v>
      </c>
    </row>
    <row r="776" spans="15:15">
      <c r="O776" s="29">
        <f ca="1">IF(COUNT(OFFSET(分析データ!$AC$2,772,0,60,1))&lt;60,"",SUM(OFFSET(分析データ!$AC$2,772,0,60,1))/1000000)</f>
        <v>1.2926185029989838</v>
      </c>
    </row>
    <row r="777" spans="15:15">
      <c r="O777" s="29">
        <f ca="1">IF(COUNT(OFFSET(分析データ!$AC$2,773,0,60,1))&lt;60,"",SUM(OFFSET(分析データ!$AC$2,773,0,60,1))/1000000)</f>
        <v>2.2061921383081962</v>
      </c>
    </row>
    <row r="778" spans="15:15">
      <c r="O778" s="29">
        <f ca="1">IF(COUNT(OFFSET(分析データ!$AC$2,774,0,60,1))&lt;60,"",SUM(OFFSET(分析データ!$AC$2,774,0,60,1))/1000000)</f>
        <v>1.4961627624658136</v>
      </c>
    </row>
    <row r="779" spans="15:15">
      <c r="O779" s="29">
        <f ca="1">IF(COUNT(OFFSET(分析データ!$AC$2,775,0,60,1))&lt;60,"",SUM(OFFSET(分析データ!$AC$2,775,0,60,1))/1000000)</f>
        <v>1.4877485026435144</v>
      </c>
    </row>
    <row r="780" spans="15:15">
      <c r="O780" s="29">
        <f ca="1">IF(COUNT(OFFSET(分析データ!$AC$2,776,0,60,1))&lt;60,"",SUM(OFFSET(分析データ!$AC$2,776,0,60,1))/1000000)</f>
        <v>1.6771956281841407</v>
      </c>
    </row>
    <row r="781" spans="15:15">
      <c r="O781" s="29">
        <f ca="1">IF(COUNT(OFFSET(分析データ!$AC$2,777,0,60,1))&lt;60,"",SUM(OFFSET(分析データ!$AC$2,777,0,60,1))/1000000)</f>
        <v>-0.55810294648857706</v>
      </c>
    </row>
    <row r="782" spans="15:15">
      <c r="O782" s="29">
        <f ca="1">IF(COUNT(OFFSET(分析データ!$AC$2,778,0,60,1))&lt;60,"",SUM(OFFSET(分析データ!$AC$2,778,0,60,1))/1000000)</f>
        <v>-2.1336698114951202</v>
      </c>
    </row>
    <row r="783" spans="15:15">
      <c r="O783" s="29">
        <f ca="1">IF(COUNT(OFFSET(分析データ!$AC$2,779,0,60,1))&lt;60,"",SUM(OFFSET(分析データ!$AC$2,779,0,60,1))/1000000)</f>
        <v>-2.4895705144899187</v>
      </c>
    </row>
    <row r="784" spans="15:15">
      <c r="O784" s="29">
        <f ca="1">IF(COUNT(OFFSET(分析データ!$AC$2,780,0,60,1))&lt;60,"",SUM(OFFSET(分析データ!$AC$2,780,0,60,1))/1000000)</f>
        <v>-1.9344841764118643</v>
      </c>
    </row>
    <row r="785" spans="15:15">
      <c r="O785" s="29">
        <f ca="1">IF(COUNT(OFFSET(分析データ!$AC$2,781,0,60,1))&lt;60,"",SUM(OFFSET(分析データ!$AC$2,781,0,60,1))/1000000)</f>
        <v>-1.8878441525167504</v>
      </c>
    </row>
    <row r="786" spans="15:15">
      <c r="O786" s="29">
        <f ca="1">IF(COUNT(OFFSET(分析データ!$AC$2,782,0,60,1))&lt;60,"",SUM(OFFSET(分析データ!$AC$2,782,0,60,1))/1000000)</f>
        <v>-1.4919436906838417</v>
      </c>
    </row>
    <row r="787" spans="15:15">
      <c r="O787" s="29">
        <f ca="1">IF(COUNT(OFFSET(分析データ!$AC$2,783,0,60,1))&lt;60,"",SUM(OFFSET(分析データ!$AC$2,783,0,60,1))/1000000)</f>
        <v>-1.1225695358211614</v>
      </c>
    </row>
    <row r="788" spans="15:15">
      <c r="O788" s="29">
        <f ca="1">IF(COUNT(OFFSET(分析データ!$AC$2,784,0,60,1))&lt;60,"",SUM(OFFSET(分析データ!$AC$2,784,0,60,1))/1000000)</f>
        <v>-2.5092549734180984</v>
      </c>
    </row>
    <row r="789" spans="15:15">
      <c r="O789" s="29">
        <f ca="1">IF(COUNT(OFFSET(分析データ!$AC$2,785,0,60,1))&lt;60,"",SUM(OFFSET(分析データ!$AC$2,785,0,60,1))/1000000)</f>
        <v>-2.559572966135097</v>
      </c>
    </row>
    <row r="790" spans="15:15">
      <c r="O790" s="29">
        <f ca="1">IF(COUNT(OFFSET(分析データ!$AC$2,786,0,60,1))&lt;60,"",SUM(OFFSET(分析データ!$AC$2,786,0,60,1))/1000000)</f>
        <v>-1.1321371090351153</v>
      </c>
    </row>
    <row r="791" spans="15:15">
      <c r="O791" s="29">
        <f ca="1">IF(COUNT(OFFSET(分析データ!$AC$2,787,0,60,1))&lt;60,"",SUM(OFFSET(分析データ!$AC$2,787,0,60,1))/1000000)</f>
        <v>-0.55784919566128455</v>
      </c>
    </row>
    <row r="792" spans="15:15">
      <c r="O792" s="29">
        <f ca="1">IF(COUNT(OFFSET(分析データ!$AC$2,788,0,60,1))&lt;60,"",SUM(OFFSET(分析データ!$AC$2,788,0,60,1))/1000000)</f>
        <v>-0.40167120643389709</v>
      </c>
    </row>
    <row r="793" spans="15:15">
      <c r="O793" s="29">
        <f ca="1">IF(COUNT(OFFSET(分析データ!$AC$2,789,0,60,1))&lt;60,"",SUM(OFFSET(分析データ!$AC$2,789,0,60,1))/1000000)</f>
        <v>2.0587385027595446E-3</v>
      </c>
    </row>
    <row r="794" spans="15:15">
      <c r="O794" s="29">
        <f ca="1">IF(COUNT(OFFSET(分析データ!$AC$2,790,0,60,1))&lt;60,"",SUM(OFFSET(分析データ!$AC$2,790,0,60,1))/1000000)</f>
        <v>-0.16464015960858019</v>
      </c>
    </row>
    <row r="795" spans="15:15">
      <c r="O795" s="29">
        <f ca="1">IF(COUNT(OFFSET(分析データ!$AC$2,791,0,60,1))&lt;60,"",SUM(OFFSET(分析データ!$AC$2,791,0,60,1))/1000000)</f>
        <v>0.90419245275259275</v>
      </c>
    </row>
    <row r="796" spans="15:15">
      <c r="O796" s="29">
        <f ca="1">IF(COUNT(OFFSET(分析データ!$AC$2,792,0,60,1))&lt;60,"",SUM(OFFSET(分析データ!$AC$2,792,0,60,1))/1000000)</f>
        <v>0.16564762419990531</v>
      </c>
    </row>
    <row r="797" spans="15:15">
      <c r="O797" s="29">
        <f ca="1">IF(COUNT(OFFSET(分析データ!$AC$2,793,0,60,1))&lt;60,"",SUM(OFFSET(分析データ!$AC$2,793,0,60,1))/1000000)</f>
        <v>0.94672982018504803</v>
      </c>
    </row>
    <row r="798" spans="15:15">
      <c r="O798" s="29">
        <f ca="1">IF(COUNT(OFFSET(分析データ!$AC$2,794,0,60,1))&lt;60,"",SUM(OFFSET(分析データ!$AC$2,794,0,60,1))/1000000)</f>
        <v>0.55561226370328609</v>
      </c>
    </row>
    <row r="799" spans="15:15">
      <c r="O799" s="29">
        <f ca="1">IF(COUNT(OFFSET(分析データ!$AC$2,795,0,60,1))&lt;60,"",SUM(OFFSET(分析データ!$AC$2,795,0,60,1))/1000000)</f>
        <v>0.78069414550366678</v>
      </c>
    </row>
    <row r="800" spans="15:15">
      <c r="O800" s="29">
        <f ca="1">IF(COUNT(OFFSET(分析データ!$AC$2,796,0,60,1))&lt;60,"",SUM(OFFSET(分析データ!$AC$2,796,0,60,1))/1000000)</f>
        <v>1.1874605544193169</v>
      </c>
    </row>
    <row r="801" spans="15:15">
      <c r="O801" s="29">
        <f ca="1">IF(COUNT(OFFSET(分析データ!$AC$2,797,0,60,1))&lt;60,"",SUM(OFFSET(分析データ!$AC$2,797,0,60,1))/1000000)</f>
        <v>1.4990643105489228</v>
      </c>
    </row>
    <row r="802" spans="15:15">
      <c r="O802" s="29">
        <f ca="1">IF(COUNT(OFFSET(分析データ!$AC$2,798,0,60,1))&lt;60,"",SUM(OFFSET(分析データ!$AC$2,798,0,60,1))/1000000)</f>
        <v>1.6278873265535234</v>
      </c>
    </row>
    <row r="803" spans="15:15">
      <c r="O803" s="29">
        <f ca="1">IF(COUNT(OFFSET(分析データ!$AC$2,799,0,60,1))&lt;60,"",SUM(OFFSET(分析データ!$AC$2,799,0,60,1))/1000000)</f>
        <v>1.5573968003015244</v>
      </c>
    </row>
    <row r="804" spans="15:15">
      <c r="O804" s="29">
        <f ca="1">IF(COUNT(OFFSET(分析データ!$AC$2,800,0,60,1))&lt;60,"",SUM(OFFSET(分析データ!$AC$2,800,0,60,1))/1000000)</f>
        <v>0.6107868898636889</v>
      </c>
    </row>
    <row r="805" spans="15:15">
      <c r="O805" s="29">
        <f ca="1">IF(COUNT(OFFSET(分析データ!$AC$2,801,0,60,1))&lt;60,"",SUM(OFFSET(分析データ!$AC$2,801,0,60,1))/1000000)</f>
        <v>1.2547175228045433</v>
      </c>
    </row>
    <row r="806" spans="15:15">
      <c r="O806" s="29">
        <f ca="1">IF(COUNT(OFFSET(分析データ!$AC$2,802,0,60,1))&lt;60,"",SUM(OFFSET(分析データ!$AC$2,802,0,60,1))/1000000)</f>
        <v>1.5401370663865162</v>
      </c>
    </row>
    <row r="807" spans="15:15">
      <c r="O807" s="29">
        <f ca="1">IF(COUNT(OFFSET(分析データ!$AC$2,803,0,60,1))&lt;60,"",SUM(OFFSET(分析データ!$AC$2,803,0,60,1))/1000000)</f>
        <v>0.52752065575616602</v>
      </c>
    </row>
    <row r="808" spans="15:15">
      <c r="O808" s="29">
        <f ca="1">IF(COUNT(OFFSET(分析データ!$AC$2,804,0,60,1))&lt;60,"",SUM(OFFSET(分析データ!$AC$2,804,0,60,1))/1000000)</f>
        <v>1.6683339475668848</v>
      </c>
    </row>
    <row r="809" spans="15:15">
      <c r="O809" s="29">
        <f ca="1">IF(COUNT(OFFSET(分析データ!$AC$2,805,0,60,1))&lt;60,"",SUM(OFFSET(分析データ!$AC$2,805,0,60,1))/1000000)</f>
        <v>1.2078164615770122</v>
      </c>
    </row>
    <row r="810" spans="15:15">
      <c r="O810" s="29">
        <f ca="1">IF(COUNT(OFFSET(分析データ!$AC$2,806,0,60,1))&lt;60,"",SUM(OFFSET(分析データ!$AC$2,806,0,60,1))/1000000)</f>
        <v>0.97359694358885984</v>
      </c>
    </row>
    <row r="811" spans="15:15">
      <c r="O811" s="29">
        <f ca="1">IF(COUNT(OFFSET(分析データ!$AC$2,807,0,60,1))&lt;60,"",SUM(OFFSET(分析データ!$AC$2,807,0,60,1))/1000000)</f>
        <v>1.2592798370047245</v>
      </c>
    </row>
    <row r="812" spans="15:15">
      <c r="O812" s="29">
        <f ca="1">IF(COUNT(OFFSET(分析データ!$AC$2,808,0,60,1))&lt;60,"",SUM(OFFSET(分析データ!$AC$2,808,0,60,1))/1000000)</f>
        <v>1.7707595692564966</v>
      </c>
    </row>
    <row r="813" spans="15:15">
      <c r="O813" s="29">
        <f ca="1">IF(COUNT(OFFSET(分析データ!$AC$2,809,0,60,1))&lt;60,"",SUM(OFFSET(分析データ!$AC$2,809,0,60,1))/1000000)</f>
        <v>1.9500358052038198</v>
      </c>
    </row>
    <row r="814" spans="15:15">
      <c r="O814" s="29">
        <f ca="1">IF(COUNT(OFFSET(分析データ!$AC$2,810,0,60,1))&lt;60,"",SUM(OFFSET(分析データ!$AC$2,810,0,60,1))/1000000)</f>
        <v>0.34192248320946345</v>
      </c>
    </row>
    <row r="815" spans="15:15">
      <c r="O815" s="29">
        <f ca="1">IF(COUNT(OFFSET(分析データ!$AC$2,811,0,60,1))&lt;60,"",SUM(OFFSET(分析データ!$AC$2,811,0,60,1))/1000000)</f>
        <v>0.56150762243536134</v>
      </c>
    </row>
    <row r="816" spans="15:15">
      <c r="O816" s="29">
        <f ca="1">IF(COUNT(OFFSET(分析データ!$AC$2,812,0,60,1))&lt;60,"",SUM(OFFSET(分析データ!$AC$2,812,0,60,1))/1000000)</f>
        <v>1.0047146265066964</v>
      </c>
    </row>
    <row r="817" spans="15:15">
      <c r="O817" s="29">
        <f ca="1">IF(COUNT(OFFSET(分析データ!$AC$2,813,0,60,1))&lt;60,"",SUM(OFFSET(分析データ!$AC$2,813,0,60,1))/1000000)</f>
        <v>1.0492233948690091</v>
      </c>
    </row>
    <row r="818" spans="15:15">
      <c r="O818" s="29">
        <f ca="1">IF(COUNT(OFFSET(分析データ!$AC$2,814,0,60,1))&lt;60,"",SUM(OFFSET(分析データ!$AC$2,814,0,60,1))/1000000)</f>
        <v>0.52958235403500376</v>
      </c>
    </row>
    <row r="819" spans="15:15">
      <c r="O819" s="29">
        <f ca="1">IF(COUNT(OFFSET(分析データ!$AC$2,815,0,60,1))&lt;60,"",SUM(OFFSET(分析データ!$AC$2,815,0,60,1))/1000000)</f>
        <v>1.0011305019098844</v>
      </c>
    </row>
    <row r="820" spans="15:15">
      <c r="O820" s="29">
        <f ca="1">IF(COUNT(OFFSET(分析データ!$AC$2,816,0,60,1))&lt;60,"",SUM(OFFSET(分析データ!$AC$2,816,0,60,1))/1000000)</f>
        <v>0.55268622830205671</v>
      </c>
    </row>
    <row r="821" spans="15:15">
      <c r="O821" s="29">
        <f ca="1">IF(COUNT(OFFSET(分析データ!$AC$2,817,0,60,1))&lt;60,"",SUM(OFFSET(分析データ!$AC$2,817,0,60,1))/1000000)</f>
        <v>0.44791775586211424</v>
      </c>
    </row>
    <row r="822" spans="15:15">
      <c r="O822" s="29">
        <f ca="1">IF(COUNT(OFFSET(分析データ!$AC$2,818,0,60,1))&lt;60,"",SUM(OFFSET(分析データ!$AC$2,818,0,60,1))/1000000)</f>
        <v>0.12055247244557907</v>
      </c>
    </row>
    <row r="823" spans="15:15">
      <c r="O823" s="29">
        <f ca="1">IF(COUNT(OFFSET(分析データ!$AC$2,819,0,60,1))&lt;60,"",SUM(OFFSET(分析データ!$AC$2,819,0,60,1))/1000000)</f>
        <v>0.37660995115309731</v>
      </c>
    </row>
    <row r="824" spans="15:15">
      <c r="O824" s="29">
        <f ca="1">IF(COUNT(OFFSET(分析データ!$AC$2,820,0,60,1))&lt;60,"",SUM(OFFSET(分析データ!$AC$2,820,0,60,1))/1000000)</f>
        <v>-0.82499129509899716</v>
      </c>
    </row>
    <row r="825" spans="15:15">
      <c r="O825" s="29">
        <f ca="1">IF(COUNT(OFFSET(分析データ!$AC$2,821,0,60,1))&lt;60,"",SUM(OFFSET(分析データ!$AC$2,821,0,60,1))/1000000)</f>
        <v>-1.0950258486370694</v>
      </c>
    </row>
    <row r="826" spans="15:15">
      <c r="O826" s="29">
        <f ca="1">IF(COUNT(OFFSET(分析データ!$AC$2,822,0,60,1))&lt;60,"",SUM(OFFSET(分析データ!$AC$2,822,0,60,1))/1000000)</f>
        <v>0.1467053886756968</v>
      </c>
    </row>
    <row r="827" spans="15:15">
      <c r="O827" s="29">
        <f ca="1">IF(COUNT(OFFSET(分析データ!$AC$2,823,0,60,1))&lt;60,"",SUM(OFFSET(分析データ!$AC$2,823,0,60,1))/1000000)</f>
        <v>-0.16768736741027981</v>
      </c>
    </row>
    <row r="828" spans="15:15">
      <c r="O828" s="29">
        <f ca="1">IF(COUNT(OFFSET(分析データ!$AC$2,824,0,60,1))&lt;60,"",SUM(OFFSET(分析データ!$AC$2,824,0,60,1))/1000000)</f>
        <v>-0.62986575688969826</v>
      </c>
    </row>
    <row r="829" spans="15:15">
      <c r="O829" s="29">
        <f ca="1">IF(COUNT(OFFSET(分析データ!$AC$2,825,0,60,1))&lt;60,"",SUM(OFFSET(分析データ!$AC$2,825,0,60,1))/1000000)</f>
        <v>-0.15981502453819529</v>
      </c>
    </row>
    <row r="830" spans="15:15">
      <c r="O830" s="29">
        <f ca="1">IF(COUNT(OFFSET(分析データ!$AC$2,826,0,60,1))&lt;60,"",SUM(OFFSET(分析データ!$AC$2,826,0,60,1))/1000000)</f>
        <v>-0.35923436022528943</v>
      </c>
    </row>
    <row r="831" spans="15:15">
      <c r="O831" s="29">
        <f ca="1">IF(COUNT(OFFSET(分析データ!$AC$2,827,0,60,1))&lt;60,"",SUM(OFFSET(分析データ!$AC$2,827,0,60,1))/1000000)</f>
        <v>-0.6758308718474717</v>
      </c>
    </row>
    <row r="832" spans="15:15">
      <c r="O832" s="29">
        <f ca="1">IF(COUNT(OFFSET(分析データ!$AC$2,828,0,60,1))&lt;60,"",SUM(OFFSET(分析データ!$AC$2,828,0,60,1))/1000000)</f>
        <v>-0.59062970813756643</v>
      </c>
    </row>
    <row r="833" spans="15:15">
      <c r="O833" s="29">
        <f ca="1">IF(COUNT(OFFSET(分析データ!$AC$2,829,0,60,1))&lt;60,"",SUM(OFFSET(分析データ!$AC$2,829,0,60,1))/1000000)</f>
        <v>-1.3192109901195652</v>
      </c>
    </row>
    <row r="834" spans="15:15">
      <c r="O834" s="29">
        <f ca="1">IF(COUNT(OFFSET(分析データ!$AC$2,830,0,60,1))&lt;60,"",SUM(OFFSET(分析データ!$AC$2,830,0,60,1))/1000000)</f>
        <v>-1.4162897311344118</v>
      </c>
    </row>
    <row r="835" spans="15:15">
      <c r="O835" s="29">
        <f ca="1">IF(COUNT(OFFSET(分析データ!$AC$2,831,0,60,1))&lt;60,"",SUM(OFFSET(分析データ!$AC$2,831,0,60,1))/1000000)</f>
        <v>-0.98583765081237895</v>
      </c>
    </row>
    <row r="836" spans="15:15">
      <c r="O836" s="29">
        <f ca="1">IF(COUNT(OFFSET(分析データ!$AC$2,832,0,60,1))&lt;60,"",SUM(OFFSET(分析データ!$AC$2,832,0,60,1))/1000000)</f>
        <v>-3.3791864448561828</v>
      </c>
    </row>
    <row r="837" spans="15:15">
      <c r="O837" s="29">
        <f ca="1">IF(COUNT(OFFSET(分析データ!$AC$2,833,0,60,1))&lt;60,"",SUM(OFFSET(分析データ!$AC$2,833,0,60,1))/1000000)</f>
        <v>-3.7344825710416187</v>
      </c>
    </row>
    <row r="838" spans="15:15">
      <c r="O838" s="29">
        <f ca="1">IF(COUNT(OFFSET(分析データ!$AC$2,834,0,60,1))&lt;60,"",SUM(OFFSET(分析データ!$AC$2,834,0,60,1))/1000000)</f>
        <v>-0.8787353155079759</v>
      </c>
    </row>
    <row r="839" spans="15:15">
      <c r="O839" s="29">
        <f ca="1">IF(COUNT(OFFSET(分析データ!$AC$2,835,0,60,1))&lt;60,"",SUM(OFFSET(分析データ!$AC$2,835,0,60,1))/1000000)</f>
        <v>-0.73000594902391713</v>
      </c>
    </row>
    <row r="840" spans="15:15">
      <c r="O840" s="29">
        <f ca="1">IF(COUNT(OFFSET(分析データ!$AC$2,836,0,60,1))&lt;60,"",SUM(OFFSET(分析データ!$AC$2,836,0,60,1))/1000000)</f>
        <v>0.10686973316341196</v>
      </c>
    </row>
    <row r="841" spans="15:15">
      <c r="O841" s="29">
        <f ca="1">IF(COUNT(OFFSET(分析データ!$AC$2,837,0,60,1))&lt;60,"",SUM(OFFSET(分析データ!$AC$2,837,0,60,1))/1000000)</f>
        <v>0.79250088369225813</v>
      </c>
    </row>
    <row r="842" spans="15:15">
      <c r="O842" s="29">
        <f ca="1">IF(COUNT(OFFSET(分析データ!$AC$2,838,0,60,1))&lt;60,"",SUM(OFFSET(分析データ!$AC$2,838,0,60,1))/1000000)</f>
        <v>0.79998411587324192</v>
      </c>
    </row>
    <row r="843" spans="15:15">
      <c r="O843" s="29">
        <f ca="1">IF(COUNT(OFFSET(分析データ!$AC$2,839,0,60,1))&lt;60,"",SUM(OFFSET(分析データ!$AC$2,839,0,60,1))/1000000)</f>
        <v>0.31981241872586824</v>
      </c>
    </row>
    <row r="844" spans="15:15">
      <c r="O844" s="29">
        <f ca="1">IF(COUNT(OFFSET(分析データ!$AC$2,840,0,60,1))&lt;60,"",SUM(OFFSET(分析データ!$AC$2,840,0,60,1))/1000000)</f>
        <v>0.54161212228368971</v>
      </c>
    </row>
    <row r="845" spans="15:15">
      <c r="O845" s="29">
        <f ca="1">IF(COUNT(OFFSET(分析データ!$AC$2,841,0,60,1))&lt;60,"",SUM(OFFSET(分析データ!$AC$2,841,0,60,1))/1000000)</f>
        <v>-0.54449210876984944</v>
      </c>
    </row>
    <row r="846" spans="15:15">
      <c r="O846" s="29">
        <f ca="1">IF(COUNT(OFFSET(分析データ!$AC$2,842,0,60,1))&lt;60,"",SUM(OFFSET(分析データ!$AC$2,842,0,60,1))/1000000)</f>
        <v>3.5678387428788587E-2</v>
      </c>
    </row>
    <row r="847" spans="15:15">
      <c r="O847" s="29">
        <f ca="1">IF(COUNT(OFFSET(分析データ!$AC$2,843,0,60,1))&lt;60,"",SUM(OFFSET(分析データ!$AC$2,843,0,60,1))/1000000)</f>
        <v>-3.0923364192660084E-3</v>
      </c>
    </row>
    <row r="848" spans="15:15">
      <c r="O848" s="29">
        <f ca="1">IF(COUNT(OFFSET(分析データ!$AC$2,844,0,60,1))&lt;60,"",SUM(OFFSET(分析データ!$AC$2,844,0,60,1))/1000000)</f>
        <v>0.54720327462970397</v>
      </c>
    </row>
    <row r="849" spans="15:15">
      <c r="O849" s="29">
        <f ca="1">IF(COUNT(OFFSET(分析データ!$AC$2,845,0,60,1))&lt;60,"",SUM(OFFSET(分析データ!$AC$2,845,0,60,1))/1000000)</f>
        <v>0.55012786605692365</v>
      </c>
    </row>
    <row r="850" spans="15:15">
      <c r="O850" s="29">
        <f ca="1">IF(COUNT(OFFSET(分析データ!$AC$2,846,0,60,1))&lt;60,"",SUM(OFFSET(分析データ!$AC$2,846,0,60,1))/1000000)</f>
        <v>-0.38072840533584601</v>
      </c>
    </row>
    <row r="851" spans="15:15">
      <c r="O851" s="29">
        <f ca="1">IF(COUNT(OFFSET(分析データ!$AC$2,847,0,60,1))&lt;60,"",SUM(OFFSET(分析データ!$AC$2,847,0,60,1))/1000000)</f>
        <v>-1.0326523816720092</v>
      </c>
    </row>
    <row r="852" spans="15:15">
      <c r="O852" s="29">
        <f ca="1">IF(COUNT(OFFSET(分析データ!$AC$2,848,0,60,1))&lt;60,"",SUM(OFFSET(分析データ!$AC$2,848,0,60,1))/1000000)</f>
        <v>7.6976142814757769E-3</v>
      </c>
    </row>
    <row r="853" spans="15:15">
      <c r="O853" s="29">
        <f ca="1">IF(COUNT(OFFSET(分析データ!$AC$2,849,0,60,1))&lt;60,"",SUM(OFFSET(分析データ!$AC$2,849,0,60,1))/1000000)</f>
        <v>-1.3347456594224379E-2</v>
      </c>
    </row>
    <row r="854" spans="15:15">
      <c r="O854" s="29">
        <f ca="1">IF(COUNT(OFFSET(分析データ!$AC$2,850,0,60,1))&lt;60,"",SUM(OFFSET(分析データ!$AC$2,850,0,60,1))/1000000)</f>
        <v>3.2603436819773519E-2</v>
      </c>
    </row>
    <row r="855" spans="15:15">
      <c r="O855" s="29" t="str">
        <f ca="1">IF(COUNT(OFFSET(分析データ!$AC$2,851,0,60,1))&lt;60,"",SUM(OFFSET(分析データ!$AC$2,851,0,60,1))/1000000)</f>
        <v/>
      </c>
    </row>
    <row r="856" spans="15:15">
      <c r="O856" s="29" t="str">
        <f ca="1">IF(COUNT(OFFSET(分析データ!$AC$2,852,0,60,1))&lt;60,"",SUM(OFFSET(分析データ!$AC$2,852,0,60,1))/1000000)</f>
        <v/>
      </c>
    </row>
    <row r="857" spans="15:15">
      <c r="O857" s="29" t="str">
        <f ca="1">IF(COUNT(OFFSET(分析データ!$AC$2,853,0,60,1))&lt;60,"",SUM(OFFSET(分析データ!$AC$2,853,0,60,1))/1000000)</f>
        <v/>
      </c>
    </row>
    <row r="858" spans="15:15">
      <c r="O858" s="29" t="str">
        <f ca="1">IF(COUNT(OFFSET(分析データ!$AC$2,854,0,60,1))&lt;60,"",SUM(OFFSET(分析データ!$AC$2,854,0,60,1))/1000000)</f>
        <v/>
      </c>
    </row>
    <row r="859" spans="15:15">
      <c r="O859" s="29" t="str">
        <f ca="1">IF(COUNT(OFFSET(分析データ!$AC$2,855,0,60,1))&lt;60,"",SUM(OFFSET(分析データ!$AC$2,855,0,60,1))/1000000)</f>
        <v/>
      </c>
    </row>
    <row r="860" spans="15:15">
      <c r="O860" s="29" t="str">
        <f ca="1">IF(COUNT(OFFSET(分析データ!$AC$2,856,0,60,1))&lt;60,"",SUM(OFFSET(分析データ!$AC$2,856,0,60,1))/1000000)</f>
        <v/>
      </c>
    </row>
    <row r="861" spans="15:15">
      <c r="O861" s="29" t="str">
        <f ca="1">IF(COUNT(OFFSET(分析データ!$AC$2,857,0,60,1))&lt;60,"",SUM(OFFSET(分析データ!$AC$2,857,0,60,1))/1000000)</f>
        <v/>
      </c>
    </row>
    <row r="862" spans="15:15">
      <c r="O862" s="29" t="str">
        <f ca="1">IF(COUNT(OFFSET(分析データ!$AC$2,858,0,60,1))&lt;60,"",SUM(OFFSET(分析データ!$AC$2,858,0,60,1))/1000000)</f>
        <v/>
      </c>
    </row>
    <row r="863" spans="15:15">
      <c r="O863" s="29" t="str">
        <f ca="1">IF(COUNT(OFFSET(分析データ!$AC$2,859,0,60,1))&lt;60,"",SUM(OFFSET(分析データ!$AC$2,859,0,60,1))/1000000)</f>
        <v/>
      </c>
    </row>
    <row r="864" spans="15:15">
      <c r="O864" s="29" t="str">
        <f ca="1">IF(COUNT(OFFSET(分析データ!$AC$2,860,0,60,1))&lt;60,"",SUM(OFFSET(分析データ!$AC$2,860,0,60,1))/1000000)</f>
        <v/>
      </c>
    </row>
    <row r="865" spans="15:15">
      <c r="O865" s="29" t="str">
        <f ca="1">IF(COUNT(OFFSET(分析データ!$AC$2,861,0,60,1))&lt;60,"",SUM(OFFSET(分析データ!$AC$2,861,0,60,1))/1000000)</f>
        <v/>
      </c>
    </row>
    <row r="866" spans="15:15">
      <c r="O866" s="29" t="str">
        <f ca="1">IF(COUNT(OFFSET(分析データ!$AC$2,862,0,60,1))&lt;60,"",SUM(OFFSET(分析データ!$AC$2,862,0,60,1))/1000000)</f>
        <v/>
      </c>
    </row>
    <row r="867" spans="15:15">
      <c r="O867" s="29" t="str">
        <f ca="1">IF(COUNT(OFFSET(分析データ!$AC$2,863,0,60,1))&lt;60,"",SUM(OFFSET(分析データ!$AC$2,863,0,60,1))/1000000)</f>
        <v/>
      </c>
    </row>
    <row r="868" spans="15:15">
      <c r="O868" s="29" t="str">
        <f ca="1">IF(COUNT(OFFSET(分析データ!$AC$2,864,0,60,1))&lt;60,"",SUM(OFFSET(分析データ!$AC$2,864,0,60,1))/1000000)</f>
        <v/>
      </c>
    </row>
    <row r="869" spans="15:15">
      <c r="O869" s="29" t="str">
        <f ca="1">IF(COUNT(OFFSET(分析データ!$AC$2,865,0,60,1))&lt;60,"",SUM(OFFSET(分析データ!$AC$2,865,0,60,1))/1000000)</f>
        <v/>
      </c>
    </row>
    <row r="870" spans="15:15">
      <c r="O870" s="29" t="str">
        <f ca="1">IF(COUNT(OFFSET(分析データ!$AC$2,866,0,60,1))&lt;60,"",SUM(OFFSET(分析データ!$AC$2,866,0,60,1))/1000000)</f>
        <v/>
      </c>
    </row>
    <row r="871" spans="15:15">
      <c r="O871" s="29" t="str">
        <f ca="1">IF(COUNT(OFFSET(分析データ!$AC$2,867,0,60,1))&lt;60,"",SUM(OFFSET(分析データ!$AC$2,867,0,60,1))/1000000)</f>
        <v/>
      </c>
    </row>
    <row r="872" spans="15:15">
      <c r="O872" s="29" t="str">
        <f ca="1">IF(COUNT(OFFSET(分析データ!$AC$2,868,0,60,1))&lt;60,"",SUM(OFFSET(分析データ!$AC$2,868,0,60,1))/1000000)</f>
        <v/>
      </c>
    </row>
    <row r="873" spans="15:15">
      <c r="O873" s="29" t="str">
        <f ca="1">IF(COUNT(OFFSET(分析データ!$AC$2,869,0,60,1))&lt;60,"",SUM(OFFSET(分析データ!$AC$2,869,0,60,1))/1000000)</f>
        <v/>
      </c>
    </row>
    <row r="874" spans="15:15">
      <c r="O874" s="29" t="str">
        <f ca="1">IF(COUNT(OFFSET(分析データ!$AC$2,870,0,60,1))&lt;60,"",SUM(OFFSET(分析データ!$AC$2,870,0,60,1))/1000000)</f>
        <v/>
      </c>
    </row>
    <row r="875" spans="15:15">
      <c r="O875" s="29" t="str">
        <f ca="1">IF(COUNT(OFFSET(分析データ!$AC$2,871,0,60,1))&lt;60,"",SUM(OFFSET(分析データ!$AC$2,871,0,60,1))/1000000)</f>
        <v/>
      </c>
    </row>
    <row r="876" spans="15:15">
      <c r="O876" s="29" t="str">
        <f ca="1">IF(COUNT(OFFSET(分析データ!$AC$2,872,0,60,1))&lt;60,"",SUM(OFFSET(分析データ!$AC$2,872,0,60,1))/1000000)</f>
        <v/>
      </c>
    </row>
    <row r="877" spans="15:15">
      <c r="O877" s="29" t="str">
        <f ca="1">IF(COUNT(OFFSET(分析データ!$AC$2,873,0,60,1))&lt;60,"",SUM(OFFSET(分析データ!$AC$2,873,0,60,1))/1000000)</f>
        <v/>
      </c>
    </row>
    <row r="878" spans="15:15">
      <c r="O878" s="29" t="str">
        <f ca="1">IF(COUNT(OFFSET(分析データ!$AC$2,874,0,60,1))&lt;60,"",SUM(OFFSET(分析データ!$AC$2,874,0,60,1))/1000000)</f>
        <v/>
      </c>
    </row>
    <row r="879" spans="15:15">
      <c r="O879" s="29" t="str">
        <f ca="1">IF(COUNT(OFFSET(分析データ!$AC$2,875,0,60,1))&lt;60,"",SUM(OFFSET(分析データ!$AC$2,875,0,60,1))/1000000)</f>
        <v/>
      </c>
    </row>
    <row r="880" spans="15:15">
      <c r="O880" s="29" t="str">
        <f ca="1">IF(COUNT(OFFSET(分析データ!$AC$2,876,0,60,1))&lt;60,"",SUM(OFFSET(分析データ!$AC$2,876,0,60,1))/1000000)</f>
        <v/>
      </c>
    </row>
    <row r="881" spans="15:15">
      <c r="O881" s="29" t="str">
        <f ca="1">IF(COUNT(OFFSET(分析データ!$AC$2,877,0,60,1))&lt;60,"",SUM(OFFSET(分析データ!$AC$2,877,0,60,1))/1000000)</f>
        <v/>
      </c>
    </row>
    <row r="882" spans="15:15">
      <c r="O882" s="29" t="str">
        <f ca="1">IF(COUNT(OFFSET(分析データ!$AC$2,878,0,60,1))&lt;60,"",SUM(OFFSET(分析データ!$AC$2,878,0,60,1))/1000000)</f>
        <v/>
      </c>
    </row>
    <row r="883" spans="15:15">
      <c r="O883" s="29" t="str">
        <f ca="1">IF(COUNT(OFFSET(分析データ!$AC$2,879,0,60,1))&lt;60,"",SUM(OFFSET(分析データ!$AC$2,879,0,60,1))/1000000)</f>
        <v/>
      </c>
    </row>
    <row r="884" spans="15:15">
      <c r="O884" s="29" t="str">
        <f ca="1">IF(COUNT(OFFSET(分析データ!$AC$2,880,0,60,1))&lt;60,"",SUM(OFFSET(分析データ!$AC$2,880,0,60,1))/1000000)</f>
        <v/>
      </c>
    </row>
    <row r="885" spans="15:15">
      <c r="O885" s="29" t="str">
        <f ca="1">IF(COUNT(OFFSET(分析データ!$AC$2,881,0,60,1))&lt;60,"",SUM(OFFSET(分析データ!$AC$2,881,0,60,1))/1000000)</f>
        <v/>
      </c>
    </row>
    <row r="886" spans="15:15">
      <c r="O886" s="29" t="str">
        <f ca="1">IF(COUNT(OFFSET(分析データ!$AC$2,882,0,60,1))&lt;60,"",SUM(OFFSET(分析データ!$AC$2,882,0,60,1))/1000000)</f>
        <v/>
      </c>
    </row>
    <row r="887" spans="15:15">
      <c r="O887" s="29" t="str">
        <f ca="1">IF(COUNT(OFFSET(分析データ!$AC$2,883,0,60,1))&lt;60,"",SUM(OFFSET(分析データ!$AC$2,883,0,60,1))/1000000)</f>
        <v/>
      </c>
    </row>
    <row r="888" spans="15:15">
      <c r="O888" s="29" t="str">
        <f ca="1">IF(COUNT(OFFSET(分析データ!$AC$2,884,0,60,1))&lt;60,"",SUM(OFFSET(分析データ!$AC$2,884,0,60,1))/1000000)</f>
        <v/>
      </c>
    </row>
    <row r="889" spans="15:15">
      <c r="O889" s="29" t="str">
        <f ca="1">IF(COUNT(OFFSET(分析データ!$AC$2,885,0,60,1))&lt;60,"",SUM(OFFSET(分析データ!$AC$2,885,0,60,1))/1000000)</f>
        <v/>
      </c>
    </row>
    <row r="890" spans="15:15">
      <c r="O890" s="29" t="str">
        <f ca="1">IF(COUNT(OFFSET(分析データ!$AC$2,886,0,60,1))&lt;60,"",SUM(OFFSET(分析データ!$AC$2,886,0,60,1))/1000000)</f>
        <v/>
      </c>
    </row>
    <row r="891" spans="15:15">
      <c r="O891" s="29" t="str">
        <f ca="1">IF(COUNT(OFFSET(分析データ!$AC$2,887,0,60,1))&lt;60,"",SUM(OFFSET(分析データ!$AC$2,887,0,60,1))/1000000)</f>
        <v/>
      </c>
    </row>
    <row r="892" spans="15:15">
      <c r="O892" s="29" t="str">
        <f ca="1">IF(COUNT(OFFSET(分析データ!$AC$2,888,0,60,1))&lt;60,"",SUM(OFFSET(分析データ!$AC$2,888,0,60,1))/1000000)</f>
        <v/>
      </c>
    </row>
    <row r="893" spans="15:15">
      <c r="O893" s="29" t="str">
        <f ca="1">IF(COUNT(OFFSET(分析データ!$AC$2,889,0,60,1))&lt;60,"",SUM(OFFSET(分析データ!$AC$2,889,0,60,1))/1000000)</f>
        <v/>
      </c>
    </row>
    <row r="894" spans="15:15">
      <c r="O894" s="29" t="str">
        <f ca="1">IF(COUNT(OFFSET(分析データ!$AC$2,890,0,60,1))&lt;60,"",SUM(OFFSET(分析データ!$AC$2,890,0,60,1))/1000000)</f>
        <v/>
      </c>
    </row>
    <row r="895" spans="15:15">
      <c r="O895" s="29" t="str">
        <f ca="1">IF(COUNT(OFFSET(分析データ!$AC$2,891,0,60,1))&lt;60,"",SUM(OFFSET(分析データ!$AC$2,891,0,60,1))/1000000)</f>
        <v/>
      </c>
    </row>
    <row r="896" spans="15:15">
      <c r="O896" s="29" t="str">
        <f ca="1">IF(COUNT(OFFSET(分析データ!$AC$2,892,0,60,1))&lt;60,"",SUM(OFFSET(分析データ!$AC$2,892,0,60,1))/1000000)</f>
        <v/>
      </c>
    </row>
    <row r="897" spans="15:15">
      <c r="O897" s="29" t="str">
        <f ca="1">IF(COUNT(OFFSET(分析データ!$AC$2,893,0,60,1))&lt;60,"",SUM(OFFSET(分析データ!$AC$2,893,0,60,1))/1000000)</f>
        <v/>
      </c>
    </row>
    <row r="898" spans="15:15">
      <c r="O898" s="29" t="str">
        <f ca="1">IF(COUNT(OFFSET(分析データ!$AC$2,894,0,60,1))&lt;60,"",SUM(OFFSET(分析データ!$AC$2,894,0,60,1))/1000000)</f>
        <v/>
      </c>
    </row>
    <row r="899" spans="15:15">
      <c r="O899" s="29" t="str">
        <f ca="1">IF(COUNT(OFFSET(分析データ!$AC$2,895,0,60,1))&lt;60,"",SUM(OFFSET(分析データ!$AC$2,895,0,60,1))/1000000)</f>
        <v/>
      </c>
    </row>
    <row r="900" spans="15:15">
      <c r="O900" s="29" t="str">
        <f ca="1">IF(COUNT(OFFSET(分析データ!$AC$2,896,0,60,1))&lt;60,"",SUM(OFFSET(分析データ!$AC$2,896,0,60,1))/1000000)</f>
        <v/>
      </c>
    </row>
    <row r="901" spans="15:15">
      <c r="O901" s="29" t="str">
        <f ca="1">IF(COUNT(OFFSET(分析データ!$AC$2,897,0,60,1))&lt;60,"",SUM(OFFSET(分析データ!$AC$2,897,0,60,1))/1000000)</f>
        <v/>
      </c>
    </row>
    <row r="902" spans="15:15">
      <c r="O902" s="29" t="str">
        <f ca="1">IF(COUNT(OFFSET(分析データ!$AC$2,898,0,60,1))&lt;60,"",SUM(OFFSET(分析データ!$AC$2,898,0,60,1))/1000000)</f>
        <v/>
      </c>
    </row>
    <row r="903" spans="15:15">
      <c r="O903" s="29" t="str">
        <f ca="1">IF(COUNT(OFFSET(分析データ!$AC$2,899,0,60,1))&lt;60,"",SUM(OFFSET(分析データ!$AC$2,899,0,60,1))/1000000)</f>
        <v/>
      </c>
    </row>
    <row r="904" spans="15:15">
      <c r="O904" s="29" t="str">
        <f ca="1">IF(COUNT(OFFSET(分析データ!$AC$2,900,0,60,1))&lt;60,"",SUM(OFFSET(分析データ!$AC$2,900,0,60,1))/1000000)</f>
        <v/>
      </c>
    </row>
    <row r="905" spans="15:15">
      <c r="O905" s="29" t="str">
        <f ca="1">IF(COUNT(OFFSET(分析データ!$AC$2,901,0,60,1))&lt;60,"",SUM(OFFSET(分析データ!$AC$2,901,0,60,1))/1000000)</f>
        <v/>
      </c>
    </row>
    <row r="906" spans="15:15">
      <c r="O906" s="29" t="str">
        <f ca="1">IF(COUNT(OFFSET(分析データ!$AC$2,902,0,60,1))&lt;60,"",SUM(OFFSET(分析データ!$AC$2,902,0,60,1))/1000000)</f>
        <v/>
      </c>
    </row>
    <row r="907" spans="15:15">
      <c r="O907" s="29" t="str">
        <f ca="1">IF(COUNT(OFFSET(分析データ!$AC$2,903,0,60,1))&lt;60,"",SUM(OFFSET(分析データ!$AC$2,903,0,60,1))/1000000)</f>
        <v/>
      </c>
    </row>
    <row r="908" spans="15:15">
      <c r="O908" s="29" t="str">
        <f ca="1">IF(COUNT(OFFSET(分析データ!$AC$2,904,0,60,1))&lt;60,"",SUM(OFFSET(分析データ!$AC$2,904,0,60,1))/1000000)</f>
        <v/>
      </c>
    </row>
    <row r="909" spans="15:15">
      <c r="O909" s="29" t="str">
        <f ca="1">IF(COUNT(OFFSET(分析データ!$AC$2,905,0,60,1))&lt;60,"",SUM(OFFSET(分析データ!$AC$2,905,0,60,1))/1000000)</f>
        <v/>
      </c>
    </row>
    <row r="910" spans="15:15">
      <c r="O910" s="29" t="str">
        <f ca="1">IF(COUNT(OFFSET(分析データ!$AC$2,906,0,60,1))&lt;60,"",SUM(OFFSET(分析データ!$AC$2,906,0,60,1))/1000000)</f>
        <v/>
      </c>
    </row>
    <row r="911" spans="15:15">
      <c r="O911" s="29" t="str">
        <f ca="1">IF(COUNT(OFFSET(分析データ!$AC$2,907,0,60,1))&lt;60,"",SUM(OFFSET(分析データ!$AC$2,907,0,60,1))/1000000)</f>
        <v/>
      </c>
    </row>
    <row r="912" spans="15:15">
      <c r="O912" s="29" t="str">
        <f ca="1">IF(COUNT(OFFSET(分析データ!$AC$2,908,0,60,1))&lt;60,"",SUM(OFFSET(分析データ!$AC$2,908,0,60,1))/1000000)</f>
        <v/>
      </c>
    </row>
    <row r="913" spans="15:15">
      <c r="O913" s="29" t="str">
        <f ca="1">IF(COUNT(OFFSET(分析データ!$AC$2,909,0,60,1))&lt;60,"",SUM(OFFSET(分析データ!$AC$2,909,0,60,1))/1000000)</f>
        <v/>
      </c>
    </row>
    <row r="914" spans="15:15">
      <c r="O914" s="29" t="str">
        <f ca="1">IF(COUNT(OFFSET(分析データ!$AC$2,910,0,60,1))&lt;60,"",SUM(OFFSET(分析データ!$AC$2,910,0,60,1))/1000000)</f>
        <v/>
      </c>
    </row>
    <row r="915" spans="15:15">
      <c r="O915" s="29" t="str">
        <f ca="1">IF(COUNT(OFFSET(分析データ!$AC$2,911,0,60,1))&lt;60,"",SUM(OFFSET(分析データ!$AC$2,911,0,60,1))/1000000)</f>
        <v/>
      </c>
    </row>
    <row r="916" spans="15:15">
      <c r="O916" s="29" t="str">
        <f ca="1">IF(COUNT(OFFSET(分析データ!$AC$2,912,0,60,1))&lt;60,"",SUM(OFFSET(分析データ!$AC$2,912,0,60,1))/1000000)</f>
        <v/>
      </c>
    </row>
    <row r="917" spans="15:15">
      <c r="O917" s="29" t="str">
        <f ca="1">IF(COUNT(OFFSET(分析データ!$AC$2,913,0,60,1))&lt;60,"",SUM(OFFSET(分析データ!$AC$2,913,0,60,1))/1000000)</f>
        <v/>
      </c>
    </row>
    <row r="918" spans="15:15">
      <c r="O918" s="29" t="str">
        <f ca="1">IF(COUNT(OFFSET(分析データ!$AC$2,914,0,60,1))&lt;60,"",SUM(OFFSET(分析データ!$AC$2,914,0,60,1))/1000000)</f>
        <v/>
      </c>
    </row>
    <row r="919" spans="15:15">
      <c r="O919" s="29" t="str">
        <f ca="1">IF(COUNT(OFFSET(分析データ!$AC$2,915,0,60,1))&lt;60,"",SUM(OFFSET(分析データ!$AC$2,915,0,60,1))/1000000)</f>
        <v/>
      </c>
    </row>
    <row r="920" spans="15:15">
      <c r="O920" s="29" t="str">
        <f ca="1">IF(COUNT(OFFSET(分析データ!$AC$2,916,0,60,1))&lt;60,"",SUM(OFFSET(分析データ!$AC$2,916,0,60,1))/1000000)</f>
        <v/>
      </c>
    </row>
    <row r="921" spans="15:15">
      <c r="O921" s="29" t="str">
        <f ca="1">IF(COUNT(OFFSET(分析データ!$AC$2,917,0,60,1))&lt;60,"",SUM(OFFSET(分析データ!$AC$2,917,0,60,1))/1000000)</f>
        <v/>
      </c>
    </row>
    <row r="922" spans="15:15">
      <c r="O922" s="29" t="str">
        <f ca="1">IF(COUNT(OFFSET(分析データ!$AC$2,918,0,60,1))&lt;60,"",SUM(OFFSET(分析データ!$AC$2,918,0,60,1))/1000000)</f>
        <v/>
      </c>
    </row>
    <row r="923" spans="15:15">
      <c r="O923" s="29" t="str">
        <f ca="1">IF(COUNT(OFFSET(分析データ!$AC$2,919,0,60,1))&lt;60,"",SUM(OFFSET(分析データ!$AC$2,919,0,60,1))/1000000)</f>
        <v/>
      </c>
    </row>
    <row r="924" spans="15:15">
      <c r="O924" s="29" t="str">
        <f ca="1">IF(COUNT(OFFSET(分析データ!$AC$2,920,0,60,1))&lt;60,"",SUM(OFFSET(分析データ!$AC$2,920,0,60,1))/1000000)</f>
        <v/>
      </c>
    </row>
    <row r="925" spans="15:15">
      <c r="O925" s="29" t="str">
        <f ca="1">IF(COUNT(OFFSET(分析データ!$AC$2,921,0,60,1))&lt;60,"",SUM(OFFSET(分析データ!$AC$2,921,0,60,1))/1000000)</f>
        <v/>
      </c>
    </row>
    <row r="926" spans="15:15">
      <c r="O926" s="29" t="str">
        <f ca="1">IF(COUNT(OFFSET(分析データ!$AC$2,922,0,60,1))&lt;60,"",SUM(OFFSET(分析データ!$AC$2,922,0,60,1))/1000000)</f>
        <v/>
      </c>
    </row>
    <row r="927" spans="15:15">
      <c r="O927" s="29" t="str">
        <f ca="1">IF(COUNT(OFFSET(分析データ!$AC$2,923,0,60,1))&lt;60,"",SUM(OFFSET(分析データ!$AC$2,923,0,60,1))/1000000)</f>
        <v/>
      </c>
    </row>
    <row r="928" spans="15:15">
      <c r="O928" s="29" t="str">
        <f ca="1">IF(COUNT(OFFSET(分析データ!$AC$2,924,0,60,1))&lt;60,"",SUM(OFFSET(分析データ!$AC$2,924,0,60,1))/1000000)</f>
        <v/>
      </c>
    </row>
    <row r="929" spans="15:15">
      <c r="O929" s="29" t="str">
        <f ca="1">IF(COUNT(OFFSET(分析データ!$AC$2,925,0,60,1))&lt;60,"",SUM(OFFSET(分析データ!$AC$2,925,0,60,1))/1000000)</f>
        <v/>
      </c>
    </row>
    <row r="930" spans="15:15">
      <c r="O930" s="29" t="str">
        <f ca="1">IF(COUNT(OFFSET(分析データ!$AC$2,926,0,60,1))&lt;60,"",SUM(OFFSET(分析データ!$AC$2,926,0,60,1))/1000000)</f>
        <v/>
      </c>
    </row>
    <row r="931" spans="15:15">
      <c r="O931" s="29" t="str">
        <f ca="1">IF(COUNT(OFFSET(分析データ!$AC$2,927,0,60,1))&lt;60,"",SUM(OFFSET(分析データ!$AC$2,927,0,60,1))/1000000)</f>
        <v/>
      </c>
    </row>
    <row r="932" spans="15:15">
      <c r="O932" s="29" t="str">
        <f ca="1">IF(COUNT(OFFSET(分析データ!$AC$2,928,0,60,1))&lt;60,"",SUM(OFFSET(分析データ!$AC$2,928,0,60,1))/1000000)</f>
        <v/>
      </c>
    </row>
    <row r="933" spans="15:15">
      <c r="O933" s="29" t="str">
        <f ca="1">IF(COUNT(OFFSET(分析データ!$AC$2,929,0,60,1))&lt;60,"",SUM(OFFSET(分析データ!$AC$2,929,0,60,1))/1000000)</f>
        <v/>
      </c>
    </row>
    <row r="934" spans="15:15">
      <c r="O934" s="29" t="str">
        <f ca="1">IF(COUNT(OFFSET(分析データ!$AC$2,930,0,60,1))&lt;60,"",SUM(OFFSET(分析データ!$AC$2,930,0,60,1))/1000000)</f>
        <v/>
      </c>
    </row>
    <row r="935" spans="15:15">
      <c r="O935" s="29" t="str">
        <f ca="1">IF(COUNT(OFFSET(分析データ!$AC$2,931,0,60,1))&lt;60,"",SUM(OFFSET(分析データ!$AC$2,931,0,60,1))/1000000)</f>
        <v/>
      </c>
    </row>
    <row r="936" spans="15:15">
      <c r="O936" s="29" t="str">
        <f ca="1">IF(COUNT(OFFSET(分析データ!$AC$2,932,0,60,1))&lt;60,"",SUM(OFFSET(分析データ!$AC$2,932,0,60,1))/1000000)</f>
        <v/>
      </c>
    </row>
    <row r="937" spans="15:15">
      <c r="O937" s="29" t="str">
        <f ca="1">IF(COUNT(OFFSET(分析データ!$AC$2,933,0,60,1))&lt;60,"",SUM(OFFSET(分析データ!$AC$2,933,0,60,1))/1000000)</f>
        <v/>
      </c>
    </row>
    <row r="938" spans="15:15">
      <c r="O938" s="29" t="str">
        <f ca="1">IF(COUNT(OFFSET(分析データ!$AC$2,934,0,60,1))&lt;60,"",SUM(OFFSET(分析データ!$AC$2,934,0,60,1))/1000000)</f>
        <v/>
      </c>
    </row>
    <row r="939" spans="15:15">
      <c r="O939" s="29" t="str">
        <f ca="1">IF(COUNT(OFFSET(分析データ!$AC$2,935,0,60,1))&lt;60,"",SUM(OFFSET(分析データ!$AC$2,935,0,60,1))/1000000)</f>
        <v/>
      </c>
    </row>
    <row r="940" spans="15:15">
      <c r="O940" s="29" t="str">
        <f ca="1">IF(COUNT(OFFSET(分析データ!$AC$2,936,0,60,1))&lt;60,"",SUM(OFFSET(分析データ!$AC$2,936,0,60,1))/1000000)</f>
        <v/>
      </c>
    </row>
    <row r="941" spans="15:15">
      <c r="O941" s="29" t="str">
        <f ca="1">IF(COUNT(OFFSET(分析データ!$AC$2,937,0,60,1))&lt;60,"",SUM(OFFSET(分析データ!$AC$2,937,0,60,1))/1000000)</f>
        <v/>
      </c>
    </row>
    <row r="942" spans="15:15">
      <c r="O942" s="29" t="str">
        <f ca="1">IF(COUNT(OFFSET(分析データ!$AC$2,938,0,60,1))&lt;60,"",SUM(OFFSET(分析データ!$AC$2,938,0,60,1))/1000000)</f>
        <v/>
      </c>
    </row>
    <row r="943" spans="15:15">
      <c r="O943" s="29" t="str">
        <f ca="1">IF(COUNT(OFFSET(分析データ!$AC$2,939,0,60,1))&lt;60,"",SUM(OFFSET(分析データ!$AC$2,939,0,60,1))/1000000)</f>
        <v/>
      </c>
    </row>
    <row r="944" spans="15:15">
      <c r="O944" s="29" t="str">
        <f ca="1">IF(COUNT(OFFSET(分析データ!$AC$2,940,0,60,1))&lt;60,"",SUM(OFFSET(分析データ!$AC$2,940,0,60,1))/1000000)</f>
        <v/>
      </c>
    </row>
    <row r="945" spans="15:15">
      <c r="O945" s="29" t="str">
        <f ca="1">IF(COUNT(OFFSET(分析データ!$AC$2,941,0,60,1))&lt;60,"",SUM(OFFSET(分析データ!$AC$2,941,0,60,1))/1000000)</f>
        <v/>
      </c>
    </row>
    <row r="946" spans="15:15">
      <c r="O946" s="29" t="str">
        <f ca="1">IF(COUNT(OFFSET(分析データ!$AC$2,942,0,60,1))&lt;60,"",SUM(OFFSET(分析データ!$AC$2,942,0,60,1))/1000000)</f>
        <v/>
      </c>
    </row>
    <row r="947" spans="15:15">
      <c r="O947" s="29" t="str">
        <f ca="1">IF(COUNT(OFFSET(分析データ!$AC$2,943,0,60,1))&lt;60,"",SUM(OFFSET(分析データ!$AC$2,943,0,60,1))/1000000)</f>
        <v/>
      </c>
    </row>
    <row r="948" spans="15:15">
      <c r="O948" s="29" t="str">
        <f ca="1">IF(COUNT(OFFSET(分析データ!$AC$2,944,0,60,1))&lt;60,"",SUM(OFFSET(分析データ!$AC$2,944,0,60,1))/1000000)</f>
        <v/>
      </c>
    </row>
    <row r="949" spans="15:15">
      <c r="O949" s="29" t="str">
        <f ca="1">IF(COUNT(OFFSET(分析データ!$AC$2,945,0,60,1))&lt;60,"",SUM(OFFSET(分析データ!$AC$2,945,0,60,1))/1000000)</f>
        <v/>
      </c>
    </row>
    <row r="950" spans="15:15">
      <c r="O950" s="29" t="str">
        <f ca="1">IF(COUNT(OFFSET(分析データ!$AC$2,946,0,60,1))&lt;60,"",SUM(OFFSET(分析データ!$AC$2,946,0,60,1))/1000000)</f>
        <v/>
      </c>
    </row>
    <row r="951" spans="15:15">
      <c r="O951" s="29" t="str">
        <f ca="1">IF(COUNT(OFFSET(分析データ!$AC$2,947,0,60,1))&lt;60,"",SUM(OFFSET(分析データ!$AC$2,947,0,60,1))/1000000)</f>
        <v/>
      </c>
    </row>
    <row r="952" spans="15:15">
      <c r="O952" s="29" t="str">
        <f ca="1">IF(COUNT(OFFSET(分析データ!$AC$2,948,0,60,1))&lt;60,"",SUM(OFFSET(分析データ!$AC$2,948,0,60,1))/1000000)</f>
        <v/>
      </c>
    </row>
    <row r="953" spans="15:15">
      <c r="O953" s="29" t="str">
        <f ca="1">IF(COUNT(OFFSET(分析データ!$AC$2,949,0,60,1))&lt;60,"",SUM(OFFSET(分析データ!$AC$2,949,0,60,1))/1000000)</f>
        <v/>
      </c>
    </row>
    <row r="954" spans="15:15">
      <c r="O954" s="29" t="str">
        <f ca="1">IF(COUNT(OFFSET(分析データ!$AC$2,950,0,60,1))&lt;60,"",SUM(OFFSET(分析データ!$AC$2,950,0,60,1))/1000000)</f>
        <v/>
      </c>
    </row>
    <row r="955" spans="15:15">
      <c r="O955" s="29" t="str">
        <f ca="1">IF(COUNT(OFFSET(分析データ!$AC$2,951,0,60,1))&lt;60,"",SUM(OFFSET(分析データ!$AC$2,951,0,60,1))/1000000)</f>
        <v/>
      </c>
    </row>
    <row r="956" spans="15:15">
      <c r="O956" s="29" t="str">
        <f ca="1">IF(COUNT(OFFSET(分析データ!$AC$2,952,0,60,1))&lt;60,"",SUM(OFFSET(分析データ!$AC$2,952,0,60,1))/1000000)</f>
        <v/>
      </c>
    </row>
    <row r="957" spans="15:15">
      <c r="O957" s="29" t="str">
        <f ca="1">IF(COUNT(OFFSET(分析データ!$AC$2,953,0,60,1))&lt;60,"",SUM(OFFSET(分析データ!$AC$2,953,0,60,1))/1000000)</f>
        <v/>
      </c>
    </row>
    <row r="958" spans="15:15">
      <c r="O958" s="29" t="str">
        <f ca="1">IF(COUNT(OFFSET(分析データ!$AC$2,954,0,60,1))&lt;60,"",SUM(OFFSET(分析データ!$AC$2,954,0,60,1))/1000000)</f>
        <v/>
      </c>
    </row>
    <row r="959" spans="15:15">
      <c r="O959" s="29" t="str">
        <f ca="1">IF(COUNT(OFFSET(分析データ!$AC$2,955,0,60,1))&lt;60,"",SUM(OFFSET(分析データ!$AC$2,955,0,60,1))/1000000)</f>
        <v/>
      </c>
    </row>
    <row r="960" spans="15:15">
      <c r="O960" s="29" t="str">
        <f ca="1">IF(COUNT(OFFSET(分析データ!$AC$2,956,0,60,1))&lt;60,"",SUM(OFFSET(分析データ!$AC$2,956,0,60,1))/1000000)</f>
        <v/>
      </c>
    </row>
    <row r="961" spans="15:15">
      <c r="O961" s="29" t="str">
        <f ca="1">IF(COUNT(OFFSET(分析データ!$AC$2,957,0,60,1))&lt;60,"",SUM(OFFSET(分析データ!$AC$2,957,0,60,1))/1000000)</f>
        <v/>
      </c>
    </row>
    <row r="962" spans="15:15">
      <c r="O962" s="29" t="str">
        <f ca="1">IF(COUNT(OFFSET(分析データ!$AC$2,958,0,60,1))&lt;60,"",SUM(OFFSET(分析データ!$AC$2,958,0,60,1))/1000000)</f>
        <v/>
      </c>
    </row>
    <row r="963" spans="15:15">
      <c r="O963" s="29" t="str">
        <f ca="1">IF(COUNT(OFFSET(分析データ!$AC$2,959,0,60,1))&lt;60,"",SUM(OFFSET(分析データ!$AC$2,959,0,60,1))/1000000)</f>
        <v/>
      </c>
    </row>
    <row r="964" spans="15:15">
      <c r="O964" s="29" t="str">
        <f ca="1">IF(COUNT(OFFSET(分析データ!$AC$2,960,0,60,1))&lt;60,"",SUM(OFFSET(分析データ!$AC$2,960,0,60,1))/1000000)</f>
        <v/>
      </c>
    </row>
    <row r="965" spans="15:15">
      <c r="O965" s="29" t="str">
        <f ca="1">IF(COUNT(OFFSET(分析データ!$AC$2,961,0,60,1))&lt;60,"",SUM(OFFSET(分析データ!$AC$2,961,0,60,1))/1000000)</f>
        <v/>
      </c>
    </row>
    <row r="966" spans="15:15">
      <c r="O966" s="29" t="str">
        <f ca="1">IF(COUNT(OFFSET(分析データ!$AC$2,962,0,60,1))&lt;60,"",SUM(OFFSET(分析データ!$AC$2,962,0,60,1))/1000000)</f>
        <v/>
      </c>
    </row>
    <row r="967" spans="15:15">
      <c r="O967" s="29" t="str">
        <f ca="1">IF(COUNT(OFFSET(分析データ!$AC$2,963,0,60,1))&lt;60,"",SUM(OFFSET(分析データ!$AC$2,963,0,60,1))/1000000)</f>
        <v/>
      </c>
    </row>
    <row r="968" spans="15:15">
      <c r="O968" s="29" t="str">
        <f ca="1">IF(COUNT(OFFSET(分析データ!$AC$2,964,0,60,1))&lt;60,"",SUM(OFFSET(分析データ!$AC$2,964,0,60,1))/1000000)</f>
        <v/>
      </c>
    </row>
    <row r="969" spans="15:15">
      <c r="O969" s="29" t="str">
        <f ca="1">IF(COUNT(OFFSET(分析データ!$AC$2,965,0,60,1))&lt;60,"",SUM(OFFSET(分析データ!$AC$2,965,0,60,1))/1000000)</f>
        <v/>
      </c>
    </row>
    <row r="970" spans="15:15">
      <c r="O970" s="29" t="str">
        <f ca="1">IF(COUNT(OFFSET(分析データ!$AC$2,966,0,60,1))&lt;60,"",SUM(OFFSET(分析データ!$AC$2,966,0,60,1))/1000000)</f>
        <v/>
      </c>
    </row>
    <row r="971" spans="15:15">
      <c r="O971" s="29" t="str">
        <f ca="1">IF(COUNT(OFFSET(分析データ!$AC$2,967,0,60,1))&lt;60,"",SUM(OFFSET(分析データ!$AC$2,967,0,60,1))/1000000)</f>
        <v/>
      </c>
    </row>
    <row r="972" spans="15:15">
      <c r="O972" s="29" t="str">
        <f ca="1">IF(COUNT(OFFSET(分析データ!$AC$2,968,0,60,1))&lt;60,"",SUM(OFFSET(分析データ!$AC$2,968,0,60,1))/1000000)</f>
        <v/>
      </c>
    </row>
    <row r="973" spans="15:15">
      <c r="O973" s="29" t="str">
        <f ca="1">IF(COUNT(OFFSET(分析データ!$AC$2,969,0,60,1))&lt;60,"",SUM(OFFSET(分析データ!$AC$2,969,0,60,1))/1000000)</f>
        <v/>
      </c>
    </row>
    <row r="974" spans="15:15">
      <c r="O974" s="29" t="str">
        <f ca="1">IF(COUNT(OFFSET(分析データ!$AC$2,970,0,60,1))&lt;60,"",SUM(OFFSET(分析データ!$AC$2,970,0,60,1))/1000000)</f>
        <v/>
      </c>
    </row>
    <row r="975" spans="15:15">
      <c r="O975" s="29" t="str">
        <f ca="1">IF(COUNT(OFFSET(分析データ!$AC$2,971,0,60,1))&lt;60,"",SUM(OFFSET(分析データ!$AC$2,971,0,60,1))/1000000)</f>
        <v/>
      </c>
    </row>
    <row r="976" spans="15:15">
      <c r="O976" s="29" t="str">
        <f ca="1">IF(COUNT(OFFSET(分析データ!$AC$2,972,0,60,1))&lt;60,"",SUM(OFFSET(分析データ!$AC$2,972,0,60,1))/1000000)</f>
        <v/>
      </c>
    </row>
    <row r="977" spans="15:15">
      <c r="O977" s="29" t="str">
        <f ca="1">IF(COUNT(OFFSET(分析データ!$AC$2,973,0,60,1))&lt;60,"",SUM(OFFSET(分析データ!$AC$2,973,0,60,1))/1000000)</f>
        <v/>
      </c>
    </row>
    <row r="978" spans="15:15">
      <c r="O978" s="29" t="str">
        <f ca="1">IF(COUNT(OFFSET(分析データ!$AC$2,974,0,60,1))&lt;60,"",SUM(OFFSET(分析データ!$AC$2,974,0,60,1))/1000000)</f>
        <v/>
      </c>
    </row>
    <row r="979" spans="15:15">
      <c r="O979" s="29" t="str">
        <f ca="1">IF(COUNT(OFFSET(分析データ!$AC$2,975,0,60,1))&lt;60,"",SUM(OFFSET(分析データ!$AC$2,975,0,60,1))/1000000)</f>
        <v/>
      </c>
    </row>
    <row r="980" spans="15:15">
      <c r="O980" s="29" t="str">
        <f ca="1">IF(COUNT(OFFSET(分析データ!$AC$2,976,0,60,1))&lt;60,"",SUM(OFFSET(分析データ!$AC$2,976,0,60,1))/1000000)</f>
        <v/>
      </c>
    </row>
    <row r="981" spans="15:15">
      <c r="O981" s="29" t="str">
        <f ca="1">IF(COUNT(OFFSET(分析データ!$AC$2,977,0,60,1))&lt;60,"",SUM(OFFSET(分析データ!$AC$2,977,0,60,1))/1000000)</f>
        <v/>
      </c>
    </row>
    <row r="982" spans="15:15">
      <c r="O982" s="29" t="str">
        <f ca="1">IF(COUNT(OFFSET(分析データ!$AC$2,978,0,60,1))&lt;60,"",SUM(OFFSET(分析データ!$AC$2,978,0,60,1))/1000000)</f>
        <v/>
      </c>
    </row>
    <row r="983" spans="15:15">
      <c r="O983" s="29" t="str">
        <f ca="1">IF(COUNT(OFFSET(分析データ!$AC$2,979,0,60,1))&lt;60,"",SUM(OFFSET(分析データ!$AC$2,979,0,60,1))/1000000)</f>
        <v/>
      </c>
    </row>
    <row r="984" spans="15:15">
      <c r="O984" s="29" t="str">
        <f ca="1">IF(COUNT(OFFSET(分析データ!$AC$2,980,0,60,1))&lt;60,"",SUM(OFFSET(分析データ!$AC$2,980,0,60,1))/1000000)</f>
        <v/>
      </c>
    </row>
    <row r="985" spans="15:15">
      <c r="O985" s="29" t="str">
        <f ca="1">IF(COUNT(OFFSET(分析データ!$AC$2,981,0,60,1))&lt;60,"",SUM(OFFSET(分析データ!$AC$2,981,0,60,1))/1000000)</f>
        <v/>
      </c>
    </row>
    <row r="986" spans="15:15">
      <c r="O986" s="29" t="str">
        <f ca="1">IF(COUNT(OFFSET(分析データ!$AC$2,982,0,60,1))&lt;60,"",SUM(OFFSET(分析データ!$AC$2,982,0,60,1))/1000000)</f>
        <v/>
      </c>
    </row>
    <row r="987" spans="15:15">
      <c r="O987" s="29" t="str">
        <f ca="1">IF(COUNT(OFFSET(分析データ!$AC$2,983,0,60,1))&lt;60,"",SUM(OFFSET(分析データ!$AC$2,983,0,60,1))/1000000)</f>
        <v/>
      </c>
    </row>
    <row r="988" spans="15:15">
      <c r="O988" s="29" t="str">
        <f ca="1">IF(COUNT(OFFSET(分析データ!$AC$2,984,0,60,1))&lt;60,"",SUM(OFFSET(分析データ!$AC$2,984,0,60,1))/1000000)</f>
        <v/>
      </c>
    </row>
    <row r="989" spans="15:15">
      <c r="O989" s="29" t="str">
        <f ca="1">IF(COUNT(OFFSET(分析データ!$AC$2,985,0,60,1))&lt;60,"",SUM(OFFSET(分析データ!$AC$2,985,0,60,1))/1000000)</f>
        <v/>
      </c>
    </row>
    <row r="990" spans="15:15">
      <c r="O990" s="29" t="str">
        <f ca="1">IF(COUNT(OFFSET(分析データ!$AC$2,986,0,60,1))&lt;60,"",SUM(OFFSET(分析データ!$AC$2,986,0,60,1))/1000000)</f>
        <v/>
      </c>
    </row>
    <row r="991" spans="15:15">
      <c r="O991" s="29" t="str">
        <f ca="1">IF(COUNT(OFFSET(分析データ!$AC$2,987,0,60,1))&lt;60,"",SUM(OFFSET(分析データ!$AC$2,987,0,60,1))/1000000)</f>
        <v/>
      </c>
    </row>
    <row r="992" spans="15:15">
      <c r="O992" s="29" t="str">
        <f ca="1">IF(COUNT(OFFSET(分析データ!$AC$2,988,0,60,1))&lt;60,"",SUM(OFFSET(分析データ!$AC$2,988,0,60,1))/1000000)</f>
        <v/>
      </c>
    </row>
    <row r="993" spans="15:15">
      <c r="O993" s="29" t="str">
        <f ca="1">IF(COUNT(OFFSET(分析データ!$AC$2,989,0,60,1))&lt;60,"",SUM(OFFSET(分析データ!$AC$2,989,0,60,1))/1000000)</f>
        <v/>
      </c>
    </row>
    <row r="994" spans="15:15">
      <c r="O994" s="29" t="str">
        <f ca="1">IF(COUNT(OFFSET(分析データ!$AC$2,990,0,60,1))&lt;60,"",SUM(OFFSET(分析データ!$AC$2,990,0,60,1))/1000000)</f>
        <v/>
      </c>
    </row>
    <row r="995" spans="15:15">
      <c r="O995" s="29" t="str">
        <f ca="1">IF(COUNT(OFFSET(分析データ!$AC$2,991,0,60,1))&lt;60,"",SUM(OFFSET(分析データ!$AC$2,991,0,60,1))/1000000)</f>
        <v/>
      </c>
    </row>
    <row r="996" spans="15:15">
      <c r="O996" s="29" t="str">
        <f ca="1">IF(COUNT(OFFSET(分析データ!$AC$2,992,0,60,1))&lt;60,"",SUM(OFFSET(分析データ!$AC$2,992,0,60,1))/1000000)</f>
        <v/>
      </c>
    </row>
    <row r="997" spans="15:15">
      <c r="O997" s="29" t="str">
        <f ca="1">IF(COUNT(OFFSET(分析データ!$AC$2,993,0,60,1))&lt;60,"",SUM(OFFSET(分析データ!$AC$2,993,0,60,1))/1000000)</f>
        <v/>
      </c>
    </row>
    <row r="998" spans="15:15">
      <c r="O998" s="29" t="str">
        <f ca="1">IF(COUNT(OFFSET(分析データ!$AC$2,994,0,60,1))&lt;60,"",SUM(OFFSET(分析データ!$AC$2,994,0,60,1))/1000000)</f>
        <v/>
      </c>
    </row>
    <row r="999" spans="15:15">
      <c r="O999" s="29" t="str">
        <f ca="1">IF(COUNT(OFFSET(分析データ!$AC$2,995,0,60,1))&lt;60,"",SUM(OFFSET(分析データ!$AC$2,995,0,60,1))/1000000)</f>
        <v/>
      </c>
    </row>
    <row r="1000" spans="15:15">
      <c r="O1000" s="29" t="str">
        <f ca="1">IF(COUNT(OFFSET(分析データ!$AC$2,996,0,60,1))&lt;60,"",SUM(OFFSET(分析データ!$AC$2,996,0,60,1))/1000000)</f>
        <v/>
      </c>
    </row>
    <row r="1001" spans="15:15">
      <c r="O1001" s="29" t="str">
        <f ca="1">IF(COUNT(OFFSET(分析データ!$AC$2,997,0,60,1))&lt;60,"",SUM(OFFSET(分析データ!$AC$2,997,0,60,1))/1000000)</f>
        <v/>
      </c>
    </row>
    <row r="1002" spans="15:15">
      <c r="O1002" s="29" t="str">
        <f ca="1">IF(COUNT(OFFSET(分析データ!$AC$2,998,0,60,1))&lt;60,"",SUM(OFFSET(分析データ!$AC$2,998,0,60,1))/1000000)</f>
        <v/>
      </c>
    </row>
    <row r="1003" spans="15:15">
      <c r="O1003" s="29" t="str">
        <f ca="1">IF(COUNT(OFFSET(分析データ!$AC$2,999,0,60,1))&lt;60,"",SUM(OFFSET(分析データ!$AC$2,999,0,60,1))/1000000)</f>
        <v/>
      </c>
    </row>
    <row r="1004" spans="15:15">
      <c r="O1004" s="29" t="str">
        <f ca="1">IF(COUNT(OFFSET(分析データ!$AC$2,1000,0,60,1))&lt;60,"",SUM(OFFSET(分析データ!$AC$2,1000,0,60,1))/1000000)</f>
        <v/>
      </c>
    </row>
    <row r="1005" spans="15:15">
      <c r="O1005" s="29" t="str">
        <f ca="1">IF(COUNT(OFFSET(分析データ!$AC$2,1001,0,60,1))&lt;60,"",SUM(OFFSET(分析データ!$AC$2,1001,0,60,1))/1000000)</f>
        <v/>
      </c>
    </row>
    <row r="1006" spans="15:15">
      <c r="O1006" s="29" t="str">
        <f ca="1">IF(COUNT(OFFSET(分析データ!$AC$2,1002,0,60,1))&lt;60,"",SUM(OFFSET(分析データ!$AC$2,1002,0,60,1))/1000000)</f>
        <v/>
      </c>
    </row>
    <row r="1007" spans="15:15">
      <c r="O1007" s="29" t="str">
        <f ca="1">IF(COUNT(OFFSET(分析データ!$AC$2,1003,0,60,1))&lt;60,"",SUM(OFFSET(分析データ!$AC$2,1003,0,60,1))/1000000)</f>
        <v/>
      </c>
    </row>
    <row r="1008" spans="15:15">
      <c r="O1008" s="29" t="str">
        <f ca="1">IF(COUNT(OFFSET(分析データ!$AC$2,1004,0,60,1))&lt;60,"",SUM(OFFSET(分析データ!$AC$2,1004,0,60,1))/1000000)</f>
        <v/>
      </c>
    </row>
    <row r="1009" spans="15:15">
      <c r="O1009" s="29" t="str">
        <f ca="1">IF(COUNT(OFFSET(分析データ!$AC$2,1005,0,60,1))&lt;60,"",SUM(OFFSET(分析データ!$AC$2,1005,0,60,1))/1000000)</f>
        <v/>
      </c>
    </row>
    <row r="1010" spans="15:15">
      <c r="O1010" s="29" t="str">
        <f ca="1">IF(COUNT(OFFSET(分析データ!$AC$2,1006,0,60,1))&lt;60,"",SUM(OFFSET(分析データ!$AC$2,1006,0,60,1))/1000000)</f>
        <v/>
      </c>
    </row>
    <row r="1011" spans="15:15">
      <c r="O1011" s="29" t="str">
        <f ca="1">IF(COUNT(OFFSET(分析データ!$AC$2,1007,0,60,1))&lt;60,"",SUM(OFFSET(分析データ!$AC$2,1007,0,60,1))/1000000)</f>
        <v/>
      </c>
    </row>
    <row r="1012" spans="15:15">
      <c r="O1012" s="29" t="str">
        <f ca="1">IF(COUNT(OFFSET(分析データ!$AC$2,1008,0,60,1))&lt;60,"",SUM(OFFSET(分析データ!$AC$2,1008,0,60,1))/1000000)</f>
        <v/>
      </c>
    </row>
    <row r="1013" spans="15:15">
      <c r="O1013" s="29" t="str">
        <f ca="1">IF(COUNT(OFFSET(分析データ!$AC$2,1009,0,60,1))&lt;60,"",SUM(OFFSET(分析データ!$AC$2,1009,0,60,1))/1000000)</f>
        <v/>
      </c>
    </row>
    <row r="1014" spans="15:15">
      <c r="O1014" s="29" t="str">
        <f ca="1">IF(COUNT(OFFSET(分析データ!$AC$2,1010,0,60,1))&lt;60,"",SUM(OFFSET(分析データ!$AC$2,1010,0,60,1))/1000000)</f>
        <v/>
      </c>
    </row>
    <row r="1015" spans="15:15">
      <c r="O1015" s="29" t="str">
        <f ca="1">IF(COUNT(OFFSET(分析データ!$AC$2,1011,0,60,1))&lt;60,"",SUM(OFFSET(分析データ!$AC$2,1011,0,60,1))/1000000)</f>
        <v/>
      </c>
    </row>
    <row r="1016" spans="15:15">
      <c r="O1016" s="29" t="str">
        <f ca="1">IF(COUNT(OFFSET(分析データ!$AC$2,1012,0,60,1))&lt;60,"",SUM(OFFSET(分析データ!$AC$2,1012,0,60,1))/1000000)</f>
        <v/>
      </c>
    </row>
    <row r="1017" spans="15:15">
      <c r="O1017" s="29" t="str">
        <f ca="1">IF(COUNT(OFFSET(分析データ!$AC$2,1013,0,60,1))&lt;60,"",SUM(OFFSET(分析データ!$AC$2,1013,0,60,1))/1000000)</f>
        <v/>
      </c>
    </row>
    <row r="1018" spans="15:15">
      <c r="O1018" s="29" t="str">
        <f ca="1">IF(COUNT(OFFSET(分析データ!$AC$2,1014,0,60,1))&lt;60,"",SUM(OFFSET(分析データ!$AC$2,1014,0,60,1))/1000000)</f>
        <v/>
      </c>
    </row>
    <row r="1019" spans="15:15">
      <c r="O1019" s="29" t="str">
        <f ca="1">IF(COUNT(OFFSET(分析データ!$AC$2,1015,0,60,1))&lt;60,"",SUM(OFFSET(分析データ!$AC$2,1015,0,60,1))/1000000)</f>
        <v/>
      </c>
    </row>
    <row r="1020" spans="15:15">
      <c r="O1020" s="29" t="str">
        <f ca="1">IF(COUNT(OFFSET(分析データ!$AC$2,1016,0,60,1))&lt;60,"",SUM(OFFSET(分析データ!$AC$2,1016,0,60,1))/1000000)</f>
        <v/>
      </c>
    </row>
    <row r="1021" spans="15:15">
      <c r="O1021" s="29" t="str">
        <f ca="1">IF(COUNT(OFFSET(分析データ!$AC$2,1017,0,60,1))&lt;60,"",SUM(OFFSET(分析データ!$AC$2,1017,0,60,1))/1000000)</f>
        <v/>
      </c>
    </row>
    <row r="1022" spans="15:15">
      <c r="O1022" s="29" t="str">
        <f ca="1">IF(COUNT(OFFSET(分析データ!$AC$2,1018,0,60,1))&lt;60,"",SUM(OFFSET(分析データ!$AC$2,1018,0,60,1))/1000000)</f>
        <v/>
      </c>
    </row>
    <row r="1023" spans="15:15">
      <c r="O1023" s="29" t="str">
        <f ca="1">IF(COUNT(OFFSET(分析データ!$AC$2,1019,0,60,1))&lt;60,"",SUM(OFFSET(分析データ!$AC$2,1019,0,60,1))/1000000)</f>
        <v/>
      </c>
    </row>
    <row r="1024" spans="15:15">
      <c r="O1024" s="29" t="str">
        <f ca="1">IF(COUNT(OFFSET(分析データ!$AC$2,1020,0,60,1))&lt;60,"",SUM(OFFSET(分析データ!$AC$2,1020,0,60,1))/1000000)</f>
        <v/>
      </c>
    </row>
    <row r="1025" spans="15:15">
      <c r="O1025" s="29" t="str">
        <f ca="1">IF(COUNT(OFFSET(分析データ!$AC$2,1021,0,60,1))&lt;60,"",SUM(OFFSET(分析データ!$AC$2,1021,0,60,1))/1000000)</f>
        <v/>
      </c>
    </row>
    <row r="1026" spans="15:15">
      <c r="O1026" s="29" t="str">
        <f ca="1">IF(COUNT(OFFSET(分析データ!$AC$2,1022,0,60,1))&lt;60,"",SUM(OFFSET(分析データ!$AC$2,1022,0,60,1))/1000000)</f>
        <v/>
      </c>
    </row>
    <row r="1027" spans="15:15">
      <c r="O1027" s="29" t="str">
        <f ca="1">IF(COUNT(OFFSET(分析データ!$AC$2,1023,0,60,1))&lt;60,"",SUM(OFFSET(分析データ!$AC$2,1023,0,60,1))/1000000)</f>
        <v/>
      </c>
    </row>
    <row r="1028" spans="15:15">
      <c r="O1028" s="29" t="str">
        <f ca="1">IF(COUNT(OFFSET(分析データ!$AC$2,1024,0,60,1))&lt;60,"",SUM(OFFSET(分析データ!$AC$2,1024,0,60,1))/1000000)</f>
        <v/>
      </c>
    </row>
    <row r="1029" spans="15:15">
      <c r="O1029" s="29" t="str">
        <f ca="1">IF(COUNT(OFFSET(分析データ!$AC$2,1025,0,60,1))&lt;60,"",SUM(OFFSET(分析データ!$AC$2,1025,0,60,1))/1000000)</f>
        <v/>
      </c>
    </row>
    <row r="1030" spans="15:15">
      <c r="O1030" s="29" t="str">
        <f ca="1">IF(COUNT(OFFSET(分析データ!$AC$2,1026,0,60,1))&lt;60,"",SUM(OFFSET(分析データ!$AC$2,1026,0,60,1))/1000000)</f>
        <v/>
      </c>
    </row>
    <row r="1031" spans="15:15">
      <c r="O1031" s="29" t="str">
        <f ca="1">IF(COUNT(OFFSET(分析データ!$AC$2,1027,0,60,1))&lt;60,"",SUM(OFFSET(分析データ!$AC$2,1027,0,60,1))/1000000)</f>
        <v/>
      </c>
    </row>
    <row r="1032" spans="15:15">
      <c r="O1032" s="29" t="str">
        <f ca="1">IF(COUNT(OFFSET(分析データ!$AC$2,1028,0,60,1))&lt;60,"",SUM(OFFSET(分析データ!$AC$2,1028,0,60,1))/1000000)</f>
        <v/>
      </c>
    </row>
    <row r="1033" spans="15:15">
      <c r="O1033" s="29" t="str">
        <f ca="1">IF(COUNT(OFFSET(分析データ!$AC$2,1029,0,60,1))&lt;60,"",SUM(OFFSET(分析データ!$AC$2,1029,0,60,1))/1000000)</f>
        <v/>
      </c>
    </row>
    <row r="1034" spans="15:15">
      <c r="O1034" s="29" t="str">
        <f ca="1">IF(COUNT(OFFSET(分析データ!$AC$2,1030,0,60,1))&lt;60,"",SUM(OFFSET(分析データ!$AC$2,1030,0,60,1))/1000000)</f>
        <v/>
      </c>
    </row>
    <row r="1035" spans="15:15">
      <c r="O1035" s="29" t="str">
        <f ca="1">IF(COUNT(OFFSET(分析データ!$AC$2,1031,0,60,1))&lt;60,"",SUM(OFFSET(分析データ!$AC$2,1031,0,60,1))/1000000)</f>
        <v/>
      </c>
    </row>
    <row r="1036" spans="15:15">
      <c r="O1036" s="29" t="str">
        <f ca="1">IF(COUNT(OFFSET(分析データ!$AC$2,1032,0,60,1))&lt;60,"",SUM(OFFSET(分析データ!$AC$2,1032,0,60,1))/1000000)</f>
        <v/>
      </c>
    </row>
    <row r="1037" spans="15:15">
      <c r="O1037" s="29" t="str">
        <f ca="1">IF(COUNT(OFFSET(分析データ!$AC$2,1033,0,60,1))&lt;60,"",SUM(OFFSET(分析データ!$AC$2,1033,0,60,1))/1000000)</f>
        <v/>
      </c>
    </row>
    <row r="1038" spans="15:15">
      <c r="O1038" s="29" t="str">
        <f ca="1">IF(COUNT(OFFSET(分析データ!$AC$2,1034,0,60,1))&lt;60,"",SUM(OFFSET(分析データ!$AC$2,1034,0,60,1))/1000000)</f>
        <v/>
      </c>
    </row>
    <row r="1039" spans="15:15">
      <c r="O1039" s="29" t="str">
        <f ca="1">IF(COUNT(OFFSET(分析データ!$AC$2,1035,0,60,1))&lt;60,"",SUM(OFFSET(分析データ!$AC$2,1035,0,60,1))/1000000)</f>
        <v/>
      </c>
    </row>
    <row r="1040" spans="15:15">
      <c r="O1040" s="29" t="str">
        <f ca="1">IF(COUNT(OFFSET(分析データ!$AC$2,1036,0,60,1))&lt;60,"",SUM(OFFSET(分析データ!$AC$2,1036,0,60,1))/1000000)</f>
        <v/>
      </c>
    </row>
    <row r="1041" spans="15:15">
      <c r="O1041" s="29" t="str">
        <f ca="1">IF(COUNT(OFFSET(分析データ!$AC$2,1037,0,60,1))&lt;60,"",SUM(OFFSET(分析データ!$AC$2,1037,0,60,1))/1000000)</f>
        <v/>
      </c>
    </row>
    <row r="1042" spans="15:15">
      <c r="O1042" s="29" t="str">
        <f ca="1">IF(COUNT(OFFSET(分析データ!$AC$2,1038,0,60,1))&lt;60,"",SUM(OFFSET(分析データ!$AC$2,1038,0,60,1))/1000000)</f>
        <v/>
      </c>
    </row>
    <row r="1043" spans="15:15">
      <c r="O1043" s="29" t="str">
        <f ca="1">IF(COUNT(OFFSET(分析データ!$AC$2,1039,0,60,1))&lt;60,"",SUM(OFFSET(分析データ!$AC$2,1039,0,60,1))/1000000)</f>
        <v/>
      </c>
    </row>
    <row r="1044" spans="15:15">
      <c r="O1044" s="29" t="str">
        <f ca="1">IF(COUNT(OFFSET(分析データ!$AC$2,1040,0,60,1))&lt;60,"",SUM(OFFSET(分析データ!$AC$2,1040,0,60,1))/1000000)</f>
        <v/>
      </c>
    </row>
    <row r="1045" spans="15:15">
      <c r="O1045" s="29" t="str">
        <f ca="1">IF(COUNT(OFFSET(分析データ!$AC$2,1041,0,60,1))&lt;60,"",SUM(OFFSET(分析データ!$AC$2,1041,0,60,1))/1000000)</f>
        <v/>
      </c>
    </row>
    <row r="1046" spans="15:15">
      <c r="O1046" s="29" t="str">
        <f ca="1">IF(COUNT(OFFSET(分析データ!$AC$2,1042,0,60,1))&lt;60,"",SUM(OFFSET(分析データ!$AC$2,1042,0,60,1))/1000000)</f>
        <v/>
      </c>
    </row>
    <row r="1047" spans="15:15">
      <c r="O1047" s="29" t="str">
        <f ca="1">IF(COUNT(OFFSET(分析データ!$AC$2,1043,0,60,1))&lt;60,"",SUM(OFFSET(分析データ!$AC$2,1043,0,60,1))/1000000)</f>
        <v/>
      </c>
    </row>
    <row r="1048" spans="15:15">
      <c r="O1048" s="29" t="str">
        <f ca="1">IF(COUNT(OFFSET(分析データ!$AC$2,1044,0,60,1))&lt;60,"",SUM(OFFSET(分析データ!$AC$2,1044,0,60,1))/1000000)</f>
        <v/>
      </c>
    </row>
    <row r="1049" spans="15:15">
      <c r="O1049" s="29" t="str">
        <f ca="1">IF(COUNT(OFFSET(分析データ!$AC$2,1045,0,60,1))&lt;60,"",SUM(OFFSET(分析データ!$AC$2,1045,0,60,1))/1000000)</f>
        <v/>
      </c>
    </row>
    <row r="1050" spans="15:15">
      <c r="O1050" s="29" t="str">
        <f ca="1">IF(COUNT(OFFSET(分析データ!$AC$2,1046,0,60,1))&lt;60,"",SUM(OFFSET(分析データ!$AC$2,1046,0,60,1))/1000000)</f>
        <v/>
      </c>
    </row>
    <row r="1051" spans="15:15">
      <c r="O1051" s="29" t="str">
        <f ca="1">IF(COUNT(OFFSET(分析データ!$AC$2,1047,0,60,1))&lt;60,"",SUM(OFFSET(分析データ!$AC$2,1047,0,60,1))/1000000)</f>
        <v/>
      </c>
    </row>
    <row r="1052" spans="15:15">
      <c r="O1052" s="29" t="str">
        <f ca="1">IF(COUNT(OFFSET(分析データ!$AC$2,1048,0,60,1))&lt;60,"",SUM(OFFSET(分析データ!$AC$2,1048,0,60,1))/1000000)</f>
        <v/>
      </c>
    </row>
    <row r="1053" spans="15:15">
      <c r="O1053" s="29" t="str">
        <f ca="1">IF(COUNT(OFFSET(分析データ!$AC$2,1049,0,60,1))&lt;60,"",SUM(OFFSET(分析データ!$AC$2,1049,0,60,1))/1000000)</f>
        <v/>
      </c>
    </row>
    <row r="1054" spans="15:15">
      <c r="O1054" s="29" t="str">
        <f ca="1">IF(COUNT(OFFSET(分析データ!$AC$2,1050,0,60,1))&lt;60,"",SUM(OFFSET(分析データ!$AC$2,1050,0,60,1))/1000000)</f>
        <v/>
      </c>
    </row>
    <row r="1055" spans="15:15">
      <c r="O1055" s="29" t="str">
        <f ca="1">IF(COUNT(OFFSET(分析データ!$AC$2,1051,0,60,1))&lt;60,"",SUM(OFFSET(分析データ!$AC$2,1051,0,60,1))/1000000)</f>
        <v/>
      </c>
    </row>
    <row r="1056" spans="15:15">
      <c r="O1056" s="29" t="str">
        <f ca="1">IF(COUNT(OFFSET(分析データ!$AC$2,1052,0,60,1))&lt;60,"",SUM(OFFSET(分析データ!$AC$2,1052,0,60,1))/1000000)</f>
        <v/>
      </c>
    </row>
    <row r="1057" spans="15:15">
      <c r="O1057" s="29" t="str">
        <f ca="1">IF(COUNT(OFFSET(分析データ!$AC$2,1053,0,60,1))&lt;60,"",SUM(OFFSET(分析データ!$AC$2,1053,0,60,1))/1000000)</f>
        <v/>
      </c>
    </row>
    <row r="1058" spans="15:15">
      <c r="O1058" s="29" t="str">
        <f ca="1">IF(COUNT(OFFSET(分析データ!$AC$2,1054,0,60,1))&lt;60,"",SUM(OFFSET(分析データ!$AC$2,1054,0,60,1))/1000000)</f>
        <v/>
      </c>
    </row>
    <row r="1059" spans="15:15">
      <c r="O1059" s="29" t="str">
        <f ca="1">IF(COUNT(OFFSET(分析データ!$AC$2,1055,0,60,1))&lt;60,"",SUM(OFFSET(分析データ!$AC$2,1055,0,60,1))/1000000)</f>
        <v/>
      </c>
    </row>
    <row r="1060" spans="15:15">
      <c r="O1060" s="29" t="str">
        <f ca="1">IF(COUNT(OFFSET(分析データ!$AC$2,1056,0,60,1))&lt;60,"",SUM(OFFSET(分析データ!$AC$2,1056,0,60,1))/1000000)</f>
        <v/>
      </c>
    </row>
    <row r="1061" spans="15:15">
      <c r="O1061" s="29" t="str">
        <f ca="1">IF(COUNT(OFFSET(分析データ!$AC$2,1057,0,60,1))&lt;60,"",SUM(OFFSET(分析データ!$AC$2,1057,0,60,1))/1000000)</f>
        <v/>
      </c>
    </row>
    <row r="1062" spans="15:15">
      <c r="O1062" s="29" t="str">
        <f ca="1">IF(COUNT(OFFSET(分析データ!$AC$2,1058,0,60,1))&lt;60,"",SUM(OFFSET(分析データ!$AC$2,1058,0,60,1))/1000000)</f>
        <v/>
      </c>
    </row>
    <row r="1063" spans="15:15">
      <c r="O1063" s="29" t="str">
        <f ca="1">IF(COUNT(OFFSET(分析データ!$AC$2,1059,0,60,1))&lt;60,"",SUM(OFFSET(分析データ!$AC$2,1059,0,60,1))/1000000)</f>
        <v/>
      </c>
    </row>
    <row r="1064" spans="15:15">
      <c r="O1064" s="29" t="str">
        <f ca="1">IF(COUNT(OFFSET(分析データ!$AC$2,1060,0,60,1))&lt;60,"",SUM(OFFSET(分析データ!$AC$2,1060,0,60,1))/1000000)</f>
        <v/>
      </c>
    </row>
    <row r="1065" spans="15:15">
      <c r="O1065" s="29" t="str">
        <f ca="1">IF(COUNT(OFFSET(分析データ!$AC$2,1061,0,60,1))&lt;60,"",SUM(OFFSET(分析データ!$AC$2,1061,0,60,1))/1000000)</f>
        <v/>
      </c>
    </row>
    <row r="1066" spans="15:15">
      <c r="O1066" s="29" t="str">
        <f ca="1">IF(COUNT(OFFSET(分析データ!$AC$2,1062,0,60,1))&lt;60,"",SUM(OFFSET(分析データ!$AC$2,1062,0,60,1))/1000000)</f>
        <v/>
      </c>
    </row>
    <row r="1067" spans="15:15">
      <c r="O1067" s="29" t="str">
        <f ca="1">IF(COUNT(OFFSET(分析データ!$AC$2,1063,0,60,1))&lt;60,"",SUM(OFFSET(分析データ!$AC$2,1063,0,60,1))/1000000)</f>
        <v/>
      </c>
    </row>
    <row r="1068" spans="15:15">
      <c r="O1068" s="29" t="str">
        <f ca="1">IF(COUNT(OFFSET(分析データ!$AC$2,1064,0,60,1))&lt;60,"",SUM(OFFSET(分析データ!$AC$2,1064,0,60,1))/1000000)</f>
        <v/>
      </c>
    </row>
    <row r="1069" spans="15:15">
      <c r="O1069" s="29" t="str">
        <f ca="1">IF(COUNT(OFFSET(分析データ!$AC$2,1065,0,60,1))&lt;60,"",SUM(OFFSET(分析データ!$AC$2,1065,0,60,1))/1000000)</f>
        <v/>
      </c>
    </row>
    <row r="1070" spans="15:15">
      <c r="O1070" s="29" t="str">
        <f ca="1">IF(COUNT(OFFSET(分析データ!$AC$2,1066,0,60,1))&lt;60,"",SUM(OFFSET(分析データ!$AC$2,1066,0,60,1))/1000000)</f>
        <v/>
      </c>
    </row>
    <row r="1071" spans="15:15">
      <c r="O1071" s="29" t="str">
        <f ca="1">IF(COUNT(OFFSET(分析データ!$AC$2,1067,0,60,1))&lt;60,"",SUM(OFFSET(分析データ!$AC$2,1067,0,60,1))/1000000)</f>
        <v/>
      </c>
    </row>
    <row r="1072" spans="15:15">
      <c r="O1072" s="29" t="str">
        <f ca="1">IF(COUNT(OFFSET(分析データ!$AC$2,1068,0,60,1))&lt;60,"",SUM(OFFSET(分析データ!$AC$2,1068,0,60,1))/1000000)</f>
        <v/>
      </c>
    </row>
    <row r="1073" spans="15:15">
      <c r="O1073" s="29" t="str">
        <f ca="1">IF(COUNT(OFFSET(分析データ!$AC$2,1069,0,60,1))&lt;60,"",SUM(OFFSET(分析データ!$AC$2,1069,0,60,1))/1000000)</f>
        <v/>
      </c>
    </row>
    <row r="1074" spans="15:15">
      <c r="O1074" s="29" t="str">
        <f ca="1">IF(COUNT(OFFSET(分析データ!$AC$2,1070,0,60,1))&lt;60,"",SUM(OFFSET(分析データ!$AC$2,1070,0,60,1))/1000000)</f>
        <v/>
      </c>
    </row>
    <row r="1075" spans="15:15">
      <c r="O1075" s="29" t="str">
        <f ca="1">IF(COUNT(OFFSET(分析データ!$AC$2,1071,0,60,1))&lt;60,"",SUM(OFFSET(分析データ!$AC$2,1071,0,60,1))/1000000)</f>
        <v/>
      </c>
    </row>
    <row r="1076" spans="15:15">
      <c r="O1076" s="29" t="str">
        <f ca="1">IF(COUNT(OFFSET(分析データ!$AC$2,1072,0,60,1))&lt;60,"",SUM(OFFSET(分析データ!$AC$2,1072,0,60,1))/1000000)</f>
        <v/>
      </c>
    </row>
    <row r="1077" spans="15:15">
      <c r="O1077" s="29" t="str">
        <f ca="1">IF(COUNT(OFFSET(分析データ!$AC$2,1073,0,60,1))&lt;60,"",SUM(OFFSET(分析データ!$AC$2,1073,0,60,1))/1000000)</f>
        <v/>
      </c>
    </row>
    <row r="1078" spans="15:15">
      <c r="O1078" s="29" t="str">
        <f ca="1">IF(COUNT(OFFSET(分析データ!$AC$2,1074,0,60,1))&lt;60,"",SUM(OFFSET(分析データ!$AC$2,1074,0,60,1))/1000000)</f>
        <v/>
      </c>
    </row>
    <row r="1079" spans="15:15">
      <c r="O1079" s="29" t="str">
        <f ca="1">IF(COUNT(OFFSET(分析データ!$AC$2,1075,0,60,1))&lt;60,"",SUM(OFFSET(分析データ!$AC$2,1075,0,60,1))/1000000)</f>
        <v/>
      </c>
    </row>
    <row r="1080" spans="15:15">
      <c r="O1080" s="29" t="str">
        <f ca="1">IF(COUNT(OFFSET(分析データ!$AC$2,1076,0,60,1))&lt;60,"",SUM(OFFSET(分析データ!$AC$2,1076,0,60,1))/1000000)</f>
        <v/>
      </c>
    </row>
    <row r="1081" spans="15:15">
      <c r="O1081" s="29" t="str">
        <f ca="1">IF(COUNT(OFFSET(分析データ!$AC$2,1077,0,60,1))&lt;60,"",SUM(OFFSET(分析データ!$AC$2,1077,0,60,1))/1000000)</f>
        <v/>
      </c>
    </row>
    <row r="1082" spans="15:15">
      <c r="O1082" s="29" t="str">
        <f ca="1">IF(COUNT(OFFSET(分析データ!$AC$2,1078,0,60,1))&lt;60,"",SUM(OFFSET(分析データ!$AC$2,1078,0,60,1))/1000000)</f>
        <v/>
      </c>
    </row>
    <row r="1083" spans="15:15">
      <c r="O1083" s="29" t="str">
        <f ca="1">IF(COUNT(OFFSET(分析データ!$AC$2,1079,0,60,1))&lt;60,"",SUM(OFFSET(分析データ!$AC$2,1079,0,60,1))/1000000)</f>
        <v/>
      </c>
    </row>
    <row r="1084" spans="15:15">
      <c r="O1084" s="29" t="str">
        <f ca="1">IF(COUNT(OFFSET(分析データ!$AC$2,1080,0,60,1))&lt;60,"",SUM(OFFSET(分析データ!$AC$2,1080,0,60,1))/1000000)</f>
        <v/>
      </c>
    </row>
    <row r="1085" spans="15:15">
      <c r="O1085" s="29" t="str">
        <f ca="1">IF(COUNT(OFFSET(分析データ!$AC$2,1081,0,60,1))&lt;60,"",SUM(OFFSET(分析データ!$AC$2,1081,0,60,1))/1000000)</f>
        <v/>
      </c>
    </row>
    <row r="1086" spans="15:15">
      <c r="O1086" s="29" t="str">
        <f ca="1">IF(COUNT(OFFSET(分析データ!$AC$2,1082,0,60,1))&lt;60,"",SUM(OFFSET(分析データ!$AC$2,1082,0,60,1))/1000000)</f>
        <v/>
      </c>
    </row>
    <row r="1087" spans="15:15">
      <c r="O1087" s="29" t="str">
        <f ca="1">IF(COUNT(OFFSET(分析データ!$AC$2,1083,0,60,1))&lt;60,"",SUM(OFFSET(分析データ!$AC$2,1083,0,60,1))/1000000)</f>
        <v/>
      </c>
    </row>
    <row r="1088" spans="15:15">
      <c r="O1088" s="29" t="str">
        <f ca="1">IF(COUNT(OFFSET(分析データ!$AC$2,1084,0,60,1))&lt;60,"",SUM(OFFSET(分析データ!$AC$2,1084,0,60,1))/1000000)</f>
        <v/>
      </c>
    </row>
    <row r="1089" spans="15:15">
      <c r="O1089" s="29" t="str">
        <f ca="1">IF(COUNT(OFFSET(分析データ!$AC$2,1085,0,60,1))&lt;60,"",SUM(OFFSET(分析データ!$AC$2,1085,0,60,1))/1000000)</f>
        <v/>
      </c>
    </row>
    <row r="1090" spans="15:15">
      <c r="O1090" s="29" t="str">
        <f ca="1">IF(COUNT(OFFSET(分析データ!$AC$2,1086,0,60,1))&lt;60,"",SUM(OFFSET(分析データ!$AC$2,1086,0,60,1))/1000000)</f>
        <v/>
      </c>
    </row>
    <row r="1091" spans="15:15">
      <c r="O1091" s="29" t="str">
        <f ca="1">IF(COUNT(OFFSET(分析データ!$AC$2,1087,0,60,1))&lt;60,"",SUM(OFFSET(分析データ!$AC$2,1087,0,60,1))/1000000)</f>
        <v/>
      </c>
    </row>
    <row r="1092" spans="15:15">
      <c r="O1092" s="29" t="str">
        <f ca="1">IF(COUNT(OFFSET(分析データ!$AC$2,1088,0,60,1))&lt;60,"",SUM(OFFSET(分析データ!$AC$2,1088,0,60,1))/1000000)</f>
        <v/>
      </c>
    </row>
    <row r="1093" spans="15:15">
      <c r="O1093" s="29" t="str">
        <f ca="1">IF(COUNT(OFFSET(分析データ!$AC$2,1089,0,60,1))&lt;60,"",SUM(OFFSET(分析データ!$AC$2,1089,0,60,1))/1000000)</f>
        <v/>
      </c>
    </row>
    <row r="1094" spans="15:15">
      <c r="O1094" s="29" t="str">
        <f ca="1">IF(COUNT(OFFSET(分析データ!$AC$2,1090,0,60,1))&lt;60,"",SUM(OFFSET(分析データ!$AC$2,1090,0,60,1))/1000000)</f>
        <v/>
      </c>
    </row>
    <row r="1095" spans="15:15">
      <c r="O1095" s="29" t="str">
        <f ca="1">IF(COUNT(OFFSET(分析データ!$AC$2,1091,0,60,1))&lt;60,"",SUM(OFFSET(分析データ!$AC$2,1091,0,60,1))/1000000)</f>
        <v/>
      </c>
    </row>
    <row r="1096" spans="15:15">
      <c r="O1096" s="29" t="str">
        <f ca="1">IF(COUNT(OFFSET(分析データ!$AC$2,1092,0,60,1))&lt;60,"",SUM(OFFSET(分析データ!$AC$2,1092,0,60,1))/1000000)</f>
        <v/>
      </c>
    </row>
    <row r="1097" spans="15:15">
      <c r="O1097" s="29" t="str">
        <f ca="1">IF(COUNT(OFFSET(分析データ!$AC$2,1093,0,60,1))&lt;60,"",SUM(OFFSET(分析データ!$AC$2,1093,0,60,1))/1000000)</f>
        <v/>
      </c>
    </row>
    <row r="1098" spans="15:15">
      <c r="O1098" s="29" t="str">
        <f ca="1">IF(COUNT(OFFSET(分析データ!$AC$2,1094,0,60,1))&lt;60,"",SUM(OFFSET(分析データ!$AC$2,1094,0,60,1))/1000000)</f>
        <v/>
      </c>
    </row>
    <row r="1099" spans="15:15">
      <c r="O1099" s="29" t="str">
        <f ca="1">IF(COUNT(OFFSET(分析データ!$AC$2,1095,0,60,1))&lt;60,"",SUM(OFFSET(分析データ!$AC$2,1095,0,60,1))/1000000)</f>
        <v/>
      </c>
    </row>
    <row r="1100" spans="15:15">
      <c r="O1100" s="29" t="str">
        <f ca="1">IF(COUNT(OFFSET(分析データ!$AC$2,1096,0,60,1))&lt;60,"",SUM(OFFSET(分析データ!$AC$2,1096,0,60,1))/1000000)</f>
        <v/>
      </c>
    </row>
    <row r="1101" spans="15:15">
      <c r="O1101" s="29" t="str">
        <f ca="1">IF(COUNT(OFFSET(分析データ!$AC$2,1097,0,60,1))&lt;60,"",SUM(OFFSET(分析データ!$AC$2,1097,0,60,1))/1000000)</f>
        <v/>
      </c>
    </row>
    <row r="1102" spans="15:15">
      <c r="O1102" s="29" t="str">
        <f ca="1">IF(COUNT(OFFSET(分析データ!$AC$2,1098,0,60,1))&lt;60,"",SUM(OFFSET(分析データ!$AC$2,1098,0,60,1))/1000000)</f>
        <v/>
      </c>
    </row>
    <row r="1103" spans="15:15">
      <c r="O1103" s="29" t="str">
        <f ca="1">IF(COUNT(OFFSET(分析データ!$AC$2,1099,0,60,1))&lt;60,"",SUM(OFFSET(分析データ!$AC$2,1099,0,60,1))/1000000)</f>
        <v/>
      </c>
    </row>
    <row r="1104" spans="15:15">
      <c r="O1104" s="29" t="str">
        <f ca="1">IF(COUNT(OFFSET(分析データ!$AC$2,1100,0,60,1))&lt;60,"",SUM(OFFSET(分析データ!$AC$2,1100,0,60,1))/1000000)</f>
        <v/>
      </c>
    </row>
    <row r="1105" spans="15:15">
      <c r="O1105" s="29" t="str">
        <f ca="1">IF(COUNT(OFFSET(分析データ!$AC$2,1101,0,60,1))&lt;60,"",SUM(OFFSET(分析データ!$AC$2,1101,0,60,1))/1000000)</f>
        <v/>
      </c>
    </row>
    <row r="1106" spans="15:15">
      <c r="O1106" s="29" t="str">
        <f ca="1">IF(COUNT(OFFSET(分析データ!$AC$2,1102,0,60,1))&lt;60,"",SUM(OFFSET(分析データ!$AC$2,1102,0,60,1))/1000000)</f>
        <v/>
      </c>
    </row>
    <row r="1107" spans="15:15">
      <c r="O1107" s="29" t="str">
        <f ca="1">IF(COUNT(OFFSET(分析データ!$AC$2,1103,0,60,1))&lt;60,"",SUM(OFFSET(分析データ!$AC$2,1103,0,60,1))/1000000)</f>
        <v/>
      </c>
    </row>
    <row r="1108" spans="15:15">
      <c r="O1108" s="29" t="str">
        <f ca="1">IF(COUNT(OFFSET(分析データ!$AC$2,1104,0,60,1))&lt;60,"",SUM(OFFSET(分析データ!$AC$2,1104,0,60,1))/1000000)</f>
        <v/>
      </c>
    </row>
    <row r="1109" spans="15:15">
      <c r="O1109" s="29" t="str">
        <f ca="1">IF(COUNT(OFFSET(分析データ!$AC$2,1105,0,60,1))&lt;60,"",SUM(OFFSET(分析データ!$AC$2,1105,0,60,1))/1000000)</f>
        <v/>
      </c>
    </row>
    <row r="1110" spans="15:15">
      <c r="O1110" s="29" t="str">
        <f ca="1">IF(COUNT(OFFSET(分析データ!$AC$2,1106,0,60,1))&lt;60,"",SUM(OFFSET(分析データ!$AC$2,1106,0,60,1))/1000000)</f>
        <v/>
      </c>
    </row>
    <row r="1111" spans="15:15">
      <c r="O1111" s="29" t="str">
        <f ca="1">IF(COUNT(OFFSET(分析データ!$AC$2,1107,0,60,1))&lt;60,"",SUM(OFFSET(分析データ!$AC$2,1107,0,60,1))/1000000)</f>
        <v/>
      </c>
    </row>
    <row r="1112" spans="15:15">
      <c r="O1112" s="29" t="str">
        <f ca="1">IF(COUNT(OFFSET(分析データ!$AC$2,1108,0,60,1))&lt;60,"",SUM(OFFSET(分析データ!$AC$2,1108,0,60,1))/1000000)</f>
        <v/>
      </c>
    </row>
    <row r="1113" spans="15:15">
      <c r="O1113" s="29" t="str">
        <f ca="1">IF(COUNT(OFFSET(分析データ!$AC$2,1109,0,60,1))&lt;60,"",SUM(OFFSET(分析データ!$AC$2,1109,0,60,1))/1000000)</f>
        <v/>
      </c>
    </row>
    <row r="1114" spans="15:15">
      <c r="O1114" s="29" t="str">
        <f ca="1">IF(COUNT(OFFSET(分析データ!$AC$2,1110,0,60,1))&lt;60,"",SUM(OFFSET(分析データ!$AC$2,1110,0,60,1))/1000000)</f>
        <v/>
      </c>
    </row>
    <row r="1115" spans="15:15">
      <c r="O1115" s="29" t="str">
        <f ca="1">IF(COUNT(OFFSET(分析データ!$AC$2,1111,0,60,1))&lt;60,"",SUM(OFFSET(分析データ!$AC$2,1111,0,60,1))/1000000)</f>
        <v/>
      </c>
    </row>
    <row r="1116" spans="15:15">
      <c r="O1116" s="29" t="str">
        <f ca="1">IF(COUNT(OFFSET(分析データ!$AC$2,1112,0,60,1))&lt;60,"",SUM(OFFSET(分析データ!$AC$2,1112,0,60,1))/1000000)</f>
        <v/>
      </c>
    </row>
    <row r="1117" spans="15:15">
      <c r="O1117" s="29" t="str">
        <f ca="1">IF(COUNT(OFFSET(分析データ!$AC$2,1113,0,60,1))&lt;60,"",SUM(OFFSET(分析データ!$AC$2,1113,0,60,1))/1000000)</f>
        <v/>
      </c>
    </row>
    <row r="1118" spans="15:15">
      <c r="O1118" s="29" t="str">
        <f ca="1">IF(COUNT(OFFSET(分析データ!$AC$2,1114,0,60,1))&lt;60,"",SUM(OFFSET(分析データ!$AC$2,1114,0,60,1))/1000000)</f>
        <v/>
      </c>
    </row>
    <row r="1119" spans="15:15">
      <c r="O1119" s="29" t="str">
        <f ca="1">IF(COUNT(OFFSET(分析データ!$AC$2,1115,0,60,1))&lt;60,"",SUM(OFFSET(分析データ!$AC$2,1115,0,60,1))/1000000)</f>
        <v/>
      </c>
    </row>
    <row r="1120" spans="15:15">
      <c r="O1120" s="29" t="str">
        <f ca="1">IF(COUNT(OFFSET(分析データ!$AC$2,1116,0,60,1))&lt;60,"",SUM(OFFSET(分析データ!$AC$2,1116,0,60,1))/1000000)</f>
        <v/>
      </c>
    </row>
    <row r="1121" spans="15:15">
      <c r="O1121" s="29" t="str">
        <f ca="1">IF(COUNT(OFFSET(分析データ!$AC$2,1117,0,60,1))&lt;60,"",SUM(OFFSET(分析データ!$AC$2,1117,0,60,1))/1000000)</f>
        <v/>
      </c>
    </row>
    <row r="1122" spans="15:15">
      <c r="O1122" s="29" t="str">
        <f ca="1">IF(COUNT(OFFSET(分析データ!$AC$2,1118,0,60,1))&lt;60,"",SUM(OFFSET(分析データ!$AC$2,1118,0,60,1))/1000000)</f>
        <v/>
      </c>
    </row>
    <row r="1123" spans="15:15">
      <c r="O1123" s="29" t="str">
        <f ca="1">IF(COUNT(OFFSET(分析データ!$AC$2,1119,0,60,1))&lt;60,"",SUM(OFFSET(分析データ!$AC$2,1119,0,60,1))/1000000)</f>
        <v/>
      </c>
    </row>
    <row r="1124" spans="15:15">
      <c r="O1124" s="29" t="str">
        <f ca="1">IF(COUNT(OFFSET(分析データ!$AC$2,1120,0,60,1))&lt;60,"",SUM(OFFSET(分析データ!$AC$2,1120,0,60,1))/1000000)</f>
        <v/>
      </c>
    </row>
    <row r="1125" spans="15:15">
      <c r="O1125" s="29" t="str">
        <f ca="1">IF(COUNT(OFFSET(分析データ!$AC$2,1121,0,60,1))&lt;60,"",SUM(OFFSET(分析データ!$AC$2,1121,0,60,1))/1000000)</f>
        <v/>
      </c>
    </row>
    <row r="1126" spans="15:15">
      <c r="O1126" s="29" t="str">
        <f ca="1">IF(COUNT(OFFSET(分析データ!$AC$2,1122,0,60,1))&lt;60,"",SUM(OFFSET(分析データ!$AC$2,1122,0,60,1))/1000000)</f>
        <v/>
      </c>
    </row>
    <row r="1127" spans="15:15">
      <c r="O1127" s="29" t="str">
        <f ca="1">IF(COUNT(OFFSET(分析データ!$AC$2,1123,0,60,1))&lt;60,"",SUM(OFFSET(分析データ!$AC$2,1123,0,60,1))/1000000)</f>
        <v/>
      </c>
    </row>
    <row r="1128" spans="15:15">
      <c r="O1128" s="29" t="str">
        <f ca="1">IF(COUNT(OFFSET(分析データ!$AC$2,1124,0,60,1))&lt;60,"",SUM(OFFSET(分析データ!$AC$2,1124,0,60,1))/1000000)</f>
        <v/>
      </c>
    </row>
    <row r="1129" spans="15:15">
      <c r="O1129" s="29" t="str">
        <f ca="1">IF(COUNT(OFFSET(分析データ!$AC$2,1125,0,60,1))&lt;60,"",SUM(OFFSET(分析データ!$AC$2,1125,0,60,1))/1000000)</f>
        <v/>
      </c>
    </row>
    <row r="1130" spans="15:15">
      <c r="O1130" s="29" t="str">
        <f ca="1">IF(COUNT(OFFSET(分析データ!$AC$2,1126,0,60,1))&lt;60,"",SUM(OFFSET(分析データ!$AC$2,1126,0,60,1))/1000000)</f>
        <v/>
      </c>
    </row>
    <row r="1131" spans="15:15">
      <c r="O1131" s="29" t="str">
        <f ca="1">IF(COUNT(OFFSET(分析データ!$AC$2,1127,0,60,1))&lt;60,"",SUM(OFFSET(分析データ!$AC$2,1127,0,60,1))/1000000)</f>
        <v/>
      </c>
    </row>
    <row r="1132" spans="15:15">
      <c r="O1132" s="29" t="str">
        <f ca="1">IF(COUNT(OFFSET(分析データ!$AC$2,1128,0,60,1))&lt;60,"",SUM(OFFSET(分析データ!$AC$2,1128,0,60,1))/1000000)</f>
        <v/>
      </c>
    </row>
    <row r="1133" spans="15:15">
      <c r="O1133" s="29" t="str">
        <f ca="1">IF(COUNT(OFFSET(分析データ!$AC$2,1129,0,60,1))&lt;60,"",SUM(OFFSET(分析データ!$AC$2,1129,0,60,1))/1000000)</f>
        <v/>
      </c>
    </row>
    <row r="1134" spans="15:15">
      <c r="O1134" s="29" t="str">
        <f ca="1">IF(COUNT(OFFSET(分析データ!$AC$2,1130,0,60,1))&lt;60,"",SUM(OFFSET(分析データ!$AC$2,1130,0,60,1))/1000000)</f>
        <v/>
      </c>
    </row>
    <row r="1135" spans="15:15">
      <c r="O1135" s="29" t="str">
        <f ca="1">IF(COUNT(OFFSET(分析データ!$AC$2,1131,0,60,1))&lt;60,"",SUM(OFFSET(分析データ!$AC$2,1131,0,60,1))/1000000)</f>
        <v/>
      </c>
    </row>
    <row r="1136" spans="15:15">
      <c r="O1136" s="29" t="str">
        <f ca="1">IF(COUNT(OFFSET(分析データ!$AC$2,1132,0,60,1))&lt;60,"",SUM(OFFSET(分析データ!$AC$2,1132,0,60,1))/1000000)</f>
        <v/>
      </c>
    </row>
    <row r="1137" spans="15:15">
      <c r="O1137" s="29" t="str">
        <f ca="1">IF(COUNT(OFFSET(分析データ!$AC$2,1133,0,60,1))&lt;60,"",SUM(OFFSET(分析データ!$AC$2,1133,0,60,1))/1000000)</f>
        <v/>
      </c>
    </row>
    <row r="1138" spans="15:15">
      <c r="O1138" s="29" t="str">
        <f ca="1">IF(COUNT(OFFSET(分析データ!$AC$2,1134,0,60,1))&lt;60,"",SUM(OFFSET(分析データ!$AC$2,1134,0,60,1))/1000000)</f>
        <v/>
      </c>
    </row>
    <row r="1139" spans="15:15">
      <c r="O1139" s="29" t="str">
        <f ca="1">IF(COUNT(OFFSET(分析データ!$AC$2,1135,0,60,1))&lt;60,"",SUM(OFFSET(分析データ!$AC$2,1135,0,60,1))/1000000)</f>
        <v/>
      </c>
    </row>
    <row r="1140" spans="15:15">
      <c r="O1140" s="29" t="str">
        <f ca="1">IF(COUNT(OFFSET(分析データ!$AC$2,1136,0,60,1))&lt;60,"",SUM(OFFSET(分析データ!$AC$2,1136,0,60,1))/1000000)</f>
        <v/>
      </c>
    </row>
    <row r="1141" spans="15:15">
      <c r="O1141" s="29" t="str">
        <f ca="1">IF(COUNT(OFFSET(分析データ!$AC$2,1137,0,60,1))&lt;60,"",SUM(OFFSET(分析データ!$AC$2,1137,0,60,1))/1000000)</f>
        <v/>
      </c>
    </row>
    <row r="1142" spans="15:15">
      <c r="O1142" s="29" t="str">
        <f ca="1">IF(COUNT(OFFSET(分析データ!$AC$2,1138,0,60,1))&lt;60,"",SUM(OFFSET(分析データ!$AC$2,1138,0,60,1))/1000000)</f>
        <v/>
      </c>
    </row>
    <row r="1143" spans="15:15">
      <c r="O1143" s="29" t="str">
        <f ca="1">IF(COUNT(OFFSET(分析データ!$AC$2,1139,0,60,1))&lt;60,"",SUM(OFFSET(分析データ!$AC$2,1139,0,60,1))/1000000)</f>
        <v/>
      </c>
    </row>
    <row r="1144" spans="15:15">
      <c r="O1144" s="29" t="str">
        <f ca="1">IF(COUNT(OFFSET(分析データ!$AC$2,1140,0,60,1))&lt;60,"",SUM(OFFSET(分析データ!$AC$2,1140,0,60,1))/1000000)</f>
        <v/>
      </c>
    </row>
    <row r="1145" spans="15:15">
      <c r="O1145" s="29" t="str">
        <f ca="1">IF(COUNT(OFFSET(分析データ!$AC$2,1141,0,60,1))&lt;60,"",SUM(OFFSET(分析データ!$AC$2,1141,0,60,1))/1000000)</f>
        <v/>
      </c>
    </row>
    <row r="1146" spans="15:15">
      <c r="O1146" s="29" t="str">
        <f ca="1">IF(COUNT(OFFSET(分析データ!$AC$2,1142,0,60,1))&lt;60,"",SUM(OFFSET(分析データ!$AC$2,1142,0,60,1))/1000000)</f>
        <v/>
      </c>
    </row>
    <row r="1147" spans="15:15">
      <c r="O1147" s="29" t="str">
        <f ca="1">IF(COUNT(OFFSET(分析データ!$AC$2,1143,0,60,1))&lt;60,"",SUM(OFFSET(分析データ!$AC$2,1143,0,60,1))/1000000)</f>
        <v/>
      </c>
    </row>
    <row r="1148" spans="15:15">
      <c r="O1148" s="29" t="str">
        <f ca="1">IF(COUNT(OFFSET(分析データ!$AC$2,1144,0,60,1))&lt;60,"",SUM(OFFSET(分析データ!$AC$2,1144,0,60,1))/1000000)</f>
        <v/>
      </c>
    </row>
    <row r="1149" spans="15:15">
      <c r="O1149" s="29" t="str">
        <f ca="1">IF(COUNT(OFFSET(分析データ!$AC$2,1145,0,60,1))&lt;60,"",SUM(OFFSET(分析データ!$AC$2,1145,0,60,1))/1000000)</f>
        <v/>
      </c>
    </row>
    <row r="1150" spans="15:15">
      <c r="O1150" s="29" t="str">
        <f ca="1">IF(COUNT(OFFSET(分析データ!$AC$2,1146,0,60,1))&lt;60,"",SUM(OFFSET(分析データ!$AC$2,1146,0,60,1))/1000000)</f>
        <v/>
      </c>
    </row>
    <row r="1151" spans="15:15">
      <c r="O1151" s="29" t="str">
        <f ca="1">IF(COUNT(OFFSET(分析データ!$AC$2,1147,0,60,1))&lt;60,"",SUM(OFFSET(分析データ!$AC$2,1147,0,60,1))/1000000)</f>
        <v/>
      </c>
    </row>
    <row r="1152" spans="15:15">
      <c r="O1152" s="29" t="str">
        <f ca="1">IF(COUNT(OFFSET(分析データ!$AC$2,1148,0,60,1))&lt;60,"",SUM(OFFSET(分析データ!$AC$2,1148,0,60,1))/1000000)</f>
        <v/>
      </c>
    </row>
    <row r="1153" spans="15:15">
      <c r="O1153" s="29" t="str">
        <f ca="1">IF(COUNT(OFFSET(分析データ!$AC$2,1149,0,60,1))&lt;60,"",SUM(OFFSET(分析データ!$AC$2,1149,0,60,1))/1000000)</f>
        <v/>
      </c>
    </row>
    <row r="1154" spans="15:15">
      <c r="O1154" s="29" t="str">
        <f ca="1">IF(COUNT(OFFSET(分析データ!$AC$2,1150,0,60,1))&lt;60,"",SUM(OFFSET(分析データ!$AC$2,1150,0,60,1))/1000000)</f>
        <v/>
      </c>
    </row>
    <row r="1155" spans="15:15">
      <c r="O1155" s="29" t="str">
        <f ca="1">IF(COUNT(OFFSET(分析データ!$AC$2,1151,0,60,1))&lt;60,"",SUM(OFFSET(分析データ!$AC$2,1151,0,60,1))/1000000)</f>
        <v/>
      </c>
    </row>
    <row r="1156" spans="15:15">
      <c r="O1156" s="29" t="str">
        <f ca="1">IF(COUNT(OFFSET(分析データ!$AC$2,1152,0,60,1))&lt;60,"",SUM(OFFSET(分析データ!$AC$2,1152,0,60,1))/1000000)</f>
        <v/>
      </c>
    </row>
    <row r="1157" spans="15:15">
      <c r="O1157" s="29" t="str">
        <f ca="1">IF(COUNT(OFFSET(分析データ!$AC$2,1153,0,60,1))&lt;60,"",SUM(OFFSET(分析データ!$AC$2,1153,0,60,1))/1000000)</f>
        <v/>
      </c>
    </row>
    <row r="1158" spans="15:15">
      <c r="O1158" s="29" t="str">
        <f ca="1">IF(COUNT(OFFSET(分析データ!$AC$2,1154,0,60,1))&lt;60,"",SUM(OFFSET(分析データ!$AC$2,1154,0,60,1))/1000000)</f>
        <v/>
      </c>
    </row>
    <row r="1159" spans="15:15">
      <c r="O1159" s="29" t="str">
        <f ca="1">IF(COUNT(OFFSET(分析データ!$AC$2,1155,0,60,1))&lt;60,"",SUM(OFFSET(分析データ!$AC$2,1155,0,60,1))/1000000)</f>
        <v/>
      </c>
    </row>
    <row r="1160" spans="15:15">
      <c r="O1160" s="29" t="str">
        <f ca="1">IF(COUNT(OFFSET(分析データ!$AC$2,1156,0,60,1))&lt;60,"",SUM(OFFSET(分析データ!$AC$2,1156,0,60,1))/1000000)</f>
        <v/>
      </c>
    </row>
    <row r="1161" spans="15:15">
      <c r="O1161" s="29" t="str">
        <f ca="1">IF(COUNT(OFFSET(分析データ!$AC$2,1157,0,60,1))&lt;60,"",SUM(OFFSET(分析データ!$AC$2,1157,0,60,1))/1000000)</f>
        <v/>
      </c>
    </row>
    <row r="1162" spans="15:15">
      <c r="O1162" s="29" t="str">
        <f ca="1">IF(COUNT(OFFSET(分析データ!$AC$2,1158,0,60,1))&lt;60,"",SUM(OFFSET(分析データ!$AC$2,1158,0,60,1))/1000000)</f>
        <v/>
      </c>
    </row>
    <row r="1163" spans="15:15">
      <c r="O1163" s="29" t="str">
        <f ca="1">IF(COUNT(OFFSET(分析データ!$AC$2,1159,0,60,1))&lt;60,"",SUM(OFFSET(分析データ!$AC$2,1159,0,60,1))/1000000)</f>
        <v/>
      </c>
    </row>
    <row r="1164" spans="15:15">
      <c r="O1164" s="29" t="str">
        <f ca="1">IF(COUNT(OFFSET(分析データ!$AC$2,1160,0,60,1))&lt;60,"",SUM(OFFSET(分析データ!$AC$2,1160,0,60,1))/1000000)</f>
        <v/>
      </c>
    </row>
    <row r="1165" spans="15:15">
      <c r="O1165" s="29" t="str">
        <f ca="1">IF(COUNT(OFFSET(分析データ!$AC$2,1161,0,60,1))&lt;60,"",SUM(OFFSET(分析データ!$AC$2,1161,0,60,1))/1000000)</f>
        <v/>
      </c>
    </row>
    <row r="1166" spans="15:15">
      <c r="O1166" s="29" t="str">
        <f ca="1">IF(COUNT(OFFSET(分析データ!$AC$2,1162,0,60,1))&lt;60,"",SUM(OFFSET(分析データ!$AC$2,1162,0,60,1))/1000000)</f>
        <v/>
      </c>
    </row>
    <row r="1167" spans="15:15">
      <c r="O1167" s="29" t="str">
        <f ca="1">IF(COUNT(OFFSET(分析データ!$AC$2,1163,0,60,1))&lt;60,"",SUM(OFFSET(分析データ!$AC$2,1163,0,60,1))/1000000)</f>
        <v/>
      </c>
    </row>
    <row r="1168" spans="15:15">
      <c r="O1168" s="29" t="str">
        <f ca="1">IF(COUNT(OFFSET(分析データ!$AC$2,1164,0,60,1))&lt;60,"",SUM(OFFSET(分析データ!$AC$2,1164,0,60,1))/1000000)</f>
        <v/>
      </c>
    </row>
    <row r="1169" spans="15:15">
      <c r="O1169" s="29" t="str">
        <f ca="1">IF(COUNT(OFFSET(分析データ!$AC$2,1165,0,60,1))&lt;60,"",SUM(OFFSET(分析データ!$AC$2,1165,0,60,1))/1000000)</f>
        <v/>
      </c>
    </row>
    <row r="1170" spans="15:15">
      <c r="O1170" s="29" t="str">
        <f ca="1">IF(COUNT(OFFSET(分析データ!$AC$2,1166,0,60,1))&lt;60,"",SUM(OFFSET(分析データ!$AC$2,1166,0,60,1))/1000000)</f>
        <v/>
      </c>
    </row>
    <row r="1171" spans="15:15">
      <c r="O1171" s="29" t="str">
        <f ca="1">IF(COUNT(OFFSET(分析データ!$AC$2,1167,0,60,1))&lt;60,"",SUM(OFFSET(分析データ!$AC$2,1167,0,60,1))/1000000)</f>
        <v/>
      </c>
    </row>
    <row r="1172" spans="15:15">
      <c r="O1172" s="29" t="str">
        <f ca="1">IF(COUNT(OFFSET(分析データ!$AC$2,1168,0,60,1))&lt;60,"",SUM(OFFSET(分析データ!$AC$2,1168,0,60,1))/1000000)</f>
        <v/>
      </c>
    </row>
    <row r="1173" spans="15:15">
      <c r="O1173" s="29" t="str">
        <f ca="1">IF(COUNT(OFFSET(分析データ!$AC$2,1169,0,60,1))&lt;60,"",SUM(OFFSET(分析データ!$AC$2,1169,0,60,1))/1000000)</f>
        <v/>
      </c>
    </row>
    <row r="1174" spans="15:15">
      <c r="O1174" s="29" t="str">
        <f ca="1">IF(COUNT(OFFSET(分析データ!$AC$2,1170,0,60,1))&lt;60,"",SUM(OFFSET(分析データ!$AC$2,1170,0,60,1))/1000000)</f>
        <v/>
      </c>
    </row>
    <row r="1175" spans="15:15">
      <c r="O1175" s="29" t="str">
        <f ca="1">IF(COUNT(OFFSET(分析データ!$AC$2,1171,0,60,1))&lt;60,"",SUM(OFFSET(分析データ!$AC$2,1171,0,60,1))/1000000)</f>
        <v/>
      </c>
    </row>
    <row r="1176" spans="15:15">
      <c r="O1176" s="29" t="str">
        <f ca="1">IF(COUNT(OFFSET(分析データ!$AC$2,1172,0,60,1))&lt;60,"",SUM(OFFSET(分析データ!$AC$2,1172,0,60,1))/1000000)</f>
        <v/>
      </c>
    </row>
    <row r="1177" spans="15:15">
      <c r="O1177" s="29" t="str">
        <f ca="1">IF(COUNT(OFFSET(分析データ!$AC$2,1173,0,60,1))&lt;60,"",SUM(OFFSET(分析データ!$AC$2,1173,0,60,1))/1000000)</f>
        <v/>
      </c>
    </row>
    <row r="1178" spans="15:15">
      <c r="O1178" s="29" t="str">
        <f ca="1">IF(COUNT(OFFSET(分析データ!$AC$2,1174,0,60,1))&lt;60,"",SUM(OFFSET(分析データ!$AC$2,1174,0,60,1))/1000000)</f>
        <v/>
      </c>
    </row>
    <row r="1179" spans="15:15">
      <c r="O1179" s="29" t="str">
        <f ca="1">IF(COUNT(OFFSET(分析データ!$AC$2,1175,0,60,1))&lt;60,"",SUM(OFFSET(分析データ!$AC$2,1175,0,60,1))/1000000)</f>
        <v/>
      </c>
    </row>
    <row r="1180" spans="15:15">
      <c r="O1180" s="29" t="str">
        <f ca="1">IF(COUNT(OFFSET(分析データ!$AC$2,1176,0,60,1))&lt;60,"",SUM(OFFSET(分析データ!$AC$2,1176,0,60,1))/1000000)</f>
        <v/>
      </c>
    </row>
    <row r="1181" spans="15:15">
      <c r="O1181" s="29" t="str">
        <f ca="1">IF(COUNT(OFFSET(分析データ!$AC$2,1177,0,60,1))&lt;60,"",SUM(OFFSET(分析データ!$AC$2,1177,0,60,1))/1000000)</f>
        <v/>
      </c>
    </row>
    <row r="1182" spans="15:15">
      <c r="O1182" s="29" t="str">
        <f ca="1">IF(COUNT(OFFSET(分析データ!$AC$2,1178,0,60,1))&lt;60,"",SUM(OFFSET(分析データ!$AC$2,1178,0,60,1))/1000000)</f>
        <v/>
      </c>
    </row>
    <row r="1183" spans="15:15">
      <c r="O1183" s="29" t="str">
        <f ca="1">IF(COUNT(OFFSET(分析データ!$AC$2,1179,0,60,1))&lt;60,"",SUM(OFFSET(分析データ!$AC$2,1179,0,60,1))/1000000)</f>
        <v/>
      </c>
    </row>
    <row r="1184" spans="15:15">
      <c r="O1184" s="29" t="str">
        <f ca="1">IF(COUNT(OFFSET(分析データ!$AC$2,1180,0,60,1))&lt;60,"",SUM(OFFSET(分析データ!$AC$2,1180,0,60,1))/1000000)</f>
        <v/>
      </c>
    </row>
    <row r="1185" spans="15:15">
      <c r="O1185" s="29" t="str">
        <f ca="1">IF(COUNT(OFFSET(分析データ!$AC$2,1181,0,60,1))&lt;60,"",SUM(OFFSET(分析データ!$AC$2,1181,0,60,1))/1000000)</f>
        <v/>
      </c>
    </row>
    <row r="1186" spans="15:15">
      <c r="O1186" s="29" t="str">
        <f ca="1">IF(COUNT(OFFSET(分析データ!$AC$2,1182,0,60,1))&lt;60,"",SUM(OFFSET(分析データ!$AC$2,1182,0,60,1))/1000000)</f>
        <v/>
      </c>
    </row>
    <row r="1187" spans="15:15">
      <c r="O1187" s="29" t="str">
        <f ca="1">IF(COUNT(OFFSET(分析データ!$AC$2,1183,0,60,1))&lt;60,"",SUM(OFFSET(分析データ!$AC$2,1183,0,60,1))/1000000)</f>
        <v/>
      </c>
    </row>
    <row r="1188" spans="15:15">
      <c r="O1188" s="29" t="str">
        <f ca="1">IF(COUNT(OFFSET(分析データ!$AC$2,1184,0,60,1))&lt;60,"",SUM(OFFSET(分析データ!$AC$2,1184,0,60,1))/1000000)</f>
        <v/>
      </c>
    </row>
    <row r="1189" spans="15:15">
      <c r="O1189" s="29" t="str">
        <f ca="1">IF(COUNT(OFFSET(分析データ!$AC$2,1185,0,60,1))&lt;60,"",SUM(OFFSET(分析データ!$AC$2,1185,0,60,1))/1000000)</f>
        <v/>
      </c>
    </row>
    <row r="1190" spans="15:15">
      <c r="O1190" s="29" t="str">
        <f ca="1">IF(COUNT(OFFSET(分析データ!$AC$2,1186,0,60,1))&lt;60,"",SUM(OFFSET(分析データ!$AC$2,1186,0,60,1))/1000000)</f>
        <v/>
      </c>
    </row>
    <row r="1191" spans="15:15">
      <c r="O1191" s="29" t="str">
        <f ca="1">IF(COUNT(OFFSET(分析データ!$AC$2,1187,0,60,1))&lt;60,"",SUM(OFFSET(分析データ!$AC$2,1187,0,60,1))/1000000)</f>
        <v/>
      </c>
    </row>
    <row r="1192" spans="15:15">
      <c r="O1192" s="29" t="str">
        <f ca="1">IF(COUNT(OFFSET(分析データ!$AC$2,1188,0,60,1))&lt;60,"",SUM(OFFSET(分析データ!$AC$2,1188,0,60,1))/1000000)</f>
        <v/>
      </c>
    </row>
    <row r="1193" spans="15:15">
      <c r="O1193" s="29" t="str">
        <f ca="1">IF(COUNT(OFFSET(分析データ!$AC$2,1189,0,60,1))&lt;60,"",SUM(OFFSET(分析データ!$AC$2,1189,0,60,1))/1000000)</f>
        <v/>
      </c>
    </row>
    <row r="1194" spans="15:15">
      <c r="O1194" s="29" t="str">
        <f ca="1">IF(COUNT(OFFSET(分析データ!$AC$2,1190,0,60,1))&lt;60,"",SUM(OFFSET(分析データ!$AC$2,1190,0,60,1))/1000000)</f>
        <v/>
      </c>
    </row>
    <row r="1195" spans="15:15">
      <c r="O1195" s="29" t="str">
        <f ca="1">IF(COUNT(OFFSET(分析データ!$AC$2,1191,0,60,1))&lt;60,"",SUM(OFFSET(分析データ!$AC$2,1191,0,60,1))/1000000)</f>
        <v/>
      </c>
    </row>
    <row r="1196" spans="15:15">
      <c r="O1196" s="29" t="str">
        <f ca="1">IF(COUNT(OFFSET(分析データ!$AC$2,1192,0,60,1))&lt;60,"",SUM(OFFSET(分析データ!$AC$2,1192,0,60,1))/1000000)</f>
        <v/>
      </c>
    </row>
    <row r="1197" spans="15:15">
      <c r="O1197" s="29" t="str">
        <f ca="1">IF(COUNT(OFFSET(分析データ!$AC$2,1193,0,60,1))&lt;60,"",SUM(OFFSET(分析データ!$AC$2,1193,0,60,1))/1000000)</f>
        <v/>
      </c>
    </row>
    <row r="1198" spans="15:15">
      <c r="O1198" s="29" t="str">
        <f ca="1">IF(COUNT(OFFSET(分析データ!$AC$2,1194,0,60,1))&lt;60,"",SUM(OFFSET(分析データ!$AC$2,1194,0,60,1))/1000000)</f>
        <v/>
      </c>
    </row>
    <row r="1199" spans="15:15">
      <c r="O1199" s="29" t="str">
        <f ca="1">IF(COUNT(OFFSET(分析データ!$AC$2,1195,0,60,1))&lt;60,"",SUM(OFFSET(分析データ!$AC$2,1195,0,60,1))/1000000)</f>
        <v/>
      </c>
    </row>
    <row r="1200" spans="15:15">
      <c r="O1200" s="29" t="str">
        <f ca="1">IF(COUNT(OFFSET(分析データ!$AC$2,1196,0,60,1))&lt;60,"",SUM(OFFSET(分析データ!$AC$2,1196,0,60,1))/1000000)</f>
        <v/>
      </c>
    </row>
    <row r="1201" spans="15:15">
      <c r="O1201" s="29" t="str">
        <f ca="1">IF(COUNT(OFFSET(分析データ!$AC$2,1197,0,60,1))&lt;60,"",SUM(OFFSET(分析データ!$AC$2,1197,0,60,1))/1000000)</f>
        <v/>
      </c>
    </row>
    <row r="1202" spans="15:15">
      <c r="O1202" s="29" t="str">
        <f ca="1">IF(COUNT(OFFSET(分析データ!$AC$2,1198,0,60,1))&lt;60,"",SUM(OFFSET(分析データ!$AC$2,1198,0,60,1))/1000000)</f>
        <v/>
      </c>
    </row>
    <row r="1203" spans="15:15">
      <c r="O1203" s="29" t="str">
        <f ca="1">IF(COUNT(OFFSET(分析データ!$AC$2,1199,0,60,1))&lt;60,"",SUM(OFFSET(分析データ!$AC$2,1199,0,60,1))/1000000)</f>
        <v/>
      </c>
    </row>
    <row r="1204" spans="15:15">
      <c r="O1204" s="29" t="str">
        <f ca="1">IF(COUNT(OFFSET(分析データ!$AC$2,1200,0,60,1))&lt;60,"",SUM(OFFSET(分析データ!$AC$2,1200,0,60,1))/1000000)</f>
        <v/>
      </c>
    </row>
    <row r="1205" spans="15:15">
      <c r="O1205" s="29" t="str">
        <f ca="1">IF(COUNT(OFFSET(分析データ!$AC$2,1201,0,60,1))&lt;60,"",SUM(OFFSET(分析データ!$AC$2,1201,0,60,1))/1000000)</f>
        <v/>
      </c>
    </row>
    <row r="1206" spans="15:15">
      <c r="O1206" s="29" t="str">
        <f ca="1">IF(COUNT(OFFSET(分析データ!$AC$2,1202,0,60,1))&lt;60,"",SUM(OFFSET(分析データ!$AC$2,1202,0,60,1))/1000000)</f>
        <v/>
      </c>
    </row>
    <row r="1207" spans="15:15">
      <c r="O1207" s="29" t="str">
        <f ca="1">IF(COUNT(OFFSET(分析データ!$AC$2,1203,0,60,1))&lt;60,"",SUM(OFFSET(分析データ!$AC$2,1203,0,60,1))/1000000)</f>
        <v/>
      </c>
    </row>
    <row r="1208" spans="15:15">
      <c r="O1208" s="29" t="str">
        <f ca="1">IF(COUNT(OFFSET(分析データ!$AC$2,1204,0,60,1))&lt;60,"",SUM(OFFSET(分析データ!$AC$2,1204,0,60,1))/1000000)</f>
        <v/>
      </c>
    </row>
    <row r="1209" spans="15:15">
      <c r="O1209" s="29" t="str">
        <f ca="1">IF(COUNT(OFFSET(分析データ!$AC$2,1205,0,60,1))&lt;60,"",SUM(OFFSET(分析データ!$AC$2,1205,0,60,1))/1000000)</f>
        <v/>
      </c>
    </row>
    <row r="1210" spans="15:15">
      <c r="O1210" s="29" t="str">
        <f ca="1">IF(COUNT(OFFSET(分析データ!$AC$2,1206,0,60,1))&lt;60,"",SUM(OFFSET(分析データ!$AC$2,1206,0,60,1))/1000000)</f>
        <v/>
      </c>
    </row>
    <row r="1211" spans="15:15">
      <c r="O1211" s="29" t="str">
        <f ca="1">IF(COUNT(OFFSET(分析データ!$AC$2,1207,0,60,1))&lt;60,"",SUM(OFFSET(分析データ!$AC$2,1207,0,60,1))/1000000)</f>
        <v/>
      </c>
    </row>
    <row r="1212" spans="15:15">
      <c r="O1212" s="29" t="str">
        <f ca="1">IF(COUNT(OFFSET(分析データ!$AC$2,1208,0,60,1))&lt;60,"",SUM(OFFSET(分析データ!$AC$2,1208,0,60,1))/1000000)</f>
        <v/>
      </c>
    </row>
    <row r="1213" spans="15:15">
      <c r="O1213" s="29" t="str">
        <f ca="1">IF(COUNT(OFFSET(分析データ!$AC$2,1209,0,60,1))&lt;60,"",SUM(OFFSET(分析データ!$AC$2,1209,0,60,1))/1000000)</f>
        <v/>
      </c>
    </row>
    <row r="1214" spans="15:15">
      <c r="O1214" s="29" t="str">
        <f ca="1">IF(COUNT(OFFSET(分析データ!$AC$2,1210,0,60,1))&lt;60,"",SUM(OFFSET(分析データ!$AC$2,1210,0,60,1))/1000000)</f>
        <v/>
      </c>
    </row>
    <row r="1215" spans="15:15">
      <c r="O1215" s="29" t="str">
        <f ca="1">IF(COUNT(OFFSET(分析データ!$AC$2,1211,0,60,1))&lt;60,"",SUM(OFFSET(分析データ!$AC$2,1211,0,60,1))/1000000)</f>
        <v/>
      </c>
    </row>
    <row r="1216" spans="15:15">
      <c r="O1216" s="29" t="str">
        <f ca="1">IF(COUNT(OFFSET(分析データ!$AC$2,1212,0,60,1))&lt;60,"",SUM(OFFSET(分析データ!$AC$2,1212,0,60,1))/1000000)</f>
        <v/>
      </c>
    </row>
    <row r="1217" spans="15:15">
      <c r="O1217" s="29" t="str">
        <f ca="1">IF(COUNT(OFFSET(分析データ!$AC$2,1213,0,60,1))&lt;60,"",SUM(OFFSET(分析データ!$AC$2,1213,0,60,1))/1000000)</f>
        <v/>
      </c>
    </row>
    <row r="1218" spans="15:15">
      <c r="O1218" s="29" t="str">
        <f ca="1">IF(COUNT(OFFSET(分析データ!$AC$2,1214,0,60,1))&lt;60,"",SUM(OFFSET(分析データ!$AC$2,1214,0,60,1))/1000000)</f>
        <v/>
      </c>
    </row>
    <row r="1219" spans="15:15">
      <c r="O1219" s="29" t="str">
        <f ca="1">IF(COUNT(OFFSET(分析データ!$AC$2,1215,0,60,1))&lt;60,"",SUM(OFFSET(分析データ!$AC$2,1215,0,60,1))/1000000)</f>
        <v/>
      </c>
    </row>
    <row r="1220" spans="15:15">
      <c r="O1220" s="29" t="str">
        <f ca="1">IF(COUNT(OFFSET(分析データ!$AC$2,1216,0,60,1))&lt;60,"",SUM(OFFSET(分析データ!$AC$2,1216,0,60,1))/1000000)</f>
        <v/>
      </c>
    </row>
    <row r="1221" spans="15:15">
      <c r="O1221" s="29" t="str">
        <f ca="1">IF(COUNT(OFFSET(分析データ!$AC$2,1217,0,60,1))&lt;60,"",SUM(OFFSET(分析データ!$AC$2,1217,0,60,1))/1000000)</f>
        <v/>
      </c>
    </row>
    <row r="1222" spans="15:15">
      <c r="O1222" s="29" t="str">
        <f ca="1">IF(COUNT(OFFSET(分析データ!$AC$2,1218,0,60,1))&lt;60,"",SUM(OFFSET(分析データ!$AC$2,1218,0,60,1))/1000000)</f>
        <v/>
      </c>
    </row>
    <row r="1223" spans="15:15">
      <c r="O1223" s="29" t="str">
        <f ca="1">IF(COUNT(OFFSET(分析データ!$AC$2,1219,0,60,1))&lt;60,"",SUM(OFFSET(分析データ!$AC$2,1219,0,60,1))/1000000)</f>
        <v/>
      </c>
    </row>
    <row r="1224" spans="15:15">
      <c r="O1224" s="29" t="str">
        <f ca="1">IF(COUNT(OFFSET(分析データ!$AC$2,1220,0,60,1))&lt;60,"",SUM(OFFSET(分析データ!$AC$2,1220,0,60,1))/1000000)</f>
        <v/>
      </c>
    </row>
    <row r="1225" spans="15:15">
      <c r="O1225" s="29" t="str">
        <f ca="1">IF(COUNT(OFFSET(分析データ!$AC$2,1221,0,60,1))&lt;60,"",SUM(OFFSET(分析データ!$AC$2,1221,0,60,1))/1000000)</f>
        <v/>
      </c>
    </row>
    <row r="1226" spans="15:15">
      <c r="O1226" s="29" t="str">
        <f ca="1">IF(COUNT(OFFSET(分析データ!$AC$2,1222,0,60,1))&lt;60,"",SUM(OFFSET(分析データ!$AC$2,1222,0,60,1))/1000000)</f>
        <v/>
      </c>
    </row>
    <row r="1227" spans="15:15">
      <c r="O1227" s="29" t="str">
        <f ca="1">IF(COUNT(OFFSET(分析データ!$AC$2,1223,0,60,1))&lt;60,"",SUM(OFFSET(分析データ!$AC$2,1223,0,60,1))/1000000)</f>
        <v/>
      </c>
    </row>
    <row r="1228" spans="15:15">
      <c r="O1228" s="29" t="str">
        <f ca="1">IF(COUNT(OFFSET(分析データ!$AC$2,1224,0,60,1))&lt;60,"",SUM(OFFSET(分析データ!$AC$2,1224,0,60,1))/1000000)</f>
        <v/>
      </c>
    </row>
    <row r="1229" spans="15:15">
      <c r="O1229" s="29" t="str">
        <f ca="1">IF(COUNT(OFFSET(分析データ!$AC$2,1225,0,60,1))&lt;60,"",SUM(OFFSET(分析データ!$AC$2,1225,0,60,1))/1000000)</f>
        <v/>
      </c>
    </row>
    <row r="1230" spans="15:15">
      <c r="O1230" s="29" t="str">
        <f ca="1">IF(COUNT(OFFSET(分析データ!$AC$2,1226,0,60,1))&lt;60,"",SUM(OFFSET(分析データ!$AC$2,1226,0,60,1))/1000000)</f>
        <v/>
      </c>
    </row>
    <row r="1231" spans="15:15">
      <c r="O1231" s="29" t="str">
        <f ca="1">IF(COUNT(OFFSET(分析データ!$AC$2,1227,0,60,1))&lt;60,"",SUM(OFFSET(分析データ!$AC$2,1227,0,60,1))/1000000)</f>
        <v/>
      </c>
    </row>
    <row r="1232" spans="15:15">
      <c r="O1232" s="29" t="str">
        <f ca="1">IF(COUNT(OFFSET(分析データ!$AC$2,1228,0,60,1))&lt;60,"",SUM(OFFSET(分析データ!$AC$2,1228,0,60,1))/1000000)</f>
        <v/>
      </c>
    </row>
    <row r="1233" spans="15:15">
      <c r="O1233" s="29" t="str">
        <f ca="1">IF(COUNT(OFFSET(分析データ!$AC$2,1229,0,60,1))&lt;60,"",SUM(OFFSET(分析データ!$AC$2,1229,0,60,1))/1000000)</f>
        <v/>
      </c>
    </row>
    <row r="1234" spans="15:15">
      <c r="O1234" s="29" t="str">
        <f ca="1">IF(COUNT(OFFSET(分析データ!$AC$2,1230,0,60,1))&lt;60,"",SUM(OFFSET(分析データ!$AC$2,1230,0,60,1))/1000000)</f>
        <v/>
      </c>
    </row>
    <row r="1235" spans="15:15">
      <c r="O1235" s="29" t="str">
        <f ca="1">IF(COUNT(OFFSET(分析データ!$AC$2,1231,0,60,1))&lt;60,"",SUM(OFFSET(分析データ!$AC$2,1231,0,60,1))/1000000)</f>
        <v/>
      </c>
    </row>
    <row r="1236" spans="15:15">
      <c r="O1236" s="29" t="str">
        <f ca="1">IF(COUNT(OFFSET(分析データ!$AC$2,1232,0,60,1))&lt;60,"",SUM(OFFSET(分析データ!$AC$2,1232,0,60,1))/1000000)</f>
        <v/>
      </c>
    </row>
    <row r="1237" spans="15:15">
      <c r="O1237" s="29" t="str">
        <f ca="1">IF(COUNT(OFFSET(分析データ!$AC$2,1233,0,60,1))&lt;60,"",SUM(OFFSET(分析データ!$AC$2,1233,0,60,1))/1000000)</f>
        <v/>
      </c>
    </row>
    <row r="1238" spans="15:15">
      <c r="O1238" s="29" t="str">
        <f ca="1">IF(COUNT(OFFSET(分析データ!$AC$2,1234,0,60,1))&lt;60,"",SUM(OFFSET(分析データ!$AC$2,1234,0,60,1))/1000000)</f>
        <v/>
      </c>
    </row>
    <row r="1239" spans="15:15">
      <c r="O1239" s="29" t="str">
        <f ca="1">IF(COUNT(OFFSET(分析データ!$AC$2,1235,0,60,1))&lt;60,"",SUM(OFFSET(分析データ!$AC$2,1235,0,60,1))/1000000)</f>
        <v/>
      </c>
    </row>
    <row r="1240" spans="15:15">
      <c r="O1240" s="29" t="str">
        <f ca="1">IF(COUNT(OFFSET(分析データ!$AC$2,1236,0,60,1))&lt;60,"",SUM(OFFSET(分析データ!$AC$2,1236,0,60,1))/1000000)</f>
        <v/>
      </c>
    </row>
    <row r="1241" spans="15:15">
      <c r="O1241" s="29" t="str">
        <f ca="1">IF(COUNT(OFFSET(分析データ!$AC$2,1237,0,60,1))&lt;60,"",SUM(OFFSET(分析データ!$AC$2,1237,0,60,1))/1000000)</f>
        <v/>
      </c>
    </row>
    <row r="1242" spans="15:15">
      <c r="O1242" s="29" t="str">
        <f ca="1">IF(COUNT(OFFSET(分析データ!$AC$2,1238,0,60,1))&lt;60,"",SUM(OFFSET(分析データ!$AC$2,1238,0,60,1))/1000000)</f>
        <v/>
      </c>
    </row>
    <row r="1243" spans="15:15">
      <c r="O1243" s="29" t="str">
        <f ca="1">IF(COUNT(OFFSET(分析データ!$AC$2,1239,0,60,1))&lt;60,"",SUM(OFFSET(分析データ!$AC$2,1239,0,60,1))/1000000)</f>
        <v/>
      </c>
    </row>
    <row r="1244" spans="15:15">
      <c r="O1244" s="29" t="str">
        <f ca="1">IF(COUNT(OFFSET(分析データ!$AC$2,1240,0,60,1))&lt;60,"",SUM(OFFSET(分析データ!$AC$2,1240,0,60,1))/1000000)</f>
        <v/>
      </c>
    </row>
    <row r="1245" spans="15:15">
      <c r="O1245" s="29" t="str">
        <f ca="1">IF(COUNT(OFFSET(分析データ!$AC$2,1241,0,60,1))&lt;60,"",SUM(OFFSET(分析データ!$AC$2,1241,0,60,1))/1000000)</f>
        <v/>
      </c>
    </row>
    <row r="1246" spans="15:15">
      <c r="O1246" s="29" t="str">
        <f ca="1">IF(COUNT(OFFSET(分析データ!$AC$2,1242,0,60,1))&lt;60,"",SUM(OFFSET(分析データ!$AC$2,1242,0,60,1))/1000000)</f>
        <v/>
      </c>
    </row>
    <row r="1247" spans="15:15">
      <c r="O1247" s="29" t="str">
        <f ca="1">IF(COUNT(OFFSET(分析データ!$AC$2,1243,0,60,1))&lt;60,"",SUM(OFFSET(分析データ!$AC$2,1243,0,60,1))/1000000)</f>
        <v/>
      </c>
    </row>
    <row r="1248" spans="15:15">
      <c r="O1248" s="29" t="str">
        <f ca="1">IF(COUNT(OFFSET(分析データ!$AC$2,1244,0,60,1))&lt;60,"",SUM(OFFSET(分析データ!$AC$2,1244,0,60,1))/1000000)</f>
        <v/>
      </c>
    </row>
    <row r="1249" spans="15:15">
      <c r="O1249" s="29" t="str">
        <f ca="1">IF(COUNT(OFFSET(分析データ!$AC$2,1245,0,60,1))&lt;60,"",SUM(OFFSET(分析データ!$AC$2,1245,0,60,1))/1000000)</f>
        <v/>
      </c>
    </row>
    <row r="1250" spans="15:15">
      <c r="O1250" s="29" t="str">
        <f ca="1">IF(COUNT(OFFSET(分析データ!$AC$2,1246,0,60,1))&lt;60,"",SUM(OFFSET(分析データ!$AC$2,1246,0,60,1))/1000000)</f>
        <v/>
      </c>
    </row>
  </sheetData>
  <mergeCells count="8">
    <mergeCell ref="A1:L1"/>
    <mergeCell ref="B69:H69"/>
    <mergeCell ref="B64:H64"/>
    <mergeCell ref="B67:H67"/>
    <mergeCell ref="B66:H66"/>
    <mergeCell ref="A2:L2"/>
    <mergeCell ref="B65:H65"/>
    <mergeCell ref="B68:H68"/>
  </mergeCells>
  <phoneticPr fontId="1"/>
  <conditionalFormatting sqref="C61">
    <cfRule type="cellIs" dxfId="4" priority="4" operator="equal">
      <formula>"警告: ファンディングストレス"</formula>
    </cfRule>
  </conditionalFormatting>
  <conditionalFormatting sqref="F47:F54">
    <cfRule type="cellIs" dxfId="3" priority="1" operator="equal">
      <formula>"限度超過"</formula>
    </cfRule>
    <cfRule type="cellIs" dxfId="2" priority="2" operator="equal">
      <formula>"警告"</formula>
    </cfRule>
    <cfRule type="cellIs" dxfId="1" priority="3" operator="equal">
      <formula>"STOP: デレバレッジ"</formula>
    </cfRule>
  </conditionalFormatting>
  <conditionalFormatting sqref="F13:F20">
    <cfRule type="cellIs" dxfId="0" priority="5" stopIfTrue="1" operator="lessThan">
      <formula>0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はじめに</vt:lpstr>
      <vt:lpstr>ダッシュボード</vt:lpstr>
      <vt:lpstr>戦略解説</vt:lpstr>
      <vt:lpstr>エントリーシグナル</vt:lpstr>
      <vt:lpstr>シグナル検証</vt:lpstr>
      <vt:lpstr>トレード台帳</vt:lpstr>
      <vt:lpstr>ポートフォリオ</vt:lpstr>
      <vt:lpstr>分析データ</vt:lpstr>
      <vt:lpstr>履歴データ</vt:lpstr>
      <vt:lpstr>イールドカーブ</vt:lpstr>
      <vt:lpstr>ASW</vt:lpstr>
      <vt:lpstr>ASWデータ</vt:lpstr>
      <vt:lpstr>ファンディング</vt:lpstr>
      <vt:lpstr>損益</vt:lpstr>
      <vt:lpstr>銘柄マスター</vt:lpstr>
      <vt:lpstr>リスク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大介 山田</cp:lastModifiedBy>
  <dcterms:created xsi:type="dcterms:W3CDTF">2026-08-24T22:16:05Z</dcterms:created>
  <dcterms:modified xsi:type="dcterms:W3CDTF">2026-08-26T04:21:33Z</dcterms:modified>
</cp:coreProperties>
</file>